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hreadedComments/threadedComment2.xml" ContentType="application/vnd.ms-excel.threadedcomments+xml"/>
  <Override PartName="/xl/comments9.xml" ContentType="application/vnd.openxmlformats-officedocument.spreadsheetml.comments+xml"/>
  <Override PartName="/xl/threadedComments/threadedComment3.xml" ContentType="application/vnd.ms-excel.threadedcomments+xml"/>
  <Override PartName="/xl/comments10.xml" ContentType="application/vnd.openxmlformats-officedocument.spreadsheetml.comments+xml"/>
  <Override PartName="/xl/threadedComments/threadedComment4.xml" ContentType="application/vnd.ms-excel.threadedcomments+xml"/>
  <Override PartName="/xl/comments11.xml" ContentType="application/vnd.openxmlformats-officedocument.spreadsheetml.comments+xml"/>
  <Override PartName="/xl/threadedComments/threadedComment5.xml" ContentType="application/vnd.ms-excel.threadedcomments+xml"/>
  <Override PartName="/xl/comments12.xml" ContentType="application/vnd.openxmlformats-officedocument.spreadsheetml.comments+xml"/>
  <Override PartName="/xl/threadedComments/threadedComment6.xml" ContentType="application/vnd.ms-excel.threadedcomments+xml"/>
  <Override PartName="/xl/comments13.xml" ContentType="application/vnd.openxmlformats-officedocument.spreadsheetml.comments+xml"/>
  <Override PartName="/xl/threadedComments/threadedComment7.xml" ContentType="application/vnd.ms-excel.threadedcomments+xml"/>
  <Override PartName="/xl/comments14.xml" ContentType="application/vnd.openxmlformats-officedocument.spreadsheetml.comments+xml"/>
  <Override PartName="/xl/threadedComments/threadedComment8.xml" ContentType="application/vnd.ms-excel.threadedcomments+xml"/>
  <Override PartName="/xl/comments15.xml" ContentType="application/vnd.openxmlformats-officedocument.spreadsheetml.comments+xml"/>
  <Override PartName="/xl/threadedComments/threadedComment9.xml" ContentType="application/vnd.ms-excel.threadedcomments+xml"/>
  <Override PartName="/xl/comments16.xml" ContentType="application/vnd.openxmlformats-officedocument.spreadsheetml.comments+xml"/>
  <Override PartName="/xl/threadedComments/threadedComment10.xml" ContentType="application/vnd.ms-excel.threaded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66925"/>
  <mc:AlternateContent xmlns:mc="http://schemas.openxmlformats.org/markup-compatibility/2006">
    <mc:Choice Requires="x15">
      <x15ac:absPath xmlns:x15ac="http://schemas.microsoft.com/office/spreadsheetml/2010/11/ac" url="C:\Users\Yushan Zhang\Box Sync\Covid19 modeling\0. Team Folders\Yushan\R_code_reprod\"/>
    </mc:Choice>
  </mc:AlternateContent>
  <xr:revisionPtr revIDLastSave="0" documentId="13_ncr:1_{12DDD8CD-E010-4E51-967F-92602A64312F}" xr6:coauthVersionLast="41" xr6:coauthVersionMax="41" xr10:uidLastSave="{00000000-0000-0000-0000-000000000000}"/>
  <bookViews>
    <workbookView xWindow="8550" yWindow="350" windowWidth="10950" windowHeight="9700" tabRatio="798" firstSheet="11" activeTab="13" xr2:uid="{ADE19DA6-C115-49D2-BE1A-0DAD778FCC5F}"/>
  </bookViews>
  <sheets>
    <sheet name="ReadMe" sheetId="11" r:id="rId1"/>
    <sheet name="summary_page" sheetId="85" r:id="rId2"/>
    <sheet name="apache_screenshot" sheetId="69" r:id="rId3"/>
    <sheet name="Aggregate view&gt;&gt;" sheetId="23" r:id="rId4"/>
    <sheet name="Devon_A1" sheetId="82" r:id="rId5"/>
    <sheet name="Devon" sheetId="81" r:id="rId6"/>
    <sheet name="Concho_A1" sheetId="80" r:id="rId7"/>
    <sheet name="Concho" sheetId="75" r:id="rId8"/>
    <sheet name="Continental_A1" sheetId="79" r:id="rId9"/>
    <sheet name="Continental" sheetId="71" r:id="rId10"/>
    <sheet name="Devon_old" sheetId="59" state="hidden" r:id="rId11"/>
    <sheet name="Apache_A1" sheetId="63" r:id="rId12"/>
    <sheet name="EOG_A1" sheetId="64" r:id="rId13"/>
    <sheet name="Cimarex_A1" sheetId="65" r:id="rId14"/>
    <sheet name="Apache" sheetId="39" r:id="rId15"/>
    <sheet name="EOG" sheetId="40" r:id="rId16"/>
    <sheet name="Cimarex_old" sheetId="43" state="hidden" r:id="rId17"/>
    <sheet name="Cimarex" sheetId="50" r:id="rId18"/>
    <sheet name="Basin view&gt;&gt;" sheetId="12" r:id="rId19"/>
    <sheet name="Operator view&gt;&gt;" sheetId="7" r:id="rId20"/>
    <sheet name="Assumptions" sheetId="42" r:id="rId21"/>
    <sheet name="Scenarios&gt;&gt;" sheetId="8" r:id="rId22"/>
    <sheet name="Quarterly Forecasts" sheetId="17" r:id="rId23"/>
    <sheet name="Inputs&gt;&gt;" sheetId="1" r:id="rId24"/>
    <sheet name="Input" sheetId="74" r:id="rId25"/>
    <sheet name="$22" sheetId="51" r:id="rId26"/>
    <sheet name="$33" sheetId="52" r:id="rId27"/>
    <sheet name="$22Econ" sheetId="61" r:id="rId28"/>
    <sheet name="$33Econ" sheetId="62"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___out5" localSheetId="2" hidden="1">'[1]6 TRS'!#REF!</definedName>
    <definedName name="____out5" localSheetId="7" hidden="1">'[1]6 TRS'!#REF!</definedName>
    <definedName name="____out5" localSheetId="6" hidden="1">'[1]6 TRS'!#REF!</definedName>
    <definedName name="____out5" localSheetId="9" hidden="1">'[1]6 TRS'!#REF!</definedName>
    <definedName name="____out5" localSheetId="8" hidden="1">'[1]6 TRS'!#REF!</definedName>
    <definedName name="____out5" localSheetId="5" hidden="1">'[1]6 TRS'!#REF!</definedName>
    <definedName name="____out5" localSheetId="4" hidden="1">'[1]6 TRS'!#REF!</definedName>
    <definedName name="____out5" localSheetId="1" hidden="1">'[1]6 TRS'!#REF!</definedName>
    <definedName name="____out5" hidden="1">'[1]6 TRS'!#REF!</definedName>
    <definedName name="___out5" localSheetId="2" hidden="1">'[1]6 TRS'!#REF!</definedName>
    <definedName name="___out5" localSheetId="7" hidden="1">'[1]6 TRS'!#REF!</definedName>
    <definedName name="___out5" localSheetId="6" hidden="1">'[1]6 TRS'!#REF!</definedName>
    <definedName name="___out5" localSheetId="9" hidden="1">'[1]6 TRS'!#REF!</definedName>
    <definedName name="___out5" localSheetId="8" hidden="1">'[1]6 TRS'!#REF!</definedName>
    <definedName name="___out5" localSheetId="5" hidden="1">'[1]6 TRS'!#REF!</definedName>
    <definedName name="___out5" localSheetId="4" hidden="1">'[1]6 TRS'!#REF!</definedName>
    <definedName name="___out5" localSheetId="1" hidden="1">'[1]6 TRS'!#REF!</definedName>
    <definedName name="___out5" hidden="1">'[1]6 TRS'!#REF!</definedName>
    <definedName name="__123Graph_A" localSheetId="2" hidden="1">'[2]6 TRS'!#REF!</definedName>
    <definedName name="__123Graph_A" localSheetId="7" hidden="1">'[2]6 TRS'!#REF!</definedName>
    <definedName name="__123Graph_A" localSheetId="6" hidden="1">'[2]6 TRS'!#REF!</definedName>
    <definedName name="__123Graph_A" localSheetId="9" hidden="1">'[2]6 TRS'!#REF!</definedName>
    <definedName name="__123Graph_A" localSheetId="8" hidden="1">'[2]6 TRS'!#REF!</definedName>
    <definedName name="__123Graph_A" localSheetId="5" hidden="1">'[2]6 TRS'!#REF!</definedName>
    <definedName name="__123Graph_A" localSheetId="4" hidden="1">'[2]6 TRS'!#REF!</definedName>
    <definedName name="__123Graph_A" localSheetId="1" hidden="1">'[2]6 TRS'!#REF!</definedName>
    <definedName name="__123Graph_A" hidden="1">'[2]6 TRS'!#REF!</definedName>
    <definedName name="__123Graph_B" localSheetId="2" hidden="1">'[2]6 TRS'!#REF!</definedName>
    <definedName name="__123Graph_B" localSheetId="7" hidden="1">'[2]6 TRS'!#REF!</definedName>
    <definedName name="__123Graph_B" localSheetId="6" hidden="1">'[2]6 TRS'!#REF!</definedName>
    <definedName name="__123Graph_B" localSheetId="9" hidden="1">'[2]6 TRS'!#REF!</definedName>
    <definedName name="__123Graph_B" localSheetId="8" hidden="1">'[2]6 TRS'!#REF!</definedName>
    <definedName name="__123Graph_B" localSheetId="5" hidden="1">'[2]6 TRS'!#REF!</definedName>
    <definedName name="__123Graph_B" localSheetId="4" hidden="1">'[2]6 TRS'!#REF!</definedName>
    <definedName name="__123Graph_B" localSheetId="1" hidden="1">'[2]6 TRS'!#REF!</definedName>
    <definedName name="__123Graph_B" hidden="1">'[2]6 TRS'!#REF!</definedName>
    <definedName name="__123Graph_LBL_A" localSheetId="2" hidden="1">'[2]6 TRS'!#REF!</definedName>
    <definedName name="__123Graph_LBL_A" localSheetId="7" hidden="1">'[2]6 TRS'!#REF!</definedName>
    <definedName name="__123Graph_LBL_A" localSheetId="6" hidden="1">'[2]6 TRS'!#REF!</definedName>
    <definedName name="__123Graph_LBL_A" localSheetId="9" hidden="1">'[2]6 TRS'!#REF!</definedName>
    <definedName name="__123Graph_LBL_A" localSheetId="8" hidden="1">'[2]6 TRS'!#REF!</definedName>
    <definedName name="__123Graph_LBL_A" localSheetId="5" hidden="1">'[2]6 TRS'!#REF!</definedName>
    <definedName name="__123Graph_LBL_A" localSheetId="4" hidden="1">'[2]6 TRS'!#REF!</definedName>
    <definedName name="__123Graph_LBL_A" localSheetId="1" hidden="1">'[2]6 TRS'!#REF!</definedName>
    <definedName name="__123Graph_LBL_A" hidden="1">'[2]6 TRS'!#REF!</definedName>
    <definedName name="__123Graph_LBL_B" localSheetId="2" hidden="1">#REF!</definedName>
    <definedName name="__123Graph_LBL_B" localSheetId="7" hidden="1">#REF!</definedName>
    <definedName name="__123Graph_LBL_B" localSheetId="6" hidden="1">#REF!</definedName>
    <definedName name="__123Graph_LBL_B" localSheetId="9" hidden="1">#REF!</definedName>
    <definedName name="__123Graph_LBL_B" localSheetId="8" hidden="1">#REF!</definedName>
    <definedName name="__123Graph_LBL_B" localSheetId="5" hidden="1">#REF!</definedName>
    <definedName name="__123Graph_LBL_B" localSheetId="4" hidden="1">#REF!</definedName>
    <definedName name="__123Graph_LBL_B" localSheetId="1" hidden="1">#REF!</definedName>
    <definedName name="__123Graph_LBL_B" hidden="1">#REF!</definedName>
    <definedName name="__123Graph_X" localSheetId="2" hidden="1">'[2]6 TRS'!#REF!</definedName>
    <definedName name="__123Graph_X" localSheetId="7" hidden="1">'[2]6 TRS'!#REF!</definedName>
    <definedName name="__123Graph_X" localSheetId="6" hidden="1">'[2]6 TRS'!#REF!</definedName>
    <definedName name="__123Graph_X" localSheetId="9" hidden="1">'[2]6 TRS'!#REF!</definedName>
    <definedName name="__123Graph_X" localSheetId="8" hidden="1">'[2]6 TRS'!#REF!</definedName>
    <definedName name="__123Graph_X" localSheetId="5" hidden="1">'[2]6 TRS'!#REF!</definedName>
    <definedName name="__123Graph_X" localSheetId="4" hidden="1">'[2]6 TRS'!#REF!</definedName>
    <definedName name="__123Graph_X" localSheetId="1" hidden="1">'[2]6 TRS'!#REF!</definedName>
    <definedName name="__123Graph_X" hidden="1">'[2]6 TRS'!#REF!</definedName>
    <definedName name="__out5" localSheetId="2" hidden="1">'[1]6 TRS'!#REF!</definedName>
    <definedName name="__out5" localSheetId="7" hidden="1">'[1]6 TRS'!#REF!</definedName>
    <definedName name="__out5" localSheetId="6" hidden="1">'[1]6 TRS'!#REF!</definedName>
    <definedName name="__out5" localSheetId="9" hidden="1">'[1]6 TRS'!#REF!</definedName>
    <definedName name="__out5" localSheetId="8" hidden="1">'[1]6 TRS'!#REF!</definedName>
    <definedName name="__out5" localSheetId="5" hidden="1">'[1]6 TRS'!#REF!</definedName>
    <definedName name="__out5" localSheetId="4" hidden="1">'[1]6 TRS'!#REF!</definedName>
    <definedName name="__out5" localSheetId="1" hidden="1">'[1]6 TRS'!#REF!</definedName>
    <definedName name="__out5" hidden="1">'[1]6 TRS'!#REF!</definedName>
    <definedName name="_123Graph_A_val" localSheetId="2" hidden="1">'[3]6 TRS'!#REF!</definedName>
    <definedName name="_123Graph_A_val" localSheetId="7" hidden="1">'[3]6 TRS'!#REF!</definedName>
    <definedName name="_123Graph_A_val" localSheetId="6" hidden="1">'[3]6 TRS'!#REF!</definedName>
    <definedName name="_123Graph_A_val" localSheetId="9" hidden="1">'[3]6 TRS'!#REF!</definedName>
    <definedName name="_123Graph_A_val" localSheetId="8" hidden="1">'[3]6 TRS'!#REF!</definedName>
    <definedName name="_123Graph_A_val" localSheetId="5" hidden="1">'[3]6 TRS'!#REF!</definedName>
    <definedName name="_123Graph_A_val" localSheetId="4" hidden="1">'[3]6 TRS'!#REF!</definedName>
    <definedName name="_123Graph_A_val" localSheetId="1" hidden="1">'[3]6 TRS'!#REF!</definedName>
    <definedName name="_123Graph_A_val" hidden="1">'[3]6 TRS'!#REF!</definedName>
    <definedName name="_123Graph_B_val" localSheetId="2" hidden="1">'[3]6 TRS'!#REF!</definedName>
    <definedName name="_123Graph_B_val" localSheetId="7" hidden="1">'[3]6 TRS'!#REF!</definedName>
    <definedName name="_123Graph_B_val" localSheetId="6" hidden="1">'[3]6 TRS'!#REF!</definedName>
    <definedName name="_123Graph_B_val" localSheetId="9" hidden="1">'[3]6 TRS'!#REF!</definedName>
    <definedName name="_123Graph_B_val" localSheetId="8" hidden="1">'[3]6 TRS'!#REF!</definedName>
    <definedName name="_123Graph_B_val" localSheetId="5" hidden="1">'[3]6 TRS'!#REF!</definedName>
    <definedName name="_123Graph_B_val" localSheetId="4" hidden="1">'[3]6 TRS'!#REF!</definedName>
    <definedName name="_123Graph_B_val" localSheetId="1" hidden="1">'[3]6 TRS'!#REF!</definedName>
    <definedName name="_123Graph_B_val" hidden="1">'[3]6 TRS'!#REF!</definedName>
    <definedName name="_123Graph_LBL_A_val" localSheetId="2" hidden="1">'[3]6 TRS'!#REF!</definedName>
    <definedName name="_123Graph_LBL_A_val" localSheetId="7" hidden="1">'[3]6 TRS'!#REF!</definedName>
    <definedName name="_123Graph_LBL_A_val" localSheetId="6" hidden="1">'[3]6 TRS'!#REF!</definedName>
    <definedName name="_123Graph_LBL_A_val" localSheetId="9" hidden="1">'[3]6 TRS'!#REF!</definedName>
    <definedName name="_123Graph_LBL_A_val" localSheetId="8" hidden="1">'[3]6 TRS'!#REF!</definedName>
    <definedName name="_123Graph_LBL_A_val" localSheetId="5" hidden="1">'[3]6 TRS'!#REF!</definedName>
    <definedName name="_123Graph_LBL_A_val" localSheetId="4" hidden="1">'[3]6 TRS'!#REF!</definedName>
    <definedName name="_123Graph_LBL_A_val" localSheetId="1" hidden="1">'[3]6 TRS'!#REF!</definedName>
    <definedName name="_123Graph_LBL_A_val" hidden="1">'[3]6 TRS'!#REF!</definedName>
    <definedName name="_123Graph_X_val" localSheetId="2" hidden="1">'[3]6 TRS'!#REF!</definedName>
    <definedName name="_123Graph_X_val" localSheetId="7" hidden="1">'[3]6 TRS'!#REF!</definedName>
    <definedName name="_123Graph_X_val" localSheetId="6" hidden="1">'[3]6 TRS'!#REF!</definedName>
    <definedName name="_123Graph_X_val" localSheetId="9" hidden="1">'[3]6 TRS'!#REF!</definedName>
    <definedName name="_123Graph_X_val" localSheetId="8" hidden="1">'[3]6 TRS'!#REF!</definedName>
    <definedName name="_123Graph_X_val" localSheetId="5" hidden="1">'[3]6 TRS'!#REF!</definedName>
    <definedName name="_123Graph_X_val" localSheetId="4" hidden="1">'[3]6 TRS'!#REF!</definedName>
    <definedName name="_123Graph_X_val" localSheetId="1" hidden="1">'[3]6 TRS'!#REF!</definedName>
    <definedName name="_123Graph_X_val" hidden="1">'[3]6 TRS'!#REF!</definedName>
    <definedName name="_Fill" localSheetId="2" hidden="1">#REF!</definedName>
    <definedName name="_Fill" localSheetId="7" hidden="1">#REF!</definedName>
    <definedName name="_Fill" localSheetId="6" hidden="1">#REF!</definedName>
    <definedName name="_Fill" localSheetId="9" hidden="1">#REF!</definedName>
    <definedName name="_Fill" localSheetId="8" hidden="1">#REF!</definedName>
    <definedName name="_Fill" localSheetId="5" hidden="1">#REF!</definedName>
    <definedName name="_Fill" localSheetId="4" hidden="1">#REF!</definedName>
    <definedName name="_Fill" localSheetId="1" hidden="1">#REF!</definedName>
    <definedName name="_Fill" hidden="1">#REF!</definedName>
    <definedName name="_Fill_val" localSheetId="2" hidden="1">'[3]6 TRS'!#REF!</definedName>
    <definedName name="_Fill_val" localSheetId="7" hidden="1">'[3]6 TRS'!#REF!</definedName>
    <definedName name="_Fill_val" localSheetId="6" hidden="1">'[3]6 TRS'!#REF!</definedName>
    <definedName name="_Fill_val" localSheetId="9" hidden="1">'[3]6 TRS'!#REF!</definedName>
    <definedName name="_Fill_val" localSheetId="8" hidden="1">'[3]6 TRS'!#REF!</definedName>
    <definedName name="_Fill_val" localSheetId="5" hidden="1">'[3]6 TRS'!#REF!</definedName>
    <definedName name="_Fill_val" localSheetId="4" hidden="1">'[3]6 TRS'!#REF!</definedName>
    <definedName name="_Fill_val" localSheetId="1" hidden="1">'[3]6 TRS'!#REF!</definedName>
    <definedName name="_Fill_val" hidden="1">'[3]6 TRS'!#REF!</definedName>
    <definedName name="_fill2" localSheetId="2" hidden="1">'[1]6 TRS'!#REF!</definedName>
    <definedName name="_fill2" localSheetId="7" hidden="1">'[1]6 TRS'!#REF!</definedName>
    <definedName name="_fill2" localSheetId="6" hidden="1">'[1]6 TRS'!#REF!</definedName>
    <definedName name="_fill2" localSheetId="9" hidden="1">'[1]6 TRS'!#REF!</definedName>
    <definedName name="_fill2" localSheetId="8" hidden="1">'[1]6 TRS'!#REF!</definedName>
    <definedName name="_fill2" localSheetId="5" hidden="1">'[1]6 TRS'!#REF!</definedName>
    <definedName name="_fill2" localSheetId="4" hidden="1">'[1]6 TRS'!#REF!</definedName>
    <definedName name="_fill2" localSheetId="1" hidden="1">'[1]6 TRS'!#REF!</definedName>
    <definedName name="_fill2" hidden="1">'[1]6 TRS'!#REF!</definedName>
    <definedName name="_xlnm._FilterDatabase" localSheetId="25" hidden="1">'$22'!$A$8:$N$2139</definedName>
    <definedName name="_xlnm._FilterDatabase" localSheetId="27" hidden="1">'$22Econ'!$A$8:$N$8002</definedName>
    <definedName name="_xlnm._FilterDatabase" localSheetId="26" hidden="1">'$33'!$A$8:$N$2139</definedName>
    <definedName name="_xlnm._FilterDatabase" localSheetId="28" hidden="1">'$33Econ'!$A$7:$N$8001</definedName>
    <definedName name="_xlnm._FilterDatabase" localSheetId="20" hidden="1">Assumptions!$A$2:$K$234</definedName>
    <definedName name="_xlnm._FilterDatabase" localSheetId="24" hidden="1">Input!$B$4:$I$85</definedName>
    <definedName name="_Key1" localSheetId="2" hidden="1">'[4]HPS Slit Coil (Centralia)'!#REF!</definedName>
    <definedName name="_Key1" localSheetId="7" hidden="1">'[4]HPS Slit Coil (Centralia)'!#REF!</definedName>
    <definedName name="_Key1" localSheetId="6" hidden="1">'[4]HPS Slit Coil (Centralia)'!#REF!</definedName>
    <definedName name="_Key1" localSheetId="9" hidden="1">'[4]HPS Slit Coil (Centralia)'!#REF!</definedName>
    <definedName name="_Key1" localSheetId="8" hidden="1">'[4]HPS Slit Coil (Centralia)'!#REF!</definedName>
    <definedName name="_Key1" localSheetId="5" hidden="1">'[4]HPS Slit Coil (Centralia)'!#REF!</definedName>
    <definedName name="_Key1" localSheetId="4" hidden="1">'[4]HPS Slit Coil (Centralia)'!#REF!</definedName>
    <definedName name="_Key1" localSheetId="1" hidden="1">'[4]HPS Slit Coil (Centralia)'!#REF!</definedName>
    <definedName name="_Key1" hidden="1">'[4]HPS Slit Coil (Centralia)'!#REF!</definedName>
    <definedName name="_Key2" localSheetId="2" hidden="1">'[4]HPS Slit Coil (Centralia)'!#REF!</definedName>
    <definedName name="_Key2" localSheetId="7" hidden="1">'[4]HPS Slit Coil (Centralia)'!#REF!</definedName>
    <definedName name="_Key2" localSheetId="6" hidden="1">'[4]HPS Slit Coil (Centralia)'!#REF!</definedName>
    <definedName name="_Key2" localSheetId="9" hidden="1">'[4]HPS Slit Coil (Centralia)'!#REF!</definedName>
    <definedName name="_Key2" localSheetId="8" hidden="1">'[4]HPS Slit Coil (Centralia)'!#REF!</definedName>
    <definedName name="_Key2" localSheetId="5" hidden="1">'[4]HPS Slit Coil (Centralia)'!#REF!</definedName>
    <definedName name="_Key2" localSheetId="4" hidden="1">'[4]HPS Slit Coil (Centralia)'!#REF!</definedName>
    <definedName name="_Key2" localSheetId="1" hidden="1">'[4]HPS Slit Coil (Centralia)'!#REF!</definedName>
    <definedName name="_Key2" hidden="1">'[4]HPS Slit Coil (Centralia)'!#REF!</definedName>
    <definedName name="_Order1" hidden="1">255</definedName>
    <definedName name="_Order2" hidden="1">255</definedName>
    <definedName name="_out5" localSheetId="2" hidden="1">'[1]6 TRS'!#REF!</definedName>
    <definedName name="_out5" localSheetId="7" hidden="1">'[1]6 TRS'!#REF!</definedName>
    <definedName name="_out5" localSheetId="6" hidden="1">'[1]6 TRS'!#REF!</definedName>
    <definedName name="_out5" localSheetId="9" hidden="1">'[1]6 TRS'!#REF!</definedName>
    <definedName name="_out5" localSheetId="8" hidden="1">'[1]6 TRS'!#REF!</definedName>
    <definedName name="_out5" localSheetId="5" hidden="1">'[1]6 TRS'!#REF!</definedName>
    <definedName name="_out5" localSheetId="4" hidden="1">'[1]6 TRS'!#REF!</definedName>
    <definedName name="_out5" localSheetId="1" hidden="1">'[1]6 TRS'!#REF!</definedName>
    <definedName name="_out5" hidden="1">'[1]6 TRS'!#REF!</definedName>
    <definedName name="_Parse_Out" localSheetId="2" hidden="1">'[4]HPS Slit Coil (Centralia)'!#REF!</definedName>
    <definedName name="_Parse_Out" localSheetId="7" hidden="1">'[4]HPS Slit Coil (Centralia)'!#REF!</definedName>
    <definedName name="_Parse_Out" localSheetId="6" hidden="1">'[4]HPS Slit Coil (Centralia)'!#REF!</definedName>
    <definedName name="_Parse_Out" localSheetId="9" hidden="1">'[4]HPS Slit Coil (Centralia)'!#REF!</definedName>
    <definedName name="_Parse_Out" localSheetId="8" hidden="1">'[4]HPS Slit Coil (Centralia)'!#REF!</definedName>
    <definedName name="_Parse_Out" localSheetId="5" hidden="1">'[4]HPS Slit Coil (Centralia)'!#REF!</definedName>
    <definedName name="_Parse_Out" localSheetId="4" hidden="1">'[4]HPS Slit Coil (Centralia)'!#REF!</definedName>
    <definedName name="_Parse_Out" localSheetId="1" hidden="1">'[4]HPS Slit Coil (Centralia)'!#REF!</definedName>
    <definedName name="_Parse_Out" hidden="1">'[4]HPS Slit Coil (Centralia)'!#REF!</definedName>
    <definedName name="_Sort" localSheetId="2" hidden="1">'[4]HPS Slit Coil (Centralia)'!#REF!</definedName>
    <definedName name="_Sort" localSheetId="7" hidden="1">'[4]HPS Slit Coil (Centralia)'!#REF!</definedName>
    <definedName name="_Sort" localSheetId="6" hidden="1">'[4]HPS Slit Coil (Centralia)'!#REF!</definedName>
    <definedName name="_Sort" localSheetId="9" hidden="1">'[4]HPS Slit Coil (Centralia)'!#REF!</definedName>
    <definedName name="_Sort" localSheetId="8" hidden="1">'[4]HPS Slit Coil (Centralia)'!#REF!</definedName>
    <definedName name="_Sort" localSheetId="5" hidden="1">'[4]HPS Slit Coil (Centralia)'!#REF!</definedName>
    <definedName name="_Sort" localSheetId="4" hidden="1">'[4]HPS Slit Coil (Centralia)'!#REF!</definedName>
    <definedName name="_Sort" localSheetId="1" hidden="1">'[4]HPS Slit Coil (Centralia)'!#REF!</definedName>
    <definedName name="_Sort" hidden="1">'[4]HPS Slit Coil (Centralia)'!#REF!</definedName>
    <definedName name="aa" localSheetId="2" hidden="1">'[4]HPS Slit Coil (Centralia)'!#REF!</definedName>
    <definedName name="aa" localSheetId="7" hidden="1">'[4]HPS Slit Coil (Centralia)'!#REF!</definedName>
    <definedName name="aa" localSheetId="6" hidden="1">'[4]HPS Slit Coil (Centralia)'!#REF!</definedName>
    <definedName name="aa" localSheetId="9" hidden="1">'[4]HPS Slit Coil (Centralia)'!#REF!</definedName>
    <definedName name="aa" localSheetId="8" hidden="1">'[4]HPS Slit Coil (Centralia)'!#REF!</definedName>
    <definedName name="aa" localSheetId="5" hidden="1">'[4]HPS Slit Coil (Centralia)'!#REF!</definedName>
    <definedName name="aa" localSheetId="4" hidden="1">'[4]HPS Slit Coil (Centralia)'!#REF!</definedName>
    <definedName name="aa" localSheetId="1" hidden="1">'[4]HPS Slit Coil (Centralia)'!#REF!</definedName>
    <definedName name="aa" hidden="1">'[4]HPS Slit Coil (Centralia)'!#REF!</definedName>
    <definedName name="aaaaa" localSheetId="2" hidden="1">'[4]HPS Slit Coil (Centralia)'!#REF!</definedName>
    <definedName name="aaaaa" localSheetId="7" hidden="1">'[4]HPS Slit Coil (Centralia)'!#REF!</definedName>
    <definedName name="aaaaa" localSheetId="6" hidden="1">'[4]HPS Slit Coil (Centralia)'!#REF!</definedName>
    <definedName name="aaaaa" localSheetId="9" hidden="1">'[4]HPS Slit Coil (Centralia)'!#REF!</definedName>
    <definedName name="aaaaa" localSheetId="8" hidden="1">'[4]HPS Slit Coil (Centralia)'!#REF!</definedName>
    <definedName name="aaaaa" localSheetId="5" hidden="1">'[4]HPS Slit Coil (Centralia)'!#REF!</definedName>
    <definedName name="aaaaa" localSheetId="4" hidden="1">'[4]HPS Slit Coil (Centralia)'!#REF!</definedName>
    <definedName name="aaaaa" localSheetId="1" hidden="1">'[4]HPS Slit Coil (Centralia)'!#REF!</definedName>
    <definedName name="aaaaa" hidden="1">'[4]HPS Slit Coil (Centralia)'!#REF!</definedName>
    <definedName name="aaaaaaaa" localSheetId="2" hidden="1">'[5]6 TRS'!#REF!</definedName>
    <definedName name="aaaaaaaa" localSheetId="7" hidden="1">'[5]6 TRS'!#REF!</definedName>
    <definedName name="aaaaaaaa" localSheetId="6" hidden="1">'[5]6 TRS'!#REF!</definedName>
    <definedName name="aaaaaaaa" localSheetId="9" hidden="1">'[5]6 TRS'!#REF!</definedName>
    <definedName name="aaaaaaaa" localSheetId="8" hidden="1">'[5]6 TRS'!#REF!</definedName>
    <definedName name="aaaaaaaa" localSheetId="5" hidden="1">'[5]6 TRS'!#REF!</definedName>
    <definedName name="aaaaaaaa" localSheetId="4" hidden="1">'[5]6 TRS'!#REF!</definedName>
    <definedName name="aaaaaaaa" localSheetId="1" hidden="1">'[5]6 TRS'!#REF!</definedName>
    <definedName name="aaaaaaaa" hidden="1">'[5]6 TRS'!#REF!</definedName>
    <definedName name="AccessDatabase" hidden="1">"C:\data\cbs\macro.mdb"</definedName>
    <definedName name="adf" hidden="1">{#N/A,#N/A,FALSE,"Qrt Fcst";#N/A,#N/A,FALSE,"Qrt Fcst vs Plan &amp; PY";#N/A,#N/A,FALSE,"FY Fcst vs Plan &amp; PY";#N/A,#N/A,FALSE,"EVA CAP";#N/A,#N/A,FALSE,"EVA NOPAT"}</definedName>
    <definedName name="adf_1" hidden="1">{#N/A,#N/A,FALSE,"Qrt Fcst";#N/A,#N/A,FALSE,"Qrt Fcst vs Plan &amp; PY";#N/A,#N/A,FALSE,"FY Fcst vs Plan &amp; PY";#N/A,#N/A,FALSE,"EVA CAP";#N/A,#N/A,FALSE,"EVA NOPAT"}</definedName>
    <definedName name="adfg" hidden="1">{#N/A,#N/A,TRUE,"Monthly BCG";#N/A,#N/A,TRUE,"Monthly w|o Wireless";#N/A,#N/A,TRUE,"Monthly Wireless"}</definedName>
    <definedName name="adfg_1" hidden="1">{#N/A,#N/A,TRUE,"Monthly BCG";#N/A,#N/A,TRUE,"Monthly w|o Wireless";#N/A,#N/A,TRUE,"Monthly Wireless"}</definedName>
    <definedName name="AmorGoodwill">[6]Input!$A$33</definedName>
    <definedName name="AmorIntan">[6]Input!$A$28</definedName>
    <definedName name="as" hidden="1">{#N/A,#N/A,FALSE,"Qrt Fcst";#N/A,#N/A,FALSE,"Qrt Fcst vs Plan &amp; PY";#N/A,#N/A,FALSE,"FY Fcst vs Plan &amp; PY";#N/A,#N/A,FALSE,"EVA CAP";#N/A,#N/A,FALSE,"EVA NOPAT"}</definedName>
    <definedName name="as_1" hidden="1">{#N/A,#N/A,FALSE,"Qrt Fcst";#N/A,#N/A,FALSE,"Qrt Fcst vs Plan &amp; PY";#N/A,#N/A,FALSE,"FY Fcst vs Plan &amp; PY";#N/A,#N/A,FALSE,"EVA CAP";#N/A,#N/A,FALSE,"EVA NOPAT"}</definedName>
    <definedName name="asd" hidden="1">{#N/A,#N/A,TRUE,"4Q BCG";#N/A,#N/A,TRUE,"4Q w|o Wireless";#N/A,#N/A,TRUE,"4Q Wireless"}</definedName>
    <definedName name="asd_1" hidden="1">{#N/A,#N/A,TRUE,"4Q BCG";#N/A,#N/A,TRUE,"4Q w|o Wireless";#N/A,#N/A,TRUE,"4Q Wireless"}</definedName>
    <definedName name="asdf" hidden="1">{#N/A,#N/A,FALSE,"Qrt Fcst";#N/A,#N/A,FALSE,"Qrt Fcst vs Plan &amp; PY";#N/A,#N/A,FALSE,"FY Fcst vs Plan &amp; PY";#N/A,#N/A,FALSE,"EVA CAP";#N/A,#N/A,FALSE,"EVA NOPAT"}</definedName>
    <definedName name="asdf_1" hidden="1">{#N/A,#N/A,FALSE,"Qrt Fcst";#N/A,#N/A,FALSE,"Qrt Fcst vs Plan &amp; PY";#N/A,#N/A,FALSE,"FY Fcst vs Plan &amp; PY";#N/A,#N/A,FALSE,"EVA CAP";#N/A,#N/A,FALSE,"EVA NOPAT"}</definedName>
    <definedName name="asf" hidden="1">{#N/A,#N/A,TRUE,"Monthly BCG";#N/A,#N/A,TRUE,"Qrt BCG";#N/A,#N/A,TRUE,"FY BCG";#N/A,#N/A,TRUE,"1Q BCG";#N/A,#N/A,TRUE,"2Q BCG";#N/A,#N/A,TRUE,"3Q BCG";#N/A,#N/A,TRUE,"4Q BCG"}</definedName>
    <definedName name="asf_1" hidden="1">{#N/A,#N/A,TRUE,"Monthly BCG";#N/A,#N/A,TRUE,"Qrt BCG";#N/A,#N/A,TRUE,"FY BCG";#N/A,#N/A,TRUE,"1Q BCG";#N/A,#N/A,TRUE,"2Q BCG";#N/A,#N/A,TRUE,"3Q BCG";#N/A,#N/A,TRUE,"4Q BCG"}</definedName>
    <definedName name="aw" hidden="1">{"Admin.",#N/A,FALSE,"ccs";"Alloc.",#N/A,FALSE,"ccs";"BS Inactive",#N/A,FALSE,"ccs";"CU Eng.",#N/A,FALSE,"ccs";"CU Mfg.",#N/A,FALSE,"ccs";"CU Mfg.",#N/A,FALSE,"ccs";"CU Mktg.",#N/A,FALSE,"ccs";"CU PM",#N/A,FALSE,"ccs";"Eng.",#N/A,FALSE,"ccs";"FBR Admin",#N/A,FALSE,"ccs";"FBR China",#N/A,FALSE,"ccs";"FBR Eng.",#N/A,FALSE,"ccs";"FBR Mktg.",#N/A,FALSE,"ccs";"FBR PM",#N/A,FALSE,"ccs";"FRBMfg",#N/A,FALSE,"ccs";"Mfg.",#N/A,FALSE,"ccs";"Mktg.",#N/A,FALSE,"ccs";"Non Op.",#N/A,FALSE,"ccs";"Sales",#N/A,FALSE,"ccs";"WLS Admin.",#N/A,FALSE,"ccs";"WLS Eng.",#N/A,FALSE,"ccs";"WLS Mfg.",#N/A,FALSE,"ccs";"WLS Mktg.",#N/A,FALSE,"ccs";"WLS PM",#N/A,FALSE,"ccs"}</definedName>
    <definedName name="aw_1" hidden="1">{"Admin.",#N/A,FALSE,"ccs";"Alloc.",#N/A,FALSE,"ccs";"BS Inactive",#N/A,FALSE,"ccs";"CU Eng.",#N/A,FALSE,"ccs";"CU Mfg.",#N/A,FALSE,"ccs";"CU Mfg.",#N/A,FALSE,"ccs";"CU Mktg.",#N/A,FALSE,"ccs";"CU PM",#N/A,FALSE,"ccs";"Eng.",#N/A,FALSE,"ccs";"FBR Admin",#N/A,FALSE,"ccs";"FBR China",#N/A,FALSE,"ccs";"FBR Eng.",#N/A,FALSE,"ccs";"FBR Mktg.",#N/A,FALSE,"ccs";"FBR PM",#N/A,FALSE,"ccs";"FRBMfg",#N/A,FALSE,"ccs";"Mfg.",#N/A,FALSE,"ccs";"Mktg.",#N/A,FALSE,"ccs";"Non Op.",#N/A,FALSE,"ccs";"Sales",#N/A,FALSE,"ccs";"WLS Admin.",#N/A,FALSE,"ccs";"WLS Eng.",#N/A,FALSE,"ccs";"WLS Mfg.",#N/A,FALSE,"ccs";"WLS Mktg.",#N/A,FALSE,"ccs";"WLS PM",#N/A,FALSE,"ccs"}</definedName>
    <definedName name="awre" hidden="1">{#N/A,#N/A,TRUE,"4Q BCG";#N/A,#N/A,TRUE,"4Q w|o Wireless";#N/A,#N/A,TRUE,"4Q Wireless"}</definedName>
    <definedName name="awre_1" hidden="1">{#N/A,#N/A,TRUE,"4Q BCG";#N/A,#N/A,TRUE,"4Q w|o Wireless";#N/A,#N/A,TRUE,"4Q Wireless"}</definedName>
    <definedName name="b" hidden="1">{#N/A,#N/A,TRUE,"Monthly w|o Wireless";#N/A,#N/A,TRUE,"Qrt w|o Wireless";#N/A,#N/A,TRUE,"FY w|o Wireless";#N/A,#N/A,TRUE,"1Q w|o Wireless";#N/A,#N/A,TRUE,"2Q w|o Wireless";#N/A,#N/A,TRUE,"3Q w|o Wireless";#N/A,#N/A,TRUE,"4Q w|o Wireless"}</definedName>
    <definedName name="b_1" hidden="1">{#N/A,#N/A,TRUE,"Monthly w|o Wireless";#N/A,#N/A,TRUE,"Qrt w|o Wireless";#N/A,#N/A,TRUE,"FY w|o Wireless";#N/A,#N/A,TRUE,"1Q w|o Wireless";#N/A,#N/A,TRUE,"2Q w|o Wireless";#N/A,#N/A,TRUE,"3Q w|o Wireless";#N/A,#N/A,TRUE,"4Q w|o Wireless"}</definedName>
    <definedName name="brokerdico">[7]BRHD!$A$1:$B$1999</definedName>
    <definedName name="BrokerRating">[7]DRCD!$A$1:$D$400</definedName>
    <definedName name="BSMinority">[6]Input!$A$97</definedName>
    <definedName name="cht" localSheetId="2">#REF!</definedName>
    <definedName name="cht" localSheetId="7">#REF!</definedName>
    <definedName name="cht" localSheetId="6">#REF!</definedName>
    <definedName name="cht" localSheetId="9">#REF!</definedName>
    <definedName name="cht" localSheetId="8">#REF!</definedName>
    <definedName name="cht" localSheetId="5">#REF!</definedName>
    <definedName name="cht" localSheetId="4">#REF!</definedName>
    <definedName name="cht" localSheetId="1">#REF!</definedName>
    <definedName name="cht">#REF!</definedName>
    <definedName name="CIQWBGuid" hidden="1">"eb551b34-9ca8-48cf-ac7f-e38a094d37a1"</definedName>
    <definedName name="CIQWBInfo" hidden="1">"{ ""CIQVersion"":""9.45.614.5792"" }"</definedName>
    <definedName name="COGS">[6]Input!$A$9</definedName>
    <definedName name="CPSACT" localSheetId="2">#REF!</definedName>
    <definedName name="CPSACT" localSheetId="7">#REF!</definedName>
    <definedName name="CPSACT" localSheetId="6">#REF!</definedName>
    <definedName name="CPSACT" localSheetId="9">#REF!</definedName>
    <definedName name="CPSACT" localSheetId="8">#REF!</definedName>
    <definedName name="CPSACT" localSheetId="5">#REF!</definedName>
    <definedName name="CPSACT" localSheetId="4">#REF!</definedName>
    <definedName name="CPSACT" localSheetId="1">#REF!</definedName>
    <definedName name="CPSACT">#REF!</definedName>
    <definedName name="CurrentYear">[6]Input!$D$4</definedName>
    <definedName name="d" hidden="1">{#N/A,#N/A,TRUE,"4Q BCG";#N/A,#N/A,TRUE,"4Q w|o Wireless";#N/A,#N/A,TRUE,"4Q Wireless"}</definedName>
    <definedName name="d_1" hidden="1">{#N/A,#N/A,TRUE,"4Q BCG";#N/A,#N/A,TRUE,"4Q w|o Wireless";#N/A,#N/A,TRUE,"4Q Wireless"}</definedName>
    <definedName name="Datapoints" localSheetId="2">#REF!</definedName>
    <definedName name="Datapoints" localSheetId="7">#REF!</definedName>
    <definedName name="Datapoints" localSheetId="6">#REF!</definedName>
    <definedName name="Datapoints" localSheetId="9">#REF!</definedName>
    <definedName name="Datapoints" localSheetId="8">#REF!</definedName>
    <definedName name="Datapoints" localSheetId="5">#REF!</definedName>
    <definedName name="Datapoints" localSheetId="4">#REF!</definedName>
    <definedName name="Datapoints" localSheetId="1">#REF!</definedName>
    <definedName name="Datapoints">#REF!</definedName>
    <definedName name="Depreciation">[6]Input!$A$26</definedName>
    <definedName name="df" hidden="1">{#N/A,#N/A,TRUE,"FY BCG";#N/A,#N/A,TRUE,"FY w|o Wireless";#N/A,#N/A,TRUE,"FY Wireless"}</definedName>
    <definedName name="df_1" hidden="1">{#N/A,#N/A,TRUE,"FY BCG";#N/A,#N/A,TRUE,"FY w|o Wireless";#N/A,#N/A,TRUE,"FY Wireless"}</definedName>
    <definedName name="DicSector">[8]TemporaryData!$B$7:$C$24</definedName>
    <definedName name="Difference" localSheetId="2">#REF!</definedName>
    <definedName name="Difference" localSheetId="7">#REF!</definedName>
    <definedName name="Difference" localSheetId="6">#REF!</definedName>
    <definedName name="Difference" localSheetId="9">#REF!</definedName>
    <definedName name="Difference" localSheetId="8">#REF!</definedName>
    <definedName name="Difference" localSheetId="5">#REF!</definedName>
    <definedName name="Difference" localSheetId="4">#REF!</definedName>
    <definedName name="Difference" localSheetId="1">#REF!</definedName>
    <definedName name="Difference">#REF!</definedName>
    <definedName name="Dividends">[6]Input!$A$52</definedName>
    <definedName name="e" hidden="1">{#N/A,#N/A,TRUE,"FY BCG";#N/A,#N/A,TRUE,"FY w|o Wireless";#N/A,#N/A,TRUE,"FY Wireless"}</definedName>
    <definedName name="e_1" hidden="1">{#N/A,#N/A,TRUE,"FY BCG";#N/A,#N/A,TRUE,"FY w|o Wireless";#N/A,#N/A,TRUE,"FY Wireless"}</definedName>
    <definedName name="EfFieldColumn">[8]Analyst!$L$5</definedName>
    <definedName name="EfModelSettingCurrentYn">[8]TemporaryData!$C$46</definedName>
    <definedName name="EfModelSettingFieldIdRange">[8]Analyst!$N$5</definedName>
    <definedName name="EfModelSettingForcastYn">[8]TemporaryData!$C$45</definedName>
    <definedName name="EfModelSettingHistoricalFrom">[8]TemporaryData!$C$42</definedName>
    <definedName name="EfModelSettingHistoricalLast">[8]TemporaryData!$C$44</definedName>
    <definedName name="EfModelSettingHistoricalTo">[8]TemporaryData!$C$43</definedName>
    <definedName name="EfModelSettingHistoricalYn">[8]TemporaryData!$C$41</definedName>
    <definedName name="EfModelSettingInterimReportFrom">[8]TemporaryData!$C$50</definedName>
    <definedName name="EfModelSettingInterimReportLast">[8]TemporaryData!$C$49</definedName>
    <definedName name="EfModelSettingInterimReportTo">[8]TemporaryData!$C$51</definedName>
    <definedName name="EfModelSettingInterimReportYn">[8]TemporaryData!$C$48</definedName>
    <definedName name="EfModelSettingOutputFormat">[8]TemporaryData!$C$47</definedName>
    <definedName name="EfModelSettingReportOutputFormat">[8]TemporaryData!$C$52</definedName>
    <definedName name="EfModelSettingSortYear">[8]TemporaryData!$C$40</definedName>
    <definedName name="EfRemoveEmptyColumn1">[8]Master!$C$16:$V$16</definedName>
    <definedName name="EfRemoveEmptyColumn2">[8]Analyst!$P$22:$AI$22</definedName>
    <definedName name="Equity">[6]Input!$A$99</definedName>
    <definedName name="er" hidden="1">{#N/A,#N/A,TRUE,"Monthly BCG";#N/A,#N/A,TRUE,"Qrt BCG";#N/A,#N/A,TRUE,"FY BCG";#N/A,#N/A,TRUE,"1Q BCG";#N/A,#N/A,TRUE,"2Q BCG";#N/A,#N/A,TRUE,"3Q BCG";#N/A,#N/A,TRUE,"4Q BCG"}</definedName>
    <definedName name="er_1" hidden="1">{#N/A,#N/A,TRUE,"Monthly BCG";#N/A,#N/A,TRUE,"Qrt BCG";#N/A,#N/A,TRUE,"FY BCG";#N/A,#N/A,TRUE,"1Q BCG";#N/A,#N/A,TRUE,"2Q BCG";#N/A,#N/A,TRUE,"3Q BCG";#N/A,#N/A,TRUE,"4Q BCG"}</definedName>
    <definedName name="erqw" hidden="1">{#N/A,#N/A,TRUE,"Qrt BCG";#N/A,#N/A,TRUE,"Qrt w|o Wireless";#N/A,#N/A,TRUE,"Qrt Wireless"}</definedName>
    <definedName name="erqw_1" hidden="1">{#N/A,#N/A,TRUE,"Qrt BCG";#N/A,#N/A,TRUE,"Qrt w|o Wireless";#N/A,#N/A,TRUE,"Qrt Wireless"}</definedName>
    <definedName name="erw" hidden="1">{#N/A,#N/A,FALSE,"Qrt Fcst";#N/A,#N/A,FALSE,"Qrt Fcst vs Plan &amp; PY";#N/A,#N/A,FALSE,"FY Fcst vs Plan &amp; PY";#N/A,#N/A,FALSE,"EVA CAP";#N/A,#N/A,FALSE,"EVA NOPAT"}</definedName>
    <definedName name="erw_1" hidden="1">{#N/A,#N/A,FALSE,"Qrt Fcst";#N/A,#N/A,FALSE,"Qrt Fcst vs Plan &amp; PY";#N/A,#N/A,FALSE,"FY Fcst vs Plan &amp; PY";#N/A,#N/A,FALSE,"EVA CAP";#N/A,#N/A,FALSE,"EVA NOPAT"}</definedName>
    <definedName name="etqw" hidden="1">{"Admin.",#N/A,FALSE,"ccs";"Alloc.",#N/A,FALSE,"ccs";"BS Inactive",#N/A,FALSE,"ccs";"CU Eng.",#N/A,FALSE,"ccs";"CU Mfg.",#N/A,FALSE,"ccs";"CU Mfg.",#N/A,FALSE,"ccs";"CU Mktg.",#N/A,FALSE,"ccs";"CU PM",#N/A,FALSE,"ccs";"Eng.",#N/A,FALSE,"ccs";"FBR Admin",#N/A,FALSE,"ccs";"FBR China",#N/A,FALSE,"ccs";"FBR Eng.",#N/A,FALSE,"ccs";"FBR Mktg.",#N/A,FALSE,"ccs";"FBR PM",#N/A,FALSE,"ccs";"FRBMfg",#N/A,FALSE,"ccs";"Mfg.",#N/A,FALSE,"ccs";"Mktg.",#N/A,FALSE,"ccs";"Non Op.",#N/A,FALSE,"ccs";"Sales",#N/A,FALSE,"ccs";"WLS Admin.",#N/A,FALSE,"ccs";"WLS Eng.",#N/A,FALSE,"ccs";"WLS Mfg.",#N/A,FALSE,"ccs";"WLS Mktg.",#N/A,FALSE,"ccs";"WLS PM",#N/A,FALSE,"ccs"}</definedName>
    <definedName name="etqw_1" hidden="1">{"Admin.",#N/A,FALSE,"ccs";"Alloc.",#N/A,FALSE,"ccs";"BS Inactive",#N/A,FALSE,"ccs";"CU Eng.",#N/A,FALSE,"ccs";"CU Mfg.",#N/A,FALSE,"ccs";"CU Mfg.",#N/A,FALSE,"ccs";"CU Mktg.",#N/A,FALSE,"ccs";"CU PM",#N/A,FALSE,"ccs";"Eng.",#N/A,FALSE,"ccs";"FBR Admin",#N/A,FALSE,"ccs";"FBR China",#N/A,FALSE,"ccs";"FBR Eng.",#N/A,FALSE,"ccs";"FBR Mktg.",#N/A,FALSE,"ccs";"FBR PM",#N/A,FALSE,"ccs";"FRBMfg",#N/A,FALSE,"ccs";"Mfg.",#N/A,FALSE,"ccs";"Mktg.",#N/A,FALSE,"ccs";"Non Op.",#N/A,FALSE,"ccs";"Sales",#N/A,FALSE,"ccs";"WLS Admin.",#N/A,FALSE,"ccs";"WLS Eng.",#N/A,FALSE,"ccs";"WLS Mfg.",#N/A,FALSE,"ccs";"WLS Mktg.",#N/A,FALSE,"ccs";"WLS PM",#N/A,FALSE,"ccs"}</definedName>
    <definedName name="EV__LASTREFTIME__" hidden="1">41123.433912037</definedName>
    <definedName name="ExCash">[6]Input!$A$61</definedName>
    <definedName name="f" hidden="1">{#N/A,#N/A,TRUE,"3Q BCG";#N/A,#N/A,TRUE,"3Q w|o Wireless";#N/A,#N/A,TRUE,"3Q Wireless"}</definedName>
    <definedName name="f_1" hidden="1">{#N/A,#N/A,TRUE,"3Q BCG";#N/A,#N/A,TRUE,"3Q w|o Wireless";#N/A,#N/A,TRUE,"3Q Wireless"}</definedName>
    <definedName name="FFA">[6]Input!$A$79</definedName>
    <definedName name="FormatModelTable">[8]TemporaryData!$F$7:$G$14</definedName>
    <definedName name="fxdghsfgh" hidden="1">{#N/A,#N/A,TRUE,"Monthly w|o Wireless";#N/A,#N/A,TRUE,"Qrt w|o Wireless";#N/A,#N/A,TRUE,"FY w|o Wireless";#N/A,#N/A,TRUE,"1Q w|o Wireless";#N/A,#N/A,TRUE,"2Q w|o Wireless";#N/A,#N/A,TRUE,"3Q w|o Wireless";#N/A,#N/A,TRUE,"4Q w|o Wireless"}</definedName>
    <definedName name="fxdghsfgh_1" hidden="1">{#N/A,#N/A,TRUE,"Monthly w|o Wireless";#N/A,#N/A,TRUE,"Qrt w|o Wireless";#N/A,#N/A,TRUE,"FY w|o Wireless";#N/A,#N/A,TRUE,"1Q w|o Wireless";#N/A,#N/A,TRUE,"2Q w|o Wireless";#N/A,#N/A,TRUE,"3Q w|o Wireless";#N/A,#N/A,TRUE,"4Q w|o Wireless"}</definedName>
    <definedName name="g" hidden="1">{#N/A,#N/A,TRUE,"1Q BCG";#N/A,#N/A,TRUE,"1Q w|o Wireless";#N/A,#N/A,TRUE,"1Q Wireless"}</definedName>
    <definedName name="g_1" hidden="1">{#N/A,#N/A,TRUE,"1Q BCG";#N/A,#N/A,TRUE,"1Q w|o Wireless";#N/A,#N/A,TRUE,"1Q Wireless"}</definedName>
    <definedName name="Goodwill">[6]Input!$A$75</definedName>
    <definedName name="Graph_Output">[9]Model!$P$107</definedName>
    <definedName name="Graph_Start" localSheetId="2">#REF!</definedName>
    <definedName name="Graph_Start" localSheetId="7">#REF!</definedName>
    <definedName name="Graph_Start" localSheetId="6">#REF!</definedName>
    <definedName name="Graph_Start" localSheetId="9">#REF!</definedName>
    <definedName name="Graph_Start" localSheetId="8">#REF!</definedName>
    <definedName name="Graph_Start" localSheetId="5">#REF!</definedName>
    <definedName name="Graph_Start" localSheetId="4">#REF!</definedName>
    <definedName name="Graph_Start" localSheetId="1">#REF!</definedName>
    <definedName name="Graph_Start">#REF!</definedName>
    <definedName name="h" hidden="1">{#N/A,#N/A,TRUE,"2Q BCG";#N/A,#N/A,TRUE,"2Q w|o Wireless";#N/A,#N/A,TRUE,"2Q Wireless"}</definedName>
    <definedName name="h_1" hidden="1">{#N/A,#N/A,TRUE,"2Q BCG";#N/A,#N/A,TRUE,"2Q w|o Wireless";#N/A,#N/A,TRUE,"2Q Wireless"}</definedName>
    <definedName name="hhh" hidden="1">{#N/A,#N/A,TRUE,"4Q BCG";#N/A,#N/A,TRUE,"4Q w|o Wireless";#N/A,#N/A,TRUE,"4Q Wireless"}</definedName>
    <definedName name="hhh_1" hidden="1">{#N/A,#N/A,TRUE,"4Q BCG";#N/A,#N/A,TRUE,"4Q w|o Wireless";#N/A,#N/A,TRUE,"4Q Wireless"}</definedName>
    <definedName name="hj" hidden="1">{#N/A,#N/A,TRUE,"3Q BCG";#N/A,#N/A,TRUE,"3Q w|o Wireless";#N/A,#N/A,TRUE,"3Q Wireless"}</definedName>
    <definedName name="hj_1" hidden="1">{#N/A,#N/A,TRUE,"3Q BCG";#N/A,#N/A,TRUE,"3Q w|o Wireless";#N/A,#N/A,TRUE,"3Q Wireless"}</definedName>
    <definedName name="Implied_Growth" localSheetId="2">#REF!</definedName>
    <definedName name="Implied_Growth" localSheetId="7">#REF!</definedName>
    <definedName name="Implied_Growth" localSheetId="6">#REF!</definedName>
    <definedName name="Implied_Growth" localSheetId="9">#REF!</definedName>
    <definedName name="Implied_Growth" localSheetId="8">#REF!</definedName>
    <definedName name="Implied_Growth" localSheetId="5">#REF!</definedName>
    <definedName name="Implied_Growth" localSheetId="4">#REF!</definedName>
    <definedName name="Implied_Growth" localSheetId="1">#REF!</definedName>
    <definedName name="Implied_Growth">#REF!</definedName>
    <definedName name="Increment" localSheetId="2">#REF!</definedName>
    <definedName name="Increment" localSheetId="7">#REF!</definedName>
    <definedName name="Increment" localSheetId="6">#REF!</definedName>
    <definedName name="Increment" localSheetId="9">#REF!</definedName>
    <definedName name="Increment" localSheetId="8">#REF!</definedName>
    <definedName name="Increment" localSheetId="5">#REF!</definedName>
    <definedName name="Increment" localSheetId="4">#REF!</definedName>
    <definedName name="Increment" localSheetId="1">#REF!</definedName>
    <definedName name="Increment">#REF!</definedName>
    <definedName name="IntEx">[6]Input!$A$37</definedName>
    <definedName name="IntInc">[6]Input!$A$39</definedName>
    <definedName name="Inventories">[6]Input!$A$62</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"c7"</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"c39"</definedName>
    <definedName name="IQ_ADDIN" hidden="1">"AUTO"</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"c1471"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"c65"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UILDINGS" hidden="1">"c99"</definedName>
    <definedName name="IQ_BUSINESS_DESCRIPTION" hidden="1">"c322"</definedName>
    <definedName name="IQ_BV_OVER_SHARES" hidden="1">"c100"</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"c115"</definedName>
    <definedName name="IQ_CAPITAL_LEASES" hidden="1">"c115"</definedName>
    <definedName name="IQ_CAPITALIZED_INTEREST" hidden="1">"c2076"</definedName>
    <definedName name="IQ_CASH" hidden="1">"c118"</definedName>
    <definedName name="IQ_CASH_ACQUIRE_CF" hidden="1">"c1630"</definedName>
    <definedName name="IQ_CASH_CONVERSION" hidden="1">"c117"</definedName>
    <definedName name="IQ_CASH_DUE_BANKS" hidden="1">"c118"</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ASSB_OUTSTANDING_BS_DATE" hidden="1">"c1972"</definedName>
    <definedName name="IQ_CLASSB_OUTSTANDING_FILING_DATE" hidden="1">"c1974"</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TRACTS_OTHER_COMMODITIES_EQUITIES._FDIC" hidden="1">"c6522"</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POSITS_FIN" hidden="1">"c321"</definedName>
    <definedName name="IQ_DEPRE_AMORT" hidden="1">"c247"</definedName>
    <definedName name="IQ_DEPRE_AMORT_SUPPL" hidden="1">"c1593"</definedName>
    <definedName name="IQ_DEPRE_DEPLE" hidden="1">"c261"</definedName>
    <definedName name="IQ_DEPRE_SUPP" hidden="1">"c1443"</definedName>
    <definedName name="IQ_DESCRIPTION_LONG" hidden="1">"c322"</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V_PAYMENT_DATE" hidden="1">"c2106"</definedName>
    <definedName name="IQ_DIV_RECORD_DATE" hidden="1">"c2105"</definedName>
    <definedName name="IQ_DIV_SHARE" hidden="1">"c330"</definedName>
    <definedName name="IQ_DIVEST_CF" hidden="1">"c331"</definedName>
    <definedName name="IQ_DIVID_SHARE" hidden="1">"c330"</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 hidden="1">"c2801"</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"c360"</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"c368"</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"c373"</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7"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7"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7"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7"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7"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7"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7"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7"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"c84"</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GW_ACT_OR_EST" hidden="1">"c2223"</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ORM_EST" hidden="1">"c2226"</definedName>
    <definedName name="IQ_EPS_NORM_HIGH_EST" hidden="1">"c2228"</definedName>
    <definedName name="IQ_EPS_NORM_LOW_EST" hidden="1">"c2229"</definedName>
    <definedName name="IQ_EPS_NORM_MEDIAN_EST" hidden="1">"c2227"</definedName>
    <definedName name="IQ_EPS_NORM_NUM_EST" hidden="1">"c2230"</definedName>
    <definedName name="IQ_EPS_NORM_STDDEV_EST" hidden="1">"c2231"</definedName>
    <definedName name="IQ_EPS_NUM_EST" hidden="1">"c402"</definedName>
    <definedName name="IQ_EPS_REPORT_ACT_OR_EST" hidden="1">"c2224"</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"c552"</definedName>
    <definedName name="IQ_EQUITY_METHOD" hidden="1">"c404"</definedName>
    <definedName name="IQ_EQV_OVER_BV" hidden="1">"c1596"</definedName>
    <definedName name="IQ_EQV_OVER_LTM_PRETAX_INC" hidden="1">"c739"</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NORM" hidden="1">"c2232"</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NORM_DIFF" hidden="1">"c2247"</definedName>
    <definedName name="IQ_EST_EPS_NORM_SURPRISE_PERCENT" hidden="1">"c2248"</definedName>
    <definedName name="IQ_EST_EPS_REPORT_DIFF" hidden="1">"c1893"</definedName>
    <definedName name="IQ_EST_EPS_REPORT_SURPRISE_PERCENT" hidden="1">"c1894"</definedName>
    <definedName name="IQ_EST_EPS_SEQ_GROWTH_Q" hidden="1">"c1764"</definedName>
    <definedName name="IQ_EST_EPS_SURPRISE" hidden="1">"c1635"</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BUY_CIQ" hidden="1">"c3700"</definedName>
    <definedName name="IQ_EST_NUM_BUY_REUT" hidden="1">"c3869"</definedName>
    <definedName name="IQ_EST_NUM_BUY_THOM" hidden="1">"c5165"</definedName>
    <definedName name="IQ_EST_NUM_HOLD" hidden="1">"c1761"</definedName>
    <definedName name="IQ_EST_NUM_HOLD_CIQ" hidden="1">"c3702"</definedName>
    <definedName name="IQ_EST_NUM_HOLD_REUT" hidden="1">"c3871"</definedName>
    <definedName name="IQ_EST_NUM_HOLD_THOM" hidden="1">"c5167"</definedName>
    <definedName name="IQ_EST_NUM_NO_OPINION" hidden="1">"c1758"</definedName>
    <definedName name="IQ_EST_NUM_OUTPERFORM" hidden="1">"c1760"</definedName>
    <definedName name="IQ_EST_NUM_OUTPERFORM_CIQ" hidden="1">"c3701"</definedName>
    <definedName name="IQ_EST_NUM_OUTPERFORM_REUT" hidden="1">"c3870"</definedName>
    <definedName name="IQ_EST_NUM_OUTPERFORM_THOM" hidden="1">"c5166"</definedName>
    <definedName name="IQ_EST_NUM_SELL" hidden="1">"c1763"</definedName>
    <definedName name="IQ_EST_NUM_SELL_CIQ" hidden="1">"c3704"</definedName>
    <definedName name="IQ_EST_NUM_SELL_REUT" hidden="1">"c3873"</definedName>
    <definedName name="IQ_EST_NUM_SELL_THOM" hidden="1">"c5169"</definedName>
    <definedName name="IQ_EST_NUM_UNDERPERFORM" hidden="1">"c1762"</definedName>
    <definedName name="IQ_EST_NUM_UNDERPERFORM_CIQ" hidden="1">"c3703"</definedName>
    <definedName name="IQ_EST_NUM_UNDERPERFORM_REUT" hidden="1">"c3872"</definedName>
    <definedName name="IQ_EST_NUM_UNDERPERFORM_THOM" hidden="1">"c5168"</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"c1225"</definedName>
    <definedName name="IQ_EV_OVER_LTM_EBIT" hidden="1">"c1221"</definedName>
    <definedName name="IQ_EV_OVER_LTM_EBITDA" hidden="1">"c1223"</definedName>
    <definedName name="IQ_EV_OVER_LTM_REVENUE" hidden="1">"c1227"</definedName>
    <definedName name="IQ_EVAL_DATE" hidden="1">"c2180"</definedName>
    <definedName name="IQ_EXCHANGE" hidden="1">"c405"</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ENSE_CODE_" hidden="1">"ZWU350"</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"c413"</definedName>
    <definedName name="IQ_FDIC" hidden="1">"c417"</definedName>
    <definedName name="IQ_FFO" hidden="1">"c1574"</definedName>
    <definedName name="IQ_FFO_ACT_OR_EST" hidden="1">"c2216"</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100000</definedName>
    <definedName name="IQ_FHLB_DEBT" hidden="1">"c423"</definedName>
    <definedName name="IQ_FHLB_DUE_AFTER_FIVE" hidden="1">"c2086"</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ANCING_CASH" hidden="1">"c893"</definedName>
    <definedName name="IQ_FINANCING_CASH_SUPPL" hidden="1">"c899"</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BRANCHES_U.S._BANKS_LOANS_FDIC" hidden="1">"c6438"</definedName>
    <definedName name="IQ_FOREIGN_DEP_IB" hidden="1">"c446"</definedName>
    <definedName name="IQ_FOREIGN_DEP_NON_IB" hidden="1">"c447"</definedName>
    <definedName name="IQ_FOREIGN_EXCHANGE" hidden="1">"c451"</definedName>
    <definedName name="IQ_FOREIGN_LOANS" hidden="1">"c448"</definedName>
    <definedName name="IQ_FQ">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OODWILL_NET" hidden="1">"c530"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"c192"</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"c511"</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G_REV_OTHER_CASINO" hidden="1">"c8721"</definedName>
    <definedName name="IQ_HG_REV_OTHER_HOTEL_MOTEL" hidden="1">"c8731"</definedName>
    <definedName name="IQ_HG_REV_TOTAL_CASINO_GAMING" hidden="1">"c8723"</definedName>
    <definedName name="IQ_HG_REV_TOTAL_HOTEL_MOTEL" hidden="1">"c8732"</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"c907"</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NON" hidden="1">"c619"</definedName>
    <definedName name="IQ_INTEREST_INVEST_INC" hidden="1">"c619"</definedName>
    <definedName name="IQ_INTEREST_LT_DEBT" hidden="1">"c2086"</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"c751"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ISTING_CURRENCY" hidden="1">"c2127"</definedName>
    <definedName name="IQ_LL" hidden="1">"c656"</definedName>
    <definedName name="IQ_LOAN_LEASE_RECEIV" hidden="1">"c657"</definedName>
    <definedName name="IQ_LOAN_LOSS" hidden="1">"c656"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LOSS_EXP" hidden="1">"c672"</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2000</definedName>
    <definedName name="IQ_LTM_REVENUE_OVER_EMPLOYEES" hidden="1">"c1304"</definedName>
    <definedName name="IQ_LTMMONTH" hidden="1">120000</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NTH">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MTD" hidden="1">800000</definedName>
    <definedName name="IQ_NAMES_REVISION_DATE_" hidden="1">43917.8719444444</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"c781"</definedName>
    <definedName name="IQ_NET_INC_BEFORE" hidden="1">"c344"</definedName>
    <definedName name="IQ_NET_INC_CF" hidden="1">"c793"</definedName>
    <definedName name="IQ_NET_INC_MARGIN" hidden="1">"c794"</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6000</definedName>
    <definedName name="IQ_NUKE" hidden="1">"c836"</definedName>
    <definedName name="IQ_NUKE_CF" hidden="1">"c837"</definedName>
    <definedName name="IQ_NUKE_CONTR" hidden="1">"c838"</definedName>
    <definedName name="IQ_NUM_BRANCHES" hidden="1">"c2088"</definedName>
    <definedName name="IQ_NUM_OFFIC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CLASSB" hidden="1">"c1969"</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 hidden="1">"c1999"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ED55" hidden="1">1</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"c362"</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CERCISED" hidden="1">"c2116"</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"c868"</definedName>
    <definedName name="IQ_OTHER_CURRENT_LIAB" hidden="1">"c877"</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"c1010"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"c1022"</definedName>
    <definedName name="IQ_OUTSTANDING_FILING_DATE" hidden="1">"c1023"</definedName>
    <definedName name="IQ_OUTSTANDING_FILING_DATE_TOTAL" hidden="1">"c2107"</definedName>
    <definedName name="IQ_OWNERSHIP" hidden="1">"c2160"</definedName>
    <definedName name="IQ_PART_TIME" hidden="1">"c1024"</definedName>
    <definedName name="IQ_PAY_ACCRUED" hidden="1">"c8"</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"c1052"</definedName>
    <definedName name="IQ_PREF_TOT" hidden="1">"c1044"</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CFPS_FWD" hidden="1">"c2237"</definedName>
    <definedName name="IQ_PRICE_OVER_BVPS" hidden="1">"c1026"</definedName>
    <definedName name="IQ_PRICE_OVER_LTM_EPS" hidden="1">"c1029"</definedName>
    <definedName name="IQ_PRICE_TARGET" hidden="1">"c82"</definedName>
    <definedName name="IQ_PRICEDATE" hidden="1">"c1069"</definedName>
    <definedName name="IQ_PRICING_DATE" hidden="1">"c1613"</definedName>
    <definedName name="IQ_PRIMARY_EPS_TYPE_THOM" hidden="1">"c5297"</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"c1059"</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"c1092"</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"c1117"</definedName>
    <definedName name="IQ_REV" hidden="1">"c1122"</definedName>
    <definedName name="IQ_REV_BEFORE_LL" hidden="1">"c1123"</definedName>
    <definedName name="IQ_REV_STDDEV_EST" hidden="1">"c1124"</definedName>
    <definedName name="IQ_REV_UTI" hidden="1">"c1125"</definedName>
    <definedName name="IQ_REVENUE" hidden="1">"c1122"</definedName>
    <definedName name="IQ_REVENUE_ACT_OR_EST" hidden="1">"c2214"</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ISSUE_LC_ACTION" hidden="1">"c2644"</definedName>
    <definedName name="IQ_SP_ISSUE_LC_DATE" hidden="1">"c2643"</definedName>
    <definedName name="IQ_SP_ISSUE_LC_LT" hidden="1">"c2645"</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OCK_BASED_COGS_FIN" hidden="1">"c2998"</definedName>
    <definedName name="IQ_STOCK_BASED_COGS_UTIL" hidden="1">"c2997"</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LASTCLOSE" hidden="1">"c1855"</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DUE" hidden="1">"c2509"</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"c1522"</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"c1279"</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"c1294"</definedName>
    <definedName name="IQ_TOTAL_SPECIAL" hidden="1">"c1618"</definedName>
    <definedName name="IQ_TOTAL_ST_BORROW" hidden="1">"c1177"</definedName>
    <definedName name="IQ_TOTAL_SUBS" hidden="1">"c2119"</definedName>
    <definedName name="IQ_TOTAL_UNUSUAL" hidden="1">"c1508"</definedName>
    <definedName name="IQ_TR_BUY_ADVISORS" hidden="1">"c2387"</definedName>
    <definedName name="IQ_TR_SELL_ADVISORS" hidden="1">"c2388"</definedName>
    <definedName name="IQ_TR_SUBDEBT" hidden="1">"c2370"</definedName>
    <definedName name="IQ_TR_TARGET_ADVISORS" hidden="1">"c2386"</definedName>
    <definedName name="IQ_TRADE_AR" hidden="1">"c40"</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"c1311"</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EK">50000</definedName>
    <definedName name="IQ_WEIGHTED_AVG_PRICE" hidden="1">"c1334"</definedName>
    <definedName name="IQ_WIP_INV" hidden="1">"c1335"</definedName>
    <definedName name="IQ_WORKMEN_WRITTEN" hidden="1">"c1336"</definedName>
    <definedName name="IQ_XDIV_DATE" hidden="1">"c2104"</definedName>
    <definedName name="IQ_YEARHIGH" hidden="1">"c1337"</definedName>
    <definedName name="IQ_YEARLOW" hidden="1">"c1338"</definedName>
    <definedName name="IQ_YTD">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CompaniesI12" hidden="1">[10]Companies!$J$12:$N$12</definedName>
    <definedName name="IQRCompaniesI13" hidden="1">[10]Companies!$J$13:$N$13</definedName>
    <definedName name="IQRCompaniesI15" hidden="1">[10]Companies!$J$15:$N$15</definedName>
    <definedName name="IQRCompaniesI16" hidden="1">[10]Companies!$J$16:$M$16</definedName>
    <definedName name="IQRCompaniesI17" hidden="1">[10]Companies!$J$17:$N$17</definedName>
    <definedName name="IQRCompaniesI19" hidden="1">[10]Companies!$J$19:$K$19</definedName>
    <definedName name="IQRCompaniesI20" hidden="1">[10]Companies!$J$20:$N$20</definedName>
    <definedName name="IQRCompaniesI21" hidden="1">[10]Companies!$J$21</definedName>
    <definedName name="IQRCompaniesI23" hidden="1">[10]Companies!$J$23:$N$23</definedName>
    <definedName name="IQRCompaniesI24" hidden="1">[10]Companies!$J$24:$K$24</definedName>
    <definedName name="IQRCompaniesI25" hidden="1">[10]Companies!$J$25:$N$25</definedName>
    <definedName name="IQRCompaniesI28" hidden="1">[10]Companies!$J$28:$N$28</definedName>
    <definedName name="IQRCompaniesI31" hidden="1">[10]Companies!$J$31:$M$31</definedName>
    <definedName name="IQRCompaniesI32" hidden="1">[10]Companies!$J$32:$N$32</definedName>
    <definedName name="IQRCompaniesI33" hidden="1">[10]Companies!$J$33</definedName>
    <definedName name="IQRCompaniesI36" hidden="1">[10]Companies!$J$36:$K$36</definedName>
    <definedName name="IQRCompaniesI40" hidden="1">[10]Companies!$J$40:$L$40</definedName>
    <definedName name="IQRCompaniesI41" hidden="1">[10]Companies!$J$41:$N$41</definedName>
    <definedName name="IQRCompaniesI44" hidden="1">[10]Companies!$J$44:$N$44</definedName>
    <definedName name="IQRCompaniesI45" hidden="1">[10]Companies!$J$45:$K$45</definedName>
    <definedName name="IQRCompaniesI48" hidden="1">[10]Companies!$J$48:$N$48</definedName>
    <definedName name="IQRCompaniesI49" hidden="1">[10]Companies!$J$49:$L$49</definedName>
    <definedName name="IQRCompaniesI69" hidden="1">[11]Companies!$J$69:$N$69</definedName>
    <definedName name="IQRCompaniesO12" hidden="1">[10]Companies!$P$12:$T$12</definedName>
    <definedName name="IQRCompaniesO14" hidden="1">[10]Companies!$P$14:$T$14</definedName>
    <definedName name="IQRCompaniesO15" hidden="1">[10]Companies!$P$15:$T$15</definedName>
    <definedName name="IQRCompaniesO16" hidden="1">[10]Companies!$P$16:$S$16</definedName>
    <definedName name="IQRCompaniesO18" hidden="1">[10]Companies!$P$18:$T$18</definedName>
    <definedName name="IQRCompaniesO19" hidden="1">[10]Companies!$P$19:$Q$19</definedName>
    <definedName name="IQRCompaniesO20" hidden="1">[10]Companies!$P$20:$T$20</definedName>
    <definedName name="IQRCompaniesO21" hidden="1">[10]Companies!$P$21</definedName>
    <definedName name="IQRCompaniesO22" hidden="1">[10]Companies!$P$22:$T$22</definedName>
    <definedName name="IQRCompaniesO23" hidden="1">[10]Companies!$P$23:$T$23</definedName>
    <definedName name="IQRCompaniesO24" hidden="1">[10]Companies!$P$24:$Q$24</definedName>
    <definedName name="IQRCompaniesO26" hidden="1">[10]Companies!$P$26:$T$26</definedName>
    <definedName name="IQRCompaniesO27" hidden="1">[10]Companies!$P$27:$T$27</definedName>
    <definedName name="IQRCompaniesO28" hidden="1">[10]Companies!$P$28:$T$28</definedName>
    <definedName name="IQRCompaniesO30" hidden="1">[10]Companies!$P$30:$R$30</definedName>
    <definedName name="IQRCompaniesO31" hidden="1">[10]Companies!$P$31:$S$31</definedName>
    <definedName name="IQRCompaniesO32" hidden="1">[10]Companies!$P$32:$T$32</definedName>
    <definedName name="IQRCompaniesO33" hidden="1">[10]Companies!$P$33</definedName>
    <definedName name="IQRCompaniesO34" hidden="1">[10]Companies!$P$34:$R$34</definedName>
    <definedName name="IQRCompaniesO35" hidden="1">[10]Companies!$P$35:$T$35</definedName>
    <definedName name="IQRCompaniesO36" hidden="1">[10]Companies!$P$36:$Q$36</definedName>
    <definedName name="IQRCompaniesO38" hidden="1">[10]Companies!$P$38:$T$38</definedName>
    <definedName name="IQRCompaniesO40" hidden="1">[10]Companies!$P$40:$R$40</definedName>
    <definedName name="IQRCompaniesO41" hidden="1">[10]Companies!$P$41:$T$41</definedName>
    <definedName name="IQRCompaniesO43" hidden="1">[10]Companies!$P$43:$T$43</definedName>
    <definedName name="IQRCompaniesO44" hidden="1">[10]Companies!$P$44:$T$44</definedName>
    <definedName name="IQRCompaniesO45" hidden="1">[10]Companies!$P$45:$Q$45</definedName>
    <definedName name="IQRCompaniesO47" hidden="1">[10]Companies!$P$47:$R$47</definedName>
    <definedName name="IQRCompaniesO48" hidden="1">[10]Companies!$P$48:$T$48</definedName>
    <definedName name="IQRCompaniesO49" hidden="1">[10]Companies!$P$49:$R$49</definedName>
    <definedName name="IQRCompaniesO51" hidden="1">[10]Companies!$P$51:$Q$51</definedName>
    <definedName name="IQRCompaniesO52" hidden="1">[10]Companies!$P$52:$T$52</definedName>
    <definedName name="IQRCompaniesO68" hidden="1">[11]Companies!$P$68:$T$68</definedName>
    <definedName name="IQRCompaniesO69" hidden="1">[11]Companies!$P$69:$T$69</definedName>
    <definedName name="IQROnepointC14" hidden="1">'[12]One point'!$C$15:$C$74</definedName>
    <definedName name="IQRPeopleI12" hidden="1">[10]People!$J$12:$N$12</definedName>
    <definedName name="IQRPeopleI13" hidden="1">[10]People!$J$13:$N$13</definedName>
    <definedName name="IQRPeopleI14" hidden="1">[10]People!$J$14:$M$14</definedName>
    <definedName name="IQRPeopleI15" hidden="1">[10]People!$J$15:$L$15</definedName>
    <definedName name="IQRPeopleO14" hidden="1">[10]People!$P$14:$S$14</definedName>
    <definedName name="IQRPeopleO15" hidden="1">[10]People!$P$15:$R$15</definedName>
    <definedName name="jjj" hidden="1">{#N/A,#N/A,TRUE,"4Q BCG";#N/A,#N/A,TRUE,"4Q w|o Wireless";#N/A,#N/A,TRUE,"4Q Wireless"}</definedName>
    <definedName name="jjj_1" hidden="1">{#N/A,#N/A,TRUE,"4Q BCG";#N/A,#N/A,TRUE,"4Q w|o Wireless";#N/A,#N/A,TRUE,"4Q Wireless"}</definedName>
    <definedName name="jkj" hidden="1">{#N/A,#N/A,TRUE,"FY BCG";#N/A,#N/A,TRUE,"FY w|o Wireless";#N/A,#N/A,TRUE,"FY Wireless"}</definedName>
    <definedName name="jkj_1" hidden="1">{#N/A,#N/A,TRUE,"FY BCG";#N/A,#N/A,TRUE,"FY w|o Wireless";#N/A,#N/A,TRUE,"FY Wireless"}</definedName>
    <definedName name="jllk" hidden="1">{#N/A,#N/A,TRUE,"Monthly Wireless";#N/A,#N/A,TRUE,"Qrt Wireless";#N/A,#N/A,TRUE,"FY Wireless";#N/A,#N/A,TRUE,"1Q Wireless";#N/A,#N/A,TRUE,"2Q Wireless";#N/A,#N/A,TRUE,"3Q Wireless";#N/A,#N/A,TRUE,"4Q Wireless"}</definedName>
    <definedName name="jllk_1" hidden="1">{#N/A,#N/A,TRUE,"Monthly Wireless";#N/A,#N/A,TRUE,"Qrt Wireless";#N/A,#N/A,TRUE,"FY Wireless";#N/A,#N/A,TRUE,"1Q Wireless";#N/A,#N/A,TRUE,"2Q Wireless";#N/A,#N/A,TRUE,"3Q Wireless";#N/A,#N/A,TRUE,"4Q Wireless"}</definedName>
    <definedName name="KUULSD" hidden="1">{#N/A,#N/A,FALSE,"COMP"}</definedName>
    <definedName name="KUULSD_1" hidden="1">{#N/A,#N/A,FALSE,"COMP"}</definedName>
    <definedName name="Label">OFFSET('[13]TRS Chart'!$J$117,'[13]TRS Chart'!$D$22,0,'[13]TRS Chart'!$E$22,1)</definedName>
    <definedName name="ListOffset" hidden="1">1</definedName>
    <definedName name="LTOpLiab">[6]Input!$A$92</definedName>
    <definedName name="OpCash">[6]Input!$A$59</definedName>
    <definedName name="OpCashPerc">[6]Input!$A$60</definedName>
    <definedName name="OtherCurAssets">[6]Input!$A$66</definedName>
    <definedName name="OtherCurLiab">[6]Input!$A$85</definedName>
    <definedName name="OtherIntan">[6]Input!$A$76</definedName>
    <definedName name="Output_graph1" localSheetId="2" hidden="1">'[1]6 TRS'!#REF!</definedName>
    <definedName name="Output_graph1" localSheetId="7" hidden="1">'[1]6 TRS'!#REF!</definedName>
    <definedName name="Output_graph1" localSheetId="6" hidden="1">'[1]6 TRS'!#REF!</definedName>
    <definedName name="Output_graph1" localSheetId="9" hidden="1">'[1]6 TRS'!#REF!</definedName>
    <definedName name="Output_graph1" localSheetId="8" hidden="1">'[1]6 TRS'!#REF!</definedName>
    <definedName name="Output_graph1" localSheetId="5" hidden="1">'[1]6 TRS'!#REF!</definedName>
    <definedName name="Output_graph1" localSheetId="4" hidden="1">'[1]6 TRS'!#REF!</definedName>
    <definedName name="Output_graph1" localSheetId="1" hidden="1">'[1]6 TRS'!#REF!</definedName>
    <definedName name="Output_graph1" hidden="1">'[1]6 TRS'!#REF!</definedName>
    <definedName name="output_graph2" localSheetId="2" hidden="1">'[1]6 TRS'!#REF!</definedName>
    <definedName name="output_graph2" localSheetId="7" hidden="1">'[1]6 TRS'!#REF!</definedName>
    <definedName name="output_graph2" localSheetId="6" hidden="1">'[1]6 TRS'!#REF!</definedName>
    <definedName name="output_graph2" localSheetId="9" hidden="1">'[1]6 TRS'!#REF!</definedName>
    <definedName name="output_graph2" localSheetId="8" hidden="1">'[1]6 TRS'!#REF!</definedName>
    <definedName name="output_graph2" localSheetId="5" hidden="1">'[1]6 TRS'!#REF!</definedName>
    <definedName name="output_graph2" localSheetId="4" hidden="1">'[1]6 TRS'!#REF!</definedName>
    <definedName name="output_graph2" localSheetId="1" hidden="1">'[1]6 TRS'!#REF!</definedName>
    <definedName name="output_graph2" hidden="1">'[1]6 TRS'!#REF!</definedName>
    <definedName name="output_graph3" localSheetId="2" hidden="1">'[1]6 TRS'!#REF!</definedName>
    <definedName name="output_graph3" localSheetId="7" hidden="1">'[1]6 TRS'!#REF!</definedName>
    <definedName name="output_graph3" localSheetId="6" hidden="1">'[1]6 TRS'!#REF!</definedName>
    <definedName name="output_graph3" localSheetId="9" hidden="1">'[1]6 TRS'!#REF!</definedName>
    <definedName name="output_graph3" localSheetId="8" hidden="1">'[1]6 TRS'!#REF!</definedName>
    <definedName name="output_graph3" localSheetId="5" hidden="1">'[1]6 TRS'!#REF!</definedName>
    <definedName name="output_graph3" localSheetId="4" hidden="1">'[1]6 TRS'!#REF!</definedName>
    <definedName name="output_graph3" localSheetId="1" hidden="1">'[1]6 TRS'!#REF!</definedName>
    <definedName name="output_graph3" hidden="1">'[1]6 TRS'!#REF!</definedName>
    <definedName name="output_praph4" hidden="1">'[1]6 TRS'!$F$9:$F$9</definedName>
    <definedName name="PayOut">[6]Input!$A$53</definedName>
    <definedName name="PLMinority">[6]Input!$A$48</definedName>
    <definedName name="po" hidden="1">{#N/A,#N/A,TRUE,"Monthly Wireless";#N/A,#N/A,TRUE,"Qrt Wireless";#N/A,#N/A,TRUE,"FY Wireless";#N/A,#N/A,TRUE,"1Q Wireless";#N/A,#N/A,TRUE,"2Q Wireless";#N/A,#N/A,TRUE,"3Q Wireless";#N/A,#N/A,TRUE,"4Q Wireless"}</definedName>
    <definedName name="po_1" hidden="1">{#N/A,#N/A,TRUE,"Monthly Wireless";#N/A,#N/A,TRUE,"Qrt Wireless";#N/A,#N/A,TRUE,"FY Wireless";#N/A,#N/A,TRUE,"1Q Wireless";#N/A,#N/A,TRUE,"2Q Wireless";#N/A,#N/A,TRUE,"3Q Wireless";#N/A,#N/A,TRUE,"4Q Wireless"}</definedName>
    <definedName name="Positive_Points">#N/A</definedName>
    <definedName name="PPE">[6]Input!$A$70</definedName>
    <definedName name="prange" localSheetId="2">F_INCOME,F_BALANCE,f_free_cash_flow,f_ratios,f_valuation</definedName>
    <definedName name="prange" localSheetId="7">F_INCOME,F_BALANCE,f_free_cash_flow,f_ratios,f_valuation</definedName>
    <definedName name="prange" localSheetId="6">F_INCOME,F_BALANCE,f_free_cash_flow,f_ratios,f_valuation</definedName>
    <definedName name="prange" localSheetId="9">F_INCOME,F_BALANCE,f_free_cash_flow,f_ratios,f_valuation</definedName>
    <definedName name="prange" localSheetId="8">F_INCOME,F_BALANCE,f_free_cash_flow,f_ratios,f_valuation</definedName>
    <definedName name="prange" localSheetId="5">F_INCOME,F_BALANCE,f_free_cash_flow,f_ratios,f_valuation</definedName>
    <definedName name="prange" localSheetId="4">F_INCOME,F_BALANCE,f_free_cash_flow,f_ratios,f_valuation</definedName>
    <definedName name="prange" localSheetId="1">F_INCOME,F_BALANCE,f_free_cash_flow,f_ratios,f_valuation</definedName>
    <definedName name="prange">F_INCOME,F_BALANCE,f_free_cash_flow,f_ratios,f_valuation</definedName>
    <definedName name="Print_Titles_MI" localSheetId="2">#REF!,#REF!</definedName>
    <definedName name="Print_Titles_MI" localSheetId="7">#REF!,#REF!</definedName>
    <definedName name="Print_Titles_MI" localSheetId="6">#REF!,#REF!</definedName>
    <definedName name="Print_Titles_MI" localSheetId="9">#REF!,#REF!</definedName>
    <definedName name="Print_Titles_MI" localSheetId="8">#REF!,#REF!</definedName>
    <definedName name="Print_Titles_MI" localSheetId="5">#REF!,#REF!</definedName>
    <definedName name="Print_Titles_MI" localSheetId="4">#REF!,#REF!</definedName>
    <definedName name="Print_Titles_MI" localSheetId="1">#REF!,#REF!</definedName>
    <definedName name="Print_Titles_MI">#REF!,#REF!</definedName>
    <definedName name="Provisions">[6]Input!$A$93</definedName>
    <definedName name="puui" hidden="1">{#N/A,#N/A,TRUE,"Qrt BCG";#N/A,#N/A,TRUE,"Qrt w|o Wireless";#N/A,#N/A,TRUE,"Qrt Wireless"}</definedName>
    <definedName name="puui_1" hidden="1">{#N/A,#N/A,TRUE,"Qrt BCG";#N/A,#N/A,TRUE,"Qrt w|o Wireless";#N/A,#N/A,TRUE,"Qrt Wireless"}</definedName>
    <definedName name="q" hidden="1">{#N/A,#N/A,TRUE,"Monthly BCG";#N/A,#N/A,TRUE,"Monthly w|o Wireless";#N/A,#N/A,TRUE,"Monthly Wireless"}</definedName>
    <definedName name="q_1" hidden="1">{#N/A,#N/A,TRUE,"Monthly BCG";#N/A,#N/A,TRUE,"Monthly w|o Wireless";#N/A,#N/A,TRUE,"Monthly Wireless"}</definedName>
    <definedName name="qwerq" hidden="1">{#N/A,#N/A,TRUE,"FY BCG";#N/A,#N/A,TRUE,"FY w|o Wireless";#N/A,#N/A,TRUE,"FY Wireless"}</definedName>
    <definedName name="qwerq_1" hidden="1">{#N/A,#N/A,TRUE,"FY BCG";#N/A,#N/A,TRUE,"FY w|o Wireless";#N/A,#N/A,TRUE,"FY Wireless"}</definedName>
    <definedName name="REF" hidden="1">{#N/A,#N/A,FALSE,"COMP"}</definedName>
    <definedName name="REF_1" hidden="1">{#N/A,#N/A,FALSE,"COMP"}</definedName>
    <definedName name="Restruc">[6]Input!$A$41</definedName>
    <definedName name="Revenues">[6]Input!$A$7</definedName>
    <definedName name="rng_hiderow" localSheetId="2">#REF!</definedName>
    <definedName name="rng_hiderow" localSheetId="7">#REF!</definedName>
    <definedName name="rng_hiderow" localSheetId="6">#REF!</definedName>
    <definedName name="rng_hiderow" localSheetId="9">#REF!</definedName>
    <definedName name="rng_hiderow" localSheetId="8">#REF!</definedName>
    <definedName name="rng_hiderow" localSheetId="5">#REF!</definedName>
    <definedName name="rng_hiderow" localSheetId="4">#REF!</definedName>
    <definedName name="rng_hiderow" localSheetId="1">#REF!</definedName>
    <definedName name="rng_hiderow">#REF!</definedName>
    <definedName name="rng_number" localSheetId="2">#REF!</definedName>
    <definedName name="rng_number" localSheetId="7">#REF!</definedName>
    <definedName name="rng_number" localSheetId="6">#REF!</definedName>
    <definedName name="rng_number" localSheetId="9">#REF!</definedName>
    <definedName name="rng_number" localSheetId="8">#REF!</definedName>
    <definedName name="rng_number" localSheetId="5">#REF!</definedName>
    <definedName name="rng_number" localSheetId="4">#REF!</definedName>
    <definedName name="rng_number" localSheetId="1">#REF!</definedName>
    <definedName name="rng_number">#REF!</definedName>
    <definedName name="ROIC" localSheetId="2">#REF!</definedName>
    <definedName name="ROIC" localSheetId="7">#REF!</definedName>
    <definedName name="ROIC" localSheetId="6">#REF!</definedName>
    <definedName name="ROIC" localSheetId="9">#REF!</definedName>
    <definedName name="ROIC" localSheetId="8">#REF!</definedName>
    <definedName name="ROIC" localSheetId="5">#REF!</definedName>
    <definedName name="ROIC" localSheetId="4">#REF!</definedName>
    <definedName name="ROIC" localSheetId="1">#REF!</definedName>
    <definedName name="ROIC">#REF!</definedName>
    <definedName name="sdfg" hidden="1">{#N/A,#N/A,FALSE,"Nov 96";#N/A,#N/A,FALSE,"Dec 96";#N/A,#N/A,FALSE,"Jan 97";#N/A,#N/A,FALSE,"Feb 97";#N/A,#N/A,FALSE,"Mar 97";#N/A,#N/A,FALSE,"Apr 97";#N/A,#N/A,FALSE,"May 97";#N/A,#N/A,FALSE,"Jun 97";#N/A,#N/A,FALSE,"Jul 97";#N/A,#N/A,FALSE,"Aug 97";#N/A,#N/A,FALSE,"Sep 97";#N/A,#N/A,FALSE,"Oct 97"}</definedName>
    <definedName name="sdfg_1" hidden="1">{#N/A,#N/A,FALSE,"Nov 96";#N/A,#N/A,FALSE,"Dec 96";#N/A,#N/A,FALSE,"Jan 97";#N/A,#N/A,FALSE,"Feb 97";#N/A,#N/A,FALSE,"Mar 97";#N/A,#N/A,FALSE,"Apr 97";#N/A,#N/A,FALSE,"May 97";#N/A,#N/A,FALSE,"Jun 97";#N/A,#N/A,FALSE,"Jul 97";#N/A,#N/A,FALSE,"Aug 97";#N/A,#N/A,FALSE,"Sep 97";#N/A,#N/A,FALSE,"Oct 97"}</definedName>
    <definedName name="Set">" "</definedName>
    <definedName name="SGA">[6]Input!$A$17</definedName>
    <definedName name="SharesOut">[6]Input!$A$112</definedName>
    <definedName name="SPWS_WBID">"2132C9AA-5B64-49CA-B3DE-34A20E97111A"</definedName>
    <definedName name="sssss" localSheetId="2" hidden="1">'[4]HPS Slit Coil (Centralia)'!#REF!</definedName>
    <definedName name="sssss" localSheetId="7" hidden="1">'[4]HPS Slit Coil (Centralia)'!#REF!</definedName>
    <definedName name="sssss" localSheetId="6" hidden="1">'[4]HPS Slit Coil (Centralia)'!#REF!</definedName>
    <definedName name="sssss" localSheetId="9" hidden="1">'[4]HPS Slit Coil (Centralia)'!#REF!</definedName>
    <definedName name="sssss" localSheetId="8" hidden="1">'[4]HPS Slit Coil (Centralia)'!#REF!</definedName>
    <definedName name="sssss" localSheetId="5" hidden="1">'[4]HPS Slit Coil (Centralia)'!#REF!</definedName>
    <definedName name="sssss" localSheetId="4" hidden="1">'[4]HPS Slit Coil (Centralia)'!#REF!</definedName>
    <definedName name="sssss" localSheetId="1" hidden="1">'[4]HPS Slit Coil (Centralia)'!#REF!</definedName>
    <definedName name="sssss" hidden="1">'[4]HPS Slit Coil (Centralia)'!#REF!</definedName>
    <definedName name="Tax">[6]Input!$A$44</definedName>
    <definedName name="TaxRate">[6]Input!$A$45</definedName>
    <definedName name="TemplatesId">[8]GenFormulas!$J$6:$P$13</definedName>
    <definedName name="TemplatesIdLeft">[8]GenFormulas!$J$6:$J$13</definedName>
    <definedName name="Ticker">""</definedName>
    <definedName name="TotalCash">[6]Input!$A$58</definedName>
    <definedName name="TotalDebt">[6]Input!$A$88</definedName>
    <definedName name="tpchart" localSheetId="2">#REF!</definedName>
    <definedName name="tpchart" localSheetId="7">#REF!</definedName>
    <definedName name="tpchart" localSheetId="6">#REF!</definedName>
    <definedName name="tpchart" localSheetId="9">#REF!</definedName>
    <definedName name="tpchart" localSheetId="8">#REF!</definedName>
    <definedName name="tpchart" localSheetId="5">#REF!</definedName>
    <definedName name="tpchart" localSheetId="4">#REF!</definedName>
    <definedName name="tpchart" localSheetId="1">#REF!</definedName>
    <definedName name="tpchart">#REF!</definedName>
    <definedName name="TradePay">[6]Input!$A$83</definedName>
    <definedName name="TradeRec">[6]Input!$A$64</definedName>
    <definedName name="tryu" hidden="1">{#N/A,#N/A,TRUE,"Monthly w|o Wireless";#N/A,#N/A,TRUE,"Qrt w|o Wireless";#N/A,#N/A,TRUE,"FY w|o Wireless";#N/A,#N/A,TRUE,"1Q w|o Wireless";#N/A,#N/A,TRUE,"2Q w|o Wireless";#N/A,#N/A,TRUE,"3Q w|o Wireless";#N/A,#N/A,TRUE,"4Q w|o Wireless"}</definedName>
    <definedName name="tryu_1" hidden="1">{#N/A,#N/A,TRUE,"Monthly w|o Wireless";#N/A,#N/A,TRUE,"Qrt w|o Wireless";#N/A,#N/A,TRUE,"FY w|o Wireless";#N/A,#N/A,TRUE,"1Q w|o Wireless";#N/A,#N/A,TRUE,"2Q w|o Wireless";#N/A,#N/A,TRUE,"3Q w|o Wireless";#N/A,#N/A,TRUE,"4Q w|o Wireless"}</definedName>
    <definedName name="unit">[14]McKAnalyst!$B$208</definedName>
    <definedName name="Values_1">OFFSET('[13]TRS Chart'!$J$117,'[13]TRS Chart'!$D$22,1,'[13]TRS Chart'!$E$22,1)</definedName>
    <definedName name="Values_2">OFFSET('[13]TRS Chart'!$J$117,'[13]TRS Chart'!$D$22,2,'[13]TRS Chart'!$E$22,1)</definedName>
    <definedName name="Values_3">OFFSET('[13]TRS Chart'!$J$117,'[13]TRS Chart'!$D$22,3,'[13]TRS Chart'!$E$22,1)</definedName>
    <definedName name="Values_4">OFFSET('[13]TRS Chart'!$J$117,'[13]TRS Chart'!$D$22,4,'[13]TRS Chart'!$E$22,1)</definedName>
    <definedName name="vhsfd" hidden="1">{#N/A,#N/A,TRUE,"Monthly BCG";#N/A,#N/A,TRUE,"Monthly w|o Wireless";#N/A,#N/A,TRUE,"Monthly Wireless"}</definedName>
    <definedName name="vhsfd_1" hidden="1">{#N/A,#N/A,TRUE,"Monthly BCG";#N/A,#N/A,TRUE,"Monthly w|o Wireless";#N/A,#N/A,TRUE,"Monthly Wireless"}</definedName>
    <definedName name="WACC" localSheetId="2">#REF!</definedName>
    <definedName name="WACC" localSheetId="7">#REF!</definedName>
    <definedName name="WACC" localSheetId="6">#REF!</definedName>
    <definedName name="WACC" localSheetId="9">#REF!</definedName>
    <definedName name="WACC" localSheetId="8">#REF!</definedName>
    <definedName name="WACC" localSheetId="5">#REF!</definedName>
    <definedName name="WACC" localSheetId="4">#REF!</definedName>
    <definedName name="WACC" localSheetId="1">#REF!</definedName>
    <definedName name="WACC">#REF!</definedName>
    <definedName name="WCEBIT" localSheetId="2">#REF!</definedName>
    <definedName name="WCEBIT" localSheetId="7">#REF!</definedName>
    <definedName name="WCEBIT" localSheetId="6">#REF!</definedName>
    <definedName name="WCEBIT" localSheetId="9">#REF!</definedName>
    <definedName name="WCEBIT" localSheetId="8">#REF!</definedName>
    <definedName name="WCEBIT" localSheetId="5">#REF!</definedName>
    <definedName name="WCEBIT" localSheetId="4">#REF!</definedName>
    <definedName name="WCEBIT" localSheetId="1">#REF!</definedName>
    <definedName name="WCEBIT">#REF!</definedName>
    <definedName name="WCEBITDA" localSheetId="2">#REF!</definedName>
    <definedName name="WCEBITDA" localSheetId="7">#REF!</definedName>
    <definedName name="WCEBITDA" localSheetId="6">#REF!</definedName>
    <definedName name="WCEBITDA" localSheetId="9">#REF!</definedName>
    <definedName name="WCEBITDA" localSheetId="8">#REF!</definedName>
    <definedName name="WCEBITDA" localSheetId="5">#REF!</definedName>
    <definedName name="WCEBITDA" localSheetId="4">#REF!</definedName>
    <definedName name="WCEBITDA" localSheetId="1">#REF!</definedName>
    <definedName name="WCEBITDA">#REF!</definedName>
    <definedName name="WCEPSPAEX" localSheetId="2">#REF!</definedName>
    <definedName name="WCEPSPAEX" localSheetId="7">#REF!</definedName>
    <definedName name="WCEPSPAEX" localSheetId="6">#REF!</definedName>
    <definedName name="WCEPSPAEX" localSheetId="9">#REF!</definedName>
    <definedName name="WCEPSPAEX" localSheetId="8">#REF!</definedName>
    <definedName name="WCEPSPAEX" localSheetId="5">#REF!</definedName>
    <definedName name="WCEPSPAEX" localSheetId="4">#REF!</definedName>
    <definedName name="WCEPSPAEX" localSheetId="1">#REF!</definedName>
    <definedName name="WCEPSPAEX">#REF!</definedName>
    <definedName name="WCEPSPEX" localSheetId="2">#REF!</definedName>
    <definedName name="WCEPSPEX" localSheetId="7">#REF!</definedName>
    <definedName name="WCEPSPEX" localSheetId="6">#REF!</definedName>
    <definedName name="WCEPSPEX" localSheetId="9">#REF!</definedName>
    <definedName name="WCEPSPEX" localSheetId="8">#REF!</definedName>
    <definedName name="WCEPSPEX" localSheetId="5">#REF!</definedName>
    <definedName name="WCEPSPEX" localSheetId="4">#REF!</definedName>
    <definedName name="WCEPSPEX" localSheetId="1">#REF!</definedName>
    <definedName name="WCEPSPEX">#REF!</definedName>
    <definedName name="WCEPSPreAmtEx" localSheetId="2">#REF!</definedName>
    <definedName name="WCEPSPreAmtEx" localSheetId="7">#REF!</definedName>
    <definedName name="WCEPSPreAmtEx" localSheetId="6">#REF!</definedName>
    <definedName name="WCEPSPreAmtEx" localSheetId="9">#REF!</definedName>
    <definedName name="WCEPSPreAmtEx" localSheetId="8">#REF!</definedName>
    <definedName name="WCEPSPreAmtEx" localSheetId="5">#REF!</definedName>
    <definedName name="WCEPSPreAmtEx" localSheetId="4">#REF!</definedName>
    <definedName name="WCEPSPreAmtEx" localSheetId="1">#REF!</definedName>
    <definedName name="WCEPSPreAmtEx">#REF!</definedName>
    <definedName name="WCEpsPreExep" localSheetId="2">#REF!</definedName>
    <definedName name="WCEpsPreExep" localSheetId="7">#REF!</definedName>
    <definedName name="WCEpsPreExep" localSheetId="6">#REF!</definedName>
    <definedName name="WCEpsPreExep" localSheetId="9">#REF!</definedName>
    <definedName name="WCEpsPreExep" localSheetId="8">#REF!</definedName>
    <definedName name="WCEpsPreExep" localSheetId="5">#REF!</definedName>
    <definedName name="WCEpsPreExep" localSheetId="4">#REF!</definedName>
    <definedName name="WCEpsPreExep" localSheetId="1">#REF!</definedName>
    <definedName name="WCEpsPreExep">#REF!</definedName>
    <definedName name="WCProfitBefAEX" localSheetId="2">#REF!</definedName>
    <definedName name="WCProfitBefAEX" localSheetId="7">#REF!</definedName>
    <definedName name="WCProfitBefAEX" localSheetId="6">#REF!</definedName>
    <definedName name="WCProfitBefAEX" localSheetId="9">#REF!</definedName>
    <definedName name="WCProfitBefAEX" localSheetId="8">#REF!</definedName>
    <definedName name="WCProfitBefAEX" localSheetId="5">#REF!</definedName>
    <definedName name="WCProfitBefAEX" localSheetId="4">#REF!</definedName>
    <definedName name="WCProfitBefAEX" localSheetId="1">#REF!</definedName>
    <definedName name="WCProfitBefAEX">#REF!</definedName>
    <definedName name="WCRevenue" localSheetId="2">#REF!</definedName>
    <definedName name="WCRevenue" localSheetId="7">#REF!</definedName>
    <definedName name="WCRevenue" localSheetId="6">#REF!</definedName>
    <definedName name="WCRevenue" localSheetId="9">#REF!</definedName>
    <definedName name="WCRevenue" localSheetId="8">#REF!</definedName>
    <definedName name="WCRevenue" localSheetId="5">#REF!</definedName>
    <definedName name="WCRevenue" localSheetId="4">#REF!</definedName>
    <definedName name="WCRevenue" localSheetId="1">#REF!</definedName>
    <definedName name="WCRevenue">#REF!</definedName>
    <definedName name="wert" hidden="1">{#N/A,#N/A,TRUE,"1Q BCG";#N/A,#N/A,TRUE,"1Q w|o Wireless";#N/A,#N/A,TRUE,"1Q Wireless"}</definedName>
    <definedName name="wert_1" hidden="1">{#N/A,#N/A,TRUE,"1Q BCG";#N/A,#N/A,TRUE,"1Q w|o Wireless";#N/A,#N/A,TRUE,"1Q Wireless"}</definedName>
    <definedName name="wrn.1st._.Quarter." hidden="1">{#N/A,#N/A,TRUE,"1Q BCG";#N/A,#N/A,TRUE,"1Q w|o Wireless";#N/A,#N/A,TRUE,"1Q Wireless"}</definedName>
    <definedName name="wrn.1st._.Quarter._1" hidden="1">{#N/A,#N/A,TRUE,"1Q BCG";#N/A,#N/A,TRUE,"1Q w|o Wireless";#N/A,#N/A,TRUE,"1Q Wireless"}</definedName>
    <definedName name="wrn.2nd._.Quarter." hidden="1">{#N/A,#N/A,TRUE,"2Q BCG";#N/A,#N/A,TRUE,"2Q w|o Wireless";#N/A,#N/A,TRUE,"2Q Wireless"}</definedName>
    <definedName name="wrn.2nd._.Quarter._1" hidden="1">{#N/A,#N/A,TRUE,"2Q BCG";#N/A,#N/A,TRUE,"2Q w|o Wireless";#N/A,#N/A,TRUE,"2Q Wireless"}</definedName>
    <definedName name="wrn.3rd._.Quarter." hidden="1">{#N/A,#N/A,TRUE,"3Q BCG";#N/A,#N/A,TRUE,"3Q w|o Wireless";#N/A,#N/A,TRUE,"3Q Wireless"}</definedName>
    <definedName name="wrn.3rd._.Quarter._1" hidden="1">{#N/A,#N/A,TRUE,"3Q BCG";#N/A,#N/A,TRUE,"3Q w|o Wireless";#N/A,#N/A,TRUE,"3Q Wireless"}</definedName>
    <definedName name="wrn.4th._.Quarter." hidden="1">{#N/A,#N/A,TRUE,"4Q BCG";#N/A,#N/A,TRUE,"4Q w|o Wireless";#N/A,#N/A,TRUE,"4Q Wireless"}</definedName>
    <definedName name="wrn.4th._.Quarter._1" hidden="1">{#N/A,#N/A,TRUE,"4Q BCG";#N/A,#N/A,TRUE,"4Q w|o Wireless";#N/A,#N/A,TRUE,"4Q Wireless"}</definedName>
    <definedName name="wrn.ALL." hidden="1">{#N/A,#N/A,FALSE,"Qrt Fcst";#N/A,#N/A,FALSE,"Qrt Fcst vs Plan &amp; PY";#N/A,#N/A,FALSE,"FY Fcst vs Plan &amp; PY";#N/A,#N/A,FALSE,"EVA CAP";#N/A,#N/A,FALSE,"EVA NOPAT"}</definedName>
    <definedName name="wrn.ALL._....original." hidden="1">{#N/A,#N/A,FALSE,"Qrt Fcst";#N/A,#N/A,FALSE,"Qrt Fcst vs Plan &amp; PY";#N/A,#N/A,FALSE,"FY Fcst vs Plan &amp; PY";#N/A,#N/A,FALSE,"EVA CAP";#N/A,#N/A,FALSE,"EVA NOPAT"}</definedName>
    <definedName name="wrn.ALL._....original._1" hidden="1">{#N/A,#N/A,FALSE,"Qrt Fcst";#N/A,#N/A,FALSE,"Qrt Fcst vs Plan &amp; PY";#N/A,#N/A,FALSE,"FY Fcst vs Plan &amp; PY";#N/A,#N/A,FALSE,"EVA CAP";#N/A,#N/A,FALSE,"EVA NOPAT"}</definedName>
    <definedName name="wrn.ALL._1" hidden="1">{#N/A,#N/A,FALSE,"Qrt Fcst";#N/A,#N/A,FALSE,"Qrt Fcst vs Plan &amp; PY";#N/A,#N/A,FALSE,"FY Fcst vs Plan &amp; PY";#N/A,#N/A,FALSE,"EVA CAP";#N/A,#N/A,FALSE,"EVA NOPAT"}</definedName>
    <definedName name="wrn.BCG._.All._.Periods." hidden="1">{#N/A,#N/A,TRUE,"Monthly BCG";#N/A,#N/A,TRUE,"Qrt BCG";#N/A,#N/A,TRUE,"FY BCG";#N/A,#N/A,TRUE,"1Q BCG";#N/A,#N/A,TRUE,"2Q BCG";#N/A,#N/A,TRUE,"3Q BCG";#N/A,#N/A,TRUE,"4Q BCG"}</definedName>
    <definedName name="wrn.BCG._.All._.Periods._1" hidden="1">{#N/A,#N/A,TRUE,"Monthly BCG";#N/A,#N/A,TRUE,"Qrt BCG";#N/A,#N/A,TRUE,"FY BCG";#N/A,#N/A,TRUE,"1Q BCG";#N/A,#N/A,TRUE,"2Q BCG";#N/A,#N/A,TRUE,"3Q BCG";#N/A,#N/A,TRUE,"4Q BCG"}</definedName>
    <definedName name="wrn.ccroll." hidden="1">{"Admin.",#N/A,FALSE,"ccs";"Alloc.",#N/A,FALSE,"ccs";"BS Inactive",#N/A,FALSE,"ccs";"CU Eng.",#N/A,FALSE,"ccs";"CU Mfg.",#N/A,FALSE,"ccs";"CU Mfg.",#N/A,FALSE,"ccs";"CU Mktg.",#N/A,FALSE,"ccs";"CU PM",#N/A,FALSE,"ccs";"Eng.",#N/A,FALSE,"ccs";"FBR Admin",#N/A,FALSE,"ccs";"FBR China",#N/A,FALSE,"ccs";"FBR Eng.",#N/A,FALSE,"ccs";"FBR Mktg.",#N/A,FALSE,"ccs";"FBR PM",#N/A,FALSE,"ccs";"FRBMfg",#N/A,FALSE,"ccs";"Mfg.",#N/A,FALSE,"ccs";"Mktg.",#N/A,FALSE,"ccs";"Non Op.",#N/A,FALSE,"ccs";"Sales",#N/A,FALSE,"ccs";"WLS Admin.",#N/A,FALSE,"ccs";"WLS Eng.",#N/A,FALSE,"ccs";"WLS Mfg.",#N/A,FALSE,"ccs";"WLS Mktg.",#N/A,FALSE,"ccs";"WLS PM",#N/A,FALSE,"ccs"}</definedName>
    <definedName name="wrn.ccroll._1" hidden="1">{"Admin.",#N/A,FALSE,"ccs";"Alloc.",#N/A,FALSE,"ccs";"BS Inactive",#N/A,FALSE,"ccs";"CU Eng.",#N/A,FALSE,"ccs";"CU Mfg.",#N/A,FALSE,"ccs";"CU Mfg.",#N/A,FALSE,"ccs";"CU Mktg.",#N/A,FALSE,"ccs";"CU PM",#N/A,FALSE,"ccs";"Eng.",#N/A,FALSE,"ccs";"FBR Admin",#N/A,FALSE,"ccs";"FBR China",#N/A,FALSE,"ccs";"FBR Eng.",#N/A,FALSE,"ccs";"FBR Mktg.",#N/A,FALSE,"ccs";"FBR PM",#N/A,FALSE,"ccs";"FRBMfg",#N/A,FALSE,"ccs";"Mfg.",#N/A,FALSE,"ccs";"Mktg.",#N/A,FALSE,"ccs";"Non Op.",#N/A,FALSE,"ccs";"Sales",#N/A,FALSE,"ccs";"WLS Admin.",#N/A,FALSE,"ccs";"WLS Eng.",#N/A,FALSE,"ccs";"WLS Mfg.",#N/A,FALSE,"ccs";"WLS Mktg.",#N/A,FALSE,"ccs";"WLS PM",#N/A,FALSE,"ccs"}</definedName>
    <definedName name="wrn.Fiscal._.Year." hidden="1">{#N/A,#N/A,TRUE,"FY BCG";#N/A,#N/A,TRUE,"FY w|o Wireless";#N/A,#N/A,TRUE,"FY Wireless"}</definedName>
    <definedName name="wrn.Fiscal._.Year._1" hidden="1">{#N/A,#N/A,TRUE,"FY BCG";#N/A,#N/A,TRUE,"FY w|o Wireless";#N/A,#N/A,TRUE,"FY Wireless"}</definedName>
    <definedName name="wrn.FORM1." hidden="1">{#N/A,#N/A,FALSE,"COMP"}</definedName>
    <definedName name="wrn.FORM1._1" hidden="1">{#N/A,#N/A,FALSE,"COMP"}</definedName>
    <definedName name="wrn.Monthlys." hidden="1">{#N/A,#N/A,TRUE,"Monthly BCG";#N/A,#N/A,TRUE,"Monthly w|o Wireless";#N/A,#N/A,TRUE,"Monthly Wireless"}</definedName>
    <definedName name="wrn.Monthlys._1" hidden="1">{#N/A,#N/A,TRUE,"Monthly BCG";#N/A,#N/A,TRUE,"Monthly w|o Wireless";#N/A,#N/A,TRUE,"Monthly Wireless"}</definedName>
    <definedName name="wrn.Plan._.EVA." hidden="1">{#N/A,#N/A,FALSE,"Nov 96";#N/A,#N/A,FALSE,"Dec 96";#N/A,#N/A,FALSE,"Jan 97";#N/A,#N/A,FALSE,"Feb 97";#N/A,#N/A,FALSE,"Mar 97";#N/A,#N/A,FALSE,"Apr 97";#N/A,#N/A,FALSE,"May 97";#N/A,#N/A,FALSE,"Jun 97";#N/A,#N/A,FALSE,"Jul 97";#N/A,#N/A,FALSE,"Aug 97";#N/A,#N/A,FALSE,"Sep 97";#N/A,#N/A,FALSE,"Oct 97"}</definedName>
    <definedName name="wrn.Plan._.EVA._1" hidden="1">{#N/A,#N/A,FALSE,"Nov 96";#N/A,#N/A,FALSE,"Dec 96";#N/A,#N/A,FALSE,"Jan 97";#N/A,#N/A,FALSE,"Feb 97";#N/A,#N/A,FALSE,"Mar 97";#N/A,#N/A,FALSE,"Apr 97";#N/A,#N/A,FALSE,"May 97";#N/A,#N/A,FALSE,"Jun 97";#N/A,#N/A,FALSE,"Jul 97";#N/A,#N/A,FALSE,"Aug 97";#N/A,#N/A,FALSE,"Sep 97";#N/A,#N/A,FALSE,"Oct 97"}</definedName>
    <definedName name="wrn.Print._.All._.A4." hidden="1">{"Valuation",#N/A,TRUE,"Valuation Summary";"Financial Statements",#N/A,TRUE,"Results";"Results",#N/A,TRUE,"Results";"Ratios",#N/A,TRUE,"Results";"Historical data",#N/A,TRUE,"Historical Data";"Forecast inputs",#N/A,TRUE,"Forecast Drivers"}</definedName>
    <definedName name="wrn.Print._.All._.Letter." hidden="1">{"Valuation Letter",#N/A,TRUE,"Valuation Summary";"Financial Statements Letter",#N/A,TRUE,"Results";"Results Letter",#N/A,TRUE,"Results";"Ratios Letter",#N/A,TRUE,"Results";"Historical data Letter",#N/A,TRUE,"Historical Data";"Forecast inputs Letter",#N/A,TRUE,"Forecast Drivers"}</definedName>
    <definedName name="wrn.Print._.Results._.A4." hidden="1">{"Valuation",#N/A,TRUE,"Valuation Summary";"Financial Statements",#N/A,TRUE,"Results";"Results",#N/A,TRUE,"Results";"Ratios",#N/A,TRUE,"Results"}</definedName>
    <definedName name="wrn.Print._.Results._.Letter." hidden="1">{"Valuation Letter",#N/A,TRUE,"Valuation Summary";"Financial Statements Letter",#N/A,TRUE,"Results";"Results Letter",#N/A,TRUE,"Results";"Ratios Letter",#N/A,TRUE,"Results"}</definedName>
    <definedName name="wrn.Quarterlys." hidden="1">{#N/A,#N/A,TRUE,"Qrt BCG";#N/A,#N/A,TRUE,"Qrt w|o Wireless";#N/A,#N/A,TRUE,"Qrt Wireless"}</definedName>
    <definedName name="wrn.Quarterlys._1" hidden="1">{#N/A,#N/A,TRUE,"Qrt BCG";#N/A,#N/A,TRUE,"Qrt w|o Wireless";#N/A,#N/A,TRUE,"Qrt Wireless"}</definedName>
    <definedName name="wrn.Wireless." hidden="1">{#N/A,#N/A,TRUE,"Monthly Wireless";#N/A,#N/A,TRUE,"Qrt Wireless";#N/A,#N/A,TRUE,"FY Wireless";#N/A,#N/A,TRUE,"1Q Wireless";#N/A,#N/A,TRUE,"2Q Wireless";#N/A,#N/A,TRUE,"3Q Wireless";#N/A,#N/A,TRUE,"4Q Wireless"}</definedName>
    <definedName name="wrn.Wireless._1" hidden="1">{#N/A,#N/A,TRUE,"Monthly Wireless";#N/A,#N/A,TRUE,"Qrt Wireless";#N/A,#N/A,TRUE,"FY Wireless";#N/A,#N/A,TRUE,"1Q Wireless";#N/A,#N/A,TRUE,"2Q Wireless";#N/A,#N/A,TRUE,"3Q Wireless";#N/A,#N/A,TRUE,"4Q Wireless"}</definedName>
    <definedName name="wrn.without._.Wireless._.All._.Periods." hidden="1">{#N/A,#N/A,TRUE,"Monthly w|o Wireless";#N/A,#N/A,TRUE,"Qrt w|o Wireless";#N/A,#N/A,TRUE,"FY w|o Wireless";#N/A,#N/A,TRUE,"1Q w|o Wireless";#N/A,#N/A,TRUE,"2Q w|o Wireless";#N/A,#N/A,TRUE,"3Q w|o Wireless";#N/A,#N/A,TRUE,"4Q w|o Wireless"}</definedName>
    <definedName name="wrn.without._.Wireless._.All._.Periods._1" hidden="1">{#N/A,#N/A,TRUE,"Monthly w|o Wireless";#N/A,#N/A,TRUE,"Qrt w|o Wireless";#N/A,#N/A,TRUE,"FY w|o Wireless";#N/A,#N/A,TRUE,"1Q w|o Wireless";#N/A,#N/A,TRUE,"2Q w|o Wireless";#N/A,#N/A,TRUE,"3Q w|o Wireless";#N/A,#N/A,TRUE,"4Q w|o Wireless"}</definedName>
    <definedName name="WvbFormulaDico">[8]GenFormulas!$A$2:$E$573</definedName>
    <definedName name="WvbFormulaDicoLeft">[8]GenFormulas!$A$2:$A$573</definedName>
    <definedName name="X_Axis">OFFSET(Graph_Output,(COUNT([9]Model!$P$1:$P$65536)-COUNT([9]Model!$P$1:$P$107)+IF(ISNUMBER([9]Model!$P$107),1,0))-(COUNT([9]Model!$Q$1:$Q$65536)-COUNT([9]Model!$Q$1:$Q$107)+IF(ISNUMBER([9]Model!$Q$107),1,0)),0,Positive_Points)</definedName>
    <definedName name="X_Axis_Total">OFFSET(Graph_Output,(COUNT([9]Model!$P$1:$P$65536)-COUNT([9]Model!$P$1:$P$107)+IF(ISNUMBER([9]Model!$P$107),1,0))-(COUNT([9]Model!$Q$1:$Q$65536)-COUNT([9]Model!$Q$1:$Q$107)+IF(ISNUMBER([9]Model!$Q$107),1,0)),0,COUNT([9]Model!$Q$1:$Q$65536)-COUNT([9]Model!$Q$1:$Q$107)+IF(ISNUMBER([9]Model!$Q$107),1,0))</definedName>
    <definedName name="xyz" localSheetId="2" hidden="1">'[15]6 TRS'!#REF!</definedName>
    <definedName name="xyz" localSheetId="7" hidden="1">'[15]6 TRS'!#REF!</definedName>
    <definedName name="xyz" localSheetId="6" hidden="1">'[15]6 TRS'!#REF!</definedName>
    <definedName name="xyz" localSheetId="9" hidden="1">'[15]6 TRS'!#REF!</definedName>
    <definedName name="xyz" localSheetId="8" hidden="1">'[15]6 TRS'!#REF!</definedName>
    <definedName name="xyz" localSheetId="5" hidden="1">'[15]6 TRS'!#REF!</definedName>
    <definedName name="xyz" localSheetId="4" hidden="1">'[15]6 TRS'!#REF!</definedName>
    <definedName name="xyz" localSheetId="1" hidden="1">'[15]6 TRS'!#REF!</definedName>
    <definedName name="xyz" hidden="1">'[15]6 TRS'!#REF!</definedName>
    <definedName name="Y_Axis">OFFSET(Graph_Output,(COUNT([9]Model!$P$1:$P$65536)-COUNT([9]Model!$P$1:$P$107)+IF(ISNUMBER([9]Model!$P$107),1,0))-(COUNT([9]Model!$Q$1:$Q$65536)-COUNT([9]Model!$Q$1:$Q$107)+IF(ISNUMBER([9]Model!$Q$107),1,0)),1,Positive_Points)</definedName>
    <definedName name="Y_Axis_Total">OFFSET(Graph_Output,(COUNT([9]Model!$P$1:$P$65536)-COUNT([9]Model!$P$1:$P$107)+IF(ISNUMBER([9]Model!$P$107),1,0))-(COUNT([9]Model!$Q$1:$Q$65536)-COUNT([9]Model!$Q$1:$Q$107)+IF(ISNUMBER([9]Model!$Q$107),1,0)),1,COUNT([9]Model!$Q$1:$Q$65536)-COUNT([9]Model!$Q$1:$Q$107)+IF(ISNUMBER([9]Model!$Q$107),1,0))</definedName>
    <definedName name="Year">[6]Input!$A$4</definedName>
    <definedName name="Years">[6]Input!$B$4:$S$4</definedName>
    <definedName name="yioyi" hidden="1">{#N/A,#N/A,TRUE,"1Q BCG";#N/A,#N/A,TRUE,"1Q w|o Wireless";#N/A,#N/A,TRUE,"1Q Wireless"}</definedName>
    <definedName name="yioyi_1" hidden="1">{#N/A,#N/A,TRUE,"1Q BCG";#N/A,#N/A,TRUE,"1Q w|o Wireless";#N/A,#N/A,TRUE,"1Q Wireless"}</definedName>
    <definedName name="yr" hidden="1">{#N/A,#N/A,TRUE,"1Q BCG";#N/A,#N/A,TRUE,"1Q w|o Wireless";#N/A,#N/A,TRUE,"1Q Wireless"}</definedName>
    <definedName name="yr_1" hidden="1">{#N/A,#N/A,TRUE,"1Q BCG";#N/A,#N/A,TRUE,"1Q w|o Wireless";#N/A,#N/A,TRUE,"1Q Wireless"}</definedName>
    <definedName name="yre" hidden="1">{#N/A,#N/A,TRUE,"Monthly Wireless";#N/A,#N/A,TRUE,"Qrt Wireless";#N/A,#N/A,TRUE,"FY Wireless";#N/A,#N/A,TRUE,"1Q Wireless";#N/A,#N/A,TRUE,"2Q Wireless";#N/A,#N/A,TRUE,"3Q Wireless";#N/A,#N/A,TRUE,"4Q Wireless"}</definedName>
    <definedName name="yre_1" hidden="1">{#N/A,#N/A,TRUE,"Monthly Wireless";#N/A,#N/A,TRUE,"Qrt Wireless";#N/A,#N/A,TRUE,"FY Wireless";#N/A,#N/A,TRUE,"1Q Wireless";#N/A,#N/A,TRUE,"2Q Wireless";#N/A,#N/A,TRUE,"3Q Wireless";#N/A,#N/A,TRUE,"4Q Wireless"}</definedName>
    <definedName name="Z_6E07856A_D400_4CD6_8503_87A22AB36933_.wvu.FilterData" localSheetId="2" hidden="1">#REF!</definedName>
    <definedName name="Z_6E07856A_D400_4CD6_8503_87A22AB36933_.wvu.FilterData" localSheetId="7" hidden="1">#REF!</definedName>
    <definedName name="Z_6E07856A_D400_4CD6_8503_87A22AB36933_.wvu.FilterData" localSheetId="6" hidden="1">#REF!</definedName>
    <definedName name="Z_6E07856A_D400_4CD6_8503_87A22AB36933_.wvu.FilterData" localSheetId="9" hidden="1">#REF!</definedName>
    <definedName name="Z_6E07856A_D400_4CD6_8503_87A22AB36933_.wvu.FilterData" localSheetId="8" hidden="1">#REF!</definedName>
    <definedName name="Z_6E07856A_D400_4CD6_8503_87A22AB36933_.wvu.FilterData" localSheetId="5" hidden="1">#REF!</definedName>
    <definedName name="Z_6E07856A_D400_4CD6_8503_87A22AB36933_.wvu.FilterData" localSheetId="4" hidden="1">#REF!</definedName>
    <definedName name="Z_6E07856A_D400_4CD6_8503_87A22AB36933_.wvu.FilterData" localSheetId="1" hidden="1">#REF!</definedName>
    <definedName name="Z_6E07856A_D400_4CD6_8503_87A22AB36933_.wvu.FilterData" hidden="1">#REF!</definedName>
    <definedName name="Z_D1A666B5_0C14_11D7_AC5E_0004AC259322_.wvu.FilterData" localSheetId="2" hidden="1">#REF!</definedName>
    <definedName name="Z_D1A666B5_0C14_11D7_AC5E_0004AC259322_.wvu.FilterData" localSheetId="7" hidden="1">#REF!</definedName>
    <definedName name="Z_D1A666B5_0C14_11D7_AC5E_0004AC259322_.wvu.FilterData" localSheetId="6" hidden="1">#REF!</definedName>
    <definedName name="Z_D1A666B5_0C14_11D7_AC5E_0004AC259322_.wvu.FilterData" localSheetId="9" hidden="1">#REF!</definedName>
    <definedName name="Z_D1A666B5_0C14_11D7_AC5E_0004AC259322_.wvu.FilterData" localSheetId="8" hidden="1">#REF!</definedName>
    <definedName name="Z_D1A666B5_0C14_11D7_AC5E_0004AC259322_.wvu.FilterData" localSheetId="5" hidden="1">#REF!</definedName>
    <definedName name="Z_D1A666B5_0C14_11D7_AC5E_0004AC259322_.wvu.FilterData" localSheetId="4" hidden="1">#REF!</definedName>
    <definedName name="Z_D1A666B5_0C14_11D7_AC5E_0004AC259322_.wvu.FilterData" localSheetId="1" hidden="1">#REF!</definedName>
    <definedName name="Z_D1A666B5_0C14_11D7_AC5E_0004AC259322_.wvu.FilterData" hidden="1">#REF!</definedName>
    <definedName name="zcv" hidden="1">{#N/A,#N/A,FALSE,"Nov 96";#N/A,#N/A,FALSE,"Dec 96";#N/A,#N/A,FALSE,"Jan 97";#N/A,#N/A,FALSE,"Feb 97";#N/A,#N/A,FALSE,"Mar 97";#N/A,#N/A,FALSE,"Apr 97";#N/A,#N/A,FALSE,"May 97";#N/A,#N/A,FALSE,"Jun 97";#N/A,#N/A,FALSE,"Jul 97";#N/A,#N/A,FALSE,"Aug 97";#N/A,#N/A,FALSE,"Sep 97";#N/A,#N/A,FALSE,"Oct 97"}</definedName>
    <definedName name="zcv_1" hidden="1">{#N/A,#N/A,FALSE,"Nov 96";#N/A,#N/A,FALSE,"Dec 96";#N/A,#N/A,FALSE,"Jan 97";#N/A,#N/A,FALSE,"Feb 97";#N/A,#N/A,FALSE,"Mar 97";#N/A,#N/A,FALSE,"Apr 97";#N/A,#N/A,FALSE,"May 97";#N/A,#N/A,FALSE,"Jun 97";#N/A,#N/A,FALSE,"Jul 97";#N/A,#N/A,FALSE,"Aug 97";#N/A,#N/A,FALSE,"Sep 97";#N/A,#N/A,FALSE,"Oct 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6" i="85" l="1"/>
  <c r="F92" i="63"/>
  <c r="I95" i="64"/>
  <c r="I95" i="63"/>
  <c r="I95" i="39"/>
  <c r="I95" i="82"/>
  <c r="F21" i="17" l="1"/>
  <c r="N27" i="82" l="1"/>
  <c r="D29" i="82"/>
  <c r="E7" i="50" l="1"/>
  <c r="E6" i="50"/>
  <c r="E5" i="50"/>
  <c r="E4" i="50"/>
  <c r="G41" i="17"/>
  <c r="G20" i="17"/>
  <c r="E29" i="82" l="1"/>
  <c r="E27" i="82"/>
  <c r="N22" i="82"/>
  <c r="N21" i="82"/>
  <c r="N20" i="82"/>
  <c r="D29" i="75"/>
  <c r="D29" i="71"/>
  <c r="D29" i="63"/>
  <c r="E19" i="69" l="1"/>
  <c r="E18" i="69"/>
  <c r="E17" i="69"/>
  <c r="F88" i="79"/>
  <c r="F77" i="79"/>
  <c r="F76" i="79"/>
  <c r="F74" i="79"/>
  <c r="F73" i="79"/>
  <c r="F71" i="79"/>
  <c r="F65" i="79"/>
  <c r="D54" i="75"/>
  <c r="E22" i="39" l="1"/>
  <c r="E21" i="39"/>
  <c r="E20" i="39"/>
  <c r="D32" i="63"/>
  <c r="H59" i="74"/>
  <c r="H57" i="74"/>
  <c r="H56" i="74"/>
  <c r="H52" i="74"/>
  <c r="H47" i="74"/>
  <c r="H35" i="74"/>
  <c r="H33" i="74"/>
  <c r="H27" i="74"/>
  <c r="H28" i="74"/>
  <c r="I28" i="74"/>
  <c r="F83" i="74"/>
  <c r="G83" i="74"/>
  <c r="G81" i="74"/>
  <c r="F81" i="74"/>
  <c r="D81" i="74"/>
  <c r="H65" i="74"/>
  <c r="G65" i="74"/>
  <c r="G59" i="74"/>
  <c r="G60" i="74" s="1"/>
  <c r="G52" i="74"/>
  <c r="G46" i="74"/>
  <c r="G33" i="74"/>
  <c r="I27" i="74"/>
  <c r="G27" i="74"/>
  <c r="D27" i="74"/>
  <c r="I85" i="74"/>
  <c r="H85" i="74"/>
  <c r="G85" i="74"/>
  <c r="H76" i="74"/>
  <c r="G76" i="74"/>
  <c r="I73" i="74"/>
  <c r="H73" i="74"/>
  <c r="G73" i="74"/>
  <c r="H71" i="74"/>
  <c r="I70" i="74"/>
  <c r="H70" i="74"/>
  <c r="G70" i="74"/>
  <c r="I64" i="74"/>
  <c r="I63" i="74"/>
  <c r="I62" i="74"/>
  <c r="I61" i="74"/>
  <c r="H64" i="74"/>
  <c r="H62" i="74"/>
  <c r="H61" i="74"/>
  <c r="G64" i="74"/>
  <c r="G62" i="74"/>
  <c r="G61" i="74"/>
  <c r="I59" i="74"/>
  <c r="I58" i="74"/>
  <c r="I57" i="74"/>
  <c r="I56" i="74"/>
  <c r="G56" i="74"/>
  <c r="G51" i="74"/>
  <c r="I52" i="74"/>
  <c r="I51" i="74"/>
  <c r="I49" i="74"/>
  <c r="I48" i="74"/>
  <c r="H48" i="74"/>
  <c r="G48" i="74"/>
  <c r="I46" i="74"/>
  <c r="I44" i="74"/>
  <c r="I43" i="74"/>
  <c r="I42" i="74"/>
  <c r="I41" i="74"/>
  <c r="I39" i="74"/>
  <c r="H45" i="74"/>
  <c r="H43" i="74"/>
  <c r="H42" i="74"/>
  <c r="H41" i="74"/>
  <c r="H39" i="74"/>
  <c r="G41" i="74"/>
  <c r="G39" i="74"/>
  <c r="I35" i="74"/>
  <c r="I33" i="74"/>
  <c r="I32" i="74"/>
  <c r="H32" i="74"/>
  <c r="G35" i="74"/>
  <c r="G32" i="74"/>
  <c r="G26" i="74"/>
  <c r="G25" i="74"/>
  <c r="H26" i="74"/>
  <c r="H25" i="74"/>
  <c r="I26" i="74"/>
  <c r="I25" i="74"/>
  <c r="I24" i="74"/>
  <c r="H24" i="74"/>
  <c r="G24" i="74"/>
  <c r="I22" i="74"/>
  <c r="H22" i="74"/>
  <c r="I20" i="74"/>
  <c r="G20" i="74"/>
  <c r="G19" i="74"/>
  <c r="H19" i="74"/>
  <c r="I19" i="74"/>
  <c r="I18" i="74"/>
  <c r="H18" i="74"/>
  <c r="I13" i="74"/>
  <c r="H14" i="74"/>
  <c r="H13" i="74"/>
  <c r="G14" i="74"/>
  <c r="G13" i="74"/>
  <c r="F85" i="74"/>
  <c r="F76" i="74"/>
  <c r="F79" i="74" s="1"/>
  <c r="F74" i="74"/>
  <c r="G72" i="74"/>
  <c r="F70" i="74"/>
  <c r="F57" i="74"/>
  <c r="F56" i="74"/>
  <c r="F52" i="74"/>
  <c r="F50" i="74"/>
  <c r="F48" i="74"/>
  <c r="F35" i="74"/>
  <c r="F33" i="74"/>
  <c r="F32" i="74"/>
  <c r="F27" i="74"/>
  <c r="F26" i="74"/>
  <c r="F25" i="74"/>
  <c r="F24" i="74"/>
  <c r="F23" i="74"/>
  <c r="F22" i="74"/>
  <c r="F21" i="74"/>
  <c r="F20" i="74"/>
  <c r="F19" i="74"/>
  <c r="F18" i="74"/>
  <c r="F14" i="74"/>
  <c r="F13" i="74"/>
  <c r="F10" i="74"/>
  <c r="F8" i="74"/>
  <c r="E85" i="74"/>
  <c r="E82" i="74"/>
  <c r="E76" i="74"/>
  <c r="E79" i="74" s="1"/>
  <c r="E75" i="74"/>
  <c r="E74" i="74"/>
  <c r="E73" i="74"/>
  <c r="E70" i="74"/>
  <c r="E59" i="74"/>
  <c r="E57" i="74"/>
  <c r="E56" i="74"/>
  <c r="E52" i="74"/>
  <c r="F47" i="74"/>
  <c r="D47" i="74"/>
  <c r="E46" i="74"/>
  <c r="E47" i="74" s="1"/>
  <c r="E35" i="74"/>
  <c r="E33" i="74"/>
  <c r="E32" i="74"/>
  <c r="E31" i="74"/>
  <c r="E27" i="74"/>
  <c r="E26" i="74"/>
  <c r="E25" i="74"/>
  <c r="E24" i="74"/>
  <c r="E23" i="74"/>
  <c r="E22" i="74"/>
  <c r="E21" i="74"/>
  <c r="E19" i="74"/>
  <c r="E18" i="74"/>
  <c r="E14" i="74"/>
  <c r="E13" i="74"/>
  <c r="E10" i="74"/>
  <c r="E8" i="74"/>
  <c r="G34" i="74" l="1"/>
  <c r="E28" i="74"/>
  <c r="F28" i="74"/>
  <c r="H81" i="74"/>
  <c r="G28" i="74"/>
  <c r="H34" i="74"/>
  <c r="I81" i="74"/>
  <c r="G71" i="74"/>
  <c r="H72" i="74"/>
  <c r="E15" i="74"/>
  <c r="F34" i="74"/>
  <c r="E34" i="74"/>
  <c r="E60" i="74"/>
  <c r="E66" i="74" s="1"/>
  <c r="E53" i="74"/>
  <c r="E36" i="74" l="1"/>
  <c r="E69" i="74" s="1"/>
  <c r="E81" i="74"/>
  <c r="E83" i="74" s="1"/>
  <c r="E49" i="63"/>
  <c r="E48" i="63"/>
  <c r="D48" i="63"/>
  <c r="D48" i="39"/>
  <c r="A100" i="82"/>
  <c r="A99" i="82"/>
  <c r="E97" i="82"/>
  <c r="A97" i="82"/>
  <c r="A95" i="82"/>
  <c r="A94" i="82"/>
  <c r="A93" i="82"/>
  <c r="A92" i="82"/>
  <c r="A90" i="82"/>
  <c r="E89" i="82"/>
  <c r="Q95" i="82" s="1"/>
  <c r="A89" i="82"/>
  <c r="J88" i="82"/>
  <c r="K88" i="82" s="1"/>
  <c r="L88" i="82" s="1"/>
  <c r="M88" i="82" s="1"/>
  <c r="I88" i="82"/>
  <c r="H88" i="82"/>
  <c r="G88" i="82"/>
  <c r="F88" i="82"/>
  <c r="E88" i="82"/>
  <c r="Q94" i="82" s="1"/>
  <c r="A88" i="82"/>
  <c r="E87" i="82"/>
  <c r="A87" i="82"/>
  <c r="E86" i="82"/>
  <c r="F86" i="82" s="1"/>
  <c r="G86" i="82" s="1"/>
  <c r="H86" i="82" s="1"/>
  <c r="I86" i="82" s="1"/>
  <c r="J86" i="82" s="1"/>
  <c r="K86" i="82" s="1"/>
  <c r="L86" i="82" s="1"/>
  <c r="M86" i="82" s="1"/>
  <c r="A86" i="82"/>
  <c r="E85" i="82"/>
  <c r="M85" i="82" s="1"/>
  <c r="A85" i="82"/>
  <c r="E84" i="82"/>
  <c r="A84" i="82"/>
  <c r="E83" i="82"/>
  <c r="F83" i="82" s="1"/>
  <c r="G83" i="82" s="1"/>
  <c r="H83" i="82" s="1"/>
  <c r="I83" i="82" s="1"/>
  <c r="J83" i="82" s="1"/>
  <c r="K83" i="82" s="1"/>
  <c r="L83" i="82" s="1"/>
  <c r="M83" i="82" s="1"/>
  <c r="A83" i="82"/>
  <c r="E82" i="82"/>
  <c r="A82" i="82"/>
  <c r="E81" i="82"/>
  <c r="A81" i="82"/>
  <c r="A80" i="82"/>
  <c r="A78" i="82"/>
  <c r="E77" i="82"/>
  <c r="F77" i="82" s="1"/>
  <c r="G77" i="82" s="1"/>
  <c r="H77" i="82" s="1"/>
  <c r="I77" i="82" s="1"/>
  <c r="J77" i="82" s="1"/>
  <c r="K77" i="82" s="1"/>
  <c r="L77" i="82" s="1"/>
  <c r="M77" i="82" s="1"/>
  <c r="A77" i="82"/>
  <c r="E76" i="82"/>
  <c r="F76" i="82" s="1"/>
  <c r="G76" i="82" s="1"/>
  <c r="H76" i="82" s="1"/>
  <c r="I76" i="82" s="1"/>
  <c r="J76" i="82" s="1"/>
  <c r="K76" i="82" s="1"/>
  <c r="L76" i="82" s="1"/>
  <c r="M76" i="82" s="1"/>
  <c r="A76" i="82"/>
  <c r="E75" i="82"/>
  <c r="A75" i="82"/>
  <c r="E74" i="82"/>
  <c r="F74" i="82" s="1"/>
  <c r="G74" i="82" s="1"/>
  <c r="H74" i="82" s="1"/>
  <c r="I74" i="82" s="1"/>
  <c r="J74" i="82" s="1"/>
  <c r="K74" i="82" s="1"/>
  <c r="L74" i="82" s="1"/>
  <c r="M74" i="82" s="1"/>
  <c r="A74" i="82"/>
  <c r="E73" i="82"/>
  <c r="F73" i="82" s="1"/>
  <c r="A73" i="82"/>
  <c r="A72" i="82"/>
  <c r="E71" i="82"/>
  <c r="F71" i="82" s="1"/>
  <c r="G71" i="82" s="1"/>
  <c r="H71" i="82" s="1"/>
  <c r="I71" i="82" s="1"/>
  <c r="J71" i="82" s="1"/>
  <c r="K71" i="82" s="1"/>
  <c r="L71" i="82" s="1"/>
  <c r="M71" i="82" s="1"/>
  <c r="A71" i="82"/>
  <c r="E70" i="82"/>
  <c r="A70" i="82"/>
  <c r="E69" i="82"/>
  <c r="F69" i="82" s="1"/>
  <c r="G69" i="82" s="1"/>
  <c r="H69" i="82" s="1"/>
  <c r="I69" i="82" s="1"/>
  <c r="J69" i="82" s="1"/>
  <c r="K69" i="82" s="1"/>
  <c r="L69" i="82" s="1"/>
  <c r="M69" i="82" s="1"/>
  <c r="A69" i="82"/>
  <c r="E68" i="82"/>
  <c r="A68" i="82"/>
  <c r="A67" i="82"/>
  <c r="A66" i="82"/>
  <c r="E65" i="82"/>
  <c r="F65" i="82" s="1"/>
  <c r="G65" i="82" s="1"/>
  <c r="H65" i="82" s="1"/>
  <c r="I65" i="82" s="1"/>
  <c r="J65" i="82" s="1"/>
  <c r="K65" i="82" s="1"/>
  <c r="L65" i="82" s="1"/>
  <c r="M65" i="82" s="1"/>
  <c r="A65" i="82"/>
  <c r="E64" i="82"/>
  <c r="F64" i="82" s="1"/>
  <c r="G64" i="82" s="1"/>
  <c r="H64" i="82" s="1"/>
  <c r="I64" i="82" s="1"/>
  <c r="J64" i="82" s="1"/>
  <c r="K64" i="82" s="1"/>
  <c r="L64" i="82" s="1"/>
  <c r="M64" i="82" s="1"/>
  <c r="A64" i="82"/>
  <c r="E63" i="82"/>
  <c r="F63" i="82" s="1"/>
  <c r="G63" i="82" s="1"/>
  <c r="H63" i="82" s="1"/>
  <c r="I63" i="82" s="1"/>
  <c r="J63" i="82" s="1"/>
  <c r="K63" i="82" s="1"/>
  <c r="L63" i="82" s="1"/>
  <c r="M63" i="82" s="1"/>
  <c r="A63" i="82"/>
  <c r="E62" i="82"/>
  <c r="A62" i="82"/>
  <c r="E61" i="82"/>
  <c r="F61" i="82" s="1"/>
  <c r="G61" i="82" s="1"/>
  <c r="H61" i="82" s="1"/>
  <c r="I61" i="82" s="1"/>
  <c r="J61" i="82" s="1"/>
  <c r="K61" i="82" s="1"/>
  <c r="L61" i="82" s="1"/>
  <c r="M61" i="82" s="1"/>
  <c r="A61" i="82"/>
  <c r="A60" i="82"/>
  <c r="E59" i="82"/>
  <c r="F59" i="82" s="1"/>
  <c r="G59" i="82" s="1"/>
  <c r="H59" i="82" s="1"/>
  <c r="I59" i="82" s="1"/>
  <c r="J59" i="82" s="1"/>
  <c r="K59" i="82" s="1"/>
  <c r="L59" i="82" s="1"/>
  <c r="M59" i="82" s="1"/>
  <c r="A59" i="82"/>
  <c r="E58" i="82"/>
  <c r="F58" i="82" s="1"/>
  <c r="G58" i="82" s="1"/>
  <c r="H58" i="82" s="1"/>
  <c r="I58" i="82" s="1"/>
  <c r="J58" i="82" s="1"/>
  <c r="K58" i="82" s="1"/>
  <c r="L58" i="82" s="1"/>
  <c r="M58" i="82" s="1"/>
  <c r="A58" i="82"/>
  <c r="E57" i="82"/>
  <c r="A57" i="82"/>
  <c r="E56" i="82"/>
  <c r="A56" i="82"/>
  <c r="E55" i="82"/>
  <c r="A55" i="82"/>
  <c r="E54" i="82"/>
  <c r="A54" i="82"/>
  <c r="A53" i="82"/>
  <c r="E52" i="82"/>
  <c r="A52" i="82"/>
  <c r="A51" i="82"/>
  <c r="A49" i="82"/>
  <c r="E48" i="82"/>
  <c r="A48" i="82"/>
  <c r="A47" i="82"/>
  <c r="A46" i="82"/>
  <c r="A45" i="82"/>
  <c r="A44" i="82"/>
  <c r="E43" i="82"/>
  <c r="F43" i="82" s="1"/>
  <c r="G43" i="82" s="1"/>
  <c r="H43" i="82" s="1"/>
  <c r="I43" i="82" s="1"/>
  <c r="A43" i="82"/>
  <c r="Q42" i="82"/>
  <c r="Q37" i="82" s="1"/>
  <c r="E45" i="82" s="1"/>
  <c r="F45" i="82" s="1"/>
  <c r="G45" i="82" s="1"/>
  <c r="H45" i="82" s="1"/>
  <c r="I45" i="82" s="1"/>
  <c r="J45" i="82" s="1"/>
  <c r="K45" i="82" s="1"/>
  <c r="L45" i="82" s="1"/>
  <c r="M45" i="82" s="1"/>
  <c r="A42" i="82"/>
  <c r="A41" i="82"/>
  <c r="E40" i="82"/>
  <c r="A40" i="82"/>
  <c r="Q39" i="82"/>
  <c r="E39" i="82"/>
  <c r="A39" i="82"/>
  <c r="E38" i="82"/>
  <c r="A38" i="82"/>
  <c r="E37" i="82"/>
  <c r="A37" i="82"/>
  <c r="Q36" i="82"/>
  <c r="E44" i="82" s="1"/>
  <c r="E36" i="82"/>
  <c r="A36" i="82"/>
  <c r="E35" i="82"/>
  <c r="A35" i="82"/>
  <c r="E34" i="82"/>
  <c r="A34" i="82"/>
  <c r="E33" i="82"/>
  <c r="A33" i="82"/>
  <c r="E32" i="82"/>
  <c r="A32" i="82"/>
  <c r="E31" i="82"/>
  <c r="A31" i="82"/>
  <c r="A30" i="82"/>
  <c r="A29" i="82"/>
  <c r="E28" i="82"/>
  <c r="A28" i="82"/>
  <c r="A27" i="82"/>
  <c r="A26" i="82"/>
  <c r="A24" i="82"/>
  <c r="E23" i="82"/>
  <c r="A23" i="82"/>
  <c r="E22" i="82"/>
  <c r="A22" i="82"/>
  <c r="E21" i="82"/>
  <c r="A21" i="82"/>
  <c r="E20" i="82"/>
  <c r="A20" i="82"/>
  <c r="A17" i="82"/>
  <c r="A15" i="82"/>
  <c r="E14" i="82"/>
  <c r="A14" i="82"/>
  <c r="E13" i="82"/>
  <c r="A13" i="82"/>
  <c r="E12" i="82"/>
  <c r="A12" i="82"/>
  <c r="E11" i="82"/>
  <c r="A11" i="82"/>
  <c r="A7" i="82"/>
  <c r="A6" i="82"/>
  <c r="A5" i="82"/>
  <c r="A4" i="82"/>
  <c r="M1" i="82"/>
  <c r="L1" i="82"/>
  <c r="K1" i="82"/>
  <c r="J1" i="82"/>
  <c r="I1" i="82"/>
  <c r="H1" i="82"/>
  <c r="G1" i="82"/>
  <c r="F1" i="82"/>
  <c r="E1" i="82"/>
  <c r="F83" i="81"/>
  <c r="G83" i="81" s="1"/>
  <c r="H83" i="81" s="1"/>
  <c r="I83" i="81" s="1"/>
  <c r="J83" i="81" s="1"/>
  <c r="K83" i="81" s="1"/>
  <c r="L83" i="81" s="1"/>
  <c r="M83" i="81" s="1"/>
  <c r="Q43" i="81"/>
  <c r="Q42" i="81"/>
  <c r="Q39" i="81"/>
  <c r="Q37" i="81"/>
  <c r="Q36" i="81"/>
  <c r="B209" i="42"/>
  <c r="A100" i="81"/>
  <c r="A99" i="81"/>
  <c r="E97" i="81"/>
  <c r="A97" i="81"/>
  <c r="A95" i="81"/>
  <c r="A94" i="81"/>
  <c r="A93" i="81"/>
  <c r="A92" i="81"/>
  <c r="A90" i="81"/>
  <c r="E89" i="81"/>
  <c r="E93" i="81" s="1"/>
  <c r="A89" i="81"/>
  <c r="J88" i="81"/>
  <c r="K88" i="81" s="1"/>
  <c r="L88" i="81" s="1"/>
  <c r="M88" i="81" s="1"/>
  <c r="I88" i="81"/>
  <c r="H88" i="81"/>
  <c r="G88" i="81"/>
  <c r="F88" i="81"/>
  <c r="E88" i="81"/>
  <c r="Q94" i="81" s="1"/>
  <c r="A88" i="81"/>
  <c r="A87" i="81"/>
  <c r="E86" i="81"/>
  <c r="F86" i="81" s="1"/>
  <c r="G86" i="81" s="1"/>
  <c r="H86" i="81" s="1"/>
  <c r="I86" i="81" s="1"/>
  <c r="J86" i="81" s="1"/>
  <c r="K86" i="81" s="1"/>
  <c r="L86" i="81" s="1"/>
  <c r="M86" i="81" s="1"/>
  <c r="A86" i="81"/>
  <c r="E85" i="81"/>
  <c r="A85" i="81"/>
  <c r="E84" i="81"/>
  <c r="A84" i="81"/>
  <c r="A83" i="81"/>
  <c r="A82" i="81"/>
  <c r="E81" i="81"/>
  <c r="A81" i="81"/>
  <c r="A80" i="81"/>
  <c r="A78" i="81"/>
  <c r="E77" i="81"/>
  <c r="F77" i="81" s="1"/>
  <c r="G77" i="81" s="1"/>
  <c r="H77" i="81" s="1"/>
  <c r="I77" i="81" s="1"/>
  <c r="J77" i="81" s="1"/>
  <c r="K77" i="81" s="1"/>
  <c r="L77" i="81" s="1"/>
  <c r="M77" i="81" s="1"/>
  <c r="A77" i="81"/>
  <c r="E76" i="81"/>
  <c r="F76" i="81" s="1"/>
  <c r="G76" i="81" s="1"/>
  <c r="H76" i="81" s="1"/>
  <c r="I76" i="81" s="1"/>
  <c r="J76" i="81" s="1"/>
  <c r="K76" i="81" s="1"/>
  <c r="L76" i="81" s="1"/>
  <c r="M76" i="81" s="1"/>
  <c r="A76" i="81"/>
  <c r="E75" i="81"/>
  <c r="A75" i="81"/>
  <c r="E74" i="81"/>
  <c r="F74" i="81" s="1"/>
  <c r="G74" i="81" s="1"/>
  <c r="H74" i="81" s="1"/>
  <c r="I74" i="81" s="1"/>
  <c r="J74" i="81" s="1"/>
  <c r="K74" i="81" s="1"/>
  <c r="L74" i="81" s="1"/>
  <c r="M74" i="81" s="1"/>
  <c r="A74" i="81"/>
  <c r="E73" i="81"/>
  <c r="A73" i="81"/>
  <c r="A72" i="81"/>
  <c r="A71" i="81"/>
  <c r="E71" i="81"/>
  <c r="F71" i="81" s="1"/>
  <c r="G71" i="81" s="1"/>
  <c r="H71" i="81" s="1"/>
  <c r="I71" i="81" s="1"/>
  <c r="J71" i="81" s="1"/>
  <c r="K71" i="81" s="1"/>
  <c r="L71" i="81" s="1"/>
  <c r="M71" i="81" s="1"/>
  <c r="E70" i="81"/>
  <c r="A70" i="81"/>
  <c r="E69" i="81"/>
  <c r="A69" i="81"/>
  <c r="E68" i="81"/>
  <c r="A68" i="81"/>
  <c r="A67" i="81"/>
  <c r="A66" i="81"/>
  <c r="E65" i="81"/>
  <c r="F65" i="81" s="1"/>
  <c r="G65" i="81" s="1"/>
  <c r="H65" i="81" s="1"/>
  <c r="I65" i="81" s="1"/>
  <c r="J65" i="81" s="1"/>
  <c r="K65" i="81" s="1"/>
  <c r="L65" i="81" s="1"/>
  <c r="M65" i="81" s="1"/>
  <c r="A65" i="81"/>
  <c r="E64" i="81"/>
  <c r="F64" i="81" s="1"/>
  <c r="G64" i="81" s="1"/>
  <c r="H64" i="81" s="1"/>
  <c r="I64" i="81" s="1"/>
  <c r="J64" i="81" s="1"/>
  <c r="K64" i="81" s="1"/>
  <c r="L64" i="81" s="1"/>
  <c r="M64" i="81" s="1"/>
  <c r="A64" i="81"/>
  <c r="E63" i="81"/>
  <c r="F63" i="81" s="1"/>
  <c r="G63" i="81" s="1"/>
  <c r="H63" i="81" s="1"/>
  <c r="I63" i="81" s="1"/>
  <c r="J63" i="81" s="1"/>
  <c r="K63" i="81" s="1"/>
  <c r="L63" i="81" s="1"/>
  <c r="M63" i="81" s="1"/>
  <c r="A63" i="81"/>
  <c r="E62" i="81"/>
  <c r="A62" i="81"/>
  <c r="E61" i="81"/>
  <c r="F61" i="81" s="1"/>
  <c r="G61" i="81" s="1"/>
  <c r="H61" i="81" s="1"/>
  <c r="I61" i="81" s="1"/>
  <c r="J61" i="81" s="1"/>
  <c r="K61" i="81" s="1"/>
  <c r="L61" i="81" s="1"/>
  <c r="M61" i="81" s="1"/>
  <c r="A61" i="81"/>
  <c r="A60" i="81"/>
  <c r="A59" i="81"/>
  <c r="E58" i="81"/>
  <c r="F58" i="81" s="1"/>
  <c r="G58" i="81" s="1"/>
  <c r="H58" i="81" s="1"/>
  <c r="I58" i="81" s="1"/>
  <c r="J58" i="81" s="1"/>
  <c r="K58" i="81" s="1"/>
  <c r="L58" i="81" s="1"/>
  <c r="M58" i="81" s="1"/>
  <c r="A58" i="81"/>
  <c r="E57" i="81"/>
  <c r="A57" i="81"/>
  <c r="E56" i="81"/>
  <c r="A56" i="81"/>
  <c r="E55" i="81"/>
  <c r="A55" i="81"/>
  <c r="A54" i="81"/>
  <c r="E59" i="81"/>
  <c r="F59" i="81" s="1"/>
  <c r="G59" i="81" s="1"/>
  <c r="H59" i="81" s="1"/>
  <c r="I59" i="81" s="1"/>
  <c r="J59" i="81" s="1"/>
  <c r="K59" i="81" s="1"/>
  <c r="L59" i="81" s="1"/>
  <c r="M59" i="81" s="1"/>
  <c r="A53" i="81"/>
  <c r="E52" i="81"/>
  <c r="A52" i="81"/>
  <c r="A51" i="81"/>
  <c r="A49" i="81"/>
  <c r="E54" i="81"/>
  <c r="E48" i="81"/>
  <c r="A48" i="81"/>
  <c r="A47" i="81"/>
  <c r="A46" i="81"/>
  <c r="E45" i="81"/>
  <c r="F45" i="81" s="1"/>
  <c r="G45" i="81" s="1"/>
  <c r="H45" i="81" s="1"/>
  <c r="I45" i="81" s="1"/>
  <c r="J45" i="81" s="1"/>
  <c r="K45" i="81" s="1"/>
  <c r="L45" i="81" s="1"/>
  <c r="M45" i="81" s="1"/>
  <c r="A45" i="81"/>
  <c r="A44" i="81"/>
  <c r="E43" i="81"/>
  <c r="F43" i="81" s="1"/>
  <c r="A43" i="81"/>
  <c r="A42" i="81"/>
  <c r="A41" i="81"/>
  <c r="E40" i="81"/>
  <c r="A40" i="81"/>
  <c r="E39" i="81"/>
  <c r="A39" i="81"/>
  <c r="A38" i="81"/>
  <c r="E37" i="81"/>
  <c r="A37" i="81"/>
  <c r="E36" i="81"/>
  <c r="A36" i="81"/>
  <c r="E35" i="81"/>
  <c r="A35" i="81"/>
  <c r="E34" i="81"/>
  <c r="A34" i="81"/>
  <c r="E33" i="81"/>
  <c r="A33" i="81"/>
  <c r="E32" i="81"/>
  <c r="A32" i="81"/>
  <c r="A31" i="81"/>
  <c r="A30" i="81"/>
  <c r="A29" i="81"/>
  <c r="E28" i="81"/>
  <c r="A28" i="81"/>
  <c r="E27" i="81"/>
  <c r="A27" i="81"/>
  <c r="A26" i="81"/>
  <c r="A24" i="81"/>
  <c r="E23" i="81"/>
  <c r="A23" i="81"/>
  <c r="E38" i="81"/>
  <c r="E22" i="81"/>
  <c r="A22" i="81"/>
  <c r="E21" i="81"/>
  <c r="A21" i="81"/>
  <c r="E20" i="81"/>
  <c r="A20" i="81"/>
  <c r="A17" i="81"/>
  <c r="E82" i="81"/>
  <c r="E83" i="81"/>
  <c r="A15" i="81"/>
  <c r="E14" i="81"/>
  <c r="A14" i="81"/>
  <c r="E13" i="81"/>
  <c r="A13" i="81"/>
  <c r="A12" i="81"/>
  <c r="E11" i="81"/>
  <c r="A11" i="81"/>
  <c r="A7" i="81"/>
  <c r="A6" i="81"/>
  <c r="E12" i="81"/>
  <c r="A5" i="81"/>
  <c r="A4" i="81"/>
  <c r="M1" i="81"/>
  <c r="L1" i="81"/>
  <c r="K1" i="81"/>
  <c r="J1" i="81"/>
  <c r="I1" i="81"/>
  <c r="H1" i="81"/>
  <c r="G1" i="81"/>
  <c r="F1" i="81"/>
  <c r="E1" i="81"/>
  <c r="G82" i="74"/>
  <c r="G79" i="74"/>
  <c r="G66" i="74"/>
  <c r="G47" i="74"/>
  <c r="G53" i="74" s="1"/>
  <c r="G15" i="74"/>
  <c r="G36" i="74" s="1"/>
  <c r="G10" i="74"/>
  <c r="G8" i="74"/>
  <c r="H85" i="82" l="1"/>
  <c r="G69" i="74"/>
  <c r="E46" i="85"/>
  <c r="U46" i="85" s="1"/>
  <c r="Q95" i="81"/>
  <c r="Q96" i="81" s="1"/>
  <c r="E30" i="85"/>
  <c r="U30" i="85" s="1"/>
  <c r="E46" i="82"/>
  <c r="E31" i="85"/>
  <c r="U31" i="85" s="1"/>
  <c r="E47" i="85"/>
  <c r="U47" i="85" s="1"/>
  <c r="F85" i="82"/>
  <c r="E72" i="82"/>
  <c r="E78" i="82" s="1"/>
  <c r="D55" i="82"/>
  <c r="E60" i="82"/>
  <c r="E66" i="82" s="1"/>
  <c r="Q96" i="82"/>
  <c r="E24" i="82"/>
  <c r="D40" i="82" s="1"/>
  <c r="E41" i="82"/>
  <c r="F31" i="82"/>
  <c r="D28" i="82"/>
  <c r="J43" i="82"/>
  <c r="G85" i="82"/>
  <c r="E90" i="82"/>
  <c r="C13" i="85" s="1"/>
  <c r="G73" i="82"/>
  <c r="H73" i="82" s="1"/>
  <c r="I73" i="82" s="1"/>
  <c r="I85" i="82"/>
  <c r="J85" i="82"/>
  <c r="Q43" i="82"/>
  <c r="K85" i="82"/>
  <c r="L85" i="82"/>
  <c r="E93" i="82"/>
  <c r="D28" i="81"/>
  <c r="D29" i="81" s="1"/>
  <c r="E24" i="81"/>
  <c r="D32" i="81" s="1"/>
  <c r="E29" i="81"/>
  <c r="D54" i="81" s="1"/>
  <c r="D36" i="81"/>
  <c r="E60" i="81"/>
  <c r="E66" i="81" s="1"/>
  <c r="G43" i="81"/>
  <c r="K85" i="81"/>
  <c r="J85" i="81"/>
  <c r="I85" i="81"/>
  <c r="H85" i="81"/>
  <c r="G85" i="81"/>
  <c r="F85" i="81"/>
  <c r="M85" i="81"/>
  <c r="E72" i="81"/>
  <c r="E78" i="81" s="1"/>
  <c r="F73" i="81"/>
  <c r="L85" i="81"/>
  <c r="F69" i="81"/>
  <c r="G69" i="81" s="1"/>
  <c r="H69" i="81" s="1"/>
  <c r="I69" i="81" s="1"/>
  <c r="J69" i="81" s="1"/>
  <c r="K69" i="81" s="1"/>
  <c r="L69" i="81" s="1"/>
  <c r="M69" i="81" s="1"/>
  <c r="E31" i="81"/>
  <c r="E44" i="81"/>
  <c r="E46" i="81" s="1"/>
  <c r="E92" i="82" l="1"/>
  <c r="D33" i="82"/>
  <c r="D36" i="82"/>
  <c r="D56" i="82"/>
  <c r="D68" i="81"/>
  <c r="D40" i="81"/>
  <c r="D35" i="81"/>
  <c r="D39" i="81"/>
  <c r="D68" i="82"/>
  <c r="D38" i="81"/>
  <c r="D33" i="81"/>
  <c r="D37" i="81"/>
  <c r="D38" i="82"/>
  <c r="D34" i="81"/>
  <c r="E47" i="82"/>
  <c r="E49" i="82" s="1"/>
  <c r="E80" i="82" s="1"/>
  <c r="D87" i="82" s="1"/>
  <c r="D54" i="82"/>
  <c r="E94" i="82"/>
  <c r="E95" i="82" s="1"/>
  <c r="J73" i="82"/>
  <c r="G31" i="82"/>
  <c r="K43" i="82"/>
  <c r="D34" i="82"/>
  <c r="D35" i="82"/>
  <c r="D37" i="82"/>
  <c r="D32" i="82"/>
  <c r="D39" i="82"/>
  <c r="E15" i="82"/>
  <c r="E17" i="82" s="1"/>
  <c r="D56" i="81"/>
  <c r="E15" i="81"/>
  <c r="E17" i="81" s="1"/>
  <c r="D55" i="81"/>
  <c r="E87" i="81"/>
  <c r="E90" i="81" s="1"/>
  <c r="C14" i="85" s="1"/>
  <c r="G73" i="81"/>
  <c r="H73" i="81" s="1"/>
  <c r="I73" i="81" s="1"/>
  <c r="F31" i="81"/>
  <c r="E41" i="81"/>
  <c r="H43" i="81"/>
  <c r="Q103" i="80"/>
  <c r="A100" i="80"/>
  <c r="Q99" i="80"/>
  <c r="A99" i="80"/>
  <c r="E97" i="80"/>
  <c r="A97" i="80"/>
  <c r="A95" i="80"/>
  <c r="A94" i="80"/>
  <c r="A93" i="80"/>
  <c r="A92" i="80"/>
  <c r="Q90" i="80"/>
  <c r="A90" i="80"/>
  <c r="Q89" i="80"/>
  <c r="E89" i="80"/>
  <c r="E93" i="80" s="1"/>
  <c r="A89" i="80"/>
  <c r="J88" i="80"/>
  <c r="I88" i="80"/>
  <c r="H88" i="80"/>
  <c r="G88" i="80"/>
  <c r="F88" i="80"/>
  <c r="E88" i="80"/>
  <c r="A88" i="80"/>
  <c r="Q87" i="80"/>
  <c r="A87" i="80"/>
  <c r="E86" i="80"/>
  <c r="F86" i="80" s="1"/>
  <c r="G86" i="80" s="1"/>
  <c r="H86" i="80" s="1"/>
  <c r="I86" i="80" s="1"/>
  <c r="J86" i="80" s="1"/>
  <c r="K86" i="80" s="1"/>
  <c r="L86" i="80" s="1"/>
  <c r="M86" i="80" s="1"/>
  <c r="A86" i="80"/>
  <c r="M85" i="80"/>
  <c r="L85" i="80"/>
  <c r="K85" i="80"/>
  <c r="J85" i="80"/>
  <c r="I85" i="80"/>
  <c r="H85" i="80"/>
  <c r="G85" i="80"/>
  <c r="F85" i="80"/>
  <c r="E85" i="80"/>
  <c r="A85" i="80"/>
  <c r="E84" i="80"/>
  <c r="A84" i="80"/>
  <c r="E83" i="80"/>
  <c r="A83" i="80"/>
  <c r="A82" i="80"/>
  <c r="E81" i="80"/>
  <c r="A81" i="80"/>
  <c r="A80" i="80"/>
  <c r="A78" i="80"/>
  <c r="F77" i="80"/>
  <c r="G77" i="80" s="1"/>
  <c r="H77" i="80" s="1"/>
  <c r="I77" i="80" s="1"/>
  <c r="J77" i="80" s="1"/>
  <c r="K77" i="80" s="1"/>
  <c r="L77" i="80" s="1"/>
  <c r="M77" i="80" s="1"/>
  <c r="E77" i="80"/>
  <c r="A77" i="80"/>
  <c r="E76" i="80"/>
  <c r="F76" i="80" s="1"/>
  <c r="G76" i="80" s="1"/>
  <c r="H76" i="80" s="1"/>
  <c r="I76" i="80" s="1"/>
  <c r="J76" i="80" s="1"/>
  <c r="K76" i="80" s="1"/>
  <c r="L76" i="80" s="1"/>
  <c r="M76" i="80" s="1"/>
  <c r="A76" i="80"/>
  <c r="E75" i="80"/>
  <c r="A75" i="80"/>
  <c r="E74" i="80"/>
  <c r="F74" i="80" s="1"/>
  <c r="G74" i="80" s="1"/>
  <c r="H74" i="80" s="1"/>
  <c r="I74" i="80" s="1"/>
  <c r="J74" i="80" s="1"/>
  <c r="K74" i="80" s="1"/>
  <c r="L74" i="80" s="1"/>
  <c r="M74" i="80" s="1"/>
  <c r="A74" i="80"/>
  <c r="G73" i="80"/>
  <c r="H73" i="80" s="1"/>
  <c r="I73" i="80" s="1"/>
  <c r="F73" i="80"/>
  <c r="E73" i="80"/>
  <c r="A73" i="80"/>
  <c r="A72" i="80"/>
  <c r="E71" i="80"/>
  <c r="E72" i="80" s="1"/>
  <c r="E78" i="80" s="1"/>
  <c r="A71" i="80"/>
  <c r="Q70" i="80"/>
  <c r="Q74" i="80" s="1"/>
  <c r="Q83" i="80" s="1"/>
  <c r="E70" i="80"/>
  <c r="A70" i="80"/>
  <c r="E69" i="80"/>
  <c r="F69" i="80" s="1"/>
  <c r="G69" i="80" s="1"/>
  <c r="H69" i="80" s="1"/>
  <c r="I69" i="80" s="1"/>
  <c r="J69" i="80" s="1"/>
  <c r="K69" i="80" s="1"/>
  <c r="L69" i="80" s="1"/>
  <c r="M69" i="80" s="1"/>
  <c r="A69" i="80"/>
  <c r="E68" i="80"/>
  <c r="A68" i="80"/>
  <c r="A67" i="80"/>
  <c r="A66" i="80"/>
  <c r="A65" i="80"/>
  <c r="G64" i="80"/>
  <c r="H64" i="80" s="1"/>
  <c r="I64" i="80" s="1"/>
  <c r="J64" i="80" s="1"/>
  <c r="K64" i="80" s="1"/>
  <c r="L64" i="80" s="1"/>
  <c r="M64" i="80" s="1"/>
  <c r="F64" i="80"/>
  <c r="E64" i="80"/>
  <c r="A64" i="80"/>
  <c r="E63" i="80"/>
  <c r="F63" i="80" s="1"/>
  <c r="G63" i="80" s="1"/>
  <c r="H63" i="80" s="1"/>
  <c r="I63" i="80" s="1"/>
  <c r="J63" i="80" s="1"/>
  <c r="K63" i="80" s="1"/>
  <c r="L63" i="80" s="1"/>
  <c r="M63" i="80" s="1"/>
  <c r="A63" i="80"/>
  <c r="E62" i="80"/>
  <c r="A62" i="80"/>
  <c r="Q61" i="80"/>
  <c r="E65" i="80" s="1"/>
  <c r="F65" i="80" s="1"/>
  <c r="G65" i="80" s="1"/>
  <c r="H65" i="80" s="1"/>
  <c r="I65" i="80" s="1"/>
  <c r="J65" i="80" s="1"/>
  <c r="K65" i="80" s="1"/>
  <c r="L65" i="80" s="1"/>
  <c r="M65" i="80" s="1"/>
  <c r="F61" i="80"/>
  <c r="G61" i="80" s="1"/>
  <c r="H61" i="80" s="1"/>
  <c r="I61" i="80" s="1"/>
  <c r="J61" i="80" s="1"/>
  <c r="K61" i="80" s="1"/>
  <c r="L61" i="80" s="1"/>
  <c r="M61" i="80" s="1"/>
  <c r="E61" i="80"/>
  <c r="A61" i="80"/>
  <c r="A60" i="80"/>
  <c r="F59" i="80"/>
  <c r="G59" i="80" s="1"/>
  <c r="H59" i="80" s="1"/>
  <c r="I59" i="80" s="1"/>
  <c r="J59" i="80" s="1"/>
  <c r="K59" i="80" s="1"/>
  <c r="L59" i="80" s="1"/>
  <c r="M59" i="80" s="1"/>
  <c r="E59" i="80"/>
  <c r="A59" i="80"/>
  <c r="E58" i="80"/>
  <c r="F58" i="80" s="1"/>
  <c r="G58" i="80" s="1"/>
  <c r="H58" i="80" s="1"/>
  <c r="I58" i="80" s="1"/>
  <c r="J58" i="80" s="1"/>
  <c r="K58" i="80" s="1"/>
  <c r="L58" i="80" s="1"/>
  <c r="M58" i="80" s="1"/>
  <c r="A58" i="80"/>
  <c r="E57" i="80"/>
  <c r="A57" i="80"/>
  <c r="A56" i="80"/>
  <c r="E55" i="80"/>
  <c r="A55" i="80"/>
  <c r="E54" i="80"/>
  <c r="A54" i="80"/>
  <c r="Q53" i="80"/>
  <c r="A53" i="80"/>
  <c r="A52" i="80"/>
  <c r="A51" i="80"/>
  <c r="Q50" i="80"/>
  <c r="E56" i="80" s="1"/>
  <c r="D56" i="80" s="1"/>
  <c r="Q49" i="80"/>
  <c r="A49" i="80"/>
  <c r="Q48" i="80"/>
  <c r="A48" i="80"/>
  <c r="A47" i="80"/>
  <c r="Q46" i="80"/>
  <c r="Q56" i="80" s="1"/>
  <c r="Q64" i="80" s="1"/>
  <c r="A46" i="80"/>
  <c r="A45" i="80"/>
  <c r="A44" i="80"/>
  <c r="E43" i="80"/>
  <c r="F43" i="80" s="1"/>
  <c r="G43" i="80" s="1"/>
  <c r="A43" i="80"/>
  <c r="A42" i="80"/>
  <c r="A41" i="80"/>
  <c r="E40" i="80"/>
  <c r="A40" i="80"/>
  <c r="Q39" i="80"/>
  <c r="E48" i="80" s="1"/>
  <c r="E39" i="80"/>
  <c r="A39" i="80"/>
  <c r="A38" i="80"/>
  <c r="Q37" i="80"/>
  <c r="E45" i="80" s="1"/>
  <c r="F45" i="80" s="1"/>
  <c r="G45" i="80" s="1"/>
  <c r="H45" i="80" s="1"/>
  <c r="I45" i="80" s="1"/>
  <c r="J45" i="80" s="1"/>
  <c r="K45" i="80" s="1"/>
  <c r="L45" i="80" s="1"/>
  <c r="M45" i="80" s="1"/>
  <c r="E37" i="80"/>
  <c r="A37" i="80"/>
  <c r="Q36" i="80"/>
  <c r="Q38" i="80" s="1"/>
  <c r="E36" i="80"/>
  <c r="A36" i="80"/>
  <c r="E35" i="80"/>
  <c r="A35" i="80"/>
  <c r="E34" i="80"/>
  <c r="A34" i="80"/>
  <c r="E33" i="80"/>
  <c r="A33" i="80"/>
  <c r="A32" i="80"/>
  <c r="Q31" i="80"/>
  <c r="E31" i="80"/>
  <c r="A31" i="80"/>
  <c r="A30" i="80"/>
  <c r="A29" i="80"/>
  <c r="E28" i="80"/>
  <c r="D28" i="80" s="1"/>
  <c r="A28" i="80"/>
  <c r="E27" i="80"/>
  <c r="E29" i="80" s="1"/>
  <c r="A27" i="80"/>
  <c r="A26" i="80"/>
  <c r="A24" i="80"/>
  <c r="E23" i="80"/>
  <c r="A23" i="80"/>
  <c r="Q22" i="80"/>
  <c r="E38" i="80" s="1"/>
  <c r="E22" i="80"/>
  <c r="A22" i="80"/>
  <c r="E21" i="80"/>
  <c r="A21" i="80"/>
  <c r="E20" i="80"/>
  <c r="A20" i="80"/>
  <c r="Q19" i="80"/>
  <c r="A17" i="80"/>
  <c r="Q16" i="80"/>
  <c r="Q15" i="80"/>
  <c r="A15" i="80"/>
  <c r="A14" i="80"/>
  <c r="M13" i="80"/>
  <c r="L13" i="80"/>
  <c r="K13" i="80"/>
  <c r="J13" i="80"/>
  <c r="I13" i="80"/>
  <c r="H13" i="80"/>
  <c r="G13" i="80"/>
  <c r="F13" i="80"/>
  <c r="E13" i="80"/>
  <c r="A13" i="80"/>
  <c r="Q12" i="80"/>
  <c r="E12" i="80"/>
  <c r="A12" i="80"/>
  <c r="E11" i="80"/>
  <c r="A11" i="80"/>
  <c r="Q10" i="80"/>
  <c r="Q7" i="80"/>
  <c r="E14" i="80" s="1"/>
  <c r="A7" i="80"/>
  <c r="A6" i="80"/>
  <c r="Q5" i="80"/>
  <c r="A5" i="80"/>
  <c r="A4" i="80"/>
  <c r="M1" i="80"/>
  <c r="L1" i="80"/>
  <c r="K1" i="80"/>
  <c r="J1" i="80"/>
  <c r="I1" i="80"/>
  <c r="H1" i="80"/>
  <c r="G1" i="80"/>
  <c r="F1" i="80"/>
  <c r="E1" i="80"/>
  <c r="Q103" i="79"/>
  <c r="A100" i="79"/>
  <c r="Q99" i="79"/>
  <c r="A99" i="79"/>
  <c r="A97" i="79"/>
  <c r="Q96" i="79"/>
  <c r="Q95" i="79"/>
  <c r="A95" i="79"/>
  <c r="Q94" i="79"/>
  <c r="A94" i="79"/>
  <c r="Q93" i="79"/>
  <c r="A93" i="79"/>
  <c r="A92" i="79"/>
  <c r="Q90" i="79"/>
  <c r="A90" i="79"/>
  <c r="E89" i="79"/>
  <c r="E93" i="79" s="1"/>
  <c r="A89" i="79"/>
  <c r="Q88" i="79"/>
  <c r="J88" i="79"/>
  <c r="I88" i="79"/>
  <c r="H88" i="79"/>
  <c r="G88" i="79"/>
  <c r="E88" i="79"/>
  <c r="A88" i="79"/>
  <c r="Q87" i="79"/>
  <c r="A87" i="79"/>
  <c r="A86" i="79"/>
  <c r="A85" i="79"/>
  <c r="A84" i="79"/>
  <c r="Q83" i="79"/>
  <c r="A83" i="79"/>
  <c r="A82" i="79"/>
  <c r="A81" i="79"/>
  <c r="A80" i="79"/>
  <c r="Q79" i="79"/>
  <c r="A78" i="79"/>
  <c r="A77" i="79"/>
  <c r="A76" i="79"/>
  <c r="A75" i="79"/>
  <c r="Q74" i="79"/>
  <c r="A74" i="79"/>
  <c r="A73" i="79"/>
  <c r="Q72" i="79"/>
  <c r="A72" i="79"/>
  <c r="A71" i="79"/>
  <c r="Q70" i="79"/>
  <c r="A70" i="79"/>
  <c r="A69" i="79"/>
  <c r="A68" i="79"/>
  <c r="A67" i="79"/>
  <c r="A66" i="79"/>
  <c r="A65" i="79"/>
  <c r="A64" i="79"/>
  <c r="A63" i="79"/>
  <c r="A62" i="79"/>
  <c r="Q61" i="79"/>
  <c r="A61" i="79"/>
  <c r="A60" i="79"/>
  <c r="A59" i="79"/>
  <c r="A58" i="79"/>
  <c r="Q57" i="79"/>
  <c r="A57" i="79"/>
  <c r="A56" i="79"/>
  <c r="A55" i="79"/>
  <c r="A54" i="79"/>
  <c r="A53" i="79"/>
  <c r="Q52" i="79"/>
  <c r="A52" i="79"/>
  <c r="A51" i="79"/>
  <c r="Q50" i="79"/>
  <c r="Q49" i="79"/>
  <c r="A49" i="79"/>
  <c r="Q48" i="79"/>
  <c r="Q56" i="79" s="1"/>
  <c r="A48" i="79"/>
  <c r="A47" i="79"/>
  <c r="Q46" i="79"/>
  <c r="A46" i="79"/>
  <c r="A45" i="79"/>
  <c r="A44" i="79"/>
  <c r="A43" i="79"/>
  <c r="A42" i="79"/>
  <c r="A41" i="79"/>
  <c r="Q40" i="79"/>
  <c r="A40" i="79"/>
  <c r="Q39" i="79"/>
  <c r="A39" i="79"/>
  <c r="A38" i="79"/>
  <c r="Q37" i="79"/>
  <c r="A37" i="79"/>
  <c r="Q36" i="79"/>
  <c r="Q38" i="79" s="1"/>
  <c r="A36" i="79"/>
  <c r="A35" i="79"/>
  <c r="A34" i="79"/>
  <c r="A33" i="79"/>
  <c r="A32" i="79"/>
  <c r="Q31" i="79"/>
  <c r="Q32" i="79" s="1"/>
  <c r="A31" i="79"/>
  <c r="Q30" i="79"/>
  <c r="A30" i="79"/>
  <c r="A29" i="79"/>
  <c r="A28" i="79"/>
  <c r="A27" i="79"/>
  <c r="A26" i="79"/>
  <c r="A24" i="79"/>
  <c r="Q23" i="79"/>
  <c r="E23" i="79"/>
  <c r="A23" i="79"/>
  <c r="Q22" i="79"/>
  <c r="E22" i="79"/>
  <c r="A22" i="79"/>
  <c r="Q21" i="79"/>
  <c r="E21" i="79"/>
  <c r="A21" i="79"/>
  <c r="E20" i="79"/>
  <c r="A20" i="79"/>
  <c r="Q19" i="79"/>
  <c r="A17" i="79"/>
  <c r="Q16" i="79"/>
  <c r="Q15" i="79"/>
  <c r="Q89" i="79" s="1"/>
  <c r="A15" i="79"/>
  <c r="A14" i="79"/>
  <c r="M13" i="79"/>
  <c r="L13" i="79"/>
  <c r="K13" i="79"/>
  <c r="J13" i="79"/>
  <c r="I13" i="79"/>
  <c r="H13" i="79"/>
  <c r="G13" i="79"/>
  <c r="F13" i="79"/>
  <c r="A13" i="79"/>
  <c r="Q12" i="79"/>
  <c r="A12" i="79"/>
  <c r="Q11" i="79"/>
  <c r="A11" i="79"/>
  <c r="Q10" i="79"/>
  <c r="A7" i="79"/>
  <c r="A6" i="79"/>
  <c r="A5" i="79"/>
  <c r="A4" i="79"/>
  <c r="P1" i="79"/>
  <c r="E74" i="79" s="1"/>
  <c r="G74" i="79" s="1"/>
  <c r="H74" i="79" s="1"/>
  <c r="I74" i="79" s="1"/>
  <c r="J74" i="79" s="1"/>
  <c r="K74" i="79" s="1"/>
  <c r="L74" i="79" s="1"/>
  <c r="M74" i="79" s="1"/>
  <c r="M1" i="79"/>
  <c r="L1" i="79"/>
  <c r="K1" i="79"/>
  <c r="J1" i="79"/>
  <c r="I1" i="79"/>
  <c r="H1" i="79"/>
  <c r="G1" i="79"/>
  <c r="F1" i="79"/>
  <c r="E1" i="79"/>
  <c r="J88" i="75"/>
  <c r="I88" i="75"/>
  <c r="H88" i="75"/>
  <c r="G88" i="75"/>
  <c r="F88" i="75"/>
  <c r="F86" i="75"/>
  <c r="G86" i="75" s="1"/>
  <c r="H86" i="75" s="1"/>
  <c r="I86" i="75" s="1"/>
  <c r="J86" i="75" s="1"/>
  <c r="K86" i="75" s="1"/>
  <c r="L86" i="75" s="1"/>
  <c r="M86" i="75" s="1"/>
  <c r="M85" i="75"/>
  <c r="L85" i="75"/>
  <c r="K85" i="75"/>
  <c r="J85" i="75"/>
  <c r="I85" i="75"/>
  <c r="H85" i="75"/>
  <c r="G85" i="75"/>
  <c r="F85" i="75"/>
  <c r="M83" i="75"/>
  <c r="L83" i="75"/>
  <c r="K83" i="75"/>
  <c r="J83" i="75"/>
  <c r="I83" i="75"/>
  <c r="H83" i="75"/>
  <c r="G83" i="75"/>
  <c r="F83" i="75"/>
  <c r="J88" i="71"/>
  <c r="I88" i="71"/>
  <c r="H88" i="71"/>
  <c r="G88" i="71"/>
  <c r="F88" i="71"/>
  <c r="J88" i="63"/>
  <c r="I88" i="63"/>
  <c r="H88" i="63"/>
  <c r="G88" i="63"/>
  <c r="F88" i="63"/>
  <c r="F86" i="63"/>
  <c r="G86" i="63" s="1"/>
  <c r="H86" i="63" s="1"/>
  <c r="I86" i="63" s="1"/>
  <c r="J86" i="63" s="1"/>
  <c r="K86" i="63" s="1"/>
  <c r="L86" i="63" s="1"/>
  <c r="M86" i="63" s="1"/>
  <c r="M83" i="63"/>
  <c r="L83" i="63"/>
  <c r="K83" i="63"/>
  <c r="J83" i="63"/>
  <c r="I83" i="63"/>
  <c r="H83" i="63"/>
  <c r="G83" i="63"/>
  <c r="F83" i="63"/>
  <c r="J88" i="64"/>
  <c r="I88" i="64"/>
  <c r="H88" i="64"/>
  <c r="G88" i="64"/>
  <c r="F88" i="64"/>
  <c r="F86" i="64"/>
  <c r="G86" i="64" s="1"/>
  <c r="H86" i="64" s="1"/>
  <c r="I86" i="64" s="1"/>
  <c r="J86" i="64" s="1"/>
  <c r="K86" i="64" s="1"/>
  <c r="L86" i="64" s="1"/>
  <c r="M86" i="64" s="1"/>
  <c r="M83" i="64"/>
  <c r="L83" i="64"/>
  <c r="K83" i="64"/>
  <c r="J83" i="64"/>
  <c r="I83" i="64"/>
  <c r="H83" i="64"/>
  <c r="G83" i="64"/>
  <c r="F83" i="64"/>
  <c r="J88" i="65"/>
  <c r="I88" i="65"/>
  <c r="H88" i="65"/>
  <c r="G88" i="65"/>
  <c r="F88" i="65"/>
  <c r="F86" i="65"/>
  <c r="G86" i="65" s="1"/>
  <c r="H86" i="65" s="1"/>
  <c r="I86" i="65" s="1"/>
  <c r="J86" i="65" s="1"/>
  <c r="K86" i="65" s="1"/>
  <c r="L86" i="65" s="1"/>
  <c r="M86" i="65" s="1"/>
  <c r="M85" i="65"/>
  <c r="L85" i="65"/>
  <c r="K85" i="65"/>
  <c r="J85" i="65"/>
  <c r="I85" i="65"/>
  <c r="H85" i="65"/>
  <c r="G85" i="65"/>
  <c r="F85" i="65"/>
  <c r="M83" i="65"/>
  <c r="L83" i="65"/>
  <c r="K83" i="65"/>
  <c r="J83" i="65"/>
  <c r="I83" i="65"/>
  <c r="H83" i="65"/>
  <c r="G83" i="65"/>
  <c r="F83" i="65"/>
  <c r="J88" i="39"/>
  <c r="I88" i="39"/>
  <c r="H88" i="39"/>
  <c r="G88" i="39"/>
  <c r="F88" i="39"/>
  <c r="E38" i="85" s="1"/>
  <c r="U38" i="85" s="1"/>
  <c r="F86" i="39"/>
  <c r="G86" i="39" s="1"/>
  <c r="H86" i="39" s="1"/>
  <c r="I86" i="39" s="1"/>
  <c r="J86" i="39" s="1"/>
  <c r="K86" i="39" s="1"/>
  <c r="L86" i="39" s="1"/>
  <c r="M86" i="39" s="1"/>
  <c r="M83" i="39"/>
  <c r="L83" i="39"/>
  <c r="K83" i="39"/>
  <c r="J83" i="39"/>
  <c r="I83" i="39"/>
  <c r="H83" i="39"/>
  <c r="G83" i="39"/>
  <c r="F83" i="39"/>
  <c r="J88" i="40"/>
  <c r="I88" i="40"/>
  <c r="H88" i="40"/>
  <c r="G88" i="40"/>
  <c r="F88" i="40"/>
  <c r="F86" i="40"/>
  <c r="G86" i="40" s="1"/>
  <c r="H86" i="40" s="1"/>
  <c r="I86" i="40" s="1"/>
  <c r="J86" i="40" s="1"/>
  <c r="K86" i="40" s="1"/>
  <c r="L86" i="40" s="1"/>
  <c r="M86" i="40" s="1"/>
  <c r="M83" i="40"/>
  <c r="L83" i="40"/>
  <c r="K83" i="40"/>
  <c r="J83" i="40"/>
  <c r="I83" i="40"/>
  <c r="H83" i="40"/>
  <c r="G83" i="40"/>
  <c r="F83" i="40"/>
  <c r="J88" i="50"/>
  <c r="I88" i="50"/>
  <c r="H88" i="50"/>
  <c r="G88" i="50"/>
  <c r="F88" i="50"/>
  <c r="F86" i="50"/>
  <c r="G86" i="50" s="1"/>
  <c r="H86" i="50" s="1"/>
  <c r="I86" i="50" s="1"/>
  <c r="J86" i="50" s="1"/>
  <c r="K86" i="50" s="1"/>
  <c r="L86" i="50" s="1"/>
  <c r="M86" i="50" s="1"/>
  <c r="M85" i="50"/>
  <c r="L85" i="50"/>
  <c r="K85" i="50"/>
  <c r="J85" i="50"/>
  <c r="I85" i="50"/>
  <c r="H85" i="50"/>
  <c r="G85" i="50"/>
  <c r="F85" i="50"/>
  <c r="M83" i="50"/>
  <c r="L83" i="50"/>
  <c r="K83" i="50"/>
  <c r="J83" i="50"/>
  <c r="I83" i="50"/>
  <c r="H83" i="50"/>
  <c r="G83" i="50"/>
  <c r="F83" i="50"/>
  <c r="G43" i="50"/>
  <c r="H43" i="50"/>
  <c r="I43" i="50" s="1"/>
  <c r="J43" i="50" s="1"/>
  <c r="K43" i="50" s="1"/>
  <c r="L43" i="50" s="1"/>
  <c r="M43" i="50" s="1"/>
  <c r="F43" i="50"/>
  <c r="G31" i="50"/>
  <c r="H31" i="50" s="1"/>
  <c r="I31" i="50" s="1"/>
  <c r="J31" i="50" s="1"/>
  <c r="K31" i="50" s="1"/>
  <c r="L31" i="50" s="1"/>
  <c r="M31" i="50" s="1"/>
  <c r="F31" i="50"/>
  <c r="E39" i="40"/>
  <c r="E30" i="50"/>
  <c r="Q103" i="71"/>
  <c r="Q103" i="75"/>
  <c r="D48" i="64"/>
  <c r="D48" i="65"/>
  <c r="D48" i="50"/>
  <c r="E87" i="75"/>
  <c r="E20" i="75"/>
  <c r="Q99" i="75"/>
  <c r="Q90" i="75"/>
  <c r="Q88" i="75"/>
  <c r="Q87" i="75"/>
  <c r="Q70" i="75"/>
  <c r="Q74" i="75" s="1"/>
  <c r="Q83" i="75" s="1"/>
  <c r="Q61" i="75"/>
  <c r="Q56" i="75"/>
  <c r="Q64" i="75" s="1"/>
  <c r="Q53" i="75"/>
  <c r="Q50" i="75"/>
  <c r="Q49" i="75"/>
  <c r="Q48" i="75"/>
  <c r="Q46" i="75"/>
  <c r="Q39" i="75"/>
  <c r="Q38" i="75"/>
  <c r="Q37" i="75"/>
  <c r="Q36" i="75"/>
  <c r="Q31" i="75"/>
  <c r="Q22" i="75"/>
  <c r="Q19" i="75"/>
  <c r="Q16" i="75"/>
  <c r="Q15" i="75"/>
  <c r="Q32" i="75" s="1"/>
  <c r="Q10" i="75"/>
  <c r="Q12" i="75" s="1"/>
  <c r="Q7" i="75"/>
  <c r="Q5" i="75"/>
  <c r="B220" i="42"/>
  <c r="A100" i="75"/>
  <c r="A99" i="75"/>
  <c r="A97" i="75"/>
  <c r="A95" i="75"/>
  <c r="A94" i="75"/>
  <c r="A93" i="75"/>
  <c r="A92" i="75"/>
  <c r="A90" i="75"/>
  <c r="E89" i="75"/>
  <c r="E93" i="75" s="1"/>
  <c r="A89" i="75"/>
  <c r="E88" i="75"/>
  <c r="A88" i="75"/>
  <c r="A87" i="75"/>
  <c r="A86" i="75"/>
  <c r="A85" i="75"/>
  <c r="A84" i="75"/>
  <c r="A83" i="75"/>
  <c r="A82" i="75"/>
  <c r="A81" i="75"/>
  <c r="A80" i="75"/>
  <c r="A78" i="75"/>
  <c r="A77" i="75"/>
  <c r="A76" i="75"/>
  <c r="A75" i="75"/>
  <c r="A74" i="75"/>
  <c r="A73" i="75"/>
  <c r="A72" i="75"/>
  <c r="A71" i="75"/>
  <c r="A70" i="75"/>
  <c r="A69" i="75"/>
  <c r="A68" i="75"/>
  <c r="A67" i="75"/>
  <c r="A66" i="75"/>
  <c r="A65" i="75"/>
  <c r="A64" i="75"/>
  <c r="A63" i="75"/>
  <c r="A62" i="75"/>
  <c r="A61" i="75"/>
  <c r="A60" i="75"/>
  <c r="A59" i="75"/>
  <c r="A58" i="75"/>
  <c r="A57" i="75"/>
  <c r="A56" i="75"/>
  <c r="A55" i="75"/>
  <c r="A54" i="75"/>
  <c r="A53" i="75"/>
  <c r="A52" i="75"/>
  <c r="A51" i="75"/>
  <c r="A49" i="75"/>
  <c r="A48" i="75"/>
  <c r="A47" i="75"/>
  <c r="A46" i="75"/>
  <c r="A45" i="75"/>
  <c r="A44" i="75"/>
  <c r="A43" i="75"/>
  <c r="A42" i="75"/>
  <c r="A41" i="75"/>
  <c r="A40" i="75"/>
  <c r="A39" i="75"/>
  <c r="A38" i="75"/>
  <c r="A37" i="75"/>
  <c r="A36" i="75"/>
  <c r="A35" i="75"/>
  <c r="A34" i="75"/>
  <c r="A33" i="75"/>
  <c r="A32" i="75"/>
  <c r="A31" i="75"/>
  <c r="A30" i="75"/>
  <c r="A29" i="75"/>
  <c r="E28" i="75"/>
  <c r="A28" i="75"/>
  <c r="A27" i="75"/>
  <c r="A26" i="75"/>
  <c r="A24" i="75"/>
  <c r="E23" i="75"/>
  <c r="A23" i="75"/>
  <c r="E22" i="75"/>
  <c r="A22" i="75"/>
  <c r="E21" i="75"/>
  <c r="A21" i="75"/>
  <c r="A20" i="75"/>
  <c r="A17" i="75"/>
  <c r="A15" i="75"/>
  <c r="A14" i="75"/>
  <c r="M13" i="75"/>
  <c r="L13" i="75"/>
  <c r="K13" i="75"/>
  <c r="J13" i="75"/>
  <c r="I13" i="75"/>
  <c r="H13" i="75"/>
  <c r="G13" i="75"/>
  <c r="F13" i="75"/>
  <c r="A13" i="75"/>
  <c r="A12" i="75"/>
  <c r="A11" i="75"/>
  <c r="A7" i="75"/>
  <c r="A6" i="75"/>
  <c r="A5" i="75"/>
  <c r="A4" i="75"/>
  <c r="E48" i="75"/>
  <c r="M1" i="75"/>
  <c r="L1" i="75"/>
  <c r="K1" i="75"/>
  <c r="J1" i="75"/>
  <c r="I1" i="75"/>
  <c r="H1" i="75"/>
  <c r="G1" i="75"/>
  <c r="F1" i="75"/>
  <c r="E1" i="75"/>
  <c r="D85" i="74"/>
  <c r="I82" i="74"/>
  <c r="I83" i="74" s="1"/>
  <c r="H82" i="74"/>
  <c r="H83" i="74" s="1"/>
  <c r="D82" i="74"/>
  <c r="H79" i="74"/>
  <c r="D76" i="74"/>
  <c r="D79" i="74" s="1"/>
  <c r="D73" i="74"/>
  <c r="D70" i="74"/>
  <c r="D65" i="74"/>
  <c r="F60" i="74"/>
  <c r="F66" i="74" s="1"/>
  <c r="H60" i="74"/>
  <c r="H66" i="74" s="1"/>
  <c r="I60" i="74"/>
  <c r="I66" i="74" s="1"/>
  <c r="D59" i="74"/>
  <c r="D57" i="74"/>
  <c r="D56" i="74"/>
  <c r="F53" i="74"/>
  <c r="D53" i="74"/>
  <c r="D35" i="74"/>
  <c r="I34" i="74"/>
  <c r="D33" i="74"/>
  <c r="D32" i="74"/>
  <c r="D31" i="74"/>
  <c r="D25" i="74"/>
  <c r="D24" i="74"/>
  <c r="D23" i="74"/>
  <c r="D22" i="74"/>
  <c r="D21" i="74"/>
  <c r="D20" i="74"/>
  <c r="I71" i="74"/>
  <c r="D19" i="74"/>
  <c r="D71" i="74" s="1"/>
  <c r="D18" i="74"/>
  <c r="I15" i="74"/>
  <c r="D14" i="74"/>
  <c r="D13" i="74"/>
  <c r="I10" i="74"/>
  <c r="H10" i="74"/>
  <c r="D10" i="74"/>
  <c r="I8" i="74"/>
  <c r="H8" i="74"/>
  <c r="D8" i="74"/>
  <c r="E88" i="71"/>
  <c r="Q95" i="71"/>
  <c r="Q99" i="71" s="1"/>
  <c r="Q94" i="71"/>
  <c r="Q93" i="71"/>
  <c r="Q96" i="71" s="1"/>
  <c r="Q90" i="71"/>
  <c r="Q88" i="71"/>
  <c r="Q87" i="71"/>
  <c r="Q79" i="71"/>
  <c r="Q72" i="71"/>
  <c r="Q70" i="71"/>
  <c r="Q74" i="71" s="1"/>
  <c r="Q83" i="71" s="1"/>
  <c r="Q61" i="71"/>
  <c r="Q57" i="71"/>
  <c r="Q52" i="71"/>
  <c r="Q50" i="71"/>
  <c r="Q49" i="71"/>
  <c r="Q48" i="71"/>
  <c r="Q46" i="71"/>
  <c r="Q40" i="71"/>
  <c r="Q39" i="71" s="1"/>
  <c r="Q37" i="71"/>
  <c r="Q36" i="71"/>
  <c r="Q38" i="71" s="1"/>
  <c r="Q32" i="71"/>
  <c r="Q31" i="71"/>
  <c r="Q30" i="71"/>
  <c r="Q23" i="71"/>
  <c r="Q22" i="71"/>
  <c r="Q21" i="71"/>
  <c r="Q19" i="71"/>
  <c r="Q16" i="71"/>
  <c r="Q15" i="71"/>
  <c r="Q11" i="71"/>
  <c r="Q10" i="71"/>
  <c r="Q12" i="71" s="1"/>
  <c r="Q43" i="71" s="1"/>
  <c r="Q86" i="71" s="1"/>
  <c r="D25" i="69"/>
  <c r="E66" i="69"/>
  <c r="E65" i="69"/>
  <c r="E62" i="69"/>
  <c r="E60" i="69"/>
  <c r="E58" i="69"/>
  <c r="E45" i="69"/>
  <c r="E42" i="69"/>
  <c r="E41" i="69"/>
  <c r="E37" i="69"/>
  <c r="E36" i="69"/>
  <c r="E35" i="69"/>
  <c r="E34" i="69"/>
  <c r="E33" i="69"/>
  <c r="E32" i="69"/>
  <c r="E30" i="69"/>
  <c r="E29" i="69"/>
  <c r="E31" i="69"/>
  <c r="E28" i="69"/>
  <c r="E25" i="69"/>
  <c r="E24" i="69"/>
  <c r="A95" i="71"/>
  <c r="A95" i="63"/>
  <c r="A95" i="64"/>
  <c r="A95" i="65"/>
  <c r="A95" i="39"/>
  <c r="A95" i="40"/>
  <c r="A95" i="50"/>
  <c r="E89" i="71"/>
  <c r="E93" i="71" s="1"/>
  <c r="P1" i="71"/>
  <c r="E81" i="71" s="1"/>
  <c r="G13" i="71"/>
  <c r="H13" i="71"/>
  <c r="I13" i="71"/>
  <c r="J13" i="71"/>
  <c r="K13" i="71"/>
  <c r="L13" i="71"/>
  <c r="M13" i="71"/>
  <c r="F13" i="71"/>
  <c r="E22" i="71"/>
  <c r="E47" i="59"/>
  <c r="E50" i="59"/>
  <c r="E41" i="59"/>
  <c r="A100" i="71"/>
  <c r="A99" i="71"/>
  <c r="A97" i="71"/>
  <c r="A94" i="71"/>
  <c r="A93" i="71"/>
  <c r="A92" i="71"/>
  <c r="A90" i="71"/>
  <c r="A89" i="71"/>
  <c r="A88" i="71"/>
  <c r="A87" i="71"/>
  <c r="A86" i="71"/>
  <c r="A85" i="71"/>
  <c r="A84" i="71"/>
  <c r="A83" i="71"/>
  <c r="A82" i="71"/>
  <c r="A81" i="71"/>
  <c r="A80" i="71"/>
  <c r="A78" i="71"/>
  <c r="A77" i="71"/>
  <c r="A76" i="71"/>
  <c r="A75" i="71"/>
  <c r="A74" i="71"/>
  <c r="A73" i="71"/>
  <c r="A72" i="71"/>
  <c r="A71" i="71"/>
  <c r="A70" i="71"/>
  <c r="A69" i="71"/>
  <c r="A68" i="71"/>
  <c r="A67" i="71"/>
  <c r="A66" i="71"/>
  <c r="A65" i="71"/>
  <c r="A64" i="71"/>
  <c r="A63" i="71"/>
  <c r="A62" i="71"/>
  <c r="A61" i="71"/>
  <c r="A60" i="71"/>
  <c r="A59" i="71"/>
  <c r="A58" i="71"/>
  <c r="A57" i="71"/>
  <c r="A56" i="71"/>
  <c r="A55" i="71"/>
  <c r="A54" i="71"/>
  <c r="A53" i="71"/>
  <c r="A52" i="71"/>
  <c r="A51" i="71"/>
  <c r="A49" i="71"/>
  <c r="A48" i="71"/>
  <c r="A47" i="71"/>
  <c r="A46" i="71"/>
  <c r="A45" i="71"/>
  <c r="A44" i="71"/>
  <c r="A43" i="71"/>
  <c r="A42" i="71"/>
  <c r="A41" i="71"/>
  <c r="A40" i="71"/>
  <c r="A39" i="71"/>
  <c r="A38" i="71"/>
  <c r="A37" i="71"/>
  <c r="A36" i="71"/>
  <c r="A35" i="71"/>
  <c r="A34" i="71"/>
  <c r="A33" i="71"/>
  <c r="A32" i="71"/>
  <c r="A31" i="71"/>
  <c r="A30" i="71"/>
  <c r="A29" i="71"/>
  <c r="A28" i="71"/>
  <c r="A27" i="71"/>
  <c r="A26" i="71"/>
  <c r="A24" i="71"/>
  <c r="E23" i="71"/>
  <c r="A23" i="71"/>
  <c r="A22" i="71"/>
  <c r="E21" i="71"/>
  <c r="A21" i="71"/>
  <c r="E20" i="71"/>
  <c r="A20" i="71"/>
  <c r="A17" i="71"/>
  <c r="A15" i="71"/>
  <c r="A14" i="71"/>
  <c r="A13" i="71"/>
  <c r="A12" i="71"/>
  <c r="A11" i="71"/>
  <c r="A7" i="71"/>
  <c r="A6" i="71"/>
  <c r="A5" i="71"/>
  <c r="A4" i="71"/>
  <c r="M1" i="71"/>
  <c r="L1" i="71"/>
  <c r="K1" i="71"/>
  <c r="J1" i="71"/>
  <c r="I1" i="71"/>
  <c r="H1" i="71"/>
  <c r="G1" i="71"/>
  <c r="F1" i="71"/>
  <c r="E1" i="71"/>
  <c r="D28" i="74" l="1"/>
  <c r="D15" i="74"/>
  <c r="D34" i="74"/>
  <c r="F15" i="74"/>
  <c r="F36" i="74" s="1"/>
  <c r="F69" i="74" s="1"/>
  <c r="H53" i="74"/>
  <c r="H15" i="74"/>
  <c r="D72" i="74"/>
  <c r="D60" i="74"/>
  <c r="D66" i="74" s="1"/>
  <c r="I36" i="74"/>
  <c r="I69" i="74" s="1"/>
  <c r="I47" i="74"/>
  <c r="I53" i="74" s="1"/>
  <c r="E24" i="85"/>
  <c r="U24" i="85" s="1"/>
  <c r="E40" i="85"/>
  <c r="U40" i="85" s="1"/>
  <c r="E20" i="85"/>
  <c r="U20" i="85" s="1"/>
  <c r="K88" i="40"/>
  <c r="L88" i="40" s="1"/>
  <c r="M88" i="40" s="1"/>
  <c r="K88" i="63"/>
  <c r="L88" i="63" s="1"/>
  <c r="M88" i="63" s="1"/>
  <c r="K88" i="71"/>
  <c r="L88" i="71" s="1"/>
  <c r="M88" i="71" s="1"/>
  <c r="K88" i="50"/>
  <c r="L88" i="50" s="1"/>
  <c r="M88" i="50" s="1"/>
  <c r="K88" i="64"/>
  <c r="L88" i="64" s="1"/>
  <c r="M88" i="64" s="1"/>
  <c r="E42" i="85"/>
  <c r="U42" i="85" s="1"/>
  <c r="E36" i="85"/>
  <c r="U36" i="85" s="1"/>
  <c r="K88" i="65"/>
  <c r="L88" i="65" s="1"/>
  <c r="M88" i="65" s="1"/>
  <c r="K88" i="39"/>
  <c r="L88" i="39" s="1"/>
  <c r="M88" i="39" s="1"/>
  <c r="E22" i="85"/>
  <c r="U22" i="85" s="1"/>
  <c r="E44" i="85"/>
  <c r="U44" i="85" s="1"/>
  <c r="K88" i="75"/>
  <c r="L88" i="75" s="1"/>
  <c r="M88" i="75" s="1"/>
  <c r="K88" i="79"/>
  <c r="L88" i="79" s="1"/>
  <c r="M88" i="79" s="1"/>
  <c r="E27" i="85"/>
  <c r="E26" i="85"/>
  <c r="U26" i="85" s="1"/>
  <c r="D29" i="80"/>
  <c r="K88" i="80"/>
  <c r="L88" i="80" s="1"/>
  <c r="M88" i="80" s="1"/>
  <c r="E24" i="80"/>
  <c r="D33" i="80" s="1"/>
  <c r="E28" i="85"/>
  <c r="U28" i="85" s="1"/>
  <c r="D48" i="82"/>
  <c r="H31" i="82"/>
  <c r="L43" i="82"/>
  <c r="K73" i="82"/>
  <c r="L73" i="82" s="1"/>
  <c r="M73" i="82" s="1"/>
  <c r="G31" i="81"/>
  <c r="E92" i="81"/>
  <c r="E94" i="81" s="1"/>
  <c r="E95" i="81" s="1"/>
  <c r="E47" i="81"/>
  <c r="E49" i="81" s="1"/>
  <c r="J73" i="81"/>
  <c r="I43" i="81"/>
  <c r="H43" i="80"/>
  <c r="Q88" i="80"/>
  <c r="E82" i="80" s="1"/>
  <c r="Q32" i="80"/>
  <c r="E32" i="80"/>
  <c r="F31" i="80"/>
  <c r="Q43" i="80"/>
  <c r="Q86" i="80" s="1"/>
  <c r="Q93" i="80" s="1"/>
  <c r="D55" i="80"/>
  <c r="D54" i="80"/>
  <c r="J73" i="80"/>
  <c r="E52" i="80"/>
  <c r="E60" i="80" s="1"/>
  <c r="E66" i="80" s="1"/>
  <c r="E44" i="80"/>
  <c r="E46" i="80" s="1"/>
  <c r="F71" i="80"/>
  <c r="G71" i="80" s="1"/>
  <c r="H71" i="80" s="1"/>
  <c r="I71" i="80" s="1"/>
  <c r="J71" i="80" s="1"/>
  <c r="K71" i="80" s="1"/>
  <c r="L71" i="80" s="1"/>
  <c r="M71" i="80" s="1"/>
  <c r="E36" i="79"/>
  <c r="E13" i="79"/>
  <c r="E75" i="79"/>
  <c r="E54" i="79"/>
  <c r="E12" i="79"/>
  <c r="E48" i="79"/>
  <c r="E38" i="79"/>
  <c r="Q64" i="79"/>
  <c r="E52" i="79"/>
  <c r="E32" i="79"/>
  <c r="E40" i="79"/>
  <c r="E45" i="79"/>
  <c r="F45" i="79" s="1"/>
  <c r="G45" i="79" s="1"/>
  <c r="H45" i="79" s="1"/>
  <c r="I45" i="79" s="1"/>
  <c r="J45" i="79" s="1"/>
  <c r="K45" i="79" s="1"/>
  <c r="L45" i="79" s="1"/>
  <c r="M45" i="79" s="1"/>
  <c r="E82" i="79"/>
  <c r="E55" i="79"/>
  <c r="E97" i="79"/>
  <c r="E85" i="79"/>
  <c r="E77" i="79"/>
  <c r="G77" i="79" s="1"/>
  <c r="H77" i="79" s="1"/>
  <c r="I77" i="79" s="1"/>
  <c r="J77" i="79" s="1"/>
  <c r="K77" i="79" s="1"/>
  <c r="L77" i="79" s="1"/>
  <c r="M77" i="79" s="1"/>
  <c r="E63" i="79"/>
  <c r="F63" i="79" s="1"/>
  <c r="G63" i="79" s="1"/>
  <c r="H63" i="79" s="1"/>
  <c r="I63" i="79" s="1"/>
  <c r="J63" i="79" s="1"/>
  <c r="K63" i="79" s="1"/>
  <c r="L63" i="79" s="1"/>
  <c r="M63" i="79" s="1"/>
  <c r="E33" i="79"/>
  <c r="E31" i="79"/>
  <c r="E81" i="79"/>
  <c r="E73" i="79"/>
  <c r="E70" i="79"/>
  <c r="E59" i="79"/>
  <c r="F59" i="79" s="1"/>
  <c r="G59" i="79" s="1"/>
  <c r="H59" i="79" s="1"/>
  <c r="I59" i="79" s="1"/>
  <c r="J59" i="79" s="1"/>
  <c r="K59" i="79" s="1"/>
  <c r="L59" i="79" s="1"/>
  <c r="M59" i="79" s="1"/>
  <c r="E56" i="79"/>
  <c r="E43" i="79"/>
  <c r="E14" i="79"/>
  <c r="E11" i="79"/>
  <c r="E87" i="79"/>
  <c r="E84" i="79"/>
  <c r="E76" i="79"/>
  <c r="G76" i="79" s="1"/>
  <c r="H76" i="79" s="1"/>
  <c r="I76" i="79" s="1"/>
  <c r="J76" i="79" s="1"/>
  <c r="K76" i="79" s="1"/>
  <c r="L76" i="79" s="1"/>
  <c r="M76" i="79" s="1"/>
  <c r="E62" i="79"/>
  <c r="E35" i="79"/>
  <c r="E27" i="79"/>
  <c r="E69" i="79"/>
  <c r="F69" i="79" s="1"/>
  <c r="G69" i="79" s="1"/>
  <c r="H69" i="79" s="1"/>
  <c r="I69" i="79" s="1"/>
  <c r="J69" i="79" s="1"/>
  <c r="K69" i="79" s="1"/>
  <c r="L69" i="79" s="1"/>
  <c r="M69" i="79" s="1"/>
  <c r="E65" i="79"/>
  <c r="G65" i="79" s="1"/>
  <c r="H65" i="79" s="1"/>
  <c r="I65" i="79" s="1"/>
  <c r="J65" i="79" s="1"/>
  <c r="K65" i="79" s="1"/>
  <c r="L65" i="79" s="1"/>
  <c r="M65" i="79" s="1"/>
  <c r="E58" i="79"/>
  <c r="F58" i="79" s="1"/>
  <c r="G58" i="79" s="1"/>
  <c r="H58" i="79" s="1"/>
  <c r="I58" i="79" s="1"/>
  <c r="J58" i="79" s="1"/>
  <c r="K58" i="79" s="1"/>
  <c r="L58" i="79" s="1"/>
  <c r="M58" i="79" s="1"/>
  <c r="E39" i="79"/>
  <c r="E37" i="79"/>
  <c r="E83" i="79"/>
  <c r="E68" i="79"/>
  <c r="E61" i="79"/>
  <c r="F61" i="79" s="1"/>
  <c r="G61" i="79" s="1"/>
  <c r="H61" i="79" s="1"/>
  <c r="I61" i="79" s="1"/>
  <c r="J61" i="79" s="1"/>
  <c r="K61" i="79" s="1"/>
  <c r="L61" i="79" s="1"/>
  <c r="M61" i="79" s="1"/>
  <c r="E34" i="79"/>
  <c r="E86" i="79"/>
  <c r="F86" i="79" s="1"/>
  <c r="G86" i="79" s="1"/>
  <c r="H86" i="79" s="1"/>
  <c r="I86" i="79" s="1"/>
  <c r="J86" i="79" s="1"/>
  <c r="K86" i="79" s="1"/>
  <c r="L86" i="79" s="1"/>
  <c r="M86" i="79" s="1"/>
  <c r="E71" i="79"/>
  <c r="G71" i="79" s="1"/>
  <c r="H71" i="79" s="1"/>
  <c r="I71" i="79" s="1"/>
  <c r="J71" i="79" s="1"/>
  <c r="K71" i="79" s="1"/>
  <c r="L71" i="79" s="1"/>
  <c r="M71" i="79" s="1"/>
  <c r="E64" i="79"/>
  <c r="F64" i="79" s="1"/>
  <c r="G64" i="79" s="1"/>
  <c r="H64" i="79" s="1"/>
  <c r="I64" i="79" s="1"/>
  <c r="J64" i="79" s="1"/>
  <c r="K64" i="79" s="1"/>
  <c r="L64" i="79" s="1"/>
  <c r="M64" i="79" s="1"/>
  <c r="E57" i="79"/>
  <c r="E44" i="79"/>
  <c r="Q43" i="79"/>
  <c r="Q86" i="79" s="1"/>
  <c r="E28" i="79"/>
  <c r="D28" i="79" s="1"/>
  <c r="E24" i="79"/>
  <c r="E33" i="71"/>
  <c r="Q43" i="75"/>
  <c r="Q86" i="75" s="1"/>
  <c r="Q89" i="75"/>
  <c r="E32" i="71"/>
  <c r="E63" i="71"/>
  <c r="F63" i="71" s="1"/>
  <c r="G63" i="71" s="1"/>
  <c r="H63" i="71" s="1"/>
  <c r="I63" i="71" s="1"/>
  <c r="J63" i="71" s="1"/>
  <c r="K63" i="71" s="1"/>
  <c r="L63" i="71" s="1"/>
  <c r="M63" i="71" s="1"/>
  <c r="E86" i="71"/>
  <c r="F86" i="71" s="1"/>
  <c r="G86" i="71" s="1"/>
  <c r="H86" i="71" s="1"/>
  <c r="I86" i="71" s="1"/>
  <c r="J86" i="71" s="1"/>
  <c r="K86" i="71" s="1"/>
  <c r="L86" i="71" s="1"/>
  <c r="M86" i="71" s="1"/>
  <c r="E12" i="71"/>
  <c r="E43" i="71"/>
  <c r="E68" i="71"/>
  <c r="E11" i="71"/>
  <c r="E45" i="71"/>
  <c r="F45" i="71" s="1"/>
  <c r="G45" i="71" s="1"/>
  <c r="H45" i="71" s="1"/>
  <c r="I45" i="71" s="1"/>
  <c r="J45" i="71" s="1"/>
  <c r="K45" i="71" s="1"/>
  <c r="L45" i="71" s="1"/>
  <c r="M45" i="71" s="1"/>
  <c r="E70" i="71"/>
  <c r="E82" i="71"/>
  <c r="E48" i="71"/>
  <c r="E69" i="71"/>
  <c r="F69" i="71" s="1"/>
  <c r="G69" i="71" s="1"/>
  <c r="H69" i="71" s="1"/>
  <c r="I69" i="71" s="1"/>
  <c r="J69" i="71" s="1"/>
  <c r="K69" i="71" s="1"/>
  <c r="L69" i="71" s="1"/>
  <c r="M69" i="71" s="1"/>
  <c r="E38" i="71"/>
  <c r="E57" i="71"/>
  <c r="E76" i="71"/>
  <c r="F76" i="71" s="1"/>
  <c r="G76" i="71" s="1"/>
  <c r="H76" i="71" s="1"/>
  <c r="I76" i="71" s="1"/>
  <c r="J76" i="71" s="1"/>
  <c r="K76" i="71" s="1"/>
  <c r="L76" i="71" s="1"/>
  <c r="M76" i="71" s="1"/>
  <c r="E54" i="71"/>
  <c r="E64" i="71"/>
  <c r="F64" i="71" s="1"/>
  <c r="G64" i="71" s="1"/>
  <c r="H64" i="71" s="1"/>
  <c r="I64" i="71" s="1"/>
  <c r="J64" i="71" s="1"/>
  <c r="K64" i="71" s="1"/>
  <c r="L64" i="71" s="1"/>
  <c r="M64" i="71" s="1"/>
  <c r="E14" i="71"/>
  <c r="E27" i="71"/>
  <c r="E87" i="71"/>
  <c r="E90" i="71" s="1"/>
  <c r="C10" i="85" s="1"/>
  <c r="E36" i="71"/>
  <c r="E55" i="71"/>
  <c r="E75" i="71"/>
  <c r="E31" i="71"/>
  <c r="F31" i="71" s="1"/>
  <c r="E59" i="71"/>
  <c r="F59" i="71" s="1"/>
  <c r="G59" i="71" s="1"/>
  <c r="H59" i="71" s="1"/>
  <c r="I59" i="71" s="1"/>
  <c r="J59" i="71" s="1"/>
  <c r="K59" i="71" s="1"/>
  <c r="L59" i="71" s="1"/>
  <c r="M59" i="71" s="1"/>
  <c r="E35" i="71"/>
  <c r="E61" i="71"/>
  <c r="F61" i="71" s="1"/>
  <c r="G61" i="71" s="1"/>
  <c r="H61" i="71" s="1"/>
  <c r="I61" i="71" s="1"/>
  <c r="J61" i="71" s="1"/>
  <c r="K61" i="71" s="1"/>
  <c r="L61" i="71" s="1"/>
  <c r="M61" i="71" s="1"/>
  <c r="E77" i="71"/>
  <c r="F77" i="71" s="1"/>
  <c r="G77" i="71" s="1"/>
  <c r="H77" i="71" s="1"/>
  <c r="I77" i="71" s="1"/>
  <c r="J77" i="71" s="1"/>
  <c r="K77" i="71" s="1"/>
  <c r="L77" i="71" s="1"/>
  <c r="M77" i="71" s="1"/>
  <c r="E24" i="75"/>
  <c r="E36" i="75"/>
  <c r="E52" i="75"/>
  <c r="E82" i="75"/>
  <c r="E45" i="75"/>
  <c r="F45" i="75" s="1"/>
  <c r="G45" i="75" s="1"/>
  <c r="H45" i="75" s="1"/>
  <c r="I45" i="75" s="1"/>
  <c r="J45" i="75" s="1"/>
  <c r="K45" i="75" s="1"/>
  <c r="L45" i="75" s="1"/>
  <c r="M45" i="75" s="1"/>
  <c r="E38" i="75"/>
  <c r="E55" i="75"/>
  <c r="E74" i="75"/>
  <c r="F74" i="75" s="1"/>
  <c r="G74" i="75" s="1"/>
  <c r="H74" i="75" s="1"/>
  <c r="I74" i="75" s="1"/>
  <c r="J74" i="75" s="1"/>
  <c r="K74" i="75" s="1"/>
  <c r="L74" i="75" s="1"/>
  <c r="M74" i="75" s="1"/>
  <c r="E13" i="75"/>
  <c r="E32" i="75"/>
  <c r="D32" i="75" s="1"/>
  <c r="E40" i="75"/>
  <c r="E97" i="75"/>
  <c r="E85" i="75"/>
  <c r="E77" i="75"/>
  <c r="F77" i="75" s="1"/>
  <c r="G77" i="75" s="1"/>
  <c r="H77" i="75" s="1"/>
  <c r="I77" i="75" s="1"/>
  <c r="J77" i="75" s="1"/>
  <c r="K77" i="75" s="1"/>
  <c r="L77" i="75" s="1"/>
  <c r="M77" i="75" s="1"/>
  <c r="E63" i="75"/>
  <c r="F63" i="75" s="1"/>
  <c r="G63" i="75" s="1"/>
  <c r="H63" i="75" s="1"/>
  <c r="I63" i="75" s="1"/>
  <c r="J63" i="75" s="1"/>
  <c r="K63" i="75" s="1"/>
  <c r="L63" i="75" s="1"/>
  <c r="M63" i="75" s="1"/>
  <c r="E33" i="75"/>
  <c r="E31" i="75"/>
  <c r="E81" i="75"/>
  <c r="E73" i="75"/>
  <c r="E70" i="75"/>
  <c r="E59" i="75"/>
  <c r="F59" i="75" s="1"/>
  <c r="G59" i="75" s="1"/>
  <c r="H59" i="75" s="1"/>
  <c r="I59" i="75" s="1"/>
  <c r="J59" i="75" s="1"/>
  <c r="K59" i="75" s="1"/>
  <c r="L59" i="75" s="1"/>
  <c r="M59" i="75" s="1"/>
  <c r="E56" i="75"/>
  <c r="E43" i="75"/>
  <c r="F43" i="75" s="1"/>
  <c r="G43" i="75" s="1"/>
  <c r="H43" i="75" s="1"/>
  <c r="I43" i="75" s="1"/>
  <c r="J43" i="75" s="1"/>
  <c r="K43" i="75" s="1"/>
  <c r="L43" i="75" s="1"/>
  <c r="M43" i="75" s="1"/>
  <c r="E14" i="75"/>
  <c r="E11" i="75"/>
  <c r="E84" i="75"/>
  <c r="E76" i="75"/>
  <c r="F76" i="75" s="1"/>
  <c r="G76" i="75" s="1"/>
  <c r="H76" i="75" s="1"/>
  <c r="I76" i="75" s="1"/>
  <c r="J76" i="75" s="1"/>
  <c r="K76" i="75" s="1"/>
  <c r="L76" i="75" s="1"/>
  <c r="M76" i="75" s="1"/>
  <c r="E62" i="75"/>
  <c r="E35" i="75"/>
  <c r="E27" i="75"/>
  <c r="E29" i="75" s="1"/>
  <c r="E69" i="75"/>
  <c r="F69" i="75" s="1"/>
  <c r="G69" i="75" s="1"/>
  <c r="H69" i="75" s="1"/>
  <c r="I69" i="75" s="1"/>
  <c r="J69" i="75" s="1"/>
  <c r="K69" i="75" s="1"/>
  <c r="L69" i="75" s="1"/>
  <c r="M69" i="75" s="1"/>
  <c r="E65" i="75"/>
  <c r="F65" i="75" s="1"/>
  <c r="G65" i="75" s="1"/>
  <c r="H65" i="75" s="1"/>
  <c r="I65" i="75" s="1"/>
  <c r="J65" i="75" s="1"/>
  <c r="K65" i="75" s="1"/>
  <c r="L65" i="75" s="1"/>
  <c r="M65" i="75" s="1"/>
  <c r="E58" i="75"/>
  <c r="F58" i="75" s="1"/>
  <c r="G58" i="75" s="1"/>
  <c r="H58" i="75" s="1"/>
  <c r="I58" i="75" s="1"/>
  <c r="J58" i="75" s="1"/>
  <c r="K58" i="75" s="1"/>
  <c r="L58" i="75" s="1"/>
  <c r="M58" i="75" s="1"/>
  <c r="E39" i="75"/>
  <c r="D39" i="75" s="1"/>
  <c r="E37" i="75"/>
  <c r="E83" i="75"/>
  <c r="E68" i="75"/>
  <c r="E61" i="75"/>
  <c r="F61" i="75" s="1"/>
  <c r="G61" i="75" s="1"/>
  <c r="H61" i="75" s="1"/>
  <c r="I61" i="75" s="1"/>
  <c r="J61" i="75" s="1"/>
  <c r="K61" i="75" s="1"/>
  <c r="L61" i="75" s="1"/>
  <c r="M61" i="75" s="1"/>
  <c r="E34" i="75"/>
  <c r="E86" i="75"/>
  <c r="E71" i="75"/>
  <c r="F71" i="75" s="1"/>
  <c r="G71" i="75" s="1"/>
  <c r="H71" i="75" s="1"/>
  <c r="I71" i="75" s="1"/>
  <c r="J71" i="75" s="1"/>
  <c r="K71" i="75" s="1"/>
  <c r="L71" i="75" s="1"/>
  <c r="M71" i="75" s="1"/>
  <c r="E64" i="75"/>
  <c r="F64" i="75" s="1"/>
  <c r="G64" i="75" s="1"/>
  <c r="H64" i="75" s="1"/>
  <c r="I64" i="75" s="1"/>
  <c r="J64" i="75" s="1"/>
  <c r="K64" i="75" s="1"/>
  <c r="L64" i="75" s="1"/>
  <c r="M64" i="75" s="1"/>
  <c r="E57" i="75"/>
  <c r="E44" i="75"/>
  <c r="E12" i="75"/>
  <c r="E54" i="75"/>
  <c r="E75" i="75"/>
  <c r="I72" i="74"/>
  <c r="Q89" i="71"/>
  <c r="Q56" i="71"/>
  <c r="Q64" i="71" s="1"/>
  <c r="E39" i="71"/>
  <c r="E40" i="71"/>
  <c r="E58" i="71"/>
  <c r="F58" i="71" s="1"/>
  <c r="G58" i="71" s="1"/>
  <c r="H58" i="71" s="1"/>
  <c r="I58" i="71" s="1"/>
  <c r="J58" i="71" s="1"/>
  <c r="K58" i="71" s="1"/>
  <c r="L58" i="71" s="1"/>
  <c r="M58" i="71" s="1"/>
  <c r="E62" i="71"/>
  <c r="E74" i="71"/>
  <c r="F74" i="71" s="1"/>
  <c r="G74" i="71" s="1"/>
  <c r="H74" i="71" s="1"/>
  <c r="I74" i="71" s="1"/>
  <c r="J74" i="71" s="1"/>
  <c r="K74" i="71" s="1"/>
  <c r="L74" i="71" s="1"/>
  <c r="M74" i="71" s="1"/>
  <c r="E13" i="71"/>
  <c r="E37" i="71"/>
  <c r="E44" i="71"/>
  <c r="E56" i="71"/>
  <c r="E71" i="71"/>
  <c r="F71" i="71" s="1"/>
  <c r="G71" i="71" s="1"/>
  <c r="H71" i="71" s="1"/>
  <c r="I71" i="71" s="1"/>
  <c r="J71" i="71" s="1"/>
  <c r="K71" i="71" s="1"/>
  <c r="L71" i="71" s="1"/>
  <c r="M71" i="71" s="1"/>
  <c r="E85" i="71"/>
  <c r="E84" i="71"/>
  <c r="E83" i="71"/>
  <c r="E28" i="71"/>
  <c r="E34" i="71"/>
  <c r="E52" i="71"/>
  <c r="E65" i="71"/>
  <c r="F65" i="71" s="1"/>
  <c r="G65" i="71" s="1"/>
  <c r="H65" i="71" s="1"/>
  <c r="I65" i="71" s="1"/>
  <c r="J65" i="71" s="1"/>
  <c r="K65" i="71" s="1"/>
  <c r="L65" i="71" s="1"/>
  <c r="M65" i="71" s="1"/>
  <c r="E73" i="71"/>
  <c r="E97" i="71"/>
  <c r="E24" i="71"/>
  <c r="H36" i="74" l="1"/>
  <c r="H69" i="74" s="1"/>
  <c r="I76" i="74"/>
  <c r="I79" i="74" s="1"/>
  <c r="D32" i="71"/>
  <c r="D37" i="71"/>
  <c r="D34" i="71"/>
  <c r="D33" i="71"/>
  <c r="D40" i="71"/>
  <c r="E25" i="85"/>
  <c r="U25" i="85" s="1"/>
  <c r="E43" i="85"/>
  <c r="U43" i="85" s="1"/>
  <c r="E29" i="85"/>
  <c r="U29" i="85" s="1"/>
  <c r="E21" i="85"/>
  <c r="U21" i="85" s="1"/>
  <c r="E39" i="85"/>
  <c r="U39" i="85" s="1"/>
  <c r="E41" i="85"/>
  <c r="U41" i="85" s="1"/>
  <c r="E45" i="85"/>
  <c r="U45" i="85" s="1"/>
  <c r="E23" i="85"/>
  <c r="U23" i="85" s="1"/>
  <c r="E37" i="85"/>
  <c r="U37" i="85" s="1"/>
  <c r="D38" i="75"/>
  <c r="D33" i="75"/>
  <c r="D34" i="75"/>
  <c r="D35" i="75"/>
  <c r="D40" i="75"/>
  <c r="D37" i="80"/>
  <c r="D34" i="80"/>
  <c r="D40" i="80"/>
  <c r="U27" i="85"/>
  <c r="E15" i="80"/>
  <c r="E17" i="80" s="1"/>
  <c r="D39" i="80"/>
  <c r="D38" i="80"/>
  <c r="D68" i="80"/>
  <c r="D36" i="80"/>
  <c r="D32" i="80"/>
  <c r="D35" i="80"/>
  <c r="M43" i="82"/>
  <c r="I31" i="82"/>
  <c r="E80" i="81"/>
  <c r="D87" i="81" s="1"/>
  <c r="D48" i="81"/>
  <c r="J43" i="81"/>
  <c r="K73" i="81"/>
  <c r="L73" i="81" s="1"/>
  <c r="M73" i="81" s="1"/>
  <c r="H31" i="81"/>
  <c r="K73" i="80"/>
  <c r="L73" i="80" s="1"/>
  <c r="M73" i="80" s="1"/>
  <c r="E87" i="80"/>
  <c r="Q96" i="80"/>
  <c r="E41" i="80"/>
  <c r="G31" i="80"/>
  <c r="F83" i="80"/>
  <c r="I43" i="80"/>
  <c r="D40" i="79"/>
  <c r="M85" i="79"/>
  <c r="L85" i="79"/>
  <c r="K85" i="79"/>
  <c r="J85" i="79"/>
  <c r="H85" i="79"/>
  <c r="G85" i="79"/>
  <c r="F85" i="79"/>
  <c r="I85" i="79"/>
  <c r="D39" i="79"/>
  <c r="D32" i="79"/>
  <c r="E90" i="79"/>
  <c r="D29" i="79"/>
  <c r="E41" i="79"/>
  <c r="F31" i="79"/>
  <c r="D36" i="79"/>
  <c r="D38" i="79"/>
  <c r="D34" i="79"/>
  <c r="D33" i="79"/>
  <c r="D37" i="79"/>
  <c r="E29" i="79"/>
  <c r="D55" i="79" s="1"/>
  <c r="F43" i="79"/>
  <c r="E46" i="79"/>
  <c r="E60" i="79"/>
  <c r="E66" i="79" s="1"/>
  <c r="D68" i="79"/>
  <c r="E72" i="79"/>
  <c r="E78" i="79" s="1"/>
  <c r="D35" i="79"/>
  <c r="K85" i="71"/>
  <c r="J85" i="71"/>
  <c r="I85" i="71"/>
  <c r="H85" i="71"/>
  <c r="G85" i="71"/>
  <c r="F85" i="71"/>
  <c r="M85" i="71"/>
  <c r="L85" i="71"/>
  <c r="F83" i="71"/>
  <c r="D35" i="71"/>
  <c r="D36" i="71"/>
  <c r="D38" i="71"/>
  <c r="D39" i="71"/>
  <c r="D37" i="75"/>
  <c r="D36" i="75"/>
  <c r="E41" i="75"/>
  <c r="E92" i="75" s="1"/>
  <c r="E94" i="75" s="1"/>
  <c r="E95" i="75" s="1"/>
  <c r="F31" i="75"/>
  <c r="G31" i="75" s="1"/>
  <c r="H31" i="75" s="1"/>
  <c r="I31" i="75" s="1"/>
  <c r="J31" i="75" s="1"/>
  <c r="K31" i="75" s="1"/>
  <c r="L31" i="75" s="1"/>
  <c r="E29" i="71"/>
  <c r="D55" i="71" s="1"/>
  <c r="G31" i="71"/>
  <c r="G83" i="71" s="1"/>
  <c r="E46" i="71"/>
  <c r="F43" i="71"/>
  <c r="G43" i="71" s="1"/>
  <c r="H43" i="71" s="1"/>
  <c r="I43" i="71" s="1"/>
  <c r="J43" i="71" s="1"/>
  <c r="K43" i="71" s="1"/>
  <c r="L43" i="71" s="1"/>
  <c r="M43" i="71" s="1"/>
  <c r="Q93" i="75"/>
  <c r="D56" i="75"/>
  <c r="E60" i="75"/>
  <c r="E66" i="75" s="1"/>
  <c r="D55" i="75"/>
  <c r="D68" i="75"/>
  <c r="E72" i="75"/>
  <c r="E78" i="75" s="1"/>
  <c r="E15" i="75"/>
  <c r="E17" i="75" s="1"/>
  <c r="E46" i="75"/>
  <c r="F73" i="75"/>
  <c r="D28" i="75"/>
  <c r="E41" i="71"/>
  <c r="E72" i="71"/>
  <c r="E78" i="71" s="1"/>
  <c r="D28" i="71"/>
  <c r="E60" i="71"/>
  <c r="E66" i="71" s="1"/>
  <c r="F73" i="71"/>
  <c r="D68" i="71"/>
  <c r="C9" i="85" l="1"/>
  <c r="J31" i="82"/>
  <c r="K43" i="81"/>
  <c r="I31" i="81"/>
  <c r="E90" i="80"/>
  <c r="J43" i="80"/>
  <c r="H31" i="80"/>
  <c r="G83" i="80"/>
  <c r="E47" i="80"/>
  <c r="E92" i="80"/>
  <c r="E94" i="80" s="1"/>
  <c r="E95" i="80" s="1"/>
  <c r="D56" i="79"/>
  <c r="G43" i="79"/>
  <c r="E92" i="79"/>
  <c r="E94" i="79" s="1"/>
  <c r="E95" i="79" s="1"/>
  <c r="E15" i="79"/>
  <c r="E17" i="79" s="1"/>
  <c r="E47" i="79"/>
  <c r="D54" i="79"/>
  <c r="G31" i="79"/>
  <c r="G73" i="79"/>
  <c r="H73" i="79" s="1"/>
  <c r="I73" i="79" s="1"/>
  <c r="F83" i="79"/>
  <c r="H31" i="71"/>
  <c r="H83" i="71" s="1"/>
  <c r="M31" i="75"/>
  <c r="Q96" i="75"/>
  <c r="E90" i="75"/>
  <c r="E47" i="75"/>
  <c r="G73" i="75"/>
  <c r="H73" i="75" s="1"/>
  <c r="I73" i="75" s="1"/>
  <c r="G73" i="71"/>
  <c r="H73" i="71" s="1"/>
  <c r="I73" i="71" s="1"/>
  <c r="J73" i="71" s="1"/>
  <c r="E15" i="71"/>
  <c r="E17" i="71" s="1"/>
  <c r="E47" i="71"/>
  <c r="D48" i="71" s="1"/>
  <c r="E92" i="71"/>
  <c r="E94" i="71" s="1"/>
  <c r="E95" i="71" s="1"/>
  <c r="D56" i="71"/>
  <c r="D54" i="71"/>
  <c r="C12" i="85" l="1"/>
  <c r="C11" i="85"/>
  <c r="K31" i="82"/>
  <c r="J31" i="81"/>
  <c r="L43" i="81"/>
  <c r="E49" i="80"/>
  <c r="E80" i="80" s="1"/>
  <c r="D87" i="80" s="1"/>
  <c r="D48" i="80"/>
  <c r="H83" i="80"/>
  <c r="I31" i="80"/>
  <c r="K43" i="80"/>
  <c r="J73" i="79"/>
  <c r="E49" i="79"/>
  <c r="E80" i="79" s="1"/>
  <c r="D87" i="79" s="1"/>
  <c r="D48" i="79"/>
  <c r="H31" i="79"/>
  <c r="G83" i="79"/>
  <c r="H43" i="79"/>
  <c r="E49" i="75"/>
  <c r="E80" i="75" s="1"/>
  <c r="D87" i="75" s="1"/>
  <c r="D48" i="75"/>
  <c r="I31" i="71"/>
  <c r="I83" i="71" s="1"/>
  <c r="J73" i="75"/>
  <c r="E49" i="71"/>
  <c r="E80" i="71" s="1"/>
  <c r="D87" i="71" s="1"/>
  <c r="K73" i="71"/>
  <c r="L73" i="71" s="1"/>
  <c r="M73" i="71" s="1"/>
  <c r="L31" i="82" l="1"/>
  <c r="M43" i="81"/>
  <c r="K31" i="81"/>
  <c r="J31" i="80"/>
  <c r="I83" i="80"/>
  <c r="L43" i="80"/>
  <c r="I43" i="79"/>
  <c r="K73" i="79"/>
  <c r="I31" i="79"/>
  <c r="H83" i="79"/>
  <c r="J31" i="71"/>
  <c r="J83" i="71" s="1"/>
  <c r="K73" i="75"/>
  <c r="M31" i="82" l="1"/>
  <c r="L31" i="81"/>
  <c r="M43" i="80"/>
  <c r="K31" i="80"/>
  <c r="J83" i="80"/>
  <c r="L73" i="79"/>
  <c r="J43" i="79"/>
  <c r="J31" i="79"/>
  <c r="I83" i="79"/>
  <c r="K31" i="71"/>
  <c r="K83" i="71" s="1"/>
  <c r="L73" i="75"/>
  <c r="M31" i="81" l="1"/>
  <c r="L31" i="80"/>
  <c r="K83" i="80"/>
  <c r="K43" i="79"/>
  <c r="M73" i="79"/>
  <c r="K31" i="79"/>
  <c r="J83" i="79"/>
  <c r="L31" i="71"/>
  <c r="L83" i="71" s="1"/>
  <c r="M73" i="75"/>
  <c r="L83" i="80" l="1"/>
  <c r="M31" i="80"/>
  <c r="L31" i="79"/>
  <c r="K83" i="79"/>
  <c r="L43" i="79"/>
  <c r="M31" i="71"/>
  <c r="M83" i="71" s="1"/>
  <c r="E93" i="69"/>
  <c r="E89" i="69"/>
  <c r="E84" i="69"/>
  <c r="E78" i="69"/>
  <c r="E79" i="69"/>
  <c r="E80" i="69"/>
  <c r="F80" i="69"/>
  <c r="G80" i="69"/>
  <c r="H80" i="69"/>
  <c r="I80" i="69"/>
  <c r="J80" i="69"/>
  <c r="K80" i="69"/>
  <c r="L80" i="69"/>
  <c r="M80" i="69"/>
  <c r="E81" i="69"/>
  <c r="E82" i="69"/>
  <c r="E83" i="69"/>
  <c r="E77" i="69"/>
  <c r="A93" i="69"/>
  <c r="A91" i="69"/>
  <c r="A90" i="69"/>
  <c r="A89" i="69"/>
  <c r="A87" i="69"/>
  <c r="A86" i="69"/>
  <c r="A85" i="69"/>
  <c r="A84" i="69"/>
  <c r="A83" i="69"/>
  <c r="A82" i="69"/>
  <c r="A81" i="69"/>
  <c r="A80" i="69"/>
  <c r="A79" i="69"/>
  <c r="A78" i="69"/>
  <c r="A77" i="69"/>
  <c r="A75" i="69"/>
  <c r="F74" i="69"/>
  <c r="G74" i="69" s="1"/>
  <c r="H74" i="69" s="1"/>
  <c r="I74" i="69" s="1"/>
  <c r="J74" i="69" s="1"/>
  <c r="K74" i="69" s="1"/>
  <c r="L74" i="69" s="1"/>
  <c r="M74" i="69" s="1"/>
  <c r="A74" i="69"/>
  <c r="F73" i="69"/>
  <c r="G73" i="69" s="1"/>
  <c r="H73" i="69" s="1"/>
  <c r="I73" i="69" s="1"/>
  <c r="J73" i="69" s="1"/>
  <c r="K73" i="69" s="1"/>
  <c r="L73" i="69" s="1"/>
  <c r="M73" i="69" s="1"/>
  <c r="A73" i="69"/>
  <c r="A72" i="69"/>
  <c r="F71" i="69"/>
  <c r="G71" i="69" s="1"/>
  <c r="H71" i="69" s="1"/>
  <c r="I71" i="69" s="1"/>
  <c r="J71" i="69" s="1"/>
  <c r="K71" i="69" s="1"/>
  <c r="L71" i="69" s="1"/>
  <c r="M71" i="69" s="1"/>
  <c r="A71" i="69"/>
  <c r="F70" i="69"/>
  <c r="G70" i="69" s="1"/>
  <c r="H70" i="69" s="1"/>
  <c r="I70" i="69" s="1"/>
  <c r="A70" i="69"/>
  <c r="A69" i="69"/>
  <c r="F68" i="69"/>
  <c r="G68" i="69" s="1"/>
  <c r="H68" i="69" s="1"/>
  <c r="I68" i="69" s="1"/>
  <c r="J68" i="69" s="1"/>
  <c r="K68" i="69" s="1"/>
  <c r="L68" i="69" s="1"/>
  <c r="M68" i="69" s="1"/>
  <c r="A68" i="69"/>
  <c r="A67" i="69"/>
  <c r="A66" i="69"/>
  <c r="A65" i="69"/>
  <c r="A64" i="69"/>
  <c r="A63" i="69"/>
  <c r="F62" i="69"/>
  <c r="G62" i="69" s="1"/>
  <c r="H62" i="69" s="1"/>
  <c r="I62" i="69" s="1"/>
  <c r="J62" i="69" s="1"/>
  <c r="K62" i="69" s="1"/>
  <c r="L62" i="69" s="1"/>
  <c r="M62" i="69" s="1"/>
  <c r="A62" i="69"/>
  <c r="F61" i="69"/>
  <c r="G61" i="69" s="1"/>
  <c r="H61" i="69" s="1"/>
  <c r="I61" i="69" s="1"/>
  <c r="J61" i="69" s="1"/>
  <c r="K61" i="69" s="1"/>
  <c r="L61" i="69" s="1"/>
  <c r="M61" i="69" s="1"/>
  <c r="A61" i="69"/>
  <c r="F60" i="69"/>
  <c r="G60" i="69" s="1"/>
  <c r="H60" i="69" s="1"/>
  <c r="I60" i="69" s="1"/>
  <c r="J60" i="69" s="1"/>
  <c r="K60" i="69" s="1"/>
  <c r="L60" i="69" s="1"/>
  <c r="M60" i="69" s="1"/>
  <c r="A60" i="69"/>
  <c r="A59" i="69"/>
  <c r="F58" i="69"/>
  <c r="G58" i="69" s="1"/>
  <c r="H58" i="69" s="1"/>
  <c r="I58" i="69" s="1"/>
  <c r="J58" i="69" s="1"/>
  <c r="K58" i="69" s="1"/>
  <c r="L58" i="69" s="1"/>
  <c r="M58" i="69" s="1"/>
  <c r="A58" i="69"/>
  <c r="E57" i="69"/>
  <c r="A57" i="69"/>
  <c r="F56" i="69"/>
  <c r="G56" i="69" s="1"/>
  <c r="H56" i="69" s="1"/>
  <c r="I56" i="69" s="1"/>
  <c r="J56" i="69" s="1"/>
  <c r="K56" i="69" s="1"/>
  <c r="L56" i="69" s="1"/>
  <c r="M56" i="69" s="1"/>
  <c r="A56" i="69"/>
  <c r="A55" i="69"/>
  <c r="A54" i="69"/>
  <c r="A53" i="69"/>
  <c r="A52" i="69"/>
  <c r="A51" i="69"/>
  <c r="A50" i="69"/>
  <c r="A49" i="69"/>
  <c r="A48" i="69"/>
  <c r="A46" i="69"/>
  <c r="A45" i="69"/>
  <c r="A44" i="69"/>
  <c r="A43" i="69"/>
  <c r="F42" i="69"/>
  <c r="G42" i="69" s="1"/>
  <c r="H42" i="69" s="1"/>
  <c r="I42" i="69" s="1"/>
  <c r="J42" i="69" s="1"/>
  <c r="K42" i="69" s="1"/>
  <c r="L42" i="69" s="1"/>
  <c r="M42" i="69" s="1"/>
  <c r="A42" i="69"/>
  <c r="A41" i="69"/>
  <c r="F40" i="69"/>
  <c r="A40" i="69"/>
  <c r="A39" i="69"/>
  <c r="A38" i="69"/>
  <c r="A37" i="69"/>
  <c r="A36" i="69"/>
  <c r="A35" i="69"/>
  <c r="A34" i="69"/>
  <c r="A33" i="69"/>
  <c r="A32" i="69"/>
  <c r="A31" i="69"/>
  <c r="A30" i="69"/>
  <c r="A29" i="69"/>
  <c r="A28" i="69"/>
  <c r="A27" i="69"/>
  <c r="A26" i="69"/>
  <c r="A25" i="69"/>
  <c r="A24" i="69"/>
  <c r="A23" i="69"/>
  <c r="A21" i="69"/>
  <c r="A20" i="69"/>
  <c r="A19" i="69"/>
  <c r="A18" i="69"/>
  <c r="A17" i="69"/>
  <c r="E14" i="69"/>
  <c r="A14" i="69"/>
  <c r="A13" i="69"/>
  <c r="E12" i="69"/>
  <c r="A12" i="69"/>
  <c r="A11" i="69"/>
  <c r="A7" i="69"/>
  <c r="A6" i="69"/>
  <c r="A5" i="69"/>
  <c r="A4" i="69"/>
  <c r="M1" i="69"/>
  <c r="L1" i="69"/>
  <c r="K1" i="69"/>
  <c r="J1" i="69"/>
  <c r="I1" i="69"/>
  <c r="H1" i="69"/>
  <c r="G1" i="69"/>
  <c r="F1" i="69"/>
  <c r="E1" i="69"/>
  <c r="E87" i="63"/>
  <c r="F61" i="63"/>
  <c r="E22" i="63"/>
  <c r="E21" i="63"/>
  <c r="E20" i="63"/>
  <c r="E29" i="63"/>
  <c r="D26" i="69" l="1"/>
  <c r="M83" i="80"/>
  <c r="M43" i="79"/>
  <c r="M31" i="79"/>
  <c r="L83" i="79"/>
  <c r="E43" i="69"/>
  <c r="E63" i="69"/>
  <c r="J70" i="69"/>
  <c r="K70" i="69" s="1"/>
  <c r="L70" i="69" s="1"/>
  <c r="M70" i="69" s="1"/>
  <c r="E21" i="69"/>
  <c r="F28" i="69"/>
  <c r="G40" i="69"/>
  <c r="E26" i="69"/>
  <c r="E69" i="69"/>
  <c r="E75" i="69" s="1"/>
  <c r="F66" i="69"/>
  <c r="G66" i="69" s="1"/>
  <c r="H66" i="69" s="1"/>
  <c r="I66" i="69" s="1"/>
  <c r="J66" i="69" s="1"/>
  <c r="K66" i="69" s="1"/>
  <c r="L66" i="69" s="1"/>
  <c r="M66" i="69" s="1"/>
  <c r="E38" i="69"/>
  <c r="A100" i="65"/>
  <c r="A99" i="65"/>
  <c r="E97" i="65"/>
  <c r="A97" i="65"/>
  <c r="A94" i="65"/>
  <c r="A93" i="65"/>
  <c r="E92" i="65"/>
  <c r="A92" i="65"/>
  <c r="A90" i="65"/>
  <c r="E89" i="65"/>
  <c r="E93" i="65" s="1"/>
  <c r="A89" i="65"/>
  <c r="E88" i="65"/>
  <c r="A88" i="65"/>
  <c r="E87" i="65"/>
  <c r="A87" i="65"/>
  <c r="A86" i="65"/>
  <c r="A85" i="65"/>
  <c r="E84" i="65"/>
  <c r="A84" i="65"/>
  <c r="E83" i="65"/>
  <c r="A83" i="65"/>
  <c r="E82" i="65"/>
  <c r="A82" i="65"/>
  <c r="E81" i="65"/>
  <c r="A81" i="65"/>
  <c r="A80" i="65"/>
  <c r="E78" i="65"/>
  <c r="A78" i="65"/>
  <c r="H77" i="65"/>
  <c r="I77" i="65" s="1"/>
  <c r="J77" i="65" s="1"/>
  <c r="K77" i="65" s="1"/>
  <c r="L77" i="65" s="1"/>
  <c r="M77" i="65" s="1"/>
  <c r="G77" i="65"/>
  <c r="F77" i="65"/>
  <c r="E77" i="65"/>
  <c r="A77" i="65"/>
  <c r="L76" i="65"/>
  <c r="M76" i="65" s="1"/>
  <c r="H76" i="65"/>
  <c r="I76" i="65" s="1"/>
  <c r="J76" i="65" s="1"/>
  <c r="K76" i="65" s="1"/>
  <c r="G76" i="65"/>
  <c r="F76" i="65"/>
  <c r="A76" i="65"/>
  <c r="A75" i="65"/>
  <c r="J74" i="65"/>
  <c r="K74" i="65" s="1"/>
  <c r="L74" i="65" s="1"/>
  <c r="M74" i="65" s="1"/>
  <c r="I74" i="65"/>
  <c r="H74" i="65"/>
  <c r="G74" i="65"/>
  <c r="F74" i="65"/>
  <c r="A74" i="65"/>
  <c r="G73" i="65"/>
  <c r="H73" i="65" s="1"/>
  <c r="I73" i="65" s="1"/>
  <c r="F73" i="65"/>
  <c r="A73" i="65"/>
  <c r="E72" i="65"/>
  <c r="A72" i="65"/>
  <c r="H71" i="65"/>
  <c r="I71" i="65" s="1"/>
  <c r="J71" i="65" s="1"/>
  <c r="K71" i="65" s="1"/>
  <c r="L71" i="65" s="1"/>
  <c r="M71" i="65" s="1"/>
  <c r="G71" i="65"/>
  <c r="F71" i="65"/>
  <c r="E71" i="65"/>
  <c r="A71" i="65"/>
  <c r="A70" i="65"/>
  <c r="M69" i="65"/>
  <c r="I69" i="65"/>
  <c r="J69" i="65" s="1"/>
  <c r="K69" i="65" s="1"/>
  <c r="L69" i="65" s="1"/>
  <c r="H69" i="65"/>
  <c r="G69" i="65"/>
  <c r="F69" i="65"/>
  <c r="E69" i="65"/>
  <c r="A69" i="65"/>
  <c r="E68" i="65"/>
  <c r="A68" i="65"/>
  <c r="A67" i="65"/>
  <c r="E66" i="65"/>
  <c r="A66" i="65"/>
  <c r="M65" i="65"/>
  <c r="I65" i="65"/>
  <c r="J65" i="65" s="1"/>
  <c r="K65" i="65" s="1"/>
  <c r="L65" i="65" s="1"/>
  <c r="H65" i="65"/>
  <c r="G65" i="65"/>
  <c r="F65" i="65"/>
  <c r="E65" i="65"/>
  <c r="A65" i="65"/>
  <c r="G64" i="65"/>
  <c r="H64" i="65" s="1"/>
  <c r="I64" i="65" s="1"/>
  <c r="J64" i="65" s="1"/>
  <c r="K64" i="65" s="1"/>
  <c r="L64" i="65" s="1"/>
  <c r="M64" i="65" s="1"/>
  <c r="F64" i="65"/>
  <c r="A64" i="65"/>
  <c r="H63" i="65"/>
  <c r="I63" i="65" s="1"/>
  <c r="J63" i="65" s="1"/>
  <c r="K63" i="65" s="1"/>
  <c r="L63" i="65" s="1"/>
  <c r="M63" i="65" s="1"/>
  <c r="G63" i="65"/>
  <c r="F63" i="65"/>
  <c r="A63" i="65"/>
  <c r="A62" i="65"/>
  <c r="J61" i="65"/>
  <c r="K61" i="65" s="1"/>
  <c r="L61" i="65" s="1"/>
  <c r="M61" i="65" s="1"/>
  <c r="H61" i="65"/>
  <c r="I61" i="65" s="1"/>
  <c r="G61" i="65"/>
  <c r="F61" i="65"/>
  <c r="A61" i="65"/>
  <c r="E60" i="65"/>
  <c r="A60" i="65"/>
  <c r="M59" i="65"/>
  <c r="I59" i="65"/>
  <c r="J59" i="65" s="1"/>
  <c r="K59" i="65" s="1"/>
  <c r="L59" i="65" s="1"/>
  <c r="H59" i="65"/>
  <c r="G59" i="65"/>
  <c r="F59" i="65"/>
  <c r="A59" i="65"/>
  <c r="J58" i="65"/>
  <c r="K58" i="65" s="1"/>
  <c r="L58" i="65" s="1"/>
  <c r="M58" i="65" s="1"/>
  <c r="I58" i="65"/>
  <c r="H58" i="65"/>
  <c r="G58" i="65"/>
  <c r="F58" i="65"/>
  <c r="A58" i="65"/>
  <c r="A57" i="65"/>
  <c r="D56" i="65"/>
  <c r="A56" i="65"/>
  <c r="E55" i="65"/>
  <c r="D55" i="65"/>
  <c r="A55" i="65"/>
  <c r="D54" i="65"/>
  <c r="A54" i="65"/>
  <c r="A53" i="65"/>
  <c r="A52" i="65"/>
  <c r="A51" i="65"/>
  <c r="E49" i="65"/>
  <c r="E80" i="65" s="1"/>
  <c r="A49" i="65"/>
  <c r="E48" i="65"/>
  <c r="A48" i="65"/>
  <c r="E47" i="65"/>
  <c r="A47" i="65"/>
  <c r="E46" i="65"/>
  <c r="A46" i="65"/>
  <c r="K45" i="65"/>
  <c r="L45" i="65" s="1"/>
  <c r="M45" i="65" s="1"/>
  <c r="G45" i="65"/>
  <c r="H45" i="65" s="1"/>
  <c r="I45" i="65" s="1"/>
  <c r="J45" i="65" s="1"/>
  <c r="F45" i="65"/>
  <c r="E45" i="65"/>
  <c r="A45" i="65"/>
  <c r="E44" i="65"/>
  <c r="A44" i="65"/>
  <c r="M43" i="65"/>
  <c r="L43" i="65"/>
  <c r="K43" i="65"/>
  <c r="J43" i="65"/>
  <c r="I43" i="65"/>
  <c r="H43" i="65"/>
  <c r="G43" i="65"/>
  <c r="F43" i="65"/>
  <c r="E43" i="65"/>
  <c r="A43" i="65"/>
  <c r="A42" i="65"/>
  <c r="E41" i="65"/>
  <c r="A41" i="65"/>
  <c r="E40" i="65"/>
  <c r="A40" i="65"/>
  <c r="A39" i="65"/>
  <c r="E38" i="65"/>
  <c r="A38" i="65"/>
  <c r="E37" i="65"/>
  <c r="A37" i="65"/>
  <c r="E36" i="65"/>
  <c r="A36" i="65"/>
  <c r="E35" i="65"/>
  <c r="A35" i="65"/>
  <c r="E34" i="65"/>
  <c r="A34" i="65"/>
  <c r="E33" i="65"/>
  <c r="A33" i="65"/>
  <c r="E32" i="65"/>
  <c r="A32" i="65"/>
  <c r="M31" i="65"/>
  <c r="L31" i="65"/>
  <c r="K31" i="65"/>
  <c r="J31" i="65"/>
  <c r="I31" i="65"/>
  <c r="H31" i="65"/>
  <c r="G31" i="65"/>
  <c r="F31" i="65"/>
  <c r="E31" i="65"/>
  <c r="A31" i="65"/>
  <c r="A30" i="65"/>
  <c r="E29" i="65"/>
  <c r="A29" i="65"/>
  <c r="E28" i="65"/>
  <c r="D28" i="65"/>
  <c r="A28" i="65"/>
  <c r="E27" i="65"/>
  <c r="A27" i="65"/>
  <c r="A26" i="65"/>
  <c r="A24" i="65"/>
  <c r="E23" i="65"/>
  <c r="A23" i="65"/>
  <c r="E22" i="65"/>
  <c r="A22" i="65"/>
  <c r="E21" i="65"/>
  <c r="A21" i="65"/>
  <c r="E20" i="65"/>
  <c r="A20" i="65"/>
  <c r="A17" i="65"/>
  <c r="A15" i="65"/>
  <c r="E14" i="65"/>
  <c r="A14" i="65"/>
  <c r="A13" i="65"/>
  <c r="E12" i="65"/>
  <c r="A12" i="65"/>
  <c r="A11" i="65"/>
  <c r="A7" i="65"/>
  <c r="A6" i="65"/>
  <c r="A5" i="65"/>
  <c r="A4" i="65"/>
  <c r="M1" i="65"/>
  <c r="L1" i="65"/>
  <c r="K1" i="65"/>
  <c r="J1" i="65"/>
  <c r="I1" i="65"/>
  <c r="H1" i="65"/>
  <c r="G1" i="65"/>
  <c r="F1" i="65"/>
  <c r="E1" i="65"/>
  <c r="A100" i="64"/>
  <c r="A99" i="64"/>
  <c r="E97" i="64"/>
  <c r="A97" i="64"/>
  <c r="A94" i="64"/>
  <c r="A93" i="64"/>
  <c r="A92" i="64"/>
  <c r="A90" i="64"/>
  <c r="E89" i="64"/>
  <c r="E93" i="64" s="1"/>
  <c r="A89" i="64"/>
  <c r="E88" i="64"/>
  <c r="A88" i="64"/>
  <c r="E87" i="64"/>
  <c r="A87" i="64"/>
  <c r="E86" i="64"/>
  <c r="A86" i="64"/>
  <c r="E85" i="64"/>
  <c r="A85" i="64"/>
  <c r="E84" i="64"/>
  <c r="A84" i="64"/>
  <c r="A83" i="64"/>
  <c r="A82" i="64"/>
  <c r="E81" i="64"/>
  <c r="A81" i="64"/>
  <c r="A80" i="64"/>
  <c r="A78" i="64"/>
  <c r="G77" i="64"/>
  <c r="H77" i="64" s="1"/>
  <c r="I77" i="64" s="1"/>
  <c r="J77" i="64" s="1"/>
  <c r="K77" i="64" s="1"/>
  <c r="L77" i="64" s="1"/>
  <c r="M77" i="64" s="1"/>
  <c r="F77" i="64"/>
  <c r="A77" i="64"/>
  <c r="H76" i="64"/>
  <c r="I76" i="64" s="1"/>
  <c r="J76" i="64" s="1"/>
  <c r="K76" i="64" s="1"/>
  <c r="L76" i="64" s="1"/>
  <c r="M76" i="64" s="1"/>
  <c r="G76" i="64"/>
  <c r="F76" i="64"/>
  <c r="A76" i="64"/>
  <c r="A75" i="64"/>
  <c r="F74" i="64"/>
  <c r="G74" i="64" s="1"/>
  <c r="H74" i="64" s="1"/>
  <c r="I74" i="64" s="1"/>
  <c r="J74" i="64" s="1"/>
  <c r="K74" i="64" s="1"/>
  <c r="L74" i="64" s="1"/>
  <c r="M74" i="64" s="1"/>
  <c r="A74" i="64"/>
  <c r="G73" i="64"/>
  <c r="H73" i="64" s="1"/>
  <c r="I73" i="64" s="1"/>
  <c r="F73" i="64"/>
  <c r="A73" i="64"/>
  <c r="A72" i="64"/>
  <c r="H71" i="64"/>
  <c r="I71" i="64" s="1"/>
  <c r="J71" i="64" s="1"/>
  <c r="K71" i="64" s="1"/>
  <c r="L71" i="64" s="1"/>
  <c r="M71" i="64" s="1"/>
  <c r="F71" i="64"/>
  <c r="G71" i="64" s="1"/>
  <c r="E71" i="64"/>
  <c r="A71" i="64"/>
  <c r="A70" i="64"/>
  <c r="E69" i="64"/>
  <c r="F69" i="64" s="1"/>
  <c r="G69" i="64" s="1"/>
  <c r="H69" i="64" s="1"/>
  <c r="I69" i="64" s="1"/>
  <c r="J69" i="64" s="1"/>
  <c r="K69" i="64" s="1"/>
  <c r="L69" i="64" s="1"/>
  <c r="M69" i="64" s="1"/>
  <c r="A69" i="64"/>
  <c r="E68" i="64"/>
  <c r="A68" i="64"/>
  <c r="A67" i="64"/>
  <c r="A66" i="64"/>
  <c r="F65" i="64"/>
  <c r="G65" i="64" s="1"/>
  <c r="H65" i="64" s="1"/>
  <c r="I65" i="64" s="1"/>
  <c r="J65" i="64" s="1"/>
  <c r="K65" i="64" s="1"/>
  <c r="L65" i="64" s="1"/>
  <c r="M65" i="64" s="1"/>
  <c r="E65" i="64"/>
  <c r="A65" i="64"/>
  <c r="M64" i="64"/>
  <c r="F64" i="64"/>
  <c r="G64" i="64" s="1"/>
  <c r="H64" i="64" s="1"/>
  <c r="I64" i="64" s="1"/>
  <c r="J64" i="64" s="1"/>
  <c r="K64" i="64" s="1"/>
  <c r="L64" i="64" s="1"/>
  <c r="A64" i="64"/>
  <c r="G63" i="64"/>
  <c r="H63" i="64" s="1"/>
  <c r="I63" i="64" s="1"/>
  <c r="J63" i="64" s="1"/>
  <c r="K63" i="64" s="1"/>
  <c r="L63" i="64" s="1"/>
  <c r="M63" i="64" s="1"/>
  <c r="F63" i="64"/>
  <c r="A63" i="64"/>
  <c r="A62" i="64"/>
  <c r="K61" i="64"/>
  <c r="L61" i="64" s="1"/>
  <c r="M61" i="64" s="1"/>
  <c r="H61" i="64"/>
  <c r="I61" i="64" s="1"/>
  <c r="J61" i="64" s="1"/>
  <c r="F61" i="64"/>
  <c r="G61" i="64" s="1"/>
  <c r="A61" i="64"/>
  <c r="A60" i="64"/>
  <c r="E59" i="64"/>
  <c r="E60" i="64" s="1"/>
  <c r="E66" i="64" s="1"/>
  <c r="A59" i="64"/>
  <c r="F58" i="64"/>
  <c r="G58" i="64" s="1"/>
  <c r="H58" i="64" s="1"/>
  <c r="I58" i="64" s="1"/>
  <c r="J58" i="64" s="1"/>
  <c r="K58" i="64" s="1"/>
  <c r="L58" i="64" s="1"/>
  <c r="M58" i="64" s="1"/>
  <c r="A58" i="64"/>
  <c r="A57" i="64"/>
  <c r="A56" i="64"/>
  <c r="A55" i="64"/>
  <c r="A54" i="64"/>
  <c r="A53" i="64"/>
  <c r="A52" i="64"/>
  <c r="A51" i="64"/>
  <c r="A49" i="64"/>
  <c r="E48" i="64"/>
  <c r="A48" i="64"/>
  <c r="A47" i="64"/>
  <c r="A46" i="64"/>
  <c r="J45" i="64"/>
  <c r="K45" i="64" s="1"/>
  <c r="L45" i="64" s="1"/>
  <c r="M45" i="64" s="1"/>
  <c r="E45" i="64"/>
  <c r="F45" i="64" s="1"/>
  <c r="G45" i="64" s="1"/>
  <c r="H45" i="64" s="1"/>
  <c r="I45" i="64" s="1"/>
  <c r="A45" i="64"/>
  <c r="E44" i="64"/>
  <c r="E46" i="64" s="1"/>
  <c r="A44" i="64"/>
  <c r="F43" i="64"/>
  <c r="E43" i="64"/>
  <c r="A43" i="64"/>
  <c r="A42" i="64"/>
  <c r="A41" i="64"/>
  <c r="E40" i="64"/>
  <c r="A40" i="64"/>
  <c r="E39" i="64"/>
  <c r="A39" i="64"/>
  <c r="E38" i="64"/>
  <c r="A38" i="64"/>
  <c r="E37" i="64"/>
  <c r="A37" i="64"/>
  <c r="E36" i="64"/>
  <c r="A36" i="64"/>
  <c r="E35" i="64"/>
  <c r="A35" i="64"/>
  <c r="E34" i="64"/>
  <c r="A34" i="64"/>
  <c r="A33" i="64"/>
  <c r="E32" i="64"/>
  <c r="E82" i="64" s="1"/>
  <c r="A32" i="64"/>
  <c r="E31" i="64"/>
  <c r="A31" i="64"/>
  <c r="A30" i="64"/>
  <c r="E29" i="64"/>
  <c r="A29" i="64"/>
  <c r="E28" i="64"/>
  <c r="D28" i="64"/>
  <c r="A28" i="64"/>
  <c r="E27" i="64"/>
  <c r="A27" i="64"/>
  <c r="A26" i="64"/>
  <c r="A24" i="64"/>
  <c r="E23" i="64"/>
  <c r="A23" i="64"/>
  <c r="E22" i="64"/>
  <c r="A22" i="64"/>
  <c r="E21" i="64"/>
  <c r="A21" i="64"/>
  <c r="E20" i="64"/>
  <c r="A20" i="64"/>
  <c r="A17" i="64"/>
  <c r="A15" i="64"/>
  <c r="E14" i="64"/>
  <c r="A14" i="64"/>
  <c r="A13" i="64"/>
  <c r="E12" i="64"/>
  <c r="A12" i="64"/>
  <c r="A11" i="64"/>
  <c r="A7" i="64"/>
  <c r="A6" i="64"/>
  <c r="A5" i="64"/>
  <c r="A4" i="64"/>
  <c r="M1" i="64"/>
  <c r="L1" i="64"/>
  <c r="K1" i="64"/>
  <c r="J1" i="64"/>
  <c r="I1" i="64"/>
  <c r="H1" i="64"/>
  <c r="G1" i="64"/>
  <c r="F1" i="64"/>
  <c r="E1" i="64"/>
  <c r="A100" i="63"/>
  <c r="A99" i="63"/>
  <c r="E97" i="63"/>
  <c r="A97" i="63"/>
  <c r="A94" i="63"/>
  <c r="A93" i="63"/>
  <c r="A92" i="63"/>
  <c r="A90" i="63"/>
  <c r="E89" i="63"/>
  <c r="E93" i="63" s="1"/>
  <c r="A89" i="63"/>
  <c r="E88" i="63"/>
  <c r="A88" i="63"/>
  <c r="A87" i="63"/>
  <c r="A86" i="63"/>
  <c r="E85" i="63"/>
  <c r="A85" i="63"/>
  <c r="E84" i="63"/>
  <c r="A84" i="63"/>
  <c r="A83" i="63"/>
  <c r="A82" i="63"/>
  <c r="E81" i="63"/>
  <c r="A81" i="63"/>
  <c r="A80" i="63"/>
  <c r="A78" i="63"/>
  <c r="F77" i="63"/>
  <c r="G77" i="63" s="1"/>
  <c r="H77" i="63" s="1"/>
  <c r="I77" i="63" s="1"/>
  <c r="J77" i="63" s="1"/>
  <c r="K77" i="63" s="1"/>
  <c r="L77" i="63" s="1"/>
  <c r="M77" i="63" s="1"/>
  <c r="A77" i="63"/>
  <c r="I76" i="63"/>
  <c r="J76" i="63" s="1"/>
  <c r="K76" i="63" s="1"/>
  <c r="L76" i="63" s="1"/>
  <c r="M76" i="63" s="1"/>
  <c r="F76" i="63"/>
  <c r="G76" i="63" s="1"/>
  <c r="H76" i="63" s="1"/>
  <c r="A76" i="63"/>
  <c r="A75" i="63"/>
  <c r="F74" i="63"/>
  <c r="G74" i="63" s="1"/>
  <c r="H74" i="63" s="1"/>
  <c r="I74" i="63" s="1"/>
  <c r="J74" i="63" s="1"/>
  <c r="K74" i="63" s="1"/>
  <c r="L74" i="63" s="1"/>
  <c r="M74" i="63" s="1"/>
  <c r="A74" i="63"/>
  <c r="F73" i="63"/>
  <c r="G73" i="63" s="1"/>
  <c r="H73" i="63" s="1"/>
  <c r="I73" i="63" s="1"/>
  <c r="A73" i="63"/>
  <c r="A72" i="63"/>
  <c r="G71" i="63"/>
  <c r="H71" i="63" s="1"/>
  <c r="I71" i="63" s="1"/>
  <c r="J71" i="63" s="1"/>
  <c r="K71" i="63" s="1"/>
  <c r="L71" i="63" s="1"/>
  <c r="M71" i="63" s="1"/>
  <c r="F71" i="63"/>
  <c r="A71" i="63"/>
  <c r="A70" i="63"/>
  <c r="E69" i="63"/>
  <c r="A69" i="63"/>
  <c r="E68" i="63"/>
  <c r="A68" i="63"/>
  <c r="A67" i="63"/>
  <c r="A66" i="63"/>
  <c r="E65" i="63"/>
  <c r="F65" i="63" s="1"/>
  <c r="G65" i="63" s="1"/>
  <c r="H65" i="63" s="1"/>
  <c r="I65" i="63" s="1"/>
  <c r="J65" i="63" s="1"/>
  <c r="K65" i="63" s="1"/>
  <c r="L65" i="63" s="1"/>
  <c r="M65" i="63" s="1"/>
  <c r="A65" i="63"/>
  <c r="L64" i="63"/>
  <c r="M64" i="63" s="1"/>
  <c r="F64" i="63"/>
  <c r="G64" i="63" s="1"/>
  <c r="H64" i="63" s="1"/>
  <c r="I64" i="63" s="1"/>
  <c r="J64" i="63" s="1"/>
  <c r="K64" i="63" s="1"/>
  <c r="A64" i="63"/>
  <c r="E63" i="63"/>
  <c r="F63" i="63" s="1"/>
  <c r="G63" i="63" s="1"/>
  <c r="H63" i="63" s="1"/>
  <c r="I63" i="63" s="1"/>
  <c r="J63" i="63" s="1"/>
  <c r="K63" i="63" s="1"/>
  <c r="L63" i="63" s="1"/>
  <c r="M63" i="63" s="1"/>
  <c r="A63" i="63"/>
  <c r="A62" i="63"/>
  <c r="G61" i="63"/>
  <c r="H61" i="63" s="1"/>
  <c r="I61" i="63" s="1"/>
  <c r="J61" i="63" s="1"/>
  <c r="K61" i="63" s="1"/>
  <c r="L61" i="63" s="1"/>
  <c r="M61" i="63" s="1"/>
  <c r="E61" i="63"/>
  <c r="A61" i="63"/>
  <c r="E60" i="63"/>
  <c r="A60" i="63"/>
  <c r="F59" i="63"/>
  <c r="G59" i="63" s="1"/>
  <c r="H59" i="63" s="1"/>
  <c r="I59" i="63" s="1"/>
  <c r="J59" i="63" s="1"/>
  <c r="K59" i="63" s="1"/>
  <c r="L59" i="63" s="1"/>
  <c r="M59" i="63" s="1"/>
  <c r="A59" i="63"/>
  <c r="D58" i="63"/>
  <c r="A58" i="63"/>
  <c r="A57" i="63"/>
  <c r="A56" i="63"/>
  <c r="A55" i="63"/>
  <c r="A54" i="63"/>
  <c r="A53" i="63"/>
  <c r="A52" i="63"/>
  <c r="A51" i="63"/>
  <c r="A49" i="63"/>
  <c r="A48" i="63"/>
  <c r="A47" i="63"/>
  <c r="A46" i="63"/>
  <c r="E45" i="63"/>
  <c r="F45" i="63" s="1"/>
  <c r="G45" i="63" s="1"/>
  <c r="H45" i="63" s="1"/>
  <c r="I45" i="63" s="1"/>
  <c r="J45" i="63" s="1"/>
  <c r="K45" i="63" s="1"/>
  <c r="L45" i="63" s="1"/>
  <c r="M45" i="63" s="1"/>
  <c r="A45" i="63"/>
  <c r="E44" i="63"/>
  <c r="A44" i="63"/>
  <c r="F43" i="63"/>
  <c r="A43" i="63"/>
  <c r="A42" i="63"/>
  <c r="A41" i="63"/>
  <c r="E40" i="63"/>
  <c r="A40" i="63"/>
  <c r="E39" i="63"/>
  <c r="A39" i="63"/>
  <c r="E38" i="63"/>
  <c r="A38" i="63"/>
  <c r="E37" i="63"/>
  <c r="A37" i="63"/>
  <c r="E36" i="63"/>
  <c r="A36" i="63"/>
  <c r="E35" i="63"/>
  <c r="A35" i="63"/>
  <c r="E34" i="63"/>
  <c r="A34" i="63"/>
  <c r="E33" i="63"/>
  <c r="A33" i="63"/>
  <c r="E32" i="63"/>
  <c r="A32" i="63"/>
  <c r="E31" i="63"/>
  <c r="A31" i="63"/>
  <c r="A30" i="63"/>
  <c r="A29" i="63"/>
  <c r="E28" i="63"/>
  <c r="D28" i="63"/>
  <c r="A28" i="63"/>
  <c r="E27" i="63"/>
  <c r="A27" i="63"/>
  <c r="A26" i="63"/>
  <c r="A24" i="63"/>
  <c r="A23" i="63"/>
  <c r="A22" i="63"/>
  <c r="A21" i="63"/>
  <c r="E24" i="63"/>
  <c r="A20" i="63"/>
  <c r="A17" i="63"/>
  <c r="A15" i="63"/>
  <c r="E14" i="63"/>
  <c r="A14" i="63"/>
  <c r="A13" i="63"/>
  <c r="E12" i="63"/>
  <c r="A12" i="63"/>
  <c r="A11" i="63"/>
  <c r="A7" i="63"/>
  <c r="A6" i="63"/>
  <c r="A5" i="63"/>
  <c r="A4" i="63"/>
  <c r="M1" i="63"/>
  <c r="L1" i="63"/>
  <c r="K1" i="63"/>
  <c r="J1" i="63"/>
  <c r="I1" i="63"/>
  <c r="H1" i="63"/>
  <c r="G1" i="63"/>
  <c r="F1" i="63"/>
  <c r="E1" i="63"/>
  <c r="M83" i="79" l="1"/>
  <c r="D36" i="69"/>
  <c r="D31" i="69"/>
  <c r="D29" i="69"/>
  <c r="D30" i="69"/>
  <c r="G28" i="69"/>
  <c r="D54" i="69"/>
  <c r="E44" i="69"/>
  <c r="D53" i="69"/>
  <c r="D52" i="69"/>
  <c r="D51" i="69"/>
  <c r="D55" i="69"/>
  <c r="D33" i="69"/>
  <c r="D65" i="69"/>
  <c r="D37" i="69"/>
  <c r="D32" i="69"/>
  <c r="D35" i="69"/>
  <c r="H40" i="69"/>
  <c r="D34" i="69"/>
  <c r="E90" i="63"/>
  <c r="C5" i="85" s="1"/>
  <c r="E90" i="65"/>
  <c r="C7" i="85" s="1"/>
  <c r="D68" i="63"/>
  <c r="E90" i="64"/>
  <c r="C3" i="85" s="1"/>
  <c r="E24" i="64"/>
  <c r="D33" i="64" s="1"/>
  <c r="E24" i="65"/>
  <c r="D39" i="65" s="1"/>
  <c r="E94" i="65"/>
  <c r="E95" i="65" s="1"/>
  <c r="D29" i="65"/>
  <c r="E83" i="63"/>
  <c r="E41" i="63"/>
  <c r="E47" i="63" s="1"/>
  <c r="F31" i="63"/>
  <c r="D34" i="63"/>
  <c r="E17" i="63"/>
  <c r="D33" i="63"/>
  <c r="D39" i="63"/>
  <c r="D38" i="63"/>
  <c r="D37" i="63"/>
  <c r="E82" i="63"/>
  <c r="F69" i="63"/>
  <c r="G69" i="63" s="1"/>
  <c r="H69" i="63" s="1"/>
  <c r="I69" i="63" s="1"/>
  <c r="J69" i="63" s="1"/>
  <c r="K69" i="63" s="1"/>
  <c r="L69" i="63" s="1"/>
  <c r="M69" i="63" s="1"/>
  <c r="E72" i="63"/>
  <c r="E78" i="63" s="1"/>
  <c r="J73" i="63"/>
  <c r="K73" i="63" s="1"/>
  <c r="L73" i="63" s="1"/>
  <c r="M73" i="63" s="1"/>
  <c r="D35" i="63"/>
  <c r="D54" i="63"/>
  <c r="G43" i="63"/>
  <c r="D40" i="63"/>
  <c r="E46" i="63"/>
  <c r="E92" i="63"/>
  <c r="E94" i="63" s="1"/>
  <c r="E95" i="63" s="1"/>
  <c r="D56" i="63"/>
  <c r="D55" i="63"/>
  <c r="E15" i="64"/>
  <c r="D36" i="63"/>
  <c r="E66" i="63"/>
  <c r="D57" i="63"/>
  <c r="G43" i="64"/>
  <c r="E92" i="64"/>
  <c r="E94" i="64" s="1"/>
  <c r="E95" i="64" s="1"/>
  <c r="J73" i="64"/>
  <c r="K73" i="64" s="1"/>
  <c r="L73" i="64" s="1"/>
  <c r="M73" i="64" s="1"/>
  <c r="D29" i="64"/>
  <c r="E83" i="64"/>
  <c r="E41" i="64"/>
  <c r="E47" i="64" s="1"/>
  <c r="F31" i="64"/>
  <c r="F59" i="64"/>
  <c r="G59" i="64" s="1"/>
  <c r="H59" i="64" s="1"/>
  <c r="I59" i="64" s="1"/>
  <c r="J59" i="64" s="1"/>
  <c r="K59" i="64" s="1"/>
  <c r="L59" i="64" s="1"/>
  <c r="M59" i="64" s="1"/>
  <c r="D54" i="64"/>
  <c r="E72" i="64"/>
  <c r="E78" i="64" s="1"/>
  <c r="D55" i="64"/>
  <c r="J73" i="65"/>
  <c r="K73" i="65" s="1"/>
  <c r="L73" i="65" s="1"/>
  <c r="M73" i="65" s="1"/>
  <c r="D56" i="64"/>
  <c r="D34" i="64" l="1"/>
  <c r="D36" i="64"/>
  <c r="D35" i="64"/>
  <c r="D39" i="64"/>
  <c r="E17" i="64"/>
  <c r="D68" i="64"/>
  <c r="D40" i="64"/>
  <c r="D37" i="64"/>
  <c r="D38" i="64"/>
  <c r="D32" i="64"/>
  <c r="H28" i="69"/>
  <c r="E46" i="69"/>
  <c r="D45" i="69"/>
  <c r="I40" i="69"/>
  <c r="D36" i="65"/>
  <c r="D35" i="65"/>
  <c r="E15" i="65"/>
  <c r="E17" i="65" s="1"/>
  <c r="D33" i="65"/>
  <c r="D68" i="65"/>
  <c r="D40" i="65"/>
  <c r="D37" i="65"/>
  <c r="D32" i="65"/>
  <c r="D38" i="65"/>
  <c r="D34" i="65"/>
  <c r="E80" i="63"/>
  <c r="E49" i="64"/>
  <c r="E80" i="64" s="1"/>
  <c r="G31" i="63"/>
  <c r="H43" i="64"/>
  <c r="H43" i="63"/>
  <c r="G31" i="64"/>
  <c r="I28" i="69" l="1"/>
  <c r="J40" i="69"/>
  <c r="H31" i="64"/>
  <c r="I43" i="63"/>
  <c r="H31" i="63"/>
  <c r="I43" i="64"/>
  <c r="K40" i="69" l="1"/>
  <c r="J28" i="69"/>
  <c r="J43" i="63"/>
  <c r="J43" i="64"/>
  <c r="I31" i="63"/>
  <c r="I31" i="64"/>
  <c r="E12" i="39"/>
  <c r="K28" i="69" l="1"/>
  <c r="L40" i="69"/>
  <c r="J31" i="63"/>
  <c r="J31" i="64"/>
  <c r="K43" i="63"/>
  <c r="K43" i="64"/>
  <c r="E84" i="50"/>
  <c r="E44" i="40"/>
  <c r="L28" i="69" l="1"/>
  <c r="M40" i="69"/>
  <c r="K31" i="64"/>
  <c r="L43" i="63"/>
  <c r="L43" i="64"/>
  <c r="K31" i="63"/>
  <c r="E89" i="39"/>
  <c r="E86" i="69" s="1"/>
  <c r="I85" i="69"/>
  <c r="H85" i="69"/>
  <c r="G85" i="69"/>
  <c r="E88" i="39"/>
  <c r="E85" i="69" s="1"/>
  <c r="E89" i="40"/>
  <c r="E88" i="40"/>
  <c r="I8006" i="61"/>
  <c r="E88" i="50"/>
  <c r="E89" i="50"/>
  <c r="F85" i="69" l="1"/>
  <c r="J85" i="69"/>
  <c r="M28" i="69"/>
  <c r="L31" i="63"/>
  <c r="M43" i="63"/>
  <c r="M43" i="64"/>
  <c r="L31" i="64"/>
  <c r="E45" i="39"/>
  <c r="E40" i="39"/>
  <c r="E44" i="39"/>
  <c r="K85" i="69" l="1"/>
  <c r="M31" i="63"/>
  <c r="M31" i="64"/>
  <c r="E97" i="50"/>
  <c r="E48" i="50"/>
  <c r="E90" i="50"/>
  <c r="C8" i="85" s="1"/>
  <c r="E87" i="50"/>
  <c r="E81" i="50"/>
  <c r="E77" i="50"/>
  <c r="L85" i="69" l="1"/>
  <c r="A98" i="59"/>
  <c r="A97" i="59"/>
  <c r="E95" i="59"/>
  <c r="F95" i="59" s="1"/>
  <c r="G95" i="59" s="1"/>
  <c r="H95" i="59" s="1"/>
  <c r="I95" i="59" s="1"/>
  <c r="J95" i="59" s="1"/>
  <c r="K95" i="59" s="1"/>
  <c r="L95" i="59" s="1"/>
  <c r="M95" i="59" s="1"/>
  <c r="A95" i="59"/>
  <c r="A93" i="59"/>
  <c r="M92" i="59"/>
  <c r="L92" i="59"/>
  <c r="K92" i="59"/>
  <c r="J92" i="59"/>
  <c r="I92" i="59"/>
  <c r="H92" i="59"/>
  <c r="G92" i="59"/>
  <c r="F92" i="59"/>
  <c r="E92" i="59"/>
  <c r="A92" i="59"/>
  <c r="A91" i="59"/>
  <c r="A89" i="59"/>
  <c r="M88" i="59"/>
  <c r="L88" i="59"/>
  <c r="K88" i="59"/>
  <c r="J88" i="59"/>
  <c r="I88" i="59"/>
  <c r="H88" i="59"/>
  <c r="G88" i="59"/>
  <c r="F88" i="59"/>
  <c r="E88" i="59"/>
  <c r="A88" i="59"/>
  <c r="F87" i="59"/>
  <c r="G87" i="59" s="1"/>
  <c r="H87" i="59" s="1"/>
  <c r="I87" i="59" s="1"/>
  <c r="J87" i="59" s="1"/>
  <c r="K87" i="59" s="1"/>
  <c r="L87" i="59" s="1"/>
  <c r="M87" i="59" s="1"/>
  <c r="E87" i="59"/>
  <c r="E89" i="59" s="1"/>
  <c r="A87" i="59"/>
  <c r="E86" i="59"/>
  <c r="A86" i="59"/>
  <c r="E85" i="59"/>
  <c r="A85" i="59"/>
  <c r="E84" i="59"/>
  <c r="A84" i="59"/>
  <c r="E83" i="59"/>
  <c r="A83" i="59"/>
  <c r="A82" i="59"/>
  <c r="E80" i="59"/>
  <c r="A80" i="59"/>
  <c r="E79" i="59"/>
  <c r="F79" i="59" s="1"/>
  <c r="G79" i="59" s="1"/>
  <c r="H79" i="59" s="1"/>
  <c r="I79" i="59" s="1"/>
  <c r="J79" i="59" s="1"/>
  <c r="K79" i="59" s="1"/>
  <c r="L79" i="59" s="1"/>
  <c r="M79" i="59" s="1"/>
  <c r="A79" i="59"/>
  <c r="F78" i="59"/>
  <c r="G78" i="59" s="1"/>
  <c r="H78" i="59" s="1"/>
  <c r="I78" i="59" s="1"/>
  <c r="J78" i="59" s="1"/>
  <c r="K78" i="59" s="1"/>
  <c r="L78" i="59" s="1"/>
  <c r="M78" i="59" s="1"/>
  <c r="A78" i="59"/>
  <c r="A77" i="59"/>
  <c r="G76" i="59"/>
  <c r="H76" i="59" s="1"/>
  <c r="I76" i="59" s="1"/>
  <c r="J76" i="59" s="1"/>
  <c r="K76" i="59" s="1"/>
  <c r="L76" i="59" s="1"/>
  <c r="M76" i="59" s="1"/>
  <c r="F76" i="59"/>
  <c r="A76" i="59"/>
  <c r="H75" i="59"/>
  <c r="I75" i="59" s="1"/>
  <c r="J75" i="59" s="1"/>
  <c r="K75" i="59" s="1"/>
  <c r="L75" i="59" s="1"/>
  <c r="M75" i="59" s="1"/>
  <c r="G75" i="59"/>
  <c r="F75" i="59"/>
  <c r="A75" i="59"/>
  <c r="E74" i="59"/>
  <c r="A74" i="59"/>
  <c r="K73" i="59"/>
  <c r="L73" i="59" s="1"/>
  <c r="M73" i="59" s="1"/>
  <c r="G73" i="59"/>
  <c r="H73" i="59" s="1"/>
  <c r="I73" i="59" s="1"/>
  <c r="J73" i="59" s="1"/>
  <c r="E73" i="59"/>
  <c r="F73" i="59" s="1"/>
  <c r="A73" i="59"/>
  <c r="A72" i="59"/>
  <c r="J71" i="59"/>
  <c r="K71" i="59" s="1"/>
  <c r="L71" i="59" s="1"/>
  <c r="M71" i="59" s="1"/>
  <c r="F71" i="59"/>
  <c r="G71" i="59" s="1"/>
  <c r="H71" i="59" s="1"/>
  <c r="I71" i="59" s="1"/>
  <c r="A71" i="59"/>
  <c r="E70" i="59"/>
  <c r="A70" i="59"/>
  <c r="A69" i="59"/>
  <c r="A68" i="59"/>
  <c r="M67" i="59"/>
  <c r="I67" i="59"/>
  <c r="J67" i="59" s="1"/>
  <c r="K67" i="59" s="1"/>
  <c r="L67" i="59" s="1"/>
  <c r="E67" i="59"/>
  <c r="F67" i="59" s="1"/>
  <c r="G67" i="59" s="1"/>
  <c r="H67" i="59" s="1"/>
  <c r="A67" i="59"/>
  <c r="G66" i="59"/>
  <c r="H66" i="59" s="1"/>
  <c r="I66" i="59" s="1"/>
  <c r="J66" i="59" s="1"/>
  <c r="K66" i="59" s="1"/>
  <c r="L66" i="59" s="1"/>
  <c r="M66" i="59" s="1"/>
  <c r="F66" i="59"/>
  <c r="A66" i="59"/>
  <c r="L65" i="59"/>
  <c r="M65" i="59" s="1"/>
  <c r="H65" i="59"/>
  <c r="I65" i="59" s="1"/>
  <c r="J65" i="59" s="1"/>
  <c r="K65" i="59" s="1"/>
  <c r="G65" i="59"/>
  <c r="F65" i="59"/>
  <c r="A65" i="59"/>
  <c r="A64" i="59"/>
  <c r="F63" i="59"/>
  <c r="G63" i="59" s="1"/>
  <c r="H63" i="59" s="1"/>
  <c r="I63" i="59" s="1"/>
  <c r="J63" i="59" s="1"/>
  <c r="K63" i="59" s="1"/>
  <c r="L63" i="59" s="1"/>
  <c r="M63" i="59" s="1"/>
  <c r="E63" i="59"/>
  <c r="A63" i="59"/>
  <c r="A62" i="59"/>
  <c r="J61" i="59"/>
  <c r="K61" i="59" s="1"/>
  <c r="L61" i="59" s="1"/>
  <c r="M61" i="59" s="1"/>
  <c r="F61" i="59"/>
  <c r="G61" i="59" s="1"/>
  <c r="H61" i="59" s="1"/>
  <c r="I61" i="59" s="1"/>
  <c r="E61" i="59"/>
  <c r="A61" i="59"/>
  <c r="L60" i="59"/>
  <c r="M60" i="59" s="1"/>
  <c r="H60" i="59"/>
  <c r="I60" i="59" s="1"/>
  <c r="J60" i="59" s="1"/>
  <c r="K60" i="59" s="1"/>
  <c r="G60" i="59"/>
  <c r="F60" i="59"/>
  <c r="A60" i="59"/>
  <c r="A59" i="59"/>
  <c r="A58" i="59"/>
  <c r="A57" i="59"/>
  <c r="A56" i="59"/>
  <c r="A55" i="59"/>
  <c r="E54" i="59"/>
  <c r="E53" i="59"/>
  <c r="A53" i="59"/>
  <c r="A52" i="59"/>
  <c r="A50" i="59"/>
  <c r="E49" i="59"/>
  <c r="A49" i="59"/>
  <c r="E48" i="59"/>
  <c r="A48" i="59"/>
  <c r="A47" i="59"/>
  <c r="A46" i="59"/>
  <c r="F45" i="59"/>
  <c r="G45" i="59" s="1"/>
  <c r="H45" i="59" s="1"/>
  <c r="I45" i="59" s="1"/>
  <c r="J45" i="59" s="1"/>
  <c r="K45" i="59" s="1"/>
  <c r="L45" i="59" s="1"/>
  <c r="M45" i="59" s="1"/>
  <c r="A45" i="59"/>
  <c r="A44" i="59"/>
  <c r="G43" i="59"/>
  <c r="F43" i="59"/>
  <c r="A43" i="59"/>
  <c r="A42" i="59"/>
  <c r="A41" i="59"/>
  <c r="E40" i="59"/>
  <c r="A40" i="59"/>
  <c r="E39" i="59"/>
  <c r="E38" i="59"/>
  <c r="A38" i="59"/>
  <c r="E37" i="59"/>
  <c r="A37" i="59"/>
  <c r="A36" i="59"/>
  <c r="A35" i="59"/>
  <c r="A34" i="59"/>
  <c r="E33" i="59"/>
  <c r="A33" i="59"/>
  <c r="E32" i="59"/>
  <c r="A32" i="59"/>
  <c r="F31" i="59"/>
  <c r="A31" i="59"/>
  <c r="A30" i="59"/>
  <c r="A29" i="59"/>
  <c r="E28" i="59"/>
  <c r="A28" i="59"/>
  <c r="E27" i="59"/>
  <c r="A27" i="59"/>
  <c r="A26" i="59"/>
  <c r="A24" i="59"/>
  <c r="F23" i="59"/>
  <c r="G23" i="59" s="1"/>
  <c r="H23" i="59" s="1"/>
  <c r="I23" i="59" s="1"/>
  <c r="J23" i="59" s="1"/>
  <c r="K23" i="59" s="1"/>
  <c r="L23" i="59" s="1"/>
  <c r="M23" i="59" s="1"/>
  <c r="E23" i="59"/>
  <c r="A23" i="59"/>
  <c r="F22" i="59"/>
  <c r="G22" i="59" s="1"/>
  <c r="H22" i="59" s="1"/>
  <c r="I22" i="59" s="1"/>
  <c r="J22" i="59" s="1"/>
  <c r="K22" i="59" s="1"/>
  <c r="L22" i="59" s="1"/>
  <c r="M22" i="59" s="1"/>
  <c r="E22" i="59"/>
  <c r="A22" i="59"/>
  <c r="F21" i="59"/>
  <c r="G21" i="59" s="1"/>
  <c r="H21" i="59" s="1"/>
  <c r="I21" i="59" s="1"/>
  <c r="J21" i="59" s="1"/>
  <c r="K21" i="59" s="1"/>
  <c r="L21" i="59" s="1"/>
  <c r="M21" i="59" s="1"/>
  <c r="E21" i="59"/>
  <c r="A21" i="59"/>
  <c r="F20" i="59"/>
  <c r="G20" i="59" s="1"/>
  <c r="H20" i="59" s="1"/>
  <c r="I20" i="59" s="1"/>
  <c r="E20" i="59"/>
  <c r="E24" i="59" s="1"/>
  <c r="D38" i="59" s="1"/>
  <c r="A20" i="59"/>
  <c r="A17" i="59"/>
  <c r="A15" i="59"/>
  <c r="M14" i="59"/>
  <c r="I14" i="59"/>
  <c r="E14" i="59"/>
  <c r="A14" i="59"/>
  <c r="K13" i="59"/>
  <c r="G13" i="59"/>
  <c r="A13" i="59"/>
  <c r="E12" i="59"/>
  <c r="A12" i="59"/>
  <c r="A11" i="59"/>
  <c r="M7" i="59"/>
  <c r="L7" i="59"/>
  <c r="K7" i="59"/>
  <c r="K14" i="59" s="1"/>
  <c r="J7" i="59"/>
  <c r="I7" i="59"/>
  <c r="H7" i="59"/>
  <c r="G7" i="59"/>
  <c r="G14" i="59" s="1"/>
  <c r="F7" i="59"/>
  <c r="E7" i="59"/>
  <c r="M6" i="59"/>
  <c r="M13" i="59" s="1"/>
  <c r="L6" i="59"/>
  <c r="L13" i="59" s="1"/>
  <c r="K6" i="59"/>
  <c r="J6" i="59"/>
  <c r="J13" i="59" s="1"/>
  <c r="I6" i="59"/>
  <c r="I13" i="59" s="1"/>
  <c r="H6" i="59"/>
  <c r="H13" i="59" s="1"/>
  <c r="G6" i="59"/>
  <c r="F6" i="59"/>
  <c r="F13" i="59" s="1"/>
  <c r="E6" i="59"/>
  <c r="M5" i="59"/>
  <c r="L5" i="59"/>
  <c r="K5" i="59"/>
  <c r="J5" i="59"/>
  <c r="I5" i="59"/>
  <c r="H5" i="59"/>
  <c r="G5" i="59"/>
  <c r="F5" i="59"/>
  <c r="E5" i="59"/>
  <c r="L12" i="59" s="1"/>
  <c r="M4" i="59"/>
  <c r="M11" i="59" s="1"/>
  <c r="L4" i="59"/>
  <c r="L11" i="59" s="1"/>
  <c r="K4" i="59"/>
  <c r="K11" i="59" s="1"/>
  <c r="J4" i="59"/>
  <c r="J11" i="59" s="1"/>
  <c r="I4" i="59"/>
  <c r="H4" i="59"/>
  <c r="H11" i="59" s="1"/>
  <c r="G4" i="59"/>
  <c r="G11" i="59" s="1"/>
  <c r="F4" i="59"/>
  <c r="F11" i="59" s="1"/>
  <c r="E4" i="59"/>
  <c r="I11" i="59" s="1"/>
  <c r="M1" i="59"/>
  <c r="L1" i="59"/>
  <c r="K1" i="59"/>
  <c r="J1" i="59"/>
  <c r="I1" i="59"/>
  <c r="H1" i="59"/>
  <c r="G1" i="59"/>
  <c r="F1" i="59"/>
  <c r="E1" i="59"/>
  <c r="M85" i="69" l="1"/>
  <c r="D33" i="59"/>
  <c r="I33" i="59" s="1"/>
  <c r="F27" i="59"/>
  <c r="H24" i="59"/>
  <c r="H33" i="59" s="1"/>
  <c r="G31" i="59"/>
  <c r="G24" i="59"/>
  <c r="G33" i="59" s="1"/>
  <c r="D28" i="59"/>
  <c r="E29" i="59"/>
  <c r="D54" i="59" s="1"/>
  <c r="G12" i="59"/>
  <c r="J12" i="59"/>
  <c r="H14" i="59"/>
  <c r="I24" i="59"/>
  <c r="I38" i="59" s="1"/>
  <c r="J20" i="59"/>
  <c r="I12" i="59"/>
  <c r="I27" i="59" s="1"/>
  <c r="K12" i="59"/>
  <c r="J14" i="59"/>
  <c r="F14" i="59"/>
  <c r="H43" i="59"/>
  <c r="E62" i="59"/>
  <c r="E68" i="59" s="1"/>
  <c r="M12" i="59"/>
  <c r="H12" i="59"/>
  <c r="H27" i="59" s="1"/>
  <c r="D39" i="59"/>
  <c r="D35" i="59"/>
  <c r="D32" i="59"/>
  <c r="D34" i="59"/>
  <c r="D70" i="59"/>
  <c r="D40" i="59"/>
  <c r="D37" i="59"/>
  <c r="D36" i="59"/>
  <c r="E17" i="59"/>
  <c r="G27" i="59"/>
  <c r="F12" i="59"/>
  <c r="L14" i="59"/>
  <c r="F24" i="59"/>
  <c r="F33" i="59" s="1"/>
  <c r="J27" i="59" l="1"/>
  <c r="I28" i="59"/>
  <c r="I29" i="59" s="1"/>
  <c r="H28" i="59"/>
  <c r="H29" i="59"/>
  <c r="J28" i="59"/>
  <c r="J29" i="59" s="1"/>
  <c r="G29" i="59"/>
  <c r="G28" i="59"/>
  <c r="F35" i="59"/>
  <c r="I35" i="59"/>
  <c r="G35" i="59"/>
  <c r="H35" i="59"/>
  <c r="H31" i="59"/>
  <c r="I39" i="59"/>
  <c r="H39" i="59"/>
  <c r="G39" i="59"/>
  <c r="F39" i="59"/>
  <c r="J39" i="59"/>
  <c r="I36" i="59"/>
  <c r="H36" i="59"/>
  <c r="G36" i="59"/>
  <c r="J36" i="59"/>
  <c r="F36" i="59"/>
  <c r="F38" i="59"/>
  <c r="F28" i="59"/>
  <c r="F29" i="59" s="1"/>
  <c r="I40" i="59"/>
  <c r="H40" i="59"/>
  <c r="F40" i="59"/>
  <c r="J40" i="59"/>
  <c r="G40" i="59"/>
  <c r="H38" i="59"/>
  <c r="J24" i="59"/>
  <c r="J35" i="59" s="1"/>
  <c r="K20" i="59"/>
  <c r="G38" i="59"/>
  <c r="I37" i="59"/>
  <c r="H37" i="59"/>
  <c r="F37" i="59"/>
  <c r="J37" i="59"/>
  <c r="G37" i="59"/>
  <c r="H34" i="59"/>
  <c r="G34" i="59"/>
  <c r="G85" i="59" s="1"/>
  <c r="I34" i="59"/>
  <c r="F34" i="59"/>
  <c r="J34" i="59"/>
  <c r="D57" i="59"/>
  <c r="D56" i="59"/>
  <c r="E91" i="59"/>
  <c r="E93" i="59" s="1"/>
  <c r="D58" i="59"/>
  <c r="I70" i="59"/>
  <c r="I74" i="59" s="1"/>
  <c r="I80" i="59" s="1"/>
  <c r="H70" i="59"/>
  <c r="H74" i="59" s="1"/>
  <c r="H80" i="59" s="1"/>
  <c r="F70" i="59"/>
  <c r="F74" i="59" s="1"/>
  <c r="F80" i="59" s="1"/>
  <c r="F44" i="59" s="1"/>
  <c r="F46" i="59" s="1"/>
  <c r="J70" i="59"/>
  <c r="J74" i="59" s="1"/>
  <c r="J80" i="59" s="1"/>
  <c r="J44" i="59" s="1"/>
  <c r="G70" i="59"/>
  <c r="G74" i="59" s="1"/>
  <c r="G80" i="59" s="1"/>
  <c r="G44" i="59" s="1"/>
  <c r="G46" i="59" s="1"/>
  <c r="I43" i="59"/>
  <c r="J32" i="59"/>
  <c r="J83" i="59" s="1"/>
  <c r="I32" i="59"/>
  <c r="I83" i="59" s="1"/>
  <c r="H32" i="59"/>
  <c r="H83" i="59" s="1"/>
  <c r="F32" i="59"/>
  <c r="G32" i="59"/>
  <c r="G83" i="59" s="1"/>
  <c r="H44" i="59" l="1"/>
  <c r="H46" i="59" s="1"/>
  <c r="F85" i="59"/>
  <c r="F15" i="59"/>
  <c r="F17" i="59" s="1"/>
  <c r="J15" i="59"/>
  <c r="I15" i="59"/>
  <c r="I17" i="59" s="1"/>
  <c r="D48" i="59"/>
  <c r="E82" i="59"/>
  <c r="D49" i="59"/>
  <c r="H56" i="59"/>
  <c r="G56" i="59"/>
  <c r="I56" i="59"/>
  <c r="F56" i="59"/>
  <c r="J56" i="59"/>
  <c r="F57" i="59"/>
  <c r="J57" i="59"/>
  <c r="I57" i="59"/>
  <c r="G57" i="59"/>
  <c r="H57" i="59"/>
  <c r="H15" i="59"/>
  <c r="H17" i="59" s="1"/>
  <c r="H85" i="59"/>
  <c r="H41" i="59"/>
  <c r="H47" i="59" s="1"/>
  <c r="I31" i="59"/>
  <c r="K24" i="59"/>
  <c r="L20" i="59"/>
  <c r="K27" i="59"/>
  <c r="G41" i="59"/>
  <c r="G47" i="59" s="1"/>
  <c r="J43" i="59"/>
  <c r="I44" i="59"/>
  <c r="I46" i="59" s="1"/>
  <c r="J38" i="59"/>
  <c r="J33" i="59"/>
  <c r="F83" i="59"/>
  <c r="F41" i="59"/>
  <c r="F91" i="59" s="1"/>
  <c r="F93" i="59" s="1"/>
  <c r="I58" i="59"/>
  <c r="H58" i="59"/>
  <c r="G58" i="59"/>
  <c r="J58" i="59"/>
  <c r="F58" i="59"/>
  <c r="G15" i="59"/>
  <c r="G17" i="59" s="1"/>
  <c r="H91" i="59" l="1"/>
  <c r="H93" i="59" s="1"/>
  <c r="G91" i="59"/>
  <c r="G93" i="59" s="1"/>
  <c r="J46" i="59"/>
  <c r="K43" i="59"/>
  <c r="J17" i="59"/>
  <c r="K28" i="59"/>
  <c r="K29" i="59"/>
  <c r="K33" i="59"/>
  <c r="K38" i="59"/>
  <c r="K34" i="59"/>
  <c r="K32" i="59"/>
  <c r="K83" i="59" s="1"/>
  <c r="K37" i="59"/>
  <c r="K35" i="59"/>
  <c r="K70" i="59"/>
  <c r="K74" i="59" s="1"/>
  <c r="K80" i="59" s="1"/>
  <c r="K44" i="59" s="1"/>
  <c r="K39" i="59"/>
  <c r="K36" i="59"/>
  <c r="K40" i="59"/>
  <c r="F47" i="59"/>
  <c r="M20" i="59"/>
  <c r="L24" i="59"/>
  <c r="L27" i="59"/>
  <c r="G49" i="59"/>
  <c r="G50" i="59" s="1"/>
  <c r="H49" i="59"/>
  <c r="H50" i="59" s="1"/>
  <c r="I85" i="59"/>
  <c r="I41" i="59"/>
  <c r="J31" i="59"/>
  <c r="H48" i="59"/>
  <c r="F48" i="59"/>
  <c r="G48" i="59"/>
  <c r="H82" i="59" l="1"/>
  <c r="G82" i="59"/>
  <c r="J85" i="59"/>
  <c r="J41" i="59"/>
  <c r="K31" i="59"/>
  <c r="I47" i="59"/>
  <c r="I91" i="59"/>
  <c r="I93" i="59" s="1"/>
  <c r="K15" i="59"/>
  <c r="K17" i="59" s="1"/>
  <c r="K56" i="59"/>
  <c r="K57" i="59"/>
  <c r="K58" i="59"/>
  <c r="L28" i="59"/>
  <c r="L29" i="59" s="1"/>
  <c r="L38" i="59"/>
  <c r="L33" i="59"/>
  <c r="L37" i="59"/>
  <c r="L35" i="59"/>
  <c r="L40" i="59"/>
  <c r="L32" i="59"/>
  <c r="L83" i="59" s="1"/>
  <c r="L34" i="59"/>
  <c r="L39" i="59"/>
  <c r="L36" i="59"/>
  <c r="L70" i="59"/>
  <c r="L74" i="59" s="1"/>
  <c r="L80" i="59" s="1"/>
  <c r="L44" i="59" s="1"/>
  <c r="M24" i="59"/>
  <c r="M27" i="59"/>
  <c r="L43" i="59"/>
  <c r="K46" i="59"/>
  <c r="F49" i="59"/>
  <c r="F50" i="59" s="1"/>
  <c r="L15" i="59" l="1"/>
  <c r="L17" i="59" s="1"/>
  <c r="L57" i="59"/>
  <c r="L56" i="59"/>
  <c r="L58" i="59"/>
  <c r="M43" i="59"/>
  <c r="L46" i="59"/>
  <c r="F82" i="59"/>
  <c r="F53" i="59"/>
  <c r="J91" i="59"/>
  <c r="J93" i="59" s="1"/>
  <c r="J47" i="59"/>
  <c r="K85" i="59"/>
  <c r="K41" i="59"/>
  <c r="L31" i="59"/>
  <c r="I48" i="59"/>
  <c r="I49" i="59"/>
  <c r="I50" i="59" s="1"/>
  <c r="M33" i="59"/>
  <c r="M38" i="59"/>
  <c r="M39" i="59"/>
  <c r="M36" i="59"/>
  <c r="M35" i="59"/>
  <c r="M40" i="59"/>
  <c r="M32" i="59"/>
  <c r="M83" i="59" s="1"/>
  <c r="M37" i="59"/>
  <c r="M70" i="59"/>
  <c r="M74" i="59" s="1"/>
  <c r="M80" i="59" s="1"/>
  <c r="M44" i="59" s="1"/>
  <c r="M34" i="59"/>
  <c r="M28" i="59"/>
  <c r="M29" i="59" s="1"/>
  <c r="M46" i="59" l="1"/>
  <c r="I82" i="59"/>
  <c r="M15" i="59"/>
  <c r="M17" i="59" s="1"/>
  <c r="M58" i="59"/>
  <c r="M57" i="59"/>
  <c r="M56" i="59"/>
  <c r="L41" i="59"/>
  <c r="M31" i="59"/>
  <c r="L85" i="59"/>
  <c r="K47" i="59"/>
  <c r="K91" i="59"/>
  <c r="K93" i="59" s="1"/>
  <c r="F62" i="59"/>
  <c r="G53" i="59"/>
  <c r="J48" i="59"/>
  <c r="J49" i="59"/>
  <c r="J50" i="59" s="1"/>
  <c r="J82" i="59" l="1"/>
  <c r="G62" i="59"/>
  <c r="H53" i="59"/>
  <c r="F84" i="59"/>
  <c r="F86" i="59" s="1"/>
  <c r="F89" i="59" s="1"/>
  <c r="F68" i="59"/>
  <c r="K49" i="59"/>
  <c r="K50" i="59" s="1"/>
  <c r="K48" i="59"/>
  <c r="M41" i="59"/>
  <c r="M85" i="59"/>
  <c r="L47" i="59"/>
  <c r="L91" i="59"/>
  <c r="L93" i="59" s="1"/>
  <c r="K82" i="59" l="1"/>
  <c r="M47" i="59"/>
  <c r="M91" i="59"/>
  <c r="M93" i="59" s="1"/>
  <c r="L48" i="59"/>
  <c r="L49" i="59"/>
  <c r="L50" i="59" s="1"/>
  <c r="H62" i="59"/>
  <c r="I53" i="59"/>
  <c r="G68" i="59"/>
  <c r="G84" i="59"/>
  <c r="G86" i="59" s="1"/>
  <c r="G89" i="59" s="1"/>
  <c r="L82" i="59" l="1"/>
  <c r="H84" i="59"/>
  <c r="H86" i="59" s="1"/>
  <c r="H89" i="59" s="1"/>
  <c r="H68" i="59"/>
  <c r="M48" i="59"/>
  <c r="M49" i="59"/>
  <c r="M50" i="59" s="1"/>
  <c r="I62" i="59"/>
  <c r="J53" i="59"/>
  <c r="M82" i="59" l="1"/>
  <c r="J62" i="59"/>
  <c r="K53" i="59"/>
  <c r="I84" i="59"/>
  <c r="I86" i="59" s="1"/>
  <c r="I89" i="59" s="1"/>
  <c r="I68" i="59"/>
  <c r="I97" i="59" s="1"/>
  <c r="I98" i="59" s="1"/>
  <c r="K62" i="59" l="1"/>
  <c r="L53" i="59"/>
  <c r="J84" i="59"/>
  <c r="J86" i="59" s="1"/>
  <c r="J89" i="59" s="1"/>
  <c r="J68" i="59"/>
  <c r="L62" i="59" l="1"/>
  <c r="M53" i="59"/>
  <c r="M62" i="59" s="1"/>
  <c r="K68" i="59"/>
  <c r="K84" i="59"/>
  <c r="K86" i="59" s="1"/>
  <c r="K89" i="59" s="1"/>
  <c r="M84" i="59" l="1"/>
  <c r="M86" i="59" s="1"/>
  <c r="M89" i="59" s="1"/>
  <c r="M68" i="59"/>
  <c r="M97" i="59" s="1"/>
  <c r="M98" i="59" s="1"/>
  <c r="L84" i="59"/>
  <c r="L86" i="59" s="1"/>
  <c r="L89" i="59" s="1"/>
  <c r="L68" i="59"/>
  <c r="E93" i="40" l="1"/>
  <c r="E93" i="39"/>
  <c r="E90" i="69" s="1"/>
  <c r="E91" i="69" s="1"/>
  <c r="E93" i="50"/>
  <c r="E20" i="40"/>
  <c r="E23" i="40"/>
  <c r="E22" i="40"/>
  <c r="E21" i="40"/>
  <c r="E21" i="50"/>
  <c r="E22" i="50"/>
  <c r="E23" i="50"/>
  <c r="E20" i="50"/>
  <c r="D29" i="39" l="1"/>
  <c r="D29" i="40"/>
  <c r="F1" i="40"/>
  <c r="G1" i="40"/>
  <c r="H1" i="40"/>
  <c r="I1" i="40"/>
  <c r="J1" i="40"/>
  <c r="K1" i="40"/>
  <c r="L1" i="40"/>
  <c r="M1" i="40"/>
  <c r="F31" i="40"/>
  <c r="G31" i="40" s="1"/>
  <c r="F43" i="40"/>
  <c r="G43" i="40" s="1"/>
  <c r="F45" i="40"/>
  <c r="G45" i="40" s="1"/>
  <c r="H45" i="40" s="1"/>
  <c r="I45" i="40" s="1"/>
  <c r="J45" i="40" s="1"/>
  <c r="K45" i="40" s="1"/>
  <c r="L45" i="40" s="1"/>
  <c r="M45" i="40" s="1"/>
  <c r="F58" i="40"/>
  <c r="G58" i="40" s="1"/>
  <c r="H58" i="40" s="1"/>
  <c r="I58" i="40" s="1"/>
  <c r="J58" i="40" s="1"/>
  <c r="K58" i="40" s="1"/>
  <c r="L58" i="40" s="1"/>
  <c r="M58" i="40" s="1"/>
  <c r="F59" i="40"/>
  <c r="G59" i="40" s="1"/>
  <c r="H59" i="40" s="1"/>
  <c r="I59" i="40" s="1"/>
  <c r="J59" i="40" s="1"/>
  <c r="K59" i="40" s="1"/>
  <c r="L59" i="40" s="1"/>
  <c r="M59" i="40" s="1"/>
  <c r="F61" i="40"/>
  <c r="G61" i="40" s="1"/>
  <c r="H61" i="40" s="1"/>
  <c r="I61" i="40" s="1"/>
  <c r="J61" i="40" s="1"/>
  <c r="K61" i="40" s="1"/>
  <c r="L61" i="40" s="1"/>
  <c r="M61" i="40" s="1"/>
  <c r="F63" i="40"/>
  <c r="G63" i="40" s="1"/>
  <c r="H63" i="40" s="1"/>
  <c r="I63" i="40" s="1"/>
  <c r="J63" i="40" s="1"/>
  <c r="K63" i="40" s="1"/>
  <c r="L63" i="40" s="1"/>
  <c r="M63" i="40" s="1"/>
  <c r="F64" i="40"/>
  <c r="G64" i="40" s="1"/>
  <c r="H64" i="40" s="1"/>
  <c r="I64" i="40" s="1"/>
  <c r="J64" i="40" s="1"/>
  <c r="K64" i="40" s="1"/>
  <c r="L64" i="40" s="1"/>
  <c r="M64" i="40" s="1"/>
  <c r="F65" i="40"/>
  <c r="G65" i="40" s="1"/>
  <c r="H65" i="40" s="1"/>
  <c r="I65" i="40" s="1"/>
  <c r="J65" i="40" s="1"/>
  <c r="K65" i="40" s="1"/>
  <c r="L65" i="40" s="1"/>
  <c r="M65" i="40" s="1"/>
  <c r="F69" i="40"/>
  <c r="G69" i="40" s="1"/>
  <c r="H69" i="40" s="1"/>
  <c r="I69" i="40" s="1"/>
  <c r="J69" i="40" s="1"/>
  <c r="K69" i="40" s="1"/>
  <c r="L69" i="40" s="1"/>
  <c r="M69" i="40" s="1"/>
  <c r="F71" i="40"/>
  <c r="G71" i="40" s="1"/>
  <c r="H71" i="40" s="1"/>
  <c r="I71" i="40" s="1"/>
  <c r="J71" i="40" s="1"/>
  <c r="K71" i="40" s="1"/>
  <c r="L71" i="40" s="1"/>
  <c r="M71" i="40" s="1"/>
  <c r="F73" i="40"/>
  <c r="G73" i="40" s="1"/>
  <c r="H73" i="40" s="1"/>
  <c r="I73" i="40" s="1"/>
  <c r="J73" i="40" s="1"/>
  <c r="K73" i="40" s="1"/>
  <c r="L73" i="40" s="1"/>
  <c r="M73" i="40" s="1"/>
  <c r="F74" i="40"/>
  <c r="G74" i="40" s="1"/>
  <c r="H74" i="40" s="1"/>
  <c r="I74" i="40" s="1"/>
  <c r="J74" i="40" s="1"/>
  <c r="K74" i="40" s="1"/>
  <c r="L74" i="40" s="1"/>
  <c r="M74" i="40" s="1"/>
  <c r="F76" i="40"/>
  <c r="G76" i="40" s="1"/>
  <c r="H76" i="40" s="1"/>
  <c r="I76" i="40" s="1"/>
  <c r="J76" i="40" s="1"/>
  <c r="K76" i="40" s="1"/>
  <c r="L76" i="40" s="1"/>
  <c r="M76" i="40" s="1"/>
  <c r="F77" i="40"/>
  <c r="G77" i="40" s="1"/>
  <c r="H77" i="40" s="1"/>
  <c r="I77" i="40" s="1"/>
  <c r="J77" i="40" s="1"/>
  <c r="K77" i="40" s="1"/>
  <c r="L77" i="40" s="1"/>
  <c r="M77" i="40" s="1"/>
  <c r="F1" i="39"/>
  <c r="G1" i="39"/>
  <c r="H1" i="39"/>
  <c r="I1" i="39"/>
  <c r="J1" i="39"/>
  <c r="K1" i="39"/>
  <c r="L1" i="39"/>
  <c r="M1" i="39"/>
  <c r="F43" i="39"/>
  <c r="G43" i="39" s="1"/>
  <c r="F45" i="39"/>
  <c r="G45" i="39" s="1"/>
  <c r="H45" i="39" s="1"/>
  <c r="I45" i="39" s="1"/>
  <c r="J45" i="39" s="1"/>
  <c r="K45" i="39" s="1"/>
  <c r="L45" i="39" s="1"/>
  <c r="M45" i="39" s="1"/>
  <c r="F59" i="39"/>
  <c r="G59" i="39" s="1"/>
  <c r="H59" i="39" s="1"/>
  <c r="I59" i="39" s="1"/>
  <c r="J59" i="39" s="1"/>
  <c r="K59" i="39" s="1"/>
  <c r="L59" i="39" s="1"/>
  <c r="M59" i="39" s="1"/>
  <c r="F64" i="39"/>
  <c r="G64" i="39" s="1"/>
  <c r="H64" i="39" s="1"/>
  <c r="I64" i="39" s="1"/>
  <c r="J64" i="39" s="1"/>
  <c r="K64" i="39" s="1"/>
  <c r="L64" i="39" s="1"/>
  <c r="M64" i="39" s="1"/>
  <c r="F71" i="39"/>
  <c r="G71" i="39" s="1"/>
  <c r="H71" i="39" s="1"/>
  <c r="I71" i="39" s="1"/>
  <c r="J71" i="39" s="1"/>
  <c r="K71" i="39" s="1"/>
  <c r="L71" i="39" s="1"/>
  <c r="M71" i="39" s="1"/>
  <c r="F73" i="39"/>
  <c r="G73" i="39" s="1"/>
  <c r="H73" i="39" s="1"/>
  <c r="I73" i="39" s="1"/>
  <c r="J73" i="39" s="1"/>
  <c r="K73" i="39" s="1"/>
  <c r="L73" i="39" s="1"/>
  <c r="M73" i="39" s="1"/>
  <c r="F74" i="39"/>
  <c r="G74" i="39" s="1"/>
  <c r="H74" i="39" s="1"/>
  <c r="I74" i="39" s="1"/>
  <c r="J74" i="39" s="1"/>
  <c r="K74" i="39" s="1"/>
  <c r="L74" i="39" s="1"/>
  <c r="M74" i="39" s="1"/>
  <c r="F76" i="39"/>
  <c r="G76" i="39" s="1"/>
  <c r="H76" i="39" s="1"/>
  <c r="I76" i="39" s="1"/>
  <c r="J76" i="39" s="1"/>
  <c r="K76" i="39" s="1"/>
  <c r="L76" i="39" s="1"/>
  <c r="M76" i="39" s="1"/>
  <c r="F77" i="39"/>
  <c r="G77" i="39" s="1"/>
  <c r="H77" i="39" s="1"/>
  <c r="I77" i="39" s="1"/>
  <c r="J77" i="39" s="1"/>
  <c r="K77" i="39" s="1"/>
  <c r="L77" i="39" s="1"/>
  <c r="M77" i="39" s="1"/>
  <c r="A100" i="39"/>
  <c r="A99" i="39"/>
  <c r="A97" i="39"/>
  <c r="A94" i="39"/>
  <c r="A93" i="39"/>
  <c r="A92" i="39"/>
  <c r="A90" i="39"/>
  <c r="A89" i="39"/>
  <c r="A88" i="39"/>
  <c r="A87" i="39"/>
  <c r="A86" i="39"/>
  <c r="A85" i="39"/>
  <c r="A84" i="39"/>
  <c r="A83" i="39"/>
  <c r="A82" i="39"/>
  <c r="A81" i="39"/>
  <c r="A80" i="39"/>
  <c r="A78" i="39"/>
  <c r="A77" i="39"/>
  <c r="A76" i="39"/>
  <c r="A75" i="39"/>
  <c r="A74" i="39"/>
  <c r="A73" i="39"/>
  <c r="A72" i="39"/>
  <c r="A71" i="39"/>
  <c r="A70" i="39"/>
  <c r="A69" i="39"/>
  <c r="A68" i="39"/>
  <c r="A67" i="39"/>
  <c r="A66" i="39"/>
  <c r="A65" i="39"/>
  <c r="A64" i="39"/>
  <c r="A63" i="39"/>
  <c r="A62" i="39"/>
  <c r="A61" i="39"/>
  <c r="A60" i="39"/>
  <c r="A59" i="39"/>
  <c r="A58" i="39"/>
  <c r="A57" i="39"/>
  <c r="A56" i="39"/>
  <c r="A55" i="39"/>
  <c r="A54" i="39"/>
  <c r="A53" i="39"/>
  <c r="A52" i="39"/>
  <c r="A51" i="39"/>
  <c r="A49" i="39"/>
  <c r="A48" i="39"/>
  <c r="A47" i="39"/>
  <c r="A46" i="39"/>
  <c r="A45" i="39"/>
  <c r="A44" i="39"/>
  <c r="A43" i="39"/>
  <c r="A42" i="39"/>
  <c r="A41" i="39"/>
  <c r="A40" i="39"/>
  <c r="A39" i="39"/>
  <c r="A38" i="39"/>
  <c r="A37" i="39"/>
  <c r="A36" i="39"/>
  <c r="A35" i="39"/>
  <c r="A34" i="39"/>
  <c r="A33" i="39"/>
  <c r="A32" i="39"/>
  <c r="A31" i="39"/>
  <c r="A30" i="39"/>
  <c r="A29" i="39"/>
  <c r="A28" i="39"/>
  <c r="A27" i="39"/>
  <c r="A26" i="39"/>
  <c r="A24" i="39"/>
  <c r="A23" i="39"/>
  <c r="A22" i="39"/>
  <c r="A21" i="39"/>
  <c r="A20" i="39"/>
  <c r="A17" i="39"/>
  <c r="A15" i="39"/>
  <c r="A14" i="39"/>
  <c r="A13" i="39"/>
  <c r="A12" i="39"/>
  <c r="A11" i="39"/>
  <c r="A7" i="39"/>
  <c r="A6" i="39"/>
  <c r="A5" i="39"/>
  <c r="A4" i="39"/>
  <c r="A100" i="40"/>
  <c r="A99" i="40"/>
  <c r="A97" i="40"/>
  <c r="A94" i="40"/>
  <c r="A93" i="40"/>
  <c r="A92" i="40"/>
  <c r="A90" i="40"/>
  <c r="A89" i="40"/>
  <c r="A88" i="40"/>
  <c r="A87" i="40"/>
  <c r="A86" i="40"/>
  <c r="A85" i="40"/>
  <c r="A84" i="40"/>
  <c r="A83" i="40"/>
  <c r="A82" i="40"/>
  <c r="A81" i="40"/>
  <c r="A80" i="40"/>
  <c r="A78" i="40"/>
  <c r="A77" i="40"/>
  <c r="A76" i="40"/>
  <c r="A75" i="40"/>
  <c r="A74" i="40"/>
  <c r="A73" i="40"/>
  <c r="A72" i="40"/>
  <c r="A71" i="40"/>
  <c r="A70" i="40"/>
  <c r="A69" i="40"/>
  <c r="A68" i="40"/>
  <c r="A67" i="40"/>
  <c r="A66" i="40"/>
  <c r="A65" i="40"/>
  <c r="A64" i="40"/>
  <c r="A63" i="40"/>
  <c r="A62" i="40"/>
  <c r="A61" i="40"/>
  <c r="A60" i="40"/>
  <c r="A59" i="40"/>
  <c r="A58" i="40"/>
  <c r="A57" i="40"/>
  <c r="A56" i="40"/>
  <c r="A55" i="40"/>
  <c r="A54" i="40"/>
  <c r="A53" i="40"/>
  <c r="A52" i="40"/>
  <c r="A51" i="40"/>
  <c r="A49" i="40"/>
  <c r="A48" i="40"/>
  <c r="A47" i="40"/>
  <c r="A46" i="40"/>
  <c r="A45" i="40"/>
  <c r="A44" i="40"/>
  <c r="A43" i="40"/>
  <c r="A42" i="40"/>
  <c r="A41" i="40"/>
  <c r="A40" i="40"/>
  <c r="A39" i="40"/>
  <c r="A38" i="40"/>
  <c r="A37" i="40"/>
  <c r="A36" i="40"/>
  <c r="A35" i="40"/>
  <c r="A34" i="40"/>
  <c r="A33" i="40"/>
  <c r="A32" i="40"/>
  <c r="A31" i="40"/>
  <c r="A30" i="40"/>
  <c r="A29" i="40"/>
  <c r="A28" i="40"/>
  <c r="A27" i="40"/>
  <c r="A26" i="40"/>
  <c r="A24" i="40"/>
  <c r="A23" i="40"/>
  <c r="A22" i="40"/>
  <c r="A21" i="40"/>
  <c r="A20" i="40"/>
  <c r="A17" i="40"/>
  <c r="A15" i="40"/>
  <c r="A14" i="40"/>
  <c r="A13" i="40"/>
  <c r="A12" i="40"/>
  <c r="A11" i="40"/>
  <c r="A7" i="40"/>
  <c r="A6" i="40"/>
  <c r="A5" i="40"/>
  <c r="A4" i="40"/>
  <c r="H43" i="40" l="1"/>
  <c r="H31" i="40"/>
  <c r="H43" i="39"/>
  <c r="I31" i="40" l="1"/>
  <c r="I43" i="40"/>
  <c r="I43" i="39"/>
  <c r="A5" i="50"/>
  <c r="A6" i="50"/>
  <c r="A7" i="50"/>
  <c r="A4" i="50"/>
  <c r="B18" i="42"/>
  <c r="A18" i="42" s="1"/>
  <c r="B17" i="42"/>
  <c r="A17" i="42" s="1"/>
  <c r="B16" i="42"/>
  <c r="A16" i="42" s="1"/>
  <c r="B15" i="42"/>
  <c r="A15" i="42" s="1"/>
  <c r="B14" i="42"/>
  <c r="A14" i="42" s="1"/>
  <c r="B13" i="42"/>
  <c r="A13" i="42" s="1"/>
  <c r="B12" i="42"/>
  <c r="A12" i="42" s="1"/>
  <c r="A11" i="42"/>
  <c r="A100" i="50"/>
  <c r="A99" i="50"/>
  <c r="A97" i="50"/>
  <c r="A94" i="50"/>
  <c r="A93" i="50"/>
  <c r="A92" i="50"/>
  <c r="A90" i="50"/>
  <c r="A89" i="50"/>
  <c r="A88" i="50"/>
  <c r="A87" i="50"/>
  <c r="A86" i="50"/>
  <c r="A85" i="50"/>
  <c r="A84" i="50"/>
  <c r="A83" i="50"/>
  <c r="A82" i="50"/>
  <c r="A81" i="50"/>
  <c r="A80" i="50"/>
  <c r="A78" i="50"/>
  <c r="G77" i="50"/>
  <c r="H77" i="50" s="1"/>
  <c r="I77" i="50" s="1"/>
  <c r="J77" i="50" s="1"/>
  <c r="K77" i="50" s="1"/>
  <c r="L77" i="50" s="1"/>
  <c r="M77" i="50" s="1"/>
  <c r="F77" i="50"/>
  <c r="A77" i="50"/>
  <c r="I76" i="50"/>
  <c r="J76" i="50" s="1"/>
  <c r="K76" i="50" s="1"/>
  <c r="L76" i="50" s="1"/>
  <c r="M76" i="50" s="1"/>
  <c r="F76" i="50"/>
  <c r="G76" i="50" s="1"/>
  <c r="H76" i="50" s="1"/>
  <c r="A76" i="50"/>
  <c r="A75" i="50"/>
  <c r="G74" i="50"/>
  <c r="H74" i="50" s="1"/>
  <c r="I74" i="50" s="1"/>
  <c r="J74" i="50" s="1"/>
  <c r="K74" i="50" s="1"/>
  <c r="L74" i="50" s="1"/>
  <c r="M74" i="50" s="1"/>
  <c r="F74" i="50"/>
  <c r="A74" i="50"/>
  <c r="F73" i="50"/>
  <c r="G73" i="50" s="1"/>
  <c r="H73" i="50" s="1"/>
  <c r="I73" i="50" s="1"/>
  <c r="J73" i="50" s="1"/>
  <c r="K73" i="50" s="1"/>
  <c r="L73" i="50" s="1"/>
  <c r="M73" i="50" s="1"/>
  <c r="A73" i="50"/>
  <c r="A72" i="50"/>
  <c r="F71" i="50"/>
  <c r="G71" i="50" s="1"/>
  <c r="H71" i="50" s="1"/>
  <c r="I71" i="50" s="1"/>
  <c r="J71" i="50" s="1"/>
  <c r="K71" i="50" s="1"/>
  <c r="L71" i="50" s="1"/>
  <c r="M71" i="50" s="1"/>
  <c r="E71" i="50"/>
  <c r="A71" i="50"/>
  <c r="A70" i="50"/>
  <c r="F69" i="50"/>
  <c r="G69" i="50" s="1"/>
  <c r="H69" i="50" s="1"/>
  <c r="I69" i="50" s="1"/>
  <c r="J69" i="50" s="1"/>
  <c r="K69" i="50" s="1"/>
  <c r="L69" i="50" s="1"/>
  <c r="M69" i="50" s="1"/>
  <c r="E69" i="50"/>
  <c r="A69" i="50"/>
  <c r="E68" i="50"/>
  <c r="A68" i="50"/>
  <c r="A67" i="50"/>
  <c r="A66" i="50"/>
  <c r="F65" i="50"/>
  <c r="G65" i="50" s="1"/>
  <c r="H65" i="50" s="1"/>
  <c r="I65" i="50" s="1"/>
  <c r="J65" i="50" s="1"/>
  <c r="K65" i="50" s="1"/>
  <c r="L65" i="50" s="1"/>
  <c r="M65" i="50" s="1"/>
  <c r="E65" i="50"/>
  <c r="A65" i="50"/>
  <c r="F64" i="50"/>
  <c r="G64" i="50" s="1"/>
  <c r="H64" i="50" s="1"/>
  <c r="I64" i="50" s="1"/>
  <c r="J64" i="50" s="1"/>
  <c r="K64" i="50" s="1"/>
  <c r="L64" i="50" s="1"/>
  <c r="M64" i="50" s="1"/>
  <c r="A64" i="50"/>
  <c r="F63" i="50"/>
  <c r="G63" i="50" s="1"/>
  <c r="H63" i="50" s="1"/>
  <c r="I63" i="50" s="1"/>
  <c r="J63" i="50" s="1"/>
  <c r="K63" i="50" s="1"/>
  <c r="L63" i="50" s="1"/>
  <c r="M63" i="50" s="1"/>
  <c r="A63" i="50"/>
  <c r="A62" i="50"/>
  <c r="F61" i="50"/>
  <c r="G61" i="50" s="1"/>
  <c r="H61" i="50" s="1"/>
  <c r="I61" i="50" s="1"/>
  <c r="J61" i="50" s="1"/>
  <c r="K61" i="50" s="1"/>
  <c r="L61" i="50" s="1"/>
  <c r="M61" i="50" s="1"/>
  <c r="A61" i="50"/>
  <c r="A60" i="50"/>
  <c r="F59" i="50"/>
  <c r="G59" i="50" s="1"/>
  <c r="H59" i="50" s="1"/>
  <c r="I59" i="50" s="1"/>
  <c r="J59" i="50" s="1"/>
  <c r="K59" i="50" s="1"/>
  <c r="L59" i="50" s="1"/>
  <c r="M59" i="50" s="1"/>
  <c r="A59" i="50"/>
  <c r="G58" i="50"/>
  <c r="H58" i="50" s="1"/>
  <c r="I58" i="50" s="1"/>
  <c r="J58" i="50" s="1"/>
  <c r="K58" i="50" s="1"/>
  <c r="L58" i="50" s="1"/>
  <c r="M58" i="50" s="1"/>
  <c r="F58" i="50"/>
  <c r="A58" i="50"/>
  <c r="A57" i="50"/>
  <c r="A56" i="50"/>
  <c r="E55" i="50"/>
  <c r="E60" i="50" s="1"/>
  <c r="E66" i="50" s="1"/>
  <c r="A55" i="50"/>
  <c r="A54" i="50"/>
  <c r="A53" i="50"/>
  <c r="A52" i="50"/>
  <c r="A51" i="50"/>
  <c r="A49" i="50"/>
  <c r="A48" i="50"/>
  <c r="A47" i="50"/>
  <c r="A46" i="50"/>
  <c r="E45" i="50"/>
  <c r="F45" i="50" s="1"/>
  <c r="G45" i="50" s="1"/>
  <c r="H45" i="50" s="1"/>
  <c r="I45" i="50" s="1"/>
  <c r="J45" i="50" s="1"/>
  <c r="K45" i="50" s="1"/>
  <c r="L45" i="50" s="1"/>
  <c r="M45" i="50" s="1"/>
  <c r="A45" i="50"/>
  <c r="E44" i="50"/>
  <c r="A44" i="50"/>
  <c r="E43" i="50"/>
  <c r="A43" i="50"/>
  <c r="A42" i="50"/>
  <c r="A41" i="50"/>
  <c r="E40" i="50"/>
  <c r="A40" i="50"/>
  <c r="A39" i="50"/>
  <c r="E38" i="50"/>
  <c r="A38" i="50"/>
  <c r="E37" i="50"/>
  <c r="A37" i="50"/>
  <c r="E36" i="50"/>
  <c r="A36" i="50"/>
  <c r="E35" i="50"/>
  <c r="A35" i="50"/>
  <c r="E34" i="50"/>
  <c r="A34" i="50"/>
  <c r="E33" i="50"/>
  <c r="A33" i="50"/>
  <c r="E32" i="50"/>
  <c r="E82" i="50" s="1"/>
  <c r="A32" i="50"/>
  <c r="E31" i="50"/>
  <c r="E83" i="50" s="1"/>
  <c r="A31" i="50"/>
  <c r="A30" i="50"/>
  <c r="A29" i="50"/>
  <c r="E28" i="50"/>
  <c r="D28" i="50" s="1"/>
  <c r="A28" i="50"/>
  <c r="E27" i="50"/>
  <c r="E29" i="50" s="1"/>
  <c r="D54" i="50" s="1"/>
  <c r="A27" i="50"/>
  <c r="A26" i="50"/>
  <c r="A24" i="50"/>
  <c r="A23" i="50"/>
  <c r="A22" i="50"/>
  <c r="A21" i="50"/>
  <c r="A20" i="50"/>
  <c r="A17" i="50"/>
  <c r="A15" i="50"/>
  <c r="E14" i="50"/>
  <c r="A14" i="50"/>
  <c r="A13" i="50"/>
  <c r="E12" i="50"/>
  <c r="A12" i="50"/>
  <c r="A11" i="50"/>
  <c r="M1" i="50"/>
  <c r="L1" i="50"/>
  <c r="K1" i="50"/>
  <c r="J1" i="50"/>
  <c r="I1" i="50"/>
  <c r="H1" i="50"/>
  <c r="G1" i="50"/>
  <c r="F1" i="50"/>
  <c r="E1" i="50"/>
  <c r="E20" i="43"/>
  <c r="D55" i="43"/>
  <c r="D54" i="43"/>
  <c r="D28" i="43"/>
  <c r="I21" i="17"/>
  <c r="E46" i="50" l="1"/>
  <c r="E72" i="50"/>
  <c r="E78" i="50" s="1"/>
  <c r="D29" i="50"/>
  <c r="J43" i="40"/>
  <c r="J31" i="40"/>
  <c r="J43" i="39"/>
  <c r="E24" i="50"/>
  <c r="D55" i="50"/>
  <c r="D56" i="50"/>
  <c r="E41" i="50"/>
  <c r="E92" i="50" s="1"/>
  <c r="E94" i="50" s="1"/>
  <c r="E95" i="50" s="1"/>
  <c r="J42" i="17"/>
  <c r="A52" i="43"/>
  <c r="A53" i="43"/>
  <c r="A54" i="43"/>
  <c r="A55" i="43"/>
  <c r="A56" i="43"/>
  <c r="A57" i="43"/>
  <c r="A58" i="43"/>
  <c r="A59" i="43"/>
  <c r="A51" i="43"/>
  <c r="D34" i="50" l="1"/>
  <c r="D33" i="50"/>
  <c r="D30" i="50"/>
  <c r="D39" i="50"/>
  <c r="E47" i="50"/>
  <c r="E15" i="50"/>
  <c r="E17" i="50" s="1"/>
  <c r="D68" i="50"/>
  <c r="D32" i="50"/>
  <c r="K43" i="40"/>
  <c r="K31" i="40"/>
  <c r="K43" i="39"/>
  <c r="D37" i="50"/>
  <c r="D35" i="50"/>
  <c r="D36" i="50"/>
  <c r="D40" i="50"/>
  <c r="D38" i="50"/>
  <c r="K42" i="17"/>
  <c r="L42" i="17"/>
  <c r="M42" i="17"/>
  <c r="N42" i="17"/>
  <c r="O42" i="17"/>
  <c r="I42" i="17"/>
  <c r="L21" i="17"/>
  <c r="O43" i="17"/>
  <c r="I22" i="17"/>
  <c r="A99" i="43"/>
  <c r="A98" i="43"/>
  <c r="A96" i="43"/>
  <c r="A94" i="43"/>
  <c r="A93" i="43"/>
  <c r="A92" i="43"/>
  <c r="A90" i="43"/>
  <c r="A89" i="43"/>
  <c r="A88" i="43"/>
  <c r="A87" i="43"/>
  <c r="A86" i="43"/>
  <c r="A85" i="43"/>
  <c r="A84" i="43"/>
  <c r="A83" i="43"/>
  <c r="A82" i="43"/>
  <c r="A81" i="43"/>
  <c r="A80" i="43"/>
  <c r="A78" i="43"/>
  <c r="A77" i="43"/>
  <c r="A76" i="43"/>
  <c r="A75" i="43"/>
  <c r="A74" i="43"/>
  <c r="A73" i="43"/>
  <c r="A72" i="43"/>
  <c r="A71" i="43"/>
  <c r="A70" i="43"/>
  <c r="A69" i="43"/>
  <c r="A68" i="43"/>
  <c r="A67" i="43"/>
  <c r="A66" i="43"/>
  <c r="A65" i="43"/>
  <c r="A64" i="43"/>
  <c r="A63" i="43"/>
  <c r="A62" i="43"/>
  <c r="A61" i="43"/>
  <c r="A60" i="43"/>
  <c r="A49" i="43"/>
  <c r="A48" i="43"/>
  <c r="A47" i="43"/>
  <c r="A46" i="43"/>
  <c r="A45" i="43"/>
  <c r="A44" i="43"/>
  <c r="A43" i="43"/>
  <c r="A42" i="43"/>
  <c r="A41" i="43"/>
  <c r="A40" i="43"/>
  <c r="A39" i="43"/>
  <c r="A38" i="43"/>
  <c r="A37" i="43"/>
  <c r="A36" i="43"/>
  <c r="A35" i="43"/>
  <c r="A34" i="43"/>
  <c r="A33" i="43"/>
  <c r="A32" i="43"/>
  <c r="A31" i="43"/>
  <c r="A30" i="43"/>
  <c r="A29" i="43"/>
  <c r="A28" i="43"/>
  <c r="A27" i="43"/>
  <c r="A26" i="43"/>
  <c r="A24" i="43"/>
  <c r="A23" i="43"/>
  <c r="A22" i="43"/>
  <c r="A21" i="43"/>
  <c r="A20" i="43"/>
  <c r="A17" i="43"/>
  <c r="A15" i="43"/>
  <c r="A14" i="43"/>
  <c r="A13" i="43"/>
  <c r="A12" i="43"/>
  <c r="A11" i="43"/>
  <c r="A7" i="43"/>
  <c r="A6" i="43"/>
  <c r="A5" i="43"/>
  <c r="A4" i="43"/>
  <c r="E49" i="50" l="1"/>
  <c r="E80" i="50" s="1"/>
  <c r="L31" i="40"/>
  <c r="L43" i="40"/>
  <c r="L43" i="39"/>
  <c r="M43" i="40" l="1"/>
  <c r="M31" i="40"/>
  <c r="M43" i="39"/>
  <c r="F85" i="43"/>
  <c r="G86" i="43"/>
  <c r="H86" i="43" s="1"/>
  <c r="I86" i="43" s="1"/>
  <c r="J86" i="43" s="1"/>
  <c r="K86" i="43" s="1"/>
  <c r="L86" i="43" s="1"/>
  <c r="M86" i="43" s="1"/>
  <c r="F86" i="43"/>
  <c r="G85" i="43"/>
  <c r="H85" i="43"/>
  <c r="I85" i="43"/>
  <c r="J85" i="43"/>
  <c r="K85" i="43"/>
  <c r="L85" i="43"/>
  <c r="M85" i="43"/>
  <c r="E82" i="43"/>
  <c r="E85" i="39"/>
  <c r="F84" i="43"/>
  <c r="G84" i="43" s="1"/>
  <c r="H84" i="43" s="1"/>
  <c r="I84" i="43" s="1"/>
  <c r="J84" i="43" s="1"/>
  <c r="K84" i="43" s="1"/>
  <c r="L84" i="43" s="1"/>
  <c r="M84" i="43" s="1"/>
  <c r="E84" i="43"/>
  <c r="E27" i="43" l="1"/>
  <c r="E15" i="40"/>
  <c r="E84" i="39" l="1"/>
  <c r="E77" i="43" l="1"/>
  <c r="E81" i="43" l="1"/>
  <c r="E81" i="40"/>
  <c r="E84" i="40"/>
  <c r="E85" i="40"/>
  <c r="E86" i="40"/>
  <c r="E83" i="40"/>
  <c r="E39" i="39"/>
  <c r="E41" i="40"/>
  <c r="E40" i="40"/>
  <c r="E28" i="40"/>
  <c r="E27" i="39" l="1"/>
  <c r="E87" i="39"/>
  <c r="E69" i="39"/>
  <c r="F69" i="39" s="1"/>
  <c r="G69" i="39" s="1"/>
  <c r="H69" i="39" s="1"/>
  <c r="I69" i="39" s="1"/>
  <c r="J69" i="39" s="1"/>
  <c r="K69" i="39" s="1"/>
  <c r="L69" i="39" s="1"/>
  <c r="M69" i="39" s="1"/>
  <c r="E65" i="39"/>
  <c r="F65" i="39" s="1"/>
  <c r="G65" i="39" s="1"/>
  <c r="H65" i="39" s="1"/>
  <c r="I65" i="39" s="1"/>
  <c r="J65" i="39" s="1"/>
  <c r="K65" i="39" s="1"/>
  <c r="L65" i="39" s="1"/>
  <c r="M65" i="39" s="1"/>
  <c r="E61" i="39"/>
  <c r="F61" i="39" s="1"/>
  <c r="G61" i="39" s="1"/>
  <c r="H61" i="39" s="1"/>
  <c r="I61" i="39" s="1"/>
  <c r="J61" i="39" s="1"/>
  <c r="K61" i="39" s="1"/>
  <c r="L61" i="39" s="1"/>
  <c r="M61" i="39" s="1"/>
  <c r="E63" i="39"/>
  <c r="F63" i="39" s="1"/>
  <c r="G63" i="39" s="1"/>
  <c r="H63" i="39" s="1"/>
  <c r="I63" i="39" s="1"/>
  <c r="J63" i="39" s="1"/>
  <c r="K63" i="39" s="1"/>
  <c r="L63" i="39" s="1"/>
  <c r="M63" i="39" s="1"/>
  <c r="E93" i="43"/>
  <c r="E89" i="43"/>
  <c r="F88" i="43"/>
  <c r="G88" i="43" s="1"/>
  <c r="H88" i="43" s="1"/>
  <c r="I88" i="43" s="1"/>
  <c r="J88" i="43" s="1"/>
  <c r="K88" i="43" s="1"/>
  <c r="L88" i="43" s="1"/>
  <c r="M88" i="43" s="1"/>
  <c r="E88" i="43"/>
  <c r="E23" i="43"/>
  <c r="D39" i="43" s="1"/>
  <c r="E22" i="43"/>
  <c r="E21" i="43"/>
  <c r="E96" i="43"/>
  <c r="E87" i="43"/>
  <c r="F77" i="43"/>
  <c r="G77" i="43" s="1"/>
  <c r="H77" i="43" s="1"/>
  <c r="I77" i="43" s="1"/>
  <c r="J77" i="43" s="1"/>
  <c r="K77" i="43" s="1"/>
  <c r="L77" i="43" s="1"/>
  <c r="M77" i="43" s="1"/>
  <c r="G76" i="43"/>
  <c r="H76" i="43" s="1"/>
  <c r="I76" i="43" s="1"/>
  <c r="J76" i="43" s="1"/>
  <c r="K76" i="43" s="1"/>
  <c r="L76" i="43" s="1"/>
  <c r="M76" i="43" s="1"/>
  <c r="F76" i="43"/>
  <c r="F74" i="43"/>
  <c r="G74" i="43" s="1"/>
  <c r="H74" i="43" s="1"/>
  <c r="I74" i="43" s="1"/>
  <c r="J74" i="43" s="1"/>
  <c r="K74" i="43" s="1"/>
  <c r="L74" i="43" s="1"/>
  <c r="M74" i="43" s="1"/>
  <c r="F73" i="43"/>
  <c r="G73" i="43" s="1"/>
  <c r="H73" i="43" s="1"/>
  <c r="I73" i="43" s="1"/>
  <c r="J73" i="43" s="1"/>
  <c r="K73" i="43" s="1"/>
  <c r="L73" i="43" s="1"/>
  <c r="M73" i="43" s="1"/>
  <c r="E71" i="43"/>
  <c r="F71" i="43" s="1"/>
  <c r="G71" i="43" s="1"/>
  <c r="H71" i="43" s="1"/>
  <c r="I71" i="43" s="1"/>
  <c r="J71" i="43" s="1"/>
  <c r="K71" i="43" s="1"/>
  <c r="L71" i="43" s="1"/>
  <c r="M71" i="43" s="1"/>
  <c r="F69" i="43"/>
  <c r="G69" i="43" s="1"/>
  <c r="H69" i="43" s="1"/>
  <c r="I69" i="43" s="1"/>
  <c r="J69" i="43" s="1"/>
  <c r="K69" i="43" s="1"/>
  <c r="L69" i="43" s="1"/>
  <c r="M69" i="43" s="1"/>
  <c r="E69" i="43"/>
  <c r="E68" i="43"/>
  <c r="E65" i="43"/>
  <c r="F65" i="43" s="1"/>
  <c r="G65" i="43" s="1"/>
  <c r="H65" i="43" s="1"/>
  <c r="I65" i="43" s="1"/>
  <c r="J65" i="43" s="1"/>
  <c r="K65" i="43" s="1"/>
  <c r="L65" i="43" s="1"/>
  <c r="M65" i="43" s="1"/>
  <c r="F64" i="43"/>
  <c r="G64" i="43" s="1"/>
  <c r="H64" i="43" s="1"/>
  <c r="I64" i="43" s="1"/>
  <c r="J64" i="43" s="1"/>
  <c r="K64" i="43" s="1"/>
  <c r="L64" i="43" s="1"/>
  <c r="M64" i="43" s="1"/>
  <c r="F63" i="43"/>
  <c r="G63" i="43" s="1"/>
  <c r="H63" i="43" s="1"/>
  <c r="I63" i="43" s="1"/>
  <c r="J63" i="43" s="1"/>
  <c r="K63" i="43" s="1"/>
  <c r="L63" i="43" s="1"/>
  <c r="M63" i="43" s="1"/>
  <c r="F61" i="43"/>
  <c r="G61" i="43" s="1"/>
  <c r="H61" i="43" s="1"/>
  <c r="I61" i="43" s="1"/>
  <c r="J61" i="43" s="1"/>
  <c r="K61" i="43" s="1"/>
  <c r="L61" i="43" s="1"/>
  <c r="M61" i="43" s="1"/>
  <c r="F59" i="43"/>
  <c r="G59" i="43" s="1"/>
  <c r="H59" i="43" s="1"/>
  <c r="I59" i="43" s="1"/>
  <c r="J59" i="43" s="1"/>
  <c r="K59" i="43" s="1"/>
  <c r="L59" i="43" s="1"/>
  <c r="M59" i="43" s="1"/>
  <c r="F58" i="43"/>
  <c r="G58" i="43" s="1"/>
  <c r="H58" i="43" s="1"/>
  <c r="I58" i="43" s="1"/>
  <c r="J58" i="43" s="1"/>
  <c r="K58" i="43" s="1"/>
  <c r="L58" i="43" s="1"/>
  <c r="M58" i="43" s="1"/>
  <c r="E55" i="43"/>
  <c r="E60" i="43" s="1"/>
  <c r="E48" i="43"/>
  <c r="E45" i="43"/>
  <c r="F45" i="43" s="1"/>
  <c r="G45" i="43" s="1"/>
  <c r="H45" i="43" s="1"/>
  <c r="I45" i="43" s="1"/>
  <c r="J45" i="43" s="1"/>
  <c r="K45" i="43" s="1"/>
  <c r="L45" i="43" s="1"/>
  <c r="M45" i="43" s="1"/>
  <c r="E44" i="43"/>
  <c r="M43" i="43"/>
  <c r="L43" i="43"/>
  <c r="K43" i="43"/>
  <c r="J43" i="43"/>
  <c r="I43" i="43"/>
  <c r="H43" i="43"/>
  <c r="G43" i="43"/>
  <c r="F43" i="43"/>
  <c r="E43" i="43"/>
  <c r="E40" i="43"/>
  <c r="E38" i="43"/>
  <c r="E37" i="43"/>
  <c r="E36" i="43"/>
  <c r="E35" i="43"/>
  <c r="E34" i="43"/>
  <c r="E33" i="43"/>
  <c r="E32" i="43"/>
  <c r="M31" i="43"/>
  <c r="M83" i="43" s="1"/>
  <c r="L31" i="43"/>
  <c r="L83" i="43" s="1"/>
  <c r="K31" i="43"/>
  <c r="K83" i="43" s="1"/>
  <c r="J31" i="43"/>
  <c r="J83" i="43" s="1"/>
  <c r="I31" i="43"/>
  <c r="I83" i="43" s="1"/>
  <c r="H31" i="43"/>
  <c r="H83" i="43" s="1"/>
  <c r="G31" i="43"/>
  <c r="G83" i="43" s="1"/>
  <c r="F31" i="43"/>
  <c r="F83" i="43" s="1"/>
  <c r="E31" i="43"/>
  <c r="E83" i="43" s="1"/>
  <c r="E28" i="43"/>
  <c r="E29" i="43" s="1"/>
  <c r="E14" i="43"/>
  <c r="E12" i="43"/>
  <c r="M1" i="43"/>
  <c r="L1" i="43"/>
  <c r="K1" i="43"/>
  <c r="J1" i="43"/>
  <c r="I1" i="43"/>
  <c r="H1" i="43"/>
  <c r="G1" i="43"/>
  <c r="F1" i="43"/>
  <c r="E1" i="43"/>
  <c r="B234" i="42"/>
  <c r="A234" i="42" s="1"/>
  <c r="B233" i="42"/>
  <c r="A233" i="42" s="1"/>
  <c r="B232" i="42"/>
  <c r="A232" i="42" s="1"/>
  <c r="B231" i="42"/>
  <c r="A231" i="42" s="1"/>
  <c r="B230" i="42"/>
  <c r="A230" i="42" s="1"/>
  <c r="B229" i="42"/>
  <c r="A229" i="42" s="1"/>
  <c r="B228" i="42"/>
  <c r="A228" i="42" s="1"/>
  <c r="A227" i="42"/>
  <c r="B226" i="42"/>
  <c r="A226" i="42" s="1"/>
  <c r="B225" i="42"/>
  <c r="A225" i="42" s="1"/>
  <c r="B224" i="42"/>
  <c r="A224" i="42" s="1"/>
  <c r="B223" i="42"/>
  <c r="A223" i="42" s="1"/>
  <c r="B222" i="42"/>
  <c r="A222" i="42" s="1"/>
  <c r="B221" i="42"/>
  <c r="A221" i="42" s="1"/>
  <c r="A220" i="42"/>
  <c r="A219" i="42"/>
  <c r="B218" i="42"/>
  <c r="A218" i="42" s="1"/>
  <c r="B217" i="42"/>
  <c r="A217" i="42" s="1"/>
  <c r="B216" i="42"/>
  <c r="A216" i="42" s="1"/>
  <c r="B215" i="42"/>
  <c r="A215" i="42" s="1"/>
  <c r="B214" i="42"/>
  <c r="A214" i="42" s="1"/>
  <c r="B213" i="42"/>
  <c r="A213" i="42" s="1"/>
  <c r="B212" i="42"/>
  <c r="A212" i="42" s="1"/>
  <c r="A211" i="42"/>
  <c r="B210" i="42"/>
  <c r="A210" i="42" s="1"/>
  <c r="A209" i="42"/>
  <c r="B208" i="42"/>
  <c r="A208" i="42" s="1"/>
  <c r="B207" i="42"/>
  <c r="A207" i="42" s="1"/>
  <c r="B206" i="42"/>
  <c r="A206" i="42" s="1"/>
  <c r="B205" i="42"/>
  <c r="A205" i="42" s="1"/>
  <c r="B204" i="42"/>
  <c r="A204" i="42" s="1"/>
  <c r="A203" i="42"/>
  <c r="B202" i="42"/>
  <c r="A202" i="42" s="1"/>
  <c r="B201" i="42"/>
  <c r="A201" i="42" s="1"/>
  <c r="B200" i="42"/>
  <c r="A200" i="42" s="1"/>
  <c r="B199" i="42"/>
  <c r="A199" i="42" s="1"/>
  <c r="B198" i="42"/>
  <c r="A198" i="42" s="1"/>
  <c r="B197" i="42"/>
  <c r="A197" i="42" s="1"/>
  <c r="B196" i="42"/>
  <c r="A196" i="42" s="1"/>
  <c r="A195" i="42"/>
  <c r="B194" i="42"/>
  <c r="A194" i="42" s="1"/>
  <c r="B193" i="42"/>
  <c r="A193" i="42" s="1"/>
  <c r="B192" i="42"/>
  <c r="A192" i="42" s="1"/>
  <c r="B191" i="42"/>
  <c r="A191" i="42" s="1"/>
  <c r="B190" i="42"/>
  <c r="A190" i="42" s="1"/>
  <c r="B189" i="42"/>
  <c r="A189" i="42" s="1"/>
  <c r="B188" i="42"/>
  <c r="A188" i="42" s="1"/>
  <c r="A187" i="42"/>
  <c r="B186" i="42"/>
  <c r="A186" i="42" s="1"/>
  <c r="B185" i="42"/>
  <c r="A185" i="42" s="1"/>
  <c r="B184" i="42"/>
  <c r="A184" i="42" s="1"/>
  <c r="B183" i="42"/>
  <c r="A183" i="42" s="1"/>
  <c r="B182" i="42"/>
  <c r="A182" i="42" s="1"/>
  <c r="B181" i="42"/>
  <c r="A181" i="42" s="1"/>
  <c r="B180" i="42"/>
  <c r="A180" i="42" s="1"/>
  <c r="A179" i="42"/>
  <c r="B178" i="42"/>
  <c r="A178" i="42" s="1"/>
  <c r="B177" i="42"/>
  <c r="A177" i="42" s="1"/>
  <c r="B176" i="42"/>
  <c r="A176" i="42" s="1"/>
  <c r="B175" i="42"/>
  <c r="A175" i="42" s="1"/>
  <c r="B174" i="42"/>
  <c r="A174" i="42" s="1"/>
  <c r="B173" i="42"/>
  <c r="A173" i="42" s="1"/>
  <c r="B172" i="42"/>
  <c r="A172" i="42" s="1"/>
  <c r="A171" i="42"/>
  <c r="B170" i="42"/>
  <c r="A170" i="42" s="1"/>
  <c r="B169" i="42"/>
  <c r="A169" i="42" s="1"/>
  <c r="B168" i="42"/>
  <c r="A168" i="42" s="1"/>
  <c r="B167" i="42"/>
  <c r="A167" i="42" s="1"/>
  <c r="B166" i="42"/>
  <c r="A166" i="42" s="1"/>
  <c r="B165" i="42"/>
  <c r="A165" i="42" s="1"/>
  <c r="B164" i="42"/>
  <c r="A164" i="42" s="1"/>
  <c r="A163" i="42"/>
  <c r="B162" i="42"/>
  <c r="A162" i="42" s="1"/>
  <c r="B161" i="42"/>
  <c r="A161" i="42" s="1"/>
  <c r="B160" i="42"/>
  <c r="A160" i="42" s="1"/>
  <c r="B159" i="42"/>
  <c r="A159" i="42" s="1"/>
  <c r="B158" i="42"/>
  <c r="A158" i="42" s="1"/>
  <c r="B157" i="42"/>
  <c r="A157" i="42" s="1"/>
  <c r="B156" i="42"/>
  <c r="A156" i="42" s="1"/>
  <c r="A155" i="42"/>
  <c r="B154" i="42"/>
  <c r="A154" i="42" s="1"/>
  <c r="B153" i="42"/>
  <c r="A153" i="42" s="1"/>
  <c r="B152" i="42"/>
  <c r="A152" i="42" s="1"/>
  <c r="B151" i="42"/>
  <c r="A151" i="42" s="1"/>
  <c r="B150" i="42"/>
  <c r="A150" i="42" s="1"/>
  <c r="B149" i="42"/>
  <c r="A149" i="42" s="1"/>
  <c r="B148" i="42"/>
  <c r="A148" i="42" s="1"/>
  <c r="A147" i="42"/>
  <c r="B146" i="42"/>
  <c r="A146" i="42" s="1"/>
  <c r="B145" i="42"/>
  <c r="A145" i="42" s="1"/>
  <c r="B144" i="42"/>
  <c r="A144" i="42" s="1"/>
  <c r="B143" i="42"/>
  <c r="A143" i="42" s="1"/>
  <c r="B142" i="42"/>
  <c r="A142" i="42" s="1"/>
  <c r="B141" i="42"/>
  <c r="A141" i="42" s="1"/>
  <c r="B140" i="42"/>
  <c r="A140" i="42" s="1"/>
  <c r="A139" i="42"/>
  <c r="B138" i="42"/>
  <c r="A138" i="42" s="1"/>
  <c r="B137" i="42"/>
  <c r="A137" i="42" s="1"/>
  <c r="B136" i="42"/>
  <c r="A136" i="42" s="1"/>
  <c r="B135" i="42"/>
  <c r="A135" i="42" s="1"/>
  <c r="B134" i="42"/>
  <c r="A134" i="42" s="1"/>
  <c r="B133" i="42"/>
  <c r="A133" i="42" s="1"/>
  <c r="B132" i="42"/>
  <c r="A132" i="42" s="1"/>
  <c r="A131" i="42"/>
  <c r="B130" i="42"/>
  <c r="A130" i="42" s="1"/>
  <c r="B129" i="42"/>
  <c r="A129" i="42" s="1"/>
  <c r="B128" i="42"/>
  <c r="A128" i="42" s="1"/>
  <c r="B127" i="42"/>
  <c r="A127" i="42" s="1"/>
  <c r="B126" i="42"/>
  <c r="A126" i="42" s="1"/>
  <c r="B125" i="42"/>
  <c r="A125" i="42" s="1"/>
  <c r="B124" i="42"/>
  <c r="A124" i="42" s="1"/>
  <c r="A123" i="42"/>
  <c r="B122" i="42"/>
  <c r="A122" i="42" s="1"/>
  <c r="B121" i="42"/>
  <c r="A121" i="42" s="1"/>
  <c r="B120" i="42"/>
  <c r="A120" i="42" s="1"/>
  <c r="B119" i="42"/>
  <c r="A119" i="42" s="1"/>
  <c r="B118" i="42"/>
  <c r="A118" i="42" s="1"/>
  <c r="B117" i="42"/>
  <c r="A117" i="42" s="1"/>
  <c r="B116" i="42"/>
  <c r="A116" i="42" s="1"/>
  <c r="A115" i="42"/>
  <c r="B114" i="42"/>
  <c r="A114" i="42" s="1"/>
  <c r="B113" i="42"/>
  <c r="A113" i="42" s="1"/>
  <c r="B112" i="42"/>
  <c r="A112" i="42" s="1"/>
  <c r="B111" i="42"/>
  <c r="A111" i="42" s="1"/>
  <c r="B110" i="42"/>
  <c r="A110" i="42" s="1"/>
  <c r="B109" i="42"/>
  <c r="A109" i="42" s="1"/>
  <c r="B108" i="42"/>
  <c r="A108" i="42" s="1"/>
  <c r="A107" i="42"/>
  <c r="B106" i="42"/>
  <c r="A106" i="42" s="1"/>
  <c r="B105" i="42"/>
  <c r="A105" i="42" s="1"/>
  <c r="B104" i="42"/>
  <c r="A104" i="42" s="1"/>
  <c r="B103" i="42"/>
  <c r="A103" i="42" s="1"/>
  <c r="B102" i="42"/>
  <c r="A102" i="42" s="1"/>
  <c r="B101" i="42"/>
  <c r="A101" i="42" s="1"/>
  <c r="B100" i="42"/>
  <c r="A100" i="42" s="1"/>
  <c r="A99" i="42"/>
  <c r="B98" i="42"/>
  <c r="A98" i="42" s="1"/>
  <c r="B97" i="42"/>
  <c r="A97" i="42" s="1"/>
  <c r="B96" i="42"/>
  <c r="A96" i="42" s="1"/>
  <c r="B95" i="42"/>
  <c r="A95" i="42" s="1"/>
  <c r="B94" i="42"/>
  <c r="A94" i="42" s="1"/>
  <c r="B93" i="42"/>
  <c r="A93" i="42" s="1"/>
  <c r="B92" i="42"/>
  <c r="A92" i="42" s="1"/>
  <c r="A91" i="42"/>
  <c r="B90" i="42"/>
  <c r="A90" i="42" s="1"/>
  <c r="B89" i="42"/>
  <c r="A89" i="42" s="1"/>
  <c r="B88" i="42"/>
  <c r="A88" i="42" s="1"/>
  <c r="B87" i="42"/>
  <c r="A87" i="42" s="1"/>
  <c r="B86" i="42"/>
  <c r="A86" i="42" s="1"/>
  <c r="B85" i="42"/>
  <c r="A85" i="42" s="1"/>
  <c r="B84" i="42"/>
  <c r="A84" i="42" s="1"/>
  <c r="A83" i="42"/>
  <c r="B82" i="42"/>
  <c r="A82" i="42" s="1"/>
  <c r="B81" i="42"/>
  <c r="A81" i="42" s="1"/>
  <c r="B80" i="42"/>
  <c r="A80" i="42" s="1"/>
  <c r="B79" i="42"/>
  <c r="A79" i="42" s="1"/>
  <c r="B78" i="42"/>
  <c r="A78" i="42" s="1"/>
  <c r="B77" i="42"/>
  <c r="A77" i="42" s="1"/>
  <c r="B76" i="42"/>
  <c r="A76" i="42" s="1"/>
  <c r="A75" i="42"/>
  <c r="B74" i="42"/>
  <c r="A74" i="42" s="1"/>
  <c r="B73" i="42"/>
  <c r="A73" i="42" s="1"/>
  <c r="B72" i="42"/>
  <c r="A72" i="42" s="1"/>
  <c r="B71" i="42"/>
  <c r="A71" i="42" s="1"/>
  <c r="B70" i="42"/>
  <c r="A70" i="42" s="1"/>
  <c r="B69" i="42"/>
  <c r="A69" i="42" s="1"/>
  <c r="B68" i="42"/>
  <c r="A68" i="42" s="1"/>
  <c r="A67" i="42"/>
  <c r="B66" i="42"/>
  <c r="A66" i="42" s="1"/>
  <c r="B65" i="42"/>
  <c r="A65" i="42" s="1"/>
  <c r="B64" i="42"/>
  <c r="A64" i="42" s="1"/>
  <c r="B63" i="42"/>
  <c r="A63" i="42" s="1"/>
  <c r="B62" i="42"/>
  <c r="A62" i="42" s="1"/>
  <c r="B61" i="42"/>
  <c r="A61" i="42" s="1"/>
  <c r="B60" i="42"/>
  <c r="A60" i="42" s="1"/>
  <c r="A59" i="42"/>
  <c r="B58" i="42"/>
  <c r="A58" i="42" s="1"/>
  <c r="B57" i="42"/>
  <c r="A57" i="42" s="1"/>
  <c r="B56" i="42"/>
  <c r="A56" i="42" s="1"/>
  <c r="B55" i="42"/>
  <c r="A55" i="42" s="1"/>
  <c r="B54" i="42"/>
  <c r="A54" i="42" s="1"/>
  <c r="B53" i="42"/>
  <c r="A53" i="42" s="1"/>
  <c r="B52" i="42"/>
  <c r="A52" i="42" s="1"/>
  <c r="A51" i="42"/>
  <c r="B50" i="42"/>
  <c r="A50" i="42" s="1"/>
  <c r="B49" i="42"/>
  <c r="A49" i="42" s="1"/>
  <c r="B48" i="42"/>
  <c r="A48" i="42" s="1"/>
  <c r="B47" i="42"/>
  <c r="A47" i="42" s="1"/>
  <c r="B46" i="42"/>
  <c r="A46" i="42" s="1"/>
  <c r="B45" i="42"/>
  <c r="A45" i="42" s="1"/>
  <c r="B44" i="42"/>
  <c r="A44" i="42" s="1"/>
  <c r="A43" i="42"/>
  <c r="B42" i="42"/>
  <c r="A42" i="42" s="1"/>
  <c r="B41" i="42"/>
  <c r="A41" i="42" s="1"/>
  <c r="B40" i="42"/>
  <c r="A40" i="42" s="1"/>
  <c r="B39" i="42"/>
  <c r="A39" i="42" s="1"/>
  <c r="B38" i="42"/>
  <c r="A38" i="42" s="1"/>
  <c r="B37" i="42"/>
  <c r="A37" i="42" s="1"/>
  <c r="B36" i="42"/>
  <c r="A36" i="42" s="1"/>
  <c r="A35" i="42"/>
  <c r="B34" i="42"/>
  <c r="A34" i="42" s="1"/>
  <c r="B33" i="42"/>
  <c r="A33" i="42" s="1"/>
  <c r="B32" i="42"/>
  <c r="A32" i="42" s="1"/>
  <c r="B31" i="42"/>
  <c r="A31" i="42" s="1"/>
  <c r="B30" i="42"/>
  <c r="A30" i="42" s="1"/>
  <c r="B29" i="42"/>
  <c r="A29" i="42" s="1"/>
  <c r="B28" i="42"/>
  <c r="A28" i="42" s="1"/>
  <c r="A27" i="42"/>
  <c r="B26" i="42"/>
  <c r="A26" i="42" s="1"/>
  <c r="B25" i="42"/>
  <c r="A25" i="42" s="1"/>
  <c r="B24" i="42"/>
  <c r="A24" i="42" s="1"/>
  <c r="B23" i="42"/>
  <c r="A23" i="42" s="1"/>
  <c r="B22" i="42"/>
  <c r="A22" i="42" s="1"/>
  <c r="B21" i="42"/>
  <c r="A21" i="42" s="1"/>
  <c r="B20" i="42"/>
  <c r="A20" i="42" s="1"/>
  <c r="A19" i="42"/>
  <c r="B10" i="42"/>
  <c r="A10" i="42" s="1"/>
  <c r="B9" i="42"/>
  <c r="A9" i="42" s="1"/>
  <c r="B8" i="42"/>
  <c r="A8" i="42" s="1"/>
  <c r="B7" i="42"/>
  <c r="A7" i="42" s="1"/>
  <c r="B6" i="42"/>
  <c r="A6" i="42" s="1"/>
  <c r="B5" i="42"/>
  <c r="A5" i="42" s="1"/>
  <c r="B4" i="42"/>
  <c r="A4" i="42" s="1"/>
  <c r="A3" i="42"/>
  <c r="E97" i="40"/>
  <c r="E87" i="40"/>
  <c r="E71" i="40"/>
  <c r="E69" i="40"/>
  <c r="E68" i="40"/>
  <c r="E65" i="40"/>
  <c r="E60" i="40"/>
  <c r="E66" i="40" s="1"/>
  <c r="E59" i="40"/>
  <c r="E48" i="40"/>
  <c r="E46" i="40"/>
  <c r="E45" i="40"/>
  <c r="E43" i="40"/>
  <c r="E38" i="40"/>
  <c r="E37" i="40"/>
  <c r="E36" i="40"/>
  <c r="E35" i="40"/>
  <c r="E34" i="40"/>
  <c r="E32" i="40"/>
  <c r="E82" i="40" s="1"/>
  <c r="E31" i="40"/>
  <c r="D28" i="40"/>
  <c r="E27" i="40"/>
  <c r="E29" i="40" s="1"/>
  <c r="D56" i="40" s="1"/>
  <c r="E14" i="40"/>
  <c r="E12" i="40"/>
  <c r="E1" i="40"/>
  <c r="E97" i="39"/>
  <c r="E81" i="39"/>
  <c r="E68" i="39"/>
  <c r="E60" i="39"/>
  <c r="E48" i="39"/>
  <c r="E38" i="39"/>
  <c r="E37" i="39"/>
  <c r="E36" i="39"/>
  <c r="E35" i="39"/>
  <c r="E34" i="39"/>
  <c r="E33" i="39"/>
  <c r="E32" i="39"/>
  <c r="E31" i="39"/>
  <c r="F31" i="39" s="1"/>
  <c r="E28" i="39"/>
  <c r="E14" i="39"/>
  <c r="E1" i="39"/>
  <c r="H89" i="82" l="1"/>
  <c r="H93" i="82" s="1"/>
  <c r="F21" i="82"/>
  <c r="G21" i="82" s="1"/>
  <c r="H21" i="82" s="1"/>
  <c r="I21" i="82" s="1"/>
  <c r="G89" i="82"/>
  <c r="G93" i="82" s="1"/>
  <c r="F23" i="82"/>
  <c r="G23" i="82" s="1"/>
  <c r="H23" i="82" s="1"/>
  <c r="I23" i="82" s="1"/>
  <c r="F89" i="82"/>
  <c r="L89" i="82"/>
  <c r="L93" i="82" s="1"/>
  <c r="J20" i="82"/>
  <c r="M89" i="82"/>
  <c r="M93" i="82" s="1"/>
  <c r="J22" i="82"/>
  <c r="K22" i="82" s="1"/>
  <c r="L22" i="82" s="1"/>
  <c r="M22" i="82" s="1"/>
  <c r="F20" i="82"/>
  <c r="K89" i="82"/>
  <c r="K93" i="82" s="1"/>
  <c r="F22" i="82"/>
  <c r="G22" i="82" s="1"/>
  <c r="H22" i="82" s="1"/>
  <c r="I22" i="82" s="1"/>
  <c r="J89" i="82"/>
  <c r="J21" i="82"/>
  <c r="K21" i="82" s="1"/>
  <c r="L21" i="82" s="1"/>
  <c r="M21" i="82" s="1"/>
  <c r="I89" i="82"/>
  <c r="I93" i="82" s="1"/>
  <c r="J23" i="82"/>
  <c r="K23" i="82" s="1"/>
  <c r="L23" i="82" s="1"/>
  <c r="M23" i="82" s="1"/>
  <c r="F97" i="82"/>
  <c r="M89" i="81"/>
  <c r="M93" i="81" s="1"/>
  <c r="J21" i="81"/>
  <c r="K21" i="81" s="1"/>
  <c r="L21" i="81" s="1"/>
  <c r="M21" i="81" s="1"/>
  <c r="L89" i="81"/>
  <c r="L93" i="81" s="1"/>
  <c r="F21" i="81"/>
  <c r="G21" i="81" s="1"/>
  <c r="H21" i="81" s="1"/>
  <c r="I21" i="81" s="1"/>
  <c r="F89" i="81"/>
  <c r="K89" i="81"/>
  <c r="K93" i="81" s="1"/>
  <c r="J20" i="81"/>
  <c r="J89" i="81"/>
  <c r="J22" i="81"/>
  <c r="K22" i="81" s="1"/>
  <c r="L22" i="81" s="1"/>
  <c r="M22" i="81" s="1"/>
  <c r="I89" i="81"/>
  <c r="I93" i="81" s="1"/>
  <c r="F22" i="81"/>
  <c r="G22" i="81" s="1"/>
  <c r="H22" i="81" s="1"/>
  <c r="I22" i="81" s="1"/>
  <c r="H89" i="81"/>
  <c r="H93" i="81" s="1"/>
  <c r="F20" i="81"/>
  <c r="G89" i="81"/>
  <c r="G93" i="81" s="1"/>
  <c r="J23" i="81"/>
  <c r="K23" i="81" s="1"/>
  <c r="L23" i="81" s="1"/>
  <c r="M23" i="81" s="1"/>
  <c r="F23" i="81"/>
  <c r="G23" i="81" s="1"/>
  <c r="H23" i="81" s="1"/>
  <c r="I23" i="81" s="1"/>
  <c r="F97" i="81"/>
  <c r="H89" i="80"/>
  <c r="H93" i="80" s="1"/>
  <c r="F23" i="80"/>
  <c r="G23" i="80" s="1"/>
  <c r="H23" i="80" s="1"/>
  <c r="I23" i="80" s="1"/>
  <c r="K89" i="79"/>
  <c r="K93" i="79" s="1"/>
  <c r="F20" i="79"/>
  <c r="F97" i="80"/>
  <c r="G89" i="80"/>
  <c r="G93" i="80" s="1"/>
  <c r="J89" i="79"/>
  <c r="J23" i="79"/>
  <c r="K23" i="79" s="1"/>
  <c r="L23" i="79" s="1"/>
  <c r="M23" i="79" s="1"/>
  <c r="F89" i="80"/>
  <c r="J21" i="80"/>
  <c r="K21" i="80" s="1"/>
  <c r="L21" i="80" s="1"/>
  <c r="M21" i="80" s="1"/>
  <c r="I89" i="79"/>
  <c r="I93" i="79" s="1"/>
  <c r="F23" i="79"/>
  <c r="G23" i="79" s="1"/>
  <c r="H23" i="79" s="1"/>
  <c r="I23" i="79" s="1"/>
  <c r="M89" i="80"/>
  <c r="M93" i="80" s="1"/>
  <c r="F21" i="80"/>
  <c r="G21" i="80" s="1"/>
  <c r="H21" i="80" s="1"/>
  <c r="I21" i="80" s="1"/>
  <c r="H89" i="79"/>
  <c r="H93" i="79" s="1"/>
  <c r="J21" i="79"/>
  <c r="K21" i="79" s="1"/>
  <c r="L21" i="79" s="1"/>
  <c r="M21" i="79" s="1"/>
  <c r="M89" i="75"/>
  <c r="K89" i="71"/>
  <c r="H89" i="63"/>
  <c r="F89" i="64"/>
  <c r="L89" i="65"/>
  <c r="J89" i="39"/>
  <c r="H89" i="40"/>
  <c r="F89" i="50"/>
  <c r="L89" i="75"/>
  <c r="L93" i="75" s="1"/>
  <c r="J89" i="71"/>
  <c r="G89" i="63"/>
  <c r="M89" i="64"/>
  <c r="K89" i="65"/>
  <c r="K93" i="65" s="1"/>
  <c r="I89" i="39"/>
  <c r="G89" i="40"/>
  <c r="G93" i="40" s="1"/>
  <c r="L89" i="80"/>
  <c r="L93" i="80" s="1"/>
  <c r="G89" i="79"/>
  <c r="G93" i="79" s="1"/>
  <c r="F21" i="79"/>
  <c r="G21" i="79" s="1"/>
  <c r="H21" i="79" s="1"/>
  <c r="I21" i="79" s="1"/>
  <c r="J89" i="80"/>
  <c r="J22" i="80"/>
  <c r="K22" i="80" s="1"/>
  <c r="L22" i="80" s="1"/>
  <c r="M22" i="80" s="1"/>
  <c r="J20" i="80"/>
  <c r="I89" i="80"/>
  <c r="I93" i="80" s="1"/>
  <c r="J23" i="80"/>
  <c r="K23" i="80" s="1"/>
  <c r="L23" i="80" s="1"/>
  <c r="M23" i="80" s="1"/>
  <c r="F22" i="80"/>
  <c r="G22" i="80" s="1"/>
  <c r="H22" i="80" s="1"/>
  <c r="I22" i="80" s="1"/>
  <c r="F20" i="80"/>
  <c r="H89" i="71"/>
  <c r="M89" i="63"/>
  <c r="G89" i="64"/>
  <c r="H89" i="65"/>
  <c r="H93" i="65" s="1"/>
  <c r="F89" i="40"/>
  <c r="L89" i="63"/>
  <c r="L93" i="63" s="1"/>
  <c r="G89" i="65"/>
  <c r="M89" i="39"/>
  <c r="M89" i="50"/>
  <c r="M93" i="50" s="1"/>
  <c r="K89" i="63"/>
  <c r="K89" i="80"/>
  <c r="K93" i="80" s="1"/>
  <c r="K89" i="75"/>
  <c r="K93" i="75" s="1"/>
  <c r="G89" i="71"/>
  <c r="G93" i="71" s="1"/>
  <c r="M89" i="79"/>
  <c r="M93" i="79" s="1"/>
  <c r="J20" i="79"/>
  <c r="L89" i="79"/>
  <c r="L93" i="79" s="1"/>
  <c r="J22" i="79"/>
  <c r="K22" i="79" s="1"/>
  <c r="L22" i="79" s="1"/>
  <c r="M22" i="79" s="1"/>
  <c r="F89" i="79"/>
  <c r="F22" i="79"/>
  <c r="G22" i="79" s="1"/>
  <c r="H22" i="79" s="1"/>
  <c r="I22" i="79" s="1"/>
  <c r="F89" i="75"/>
  <c r="F93" i="75" s="1"/>
  <c r="L89" i="71"/>
  <c r="L93" i="71" s="1"/>
  <c r="I89" i="64"/>
  <c r="I93" i="64" s="1"/>
  <c r="J89" i="65"/>
  <c r="F89" i="39"/>
  <c r="J89" i="40"/>
  <c r="H89" i="50"/>
  <c r="H93" i="50" s="1"/>
  <c r="I89" i="71"/>
  <c r="H89" i="64"/>
  <c r="H93" i="64" s="1"/>
  <c r="I89" i="65"/>
  <c r="I93" i="65" s="1"/>
  <c r="I89" i="40"/>
  <c r="I93" i="40" s="1"/>
  <c r="G89" i="50"/>
  <c r="G93" i="50" s="1"/>
  <c r="J89" i="75"/>
  <c r="F89" i="71"/>
  <c r="H89" i="75"/>
  <c r="H93" i="75" s="1"/>
  <c r="L89" i="50"/>
  <c r="G89" i="75"/>
  <c r="G93" i="75" s="1"/>
  <c r="M89" i="71"/>
  <c r="M93" i="71" s="1"/>
  <c r="F89" i="63"/>
  <c r="F89" i="65"/>
  <c r="K89" i="64"/>
  <c r="K93" i="64" s="1"/>
  <c r="K89" i="39"/>
  <c r="L89" i="64"/>
  <c r="L93" i="64" s="1"/>
  <c r="L89" i="39"/>
  <c r="M89" i="40"/>
  <c r="M93" i="40" s="1"/>
  <c r="L89" i="40"/>
  <c r="L93" i="40" s="1"/>
  <c r="J89" i="64"/>
  <c r="H89" i="39"/>
  <c r="K89" i="40"/>
  <c r="K93" i="40" s="1"/>
  <c r="K89" i="50"/>
  <c r="K93" i="50" s="1"/>
  <c r="I89" i="75"/>
  <c r="I93" i="75" s="1"/>
  <c r="J89" i="63"/>
  <c r="G89" i="39"/>
  <c r="J89" i="50"/>
  <c r="I89" i="63"/>
  <c r="I93" i="63" s="1"/>
  <c r="M89" i="65"/>
  <c r="M93" i="65" s="1"/>
  <c r="I89" i="50"/>
  <c r="I93" i="50" s="1"/>
  <c r="F97" i="79"/>
  <c r="M93" i="75"/>
  <c r="I93" i="71"/>
  <c r="J20" i="71"/>
  <c r="H93" i="71"/>
  <c r="J22" i="71"/>
  <c r="K22" i="71" s="1"/>
  <c r="L22" i="71" s="1"/>
  <c r="M22" i="71" s="1"/>
  <c r="F22" i="71"/>
  <c r="G22" i="71" s="1"/>
  <c r="H22" i="71" s="1"/>
  <c r="I22" i="71" s="1"/>
  <c r="J93" i="71"/>
  <c r="J23" i="75"/>
  <c r="F20" i="71"/>
  <c r="F23" i="71"/>
  <c r="F23" i="75"/>
  <c r="J20" i="75"/>
  <c r="J22" i="75"/>
  <c r="K22" i="75" s="1"/>
  <c r="L22" i="75" s="1"/>
  <c r="M22" i="75" s="1"/>
  <c r="F20" i="75"/>
  <c r="F93" i="71"/>
  <c r="J23" i="71"/>
  <c r="K93" i="71"/>
  <c r="F22" i="75"/>
  <c r="G22" i="75" s="1"/>
  <c r="H22" i="75" s="1"/>
  <c r="I22" i="75" s="1"/>
  <c r="J21" i="71"/>
  <c r="K21" i="71" s="1"/>
  <c r="L21" i="71" s="1"/>
  <c r="M21" i="71" s="1"/>
  <c r="J21" i="75"/>
  <c r="K21" i="75" s="1"/>
  <c r="L21" i="75" s="1"/>
  <c r="M21" i="75" s="1"/>
  <c r="F21" i="71"/>
  <c r="G21" i="71" s="1"/>
  <c r="H21" i="71" s="1"/>
  <c r="I21" i="71" s="1"/>
  <c r="F21" i="75"/>
  <c r="G21" i="75" s="1"/>
  <c r="H21" i="75" s="1"/>
  <c r="I21" i="75" s="1"/>
  <c r="F97" i="75"/>
  <c r="F97" i="71"/>
  <c r="F19" i="69"/>
  <c r="G19" i="69" s="1"/>
  <c r="H19" i="69" s="1"/>
  <c r="I19" i="69" s="1"/>
  <c r="F17" i="69"/>
  <c r="J18" i="69"/>
  <c r="K18" i="69" s="1"/>
  <c r="L18" i="69" s="1"/>
  <c r="M18" i="69" s="1"/>
  <c r="F20" i="69"/>
  <c r="G20" i="69" s="1"/>
  <c r="H20" i="69" s="1"/>
  <c r="I20" i="69" s="1"/>
  <c r="J20" i="69"/>
  <c r="K20" i="69" s="1"/>
  <c r="L20" i="69" s="1"/>
  <c r="M20" i="69" s="1"/>
  <c r="J19" i="69"/>
  <c r="K19" i="69" s="1"/>
  <c r="L19" i="69" s="1"/>
  <c r="M19" i="69" s="1"/>
  <c r="F18" i="69"/>
  <c r="G18" i="69" s="1"/>
  <c r="H18" i="69" s="1"/>
  <c r="I18" i="69" s="1"/>
  <c r="J17" i="69"/>
  <c r="F93" i="69"/>
  <c r="G93" i="69" s="1"/>
  <c r="H93" i="69" s="1"/>
  <c r="I93" i="69" s="1"/>
  <c r="J93" i="69" s="1"/>
  <c r="K93" i="69" s="1"/>
  <c r="L93" i="69" s="1"/>
  <c r="M93" i="69" s="1"/>
  <c r="H93" i="63"/>
  <c r="F21" i="63"/>
  <c r="G21" i="63" s="1"/>
  <c r="H21" i="63" s="1"/>
  <c r="I21" i="63" s="1"/>
  <c r="J21" i="64"/>
  <c r="K21" i="64" s="1"/>
  <c r="L21" i="64" s="1"/>
  <c r="M21" i="64" s="1"/>
  <c r="F21" i="64"/>
  <c r="G21" i="64" s="1"/>
  <c r="H21" i="64" s="1"/>
  <c r="I21" i="64" s="1"/>
  <c r="G93" i="64"/>
  <c r="J21" i="63"/>
  <c r="K21" i="63" s="1"/>
  <c r="L21" i="63" s="1"/>
  <c r="M21" i="63" s="1"/>
  <c r="M93" i="64"/>
  <c r="J23" i="64"/>
  <c r="K23" i="64" s="1"/>
  <c r="L23" i="64" s="1"/>
  <c r="M23" i="64" s="1"/>
  <c r="G93" i="63"/>
  <c r="J23" i="63"/>
  <c r="K23" i="63" s="1"/>
  <c r="L23" i="63" s="1"/>
  <c r="M23" i="63" s="1"/>
  <c r="J20" i="63"/>
  <c r="G93" i="65"/>
  <c r="J22" i="65"/>
  <c r="K22" i="65" s="1"/>
  <c r="L22" i="65" s="1"/>
  <c r="M22" i="65" s="1"/>
  <c r="J20" i="65"/>
  <c r="F97" i="64"/>
  <c r="F23" i="64"/>
  <c r="G23" i="64" s="1"/>
  <c r="H23" i="64" s="1"/>
  <c r="I23" i="64" s="1"/>
  <c r="F23" i="63"/>
  <c r="G23" i="63" s="1"/>
  <c r="H23" i="63" s="1"/>
  <c r="I23" i="63" s="1"/>
  <c r="F22" i="65"/>
  <c r="G22" i="65" s="1"/>
  <c r="H22" i="65" s="1"/>
  <c r="I22" i="65" s="1"/>
  <c r="F20" i="65"/>
  <c r="M93" i="63"/>
  <c r="F20" i="63"/>
  <c r="F23" i="65"/>
  <c r="F97" i="65"/>
  <c r="F97" i="63"/>
  <c r="J22" i="63"/>
  <c r="K22" i="63" s="1"/>
  <c r="L22" i="63" s="1"/>
  <c r="M22" i="63" s="1"/>
  <c r="J20" i="64"/>
  <c r="F20" i="64"/>
  <c r="L93" i="65"/>
  <c r="J22" i="64"/>
  <c r="K22" i="64" s="1"/>
  <c r="L22" i="64" s="1"/>
  <c r="M22" i="64" s="1"/>
  <c r="K93" i="63"/>
  <c r="F22" i="63"/>
  <c r="G22" i="63" s="1"/>
  <c r="H22" i="63" s="1"/>
  <c r="I22" i="63" s="1"/>
  <c r="J23" i="65"/>
  <c r="J21" i="65"/>
  <c r="K21" i="65" s="1"/>
  <c r="L21" i="65" s="1"/>
  <c r="M21" i="65" s="1"/>
  <c r="F22" i="64"/>
  <c r="G22" i="64" s="1"/>
  <c r="H22" i="64" s="1"/>
  <c r="I22" i="64" s="1"/>
  <c r="F21" i="65"/>
  <c r="G21" i="65" s="1"/>
  <c r="H21" i="65" s="1"/>
  <c r="I21" i="65" s="1"/>
  <c r="E29" i="39"/>
  <c r="G31" i="39"/>
  <c r="E72" i="39"/>
  <c r="E78" i="39" s="1"/>
  <c r="H93" i="40"/>
  <c r="L93" i="50"/>
  <c r="J21" i="39"/>
  <c r="K21" i="39" s="1"/>
  <c r="L21" i="39" s="1"/>
  <c r="M21" i="39" s="1"/>
  <c r="J21" i="40"/>
  <c r="K21" i="40" s="1"/>
  <c r="L21" i="40" s="1"/>
  <c r="M21" i="40" s="1"/>
  <c r="F21" i="39"/>
  <c r="F21" i="40"/>
  <c r="F22" i="50"/>
  <c r="F23" i="39"/>
  <c r="G23" i="39" s="1"/>
  <c r="H23" i="39" s="1"/>
  <c r="I23" i="39" s="1"/>
  <c r="F23" i="50"/>
  <c r="F97" i="39"/>
  <c r="J20" i="39"/>
  <c r="J20" i="40"/>
  <c r="F21" i="50"/>
  <c r="F23" i="40"/>
  <c r="F20" i="39"/>
  <c r="F20" i="40"/>
  <c r="J23" i="39"/>
  <c r="K23" i="39" s="1"/>
  <c r="L23" i="39" s="1"/>
  <c r="M23" i="39" s="1"/>
  <c r="J23" i="40"/>
  <c r="K23" i="40" s="1"/>
  <c r="L23" i="40" s="1"/>
  <c r="M23" i="40" s="1"/>
  <c r="J23" i="50"/>
  <c r="K23" i="50" s="1"/>
  <c r="L23" i="50" s="1"/>
  <c r="M23" i="50" s="1"/>
  <c r="J22" i="50"/>
  <c r="K22" i="50" s="1"/>
  <c r="L22" i="50" s="1"/>
  <c r="M22" i="50" s="1"/>
  <c r="J22" i="39"/>
  <c r="K22" i="39" s="1"/>
  <c r="L22" i="39" s="1"/>
  <c r="M22" i="39" s="1"/>
  <c r="J22" i="40"/>
  <c r="K22" i="40" s="1"/>
  <c r="L22" i="40" s="1"/>
  <c r="M22" i="40" s="1"/>
  <c r="J21" i="50"/>
  <c r="K21" i="50" s="1"/>
  <c r="L21" i="50" s="1"/>
  <c r="M21" i="50" s="1"/>
  <c r="F20" i="50"/>
  <c r="F22" i="39"/>
  <c r="J20" i="50"/>
  <c r="K20" i="50" s="1"/>
  <c r="L20" i="50" s="1"/>
  <c r="M20" i="50" s="1"/>
  <c r="F22" i="40"/>
  <c r="F97" i="40"/>
  <c r="E90" i="40"/>
  <c r="C4" i="85" s="1"/>
  <c r="E90" i="39"/>
  <c r="C6" i="85" s="1"/>
  <c r="E90" i="43"/>
  <c r="F20" i="43"/>
  <c r="G20" i="43" s="1"/>
  <c r="H20" i="43" s="1"/>
  <c r="I20" i="43" s="1"/>
  <c r="J20" i="43" s="1"/>
  <c r="K20" i="43" s="1"/>
  <c r="L20" i="43" s="1"/>
  <c r="M20" i="43" s="1"/>
  <c r="F97" i="50"/>
  <c r="F23" i="43"/>
  <c r="G23" i="43" s="1"/>
  <c r="H23" i="43" s="1"/>
  <c r="I23" i="43" s="1"/>
  <c r="J23" i="43" s="1"/>
  <c r="K23" i="43" s="1"/>
  <c r="L23" i="43" s="1"/>
  <c r="M23" i="43" s="1"/>
  <c r="M39" i="43" s="1"/>
  <c r="F21" i="43"/>
  <c r="G21" i="43" s="1"/>
  <c r="H21" i="43" s="1"/>
  <c r="I21" i="43" s="1"/>
  <c r="J21" i="43" s="1"/>
  <c r="K21" i="43" s="1"/>
  <c r="L21" i="43" s="1"/>
  <c r="M21" i="43" s="1"/>
  <c r="I89" i="43"/>
  <c r="H93" i="43"/>
  <c r="F96" i="43"/>
  <c r="G96" i="43" s="1"/>
  <c r="H96" i="43" s="1"/>
  <c r="I96" i="43" s="1"/>
  <c r="J96" i="43" s="1"/>
  <c r="K96" i="43" s="1"/>
  <c r="L96" i="43" s="1"/>
  <c r="M96" i="43" s="1"/>
  <c r="K89" i="43"/>
  <c r="J93" i="43"/>
  <c r="I93" i="43"/>
  <c r="L89" i="43"/>
  <c r="K93" i="43"/>
  <c r="J89" i="43"/>
  <c r="M89" i="43"/>
  <c r="L93" i="43"/>
  <c r="F89" i="43"/>
  <c r="M93" i="43"/>
  <c r="G89" i="43"/>
  <c r="F93" i="43"/>
  <c r="F22" i="43"/>
  <c r="G22" i="43" s="1"/>
  <c r="H22" i="43" s="1"/>
  <c r="I22" i="43" s="1"/>
  <c r="J22" i="43" s="1"/>
  <c r="K22" i="43" s="1"/>
  <c r="L22" i="43" s="1"/>
  <c r="M22" i="43" s="1"/>
  <c r="H89" i="43"/>
  <c r="G93" i="43"/>
  <c r="E46" i="39"/>
  <c r="E83" i="39"/>
  <c r="E66" i="39"/>
  <c r="E41" i="39"/>
  <c r="E47" i="39" s="1"/>
  <c r="E49" i="39" s="1"/>
  <c r="E26" i="43"/>
  <c r="E72" i="43"/>
  <c r="E78" i="43" s="1"/>
  <c r="E24" i="40"/>
  <c r="D39" i="40" s="1"/>
  <c r="D55" i="39"/>
  <c r="D56" i="39"/>
  <c r="D57" i="39"/>
  <c r="D58" i="39"/>
  <c r="D54" i="39"/>
  <c r="D28" i="39"/>
  <c r="E82" i="39"/>
  <c r="E24" i="39"/>
  <c r="D56" i="43"/>
  <c r="E41" i="43"/>
  <c r="E46" i="43"/>
  <c r="E66" i="43"/>
  <c r="E24" i="43"/>
  <c r="D55" i="40"/>
  <c r="D54" i="40"/>
  <c r="E92" i="40"/>
  <c r="E94" i="40" s="1"/>
  <c r="E95" i="40" s="1"/>
  <c r="E47" i="40"/>
  <c r="D48" i="40" s="1"/>
  <c r="E72" i="40"/>
  <c r="E78" i="40" s="1"/>
  <c r="K20" i="82" l="1"/>
  <c r="J24" i="82"/>
  <c r="J93" i="82"/>
  <c r="F31" i="85"/>
  <c r="V31" i="85" s="1"/>
  <c r="F93" i="82"/>
  <c r="F30" i="85"/>
  <c r="V30" i="85" s="1"/>
  <c r="G20" i="82"/>
  <c r="F24" i="82"/>
  <c r="F21" i="85"/>
  <c r="V21" i="85" s="1"/>
  <c r="G97" i="82"/>
  <c r="H97" i="82" s="1"/>
  <c r="I97" i="82" s="1"/>
  <c r="J97" i="82" s="1"/>
  <c r="F41" i="85"/>
  <c r="V41" i="85" s="1"/>
  <c r="F23" i="85"/>
  <c r="V23" i="85" s="1"/>
  <c r="F22" i="85"/>
  <c r="V22" i="85" s="1"/>
  <c r="J93" i="81"/>
  <c r="F47" i="85"/>
  <c r="V47" i="85" s="1"/>
  <c r="F36" i="85"/>
  <c r="V36" i="85" s="1"/>
  <c r="F39" i="85"/>
  <c r="V39" i="85" s="1"/>
  <c r="F20" i="85"/>
  <c r="V20" i="85" s="1"/>
  <c r="F93" i="81"/>
  <c r="F46" i="85"/>
  <c r="V46" i="85" s="1"/>
  <c r="F42" i="85"/>
  <c r="V42" i="85" s="1"/>
  <c r="F37" i="85"/>
  <c r="V37" i="85" s="1"/>
  <c r="F43" i="85"/>
  <c r="V43" i="85" s="1"/>
  <c r="F38" i="85"/>
  <c r="V38" i="85" s="1"/>
  <c r="F24" i="85"/>
  <c r="V24" i="85" s="1"/>
  <c r="F25" i="85"/>
  <c r="V25" i="85" s="1"/>
  <c r="F40" i="85"/>
  <c r="V40" i="85" s="1"/>
  <c r="G97" i="81"/>
  <c r="H97" i="81" s="1"/>
  <c r="I97" i="81" s="1"/>
  <c r="J97" i="81" s="1"/>
  <c r="J93" i="75"/>
  <c r="F45" i="85"/>
  <c r="V45" i="85" s="1"/>
  <c r="G97" i="75"/>
  <c r="H97" i="75" s="1"/>
  <c r="I97" i="75" s="1"/>
  <c r="J97" i="75" s="1"/>
  <c r="F44" i="85"/>
  <c r="V44" i="85" s="1"/>
  <c r="F93" i="79"/>
  <c r="F26" i="85"/>
  <c r="V26" i="85" s="1"/>
  <c r="J93" i="79"/>
  <c r="F27" i="85"/>
  <c r="V27" i="85" s="1"/>
  <c r="G97" i="80"/>
  <c r="H97" i="80" s="1"/>
  <c r="I97" i="80" s="1"/>
  <c r="J97" i="80" s="1"/>
  <c r="J93" i="80"/>
  <c r="F29" i="85"/>
  <c r="V29" i="85" s="1"/>
  <c r="F93" i="80"/>
  <c r="F28" i="85"/>
  <c r="V28" i="85" s="1"/>
  <c r="G97" i="79"/>
  <c r="H97" i="79" s="1"/>
  <c r="I97" i="79" s="1"/>
  <c r="J97" i="79" s="1"/>
  <c r="G97" i="71"/>
  <c r="H97" i="71" s="1"/>
  <c r="I97" i="71" s="1"/>
  <c r="J97" i="71" s="1"/>
  <c r="J24" i="81"/>
  <c r="K20" i="81"/>
  <c r="K20" i="80"/>
  <c r="J24" i="80"/>
  <c r="F24" i="79"/>
  <c r="G20" i="79"/>
  <c r="F24" i="81"/>
  <c r="G20" i="81"/>
  <c r="F24" i="80"/>
  <c r="G20" i="80"/>
  <c r="J24" i="79"/>
  <c r="K20" i="79"/>
  <c r="G23" i="75"/>
  <c r="J24" i="75"/>
  <c r="J39" i="75" s="1"/>
  <c r="K20" i="75"/>
  <c r="K23" i="71"/>
  <c r="G17" i="69"/>
  <c r="F21" i="69"/>
  <c r="G23" i="71"/>
  <c r="F24" i="75"/>
  <c r="G20" i="75"/>
  <c r="G20" i="71"/>
  <c r="F24" i="71"/>
  <c r="F39" i="71" s="1"/>
  <c r="K20" i="71"/>
  <c r="J24" i="71"/>
  <c r="J39" i="71" s="1"/>
  <c r="K17" i="69"/>
  <c r="J21" i="69"/>
  <c r="K23" i="75"/>
  <c r="H93" i="39"/>
  <c r="H90" i="69" s="1"/>
  <c r="H86" i="69"/>
  <c r="L93" i="39"/>
  <c r="L90" i="69" s="1"/>
  <c r="L86" i="69"/>
  <c r="K93" i="39"/>
  <c r="K90" i="69" s="1"/>
  <c r="K86" i="69"/>
  <c r="F86" i="69"/>
  <c r="I93" i="39"/>
  <c r="I90" i="69" s="1"/>
  <c r="I86" i="69"/>
  <c r="J86" i="69"/>
  <c r="E87" i="69"/>
  <c r="M93" i="39"/>
  <c r="M90" i="69" s="1"/>
  <c r="M86" i="69"/>
  <c r="G93" i="39"/>
  <c r="G90" i="69" s="1"/>
  <c r="G86" i="69"/>
  <c r="J93" i="64"/>
  <c r="F93" i="65"/>
  <c r="K23" i="65"/>
  <c r="G20" i="64"/>
  <c r="F24" i="64"/>
  <c r="G23" i="65"/>
  <c r="F93" i="63"/>
  <c r="K20" i="63"/>
  <c r="J24" i="63"/>
  <c r="H39" i="43"/>
  <c r="K20" i="64"/>
  <c r="J24" i="64"/>
  <c r="G20" i="63"/>
  <c r="F24" i="63"/>
  <c r="G97" i="65"/>
  <c r="H97" i="65" s="1"/>
  <c r="I97" i="65" s="1"/>
  <c r="J97" i="65" s="1"/>
  <c r="F39" i="43"/>
  <c r="J93" i="65"/>
  <c r="G97" i="64"/>
  <c r="H97" i="64" s="1"/>
  <c r="I97" i="64" s="1"/>
  <c r="J97" i="64" s="1"/>
  <c r="F93" i="64"/>
  <c r="J93" i="63"/>
  <c r="G97" i="63"/>
  <c r="H97" i="63" s="1"/>
  <c r="I97" i="63" s="1"/>
  <c r="J97" i="63" s="1"/>
  <c r="F24" i="65"/>
  <c r="F39" i="65" s="1"/>
  <c r="G20" i="65"/>
  <c r="K20" i="65"/>
  <c r="J24" i="65"/>
  <c r="J39" i="65" s="1"/>
  <c r="F93" i="39"/>
  <c r="F90" i="69" s="1"/>
  <c r="F93" i="50"/>
  <c r="F93" i="40"/>
  <c r="G97" i="40"/>
  <c r="H97" i="40" s="1"/>
  <c r="I97" i="40" s="1"/>
  <c r="J97" i="40" s="1"/>
  <c r="G97" i="39"/>
  <c r="H97" i="39" s="1"/>
  <c r="I97" i="39" s="1"/>
  <c r="J97" i="39" s="1"/>
  <c r="J93" i="50"/>
  <c r="J93" i="40"/>
  <c r="G97" i="50"/>
  <c r="H97" i="50" s="1"/>
  <c r="I97" i="50" s="1"/>
  <c r="J97" i="50" s="1"/>
  <c r="J93" i="39"/>
  <c r="J90" i="69" s="1"/>
  <c r="H31" i="39"/>
  <c r="E92" i="39"/>
  <c r="E94" i="39" s="1"/>
  <c r="E95" i="39" s="1"/>
  <c r="G20" i="39"/>
  <c r="G22" i="50"/>
  <c r="H22" i="50" s="1"/>
  <c r="I22" i="50" s="1"/>
  <c r="G23" i="40"/>
  <c r="H23" i="40" s="1"/>
  <c r="I23" i="40" s="1"/>
  <c r="G21" i="40"/>
  <c r="H21" i="40" s="1"/>
  <c r="I21" i="40" s="1"/>
  <c r="G21" i="50"/>
  <c r="H21" i="50" s="1"/>
  <c r="I21" i="50" s="1"/>
  <c r="G21" i="39"/>
  <c r="H21" i="39" s="1"/>
  <c r="I21" i="39" s="1"/>
  <c r="G22" i="39"/>
  <c r="H22" i="39" s="1"/>
  <c r="I22" i="39" s="1"/>
  <c r="G22" i="40"/>
  <c r="H22" i="40" s="1"/>
  <c r="I22" i="40" s="1"/>
  <c r="G39" i="43"/>
  <c r="G23" i="50"/>
  <c r="H23" i="50" s="1"/>
  <c r="I23" i="50" s="1"/>
  <c r="J39" i="43"/>
  <c r="G24" i="43"/>
  <c r="F24" i="39"/>
  <c r="K20" i="39"/>
  <c r="J24" i="39"/>
  <c r="G20" i="40"/>
  <c r="F24" i="40"/>
  <c r="K39" i="43"/>
  <c r="G20" i="50"/>
  <c r="F24" i="50"/>
  <c r="K20" i="40"/>
  <c r="J24" i="40"/>
  <c r="J39" i="40" s="1"/>
  <c r="J85" i="40" s="1"/>
  <c r="E49" i="40"/>
  <c r="E80" i="40" s="1"/>
  <c r="D68" i="40"/>
  <c r="F24" i="43"/>
  <c r="I39" i="43"/>
  <c r="L39" i="43"/>
  <c r="E47" i="43"/>
  <c r="E49" i="43" s="1"/>
  <c r="E80" i="43" s="1"/>
  <c r="E92" i="43"/>
  <c r="E94" i="43" s="1"/>
  <c r="D37" i="43"/>
  <c r="E15" i="43"/>
  <c r="E17" i="43" s="1"/>
  <c r="E17" i="39"/>
  <c r="D39" i="39"/>
  <c r="D40" i="39"/>
  <c r="D34" i="39"/>
  <c r="D38" i="39"/>
  <c r="D33" i="39"/>
  <c r="D35" i="39"/>
  <c r="D32" i="39"/>
  <c r="D68" i="39"/>
  <c r="D36" i="39"/>
  <c r="D37" i="39"/>
  <c r="H24" i="43"/>
  <c r="D33" i="43"/>
  <c r="D68" i="43"/>
  <c r="D38" i="43"/>
  <c r="D40" i="43"/>
  <c r="D32" i="43"/>
  <c r="D34" i="43"/>
  <c r="D36" i="43"/>
  <c r="D35" i="43"/>
  <c r="D36" i="40"/>
  <c r="D33" i="40"/>
  <c r="D38" i="40"/>
  <c r="D35" i="40"/>
  <c r="D32" i="40"/>
  <c r="E17" i="40"/>
  <c r="D34" i="40"/>
  <c r="D40" i="40"/>
  <c r="D37" i="40"/>
  <c r="F40" i="82" l="1"/>
  <c r="F33" i="82"/>
  <c r="F39" i="82"/>
  <c r="F35" i="82"/>
  <c r="F32" i="82"/>
  <c r="F68" i="82"/>
  <c r="D24" i="85"/>
  <c r="T24" i="85" s="1"/>
  <c r="H20" i="82"/>
  <c r="G24" i="82"/>
  <c r="D40" i="85"/>
  <c r="T40" i="85" s="1"/>
  <c r="D22" i="85"/>
  <c r="T22" i="85" s="1"/>
  <c r="D36" i="85"/>
  <c r="T36" i="85" s="1"/>
  <c r="F32" i="63"/>
  <c r="F68" i="63"/>
  <c r="F39" i="79"/>
  <c r="F32" i="79"/>
  <c r="D30" i="85"/>
  <c r="T30" i="85" s="1"/>
  <c r="K97" i="82"/>
  <c r="L97" i="82" s="1"/>
  <c r="M97" i="82" s="1"/>
  <c r="J40" i="82"/>
  <c r="J68" i="82"/>
  <c r="J72" i="82" s="1"/>
  <c r="J78" i="82" s="1"/>
  <c r="J33" i="82"/>
  <c r="J39" i="82"/>
  <c r="J35" i="82"/>
  <c r="J32" i="82"/>
  <c r="D21" i="85"/>
  <c r="T21" i="85" s="1"/>
  <c r="D42" i="85"/>
  <c r="T42" i="85" s="1"/>
  <c r="L20" i="82"/>
  <c r="K24" i="82"/>
  <c r="D20" i="85"/>
  <c r="T20" i="85" s="1"/>
  <c r="D38" i="85"/>
  <c r="T38" i="85" s="1"/>
  <c r="F39" i="40"/>
  <c r="F85" i="40" s="1"/>
  <c r="K97" i="81"/>
  <c r="L97" i="81" s="1"/>
  <c r="M97" i="81" s="1"/>
  <c r="D46" i="85"/>
  <c r="T46" i="85" s="1"/>
  <c r="K97" i="75"/>
  <c r="L97" i="75" s="1"/>
  <c r="M97" i="75" s="1"/>
  <c r="D45" i="85" s="1"/>
  <c r="T45" i="85" s="1"/>
  <c r="D44" i="85"/>
  <c r="T44" i="85" s="1"/>
  <c r="D26" i="85"/>
  <c r="T26" i="85" s="1"/>
  <c r="D28" i="85"/>
  <c r="T28" i="85" s="1"/>
  <c r="K97" i="80"/>
  <c r="L97" i="80" s="1"/>
  <c r="M97" i="80" s="1"/>
  <c r="K97" i="71"/>
  <c r="L97" i="71" s="1"/>
  <c r="M97" i="71" s="1"/>
  <c r="K97" i="79"/>
  <c r="L97" i="79" s="1"/>
  <c r="M97" i="79" s="1"/>
  <c r="G24" i="79"/>
  <c r="H20" i="79"/>
  <c r="F40" i="79"/>
  <c r="F33" i="79"/>
  <c r="F68" i="79"/>
  <c r="F72" i="79" s="1"/>
  <c r="F78" i="79" s="1"/>
  <c r="F44" i="79" s="1"/>
  <c r="F46" i="79" s="1"/>
  <c r="F35" i="79"/>
  <c r="J40" i="79"/>
  <c r="J35" i="79"/>
  <c r="J32" i="79"/>
  <c r="J68" i="79"/>
  <c r="J72" i="79" s="1"/>
  <c r="J78" i="79" s="1"/>
  <c r="J39" i="79"/>
  <c r="J33" i="79"/>
  <c r="F30" i="50"/>
  <c r="F39" i="50"/>
  <c r="F33" i="80"/>
  <c r="F35" i="80"/>
  <c r="F40" i="80"/>
  <c r="F68" i="80"/>
  <c r="F72" i="80" s="1"/>
  <c r="F78" i="80" s="1"/>
  <c r="F44" i="80" s="1"/>
  <c r="F32" i="80"/>
  <c r="F82" i="80" s="1"/>
  <c r="F39" i="80"/>
  <c r="J35" i="80"/>
  <c r="J39" i="80"/>
  <c r="J33" i="80"/>
  <c r="J32" i="80"/>
  <c r="J40" i="80"/>
  <c r="J68" i="80"/>
  <c r="J72" i="80" s="1"/>
  <c r="J78" i="80" s="1"/>
  <c r="H20" i="80"/>
  <c r="G24" i="80"/>
  <c r="F39" i="75"/>
  <c r="L20" i="80"/>
  <c r="K24" i="80"/>
  <c r="G24" i="81"/>
  <c r="H20" i="81"/>
  <c r="F39" i="81"/>
  <c r="F32" i="81"/>
  <c r="F33" i="81"/>
  <c r="F68" i="81"/>
  <c r="F72" i="81" s="1"/>
  <c r="F78" i="81" s="1"/>
  <c r="F44" i="81" s="1"/>
  <c r="F35" i="81"/>
  <c r="F40" i="81"/>
  <c r="K24" i="81"/>
  <c r="L20" i="81"/>
  <c r="L20" i="79"/>
  <c r="K24" i="79"/>
  <c r="J40" i="81"/>
  <c r="J33" i="81"/>
  <c r="J39" i="81"/>
  <c r="J32" i="81"/>
  <c r="J35" i="81"/>
  <c r="J68" i="81"/>
  <c r="J72" i="81" s="1"/>
  <c r="J78" i="81" s="1"/>
  <c r="H20" i="71"/>
  <c r="G24" i="71"/>
  <c r="G39" i="71" s="1"/>
  <c r="H17" i="69"/>
  <c r="G21" i="69"/>
  <c r="K21" i="69"/>
  <c r="L17" i="69"/>
  <c r="G24" i="75"/>
  <c r="G39" i="75" s="1"/>
  <c r="H20" i="75"/>
  <c r="F40" i="75"/>
  <c r="F35" i="75"/>
  <c r="F33" i="75"/>
  <c r="F32" i="75"/>
  <c r="F82" i="75" s="1"/>
  <c r="F68" i="75"/>
  <c r="F72" i="75" s="1"/>
  <c r="F78" i="75" s="1"/>
  <c r="F44" i="75" s="1"/>
  <c r="J68" i="71"/>
  <c r="J72" i="71" s="1"/>
  <c r="J78" i="71" s="1"/>
  <c r="J33" i="71"/>
  <c r="J40" i="71"/>
  <c r="J32" i="71"/>
  <c r="J82" i="71" s="1"/>
  <c r="J35" i="71"/>
  <c r="L20" i="75"/>
  <c r="K24" i="75"/>
  <c r="K39" i="75" s="1"/>
  <c r="J36" i="69"/>
  <c r="J37" i="69"/>
  <c r="J65" i="69"/>
  <c r="J69" i="69" s="1"/>
  <c r="J75" i="69" s="1"/>
  <c r="J30" i="69"/>
  <c r="J29" i="69"/>
  <c r="J32" i="69"/>
  <c r="L23" i="71"/>
  <c r="L20" i="71"/>
  <c r="K24" i="71"/>
  <c r="K39" i="71" s="1"/>
  <c r="H23" i="71"/>
  <c r="J40" i="75"/>
  <c r="J35" i="75"/>
  <c r="J33" i="75"/>
  <c r="J32" i="75"/>
  <c r="J82" i="75" s="1"/>
  <c r="J68" i="75"/>
  <c r="F29" i="69"/>
  <c r="F36" i="69"/>
  <c r="F32" i="69"/>
  <c r="F37" i="69"/>
  <c r="F65" i="69"/>
  <c r="F69" i="69" s="1"/>
  <c r="F75" i="69" s="1"/>
  <c r="F41" i="69" s="1"/>
  <c r="F43" i="69" s="1"/>
  <c r="F30" i="69"/>
  <c r="L23" i="75"/>
  <c r="F35" i="71"/>
  <c r="F33" i="71"/>
  <c r="F68" i="71"/>
  <c r="F72" i="71" s="1"/>
  <c r="F78" i="71" s="1"/>
  <c r="F44" i="71" s="1"/>
  <c r="F40" i="71"/>
  <c r="F32" i="71"/>
  <c r="F82" i="71" s="1"/>
  <c r="H23" i="75"/>
  <c r="K97" i="65"/>
  <c r="L97" i="65" s="1"/>
  <c r="M97" i="65" s="1"/>
  <c r="F33" i="64"/>
  <c r="F32" i="64"/>
  <c r="F82" i="64" s="1"/>
  <c r="F40" i="64"/>
  <c r="F35" i="64"/>
  <c r="F68" i="64"/>
  <c r="F39" i="64"/>
  <c r="F85" i="64" s="1"/>
  <c r="G24" i="65"/>
  <c r="G39" i="65" s="1"/>
  <c r="H20" i="65"/>
  <c r="J33" i="63"/>
  <c r="J35" i="63"/>
  <c r="J68" i="63"/>
  <c r="J40" i="63"/>
  <c r="J32" i="63"/>
  <c r="J82" i="63" s="1"/>
  <c r="J39" i="63"/>
  <c r="J85" i="63" s="1"/>
  <c r="H20" i="64"/>
  <c r="G24" i="64"/>
  <c r="L20" i="65"/>
  <c r="K24" i="65"/>
  <c r="K39" i="65" s="1"/>
  <c r="L20" i="63"/>
  <c r="K24" i="63"/>
  <c r="K97" i="64"/>
  <c r="L97" i="64" s="1"/>
  <c r="M97" i="64" s="1"/>
  <c r="H20" i="63"/>
  <c r="G24" i="63"/>
  <c r="L23" i="65"/>
  <c r="F35" i="65"/>
  <c r="F33" i="65"/>
  <c r="F40" i="65"/>
  <c r="F68" i="65"/>
  <c r="F32" i="65"/>
  <c r="F82" i="65" s="1"/>
  <c r="F40" i="63"/>
  <c r="F33" i="63"/>
  <c r="F35" i="63"/>
  <c r="F39" i="63"/>
  <c r="F85" i="63" s="1"/>
  <c r="F82" i="63"/>
  <c r="K97" i="63"/>
  <c r="L97" i="63" s="1"/>
  <c r="M97" i="63" s="1"/>
  <c r="J68" i="64"/>
  <c r="J39" i="64"/>
  <c r="J85" i="64" s="1"/>
  <c r="J32" i="64"/>
  <c r="J82" i="64" s="1"/>
  <c r="J35" i="64"/>
  <c r="J40" i="64"/>
  <c r="J33" i="64"/>
  <c r="L20" i="64"/>
  <c r="K24" i="64"/>
  <c r="H23" i="65"/>
  <c r="J35" i="65"/>
  <c r="J32" i="65"/>
  <c r="J82" i="65" s="1"/>
  <c r="J40" i="65"/>
  <c r="J33" i="65"/>
  <c r="J68" i="65"/>
  <c r="F35" i="39"/>
  <c r="F35" i="40"/>
  <c r="K97" i="50"/>
  <c r="L97" i="50" s="1"/>
  <c r="M97" i="50" s="1"/>
  <c r="J35" i="40"/>
  <c r="K97" i="40"/>
  <c r="L97" i="40" s="1"/>
  <c r="M97" i="40" s="1"/>
  <c r="J35" i="39"/>
  <c r="K97" i="39"/>
  <c r="L97" i="39" s="1"/>
  <c r="M97" i="39" s="1"/>
  <c r="G37" i="43"/>
  <c r="I31" i="39"/>
  <c r="H20" i="40"/>
  <c r="G24" i="40"/>
  <c r="H20" i="39"/>
  <c r="G24" i="39"/>
  <c r="L20" i="40"/>
  <c r="K24" i="40"/>
  <c r="K39" i="40" s="1"/>
  <c r="K85" i="40" s="1"/>
  <c r="F68" i="43"/>
  <c r="F72" i="43" s="1"/>
  <c r="F78" i="43" s="1"/>
  <c r="F44" i="43" s="1"/>
  <c r="L20" i="39"/>
  <c r="K24" i="39"/>
  <c r="H20" i="50"/>
  <c r="G24" i="50"/>
  <c r="G39" i="50" s="1"/>
  <c r="F39" i="39"/>
  <c r="F85" i="39" s="1"/>
  <c r="J39" i="39"/>
  <c r="J85" i="39" s="1"/>
  <c r="F32" i="39"/>
  <c r="F82" i="39" s="1"/>
  <c r="J32" i="39"/>
  <c r="J82" i="39" s="1"/>
  <c r="F40" i="39"/>
  <c r="J40" i="39"/>
  <c r="F68" i="39"/>
  <c r="J68" i="39"/>
  <c r="F33" i="39"/>
  <c r="J33" i="39"/>
  <c r="F33" i="40"/>
  <c r="J33" i="40"/>
  <c r="F40" i="40"/>
  <c r="J40" i="40"/>
  <c r="F32" i="40"/>
  <c r="F82" i="40" s="1"/>
  <c r="J32" i="40"/>
  <c r="J82" i="40" s="1"/>
  <c r="F68" i="40"/>
  <c r="J68" i="40"/>
  <c r="F68" i="50"/>
  <c r="F32" i="50"/>
  <c r="F82" i="50" s="1"/>
  <c r="F40" i="50"/>
  <c r="F33" i="50"/>
  <c r="F35" i="50"/>
  <c r="H37" i="43"/>
  <c r="F37" i="43"/>
  <c r="D48" i="43"/>
  <c r="G36" i="43"/>
  <c r="H36" i="43"/>
  <c r="F36" i="43"/>
  <c r="H34" i="43"/>
  <c r="G34" i="43"/>
  <c r="F34" i="43"/>
  <c r="F38" i="43"/>
  <c r="H38" i="43"/>
  <c r="G38" i="43"/>
  <c r="H68" i="43"/>
  <c r="H72" i="43" s="1"/>
  <c r="H78" i="43" s="1"/>
  <c r="G68" i="43"/>
  <c r="G72" i="43" s="1"/>
  <c r="G78" i="43" s="1"/>
  <c r="G35" i="43"/>
  <c r="F35" i="43"/>
  <c r="H35" i="43"/>
  <c r="H33" i="43"/>
  <c r="G33" i="43"/>
  <c r="F33" i="43"/>
  <c r="I24" i="43"/>
  <c r="I37" i="43" s="1"/>
  <c r="H32" i="43"/>
  <c r="G32" i="43"/>
  <c r="F32" i="43"/>
  <c r="F40" i="43"/>
  <c r="H40" i="43"/>
  <c r="G40" i="43"/>
  <c r="E80" i="39"/>
  <c r="D23" i="85" l="1"/>
  <c r="T23" i="85" s="1"/>
  <c r="D25" i="85"/>
  <c r="T25" i="85" s="1"/>
  <c r="D37" i="85"/>
  <c r="T37" i="85" s="1"/>
  <c r="D41" i="85"/>
  <c r="T41" i="85" s="1"/>
  <c r="D43" i="85"/>
  <c r="T43" i="85" s="1"/>
  <c r="I20" i="82"/>
  <c r="H24" i="82"/>
  <c r="K33" i="82"/>
  <c r="K40" i="82"/>
  <c r="K39" i="82"/>
  <c r="K35" i="82"/>
  <c r="K32" i="82"/>
  <c r="K68" i="82"/>
  <c r="K72" i="82" s="1"/>
  <c r="K78" i="82" s="1"/>
  <c r="J82" i="82"/>
  <c r="F72" i="82"/>
  <c r="F78" i="82" s="1"/>
  <c r="F44" i="82" s="1"/>
  <c r="M20" i="82"/>
  <c r="L24" i="82"/>
  <c r="F82" i="82"/>
  <c r="D31" i="85"/>
  <c r="T31" i="85" s="1"/>
  <c r="G40" i="82"/>
  <c r="G35" i="82"/>
  <c r="G39" i="82"/>
  <c r="G32" i="82"/>
  <c r="G33" i="82"/>
  <c r="G68" i="82"/>
  <c r="G72" i="82" s="1"/>
  <c r="G78" i="82" s="1"/>
  <c r="D39" i="85"/>
  <c r="T39" i="85" s="1"/>
  <c r="D47" i="85"/>
  <c r="T47" i="85" s="1"/>
  <c r="F46" i="81"/>
  <c r="F46" i="75"/>
  <c r="D27" i="85"/>
  <c r="T27" i="85" s="1"/>
  <c r="D29" i="85"/>
  <c r="T29" i="85" s="1"/>
  <c r="F46" i="80"/>
  <c r="F46" i="71"/>
  <c r="H24" i="81"/>
  <c r="I20" i="81"/>
  <c r="H24" i="80"/>
  <c r="I20" i="80"/>
  <c r="G32" i="81"/>
  <c r="G40" i="81"/>
  <c r="G33" i="81"/>
  <c r="G68" i="81"/>
  <c r="G72" i="81" s="1"/>
  <c r="G78" i="81" s="1"/>
  <c r="G44" i="81" s="1"/>
  <c r="G46" i="81" s="1"/>
  <c r="G39" i="81"/>
  <c r="G35" i="81"/>
  <c r="K35" i="80"/>
  <c r="K40" i="80"/>
  <c r="K68" i="80"/>
  <c r="K72" i="80" s="1"/>
  <c r="K78" i="80" s="1"/>
  <c r="K33" i="80"/>
  <c r="K32" i="80"/>
  <c r="K39" i="80"/>
  <c r="J82" i="79"/>
  <c r="G68" i="40"/>
  <c r="G72" i="40" s="1"/>
  <c r="G78" i="40" s="1"/>
  <c r="G39" i="40"/>
  <c r="G85" i="40" s="1"/>
  <c r="M20" i="80"/>
  <c r="L24" i="80"/>
  <c r="F82" i="79"/>
  <c r="K33" i="79"/>
  <c r="K35" i="79"/>
  <c r="K32" i="79"/>
  <c r="K39" i="79"/>
  <c r="K40" i="79"/>
  <c r="K68" i="79"/>
  <c r="K72" i="79" s="1"/>
  <c r="K78" i="79" s="1"/>
  <c r="J82" i="80"/>
  <c r="K35" i="81"/>
  <c r="K39" i="81"/>
  <c r="K33" i="81"/>
  <c r="K32" i="81"/>
  <c r="K68" i="81"/>
  <c r="K72" i="81" s="1"/>
  <c r="K78" i="81" s="1"/>
  <c r="K40" i="81"/>
  <c r="L24" i="79"/>
  <c r="M20" i="79"/>
  <c r="J82" i="81"/>
  <c r="H24" i="79"/>
  <c r="I20" i="79"/>
  <c r="L24" i="81"/>
  <c r="M20" i="81"/>
  <c r="F82" i="81"/>
  <c r="G32" i="80"/>
  <c r="G82" i="80" s="1"/>
  <c r="G35" i="80"/>
  <c r="G40" i="80"/>
  <c r="G39" i="80"/>
  <c r="G68" i="80"/>
  <c r="G72" i="80" s="1"/>
  <c r="G78" i="80" s="1"/>
  <c r="G44" i="80" s="1"/>
  <c r="G46" i="80" s="1"/>
  <c r="G33" i="80"/>
  <c r="G33" i="79"/>
  <c r="G32" i="79"/>
  <c r="G39" i="79"/>
  <c r="G35" i="79"/>
  <c r="G40" i="79"/>
  <c r="G68" i="79"/>
  <c r="G72" i="79" s="1"/>
  <c r="G78" i="79" s="1"/>
  <c r="G44" i="79" s="1"/>
  <c r="G46" i="79" s="1"/>
  <c r="J72" i="64"/>
  <c r="J78" i="64" s="1"/>
  <c r="G36" i="69"/>
  <c r="G37" i="69"/>
  <c r="G32" i="69"/>
  <c r="G29" i="69"/>
  <c r="G65" i="69"/>
  <c r="G69" i="69" s="1"/>
  <c r="G75" i="69" s="1"/>
  <c r="G41" i="69" s="1"/>
  <c r="G43" i="69" s="1"/>
  <c r="G30" i="69"/>
  <c r="F72" i="40"/>
  <c r="F78" i="40" s="1"/>
  <c r="F44" i="40" s="1"/>
  <c r="F46" i="40" s="1"/>
  <c r="F72" i="64"/>
  <c r="F78" i="64" s="1"/>
  <c r="F44" i="64" s="1"/>
  <c r="F46" i="64" s="1"/>
  <c r="I23" i="75"/>
  <c r="M23" i="71"/>
  <c r="K37" i="69"/>
  <c r="K32" i="69"/>
  <c r="K65" i="69"/>
  <c r="K69" i="69" s="1"/>
  <c r="K75" i="69" s="1"/>
  <c r="K29" i="69"/>
  <c r="K30" i="69"/>
  <c r="K36" i="69"/>
  <c r="J72" i="39"/>
  <c r="J78" i="39" s="1"/>
  <c r="J72" i="63"/>
  <c r="J78" i="63" s="1"/>
  <c r="J72" i="75"/>
  <c r="J78" i="75" s="1"/>
  <c r="I23" i="71"/>
  <c r="H21" i="69"/>
  <c r="I17" i="69"/>
  <c r="K40" i="75"/>
  <c r="K33" i="75"/>
  <c r="K32" i="75"/>
  <c r="K82" i="75" s="1"/>
  <c r="K35" i="75"/>
  <c r="K68" i="75"/>
  <c r="K72" i="75" s="1"/>
  <c r="K78" i="75" s="1"/>
  <c r="F72" i="39"/>
  <c r="F78" i="39" s="1"/>
  <c r="F44" i="39" s="1"/>
  <c r="F72" i="63"/>
  <c r="F78" i="63" s="1"/>
  <c r="F44" i="63" s="1"/>
  <c r="K32" i="71"/>
  <c r="K82" i="71" s="1"/>
  <c r="K35" i="71"/>
  <c r="K68" i="71"/>
  <c r="K72" i="71" s="1"/>
  <c r="K78" i="71" s="1"/>
  <c r="K33" i="71"/>
  <c r="K40" i="71"/>
  <c r="M20" i="75"/>
  <c r="L24" i="75"/>
  <c r="L39" i="75" s="1"/>
  <c r="H24" i="75"/>
  <c r="H39" i="75" s="1"/>
  <c r="I20" i="75"/>
  <c r="L24" i="71"/>
  <c r="L39" i="71" s="1"/>
  <c r="M20" i="71"/>
  <c r="G35" i="75"/>
  <c r="G32" i="75"/>
  <c r="G82" i="75" s="1"/>
  <c r="G33" i="75"/>
  <c r="G68" i="75"/>
  <c r="G72" i="75" s="1"/>
  <c r="G78" i="75" s="1"/>
  <c r="G40" i="75"/>
  <c r="G33" i="71"/>
  <c r="G32" i="71"/>
  <c r="G82" i="71" s="1"/>
  <c r="G35" i="71"/>
  <c r="G68" i="71"/>
  <c r="G72" i="71" s="1"/>
  <c r="G78" i="71" s="1"/>
  <c r="G44" i="71" s="1"/>
  <c r="G46" i="71" s="1"/>
  <c r="G40" i="71"/>
  <c r="F72" i="50"/>
  <c r="F78" i="50" s="1"/>
  <c r="F44" i="50" s="1"/>
  <c r="J72" i="40"/>
  <c r="J78" i="40" s="1"/>
  <c r="J72" i="65"/>
  <c r="J78" i="65" s="1"/>
  <c r="F72" i="65"/>
  <c r="F78" i="65" s="1"/>
  <c r="F44" i="65" s="1"/>
  <c r="F46" i="65" s="1"/>
  <c r="M23" i="75"/>
  <c r="L21" i="69"/>
  <c r="M17" i="69"/>
  <c r="I20" i="71"/>
  <c r="H24" i="71"/>
  <c r="H39" i="71" s="1"/>
  <c r="H24" i="64"/>
  <c r="I20" i="64"/>
  <c r="K35" i="63"/>
  <c r="K32" i="63"/>
  <c r="K82" i="63" s="1"/>
  <c r="K68" i="63"/>
  <c r="K72" i="63" s="1"/>
  <c r="K78" i="63" s="1"/>
  <c r="K40" i="63"/>
  <c r="K33" i="63"/>
  <c r="K39" i="63"/>
  <c r="K85" i="63" s="1"/>
  <c r="K39" i="64"/>
  <c r="K85" i="64" s="1"/>
  <c r="K35" i="64"/>
  <c r="K68" i="64"/>
  <c r="K72" i="64" s="1"/>
  <c r="K78" i="64" s="1"/>
  <c r="K40" i="64"/>
  <c r="K33" i="64"/>
  <c r="K32" i="64"/>
  <c r="K82" i="64" s="1"/>
  <c r="G68" i="63"/>
  <c r="G72" i="63" s="1"/>
  <c r="G78" i="63" s="1"/>
  <c r="G32" i="63"/>
  <c r="G82" i="63" s="1"/>
  <c r="G40" i="63"/>
  <c r="G39" i="63"/>
  <c r="G85" i="63" s="1"/>
  <c r="G33" i="63"/>
  <c r="G35" i="63"/>
  <c r="L24" i="64"/>
  <c r="M20" i="64"/>
  <c r="H24" i="63"/>
  <c r="I20" i="63"/>
  <c r="H24" i="65"/>
  <c r="H39" i="65" s="1"/>
  <c r="I20" i="65"/>
  <c r="M23" i="65"/>
  <c r="K32" i="65"/>
  <c r="K82" i="65" s="1"/>
  <c r="K35" i="65"/>
  <c r="K33" i="65"/>
  <c r="K68" i="65"/>
  <c r="K72" i="65" s="1"/>
  <c r="K78" i="65" s="1"/>
  <c r="K40" i="65"/>
  <c r="G35" i="65"/>
  <c r="G40" i="65"/>
  <c r="G32" i="65"/>
  <c r="G82" i="65" s="1"/>
  <c r="G33" i="65"/>
  <c r="G68" i="65"/>
  <c r="G72" i="65" s="1"/>
  <c r="G78" i="65" s="1"/>
  <c r="G44" i="65" s="1"/>
  <c r="G46" i="65" s="1"/>
  <c r="L24" i="63"/>
  <c r="M20" i="63"/>
  <c r="M20" i="65"/>
  <c r="L24" i="65"/>
  <c r="L39" i="65" s="1"/>
  <c r="I23" i="65"/>
  <c r="G32" i="64"/>
  <c r="G82" i="64" s="1"/>
  <c r="G39" i="64"/>
  <c r="G85" i="64" s="1"/>
  <c r="G40" i="64"/>
  <c r="G33" i="64"/>
  <c r="G68" i="64"/>
  <c r="G72" i="64" s="1"/>
  <c r="G78" i="64" s="1"/>
  <c r="G35" i="64"/>
  <c r="G35" i="39"/>
  <c r="G33" i="50"/>
  <c r="K35" i="40"/>
  <c r="K39" i="39"/>
  <c r="K35" i="39"/>
  <c r="G35" i="40"/>
  <c r="G32" i="40"/>
  <c r="G82" i="40" s="1"/>
  <c r="G33" i="40"/>
  <c r="G40" i="40"/>
  <c r="J31" i="39"/>
  <c r="G68" i="39"/>
  <c r="G72" i="39" s="1"/>
  <c r="G78" i="39" s="1"/>
  <c r="G39" i="39"/>
  <c r="G40" i="39"/>
  <c r="G33" i="39"/>
  <c r="K68" i="40"/>
  <c r="K72" i="40" s="1"/>
  <c r="K78" i="40" s="1"/>
  <c r="K32" i="40"/>
  <c r="K82" i="40" s="1"/>
  <c r="K40" i="40"/>
  <c r="K33" i="40"/>
  <c r="G32" i="39"/>
  <c r="G44" i="43"/>
  <c r="G46" i="43" s="1"/>
  <c r="M20" i="40"/>
  <c r="L24" i="40"/>
  <c r="L39" i="40" s="1"/>
  <c r="L85" i="40" s="1"/>
  <c r="I20" i="39"/>
  <c r="H24" i="39"/>
  <c r="M20" i="39"/>
  <c r="L24" i="39"/>
  <c r="K33" i="39"/>
  <c r="K68" i="39"/>
  <c r="K72" i="39" s="1"/>
  <c r="K78" i="39" s="1"/>
  <c r="K40" i="39"/>
  <c r="K32" i="39"/>
  <c r="I20" i="50"/>
  <c r="H24" i="50"/>
  <c r="H39" i="50" s="1"/>
  <c r="I20" i="40"/>
  <c r="H24" i="40"/>
  <c r="H39" i="40" s="1"/>
  <c r="H85" i="40" s="1"/>
  <c r="J79" i="69"/>
  <c r="J82" i="69"/>
  <c r="J83" i="69"/>
  <c r="F79" i="69"/>
  <c r="F83" i="69"/>
  <c r="F82" i="69"/>
  <c r="G68" i="50"/>
  <c r="G72" i="50" s="1"/>
  <c r="G78" i="50" s="1"/>
  <c r="G32" i="50"/>
  <c r="G82" i="50" s="1"/>
  <c r="G35" i="50"/>
  <c r="G40" i="50"/>
  <c r="H44" i="43"/>
  <c r="H46" i="43" s="1"/>
  <c r="F46" i="43"/>
  <c r="I32" i="43"/>
  <c r="I82" i="43" s="1"/>
  <c r="H41" i="43"/>
  <c r="H82" i="43"/>
  <c r="I36" i="43"/>
  <c r="J24" i="43"/>
  <c r="I68" i="43"/>
  <c r="I72" i="43" s="1"/>
  <c r="I78" i="43" s="1"/>
  <c r="I38" i="43"/>
  <c r="I34" i="43"/>
  <c r="I40" i="43"/>
  <c r="F82" i="43"/>
  <c r="F41" i="43"/>
  <c r="I33" i="43"/>
  <c r="I35" i="43"/>
  <c r="G82" i="43"/>
  <c r="G41" i="43"/>
  <c r="L40" i="82" l="1"/>
  <c r="L39" i="82"/>
  <c r="L35" i="82"/>
  <c r="L68" i="82"/>
  <c r="L72" i="82" s="1"/>
  <c r="L78" i="82" s="1"/>
  <c r="L32" i="82"/>
  <c r="L33" i="82"/>
  <c r="K82" i="82"/>
  <c r="H32" i="82"/>
  <c r="H39" i="82"/>
  <c r="H68" i="82"/>
  <c r="H72" i="82" s="1"/>
  <c r="H78" i="82" s="1"/>
  <c r="H44" i="82" s="1"/>
  <c r="H46" i="82" s="1"/>
  <c r="H35" i="82"/>
  <c r="H33" i="82"/>
  <c r="H40" i="82"/>
  <c r="G44" i="82"/>
  <c r="G46" i="82" s="1"/>
  <c r="M24" i="82"/>
  <c r="I24" i="82"/>
  <c r="F46" i="82"/>
  <c r="G44" i="64"/>
  <c r="G46" i="64" s="1"/>
  <c r="G82" i="82"/>
  <c r="G44" i="75"/>
  <c r="G46" i="75" s="1"/>
  <c r="F46" i="63"/>
  <c r="F46" i="39"/>
  <c r="G44" i="40"/>
  <c r="G46" i="40" s="1"/>
  <c r="G44" i="63"/>
  <c r="G46" i="63" s="1"/>
  <c r="F46" i="50"/>
  <c r="M24" i="81"/>
  <c r="K82" i="80"/>
  <c r="G82" i="39"/>
  <c r="G79" i="69" s="1"/>
  <c r="L33" i="81"/>
  <c r="L35" i="81"/>
  <c r="L32" i="81"/>
  <c r="L40" i="81"/>
  <c r="L39" i="81"/>
  <c r="L68" i="81"/>
  <c r="L72" i="81" s="1"/>
  <c r="L78" i="81" s="1"/>
  <c r="L32" i="79"/>
  <c r="L33" i="79"/>
  <c r="L39" i="79"/>
  <c r="L35" i="79"/>
  <c r="L40" i="79"/>
  <c r="L68" i="79"/>
  <c r="L72" i="79" s="1"/>
  <c r="L78" i="79" s="1"/>
  <c r="K82" i="79"/>
  <c r="I24" i="80"/>
  <c r="I24" i="81"/>
  <c r="M24" i="79"/>
  <c r="K82" i="81"/>
  <c r="L40" i="80"/>
  <c r="L39" i="80"/>
  <c r="L35" i="80"/>
  <c r="L33" i="80"/>
  <c r="L68" i="80"/>
  <c r="L72" i="80" s="1"/>
  <c r="L78" i="80" s="1"/>
  <c r="L32" i="80"/>
  <c r="K82" i="39"/>
  <c r="K79" i="69" s="1"/>
  <c r="M24" i="80"/>
  <c r="G82" i="81"/>
  <c r="I24" i="79"/>
  <c r="H35" i="80"/>
  <c r="H40" i="80"/>
  <c r="H33" i="80"/>
  <c r="H39" i="80"/>
  <c r="H68" i="80"/>
  <c r="H72" i="80" s="1"/>
  <c r="H78" i="80" s="1"/>
  <c r="H44" i="80" s="1"/>
  <c r="H32" i="80"/>
  <c r="H33" i="81"/>
  <c r="H32" i="81"/>
  <c r="H68" i="81"/>
  <c r="H72" i="81" s="1"/>
  <c r="H78" i="81" s="1"/>
  <c r="H44" i="81" s="1"/>
  <c r="H46" i="81" s="1"/>
  <c r="H40" i="81"/>
  <c r="H35" i="81"/>
  <c r="H39" i="81"/>
  <c r="G83" i="69"/>
  <c r="G85" i="39"/>
  <c r="G82" i="69" s="1"/>
  <c r="G44" i="50"/>
  <c r="G46" i="50" s="1"/>
  <c r="H39" i="79"/>
  <c r="H35" i="79"/>
  <c r="H32" i="79"/>
  <c r="H68" i="79"/>
  <c r="H72" i="79" s="1"/>
  <c r="H78" i="79" s="1"/>
  <c r="H44" i="79" s="1"/>
  <c r="H46" i="79" s="1"/>
  <c r="H33" i="79"/>
  <c r="H40" i="79"/>
  <c r="G44" i="39"/>
  <c r="G46" i="39" s="1"/>
  <c r="K83" i="69"/>
  <c r="K85" i="39"/>
  <c r="K82" i="69" s="1"/>
  <c r="G82" i="79"/>
  <c r="M24" i="71"/>
  <c r="M39" i="71" s="1"/>
  <c r="M24" i="75"/>
  <c r="M39" i="75" s="1"/>
  <c r="I24" i="71"/>
  <c r="I39" i="71" s="1"/>
  <c r="L68" i="71"/>
  <c r="L72" i="71" s="1"/>
  <c r="L78" i="71" s="1"/>
  <c r="L35" i="71"/>
  <c r="L33" i="71"/>
  <c r="L40" i="71"/>
  <c r="L32" i="71"/>
  <c r="L82" i="71" s="1"/>
  <c r="I21" i="69"/>
  <c r="I24" i="75"/>
  <c r="I39" i="75" s="1"/>
  <c r="H30" i="69"/>
  <c r="H32" i="69"/>
  <c r="H29" i="69"/>
  <c r="H65" i="69"/>
  <c r="H69" i="69" s="1"/>
  <c r="H75" i="69" s="1"/>
  <c r="H41" i="69" s="1"/>
  <c r="H43" i="69" s="1"/>
  <c r="H37" i="69"/>
  <c r="H36" i="69"/>
  <c r="M21" i="69"/>
  <c r="L32" i="69"/>
  <c r="L36" i="69"/>
  <c r="L29" i="69"/>
  <c r="L37" i="69"/>
  <c r="L30" i="69"/>
  <c r="L65" i="69"/>
  <c r="L69" i="69" s="1"/>
  <c r="L75" i="69" s="1"/>
  <c r="H35" i="75"/>
  <c r="H40" i="75"/>
  <c r="H68" i="75"/>
  <c r="H72" i="75" s="1"/>
  <c r="H78" i="75" s="1"/>
  <c r="H44" i="75" s="1"/>
  <c r="H32" i="75"/>
  <c r="H82" i="75" s="1"/>
  <c r="H33" i="75"/>
  <c r="H40" i="71"/>
  <c r="H33" i="71"/>
  <c r="H32" i="71"/>
  <c r="H82" i="71" s="1"/>
  <c r="H68" i="71"/>
  <c r="H72" i="71" s="1"/>
  <c r="H78" i="71" s="1"/>
  <c r="H44" i="71" s="1"/>
  <c r="H46" i="71" s="1"/>
  <c r="H35" i="71"/>
  <c r="L68" i="75"/>
  <c r="L40" i="75"/>
  <c r="L35" i="75"/>
  <c r="L33" i="75"/>
  <c r="L32" i="75"/>
  <c r="L82" i="75" s="1"/>
  <c r="H33" i="63"/>
  <c r="H68" i="63"/>
  <c r="H72" i="63" s="1"/>
  <c r="H78" i="63" s="1"/>
  <c r="H44" i="63" s="1"/>
  <c r="H40" i="63"/>
  <c r="H39" i="63"/>
  <c r="H85" i="63" s="1"/>
  <c r="H32" i="63"/>
  <c r="H82" i="63" s="1"/>
  <c r="H35" i="63"/>
  <c r="M24" i="63"/>
  <c r="L40" i="65"/>
  <c r="L32" i="65"/>
  <c r="L82" i="65" s="1"/>
  <c r="L35" i="65"/>
  <c r="L33" i="65"/>
  <c r="L68" i="65"/>
  <c r="L35" i="63"/>
  <c r="L39" i="63"/>
  <c r="L85" i="63" s="1"/>
  <c r="L68" i="63"/>
  <c r="L40" i="63"/>
  <c r="L32" i="63"/>
  <c r="L82" i="63" s="1"/>
  <c r="L33" i="63"/>
  <c r="M24" i="65"/>
  <c r="M39" i="65" s="1"/>
  <c r="M24" i="64"/>
  <c r="I24" i="64"/>
  <c r="I24" i="65"/>
  <c r="I39" i="65" s="1"/>
  <c r="L68" i="64"/>
  <c r="L72" i="64" s="1"/>
  <c r="L78" i="64" s="1"/>
  <c r="L35" i="64"/>
  <c r="L33" i="64"/>
  <c r="L32" i="64"/>
  <c r="L82" i="64" s="1"/>
  <c r="L40" i="64"/>
  <c r="L39" i="64"/>
  <c r="L85" i="64" s="1"/>
  <c r="H33" i="64"/>
  <c r="H40" i="64"/>
  <c r="H68" i="64"/>
  <c r="H72" i="64" s="1"/>
  <c r="H78" i="64" s="1"/>
  <c r="H44" i="64" s="1"/>
  <c r="H39" i="64"/>
  <c r="H85" i="64" s="1"/>
  <c r="H32" i="64"/>
  <c r="H82" i="64" s="1"/>
  <c r="H35" i="64"/>
  <c r="I24" i="63"/>
  <c r="H33" i="65"/>
  <c r="H40" i="65"/>
  <c r="H32" i="65"/>
  <c r="H82" i="65" s="1"/>
  <c r="H68" i="65"/>
  <c r="H35" i="65"/>
  <c r="L35" i="40"/>
  <c r="H35" i="40"/>
  <c r="L35" i="39"/>
  <c r="H35" i="39"/>
  <c r="K31" i="39"/>
  <c r="I24" i="39"/>
  <c r="M24" i="39"/>
  <c r="H40" i="40"/>
  <c r="H32" i="40"/>
  <c r="H82" i="40" s="1"/>
  <c r="H68" i="40"/>
  <c r="H33" i="40"/>
  <c r="L33" i="40"/>
  <c r="L40" i="40"/>
  <c r="L32" i="40"/>
  <c r="L82" i="40" s="1"/>
  <c r="L68" i="40"/>
  <c r="L72" i="40" s="1"/>
  <c r="L78" i="40" s="1"/>
  <c r="I24" i="40"/>
  <c r="I39" i="40" s="1"/>
  <c r="I85" i="40" s="1"/>
  <c r="M24" i="40"/>
  <c r="M39" i="40" s="1"/>
  <c r="M85" i="40" s="1"/>
  <c r="L39" i="39"/>
  <c r="L85" i="39" s="1"/>
  <c r="L32" i="39"/>
  <c r="L82" i="39" s="1"/>
  <c r="L40" i="39"/>
  <c r="L68" i="39"/>
  <c r="L72" i="39" s="1"/>
  <c r="L78" i="39" s="1"/>
  <c r="L33" i="39"/>
  <c r="I24" i="50"/>
  <c r="I39" i="50" s="1"/>
  <c r="H40" i="39"/>
  <c r="H33" i="39"/>
  <c r="H39" i="39"/>
  <c r="H85" i="39" s="1"/>
  <c r="H32" i="39"/>
  <c r="H82" i="39" s="1"/>
  <c r="H68" i="39"/>
  <c r="H72" i="39" s="1"/>
  <c r="H78" i="39" s="1"/>
  <c r="H44" i="39" s="1"/>
  <c r="H46" i="39" s="1"/>
  <c r="H68" i="50"/>
  <c r="H72" i="50" s="1"/>
  <c r="H78" i="50" s="1"/>
  <c r="H44" i="50" s="1"/>
  <c r="H33" i="50"/>
  <c r="H40" i="50"/>
  <c r="H32" i="50"/>
  <c r="H82" i="50" s="1"/>
  <c r="H35" i="50"/>
  <c r="I44" i="43"/>
  <c r="I46" i="43" s="1"/>
  <c r="I41" i="43"/>
  <c r="J37" i="43"/>
  <c r="J38" i="43"/>
  <c r="J40" i="43"/>
  <c r="J34" i="43"/>
  <c r="J35" i="43"/>
  <c r="J33" i="43"/>
  <c r="J36" i="43"/>
  <c r="J32" i="43"/>
  <c r="J68" i="43"/>
  <c r="J72" i="43" s="1"/>
  <c r="J78" i="43" s="1"/>
  <c r="K24" i="43"/>
  <c r="L82" i="82" l="1"/>
  <c r="H82" i="82"/>
  <c r="I68" i="82"/>
  <c r="I33" i="82"/>
  <c r="I35" i="82"/>
  <c r="I39" i="82"/>
  <c r="I40" i="82"/>
  <c r="I32" i="82"/>
  <c r="M39" i="82"/>
  <c r="M32" i="82"/>
  <c r="M35" i="82"/>
  <c r="M33" i="82"/>
  <c r="M68" i="82"/>
  <c r="M72" i="82" s="1"/>
  <c r="M78" i="82" s="1"/>
  <c r="M40" i="82"/>
  <c r="H46" i="75"/>
  <c r="H46" i="80"/>
  <c r="M32" i="80"/>
  <c r="M40" i="80"/>
  <c r="M33" i="80"/>
  <c r="M35" i="80"/>
  <c r="M39" i="80"/>
  <c r="M68" i="80"/>
  <c r="M72" i="80" s="1"/>
  <c r="M78" i="80" s="1"/>
  <c r="I35" i="80"/>
  <c r="I33" i="80"/>
  <c r="I32" i="80"/>
  <c r="I40" i="80"/>
  <c r="I39" i="80"/>
  <c r="I68" i="80"/>
  <c r="I72" i="80" s="1"/>
  <c r="I78" i="80" s="1"/>
  <c r="M40" i="79"/>
  <c r="M33" i="79"/>
  <c r="M39" i="79"/>
  <c r="M68" i="79"/>
  <c r="M72" i="79" s="1"/>
  <c r="M78" i="79" s="1"/>
  <c r="M32" i="79"/>
  <c r="M35" i="79"/>
  <c r="I40" i="79"/>
  <c r="I33" i="79"/>
  <c r="I32" i="79"/>
  <c r="I68" i="79"/>
  <c r="I72" i="79" s="1"/>
  <c r="I78" i="79" s="1"/>
  <c r="I35" i="79"/>
  <c r="I39" i="79"/>
  <c r="L82" i="81"/>
  <c r="H82" i="81"/>
  <c r="H82" i="79"/>
  <c r="L82" i="79"/>
  <c r="I39" i="81"/>
  <c r="I32" i="81"/>
  <c r="I33" i="81"/>
  <c r="I68" i="81"/>
  <c r="I72" i="81" s="1"/>
  <c r="I78" i="81" s="1"/>
  <c r="I44" i="81" s="1"/>
  <c r="I40" i="81"/>
  <c r="I35" i="81"/>
  <c r="H82" i="80"/>
  <c r="L82" i="80"/>
  <c r="M33" i="81"/>
  <c r="M32" i="81"/>
  <c r="M68" i="81"/>
  <c r="M72" i="81" s="1"/>
  <c r="M78" i="81" s="1"/>
  <c r="M35" i="81"/>
  <c r="M39" i="81"/>
  <c r="M40" i="81"/>
  <c r="L72" i="65"/>
  <c r="L78" i="65" s="1"/>
  <c r="I40" i="75"/>
  <c r="I35" i="75"/>
  <c r="I32" i="75"/>
  <c r="I82" i="75" s="1"/>
  <c r="I68" i="75"/>
  <c r="I72" i="75" s="1"/>
  <c r="I78" i="75" s="1"/>
  <c r="I44" i="75" s="1"/>
  <c r="I33" i="75"/>
  <c r="I32" i="69"/>
  <c r="I36" i="69"/>
  <c r="I29" i="69"/>
  <c r="I65" i="69"/>
  <c r="I69" i="69" s="1"/>
  <c r="I75" i="69" s="1"/>
  <c r="I37" i="69"/>
  <c r="I30" i="69"/>
  <c r="M68" i="71"/>
  <c r="M72" i="71" s="1"/>
  <c r="M78" i="71" s="1"/>
  <c r="M35" i="71"/>
  <c r="M33" i="71"/>
  <c r="M32" i="71"/>
  <c r="M82" i="71" s="1"/>
  <c r="M40" i="71"/>
  <c r="M35" i="75"/>
  <c r="M68" i="75"/>
  <c r="M72" i="75" s="1"/>
  <c r="M78" i="75" s="1"/>
  <c r="M32" i="75"/>
  <c r="M82" i="75" s="1"/>
  <c r="M33" i="75"/>
  <c r="M40" i="75"/>
  <c r="L72" i="63"/>
  <c r="L78" i="63" s="1"/>
  <c r="H72" i="40"/>
  <c r="H78" i="40" s="1"/>
  <c r="H44" i="40" s="1"/>
  <c r="H72" i="65"/>
  <c r="H78" i="65" s="1"/>
  <c r="H44" i="65" s="1"/>
  <c r="H46" i="65" s="1"/>
  <c r="L72" i="75"/>
  <c r="L78" i="75" s="1"/>
  <c r="M65" i="69"/>
  <c r="M69" i="69" s="1"/>
  <c r="M75" i="69" s="1"/>
  <c r="M29" i="69"/>
  <c r="M30" i="69"/>
  <c r="M36" i="69"/>
  <c r="M37" i="69"/>
  <c r="M32" i="69"/>
  <c r="I40" i="71"/>
  <c r="I32" i="71"/>
  <c r="I82" i="71" s="1"/>
  <c r="I35" i="71"/>
  <c r="I33" i="71"/>
  <c r="I68" i="71"/>
  <c r="I72" i="71" s="1"/>
  <c r="I78" i="71" s="1"/>
  <c r="M39" i="63"/>
  <c r="M85" i="63" s="1"/>
  <c r="M40" i="63"/>
  <c r="M33" i="63"/>
  <c r="M35" i="63"/>
  <c r="M68" i="63"/>
  <c r="M72" i="63" s="1"/>
  <c r="M78" i="63" s="1"/>
  <c r="M32" i="63"/>
  <c r="M82" i="63" s="1"/>
  <c r="M35" i="64"/>
  <c r="M33" i="64"/>
  <c r="M32" i="64"/>
  <c r="M82" i="64" s="1"/>
  <c r="M68" i="64"/>
  <c r="M72" i="64" s="1"/>
  <c r="M78" i="64" s="1"/>
  <c r="M39" i="64"/>
  <c r="M85" i="64" s="1"/>
  <c r="M40" i="64"/>
  <c r="I68" i="64"/>
  <c r="I35" i="64"/>
  <c r="I32" i="64"/>
  <c r="I82" i="64" s="1"/>
  <c r="I40" i="64"/>
  <c r="I33" i="64"/>
  <c r="I39" i="64"/>
  <c r="I85" i="64" s="1"/>
  <c r="I68" i="65"/>
  <c r="I72" i="65" s="1"/>
  <c r="I78" i="65" s="1"/>
  <c r="I33" i="65"/>
  <c r="I35" i="65"/>
  <c r="I32" i="65"/>
  <c r="I82" i="65" s="1"/>
  <c r="I40" i="65"/>
  <c r="M32" i="65"/>
  <c r="M82" i="65" s="1"/>
  <c r="M40" i="65"/>
  <c r="M35" i="65"/>
  <c r="M33" i="65"/>
  <c r="M68" i="65"/>
  <c r="M72" i="65" s="1"/>
  <c r="M78" i="65" s="1"/>
  <c r="I33" i="63"/>
  <c r="I68" i="63"/>
  <c r="I72" i="63" s="1"/>
  <c r="I78" i="63" s="1"/>
  <c r="I32" i="63"/>
  <c r="I82" i="63" s="1"/>
  <c r="I39" i="63"/>
  <c r="I85" i="63" s="1"/>
  <c r="I35" i="63"/>
  <c r="I40" i="63"/>
  <c r="H46" i="63"/>
  <c r="H46" i="64"/>
  <c r="I35" i="40"/>
  <c r="M35" i="39"/>
  <c r="I35" i="39"/>
  <c r="M35" i="40"/>
  <c r="L31" i="39"/>
  <c r="M33" i="40"/>
  <c r="M40" i="40"/>
  <c r="M32" i="40"/>
  <c r="M82" i="40" s="1"/>
  <c r="M68" i="40"/>
  <c r="M72" i="40" s="1"/>
  <c r="M78" i="40" s="1"/>
  <c r="M39" i="39"/>
  <c r="M85" i="39" s="1"/>
  <c r="M32" i="39"/>
  <c r="M82" i="39" s="1"/>
  <c r="M40" i="39"/>
  <c r="M68" i="39"/>
  <c r="M33" i="39"/>
  <c r="L79" i="69"/>
  <c r="H79" i="69"/>
  <c r="L82" i="69"/>
  <c r="L83" i="69"/>
  <c r="H83" i="69"/>
  <c r="H82" i="69"/>
  <c r="I39" i="39"/>
  <c r="I85" i="39" s="1"/>
  <c r="I32" i="39"/>
  <c r="I82" i="39" s="1"/>
  <c r="I40" i="39"/>
  <c r="I68" i="39"/>
  <c r="I72" i="39" s="1"/>
  <c r="I78" i="39" s="1"/>
  <c r="I33" i="39"/>
  <c r="I33" i="40"/>
  <c r="I40" i="40"/>
  <c r="I32" i="40"/>
  <c r="I82" i="40" s="1"/>
  <c r="I68" i="40"/>
  <c r="I72" i="40" s="1"/>
  <c r="I78" i="40" s="1"/>
  <c r="H46" i="50"/>
  <c r="J24" i="50"/>
  <c r="J39" i="50" s="1"/>
  <c r="I40" i="50"/>
  <c r="I35" i="50"/>
  <c r="I68" i="50"/>
  <c r="I72" i="50" s="1"/>
  <c r="I78" i="50" s="1"/>
  <c r="I44" i="50" s="1"/>
  <c r="I33" i="50"/>
  <c r="I32" i="50"/>
  <c r="I82" i="50" s="1"/>
  <c r="J44" i="43"/>
  <c r="J46" i="43" s="1"/>
  <c r="L24" i="43"/>
  <c r="K37" i="43"/>
  <c r="K34" i="43"/>
  <c r="K68" i="43"/>
  <c r="K72" i="43" s="1"/>
  <c r="K78" i="43" s="1"/>
  <c r="K35" i="43"/>
  <c r="K36" i="43"/>
  <c r="K32" i="43"/>
  <c r="K40" i="43"/>
  <c r="K33" i="43"/>
  <c r="K38" i="43"/>
  <c r="J82" i="43"/>
  <c r="J41" i="43"/>
  <c r="M44" i="75" l="1"/>
  <c r="J44" i="75"/>
  <c r="K44" i="75"/>
  <c r="I82" i="82"/>
  <c r="L44" i="75"/>
  <c r="M82" i="82"/>
  <c r="I72" i="82"/>
  <c r="I78" i="82" s="1"/>
  <c r="H46" i="40"/>
  <c r="C46" i="85"/>
  <c r="C40" i="85"/>
  <c r="I82" i="80"/>
  <c r="M82" i="81"/>
  <c r="M44" i="81"/>
  <c r="M46" i="81" s="1"/>
  <c r="I82" i="79"/>
  <c r="I44" i="80"/>
  <c r="M82" i="79"/>
  <c r="M82" i="80"/>
  <c r="J44" i="81"/>
  <c r="I46" i="81"/>
  <c r="K44" i="81"/>
  <c r="K46" i="81" s="1"/>
  <c r="I82" i="81"/>
  <c r="L44" i="81"/>
  <c r="L46" i="81" s="1"/>
  <c r="I44" i="65"/>
  <c r="K44" i="65" s="1"/>
  <c r="K46" i="65" s="1"/>
  <c r="I44" i="79"/>
  <c r="C26" i="85" s="1"/>
  <c r="M72" i="39"/>
  <c r="M78" i="39" s="1"/>
  <c r="I72" i="64"/>
  <c r="I78" i="64" s="1"/>
  <c r="I44" i="64" s="1"/>
  <c r="C20" i="85" s="1"/>
  <c r="I44" i="71"/>
  <c r="C42" i="85" s="1"/>
  <c r="I41" i="69"/>
  <c r="M41" i="69" s="1"/>
  <c r="M43" i="69" s="1"/>
  <c r="I44" i="63"/>
  <c r="C22" i="85" s="1"/>
  <c r="M31" i="39"/>
  <c r="I44" i="40"/>
  <c r="C36" i="85" s="1"/>
  <c r="I79" i="69"/>
  <c r="M79" i="69"/>
  <c r="M83" i="69"/>
  <c r="M82" i="69"/>
  <c r="I83" i="69"/>
  <c r="I82" i="69"/>
  <c r="I44" i="39"/>
  <c r="C38" i="85" s="1"/>
  <c r="I46" i="50"/>
  <c r="J33" i="50"/>
  <c r="J40" i="50"/>
  <c r="J35" i="50"/>
  <c r="J32" i="50"/>
  <c r="J82" i="50" s="1"/>
  <c r="J68" i="50"/>
  <c r="K24" i="50"/>
  <c r="K39" i="50" s="1"/>
  <c r="K44" i="43"/>
  <c r="K46" i="43" s="1"/>
  <c r="K82" i="43"/>
  <c r="K41" i="43"/>
  <c r="L37" i="43"/>
  <c r="L36" i="43"/>
  <c r="L32" i="43"/>
  <c r="L40" i="43"/>
  <c r="L33" i="43"/>
  <c r="L38" i="43"/>
  <c r="L68" i="43"/>
  <c r="L72" i="43" s="1"/>
  <c r="L78" i="43" s="1"/>
  <c r="L34" i="43"/>
  <c r="L35" i="43"/>
  <c r="M24" i="43"/>
  <c r="I44" i="82" l="1"/>
  <c r="J44" i="82" s="1"/>
  <c r="J41" i="69"/>
  <c r="J43" i="69" s="1"/>
  <c r="S36" i="85"/>
  <c r="G36" i="85"/>
  <c r="M36" i="85" s="1"/>
  <c r="G40" i="85"/>
  <c r="M40" i="85" s="1"/>
  <c r="S40" i="85"/>
  <c r="R40" i="85" s="1"/>
  <c r="J46" i="81"/>
  <c r="C47" i="85"/>
  <c r="C24" i="85"/>
  <c r="G46" i="85"/>
  <c r="M46" i="85" s="1"/>
  <c r="S46" i="85"/>
  <c r="R46" i="85" s="1"/>
  <c r="C44" i="85"/>
  <c r="G42" i="85"/>
  <c r="M42" i="85" s="1"/>
  <c r="S42" i="85"/>
  <c r="R42" i="85" s="1"/>
  <c r="S22" i="85"/>
  <c r="R22" i="85" s="1"/>
  <c r="G22" i="85"/>
  <c r="M22" i="85" s="1"/>
  <c r="S38" i="85"/>
  <c r="R38" i="85" s="1"/>
  <c r="G38" i="85"/>
  <c r="M38" i="85" s="1"/>
  <c r="G20" i="85"/>
  <c r="M20" i="85" s="1"/>
  <c r="S20" i="85"/>
  <c r="R20" i="85" s="1"/>
  <c r="S26" i="85"/>
  <c r="R26" i="85" s="1"/>
  <c r="G26" i="85"/>
  <c r="M26" i="85" s="1"/>
  <c r="J44" i="80"/>
  <c r="C28" i="85"/>
  <c r="J44" i="79"/>
  <c r="M44" i="71"/>
  <c r="M46" i="71" s="1"/>
  <c r="M44" i="79"/>
  <c r="M46" i="79" s="1"/>
  <c r="M44" i="65"/>
  <c r="M46" i="65" s="1"/>
  <c r="I46" i="80"/>
  <c r="K44" i="80"/>
  <c r="K46" i="80" s="1"/>
  <c r="L44" i="80"/>
  <c r="L46" i="80" s="1"/>
  <c r="I46" i="65"/>
  <c r="J44" i="65"/>
  <c r="M44" i="80"/>
  <c r="M46" i="80" s="1"/>
  <c r="L44" i="65"/>
  <c r="L46" i="65" s="1"/>
  <c r="I46" i="79"/>
  <c r="K44" i="79"/>
  <c r="K46" i="79" s="1"/>
  <c r="L44" i="79"/>
  <c r="L46" i="79" s="1"/>
  <c r="L46" i="75"/>
  <c r="M46" i="75"/>
  <c r="J44" i="71"/>
  <c r="I46" i="71"/>
  <c r="K44" i="71"/>
  <c r="K46" i="71" s="1"/>
  <c r="L44" i="71"/>
  <c r="L46" i="71" s="1"/>
  <c r="K41" i="69"/>
  <c r="K43" i="69" s="1"/>
  <c r="I43" i="69"/>
  <c r="L41" i="69"/>
  <c r="L43" i="69" s="1"/>
  <c r="I46" i="75"/>
  <c r="K46" i="75"/>
  <c r="J72" i="50"/>
  <c r="J78" i="50" s="1"/>
  <c r="J44" i="50" s="1"/>
  <c r="J44" i="63"/>
  <c r="M44" i="64"/>
  <c r="M46" i="64" s="1"/>
  <c r="J44" i="64"/>
  <c r="I46" i="63"/>
  <c r="K44" i="63"/>
  <c r="K46" i="63" s="1"/>
  <c r="L44" i="63"/>
  <c r="L46" i="63" s="1"/>
  <c r="I46" i="64"/>
  <c r="K44" i="64"/>
  <c r="K46" i="64" s="1"/>
  <c r="L44" i="64"/>
  <c r="L46" i="64" s="1"/>
  <c r="M44" i="63"/>
  <c r="M46" i="63" s="1"/>
  <c r="J44" i="40"/>
  <c r="J44" i="39"/>
  <c r="M44" i="40"/>
  <c r="M46" i="40" s="1"/>
  <c r="M44" i="39"/>
  <c r="M46" i="39" s="1"/>
  <c r="I46" i="39"/>
  <c r="K44" i="39"/>
  <c r="K46" i="39" s="1"/>
  <c r="L44" i="39"/>
  <c r="L46" i="39" s="1"/>
  <c r="K44" i="40"/>
  <c r="K46" i="40" s="1"/>
  <c r="I46" i="40"/>
  <c r="L44" i="40"/>
  <c r="L46" i="40" s="1"/>
  <c r="L24" i="50"/>
  <c r="L39" i="50" s="1"/>
  <c r="K68" i="50"/>
  <c r="K72" i="50" s="1"/>
  <c r="K78" i="50" s="1"/>
  <c r="K32" i="50"/>
  <c r="K82" i="50" s="1"/>
  <c r="K40" i="50"/>
  <c r="K33" i="50"/>
  <c r="K35" i="50"/>
  <c r="L44" i="43"/>
  <c r="L46" i="43" s="1"/>
  <c r="L82" i="43"/>
  <c r="L41" i="43"/>
  <c r="M37" i="43"/>
  <c r="M34" i="43"/>
  <c r="M32" i="43"/>
  <c r="M35" i="43"/>
  <c r="M33" i="43"/>
  <c r="M40" i="43"/>
  <c r="M38" i="43"/>
  <c r="M68" i="43"/>
  <c r="M72" i="43" s="1"/>
  <c r="M78" i="43" s="1"/>
  <c r="M36" i="43"/>
  <c r="I46" i="82" l="1"/>
  <c r="K44" i="82"/>
  <c r="K46" i="82" s="1"/>
  <c r="L44" i="82"/>
  <c r="L46" i="82" s="1"/>
  <c r="C30" i="85"/>
  <c r="M44" i="82"/>
  <c r="M46" i="82" s="1"/>
  <c r="J46" i="82"/>
  <c r="C25" i="85"/>
  <c r="S25" i="85" s="1"/>
  <c r="R25" i="85" s="1"/>
  <c r="C23" i="85"/>
  <c r="S23" i="85" s="1"/>
  <c r="R23" i="85" s="1"/>
  <c r="S44" i="85"/>
  <c r="R44" i="85" s="1"/>
  <c r="G44" i="85"/>
  <c r="M44" i="85" s="1"/>
  <c r="C39" i="85"/>
  <c r="J46" i="65"/>
  <c r="C21" i="85"/>
  <c r="S24" i="85"/>
  <c r="R24" i="85" s="1"/>
  <c r="G24" i="85"/>
  <c r="M24" i="85" s="1"/>
  <c r="J46" i="63"/>
  <c r="J46" i="50"/>
  <c r="S47" i="85"/>
  <c r="R47" i="85" s="1"/>
  <c r="G47" i="85"/>
  <c r="M47" i="85" s="1"/>
  <c r="C37" i="85"/>
  <c r="C43" i="85"/>
  <c r="J46" i="75"/>
  <c r="C45" i="85"/>
  <c r="C27" i="85"/>
  <c r="S28" i="85"/>
  <c r="R28" i="85" s="1"/>
  <c r="G28" i="85"/>
  <c r="M28" i="85" s="1"/>
  <c r="J46" i="80"/>
  <c r="C29" i="85"/>
  <c r="J46" i="71"/>
  <c r="J46" i="79"/>
  <c r="K44" i="50"/>
  <c r="K46" i="50" s="1"/>
  <c r="J46" i="64"/>
  <c r="J46" i="40"/>
  <c r="J46" i="39"/>
  <c r="L33" i="50"/>
  <c r="L40" i="50"/>
  <c r="L68" i="50"/>
  <c r="L72" i="50" s="1"/>
  <c r="L78" i="50" s="1"/>
  <c r="L44" i="50" s="1"/>
  <c r="L35" i="50"/>
  <c r="L32" i="50"/>
  <c r="L82" i="50" s="1"/>
  <c r="M24" i="50"/>
  <c r="M39" i="50" s="1"/>
  <c r="M44" i="43"/>
  <c r="M46" i="43" s="1"/>
  <c r="M82" i="43"/>
  <c r="M41" i="43"/>
  <c r="C31" i="85" l="1"/>
  <c r="S31" i="85" s="1"/>
  <c r="R31" i="85" s="1"/>
  <c r="S30" i="85"/>
  <c r="R30" i="85" s="1"/>
  <c r="G30" i="85"/>
  <c r="M30" i="85" s="1"/>
  <c r="G25" i="85"/>
  <c r="M25" i="85" s="1"/>
  <c r="G23" i="85"/>
  <c r="M23" i="85" s="1"/>
  <c r="G39" i="85"/>
  <c r="M39" i="85" s="1"/>
  <c r="S39" i="85"/>
  <c r="R39" i="85" s="1"/>
  <c r="G21" i="85"/>
  <c r="M21" i="85" s="1"/>
  <c r="S21" i="85"/>
  <c r="R21" i="85" s="1"/>
  <c r="S45" i="85"/>
  <c r="R45" i="85" s="1"/>
  <c r="G45" i="85"/>
  <c r="M45" i="85" s="1"/>
  <c r="G43" i="85"/>
  <c r="M43" i="85" s="1"/>
  <c r="S43" i="85"/>
  <c r="R43" i="85" s="1"/>
  <c r="G37" i="85"/>
  <c r="M37" i="85" s="1"/>
  <c r="S37" i="85"/>
  <c r="R37" i="85" s="1"/>
  <c r="S27" i="85"/>
  <c r="R27" i="85" s="1"/>
  <c r="G27" i="85"/>
  <c r="M27" i="85" s="1"/>
  <c r="S29" i="85"/>
  <c r="R29" i="85" s="1"/>
  <c r="G29" i="85"/>
  <c r="M29" i="85" s="1"/>
  <c r="L46" i="50"/>
  <c r="M40" i="50"/>
  <c r="M32" i="50"/>
  <c r="M82" i="50" s="1"/>
  <c r="M35" i="50"/>
  <c r="M33" i="50"/>
  <c r="M68" i="50"/>
  <c r="M72" i="50" s="1"/>
  <c r="M78" i="50" s="1"/>
  <c r="G31" i="85" l="1"/>
  <c r="M31" i="85" s="1"/>
  <c r="M44" i="50"/>
  <c r="C41" i="85" s="1"/>
  <c r="S41" i="85" l="1"/>
  <c r="R41" i="85" s="1"/>
  <c r="G41" i="85"/>
  <c r="M41" i="85" s="1"/>
  <c r="M46" i="50"/>
  <c r="J21" i="17" l="1"/>
  <c r="K21" i="17"/>
  <c r="M21" i="17"/>
  <c r="N21" i="17"/>
  <c r="O21" i="17"/>
  <c r="R15" i="17" l="1"/>
  <c r="S15" i="17"/>
  <c r="T15" i="17"/>
  <c r="U15" i="17"/>
  <c r="V15" i="17"/>
  <c r="W15" i="17"/>
  <c r="X15" i="17"/>
  <c r="Y15" i="17"/>
  <c r="R16" i="17"/>
  <c r="S16" i="17"/>
  <c r="T16" i="17"/>
  <c r="U16" i="17"/>
  <c r="V16" i="17"/>
  <c r="W16" i="17"/>
  <c r="X16" i="17"/>
  <c r="Y16" i="17"/>
  <c r="R18" i="17"/>
  <c r="S18" i="17"/>
  <c r="T18" i="17"/>
  <c r="U18" i="17"/>
  <c r="V18" i="17"/>
  <c r="W18" i="17"/>
  <c r="X18" i="17"/>
  <c r="Y18" i="17"/>
  <c r="Q20" i="17"/>
  <c r="R20" i="17"/>
  <c r="S20" i="17"/>
  <c r="T20" i="17"/>
  <c r="U20" i="17"/>
  <c r="V20" i="17"/>
  <c r="W20" i="17"/>
  <c r="X20" i="17"/>
  <c r="Y20" i="17"/>
  <c r="S21" i="17"/>
  <c r="T21" i="17"/>
  <c r="U21" i="17"/>
  <c r="V21" i="17"/>
  <c r="W21" i="17"/>
  <c r="X21" i="17"/>
  <c r="Y21" i="17"/>
  <c r="S22" i="17"/>
  <c r="T22" i="17"/>
  <c r="U22" i="17"/>
  <c r="V22" i="17"/>
  <c r="W22" i="17"/>
  <c r="X22" i="17"/>
  <c r="Y22" i="17"/>
  <c r="I36" i="17" l="1"/>
  <c r="J36" i="17"/>
  <c r="K36" i="17"/>
  <c r="L36" i="17"/>
  <c r="M36" i="17"/>
  <c r="N36" i="17"/>
  <c r="O36" i="17"/>
  <c r="H36" i="17"/>
  <c r="I15" i="17"/>
  <c r="J15" i="17"/>
  <c r="K15" i="17"/>
  <c r="L15" i="17"/>
  <c r="M15" i="17"/>
  <c r="N15" i="17"/>
  <c r="O15" i="17"/>
  <c r="H15" i="17"/>
  <c r="B43" i="17" l="1"/>
  <c r="B42" i="17"/>
  <c r="B41" i="17"/>
  <c r="B40" i="17"/>
  <c r="B39" i="17"/>
  <c r="B38" i="17"/>
  <c r="B37" i="17"/>
  <c r="B36" i="17"/>
  <c r="B35" i="17"/>
  <c r="B34" i="17"/>
  <c r="B33" i="17"/>
  <c r="B32" i="17"/>
  <c r="B31" i="17"/>
  <c r="B30" i="17"/>
  <c r="B29" i="17"/>
  <c r="B28" i="17"/>
  <c r="B27" i="17"/>
  <c r="B26" i="17"/>
  <c r="N43" i="17"/>
  <c r="M43" i="17"/>
  <c r="L43" i="17"/>
  <c r="K43" i="17"/>
  <c r="J43" i="17"/>
  <c r="I43" i="17"/>
  <c r="O41" i="17"/>
  <c r="N41" i="17"/>
  <c r="M41" i="17"/>
  <c r="L41" i="17"/>
  <c r="K41" i="17"/>
  <c r="J41" i="17"/>
  <c r="I41" i="17"/>
  <c r="H41" i="17"/>
  <c r="F41" i="17"/>
  <c r="O39" i="17"/>
  <c r="N39" i="17"/>
  <c r="M39" i="17"/>
  <c r="L39" i="17"/>
  <c r="K39" i="17"/>
  <c r="J39" i="17"/>
  <c r="I39" i="17"/>
  <c r="H39" i="17"/>
  <c r="O37" i="17"/>
  <c r="N37" i="17"/>
  <c r="M37" i="17"/>
  <c r="L37" i="17"/>
  <c r="K37" i="17"/>
  <c r="J37" i="17"/>
  <c r="I37" i="17"/>
  <c r="H37" i="17"/>
  <c r="B22" i="17"/>
  <c r="B21" i="17"/>
  <c r="B20" i="17"/>
  <c r="B19" i="17"/>
  <c r="B18" i="17"/>
  <c r="B17" i="17"/>
  <c r="B16" i="17"/>
  <c r="B15" i="17"/>
  <c r="B14" i="17"/>
  <c r="B13" i="17"/>
  <c r="B12" i="17"/>
  <c r="B11" i="17"/>
  <c r="B10" i="17"/>
  <c r="B9" i="17"/>
  <c r="B8" i="17"/>
  <c r="B7" i="17"/>
  <c r="B6" i="17"/>
  <c r="B5" i="17"/>
  <c r="G7" i="82" l="1"/>
  <c r="H7" i="82"/>
  <c r="I6" i="82"/>
  <c r="J6" i="81"/>
  <c r="F7" i="82"/>
  <c r="H6" i="82"/>
  <c r="J5" i="82"/>
  <c r="L4" i="82"/>
  <c r="G7" i="81"/>
  <c r="I6" i="81"/>
  <c r="L5" i="81"/>
  <c r="F4" i="81"/>
  <c r="E7" i="82"/>
  <c r="G6" i="82"/>
  <c r="I5" i="82"/>
  <c r="F7" i="81"/>
  <c r="H6" i="81"/>
  <c r="K5" i="81"/>
  <c r="M4" i="81"/>
  <c r="E4" i="81"/>
  <c r="H7" i="81"/>
  <c r="K4" i="82"/>
  <c r="M7" i="82"/>
  <c r="F6" i="82"/>
  <c r="H5" i="82"/>
  <c r="J4" i="82"/>
  <c r="M7" i="81"/>
  <c r="E7" i="81"/>
  <c r="G6" i="81"/>
  <c r="J5" i="81"/>
  <c r="L4" i="81"/>
  <c r="E5" i="82"/>
  <c r="L6" i="81"/>
  <c r="I4" i="81"/>
  <c r="L5" i="82"/>
  <c r="I7" i="81"/>
  <c r="I14" i="81" s="1"/>
  <c r="K5" i="82"/>
  <c r="E5" i="81"/>
  <c r="L7" i="82"/>
  <c r="M6" i="82"/>
  <c r="E6" i="82"/>
  <c r="G5" i="82"/>
  <c r="I4" i="82"/>
  <c r="L7" i="81"/>
  <c r="L14" i="81" s="1"/>
  <c r="F6" i="81"/>
  <c r="I5" i="81"/>
  <c r="K4" i="81"/>
  <c r="J4" i="81"/>
  <c r="K6" i="82"/>
  <c r="K13" i="82" s="1"/>
  <c r="G4" i="82"/>
  <c r="J7" i="81"/>
  <c r="I7" i="82"/>
  <c r="K6" i="81"/>
  <c r="E4" i="82"/>
  <c r="G4" i="81"/>
  <c r="K7" i="82"/>
  <c r="K14" i="82" s="1"/>
  <c r="L6" i="82"/>
  <c r="L13" i="82" s="1"/>
  <c r="F5" i="82"/>
  <c r="H4" i="82"/>
  <c r="K7" i="81"/>
  <c r="K14" i="81" s="1"/>
  <c r="M6" i="81"/>
  <c r="E6" i="81"/>
  <c r="H5" i="81"/>
  <c r="M5" i="82"/>
  <c r="M12" i="82" s="1"/>
  <c r="G5" i="81"/>
  <c r="F4" i="82"/>
  <c r="H4" i="81"/>
  <c r="J7" i="82"/>
  <c r="J6" i="82"/>
  <c r="F5" i="81"/>
  <c r="F12" i="81" s="1"/>
  <c r="M4" i="82"/>
  <c r="M5" i="81"/>
  <c r="J7" i="80"/>
  <c r="L6" i="80"/>
  <c r="G5" i="80"/>
  <c r="I4" i="80"/>
  <c r="K7" i="79"/>
  <c r="M6" i="79"/>
  <c r="E6" i="79"/>
  <c r="G5" i="79"/>
  <c r="I4" i="79"/>
  <c r="J7" i="75"/>
  <c r="L6" i="75"/>
  <c r="F5" i="75"/>
  <c r="H4" i="75"/>
  <c r="J7" i="71"/>
  <c r="L6" i="71"/>
  <c r="F5" i="71"/>
  <c r="H4" i="71"/>
  <c r="E5" i="71"/>
  <c r="E7" i="80"/>
  <c r="J5" i="79"/>
  <c r="K4" i="75"/>
  <c r="I5" i="71"/>
  <c r="I7" i="80"/>
  <c r="K6" i="80"/>
  <c r="F5" i="80"/>
  <c r="H4" i="80"/>
  <c r="J7" i="79"/>
  <c r="L6" i="79"/>
  <c r="F5" i="79"/>
  <c r="H4" i="79"/>
  <c r="I7" i="75"/>
  <c r="K6" i="75"/>
  <c r="M5" i="75"/>
  <c r="E5" i="75"/>
  <c r="G4" i="75"/>
  <c r="I7" i="71"/>
  <c r="K6" i="71"/>
  <c r="M5" i="71"/>
  <c r="G4" i="71"/>
  <c r="G6" i="75"/>
  <c r="H7" i="80"/>
  <c r="J6" i="80"/>
  <c r="M5" i="80"/>
  <c r="E5" i="80"/>
  <c r="G4" i="80"/>
  <c r="I7" i="79"/>
  <c r="K6" i="79"/>
  <c r="M5" i="79"/>
  <c r="E5" i="79"/>
  <c r="G4" i="79"/>
  <c r="H7" i="75"/>
  <c r="J6" i="75"/>
  <c r="L5" i="75"/>
  <c r="F4" i="75"/>
  <c r="H7" i="71"/>
  <c r="J6" i="71"/>
  <c r="L5" i="71"/>
  <c r="J5" i="80"/>
  <c r="H6" i="79"/>
  <c r="I5" i="75"/>
  <c r="K4" i="71"/>
  <c r="G7" i="80"/>
  <c r="I6" i="80"/>
  <c r="L5" i="80"/>
  <c r="F4" i="80"/>
  <c r="H7" i="79"/>
  <c r="J6" i="79"/>
  <c r="L5" i="79"/>
  <c r="F4" i="79"/>
  <c r="G7" i="75"/>
  <c r="I6" i="75"/>
  <c r="K5" i="75"/>
  <c r="M4" i="75"/>
  <c r="E4" i="75"/>
  <c r="G7" i="71"/>
  <c r="I6" i="71"/>
  <c r="K5" i="71"/>
  <c r="M4" i="71"/>
  <c r="L4" i="80"/>
  <c r="E7" i="75"/>
  <c r="E7" i="71"/>
  <c r="F7" i="80"/>
  <c r="H6" i="80"/>
  <c r="K5" i="80"/>
  <c r="K12" i="80" s="1"/>
  <c r="M4" i="80"/>
  <c r="E4" i="80"/>
  <c r="G7" i="79"/>
  <c r="I6" i="79"/>
  <c r="K5" i="79"/>
  <c r="K12" i="79" s="1"/>
  <c r="M4" i="79"/>
  <c r="E4" i="79"/>
  <c r="F7" i="75"/>
  <c r="H6" i="75"/>
  <c r="J5" i="75"/>
  <c r="L4" i="75"/>
  <c r="F4" i="71"/>
  <c r="F7" i="71"/>
  <c r="F14" i="71" s="1"/>
  <c r="H6" i="71"/>
  <c r="J5" i="71"/>
  <c r="J12" i="71" s="1"/>
  <c r="L4" i="71"/>
  <c r="M7" i="80"/>
  <c r="L4" i="79"/>
  <c r="G6" i="71"/>
  <c r="L7" i="80"/>
  <c r="L14" i="80" s="1"/>
  <c r="F6" i="80"/>
  <c r="I5" i="80"/>
  <c r="K4" i="80"/>
  <c r="M7" i="79"/>
  <c r="E7" i="79"/>
  <c r="G6" i="79"/>
  <c r="I5" i="79"/>
  <c r="K4" i="79"/>
  <c r="L7" i="75"/>
  <c r="F6" i="75"/>
  <c r="H5" i="75"/>
  <c r="H12" i="75" s="1"/>
  <c r="J4" i="75"/>
  <c r="L7" i="71"/>
  <c r="F6" i="71"/>
  <c r="H5" i="71"/>
  <c r="J4" i="71"/>
  <c r="I4" i="71"/>
  <c r="G6" i="80"/>
  <c r="M7" i="75"/>
  <c r="E4" i="71"/>
  <c r="K7" i="80"/>
  <c r="M6" i="80"/>
  <c r="E6" i="80"/>
  <c r="H5" i="80"/>
  <c r="H12" i="80" s="1"/>
  <c r="J4" i="80"/>
  <c r="L7" i="79"/>
  <c r="F6" i="79"/>
  <c r="H5" i="79"/>
  <c r="J4" i="79"/>
  <c r="K7" i="75"/>
  <c r="M6" i="75"/>
  <c r="E6" i="75"/>
  <c r="G5" i="75"/>
  <c r="I4" i="75"/>
  <c r="K7" i="71"/>
  <c r="K14" i="71" s="1"/>
  <c r="M6" i="71"/>
  <c r="E6" i="71"/>
  <c r="G5" i="71"/>
  <c r="G12" i="71" s="1"/>
  <c r="F7" i="79"/>
  <c r="M7" i="71"/>
  <c r="M14" i="71" s="1"/>
  <c r="G7" i="69"/>
  <c r="I6" i="69"/>
  <c r="K5" i="69"/>
  <c r="M4" i="69"/>
  <c r="E4" i="69"/>
  <c r="G5" i="69"/>
  <c r="G4" i="69"/>
  <c r="F7" i="69"/>
  <c r="H6" i="69"/>
  <c r="J5" i="69"/>
  <c r="L4" i="69"/>
  <c r="M6" i="69"/>
  <c r="M5" i="69"/>
  <c r="F4" i="69"/>
  <c r="M7" i="69"/>
  <c r="E7" i="69"/>
  <c r="G6" i="69"/>
  <c r="I5" i="69"/>
  <c r="K4" i="69"/>
  <c r="E6" i="69"/>
  <c r="E5" i="69"/>
  <c r="H7" i="69"/>
  <c r="L7" i="69"/>
  <c r="F6" i="69"/>
  <c r="H5" i="69"/>
  <c r="J4" i="69"/>
  <c r="K7" i="69"/>
  <c r="I4" i="69"/>
  <c r="L5" i="69"/>
  <c r="L12" i="69" s="1"/>
  <c r="J7" i="69"/>
  <c r="L6" i="69"/>
  <c r="F5" i="69"/>
  <c r="H4" i="69"/>
  <c r="I7" i="69"/>
  <c r="K6" i="69"/>
  <c r="J6" i="69"/>
  <c r="J13" i="69" s="1"/>
  <c r="H7" i="65"/>
  <c r="F5" i="64"/>
  <c r="L4" i="63"/>
  <c r="G7" i="65"/>
  <c r="I6" i="65"/>
  <c r="K5" i="65"/>
  <c r="M4" i="65"/>
  <c r="E4" i="65"/>
  <c r="I7" i="64"/>
  <c r="K6" i="64"/>
  <c r="M5" i="64"/>
  <c r="E5" i="64"/>
  <c r="G4" i="64"/>
  <c r="M7" i="63"/>
  <c r="E7" i="63"/>
  <c r="G6" i="63"/>
  <c r="I5" i="63"/>
  <c r="K4" i="63"/>
  <c r="F7" i="65"/>
  <c r="J5" i="65"/>
  <c r="L4" i="65"/>
  <c r="H7" i="64"/>
  <c r="J6" i="64"/>
  <c r="L5" i="64"/>
  <c r="F4" i="64"/>
  <c r="L7" i="63"/>
  <c r="F6" i="63"/>
  <c r="J4" i="63"/>
  <c r="H6" i="65"/>
  <c r="H5" i="63"/>
  <c r="M7" i="65"/>
  <c r="E7" i="65"/>
  <c r="G6" i="65"/>
  <c r="I5" i="65"/>
  <c r="K4" i="65"/>
  <c r="G7" i="64"/>
  <c r="I6" i="64"/>
  <c r="K5" i="64"/>
  <c r="M4" i="64"/>
  <c r="E4" i="64"/>
  <c r="K7" i="63"/>
  <c r="M6" i="63"/>
  <c r="E6" i="63"/>
  <c r="G5" i="63"/>
  <c r="I4" i="63"/>
  <c r="G4" i="63"/>
  <c r="M5" i="65"/>
  <c r="M6" i="64"/>
  <c r="I6" i="63"/>
  <c r="M4" i="63"/>
  <c r="L5" i="65"/>
  <c r="L6" i="64"/>
  <c r="J5" i="63"/>
  <c r="L7" i="65"/>
  <c r="F6" i="65"/>
  <c r="H5" i="65"/>
  <c r="J4" i="65"/>
  <c r="F7" i="64"/>
  <c r="H6" i="64"/>
  <c r="J5" i="64"/>
  <c r="J12" i="64" s="1"/>
  <c r="L4" i="64"/>
  <c r="J7" i="63"/>
  <c r="L6" i="63"/>
  <c r="F5" i="63"/>
  <c r="H4" i="63"/>
  <c r="M5" i="63"/>
  <c r="K6" i="65"/>
  <c r="G4" i="65"/>
  <c r="G5" i="64"/>
  <c r="G7" i="63"/>
  <c r="E4" i="63"/>
  <c r="J7" i="64"/>
  <c r="F7" i="63"/>
  <c r="K7" i="65"/>
  <c r="M6" i="65"/>
  <c r="E6" i="65"/>
  <c r="G5" i="65"/>
  <c r="I4" i="65"/>
  <c r="M7" i="64"/>
  <c r="E7" i="64"/>
  <c r="G6" i="64"/>
  <c r="I5" i="64"/>
  <c r="K4" i="64"/>
  <c r="I7" i="63"/>
  <c r="K6" i="63"/>
  <c r="E5" i="63"/>
  <c r="E6" i="64"/>
  <c r="H4" i="64"/>
  <c r="J7" i="65"/>
  <c r="L6" i="65"/>
  <c r="F5" i="65"/>
  <c r="H4" i="65"/>
  <c r="L7" i="64"/>
  <c r="F6" i="64"/>
  <c r="H5" i="64"/>
  <c r="J4" i="64"/>
  <c r="H7" i="63"/>
  <c r="J6" i="63"/>
  <c r="L5" i="63"/>
  <c r="F4" i="63"/>
  <c r="I7" i="65"/>
  <c r="E5" i="65"/>
  <c r="K7" i="64"/>
  <c r="I4" i="64"/>
  <c r="K5" i="63"/>
  <c r="J6" i="65"/>
  <c r="F4" i="65"/>
  <c r="H6" i="63"/>
  <c r="H13" i="63" s="1"/>
  <c r="L4" i="40"/>
  <c r="L5" i="40"/>
  <c r="L6" i="40"/>
  <c r="L7" i="40"/>
  <c r="M4" i="39"/>
  <c r="M5" i="39"/>
  <c r="M6" i="39"/>
  <c r="M7" i="39"/>
  <c r="E5" i="40"/>
  <c r="I7" i="40"/>
  <c r="E4" i="39"/>
  <c r="M4" i="40"/>
  <c r="M5" i="40"/>
  <c r="M6" i="40"/>
  <c r="M7" i="40"/>
  <c r="F4" i="39"/>
  <c r="F5" i="39"/>
  <c r="F6" i="39"/>
  <c r="F7" i="39"/>
  <c r="E4" i="40"/>
  <c r="I6" i="40"/>
  <c r="F4" i="40"/>
  <c r="F5" i="40"/>
  <c r="F6" i="40"/>
  <c r="F7" i="40"/>
  <c r="G4" i="39"/>
  <c r="G5" i="39"/>
  <c r="G6" i="39"/>
  <c r="G7" i="39"/>
  <c r="E7" i="39"/>
  <c r="I5" i="40"/>
  <c r="J5" i="39"/>
  <c r="G4" i="40"/>
  <c r="G5" i="40"/>
  <c r="G6" i="40"/>
  <c r="G7" i="40"/>
  <c r="H4" i="39"/>
  <c r="H5" i="39"/>
  <c r="H6" i="39"/>
  <c r="H7" i="39"/>
  <c r="E6" i="39"/>
  <c r="I4" i="40"/>
  <c r="J6" i="39"/>
  <c r="H4" i="40"/>
  <c r="H5" i="40"/>
  <c r="H6" i="40"/>
  <c r="H7" i="40"/>
  <c r="I4" i="39"/>
  <c r="I5" i="39"/>
  <c r="I6" i="39"/>
  <c r="I7" i="39"/>
  <c r="E5" i="39"/>
  <c r="J4" i="39"/>
  <c r="J7" i="39"/>
  <c r="J4" i="40"/>
  <c r="J5" i="40"/>
  <c r="J6" i="40"/>
  <c r="J7" i="40"/>
  <c r="K4" i="39"/>
  <c r="K5" i="39"/>
  <c r="K12" i="39" s="1"/>
  <c r="K6" i="39"/>
  <c r="K7" i="39"/>
  <c r="E7" i="40"/>
  <c r="L6" i="39"/>
  <c r="E6" i="40"/>
  <c r="K4" i="40"/>
  <c r="K5" i="40"/>
  <c r="K6" i="40"/>
  <c r="K7" i="40"/>
  <c r="L4" i="39"/>
  <c r="L5" i="39"/>
  <c r="L7" i="39"/>
  <c r="I7" i="50"/>
  <c r="J6" i="50"/>
  <c r="K5" i="50"/>
  <c r="L4" i="50"/>
  <c r="H7" i="50"/>
  <c r="I6" i="50"/>
  <c r="J5" i="50"/>
  <c r="K4" i="50"/>
  <c r="G4" i="50"/>
  <c r="L5" i="50"/>
  <c r="G7" i="50"/>
  <c r="H6" i="50"/>
  <c r="I5" i="50"/>
  <c r="J4" i="50"/>
  <c r="F5" i="50"/>
  <c r="M4" i="50"/>
  <c r="F7" i="50"/>
  <c r="G6" i="50"/>
  <c r="H5" i="50"/>
  <c r="I4" i="50"/>
  <c r="M6" i="50"/>
  <c r="K6" i="50"/>
  <c r="M7" i="50"/>
  <c r="F6" i="50"/>
  <c r="G5" i="50"/>
  <c r="H4" i="50"/>
  <c r="L7" i="50"/>
  <c r="J7" i="50"/>
  <c r="K7" i="50"/>
  <c r="K14" i="50" s="1"/>
  <c r="L6" i="50"/>
  <c r="M5" i="50"/>
  <c r="F4" i="50"/>
  <c r="F6" i="43"/>
  <c r="E7" i="43"/>
  <c r="E6" i="43"/>
  <c r="E5" i="43"/>
  <c r="L5" i="43"/>
  <c r="L6" i="43"/>
  <c r="M7" i="43"/>
  <c r="M4" i="43"/>
  <c r="L4" i="43"/>
  <c r="M5" i="43"/>
  <c r="M6" i="43"/>
  <c r="M13" i="43" s="1"/>
  <c r="F4" i="43"/>
  <c r="E4" i="43"/>
  <c r="J7" i="43"/>
  <c r="F5" i="43"/>
  <c r="G7" i="43"/>
  <c r="G4" i="43"/>
  <c r="J4" i="43"/>
  <c r="G5" i="43"/>
  <c r="G6" i="43"/>
  <c r="H7" i="43"/>
  <c r="H4" i="43"/>
  <c r="L7" i="43"/>
  <c r="H5" i="43"/>
  <c r="H6" i="43"/>
  <c r="I7" i="43"/>
  <c r="I4" i="43"/>
  <c r="I5" i="43"/>
  <c r="I12" i="43" s="1"/>
  <c r="I6" i="43"/>
  <c r="K5" i="43"/>
  <c r="J5" i="43"/>
  <c r="J6" i="43"/>
  <c r="K7" i="43"/>
  <c r="K4" i="43"/>
  <c r="K6" i="43"/>
  <c r="K13" i="43" s="1"/>
  <c r="O22" i="17"/>
  <c r="N22" i="17"/>
  <c r="M22" i="17"/>
  <c r="L22" i="17"/>
  <c r="K22" i="17"/>
  <c r="J22" i="17"/>
  <c r="O20" i="17"/>
  <c r="N20" i="17"/>
  <c r="M20" i="17"/>
  <c r="L20" i="17"/>
  <c r="K20" i="17"/>
  <c r="J20" i="17"/>
  <c r="I20" i="17"/>
  <c r="H20" i="17"/>
  <c r="F20" i="17"/>
  <c r="O18" i="17"/>
  <c r="N18" i="17"/>
  <c r="M18" i="17"/>
  <c r="L18" i="17"/>
  <c r="K18" i="17"/>
  <c r="J18" i="17"/>
  <c r="I18" i="17"/>
  <c r="H18" i="17"/>
  <c r="O16" i="17"/>
  <c r="N16" i="17"/>
  <c r="M16" i="17"/>
  <c r="L16" i="17"/>
  <c r="K16" i="17"/>
  <c r="J16" i="17"/>
  <c r="I16" i="17"/>
  <c r="H16" i="17"/>
  <c r="J12" i="40" l="1"/>
  <c r="F12" i="69"/>
  <c r="I12" i="79"/>
  <c r="L14" i="82"/>
  <c r="M14" i="82"/>
  <c r="H12" i="79"/>
  <c r="J14" i="82"/>
  <c r="I14" i="82"/>
  <c r="F14" i="80"/>
  <c r="H12" i="71"/>
  <c r="I14" i="63"/>
  <c r="I14" i="43"/>
  <c r="G12" i="75"/>
  <c r="L14" i="79"/>
  <c r="K12" i="75"/>
  <c r="M12" i="79"/>
  <c r="F12" i="71"/>
  <c r="H13" i="39"/>
  <c r="I12" i="40"/>
  <c r="L14" i="71"/>
  <c r="G13" i="43"/>
  <c r="F11" i="43"/>
  <c r="G12" i="65"/>
  <c r="J13" i="43"/>
  <c r="F13" i="40"/>
  <c r="G12" i="63"/>
  <c r="G14" i="64"/>
  <c r="G14" i="65"/>
  <c r="F13" i="69"/>
  <c r="G12" i="79"/>
  <c r="M13" i="82"/>
  <c r="F13" i="82"/>
  <c r="F14" i="81"/>
  <c r="L12" i="39"/>
  <c r="H11" i="43"/>
  <c r="I12" i="39"/>
  <c r="L12" i="40"/>
  <c r="I12" i="69"/>
  <c r="L13" i="64"/>
  <c r="J12" i="65"/>
  <c r="M12" i="81"/>
  <c r="K13" i="50"/>
  <c r="I13" i="50"/>
  <c r="M14" i="39"/>
  <c r="H12" i="81"/>
  <c r="I12" i="81"/>
  <c r="H13" i="50"/>
  <c r="L12" i="81"/>
  <c r="F13" i="64"/>
  <c r="G14" i="63"/>
  <c r="J14" i="63"/>
  <c r="M14" i="63"/>
  <c r="J12" i="69"/>
  <c r="J14" i="43"/>
  <c r="M12" i="50"/>
  <c r="L13" i="69"/>
  <c r="K11" i="43"/>
  <c r="J11" i="43"/>
  <c r="H12" i="40"/>
  <c r="M12" i="39"/>
  <c r="J13" i="63"/>
  <c r="K14" i="65"/>
  <c r="M12" i="63"/>
  <c r="F14" i="64"/>
  <c r="M13" i="63"/>
  <c r="L14" i="63"/>
  <c r="K13" i="64"/>
  <c r="J12" i="75"/>
  <c r="G14" i="80"/>
  <c r="H13" i="43"/>
  <c r="F13" i="43"/>
  <c r="H12" i="50"/>
  <c r="M12" i="40"/>
  <c r="H14" i="63"/>
  <c r="J14" i="65"/>
  <c r="F14" i="63"/>
  <c r="K14" i="63"/>
  <c r="I14" i="64"/>
  <c r="H14" i="65"/>
  <c r="K14" i="80"/>
  <c r="M14" i="80"/>
  <c r="K12" i="71"/>
  <c r="M13" i="81"/>
  <c r="F14" i="69"/>
  <c r="K14" i="64"/>
  <c r="L13" i="63"/>
  <c r="K13" i="69"/>
  <c r="M12" i="80"/>
  <c r="J14" i="81"/>
  <c r="M14" i="81"/>
  <c r="I13" i="69"/>
  <c r="I12" i="80"/>
  <c r="J12" i="80"/>
  <c r="L13" i="43"/>
  <c r="L14" i="65"/>
  <c r="H14" i="64"/>
  <c r="I13" i="43"/>
  <c r="F12" i="50"/>
  <c r="J12" i="50"/>
  <c r="I14" i="65"/>
  <c r="L14" i="64"/>
  <c r="K13" i="63"/>
  <c r="G13" i="69"/>
  <c r="L12" i="71"/>
  <c r="H14" i="80"/>
  <c r="F12" i="80"/>
  <c r="G12" i="81"/>
  <c r="L13" i="81"/>
  <c r="H13" i="81"/>
  <c r="G14" i="81"/>
  <c r="G14" i="82"/>
  <c r="K11" i="79"/>
  <c r="K37" i="79"/>
  <c r="K36" i="79"/>
  <c r="K34" i="79"/>
  <c r="K38" i="79"/>
  <c r="L11" i="82"/>
  <c r="L38" i="82"/>
  <c r="L34" i="82"/>
  <c r="L37" i="82"/>
  <c r="L36" i="82"/>
  <c r="I11" i="43"/>
  <c r="G12" i="43"/>
  <c r="J14" i="50"/>
  <c r="M13" i="50"/>
  <c r="I12" i="50"/>
  <c r="H14" i="50"/>
  <c r="L11" i="39"/>
  <c r="L34" i="39"/>
  <c r="L36" i="39"/>
  <c r="L37" i="39"/>
  <c r="L38" i="39"/>
  <c r="K14" i="39"/>
  <c r="J14" i="39"/>
  <c r="H13" i="40"/>
  <c r="H12" i="39"/>
  <c r="F12" i="40"/>
  <c r="M14" i="40"/>
  <c r="M13" i="39"/>
  <c r="F34" i="65"/>
  <c r="F36" i="65"/>
  <c r="F37" i="65"/>
  <c r="F38" i="65"/>
  <c r="L12" i="63"/>
  <c r="F12" i="65"/>
  <c r="K11" i="64"/>
  <c r="K34" i="64"/>
  <c r="K38" i="64"/>
  <c r="K37" i="64"/>
  <c r="K36" i="64"/>
  <c r="M13" i="65"/>
  <c r="K13" i="65"/>
  <c r="H13" i="64"/>
  <c r="L12" i="65"/>
  <c r="I13" i="63"/>
  <c r="K11" i="65"/>
  <c r="K37" i="65"/>
  <c r="K36" i="65"/>
  <c r="K38" i="65"/>
  <c r="K34" i="65"/>
  <c r="F13" i="63"/>
  <c r="F14" i="65"/>
  <c r="M12" i="64"/>
  <c r="L11" i="63"/>
  <c r="L37" i="63"/>
  <c r="L38" i="63"/>
  <c r="L34" i="63"/>
  <c r="L36" i="63"/>
  <c r="L14" i="69"/>
  <c r="M14" i="69"/>
  <c r="G11" i="69"/>
  <c r="G35" i="69"/>
  <c r="G34" i="69"/>
  <c r="G33" i="69"/>
  <c r="G31" i="69"/>
  <c r="F14" i="79"/>
  <c r="L11" i="75"/>
  <c r="L36" i="75"/>
  <c r="L37" i="75"/>
  <c r="L38" i="75"/>
  <c r="L34" i="75"/>
  <c r="G14" i="79"/>
  <c r="L11" i="80"/>
  <c r="L37" i="80"/>
  <c r="L36" i="80"/>
  <c r="L38" i="80"/>
  <c r="L34" i="80"/>
  <c r="H14" i="71"/>
  <c r="G11" i="71"/>
  <c r="G36" i="71"/>
  <c r="G38" i="71"/>
  <c r="G37" i="71"/>
  <c r="G34" i="71"/>
  <c r="I14" i="75"/>
  <c r="I14" i="80"/>
  <c r="M11" i="82"/>
  <c r="M36" i="82"/>
  <c r="M38" i="82"/>
  <c r="M34" i="82"/>
  <c r="M37" i="82"/>
  <c r="G11" i="81"/>
  <c r="G37" i="81"/>
  <c r="G34" i="81"/>
  <c r="G36" i="81"/>
  <c r="G38" i="81"/>
  <c r="K11" i="81"/>
  <c r="K38" i="81"/>
  <c r="K34" i="81"/>
  <c r="K37" i="81"/>
  <c r="K36" i="81"/>
  <c r="L11" i="81"/>
  <c r="L38" i="81"/>
  <c r="L37" i="81"/>
  <c r="L34" i="81"/>
  <c r="L36" i="81"/>
  <c r="I12" i="82"/>
  <c r="J12" i="82"/>
  <c r="H14" i="40"/>
  <c r="F36" i="63"/>
  <c r="F34" i="63"/>
  <c r="F37" i="63"/>
  <c r="F38" i="63"/>
  <c r="M13" i="40"/>
  <c r="J13" i="65"/>
  <c r="L13" i="65"/>
  <c r="I12" i="64"/>
  <c r="M11" i="63"/>
  <c r="M36" i="63"/>
  <c r="M38" i="63"/>
  <c r="M37" i="63"/>
  <c r="M34" i="63"/>
  <c r="I12" i="65"/>
  <c r="K11" i="63"/>
  <c r="K34" i="63"/>
  <c r="K36" i="63"/>
  <c r="K38" i="63"/>
  <c r="K37" i="63"/>
  <c r="F12" i="64"/>
  <c r="J14" i="69"/>
  <c r="H14" i="69"/>
  <c r="F11" i="69"/>
  <c r="F33" i="69"/>
  <c r="F34" i="69"/>
  <c r="F35" i="69"/>
  <c r="F31" i="69"/>
  <c r="G12" i="69"/>
  <c r="K14" i="75"/>
  <c r="L11" i="79"/>
  <c r="L37" i="79"/>
  <c r="L34" i="79"/>
  <c r="L38" i="79"/>
  <c r="L36" i="79"/>
  <c r="F11" i="80"/>
  <c r="M11" i="71"/>
  <c r="M37" i="71"/>
  <c r="M36" i="71"/>
  <c r="M34" i="71"/>
  <c r="M38" i="71"/>
  <c r="G14" i="75"/>
  <c r="F11" i="75"/>
  <c r="F34" i="75"/>
  <c r="F37" i="75"/>
  <c r="F38" i="75"/>
  <c r="F36" i="75"/>
  <c r="I14" i="79"/>
  <c r="M12" i="71"/>
  <c r="H11" i="79"/>
  <c r="H38" i="79"/>
  <c r="H37" i="79"/>
  <c r="H36" i="79"/>
  <c r="H34" i="79"/>
  <c r="I12" i="71"/>
  <c r="J14" i="71"/>
  <c r="J12" i="81"/>
  <c r="K11" i="82"/>
  <c r="K38" i="82"/>
  <c r="K36" i="82"/>
  <c r="K37" i="82"/>
  <c r="K34" i="82"/>
  <c r="G13" i="82"/>
  <c r="H13" i="82"/>
  <c r="J11" i="40"/>
  <c r="J34" i="40"/>
  <c r="J37" i="40"/>
  <c r="J38" i="40"/>
  <c r="J36" i="40"/>
  <c r="J11" i="81"/>
  <c r="J34" i="81"/>
  <c r="J38" i="81"/>
  <c r="J36" i="81"/>
  <c r="J37" i="81"/>
  <c r="M12" i="43"/>
  <c r="J11" i="39"/>
  <c r="J38" i="39"/>
  <c r="J37" i="39"/>
  <c r="J36" i="39"/>
  <c r="J34" i="39"/>
  <c r="G14" i="50"/>
  <c r="H11" i="40"/>
  <c r="H37" i="40"/>
  <c r="H34" i="40"/>
  <c r="H36" i="40"/>
  <c r="H38" i="40"/>
  <c r="G14" i="40"/>
  <c r="G14" i="39"/>
  <c r="I13" i="40"/>
  <c r="M11" i="39"/>
  <c r="M36" i="39"/>
  <c r="M38" i="39"/>
  <c r="M37" i="39"/>
  <c r="M34" i="39"/>
  <c r="K12" i="63"/>
  <c r="H11" i="63"/>
  <c r="H37" i="63"/>
  <c r="H34" i="63"/>
  <c r="H38" i="63"/>
  <c r="H36" i="63"/>
  <c r="J11" i="65"/>
  <c r="J38" i="65"/>
  <c r="J37" i="65"/>
  <c r="J34" i="65"/>
  <c r="J36" i="65"/>
  <c r="G13" i="65"/>
  <c r="F11" i="64"/>
  <c r="F38" i="64"/>
  <c r="F34" i="64"/>
  <c r="F37" i="64"/>
  <c r="F36" i="64"/>
  <c r="I12" i="63"/>
  <c r="M12" i="69"/>
  <c r="J11" i="79"/>
  <c r="J34" i="79"/>
  <c r="J36" i="79"/>
  <c r="J38" i="79"/>
  <c r="J37" i="79"/>
  <c r="M11" i="80"/>
  <c r="M37" i="80"/>
  <c r="M38" i="80"/>
  <c r="M36" i="80"/>
  <c r="M34" i="80"/>
  <c r="F11" i="79"/>
  <c r="F36" i="79"/>
  <c r="F34" i="79"/>
  <c r="F37" i="79"/>
  <c r="F38" i="79"/>
  <c r="K11" i="71"/>
  <c r="K27" i="71" s="1"/>
  <c r="K28" i="71" s="1"/>
  <c r="K29" i="71" s="1"/>
  <c r="K37" i="71"/>
  <c r="K38" i="71"/>
  <c r="K34" i="71"/>
  <c r="K36" i="71"/>
  <c r="L12" i="75"/>
  <c r="G11" i="80"/>
  <c r="G36" i="80"/>
  <c r="G34" i="80"/>
  <c r="G38" i="80"/>
  <c r="G37" i="80"/>
  <c r="F12" i="79"/>
  <c r="K11" i="75"/>
  <c r="K34" i="75"/>
  <c r="K36" i="75"/>
  <c r="K37" i="75"/>
  <c r="K38" i="75"/>
  <c r="H11" i="75"/>
  <c r="H36" i="75"/>
  <c r="H34" i="75"/>
  <c r="H37" i="75"/>
  <c r="H38" i="75"/>
  <c r="K14" i="79"/>
  <c r="J13" i="82"/>
  <c r="K13" i="81"/>
  <c r="F13" i="81"/>
  <c r="K12" i="82"/>
  <c r="G13" i="81"/>
  <c r="H14" i="81"/>
  <c r="F14" i="82"/>
  <c r="J11" i="50"/>
  <c r="J36" i="50"/>
  <c r="J34" i="50"/>
  <c r="J38" i="50"/>
  <c r="J37" i="50"/>
  <c r="J11" i="71"/>
  <c r="J38" i="71"/>
  <c r="J37" i="71"/>
  <c r="J34" i="71"/>
  <c r="J36" i="71"/>
  <c r="L14" i="50"/>
  <c r="K14" i="40"/>
  <c r="F11" i="40"/>
  <c r="F36" i="40"/>
  <c r="F38" i="40"/>
  <c r="F34" i="40"/>
  <c r="F37" i="40"/>
  <c r="G11" i="43"/>
  <c r="H11" i="50"/>
  <c r="H36" i="50"/>
  <c r="H37" i="50"/>
  <c r="H38" i="50"/>
  <c r="H34" i="50"/>
  <c r="L11" i="50"/>
  <c r="L37" i="50"/>
  <c r="L38" i="50"/>
  <c r="L34" i="50"/>
  <c r="L36" i="50"/>
  <c r="H12" i="43"/>
  <c r="G14" i="43"/>
  <c r="M11" i="43"/>
  <c r="F11" i="50"/>
  <c r="F38" i="50"/>
  <c r="F34" i="50"/>
  <c r="F36" i="50"/>
  <c r="F37" i="50"/>
  <c r="G12" i="50"/>
  <c r="G13" i="50"/>
  <c r="L12" i="50"/>
  <c r="K12" i="50"/>
  <c r="K12" i="40"/>
  <c r="K38" i="39"/>
  <c r="K36" i="39"/>
  <c r="K37" i="39"/>
  <c r="K34" i="39"/>
  <c r="I14" i="39"/>
  <c r="J13" i="39"/>
  <c r="G13" i="40"/>
  <c r="G13" i="39"/>
  <c r="M11" i="40"/>
  <c r="M38" i="40"/>
  <c r="M34" i="40"/>
  <c r="M37" i="40"/>
  <c r="M36" i="40"/>
  <c r="L14" i="40"/>
  <c r="I11" i="64"/>
  <c r="I34" i="64"/>
  <c r="I37" i="64"/>
  <c r="I38" i="64"/>
  <c r="I36" i="64"/>
  <c r="J11" i="64"/>
  <c r="J34" i="64"/>
  <c r="J37" i="64"/>
  <c r="J36" i="64"/>
  <c r="J38" i="64"/>
  <c r="H11" i="64"/>
  <c r="H34" i="64"/>
  <c r="H38" i="64"/>
  <c r="H37" i="64"/>
  <c r="H36" i="64"/>
  <c r="J14" i="64"/>
  <c r="F12" i="63"/>
  <c r="H12" i="65"/>
  <c r="M13" i="64"/>
  <c r="L12" i="64"/>
  <c r="G13" i="63"/>
  <c r="F11" i="65"/>
  <c r="I11" i="69"/>
  <c r="I33" i="69"/>
  <c r="I31" i="69"/>
  <c r="I34" i="69"/>
  <c r="I35" i="69"/>
  <c r="M13" i="69"/>
  <c r="M11" i="69"/>
  <c r="M31" i="69"/>
  <c r="M35" i="69"/>
  <c r="M33" i="69"/>
  <c r="M34" i="69"/>
  <c r="J11" i="75"/>
  <c r="J36" i="75"/>
  <c r="J38" i="75"/>
  <c r="J34" i="75"/>
  <c r="J37" i="75"/>
  <c r="M14" i="79"/>
  <c r="L11" i="71"/>
  <c r="L34" i="71"/>
  <c r="L37" i="71"/>
  <c r="L36" i="71"/>
  <c r="L38" i="71"/>
  <c r="F14" i="75"/>
  <c r="L12" i="79"/>
  <c r="I12" i="75"/>
  <c r="L12" i="80"/>
  <c r="I14" i="71"/>
  <c r="J12" i="79"/>
  <c r="F12" i="75"/>
  <c r="I11" i="80"/>
  <c r="I38" i="80"/>
  <c r="I36" i="80"/>
  <c r="I37" i="80"/>
  <c r="I34" i="80"/>
  <c r="F11" i="81"/>
  <c r="F38" i="81"/>
  <c r="F34" i="81"/>
  <c r="F36" i="81"/>
  <c r="F37" i="81"/>
  <c r="J13" i="81"/>
  <c r="H11" i="65"/>
  <c r="H37" i="65"/>
  <c r="H36" i="65"/>
  <c r="H34" i="65"/>
  <c r="H38" i="65"/>
  <c r="F11" i="71"/>
  <c r="F34" i="71"/>
  <c r="F37" i="71"/>
  <c r="F36" i="71"/>
  <c r="F38" i="71"/>
  <c r="I11" i="50"/>
  <c r="I36" i="50"/>
  <c r="I38" i="50"/>
  <c r="I34" i="50"/>
  <c r="I37" i="50"/>
  <c r="K13" i="39"/>
  <c r="H11" i="39"/>
  <c r="H36" i="39"/>
  <c r="H38" i="39"/>
  <c r="H37" i="39"/>
  <c r="H34" i="39"/>
  <c r="K14" i="43"/>
  <c r="L11" i="43"/>
  <c r="K13" i="40"/>
  <c r="J12" i="43"/>
  <c r="L14" i="43"/>
  <c r="F12" i="43"/>
  <c r="M14" i="43"/>
  <c r="F13" i="50"/>
  <c r="F14" i="50"/>
  <c r="G11" i="50"/>
  <c r="G37" i="50"/>
  <c r="G34" i="50"/>
  <c r="G38" i="50"/>
  <c r="G36" i="50"/>
  <c r="J13" i="50"/>
  <c r="K11" i="40"/>
  <c r="K38" i="40"/>
  <c r="K36" i="40"/>
  <c r="K37" i="40"/>
  <c r="K34" i="40"/>
  <c r="J14" i="40"/>
  <c r="I13" i="39"/>
  <c r="I11" i="40"/>
  <c r="I36" i="40"/>
  <c r="I38" i="40"/>
  <c r="I37" i="40"/>
  <c r="I34" i="40"/>
  <c r="G12" i="40"/>
  <c r="G12" i="39"/>
  <c r="F14" i="39"/>
  <c r="K11" i="39"/>
  <c r="L13" i="40"/>
  <c r="H12" i="64"/>
  <c r="G13" i="64"/>
  <c r="M14" i="64"/>
  <c r="F11" i="63"/>
  <c r="F13" i="65"/>
  <c r="M12" i="65"/>
  <c r="M11" i="64"/>
  <c r="M37" i="64"/>
  <c r="M34" i="64"/>
  <c r="M38" i="64"/>
  <c r="M36" i="64"/>
  <c r="M14" i="65"/>
  <c r="J13" i="64"/>
  <c r="M11" i="65"/>
  <c r="M34" i="65"/>
  <c r="M38" i="65"/>
  <c r="M37" i="65"/>
  <c r="M36" i="65"/>
  <c r="K14" i="69"/>
  <c r="K11" i="69"/>
  <c r="K33" i="69"/>
  <c r="K34" i="69"/>
  <c r="K35" i="69"/>
  <c r="K31" i="69"/>
  <c r="L11" i="69"/>
  <c r="L33" i="69"/>
  <c r="L31" i="69"/>
  <c r="L35" i="69"/>
  <c r="L34" i="69"/>
  <c r="K12" i="69"/>
  <c r="M14" i="75"/>
  <c r="K11" i="80"/>
  <c r="K36" i="80"/>
  <c r="K38" i="80"/>
  <c r="K34" i="80"/>
  <c r="K37" i="80"/>
  <c r="G14" i="71"/>
  <c r="H14" i="75"/>
  <c r="G11" i="75"/>
  <c r="G38" i="75"/>
  <c r="G34" i="75"/>
  <c r="G36" i="75"/>
  <c r="G37" i="75"/>
  <c r="J14" i="79"/>
  <c r="G12" i="80"/>
  <c r="H11" i="81"/>
  <c r="H37" i="81"/>
  <c r="H34" i="81"/>
  <c r="H36" i="81"/>
  <c r="H38" i="81"/>
  <c r="H11" i="82"/>
  <c r="H37" i="82"/>
  <c r="H36" i="82"/>
  <c r="H38" i="82"/>
  <c r="H34" i="82"/>
  <c r="I11" i="82"/>
  <c r="I38" i="82"/>
  <c r="I34" i="82"/>
  <c r="I37" i="82"/>
  <c r="I36" i="82"/>
  <c r="L12" i="82"/>
  <c r="M11" i="81"/>
  <c r="M38" i="81"/>
  <c r="M34" i="81"/>
  <c r="M36" i="81"/>
  <c r="M37" i="81"/>
  <c r="I13" i="82"/>
  <c r="J11" i="63"/>
  <c r="J37" i="63"/>
  <c r="J36" i="63"/>
  <c r="J34" i="63"/>
  <c r="J38" i="63"/>
  <c r="K12" i="43"/>
  <c r="I14" i="50"/>
  <c r="G11" i="40"/>
  <c r="G36" i="40"/>
  <c r="G34" i="40"/>
  <c r="G38" i="40"/>
  <c r="G37" i="40"/>
  <c r="G11" i="39"/>
  <c r="G38" i="39"/>
  <c r="G34" i="39"/>
  <c r="G37" i="39"/>
  <c r="G36" i="39"/>
  <c r="F13" i="39"/>
  <c r="I14" i="40"/>
  <c r="I11" i="65"/>
  <c r="I37" i="65"/>
  <c r="I38" i="65"/>
  <c r="I34" i="65"/>
  <c r="I36" i="65"/>
  <c r="G11" i="63"/>
  <c r="G37" i="63"/>
  <c r="G36" i="63"/>
  <c r="G34" i="63"/>
  <c r="G38" i="63"/>
  <c r="K12" i="64"/>
  <c r="H12" i="63"/>
  <c r="K12" i="65"/>
  <c r="I14" i="69"/>
  <c r="J11" i="69"/>
  <c r="J35" i="69"/>
  <c r="J34" i="69"/>
  <c r="J31" i="69"/>
  <c r="J33" i="69"/>
  <c r="I11" i="75"/>
  <c r="I36" i="75"/>
  <c r="I37" i="75"/>
  <c r="I38" i="75"/>
  <c r="I34" i="75"/>
  <c r="M11" i="79"/>
  <c r="M38" i="79"/>
  <c r="M34" i="79"/>
  <c r="M37" i="79"/>
  <c r="M36" i="79"/>
  <c r="H14" i="79"/>
  <c r="G11" i="79"/>
  <c r="G27" i="79" s="1"/>
  <c r="G28" i="79" s="1"/>
  <c r="G29" i="79" s="1"/>
  <c r="G38" i="79"/>
  <c r="G36" i="79"/>
  <c r="G37" i="79"/>
  <c r="G34" i="79"/>
  <c r="H11" i="80"/>
  <c r="H36" i="80"/>
  <c r="H34" i="80"/>
  <c r="H37" i="80"/>
  <c r="H38" i="80"/>
  <c r="J14" i="75"/>
  <c r="F11" i="82"/>
  <c r="F38" i="82"/>
  <c r="F37" i="82"/>
  <c r="F34" i="82"/>
  <c r="F36" i="82"/>
  <c r="F12" i="82"/>
  <c r="G11" i="82"/>
  <c r="G36" i="82"/>
  <c r="G38" i="82"/>
  <c r="G34" i="82"/>
  <c r="G37" i="82"/>
  <c r="G12" i="82"/>
  <c r="I11" i="81"/>
  <c r="I37" i="81"/>
  <c r="I34" i="81"/>
  <c r="I36" i="81"/>
  <c r="I38" i="81"/>
  <c r="J11" i="82"/>
  <c r="J37" i="82"/>
  <c r="J38" i="82"/>
  <c r="J36" i="82"/>
  <c r="J34" i="82"/>
  <c r="K12" i="81"/>
  <c r="I13" i="81"/>
  <c r="H14" i="82"/>
  <c r="F11" i="39"/>
  <c r="F38" i="39"/>
  <c r="F37" i="39"/>
  <c r="F36" i="39"/>
  <c r="F34" i="39"/>
  <c r="G11" i="65"/>
  <c r="G37" i="65"/>
  <c r="G38" i="65"/>
  <c r="G36" i="65"/>
  <c r="G34" i="65"/>
  <c r="M11" i="50"/>
  <c r="M37" i="50"/>
  <c r="M34" i="50"/>
  <c r="M38" i="50"/>
  <c r="M36" i="50"/>
  <c r="K11" i="50"/>
  <c r="K37" i="50"/>
  <c r="K36" i="50"/>
  <c r="K34" i="50"/>
  <c r="K38" i="50"/>
  <c r="J13" i="40"/>
  <c r="H14" i="43"/>
  <c r="L12" i="43"/>
  <c r="L13" i="50"/>
  <c r="M14" i="50"/>
  <c r="L14" i="39"/>
  <c r="L13" i="39"/>
  <c r="I11" i="39"/>
  <c r="I36" i="39"/>
  <c r="I37" i="39"/>
  <c r="I34" i="39"/>
  <c r="I38" i="39"/>
  <c r="H14" i="39"/>
  <c r="J12" i="39"/>
  <c r="F14" i="40"/>
  <c r="F12" i="39"/>
  <c r="L11" i="40"/>
  <c r="L37" i="40"/>
  <c r="L36" i="40"/>
  <c r="L38" i="40"/>
  <c r="L34" i="40"/>
  <c r="G12" i="64"/>
  <c r="L11" i="64"/>
  <c r="L37" i="64"/>
  <c r="L38" i="64"/>
  <c r="L36" i="64"/>
  <c r="L34" i="64"/>
  <c r="J12" i="63"/>
  <c r="I11" i="63"/>
  <c r="I36" i="63"/>
  <c r="I34" i="63"/>
  <c r="I38" i="63"/>
  <c r="I37" i="63"/>
  <c r="I13" i="64"/>
  <c r="H13" i="65"/>
  <c r="L11" i="65"/>
  <c r="L36" i="65"/>
  <c r="L37" i="65"/>
  <c r="L34" i="65"/>
  <c r="L38" i="65"/>
  <c r="G11" i="64"/>
  <c r="G38" i="64"/>
  <c r="G37" i="64"/>
  <c r="G34" i="64"/>
  <c r="G36" i="64"/>
  <c r="I13" i="65"/>
  <c r="H11" i="69"/>
  <c r="H35" i="69"/>
  <c r="H31" i="69"/>
  <c r="H33" i="69"/>
  <c r="H34" i="69"/>
  <c r="H12" i="69"/>
  <c r="H13" i="69"/>
  <c r="G14" i="69"/>
  <c r="J11" i="80"/>
  <c r="J37" i="80"/>
  <c r="J36" i="80"/>
  <c r="J38" i="80"/>
  <c r="J34" i="80"/>
  <c r="I11" i="71"/>
  <c r="I38" i="71"/>
  <c r="I37" i="71"/>
  <c r="I36" i="71"/>
  <c r="I34" i="71"/>
  <c r="L14" i="75"/>
  <c r="M11" i="75"/>
  <c r="M36" i="75"/>
  <c r="M38" i="75"/>
  <c r="M34" i="75"/>
  <c r="M37" i="75"/>
  <c r="F37" i="80"/>
  <c r="F36" i="80"/>
  <c r="F34" i="80"/>
  <c r="F38" i="80"/>
  <c r="M12" i="75"/>
  <c r="H11" i="71"/>
  <c r="H36" i="71"/>
  <c r="H37" i="71"/>
  <c r="H38" i="71"/>
  <c r="H34" i="71"/>
  <c r="I11" i="79"/>
  <c r="I37" i="79"/>
  <c r="I34" i="79"/>
  <c r="I36" i="79"/>
  <c r="I38" i="79"/>
  <c r="J14" i="80"/>
  <c r="H12" i="82"/>
  <c r="F7" i="43"/>
  <c r="F14" i="43" s="1"/>
  <c r="L27" i="71" l="1"/>
  <c r="L28" i="71" s="1"/>
  <c r="L29" i="71" s="1"/>
  <c r="K27" i="80"/>
  <c r="K28" i="80" s="1"/>
  <c r="K29" i="80" s="1"/>
  <c r="I27" i="79"/>
  <c r="I28" i="79" s="1"/>
  <c r="I29" i="79" s="1"/>
  <c r="H27" i="80"/>
  <c r="H28" i="80" s="1"/>
  <c r="H29" i="80" s="1"/>
  <c r="H15" i="80" s="1"/>
  <c r="H17" i="80" s="1"/>
  <c r="I27" i="63"/>
  <c r="I28" i="63" s="1"/>
  <c r="I29" i="63" s="1"/>
  <c r="K27" i="43"/>
  <c r="K28" i="43" s="1"/>
  <c r="K29" i="43" s="1"/>
  <c r="K15" i="43" s="1"/>
  <c r="K17" i="43" s="1"/>
  <c r="L24" i="69"/>
  <c r="L25" i="69" s="1"/>
  <c r="L26" i="69" s="1"/>
  <c r="L53" i="69" s="1"/>
  <c r="F27" i="71"/>
  <c r="F28" i="71" s="1"/>
  <c r="F29" i="71" s="1"/>
  <c r="F55" i="71" s="1"/>
  <c r="M27" i="82"/>
  <c r="M28" i="82" s="1"/>
  <c r="M29" i="82" s="1"/>
  <c r="M54" i="82" s="1"/>
  <c r="H27" i="71"/>
  <c r="H28" i="71" s="1"/>
  <c r="H29" i="71" s="1"/>
  <c r="H56" i="71" s="1"/>
  <c r="G27" i="75"/>
  <c r="G28" i="75" s="1"/>
  <c r="G29" i="75" s="1"/>
  <c r="F27" i="81"/>
  <c r="F28" i="81" s="1"/>
  <c r="F29" i="81" s="1"/>
  <c r="F54" i="81" s="1"/>
  <c r="J27" i="71"/>
  <c r="J28" i="71" s="1"/>
  <c r="J29" i="71" s="1"/>
  <c r="M27" i="43"/>
  <c r="M28" i="43" s="1"/>
  <c r="H27" i="43"/>
  <c r="H28" i="43" s="1"/>
  <c r="H29" i="43" s="1"/>
  <c r="H15" i="43" s="1"/>
  <c r="H17" i="43" s="1"/>
  <c r="J27" i="82"/>
  <c r="J28" i="82" s="1"/>
  <c r="J29" i="82" s="1"/>
  <c r="J15" i="82" s="1"/>
  <c r="J17" i="82" s="1"/>
  <c r="G27" i="65"/>
  <c r="G28" i="65" s="1"/>
  <c r="G29" i="65" s="1"/>
  <c r="G54" i="65" s="1"/>
  <c r="G27" i="64"/>
  <c r="G28" i="64" s="1"/>
  <c r="G29" i="64" s="1"/>
  <c r="G54" i="64" s="1"/>
  <c r="J27" i="65"/>
  <c r="J28" i="65" s="1"/>
  <c r="J29" i="65" s="1"/>
  <c r="J15" i="65" s="1"/>
  <c r="J17" i="65" s="1"/>
  <c r="G27" i="82"/>
  <c r="G28" i="82" s="1"/>
  <c r="G29" i="82" s="1"/>
  <c r="G15" i="82" s="1"/>
  <c r="G17" i="82" s="1"/>
  <c r="M27" i="81"/>
  <c r="M28" i="81" s="1"/>
  <c r="M29" i="81" s="1"/>
  <c r="M54" i="81" s="1"/>
  <c r="J27" i="81"/>
  <c r="J28" i="81" s="1"/>
  <c r="J29" i="81" s="1"/>
  <c r="J55" i="81" s="1"/>
  <c r="G27" i="63"/>
  <c r="G28" i="63" s="1"/>
  <c r="G29" i="63" s="1"/>
  <c r="G55" i="63" s="1"/>
  <c r="I27" i="81"/>
  <c r="I28" i="81" s="1"/>
  <c r="I29" i="81" s="1"/>
  <c r="I15" i="81" s="1"/>
  <c r="I17" i="81" s="1"/>
  <c r="J27" i="63"/>
  <c r="J28" i="63" s="1"/>
  <c r="J29" i="63" s="1"/>
  <c r="J54" i="63" s="1"/>
  <c r="J27" i="43"/>
  <c r="J28" i="43" s="1"/>
  <c r="J29" i="43" s="1"/>
  <c r="J55" i="43" s="1"/>
  <c r="H27" i="39"/>
  <c r="H28" i="39" s="1"/>
  <c r="H29" i="39" s="1"/>
  <c r="H58" i="39" s="1"/>
  <c r="F27" i="80"/>
  <c r="F28" i="80" s="1"/>
  <c r="F29" i="80" s="1"/>
  <c r="F55" i="80" s="1"/>
  <c r="H24" i="69"/>
  <c r="H25" i="69" s="1"/>
  <c r="H26" i="69" s="1"/>
  <c r="H52" i="69" s="1"/>
  <c r="F27" i="64"/>
  <c r="F28" i="64" s="1"/>
  <c r="F29" i="64" s="1"/>
  <c r="F56" i="64" s="1"/>
  <c r="L27" i="63"/>
  <c r="L28" i="63" s="1"/>
  <c r="L29" i="63" s="1"/>
  <c r="L54" i="63" s="1"/>
  <c r="H27" i="81"/>
  <c r="H28" i="81" s="1"/>
  <c r="H29" i="81" s="1"/>
  <c r="H56" i="81" s="1"/>
  <c r="G38" i="69"/>
  <c r="J24" i="69"/>
  <c r="J25" i="69" s="1"/>
  <c r="J26" i="69" s="1"/>
  <c r="J53" i="69" s="1"/>
  <c r="I27" i="75"/>
  <c r="I28" i="75" s="1"/>
  <c r="I29" i="75" s="1"/>
  <c r="I55" i="75" s="1"/>
  <c r="G27" i="50"/>
  <c r="G28" i="50" s="1"/>
  <c r="G29" i="50" s="1"/>
  <c r="G55" i="50" s="1"/>
  <c r="M24" i="69"/>
  <c r="M25" i="69" s="1"/>
  <c r="M26" i="69" s="1"/>
  <c r="M53" i="69" s="1"/>
  <c r="M27" i="39"/>
  <c r="M28" i="39" s="1"/>
  <c r="M29" i="39" s="1"/>
  <c r="M58" i="39" s="1"/>
  <c r="M27" i="63"/>
  <c r="M28" i="63" s="1"/>
  <c r="M29" i="63" s="1"/>
  <c r="M55" i="63" s="1"/>
  <c r="L27" i="81"/>
  <c r="L28" i="81" s="1"/>
  <c r="L29" i="81" s="1"/>
  <c r="L15" i="81" s="1"/>
  <c r="L17" i="81" s="1"/>
  <c r="K24" i="69"/>
  <c r="K25" i="69" s="1"/>
  <c r="K26" i="69" s="1"/>
  <c r="K51" i="69" s="1"/>
  <c r="M27" i="50"/>
  <c r="M28" i="50" s="1"/>
  <c r="M29" i="50" s="1"/>
  <c r="M55" i="50" s="1"/>
  <c r="I27" i="80"/>
  <c r="I28" i="80" s="1"/>
  <c r="I29" i="80" s="1"/>
  <c r="I56" i="80" s="1"/>
  <c r="I27" i="43"/>
  <c r="I28" i="43" s="1"/>
  <c r="I29" i="43" s="1"/>
  <c r="I54" i="43" s="1"/>
  <c r="F27" i="43"/>
  <c r="F28" i="43" s="1"/>
  <c r="F29" i="43" s="1"/>
  <c r="F27" i="63"/>
  <c r="F28" i="63" s="1"/>
  <c r="F29" i="63" s="1"/>
  <c r="F54" i="63" s="1"/>
  <c r="J27" i="80"/>
  <c r="J28" i="80" s="1"/>
  <c r="J29" i="80" s="1"/>
  <c r="J55" i="80" s="1"/>
  <c r="I27" i="71"/>
  <c r="I28" i="71" s="1"/>
  <c r="I29" i="71" s="1"/>
  <c r="I56" i="71" s="1"/>
  <c r="G27" i="39"/>
  <c r="G28" i="39" s="1"/>
  <c r="G29" i="39" s="1"/>
  <c r="G15" i="39" s="1"/>
  <c r="G17" i="39" s="1"/>
  <c r="F24" i="69"/>
  <c r="F25" i="69" s="1"/>
  <c r="F26" i="69" s="1"/>
  <c r="F52" i="69" s="1"/>
  <c r="I27" i="39"/>
  <c r="I28" i="39" s="1"/>
  <c r="I29" i="39" s="1"/>
  <c r="I54" i="39" s="1"/>
  <c r="L27" i="64"/>
  <c r="L28" i="64" s="1"/>
  <c r="L29" i="64" s="1"/>
  <c r="L55" i="64" s="1"/>
  <c r="L27" i="65"/>
  <c r="L28" i="65" s="1"/>
  <c r="L29" i="65" s="1"/>
  <c r="L55" i="65" s="1"/>
  <c r="K27" i="50"/>
  <c r="K28" i="50" s="1"/>
  <c r="K29" i="50" s="1"/>
  <c r="K15" i="50" s="1"/>
  <c r="K17" i="50" s="1"/>
  <c r="I27" i="82"/>
  <c r="I28" i="82" s="1"/>
  <c r="I29" i="82" s="1"/>
  <c r="I54" i="82" s="1"/>
  <c r="K38" i="69"/>
  <c r="K27" i="40"/>
  <c r="K28" i="40" s="1"/>
  <c r="K29" i="40" s="1"/>
  <c r="K55" i="40" s="1"/>
  <c r="M27" i="79"/>
  <c r="M28" i="79" s="1"/>
  <c r="M29" i="79" s="1"/>
  <c r="M55" i="79" s="1"/>
  <c r="M27" i="64"/>
  <c r="M28" i="64" s="1"/>
  <c r="M29" i="64" s="1"/>
  <c r="M55" i="64" s="1"/>
  <c r="K27" i="39"/>
  <c r="K28" i="39" s="1"/>
  <c r="K29" i="39" s="1"/>
  <c r="K54" i="39" s="1"/>
  <c r="M27" i="80"/>
  <c r="M28" i="80" s="1"/>
  <c r="M29" i="80" s="1"/>
  <c r="M56" i="80" s="1"/>
  <c r="H56" i="43"/>
  <c r="H54" i="43"/>
  <c r="I84" i="71"/>
  <c r="I41" i="71"/>
  <c r="H84" i="80"/>
  <c r="H41" i="80"/>
  <c r="L55" i="71"/>
  <c r="L56" i="71"/>
  <c r="L15" i="71"/>
  <c r="L17" i="71" s="1"/>
  <c r="L54" i="71"/>
  <c r="H84" i="50"/>
  <c r="H41" i="50"/>
  <c r="K84" i="75"/>
  <c r="K41" i="75"/>
  <c r="F84" i="79"/>
  <c r="F41" i="79"/>
  <c r="K84" i="82"/>
  <c r="K41" i="82"/>
  <c r="H84" i="79"/>
  <c r="H41" i="79"/>
  <c r="M84" i="63"/>
  <c r="M41" i="63"/>
  <c r="M84" i="82"/>
  <c r="M41" i="82"/>
  <c r="L27" i="80"/>
  <c r="L28" i="80" s="1"/>
  <c r="L29" i="80" s="1"/>
  <c r="L84" i="63"/>
  <c r="L41" i="63"/>
  <c r="L84" i="82"/>
  <c r="L41" i="82"/>
  <c r="F84" i="82"/>
  <c r="F41" i="82"/>
  <c r="G27" i="40"/>
  <c r="G28" i="40" s="1"/>
  <c r="G29" i="40" s="1"/>
  <c r="H27" i="82"/>
  <c r="H28" i="82" s="1"/>
  <c r="H29" i="82" s="1"/>
  <c r="K84" i="80"/>
  <c r="K41" i="80"/>
  <c r="K92" i="80" s="1"/>
  <c r="K94" i="80" s="1"/>
  <c r="L38" i="69"/>
  <c r="I84" i="40"/>
  <c r="I41" i="40"/>
  <c r="H27" i="65"/>
  <c r="H28" i="65" s="1"/>
  <c r="H29" i="65" s="1"/>
  <c r="I24" i="69"/>
  <c r="I25" i="69" s="1"/>
  <c r="I26" i="69" s="1"/>
  <c r="J84" i="64"/>
  <c r="J41" i="64"/>
  <c r="K27" i="75"/>
  <c r="K28" i="75" s="1"/>
  <c r="K29" i="75" s="1"/>
  <c r="F84" i="64"/>
  <c r="F41" i="64"/>
  <c r="F92" i="64" s="1"/>
  <c r="M27" i="71"/>
  <c r="M28" i="71" s="1"/>
  <c r="M29" i="71" s="1"/>
  <c r="J26" i="71" s="1"/>
  <c r="L84" i="81"/>
  <c r="L41" i="81"/>
  <c r="K27" i="81"/>
  <c r="K28" i="81" s="1"/>
  <c r="K29" i="81" s="1"/>
  <c r="K84" i="40"/>
  <c r="K41" i="40"/>
  <c r="G84" i="50"/>
  <c r="G41" i="50"/>
  <c r="I84" i="80"/>
  <c r="I41" i="80"/>
  <c r="M84" i="39"/>
  <c r="M81" i="69" s="1"/>
  <c r="M41" i="39"/>
  <c r="M84" i="75"/>
  <c r="M41" i="75"/>
  <c r="I55" i="63"/>
  <c r="I54" i="63"/>
  <c r="I56" i="63"/>
  <c r="I15" i="63"/>
  <c r="I17" i="63" s="1"/>
  <c r="I58" i="63"/>
  <c r="L84" i="40"/>
  <c r="L41" i="40"/>
  <c r="G84" i="65"/>
  <c r="G41" i="65"/>
  <c r="H55" i="80"/>
  <c r="H54" i="80"/>
  <c r="I84" i="65"/>
  <c r="I41" i="65"/>
  <c r="G84" i="39"/>
  <c r="G81" i="69" s="1"/>
  <c r="G41" i="39"/>
  <c r="I84" i="82"/>
  <c r="I41" i="82"/>
  <c r="L27" i="43"/>
  <c r="L28" i="43" s="1"/>
  <c r="L29" i="43" s="1"/>
  <c r="M38" i="69"/>
  <c r="F27" i="65"/>
  <c r="F28" i="65" s="1"/>
  <c r="F29" i="65" s="1"/>
  <c r="J27" i="64"/>
  <c r="J28" i="64" s="1"/>
  <c r="J29" i="64" s="1"/>
  <c r="K84" i="39"/>
  <c r="K81" i="69" s="1"/>
  <c r="K41" i="39"/>
  <c r="F27" i="40"/>
  <c r="F28" i="40" s="1"/>
  <c r="F29" i="40" s="1"/>
  <c r="J15" i="71"/>
  <c r="J17" i="71" s="1"/>
  <c r="J54" i="71"/>
  <c r="J55" i="71"/>
  <c r="J56" i="71"/>
  <c r="H84" i="75"/>
  <c r="H41" i="75"/>
  <c r="K84" i="71"/>
  <c r="K41" i="71"/>
  <c r="K92" i="71" s="1"/>
  <c r="K94" i="71" s="1"/>
  <c r="F27" i="79"/>
  <c r="F28" i="79" s="1"/>
  <c r="F29" i="79" s="1"/>
  <c r="H84" i="40"/>
  <c r="H41" i="40"/>
  <c r="J27" i="39"/>
  <c r="J28" i="39" s="1"/>
  <c r="J29" i="39" s="1"/>
  <c r="F84" i="75"/>
  <c r="F41" i="75"/>
  <c r="F38" i="69"/>
  <c r="G27" i="71"/>
  <c r="G28" i="71" s="1"/>
  <c r="G29" i="71" s="1"/>
  <c r="L84" i="75"/>
  <c r="L41" i="75"/>
  <c r="L27" i="82"/>
  <c r="L28" i="82" s="1"/>
  <c r="L29" i="82" s="1"/>
  <c r="H84" i="71"/>
  <c r="H41" i="71"/>
  <c r="L84" i="65"/>
  <c r="L41" i="65"/>
  <c r="G84" i="64"/>
  <c r="G41" i="64"/>
  <c r="G84" i="82"/>
  <c r="G41" i="82"/>
  <c r="G84" i="75"/>
  <c r="G41" i="75"/>
  <c r="G92" i="75" s="1"/>
  <c r="G94" i="75" s="1"/>
  <c r="L55" i="69"/>
  <c r="L44" i="69"/>
  <c r="L45" i="69" s="1"/>
  <c r="L46" i="69" s="1"/>
  <c r="M84" i="64"/>
  <c r="M41" i="64"/>
  <c r="I84" i="50"/>
  <c r="I41" i="50"/>
  <c r="F84" i="71"/>
  <c r="F41" i="71"/>
  <c r="J84" i="75"/>
  <c r="J41" i="75"/>
  <c r="M84" i="40"/>
  <c r="M41" i="40"/>
  <c r="M84" i="80"/>
  <c r="M41" i="80"/>
  <c r="J84" i="79"/>
  <c r="J41" i="79"/>
  <c r="F27" i="75"/>
  <c r="F28" i="75" s="1"/>
  <c r="F29" i="75" s="1"/>
  <c r="F84" i="63"/>
  <c r="F41" i="63"/>
  <c r="K27" i="65"/>
  <c r="K28" i="65" s="1"/>
  <c r="K29" i="65" s="1"/>
  <c r="F84" i="65"/>
  <c r="F41" i="65"/>
  <c r="H84" i="64"/>
  <c r="H41" i="64"/>
  <c r="L84" i="50"/>
  <c r="L41" i="50"/>
  <c r="H27" i="50"/>
  <c r="H28" i="50" s="1"/>
  <c r="H29" i="50" s="1"/>
  <c r="H27" i="75"/>
  <c r="H28" i="75" s="1"/>
  <c r="H29" i="75" s="1"/>
  <c r="J27" i="79"/>
  <c r="J28" i="79" s="1"/>
  <c r="J29" i="79" s="1"/>
  <c r="H84" i="63"/>
  <c r="H41" i="63"/>
  <c r="H27" i="40"/>
  <c r="H28" i="40" s="1"/>
  <c r="H29" i="40" s="1"/>
  <c r="J84" i="40"/>
  <c r="J41" i="40"/>
  <c r="K27" i="82"/>
  <c r="K28" i="82" s="1"/>
  <c r="K29" i="82" s="1"/>
  <c r="H27" i="79"/>
  <c r="H28" i="79" s="1"/>
  <c r="H29" i="79" s="1"/>
  <c r="G84" i="81"/>
  <c r="G41" i="81"/>
  <c r="L84" i="80"/>
  <c r="L41" i="80"/>
  <c r="G24" i="69"/>
  <c r="G25" i="69" s="1"/>
  <c r="G26" i="69" s="1"/>
  <c r="K84" i="64"/>
  <c r="K41" i="64"/>
  <c r="K84" i="79"/>
  <c r="K41" i="79"/>
  <c r="I84" i="63"/>
  <c r="I41" i="63"/>
  <c r="I92" i="63" s="1"/>
  <c r="I94" i="63" s="1"/>
  <c r="F27" i="39"/>
  <c r="G84" i="79"/>
  <c r="G41" i="79"/>
  <c r="G47" i="79" s="1"/>
  <c r="G48" i="79" s="1"/>
  <c r="G49" i="79" s="1"/>
  <c r="J84" i="80"/>
  <c r="J41" i="80"/>
  <c r="H84" i="81"/>
  <c r="H41" i="81"/>
  <c r="K56" i="80"/>
  <c r="K55" i="80"/>
  <c r="K54" i="80"/>
  <c r="K15" i="80"/>
  <c r="K17" i="80" s="1"/>
  <c r="H84" i="39"/>
  <c r="H81" i="69" s="1"/>
  <c r="H41" i="39"/>
  <c r="M27" i="75"/>
  <c r="M28" i="75" s="1"/>
  <c r="M29" i="75" s="1"/>
  <c r="G84" i="63"/>
  <c r="G41" i="63"/>
  <c r="G47" i="63" s="1"/>
  <c r="G48" i="63" s="1"/>
  <c r="G49" i="63" s="1"/>
  <c r="I27" i="65"/>
  <c r="I28" i="65" s="1"/>
  <c r="I29" i="65" s="1"/>
  <c r="J84" i="63"/>
  <c r="J41" i="63"/>
  <c r="H84" i="82"/>
  <c r="H41" i="82"/>
  <c r="G55" i="75"/>
  <c r="G56" i="75"/>
  <c r="G15" i="75"/>
  <c r="G17" i="75" s="1"/>
  <c r="G54" i="75"/>
  <c r="M84" i="65"/>
  <c r="M41" i="65"/>
  <c r="M54" i="64"/>
  <c r="I27" i="40"/>
  <c r="I28" i="40" s="1"/>
  <c r="I29" i="40" s="1"/>
  <c r="F84" i="81"/>
  <c r="F41" i="81"/>
  <c r="H27" i="64"/>
  <c r="H28" i="64" s="1"/>
  <c r="H29" i="64" s="1"/>
  <c r="M27" i="40"/>
  <c r="M28" i="40" s="1"/>
  <c r="M29" i="40" s="1"/>
  <c r="F84" i="50"/>
  <c r="F41" i="50"/>
  <c r="G27" i="43"/>
  <c r="J84" i="50"/>
  <c r="J41" i="50"/>
  <c r="G84" i="80"/>
  <c r="G41" i="80"/>
  <c r="K56" i="71"/>
  <c r="K54" i="71"/>
  <c r="K15" i="71"/>
  <c r="K17" i="71" s="1"/>
  <c r="K55" i="71"/>
  <c r="J27" i="40"/>
  <c r="J28" i="40" s="1"/>
  <c r="J29" i="40" s="1"/>
  <c r="L84" i="79"/>
  <c r="L41" i="79"/>
  <c r="K84" i="63"/>
  <c r="K41" i="63"/>
  <c r="K27" i="64"/>
  <c r="K28" i="64" s="1"/>
  <c r="K29" i="64" s="1"/>
  <c r="K84" i="50"/>
  <c r="K41" i="50"/>
  <c r="M84" i="79"/>
  <c r="M41" i="79"/>
  <c r="I84" i="79"/>
  <c r="I41" i="79"/>
  <c r="I47" i="79" s="1"/>
  <c r="I48" i="79" s="1"/>
  <c r="I49" i="79" s="1"/>
  <c r="L84" i="64"/>
  <c r="L41" i="64"/>
  <c r="I41" i="39"/>
  <c r="I84" i="39"/>
  <c r="I81" i="69" s="1"/>
  <c r="F27" i="82"/>
  <c r="F28" i="82" s="1"/>
  <c r="F29" i="82" s="1"/>
  <c r="J38" i="69"/>
  <c r="M84" i="81"/>
  <c r="M41" i="81"/>
  <c r="I15" i="79"/>
  <c r="I17" i="79" s="1"/>
  <c r="I55" i="79"/>
  <c r="I54" i="79"/>
  <c r="I56" i="79"/>
  <c r="F84" i="80"/>
  <c r="F41" i="80"/>
  <c r="H38" i="69"/>
  <c r="L27" i="40"/>
  <c r="L28" i="40" s="1"/>
  <c r="L29" i="40" s="1"/>
  <c r="M84" i="50"/>
  <c r="M41" i="50"/>
  <c r="I84" i="81"/>
  <c r="I41" i="81"/>
  <c r="G56" i="82"/>
  <c r="I84" i="75"/>
  <c r="I41" i="75"/>
  <c r="M27" i="65"/>
  <c r="M28" i="65" s="1"/>
  <c r="M29" i="65" s="1"/>
  <c r="I27" i="50"/>
  <c r="I28" i="50" s="1"/>
  <c r="I29" i="50" s="1"/>
  <c r="H84" i="65"/>
  <c r="H41" i="65"/>
  <c r="J27" i="75"/>
  <c r="J28" i="75" s="1"/>
  <c r="J29" i="75" s="1"/>
  <c r="I84" i="64"/>
  <c r="I41" i="64"/>
  <c r="J84" i="65"/>
  <c r="J41" i="65"/>
  <c r="H27" i="63"/>
  <c r="H28" i="63" s="1"/>
  <c r="H29" i="63" s="1"/>
  <c r="J41" i="39"/>
  <c r="J84" i="39"/>
  <c r="J81" i="69" s="1"/>
  <c r="M84" i="71"/>
  <c r="M41" i="71"/>
  <c r="K27" i="63"/>
  <c r="K28" i="63" s="1"/>
  <c r="K29" i="63" s="1"/>
  <c r="G27" i="81"/>
  <c r="G28" i="81" s="1"/>
  <c r="G29" i="81" s="1"/>
  <c r="G84" i="71"/>
  <c r="G41" i="71"/>
  <c r="L27" i="75"/>
  <c r="L28" i="75" s="1"/>
  <c r="L29" i="75" s="1"/>
  <c r="L84" i="39"/>
  <c r="L81" i="69" s="1"/>
  <c r="L41" i="39"/>
  <c r="F41" i="39"/>
  <c r="F84" i="39"/>
  <c r="F81" i="69" s="1"/>
  <c r="J84" i="82"/>
  <c r="J41" i="82"/>
  <c r="G56" i="79"/>
  <c r="G54" i="79"/>
  <c r="G15" i="79"/>
  <c r="G17" i="79" s="1"/>
  <c r="G55" i="79"/>
  <c r="G84" i="40"/>
  <c r="G41" i="40"/>
  <c r="L84" i="71"/>
  <c r="L41" i="71"/>
  <c r="L92" i="71" s="1"/>
  <c r="L94" i="71" s="1"/>
  <c r="I38" i="69"/>
  <c r="I27" i="64"/>
  <c r="I28" i="64" s="1"/>
  <c r="I29" i="64" s="1"/>
  <c r="F27" i="50"/>
  <c r="L27" i="50"/>
  <c r="L28" i="50" s="1"/>
  <c r="L29" i="50" s="1"/>
  <c r="F84" i="40"/>
  <c r="F41" i="40"/>
  <c r="J84" i="71"/>
  <c r="J41" i="71"/>
  <c r="J92" i="71" s="1"/>
  <c r="J27" i="50"/>
  <c r="J28" i="50" s="1"/>
  <c r="J29" i="50" s="1"/>
  <c r="G27" i="80"/>
  <c r="G28" i="80" s="1"/>
  <c r="G29" i="80" s="1"/>
  <c r="M55" i="80"/>
  <c r="J84" i="81"/>
  <c r="J41" i="81"/>
  <c r="L27" i="79"/>
  <c r="L28" i="79" s="1"/>
  <c r="L29" i="79" s="1"/>
  <c r="K84" i="81"/>
  <c r="K41" i="81"/>
  <c r="K84" i="65"/>
  <c r="K41" i="65"/>
  <c r="L27" i="39"/>
  <c r="L28" i="39" s="1"/>
  <c r="L29" i="39" s="1"/>
  <c r="K27" i="79"/>
  <c r="K28" i="79" s="1"/>
  <c r="K29" i="79" s="1"/>
  <c r="L52" i="69" l="1"/>
  <c r="H55" i="43"/>
  <c r="L51" i="69"/>
  <c r="F56" i="71"/>
  <c r="J56" i="80"/>
  <c r="G15" i="63"/>
  <c r="G17" i="63" s="1"/>
  <c r="G54" i="63"/>
  <c r="H92" i="43"/>
  <c r="H94" i="43" s="1"/>
  <c r="H47" i="43"/>
  <c r="H48" i="43" s="1"/>
  <c r="H49" i="43" s="1"/>
  <c r="H80" i="43" s="1"/>
  <c r="J92" i="82"/>
  <c r="M29" i="43"/>
  <c r="K56" i="43"/>
  <c r="K55" i="43"/>
  <c r="H15" i="81"/>
  <c r="H17" i="81" s="1"/>
  <c r="F54" i="71"/>
  <c r="M54" i="39"/>
  <c r="F92" i="71"/>
  <c r="F94" i="71" s="1"/>
  <c r="M56" i="39"/>
  <c r="F54" i="64"/>
  <c r="H56" i="80"/>
  <c r="K92" i="43"/>
  <c r="K94" i="43" s="1"/>
  <c r="K47" i="43"/>
  <c r="K48" i="43" s="1"/>
  <c r="K49" i="43" s="1"/>
  <c r="K80" i="43" s="1"/>
  <c r="K54" i="43"/>
  <c r="H47" i="80"/>
  <c r="H48" i="80" s="1"/>
  <c r="H49" i="80" s="1"/>
  <c r="J56" i="82"/>
  <c r="J54" i="82"/>
  <c r="F15" i="71"/>
  <c r="F17" i="71" s="1"/>
  <c r="M15" i="82"/>
  <c r="M17" i="82" s="1"/>
  <c r="M56" i="82"/>
  <c r="M92" i="82"/>
  <c r="M94" i="82" s="1"/>
  <c r="G55" i="65"/>
  <c r="M55" i="82"/>
  <c r="H54" i="71"/>
  <c r="G56" i="64"/>
  <c r="H55" i="71"/>
  <c r="H15" i="71"/>
  <c r="H17" i="71" s="1"/>
  <c r="F44" i="69"/>
  <c r="F45" i="69" s="1"/>
  <c r="F46" i="69" s="1"/>
  <c r="F49" i="69" s="1"/>
  <c r="H92" i="71"/>
  <c r="H94" i="71" s="1"/>
  <c r="J94" i="71"/>
  <c r="J94" i="82"/>
  <c r="F94" i="64"/>
  <c r="F55" i="81"/>
  <c r="F15" i="81"/>
  <c r="F17" i="81" s="1"/>
  <c r="I26" i="81"/>
  <c r="F47" i="81"/>
  <c r="F48" i="81" s="1"/>
  <c r="F49" i="81" s="1"/>
  <c r="F52" i="81" s="1"/>
  <c r="G55" i="82"/>
  <c r="G92" i="82"/>
  <c r="G94" i="82" s="1"/>
  <c r="F56" i="81"/>
  <c r="F92" i="81"/>
  <c r="G54" i="82"/>
  <c r="H55" i="81"/>
  <c r="J55" i="82"/>
  <c r="K44" i="69"/>
  <c r="K45" i="69" s="1"/>
  <c r="K46" i="69" s="1"/>
  <c r="H54" i="81"/>
  <c r="I92" i="81"/>
  <c r="I94" i="81" s="1"/>
  <c r="I55" i="81"/>
  <c r="J56" i="63"/>
  <c r="I55" i="71"/>
  <c r="G47" i="65"/>
  <c r="G48" i="65" s="1"/>
  <c r="G49" i="65" s="1"/>
  <c r="I56" i="81"/>
  <c r="G15" i="65"/>
  <c r="G17" i="65" s="1"/>
  <c r="I54" i="81"/>
  <c r="I92" i="71"/>
  <c r="I94" i="71" s="1"/>
  <c r="G56" i="65"/>
  <c r="J92" i="63"/>
  <c r="H47" i="81"/>
  <c r="H48" i="81" s="1"/>
  <c r="H49" i="81" s="1"/>
  <c r="H80" i="81" s="1"/>
  <c r="I15" i="80"/>
  <c r="I17" i="80" s="1"/>
  <c r="I92" i="75"/>
  <c r="I94" i="75" s="1"/>
  <c r="I92" i="80"/>
  <c r="I94" i="80" s="1"/>
  <c r="H54" i="39"/>
  <c r="G15" i="64"/>
  <c r="G17" i="64" s="1"/>
  <c r="G55" i="64"/>
  <c r="F92" i="40"/>
  <c r="J55" i="69"/>
  <c r="J52" i="69"/>
  <c r="I15" i="75"/>
  <c r="I17" i="75" s="1"/>
  <c r="M15" i="64"/>
  <c r="M17" i="64" s="1"/>
  <c r="H56" i="39"/>
  <c r="I55" i="39"/>
  <c r="M92" i="64"/>
  <c r="M94" i="64" s="1"/>
  <c r="I56" i="75"/>
  <c r="I58" i="39"/>
  <c r="F55" i="69"/>
  <c r="M15" i="79"/>
  <c r="M17" i="79" s="1"/>
  <c r="G47" i="64"/>
  <c r="G48" i="64" s="1"/>
  <c r="G49" i="64" s="1"/>
  <c r="G80" i="64" s="1"/>
  <c r="J15" i="43"/>
  <c r="J17" i="43" s="1"/>
  <c r="L54" i="65"/>
  <c r="M47" i="81"/>
  <c r="M48" i="81" s="1"/>
  <c r="M49" i="81" s="1"/>
  <c r="M80" i="81" s="1"/>
  <c r="M55" i="69"/>
  <c r="H53" i="69"/>
  <c r="M47" i="64"/>
  <c r="M48" i="64" s="1"/>
  <c r="M49" i="64" s="1"/>
  <c r="J54" i="65"/>
  <c r="M15" i="80"/>
  <c r="M17" i="80" s="1"/>
  <c r="M51" i="69"/>
  <c r="M44" i="69"/>
  <c r="M45" i="69" s="1"/>
  <c r="M46" i="69" s="1"/>
  <c r="I54" i="75"/>
  <c r="G58" i="63"/>
  <c r="H51" i="69"/>
  <c r="J55" i="65"/>
  <c r="M54" i="80"/>
  <c r="M26" i="81"/>
  <c r="H44" i="69"/>
  <c r="H45" i="69" s="1"/>
  <c r="H46" i="69" s="1"/>
  <c r="M56" i="64"/>
  <c r="L56" i="65"/>
  <c r="G56" i="63"/>
  <c r="H55" i="39"/>
  <c r="H92" i="39"/>
  <c r="H89" i="69" s="1"/>
  <c r="H91" i="69" s="1"/>
  <c r="M54" i="63"/>
  <c r="L47" i="65"/>
  <c r="L48" i="65" s="1"/>
  <c r="L49" i="65" s="1"/>
  <c r="L80" i="65" s="1"/>
  <c r="H15" i="39"/>
  <c r="H17" i="39" s="1"/>
  <c r="I47" i="80"/>
  <c r="I48" i="80" s="1"/>
  <c r="I49" i="80" s="1"/>
  <c r="I80" i="80" s="1"/>
  <c r="M92" i="80"/>
  <c r="M94" i="80" s="1"/>
  <c r="M15" i="81"/>
  <c r="M17" i="81" s="1"/>
  <c r="K47" i="71"/>
  <c r="K48" i="71" s="1"/>
  <c r="K49" i="71" s="1"/>
  <c r="K80" i="71" s="1"/>
  <c r="I15" i="39"/>
  <c r="I17" i="39" s="1"/>
  <c r="J92" i="65"/>
  <c r="M56" i="81"/>
  <c r="L56" i="64"/>
  <c r="K15" i="39"/>
  <c r="K17" i="39" s="1"/>
  <c r="I55" i="80"/>
  <c r="F92" i="65"/>
  <c r="F58" i="63"/>
  <c r="J56" i="65"/>
  <c r="M55" i="81"/>
  <c r="L26" i="80"/>
  <c r="I56" i="39"/>
  <c r="G26" i="82"/>
  <c r="I54" i="80"/>
  <c r="I92" i="39"/>
  <c r="I89" i="69" s="1"/>
  <c r="I91" i="69" s="1"/>
  <c r="J15" i="81"/>
  <c r="J17" i="81" s="1"/>
  <c r="M26" i="79"/>
  <c r="M15" i="39"/>
  <c r="M17" i="39" s="1"/>
  <c r="F15" i="64"/>
  <c r="F17" i="64" s="1"/>
  <c r="F55" i="63"/>
  <c r="J51" i="69"/>
  <c r="F53" i="69"/>
  <c r="F26" i="63"/>
  <c r="M54" i="79"/>
  <c r="F47" i="63"/>
  <c r="F48" i="63" s="1"/>
  <c r="F49" i="63" s="1"/>
  <c r="F80" i="63" s="1"/>
  <c r="F15" i="63"/>
  <c r="F17" i="63" s="1"/>
  <c r="J47" i="43"/>
  <c r="J48" i="43" s="1"/>
  <c r="J49" i="43" s="1"/>
  <c r="J80" i="43" s="1"/>
  <c r="F51" i="69"/>
  <c r="J44" i="69"/>
  <c r="J45" i="69" s="1"/>
  <c r="J46" i="69" s="1"/>
  <c r="M92" i="79"/>
  <c r="M94" i="79" s="1"/>
  <c r="M56" i="79"/>
  <c r="J54" i="81"/>
  <c r="J92" i="43"/>
  <c r="J94" i="43" s="1"/>
  <c r="H92" i="81"/>
  <c r="H94" i="81" s="1"/>
  <c r="I92" i="79"/>
  <c r="I94" i="79" s="1"/>
  <c r="G26" i="75"/>
  <c r="M92" i="39"/>
  <c r="M89" i="69" s="1"/>
  <c r="M91" i="69" s="1"/>
  <c r="J56" i="81"/>
  <c r="J54" i="43"/>
  <c r="M55" i="39"/>
  <c r="F55" i="64"/>
  <c r="F56" i="63"/>
  <c r="L26" i="81"/>
  <c r="F47" i="64"/>
  <c r="F48" i="64" s="1"/>
  <c r="F49" i="64" s="1"/>
  <c r="F80" i="64" s="1"/>
  <c r="J56" i="43"/>
  <c r="J92" i="81"/>
  <c r="K55" i="50"/>
  <c r="K56" i="50"/>
  <c r="K54" i="50"/>
  <c r="K92" i="50"/>
  <c r="K94" i="50" s="1"/>
  <c r="M26" i="50"/>
  <c r="M56" i="50"/>
  <c r="M54" i="50"/>
  <c r="M15" i="50"/>
  <c r="M17" i="50" s="1"/>
  <c r="M92" i="50"/>
  <c r="M94" i="50" s="1"/>
  <c r="I26" i="80"/>
  <c r="G92" i="79"/>
  <c r="G94" i="79" s="1"/>
  <c r="I47" i="43"/>
  <c r="I48" i="43" s="1"/>
  <c r="I49" i="43" s="1"/>
  <c r="I80" i="43" s="1"/>
  <c r="K55" i="39"/>
  <c r="F54" i="80"/>
  <c r="G26" i="65"/>
  <c r="I92" i="43"/>
  <c r="I94" i="43" s="1"/>
  <c r="K58" i="39"/>
  <c r="F56" i="80"/>
  <c r="F26" i="79"/>
  <c r="G47" i="50"/>
  <c r="G48" i="50" s="1"/>
  <c r="G49" i="50" s="1"/>
  <c r="G80" i="50" s="1"/>
  <c r="G92" i="40"/>
  <c r="G94" i="40" s="1"/>
  <c r="L92" i="64"/>
  <c r="L94" i="64" s="1"/>
  <c r="I56" i="43"/>
  <c r="K56" i="39"/>
  <c r="F15" i="80"/>
  <c r="F17" i="80" s="1"/>
  <c r="G92" i="50"/>
  <c r="G94" i="50" s="1"/>
  <c r="I55" i="43"/>
  <c r="K92" i="39"/>
  <c r="K94" i="39" s="1"/>
  <c r="G15" i="50"/>
  <c r="G17" i="50" s="1"/>
  <c r="K26" i="39"/>
  <c r="L15" i="64"/>
  <c r="L17" i="64" s="1"/>
  <c r="I15" i="43"/>
  <c r="I17" i="43" s="1"/>
  <c r="G54" i="50"/>
  <c r="K47" i="39"/>
  <c r="K48" i="39" s="1"/>
  <c r="K49" i="39" s="1"/>
  <c r="K80" i="39" s="1"/>
  <c r="K77" i="69" s="1"/>
  <c r="M47" i="82"/>
  <c r="M48" i="82" s="1"/>
  <c r="M49" i="82" s="1"/>
  <c r="M80" i="82" s="1"/>
  <c r="G56" i="50"/>
  <c r="F92" i="80"/>
  <c r="L54" i="64"/>
  <c r="I56" i="82"/>
  <c r="J15" i="80"/>
  <c r="J17" i="80" s="1"/>
  <c r="M56" i="63"/>
  <c r="H55" i="69"/>
  <c r="K26" i="80"/>
  <c r="I15" i="82"/>
  <c r="I17" i="82" s="1"/>
  <c r="M15" i="63"/>
  <c r="M17" i="63" s="1"/>
  <c r="L58" i="63"/>
  <c r="M26" i="80"/>
  <c r="J26" i="63"/>
  <c r="M92" i="81"/>
  <c r="M94" i="81" s="1"/>
  <c r="G92" i="65"/>
  <c r="G94" i="65" s="1"/>
  <c r="I55" i="82"/>
  <c r="L15" i="65"/>
  <c r="L17" i="65" s="1"/>
  <c r="M58" i="63"/>
  <c r="L55" i="63"/>
  <c r="J55" i="63"/>
  <c r="H26" i="82"/>
  <c r="L15" i="63"/>
  <c r="L17" i="63" s="1"/>
  <c r="L92" i="65"/>
  <c r="L94" i="65" s="1"/>
  <c r="I92" i="82"/>
  <c r="I94" i="82" s="1"/>
  <c r="L92" i="63"/>
  <c r="L94" i="63" s="1"/>
  <c r="J58" i="63"/>
  <c r="J92" i="80"/>
  <c r="J26" i="80"/>
  <c r="M47" i="63"/>
  <c r="M48" i="63" s="1"/>
  <c r="M49" i="63" s="1"/>
  <c r="M80" i="63" s="1"/>
  <c r="L56" i="63"/>
  <c r="M52" i="69"/>
  <c r="H26" i="81"/>
  <c r="J92" i="64"/>
  <c r="J15" i="63"/>
  <c r="J17" i="63" s="1"/>
  <c r="J54" i="80"/>
  <c r="M92" i="63"/>
  <c r="M94" i="63" s="1"/>
  <c r="L92" i="80"/>
  <c r="L94" i="80" s="1"/>
  <c r="I26" i="75"/>
  <c r="I26" i="71"/>
  <c r="L47" i="81"/>
  <c r="L48" i="81" s="1"/>
  <c r="L49" i="81" s="1"/>
  <c r="L80" i="81" s="1"/>
  <c r="J47" i="82"/>
  <c r="J48" i="82" s="1"/>
  <c r="J49" i="82" s="1"/>
  <c r="J80" i="82" s="1"/>
  <c r="G26" i="71"/>
  <c r="H47" i="71"/>
  <c r="H48" i="71" s="1"/>
  <c r="H49" i="71" s="1"/>
  <c r="H80" i="71" s="1"/>
  <c r="L55" i="81"/>
  <c r="H47" i="39"/>
  <c r="H48" i="39" s="1"/>
  <c r="H49" i="39" s="1"/>
  <c r="H80" i="39" s="1"/>
  <c r="H77" i="69" s="1"/>
  <c r="K55" i="69"/>
  <c r="K92" i="40"/>
  <c r="K94" i="40" s="1"/>
  <c r="G26" i="79"/>
  <c r="I92" i="64"/>
  <c r="I94" i="64" s="1"/>
  <c r="K56" i="40"/>
  <c r="G55" i="39"/>
  <c r="L56" i="81"/>
  <c r="M26" i="63"/>
  <c r="M47" i="39"/>
  <c r="M48" i="39" s="1"/>
  <c r="M49" i="39" s="1"/>
  <c r="M80" i="39" s="1"/>
  <c r="M77" i="69" s="1"/>
  <c r="K53" i="69"/>
  <c r="G92" i="39"/>
  <c r="G89" i="69" s="1"/>
  <c r="G91" i="69" s="1"/>
  <c r="F26" i="81"/>
  <c r="I47" i="71"/>
  <c r="I48" i="71" s="1"/>
  <c r="I49" i="71" s="1"/>
  <c r="I80" i="71" s="1"/>
  <c r="J92" i="50"/>
  <c r="K15" i="40"/>
  <c r="K17" i="40" s="1"/>
  <c r="G54" i="39"/>
  <c r="L54" i="81"/>
  <c r="J92" i="75"/>
  <c r="L92" i="75"/>
  <c r="L94" i="75" s="1"/>
  <c r="K52" i="69"/>
  <c r="I26" i="79"/>
  <c r="I54" i="71"/>
  <c r="G47" i="75"/>
  <c r="G48" i="75" s="1"/>
  <c r="G49" i="75" s="1"/>
  <c r="K54" i="40"/>
  <c r="G58" i="39"/>
  <c r="L26" i="63"/>
  <c r="L47" i="71"/>
  <c r="L48" i="71" s="1"/>
  <c r="L49" i="71" s="1"/>
  <c r="L80" i="71" s="1"/>
  <c r="I15" i="71"/>
  <c r="I17" i="71" s="1"/>
  <c r="G56" i="39"/>
  <c r="K47" i="50"/>
  <c r="K48" i="50" s="1"/>
  <c r="K49" i="50" s="1"/>
  <c r="K80" i="50" s="1"/>
  <c r="L92" i="81"/>
  <c r="L94" i="81" s="1"/>
  <c r="G80" i="63"/>
  <c r="G80" i="79"/>
  <c r="I56" i="50"/>
  <c r="I55" i="50"/>
  <c r="I54" i="50"/>
  <c r="I15" i="50"/>
  <c r="I17" i="50" s="1"/>
  <c r="I92" i="50"/>
  <c r="I94" i="50" s="1"/>
  <c r="I47" i="50"/>
  <c r="I48" i="50" s="1"/>
  <c r="I49" i="50" s="1"/>
  <c r="J15" i="40"/>
  <c r="J17" i="40" s="1"/>
  <c r="J54" i="40"/>
  <c r="J56" i="40"/>
  <c r="J55" i="40"/>
  <c r="J92" i="40"/>
  <c r="M25" i="40"/>
  <c r="K26" i="40" s="1"/>
  <c r="J47" i="40"/>
  <c r="J48" i="40" s="1"/>
  <c r="J49" i="40" s="1"/>
  <c r="G52" i="69"/>
  <c r="G53" i="69"/>
  <c r="G55" i="69"/>
  <c r="G51" i="69"/>
  <c r="J26" i="65"/>
  <c r="M26" i="65"/>
  <c r="M56" i="65"/>
  <c r="M54" i="65"/>
  <c r="M15" i="65"/>
  <c r="M17" i="65" s="1"/>
  <c r="M55" i="65"/>
  <c r="M47" i="65"/>
  <c r="M48" i="65" s="1"/>
  <c r="M49" i="65" s="1"/>
  <c r="I25" i="40"/>
  <c r="I26" i="40" s="1"/>
  <c r="I56" i="40"/>
  <c r="I55" i="40"/>
  <c r="I15" i="40"/>
  <c r="I17" i="40" s="1"/>
  <c r="I54" i="40"/>
  <c r="I92" i="40"/>
  <c r="I94" i="40" s="1"/>
  <c r="I47" i="40"/>
  <c r="I48" i="40" s="1"/>
  <c r="I49" i="40" s="1"/>
  <c r="L26" i="65"/>
  <c r="I26" i="63"/>
  <c r="K55" i="75"/>
  <c r="K54" i="75"/>
  <c r="K56" i="75"/>
  <c r="K15" i="75"/>
  <c r="K17" i="75" s="1"/>
  <c r="K26" i="75"/>
  <c r="K47" i="75"/>
  <c r="K48" i="75" s="1"/>
  <c r="K49" i="75" s="1"/>
  <c r="G47" i="82"/>
  <c r="G48" i="82" s="1"/>
  <c r="G49" i="82" s="1"/>
  <c r="J56" i="79"/>
  <c r="J15" i="79"/>
  <c r="J17" i="79" s="1"/>
  <c r="J54" i="79"/>
  <c r="J55" i="79"/>
  <c r="J92" i="79"/>
  <c r="J26" i="79"/>
  <c r="J47" i="79"/>
  <c r="J48" i="79" s="1"/>
  <c r="J49" i="79" s="1"/>
  <c r="L55" i="79"/>
  <c r="L56" i="79"/>
  <c r="L15" i="79"/>
  <c r="L17" i="79" s="1"/>
  <c r="L54" i="79"/>
  <c r="L92" i="79"/>
  <c r="L94" i="79" s="1"/>
  <c r="L47" i="79"/>
  <c r="L48" i="79" s="1"/>
  <c r="L49" i="79" s="1"/>
  <c r="K15" i="64"/>
  <c r="K17" i="64" s="1"/>
  <c r="K55" i="64"/>
  <c r="K54" i="64"/>
  <c r="K56" i="64"/>
  <c r="K92" i="64"/>
  <c r="K94" i="64" s="1"/>
  <c r="K47" i="64"/>
  <c r="K48" i="64" s="1"/>
  <c r="K49" i="64" s="1"/>
  <c r="K56" i="65"/>
  <c r="K55" i="65"/>
  <c r="K54" i="65"/>
  <c r="K15" i="65"/>
  <c r="K17" i="65" s="1"/>
  <c r="K26" i="65"/>
  <c r="K47" i="65"/>
  <c r="K48" i="65" s="1"/>
  <c r="K49" i="65" s="1"/>
  <c r="G26" i="63"/>
  <c r="H56" i="82"/>
  <c r="H55" i="82"/>
  <c r="H54" i="82"/>
  <c r="H15" i="82"/>
  <c r="H17" i="82" s="1"/>
  <c r="H47" i="82"/>
  <c r="H48" i="82" s="1"/>
  <c r="H49" i="82" s="1"/>
  <c r="H92" i="82"/>
  <c r="H94" i="82" s="1"/>
  <c r="G44" i="69"/>
  <c r="G45" i="69" s="1"/>
  <c r="G46" i="69" s="1"/>
  <c r="F28" i="50"/>
  <c r="F29" i="50" s="1"/>
  <c r="H26" i="50" s="1"/>
  <c r="G92" i="64"/>
  <c r="G94" i="64" s="1"/>
  <c r="I80" i="79"/>
  <c r="K47" i="80"/>
  <c r="K48" i="80" s="1"/>
  <c r="K49" i="80" s="1"/>
  <c r="I47" i="82"/>
  <c r="I48" i="82" s="1"/>
  <c r="I49" i="82" s="1"/>
  <c r="H54" i="79"/>
  <c r="H56" i="79"/>
  <c r="H55" i="79"/>
  <c r="H15" i="79"/>
  <c r="H17" i="79" s="1"/>
  <c r="H26" i="79"/>
  <c r="H92" i="79"/>
  <c r="H94" i="79" s="1"/>
  <c r="H47" i="79"/>
  <c r="H48" i="79" s="1"/>
  <c r="H49" i="79" s="1"/>
  <c r="H15" i="50"/>
  <c r="H17" i="50" s="1"/>
  <c r="H54" i="50"/>
  <c r="H55" i="50"/>
  <c r="H56" i="50"/>
  <c r="H47" i="50"/>
  <c r="H48" i="50" s="1"/>
  <c r="H49" i="50" s="1"/>
  <c r="H92" i="50"/>
  <c r="H94" i="50" s="1"/>
  <c r="L47" i="63"/>
  <c r="L48" i="63" s="1"/>
  <c r="L49" i="63" s="1"/>
  <c r="G92" i="63"/>
  <c r="G94" i="63" s="1"/>
  <c r="I51" i="69"/>
  <c r="I52" i="69"/>
  <c r="I53" i="69"/>
  <c r="I55" i="69"/>
  <c r="I44" i="69"/>
  <c r="I45" i="69" s="1"/>
  <c r="I46" i="69" s="1"/>
  <c r="G55" i="40"/>
  <c r="G15" i="40"/>
  <c r="G17" i="40" s="1"/>
  <c r="G54" i="40"/>
  <c r="G56" i="40"/>
  <c r="G47" i="40"/>
  <c r="G48" i="40" s="1"/>
  <c r="G49" i="40" s="1"/>
  <c r="L15" i="80"/>
  <c r="L17" i="80" s="1"/>
  <c r="L56" i="80"/>
  <c r="L55" i="80"/>
  <c r="L54" i="80"/>
  <c r="L47" i="80"/>
  <c r="L48" i="80" s="1"/>
  <c r="L49" i="80" s="1"/>
  <c r="F92" i="79"/>
  <c r="H80" i="80"/>
  <c r="H15" i="40"/>
  <c r="H17" i="40" s="1"/>
  <c r="H54" i="40"/>
  <c r="H56" i="40"/>
  <c r="H55" i="40"/>
  <c r="H92" i="40"/>
  <c r="H94" i="40" s="1"/>
  <c r="H47" i="40"/>
  <c r="H48" i="40" s="1"/>
  <c r="H49" i="40" s="1"/>
  <c r="L15" i="43"/>
  <c r="L17" i="43" s="1"/>
  <c r="L54" i="43"/>
  <c r="L55" i="43"/>
  <c r="L56" i="43"/>
  <c r="L92" i="43"/>
  <c r="L94" i="43" s="1"/>
  <c r="L47" i="43"/>
  <c r="L48" i="43" s="1"/>
  <c r="L49" i="43" s="1"/>
  <c r="L80" i="43" s="1"/>
  <c r="L15" i="75"/>
  <c r="L17" i="75" s="1"/>
  <c r="L54" i="75"/>
  <c r="L56" i="75"/>
  <c r="L55" i="75"/>
  <c r="L26" i="75"/>
  <c r="L47" i="75"/>
  <c r="L48" i="75" s="1"/>
  <c r="L49" i="75" s="1"/>
  <c r="H26" i="65"/>
  <c r="I26" i="65"/>
  <c r="I55" i="65"/>
  <c r="I15" i="65"/>
  <c r="I17" i="65" s="1"/>
  <c r="I56" i="65"/>
  <c r="I54" i="65"/>
  <c r="I47" i="65"/>
  <c r="I48" i="65" s="1"/>
  <c r="I49" i="65" s="1"/>
  <c r="H56" i="75"/>
  <c r="H15" i="75"/>
  <c r="H17" i="75" s="1"/>
  <c r="H55" i="75"/>
  <c r="H54" i="75"/>
  <c r="H26" i="75"/>
  <c r="H92" i="75"/>
  <c r="H94" i="75" s="1"/>
  <c r="H47" i="75"/>
  <c r="H48" i="75" s="1"/>
  <c r="H49" i="75" s="1"/>
  <c r="G56" i="71"/>
  <c r="G15" i="71"/>
  <c r="G17" i="71" s="1"/>
  <c r="G55" i="71"/>
  <c r="G54" i="71"/>
  <c r="G47" i="71"/>
  <c r="G48" i="71" s="1"/>
  <c r="G49" i="71" s="1"/>
  <c r="G92" i="71"/>
  <c r="G94" i="71" s="1"/>
  <c r="M15" i="43"/>
  <c r="M17" i="43" s="1"/>
  <c r="M54" i="43"/>
  <c r="M55" i="43"/>
  <c r="M56" i="43"/>
  <c r="M92" i="43"/>
  <c r="M94" i="43" s="1"/>
  <c r="M47" i="43"/>
  <c r="M48" i="43" s="1"/>
  <c r="M49" i="43" s="1"/>
  <c r="M80" i="43" s="1"/>
  <c r="I47" i="81"/>
  <c r="I48" i="81" s="1"/>
  <c r="I49" i="81" s="1"/>
  <c r="G56" i="80"/>
  <c r="G15" i="80"/>
  <c r="G17" i="80" s="1"/>
  <c r="G55" i="80"/>
  <c r="G54" i="80"/>
  <c r="G47" i="80"/>
  <c r="G48" i="80" s="1"/>
  <c r="G49" i="80" s="1"/>
  <c r="G92" i="80"/>
  <c r="G94" i="80" s="1"/>
  <c r="G26" i="80"/>
  <c r="J56" i="75"/>
  <c r="J15" i="75"/>
  <c r="J17" i="75" s="1"/>
  <c r="J54" i="75"/>
  <c r="J55" i="75"/>
  <c r="J26" i="75"/>
  <c r="J47" i="75"/>
  <c r="J48" i="75" s="1"/>
  <c r="J49" i="75" s="1"/>
  <c r="L92" i="50"/>
  <c r="L94" i="50" s="1"/>
  <c r="F56" i="75"/>
  <c r="F55" i="75"/>
  <c r="F15" i="75"/>
  <c r="F17" i="75" s="1"/>
  <c r="F54" i="75"/>
  <c r="F47" i="75"/>
  <c r="F92" i="75"/>
  <c r="F26" i="75"/>
  <c r="F26" i="80"/>
  <c r="J54" i="39"/>
  <c r="J56" i="39"/>
  <c r="J58" i="39"/>
  <c r="J15" i="39"/>
  <c r="J17" i="39" s="1"/>
  <c r="J55" i="39"/>
  <c r="J92" i="39"/>
  <c r="J26" i="39"/>
  <c r="J47" i="39"/>
  <c r="J48" i="39" s="1"/>
  <c r="J49" i="39" s="1"/>
  <c r="J47" i="71"/>
  <c r="J48" i="71" s="1"/>
  <c r="J49" i="71" s="1"/>
  <c r="I92" i="65"/>
  <c r="I94" i="65" s="1"/>
  <c r="H92" i="80"/>
  <c r="H94" i="80" s="1"/>
  <c r="H55" i="65"/>
  <c r="H56" i="65"/>
  <c r="H15" i="65"/>
  <c r="H17" i="65" s="1"/>
  <c r="H54" i="65"/>
  <c r="H92" i="65"/>
  <c r="H94" i="65" s="1"/>
  <c r="H47" i="65"/>
  <c r="H48" i="65" s="1"/>
  <c r="H49" i="65" s="1"/>
  <c r="J47" i="81"/>
  <c r="J48" i="81" s="1"/>
  <c r="J49" i="81" s="1"/>
  <c r="J47" i="63"/>
  <c r="J48" i="63" s="1"/>
  <c r="J49" i="63" s="1"/>
  <c r="K54" i="82"/>
  <c r="K56" i="82"/>
  <c r="K15" i="82"/>
  <c r="K17" i="82" s="1"/>
  <c r="K55" i="82"/>
  <c r="K92" i="82"/>
  <c r="K94" i="82" s="1"/>
  <c r="K26" i="82"/>
  <c r="K47" i="82"/>
  <c r="K48" i="82" s="1"/>
  <c r="K49" i="82" s="1"/>
  <c r="L58" i="39"/>
  <c r="L15" i="39"/>
  <c r="L17" i="39" s="1"/>
  <c r="L55" i="39"/>
  <c r="L54" i="39"/>
  <c r="L56" i="39"/>
  <c r="L26" i="39"/>
  <c r="L92" i="39"/>
  <c r="L47" i="39"/>
  <c r="L48" i="39" s="1"/>
  <c r="L49" i="39" s="1"/>
  <c r="M47" i="80"/>
  <c r="M48" i="80" s="1"/>
  <c r="M49" i="80" s="1"/>
  <c r="J54" i="50"/>
  <c r="J56" i="50"/>
  <c r="J15" i="50"/>
  <c r="J17" i="50" s="1"/>
  <c r="J55" i="50"/>
  <c r="J47" i="50"/>
  <c r="J48" i="50" s="1"/>
  <c r="J49" i="50" s="1"/>
  <c r="J26" i="50"/>
  <c r="G56" i="81"/>
  <c r="G54" i="81"/>
  <c r="G15" i="81"/>
  <c r="G17" i="81" s="1"/>
  <c r="G55" i="81"/>
  <c r="G47" i="81"/>
  <c r="G48" i="81" s="1"/>
  <c r="G49" i="81" s="1"/>
  <c r="G92" i="81"/>
  <c r="G94" i="81" s="1"/>
  <c r="G26" i="81"/>
  <c r="K26" i="50"/>
  <c r="L47" i="64"/>
  <c r="L48" i="64" s="1"/>
  <c r="L49" i="64" s="1"/>
  <c r="H55" i="64"/>
  <c r="H56" i="64"/>
  <c r="H54" i="64"/>
  <c r="H15" i="64"/>
  <c r="H17" i="64" s="1"/>
  <c r="H92" i="64"/>
  <c r="H94" i="64" s="1"/>
  <c r="H47" i="64"/>
  <c r="H48" i="64" s="1"/>
  <c r="H49" i="64" s="1"/>
  <c r="M47" i="79"/>
  <c r="M48" i="79" s="1"/>
  <c r="M49" i="79" s="1"/>
  <c r="M55" i="75"/>
  <c r="M15" i="75"/>
  <c r="M17" i="75" s="1"/>
  <c r="M56" i="75"/>
  <c r="M26" i="75"/>
  <c r="M54" i="75"/>
  <c r="M47" i="75"/>
  <c r="M48" i="75" s="1"/>
  <c r="M49" i="75" s="1"/>
  <c r="F47" i="71"/>
  <c r="F48" i="71" s="1"/>
  <c r="F49" i="71" s="1"/>
  <c r="K47" i="40"/>
  <c r="K48" i="40" s="1"/>
  <c r="K49" i="40" s="1"/>
  <c r="J47" i="80"/>
  <c r="J48" i="80" s="1"/>
  <c r="J49" i="80" s="1"/>
  <c r="M26" i="82"/>
  <c r="F47" i="80"/>
  <c r="F48" i="80" s="1"/>
  <c r="F49" i="80" s="1"/>
  <c r="J15" i="64"/>
  <c r="J17" i="64" s="1"/>
  <c r="J56" i="64"/>
  <c r="J54" i="64"/>
  <c r="J55" i="64"/>
  <c r="M25" i="64"/>
  <c r="K26" i="64" s="1"/>
  <c r="J47" i="64"/>
  <c r="J48" i="64" s="1"/>
  <c r="J49" i="64" s="1"/>
  <c r="H26" i="80"/>
  <c r="H26" i="63"/>
  <c r="K54" i="81"/>
  <c r="K56" i="81"/>
  <c r="K55" i="81"/>
  <c r="K15" i="81"/>
  <c r="K17" i="81" s="1"/>
  <c r="K92" i="81"/>
  <c r="K94" i="81" s="1"/>
  <c r="K26" i="81"/>
  <c r="K47" i="81"/>
  <c r="K48" i="81" s="1"/>
  <c r="K49" i="81" s="1"/>
  <c r="K80" i="81" s="1"/>
  <c r="J26" i="81"/>
  <c r="K92" i="75"/>
  <c r="K94" i="75" s="1"/>
  <c r="M47" i="50"/>
  <c r="M48" i="50" s="1"/>
  <c r="M49" i="50" s="1"/>
  <c r="L54" i="82"/>
  <c r="L55" i="82"/>
  <c r="L15" i="82"/>
  <c r="L17" i="82" s="1"/>
  <c r="L56" i="82"/>
  <c r="L92" i="82"/>
  <c r="L94" i="82" s="1"/>
  <c r="L47" i="82"/>
  <c r="L48" i="82" s="1"/>
  <c r="L49" i="82" s="1"/>
  <c r="J26" i="82"/>
  <c r="M80" i="64"/>
  <c r="K26" i="71"/>
  <c r="M56" i="71"/>
  <c r="M54" i="71"/>
  <c r="M55" i="71"/>
  <c r="M15" i="71"/>
  <c r="M17" i="71" s="1"/>
  <c r="M26" i="71"/>
  <c r="M92" i="71"/>
  <c r="M94" i="71" s="1"/>
  <c r="M47" i="71"/>
  <c r="M48" i="71" s="1"/>
  <c r="M49" i="71" s="1"/>
  <c r="M80" i="71" s="1"/>
  <c r="I47" i="39"/>
  <c r="I48" i="39" s="1"/>
  <c r="I49" i="39" s="1"/>
  <c r="L54" i="40"/>
  <c r="L56" i="40"/>
  <c r="L15" i="40"/>
  <c r="L17" i="40" s="1"/>
  <c r="L55" i="40"/>
  <c r="L92" i="40"/>
  <c r="L94" i="40" s="1"/>
  <c r="L47" i="40"/>
  <c r="L48" i="40" s="1"/>
  <c r="L49" i="40" s="1"/>
  <c r="G28" i="43"/>
  <c r="G29" i="43"/>
  <c r="L26" i="82"/>
  <c r="J47" i="65"/>
  <c r="J48" i="65" s="1"/>
  <c r="J49" i="65" s="1"/>
  <c r="J80" i="65" s="1"/>
  <c r="L55" i="50"/>
  <c r="L54" i="50"/>
  <c r="L56" i="50"/>
  <c r="L15" i="50"/>
  <c r="L17" i="50" s="1"/>
  <c r="L26" i="50"/>
  <c r="L47" i="50"/>
  <c r="L48" i="50" s="1"/>
  <c r="L49" i="50" s="1"/>
  <c r="F54" i="40"/>
  <c r="F55" i="40"/>
  <c r="F56" i="40"/>
  <c r="F15" i="40"/>
  <c r="F17" i="40" s="1"/>
  <c r="F47" i="40"/>
  <c r="F48" i="40" s="1"/>
  <c r="F49" i="40" s="1"/>
  <c r="G80" i="65"/>
  <c r="L26" i="71"/>
  <c r="K54" i="79"/>
  <c r="K56" i="79"/>
  <c r="K15" i="79"/>
  <c r="K17" i="79" s="1"/>
  <c r="K55" i="79"/>
  <c r="K92" i="79"/>
  <c r="K94" i="79" s="1"/>
  <c r="K26" i="79"/>
  <c r="K47" i="79"/>
  <c r="K48" i="79" s="1"/>
  <c r="K49" i="79" s="1"/>
  <c r="I56" i="64"/>
  <c r="I54" i="64"/>
  <c r="I55" i="64"/>
  <c r="I15" i="64"/>
  <c r="I17" i="64" s="1"/>
  <c r="I47" i="64"/>
  <c r="I48" i="64" s="1"/>
  <c r="I49" i="64" s="1"/>
  <c r="M56" i="40"/>
  <c r="M55" i="40"/>
  <c r="M15" i="40"/>
  <c r="M17" i="40" s="1"/>
  <c r="M54" i="40"/>
  <c r="M92" i="40"/>
  <c r="M94" i="40" s="1"/>
  <c r="M47" i="40"/>
  <c r="M48" i="40" s="1"/>
  <c r="M49" i="40" s="1"/>
  <c r="L26" i="79"/>
  <c r="F26" i="71"/>
  <c r="G47" i="39"/>
  <c r="G48" i="39" s="1"/>
  <c r="G49" i="39" s="1"/>
  <c r="K92" i="65"/>
  <c r="K94" i="65" s="1"/>
  <c r="K54" i="63"/>
  <c r="K15" i="63"/>
  <c r="K17" i="63" s="1"/>
  <c r="K58" i="63"/>
  <c r="K55" i="63"/>
  <c r="K56" i="63"/>
  <c r="K92" i="63"/>
  <c r="K94" i="63" s="1"/>
  <c r="K26" i="63"/>
  <c r="K47" i="63"/>
  <c r="K48" i="63" s="1"/>
  <c r="K49" i="63" s="1"/>
  <c r="K80" i="63" s="1"/>
  <c r="F26" i="82"/>
  <c r="F54" i="82"/>
  <c r="F56" i="82"/>
  <c r="F55" i="82"/>
  <c r="F15" i="82"/>
  <c r="F17" i="82" s="1"/>
  <c r="F92" i="82"/>
  <c r="F47" i="82"/>
  <c r="F48" i="82" s="1"/>
  <c r="F49" i="82" s="1"/>
  <c r="M92" i="65"/>
  <c r="M94" i="65" s="1"/>
  <c r="I26" i="82"/>
  <c r="F28" i="39"/>
  <c r="F29" i="39" s="1"/>
  <c r="H26" i="71"/>
  <c r="M26" i="39"/>
  <c r="I25" i="64"/>
  <c r="F56" i="65"/>
  <c r="F54" i="65"/>
  <c r="F55" i="65"/>
  <c r="F15" i="65"/>
  <c r="F17" i="65" s="1"/>
  <c r="F47" i="65"/>
  <c r="F48" i="65" s="1"/>
  <c r="F49" i="65" s="1"/>
  <c r="F26" i="65"/>
  <c r="I47" i="75"/>
  <c r="I48" i="75" s="1"/>
  <c r="I49" i="75" s="1"/>
  <c r="I47" i="63"/>
  <c r="I48" i="63" s="1"/>
  <c r="I49" i="63" s="1"/>
  <c r="M92" i="75"/>
  <c r="M94" i="75" s="1"/>
  <c r="H58" i="63"/>
  <c r="H55" i="63"/>
  <c r="H54" i="63"/>
  <c r="H56" i="63"/>
  <c r="H15" i="63"/>
  <c r="H17" i="63" s="1"/>
  <c r="H92" i="63"/>
  <c r="H94" i="63" s="1"/>
  <c r="H47" i="63"/>
  <c r="H48" i="63" s="1"/>
  <c r="H49" i="63" s="1"/>
  <c r="F15" i="79"/>
  <c r="F17" i="79" s="1"/>
  <c r="F54" i="79"/>
  <c r="F56" i="79"/>
  <c r="F55" i="79"/>
  <c r="F47" i="79"/>
  <c r="F48" i="79" s="1"/>
  <c r="F49" i="79" s="1"/>
  <c r="F54" i="43"/>
  <c r="F55" i="43"/>
  <c r="F15" i="43"/>
  <c r="F17" i="43" s="1"/>
  <c r="F56" i="43"/>
  <c r="F47" i="43"/>
  <c r="F48" i="43" s="1"/>
  <c r="F49" i="43" s="1"/>
  <c r="F52" i="43" s="1"/>
  <c r="F92" i="43"/>
  <c r="F94" i="43" s="1"/>
  <c r="I94" i="39" l="1"/>
  <c r="F52" i="64"/>
  <c r="F80" i="81"/>
  <c r="G49" i="69"/>
  <c r="F60" i="81"/>
  <c r="J94" i="65"/>
  <c r="M95" i="65"/>
  <c r="Q24" i="85" s="1"/>
  <c r="J94" i="75"/>
  <c r="M95" i="75"/>
  <c r="Q44" i="85" s="1"/>
  <c r="J94" i="40"/>
  <c r="M95" i="40"/>
  <c r="Q36" i="85" s="1"/>
  <c r="F94" i="79"/>
  <c r="I95" i="79"/>
  <c r="P26" i="85" s="1"/>
  <c r="F94" i="65"/>
  <c r="I95" i="65"/>
  <c r="P24" i="85" s="1"/>
  <c r="F94" i="40"/>
  <c r="I95" i="40"/>
  <c r="P36" i="85" s="1"/>
  <c r="J94" i="63"/>
  <c r="M95" i="63"/>
  <c r="Q22" i="85" s="1"/>
  <c r="F94" i="81"/>
  <c r="I95" i="81"/>
  <c r="P46" i="85" s="1"/>
  <c r="P20" i="85"/>
  <c r="I95" i="71"/>
  <c r="P42" i="85" s="1"/>
  <c r="M95" i="39"/>
  <c r="F94" i="75"/>
  <c r="I95" i="75"/>
  <c r="P44" i="85" s="1"/>
  <c r="F94" i="63"/>
  <c r="P22" i="85"/>
  <c r="J94" i="81"/>
  <c r="M95" i="81"/>
  <c r="Q46" i="85" s="1"/>
  <c r="F94" i="82"/>
  <c r="P30" i="85"/>
  <c r="K89" i="69"/>
  <c r="K91" i="69" s="1"/>
  <c r="M95" i="82"/>
  <c r="Q30" i="85" s="1"/>
  <c r="J94" i="79"/>
  <c r="M95" i="79"/>
  <c r="Q26" i="85" s="1"/>
  <c r="J94" i="50"/>
  <c r="M95" i="50"/>
  <c r="Q40" i="85" s="1"/>
  <c r="J94" i="80"/>
  <c r="M95" i="80"/>
  <c r="Q28" i="85" s="1"/>
  <c r="F57" i="69"/>
  <c r="F63" i="69" s="1"/>
  <c r="H49" i="69"/>
  <c r="H57" i="69" s="1"/>
  <c r="H63" i="69" s="1"/>
  <c r="J94" i="64"/>
  <c r="M95" i="64"/>
  <c r="Q20" i="85" s="1"/>
  <c r="F94" i="80"/>
  <c r="I95" i="80"/>
  <c r="P28" i="85" s="1"/>
  <c r="M95" i="71"/>
  <c r="Q42" i="85" s="1"/>
  <c r="H94" i="39"/>
  <c r="M94" i="39"/>
  <c r="G94" i="39"/>
  <c r="F60" i="64"/>
  <c r="F66" i="64" s="1"/>
  <c r="F52" i="63"/>
  <c r="F60" i="63" s="1"/>
  <c r="F81" i="63" s="1"/>
  <c r="F87" i="63" s="1"/>
  <c r="F90" i="63" s="1"/>
  <c r="D5" i="85" s="1"/>
  <c r="M26" i="40"/>
  <c r="J26" i="64"/>
  <c r="G26" i="40"/>
  <c r="I26" i="50"/>
  <c r="G52" i="64"/>
  <c r="G60" i="64" s="1"/>
  <c r="F15" i="39"/>
  <c r="F17" i="39" s="1"/>
  <c r="F55" i="39"/>
  <c r="F58" i="39"/>
  <c r="F54" i="39"/>
  <c r="F56" i="39"/>
  <c r="F47" i="39"/>
  <c r="F48" i="39" s="1"/>
  <c r="F49" i="39" s="1"/>
  <c r="F26" i="39"/>
  <c r="H26" i="39"/>
  <c r="I26" i="39"/>
  <c r="G26" i="39"/>
  <c r="F92" i="39"/>
  <c r="I26" i="64"/>
  <c r="G26" i="64"/>
  <c r="F26" i="64"/>
  <c r="J80" i="80"/>
  <c r="L80" i="40"/>
  <c r="H80" i="64"/>
  <c r="J80" i="81"/>
  <c r="I80" i="81"/>
  <c r="L80" i="63"/>
  <c r="I80" i="82"/>
  <c r="K80" i="75"/>
  <c r="M80" i="40"/>
  <c r="M80" i="75"/>
  <c r="J80" i="50"/>
  <c r="H80" i="65"/>
  <c r="J80" i="71"/>
  <c r="K80" i="80"/>
  <c r="H80" i="82"/>
  <c r="K80" i="65"/>
  <c r="I80" i="40"/>
  <c r="M80" i="65"/>
  <c r="I80" i="63"/>
  <c r="F52" i="40"/>
  <c r="F60" i="40" s="1"/>
  <c r="F80" i="40"/>
  <c r="G80" i="80"/>
  <c r="H80" i="50"/>
  <c r="J89" i="69"/>
  <c r="J91" i="69" s="1"/>
  <c r="J94" i="39"/>
  <c r="K80" i="79"/>
  <c r="F80" i="71"/>
  <c r="F52" i="71"/>
  <c r="F60" i="71" s="1"/>
  <c r="L94" i="39"/>
  <c r="L89" i="69"/>
  <c r="L91" i="69" s="1"/>
  <c r="H80" i="79"/>
  <c r="F26" i="40"/>
  <c r="L26" i="40"/>
  <c r="F52" i="80"/>
  <c r="F60" i="80" s="1"/>
  <c r="F80" i="80"/>
  <c r="H26" i="64"/>
  <c r="J80" i="39"/>
  <c r="J77" i="69" s="1"/>
  <c r="G80" i="71"/>
  <c r="L80" i="80"/>
  <c r="H80" i="63"/>
  <c r="G52" i="81"/>
  <c r="G80" i="81"/>
  <c r="J80" i="75"/>
  <c r="G80" i="75"/>
  <c r="F48" i="75"/>
  <c r="F49" i="75" s="1"/>
  <c r="L80" i="75"/>
  <c r="F54" i="50"/>
  <c r="F15" i="50"/>
  <c r="F17" i="50" s="1"/>
  <c r="F56" i="50"/>
  <c r="F55" i="50"/>
  <c r="F92" i="50"/>
  <c r="F47" i="50"/>
  <c r="F48" i="50" s="1"/>
  <c r="F49" i="50" s="1"/>
  <c r="F26" i="50"/>
  <c r="G26" i="50"/>
  <c r="I80" i="75"/>
  <c r="F52" i="79"/>
  <c r="F80" i="79"/>
  <c r="F80" i="65"/>
  <c r="F52" i="65"/>
  <c r="G80" i="39"/>
  <c r="G77" i="69" s="1"/>
  <c r="L80" i="50"/>
  <c r="G15" i="43"/>
  <c r="G17" i="43" s="1"/>
  <c r="G56" i="43"/>
  <c r="G54" i="43"/>
  <c r="G55" i="43"/>
  <c r="G92" i="43"/>
  <c r="G94" i="43" s="1"/>
  <c r="G47" i="43"/>
  <c r="G48" i="43" s="1"/>
  <c r="G49" i="43" s="1"/>
  <c r="G80" i="43" s="1"/>
  <c r="M80" i="80"/>
  <c r="I80" i="65"/>
  <c r="H26" i="40"/>
  <c r="L80" i="79"/>
  <c r="J80" i="79"/>
  <c r="G80" i="82"/>
  <c r="J80" i="40"/>
  <c r="I80" i="50"/>
  <c r="I80" i="64"/>
  <c r="J80" i="64"/>
  <c r="F80" i="82"/>
  <c r="F52" i="82"/>
  <c r="F60" i="82" s="1"/>
  <c r="H80" i="40"/>
  <c r="F81" i="81"/>
  <c r="F87" i="81" s="1"/>
  <c r="F90" i="81" s="1"/>
  <c r="D14" i="85" s="1"/>
  <c r="F66" i="81"/>
  <c r="L80" i="82"/>
  <c r="M26" i="64"/>
  <c r="L26" i="64"/>
  <c r="I80" i="39"/>
  <c r="I77" i="69" s="1"/>
  <c r="M80" i="50"/>
  <c r="K80" i="40"/>
  <c r="M80" i="79"/>
  <c r="L80" i="64"/>
  <c r="L80" i="39"/>
  <c r="L77" i="69" s="1"/>
  <c r="K80" i="82"/>
  <c r="J80" i="63"/>
  <c r="H80" i="75"/>
  <c r="G80" i="40"/>
  <c r="G57" i="69"/>
  <c r="G63" i="69" s="1"/>
  <c r="K80" i="64"/>
  <c r="J26" i="40"/>
  <c r="F80" i="43"/>
  <c r="F60" i="43"/>
  <c r="G52" i="63" l="1"/>
  <c r="G60" i="63" s="1"/>
  <c r="G66" i="63" s="1"/>
  <c r="I49" i="69"/>
  <c r="F94" i="50"/>
  <c r="I95" i="50"/>
  <c r="F81" i="64"/>
  <c r="F87" i="64" s="1"/>
  <c r="F90" i="64" s="1"/>
  <c r="D3" i="85" s="1"/>
  <c r="F66" i="63"/>
  <c r="G52" i="40"/>
  <c r="G60" i="40" s="1"/>
  <c r="G66" i="40" s="1"/>
  <c r="G81" i="64"/>
  <c r="G87" i="64" s="1"/>
  <c r="G90" i="64" s="1"/>
  <c r="E3" i="85" s="1"/>
  <c r="H52" i="63"/>
  <c r="H60" i="63" s="1"/>
  <c r="H81" i="63" s="1"/>
  <c r="H87" i="63" s="1"/>
  <c r="H90" i="63" s="1"/>
  <c r="F5" i="85" s="1"/>
  <c r="G66" i="64"/>
  <c r="G52" i="80"/>
  <c r="G60" i="80" s="1"/>
  <c r="G52" i="71"/>
  <c r="G60" i="71" s="1"/>
  <c r="G52" i="82"/>
  <c r="G60" i="82" s="1"/>
  <c r="G66" i="82" s="1"/>
  <c r="Q38" i="85"/>
  <c r="H52" i="64"/>
  <c r="G52" i="43"/>
  <c r="H52" i="43" s="1"/>
  <c r="F81" i="40"/>
  <c r="F87" i="40" s="1"/>
  <c r="F90" i="40" s="1"/>
  <c r="F66" i="40"/>
  <c r="F66" i="80"/>
  <c r="F81" i="80"/>
  <c r="F87" i="80" s="1"/>
  <c r="F90" i="80" s="1"/>
  <c r="D11" i="85" s="1"/>
  <c r="F80" i="39"/>
  <c r="F77" i="69" s="1"/>
  <c r="F52" i="39"/>
  <c r="I57" i="69"/>
  <c r="I63" i="69" s="1"/>
  <c r="J49" i="69"/>
  <c r="F60" i="65"/>
  <c r="G52" i="65"/>
  <c r="F81" i="71"/>
  <c r="F87" i="71" s="1"/>
  <c r="F90" i="71" s="1"/>
  <c r="D10" i="85" s="1"/>
  <c r="F66" i="71"/>
  <c r="F60" i="79"/>
  <c r="G52" i="79"/>
  <c r="F66" i="82"/>
  <c r="F81" i="82"/>
  <c r="F87" i="82" s="1"/>
  <c r="F90" i="82" s="1"/>
  <c r="D13" i="85" s="1"/>
  <c r="F80" i="50"/>
  <c r="F52" i="50"/>
  <c r="F80" i="75"/>
  <c r="F52" i="75"/>
  <c r="F94" i="39"/>
  <c r="P38" i="85" s="1"/>
  <c r="F89" i="69"/>
  <c r="F91" i="69" s="1"/>
  <c r="G60" i="81"/>
  <c r="H52" i="81"/>
  <c r="F81" i="43"/>
  <c r="F87" i="43" s="1"/>
  <c r="F90" i="43" s="1"/>
  <c r="F66" i="43"/>
  <c r="G81" i="63" l="1"/>
  <c r="G87" i="63" s="1"/>
  <c r="G90" i="63" s="1"/>
  <c r="E5" i="85" s="1"/>
  <c r="I52" i="63"/>
  <c r="G81" i="40"/>
  <c r="G87" i="40" s="1"/>
  <c r="G90" i="40" s="1"/>
  <c r="E4" i="85" s="1"/>
  <c r="H52" i="40"/>
  <c r="P40" i="85"/>
  <c r="H66" i="63"/>
  <c r="H52" i="80"/>
  <c r="I52" i="80" s="1"/>
  <c r="H52" i="82"/>
  <c r="H60" i="82" s="1"/>
  <c r="H52" i="71"/>
  <c r="H60" i="71" s="1"/>
  <c r="G81" i="82"/>
  <c r="G87" i="82" s="1"/>
  <c r="G90" i="82" s="1"/>
  <c r="E13" i="85" s="1"/>
  <c r="H60" i="64"/>
  <c r="I52" i="64"/>
  <c r="G60" i="43"/>
  <c r="G81" i="43" s="1"/>
  <c r="G87" i="43" s="1"/>
  <c r="G90" i="43" s="1"/>
  <c r="H60" i="40"/>
  <c r="I52" i="40"/>
  <c r="G60" i="79"/>
  <c r="H52" i="79"/>
  <c r="F60" i="75"/>
  <c r="G52" i="75"/>
  <c r="F81" i="79"/>
  <c r="F87" i="79" s="1"/>
  <c r="F90" i="79" s="1"/>
  <c r="D9" i="85" s="1"/>
  <c r="F66" i="79"/>
  <c r="G66" i="71"/>
  <c r="G81" i="71"/>
  <c r="G87" i="71" s="1"/>
  <c r="G90" i="71" s="1"/>
  <c r="E10" i="85" s="1"/>
  <c r="F81" i="65"/>
  <c r="F87" i="65" s="1"/>
  <c r="F90" i="65" s="1"/>
  <c r="D7" i="85" s="1"/>
  <c r="F66" i="65"/>
  <c r="D4" i="85"/>
  <c r="G60" i="65"/>
  <c r="H52" i="65"/>
  <c r="H60" i="81"/>
  <c r="I52" i="81"/>
  <c r="F60" i="50"/>
  <c r="G52" i="50"/>
  <c r="F60" i="39"/>
  <c r="G52" i="39"/>
  <c r="G81" i="81"/>
  <c r="G87" i="81" s="1"/>
  <c r="G90" i="81" s="1"/>
  <c r="E14" i="85" s="1"/>
  <c r="G66" i="81"/>
  <c r="J57" i="69"/>
  <c r="J63" i="69" s="1"/>
  <c r="K49" i="69"/>
  <c r="G81" i="80"/>
  <c r="G87" i="80" s="1"/>
  <c r="G90" i="80" s="1"/>
  <c r="E11" i="85" s="1"/>
  <c r="G66" i="80"/>
  <c r="I60" i="63"/>
  <c r="J52" i="63"/>
  <c r="H60" i="43"/>
  <c r="I52" i="43"/>
  <c r="H60" i="80" l="1"/>
  <c r="I52" i="71"/>
  <c r="I60" i="71" s="1"/>
  <c r="I52" i="82"/>
  <c r="J52" i="82" s="1"/>
  <c r="G66" i="43"/>
  <c r="H81" i="64"/>
  <c r="H87" i="64" s="1"/>
  <c r="H90" i="64" s="1"/>
  <c r="F3" i="85" s="1"/>
  <c r="H66" i="64"/>
  <c r="I60" i="64"/>
  <c r="J52" i="64"/>
  <c r="F66" i="39"/>
  <c r="F81" i="39"/>
  <c r="H66" i="82"/>
  <c r="H81" i="82"/>
  <c r="H87" i="82" s="1"/>
  <c r="H90" i="82" s="1"/>
  <c r="F13" i="85" s="1"/>
  <c r="F81" i="75"/>
  <c r="F87" i="75" s="1"/>
  <c r="F90" i="75" s="1"/>
  <c r="D12" i="85" s="1"/>
  <c r="F66" i="75"/>
  <c r="H81" i="40"/>
  <c r="H87" i="40" s="1"/>
  <c r="H90" i="40" s="1"/>
  <c r="H66" i="40"/>
  <c r="K57" i="69"/>
  <c r="K63" i="69" s="1"/>
  <c r="L49" i="69"/>
  <c r="F81" i="50"/>
  <c r="F87" i="50" s="1"/>
  <c r="F90" i="50" s="1"/>
  <c r="D8" i="85" s="1"/>
  <c r="F66" i="50"/>
  <c r="H66" i="81"/>
  <c r="H81" i="81"/>
  <c r="H87" i="81" s="1"/>
  <c r="H90" i="81" s="1"/>
  <c r="F14" i="85" s="1"/>
  <c r="G60" i="75"/>
  <c r="H52" i="75"/>
  <c r="H60" i="65"/>
  <c r="I52" i="65"/>
  <c r="H81" i="71"/>
  <c r="H87" i="71" s="1"/>
  <c r="H90" i="71" s="1"/>
  <c r="F10" i="85" s="1"/>
  <c r="H66" i="71"/>
  <c r="I60" i="40"/>
  <c r="J52" i="40"/>
  <c r="I60" i="81"/>
  <c r="J52" i="81"/>
  <c r="K52" i="63"/>
  <c r="J60" i="63"/>
  <c r="H81" i="80"/>
  <c r="H87" i="80" s="1"/>
  <c r="H90" i="80" s="1"/>
  <c r="F11" i="85" s="1"/>
  <c r="H66" i="80"/>
  <c r="G81" i="65"/>
  <c r="G87" i="65" s="1"/>
  <c r="G90" i="65" s="1"/>
  <c r="E7" i="85" s="1"/>
  <c r="G66" i="65"/>
  <c r="H60" i="79"/>
  <c r="I52" i="79"/>
  <c r="G60" i="50"/>
  <c r="H52" i="50"/>
  <c r="I60" i="80"/>
  <c r="J52" i="80"/>
  <c r="I81" i="63"/>
  <c r="I87" i="63" s="1"/>
  <c r="I90" i="63" s="1"/>
  <c r="G5" i="85" s="1"/>
  <c r="H22" i="85" s="1"/>
  <c r="I66" i="63"/>
  <c r="I99" i="63" s="1"/>
  <c r="I100" i="63" s="1"/>
  <c r="G60" i="39"/>
  <c r="H52" i="39"/>
  <c r="G81" i="79"/>
  <c r="G87" i="79" s="1"/>
  <c r="G90" i="79" s="1"/>
  <c r="E9" i="85" s="1"/>
  <c r="G66" i="79"/>
  <c r="I60" i="43"/>
  <c r="J52" i="43"/>
  <c r="H81" i="43"/>
  <c r="H87" i="43" s="1"/>
  <c r="H90" i="43" s="1"/>
  <c r="H66" i="43"/>
  <c r="J52" i="71" l="1"/>
  <c r="K52" i="71" s="1"/>
  <c r="I60" i="82"/>
  <c r="I81" i="82" s="1"/>
  <c r="I87" i="82" s="1"/>
  <c r="I90" i="82" s="1"/>
  <c r="G13" i="85" s="1"/>
  <c r="H30" i="85" s="1"/>
  <c r="I81" i="64"/>
  <c r="I87" i="64" s="1"/>
  <c r="I90" i="64" s="1"/>
  <c r="G3" i="85" s="1"/>
  <c r="H20" i="85" s="1"/>
  <c r="I66" i="64"/>
  <c r="I99" i="64" s="1"/>
  <c r="I100" i="64" s="1"/>
  <c r="J60" i="64"/>
  <c r="K52" i="64"/>
  <c r="H60" i="39"/>
  <c r="I52" i="39"/>
  <c r="I60" i="79"/>
  <c r="J52" i="79"/>
  <c r="J81" i="63"/>
  <c r="J87" i="63" s="1"/>
  <c r="J90" i="63" s="1"/>
  <c r="H5" i="85" s="1"/>
  <c r="J66" i="63"/>
  <c r="J52" i="65"/>
  <c r="I60" i="65"/>
  <c r="G81" i="39"/>
  <c r="G66" i="39"/>
  <c r="H81" i="79"/>
  <c r="H87" i="79" s="1"/>
  <c r="H90" i="79" s="1"/>
  <c r="F9" i="85" s="1"/>
  <c r="H66" i="79"/>
  <c r="K60" i="63"/>
  <c r="L52" i="63"/>
  <c r="H81" i="65"/>
  <c r="H87" i="65" s="1"/>
  <c r="H90" i="65" s="1"/>
  <c r="F7" i="85" s="1"/>
  <c r="H66" i="65"/>
  <c r="G81" i="50"/>
  <c r="G87" i="50" s="1"/>
  <c r="G90" i="50" s="1"/>
  <c r="E8" i="85" s="1"/>
  <c r="G66" i="50"/>
  <c r="G81" i="75"/>
  <c r="G87" i="75" s="1"/>
  <c r="G90" i="75" s="1"/>
  <c r="E12" i="85" s="1"/>
  <c r="G66" i="75"/>
  <c r="J60" i="80"/>
  <c r="K52" i="80"/>
  <c r="J60" i="40"/>
  <c r="K52" i="40"/>
  <c r="M49" i="69"/>
  <c r="M57" i="69" s="1"/>
  <c r="M63" i="69" s="1"/>
  <c r="L57" i="69"/>
  <c r="L63" i="69" s="1"/>
  <c r="J60" i="82"/>
  <c r="K52" i="82"/>
  <c r="K52" i="81"/>
  <c r="J60" i="81"/>
  <c r="I22" i="85"/>
  <c r="N22" i="85" s="1"/>
  <c r="J22" i="85"/>
  <c r="W22" i="85"/>
  <c r="I81" i="81"/>
  <c r="I87" i="81" s="1"/>
  <c r="I90" i="81" s="1"/>
  <c r="G14" i="85" s="1"/>
  <c r="H46" i="85" s="1"/>
  <c r="I66" i="81"/>
  <c r="I99" i="81" s="1"/>
  <c r="I100" i="81" s="1"/>
  <c r="I81" i="80"/>
  <c r="I87" i="80" s="1"/>
  <c r="I90" i="80" s="1"/>
  <c r="G11" i="85" s="1"/>
  <c r="H28" i="85" s="1"/>
  <c r="I66" i="80"/>
  <c r="I99" i="80" s="1"/>
  <c r="I100" i="80" s="1"/>
  <c r="I81" i="71"/>
  <c r="I87" i="71" s="1"/>
  <c r="I90" i="71" s="1"/>
  <c r="G10" i="85" s="1"/>
  <c r="H42" i="85" s="1"/>
  <c r="I66" i="71"/>
  <c r="I99" i="71" s="1"/>
  <c r="I100" i="71" s="1"/>
  <c r="F4" i="85"/>
  <c r="H60" i="75"/>
  <c r="I52" i="75"/>
  <c r="I81" i="40"/>
  <c r="I87" i="40" s="1"/>
  <c r="I90" i="40" s="1"/>
  <c r="G4" i="85" s="1"/>
  <c r="I66" i="40"/>
  <c r="I99" i="40" s="1"/>
  <c r="I100" i="40" s="1"/>
  <c r="H60" i="50"/>
  <c r="I52" i="50"/>
  <c r="F87" i="39"/>
  <c r="F78" i="69"/>
  <c r="J60" i="43"/>
  <c r="K52" i="43"/>
  <c r="I81" i="43"/>
  <c r="I87" i="43" s="1"/>
  <c r="I90" i="43" s="1"/>
  <c r="I66" i="43"/>
  <c r="I98" i="43" s="1"/>
  <c r="I99" i="43" s="1"/>
  <c r="J60" i="71" l="1"/>
  <c r="J81" i="71" s="1"/>
  <c r="J87" i="71" s="1"/>
  <c r="J90" i="71" s="1"/>
  <c r="H10" i="85" s="1"/>
  <c r="I66" i="82"/>
  <c r="I99" i="82" s="1"/>
  <c r="I100" i="82" s="1"/>
  <c r="J96" i="40"/>
  <c r="J20" i="85"/>
  <c r="W20" i="85"/>
  <c r="I20" i="85"/>
  <c r="N20" i="85" s="1"/>
  <c r="H36" i="85"/>
  <c r="I36" i="85" s="1"/>
  <c r="N36" i="85" s="1"/>
  <c r="L52" i="64"/>
  <c r="K60" i="64"/>
  <c r="J81" i="64"/>
  <c r="J87" i="64" s="1"/>
  <c r="J90" i="64" s="1"/>
  <c r="H3" i="85" s="1"/>
  <c r="J66" i="64"/>
  <c r="W42" i="85"/>
  <c r="J42" i="85"/>
  <c r="I42" i="85"/>
  <c r="N42" i="85" s="1"/>
  <c r="J81" i="82"/>
  <c r="J87" i="82" s="1"/>
  <c r="J90" i="82" s="1"/>
  <c r="H13" i="85" s="1"/>
  <c r="J66" i="82"/>
  <c r="J66" i="80"/>
  <c r="J81" i="80"/>
  <c r="J87" i="80" s="1"/>
  <c r="J90" i="80" s="1"/>
  <c r="H11" i="85" s="1"/>
  <c r="I81" i="65"/>
  <c r="I87" i="65" s="1"/>
  <c r="I90" i="65" s="1"/>
  <c r="G7" i="85" s="1"/>
  <c r="H24" i="85" s="1"/>
  <c r="I66" i="65"/>
  <c r="I99" i="65" s="1"/>
  <c r="I100" i="65" s="1"/>
  <c r="J46" i="85"/>
  <c r="W46" i="85"/>
  <c r="I46" i="85"/>
  <c r="N46" i="85" s="1"/>
  <c r="J60" i="65"/>
  <c r="K52" i="65"/>
  <c r="I60" i="50"/>
  <c r="J52" i="50"/>
  <c r="W30" i="85"/>
  <c r="J30" i="85"/>
  <c r="I30" i="85"/>
  <c r="N30" i="85" s="1"/>
  <c r="L60" i="63"/>
  <c r="M52" i="63"/>
  <c r="M60" i="63" s="1"/>
  <c r="H81" i="50"/>
  <c r="H87" i="50" s="1"/>
  <c r="H90" i="50" s="1"/>
  <c r="F8" i="85" s="1"/>
  <c r="H66" i="50"/>
  <c r="K60" i="71"/>
  <c r="L52" i="71"/>
  <c r="K81" i="63"/>
  <c r="K87" i="63" s="1"/>
  <c r="K90" i="63" s="1"/>
  <c r="I5" i="85" s="1"/>
  <c r="K66" i="63"/>
  <c r="J60" i="79"/>
  <c r="K52" i="79"/>
  <c r="J66" i="81"/>
  <c r="J81" i="81"/>
  <c r="J87" i="81" s="1"/>
  <c r="J90" i="81" s="1"/>
  <c r="H14" i="85" s="1"/>
  <c r="K60" i="40"/>
  <c r="L52" i="40"/>
  <c r="I81" i="79"/>
  <c r="I87" i="79" s="1"/>
  <c r="I90" i="79" s="1"/>
  <c r="G9" i="85" s="1"/>
  <c r="H26" i="85" s="1"/>
  <c r="I66" i="79"/>
  <c r="I99" i="79" s="1"/>
  <c r="I100" i="79" s="1"/>
  <c r="I60" i="75"/>
  <c r="J52" i="75"/>
  <c r="J81" i="40"/>
  <c r="J87" i="40" s="1"/>
  <c r="J90" i="40" s="1"/>
  <c r="H4" i="85" s="1"/>
  <c r="J66" i="40"/>
  <c r="I60" i="39"/>
  <c r="J52" i="39"/>
  <c r="K60" i="81"/>
  <c r="L52" i="81"/>
  <c r="F90" i="39"/>
  <c r="F84" i="69"/>
  <c r="H81" i="75"/>
  <c r="H87" i="75" s="1"/>
  <c r="H90" i="75" s="1"/>
  <c r="F12" i="85" s="1"/>
  <c r="H66" i="75"/>
  <c r="J28" i="85"/>
  <c r="W28" i="85"/>
  <c r="I28" i="85"/>
  <c r="N28" i="85" s="1"/>
  <c r="K60" i="82"/>
  <c r="L52" i="82"/>
  <c r="K60" i="80"/>
  <c r="L52" i="80"/>
  <c r="G87" i="39"/>
  <c r="G78" i="69"/>
  <c r="H81" i="39"/>
  <c r="H66" i="39"/>
  <c r="K60" i="43"/>
  <c r="L52" i="43"/>
  <c r="J81" i="43"/>
  <c r="J87" i="43" s="1"/>
  <c r="J90" i="43" s="1"/>
  <c r="J66" i="43"/>
  <c r="J66" i="71" l="1"/>
  <c r="W36" i="85"/>
  <c r="J36" i="85"/>
  <c r="K81" i="64"/>
  <c r="K87" i="64" s="1"/>
  <c r="K90" i="64" s="1"/>
  <c r="I3" i="85" s="1"/>
  <c r="K66" i="64"/>
  <c r="L60" i="64"/>
  <c r="M52" i="64"/>
  <c r="M60" i="64" s="1"/>
  <c r="I81" i="39"/>
  <c r="I66" i="39"/>
  <c r="I99" i="39" s="1"/>
  <c r="I100" i="39" s="1"/>
  <c r="M81" i="63"/>
  <c r="M87" i="63" s="1"/>
  <c r="M90" i="63" s="1"/>
  <c r="K5" i="85" s="1"/>
  <c r="M66" i="63"/>
  <c r="M99" i="63" s="1"/>
  <c r="M100" i="63" s="1"/>
  <c r="J66" i="65"/>
  <c r="J81" i="65"/>
  <c r="J87" i="65" s="1"/>
  <c r="J90" i="65" s="1"/>
  <c r="H7" i="85" s="1"/>
  <c r="G90" i="39"/>
  <c r="G84" i="69"/>
  <c r="L81" i="63"/>
  <c r="L87" i="63" s="1"/>
  <c r="L90" i="63" s="1"/>
  <c r="J5" i="85" s="1"/>
  <c r="L66" i="63"/>
  <c r="K81" i="40"/>
  <c r="K87" i="40" s="1"/>
  <c r="K90" i="40" s="1"/>
  <c r="I4" i="85" s="1"/>
  <c r="K66" i="40"/>
  <c r="J60" i="75"/>
  <c r="K52" i="75"/>
  <c r="I24" i="85"/>
  <c r="N24" i="85" s="1"/>
  <c r="J24" i="85"/>
  <c r="W24" i="85"/>
  <c r="L60" i="80"/>
  <c r="M52" i="80"/>
  <c r="M60" i="80" s="1"/>
  <c r="K81" i="80"/>
  <c r="K87" i="80" s="1"/>
  <c r="K90" i="80" s="1"/>
  <c r="I11" i="85" s="1"/>
  <c r="K66" i="80"/>
  <c r="L60" i="82"/>
  <c r="M52" i="82"/>
  <c r="M60" i="82" s="1"/>
  <c r="D6" i="85"/>
  <c r="F87" i="69"/>
  <c r="I81" i="75"/>
  <c r="I87" i="75" s="1"/>
  <c r="I90" i="75" s="1"/>
  <c r="G12" i="85" s="1"/>
  <c r="H44" i="85" s="1"/>
  <c r="I66" i="75"/>
  <c r="I99" i="75" s="1"/>
  <c r="I100" i="75" s="1"/>
  <c r="M52" i="71"/>
  <c r="M60" i="71" s="1"/>
  <c r="L60" i="71"/>
  <c r="K66" i="71"/>
  <c r="K81" i="71"/>
  <c r="K87" i="71" s="1"/>
  <c r="K90" i="71" s="1"/>
  <c r="I10" i="85" s="1"/>
  <c r="J60" i="50"/>
  <c r="K52" i="50"/>
  <c r="L60" i="81"/>
  <c r="M52" i="81"/>
  <c r="M60" i="81" s="1"/>
  <c r="K66" i="81"/>
  <c r="K81" i="81"/>
  <c r="K87" i="81" s="1"/>
  <c r="K90" i="81" s="1"/>
  <c r="I14" i="85" s="1"/>
  <c r="W26" i="85"/>
  <c r="I26" i="85"/>
  <c r="N26" i="85" s="1"/>
  <c r="J26" i="85"/>
  <c r="K60" i="79"/>
  <c r="L52" i="79"/>
  <c r="I66" i="50"/>
  <c r="I99" i="50" s="1"/>
  <c r="I100" i="50" s="1"/>
  <c r="I81" i="50"/>
  <c r="I87" i="50" s="1"/>
  <c r="I90" i="50" s="1"/>
  <c r="G8" i="85" s="1"/>
  <c r="H40" i="85" s="1"/>
  <c r="K66" i="82"/>
  <c r="K81" i="82"/>
  <c r="K87" i="82" s="1"/>
  <c r="K90" i="82" s="1"/>
  <c r="I13" i="85" s="1"/>
  <c r="H87" i="39"/>
  <c r="H78" i="69"/>
  <c r="K52" i="39"/>
  <c r="J60" i="39"/>
  <c r="L60" i="40"/>
  <c r="M52" i="40"/>
  <c r="M60" i="40" s="1"/>
  <c r="J66" i="79"/>
  <c r="J81" i="79"/>
  <c r="J87" i="79" s="1"/>
  <c r="J90" i="79" s="1"/>
  <c r="H9" i="85" s="1"/>
  <c r="K60" i="65"/>
  <c r="L52" i="65"/>
  <c r="L60" i="43"/>
  <c r="M52" i="43"/>
  <c r="M60" i="43" s="1"/>
  <c r="K81" i="43"/>
  <c r="K87" i="43" s="1"/>
  <c r="K90" i="43" s="1"/>
  <c r="K66" i="43"/>
  <c r="H23" i="85" l="1"/>
  <c r="W23" i="85" s="1"/>
  <c r="M66" i="64"/>
  <c r="M99" i="64" s="1"/>
  <c r="M100" i="64" s="1"/>
  <c r="M81" i="64"/>
  <c r="M87" i="64" s="1"/>
  <c r="M90" i="64" s="1"/>
  <c r="K3" i="85" s="1"/>
  <c r="L66" i="64"/>
  <c r="L99" i="64" s="1"/>
  <c r="L100" i="64" s="1"/>
  <c r="L81" i="64"/>
  <c r="L87" i="64" s="1"/>
  <c r="L90" i="64" s="1"/>
  <c r="J3" i="85" s="1"/>
  <c r="K81" i="65"/>
  <c r="K87" i="65" s="1"/>
  <c r="K90" i="65" s="1"/>
  <c r="I7" i="85" s="1"/>
  <c r="K66" i="65"/>
  <c r="L81" i="82"/>
  <c r="L87" i="82" s="1"/>
  <c r="L90" i="82" s="1"/>
  <c r="J13" i="85" s="1"/>
  <c r="L66" i="82"/>
  <c r="K60" i="75"/>
  <c r="L52" i="75"/>
  <c r="E6" i="85"/>
  <c r="G87" i="69"/>
  <c r="L81" i="71"/>
  <c r="L87" i="71" s="1"/>
  <c r="L90" i="71" s="1"/>
  <c r="J10" i="85" s="1"/>
  <c r="L66" i="71"/>
  <c r="J81" i="75"/>
  <c r="J87" i="75" s="1"/>
  <c r="J90" i="75" s="1"/>
  <c r="H12" i="85" s="1"/>
  <c r="J66" i="75"/>
  <c r="H90" i="39"/>
  <c r="H84" i="69"/>
  <c r="M81" i="82"/>
  <c r="M87" i="82" s="1"/>
  <c r="M90" i="82" s="1"/>
  <c r="K13" i="85" s="1"/>
  <c r="M66" i="82"/>
  <c r="M99" i="82" s="1"/>
  <c r="M100" i="82" s="1"/>
  <c r="M66" i="40"/>
  <c r="M99" i="40" s="1"/>
  <c r="M100" i="40" s="1"/>
  <c r="M81" i="40"/>
  <c r="M87" i="40" s="1"/>
  <c r="M90" i="40" s="1"/>
  <c r="K4" i="85" s="1"/>
  <c r="W40" i="85"/>
  <c r="J40" i="85"/>
  <c r="I40" i="85"/>
  <c r="N40" i="85" s="1"/>
  <c r="M66" i="71"/>
  <c r="M99" i="71" s="1"/>
  <c r="M100" i="71" s="1"/>
  <c r="M81" i="71"/>
  <c r="M87" i="71" s="1"/>
  <c r="M90" i="71" s="1"/>
  <c r="K10" i="85" s="1"/>
  <c r="L81" i="40"/>
  <c r="L87" i="40" s="1"/>
  <c r="L90" i="40" s="1"/>
  <c r="J4" i="85" s="1"/>
  <c r="L66" i="40"/>
  <c r="L99" i="40" s="1"/>
  <c r="L100" i="40" s="1"/>
  <c r="J81" i="39"/>
  <c r="J66" i="39"/>
  <c r="L60" i="79"/>
  <c r="M52" i="79"/>
  <c r="M60" i="79" s="1"/>
  <c r="L66" i="81"/>
  <c r="L81" i="81"/>
  <c r="L87" i="81" s="1"/>
  <c r="L90" i="81" s="1"/>
  <c r="J14" i="85" s="1"/>
  <c r="W44" i="85"/>
  <c r="I44" i="85"/>
  <c r="N44" i="85" s="1"/>
  <c r="J44" i="85"/>
  <c r="L81" i="80"/>
  <c r="L87" i="80" s="1"/>
  <c r="L90" i="80" s="1"/>
  <c r="J11" i="85" s="1"/>
  <c r="L66" i="80"/>
  <c r="M66" i="80"/>
  <c r="M99" i="80" s="1"/>
  <c r="M100" i="80" s="1"/>
  <c r="M81" i="80"/>
  <c r="M87" i="80" s="1"/>
  <c r="M90" i="80" s="1"/>
  <c r="K11" i="85" s="1"/>
  <c r="K60" i="39"/>
  <c r="L52" i="39"/>
  <c r="K81" i="79"/>
  <c r="K87" i="79" s="1"/>
  <c r="K90" i="79" s="1"/>
  <c r="I9" i="85" s="1"/>
  <c r="K66" i="79"/>
  <c r="M81" i="81"/>
  <c r="M87" i="81" s="1"/>
  <c r="M90" i="81" s="1"/>
  <c r="K14" i="85" s="1"/>
  <c r="M66" i="81"/>
  <c r="M99" i="81" s="1"/>
  <c r="M100" i="81" s="1"/>
  <c r="K60" i="50"/>
  <c r="L52" i="50"/>
  <c r="L60" i="65"/>
  <c r="M52" i="65"/>
  <c r="M60" i="65" s="1"/>
  <c r="J66" i="50"/>
  <c r="J81" i="50"/>
  <c r="J87" i="50" s="1"/>
  <c r="J90" i="50" s="1"/>
  <c r="H8" i="85" s="1"/>
  <c r="I87" i="39"/>
  <c r="I78" i="69"/>
  <c r="M81" i="43"/>
  <c r="M87" i="43" s="1"/>
  <c r="M90" i="43" s="1"/>
  <c r="M66" i="43"/>
  <c r="M98" i="43" s="1"/>
  <c r="M99" i="43" s="1"/>
  <c r="L81" i="43"/>
  <c r="L87" i="43" s="1"/>
  <c r="L90" i="43" s="1"/>
  <c r="L66" i="43"/>
  <c r="D36" i="74"/>
  <c r="D69" i="74" s="1"/>
  <c r="D83" i="74"/>
  <c r="H47" i="85" l="1"/>
  <c r="I23" i="85"/>
  <c r="N23" i="85" s="1"/>
  <c r="H31" i="85"/>
  <c r="W31" i="85" s="1"/>
  <c r="J23" i="85"/>
  <c r="H29" i="85"/>
  <c r="J29" i="85" s="1"/>
  <c r="H21" i="85"/>
  <c r="J47" i="85"/>
  <c r="W47" i="85"/>
  <c r="I47" i="85"/>
  <c r="N47" i="85" s="1"/>
  <c r="H43" i="85"/>
  <c r="I90" i="39"/>
  <c r="I84" i="69"/>
  <c r="M81" i="79"/>
  <c r="M87" i="79" s="1"/>
  <c r="M90" i="79" s="1"/>
  <c r="K9" i="85" s="1"/>
  <c r="M66" i="79"/>
  <c r="M99" i="79" s="1"/>
  <c r="M100" i="79" s="1"/>
  <c r="F6" i="85"/>
  <c r="H87" i="69"/>
  <c r="L60" i="75"/>
  <c r="M52" i="75"/>
  <c r="M60" i="75" s="1"/>
  <c r="K81" i="75"/>
  <c r="K87" i="75" s="1"/>
  <c r="K90" i="75" s="1"/>
  <c r="I12" i="85" s="1"/>
  <c r="K66" i="75"/>
  <c r="L66" i="79"/>
  <c r="L81" i="79"/>
  <c r="L87" i="79" s="1"/>
  <c r="L90" i="79" s="1"/>
  <c r="J9" i="85" s="1"/>
  <c r="H27" i="85" s="1"/>
  <c r="M66" i="65"/>
  <c r="M99" i="65" s="1"/>
  <c r="M100" i="65" s="1"/>
  <c r="M81" i="65"/>
  <c r="M87" i="65" s="1"/>
  <c r="M90" i="65" s="1"/>
  <c r="K7" i="85" s="1"/>
  <c r="L60" i="39"/>
  <c r="M52" i="39"/>
  <c r="M60" i="39" s="1"/>
  <c r="L81" i="65"/>
  <c r="L87" i="65" s="1"/>
  <c r="L90" i="65" s="1"/>
  <c r="J7" i="85" s="1"/>
  <c r="L66" i="65"/>
  <c r="K81" i="39"/>
  <c r="K66" i="39"/>
  <c r="J87" i="39"/>
  <c r="J78" i="69"/>
  <c r="H37" i="85"/>
  <c r="L60" i="50"/>
  <c r="M52" i="50"/>
  <c r="M60" i="50" s="1"/>
  <c r="K81" i="50"/>
  <c r="K87" i="50" s="1"/>
  <c r="K90" i="50" s="1"/>
  <c r="I8" i="85" s="1"/>
  <c r="K66" i="50"/>
  <c r="W29" i="85" l="1"/>
  <c r="I29" i="85"/>
  <c r="N29" i="85" s="1"/>
  <c r="I31" i="85"/>
  <c r="N31" i="85" s="1"/>
  <c r="J31" i="85"/>
  <c r="H25" i="85"/>
  <c r="J25" i="85" s="1"/>
  <c r="W21" i="85"/>
  <c r="I21" i="85"/>
  <c r="N21" i="85" s="1"/>
  <c r="J21" i="85"/>
  <c r="W27" i="85"/>
  <c r="I27" i="85"/>
  <c r="N27" i="85" s="1"/>
  <c r="J27" i="85"/>
  <c r="M81" i="75"/>
  <c r="M87" i="75" s="1"/>
  <c r="M90" i="75" s="1"/>
  <c r="K12" i="85" s="1"/>
  <c r="M66" i="75"/>
  <c r="M99" i="75" s="1"/>
  <c r="M100" i="75" s="1"/>
  <c r="I37" i="85"/>
  <c r="N37" i="85" s="1"/>
  <c r="J37" i="85"/>
  <c r="W37" i="85"/>
  <c r="L66" i="39"/>
  <c r="L81" i="39"/>
  <c r="L81" i="75"/>
  <c r="L87" i="75" s="1"/>
  <c r="L90" i="75" s="1"/>
  <c r="J12" i="85" s="1"/>
  <c r="L66" i="75"/>
  <c r="J43" i="85"/>
  <c r="W43" i="85"/>
  <c r="I43" i="85"/>
  <c r="N43" i="85" s="1"/>
  <c r="M81" i="39"/>
  <c r="M66" i="39"/>
  <c r="M99" i="39" s="1"/>
  <c r="M100" i="39" s="1"/>
  <c r="G6" i="85"/>
  <c r="H38" i="85" s="1"/>
  <c r="I87" i="69"/>
  <c r="J90" i="39"/>
  <c r="J84" i="69"/>
  <c r="L81" i="50"/>
  <c r="L87" i="50" s="1"/>
  <c r="L90" i="50" s="1"/>
  <c r="J8" i="85" s="1"/>
  <c r="L66" i="50"/>
  <c r="K87" i="39"/>
  <c r="K78" i="69"/>
  <c r="M81" i="50"/>
  <c r="M87" i="50" s="1"/>
  <c r="M90" i="50" s="1"/>
  <c r="K8" i="85" s="1"/>
  <c r="M66" i="50"/>
  <c r="M99" i="50" s="1"/>
  <c r="M100" i="50" s="1"/>
  <c r="H45" i="85" l="1"/>
  <c r="I45" i="85" s="1"/>
  <c r="N45" i="85" s="1"/>
  <c r="W25" i="85"/>
  <c r="H41" i="85"/>
  <c r="J41" i="85" s="1"/>
  <c r="I25" i="85"/>
  <c r="N25" i="85" s="1"/>
  <c r="L87" i="39"/>
  <c r="L78" i="69"/>
  <c r="H6" i="85"/>
  <c r="J87" i="69"/>
  <c r="W38" i="85"/>
  <c r="I38" i="85"/>
  <c r="N38" i="85" s="1"/>
  <c r="J38" i="85"/>
  <c r="K90" i="39"/>
  <c r="K84" i="69"/>
  <c r="M87" i="39"/>
  <c r="M78" i="69"/>
  <c r="J45" i="85" l="1"/>
  <c r="W45" i="85"/>
  <c r="W41" i="85"/>
  <c r="I41" i="85"/>
  <c r="N41" i="85" s="1"/>
  <c r="M90" i="39"/>
  <c r="M84" i="69"/>
  <c r="I6" i="85"/>
  <c r="K87" i="69"/>
  <c r="L90" i="39"/>
  <c r="L84" i="69"/>
  <c r="K6" i="85" l="1"/>
  <c r="M87" i="69"/>
  <c r="J6" i="85"/>
  <c r="L87" i="69"/>
  <c r="H39" i="85" l="1"/>
  <c r="W39" i="85" s="1"/>
  <c r="I39" i="85" l="1"/>
  <c r="N39" i="85" s="1"/>
  <c r="J39"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tc={A2E580E9-BD85-4694-944F-C3D3FC411C58}</author>
    <author>tc={278EC9E4-C61F-48A1-8994-D1742EAE31DD}</author>
  </authors>
  <commentList>
    <comment ref="E37" authorId="0" shapeId="0" xr:uid="{A2E580E9-BD85-4694-944F-C3D3FC411C58}">
      <text>
        <t>[Threaded comment]
Your version of Excel allows you to read this threaded comment; however, any edits to it will get removed if the file is opened in a newer version of Excel. Learn more: https://go.microsoft.com/fwlink/?linkid=870924
Comment:
    financing cost, transaction, reorganization, and separation</t>
      </text>
    </comment>
    <comment ref="E56" authorId="1" shapeId="0" xr:uid="{278EC9E4-C61F-48A1-8994-D1742EAE31DD}">
      <text>
        <t>[Threaded comment]
Your version of Excel allows you to read this threaded comment; however, any edits to it will get removed if the file is opened in a newer version of Excel. Learn more: https://go.microsoft.com/fwlink/?linkid=870924
Comment:
    income taxes receivable, other, assets from price risk management activities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Acuity</author>
  </authors>
  <commentList>
    <comment ref="Q72" authorId="0" shapeId="0" xr:uid="{FB58A6F6-5B36-428C-9BFC-5E8FFDA683D1}">
      <text>
        <r>
          <rPr>
            <b/>
            <sz val="9"/>
            <color indexed="81"/>
            <rFont val="Tahoma"/>
            <family val="2"/>
          </rPr>
          <t>Acuity:</t>
        </r>
        <r>
          <rPr>
            <sz val="9"/>
            <color indexed="81"/>
            <rFont val="Tahoma"/>
            <family val="2"/>
          </rPr>
          <t xml:space="preserve">
Considered current portion of long term debt and current portion of lease liability</t>
        </r>
      </text>
    </comment>
    <comment ref="R72" authorId="0" shapeId="0" xr:uid="{F3565A21-FC8E-4D49-B4E9-208CB8673AEE}">
      <text>
        <r>
          <rPr>
            <b/>
            <sz val="9"/>
            <color indexed="81"/>
            <rFont val="Tahoma"/>
            <family val="2"/>
          </rPr>
          <t>Acuity:</t>
        </r>
        <r>
          <rPr>
            <sz val="9"/>
            <color indexed="81"/>
            <rFont val="Tahoma"/>
            <family val="2"/>
          </rPr>
          <t xml:space="preserve">
Considered current portion of long term debt and current portion of lease liability</t>
        </r>
      </text>
    </comment>
    <comment ref="Q90" authorId="0" shapeId="0" xr:uid="{8B6F8EC1-F7FA-4B4B-B652-838010A78702}">
      <text>
        <r>
          <rPr>
            <b/>
            <sz val="9"/>
            <color indexed="81"/>
            <rFont val="Tahoma"/>
            <family val="2"/>
          </rPr>
          <t>Acuity:</t>
        </r>
        <r>
          <rPr>
            <sz val="9"/>
            <color indexed="81"/>
            <rFont val="Tahoma"/>
            <family val="2"/>
          </rPr>
          <t xml:space="preserve">
Considered Non-cash (gain) loss on derivatives, net
Add: Stock-based compensation
Add: Other, net</t>
        </r>
      </text>
    </comment>
    <comment ref="R90" authorId="0" shapeId="0" xr:uid="{18E5F65D-F9EB-41E1-8090-4A39448000E5}">
      <text>
        <r>
          <rPr>
            <b/>
            <sz val="9"/>
            <color indexed="81"/>
            <rFont val="Tahoma"/>
            <family val="2"/>
          </rPr>
          <t>Acuity:</t>
        </r>
        <r>
          <rPr>
            <sz val="9"/>
            <color indexed="81"/>
            <rFont val="Tahoma"/>
            <family val="2"/>
          </rPr>
          <t xml:space="preserve">
Considered Non-cash (gain) loss on derivatives, net
Add: Stock-based compensation
Add: Other, net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Acuity</author>
  </authors>
  <commentList>
    <comment ref="Q72" authorId="0" shapeId="0" xr:uid="{3403649B-DC36-47B9-AA5B-FDDC304E308C}">
      <text>
        <r>
          <rPr>
            <b/>
            <sz val="9"/>
            <color indexed="81"/>
            <rFont val="Tahoma"/>
            <family val="2"/>
          </rPr>
          <t>Acuity:</t>
        </r>
        <r>
          <rPr>
            <sz val="9"/>
            <color indexed="81"/>
            <rFont val="Tahoma"/>
            <family val="2"/>
          </rPr>
          <t xml:space="preserve">
Considered current portion of long term debt and current portion of lease liability</t>
        </r>
      </text>
    </comment>
    <comment ref="R72" authorId="0" shapeId="0" xr:uid="{5C7D5582-F392-4BC8-B5DF-43D783EAD86B}">
      <text>
        <r>
          <rPr>
            <b/>
            <sz val="9"/>
            <color indexed="81"/>
            <rFont val="Tahoma"/>
            <family val="2"/>
          </rPr>
          <t>Acuity:</t>
        </r>
        <r>
          <rPr>
            <sz val="9"/>
            <color indexed="81"/>
            <rFont val="Tahoma"/>
            <family val="2"/>
          </rPr>
          <t xml:space="preserve">
Considered current portion of long term debt and current portion of lease liability</t>
        </r>
      </text>
    </comment>
    <comment ref="Q90" authorId="0" shapeId="0" xr:uid="{0FFE13E9-7AF3-4090-B4D5-49BCC811923E}">
      <text>
        <r>
          <rPr>
            <b/>
            <sz val="9"/>
            <color indexed="81"/>
            <rFont val="Tahoma"/>
            <family val="2"/>
          </rPr>
          <t>Acuity:</t>
        </r>
        <r>
          <rPr>
            <sz val="9"/>
            <color indexed="81"/>
            <rFont val="Tahoma"/>
            <family val="2"/>
          </rPr>
          <t xml:space="preserve">
Considered Non-cash (gain) loss on derivatives, net
Add: Stock-based compensation
Add: Other, net</t>
        </r>
      </text>
    </comment>
    <comment ref="R90" authorId="0" shapeId="0" xr:uid="{1E5AD7A7-3A36-4877-9CB0-CADB040CDB87}">
      <text>
        <r>
          <rPr>
            <b/>
            <sz val="9"/>
            <color indexed="81"/>
            <rFont val="Tahoma"/>
            <family val="2"/>
          </rPr>
          <t>Acuity:</t>
        </r>
        <r>
          <rPr>
            <sz val="9"/>
            <color indexed="81"/>
            <rFont val="Tahoma"/>
            <family val="2"/>
          </rPr>
          <t xml:space="preserve">
Considered Non-cash (gain) loss on derivatives, net
Add: Stock-based compensation
Add: Other, net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Acuity</author>
  </authors>
  <commentList>
    <comment ref="Q72" authorId="0" shapeId="0" xr:uid="{4609F5D1-C51B-44CA-98DB-C50C2EA6B661}">
      <text>
        <r>
          <rPr>
            <b/>
            <sz val="9"/>
            <color indexed="81"/>
            <rFont val="Tahoma"/>
            <family val="2"/>
          </rPr>
          <t>Acuity:</t>
        </r>
        <r>
          <rPr>
            <sz val="9"/>
            <color indexed="81"/>
            <rFont val="Tahoma"/>
            <family val="2"/>
          </rPr>
          <t xml:space="preserve">
Considered current portion of long term debt and current portion of lease liability</t>
        </r>
      </text>
    </comment>
    <comment ref="R72" authorId="0" shapeId="0" xr:uid="{5A030C73-214D-4616-A984-4C9D649718A5}">
      <text>
        <r>
          <rPr>
            <b/>
            <sz val="9"/>
            <color indexed="81"/>
            <rFont val="Tahoma"/>
            <family val="2"/>
          </rPr>
          <t>Acuity:</t>
        </r>
        <r>
          <rPr>
            <sz val="9"/>
            <color indexed="81"/>
            <rFont val="Tahoma"/>
            <family val="2"/>
          </rPr>
          <t xml:space="preserve">
Considered current portion of long term debt and current portion of lease liability</t>
        </r>
      </text>
    </comment>
    <comment ref="Q90" authorId="0" shapeId="0" xr:uid="{B82FCE87-C30B-482E-8EA2-697D683C5B0E}">
      <text>
        <r>
          <rPr>
            <b/>
            <sz val="9"/>
            <color indexed="81"/>
            <rFont val="Tahoma"/>
            <family val="2"/>
          </rPr>
          <t>Acuity:</t>
        </r>
        <r>
          <rPr>
            <sz val="9"/>
            <color indexed="81"/>
            <rFont val="Tahoma"/>
            <family val="2"/>
          </rPr>
          <t xml:space="preserve">
Considered Non-cash (gain) loss on derivatives, net
Add: Stock-based compensation
Add: Other, net</t>
        </r>
      </text>
    </comment>
    <comment ref="R90" authorId="0" shapeId="0" xr:uid="{1B80D5B6-0F0A-4CDA-8E1F-B7D0A315D2E8}">
      <text>
        <r>
          <rPr>
            <b/>
            <sz val="9"/>
            <color indexed="81"/>
            <rFont val="Tahoma"/>
            <family val="2"/>
          </rPr>
          <t>Acuity:</t>
        </r>
        <r>
          <rPr>
            <sz val="9"/>
            <color indexed="81"/>
            <rFont val="Tahoma"/>
            <family val="2"/>
          </rPr>
          <t xml:space="preserve">
Considered Non-cash (gain) loss on derivatives, net
Add: Stock-based compensation
Add: Other, net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Acuity</author>
  </authors>
  <commentList>
    <comment ref="Q72" authorId="0" shapeId="0" xr:uid="{4E2E93EA-5940-4F9E-9396-6FD60298FC4C}">
      <text>
        <r>
          <rPr>
            <b/>
            <sz val="9"/>
            <color indexed="81"/>
            <rFont val="Tahoma"/>
            <family val="2"/>
          </rPr>
          <t>Acuity:</t>
        </r>
        <r>
          <rPr>
            <sz val="9"/>
            <color indexed="81"/>
            <rFont val="Tahoma"/>
            <family val="2"/>
          </rPr>
          <t xml:space="preserve">
Considered current portion of long term debt and current portion of lease liability</t>
        </r>
      </text>
    </comment>
    <comment ref="R72" authorId="0" shapeId="0" xr:uid="{9E36475E-8295-415A-8FFC-4D2B2A148D46}">
      <text>
        <r>
          <rPr>
            <b/>
            <sz val="9"/>
            <color indexed="81"/>
            <rFont val="Tahoma"/>
            <family val="2"/>
          </rPr>
          <t>Acuity:</t>
        </r>
        <r>
          <rPr>
            <sz val="9"/>
            <color indexed="81"/>
            <rFont val="Tahoma"/>
            <family val="2"/>
          </rPr>
          <t xml:space="preserve">
Considered current portion of long term debt and current portion of lease liability</t>
        </r>
      </text>
    </comment>
    <comment ref="Q90" authorId="0" shapeId="0" xr:uid="{121A4CB0-EF64-400C-8954-369BCEAD946A}">
      <text>
        <r>
          <rPr>
            <b/>
            <sz val="9"/>
            <color indexed="81"/>
            <rFont val="Tahoma"/>
            <family val="2"/>
          </rPr>
          <t>Acuity:</t>
        </r>
        <r>
          <rPr>
            <sz val="9"/>
            <color indexed="81"/>
            <rFont val="Tahoma"/>
            <family val="2"/>
          </rPr>
          <t xml:space="preserve">
Considered Non-cash (gain) loss on derivatives, net
Add: Stock-based compensation
Add: Other, net</t>
        </r>
      </text>
    </comment>
    <comment ref="R90" authorId="0" shapeId="0" xr:uid="{8E2E4231-23DF-4AB4-B5DA-51F3777919AC}">
      <text>
        <r>
          <rPr>
            <b/>
            <sz val="9"/>
            <color indexed="81"/>
            <rFont val="Tahoma"/>
            <family val="2"/>
          </rPr>
          <t>Acuity:</t>
        </r>
        <r>
          <rPr>
            <sz val="9"/>
            <color indexed="81"/>
            <rFont val="Tahoma"/>
            <family val="2"/>
          </rPr>
          <t xml:space="preserve">
Considered Non-cash (gain) loss on derivatives, net
Add: Stock-based compensation
Add: Other, net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Acuity</author>
  </authors>
  <commentList>
    <comment ref="Q72" authorId="0" shapeId="0" xr:uid="{0ED7E78B-8C9A-44CF-A0AE-8C41938A3ED0}">
      <text>
        <r>
          <rPr>
            <b/>
            <sz val="9"/>
            <color indexed="81"/>
            <rFont val="Tahoma"/>
            <family val="2"/>
          </rPr>
          <t>Acuity:</t>
        </r>
        <r>
          <rPr>
            <sz val="9"/>
            <color indexed="81"/>
            <rFont val="Tahoma"/>
            <family val="2"/>
          </rPr>
          <t xml:space="preserve">
Considered current portion of long term debt and current portion of lease liability</t>
        </r>
      </text>
    </comment>
    <comment ref="R72" authorId="0" shapeId="0" xr:uid="{120D9D23-8FAC-4E49-B4E9-F8832F99DBFA}">
      <text>
        <r>
          <rPr>
            <b/>
            <sz val="9"/>
            <color indexed="81"/>
            <rFont val="Tahoma"/>
            <family val="2"/>
          </rPr>
          <t>Acuity:</t>
        </r>
        <r>
          <rPr>
            <sz val="9"/>
            <color indexed="81"/>
            <rFont val="Tahoma"/>
            <family val="2"/>
          </rPr>
          <t xml:space="preserve">
Considered current portion of long term debt and current portion of lease liability</t>
        </r>
      </text>
    </comment>
    <comment ref="Q90" authorId="0" shapeId="0" xr:uid="{2DAC2E46-955B-40CB-A2CB-38A03D5DE3BB}">
      <text>
        <r>
          <rPr>
            <b/>
            <sz val="9"/>
            <color indexed="81"/>
            <rFont val="Tahoma"/>
            <family val="2"/>
          </rPr>
          <t>Acuity:</t>
        </r>
        <r>
          <rPr>
            <sz val="9"/>
            <color indexed="81"/>
            <rFont val="Tahoma"/>
            <family val="2"/>
          </rPr>
          <t xml:space="preserve">
Considered Non-cash (gain) loss on derivatives, net
Add: Stock-based compensation
Add: Other, net</t>
        </r>
      </text>
    </comment>
    <comment ref="R90" authorId="0" shapeId="0" xr:uid="{0C799604-6F69-48F5-A1CA-CC2B451E4282}">
      <text>
        <r>
          <rPr>
            <b/>
            <sz val="9"/>
            <color indexed="81"/>
            <rFont val="Tahoma"/>
            <family val="2"/>
          </rPr>
          <t>Acuity:</t>
        </r>
        <r>
          <rPr>
            <sz val="9"/>
            <color indexed="81"/>
            <rFont val="Tahoma"/>
            <family val="2"/>
          </rPr>
          <t xml:space="preserve">
Considered Non-cash (gain) loss on derivatives, net
Add: Stock-based compensation
Add: Other, net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Acuity</author>
  </authors>
  <commentList>
    <comment ref="Q72" authorId="0" shapeId="0" xr:uid="{72A8C48F-4F4F-435B-A322-A629B7182B50}">
      <text>
        <r>
          <rPr>
            <b/>
            <sz val="9"/>
            <color indexed="81"/>
            <rFont val="Tahoma"/>
            <family val="2"/>
          </rPr>
          <t>Acuity:</t>
        </r>
        <r>
          <rPr>
            <sz val="9"/>
            <color indexed="81"/>
            <rFont val="Tahoma"/>
            <family val="2"/>
          </rPr>
          <t xml:space="preserve">
Considered current portion of long term debt and current portion of lease liability</t>
        </r>
      </text>
    </comment>
    <comment ref="R72" authorId="0" shapeId="0" xr:uid="{ADA4B684-79DA-4351-9CEA-186797F44A69}">
      <text>
        <r>
          <rPr>
            <b/>
            <sz val="9"/>
            <color indexed="81"/>
            <rFont val="Tahoma"/>
            <family val="2"/>
          </rPr>
          <t>Acuity:</t>
        </r>
        <r>
          <rPr>
            <sz val="9"/>
            <color indexed="81"/>
            <rFont val="Tahoma"/>
            <family val="2"/>
          </rPr>
          <t xml:space="preserve">
Considered current portion of long term debt and current portion of lease liability</t>
        </r>
      </text>
    </comment>
    <comment ref="Q90" authorId="0" shapeId="0" xr:uid="{0BEFD493-ABB5-47A3-BACE-AD41A90009C3}">
      <text>
        <r>
          <rPr>
            <b/>
            <sz val="9"/>
            <color indexed="81"/>
            <rFont val="Tahoma"/>
            <family val="2"/>
          </rPr>
          <t>Acuity:</t>
        </r>
        <r>
          <rPr>
            <sz val="9"/>
            <color indexed="81"/>
            <rFont val="Tahoma"/>
            <family val="2"/>
          </rPr>
          <t xml:space="preserve">
Considered Non-cash (gain) loss on derivatives, net
Add: Stock-based compensation
Add: Other, net</t>
        </r>
      </text>
    </comment>
    <comment ref="R90" authorId="0" shapeId="0" xr:uid="{7FCB40C7-255B-4537-8709-33F6BBBF3D90}">
      <text>
        <r>
          <rPr>
            <b/>
            <sz val="9"/>
            <color indexed="81"/>
            <rFont val="Tahoma"/>
            <family val="2"/>
          </rPr>
          <t>Acuity:</t>
        </r>
        <r>
          <rPr>
            <sz val="9"/>
            <color indexed="81"/>
            <rFont val="Tahoma"/>
            <family val="2"/>
          </rPr>
          <t xml:space="preserve">
Considered Non-cash (gain) loss on derivatives, net
Add: Stock-based compensation
Add: Other, net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tc={116F900E-15AB-4F48-9C26-5CE958CE1A0B}</author>
    <author>tc={AF7B2CF8-6498-4A14-BB05-E2DEC088F9AD}</author>
    <author>tc={CA16E7A6-E357-4D8A-B65C-0B6B58EED140}</author>
  </authors>
  <commentList>
    <comment ref="E28" authorId="0" shapeId="0" xr:uid="{116F900E-15AB-4F48-9C26-5CE958CE1A0B}">
      <text>
        <t>[Threaded comment]
Your version of Excel allows you to read this threaded comment; however, any edits to it will get removed if the file is opened in a newer version of Excel. Learn more: https://go.microsoft.com/fwlink/?linkid=870924
Comment:
    include all but commodity derivative contracts</t>
      </text>
    </comment>
    <comment ref="F85" authorId="1" shapeId="0" xr:uid="{AF7B2CF8-6498-4A14-BB05-E2DEC088F9AD}">
      <text>
        <t>[Threaded comment]
Your version of Excel allows you to read this threaded comment; however, any edits to it will get removed if the file is opened in a newer version of Excel. Learn more: https://go.microsoft.com/fwlink/?linkid=870924
Comment:
    does not sum from F31,33,34,42</t>
      </text>
    </comment>
    <comment ref="E86" authorId="2" shapeId="0" xr:uid="{CA16E7A6-E357-4D8A-B65C-0B6B58EED140}">
      <text>
        <t>[Threaded comment]
Your version of Excel allows you to read this threaded comment; however, any edits to it will get removed if the file is opened in a newer version of Excel. Learn more: https://go.microsoft.com/fwlink/?linkid=870924
Comment:
    E79-E82 sums to E83</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tc={1628D89E-850D-40E2-807B-1B52F2F3AB81}</author>
    <author>tc={75FFFBF1-E852-47A3-83FC-C1AB4BCD16D0}</author>
  </authors>
  <commentList>
    <comment ref="E40" authorId="0" shapeId="0" xr:uid="{1628D89E-850D-40E2-807B-1B52F2F3AB81}">
      <text>
        <t>[Threaded comment]
Your version of Excel allows you to read this threaded comment; however, any edits to it will get removed if the file is opened in a newer version of Excel. Learn more: https://go.microsoft.com/fwlink/?linkid=870924
Comment:
    financing cost, transaction, reorganization, and separation</t>
      </text>
    </comment>
    <comment ref="E59" authorId="1" shapeId="0" xr:uid="{75FFFBF1-E852-47A3-83FC-C1AB4BCD16D0}">
      <text>
        <t>[Threaded comment]
Your version of Excel allows you to read this threaded comment; however, any edits to it will get removed if the file is opened in a newer version of Excel. Learn more: https://go.microsoft.com/fwlink/?linkid=870924
Comment:
    income taxes receivable, other, assets from price risk management activities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tc={3F8B4957-BB96-46C8-9C1B-F1141728926E}</author>
    <author>tc={7C8C65D8-86F2-4919-92B6-93E77C5E40A3}</author>
    <author>tc={FCB65568-EE87-4A1B-BA34-2CA462127C30}</author>
  </authors>
  <commentList>
    <comment ref="E28" authorId="0" shapeId="0" xr:uid="{3F8B4957-BB96-46C8-9C1B-F1141728926E}">
      <text>
        <t>[Threaded comment]
Your version of Excel allows you to read this threaded comment; however, any edits to it will get removed if the file is opened in a newer version of Excel. Learn more: https://go.microsoft.com/fwlink/?linkid=870924
Comment:
    include all but commodity derivative contracts</t>
      </text>
    </comment>
    <comment ref="E59" authorId="1" shapeId="0" xr:uid="{7C8C65D8-86F2-4919-92B6-93E77C5E40A3}">
      <text>
        <t>[Threaded comment]
Your version of Excel allows you to read this threaded comment; however, any edits to it will get removed if the file is opened in a newer version of Excel. Learn more: https://go.microsoft.com/fwlink/?linkid=870924
Comment:
    income taxes receivable, other, assets from price risk management activities
Reply:
    may add another income tax receivable depending on other companies</t>
      </text>
    </comment>
    <comment ref="E84" authorId="2" shapeId="0" xr:uid="{FCB65568-EE87-4A1B-BA34-2CA462127C30}">
      <text>
        <t>[Threaded comment]
Your version of Excel allows you to read this threaded comment; however, any edits to it will get removed if the file is opened in a newer version of Excel. Learn more: https://go.microsoft.com/fwlink/?linkid=870924
Comment:
    did not relate back to income statement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tc={A98370C6-E51C-441E-B556-D2AF82D2A6CD}</author>
    <author>tc={89465932-14E4-4195-BB2E-28F9449A1058}</author>
  </authors>
  <commentList>
    <comment ref="D29" authorId="0" shapeId="0" xr:uid="{A98370C6-E51C-441E-B556-D2AF82D2A6CD}">
      <text>
        <t>[Threaded comment]
Your version of Excel allows you to read this threaded comment; however, any edits to it will get removed if the file is opened in a newer version of Excel. Learn more: https://go.microsoft.com/fwlink/?linkid=870924
Comment:
    2019Q4 with Rystad projection</t>
      </text>
    </comment>
    <comment ref="E92" authorId="1" shapeId="0" xr:uid="{89465932-14E4-4195-BB2E-28F9449A1058}">
      <text>
        <t>[Threaded comment]
Your version of Excel allows you to read this threaded comment; however, any edits to it will get removed if the file is opened in a newer version of Excel. Learn more: https://go.microsoft.com/fwlink/?linkid=870924
Comment:
    older version: 768338/4</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tc={25556F51-B706-48C8-952F-6679940476F2}</author>
    <author>tc={A159E330-937A-4309-BB68-1F1FEC6E2140}</author>
  </authors>
  <commentList>
    <comment ref="E40" authorId="0" shapeId="0" xr:uid="{25556F51-B706-48C8-952F-6679940476F2}">
      <text>
        <t>[Threaded comment]
Your version of Excel allows you to read this threaded comment; however, any edits to it will get removed if the file is opened in a newer version of Excel. Learn more: https://go.microsoft.com/fwlink/?linkid=870924
Comment:
    financing cost, transaction, reorganization, and separation</t>
      </text>
    </comment>
    <comment ref="E59" authorId="1" shapeId="0" xr:uid="{A159E330-937A-4309-BB68-1F1FEC6E2140}">
      <text>
        <t>[Threaded comment]
Your version of Excel allows you to read this threaded comment; however, any edits to it will get removed if the file is opened in a newer version of Excel. Learn more: https://go.microsoft.com/fwlink/?linkid=870924
Comment:
    income taxes receivable, other, assets from price risk management activities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tc={9AD1FBD1-4657-41AE-84D2-496808699195}</author>
    <author>tc={37143AA5-F496-4381-8AA9-3BBC8EE9878A}</author>
    <author>tc={137C4F58-BBDD-4FD8-9960-F4337E01CE83}</author>
  </authors>
  <commentList>
    <comment ref="E28" authorId="0" shapeId="0" xr:uid="{9AD1FBD1-4657-41AE-84D2-496808699195}">
      <text>
        <t>[Threaded comment]
Your version of Excel allows you to read this threaded comment; however, any edits to it will get removed if the file is opened in a newer version of Excel. Learn more: https://go.microsoft.com/fwlink/?linkid=870924
Comment:
    include all but commodity derivative contracts</t>
      </text>
    </comment>
    <comment ref="E59" authorId="1" shapeId="0" xr:uid="{37143AA5-F496-4381-8AA9-3BBC8EE9878A}">
      <text>
        <t>[Threaded comment]
Your version of Excel allows you to read this threaded comment; however, any edits to it will get removed if the file is opened in a newer version of Excel. Learn more: https://go.microsoft.com/fwlink/?linkid=870924
Comment:
    income taxes receivable, other, assets from price risk management activities
Reply:
    may add another income tax receivable depending on other companies</t>
      </text>
    </comment>
    <comment ref="E84" authorId="2" shapeId="0" xr:uid="{137C4F58-BBDD-4FD8-9960-F4337E01CE83}">
      <text>
        <t>[Threaded comment]
Your version of Excel allows you to read this threaded comment; however, any edits to it will get removed if the file is opened in a newer version of Excel. Learn more: https://go.microsoft.com/fwlink/?linkid=870924
Comment:
    did not relate back to income statement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tc={FEC39DE0-3512-4880-A81A-5F659779CCB5}</author>
    <author>tc={FE3E3483-8A51-43A0-80EB-7576ECDDB9D8}</author>
  </authors>
  <commentList>
    <comment ref="E26" authorId="0" shapeId="0" xr:uid="{FEC39DE0-3512-4880-A81A-5F659779CCB5}">
      <text>
        <t>[Threaded comment]
Your version of Excel allows you to read this threaded comment; however, any edits to it will get removed if the file is opened in a newer version of Excel. Learn more: https://go.microsoft.com/fwlink/?linkid=870924
Comment:
    2019Q4 with Rystad projection</t>
      </text>
    </comment>
    <comment ref="E92" authorId="1" shapeId="0" xr:uid="{FE3E3483-8A51-43A0-80EB-7576ECDDB9D8}">
      <text>
        <t>[Threaded comment]
Your version of Excel allows you to read this threaded comment; however, any edits to it will get removed if the file is opened in a newer version of Excel. Learn more: https://go.microsoft.com/fwlink/?linkid=870924
Comment:
    older version: 768338/4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tc={90BA52B1-978D-4EAE-8409-02D80987647E}</author>
    <author>tc={0434CBE9-AED7-4E57-B915-515F297F7803}</author>
  </authors>
  <commentList>
    <comment ref="D29" authorId="0" shapeId="0" xr:uid="{90BA52B1-978D-4EAE-8409-02D80987647E}">
      <text>
        <t>[Threaded comment]
Your version of Excel allows you to read this threaded comment; however, any edits to it will get removed if the file is opened in a newer version of Excel. Learn more: https://go.microsoft.com/fwlink/?linkid=870924
Comment:
    2019Q4 with Rystad projection</t>
      </text>
    </comment>
    <comment ref="E92" authorId="1" shapeId="0" xr:uid="{0434CBE9-AED7-4E57-B915-515F297F7803}">
      <text>
        <t>[Threaded comment]
Your version of Excel allows you to read this threaded comment; however, any edits to it will get removed if the file is opened in a newer version of Excel. Learn more: https://go.microsoft.com/fwlink/?linkid=870924
Comment:
    older version: 768338/4</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tc={9EEF5F36-24CD-4B0D-87A6-5055ABBAF64D}</author>
    <author>tc={91592B95-AFC0-422F-B366-A512FCE0427B}</author>
    <author>Shivam Kumar</author>
    <author>Acuity</author>
  </authors>
  <commentList>
    <comment ref="I4" authorId="0" shapeId="0" xr:uid="{9EEF5F36-24CD-4B0D-87A6-5055ABBAF64D}">
      <text>
        <t>[Threaded comment]
Your version of Excel allows you to read this threaded comment; however, any edits to it will get removed if the file is opened in a newer version of Excel. Learn more: https://go.microsoft.com/fwlink/?linkid=870924
Comment:
    with derivative</t>
      </text>
    </comment>
    <comment ref="E14" authorId="1" shapeId="0" xr:uid="{91592B95-AFC0-422F-B366-A512FCE0427B}">
      <text>
        <t>[Threaded comment]
Your version of Excel allows you to read this threaded comment; however, any edits to it will get removed if the file is opened in a newer version of Excel. Learn more: https://go.microsoft.com/fwlink/?linkid=870924
Comment:
    include all but commodity derivative contracts</t>
      </text>
    </comment>
    <comment ref="F46" authorId="2" shapeId="0" xr:uid="{E9F0715E-D4F5-402B-84F0-EE1659B7A834}">
      <text>
        <r>
          <rPr>
            <b/>
            <sz val="9"/>
            <color indexed="81"/>
            <rFont val="Tahoma"/>
            <family val="2"/>
          </rPr>
          <t xml:space="preserve">Acuity: </t>
        </r>
        <r>
          <rPr>
            <sz val="9"/>
            <color indexed="81"/>
            <rFont val="Tahoma"/>
            <family val="2"/>
          </rPr>
          <t>Includes: Inventories- 502, Prepaid Assets and other- 58, Drilling Advances- 92</t>
        </r>
      </text>
    </comment>
    <comment ref="I57" authorId="3" shapeId="0" xr:uid="{A4EAADFE-7671-48B3-A2BF-32FD5CA2FFD6}">
      <text>
        <r>
          <rPr>
            <b/>
            <sz val="9"/>
            <color indexed="81"/>
            <rFont val="Tahoma"/>
            <family val="2"/>
          </rPr>
          <t>Acuity:</t>
        </r>
        <r>
          <rPr>
            <sz val="9"/>
            <color indexed="81"/>
            <rFont val="Tahoma"/>
            <family val="2"/>
          </rPr>
          <t xml:space="preserve">
Accrued drilling costs</t>
        </r>
      </text>
    </comment>
    <comment ref="F61" authorId="2" shapeId="0" xr:uid="{0C9536E2-729D-4F3C-861B-06DA92ADE5CF}">
      <text>
        <r>
          <rPr>
            <b/>
            <sz val="9"/>
            <color indexed="81"/>
            <rFont val="Tahoma"/>
            <family val="2"/>
          </rPr>
          <t>Acuity:</t>
        </r>
        <r>
          <rPr>
            <sz val="9"/>
            <color indexed="81"/>
            <rFont val="Tahoma"/>
            <family val="2"/>
          </rPr>
          <t xml:space="preserve">
LONG-TERM DEBT</t>
        </r>
      </text>
    </comment>
    <comment ref="G61" authorId="2" shapeId="0" xr:uid="{757C2094-F52F-4361-80DE-B6BD9EA9140B}">
      <text>
        <r>
          <rPr>
            <b/>
            <sz val="9"/>
            <color indexed="81"/>
            <rFont val="Tahoma"/>
            <family val="2"/>
          </rPr>
          <t>Acuity:</t>
        </r>
        <r>
          <rPr>
            <sz val="9"/>
            <color indexed="81"/>
            <rFont val="Tahoma"/>
            <family val="2"/>
          </rPr>
          <t xml:space="preserve">
LONG-TERM DEBT</t>
        </r>
      </text>
    </comment>
    <comment ref="H73" authorId="3" shapeId="0" xr:uid="{3B993D26-2D0A-4F7C-9BC7-34CCFD708013}">
      <text>
        <r>
          <rPr>
            <b/>
            <sz val="9"/>
            <color indexed="81"/>
            <rFont val="Tahoma"/>
            <family val="2"/>
          </rPr>
          <t>Acuity:</t>
        </r>
        <r>
          <rPr>
            <sz val="9"/>
            <color indexed="81"/>
            <rFont val="Tahoma"/>
            <family val="2"/>
          </rPr>
          <t xml:space="preserve">
Considered Non-cash (gain) loss on derivatives, net
Add: Stock-based compensation
Add: Other, net</t>
        </r>
      </text>
    </comment>
    <comment ref="I73" authorId="3" shapeId="0" xr:uid="{BB84AC22-468E-4CC7-933C-166FC33FA615}">
      <text>
        <r>
          <rPr>
            <b/>
            <sz val="9"/>
            <color indexed="81"/>
            <rFont val="Tahoma"/>
            <family val="2"/>
          </rPr>
          <t>Acuity:</t>
        </r>
        <r>
          <rPr>
            <sz val="9"/>
            <color indexed="81"/>
            <rFont val="Tahoma"/>
            <family val="2"/>
          </rPr>
          <t xml:space="preserve">
Considered Accretion of discount on asset retirement obligations
Add: Non-cash stock-based compensation expense</t>
        </r>
      </text>
    </comment>
    <comment ref="F74" authorId="2" shapeId="0" xr:uid="{257D5302-8444-4BDF-8B1E-26C6822FDDE6}">
      <text>
        <r>
          <rPr>
            <b/>
            <sz val="9"/>
            <color indexed="81"/>
            <rFont val="Tahoma"/>
            <family val="2"/>
          </rPr>
          <t xml:space="preserve">Acuity: </t>
        </r>
        <r>
          <rPr>
            <sz val="9"/>
            <color indexed="81"/>
            <rFont val="Tahoma"/>
            <family val="2"/>
          </rPr>
          <t xml:space="preserve">Exploratory dry hole expense and unproved leasehold impairments
</t>
        </r>
        <r>
          <rPr>
            <b/>
            <sz val="9"/>
            <color indexed="81"/>
            <rFont val="Tahoma"/>
            <family val="2"/>
          </rPr>
          <t xml:space="preserve">
</t>
        </r>
      </text>
    </comment>
    <comment ref="I77" authorId="3" shapeId="0" xr:uid="{0C06CCED-0C12-4038-B18C-734A2FDB1FC6}">
      <text>
        <r>
          <rPr>
            <b/>
            <sz val="9"/>
            <color indexed="81"/>
            <rFont val="Tahoma"/>
            <family val="2"/>
          </rPr>
          <t>Acuity:</t>
        </r>
        <r>
          <rPr>
            <sz val="9"/>
            <color indexed="81"/>
            <rFont val="Tahoma"/>
            <family val="2"/>
          </rPr>
          <t xml:space="preserve">
Considered Additions and acquisitions to oil and natural gas properties and Additions to property, equipment and other assets</t>
        </r>
      </text>
    </comment>
  </commentList>
</comments>
</file>

<file path=xl/sharedStrings.xml><?xml version="1.0" encoding="utf-8"?>
<sst xmlns="http://schemas.openxmlformats.org/spreadsheetml/2006/main" count="146158" uniqueCount="962">
  <si>
    <t>Bonterra Energy Corp. (BNE.TO)</t>
  </si>
  <si>
    <t>Obsidian Energy Ltd. (OBELF)</t>
  </si>
  <si>
    <t>Kinder Morgan, Inc. (KMI)</t>
  </si>
  <si>
    <t>Baytex Energy Corp. (BTE)</t>
  </si>
  <si>
    <t>Denbury Resources Inc. (DNR)</t>
  </si>
  <si>
    <t>Talos Energy Inc. (TALO)</t>
  </si>
  <si>
    <t>EP Energy Corporation (EPEGQ)</t>
  </si>
  <si>
    <t>Whitecap Resources Inc. (WCP.TO)</t>
  </si>
  <si>
    <t>MEG Energy Corp. (MEG.TO)</t>
  </si>
  <si>
    <t>QEP Resources, Inc. (QEP)</t>
  </si>
  <si>
    <t>Oasis Petroleum Inc. (OAS)</t>
  </si>
  <si>
    <t>California Resources Corporation (CRC)</t>
  </si>
  <si>
    <t>ARC Resources Ltd. (ARX.TO)</t>
  </si>
  <si>
    <t>Whiting Petroleum Corporation (WLL)</t>
  </si>
  <si>
    <t>SM Energy Company (SM)</t>
  </si>
  <si>
    <t>WPX Energy, Inc. (WPX)</t>
  </si>
  <si>
    <t>Parsley Energy, Inc. (PE)</t>
  </si>
  <si>
    <t>Murphy Oil Corporation (MUR)</t>
  </si>
  <si>
    <t>PDC Energy, Inc. (PDCE)</t>
  </si>
  <si>
    <t>Diamondback Energy, Inc. (FANG)</t>
  </si>
  <si>
    <t>Husky Energy Inc. (HSE.TO)</t>
  </si>
  <si>
    <t>Cimarex Energy Co. (XEC)</t>
  </si>
  <si>
    <t>Year</t>
  </si>
  <si>
    <t>Oil and Gas Category</t>
  </si>
  <si>
    <t>Condensate</t>
  </si>
  <si>
    <t>NGL</t>
  </si>
  <si>
    <t>Gas</t>
  </si>
  <si>
    <t>Basin</t>
  </si>
  <si>
    <t>Sub Basin</t>
  </si>
  <si>
    <t>Country</t>
  </si>
  <si>
    <t>Rub al Khali</t>
  </si>
  <si>
    <t>Qatar</t>
  </si>
  <si>
    <t>UAE</t>
  </si>
  <si>
    <t>Western Canada Sedimentary</t>
  </si>
  <si>
    <t>Canada</t>
  </si>
  <si>
    <t>Permian</t>
  </si>
  <si>
    <t>Midland North</t>
  </si>
  <si>
    <t>United States</t>
  </si>
  <si>
    <t>Central Basin Platform</t>
  </si>
  <si>
    <t>Delaware North</t>
  </si>
  <si>
    <t>Precaspian</t>
  </si>
  <si>
    <t>Kazakhstan</t>
  </si>
  <si>
    <t>Niger Delta</t>
  </si>
  <si>
    <t>Equatorial Guinea</t>
  </si>
  <si>
    <t>Congo Fan Ultradeep</t>
  </si>
  <si>
    <t>Angola</t>
  </si>
  <si>
    <t>East Texas/Louisiana-Mississippi Salts</t>
  </si>
  <si>
    <t>Northwest German</t>
  </si>
  <si>
    <t>Netherlands</t>
  </si>
  <si>
    <t>Germany</t>
  </si>
  <si>
    <t>Lower Saxony</t>
  </si>
  <si>
    <t>Williston (US)</t>
  </si>
  <si>
    <t>North Carnarvon</t>
  </si>
  <si>
    <t>Australia</t>
  </si>
  <si>
    <t>Overthrust Belt</t>
  </si>
  <si>
    <t>Central Arabian</t>
  </si>
  <si>
    <t>Iraq</t>
  </si>
  <si>
    <t>North Slope</t>
  </si>
  <si>
    <t>Malay</t>
  </si>
  <si>
    <t>Malaysia</t>
  </si>
  <si>
    <t>Indonesia</t>
  </si>
  <si>
    <t>Gulf Deepwater</t>
  </si>
  <si>
    <t>US Gulf Deepwater</t>
  </si>
  <si>
    <t>Appalachian</t>
  </si>
  <si>
    <t>North Sakhalin</t>
  </si>
  <si>
    <t>Russia</t>
  </si>
  <si>
    <t>Jeanne d' Arc</t>
  </si>
  <si>
    <t>Gippsland</t>
  </si>
  <si>
    <t>Papua New Guinea Fold Belt</t>
  </si>
  <si>
    <t>Papua New Guinea</t>
  </si>
  <si>
    <t>Bend Arch - Fort Worth</t>
  </si>
  <si>
    <t>Viking Graben</t>
  </si>
  <si>
    <t>Tampen Spur</t>
  </si>
  <si>
    <t>Norway</t>
  </si>
  <si>
    <t>United Kingdom</t>
  </si>
  <si>
    <t>Ve Sub-basin</t>
  </si>
  <si>
    <t>Penguin Ridge</t>
  </si>
  <si>
    <t>East Shetland Basin</t>
  </si>
  <si>
    <t>Vilje Sub-basin</t>
  </si>
  <si>
    <t>Western Gulf Province</t>
  </si>
  <si>
    <t>Voring</t>
  </si>
  <si>
    <t>Raas</t>
  </si>
  <si>
    <t>Gimsan Basin</t>
  </si>
  <si>
    <t>Halten Terrace</t>
  </si>
  <si>
    <t>Grinda Graben</t>
  </si>
  <si>
    <t>San Joaquin</t>
  </si>
  <si>
    <t>Ardmore</t>
  </si>
  <si>
    <t>Central Graben</t>
  </si>
  <si>
    <t>Feda Graben</t>
  </si>
  <si>
    <t>Western Graben</t>
  </si>
  <si>
    <t>Curlew-Puffin Platform</t>
  </si>
  <si>
    <t>Forties-Montrose High</t>
  </si>
  <si>
    <t>Marnock Terrace</t>
  </si>
  <si>
    <t>South Caspian</t>
  </si>
  <si>
    <t>Azerbaijan</t>
  </si>
  <si>
    <t>Arkoma</t>
  </si>
  <si>
    <t>Southern North Sea - Anglo-Dutch</t>
  </si>
  <si>
    <t>Horda Platform</t>
  </si>
  <si>
    <t>Utsira High</t>
  </si>
  <si>
    <t>Uinta-Piceance</t>
  </si>
  <si>
    <t>Piceance</t>
  </si>
  <si>
    <t>Uinta</t>
  </si>
  <si>
    <t>Guyana</t>
  </si>
  <si>
    <t>Central African RIft</t>
  </si>
  <si>
    <t>Chad</t>
  </si>
  <si>
    <t>Anadarko</t>
  </si>
  <si>
    <t>Argentina</t>
  </si>
  <si>
    <t>Wind River</t>
  </si>
  <si>
    <t>Santa Maria</t>
  </si>
  <si>
    <t>Gulf Coast</t>
  </si>
  <si>
    <t>San Juan</t>
  </si>
  <si>
    <t>Ventura</t>
  </si>
  <si>
    <t>Thailand</t>
  </si>
  <si>
    <t>Scotian Shelf</t>
  </si>
  <si>
    <t>Cook Inlet Tertiary Province</t>
  </si>
  <si>
    <t>Powder River</t>
  </si>
  <si>
    <t>Marib-Al Jawf-Shabwah</t>
  </si>
  <si>
    <t>Yemen</t>
  </si>
  <si>
    <t>Greater Green River</t>
  </si>
  <si>
    <t>Tarija</t>
  </si>
  <si>
    <t>Northeast German-Polish</t>
  </si>
  <si>
    <t>Egypt</t>
  </si>
  <si>
    <t>Columbus</t>
  </si>
  <si>
    <t>Trinidad and Tobago</t>
  </si>
  <si>
    <t>North Oman Huqf-Shu'aiba</t>
  </si>
  <si>
    <t>Oman</t>
  </si>
  <si>
    <t>Bintuni</t>
  </si>
  <si>
    <t>West Shetland</t>
  </si>
  <si>
    <t>Gulf of Suez</t>
  </si>
  <si>
    <t>Delaware East</t>
  </si>
  <si>
    <t>Breiflabb</t>
  </si>
  <si>
    <t>Cod Terrace</t>
  </si>
  <si>
    <t>Lindesnes Ridge</t>
  </si>
  <si>
    <t>Algeria</t>
  </si>
  <si>
    <t>Bolivia</t>
  </si>
  <si>
    <t>Illizi - Ghadames</t>
  </si>
  <si>
    <t>Nepa - Botuoba</t>
  </si>
  <si>
    <t>South Viking Graben</t>
  </si>
  <si>
    <t>Beryl Embayment</t>
  </si>
  <si>
    <t>Vana Sub-basin</t>
  </si>
  <si>
    <t>Volve Sub-basin</t>
  </si>
  <si>
    <t>Frigg Ridge</t>
  </si>
  <si>
    <t>Gudrun Terrace</t>
  </si>
  <si>
    <t>Heimdal Terrace</t>
  </si>
  <si>
    <t>Trinidad</t>
  </si>
  <si>
    <t>Pilbara Block</t>
  </si>
  <si>
    <t>Moray Firth</t>
  </si>
  <si>
    <t>Witch Ground Graben</t>
  </si>
  <si>
    <t>Sureste</t>
  </si>
  <si>
    <t>Saline-Comalcalco</t>
  </si>
  <si>
    <t>Mexico</t>
  </si>
  <si>
    <t>Gascoyne Block</t>
  </si>
  <si>
    <t>Revfall Fault Complex</t>
  </si>
  <si>
    <t>Nam Con Son</t>
  </si>
  <si>
    <t>Vietnam</t>
  </si>
  <si>
    <t>Sorvestlandet High</t>
  </si>
  <si>
    <t>East Venezuela</t>
  </si>
  <si>
    <t>Maturin</t>
  </si>
  <si>
    <t>Venezuela</t>
  </si>
  <si>
    <t>Santos</t>
  </si>
  <si>
    <t>Brazil</t>
  </si>
  <si>
    <t>Sabah Baram</t>
  </si>
  <si>
    <t>Brunei</t>
  </si>
  <si>
    <t>Delaware West</t>
  </si>
  <si>
    <t>Alpine High</t>
  </si>
  <si>
    <t>Sarawak - East Natuna</t>
  </si>
  <si>
    <t>Bowen - Surat</t>
  </si>
  <si>
    <t>South Oman</t>
  </si>
  <si>
    <t>Denmark</t>
  </si>
  <si>
    <t>Sogne</t>
  </si>
  <si>
    <t>Stord</t>
  </si>
  <si>
    <t>Bjorgvin Arch</t>
  </si>
  <si>
    <t>Abu Gharadiq</t>
  </si>
  <si>
    <t>Northern Egypt</t>
  </si>
  <si>
    <t>China</t>
  </si>
  <si>
    <t>Browse</t>
  </si>
  <si>
    <t>Campos</t>
  </si>
  <si>
    <t>Campos (offshore)</t>
  </si>
  <si>
    <t>Clarence - Moreton</t>
  </si>
  <si>
    <t>New Zealand</t>
  </si>
  <si>
    <t>Sichuan</t>
  </si>
  <si>
    <t>Cooper - Eromanga</t>
  </si>
  <si>
    <t>Sogn Graben</t>
  </si>
  <si>
    <t>Maaloy Slope</t>
  </si>
  <si>
    <t>Trondelag Platform</t>
  </si>
  <si>
    <t>Froan Basin</t>
  </si>
  <si>
    <t>New England Fold Belt</t>
  </si>
  <si>
    <t>Susunay Uplift</t>
  </si>
  <si>
    <t>Oman Mountains Foldbelt</t>
  </si>
  <si>
    <t>Midland South</t>
  </si>
  <si>
    <t>Northern Shelf</t>
  </si>
  <si>
    <t>Gulf of Thailand</t>
  </si>
  <si>
    <t>Congo</t>
  </si>
  <si>
    <t>Democratic Republic of Congo</t>
  </si>
  <si>
    <t>Moattama</t>
  </si>
  <si>
    <t>Myanmar</t>
  </si>
  <si>
    <t>Inner Moray Firth</t>
  </si>
  <si>
    <t>Buchan Glenn Horst</t>
  </si>
  <si>
    <t>Bohai Gulf</t>
  </si>
  <si>
    <t>Josefine Ridge</t>
  </si>
  <si>
    <t>Kutei</t>
  </si>
  <si>
    <t>Colombia</t>
  </si>
  <si>
    <t>South Sumatra</t>
  </si>
  <si>
    <t>Pearl River Mouth</t>
  </si>
  <si>
    <t>Black Warrior</t>
  </si>
  <si>
    <t>Michigan</t>
  </si>
  <si>
    <t>ConocoPhillips</t>
  </si>
  <si>
    <t>Northwestern Shelf</t>
  </si>
  <si>
    <t>Steinbit Terrace</t>
  </si>
  <si>
    <t>Sirte</t>
  </si>
  <si>
    <t>Libya</t>
  </si>
  <si>
    <t>Nyk High</t>
  </si>
  <si>
    <t>Oseberg Fault Block</t>
  </si>
  <si>
    <t>Brage Horst</t>
  </si>
  <si>
    <t>Bonaparte</t>
  </si>
  <si>
    <t>East Timor</t>
  </si>
  <si>
    <t>Putumayo Oriente Maranon</t>
  </si>
  <si>
    <t>Ecuador</t>
  </si>
  <si>
    <t>Denver</t>
  </si>
  <si>
    <t>Arafura</t>
  </si>
  <si>
    <t>Middle Magdalena Valley</t>
  </si>
  <si>
    <t>South Halibut</t>
  </si>
  <si>
    <t>Hess</t>
  </si>
  <si>
    <t>Malaysia/Thailand JDA</t>
  </si>
  <si>
    <t>Anglo-Paris</t>
  </si>
  <si>
    <t>France</t>
  </si>
  <si>
    <t>Marathon Oil</t>
  </si>
  <si>
    <t>East Shetland Platform</t>
  </si>
  <si>
    <t>Fladen Ground Spur</t>
  </si>
  <si>
    <t>Douala</t>
  </si>
  <si>
    <t>Williston (CA)</t>
  </si>
  <si>
    <t>Devon Energy</t>
  </si>
  <si>
    <t>Apache</t>
  </si>
  <si>
    <t>Eastern Shelf</t>
  </si>
  <si>
    <t>Alamine</t>
  </si>
  <si>
    <t>Marmarica</t>
  </si>
  <si>
    <t>Crawford Spur</t>
  </si>
  <si>
    <t>Upper Egypt</t>
  </si>
  <si>
    <t>Gindi</t>
  </si>
  <si>
    <t>Benisuef</t>
  </si>
  <si>
    <t>Chesapeake</t>
  </si>
  <si>
    <t>Nemaha Uplift</t>
  </si>
  <si>
    <t>EOG Resources</t>
  </si>
  <si>
    <t>Noble Energy</t>
  </si>
  <si>
    <t>Levantine</t>
  </si>
  <si>
    <t>Israel</t>
  </si>
  <si>
    <t>Illinois</t>
  </si>
  <si>
    <t>North Sinai Offshore</t>
  </si>
  <si>
    <t>Montana Thrust Belt</t>
  </si>
  <si>
    <t>Anadarko Shelf</t>
  </si>
  <si>
    <t>Pioneer Natural Resources</t>
  </si>
  <si>
    <t>Bighorn</t>
  </si>
  <si>
    <t>Sacramento</t>
  </si>
  <si>
    <t>Berkine</t>
  </si>
  <si>
    <t>Ucayali</t>
  </si>
  <si>
    <t>Peru</t>
  </si>
  <si>
    <t>Gulf of Venezuela</t>
  </si>
  <si>
    <t>Llanos</t>
  </si>
  <si>
    <t>Halibut Horst</t>
  </si>
  <si>
    <t>Santa Cruz</t>
  </si>
  <si>
    <t>Guarico</t>
  </si>
  <si>
    <t>Cuu Long</t>
  </si>
  <si>
    <t>Danish Norwegian</t>
  </si>
  <si>
    <t>Beaufort - Mackenzie</t>
  </si>
  <si>
    <t>Cote d'Ivoire</t>
  </si>
  <si>
    <t>Gabon</t>
  </si>
  <si>
    <t>Paradox</t>
  </si>
  <si>
    <t>Midland East</t>
  </si>
  <si>
    <t>Continental Resources</t>
  </si>
  <si>
    <t>Palo Duro</t>
  </si>
  <si>
    <t>Concho Resources</t>
  </si>
  <si>
    <t>Ovintiv</t>
  </si>
  <si>
    <t>South China Fold Belt</t>
  </si>
  <si>
    <t>Los Angeles</t>
  </si>
  <si>
    <t>Economics Group</t>
  </si>
  <si>
    <t>Free Cash Flow</t>
  </si>
  <si>
    <t>Government Take</t>
  </si>
  <si>
    <t>Capex</t>
  </si>
  <si>
    <t>Exploration Capex</t>
  </si>
  <si>
    <t>Opex</t>
  </si>
  <si>
    <t>Ireland</t>
  </si>
  <si>
    <t>Walvis</t>
  </si>
  <si>
    <t>Namibia</t>
  </si>
  <si>
    <t>Malvinas</t>
  </si>
  <si>
    <t>Ceara</t>
  </si>
  <si>
    <t>Ceara (offshore)</t>
  </si>
  <si>
    <t>Porcupine</t>
  </si>
  <si>
    <t>Burgos</t>
  </si>
  <si>
    <t>Cyprus</t>
  </si>
  <si>
    <t>Maritime</t>
  </si>
  <si>
    <t>Guyana Ultradeep</t>
  </si>
  <si>
    <t>Suriname</t>
  </si>
  <si>
    <t>Hudson Bay</t>
  </si>
  <si>
    <t>Magnus Ridge</t>
  </si>
  <si>
    <t>Rovuma</t>
  </si>
  <si>
    <t>Mozambique</t>
  </si>
  <si>
    <t>Colville Hills</t>
  </si>
  <si>
    <t>Sinu Ultradeep</t>
  </si>
  <si>
    <t>Sergipe-Alagoas</t>
  </si>
  <si>
    <t>SEAL (offshore)</t>
  </si>
  <si>
    <t>Appalachian Foldbelt</t>
  </si>
  <si>
    <t>Nab Sha</t>
  </si>
  <si>
    <t>Franklinian - Sverdrup</t>
  </si>
  <si>
    <t>Pakistan</t>
  </si>
  <si>
    <t>Orphan</t>
  </si>
  <si>
    <t>North Sumatra - Mergui</t>
  </si>
  <si>
    <t>Tano-Western</t>
  </si>
  <si>
    <t>Ghana</t>
  </si>
  <si>
    <t>Amerasian (Canada)</t>
  </si>
  <si>
    <t>Potiguar</t>
  </si>
  <si>
    <t>Potiguar (offshore)</t>
  </si>
  <si>
    <t>Senegal - Bove Ultradeep</t>
  </si>
  <si>
    <t>Mauritania</t>
  </si>
  <si>
    <t>Eagle</t>
  </si>
  <si>
    <t>Tanzanian Coastal</t>
  </si>
  <si>
    <t>Channel Islands</t>
  </si>
  <si>
    <t>Black Sea</t>
  </si>
  <si>
    <t>Barito</t>
  </si>
  <si>
    <t>Unknown</t>
  </si>
  <si>
    <t>Senegal - Bove</t>
  </si>
  <si>
    <t>Senegal</t>
  </si>
  <si>
    <t>Morocco</t>
  </si>
  <si>
    <t>Edgeoya Platform</t>
  </si>
  <si>
    <t>Hopenbanken Arch</t>
  </si>
  <si>
    <t>Bjarmeland Platform</t>
  </si>
  <si>
    <t>Loppa High</t>
  </si>
  <si>
    <t>Polheim Sub-platform</t>
  </si>
  <si>
    <t>Ringvassoy-Loppa Fault Complex</t>
  </si>
  <si>
    <t>Fedynsky High</t>
  </si>
  <si>
    <t>Campeche-Sigsbee Salt</t>
  </si>
  <si>
    <t>Hidra High</t>
  </si>
  <si>
    <t>Piggvar Terrace</t>
  </si>
  <si>
    <t>Ula-gyda Fault Zone</t>
  </si>
  <si>
    <t>Widyan</t>
  </si>
  <si>
    <t>Fensal Sub-basin</t>
  </si>
  <si>
    <t>Mokkurkalve Fault Complex</t>
  </si>
  <si>
    <t>Heimdal High</t>
  </si>
  <si>
    <t>Sao Tome and Principe</t>
  </si>
  <si>
    <t>Sorvestsnaget</t>
  </si>
  <si>
    <t>Finnmark Platform</t>
  </si>
  <si>
    <t>Signalhorn Dome</t>
  </si>
  <si>
    <t>Liard</t>
  </si>
  <si>
    <t>Foz do Amazonas</t>
  </si>
  <si>
    <t>Foz do Amazonas (offshore)</t>
  </si>
  <si>
    <t>Hammerfest Basin</t>
  </si>
  <si>
    <t>Grip Hogda</t>
  </si>
  <si>
    <t>Traena</t>
  </si>
  <si>
    <t>Donna Terrace</t>
  </si>
  <si>
    <t>East Shetland Shelf</t>
  </si>
  <si>
    <t>Barreirinhas</t>
  </si>
  <si>
    <t>Barreirinhas (offshore)</t>
  </si>
  <si>
    <t>Barbados</t>
  </si>
  <si>
    <t>Kronprins Christian</t>
  </si>
  <si>
    <t>Greenland</t>
  </si>
  <si>
    <t>Bjornoya Bassenget</t>
  </si>
  <si>
    <t>Fingerdjupet Sub-basin</t>
  </si>
  <si>
    <t>Sor High</t>
  </si>
  <si>
    <t>Northeast Sea of Okhotsk</t>
  </si>
  <si>
    <t>Jaeren High</t>
  </si>
  <si>
    <t>Rakhine Offshore</t>
  </si>
  <si>
    <t>Canadian Cordillera</t>
  </si>
  <si>
    <t>Timor Sea JPDA</t>
  </si>
  <si>
    <t>Aruba</t>
  </si>
  <si>
    <t>Tanimbar</t>
  </si>
  <si>
    <t>Bear Lake</t>
  </si>
  <si>
    <t>Orange</t>
  </si>
  <si>
    <t>Kenya</t>
  </si>
  <si>
    <t>Sinu</t>
  </si>
  <si>
    <t>Bulgaria</t>
  </si>
  <si>
    <t>Baffin Bay</t>
  </si>
  <si>
    <t>Haapet Dome</t>
  </si>
  <si>
    <t>Ukraine</t>
  </si>
  <si>
    <t>Great Australian Bight</t>
  </si>
  <si>
    <t>Panjang</t>
  </si>
  <si>
    <t>Cambodia</t>
  </si>
  <si>
    <t>Ling Depression</t>
  </si>
  <si>
    <t>Cyrenaica</t>
  </si>
  <si>
    <t>Shanxi</t>
  </si>
  <si>
    <t>Froya High</t>
  </si>
  <si>
    <t>Gronoy High</t>
  </si>
  <si>
    <t>Hopedale</t>
  </si>
  <si>
    <t>Anderson</t>
  </si>
  <si>
    <t>Maasoy Fault Complex</t>
  </si>
  <si>
    <t>Zhongsha Plateau</t>
  </si>
  <si>
    <t>Selwyn</t>
  </si>
  <si>
    <t>Southern Arctic Islands</t>
  </si>
  <si>
    <t>North Falkland</t>
  </si>
  <si>
    <t>Falkland Islands</t>
  </si>
  <si>
    <t>Cameroon</t>
  </si>
  <si>
    <t>Sele High</t>
  </si>
  <si>
    <t>Vigrid Syncline</t>
  </si>
  <si>
    <t>Espirito Santo</t>
  </si>
  <si>
    <t>Espirito Santo (offshore)</t>
  </si>
  <si>
    <t>Sunda Platform</t>
  </si>
  <si>
    <t>Canadian Shield</t>
  </si>
  <si>
    <t>Total Revenue</t>
  </si>
  <si>
    <t>Oil</t>
  </si>
  <si>
    <t>Total production</t>
  </si>
  <si>
    <t>Variable</t>
  </si>
  <si>
    <t>Corporate borrowing rate, end of period</t>
  </si>
  <si>
    <t>GDP, real, annual growth</t>
  </si>
  <si>
    <t>Inflation, consumer price index - % year-on-year</t>
  </si>
  <si>
    <t>Interest rates  on 30 Year Fixed Rate Mortgages</t>
  </si>
  <si>
    <t>Interest rate, 10 year government bonds</t>
  </si>
  <si>
    <t>Interest rate, short-term, 3 month t-bill rate</t>
  </si>
  <si>
    <t>Unemployment rate</t>
  </si>
  <si>
    <t>WTI</t>
  </si>
  <si>
    <t>Airline Idiosyncratic impact %</t>
  </si>
  <si>
    <t>BBB yield</t>
  </si>
  <si>
    <t>CPI</t>
  </si>
  <si>
    <t>5Y treasury</t>
  </si>
  <si>
    <t>GDP</t>
  </si>
  <si>
    <t>GDP growth</t>
  </si>
  <si>
    <t>2019Q4</t>
  </si>
  <si>
    <t>2020 Q1</t>
  </si>
  <si>
    <t>2020 Q2</t>
  </si>
  <si>
    <t>2020 Q3</t>
  </si>
  <si>
    <t>2020 Q4</t>
  </si>
  <si>
    <t>2021 Q1</t>
  </si>
  <si>
    <t>2021 Q2</t>
  </si>
  <si>
    <t>2021 Q3</t>
  </si>
  <si>
    <t>2021 Q4</t>
  </si>
  <si>
    <t>Level</t>
  </si>
  <si>
    <t>Scenario A1</t>
  </si>
  <si>
    <t>Scenario A3</t>
  </si>
  <si>
    <t>Actuals</t>
  </si>
  <si>
    <t>Measurement</t>
  </si>
  <si>
    <t>Ohlson's O-Score</t>
  </si>
  <si>
    <t>EBITDA</t>
  </si>
  <si>
    <t>Crescent Point Energy Corp. (CPG)</t>
  </si>
  <si>
    <t>Description</t>
  </si>
  <si>
    <t>Legend</t>
  </si>
  <si>
    <t>Key tabs</t>
  </si>
  <si>
    <t>Instructions</t>
  </si>
  <si>
    <t>Blue = hard-coded numbers</t>
  </si>
  <si>
    <t>Black = formulas and text</t>
  </si>
  <si>
    <t>Green = links from other worksheets</t>
  </si>
  <si>
    <t>Interface</t>
  </si>
  <si>
    <t>COVID-19 Impact Analysis - Upstream O&amp;G Operators</t>
  </si>
  <si>
    <t>A3</t>
  </si>
  <si>
    <t>A1</t>
  </si>
  <si>
    <t>Key metrics</t>
  </si>
  <si>
    <t>Model</t>
  </si>
  <si>
    <t>Revenue_forecast</t>
  </si>
  <si>
    <t>BottomUpModel</t>
  </si>
  <si>
    <t>Basin economics</t>
  </si>
  <si>
    <t>Quarterly forecasts</t>
  </si>
  <si>
    <t>Production</t>
  </si>
  <si>
    <t>Economics</t>
  </si>
  <si>
    <t>IS_Annual</t>
  </si>
  <si>
    <t>IS_Quarterly</t>
  </si>
  <si>
    <t>BS_Annual</t>
  </si>
  <si>
    <t>BS_Quarterly</t>
  </si>
  <si>
    <t>ListofOp</t>
  </si>
  <si>
    <t>External input sources</t>
  </si>
  <si>
    <t>PROTOTYPE: NOT CLIENT SHAREABLE</t>
  </si>
  <si>
    <t xml:space="preserve">*Forthcoming </t>
  </si>
  <si>
    <t>This tool is intended to support the identification of upstream O&amp;G operators with a high probability of bankruptcy over a two-year horizon. A simplified pro-forma is derived for each operator under varying economic scenarios.</t>
  </si>
  <si>
    <t>Free Cash Flow (FCF)</t>
  </si>
  <si>
    <t>EBITDAX</t>
  </si>
  <si>
    <t>Operators</t>
  </si>
  <si>
    <t>Sales Revenue</t>
  </si>
  <si>
    <t>Other Revenue</t>
  </si>
  <si>
    <t>Impairment</t>
  </si>
  <si>
    <t>DD&amp;A</t>
  </si>
  <si>
    <t>Asset retirement obligation</t>
  </si>
  <si>
    <t>Loss (gain) on derivative instruments, net</t>
  </si>
  <si>
    <t>Taxes other than income</t>
  </si>
  <si>
    <t>Lease operating expenses</t>
  </si>
  <si>
    <t>Transportation, Processing, and Other Operating</t>
  </si>
  <si>
    <t>SG&amp;A</t>
  </si>
  <si>
    <t>Other Expenses (benefits)</t>
  </si>
  <si>
    <t>Revenues</t>
  </si>
  <si>
    <t>Costs and Expenses</t>
  </si>
  <si>
    <t>Total Costs and Expenses</t>
  </si>
  <si>
    <t>Interest expense, net</t>
  </si>
  <si>
    <t>Income (loss) from continuing operations before income taxes</t>
  </si>
  <si>
    <t>Income tax (benefit) expense</t>
  </si>
  <si>
    <t>Net (loss) Income</t>
  </si>
  <si>
    <t>Current Assets</t>
  </si>
  <si>
    <t>Cash and cash equivalents</t>
  </si>
  <si>
    <t>Accounts receivable, net of allowance</t>
  </si>
  <si>
    <t>Oil and gas sales</t>
  </si>
  <si>
    <t>Other</t>
  </si>
  <si>
    <t>Inventory</t>
  </si>
  <si>
    <t>Derivative instruments</t>
  </si>
  <si>
    <t>Prepaid expenses</t>
  </si>
  <si>
    <t>Total current assets</t>
  </si>
  <si>
    <t>Property and equipment, net</t>
  </si>
  <si>
    <t>Deferred income taxes</t>
  </si>
  <si>
    <t>Goodwill</t>
  </si>
  <si>
    <t>Other assets</t>
  </si>
  <si>
    <t>Total assets</t>
  </si>
  <si>
    <t>Accounts payable</t>
  </si>
  <si>
    <t>Other current liabilities</t>
  </si>
  <si>
    <t>Asset retirement obligations</t>
  </si>
  <si>
    <t>Other long-term liabilities</t>
  </si>
  <si>
    <t>Total current liabilities</t>
  </si>
  <si>
    <t>Current liabilities</t>
  </si>
  <si>
    <t>Total liabilities</t>
  </si>
  <si>
    <t>Change in Net working capital</t>
  </si>
  <si>
    <t>Other non-cash items</t>
  </si>
  <si>
    <t>Cash flow from operations</t>
  </si>
  <si>
    <t>Netback price, BOE</t>
  </si>
  <si>
    <t>Probability of default (PD)</t>
  </si>
  <si>
    <t>Non-cash compensation</t>
  </si>
  <si>
    <t>Other (Income) Expense</t>
  </si>
  <si>
    <t>TBD</t>
  </si>
  <si>
    <t>Other, net</t>
  </si>
  <si>
    <t>Hold flat</t>
  </si>
  <si>
    <t>Accrued liabilities</t>
  </si>
  <si>
    <t>Long-term debt, net</t>
  </si>
  <si>
    <t>Derived</t>
  </si>
  <si>
    <t>Capex reduction</t>
  </si>
  <si>
    <t>Opex reduction</t>
  </si>
  <si>
    <t>Dividend reduction</t>
  </si>
  <si>
    <t>Expected impairment</t>
  </si>
  <si>
    <t>Assumption</t>
  </si>
  <si>
    <t>Total Other (Income) Expense</t>
  </si>
  <si>
    <t>Exploration capex</t>
  </si>
  <si>
    <t>Maintenance capex</t>
  </si>
  <si>
    <t>Cash dividends paid</t>
  </si>
  <si>
    <t>Market Prices</t>
  </si>
  <si>
    <t>Realized prices</t>
  </si>
  <si>
    <t>Value</t>
  </si>
  <si>
    <t>4Q19 tax rate</t>
  </si>
  <si>
    <t>Linked to LTD, growth in liabilities, and corp. borrowing rate forecast</t>
  </si>
  <si>
    <t>Average realized price</t>
  </si>
  <si>
    <t>Oil production reduction</t>
  </si>
  <si>
    <t>Gas production reduction</t>
  </si>
  <si>
    <t>NGL production reduction</t>
  </si>
  <si>
    <t>Condensate production reduction</t>
  </si>
  <si>
    <t>Production, BOE/Q</t>
  </si>
  <si>
    <t>Assumed as % of sales based on 4Q19 FY</t>
  </si>
  <si>
    <t>Rystad projections - declared reductions</t>
  </si>
  <si>
    <t>Derived based on formula; note: not used in calculations</t>
  </si>
  <si>
    <t>Sum product of realized prices and O&amp;G production vol</t>
  </si>
  <si>
    <t>Hold flat / adjust based on declared actions</t>
  </si>
  <si>
    <t>Assume Option A: Offset based on net income</t>
  </si>
  <si>
    <t>% of Total Rev, calculated based on 4Q19</t>
  </si>
  <si>
    <t>Calculated</t>
  </si>
  <si>
    <t>Purely informational</t>
  </si>
  <si>
    <t>Assume same ratio of market/realized holds true from 2019 FY 10K</t>
  </si>
  <si>
    <t>Assumed to be 60% of oil price; not available in 10K (legacy assumption)</t>
  </si>
  <si>
    <t>Rystad projections with scaling to address any declared reductions</t>
  </si>
  <si>
    <t xml:space="preserve">Apply flat $/BoE based on 2019 actual production </t>
  </si>
  <si>
    <t>Hold flat - declared reductions</t>
  </si>
  <si>
    <t>Realized prices / $BBL - can hedge</t>
  </si>
  <si>
    <t>dry hole</t>
  </si>
  <si>
    <t>Exploration and dry well</t>
  </si>
  <si>
    <t xml:space="preserve">1. interest expense, net 2019 Q4 v. 2020 projection; </t>
  </si>
  <si>
    <t>3. change in net working capital differ a lot</t>
  </si>
  <si>
    <t xml:space="preserve">2. Net income matches for Net Loss INCLUDING NONCONTROLLING INTERESTS  due to cashflow uses this number; </t>
  </si>
  <si>
    <t>4. news all have negative projection for Apache</t>
  </si>
  <si>
    <t>1. no specific sales and non-sales revenue, assume midstream is sales</t>
  </si>
  <si>
    <t>Income (loss) from discontinued operations, net of income taxes</t>
  </si>
  <si>
    <t>asset related discontinued operations</t>
  </si>
  <si>
    <t>2. several items related to discontinued operations</t>
  </si>
  <si>
    <t>3. Earnings before income taxes only include revenue - expenses</t>
  </si>
  <si>
    <t>4. Added "Income (loss) from discontinued operations, net of income taxes"</t>
  </si>
  <si>
    <t>5. added "exploration and dry well" in expense</t>
  </si>
  <si>
    <t>Exploratory and dirt well, dry hole</t>
  </si>
  <si>
    <t>market to market contracts</t>
  </si>
  <si>
    <t>cut CapEx by ~37%, will reduce operating and overhed https://seekingalpha.com/news/3550989-apache-to-cut-capex-nearly-40-slashes-dividend-90</t>
  </si>
  <si>
    <t>Rystad projections (daily) with scaling to address any declared reductions</t>
  </si>
  <si>
    <t>Calculated - standard formula</t>
  </si>
  <si>
    <t>Calculated - same with Cost and expenses section</t>
  </si>
  <si>
    <t>Calculated - apply same changes ratio in Cost section</t>
  </si>
  <si>
    <t>Other current assets</t>
  </si>
  <si>
    <t>Other receivable</t>
  </si>
  <si>
    <t>DD&amp;A cash flow</t>
  </si>
  <si>
    <t>Impairment cashflow</t>
  </si>
  <si>
    <t>Net (loss) Income cashflow</t>
  </si>
  <si>
    <t>Source: Rystad Ucube (Apr 2020)</t>
  </si>
  <si>
    <t>Entitlement Production, Kboe/d</t>
  </si>
  <si>
    <t>Price case: $22/bbl</t>
  </si>
  <si>
    <t>Company</t>
  </si>
  <si>
    <t>Shale Plays</t>
  </si>
  <si>
    <t>Oil and Gas Group</t>
  </si>
  <si>
    <t>Occidental Petroleum</t>
  </si>
  <si>
    <t>Permian Horizontal (Wolfcamp) Delaware, US</t>
  </si>
  <si>
    <t>Liquids</t>
  </si>
  <si>
    <t>Permian Horizontal (Bone Spring/Avalon), US</t>
  </si>
  <si>
    <t>Permian Vertical (Wolfbone), US</t>
  </si>
  <si>
    <t>Not shale play</t>
  </si>
  <si>
    <t>Permian Vertical (Delaware Sands), US</t>
  </si>
  <si>
    <t>Permian tight oil (Other) - horizontal, US</t>
  </si>
  <si>
    <t>Permian Vertical (Wolfberry), US</t>
  </si>
  <si>
    <t>Permian Horizontal (Spraberry), US</t>
  </si>
  <si>
    <t>Permian Horizontal (Northern Wolfcamp) Midland, US</t>
  </si>
  <si>
    <t>Permian Horizontal (Southern Wolfcamp) Midland, US</t>
  </si>
  <si>
    <t>Permian Vertical (Yeso), US</t>
  </si>
  <si>
    <t>Permian Horizontal (Yeso), US</t>
  </si>
  <si>
    <t>Wattenberg DJ basin (Niobrara/Codell)</t>
  </si>
  <si>
    <t>Northern DJ basin (Niobrara/Codell), US</t>
  </si>
  <si>
    <t>PRB tight oil (Turner, Frontier, Mowry), US</t>
  </si>
  <si>
    <t>PRB tight oil (Niobrara), US</t>
  </si>
  <si>
    <t>PRB tight oil (Shannon, Sussex, Parkman), US</t>
  </si>
  <si>
    <t>Pearsall Shale, US</t>
  </si>
  <si>
    <t>Marathon Thrust Belt</t>
  </si>
  <si>
    <t>Eagle Ford Shale (Wet gas/Condensate), US</t>
  </si>
  <si>
    <t>Austin Chalk (tight oil), US</t>
  </si>
  <si>
    <t>Bakken/Three Forks Shale, US</t>
  </si>
  <si>
    <t>Permian Vertical (Wolffork), US</t>
  </si>
  <si>
    <t>Montney Play (Liquid-rich), CA</t>
  </si>
  <si>
    <t>Montney Play (Gas), CA</t>
  </si>
  <si>
    <t>La Luna Shale, CO</t>
  </si>
  <si>
    <t>EQT Corporation</t>
  </si>
  <si>
    <t>Marcellus Shale (SW-Dry Gas), US</t>
  </si>
  <si>
    <t>Utica Shale (dry gas), US</t>
  </si>
  <si>
    <t>Marcellus Shale (SW-Wet Gas), US</t>
  </si>
  <si>
    <t>Devonian Shale, US</t>
  </si>
  <si>
    <t>Utica Shale (wet gas), US</t>
  </si>
  <si>
    <t>Permian Horizontal (Delaware Sands), US</t>
  </si>
  <si>
    <t>Eagle Ford Shale (Oil, East), US</t>
  </si>
  <si>
    <t>Eagle Ford Shale (Oil, West), US</t>
  </si>
  <si>
    <t>Eaglebine/Woodbine, US</t>
  </si>
  <si>
    <t>Eagle Ford Shale (Dry gas), US</t>
  </si>
  <si>
    <t>Barnett Shale (Combo), US</t>
  </si>
  <si>
    <t>Woodford Shale (SCOOP), US</t>
  </si>
  <si>
    <t>Anadarko Tight Oil, US</t>
  </si>
  <si>
    <t>Marcellus Shale (NE), US</t>
  </si>
  <si>
    <t>Horn River Shale, CA</t>
  </si>
  <si>
    <t>Inpex</t>
  </si>
  <si>
    <t>Kimberley</t>
  </si>
  <si>
    <t>Japan</t>
  </si>
  <si>
    <t>Niigata</t>
  </si>
  <si>
    <t>Akita</t>
  </si>
  <si>
    <t>Kanto</t>
  </si>
  <si>
    <t>Joban</t>
  </si>
  <si>
    <t>Cordova Shale, CA</t>
  </si>
  <si>
    <t>Pasir - Asem Asem</t>
  </si>
  <si>
    <t>Meramec Shale (STACK), US</t>
  </si>
  <si>
    <t>Woodford Shale (STACK), US</t>
  </si>
  <si>
    <t>Uinta Basin Tight Oil, US</t>
  </si>
  <si>
    <t>Southern Alberta Bakken, US</t>
  </si>
  <si>
    <t>Duvernay Shale (Kaybob), CA</t>
  </si>
  <si>
    <t>Bullhead Group (Cadomin), CA</t>
  </si>
  <si>
    <t>Duvernay Shale (Edson-Willesden Green), CA</t>
  </si>
  <si>
    <t>Antero Resources</t>
  </si>
  <si>
    <t>Eagle Ford Shale (East Texas), US</t>
  </si>
  <si>
    <t>Haynesville/Bossier Shale, US</t>
  </si>
  <si>
    <t>Oswego/Osage Shale (STACK), US</t>
  </si>
  <si>
    <t>Granite Wash, US</t>
  </si>
  <si>
    <t>Permian tight oil (Other) - vertical, US</t>
  </si>
  <si>
    <t>Cabot Oil and Gas</t>
  </si>
  <si>
    <t>Smackover Shale, US</t>
  </si>
  <si>
    <t>New Albany Shale, US</t>
  </si>
  <si>
    <t>Range Resources</t>
  </si>
  <si>
    <t>Guatemala</t>
  </si>
  <si>
    <t>Peten</t>
  </si>
  <si>
    <t>Permian Vertical (Abo), US</t>
  </si>
  <si>
    <t>Barnett Shale (Wet Gas), US</t>
  </si>
  <si>
    <t>Barnett Shale (Dry Gas), US</t>
  </si>
  <si>
    <t>Antrim Shale, US</t>
  </si>
  <si>
    <t>Utica Shale (oil), US</t>
  </si>
  <si>
    <t>Springer Shale (SCOOP), US</t>
  </si>
  <si>
    <t>Collingwood Shale, US</t>
  </si>
  <si>
    <t>Atoka Shale, US</t>
  </si>
  <si>
    <t>Lewis Shale, US</t>
  </si>
  <si>
    <t>Permian Vertical (Spraberry), US</t>
  </si>
  <si>
    <t>Lias Shale, FR</t>
  </si>
  <si>
    <t>Southwestern Energy</t>
  </si>
  <si>
    <t>Greater Green River Tight Oil, US</t>
  </si>
  <si>
    <t>BHP</t>
  </si>
  <si>
    <t>Otway</t>
  </si>
  <si>
    <t>CNX Resources Corporation</t>
  </si>
  <si>
    <t>Chattanooga Shale, US</t>
  </si>
  <si>
    <t>Huron Shale, US</t>
  </si>
  <si>
    <t>Woodside</t>
  </si>
  <si>
    <t>Diamondback Energy</t>
  </si>
  <si>
    <t>Cimarex Energy</t>
  </si>
  <si>
    <t>Aker BP</t>
  </si>
  <si>
    <t>Comstock Resources</t>
  </si>
  <si>
    <t>Tourmaline Oil</t>
  </si>
  <si>
    <t>Spirit River (Notikewin, Fahler, Wilrich), CA</t>
  </si>
  <si>
    <t>Charlie Lake, CA</t>
  </si>
  <si>
    <t>Cardium (Other areas), CA</t>
  </si>
  <si>
    <t>PDC Energy</t>
  </si>
  <si>
    <t>Gulfport Energy</t>
  </si>
  <si>
    <t>Lundin Petroleum</t>
  </si>
  <si>
    <t>WPX Energy</t>
  </si>
  <si>
    <t>Murphy Oil</t>
  </si>
  <si>
    <t>Alberta Bakken, CA</t>
  </si>
  <si>
    <t>Delek Group</t>
  </si>
  <si>
    <t>Parsley Energy</t>
  </si>
  <si>
    <t>Seven Generations Energy</t>
  </si>
  <si>
    <t>Galp Energia SA</t>
  </si>
  <si>
    <t>Sergipe (onshore)</t>
  </si>
  <si>
    <t>Potiguar (onshore)</t>
  </si>
  <si>
    <t>Ultra Petroleum</t>
  </si>
  <si>
    <t>Arc Resources</t>
  </si>
  <si>
    <t>Cardium (Pembina East), CA</t>
  </si>
  <si>
    <t>Montage Resources Corporation</t>
  </si>
  <si>
    <t>Whiting Petroleum</t>
  </si>
  <si>
    <t>Baxter Shale, US</t>
  </si>
  <si>
    <t>Crescent Point Energy</t>
  </si>
  <si>
    <t>Bakken Shale, CA</t>
  </si>
  <si>
    <t>Shaunavon, CA</t>
  </si>
  <si>
    <t>Viking (Saskatchewan), CA</t>
  </si>
  <si>
    <t>Spearfish, CA</t>
  </si>
  <si>
    <t>Swan Hills, CA</t>
  </si>
  <si>
    <t>Duvernay Shale (East Shale Basin), CA</t>
  </si>
  <si>
    <t>Turner Valley, CA</t>
  </si>
  <si>
    <t>Maxhamish, CA</t>
  </si>
  <si>
    <t>Spearfish, US</t>
  </si>
  <si>
    <t>California Resources Corporation</t>
  </si>
  <si>
    <t>Monterey Shale, US</t>
  </si>
  <si>
    <t>SM Energy</t>
  </si>
  <si>
    <t>JX Nippon Oil and Gas</t>
  </si>
  <si>
    <t>Taninthayi Offshore</t>
  </si>
  <si>
    <t>Premier Oil</t>
  </si>
  <si>
    <t>Vermilion Energy</t>
  </si>
  <si>
    <t>Mannville Group, CA</t>
  </si>
  <si>
    <t>Cardium (Pembina West), CA</t>
  </si>
  <si>
    <t>Aquitaine</t>
  </si>
  <si>
    <t>Slyne - Erris</t>
  </si>
  <si>
    <t>Hungary</t>
  </si>
  <si>
    <t>Pannonian</t>
  </si>
  <si>
    <t>Callon Petroleum</t>
  </si>
  <si>
    <t>Floyd/Neal Shale, US</t>
  </si>
  <si>
    <t>Fayetteville Shale, US</t>
  </si>
  <si>
    <t>Tullow Oil</t>
  </si>
  <si>
    <t>Gregory Rift</t>
  </si>
  <si>
    <t>Lokichar Trough</t>
  </si>
  <si>
    <t>Oasis Petroleum</t>
  </si>
  <si>
    <t>Peyto</t>
  </si>
  <si>
    <t>Bluesky, CA</t>
  </si>
  <si>
    <t>Diversified Gas &amp; Oil Plc</t>
  </si>
  <si>
    <t>Extraction Oil &amp; Gas</t>
  </si>
  <si>
    <t>Southern DJ basin (Niobrara/Codell), US</t>
  </si>
  <si>
    <t>Kosmos Energy</t>
  </si>
  <si>
    <t>Laredo Petroleum</t>
  </si>
  <si>
    <t>QEP Resources</t>
  </si>
  <si>
    <t>Enerplus Corporation</t>
  </si>
  <si>
    <t>Matador Resources</t>
  </si>
  <si>
    <t>Birchcliff Energy</t>
  </si>
  <si>
    <t>Baytex Energy</t>
  </si>
  <si>
    <t>Viking (Alberta), CA</t>
  </si>
  <si>
    <t>Cardium (Willesden Green - Ferrier), CA</t>
  </si>
  <si>
    <t>EP Energy</t>
  </si>
  <si>
    <t>Paramount Resources</t>
  </si>
  <si>
    <t>Liard Shale, CA</t>
  </si>
  <si>
    <t>Centennial Resource Development</t>
  </si>
  <si>
    <t>Whitecap Resources</t>
  </si>
  <si>
    <t>Cardium (North), CA</t>
  </si>
  <si>
    <t>Cardium (Garrington), CA</t>
  </si>
  <si>
    <t>Dunvegan, CA</t>
  </si>
  <si>
    <t>EnQuest</t>
  </si>
  <si>
    <t>Sanchez Energy Corporation</t>
  </si>
  <si>
    <t>Tuscaloosa Marine Shale, US</t>
  </si>
  <si>
    <t>Isramco Negev 2 Limited Partnership</t>
  </si>
  <si>
    <t>Bonavista Energy Corporation</t>
  </si>
  <si>
    <t>Mannville Group (Glauconite), CA</t>
  </si>
  <si>
    <t>Mannville Group (Ellerslie), CA</t>
  </si>
  <si>
    <t>Denbury Resources</t>
  </si>
  <si>
    <t>NuVista Energy</t>
  </si>
  <si>
    <t>Noreco</t>
  </si>
  <si>
    <t>Aasta Graben</t>
  </si>
  <si>
    <t>Talos Energy</t>
  </si>
  <si>
    <t>Advantage Oil &amp; Gas</t>
  </si>
  <si>
    <t>Painted Pony Energy</t>
  </si>
  <si>
    <t>Magnolia Oil &amp; Gas</t>
  </si>
  <si>
    <t>Gran Tierra Energy</t>
  </si>
  <si>
    <t>SilverBow Resources</t>
  </si>
  <si>
    <t>Northern Oil &amp; Gas</t>
  </si>
  <si>
    <t>HighPoint Resources</t>
  </si>
  <si>
    <t>Gothic Shale, US</t>
  </si>
  <si>
    <t>Hovenweep Shale, US</t>
  </si>
  <si>
    <t>W&amp;T Offshore</t>
  </si>
  <si>
    <t>Bellatrix Exploration</t>
  </si>
  <si>
    <t>Cardium (Brazeau River), CA</t>
  </si>
  <si>
    <t>Riviera Resources</t>
  </si>
  <si>
    <t>Values</t>
  </si>
  <si>
    <t>Rows</t>
  </si>
  <si>
    <t>Columns</t>
  </si>
  <si>
    <t>Filters</t>
  </si>
  <si>
    <t>My ProductionMy Production [22] (kbbl/d)</t>
  </si>
  <si>
    <t>[Data Values]</t>
  </si>
  <si>
    <t>Entitlement</t>
  </si>
  <si>
    <t>Selected (82)</t>
  </si>
  <si>
    <t>All selected (187)</t>
  </si>
  <si>
    <t>All selected (907)</t>
  </si>
  <si>
    <t>All selected (1106)</t>
  </si>
  <si>
    <t>All selected (509)</t>
  </si>
  <si>
    <t>All selected (3)</t>
  </si>
  <si>
    <t>Deselected (4)</t>
  </si>
  <si>
    <t>Selected (7)</t>
  </si>
  <si>
    <t>All selected (1)</t>
  </si>
  <si>
    <t>Selected (1)</t>
  </si>
  <si>
    <t>Inactive filters</t>
  </si>
  <si>
    <t>Refinery Gains</t>
  </si>
  <si>
    <t>2019</t>
  </si>
  <si>
    <t>Other Liquids</t>
  </si>
  <si>
    <t>2020</t>
  </si>
  <si>
    <t>Deselected (2)</t>
  </si>
  <si>
    <t>Unsold Gas (injected)</t>
  </si>
  <si>
    <t>2021</t>
  </si>
  <si>
    <t>Unsold Gas (flaring)</t>
  </si>
  <si>
    <t>2022</t>
  </si>
  <si>
    <t>Selected (4)</t>
  </si>
  <si>
    <t>2023</t>
  </si>
  <si>
    <t>2024</t>
  </si>
  <si>
    <t>2025</t>
  </si>
  <si>
    <t>Deselected (194)</t>
  </si>
  <si>
    <t>... and more</t>
  </si>
  <si>
    <t>Deselected (3632)</t>
  </si>
  <si>
    <t>Price case: $33/bbl</t>
  </si>
  <si>
    <t>My ProductionMy Production [33] (kbbl/d)</t>
  </si>
  <si>
    <t>CUBESCRIPT(UCube) Report_x000D_
S(TabName:Company entitlement;)_x000D_
F(Entitlement:Company)_x000D_
C(Year:"2019 - 2025";Data Values)_x000D_
R(Company[Sorting:ValueD,0,Sum,0]:ConocoPhillips,Inpex,Hess,Marathon Oil,Murphy Oil,EQT Corporation,Devon Energy,Apache,Chesapeake,EOG Resources,Woodside,Noble Energy,Pioneer Natural Resources,Tullow Oil,Range Resources,Ultra Petroleum,Premier Oil,Lundin Petroleum,Cabot Oil and Gas,Whiting Petroleum,Cimarex Energy,Baytex Energy,NuVista Energy,Birchcliff Energy,BHP,EP Energy,Occidental Petroleum,W&amp;T Offshore,Enerplus Corporation,Talos Energy,JX Nippon Oil and Gas,WPX Energy,Vermilion Energy,Comstock Resources,Paramount Resources,Arc Resources,Noreco,Callon Petroleum,SM Energy,HighPoint Resources,Aker BP,Gran Tierra Energy,Crescent Point Energy,QEP Resources,Bellatrix Exploration,Continental Resources,PDC Energy,Peyto,SilverBow Resources,Delek Group,Southwestern Energy,Denbury Resources,Riviera Resources,Bonavista Energy Corporation,Isramco Negev 2 Limited Partnership,Kosmos Energy,Magnolia Oil &amp; Gas,Advantage Oil &amp; Gas,Concho Resources,Galp Energia SA,Gulfport Energy,Painted Pony Energy,Whitecap Resources,Ovintiv,EnQuest,Antero Resources,CNX Resources Corporation,Northern Oil &amp; Gas,Seven Generations Energy,Tourmaline Oil,Oasis Petroleum,Laredo Petroleum,Sanchez Energy Corporation,Matador Resources,Diamondback Energy,Montage Resources Corporation,Parsley Energy,California Resources Corporation,Extraction Oil &amp; Gas,Centennial Resource Development,Jagged Peak Energy,Diversified Gas &amp; Oil Plc;Country[Sorting:ValueD,0,Sum,0];Basin[Sorting:ValueD,0,Sum,0];Sub Basin[Sorting:ValueD,0,Sum,0];Shale Plays[Sorting:ValueD,0,Sum,0];Oil and Gas Group;Oil and Gas Category:Oil,Condensate,NGL,Gas)_x000D_
V(My Production:kbbl/d,33)</t>
  </si>
  <si>
    <t>Deferred income taxes liabilities</t>
  </si>
  <si>
    <t>Derivative instruments liabilities</t>
  </si>
  <si>
    <t>Derivative instruments current liabilities</t>
  </si>
  <si>
    <t>Derivative instruments current assets</t>
  </si>
  <si>
    <t>Derivative instruments total assets</t>
  </si>
  <si>
    <t>Deferred income taxes assets</t>
  </si>
  <si>
    <t>DD&amp;A cashflow</t>
  </si>
  <si>
    <t>Dry hole cashflow</t>
  </si>
  <si>
    <t>CUBESCRIPT(UCube) Report_x000D_
S(TabName:Company entitlement;)_x000D_
F(Entitlement:Company)_x000D_
C(Year:"2019 - 2025";Data Values)_x000D_
R(Company[Sorting:ValueD,0,Sum,0]:ConocoPhillips,Inpex,Hess,Marathon Oil,Murphy Oil,EQT Corporation,Devon Energy,Apache,Chesapeake,EOG Resources,Woodside,Noble Energy,Pioneer Natural Resources,Tullow Oil,Range Resources,Ultra Petroleum,Premier Oil,Lundin Petroleum,Cabot Oil and Gas,Whiting Petroleum,Cimarex Energy,Baytex Energy,NuVista Energy,Birchcliff Energy,BHP,EP Energy,Occidental Petroleum,W&amp;T Offshore,Enerplus Corporation,Talos Energy,JX Nippon Oil and Gas,WPX Energy,Vermilion Energy,Comstock Resources,Paramount Resources,Arc Resources,Noreco,Callon Petroleum,SM Energy,HighPoint Resources,Aker BP,Gran Tierra Energy,Crescent Point Energy,QEP Resources,Bellatrix Exploration,Continental Resources,PDC Energy,Peyto,SilverBow Resources,Delek Group,Southwestern Energy,Denbury Resources,Riviera Resources,Bonavista Energy Corporation,Isramco Negev 2 Limited Partnership,Kosmos Energy,Magnolia Oil &amp; Gas,Advantage Oil &amp; Gas,Concho Resources,Galp Energia SA,Gulfport Energy,Painted Pony Energy,Whitecap Resources,Ovintiv,EnQuest,Antero Resources,CNX Resources Corporation,Northern Oil &amp; Gas,Seven Generations Energy,Tourmaline Oil,Oasis Petroleum,Laredo Petroleum,Sanchez Energy Corporation,Matador Resources,Diamondback Energy,Montage Resources Corporation,Parsley Energy,California Resources Corporation,Extraction Oil &amp; Gas,Centennial Resource Development,Jagged Peak Energy,Diversified Gas &amp; Oil Plc;Country[Sorting:ValueD,0,Sum,0];Basin[Sorting:ValueD,0,Sum,0];Sub Basin[Sorting:ValueD,0,Sum,0];Shale Plays[Sorting:ValueD,0,Sum,0];Oil and Gas Group;Oil and Gas Category:Oil,Condensate,NGL,Gas)_x000D_
V(My Production:kbbl/d,22)</t>
  </si>
  <si>
    <t>Salaverry - Trujillo</t>
  </si>
  <si>
    <t>Canning</t>
  </si>
  <si>
    <t>Ulleung</t>
  </si>
  <si>
    <t>Ishikari - Hidaka</t>
  </si>
  <si>
    <t>Utgard High</t>
  </si>
  <si>
    <t>Lacklan Fold Belt</t>
  </si>
  <si>
    <t>Roebuck</t>
  </si>
  <si>
    <t>South Korea</t>
  </si>
  <si>
    <t>Norsel High</t>
  </si>
  <si>
    <t>Nyslepp Fault Complex</t>
  </si>
  <si>
    <t>Troms-Finnmark Fault Complex</t>
  </si>
  <si>
    <t>Harstad</t>
  </si>
  <si>
    <t>Oygarden Fault Complex</t>
  </si>
  <si>
    <t>Vestfjorden</t>
  </si>
  <si>
    <t>Mandal High</t>
  </si>
  <si>
    <t>Wales</t>
  </si>
  <si>
    <t>Bristol Channel - South Wales Coal</t>
  </si>
  <si>
    <t>PEDL320 (All Blocks), GB</t>
  </si>
  <si>
    <t>PEDL321 (All Blocks), GB</t>
  </si>
  <si>
    <t>PEDL344 (All Blocks), GB</t>
  </si>
  <si>
    <t>Cheshire - Worcester</t>
  </si>
  <si>
    <t>PEDL327 (All Blocks), GB</t>
  </si>
  <si>
    <t>PEDL329 (All Blocks), GB</t>
  </si>
  <si>
    <t>Syrian Arc</t>
  </si>
  <si>
    <t>Hailbut Platform</t>
  </si>
  <si>
    <t>Iceland</t>
  </si>
  <si>
    <t>Jan Mayen Microcontinent</t>
  </si>
  <si>
    <t>Pernambuco-Paraiba</t>
  </si>
  <si>
    <t>Pernambuco-Paraiba (offshore)</t>
  </si>
  <si>
    <t>Tosa</t>
  </si>
  <si>
    <t>East China Sea</t>
  </si>
  <si>
    <t>West African Shield</t>
  </si>
  <si>
    <t>Turkana</t>
  </si>
  <si>
    <t>Nyanza Trough</t>
  </si>
  <si>
    <t>Suguta</t>
  </si>
  <si>
    <t>East African Rift</t>
  </si>
  <si>
    <t>Gulf of Guayaquil - Talara</t>
  </si>
  <si>
    <t>Comoros</t>
  </si>
  <si>
    <t>Sulaiman Foldbelt</t>
  </si>
  <si>
    <t>Jamaica</t>
  </si>
  <si>
    <t>Pedro Bank</t>
  </si>
  <si>
    <t>Uganda</t>
  </si>
  <si>
    <t>Albert - Edward Rift</t>
  </si>
  <si>
    <t>Posidonia Shale, DE</t>
  </si>
  <si>
    <t>Dnieper - Donets</t>
  </si>
  <si>
    <t>Croatia</t>
  </si>
  <si>
    <t>Slovakia</t>
  </si>
  <si>
    <t>Viking, CA</t>
  </si>
  <si>
    <t>Catatumbo</t>
  </si>
  <si>
    <t>Lower Magdalena</t>
  </si>
  <si>
    <t>Jagged Peak Energy</t>
  </si>
  <si>
    <t>All selected (5)</t>
  </si>
  <si>
    <t>Economics. $ Million (nominal)</t>
  </si>
  <si>
    <t>Case: $22/bbl</t>
  </si>
  <si>
    <t>CUBESCRIPT(UCube) Report_x000D_
S(TabName:Company entitlement;)_x000D_
F(Oil and Gas Category:Crude Oil,Condensate,NGL,Gas;Entitlement:Company)_x000D_
C(Year:"2019 - 2025";Data Values)_x000D_
R(Company[Sorting:ValueD,0,Sum,0]:ConocoPhillips,Inpex,Hess,Marathon Oil,Murphy Oil,EQT Corporation,Devon Energy,Apache,Chesapeake,EOG Resources,Woodside,Noble Energy,Pioneer Natural Resources,Tullow Oil,Range Resources,Ultra Petroleum,Premier Oil,Lundin Petroleum,Cabot Oil and Gas,Whiting Petroleum,Cimarex Energy,Baytex Energy,NuVista Energy,Birchcliff Energy,BHP,EP Energy,Occidental Petroleum,W&amp;T Offshore,Enerplus Corporation,Talos Energy,JX Nippon Oil and Gas,WPX Energy,Vermilion Energy,Comstock Resources,Paramount Resources,Arc Resources,Noreco,Callon Petroleum,SM Energy,HighPoint Resources,Aker BP,Gran Tierra Energy,Crescent Point Energy,QEP Resources,Bellatrix Exploration,Continental Resources,PDC Energy,Peyto,SilverBow Resources,Delek Group,Southwestern Energy,Denbury Resources,Riviera Resources,Bonavista Energy Corporation,Isramco Negev 2 Limited Partnership,Kosmos Energy,Magnolia Oil &amp; Gas,Advantage Oil &amp; Gas,Concho Resources,Galp Energia SA,Gulfport Energy,Painted Pony Energy,Whitecap Resources,Ovintiv,EnQuest,Antero Resources,CNX Resources Corporation,Northern Oil &amp; Gas,Seven Generations Energy,Tourmaline Oil,Oasis Petroleum,Laredo Petroleum,Sanchez Energy Corporation,Matador Resources,Diamondback Energy,Montage Resources Corporation,Parsley Energy,California Resources Corporation,Extraction Oil &amp; Gas,Centennial Resource Development,Jagged Peak Energy,Diversified Gas &amp; Oil Plc;Country[Sorting:ValueD,0,Sum,0];Basin[Sorting:ValueD,0,Sum,0];Sub Basin[Sorting:ValueD,0,Sum,0];Shale Plays[Sorting:ValueD,0,Sum,0];Oil and Gas Group;Economics Group)_x000D_
V(My Economics:Million USD,22)</t>
  </si>
  <si>
    <t>My EconomicsMy Economics [22] (Million USD)</t>
  </si>
  <si>
    <t>Case: $33/bbl</t>
  </si>
  <si>
    <t>CUBESCRIPT(UCube) Report_x000D_
S(TabName:Company entitlement;)_x000D_
F(Oil and Gas Category:Crude Oil,Condensate,NGL,Gas;Entitlement:Company)_x000D_
C(Year:"2019 - 2025";Data Values)_x000D_
R(Company[Sorting:ValueD,0,Sum,0]:ConocoPhillips,Inpex,Hess,Marathon Oil,Murphy Oil,EQT Corporation,Devon Energy,Apache,Chesapeake,EOG Resources,Woodside,Noble Energy,Pioneer Natural Resources,Tullow Oil,Range Resources,Ultra Petroleum,Premier Oil,Lundin Petroleum,Cabot Oil and Gas,Whiting Petroleum,Cimarex Energy,Baytex Energy,NuVista Energy,Birchcliff Energy,BHP,EP Energy,Occidental Petroleum,W&amp;T Offshore,Enerplus Corporation,Talos Energy,JX Nippon Oil and Gas,WPX Energy,Vermilion Energy,Comstock Resources,Paramount Resources,Arc Resources,Noreco,Callon Petroleum,SM Energy,HighPoint Resources,Aker BP,Gran Tierra Energy,Crescent Point Energy,QEP Resources,Bellatrix Exploration,Continental Resources,PDC Energy,Peyto,SilverBow Resources,Delek Group,Southwestern Energy,Denbury Resources,Riviera Resources,Bonavista Energy Corporation,Isramco Negev 2 Limited Partnership,Kosmos Energy,Magnolia Oil &amp; Gas,Advantage Oil &amp; Gas,Concho Resources,Galp Energia SA,Gulfport Energy,Painted Pony Energy,Whitecap Resources,Ovintiv,EnQuest,Antero Resources,CNX Resources Corporation,Northern Oil &amp; Gas,Seven Generations Energy,Tourmaline Oil,Oasis Petroleum,Laredo Petroleum,Sanchez Energy Corporation,Matador Resources,Diamondback Energy,Montage Resources Corporation,Parsley Energy,California Resources Corporation,Extraction Oil &amp; Gas,Centennial Resource Development,Jagged Peak Energy,Diversified Gas &amp; Oil Plc;Country[Sorting:ValueD,0,Sum,0];Basin[Sorting:ValueD,0,Sum,0];Sub Basin[Sorting:ValueD,0,Sum,0];Shale Plays[Sorting:ValueD,0,Sum,0];Oil and Gas Group;Economics Group)_x000D_
V(My Economics:Million USD,33)</t>
  </si>
  <si>
    <t>My EconomicsMy Economics [33] (Million USD)</t>
  </si>
  <si>
    <t>Apply linear regression relationship based on 2019 Opex/production and oil price</t>
  </si>
  <si>
    <t>TBD - keep flat currently</t>
  </si>
  <si>
    <t>Calculated - Offset from change in non-cash in cost and expenses</t>
  </si>
  <si>
    <t>EOG</t>
  </si>
  <si>
    <t>Cimarex</t>
  </si>
  <si>
    <t>FCF</t>
  </si>
  <si>
    <t>Interest</t>
  </si>
  <si>
    <t>Dividend</t>
  </si>
  <si>
    <t>Cash</t>
  </si>
  <si>
    <t>For Apache, Devon, Continental and Concho</t>
  </si>
  <si>
    <t>Financials in USD Millions</t>
  </si>
  <si>
    <t>Sources</t>
  </si>
  <si>
    <t>Comments</t>
  </si>
  <si>
    <t>Text in blue: equation, but need to match with financial statement for sanity check</t>
  </si>
  <si>
    <t>http://app.quotemedia.com/data/downloadFiling?webmasterId=101533&amp;ref=114828566&amp;type=PDF&amp;symbol=CLR&amp;companyName=Continental+Resources+Inc.&amp;formType=10-K&amp;dateFiled=2020-02-26&amp;CK=732834</t>
  </si>
  <si>
    <t>http://d18rn0p25nwr6d.cloudfront.net/CIK-0001358071/fdf7d5d1-a33d-47db-a965-7eaf9b68667e.pdf</t>
  </si>
  <si>
    <t>from 10K</t>
  </si>
  <si>
    <t>10-k 2019, PAGE. 7, https://www.sec.gov/ix?doc=/Archives/edgar/data/6769/000173303720000004/apa10-k2019.htm</t>
  </si>
  <si>
    <t>10-k Page. 28, https://www.sec.gov/ix?doc=/Archives/edgar/data/1090012/000156459020005182/dvn-10k_20191231.htm#SummaryOfSignificantAccountingPolicies</t>
  </si>
  <si>
    <t>PDF Pg 61</t>
  </si>
  <si>
    <t>PDF Pg 7</t>
  </si>
  <si>
    <t>-</t>
  </si>
  <si>
    <t xml:space="preserve"> </t>
  </si>
  <si>
    <t>if do not have in 10K, use 60%*Oil</t>
  </si>
  <si>
    <t xml:space="preserve">from income statement </t>
  </si>
  <si>
    <t>Divide 2019 number by 4 to adjust for quarter</t>
  </si>
  <si>
    <t>10-k 2019, PAGE. F6, https://www.sec.gov/ix?doc=/Archives/edgar/data/6769/000173303720000004/apa10-k2019.htm</t>
  </si>
  <si>
    <t>10-k Page. 51, https://www.sec.gov/ix?doc=/Archives/edgar/data/1090012/000156459020005182/dvn-10k_20191231.htm#SummaryOfSignificantAccountingPolicies</t>
  </si>
  <si>
    <t>PDF Pg 69</t>
  </si>
  <si>
    <t>PDF Pg 71</t>
  </si>
  <si>
    <t xml:space="preserve">  </t>
  </si>
  <si>
    <t>sum should match the revenue sum in 10K</t>
  </si>
  <si>
    <t>Transaction, reorganization, and separation</t>
  </si>
  <si>
    <t>Financing costs, net</t>
  </si>
  <si>
    <t>Marketing and Mid stream Expenss</t>
  </si>
  <si>
    <t>Asset Disposition</t>
  </si>
  <si>
    <t>Production Expenses</t>
  </si>
  <si>
    <t>Loss on derivatives (Gain)</t>
  </si>
  <si>
    <t>Crude oil and natural gas service operations</t>
  </si>
  <si>
    <t>sum should match 10K</t>
  </si>
  <si>
    <t>Current income tax provision</t>
  </si>
  <si>
    <t>Deferred income tax provision (benefit)</t>
  </si>
  <si>
    <t>Net earnings (loss) from discontinued operations, net of income taxes</t>
  </si>
  <si>
    <t>equation should match 10K</t>
  </si>
  <si>
    <t>from balance sheets, do not need to divide by 4</t>
  </si>
  <si>
    <t>10-k 2019, PAGE. F9, https://www.sec.gov/ix?doc=/Archives/edgar/data/6769/000173303720000004/apa10-k2019.htm</t>
  </si>
  <si>
    <t>10-k Page. 53, https://www.sec.gov/ix?doc=/Archives/edgar/data/1090012/000156459020005182/dvn-10k_20191231.htm#SummaryOfSignificantAccountingPolicies</t>
  </si>
  <si>
    <t>PDF Pg 68</t>
  </si>
  <si>
    <t>PDF Pg 70</t>
  </si>
  <si>
    <t>Cash restricted for discontinued operations</t>
  </si>
  <si>
    <t>Current assets associated with discontinued operations</t>
  </si>
  <si>
    <t>Right-of-use assets</t>
  </si>
  <si>
    <t>Long-term assets associated with discontinued operations</t>
  </si>
  <si>
    <t>Current debt</t>
  </si>
  <si>
    <t>Revenues and royalties payable</t>
  </si>
  <si>
    <t>Current liabilities associated with discontinued operations</t>
  </si>
  <si>
    <t>Income Taxes</t>
  </si>
  <si>
    <t>Lease liabilities</t>
  </si>
  <si>
    <t>Long-term liabilities associated with discontinued operations</t>
  </si>
  <si>
    <t>from cash flow statement</t>
  </si>
  <si>
    <t>make sure align with cash flow statement and Row 33</t>
  </si>
  <si>
    <t>10-k 2019, PAGE. F8, https://www.sec.gov/ix?doc=/Archives/edgar/data/6769/000173303720000004/apa10-k2019.htm</t>
  </si>
  <si>
    <t>10-k Page. 52, https://www.sec.gov/ix?doc=/Archives/edgar/data/1090012/000156459020005182/dvn-10k_20191231.htm#SummaryOfSignificantAccountingPolicies</t>
  </si>
  <si>
    <t>PDF Pg 73</t>
  </si>
  <si>
    <t>if cannot get from 10K, leave blank</t>
  </si>
  <si>
    <t>10-k Page. 25, https://www.sec.gov/ix?doc=/Archives/edgar/data/1090012/000156459020005182/dvn-10k_20191231.htm#SummaryOfSignificantAccountingPolicies</t>
  </si>
  <si>
    <t>same with B75</t>
  </si>
  <si>
    <t>10-k Page. 45, https://www.sec.gov/ix?doc=/Archives/edgar/data/1090012/000156459020005182/dvn-10k_20191231.htm#SummaryOfSignificantAccountingPolicies</t>
  </si>
  <si>
    <t>PDF Pg 15</t>
  </si>
  <si>
    <t>Debt/EBITDAX</t>
  </si>
  <si>
    <t>Production, KBOE/Q</t>
  </si>
  <si>
    <t>2019 Q4</t>
  </si>
  <si>
    <t>Continental</t>
  </si>
  <si>
    <t>Concho</t>
  </si>
  <si>
    <t>Devon</t>
  </si>
  <si>
    <t>cash gap</t>
  </si>
  <si>
    <t>%</t>
  </si>
  <si>
    <t>debt/ebitda</t>
  </si>
  <si>
    <t>Cash outlay</t>
  </si>
  <si>
    <t>cash outlay</t>
  </si>
  <si>
    <t>Comment - Apache</t>
  </si>
  <si>
    <t>Comment - Devon Energy</t>
  </si>
  <si>
    <t>Comment - Continental Resources</t>
  </si>
  <si>
    <t>Comment - Concho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</si>
</sst>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_(* \(#,##0\);_(* &quot;-&quot;_);_(@_)"/>
    <numFmt numFmtId="43" formatCode="_(* #,##0.00_);_(* \(#,##0.00\);_(* &quot;-&quot;??_);_(@_)"/>
    <numFmt numFmtId="164" formatCode="_(* #,##0.0_);_(* \(#,##0.0\);_(* &quot;-&quot;??_);_(@_)"/>
    <numFmt numFmtId="165" formatCode="_-* #,##0.00_-;\-* #,##0.00_-;_-* &quot;-&quot;??_-;_-@_-"/>
    <numFmt numFmtId="166" formatCode="0.0%"/>
    <numFmt numFmtId="167" formatCode="#,##0.0"/>
    <numFmt numFmtId="168" formatCode="#,##0.0000"/>
    <numFmt numFmtId="169" formatCode="#,##0.00000"/>
    <numFmt numFmtId="170" formatCode="#,##0.000"/>
    <numFmt numFmtId="171" formatCode="0.0"/>
    <numFmt numFmtId="172" formatCode="0.000"/>
    <numFmt numFmtId="173" formatCode="_(* #,##0_);_(* \(#,##0\);_(* &quot;-&quot;??_);_(@_)"/>
    <numFmt numFmtId="174" formatCode="0.00000"/>
  </numFmts>
  <fonts count="41" x14ac:knownFonts="1">
    <font>
      <sz val="11"/>
      <color theme="1"/>
      <name val="Calibri"/>
      <family val="2"/>
      <scheme val="minor"/>
    </font>
    <font>
      <sz val="11"/>
      <color theme="1"/>
      <name val="Calibri"/>
      <family val="2"/>
      <scheme val="minor"/>
    </font>
    <font>
      <b/>
      <sz val="11"/>
      <color theme="1"/>
      <name val="Calibri"/>
      <family val="2"/>
      <scheme val="minor"/>
    </font>
    <font>
      <b/>
      <sz val="8"/>
      <color rgb="FFFFFFFF"/>
      <name val="Calibri"/>
      <family val="2"/>
      <scheme val="minor"/>
    </font>
    <font>
      <sz val="11"/>
      <color rgb="FF000000"/>
      <name val="Calibri"/>
      <family val="2"/>
    </font>
    <font>
      <sz val="8"/>
      <color rgb="FF000000"/>
      <name val="Calibri"/>
      <family val="2"/>
      <scheme val="minor"/>
    </font>
    <font>
      <sz val="8"/>
      <color theme="1"/>
      <name val="Calibri"/>
      <family val="2"/>
      <scheme val="minor"/>
    </font>
    <font>
      <sz val="10"/>
      <name val="Arial"/>
      <family val="2"/>
    </font>
    <font>
      <b/>
      <sz val="10"/>
      <color theme="1"/>
      <name val="Calibri"/>
      <family val="2"/>
      <scheme val="minor"/>
    </font>
    <font>
      <b/>
      <sz val="8"/>
      <name val="Calibri"/>
      <family val="2"/>
      <scheme val="minor"/>
    </font>
    <font>
      <sz val="8"/>
      <color rgb="FF0070C0"/>
      <name val="Calibri"/>
      <family val="2"/>
      <scheme val="minor"/>
    </font>
    <font>
      <b/>
      <sz val="8"/>
      <color theme="1"/>
      <name val="Calibri"/>
      <family val="2"/>
      <scheme val="minor"/>
    </font>
    <font>
      <sz val="11"/>
      <color rgb="FF0070C0"/>
      <name val="Calibri"/>
      <family val="2"/>
      <scheme val="minor"/>
    </font>
    <font>
      <b/>
      <sz val="11"/>
      <color theme="0"/>
      <name val="Calibri"/>
      <family val="2"/>
      <scheme val="minor"/>
    </font>
    <font>
      <b/>
      <sz val="11"/>
      <color rgb="FFFFFFFF"/>
      <name val="Calibri"/>
      <family val="2"/>
      <scheme val="minor"/>
    </font>
    <font>
      <sz val="11"/>
      <color rgb="FF0000FF"/>
      <name val="Calibri"/>
      <family val="2"/>
      <scheme val="minor"/>
    </font>
    <font>
      <sz val="11"/>
      <color rgb="FF000000"/>
      <name val="Calibri"/>
      <family val="2"/>
      <scheme val="minor"/>
    </font>
    <font>
      <sz val="11"/>
      <color rgb="FF00B050"/>
      <name val="Calibri"/>
      <family val="2"/>
      <scheme val="minor"/>
    </font>
    <font>
      <b/>
      <sz val="12"/>
      <color theme="1"/>
      <name val="Calibri"/>
      <family val="2"/>
      <scheme val="minor"/>
    </font>
    <font>
      <b/>
      <i/>
      <sz val="18"/>
      <color rgb="FFFF0000"/>
      <name val="Calibri"/>
      <family val="2"/>
      <scheme val="minor"/>
    </font>
    <font>
      <i/>
      <sz val="11"/>
      <color theme="1"/>
      <name val="Calibri"/>
      <family val="2"/>
      <scheme val="minor"/>
    </font>
    <font>
      <sz val="8"/>
      <name val="Calibri"/>
      <family val="2"/>
      <scheme val="minor"/>
    </font>
    <font>
      <sz val="8"/>
      <color rgb="FFFF0000"/>
      <name val="Calibri"/>
      <family val="2"/>
      <scheme val="minor"/>
    </font>
    <font>
      <i/>
      <sz val="8"/>
      <color theme="1"/>
      <name val="Calibri"/>
      <family val="2"/>
      <scheme val="minor"/>
    </font>
    <font>
      <b/>
      <i/>
      <sz val="8"/>
      <color theme="1"/>
      <name val="Calibri"/>
      <family val="2"/>
      <scheme val="minor"/>
    </font>
    <font>
      <sz val="8"/>
      <color theme="4"/>
      <name val="Calibri"/>
      <family val="2"/>
      <scheme val="minor"/>
    </font>
    <font>
      <b/>
      <sz val="8"/>
      <color theme="4"/>
      <name val="Calibri"/>
      <family val="2"/>
      <scheme val="minor"/>
    </font>
    <font>
      <sz val="11"/>
      <color rgb="FFFF0000"/>
      <name val="Calibri"/>
      <family val="2"/>
      <scheme val="minor"/>
    </font>
    <font>
      <sz val="11"/>
      <color theme="0"/>
      <name val="Calibri"/>
      <family val="2"/>
      <scheme val="minor"/>
    </font>
    <font>
      <sz val="9"/>
      <color indexed="81"/>
      <name val="Tahoma"/>
      <family val="2"/>
    </font>
    <font>
      <sz val="10"/>
      <color theme="1"/>
      <name val="Calibri"/>
      <family val="2"/>
      <scheme val="minor"/>
    </font>
    <font>
      <sz val="10"/>
      <name val="Calibri"/>
      <family val="2"/>
      <scheme val="minor"/>
    </font>
    <font>
      <u/>
      <sz val="11"/>
      <color theme="10"/>
      <name val="Calibri"/>
      <family val="2"/>
      <scheme val="minor"/>
    </font>
    <font>
      <sz val="8"/>
      <color theme="0"/>
      <name val="Calibri"/>
      <family val="2"/>
      <scheme val="minor"/>
    </font>
    <font>
      <b/>
      <i/>
      <sz val="11"/>
      <color theme="4"/>
      <name val="Calibri"/>
      <family val="2"/>
      <scheme val="minor"/>
    </font>
    <font>
      <sz val="11"/>
      <color theme="4"/>
      <name val="Calibri"/>
      <family val="2"/>
      <scheme val="minor"/>
    </font>
    <font>
      <b/>
      <i/>
      <sz val="11"/>
      <color theme="1"/>
      <name val="Calibri"/>
      <family val="2"/>
      <scheme val="minor"/>
    </font>
    <font>
      <sz val="11"/>
      <name val="Calibri"/>
      <family val="2"/>
      <scheme val="minor"/>
    </font>
    <font>
      <b/>
      <sz val="9"/>
      <color indexed="81"/>
      <name val="Tahoma"/>
      <family val="2"/>
    </font>
    <font>
      <b/>
      <sz val="8"/>
      <color theme="0"/>
      <name val="Calibri"/>
      <family val="2"/>
      <scheme val="minor"/>
    </font>
    <font>
      <b/>
      <i/>
      <sz val="8"/>
      <color theme="4"/>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5"/>
        <bgColor indexed="64"/>
      </patternFill>
    </fill>
    <fill>
      <patternFill patternType="solid">
        <fgColor theme="7"/>
        <bgColor indexed="64"/>
      </patternFill>
    </fill>
    <fill>
      <patternFill patternType="solid">
        <fgColor rgb="FF90EE90"/>
        <bgColor indexed="64"/>
      </patternFill>
    </fill>
    <fill>
      <patternFill patternType="solid">
        <fgColor rgb="FFFFB6C1"/>
        <bgColor indexed="64"/>
      </patternFill>
    </fill>
    <fill>
      <patternFill patternType="solid">
        <fgColor theme="1"/>
        <bgColor indexed="64"/>
      </patternFill>
    </fill>
    <fill>
      <patternFill patternType="solid">
        <fgColor theme="2"/>
        <bgColor indexed="64"/>
      </patternFill>
    </fill>
    <fill>
      <patternFill patternType="solid">
        <fgColor rgb="FF002060"/>
        <bgColor indexed="64"/>
      </patternFill>
    </fill>
    <fill>
      <patternFill patternType="solid">
        <fgColor theme="8" tint="0.79998168889431442"/>
        <bgColor indexed="64"/>
      </patternFill>
    </fill>
  </fills>
  <borders count="51">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style="thin">
        <color indexed="64"/>
      </right>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style="thin">
        <color indexed="64"/>
      </left>
      <right/>
      <top style="thin">
        <color indexed="64"/>
      </top>
      <bottom style="thin">
        <color theme="0" tint="-0.34998626667073579"/>
      </bottom>
      <diagonal/>
    </border>
    <border>
      <left/>
      <right style="thin">
        <color indexed="64"/>
      </right>
      <top style="thin">
        <color indexed="64"/>
      </top>
      <bottom style="thin">
        <color theme="0" tint="-0.34998626667073579"/>
      </bottom>
      <diagonal/>
    </border>
    <border>
      <left style="thick">
        <color indexed="64"/>
      </left>
      <right style="thick">
        <color indexed="64"/>
      </right>
      <top style="thick">
        <color indexed="64"/>
      </top>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style="thick">
        <color indexed="64"/>
      </right>
      <top/>
      <bottom style="thick">
        <color indexed="64"/>
      </bottom>
      <diagonal/>
    </border>
    <border>
      <left style="thick">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right style="thick">
        <color indexed="64"/>
      </right>
      <top style="medium">
        <color indexed="64"/>
      </top>
      <bottom style="hair">
        <color indexed="64"/>
      </bottom>
      <diagonal/>
    </border>
    <border>
      <left style="thick">
        <color indexed="64"/>
      </left>
      <right style="thick">
        <color indexed="64"/>
      </right>
      <top style="medium">
        <color indexed="64"/>
      </top>
      <bottom style="hair">
        <color indexed="64"/>
      </bottom>
      <diagonal/>
    </border>
    <border>
      <left style="thick">
        <color indexed="64"/>
      </left>
      <right style="thin">
        <color indexed="64"/>
      </right>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style="thick">
        <color indexed="64"/>
      </top>
      <bottom style="thick">
        <color indexed="64"/>
      </bottom>
      <diagonal/>
    </border>
    <border>
      <left style="thick">
        <color indexed="64"/>
      </left>
      <right style="thin">
        <color indexed="64"/>
      </right>
      <top/>
      <bottom style="thick">
        <color indexed="64"/>
      </bottom>
      <diagonal/>
    </border>
    <border>
      <left/>
      <right style="thick">
        <color indexed="64"/>
      </right>
      <top/>
      <bottom style="thick">
        <color indexed="64"/>
      </bottom>
      <diagonal/>
    </border>
    <border>
      <left style="thin">
        <color indexed="64"/>
      </left>
      <right style="thin">
        <color indexed="64"/>
      </right>
      <top/>
      <bottom style="thick">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s>
  <cellStyleXfs count="11">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xf numFmtId="0" fontId="4" fillId="0" borderId="0"/>
    <xf numFmtId="0" fontId="4" fillId="0" borderId="0"/>
    <xf numFmtId="165" fontId="1" fillId="0" borderId="0" applyFont="0" applyFill="0" applyBorder="0" applyAlignment="0" applyProtection="0"/>
    <xf numFmtId="0" fontId="7" fillId="0" borderId="0"/>
    <xf numFmtId="0" fontId="1" fillId="0" borderId="0"/>
    <xf numFmtId="0" fontId="7" fillId="0" borderId="0" applyNumberFormat="0" applyFont="0" applyFill="0" applyBorder="0" applyAlignment="0" applyProtection="0"/>
    <xf numFmtId="0" fontId="32" fillId="0" borderId="0" applyNumberFormat="0" applyFill="0" applyBorder="0" applyAlignment="0" applyProtection="0"/>
  </cellStyleXfs>
  <cellXfs count="489">
    <xf numFmtId="0" fontId="0" fillId="0" borderId="0" xfId="0"/>
    <xf numFmtId="4" fontId="0" fillId="0" borderId="0" xfId="0" applyNumberFormat="1"/>
    <xf numFmtId="0" fontId="6" fillId="0" borderId="0" xfId="0" applyFont="1"/>
    <xf numFmtId="0" fontId="3" fillId="0" borderId="0" xfId="0" applyFont="1" applyFill="1" applyBorder="1" applyAlignment="1">
      <alignment horizontal="center" vertical="center" wrapText="1"/>
    </xf>
    <xf numFmtId="0" fontId="5" fillId="0" borderId="0" xfId="3" applyNumberFormat="1" applyFont="1" applyFill="1" applyBorder="1"/>
    <xf numFmtId="0" fontId="5" fillId="0" borderId="0" xfId="3" quotePrefix="1" applyNumberFormat="1" applyFont="1" applyFill="1" applyBorder="1"/>
    <xf numFmtId="0" fontId="5" fillId="0" borderId="0" xfId="4" applyNumberFormat="1" applyFont="1" applyFill="1" applyBorder="1"/>
    <xf numFmtId="0" fontId="6" fillId="0" borderId="0" xfId="0" applyFont="1" applyFill="1" applyBorder="1" applyAlignment="1">
      <alignment horizontal="left"/>
    </xf>
    <xf numFmtId="0" fontId="6" fillId="0" borderId="0" xfId="0" applyFont="1" applyFill="1" applyBorder="1"/>
    <xf numFmtId="0" fontId="0" fillId="0" borderId="0" xfId="0" applyFill="1" applyBorder="1"/>
    <xf numFmtId="165" fontId="0" fillId="0" borderId="0" xfId="0" applyNumberFormat="1"/>
    <xf numFmtId="4" fontId="6" fillId="0" borderId="0" xfId="0" applyNumberFormat="1" applyFont="1"/>
    <xf numFmtId="4" fontId="6" fillId="0" borderId="2" xfId="0" applyNumberFormat="1" applyFont="1" applyBorder="1"/>
    <xf numFmtId="166" fontId="6" fillId="0" borderId="2" xfId="2" applyNumberFormat="1" applyFont="1" applyBorder="1"/>
    <xf numFmtId="0" fontId="8" fillId="0" borderId="2" xfId="0" applyFont="1" applyFill="1" applyBorder="1" applyAlignment="1">
      <alignment horizontal="center"/>
    </xf>
    <xf numFmtId="4" fontId="6" fillId="0" borderId="2" xfId="0" applyNumberFormat="1" applyFont="1" applyFill="1" applyBorder="1"/>
    <xf numFmtId="4" fontId="6" fillId="0" borderId="2" xfId="6" applyNumberFormat="1" applyFont="1" applyFill="1" applyBorder="1" applyAlignment="1">
      <alignment vertical="center" wrapText="1"/>
    </xf>
    <xf numFmtId="4" fontId="6" fillId="0" borderId="2" xfId="7" quotePrefix="1" applyNumberFormat="1" applyFont="1" applyFill="1" applyBorder="1"/>
    <xf numFmtId="166" fontId="6" fillId="0" borderId="2" xfId="2" applyNumberFormat="1" applyFont="1" applyFill="1" applyBorder="1"/>
    <xf numFmtId="0" fontId="5" fillId="0" borderId="2" xfId="3" applyNumberFormat="1" applyFont="1" applyFill="1" applyBorder="1"/>
    <xf numFmtId="0" fontId="5" fillId="0" borderId="2" xfId="3" quotePrefix="1" applyNumberFormat="1" applyFont="1" applyFill="1" applyBorder="1"/>
    <xf numFmtId="0" fontId="5" fillId="0" borderId="2" xfId="4" applyNumberFormat="1" applyFont="1" applyFill="1" applyBorder="1"/>
    <xf numFmtId="0" fontId="6" fillId="0" borderId="2" xfId="0" applyFont="1" applyFill="1" applyBorder="1" applyAlignment="1">
      <alignment horizontal="left"/>
    </xf>
    <xf numFmtId="0" fontId="6" fillId="0" borderId="2" xfId="0" applyFont="1" applyFill="1" applyBorder="1"/>
    <xf numFmtId="0" fontId="9" fillId="6" borderId="2" xfId="0" applyFont="1" applyFill="1" applyBorder="1" applyAlignment="1">
      <alignment horizontal="center" vertical="center" wrapText="1"/>
    </xf>
    <xf numFmtId="4" fontId="9" fillId="6" borderId="2" xfId="3" applyNumberFormat="1" applyFont="1" applyFill="1" applyBorder="1" applyAlignment="1">
      <alignment horizontal="center" wrapText="1"/>
    </xf>
    <xf numFmtId="4" fontId="9" fillId="6" borderId="2" xfId="4" applyNumberFormat="1" applyFont="1" applyFill="1" applyBorder="1" applyAlignment="1">
      <alignment horizontal="center" wrapText="1"/>
    </xf>
    <xf numFmtId="4" fontId="9" fillId="6" borderId="2" xfId="5" applyNumberFormat="1" applyFont="1" applyFill="1" applyBorder="1" applyAlignment="1">
      <alignment horizontal="center" wrapText="1"/>
    </xf>
    <xf numFmtId="4" fontId="10" fillId="0" borderId="2" xfId="0" applyNumberFormat="1" applyFont="1" applyBorder="1"/>
    <xf numFmtId="4" fontId="10" fillId="0" borderId="2" xfId="2" applyNumberFormat="1" applyFont="1" applyBorder="1"/>
    <xf numFmtId="0" fontId="5" fillId="0" borderId="2" xfId="4" applyNumberFormat="1" applyFont="1" applyFill="1" applyBorder="1" applyAlignment="1">
      <alignment vertical="center"/>
    </xf>
    <xf numFmtId="0" fontId="11" fillId="0" borderId="0" xfId="0" applyFont="1"/>
    <xf numFmtId="0" fontId="12" fillId="0" borderId="0" xfId="0" applyFont="1"/>
    <xf numFmtId="3" fontId="6" fillId="0" borderId="14" xfId="0" applyNumberFormat="1" applyFont="1" applyBorder="1"/>
    <xf numFmtId="3" fontId="11" fillId="0" borderId="15" xfId="0" applyNumberFormat="1" applyFont="1" applyBorder="1"/>
    <xf numFmtId="0" fontId="2" fillId="0" borderId="0" xfId="0" applyFont="1"/>
    <xf numFmtId="0" fontId="0" fillId="2" borderId="0" xfId="0" applyFill="1"/>
    <xf numFmtId="0" fontId="14" fillId="8" borderId="0" xfId="8" applyFont="1" applyFill="1" applyBorder="1" applyAlignment="1">
      <alignment horizontal="left" vertical="top"/>
    </xf>
    <xf numFmtId="0" fontId="0" fillId="0" borderId="0" xfId="8" applyFont="1" applyBorder="1" applyAlignment="1">
      <alignment horizontal="left" vertical="top"/>
    </xf>
    <xf numFmtId="0" fontId="0" fillId="0" borderId="0" xfId="0" applyFont="1"/>
    <xf numFmtId="0" fontId="14" fillId="8" borderId="0" xfId="8" applyFont="1" applyFill="1" applyBorder="1" applyAlignment="1">
      <alignment horizontal="left" vertical="center"/>
    </xf>
    <xf numFmtId="0" fontId="15" fillId="0" borderId="14" xfId="8" applyFont="1" applyFill="1" applyBorder="1" applyAlignment="1">
      <alignment horizontal="left" vertical="top" wrapText="1"/>
    </xf>
    <xf numFmtId="0" fontId="16" fillId="0" borderId="13" xfId="8" applyFont="1" applyFill="1" applyBorder="1" applyAlignment="1">
      <alignment horizontal="left" vertical="top" wrapText="1"/>
    </xf>
    <xf numFmtId="0" fontId="0" fillId="0" borderId="16" xfId="0" applyFont="1" applyBorder="1" applyAlignment="1">
      <alignment vertical="top"/>
    </xf>
    <xf numFmtId="0" fontId="0" fillId="0" borderId="17" xfId="0" applyFont="1" applyBorder="1" applyAlignment="1">
      <alignment vertical="top"/>
    </xf>
    <xf numFmtId="0" fontId="0" fillId="0" borderId="18" xfId="0" applyFont="1" applyBorder="1" applyAlignment="1">
      <alignment vertical="top"/>
    </xf>
    <xf numFmtId="0" fontId="0" fillId="0" borderId="19" xfId="0" applyFont="1" applyBorder="1" applyAlignment="1">
      <alignment vertical="top"/>
    </xf>
    <xf numFmtId="0" fontId="18" fillId="0" borderId="1" xfId="0" applyFont="1" applyBorder="1"/>
    <xf numFmtId="0" fontId="0" fillId="0" borderId="1" xfId="0" applyFont="1" applyBorder="1"/>
    <xf numFmtId="0" fontId="6" fillId="0" borderId="0" xfId="0" applyFont="1" applyBorder="1"/>
    <xf numFmtId="3" fontId="6" fillId="0" borderId="2" xfId="0" applyNumberFormat="1" applyFont="1" applyBorder="1"/>
    <xf numFmtId="0" fontId="0" fillId="7" borderId="0" xfId="0" applyFill="1"/>
    <xf numFmtId="0" fontId="0" fillId="0" borderId="2" xfId="0" applyBorder="1"/>
    <xf numFmtId="0" fontId="6" fillId="0" borderId="2" xfId="0" applyFont="1" applyBorder="1"/>
    <xf numFmtId="0" fontId="2" fillId="0" borderId="2" xfId="0" applyFont="1" applyBorder="1"/>
    <xf numFmtId="164" fontId="0" fillId="0" borderId="2" xfId="1" applyNumberFormat="1" applyFont="1" applyBorder="1"/>
    <xf numFmtId="0" fontId="17" fillId="0" borderId="12" xfId="8" applyFont="1" applyFill="1" applyBorder="1" applyAlignment="1">
      <alignment horizontal="left" vertical="top"/>
    </xf>
    <xf numFmtId="0" fontId="19" fillId="2" borderId="0" xfId="0" applyFont="1" applyFill="1"/>
    <xf numFmtId="0" fontId="20" fillId="0" borderId="16" xfId="0" applyFont="1" applyBorder="1" applyAlignment="1">
      <alignment vertical="top" wrapText="1"/>
    </xf>
    <xf numFmtId="0" fontId="20" fillId="0" borderId="17" xfId="0" applyFont="1" applyBorder="1" applyAlignment="1">
      <alignment vertical="top" wrapText="1"/>
    </xf>
    <xf numFmtId="0" fontId="20" fillId="0" borderId="18" xfId="0" applyFont="1" applyBorder="1" applyAlignment="1">
      <alignment vertical="top" wrapText="1"/>
    </xf>
    <xf numFmtId="0" fontId="20" fillId="0" borderId="19" xfId="0" applyFont="1" applyBorder="1" applyAlignment="1">
      <alignment vertical="top" wrapText="1"/>
    </xf>
    <xf numFmtId="3" fontId="11" fillId="0" borderId="2" xfId="0" applyNumberFormat="1" applyFont="1" applyBorder="1"/>
    <xf numFmtId="3" fontId="11" fillId="7" borderId="2" xfId="0" applyNumberFormat="1" applyFont="1" applyFill="1" applyBorder="1"/>
    <xf numFmtId="0" fontId="11" fillId="0" borderId="14" xfId="0" applyFont="1" applyBorder="1"/>
    <xf numFmtId="0" fontId="21" fillId="0" borderId="0" xfId="0" applyFont="1"/>
    <xf numFmtId="167" fontId="6" fillId="0" borderId="2" xfId="0" applyNumberFormat="1" applyFont="1" applyBorder="1"/>
    <xf numFmtId="14" fontId="11" fillId="0" borderId="0" xfId="0" applyNumberFormat="1" applyFont="1"/>
    <xf numFmtId="0" fontId="6" fillId="0" borderId="3" xfId="0" applyFont="1" applyBorder="1"/>
    <xf numFmtId="0" fontId="11" fillId="0" borderId="11" xfId="0" applyFont="1" applyBorder="1"/>
    <xf numFmtId="0" fontId="6" fillId="0" borderId="13" xfId="0" applyFont="1" applyBorder="1" applyAlignment="1">
      <alignment horizontal="left" indent="1"/>
    </xf>
    <xf numFmtId="0" fontId="6" fillId="0" borderId="12" xfId="0" applyFont="1" applyBorder="1" applyAlignment="1">
      <alignment horizontal="left" indent="1"/>
    </xf>
    <xf numFmtId="0" fontId="11" fillId="0" borderId="13" xfId="0" applyFont="1" applyBorder="1"/>
    <xf numFmtId="0" fontId="6" fillId="0" borderId="13" xfId="0" applyFont="1" applyBorder="1"/>
    <xf numFmtId="0" fontId="11" fillId="0" borderId="15" xfId="0" applyFont="1" applyBorder="1"/>
    <xf numFmtId="0" fontId="6" fillId="0" borderId="13" xfId="0" applyFont="1" applyBorder="1" applyAlignment="1">
      <alignment horizontal="left" indent="2"/>
    </xf>
    <xf numFmtId="0" fontId="11" fillId="0" borderId="14" xfId="0" applyFont="1" applyBorder="1" applyAlignment="1">
      <alignment horizontal="left" indent="2"/>
    </xf>
    <xf numFmtId="0" fontId="6" fillId="0" borderId="12" xfId="0" applyFont="1" applyBorder="1"/>
    <xf numFmtId="0" fontId="11" fillId="0" borderId="13" xfId="0" applyFont="1" applyBorder="1" applyAlignment="1">
      <alignment horizontal="left" indent="2"/>
    </xf>
    <xf numFmtId="0" fontId="11" fillId="0" borderId="2" xfId="0" applyFont="1" applyBorder="1" applyAlignment="1">
      <alignment horizontal="left" indent="2"/>
    </xf>
    <xf numFmtId="0" fontId="6" fillId="0" borderId="7" xfId="0" applyFont="1" applyBorder="1"/>
    <xf numFmtId="0" fontId="11" fillId="0" borderId="4" xfId="0" applyFont="1" applyBorder="1"/>
    <xf numFmtId="0" fontId="6" fillId="0" borderId="13" xfId="0" applyFont="1" applyBorder="1" applyAlignment="1">
      <alignment horizontal="left"/>
    </xf>
    <xf numFmtId="3" fontId="6" fillId="7" borderId="2" xfId="0" applyNumberFormat="1" applyFont="1" applyFill="1" applyBorder="1"/>
    <xf numFmtId="0" fontId="11" fillId="0" borderId="12" xfId="0" applyFont="1" applyBorder="1" applyAlignment="1">
      <alignment horizontal="left" indent="1"/>
    </xf>
    <xf numFmtId="0" fontId="11" fillId="0" borderId="12" xfId="0" applyFont="1" applyBorder="1" applyAlignment="1">
      <alignment horizontal="left"/>
    </xf>
    <xf numFmtId="3" fontId="11" fillId="7" borderId="15" xfId="0" applyNumberFormat="1" applyFont="1" applyFill="1" applyBorder="1"/>
    <xf numFmtId="0" fontId="11" fillId="0" borderId="14" xfId="0" applyFont="1" applyBorder="1" applyAlignment="1">
      <alignment horizontal="left"/>
    </xf>
    <xf numFmtId="0" fontId="11" fillId="0" borderId="13" xfId="0" applyFont="1" applyBorder="1" applyAlignment="1">
      <alignment horizontal="left"/>
    </xf>
    <xf numFmtId="4" fontId="6" fillId="7" borderId="2" xfId="0" applyNumberFormat="1" applyFont="1" applyFill="1" applyBorder="1"/>
    <xf numFmtId="0" fontId="11" fillId="0" borderId="8" xfId="0" applyFont="1" applyBorder="1"/>
    <xf numFmtId="0" fontId="6" fillId="0" borderId="8" xfId="0" applyFont="1" applyBorder="1"/>
    <xf numFmtId="14" fontId="11" fillId="0" borderId="12" xfId="0" applyNumberFormat="1" applyFont="1" applyBorder="1"/>
    <xf numFmtId="14" fontId="11" fillId="0" borderId="5" xfId="0" applyNumberFormat="1" applyFont="1" applyBorder="1"/>
    <xf numFmtId="0" fontId="11" fillId="0" borderId="5" xfId="0" applyFont="1" applyFill="1" applyBorder="1"/>
    <xf numFmtId="0" fontId="22" fillId="0" borderId="13" xfId="0" applyFont="1" applyBorder="1"/>
    <xf numFmtId="3" fontId="6" fillId="7" borderId="14" xfId="0" applyNumberFormat="1" applyFont="1" applyFill="1" applyBorder="1"/>
    <xf numFmtId="0" fontId="11" fillId="0" borderId="4" xfId="0" applyFont="1" applyBorder="1" applyAlignment="1">
      <alignment horizontal="left" indent="1"/>
    </xf>
    <xf numFmtId="0" fontId="11" fillId="0" borderId="12" xfId="0" applyFont="1" applyBorder="1"/>
    <xf numFmtId="4" fontId="11" fillId="0" borderId="2" xfId="0" applyNumberFormat="1" applyFont="1" applyBorder="1"/>
    <xf numFmtId="4" fontId="11" fillId="0" borderId="0" xfId="0" applyNumberFormat="1" applyFont="1"/>
    <xf numFmtId="4" fontId="22" fillId="0" borderId="2" xfId="2" applyNumberFormat="1" applyFont="1" applyBorder="1"/>
    <xf numFmtId="4" fontId="22" fillId="0" borderId="2" xfId="0" applyNumberFormat="1" applyFont="1" applyBorder="1"/>
    <xf numFmtId="4" fontId="11" fillId="7" borderId="2" xfId="0" applyNumberFormat="1" applyFont="1" applyFill="1" applyBorder="1"/>
    <xf numFmtId="4" fontId="22" fillId="7" borderId="2" xfId="0" applyNumberFormat="1" applyFont="1" applyFill="1" applyBorder="1"/>
    <xf numFmtId="167" fontId="6" fillId="7" borderId="2" xfId="0" applyNumberFormat="1" applyFont="1" applyFill="1" applyBorder="1"/>
    <xf numFmtId="2" fontId="6" fillId="0" borderId="13" xfId="0" applyNumberFormat="1" applyFont="1" applyBorder="1" applyAlignment="1">
      <alignment horizontal="left"/>
    </xf>
    <xf numFmtId="0" fontId="22" fillId="0" borderId="13" xfId="0" applyFont="1" applyBorder="1" applyAlignment="1">
      <alignment horizontal="left"/>
    </xf>
    <xf numFmtId="4" fontId="6" fillId="0" borderId="13" xfId="0" applyNumberFormat="1" applyFont="1" applyBorder="1" applyAlignment="1">
      <alignment horizontal="left"/>
    </xf>
    <xf numFmtId="4" fontId="6" fillId="0" borderId="13" xfId="2" applyNumberFormat="1" applyFont="1" applyBorder="1" applyAlignment="1">
      <alignment horizontal="left"/>
    </xf>
    <xf numFmtId="4" fontId="11" fillId="0" borderId="12" xfId="0" applyNumberFormat="1" applyFont="1" applyBorder="1" applyAlignment="1">
      <alignment horizontal="left"/>
    </xf>
    <xf numFmtId="4" fontId="11" fillId="0" borderId="14" xfId="0" applyNumberFormat="1" applyFont="1" applyBorder="1" applyAlignment="1">
      <alignment horizontal="left"/>
    </xf>
    <xf numFmtId="4" fontId="11" fillId="0" borderId="13" xfId="0" applyNumberFormat="1" applyFont="1" applyBorder="1" applyAlignment="1">
      <alignment horizontal="left"/>
    </xf>
    <xf numFmtId="4" fontId="6" fillId="0" borderId="0" xfId="0" applyNumberFormat="1" applyFont="1" applyAlignment="1">
      <alignment horizontal="left"/>
    </xf>
    <xf numFmtId="4" fontId="6" fillId="0" borderId="12" xfId="0" applyNumberFormat="1" applyFont="1" applyBorder="1" applyAlignment="1">
      <alignment horizontal="left"/>
    </xf>
    <xf numFmtId="4" fontId="11" fillId="0" borderId="0" xfId="0" applyNumberFormat="1" applyFont="1" applyAlignment="1">
      <alignment horizontal="left"/>
    </xf>
    <xf numFmtId="4" fontId="11" fillId="0" borderId="15" xfId="0" applyNumberFormat="1" applyFont="1" applyBorder="1" applyAlignment="1">
      <alignment horizontal="left"/>
    </xf>
    <xf numFmtId="4" fontId="6" fillId="0" borderId="7" xfId="0" applyNumberFormat="1" applyFont="1" applyBorder="1" applyAlignment="1">
      <alignment horizontal="left"/>
    </xf>
    <xf numFmtId="4" fontId="6" fillId="0" borderId="3" xfId="0" applyNumberFormat="1" applyFont="1" applyBorder="1" applyAlignment="1">
      <alignment horizontal="left"/>
    </xf>
    <xf numFmtId="4" fontId="11" fillId="0" borderId="11" xfId="0" applyNumberFormat="1" applyFont="1" applyBorder="1" applyAlignment="1">
      <alignment horizontal="left"/>
    </xf>
    <xf numFmtId="167" fontId="11" fillId="7" borderId="2" xfId="0" applyNumberFormat="1" applyFont="1" applyFill="1" applyBorder="1"/>
    <xf numFmtId="167" fontId="11" fillId="0" borderId="2" xfId="0" applyNumberFormat="1" applyFont="1" applyBorder="1"/>
    <xf numFmtId="4" fontId="6" fillId="0" borderId="2" xfId="0" applyNumberFormat="1" applyFont="1" applyBorder="1" applyAlignment="1">
      <alignment horizontal="left"/>
    </xf>
    <xf numFmtId="4" fontId="11" fillId="0" borderId="2" xfId="0" applyNumberFormat="1" applyFont="1" applyBorder="1" applyAlignment="1">
      <alignment horizontal="left"/>
    </xf>
    <xf numFmtId="4" fontId="6" fillId="0" borderId="0" xfId="0" applyNumberFormat="1" applyFont="1" applyBorder="1" applyAlignment="1">
      <alignment horizontal="left"/>
    </xf>
    <xf numFmtId="4" fontId="11" fillId="0" borderId="8" xfId="0" applyNumberFormat="1" applyFont="1" applyBorder="1" applyAlignment="1">
      <alignment horizontal="left"/>
    </xf>
    <xf numFmtId="166" fontId="11" fillId="0" borderId="15" xfId="2" applyNumberFormat="1" applyFont="1" applyBorder="1"/>
    <xf numFmtId="0" fontId="6" fillId="6" borderId="0" xfId="0" applyFont="1" applyFill="1"/>
    <xf numFmtId="0" fontId="6" fillId="6" borderId="8" xfId="0" applyFont="1" applyFill="1" applyBorder="1"/>
    <xf numFmtId="0" fontId="6" fillId="6" borderId="2" xfId="0" applyFont="1" applyFill="1" applyBorder="1"/>
    <xf numFmtId="4" fontId="6" fillId="6" borderId="2" xfId="0" applyNumberFormat="1" applyFont="1" applyFill="1" applyBorder="1" applyAlignment="1">
      <alignment horizontal="center"/>
    </xf>
    <xf numFmtId="9" fontId="6" fillId="6" borderId="15" xfId="2" applyFont="1" applyFill="1" applyBorder="1" applyAlignment="1">
      <alignment horizontal="center"/>
    </xf>
    <xf numFmtId="0" fontId="6" fillId="0" borderId="13" xfId="0" applyFont="1" applyBorder="1" applyAlignment="1"/>
    <xf numFmtId="9" fontId="6" fillId="0" borderId="13" xfId="2" applyFont="1" applyBorder="1" applyAlignment="1">
      <alignment horizontal="left"/>
    </xf>
    <xf numFmtId="4" fontId="6" fillId="4" borderId="2" xfId="0" applyNumberFormat="1" applyFont="1" applyFill="1" applyBorder="1"/>
    <xf numFmtId="0" fontId="23" fillId="0" borderId="7" xfId="0" applyFont="1" applyBorder="1"/>
    <xf numFmtId="0" fontId="23" fillId="0" borderId="3" xfId="0" applyFont="1" applyBorder="1"/>
    <xf numFmtId="0" fontId="23" fillId="0" borderId="12" xfId="0" applyFont="1" applyBorder="1"/>
    <xf numFmtId="3" fontId="6" fillId="9" borderId="2" xfId="0" applyNumberFormat="1" applyFont="1" applyFill="1" applyBorder="1"/>
    <xf numFmtId="166" fontId="6" fillId="10" borderId="13" xfId="2" applyNumberFormat="1" applyFont="1" applyFill="1" applyBorder="1" applyAlignment="1">
      <alignment horizontal="left"/>
    </xf>
    <xf numFmtId="3" fontId="6" fillId="0" borderId="13" xfId="0" applyNumberFormat="1" applyFont="1" applyBorder="1" applyAlignment="1">
      <alignment horizontal="left"/>
    </xf>
    <xf numFmtId="9" fontId="6" fillId="6" borderId="2" xfId="0" applyNumberFormat="1" applyFont="1" applyFill="1" applyBorder="1"/>
    <xf numFmtId="0" fontId="11" fillId="0" borderId="3" xfId="0" applyFont="1" applyBorder="1"/>
    <xf numFmtId="0" fontId="24" fillId="0" borderId="3" xfId="0" applyFont="1" applyBorder="1"/>
    <xf numFmtId="0" fontId="23" fillId="0" borderId="14" xfId="0" applyFont="1" applyBorder="1"/>
    <xf numFmtId="3" fontId="6" fillId="11" borderId="2" xfId="0" applyNumberFormat="1" applyFont="1" applyFill="1" applyBorder="1"/>
    <xf numFmtId="3" fontId="6" fillId="12" borderId="2" xfId="0" applyNumberFormat="1" applyFont="1" applyFill="1" applyBorder="1"/>
    <xf numFmtId="3" fontId="22" fillId="0" borderId="2" xfId="0" applyNumberFormat="1" applyFont="1" applyBorder="1"/>
    <xf numFmtId="3" fontId="21" fillId="7" borderId="2" xfId="0" applyNumberFormat="1" applyFont="1" applyFill="1" applyBorder="1"/>
    <xf numFmtId="3" fontId="6" fillId="0" borderId="3" xfId="0" applyNumberFormat="1" applyFont="1" applyBorder="1" applyAlignment="1">
      <alignment horizontal="left"/>
    </xf>
    <xf numFmtId="0" fontId="6" fillId="0" borderId="0" xfId="0" applyFont="1" applyFill="1"/>
    <xf numFmtId="0" fontId="11" fillId="0" borderId="11" xfId="0" applyFont="1" applyFill="1" applyBorder="1"/>
    <xf numFmtId="4" fontId="11" fillId="0" borderId="11" xfId="0" applyNumberFormat="1" applyFont="1" applyFill="1" applyBorder="1" applyAlignment="1">
      <alignment horizontal="left"/>
    </xf>
    <xf numFmtId="3" fontId="11" fillId="0" borderId="15" xfId="0" applyNumberFormat="1" applyFont="1" applyFill="1" applyBorder="1"/>
    <xf numFmtId="3" fontId="6" fillId="0" borderId="0" xfId="0" applyNumberFormat="1" applyFont="1"/>
    <xf numFmtId="2" fontId="21" fillId="0" borderId="13" xfId="0" applyNumberFormat="1" applyFont="1" applyBorder="1" applyAlignment="1">
      <alignment horizontal="left"/>
    </xf>
    <xf numFmtId="3" fontId="21" fillId="0" borderId="2" xfId="0" applyNumberFormat="1" applyFont="1" applyBorder="1"/>
    <xf numFmtId="3" fontId="6" fillId="0" borderId="2" xfId="0" applyNumberFormat="1" applyFont="1" applyFill="1" applyBorder="1"/>
    <xf numFmtId="0" fontId="22" fillId="0" borderId="3" xfId="0" applyFont="1" applyBorder="1"/>
    <xf numFmtId="4" fontId="11" fillId="6" borderId="2" xfId="4" applyNumberFormat="1" applyFont="1" applyFill="1" applyBorder="1" applyAlignment="1">
      <alignment horizontal="center" wrapText="1"/>
    </xf>
    <xf numFmtId="4" fontId="25" fillId="0" borderId="2" xfId="0" applyNumberFormat="1" applyFont="1" applyBorder="1"/>
    <xf numFmtId="4" fontId="25" fillId="0" borderId="2" xfId="2" applyNumberFormat="1" applyFont="1" applyBorder="1"/>
    <xf numFmtId="0" fontId="2" fillId="0" borderId="22" xfId="0" applyFont="1" applyBorder="1" applyAlignment="1">
      <alignment horizontal="center"/>
    </xf>
    <xf numFmtId="0" fontId="2" fillId="0" borderId="26" xfId="0" applyFont="1" applyBorder="1" applyAlignment="1">
      <alignment horizontal="center"/>
    </xf>
    <xf numFmtId="0" fontId="0" fillId="0" borderId="27" xfId="0" applyBorder="1"/>
    <xf numFmtId="0" fontId="0" fillId="0" borderId="28" xfId="0"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20" fillId="13" borderId="32" xfId="0" applyFont="1" applyFill="1" applyBorder="1"/>
    <xf numFmtId="0" fontId="20" fillId="13" borderId="13" xfId="0" applyFont="1" applyFill="1" applyBorder="1"/>
    <xf numFmtId="0" fontId="20" fillId="14" borderId="33" xfId="0" applyFont="1" applyFill="1" applyBorder="1"/>
    <xf numFmtId="0" fontId="20" fillId="13" borderId="33" xfId="0" applyFont="1" applyFill="1" applyBorder="1"/>
    <xf numFmtId="0" fontId="20" fillId="13" borderId="34" xfId="0" applyFont="1" applyFill="1" applyBorder="1"/>
    <xf numFmtId="0" fontId="2" fillId="0" borderId="35" xfId="0" applyFont="1" applyBorder="1" applyAlignment="1">
      <alignment horizontal="center"/>
    </xf>
    <xf numFmtId="0" fontId="0" fillId="13" borderId="32" xfId="0" applyFill="1" applyBorder="1"/>
    <xf numFmtId="0" fontId="0" fillId="0" borderId="13" xfId="0" applyBorder="1"/>
    <xf numFmtId="0" fontId="0" fillId="14" borderId="33" xfId="0" applyFill="1" applyBorder="1"/>
    <xf numFmtId="0" fontId="0" fillId="0" borderId="33" xfId="0" applyBorder="1"/>
    <xf numFmtId="0" fontId="0" fillId="13" borderId="34" xfId="0" applyFill="1" applyBorder="1"/>
    <xf numFmtId="0" fontId="20" fillId="14" borderId="27" xfId="0" applyFont="1" applyFill="1" applyBorder="1"/>
    <xf numFmtId="0" fontId="20" fillId="14" borderId="36" xfId="0" applyFont="1" applyFill="1" applyBorder="1"/>
    <xf numFmtId="0" fontId="0" fillId="0" borderId="37" xfId="0" applyBorder="1"/>
    <xf numFmtId="0" fontId="20" fillId="14" borderId="32" xfId="0" applyFont="1" applyFill="1" applyBorder="1"/>
    <xf numFmtId="0" fontId="0" fillId="0" borderId="32" xfId="0" applyBorder="1"/>
    <xf numFmtId="0" fontId="0" fillId="0" borderId="36" xfId="0" applyBorder="1"/>
    <xf numFmtId="0" fontId="0" fillId="0" borderId="38" xfId="0" applyBorder="1"/>
    <xf numFmtId="169" fontId="6" fillId="0" borderId="0" xfId="0" applyNumberFormat="1" applyFont="1"/>
    <xf numFmtId="3" fontId="22" fillId="15" borderId="2" xfId="0" applyNumberFormat="1" applyFont="1" applyFill="1" applyBorder="1"/>
    <xf numFmtId="168" fontId="6" fillId="0" borderId="2" xfId="0" applyNumberFormat="1" applyFont="1" applyBorder="1"/>
    <xf numFmtId="169" fontId="6" fillId="0" borderId="2" xfId="0" applyNumberFormat="1" applyFont="1" applyBorder="1"/>
    <xf numFmtId="0" fontId="0" fillId="14" borderId="32" xfId="0" applyFill="1" applyBorder="1"/>
    <xf numFmtId="0" fontId="0" fillId="13" borderId="33" xfId="0" applyFill="1" applyBorder="1"/>
    <xf numFmtId="0" fontId="20" fillId="13" borderId="36" xfId="0" applyFont="1" applyFill="1" applyBorder="1"/>
    <xf numFmtId="169" fontId="6" fillId="0" borderId="2" xfId="6" applyNumberFormat="1" applyFont="1" applyFill="1" applyBorder="1" applyAlignment="1">
      <alignment vertical="center" wrapText="1"/>
    </xf>
    <xf numFmtId="43" fontId="0" fillId="0" borderId="2" xfId="1" applyFont="1" applyBorder="1"/>
    <xf numFmtId="43" fontId="0" fillId="0" borderId="0" xfId="1" applyFont="1"/>
    <xf numFmtId="2" fontId="11" fillId="0" borderId="0" xfId="0" applyNumberFormat="1" applyFont="1"/>
    <xf numFmtId="14" fontId="26" fillId="0" borderId="0" xfId="0" applyNumberFormat="1" applyFont="1"/>
    <xf numFmtId="170" fontId="6" fillId="0" borderId="2" xfId="0" applyNumberFormat="1" applyFont="1" applyBorder="1"/>
    <xf numFmtId="9" fontId="26" fillId="0" borderId="2" xfId="2" applyFont="1" applyBorder="1"/>
    <xf numFmtId="41" fontId="26" fillId="0" borderId="0" xfId="0" applyNumberFormat="1" applyFont="1"/>
    <xf numFmtId="9" fontId="11" fillId="0" borderId="2" xfId="2" applyFont="1" applyBorder="1"/>
    <xf numFmtId="41" fontId="11" fillId="0" borderId="0" xfId="0" applyNumberFormat="1" applyFont="1"/>
    <xf numFmtId="166" fontId="6" fillId="0" borderId="13" xfId="2" applyNumberFormat="1" applyFont="1" applyFill="1" applyBorder="1" applyAlignment="1">
      <alignment horizontal="left"/>
    </xf>
    <xf numFmtId="41" fontId="6" fillId="0" borderId="2" xfId="0" applyNumberFormat="1" applyFont="1" applyBorder="1"/>
    <xf numFmtId="41" fontId="22" fillId="15" borderId="2" xfId="0" applyNumberFormat="1" applyFont="1" applyFill="1" applyBorder="1"/>
    <xf numFmtId="41" fontId="6" fillId="0" borderId="2" xfId="0" applyNumberFormat="1" applyFont="1" applyFill="1" applyBorder="1"/>
    <xf numFmtId="3" fontId="0" fillId="0" borderId="0" xfId="0" applyNumberFormat="1"/>
    <xf numFmtId="0" fontId="30" fillId="0" borderId="0" xfId="0" applyFont="1"/>
    <xf numFmtId="14" fontId="8" fillId="0" borderId="0" xfId="0" applyNumberFormat="1" applyFont="1"/>
    <xf numFmtId="3" fontId="30" fillId="0" borderId="0" xfId="0" applyNumberFormat="1" applyFont="1"/>
    <xf numFmtId="0" fontId="31" fillId="0" borderId="0" xfId="9" applyNumberFormat="1" applyFont="1" applyAlignment="1">
      <alignment horizontal="center" vertical="top"/>
    </xf>
    <xf numFmtId="0" fontId="31" fillId="0" borderId="0" xfId="9" applyNumberFormat="1" applyFont="1" applyAlignment="1">
      <alignment horizontal="left"/>
    </xf>
    <xf numFmtId="9" fontId="0" fillId="0" borderId="0" xfId="2" applyFont="1"/>
    <xf numFmtId="3" fontId="11" fillId="0" borderId="2" xfId="0" applyNumberFormat="1" applyFont="1" applyFill="1" applyBorder="1"/>
    <xf numFmtId="3" fontId="11" fillId="16" borderId="2" xfId="0" applyNumberFormat="1" applyFont="1" applyFill="1" applyBorder="1"/>
    <xf numFmtId="41" fontId="0" fillId="0" borderId="0" xfId="0" applyNumberFormat="1"/>
    <xf numFmtId="41" fontId="8" fillId="0" borderId="0" xfId="0" applyNumberFormat="1" applyFont="1"/>
    <xf numFmtId="41" fontId="30" fillId="0" borderId="0" xfId="0" applyNumberFormat="1" applyFont="1"/>
    <xf numFmtId="2" fontId="26" fillId="0" borderId="0" xfId="0" applyNumberFormat="1" applyFont="1"/>
    <xf numFmtId="9" fontId="0" fillId="0" borderId="0" xfId="2" applyNumberFormat="1" applyFont="1"/>
    <xf numFmtId="0" fontId="33" fillId="0" borderId="0" xfId="0" applyFont="1"/>
    <xf numFmtId="0" fontId="33" fillId="0" borderId="0" xfId="0" applyFont="1" applyFill="1"/>
    <xf numFmtId="0" fontId="33" fillId="0" borderId="0" xfId="0" applyFont="1" applyBorder="1"/>
    <xf numFmtId="0" fontId="20" fillId="0" borderId="0" xfId="0" applyFont="1" applyBorder="1"/>
    <xf numFmtId="0" fontId="0" fillId="0" borderId="0" xfId="0" applyFont="1" applyBorder="1" applyAlignment="1"/>
    <xf numFmtId="1" fontId="0" fillId="0" borderId="0" xfId="0" applyNumberFormat="1" applyFont="1" applyBorder="1" applyAlignment="1"/>
    <xf numFmtId="0" fontId="0" fillId="0" borderId="0" xfId="0" applyFont="1" applyBorder="1"/>
    <xf numFmtId="171" fontId="0" fillId="0" borderId="0" xfId="0" applyNumberFormat="1" applyFont="1" applyBorder="1" applyAlignment="1">
      <alignment horizontal="right"/>
    </xf>
    <xf numFmtId="172" fontId="0" fillId="0" borderId="0" xfId="0" applyNumberFormat="1" applyFont="1" applyBorder="1" applyAlignment="1">
      <alignment horizontal="right"/>
    </xf>
    <xf numFmtId="0" fontId="13" fillId="17" borderId="42" xfId="0" applyFont="1" applyFill="1" applyBorder="1" applyAlignment="1">
      <alignment horizontal="left" vertical="top" wrapText="1"/>
    </xf>
    <xf numFmtId="0" fontId="13" fillId="17" borderId="43" xfId="0" applyFont="1" applyFill="1" applyBorder="1" applyAlignment="1">
      <alignment horizontal="left" vertical="top" wrapText="1"/>
    </xf>
    <xf numFmtId="1" fontId="13" fillId="17" borderId="43" xfId="0" applyNumberFormat="1" applyFont="1" applyFill="1" applyBorder="1" applyAlignment="1">
      <alignment horizontal="left" vertical="top" wrapText="1"/>
    </xf>
    <xf numFmtId="171" fontId="13" fillId="17" borderId="43" xfId="0" applyNumberFormat="1" applyFont="1" applyFill="1" applyBorder="1" applyAlignment="1">
      <alignment horizontal="right" vertical="top" wrapText="1"/>
    </xf>
    <xf numFmtId="172" fontId="13" fillId="17" borderId="43" xfId="0" applyNumberFormat="1" applyFont="1" applyFill="1" applyBorder="1" applyAlignment="1">
      <alignment horizontal="right" vertical="top" wrapText="1"/>
    </xf>
    <xf numFmtId="0" fontId="13" fillId="17" borderId="44" xfId="0" applyFont="1" applyFill="1" applyBorder="1" applyAlignment="1">
      <alignment horizontal="left" vertical="top" wrapText="1"/>
    </xf>
    <xf numFmtId="0" fontId="2" fillId="0" borderId="0" xfId="0" applyFont="1" applyBorder="1" applyAlignment="1">
      <alignment horizontal="left" vertical="top" wrapText="1"/>
    </xf>
    <xf numFmtId="0" fontId="2" fillId="0" borderId="0" xfId="0" applyFont="1" applyBorder="1" applyAlignment="1">
      <alignment wrapText="1"/>
    </xf>
    <xf numFmtId="0" fontId="0" fillId="0" borderId="45" xfId="0" applyFont="1" applyBorder="1" applyAlignment="1">
      <alignment horizontal="left" vertical="top" wrapText="1"/>
    </xf>
    <xf numFmtId="0" fontId="0" fillId="0" borderId="2" xfId="0" applyFont="1" applyBorder="1" applyAlignment="1">
      <alignment horizontal="left" vertical="top" wrapText="1"/>
    </xf>
    <xf numFmtId="1" fontId="0" fillId="0" borderId="2" xfId="0" applyNumberFormat="1" applyFont="1" applyBorder="1" applyAlignment="1">
      <alignment horizontal="left" vertical="top" wrapText="1"/>
    </xf>
    <xf numFmtId="171" fontId="0" fillId="0" borderId="2" xfId="0" applyNumberFormat="1" applyFont="1" applyBorder="1" applyAlignment="1">
      <alignment horizontal="right" vertical="top" wrapText="1"/>
    </xf>
    <xf numFmtId="172" fontId="0" fillId="0" borderId="2" xfId="0" applyNumberFormat="1" applyFont="1" applyBorder="1" applyAlignment="1">
      <alignment horizontal="right" vertical="top" wrapText="1"/>
    </xf>
    <xf numFmtId="0" fontId="0" fillId="0" borderId="46" xfId="0" applyFont="1" applyBorder="1" applyAlignment="1">
      <alignment horizontal="left" vertical="top" wrapText="1"/>
    </xf>
    <xf numFmtId="0" fontId="0" fillId="0" borderId="0" xfId="0" applyFont="1" applyBorder="1" applyAlignment="1">
      <alignment horizontal="left" vertical="top" wrapText="1"/>
    </xf>
    <xf numFmtId="0" fontId="32" fillId="0" borderId="2" xfId="10" applyBorder="1" applyAlignment="1">
      <alignment horizontal="left" vertical="top" wrapText="1"/>
    </xf>
    <xf numFmtId="0" fontId="32" fillId="0" borderId="46" xfId="10" applyBorder="1" applyAlignment="1">
      <alignment horizontal="left" vertical="top" wrapText="1"/>
    </xf>
    <xf numFmtId="0" fontId="0" fillId="0" borderId="0" xfId="0" applyFont="1" applyBorder="1" applyAlignment="1">
      <alignment wrapText="1"/>
    </xf>
    <xf numFmtId="0" fontId="2" fillId="0" borderId="45" xfId="0" applyFont="1" applyBorder="1" applyAlignment="1">
      <alignment horizontal="left" vertical="top" wrapText="1"/>
    </xf>
    <xf numFmtId="0" fontId="0" fillId="0" borderId="2" xfId="0" applyFont="1" applyFill="1" applyBorder="1" applyAlignment="1">
      <alignment horizontal="left" vertical="top" wrapText="1"/>
    </xf>
    <xf numFmtId="0" fontId="0" fillId="0" borderId="0" xfId="0" applyFont="1" applyBorder="1" applyAlignment="1">
      <alignment horizontal="left" indent="1"/>
    </xf>
    <xf numFmtId="0" fontId="34" fillId="0" borderId="45" xfId="0" applyFont="1" applyFill="1" applyBorder="1" applyAlignment="1">
      <alignment horizontal="left" vertical="top" wrapText="1"/>
    </xf>
    <xf numFmtId="0" fontId="35" fillId="0" borderId="2" xfId="0" applyFont="1" applyFill="1" applyBorder="1" applyAlignment="1">
      <alignment horizontal="left" vertical="top" wrapText="1"/>
    </xf>
    <xf numFmtId="0" fontId="35" fillId="0" borderId="0" xfId="0" applyFont="1" applyFill="1" applyBorder="1" applyAlignment="1">
      <alignment horizontal="left" vertical="top" wrapText="1"/>
    </xf>
    <xf numFmtId="0" fontId="35" fillId="0" borderId="45" xfId="0" applyFont="1" applyFill="1" applyBorder="1" applyAlignment="1">
      <alignment horizontal="left" vertical="top" wrapText="1"/>
    </xf>
    <xf numFmtId="0" fontId="35" fillId="0" borderId="46" xfId="0" applyFont="1" applyFill="1" applyBorder="1" applyAlignment="1">
      <alignment horizontal="left" vertical="top" wrapText="1"/>
    </xf>
    <xf numFmtId="0" fontId="35" fillId="0" borderId="0" xfId="0" applyFont="1" applyFill="1" applyBorder="1" applyAlignment="1">
      <alignment horizontal="left" indent="1"/>
    </xf>
    <xf numFmtId="0" fontId="0" fillId="0" borderId="45"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46" xfId="0" applyFont="1" applyFill="1" applyBorder="1" applyAlignment="1">
      <alignment horizontal="left" vertical="top" wrapText="1"/>
    </xf>
    <xf numFmtId="0" fontId="0" fillId="0" borderId="0" xfId="0" applyFont="1" applyFill="1" applyBorder="1"/>
    <xf numFmtId="0" fontId="35" fillId="0" borderId="0" xfId="0" applyFont="1" applyFill="1" applyBorder="1"/>
    <xf numFmtId="0" fontId="34" fillId="0" borderId="2" xfId="0" applyFont="1" applyFill="1" applyBorder="1" applyAlignment="1">
      <alignment horizontal="left" vertical="top" wrapText="1"/>
    </xf>
    <xf numFmtId="0" fontId="34" fillId="0" borderId="0" xfId="0" applyFont="1" applyFill="1" applyBorder="1" applyAlignment="1">
      <alignment horizontal="left" vertical="top" wrapText="1"/>
    </xf>
    <xf numFmtId="0" fontId="34" fillId="0" borderId="46" xfId="0" applyFont="1" applyFill="1" applyBorder="1" applyAlignment="1">
      <alignment horizontal="left" vertical="top" wrapText="1"/>
    </xf>
    <xf numFmtId="0" fontId="34" fillId="0" borderId="0" xfId="0" applyFont="1" applyFill="1" applyBorder="1"/>
    <xf numFmtId="0" fontId="36"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0" fontId="34" fillId="0" borderId="45" xfId="0" applyFont="1" applyBorder="1" applyAlignment="1">
      <alignment horizontal="left" vertical="top" wrapText="1"/>
    </xf>
    <xf numFmtId="0" fontId="34" fillId="0" borderId="2" xfId="0" applyFont="1" applyBorder="1" applyAlignment="1">
      <alignment horizontal="left" vertical="top" wrapText="1"/>
    </xf>
    <xf numFmtId="0" fontId="34" fillId="0" borderId="0" xfId="0" applyFont="1" applyBorder="1" applyAlignment="1">
      <alignment horizontal="left" vertical="top" wrapText="1"/>
    </xf>
    <xf numFmtId="0" fontId="34" fillId="0" borderId="46" xfId="0" applyFont="1" applyBorder="1" applyAlignment="1">
      <alignment horizontal="left" vertical="top" wrapText="1"/>
    </xf>
    <xf numFmtId="0" fontId="34" fillId="0" borderId="0" xfId="0" applyFont="1" applyBorder="1"/>
    <xf numFmtId="0" fontId="35" fillId="0" borderId="2" xfId="0" applyFont="1" applyBorder="1" applyAlignment="1">
      <alignment horizontal="left" vertical="top" wrapText="1"/>
    </xf>
    <xf numFmtId="0" fontId="35" fillId="0" borderId="0" xfId="0" applyFont="1" applyBorder="1" applyAlignment="1">
      <alignment horizontal="left" vertical="top" wrapText="1"/>
    </xf>
    <xf numFmtId="0" fontId="35" fillId="0" borderId="45" xfId="0" applyFont="1" applyBorder="1" applyAlignment="1">
      <alignment horizontal="left" vertical="top" wrapText="1"/>
    </xf>
    <xf numFmtId="0" fontId="35" fillId="0" borderId="46" xfId="0" applyFont="1" applyBorder="1" applyAlignment="1">
      <alignment horizontal="left" vertical="top" wrapText="1"/>
    </xf>
    <xf numFmtId="0" fontId="35" fillId="0" borderId="0" xfId="0" applyFont="1" applyBorder="1"/>
    <xf numFmtId="0" fontId="2" fillId="0" borderId="47" xfId="0" applyFont="1" applyBorder="1" applyAlignment="1">
      <alignment horizontal="left" vertical="top" wrapText="1"/>
    </xf>
    <xf numFmtId="0" fontId="0" fillId="0" borderId="48" xfId="0" applyFont="1" applyBorder="1" applyAlignment="1">
      <alignment horizontal="left" vertical="top" wrapText="1"/>
    </xf>
    <xf numFmtId="0" fontId="0" fillId="0" borderId="47" xfId="0" applyFont="1" applyBorder="1" applyAlignment="1">
      <alignment horizontal="left" vertical="top" wrapText="1"/>
    </xf>
    <xf numFmtId="0" fontId="35" fillId="0" borderId="48" xfId="0" applyFont="1" applyFill="1" applyBorder="1" applyAlignment="1">
      <alignment horizontal="left" vertical="top" wrapText="1"/>
    </xf>
    <xf numFmtId="0" fontId="0" fillId="0" borderId="49" xfId="0" applyFont="1" applyBorder="1" applyAlignment="1">
      <alignment horizontal="left" vertical="top" wrapText="1"/>
    </xf>
    <xf numFmtId="171" fontId="0" fillId="0" borderId="0" xfId="0" applyNumberFormat="1" applyFont="1" applyAlignment="1">
      <alignment horizontal="right"/>
    </xf>
    <xf numFmtId="172" fontId="0" fillId="0" borderId="0" xfId="0" applyNumberFormat="1" applyFont="1" applyAlignment="1">
      <alignment horizontal="right"/>
    </xf>
    <xf numFmtId="0" fontId="39" fillId="17" borderId="42" xfId="0" applyFont="1" applyFill="1" applyBorder="1" applyAlignment="1">
      <alignment horizontal="left" vertical="top" wrapText="1"/>
    </xf>
    <xf numFmtId="172" fontId="39" fillId="17" borderId="43" xfId="0" applyNumberFormat="1" applyFont="1" applyFill="1" applyBorder="1" applyAlignment="1">
      <alignment horizontal="right" vertical="top" wrapText="1"/>
    </xf>
    <xf numFmtId="0" fontId="6" fillId="0" borderId="45" xfId="0" applyFont="1" applyBorder="1" applyAlignment="1">
      <alignment horizontal="left" vertical="top" wrapText="1"/>
    </xf>
    <xf numFmtId="172" fontId="6" fillId="0" borderId="2" xfId="0" applyNumberFormat="1" applyFont="1" applyBorder="1" applyAlignment="1">
      <alignment horizontal="right" vertical="top" wrapText="1"/>
    </xf>
    <xf numFmtId="0" fontId="11" fillId="0" borderId="45" xfId="0" applyFont="1" applyBorder="1" applyAlignment="1">
      <alignment horizontal="left" vertical="top" wrapText="1"/>
    </xf>
    <xf numFmtId="172" fontId="6" fillId="0" borderId="2" xfId="1" applyNumberFormat="1" applyFont="1" applyBorder="1" applyAlignment="1">
      <alignment horizontal="right" vertical="top" wrapText="1"/>
    </xf>
    <xf numFmtId="0" fontId="40" fillId="0" borderId="45" xfId="0" applyFont="1" applyFill="1" applyBorder="1" applyAlignment="1">
      <alignment horizontal="left" vertical="top" wrapText="1"/>
    </xf>
    <xf numFmtId="172" fontId="25" fillId="0" borderId="2" xfId="1" applyNumberFormat="1" applyFont="1" applyFill="1" applyBorder="1" applyAlignment="1">
      <alignment horizontal="right" vertical="top" wrapText="1"/>
    </xf>
    <xf numFmtId="0" fontId="6" fillId="0" borderId="45" xfId="0" applyFont="1" applyFill="1" applyBorder="1" applyAlignment="1">
      <alignment horizontal="left" vertical="top" wrapText="1"/>
    </xf>
    <xf numFmtId="172" fontId="6" fillId="0" borderId="2" xfId="1" applyNumberFormat="1" applyFont="1" applyFill="1" applyBorder="1" applyAlignment="1">
      <alignment horizontal="right" vertical="top" wrapText="1"/>
    </xf>
    <xf numFmtId="0" fontId="6" fillId="18" borderId="45" xfId="0" applyFont="1" applyFill="1" applyBorder="1" applyAlignment="1">
      <alignment horizontal="left" vertical="top" wrapText="1"/>
    </xf>
    <xf numFmtId="172" fontId="6" fillId="18" borderId="2" xfId="1" applyNumberFormat="1" applyFont="1" applyFill="1" applyBorder="1" applyAlignment="1">
      <alignment horizontal="right" vertical="top" wrapText="1"/>
    </xf>
    <xf numFmtId="0" fontId="24" fillId="0" borderId="45" xfId="0" applyFont="1" applyFill="1" applyBorder="1" applyAlignment="1">
      <alignment horizontal="left" vertical="top" wrapText="1"/>
    </xf>
    <xf numFmtId="0" fontId="11" fillId="0" borderId="45" xfId="0" applyFont="1" applyFill="1" applyBorder="1" applyAlignment="1">
      <alignment horizontal="left" vertical="top" wrapText="1"/>
    </xf>
    <xf numFmtId="0" fontId="40" fillId="0" borderId="45" xfId="0" applyFont="1" applyBorder="1" applyAlignment="1">
      <alignment horizontal="left" vertical="top" wrapText="1"/>
    </xf>
    <xf numFmtId="172" fontId="25" fillId="0" borderId="2" xfId="1" applyNumberFormat="1" applyFont="1" applyBorder="1" applyAlignment="1">
      <alignment horizontal="right" vertical="top" wrapText="1"/>
    </xf>
    <xf numFmtId="0" fontId="11" fillId="0" borderId="47" xfId="0" applyFont="1" applyBorder="1" applyAlignment="1">
      <alignment horizontal="left" vertical="top" wrapText="1"/>
    </xf>
    <xf numFmtId="172" fontId="6" fillId="0" borderId="48" xfId="1" applyNumberFormat="1" applyFont="1" applyBorder="1" applyAlignment="1">
      <alignment horizontal="right" vertical="top" wrapText="1"/>
    </xf>
    <xf numFmtId="172" fontId="6" fillId="0" borderId="0" xfId="0" applyNumberFormat="1" applyFont="1" applyAlignment="1">
      <alignment horizontal="right"/>
    </xf>
    <xf numFmtId="3" fontId="6" fillId="0" borderId="0" xfId="0" applyNumberFormat="1" applyFont="1" applyBorder="1"/>
    <xf numFmtId="0" fontId="11" fillId="0" borderId="7" xfId="0" applyFont="1" applyBorder="1"/>
    <xf numFmtId="4" fontId="11" fillId="0" borderId="7" xfId="0" applyNumberFormat="1" applyFont="1" applyBorder="1" applyAlignment="1">
      <alignment horizontal="left"/>
    </xf>
    <xf numFmtId="3" fontId="11" fillId="7" borderId="14" xfId="0" applyNumberFormat="1" applyFont="1" applyFill="1" applyBorder="1"/>
    <xf numFmtId="3" fontId="11" fillId="0" borderId="14" xfId="0" applyNumberFormat="1" applyFont="1" applyBorder="1"/>
    <xf numFmtId="0" fontId="11" fillId="0" borderId="2" xfId="0" applyFont="1" applyBorder="1"/>
    <xf numFmtId="0" fontId="11" fillId="0" borderId="2" xfId="0" applyFont="1" applyBorder="1" applyAlignment="1">
      <alignment horizontal="left"/>
    </xf>
    <xf numFmtId="0" fontId="22" fillId="0" borderId="2" xfId="0" applyFont="1" applyBorder="1"/>
    <xf numFmtId="0" fontId="6" fillId="0" borderId="2" xfId="0" applyFont="1" applyBorder="1" applyAlignment="1">
      <alignment horizontal="left"/>
    </xf>
    <xf numFmtId="0" fontId="11" fillId="0" borderId="13" xfId="0" applyFont="1" applyBorder="1" applyAlignment="1">
      <alignment horizontal="left" indent="1"/>
    </xf>
    <xf numFmtId="0" fontId="11" fillId="0" borderId="12" xfId="0" applyFont="1" applyBorder="1" applyAlignment="1">
      <alignment horizontal="left" indent="2"/>
    </xf>
    <xf numFmtId="0" fontId="11" fillId="0" borderId="4" xfId="0" applyFont="1" applyBorder="1" applyAlignment="1">
      <alignment horizontal="left" indent="2"/>
    </xf>
    <xf numFmtId="0" fontId="6" fillId="0" borderId="14" xfId="0" applyFont="1" applyBorder="1"/>
    <xf numFmtId="0" fontId="6" fillId="0" borderId="50" xfId="0" applyFont="1" applyBorder="1"/>
    <xf numFmtId="167" fontId="0" fillId="0" borderId="0" xfId="0" applyNumberFormat="1" applyFont="1"/>
    <xf numFmtId="2" fontId="0" fillId="0" borderId="0" xfId="0" applyNumberFormat="1" applyFont="1" applyBorder="1" applyAlignment="1">
      <alignment horizontal="right"/>
    </xf>
    <xf numFmtId="2" fontId="13" fillId="17" borderId="44" xfId="0" applyNumberFormat="1" applyFont="1" applyFill="1" applyBorder="1" applyAlignment="1">
      <alignment horizontal="right" vertical="top" wrapText="1"/>
    </xf>
    <xf numFmtId="2" fontId="0" fillId="0" borderId="46" xfId="0" applyNumberFormat="1" applyFont="1" applyBorder="1" applyAlignment="1">
      <alignment horizontal="right" vertical="top" wrapText="1"/>
    </xf>
    <xf numFmtId="172" fontId="34" fillId="0" borderId="2" xfId="0" applyNumberFormat="1" applyFont="1" applyFill="1" applyBorder="1" applyAlignment="1">
      <alignment horizontal="left" vertical="top" wrapText="1"/>
    </xf>
    <xf numFmtId="2" fontId="0" fillId="0" borderId="0" xfId="0" applyNumberFormat="1" applyFont="1" applyBorder="1"/>
    <xf numFmtId="2" fontId="0" fillId="0" borderId="0" xfId="0" applyNumberFormat="1" applyFont="1" applyAlignment="1">
      <alignment horizontal="right"/>
    </xf>
    <xf numFmtId="172" fontId="0" fillId="0" borderId="0" xfId="0" applyNumberFormat="1" applyFont="1" applyFill="1" applyBorder="1" applyAlignment="1">
      <alignment horizontal="right" vertical="top" wrapText="1"/>
    </xf>
    <xf numFmtId="172" fontId="0" fillId="0" borderId="0" xfId="1" applyNumberFormat="1" applyFont="1" applyFill="1" applyBorder="1" applyAlignment="1">
      <alignment horizontal="right" vertical="top" wrapText="1"/>
    </xf>
    <xf numFmtId="172" fontId="0" fillId="0" borderId="0" xfId="0" applyNumberFormat="1" applyFont="1" applyFill="1" applyBorder="1" applyAlignment="1">
      <alignment horizontal="right"/>
    </xf>
    <xf numFmtId="172" fontId="35" fillId="0" borderId="0" xfId="1" applyNumberFormat="1" applyFont="1" applyFill="1" applyBorder="1" applyAlignment="1">
      <alignment horizontal="right" vertical="top" wrapText="1"/>
    </xf>
    <xf numFmtId="172" fontId="6" fillId="0" borderId="2" xfId="0" applyNumberFormat="1" applyFont="1" applyFill="1" applyBorder="1" applyAlignment="1">
      <alignment horizontal="right"/>
    </xf>
    <xf numFmtId="0" fontId="6" fillId="0" borderId="0" xfId="0" applyFont="1" applyAlignment="1"/>
    <xf numFmtId="0" fontId="11" fillId="0" borderId="14" xfId="0" applyFont="1" applyBorder="1" applyAlignment="1"/>
    <xf numFmtId="4" fontId="11" fillId="7" borderId="2" xfId="0" applyNumberFormat="1" applyFont="1" applyFill="1" applyBorder="1" applyAlignment="1"/>
    <xf numFmtId="4" fontId="11" fillId="0" borderId="2" xfId="0" applyNumberFormat="1" applyFont="1" applyBorder="1" applyAlignment="1"/>
    <xf numFmtId="0" fontId="11" fillId="0" borderId="45" xfId="0" applyFont="1" applyBorder="1" applyAlignment="1">
      <alignment horizontal="left" vertical="top"/>
    </xf>
    <xf numFmtId="172" fontId="6" fillId="0" borderId="2" xfId="0" applyNumberFormat="1" applyFont="1" applyBorder="1" applyAlignment="1">
      <alignment horizontal="right" vertical="top"/>
    </xf>
    <xf numFmtId="4" fontId="6" fillId="7" borderId="2" xfId="0" applyNumberFormat="1" applyFont="1" applyFill="1" applyBorder="1" applyAlignment="1"/>
    <xf numFmtId="4" fontId="6" fillId="4" borderId="2" xfId="0" applyNumberFormat="1" applyFont="1" applyFill="1" applyBorder="1" applyAlignment="1"/>
    <xf numFmtId="0" fontId="6" fillId="0" borderId="45" xfId="0" applyFont="1" applyBorder="1" applyAlignment="1">
      <alignment horizontal="left" vertical="top"/>
    </xf>
    <xf numFmtId="172" fontId="6" fillId="0" borderId="2" xfId="1" applyNumberFormat="1" applyFont="1" applyBorder="1" applyAlignment="1">
      <alignment horizontal="right" vertical="top"/>
    </xf>
    <xf numFmtId="0" fontId="6" fillId="0" borderId="12" xfId="0" applyFont="1" applyBorder="1" applyAlignment="1">
      <alignment horizontal="left"/>
    </xf>
    <xf numFmtId="169" fontId="6" fillId="0" borderId="0" xfId="0" applyNumberFormat="1" applyFont="1" applyAlignment="1"/>
    <xf numFmtId="0" fontId="11" fillId="0" borderId="0" xfId="0" applyFont="1" applyAlignment="1"/>
    <xf numFmtId="14" fontId="11" fillId="0" borderId="0" xfId="0" applyNumberFormat="1" applyFont="1" applyAlignment="1"/>
    <xf numFmtId="172" fontId="6" fillId="0" borderId="2" xfId="1" applyNumberFormat="1" applyFont="1" applyFill="1" applyBorder="1" applyAlignment="1">
      <alignment horizontal="right" vertical="top"/>
    </xf>
    <xf numFmtId="0" fontId="40" fillId="0" borderId="45" xfId="0" applyFont="1" applyFill="1" applyBorder="1" applyAlignment="1">
      <alignment horizontal="left" vertical="top"/>
    </xf>
    <xf numFmtId="172" fontId="25" fillId="0" borderId="2" xfId="1" applyNumberFormat="1" applyFont="1" applyFill="1" applyBorder="1" applyAlignment="1">
      <alignment horizontal="right" vertical="top"/>
    </xf>
    <xf numFmtId="0" fontId="11" fillId="0" borderId="4" xfId="0" applyFont="1" applyBorder="1" applyAlignment="1">
      <alignment horizontal="left"/>
    </xf>
    <xf numFmtId="0" fontId="23" fillId="0" borderId="12" xfId="0" applyFont="1" applyBorder="1" applyAlignment="1"/>
    <xf numFmtId="4" fontId="6" fillId="0" borderId="2" xfId="0" applyNumberFormat="1" applyFont="1" applyBorder="1" applyAlignment="1"/>
    <xf numFmtId="4" fontId="11" fillId="0" borderId="0" xfId="0" applyNumberFormat="1" applyFont="1" applyAlignment="1"/>
    <xf numFmtId="0" fontId="6" fillId="0" borderId="8" xfId="0" applyFont="1" applyBorder="1" applyAlignment="1"/>
    <xf numFmtId="0" fontId="6" fillId="0" borderId="2" xfId="0" applyFont="1" applyBorder="1" applyAlignment="1"/>
    <xf numFmtId="167" fontId="6" fillId="7" borderId="2" xfId="0" applyNumberFormat="1" applyFont="1" applyFill="1" applyBorder="1" applyAlignment="1"/>
    <xf numFmtId="167" fontId="6" fillId="0" borderId="2" xfId="0" applyNumberFormat="1" applyFont="1" applyBorder="1" applyAlignment="1"/>
    <xf numFmtId="0" fontId="6" fillId="0" borderId="45" xfId="0" applyFont="1" applyFill="1" applyBorder="1" applyAlignment="1">
      <alignment horizontal="left" vertical="top"/>
    </xf>
    <xf numFmtId="0" fontId="6" fillId="0" borderId="12" xfId="0" applyFont="1" applyBorder="1" applyAlignment="1"/>
    <xf numFmtId="167" fontId="11" fillId="7" borderId="2" xfId="0" applyNumberFormat="1" applyFont="1" applyFill="1" applyBorder="1" applyAlignment="1"/>
    <xf numFmtId="167" fontId="11" fillId="0" borderId="2" xfId="0" applyNumberFormat="1" applyFont="1" applyBorder="1" applyAlignment="1"/>
    <xf numFmtId="0" fontId="6" fillId="18" borderId="45" xfId="0" applyFont="1" applyFill="1" applyBorder="1" applyAlignment="1">
      <alignment horizontal="left" vertical="top"/>
    </xf>
    <xf numFmtId="172" fontId="6" fillId="18" borderId="2" xfId="1" applyNumberFormat="1" applyFont="1" applyFill="1" applyBorder="1" applyAlignment="1">
      <alignment horizontal="right" vertical="top"/>
    </xf>
    <xf numFmtId="41" fontId="11" fillId="0" borderId="0" xfId="0" applyNumberFormat="1" applyFont="1" applyAlignment="1"/>
    <xf numFmtId="9" fontId="11" fillId="0" borderId="2" xfId="2" applyFont="1" applyBorder="1" applyAlignment="1"/>
    <xf numFmtId="3" fontId="6" fillId="7" borderId="2" xfId="0" applyNumberFormat="1" applyFont="1" applyFill="1" applyBorder="1" applyAlignment="1"/>
    <xf numFmtId="3" fontId="6" fillId="0" borderId="2" xfId="0" applyNumberFormat="1" applyFont="1" applyBorder="1" applyAlignment="1"/>
    <xf numFmtId="3" fontId="11" fillId="7" borderId="2" xfId="0" applyNumberFormat="1" applyFont="1" applyFill="1" applyBorder="1" applyAlignment="1"/>
    <xf numFmtId="3" fontId="11" fillId="0" borderId="2" xfId="0" applyNumberFormat="1" applyFont="1" applyBorder="1" applyAlignment="1"/>
    <xf numFmtId="0" fontId="11" fillId="0" borderId="13" xfId="0" applyFont="1" applyBorder="1" applyAlignment="1"/>
    <xf numFmtId="170" fontId="6" fillId="0" borderId="2" xfId="0" applyNumberFormat="1" applyFont="1" applyBorder="1" applyAlignment="1"/>
    <xf numFmtId="41" fontId="6" fillId="0" borderId="2" xfId="0" applyNumberFormat="1" applyFont="1" applyFill="1" applyBorder="1" applyAlignment="1"/>
    <xf numFmtId="41" fontId="6" fillId="0" borderId="2" xfId="0" applyNumberFormat="1" applyFont="1" applyBorder="1" applyAlignment="1"/>
    <xf numFmtId="3" fontId="6" fillId="0" borderId="2" xfId="0" applyNumberFormat="1" applyFont="1" applyFill="1" applyBorder="1" applyAlignment="1"/>
    <xf numFmtId="3" fontId="11" fillId="0" borderId="2" xfId="0" applyNumberFormat="1" applyFont="1" applyFill="1" applyBorder="1" applyAlignment="1"/>
    <xf numFmtId="3" fontId="6" fillId="0" borderId="0" xfId="0" applyNumberFormat="1" applyFont="1" applyAlignment="1"/>
    <xf numFmtId="0" fontId="11" fillId="0" borderId="15" xfId="0" applyFont="1" applyBorder="1" applyAlignment="1"/>
    <xf numFmtId="3" fontId="11" fillId="7" borderId="15" xfId="0" applyNumberFormat="1" applyFont="1" applyFill="1" applyBorder="1" applyAlignment="1"/>
    <xf numFmtId="3" fontId="11" fillId="0" borderId="15" xfId="0" applyNumberFormat="1" applyFont="1" applyBorder="1" applyAlignment="1"/>
    <xf numFmtId="3" fontId="6" fillId="9" borderId="2" xfId="0" applyNumberFormat="1" applyFont="1" applyFill="1" applyBorder="1" applyAlignment="1"/>
    <xf numFmtId="0" fontId="22" fillId="0" borderId="13" xfId="0" applyFont="1" applyBorder="1" applyAlignment="1"/>
    <xf numFmtId="0" fontId="6" fillId="0" borderId="7" xfId="0" applyFont="1" applyBorder="1" applyAlignment="1"/>
    <xf numFmtId="0" fontId="23" fillId="0" borderId="7" xfId="0" applyFont="1" applyBorder="1" applyAlignment="1"/>
    <xf numFmtId="0" fontId="6" fillId="0" borderId="3" xfId="0" applyFont="1" applyBorder="1" applyAlignment="1"/>
    <xf numFmtId="0" fontId="23" fillId="0" borderId="3" xfId="0" applyFont="1" applyBorder="1" applyAlignment="1"/>
    <xf numFmtId="0" fontId="24" fillId="0" borderId="45" xfId="0" applyFont="1" applyFill="1" applyBorder="1" applyAlignment="1">
      <alignment horizontal="left" vertical="top"/>
    </xf>
    <xf numFmtId="0" fontId="11" fillId="0" borderId="45" xfId="0" applyFont="1" applyFill="1" applyBorder="1" applyAlignment="1">
      <alignment horizontal="left" vertical="top"/>
    </xf>
    <xf numFmtId="0" fontId="22" fillId="0" borderId="3" xfId="0" applyFont="1" applyBorder="1" applyAlignment="1"/>
    <xf numFmtId="0" fontId="11" fillId="0" borderId="3" xfId="0" applyFont="1" applyBorder="1" applyAlignment="1"/>
    <xf numFmtId="0" fontId="24" fillId="0" borderId="3" xfId="0" applyFont="1" applyBorder="1" applyAlignment="1"/>
    <xf numFmtId="0" fontId="40" fillId="0" borderId="45" xfId="0" applyFont="1" applyBorder="1" applyAlignment="1">
      <alignment horizontal="left" vertical="top"/>
    </xf>
    <xf numFmtId="172" fontId="25" fillId="0" borderId="2" xfId="1" applyNumberFormat="1" applyFont="1" applyBorder="1" applyAlignment="1">
      <alignment horizontal="right" vertical="top"/>
    </xf>
    <xf numFmtId="3" fontId="6" fillId="0" borderId="14" xfId="0" applyNumberFormat="1" applyFont="1" applyBorder="1" applyAlignment="1"/>
    <xf numFmtId="0" fontId="11" fillId="0" borderId="11" xfId="0" applyFont="1" applyBorder="1" applyAlignment="1"/>
    <xf numFmtId="0" fontId="23" fillId="0" borderId="14" xfId="0" applyFont="1" applyBorder="1" applyAlignment="1"/>
    <xf numFmtId="0" fontId="11" fillId="0" borderId="8" xfId="0" applyFont="1" applyBorder="1" applyAlignment="1"/>
    <xf numFmtId="0" fontId="11" fillId="0" borderId="2" xfId="0" applyFont="1" applyBorder="1" applyAlignment="1"/>
    <xf numFmtId="0" fontId="6" fillId="0" borderId="0" xfId="0" applyFont="1" applyBorder="1" applyAlignment="1"/>
    <xf numFmtId="0" fontId="11" fillId="0" borderId="4" xfId="0" applyFont="1" applyBorder="1" applyAlignment="1"/>
    <xf numFmtId="0" fontId="11" fillId="0" borderId="12" xfId="0" applyFont="1" applyBorder="1" applyAlignment="1"/>
    <xf numFmtId="166" fontId="11" fillId="0" borderId="15" xfId="2" applyNumberFormat="1" applyFont="1" applyBorder="1" applyAlignment="1"/>
    <xf numFmtId="172" fontId="6" fillId="0" borderId="48" xfId="1" applyNumberFormat="1" applyFont="1" applyBorder="1" applyAlignment="1">
      <alignment horizontal="right" vertical="top"/>
    </xf>
    <xf numFmtId="0" fontId="11" fillId="0" borderId="47" xfId="0" applyFont="1" applyBorder="1" applyAlignment="1">
      <alignment horizontal="left" vertical="top"/>
    </xf>
    <xf numFmtId="0" fontId="39" fillId="17" borderId="42" xfId="0" applyFont="1" applyFill="1" applyBorder="1" applyAlignment="1">
      <alignment horizontal="left" vertical="top"/>
    </xf>
    <xf numFmtId="172" fontId="39" fillId="17" borderId="43" xfId="0" applyNumberFormat="1" applyFont="1" applyFill="1" applyBorder="1" applyAlignment="1">
      <alignment horizontal="right" vertical="top"/>
    </xf>
    <xf numFmtId="0" fontId="6" fillId="0" borderId="0" xfId="0" applyFont="1" applyFill="1" applyBorder="1" applyAlignment="1"/>
    <xf numFmtId="172" fontId="0" fillId="0" borderId="0" xfId="0" applyNumberFormat="1" applyFont="1" applyFill="1" applyBorder="1" applyAlignment="1">
      <alignment horizontal="right" vertical="top"/>
    </xf>
    <xf numFmtId="172" fontId="0" fillId="0" borderId="0" xfId="1" applyNumberFormat="1" applyFont="1" applyFill="1" applyBorder="1" applyAlignment="1">
      <alignment horizontal="right" vertical="top"/>
    </xf>
    <xf numFmtId="172" fontId="35" fillId="0" borderId="0" xfId="1" applyNumberFormat="1" applyFont="1" applyFill="1" applyBorder="1" applyAlignment="1">
      <alignment horizontal="right" vertical="top"/>
    </xf>
    <xf numFmtId="1" fontId="6" fillId="7" borderId="2" xfId="0" applyNumberFormat="1" applyFont="1" applyFill="1" applyBorder="1"/>
    <xf numFmtId="1" fontId="6" fillId="0" borderId="2" xfId="0" applyNumberFormat="1" applyFont="1" applyBorder="1"/>
    <xf numFmtId="171" fontId="6" fillId="0" borderId="2" xfId="1" applyNumberFormat="1" applyFont="1" applyBorder="1" applyAlignment="1">
      <alignment horizontal="right" vertical="top" wrapText="1"/>
    </xf>
    <xf numFmtId="171" fontId="6" fillId="18" borderId="2" xfId="1" applyNumberFormat="1" applyFont="1" applyFill="1" applyBorder="1" applyAlignment="1">
      <alignment horizontal="right" vertical="top" wrapText="1"/>
    </xf>
    <xf numFmtId="171" fontId="25" fillId="0" borderId="2" xfId="1" applyNumberFormat="1" applyFont="1" applyFill="1" applyBorder="1" applyAlignment="1">
      <alignment horizontal="right" vertical="top" wrapText="1"/>
    </xf>
    <xf numFmtId="0" fontId="30" fillId="0" borderId="0" xfId="0" applyFont="1" applyFill="1"/>
    <xf numFmtId="0" fontId="31" fillId="0" borderId="0" xfId="9" applyNumberFormat="1" applyFont="1" applyFill="1" applyAlignment="1">
      <alignment horizontal="left"/>
    </xf>
    <xf numFmtId="3" fontId="30" fillId="0" borderId="0" xfId="0" applyNumberFormat="1" applyFont="1" applyFill="1"/>
    <xf numFmtId="3" fontId="0" fillId="0" borderId="0" xfId="0" applyNumberFormat="1" applyFill="1"/>
    <xf numFmtId="0" fontId="0" fillId="0" borderId="0" xfId="0" applyFill="1"/>
    <xf numFmtId="41" fontId="0" fillId="0" borderId="0" xfId="0" applyNumberFormat="1" applyFill="1"/>
    <xf numFmtId="9" fontId="31" fillId="0" borderId="0" xfId="2" applyFont="1" applyAlignment="1">
      <alignment horizontal="center" vertical="top"/>
    </xf>
    <xf numFmtId="9" fontId="0" fillId="0" borderId="0" xfId="2" applyFont="1" applyFill="1"/>
    <xf numFmtId="1" fontId="0" fillId="0" borderId="0" xfId="0" applyNumberFormat="1"/>
    <xf numFmtId="41" fontId="0" fillId="0" borderId="2" xfId="1" applyNumberFormat="1" applyFont="1" applyBorder="1" applyAlignment="1">
      <alignment horizontal="left" vertical="top" wrapText="1"/>
    </xf>
    <xf numFmtId="41" fontId="0" fillId="0" borderId="46" xfId="1" applyNumberFormat="1" applyFont="1" applyBorder="1" applyAlignment="1">
      <alignment horizontal="right" vertical="top" wrapText="1"/>
    </xf>
    <xf numFmtId="41" fontId="35" fillId="0" borderId="2" xfId="1" applyNumberFormat="1" applyFont="1" applyFill="1" applyBorder="1" applyAlignment="1">
      <alignment horizontal="left" vertical="top" wrapText="1"/>
    </xf>
    <xf numFmtId="41" fontId="35" fillId="0" borderId="2" xfId="1" applyNumberFormat="1" applyFont="1" applyFill="1" applyBorder="1" applyAlignment="1">
      <alignment horizontal="right" vertical="top" wrapText="1"/>
    </xf>
    <xf numFmtId="41" fontId="35" fillId="0" borderId="46" xfId="1" applyNumberFormat="1" applyFont="1" applyFill="1" applyBorder="1" applyAlignment="1">
      <alignment horizontal="right" vertical="top" wrapText="1"/>
    </xf>
    <xf numFmtId="41" fontId="0" fillId="0" borderId="2" xfId="1" applyNumberFormat="1" applyFont="1" applyBorder="1" applyAlignment="1">
      <alignment horizontal="right" vertical="top" wrapText="1"/>
    </xf>
    <xf numFmtId="41" fontId="0" fillId="0" borderId="2" xfId="1" applyNumberFormat="1" applyFont="1" applyFill="1" applyBorder="1" applyAlignment="1">
      <alignment horizontal="left" vertical="top" wrapText="1"/>
    </xf>
    <xf numFmtId="41" fontId="0" fillId="0" borderId="2" xfId="1" applyNumberFormat="1" applyFont="1" applyFill="1" applyBorder="1" applyAlignment="1">
      <alignment horizontal="right" vertical="top" wrapText="1"/>
    </xf>
    <xf numFmtId="41" fontId="0" fillId="0" borderId="46" xfId="1" applyNumberFormat="1" applyFont="1" applyFill="1" applyBorder="1" applyAlignment="1">
      <alignment horizontal="right" vertical="top" wrapText="1"/>
    </xf>
    <xf numFmtId="41" fontId="35" fillId="0" borderId="2" xfId="1" applyNumberFormat="1" applyFont="1" applyBorder="1" applyAlignment="1">
      <alignment horizontal="left" vertical="top" wrapText="1"/>
    </xf>
    <xf numFmtId="41" fontId="35" fillId="0" borderId="2" xfId="1" applyNumberFormat="1" applyFont="1" applyBorder="1" applyAlignment="1">
      <alignment horizontal="right" vertical="top" wrapText="1"/>
    </xf>
    <xf numFmtId="41" fontId="35" fillId="0" borderId="46" xfId="1" applyNumberFormat="1" applyFont="1" applyBorder="1" applyAlignment="1">
      <alignment horizontal="right" vertical="top" wrapText="1"/>
    </xf>
    <xf numFmtId="41" fontId="37" fillId="0" borderId="2" xfId="1" applyNumberFormat="1" applyFont="1" applyFill="1" applyBorder="1" applyAlignment="1">
      <alignment horizontal="left" vertical="top" wrapText="1"/>
    </xf>
    <xf numFmtId="41" fontId="27" fillId="0" borderId="2" xfId="1" applyNumberFormat="1" applyFont="1" applyBorder="1" applyAlignment="1">
      <alignment horizontal="left" vertical="top" wrapText="1"/>
    </xf>
    <xf numFmtId="41" fontId="27" fillId="0" borderId="2" xfId="1" applyNumberFormat="1" applyFont="1" applyBorder="1" applyAlignment="1">
      <alignment horizontal="right" vertical="top" wrapText="1"/>
    </xf>
    <xf numFmtId="41" fontId="27" fillId="0" borderId="46" xfId="1" applyNumberFormat="1" applyFont="1" applyBorder="1" applyAlignment="1">
      <alignment horizontal="right" vertical="top" wrapText="1"/>
    </xf>
    <xf numFmtId="41" fontId="0" fillId="0" borderId="48" xfId="1" applyNumberFormat="1" applyFont="1" applyBorder="1" applyAlignment="1">
      <alignment horizontal="left" vertical="top" wrapText="1"/>
    </xf>
    <xf numFmtId="41" fontId="0" fillId="0" borderId="48" xfId="1" applyNumberFormat="1" applyFont="1" applyBorder="1" applyAlignment="1">
      <alignment horizontal="right" vertical="top" wrapText="1"/>
    </xf>
    <xf numFmtId="41" fontId="0" fillId="0" borderId="49" xfId="1" applyNumberFormat="1" applyFont="1" applyBorder="1" applyAlignment="1">
      <alignment horizontal="right" vertical="top" wrapText="1"/>
    </xf>
    <xf numFmtId="2" fontId="1" fillId="0" borderId="2" xfId="0" applyNumberFormat="1" applyFont="1" applyFill="1" applyBorder="1" applyAlignment="1">
      <alignment horizontal="right"/>
    </xf>
    <xf numFmtId="41" fontId="1" fillId="0" borderId="2" xfId="0" applyNumberFormat="1" applyFont="1" applyFill="1" applyBorder="1" applyAlignment="1">
      <alignment horizontal="right"/>
    </xf>
    <xf numFmtId="43" fontId="1" fillId="0" borderId="2" xfId="1" applyNumberFormat="1" applyFont="1" applyFill="1" applyBorder="1" applyAlignment="1">
      <alignment horizontal="left" vertical="top" wrapText="1"/>
    </xf>
    <xf numFmtId="4" fontId="1" fillId="0" borderId="2" xfId="0" applyNumberFormat="1" applyFont="1" applyFill="1" applyBorder="1"/>
    <xf numFmtId="2" fontId="1" fillId="0" borderId="2" xfId="1" applyNumberFormat="1" applyFont="1" applyFill="1" applyBorder="1" applyAlignment="1">
      <alignment horizontal="right" vertical="top" wrapText="1"/>
    </xf>
    <xf numFmtId="2" fontId="1" fillId="0" borderId="46" xfId="1" applyNumberFormat="1" applyFont="1" applyFill="1" applyBorder="1" applyAlignment="1">
      <alignment horizontal="right" vertical="top" wrapText="1"/>
    </xf>
    <xf numFmtId="173" fontId="1" fillId="0" borderId="2" xfId="1" applyNumberFormat="1" applyFont="1" applyFill="1" applyBorder="1" applyAlignment="1">
      <alignment horizontal="left" vertical="top" wrapText="1"/>
    </xf>
    <xf numFmtId="171" fontId="1" fillId="0" borderId="2" xfId="1" applyNumberFormat="1" applyFont="1" applyFill="1" applyBorder="1" applyAlignment="1">
      <alignment horizontal="right" vertical="top" wrapText="1"/>
    </xf>
    <xf numFmtId="172" fontId="1" fillId="0" borderId="2" xfId="1" applyNumberFormat="1" applyFont="1" applyFill="1" applyBorder="1" applyAlignment="1">
      <alignment horizontal="right" vertical="top" wrapText="1"/>
    </xf>
    <xf numFmtId="41" fontId="1" fillId="0" borderId="2" xfId="1" applyNumberFormat="1" applyFont="1" applyFill="1" applyBorder="1" applyAlignment="1">
      <alignment horizontal="left" vertical="top" wrapText="1"/>
    </xf>
    <xf numFmtId="41" fontId="1" fillId="0" borderId="2" xfId="0" applyNumberFormat="1" applyFont="1" applyFill="1" applyBorder="1"/>
    <xf numFmtId="41" fontId="1" fillId="0" borderId="46" xfId="1" applyNumberFormat="1" applyFont="1" applyFill="1" applyBorder="1" applyAlignment="1">
      <alignment horizontal="right" vertical="top" wrapText="1"/>
    </xf>
    <xf numFmtId="4" fontId="37" fillId="0" borderId="2" xfId="0" applyNumberFormat="1" applyFont="1" applyFill="1" applyBorder="1"/>
    <xf numFmtId="2" fontId="37" fillId="0" borderId="2" xfId="0" applyNumberFormat="1" applyFont="1" applyFill="1" applyBorder="1" applyAlignment="1">
      <alignment horizontal="right"/>
    </xf>
    <xf numFmtId="41" fontId="1" fillId="0" borderId="2" xfId="1" applyNumberFormat="1" applyFont="1" applyFill="1" applyBorder="1" applyAlignment="1">
      <alignment horizontal="right" vertical="top" wrapText="1"/>
    </xf>
    <xf numFmtId="173" fontId="6" fillId="0" borderId="0" xfId="0" applyNumberFormat="1" applyFont="1" applyAlignment="1"/>
    <xf numFmtId="174" fontId="6" fillId="0" borderId="0" xfId="0" applyNumberFormat="1" applyFont="1"/>
    <xf numFmtId="174" fontId="8" fillId="0" borderId="2" xfId="0" applyNumberFormat="1" applyFont="1" applyFill="1" applyBorder="1" applyAlignment="1">
      <alignment horizontal="center"/>
    </xf>
    <xf numFmtId="174" fontId="9" fillId="6" borderId="2" xfId="3" applyNumberFormat="1" applyFont="1" applyFill="1" applyBorder="1" applyAlignment="1">
      <alignment horizontal="center" wrapText="1"/>
    </xf>
    <xf numFmtId="174" fontId="6" fillId="0" borderId="2" xfId="0" applyNumberFormat="1" applyFont="1" applyBorder="1"/>
    <xf numFmtId="174" fontId="6" fillId="0" borderId="2" xfId="2" applyNumberFormat="1" applyFont="1" applyBorder="1"/>
    <xf numFmtId="174" fontId="6" fillId="7" borderId="2" xfId="0" applyNumberFormat="1" applyFont="1" applyFill="1" applyBorder="1"/>
    <xf numFmtId="174" fontId="6" fillId="0" borderId="2" xfId="0" applyNumberFormat="1" applyFont="1" applyFill="1" applyBorder="1"/>
    <xf numFmtId="174" fontId="6" fillId="0" borderId="2" xfId="2" applyNumberFormat="1" applyFont="1" applyFill="1" applyBorder="1"/>
    <xf numFmtId="174" fontId="0" fillId="0" borderId="0" xfId="0" applyNumberFormat="1"/>
    <xf numFmtId="0" fontId="14" fillId="8" borderId="0" xfId="8" applyFont="1" applyFill="1" applyBorder="1" applyAlignment="1">
      <alignment horizontal="left" vertical="center"/>
    </xf>
    <xf numFmtId="0" fontId="13" fillId="8" borderId="0" xfId="0" applyFont="1" applyFill="1" applyAlignment="1">
      <alignment horizontal="left" vertical="center" wrapText="1"/>
    </xf>
    <xf numFmtId="0" fontId="0" fillId="0" borderId="0" xfId="0" applyFont="1" applyAlignment="1">
      <alignment vertical="top" wrapText="1"/>
    </xf>
    <xf numFmtId="0" fontId="0" fillId="0" borderId="8" xfId="0" applyFont="1" applyFill="1" applyBorder="1" applyAlignment="1">
      <alignment vertical="top" wrapText="1"/>
    </xf>
    <xf numFmtId="0" fontId="0" fillId="0" borderId="10" xfId="0" applyFont="1" applyFill="1" applyBorder="1" applyAlignment="1">
      <alignment vertical="top" wrapText="1"/>
    </xf>
    <xf numFmtId="0" fontId="20" fillId="0" borderId="20" xfId="0" applyFont="1" applyFill="1" applyBorder="1" applyAlignment="1">
      <alignment vertical="top" wrapText="1"/>
    </xf>
    <xf numFmtId="0" fontId="20" fillId="0" borderId="21" xfId="0" applyFont="1" applyFill="1" applyBorder="1" applyAlignment="1">
      <alignment vertical="top" wrapText="1"/>
    </xf>
    <xf numFmtId="0" fontId="0" fillId="0" borderId="4" xfId="0" applyFont="1" applyFill="1" applyBorder="1" applyAlignment="1">
      <alignment vertical="top" wrapText="1"/>
    </xf>
    <xf numFmtId="0" fontId="0" fillId="0" borderId="6" xfId="0" applyFont="1" applyFill="1" applyBorder="1" applyAlignment="1">
      <alignment vertical="top" wrapText="1"/>
    </xf>
    <xf numFmtId="0" fontId="14" fillId="8" borderId="0" xfId="8" applyFont="1" applyFill="1" applyBorder="1" applyAlignment="1">
      <alignment horizontal="left" vertical="top" wrapText="1"/>
    </xf>
    <xf numFmtId="0" fontId="8" fillId="5" borderId="2" xfId="0" applyFont="1" applyFill="1" applyBorder="1" applyAlignment="1">
      <alignment horizontal="center"/>
    </xf>
    <xf numFmtId="0" fontId="8" fillId="3" borderId="8" xfId="0" applyFont="1" applyFill="1" applyBorder="1" applyAlignment="1">
      <alignment horizontal="center"/>
    </xf>
    <xf numFmtId="0" fontId="8" fillId="3" borderId="9" xfId="0" applyFont="1" applyFill="1" applyBorder="1" applyAlignment="1">
      <alignment horizontal="center"/>
    </xf>
    <xf numFmtId="0" fontId="8" fillId="3" borderId="10" xfId="0" applyFont="1" applyFill="1" applyBorder="1" applyAlignment="1">
      <alignment horizontal="center"/>
    </xf>
    <xf numFmtId="0" fontId="8" fillId="3" borderId="2" xfId="0" applyFont="1" applyFill="1" applyBorder="1" applyAlignment="1">
      <alignment horizontal="center"/>
    </xf>
    <xf numFmtId="0" fontId="28" fillId="17" borderId="39" xfId="0" applyFont="1" applyFill="1" applyBorder="1" applyAlignment="1">
      <alignment horizontal="center"/>
    </xf>
    <xf numFmtId="0" fontId="28" fillId="17" borderId="40" xfId="0" applyFont="1" applyFill="1" applyBorder="1" applyAlignment="1">
      <alignment horizontal="center"/>
    </xf>
    <xf numFmtId="0" fontId="28" fillId="17" borderId="41" xfId="0" applyFont="1" applyFill="1" applyBorder="1" applyAlignment="1">
      <alignment horizontal="center"/>
    </xf>
    <xf numFmtId="0" fontId="0" fillId="0" borderId="0" xfId="0" applyAlignment="1">
      <alignment vertical="top" wrapText="1"/>
    </xf>
    <xf numFmtId="0" fontId="0" fillId="0" borderId="0" xfId="0" applyAlignment="1">
      <alignment vertical="top"/>
    </xf>
    <xf numFmtId="0" fontId="2" fillId="0" borderId="23" xfId="0" applyFont="1" applyBorder="1" applyAlignment="1">
      <alignment horizontal="center"/>
    </xf>
    <xf numFmtId="0" fontId="2" fillId="0" borderId="24" xfId="0" applyFont="1" applyBorder="1" applyAlignment="1">
      <alignment horizontal="center"/>
    </xf>
    <xf numFmtId="0" fontId="2" fillId="0" borderId="25" xfId="0" applyFont="1" applyBorder="1" applyAlignment="1">
      <alignment horizontal="center"/>
    </xf>
  </cellXfs>
  <cellStyles count="11">
    <cellStyle name="Comma" xfId="1" builtinId="3"/>
    <cellStyle name="Comma 2" xfId="6" xr:uid="{5D850E1B-C413-4B00-89D2-B26DCDA2905C}"/>
    <cellStyle name="Hyperlink" xfId="10" builtinId="8"/>
    <cellStyle name="Normal" xfId="0" builtinId="0"/>
    <cellStyle name="Normal 2" xfId="8" xr:uid="{625FD6B6-1474-49DC-A2AF-55B7EA933A9F}"/>
    <cellStyle name="Normal 3" xfId="4" xr:uid="{6E350B6A-D814-4071-9E49-0FBF181F3DDD}"/>
    <cellStyle name="Normal 3 2 2" xfId="5" xr:uid="{69E11E97-83D6-406C-BED2-8ED0E19906DE}"/>
    <cellStyle name="Normal 4" xfId="7" xr:uid="{72206D2B-2B1E-4451-B856-850609DF1071}"/>
    <cellStyle name="Normal 5" xfId="3" xr:uid="{8AA247FB-FEC7-46F7-AFAD-F866C13EE9E0}"/>
    <cellStyle name="Normal 6" xfId="9" xr:uid="{0F1F5047-463A-470C-9A46-6F7D0B5959B2}"/>
    <cellStyle name="Percent" xfId="2" builtinId="5"/>
  </cellStyles>
  <dxfs count="0"/>
  <tableStyles count="0" defaultTableStyle="TableStyleMedium2" defaultPivotStyle="PivotStyleLight16"/>
  <colors>
    <mruColors>
      <color rgb="FF0000FF"/>
      <color rgb="FFE8D9F3"/>
      <color rgb="FFC9A6E4"/>
      <color rgb="FF532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0.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externalLink" Target="externalLinks/externalLink13.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tefan%20Roos/AppData/Local/Microsoft/Windows/INetCache/IE/V0BGJM3E/Documents%20and%20Settings/WernerRehm/My%20Documents/CPC/Putnam%20valuation/Example%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tefan%20Roos/AppData/Local/Microsoft/Windows/INetCache/IE/V0BGJM3E/Documents%20and%20Settings/Adnan%20Alam/My%20Documents/Companies/Zurich/CMD%20FINCO%20ZFS%2002_25_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tefan%20Roos/AppData/Local/Microsoft/Windows/INetCache/IE/V0BGJM3E/DOCUME~1/SRRAJA~1/LOCALS~1/Temp/notes782185/IBM_Old.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Hubbell%20Stl%20Master%20Data%20File%2015Aug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Stefan%20Roos/AppData/Local/Microsoft/Windows/INetCache/IE/V0BGJM3E/DOCUME~1/WERNER~1/LOCALS~1/Temp/c.program%20files.Notes.data/K_CMD_03310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T:\Documents%20and%20Settings\Regis%20Huc\My%20Documents\Work\Modelling\Simple%20valuation%20martijn\Simple%20valuation%20modelv0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nurag%20Srivastava-NY/Desktop/CMD/2012/Q4-2012/Intel/DOCUME~1/RAHULC~1/LOCALS~1/Temp/notesC41F34/20091203_Telenor_Estimat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nurag%20Srivastava-NY/Desktop/CMD/2012/Q4-2012/Intel/Documents%20and%20Settings/Regis%20Huc/My%20Documents/Work/Modelling/%23%23New%20family/CMD%20model%20regis/20050609%20Template-Master.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Anurag%20Srivastava-NY/Desktop/CMD/2012/Q4-2012/Intel/Users/CHETAN~1/AppData/Local/Temp/notesBA6A30/Analysis/20080528_CMD_Zain_Master_v2%20(version%2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Siddharth%20Periwal/AppData/Local/Capital%20IQ/Office%20Plug-in/Templates/SPCIQ%20Excel%20Plug-In%20Tools/SPCIQ%20Identifier%20Converter.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Nakul%20Verma/AppData/Local/Capital%20IQ/Office%20Plug-in/Templates/SPCIQ%20Excel%20Plug-In%20Tools/SPCIQ%20Identifier%20Converter_David.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Baris%20Guener/Documents/Quality%20Initiative/Models/WACC%20model/PUBLISHED/WACC%20Model%20October%202017%20PUBLISHED%20Feb%202018.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Baris%20Guener/Documents/Capital%20IQ%20templates/Nomadesk%20Oct%202012/Documents%20and%20Settings/Mauricio%20Jaramillo/My%20Documents/aaCMD%20Model%20work/Model/1.5%20Adjusted%20and%203.2%20Financing%20tabs%20v4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T:\PRIVECFC\ECFC\ECFC\CMD\New%20model%202005\20050304%20new%20CMD%20with%20Infinancials%20template%20120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Anurag%20Srivastava-NY/Desktop/CMD/2012/Q4-2012/Intel/Documents%20and%20Settings/Adnan%20Alam/My%20Documents/Companies/Zurich/CMD%20FINCO%20ZFS%2002_25_0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Yushan%20Zhang/Box%20Sync/Covid19%20modeling/0.%20Team%20Folders/Yushan/cash_model/COVID19_OG%20Upstream%20Model_v2.9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updates"/>
      <sheetName val="1 SETUP"/>
      <sheetName val="Data"/>
      <sheetName val="2 WACC"/>
      <sheetName val="2a Beta"/>
      <sheetName val="3 Spreads"/>
      <sheetName val="4a Historical"/>
      <sheetName val="4b Restated"/>
      <sheetName val="5 ROIC Tree"/>
      <sheetName val="6 TRS"/>
      <sheetName val="7 SVC"/>
      <sheetName val="8 Worm"/>
      <sheetName val="9 SCM"/>
      <sheetName val="10 Multiples"/>
      <sheetName val="BU historical"/>
      <sheetName val="BU forecast"/>
      <sheetName val="Sheet1"/>
      <sheetName val="BU 1"/>
      <sheetName val="BU 2"/>
      <sheetName val="BU 3"/>
      <sheetName val="BU 4"/>
      <sheetName val="BU 5"/>
      <sheetName val="BU 6"/>
      <sheetName val="Corp"/>
      <sheetName val="Sum of Parts"/>
      <sheetName val="MultiVal"/>
      <sheetName val="11 Shift int economics"/>
      <sheetName val="11 Valuation - base"/>
      <sheetName val="Summary page 1"/>
      <sheetName val="Summary page 2"/>
      <sheetName val="Summary page 3"/>
      <sheetName val="Growth Spread for VA"/>
      <sheetName val="Data overview 1"/>
      <sheetName val="11 Valuation - restore ec"/>
      <sheetName val="12a Growth-Spread"/>
      <sheetName val="12b BU Growth-Spread"/>
      <sheetName val="13 3-Bucket"/>
      <sheetName val="14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updates"/>
      <sheetName val="1 SETUP"/>
      <sheetName val="2 Cost of Equity"/>
      <sheetName val="3 Yield Curve"/>
      <sheetName val="4a Historical"/>
      <sheetName val="4b Restated"/>
      <sheetName val="5 ROE Tree"/>
      <sheetName val="6 TRS"/>
      <sheetName val="7 SVC"/>
      <sheetName val="8 Worm"/>
      <sheetName val="9 SCM"/>
      <sheetName val="10 Multiples"/>
      <sheetName val="BU1"/>
      <sheetName val="BU2"/>
      <sheetName val="BU3"/>
      <sheetName val="BU4"/>
      <sheetName val="BU5"/>
      <sheetName val="BU6"/>
      <sheetName val="BU7"/>
      <sheetName val="BU4 (old)"/>
      <sheetName val="BU5 (old)"/>
      <sheetName val="BU6 (old)"/>
      <sheetName val="BU7 (old)"/>
      <sheetName val="Corp (old)"/>
      <sheetName val="Elim (old)"/>
      <sheetName val="Corp"/>
      <sheetName val="Elim"/>
      <sheetName val="Sum of Parts"/>
      <sheetName val="Proj"/>
      <sheetName val="11 Valuation"/>
      <sheetName val="12 Growth-Spread"/>
      <sheetName val="13 3-Bucket"/>
      <sheetName val="14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updates"/>
      <sheetName val="1 SETUP"/>
      <sheetName val="2 WACC"/>
      <sheetName val="3 Spreads"/>
      <sheetName val="4a Historical"/>
      <sheetName val="Finance Segment"/>
      <sheetName val="Pension Adj"/>
      <sheetName val="4b Restated"/>
      <sheetName val="5 ROIC Tree"/>
      <sheetName val="6 TRS"/>
      <sheetName val="7 SVC"/>
      <sheetName val="8 Worm"/>
      <sheetName val="9 SCM"/>
      <sheetName val="10 Multiples"/>
      <sheetName val="BU historical"/>
      <sheetName val="Segment Info"/>
      <sheetName val="Segment Forecast"/>
      <sheetName val="BU forecast"/>
      <sheetName val="BU 1"/>
      <sheetName val="BU 2"/>
      <sheetName val="BU 3"/>
      <sheetName val="BU 4"/>
      <sheetName val="BU 5"/>
      <sheetName val="BU 6"/>
      <sheetName val="Corp"/>
      <sheetName val="Sum of Parts"/>
      <sheetName val="MultiVal"/>
      <sheetName val="Equity Val"/>
      <sheetName val="11 Valuation"/>
      <sheetName val="EE"/>
      <sheetName val="12a Growth-Spread"/>
      <sheetName val="12b BU Growth-Spread"/>
      <sheetName val="13 3-Bucket"/>
      <sheetName val="14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Lotting Criteria"/>
      <sheetName val="Purchased Lotting Summary"/>
      <sheetName val="All Purchased Data"/>
      <sheetName val="Lighting (Martin)"/>
      <sheetName val="Lighting (Juarez)"/>
      <sheetName val="Lighting (Christiansburg)"/>
      <sheetName val="HPS Pipe (Centralia) "/>
      <sheetName val="HPS Slit Coil (Centralia)"/>
      <sheetName val="HPS Plate (Centralia)"/>
      <sheetName val="Wiring (Puerto Rico)"/>
      <sheetName val="HEP (Freeburg)"/>
      <sheetName val="HEP (Arden)"/>
      <sheetName val="HPS Slit Coil _Centralia_"/>
      <sheetName val="REVISOES"/>
      <sheetName val="FROTA"/>
      <sheetName val="ÔNIBUS_SUMARE"/>
      <sheetName val="MICRO_SUMARE"/>
      <sheetName val="ÔNIBUS_CAMPINAS"/>
      <sheetName val="ÔNIBUS_SANTO ANDRE"/>
      <sheetName val="VAN_BARUERI"/>
      <sheetName val="RESUMO"/>
      <sheetName val="BDI"/>
      <sheetName val="COMBUSTÍVEL"/>
      <sheetName val="PIS-COFINS"/>
      <sheetName val="ENCARGOS"/>
      <sheetName val="ESTRUTURA"/>
      <sheetName val="UNIFORME&amp;EPI"/>
      <sheetName val="TREINAMENTO"/>
      <sheetName val="EXAMES&amp;PCMSO"/>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updates"/>
      <sheetName val="1 SETUP"/>
      <sheetName val="2 WACC"/>
      <sheetName val="3 Spreads"/>
      <sheetName val="4a Historical"/>
      <sheetName val="4b Restated"/>
      <sheetName val="5 ROIC Tree"/>
      <sheetName val="6 TRS"/>
      <sheetName val="7 SVC"/>
      <sheetName val="8 Worm"/>
      <sheetName val="9 SCM"/>
      <sheetName val="10 Multiples"/>
      <sheetName val="11 Valuation"/>
      <sheetName val="11b Analyst Estimates"/>
      <sheetName val="11c Proj"/>
      <sheetName val="12 Growth-Spread"/>
      <sheetName val="13 3-Bucket"/>
      <sheetName val="14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s"/>
      <sheetName val="Output"/>
      <sheetName val="1234mck1234"/>
    </sheetNames>
    <sheetDataSet>
      <sheetData sheetId="0" refreshError="1">
        <row r="4">
          <cell r="B4">
            <v>2001</v>
          </cell>
          <cell r="C4">
            <v>2002</v>
          </cell>
          <cell r="D4">
            <v>2003</v>
          </cell>
          <cell r="E4">
            <v>2004</v>
          </cell>
          <cell r="F4">
            <v>2005</v>
          </cell>
          <cell r="G4">
            <v>2006</v>
          </cell>
          <cell r="H4">
            <v>2007</v>
          </cell>
          <cell r="I4">
            <v>2008</v>
          </cell>
          <cell r="J4">
            <v>2009</v>
          </cell>
          <cell r="K4">
            <v>2010</v>
          </cell>
          <cell r="L4">
            <v>2011</v>
          </cell>
          <cell r="M4">
            <v>2012</v>
          </cell>
          <cell r="N4">
            <v>2013</v>
          </cell>
          <cell r="O4">
            <v>2014</v>
          </cell>
          <cell r="P4">
            <v>2015</v>
          </cell>
          <cell r="Q4">
            <v>2016</v>
          </cell>
          <cell r="R4">
            <v>2017</v>
          </cell>
          <cell r="S4">
            <v>2018</v>
          </cell>
        </row>
        <row r="7">
          <cell r="A7" t="str">
            <v>Revenues</v>
          </cell>
        </row>
        <row r="9">
          <cell r="A9" t="str">
            <v>COGS</v>
          </cell>
        </row>
        <row r="17">
          <cell r="A17" t="str">
            <v>SG&amp;A</v>
          </cell>
        </row>
        <row r="26">
          <cell r="A26" t="str">
            <v>Depreciation PP&amp;E</v>
          </cell>
        </row>
        <row r="28">
          <cell r="A28" t="str">
            <v>Amortization intangibles other than goodwill</v>
          </cell>
        </row>
        <row r="33">
          <cell r="A33" t="str">
            <v>Goodwill impairment and amortization</v>
          </cell>
        </row>
        <row r="37">
          <cell r="A37" t="str">
            <v>Interest expense</v>
          </cell>
        </row>
        <row r="39">
          <cell r="A39" t="str">
            <v>Interest and dividend income</v>
          </cell>
        </row>
        <row r="41">
          <cell r="A41" t="str">
            <v>Restructuring Charge</v>
          </cell>
        </row>
        <row r="44">
          <cell r="A44" t="str">
            <v>Income tax</v>
          </cell>
        </row>
        <row r="45">
          <cell r="A45" t="str">
            <v>Tax rate</v>
          </cell>
        </row>
        <row r="48">
          <cell r="A48" t="str">
            <v>Minority interest</v>
          </cell>
        </row>
        <row r="52">
          <cell r="A52" t="str">
            <v>Dividends</v>
          </cell>
        </row>
        <row r="53">
          <cell r="A53" t="str">
            <v>Pay-out ratio</v>
          </cell>
        </row>
        <row r="58">
          <cell r="A58" t="str">
            <v>Cash &amp; Equivalents</v>
          </cell>
        </row>
        <row r="59">
          <cell r="A59" t="str">
            <v>Operating cash</v>
          </cell>
        </row>
        <row r="60">
          <cell r="A60" t="str">
            <v>Operating cash as % of revenues</v>
          </cell>
        </row>
        <row r="61">
          <cell r="A61" t="str">
            <v>Excess cash</v>
          </cell>
        </row>
        <row r="62">
          <cell r="A62" t="str">
            <v>Inventories</v>
          </cell>
        </row>
        <row r="64">
          <cell r="A64" t="str">
            <v>Trade Receivables</v>
          </cell>
        </row>
        <row r="66">
          <cell r="A66" t="str">
            <v>Other current operating assets</v>
          </cell>
        </row>
        <row r="70">
          <cell r="A70" t="str">
            <v>Net PP&amp;E</v>
          </cell>
        </row>
        <row r="75">
          <cell r="A75" t="str">
            <v>Goodwill</v>
          </cell>
        </row>
        <row r="76">
          <cell r="A76" t="str">
            <v>Other Intangibles</v>
          </cell>
        </row>
        <row r="79">
          <cell r="A79" t="str">
            <v>Financial Fixed Assets</v>
          </cell>
        </row>
        <row r="83">
          <cell r="A83" t="str">
            <v>Trade payables</v>
          </cell>
        </row>
        <row r="85">
          <cell r="A85" t="str">
            <v>Other current operating liabilities</v>
          </cell>
        </row>
        <row r="88">
          <cell r="A88" t="str">
            <v>Debt</v>
          </cell>
        </row>
        <row r="92">
          <cell r="A92" t="str">
            <v>Long-term operating liabilities</v>
          </cell>
        </row>
        <row r="93">
          <cell r="A93" t="str">
            <v>Provisions</v>
          </cell>
        </row>
        <row r="97">
          <cell r="A97" t="str">
            <v>Minority Interest</v>
          </cell>
        </row>
        <row r="99">
          <cell r="A99" t="str">
            <v>Total Equity</v>
          </cell>
        </row>
        <row r="112">
          <cell r="A112" t="str">
            <v>Current Shares Outstanding (in mln)</v>
          </cell>
        </row>
      </sheetData>
      <sheetData sheetId="1"/>
      <sheetData sheetId="2"/>
      <sheetData sheetId="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Thermometer"/>
      <sheetName val="Graphs"/>
      <sheetName val="Actuals"/>
      <sheetName val="Dates"/>
      <sheetName val="&lt;-&gt;"/>
      <sheetName val="DECD"/>
      <sheetName val="CEHW"/>
      <sheetName val="ACHW"/>
      <sheetName val="CRHW"/>
      <sheetName val="BRHD"/>
      <sheetName val="DRCD"/>
      <sheetName val="QR"/>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sheetData sheetId="9" refreshError="1"/>
      <sheetData sheetId="10">
        <row r="1">
          <cell r="A1" t="str">
            <v>Broker Code</v>
          </cell>
          <cell r="B1" t="str">
            <v>Broker Name</v>
          </cell>
        </row>
        <row r="2">
          <cell r="A2" t="str">
            <v>US_17361</v>
          </cell>
          <cell r="B2" t="str">
            <v>SCO Financial Group</v>
          </cell>
        </row>
        <row r="3">
          <cell r="A3" t="str">
            <v>US_28969</v>
          </cell>
          <cell r="B3" t="str">
            <v>Harbinger Research</v>
          </cell>
        </row>
        <row r="4">
          <cell r="A4" t="str">
            <v>US_27256</v>
          </cell>
          <cell r="B4" t="str">
            <v>Nollenberger Capital Partners</v>
          </cell>
        </row>
        <row r="5">
          <cell r="A5" t="str">
            <v>US_178</v>
          </cell>
          <cell r="B5" t="str">
            <v>Ingalls &amp; Snyder LLC</v>
          </cell>
        </row>
        <row r="6">
          <cell r="A6" t="str">
            <v>US_179</v>
          </cell>
          <cell r="B6" t="str">
            <v>Barrington Research Associates</v>
          </cell>
        </row>
        <row r="7">
          <cell r="A7" t="str">
            <v>US_30817</v>
          </cell>
          <cell r="B7" t="str">
            <v>NBG International (historical)</v>
          </cell>
        </row>
        <row r="8">
          <cell r="A8" t="str">
            <v>US_3202</v>
          </cell>
          <cell r="B8" t="str">
            <v>Citi</v>
          </cell>
        </row>
        <row r="9">
          <cell r="A9" t="str">
            <v>US_26355</v>
          </cell>
          <cell r="B9" t="str">
            <v>Lonsdale Securities</v>
          </cell>
        </row>
        <row r="10">
          <cell r="A10" t="str">
            <v>US_26126</v>
          </cell>
          <cell r="B10" t="str">
            <v>Astaire Securities</v>
          </cell>
        </row>
        <row r="11">
          <cell r="A11" t="str">
            <v>US_23036</v>
          </cell>
          <cell r="B11" t="str">
            <v>MGC International Markets Ltd</v>
          </cell>
        </row>
        <row r="12">
          <cell r="A12" t="str">
            <v>US_15893</v>
          </cell>
          <cell r="B12" t="str">
            <v>Wayne Hummer Investments, LLC</v>
          </cell>
        </row>
        <row r="13">
          <cell r="A13" t="str">
            <v>US_17459</v>
          </cell>
          <cell r="B13" t="str">
            <v>Reuters Estimates</v>
          </cell>
        </row>
        <row r="14">
          <cell r="A14" t="str">
            <v>US_29142</v>
          </cell>
          <cell r="B14" t="str">
            <v>Orient Securities Co., Ltd</v>
          </cell>
        </row>
        <row r="15">
          <cell r="A15" t="str">
            <v>US_10965</v>
          </cell>
          <cell r="B15" t="str">
            <v>Caixa Valores</v>
          </cell>
        </row>
        <row r="16">
          <cell r="A16" t="str">
            <v>US_33436</v>
          </cell>
          <cell r="B16" t="str">
            <v>MDM Bank</v>
          </cell>
        </row>
        <row r="17">
          <cell r="A17" t="str">
            <v>US_4576</v>
          </cell>
          <cell r="B17" t="str">
            <v>Rabo Securities</v>
          </cell>
        </row>
        <row r="18">
          <cell r="A18" t="str">
            <v>US_17371</v>
          </cell>
          <cell r="B18" t="str">
            <v>Newbridge Securities Corporation</v>
          </cell>
        </row>
        <row r="19">
          <cell r="A19" t="str">
            <v>US_109</v>
          </cell>
          <cell r="B19" t="str">
            <v>RBS Equities Research</v>
          </cell>
        </row>
        <row r="20">
          <cell r="A20" t="str">
            <v>US_27265</v>
          </cell>
          <cell r="B20" t="str">
            <v>Merrion Stockbrokers</v>
          </cell>
        </row>
        <row r="21">
          <cell r="A21" t="str">
            <v>US_3213</v>
          </cell>
          <cell r="B21" t="str">
            <v>Commerzbank Corporates &amp; Markets</v>
          </cell>
        </row>
        <row r="22">
          <cell r="A22" t="str">
            <v>US_2182</v>
          </cell>
          <cell r="B22" t="str">
            <v>RBC Capital Markets</v>
          </cell>
        </row>
        <row r="23">
          <cell r="A23" t="str">
            <v>US_40485</v>
          </cell>
          <cell r="B23" t="str">
            <v>ICICI Direct</v>
          </cell>
        </row>
        <row r="24">
          <cell r="A24" t="str">
            <v>US_4589</v>
          </cell>
          <cell r="B24" t="str">
            <v>First Global</v>
          </cell>
        </row>
        <row r="25">
          <cell r="A25" t="str">
            <v>US_27996</v>
          </cell>
          <cell r="B25" t="str">
            <v>Jesup &amp; Lamont</v>
          </cell>
        </row>
        <row r="26">
          <cell r="A26" t="str">
            <v>US_18028</v>
          </cell>
          <cell r="B26" t="str">
            <v>Interacciones Casa de Bolsa</v>
          </cell>
        </row>
        <row r="27">
          <cell r="A27" t="str">
            <v>US_27993</v>
          </cell>
          <cell r="B27" t="str">
            <v>Infinium Group</v>
          </cell>
        </row>
        <row r="28">
          <cell r="A28" t="str">
            <v>US_27991</v>
          </cell>
          <cell r="B28" t="str">
            <v>Robins Group, The</v>
          </cell>
        </row>
        <row r="29">
          <cell r="A29" t="str">
            <v>US_20253</v>
          </cell>
          <cell r="B29" t="str">
            <v>Kokusai Securities Co., Ltd.</v>
          </cell>
        </row>
        <row r="30">
          <cell r="A30" t="str">
            <v>US_20252</v>
          </cell>
          <cell r="B30" t="str">
            <v>Broadmark Capital</v>
          </cell>
        </row>
        <row r="31">
          <cell r="A31" t="str">
            <v>US_39437</v>
          </cell>
          <cell r="B31" t="str">
            <v>GoldState Securities Co.,LTD</v>
          </cell>
        </row>
        <row r="32">
          <cell r="A32" t="str">
            <v>US_24899</v>
          </cell>
          <cell r="B32" t="str">
            <v>SS Kantilal Ishwarlal Securities Ltd</v>
          </cell>
        </row>
        <row r="33">
          <cell r="A33" t="str">
            <v>US_24898</v>
          </cell>
          <cell r="B33" t="str">
            <v>Institute for Research and Investment Services BV</v>
          </cell>
        </row>
        <row r="34">
          <cell r="A34" t="str">
            <v>US_27277</v>
          </cell>
          <cell r="B34" t="str">
            <v>GARP Research</v>
          </cell>
        </row>
        <row r="35">
          <cell r="A35" t="str">
            <v>US_16042</v>
          </cell>
          <cell r="B35" t="str">
            <v>Octagon Capital Corp.</v>
          </cell>
        </row>
        <row r="36">
          <cell r="A36" t="str">
            <v>US_20646</v>
          </cell>
          <cell r="B36" t="str">
            <v>Marusan Securities Co., Ltd.</v>
          </cell>
        </row>
        <row r="37">
          <cell r="A37" t="str">
            <v>US_24896</v>
          </cell>
          <cell r="B37" t="str">
            <v>UMBC Securities Sendirian Berhad</v>
          </cell>
        </row>
        <row r="38">
          <cell r="A38" t="str">
            <v>US_156</v>
          </cell>
          <cell r="B38" t="str">
            <v>Loewenbaum &amp; Company Incorporated</v>
          </cell>
        </row>
        <row r="39">
          <cell r="A39" t="str">
            <v>US_24890</v>
          </cell>
          <cell r="B39" t="str">
            <v>Walton Holdings LLC</v>
          </cell>
        </row>
        <row r="40">
          <cell r="A40" t="str">
            <v>US_24892</v>
          </cell>
          <cell r="B40" t="str">
            <v>Banco de Investimentos Garantia SA</v>
          </cell>
        </row>
        <row r="41">
          <cell r="A41" t="str">
            <v>US_1013</v>
          </cell>
          <cell r="B41" t="str">
            <v>ABG Sundal Collier</v>
          </cell>
        </row>
        <row r="42">
          <cell r="A42" t="str">
            <v>US_36055</v>
          </cell>
          <cell r="B42" t="str">
            <v>Al Madina</v>
          </cell>
        </row>
        <row r="43">
          <cell r="A43" t="str">
            <v>US_26103</v>
          </cell>
          <cell r="B43" t="str">
            <v>SinoPac Securities (Asia) Limited HK</v>
          </cell>
        </row>
        <row r="44">
          <cell r="A44" t="str">
            <v>US_5168</v>
          </cell>
          <cell r="B44" t="str">
            <v>Samsung Securities</v>
          </cell>
        </row>
        <row r="45">
          <cell r="A45" t="str">
            <v>US_15297</v>
          </cell>
          <cell r="B45" t="str">
            <v>Kirkpatrick Pettis</v>
          </cell>
        </row>
        <row r="46">
          <cell r="A46" t="str">
            <v>US_3936</v>
          </cell>
          <cell r="B46" t="str">
            <v>Huntleigh Securities</v>
          </cell>
        </row>
        <row r="47">
          <cell r="A47" t="str">
            <v>US_20247</v>
          </cell>
          <cell r="B47" t="str">
            <v>A&amp;A Actienbank</v>
          </cell>
        </row>
        <row r="48">
          <cell r="A48" t="str">
            <v>US_29168</v>
          </cell>
          <cell r="B48" t="str">
            <v>Joseph Gunnar &amp; Co. LLC</v>
          </cell>
        </row>
        <row r="49">
          <cell r="A49" t="str">
            <v>US_5164</v>
          </cell>
          <cell r="B49" t="str">
            <v>Kenny Securities Corp.</v>
          </cell>
        </row>
        <row r="50">
          <cell r="A50" t="str">
            <v>US_319</v>
          </cell>
          <cell r="B50" t="str">
            <v>Cazenove &amp; Co.</v>
          </cell>
        </row>
        <row r="51">
          <cell r="A51" t="str">
            <v>US_8674</v>
          </cell>
          <cell r="B51" t="str">
            <v>ICICI Securities Limited</v>
          </cell>
        </row>
        <row r="52">
          <cell r="A52" t="str">
            <v>US_24888</v>
          </cell>
          <cell r="B52" t="str">
            <v>Cobblestone Research - Soleil</v>
          </cell>
        </row>
        <row r="53">
          <cell r="A53" t="str">
            <v>US_24889</v>
          </cell>
          <cell r="B53" t="str">
            <v>CEF Brokerage</v>
          </cell>
        </row>
        <row r="54">
          <cell r="A54" t="str">
            <v>US_21394</v>
          </cell>
          <cell r="B54" t="str">
            <v>Alandsbaken</v>
          </cell>
        </row>
        <row r="55">
          <cell r="A55" t="str">
            <v>US_24881</v>
          </cell>
          <cell r="B55" t="str">
            <v>NIB Capital Bank NV</v>
          </cell>
        </row>
        <row r="56">
          <cell r="A56" t="str">
            <v>US_15783</v>
          </cell>
          <cell r="B56" t="str">
            <v>Deutsche Bank Securities</v>
          </cell>
        </row>
        <row r="57">
          <cell r="A57" t="str">
            <v>US_160</v>
          </cell>
          <cell r="B57" t="str">
            <v>Sandler O'Neill &amp; Partners</v>
          </cell>
        </row>
        <row r="58">
          <cell r="A58" t="str">
            <v>US_15784</v>
          </cell>
          <cell r="B58" t="str">
            <v>Southeast Research Partners</v>
          </cell>
        </row>
        <row r="59">
          <cell r="A59" t="str">
            <v>US_15787</v>
          </cell>
          <cell r="B59" t="str">
            <v>Versant Partners Inc.</v>
          </cell>
        </row>
        <row r="60">
          <cell r="A60" t="str">
            <v>US_25146</v>
          </cell>
          <cell r="B60" t="str">
            <v>Prague Securities SRO</v>
          </cell>
        </row>
        <row r="61">
          <cell r="A61" t="str">
            <v>US_14468</v>
          </cell>
          <cell r="B61" t="str">
            <v>Howe Barnes Hoefer &amp; Arnett, Inc.</v>
          </cell>
        </row>
        <row r="62">
          <cell r="A62" t="str">
            <v>US_20001</v>
          </cell>
          <cell r="B62" t="str">
            <v>Pershing Investment Research</v>
          </cell>
        </row>
        <row r="63">
          <cell r="A63" t="str">
            <v>US_34331</v>
          </cell>
          <cell r="B63" t="str">
            <v>Dexia Bank Belgium</v>
          </cell>
        </row>
        <row r="64">
          <cell r="A64" t="str">
            <v>US_26311</v>
          </cell>
          <cell r="B64" t="str">
            <v>Boenning &amp; Scattergood, Inc</v>
          </cell>
        </row>
        <row r="65">
          <cell r="A65" t="str">
            <v>US_20455</v>
          </cell>
          <cell r="B65" t="str">
            <v>Mizuho Investors Securities Co., Ltd</v>
          </cell>
        </row>
        <row r="66">
          <cell r="A66" t="str">
            <v>US_25080</v>
          </cell>
          <cell r="B66" t="str">
            <v>Kisan Ratilal Choksey Shares and Securities Private Limited</v>
          </cell>
        </row>
        <row r="67">
          <cell r="A67" t="str">
            <v>US_5169</v>
          </cell>
          <cell r="B67" t="str">
            <v>Daewoo Securities Company Limited</v>
          </cell>
        </row>
        <row r="68">
          <cell r="A68" t="str">
            <v>US_4104</v>
          </cell>
          <cell r="B68" t="str">
            <v>BMO Capital Markets Canada</v>
          </cell>
        </row>
        <row r="69">
          <cell r="A69" t="str">
            <v>US_25089</v>
          </cell>
          <cell r="B69" t="str">
            <v>Research &amp; Analysis Ltd</v>
          </cell>
        </row>
        <row r="70">
          <cell r="A70" t="str">
            <v>US_20620</v>
          </cell>
          <cell r="B70" t="str">
            <v>Eurosafei SVB, SA</v>
          </cell>
        </row>
        <row r="71">
          <cell r="A71" t="str">
            <v>US_13425</v>
          </cell>
          <cell r="B71" t="str">
            <v>Fortis Bank SA</v>
          </cell>
        </row>
        <row r="72">
          <cell r="A72" t="str">
            <v>US_4201</v>
          </cell>
          <cell r="B72" t="str">
            <v>Davy</v>
          </cell>
        </row>
        <row r="73">
          <cell r="A73" t="str">
            <v>US_4203</v>
          </cell>
          <cell r="B73" t="str">
            <v>Arbuthnot Securities Ltd.</v>
          </cell>
        </row>
        <row r="74">
          <cell r="A74" t="str">
            <v>US_19717</v>
          </cell>
          <cell r="B74" t="str">
            <v>Aizawa Securities Co., Ltd</v>
          </cell>
        </row>
        <row r="75">
          <cell r="A75" t="str">
            <v>US_34980</v>
          </cell>
          <cell r="B75" t="str">
            <v>Globlex Securities Co., Ltd</v>
          </cell>
        </row>
        <row r="76">
          <cell r="A76" t="str">
            <v>US_7889</v>
          </cell>
          <cell r="B76" t="str">
            <v>Laguna Research Partners LLC</v>
          </cell>
        </row>
        <row r="77">
          <cell r="A77" t="str">
            <v>US_16491</v>
          </cell>
          <cell r="B77" t="str">
            <v>Ahorro Corporacion Financiera S.V.B</v>
          </cell>
        </row>
        <row r="78">
          <cell r="A78" t="str">
            <v>US_20032</v>
          </cell>
          <cell r="B78" t="str">
            <v>Polaris Securities Co. Ltd</v>
          </cell>
        </row>
        <row r="79">
          <cell r="A79" t="str">
            <v>US_25094</v>
          </cell>
          <cell r="B79" t="str">
            <v>Deutsche Morgan Grenfell</v>
          </cell>
        </row>
        <row r="80">
          <cell r="A80" t="str">
            <v>US_3959</v>
          </cell>
          <cell r="B80" t="str">
            <v>ATA Securities Research</v>
          </cell>
        </row>
        <row r="81">
          <cell r="A81" t="str">
            <v>US_25096</v>
          </cell>
          <cell r="B81" t="str">
            <v>Banco Finantia SA</v>
          </cell>
        </row>
        <row r="82">
          <cell r="A82" t="str">
            <v>US_2443</v>
          </cell>
          <cell r="B82" t="str">
            <v>Advest, Inc.</v>
          </cell>
        </row>
        <row r="83">
          <cell r="A83" t="str">
            <v>US_25090</v>
          </cell>
          <cell r="B83" t="str">
            <v>SRC Research</v>
          </cell>
        </row>
        <row r="84">
          <cell r="A84" t="str">
            <v>US_31647</v>
          </cell>
          <cell r="B84" t="str">
            <v>Zuercher Kantonalbank</v>
          </cell>
        </row>
        <row r="85">
          <cell r="A85" t="str">
            <v>US_27221</v>
          </cell>
          <cell r="B85" t="str">
            <v>IIR Group</v>
          </cell>
        </row>
        <row r="86">
          <cell r="A86" t="str">
            <v>US_10438</v>
          </cell>
          <cell r="B86" t="str">
            <v>Pacific Growth Equities, Inc.</v>
          </cell>
        </row>
        <row r="87">
          <cell r="A87" t="str">
            <v>US_25098</v>
          </cell>
          <cell r="B87" t="str">
            <v>Eesti Uhispank (Union Bank of Estonia)</v>
          </cell>
        </row>
        <row r="88">
          <cell r="A88" t="str">
            <v>US_25099</v>
          </cell>
          <cell r="B88" t="str">
            <v>Ciptadana Sekuritas</v>
          </cell>
        </row>
        <row r="89">
          <cell r="A89" t="str">
            <v>US_29815</v>
          </cell>
          <cell r="B89" t="str">
            <v>Haitong Securities</v>
          </cell>
        </row>
        <row r="90">
          <cell r="A90" t="str">
            <v>US_25220</v>
          </cell>
          <cell r="B90" t="str">
            <v>Company Forecast</v>
          </cell>
        </row>
        <row r="91">
          <cell r="A91" t="str">
            <v>US_3250</v>
          </cell>
          <cell r="B91" t="str">
            <v>Santander</v>
          </cell>
        </row>
        <row r="92">
          <cell r="A92" t="str">
            <v>US_24360</v>
          </cell>
          <cell r="B92" t="str">
            <v>America's Growth Capital Pre09</v>
          </cell>
        </row>
        <row r="93">
          <cell r="A93" t="str">
            <v>US_24364</v>
          </cell>
          <cell r="B93" t="str">
            <v>AB Asesores Moneda</v>
          </cell>
        </row>
        <row r="94">
          <cell r="A94" t="str">
            <v>US_5173</v>
          </cell>
          <cell r="B94" t="str">
            <v>The Ohio Company</v>
          </cell>
        </row>
        <row r="95">
          <cell r="A95" t="str">
            <v>US_16438</v>
          </cell>
          <cell r="B95" t="str">
            <v>Aurel BGC</v>
          </cell>
        </row>
        <row r="96">
          <cell r="A96" t="str">
            <v>US_309</v>
          </cell>
          <cell r="B96" t="str">
            <v>Banca IMI</v>
          </cell>
        </row>
        <row r="97">
          <cell r="A97" t="str">
            <v>US_17304</v>
          </cell>
          <cell r="B97" t="str">
            <v>JMP Securities</v>
          </cell>
        </row>
        <row r="98">
          <cell r="A98" t="str">
            <v>US_16006</v>
          </cell>
          <cell r="B98" t="str">
            <v>UBS Equities</v>
          </cell>
        </row>
        <row r="99">
          <cell r="A99" t="str">
            <v>US_6993</v>
          </cell>
          <cell r="B99" t="str">
            <v>Daiwa Securities SMBC Co Ltd - Japan</v>
          </cell>
        </row>
        <row r="100">
          <cell r="A100" t="str">
            <v>US_26334</v>
          </cell>
          <cell r="B100" t="str">
            <v>Next Generation Equity Research</v>
          </cell>
        </row>
        <row r="101">
          <cell r="A101" t="str">
            <v>US_3017</v>
          </cell>
          <cell r="B101" t="str">
            <v>NatWest Markets</v>
          </cell>
        </row>
        <row r="102">
          <cell r="A102" t="str">
            <v>US_3977</v>
          </cell>
          <cell r="B102" t="str">
            <v>Parker/Hunter Inc. - Historical</v>
          </cell>
        </row>
        <row r="103">
          <cell r="A103" t="str">
            <v>US_31261</v>
          </cell>
          <cell r="B103" t="str">
            <v>Lodge Partners</v>
          </cell>
        </row>
        <row r="104">
          <cell r="A104" t="str">
            <v>US_19587</v>
          </cell>
          <cell r="B104" t="str">
            <v>Okasan Securities Co., Ltd</v>
          </cell>
        </row>
        <row r="105">
          <cell r="A105" t="str">
            <v>US_33621</v>
          </cell>
          <cell r="B105" t="str">
            <v>Shanghai Securities Co.,Ltd</v>
          </cell>
        </row>
        <row r="106">
          <cell r="A106" t="str">
            <v>US_18990</v>
          </cell>
          <cell r="B106" t="str">
            <v>KAZAKA Financial Group Co. Ltd.</v>
          </cell>
        </row>
        <row r="107">
          <cell r="A107" t="str">
            <v>US_35136</v>
          </cell>
          <cell r="B107" t="str">
            <v>First Taisec Capital Management</v>
          </cell>
        </row>
        <row r="108">
          <cell r="A108" t="str">
            <v>US_358</v>
          </cell>
          <cell r="B108" t="str">
            <v>HSBC</v>
          </cell>
        </row>
        <row r="109">
          <cell r="A109" t="str">
            <v>US_5179</v>
          </cell>
          <cell r="B109" t="str">
            <v>SunTrust Robinson Humphrey Capital Markets</v>
          </cell>
        </row>
        <row r="110">
          <cell r="A110" t="str">
            <v>US_11581</v>
          </cell>
          <cell r="B110" t="str">
            <v>A.G. Edwards &amp; Sons</v>
          </cell>
        </row>
        <row r="111">
          <cell r="A111" t="str">
            <v>US_32930</v>
          </cell>
          <cell r="B111" t="str">
            <v>Arkeon Finance</v>
          </cell>
        </row>
        <row r="112">
          <cell r="A112" t="str">
            <v>US_350</v>
          </cell>
          <cell r="B112" t="str">
            <v>Dowling &amp; Partners Securities, LLC</v>
          </cell>
        </row>
        <row r="113">
          <cell r="A113" t="str">
            <v>US_29224</v>
          </cell>
          <cell r="B113" t="str">
            <v>Batlivala &amp; Karani Securities India PVT. LTD.</v>
          </cell>
        </row>
        <row r="114">
          <cell r="A114" t="str">
            <v>US_22238</v>
          </cell>
          <cell r="B114" t="str">
            <v>JS Cresvale Securities International Ltd</v>
          </cell>
        </row>
        <row r="115">
          <cell r="A115" t="str">
            <v>US_24343</v>
          </cell>
          <cell r="B115" t="str">
            <v>Sturdivant &amp; Co</v>
          </cell>
        </row>
        <row r="116">
          <cell r="A116" t="str">
            <v>US_14654</v>
          </cell>
          <cell r="B116" t="str">
            <v>Acumen Capital Partners</v>
          </cell>
        </row>
        <row r="117">
          <cell r="A117" t="str">
            <v>US_20046</v>
          </cell>
          <cell r="B117" t="str">
            <v>WH Ireland</v>
          </cell>
        </row>
        <row r="118">
          <cell r="A118" t="str">
            <v>US_17784</v>
          </cell>
          <cell r="B118" t="str">
            <v>Bank Degroof (ESN)</v>
          </cell>
        </row>
        <row r="119">
          <cell r="A119" t="str">
            <v>US_14652</v>
          </cell>
          <cell r="B119" t="str">
            <v>Investec Securities</v>
          </cell>
        </row>
        <row r="120">
          <cell r="A120" t="str">
            <v>US_25048</v>
          </cell>
          <cell r="B120" t="str">
            <v>Banco Patrimonio de Investimento SA</v>
          </cell>
        </row>
        <row r="121">
          <cell r="A121" t="str">
            <v>US_17150</v>
          </cell>
          <cell r="B121" t="str">
            <v>Woori Investment &amp; Securities</v>
          </cell>
        </row>
        <row r="122">
          <cell r="A122" t="str">
            <v>US_3568</v>
          </cell>
          <cell r="B122" t="str">
            <v>Redchip Companies, Inc.</v>
          </cell>
        </row>
        <row r="123">
          <cell r="A123" t="str">
            <v>US_21190</v>
          </cell>
          <cell r="B123" t="str">
            <v>HD Brous &amp; Co., Inc.</v>
          </cell>
        </row>
        <row r="124">
          <cell r="A124" t="str">
            <v>US_33598</v>
          </cell>
          <cell r="B124" t="str">
            <v>Emkay Share and Stock Brokers Limited</v>
          </cell>
        </row>
        <row r="125">
          <cell r="A125" t="str">
            <v>US_18989</v>
          </cell>
          <cell r="B125" t="str">
            <v>Shinko Securities Co., Ltd.</v>
          </cell>
        </row>
        <row r="126">
          <cell r="A126" t="str">
            <v>US_25041</v>
          </cell>
          <cell r="B126" t="str">
            <v>Keppel Securities Pte Ltd</v>
          </cell>
        </row>
        <row r="127">
          <cell r="A127" t="str">
            <v>US_16024</v>
          </cell>
          <cell r="B127" t="str">
            <v>MIA - Marches Inter Actions</v>
          </cell>
        </row>
        <row r="128">
          <cell r="A128" t="str">
            <v>US_1796</v>
          </cell>
          <cell r="B128" t="str">
            <v>Atlantik Financial Markets</v>
          </cell>
        </row>
        <row r="129">
          <cell r="A129" t="str">
            <v>US_17837</v>
          </cell>
          <cell r="B129" t="str">
            <v>SES Research - Pre Jun 2009</v>
          </cell>
        </row>
        <row r="130">
          <cell r="A130" t="str">
            <v>US_29230</v>
          </cell>
          <cell r="B130" t="str">
            <v>LINWAR Securities</v>
          </cell>
        </row>
        <row r="131">
          <cell r="A131" t="str">
            <v>US_25044</v>
          </cell>
          <cell r="B131" t="str">
            <v>Sigma Batara</v>
          </cell>
        </row>
        <row r="132">
          <cell r="A132" t="str">
            <v>US_25047</v>
          </cell>
          <cell r="B132" t="str">
            <v>Union Securities Co Ltd</v>
          </cell>
        </row>
        <row r="133">
          <cell r="A133" t="str">
            <v>US_25046</v>
          </cell>
          <cell r="B133" t="str">
            <v>Valores Finamex</v>
          </cell>
        </row>
        <row r="134">
          <cell r="A134" t="str">
            <v>US_6055</v>
          </cell>
          <cell r="B134" t="str">
            <v>Puilaetco</v>
          </cell>
        </row>
        <row r="135">
          <cell r="A135" t="str">
            <v>US_22229</v>
          </cell>
          <cell r="B135" t="str">
            <v>Aqeel Karim Dhedhi Securities (Pvt) Ltd</v>
          </cell>
        </row>
        <row r="136">
          <cell r="A136" t="str">
            <v>US_2137</v>
          </cell>
          <cell r="B136" t="str">
            <v>Kaufman Bros., L.P.</v>
          </cell>
        </row>
        <row r="137">
          <cell r="A137" t="str">
            <v>US_13339</v>
          </cell>
          <cell r="B137" t="str">
            <v>Julius Baer Brokerage</v>
          </cell>
        </row>
        <row r="138">
          <cell r="A138" t="str">
            <v>US_11266</v>
          </cell>
          <cell r="B138" t="str">
            <v>William Blair &amp; Company</v>
          </cell>
        </row>
        <row r="139">
          <cell r="A139" t="str">
            <v>US_2340</v>
          </cell>
          <cell r="B139" t="str">
            <v>JW Genesis Capital Markets (CA)</v>
          </cell>
        </row>
        <row r="140">
          <cell r="A140" t="str">
            <v>US_25059</v>
          </cell>
          <cell r="B140" t="str">
            <v>Simon Securities Inc</v>
          </cell>
        </row>
        <row r="141">
          <cell r="A141" t="str">
            <v>US_25050</v>
          </cell>
          <cell r="B141" t="str">
            <v>Speirs &amp; Jeffrey Limited</v>
          </cell>
        </row>
        <row r="142">
          <cell r="A142" t="str">
            <v>US_16627</v>
          </cell>
          <cell r="B142" t="str">
            <v>Taglich Brothers Inc.</v>
          </cell>
        </row>
        <row r="143">
          <cell r="A143" t="str">
            <v>US_25052</v>
          </cell>
          <cell r="B143" t="str">
            <v>Midas Corretora SFC SA</v>
          </cell>
        </row>
        <row r="144">
          <cell r="A144" t="str">
            <v>US_25053</v>
          </cell>
          <cell r="B144" t="str">
            <v>Quest Securities Company Pvt Ltd</v>
          </cell>
        </row>
        <row r="145">
          <cell r="A145" t="str">
            <v>US_25054</v>
          </cell>
          <cell r="B145" t="str">
            <v>Bank Gutmann Aktiengesellschaft</v>
          </cell>
        </row>
        <row r="146">
          <cell r="A146" t="str">
            <v>US_25055</v>
          </cell>
          <cell r="B146" t="str">
            <v>Gerard Klauer Mattison and Company</v>
          </cell>
        </row>
        <row r="147">
          <cell r="A147" t="str">
            <v>US_27035</v>
          </cell>
          <cell r="B147" t="str">
            <v>Upline Securities</v>
          </cell>
        </row>
        <row r="148">
          <cell r="A148" t="str">
            <v>US_37344</v>
          </cell>
          <cell r="B148" t="str">
            <v>OSK Research Sdn Bhd</v>
          </cell>
        </row>
        <row r="149">
          <cell r="A149" t="str">
            <v>US_33639</v>
          </cell>
          <cell r="B149" t="str">
            <v>HELABA TRUST</v>
          </cell>
        </row>
        <row r="150">
          <cell r="A150" t="str">
            <v>US_29434</v>
          </cell>
          <cell r="B150" t="str">
            <v>Bank ZENIT</v>
          </cell>
        </row>
        <row r="151">
          <cell r="A151" t="str">
            <v>US_33005</v>
          </cell>
          <cell r="B151" t="str">
            <v>Deniz Yatirim</v>
          </cell>
        </row>
        <row r="152">
          <cell r="A152" t="str">
            <v>US_42359</v>
          </cell>
          <cell r="B152" t="str">
            <v>Spinelli S.A Corretora de Valores Mobiliarios e Cambio</v>
          </cell>
        </row>
        <row r="153">
          <cell r="A153" t="str">
            <v>US_25069</v>
          </cell>
          <cell r="B153" t="str">
            <v>Joseph Palmer &amp; Sons</v>
          </cell>
        </row>
        <row r="154">
          <cell r="A154" t="str">
            <v>US_25068</v>
          </cell>
          <cell r="B154" t="str">
            <v>Dunbar Boyle &amp; Kingsley Limited</v>
          </cell>
        </row>
        <row r="155">
          <cell r="A155" t="str">
            <v>US_8734</v>
          </cell>
          <cell r="B155" t="str">
            <v>Hansabank Markets</v>
          </cell>
        </row>
        <row r="156">
          <cell r="A156" t="str">
            <v>US_30171</v>
          </cell>
          <cell r="B156" t="str">
            <v>Dawson James Securities</v>
          </cell>
        </row>
        <row r="157">
          <cell r="A157" t="str">
            <v>US_25063</v>
          </cell>
          <cell r="B157" t="str">
            <v>Lisbon Brokers</v>
          </cell>
        </row>
        <row r="158">
          <cell r="A158" t="str">
            <v>US_25062</v>
          </cell>
          <cell r="B158" t="str">
            <v>Gujarat Shares And Securities Ltd</v>
          </cell>
        </row>
        <row r="159">
          <cell r="A159" t="str">
            <v>US_25061</v>
          </cell>
          <cell r="B159" t="str">
            <v>Bank Leu Ltd</v>
          </cell>
        </row>
        <row r="160">
          <cell r="A160" t="str">
            <v>US_25060</v>
          </cell>
          <cell r="B160" t="str">
            <v>Hawthorne Securities Limited</v>
          </cell>
        </row>
        <row r="161">
          <cell r="A161" t="str">
            <v>US_25067</v>
          </cell>
          <cell r="B161" t="str">
            <v>Pinemont Securities Ltd</v>
          </cell>
        </row>
        <row r="162">
          <cell r="A162" t="str">
            <v>US_25066</v>
          </cell>
          <cell r="B162" t="str">
            <v>NCL Investments Limited</v>
          </cell>
        </row>
        <row r="163">
          <cell r="A163" t="str">
            <v>US_25065</v>
          </cell>
          <cell r="B163" t="str">
            <v>MBA Sociedad de Bolsa SA</v>
          </cell>
        </row>
        <row r="164">
          <cell r="A164" t="str">
            <v>US_25064</v>
          </cell>
          <cell r="B164" t="str">
            <v>Falkiners Stockbroking Ltd</v>
          </cell>
        </row>
        <row r="165">
          <cell r="A165" t="str">
            <v>US_36416</v>
          </cell>
          <cell r="B165" t="str">
            <v>CFG</v>
          </cell>
        </row>
        <row r="166">
          <cell r="A166" t="str">
            <v>US_5587</v>
          </cell>
          <cell r="B166" t="str">
            <v>Handelsbanken Capital Markets</v>
          </cell>
        </row>
        <row r="167">
          <cell r="A167" t="str">
            <v>US_36414</v>
          </cell>
          <cell r="B167" t="str">
            <v>Jih Sun Securities Co., Ltd.</v>
          </cell>
        </row>
        <row r="168">
          <cell r="A168" t="str">
            <v>US_14645</v>
          </cell>
          <cell r="B168" t="str">
            <v>U.S. Financial</v>
          </cell>
        </row>
        <row r="169">
          <cell r="A169" t="str">
            <v>US_22248</v>
          </cell>
          <cell r="B169" t="str">
            <v>Clarus Securities</v>
          </cell>
        </row>
        <row r="170">
          <cell r="A170" t="str">
            <v>US_35946</v>
          </cell>
          <cell r="B170" t="str">
            <v>TEB Investment</v>
          </cell>
        </row>
        <row r="171">
          <cell r="A171" t="str">
            <v>US_8005</v>
          </cell>
          <cell r="B171" t="str">
            <v>Charles Stanley Securities</v>
          </cell>
        </row>
        <row r="172">
          <cell r="A172" t="str">
            <v>US_10649</v>
          </cell>
          <cell r="B172" t="str">
            <v>The Chapman Company</v>
          </cell>
        </row>
        <row r="173">
          <cell r="A173" t="str">
            <v>US_49950</v>
          </cell>
          <cell r="B173" t="str">
            <v>Fortis Bank Netherlands</v>
          </cell>
        </row>
        <row r="174">
          <cell r="A174" t="str">
            <v>US_13240</v>
          </cell>
          <cell r="B174" t="str">
            <v>LJR Great Lakes Review</v>
          </cell>
        </row>
        <row r="175">
          <cell r="A175" t="str">
            <v>US_12685</v>
          </cell>
          <cell r="B175" t="str">
            <v>Johnston, Lemon &amp; Co., Inc.</v>
          </cell>
        </row>
        <row r="176">
          <cell r="A176" t="str">
            <v>US_30576</v>
          </cell>
          <cell r="B176" t="str">
            <v>Montgomery &amp; Co., LLC</v>
          </cell>
        </row>
        <row r="177">
          <cell r="A177" t="str">
            <v>US_6063</v>
          </cell>
          <cell r="B177" t="str">
            <v>Leerink, Swann &amp; Company</v>
          </cell>
        </row>
        <row r="178">
          <cell r="A178" t="str">
            <v>US_30708</v>
          </cell>
          <cell r="B178" t="str">
            <v>HPC Paris</v>
          </cell>
        </row>
        <row r="179">
          <cell r="A179" t="str">
            <v>US_33065</v>
          </cell>
          <cell r="B179" t="str">
            <v>South China Securities Co., LTD</v>
          </cell>
        </row>
        <row r="180">
          <cell r="A180" t="str">
            <v>US_10642</v>
          </cell>
          <cell r="B180" t="str">
            <v>Canaccord Adams</v>
          </cell>
        </row>
        <row r="181">
          <cell r="A181" t="str">
            <v>US_27131</v>
          </cell>
          <cell r="B181" t="str">
            <v>Haywood Securities Inc.</v>
          </cell>
        </row>
        <row r="182">
          <cell r="A182" t="str">
            <v>US_21477</v>
          </cell>
          <cell r="B182" t="str">
            <v>Tokai Tokyo Research Center Co., Ltd.</v>
          </cell>
        </row>
        <row r="183">
          <cell r="A183" t="str">
            <v>US_15705</v>
          </cell>
          <cell r="B183" t="str">
            <v>FirstEnergy Capital Corp.</v>
          </cell>
        </row>
        <row r="184">
          <cell r="A184" t="str">
            <v>US_36412</v>
          </cell>
          <cell r="B184" t="str">
            <v>Abaxbank - Banca d'Investimento</v>
          </cell>
        </row>
        <row r="185">
          <cell r="A185" t="str">
            <v>US_11273</v>
          </cell>
          <cell r="B185" t="str">
            <v>Bank Insinger de Beaufort</v>
          </cell>
        </row>
        <row r="186">
          <cell r="A186" t="str">
            <v>US_22852</v>
          </cell>
          <cell r="B186" t="str">
            <v>Grand Cathay Securities Corporation</v>
          </cell>
        </row>
        <row r="187">
          <cell r="A187" t="str">
            <v>US_11953</v>
          </cell>
          <cell r="B187" t="str">
            <v>Peters &amp; Co., Limited</v>
          </cell>
        </row>
        <row r="188">
          <cell r="A188" t="str">
            <v>US_11553</v>
          </cell>
          <cell r="B188" t="str">
            <v>Nutmeg Securities</v>
          </cell>
        </row>
        <row r="189">
          <cell r="A189" t="str">
            <v>US_32963</v>
          </cell>
          <cell r="B189" t="str">
            <v>Banca IMI (Intesa San Paolo) formerly Caboto</v>
          </cell>
        </row>
        <row r="190">
          <cell r="A190" t="str">
            <v>US_27609</v>
          </cell>
          <cell r="B190" t="str">
            <v>Dr. Kalliwoda Research</v>
          </cell>
        </row>
        <row r="191">
          <cell r="A191" t="str">
            <v>US_19795</v>
          </cell>
          <cell r="B191" t="str">
            <v>Granite Financial Group</v>
          </cell>
        </row>
        <row r="192">
          <cell r="A192" t="str">
            <v>US_4860</v>
          </cell>
          <cell r="B192" t="str">
            <v>AVK Securities and Finance</v>
          </cell>
        </row>
        <row r="193">
          <cell r="A193" t="str">
            <v>US_26973</v>
          </cell>
          <cell r="B193" t="str">
            <v>Halpern Capital</v>
          </cell>
        </row>
        <row r="194">
          <cell r="A194" t="str">
            <v>US_13104</v>
          </cell>
          <cell r="B194" t="str">
            <v>Johnson Rice &amp; Company</v>
          </cell>
        </row>
        <row r="195">
          <cell r="A195" t="str">
            <v>US_25018</v>
          </cell>
          <cell r="B195" t="str">
            <v>Barits Securities Corporation</v>
          </cell>
        </row>
        <row r="196">
          <cell r="A196" t="str">
            <v>US_25019</v>
          </cell>
          <cell r="B196" t="str">
            <v>JM Share &amp;Stock Brokers Ltd</v>
          </cell>
        </row>
        <row r="197">
          <cell r="A197" t="str">
            <v>US_4614</v>
          </cell>
          <cell r="B197" t="str">
            <v>J.P.Morgan Securities Equities</v>
          </cell>
        </row>
        <row r="198">
          <cell r="A198" t="str">
            <v>US_49765</v>
          </cell>
          <cell r="B198" t="str">
            <v>Barclays Capital</v>
          </cell>
        </row>
        <row r="199">
          <cell r="A199" t="str">
            <v>US_25017</v>
          </cell>
          <cell r="B199" t="str">
            <v>Kredietbank</v>
          </cell>
        </row>
        <row r="200">
          <cell r="A200" t="str">
            <v>US_38361</v>
          </cell>
          <cell r="B200" t="str">
            <v>Stockbrokers Botswana</v>
          </cell>
        </row>
        <row r="201">
          <cell r="A201" t="str">
            <v>US_25013</v>
          </cell>
          <cell r="B201" t="str">
            <v>Toyo Securities Co Ltd</v>
          </cell>
        </row>
        <row r="202">
          <cell r="A202" t="str">
            <v>US_15729</v>
          </cell>
          <cell r="B202" t="str">
            <v>B. Riley &amp; Co.</v>
          </cell>
        </row>
        <row r="203">
          <cell r="A203" t="str">
            <v>US_19308</v>
          </cell>
          <cell r="B203" t="str">
            <v>UFJ Tsubasa Securities Co., Ltd.</v>
          </cell>
        </row>
        <row r="204">
          <cell r="A204" t="str">
            <v>US_30848</v>
          </cell>
          <cell r="B204" t="str">
            <v>Agora Senior</v>
          </cell>
        </row>
        <row r="205">
          <cell r="A205" t="str">
            <v>US_21373</v>
          </cell>
          <cell r="B205" t="str">
            <v>First NZ Capital Holdings Limited</v>
          </cell>
        </row>
        <row r="206">
          <cell r="A206" t="str">
            <v>US_1069</v>
          </cell>
          <cell r="B206" t="str">
            <v>Preferred Capital Markets, Inc.</v>
          </cell>
        </row>
        <row r="207">
          <cell r="A207" t="str">
            <v>US_15723</v>
          </cell>
          <cell r="B207" t="str">
            <v>Crowell Weedon &amp; Co</v>
          </cell>
        </row>
        <row r="208">
          <cell r="A208" t="str">
            <v>US_31780</v>
          </cell>
          <cell r="B208" t="str">
            <v>Parag Parikh Financial Advisory Services Ltd</v>
          </cell>
        </row>
        <row r="209">
          <cell r="A209" t="str">
            <v>US_15727</v>
          </cell>
          <cell r="B209" t="str">
            <v>Commonwealth Associates</v>
          </cell>
        </row>
        <row r="210">
          <cell r="A210" t="str">
            <v>US_15725</v>
          </cell>
          <cell r="B210" t="str">
            <v>Fourteen Research</v>
          </cell>
        </row>
        <row r="211">
          <cell r="A211" t="str">
            <v>US_41591</v>
          </cell>
          <cell r="B211" t="str">
            <v>SMBC Friend Research Center Ltd.</v>
          </cell>
        </row>
        <row r="212">
          <cell r="A212" t="str">
            <v>US_4855</v>
          </cell>
          <cell r="B212" t="str">
            <v>Sterne, Agee &amp; Leach, Inc.</v>
          </cell>
        </row>
        <row r="213">
          <cell r="A213" t="str">
            <v>US_11503</v>
          </cell>
          <cell r="B213" t="str">
            <v>Raymond James Ltd. (Canada)</v>
          </cell>
        </row>
        <row r="214">
          <cell r="A214" t="str">
            <v>US_8689</v>
          </cell>
          <cell r="B214" t="str">
            <v>Societe Generale</v>
          </cell>
        </row>
        <row r="215">
          <cell r="A215" t="str">
            <v>US_25029</v>
          </cell>
          <cell r="B215" t="str">
            <v>Expandia Finance</v>
          </cell>
        </row>
        <row r="216">
          <cell r="A216" t="str">
            <v>US_8059</v>
          </cell>
          <cell r="B216" t="str">
            <v>Sutherlands Limited</v>
          </cell>
        </row>
        <row r="217">
          <cell r="A217" t="str">
            <v>US_8682</v>
          </cell>
          <cell r="B217" t="str">
            <v>Gruntal &amp; Co. - Equity</v>
          </cell>
        </row>
        <row r="218">
          <cell r="A218" t="str">
            <v>US_25022</v>
          </cell>
          <cell r="B218" t="str">
            <v>Pentasena Securities</v>
          </cell>
        </row>
        <row r="219">
          <cell r="A219" t="str">
            <v>US_25021</v>
          </cell>
          <cell r="B219" t="str">
            <v>Bank Dewaay SA</v>
          </cell>
        </row>
        <row r="220">
          <cell r="A220" t="str">
            <v>US_25020</v>
          </cell>
          <cell r="B220" t="str">
            <v>Coryo Securities Corporation</v>
          </cell>
        </row>
        <row r="221">
          <cell r="A221" t="str">
            <v>US_35181</v>
          </cell>
          <cell r="B221" t="str">
            <v>RasBank S.p.A.</v>
          </cell>
        </row>
        <row r="222">
          <cell r="A222" t="str">
            <v>US_15739</v>
          </cell>
          <cell r="B222" t="str">
            <v>Buckman, Buckman &amp; Reid, Inc</v>
          </cell>
        </row>
        <row r="223">
          <cell r="A223" t="str">
            <v>US_28967</v>
          </cell>
          <cell r="B223" t="str">
            <v>Dahlman Rose &amp; Co. LLC</v>
          </cell>
        </row>
        <row r="224">
          <cell r="A224" t="str">
            <v>US_15733</v>
          </cell>
          <cell r="B224" t="str">
            <v>SMH Capital</v>
          </cell>
        </row>
        <row r="225">
          <cell r="A225" t="str">
            <v>US_15736</v>
          </cell>
          <cell r="B225" t="str">
            <v>Johnson Research &amp; Capital Incorporated</v>
          </cell>
        </row>
        <row r="226">
          <cell r="A226" t="str">
            <v>US_15737</v>
          </cell>
          <cell r="B226" t="str">
            <v>Mann Armistead &amp; Epperson</v>
          </cell>
        </row>
        <row r="227">
          <cell r="A227" t="str">
            <v>US_15734</v>
          </cell>
          <cell r="B227" t="str">
            <v>Broadpoint Capital, Inc.</v>
          </cell>
        </row>
        <row r="228">
          <cell r="A228" t="str">
            <v>US_14191</v>
          </cell>
          <cell r="B228" t="str">
            <v>Primasia Securities Co Ltd.</v>
          </cell>
        </row>
        <row r="229">
          <cell r="A229" t="str">
            <v>US_10039</v>
          </cell>
          <cell r="B229" t="str">
            <v>Emerald Research</v>
          </cell>
        </row>
        <row r="230">
          <cell r="A230" t="str">
            <v>US_6483</v>
          </cell>
          <cell r="B230" t="str">
            <v>Evolution Securities Ltd</v>
          </cell>
        </row>
        <row r="231">
          <cell r="A231" t="str">
            <v>US_24595</v>
          </cell>
          <cell r="B231" t="str">
            <v>Milano Finanza</v>
          </cell>
        </row>
        <row r="232">
          <cell r="A232" t="str">
            <v>US_24596</v>
          </cell>
          <cell r="B232" t="str">
            <v>Intersec International Securities SA</v>
          </cell>
        </row>
        <row r="233">
          <cell r="A233" t="str">
            <v>US_24597</v>
          </cell>
          <cell r="B233" t="str">
            <v>Caboto Gestioni SIM SpA</v>
          </cell>
        </row>
        <row r="234">
          <cell r="A234" t="str">
            <v>US_24599</v>
          </cell>
          <cell r="B234" t="str">
            <v>TA Securities Sdn Bhd</v>
          </cell>
        </row>
        <row r="235">
          <cell r="A235" t="str">
            <v>US_21121</v>
          </cell>
          <cell r="B235" t="str">
            <v>Daniel Stewart</v>
          </cell>
        </row>
        <row r="236">
          <cell r="A236" t="str">
            <v>US_25031</v>
          </cell>
          <cell r="B236" t="str">
            <v>Didier Philippe</v>
          </cell>
        </row>
        <row r="237">
          <cell r="A237" t="str">
            <v>US_5325</v>
          </cell>
          <cell r="B237" t="str">
            <v>Redwood Securities</v>
          </cell>
        </row>
        <row r="238">
          <cell r="A238" t="str">
            <v>US_480</v>
          </cell>
          <cell r="B238" t="str">
            <v>Value Investing Partners</v>
          </cell>
        </row>
        <row r="239">
          <cell r="A239" t="str">
            <v>US_43372</v>
          </cell>
          <cell r="B239" t="str">
            <v>Wasserman &amp; Associates, Inc.</v>
          </cell>
        </row>
        <row r="240">
          <cell r="A240" t="str">
            <v>US_43375</v>
          </cell>
          <cell r="B240" t="str">
            <v>Leede Financial Markets</v>
          </cell>
        </row>
        <row r="241">
          <cell r="A241" t="str">
            <v>US_6636</v>
          </cell>
          <cell r="B241" t="str">
            <v>Christiania Markets</v>
          </cell>
        </row>
        <row r="242">
          <cell r="A242" t="str">
            <v>US_15744</v>
          </cell>
          <cell r="B242" t="str">
            <v>Gaines Berland</v>
          </cell>
        </row>
        <row r="243">
          <cell r="A243" t="str">
            <v>US_15747</v>
          </cell>
          <cell r="B243" t="str">
            <v>Loeb Retail Letter</v>
          </cell>
        </row>
        <row r="244">
          <cell r="A244" t="str">
            <v>US_15741</v>
          </cell>
          <cell r="B244" t="str">
            <v>Lazard Capital Markets LLC</v>
          </cell>
        </row>
        <row r="245">
          <cell r="A245" t="str">
            <v>US_15740</v>
          </cell>
          <cell r="B245" t="str">
            <v>HD Brous &amp; Co.</v>
          </cell>
        </row>
        <row r="246">
          <cell r="A246" t="str">
            <v>US_15743</v>
          </cell>
          <cell r="B246" t="str">
            <v>McConnell, Budd &amp; Romano, Inc</v>
          </cell>
        </row>
        <row r="247">
          <cell r="A247" t="str">
            <v>US_15742</v>
          </cell>
          <cell r="B247" t="str">
            <v>Miller Johnson &amp; Kuehn Inc</v>
          </cell>
        </row>
        <row r="248">
          <cell r="A248" t="str">
            <v>US_10815</v>
          </cell>
          <cell r="B248" t="str">
            <v>When2Trade</v>
          </cell>
        </row>
        <row r="249">
          <cell r="A249" t="str">
            <v>US_35875</v>
          </cell>
          <cell r="B249" t="str">
            <v>Equita SIM, European Equity Research</v>
          </cell>
        </row>
        <row r="250">
          <cell r="A250" t="str">
            <v>US_37528</v>
          </cell>
          <cell r="B250" t="str">
            <v>Pali International</v>
          </cell>
        </row>
        <row r="251">
          <cell r="A251" t="str">
            <v>US_22898</v>
          </cell>
          <cell r="B251" t="str">
            <v>Northeast Securities</v>
          </cell>
        </row>
        <row r="252">
          <cell r="A252" t="str">
            <v>US_22890</v>
          </cell>
          <cell r="B252" t="str">
            <v>Arden Partners</v>
          </cell>
        </row>
        <row r="253">
          <cell r="A253" t="str">
            <v>US_40622</v>
          </cell>
          <cell r="B253" t="str">
            <v>Kuwait Financial Centre - Markaz</v>
          </cell>
        </row>
        <row r="254">
          <cell r="A254" t="str">
            <v>US_40620</v>
          </cell>
          <cell r="B254" t="str">
            <v>IIFL</v>
          </cell>
        </row>
        <row r="255">
          <cell r="A255" t="str">
            <v>US_40621</v>
          </cell>
          <cell r="B255" t="str">
            <v>SRH AlsterResearch AG</v>
          </cell>
        </row>
        <row r="256">
          <cell r="A256" t="str">
            <v>US_24735</v>
          </cell>
          <cell r="B256" t="str">
            <v>First Berlin Equity Research</v>
          </cell>
        </row>
        <row r="257">
          <cell r="A257" t="str">
            <v>US_15754</v>
          </cell>
          <cell r="B257" t="str">
            <v>Langen McAlenney</v>
          </cell>
        </row>
        <row r="258">
          <cell r="A258" t="str">
            <v>US_15756</v>
          </cell>
          <cell r="B258" t="str">
            <v>Edward Jones</v>
          </cell>
        </row>
        <row r="259">
          <cell r="A259" t="str">
            <v>US_39925</v>
          </cell>
          <cell r="B259" t="str">
            <v>Psagot Ofek Investment</v>
          </cell>
        </row>
        <row r="260">
          <cell r="A260" t="str">
            <v>US_15752</v>
          </cell>
          <cell r="B260" t="str">
            <v>Wells Fargo Securities, LLC (Historical)</v>
          </cell>
        </row>
        <row r="261">
          <cell r="A261" t="str">
            <v>US_5316</v>
          </cell>
          <cell r="B261" t="str">
            <v>Lombard Odier Darier Hentsch</v>
          </cell>
        </row>
        <row r="262">
          <cell r="A262" t="str">
            <v>US_5312</v>
          </cell>
          <cell r="B262" t="str">
            <v>Erik Penser Fondkommission</v>
          </cell>
        </row>
        <row r="263">
          <cell r="A263" t="str">
            <v>US_22544</v>
          </cell>
          <cell r="B263" t="str">
            <v>E*Trade</v>
          </cell>
        </row>
        <row r="264">
          <cell r="A264" t="str">
            <v>US_10289</v>
          </cell>
          <cell r="B264" t="str">
            <v>Independent Research</v>
          </cell>
        </row>
        <row r="265">
          <cell r="A265" t="str">
            <v>US_41736</v>
          </cell>
          <cell r="B265" t="str">
            <v>Amwal Invest</v>
          </cell>
        </row>
        <row r="266">
          <cell r="A266" t="str">
            <v>US_27450</v>
          </cell>
          <cell r="B266" t="str">
            <v>Studio Mortari</v>
          </cell>
        </row>
        <row r="267">
          <cell r="A267" t="str">
            <v>US_22882</v>
          </cell>
          <cell r="B267" t="str">
            <v>MDB Capital Group</v>
          </cell>
        </row>
        <row r="268">
          <cell r="A268" t="str">
            <v>US_19198</v>
          </cell>
          <cell r="B268" t="str">
            <v>Frederick &amp; Company</v>
          </cell>
        </row>
        <row r="269">
          <cell r="A269" t="str">
            <v>US_15768</v>
          </cell>
          <cell r="B269" t="str">
            <v>Burnham Securities</v>
          </cell>
        </row>
        <row r="270">
          <cell r="A270" t="str">
            <v>US_15767</v>
          </cell>
          <cell r="B270" t="str">
            <v>JJB Hilliard WL Lyons</v>
          </cell>
        </row>
        <row r="271">
          <cell r="A271" t="str">
            <v>US_15766</v>
          </cell>
          <cell r="B271" t="str">
            <v>Shields &amp; Company</v>
          </cell>
        </row>
        <row r="272">
          <cell r="A272" t="str">
            <v>US_15765</v>
          </cell>
          <cell r="B272" t="str">
            <v>Equity Research Services Inc</v>
          </cell>
        </row>
        <row r="273">
          <cell r="A273" t="str">
            <v>US_15763</v>
          </cell>
          <cell r="B273" t="str">
            <v>Blackford Securities Corp.</v>
          </cell>
        </row>
        <row r="274">
          <cell r="A274" t="str">
            <v>US_2693</v>
          </cell>
          <cell r="B274" t="str">
            <v>National Securities Corporation</v>
          </cell>
        </row>
        <row r="275">
          <cell r="A275" t="str">
            <v>US_2691</v>
          </cell>
          <cell r="B275" t="str">
            <v>Piper Jaffray</v>
          </cell>
        </row>
        <row r="276">
          <cell r="A276" t="str">
            <v>US_2690</v>
          </cell>
          <cell r="B276" t="str">
            <v>Raymond James</v>
          </cell>
        </row>
        <row r="277">
          <cell r="A277" t="str">
            <v>US_29698</v>
          </cell>
          <cell r="B277" t="str">
            <v>Banco do Brasil</v>
          </cell>
        </row>
        <row r="278">
          <cell r="A278" t="str">
            <v>US_28506</v>
          </cell>
          <cell r="B278" t="str">
            <v>Global Crown Capital, LLC</v>
          </cell>
        </row>
        <row r="279">
          <cell r="A279" t="str">
            <v>US_24586</v>
          </cell>
          <cell r="B279" t="str">
            <v>CASH Research Limited</v>
          </cell>
        </row>
        <row r="280">
          <cell r="A280" t="str">
            <v>US_28338</v>
          </cell>
          <cell r="B280" t="str">
            <v>National Securities Public Company Limited</v>
          </cell>
        </row>
        <row r="281">
          <cell r="A281" t="str">
            <v>US_28503</v>
          </cell>
          <cell r="B281" t="str">
            <v>Genuity Capital Markets</v>
          </cell>
        </row>
        <row r="282">
          <cell r="A282" t="str">
            <v>US_25361</v>
          </cell>
          <cell r="B282" t="str">
            <v>Mandiri Sekuritas</v>
          </cell>
        </row>
        <row r="283">
          <cell r="A283" t="str">
            <v>US_11830</v>
          </cell>
          <cell r="B283" t="str">
            <v>WestLB Equity Markets</v>
          </cell>
        </row>
        <row r="284">
          <cell r="A284" t="str">
            <v>US_9711</v>
          </cell>
          <cell r="B284" t="str">
            <v>Sturza's Medical Investment Letter</v>
          </cell>
        </row>
        <row r="285">
          <cell r="A285" t="str">
            <v>US_6607</v>
          </cell>
          <cell r="B285" t="str">
            <v>DBS Securities Singapore Limited</v>
          </cell>
        </row>
        <row r="286">
          <cell r="A286" t="str">
            <v>US_31094</v>
          </cell>
          <cell r="B286" t="str">
            <v>Prime Holding</v>
          </cell>
        </row>
        <row r="287">
          <cell r="A287" t="str">
            <v>US_1889</v>
          </cell>
          <cell r="B287" t="str">
            <v>BNP Paribas</v>
          </cell>
        </row>
        <row r="288">
          <cell r="A288" t="str">
            <v>US_15775</v>
          </cell>
          <cell r="B288" t="str">
            <v>Vector Securities Intl Inc</v>
          </cell>
        </row>
        <row r="289">
          <cell r="A289" t="str">
            <v>US_9584</v>
          </cell>
          <cell r="B289" t="str">
            <v>Argus Research Corporation</v>
          </cell>
        </row>
        <row r="290">
          <cell r="A290" t="str">
            <v>US_15771</v>
          </cell>
          <cell r="B290" t="str">
            <v>Ryan Beck &amp; Co.</v>
          </cell>
        </row>
        <row r="291">
          <cell r="A291" t="str">
            <v>US_22756</v>
          </cell>
          <cell r="B291" t="str">
            <v>Research Associates LLC</v>
          </cell>
        </row>
        <row r="292">
          <cell r="A292" t="str">
            <v>US_27819</v>
          </cell>
          <cell r="B292" t="str">
            <v>Guotai Junan (HK) Research</v>
          </cell>
        </row>
        <row r="293">
          <cell r="A293" t="str">
            <v>US_32417</v>
          </cell>
          <cell r="B293" t="str">
            <v>Israel Brokerage and Investments, I.B.I. Ltd.</v>
          </cell>
        </row>
        <row r="294">
          <cell r="A294" t="str">
            <v>US_16473</v>
          </cell>
          <cell r="B294" t="str">
            <v>Eptasim Societa di Intermediazione Mobiliare S.p.A.</v>
          </cell>
        </row>
        <row r="295">
          <cell r="A295" t="str">
            <v>US_32413</v>
          </cell>
          <cell r="B295" t="str">
            <v>W. Quillen Securities</v>
          </cell>
        </row>
        <row r="296">
          <cell r="A296" t="str">
            <v>US_16471</v>
          </cell>
          <cell r="B296" t="str">
            <v>Oberweis Report - Earnings</v>
          </cell>
        </row>
        <row r="297">
          <cell r="A297" t="str">
            <v>US_7333</v>
          </cell>
          <cell r="B297" t="str">
            <v>Centrosim s.p.a.</v>
          </cell>
        </row>
        <row r="298">
          <cell r="A298" t="str">
            <v>US_19365</v>
          </cell>
          <cell r="B298" t="str">
            <v>Rockhouse Securities LLC</v>
          </cell>
        </row>
        <row r="299">
          <cell r="A299" t="str">
            <v>US_43141</v>
          </cell>
          <cell r="B299" t="str">
            <v>Valartis Bank AG</v>
          </cell>
        </row>
        <row r="300">
          <cell r="A300" t="str">
            <v>US_34618</v>
          </cell>
          <cell r="B300" t="str">
            <v>Securities &amp; Investment Company B.S.C.</v>
          </cell>
        </row>
        <row r="301">
          <cell r="A301" t="str">
            <v>US_18026</v>
          </cell>
          <cell r="B301" t="str">
            <v>Itau Corretora</v>
          </cell>
        </row>
        <row r="302">
          <cell r="A302" t="str">
            <v>US_12605</v>
          </cell>
          <cell r="B302" t="str">
            <v>Loop Capital Markets</v>
          </cell>
        </row>
        <row r="303">
          <cell r="A303" t="str">
            <v>US_3240</v>
          </cell>
          <cell r="B303" t="str">
            <v>Miller Johnson Steichen Kinnard, Inc.</v>
          </cell>
        </row>
        <row r="304">
          <cell r="A304" t="str">
            <v>US_8976</v>
          </cell>
          <cell r="B304" t="str">
            <v>Erste Bank</v>
          </cell>
        </row>
        <row r="305">
          <cell r="A305" t="str">
            <v>US_10009</v>
          </cell>
          <cell r="B305" t="str">
            <v>Collins Stewart LLC</v>
          </cell>
        </row>
        <row r="306">
          <cell r="A306" t="str">
            <v>US_14399</v>
          </cell>
          <cell r="B306" t="str">
            <v>Atlas Investment Group</v>
          </cell>
        </row>
        <row r="307">
          <cell r="A307" t="str">
            <v>US_31822</v>
          </cell>
          <cell r="B307" t="str">
            <v>Invisor Securities (Private) Ltd</v>
          </cell>
        </row>
        <row r="308">
          <cell r="A308" t="str">
            <v>US_28318</v>
          </cell>
          <cell r="B308" t="str">
            <v>Arabella Securities, LLC</v>
          </cell>
        </row>
        <row r="309">
          <cell r="A309" t="str">
            <v>US_11702</v>
          </cell>
          <cell r="B309" t="str">
            <v>Rowan Dartington</v>
          </cell>
        </row>
        <row r="310">
          <cell r="A310" t="str">
            <v>US_33266</v>
          </cell>
          <cell r="B310" t="str">
            <v>Eurocorp SA</v>
          </cell>
        </row>
        <row r="311">
          <cell r="A311" t="str">
            <v>US_13741</v>
          </cell>
          <cell r="B311" t="str">
            <v>Cohen Independent Research Group</v>
          </cell>
        </row>
        <row r="312">
          <cell r="A312" t="str">
            <v>US_33569</v>
          </cell>
          <cell r="B312" t="str">
            <v>Geojit Financial Services Limited</v>
          </cell>
        </row>
        <row r="313">
          <cell r="A313" t="str">
            <v>US_32098</v>
          </cell>
          <cell r="B313" t="str">
            <v>Natixis Bleichroeder SA - Paris</v>
          </cell>
        </row>
        <row r="314">
          <cell r="A314" t="str">
            <v>US_22503</v>
          </cell>
          <cell r="B314" t="str">
            <v>Guzman &amp; Company</v>
          </cell>
        </row>
        <row r="315">
          <cell r="A315" t="str">
            <v>US_33562</v>
          </cell>
          <cell r="B315" t="str">
            <v>India Infoline Limited</v>
          </cell>
        </row>
        <row r="316">
          <cell r="A316" t="str">
            <v>US_31843</v>
          </cell>
          <cell r="B316" t="str">
            <v>Brics Securities Limited</v>
          </cell>
        </row>
        <row r="317">
          <cell r="A317" t="str">
            <v>US_12981</v>
          </cell>
          <cell r="B317" t="str">
            <v>CM-CIC Securities (ESN)</v>
          </cell>
        </row>
        <row r="318">
          <cell r="A318" t="str">
            <v>US_12283</v>
          </cell>
          <cell r="B318" t="str">
            <v>Joseph Charles &amp; Associates, Inc.</v>
          </cell>
        </row>
        <row r="319">
          <cell r="A319" t="str">
            <v>US_10201</v>
          </cell>
          <cell r="B319" t="str">
            <v>Shenyin Wanguo Research (H.K.) Ltd.</v>
          </cell>
        </row>
        <row r="320">
          <cell r="A320" t="str">
            <v>US_10205</v>
          </cell>
          <cell r="B320" t="str">
            <v>Howard Weil Inc.</v>
          </cell>
        </row>
        <row r="321">
          <cell r="A321" t="str">
            <v>US_21036</v>
          </cell>
          <cell r="B321" t="str">
            <v>Paradigm Capital</v>
          </cell>
        </row>
        <row r="322">
          <cell r="A322" t="str">
            <v>US_37085</v>
          </cell>
          <cell r="B322" t="str">
            <v>Discovery Research- Thomas Weisel</v>
          </cell>
        </row>
        <row r="323">
          <cell r="A323" t="str">
            <v>US_31324</v>
          </cell>
          <cell r="B323" t="str">
            <v>Select Equities</v>
          </cell>
        </row>
        <row r="324">
          <cell r="A324" t="str">
            <v>US_19809</v>
          </cell>
          <cell r="B324" t="str">
            <v>Concord Effekten A.G.</v>
          </cell>
        </row>
        <row r="325">
          <cell r="A325" t="str">
            <v>US_38428</v>
          </cell>
          <cell r="B325" t="str">
            <v>Noble &amp; Company Limited</v>
          </cell>
        </row>
        <row r="326">
          <cell r="A326" t="str">
            <v>US_954</v>
          </cell>
          <cell r="B326" t="str">
            <v>Oppenheimer &amp; Co., Inc.</v>
          </cell>
        </row>
        <row r="327">
          <cell r="A327" t="str">
            <v>US_20783</v>
          </cell>
          <cell r="B327" t="str">
            <v>China International Capital Corporation (Hong Kong) Limited</v>
          </cell>
        </row>
        <row r="328">
          <cell r="A328" t="str">
            <v>US_953</v>
          </cell>
          <cell r="B328" t="str">
            <v>Robertson Stephens</v>
          </cell>
        </row>
        <row r="329">
          <cell r="A329" t="str">
            <v>US_32673</v>
          </cell>
          <cell r="B329" t="str">
            <v>Remium Securities</v>
          </cell>
        </row>
        <row r="330">
          <cell r="A330" t="str">
            <v>US_37962</v>
          </cell>
          <cell r="B330" t="str">
            <v>Mac Capital Advisors</v>
          </cell>
        </row>
        <row r="331">
          <cell r="A331" t="str">
            <v>US_17515</v>
          </cell>
          <cell r="B331" t="str">
            <v>CiG</v>
          </cell>
        </row>
        <row r="332">
          <cell r="A332" t="str">
            <v>US_29278</v>
          </cell>
          <cell r="B332" t="str">
            <v>Komercni Banka</v>
          </cell>
        </row>
        <row r="333">
          <cell r="A333" t="str">
            <v>US_8546</v>
          </cell>
          <cell r="B333" t="str">
            <v>Kay Hian Research Pte. Limited</v>
          </cell>
        </row>
        <row r="334">
          <cell r="A334" t="str">
            <v>US_29482</v>
          </cell>
          <cell r="B334" t="str">
            <v>Foresight Research Solutions</v>
          </cell>
        </row>
        <row r="335">
          <cell r="A335" t="str">
            <v>US_31845</v>
          </cell>
          <cell r="B335" t="str">
            <v>Edelweiss Capital Ltd</v>
          </cell>
        </row>
        <row r="336">
          <cell r="A336" t="str">
            <v>US_25097</v>
          </cell>
          <cell r="B336" t="str">
            <v>Triumph Securities Pvt Ltd</v>
          </cell>
        </row>
        <row r="337">
          <cell r="A337" t="str">
            <v>US_21484</v>
          </cell>
          <cell r="B337" t="str">
            <v>BOCI Research Limited</v>
          </cell>
        </row>
        <row r="338">
          <cell r="A338" t="str">
            <v>US_13468</v>
          </cell>
          <cell r="B338" t="str">
            <v>Investec Inc.</v>
          </cell>
        </row>
        <row r="339">
          <cell r="A339" t="str">
            <v>US_6642</v>
          </cell>
          <cell r="B339" t="str">
            <v>Utendahl Capital Partners</v>
          </cell>
        </row>
        <row r="340">
          <cell r="A340" t="str">
            <v>US_12455</v>
          </cell>
          <cell r="B340" t="str">
            <v>SISM Research And Investment Services</v>
          </cell>
        </row>
        <row r="341">
          <cell r="A341" t="str">
            <v>US_31769</v>
          </cell>
          <cell r="B341" t="str">
            <v>TAIB Securities W.L.L</v>
          </cell>
        </row>
        <row r="342">
          <cell r="A342" t="str">
            <v>US_21488</v>
          </cell>
          <cell r="B342" t="str">
            <v>FTN Financial Securities Corp</v>
          </cell>
        </row>
        <row r="343">
          <cell r="A343" t="str">
            <v>US_22710</v>
          </cell>
          <cell r="B343" t="str">
            <v>Panmure Gordon</v>
          </cell>
        </row>
        <row r="344">
          <cell r="A344" t="str">
            <v>US_21654</v>
          </cell>
          <cell r="B344" t="str">
            <v>Feltl &amp; Company</v>
          </cell>
        </row>
        <row r="345">
          <cell r="A345" t="str">
            <v>US_11395</v>
          </cell>
          <cell r="B345" t="str">
            <v>Wunderlich Research Partners</v>
          </cell>
        </row>
        <row r="346">
          <cell r="A346" t="str">
            <v>US_37709</v>
          </cell>
          <cell r="B346" t="str">
            <v>Bell Potter Securities</v>
          </cell>
        </row>
        <row r="347">
          <cell r="A347" t="str">
            <v>US_20753</v>
          </cell>
          <cell r="B347" t="str">
            <v>Kelton International Limited</v>
          </cell>
        </row>
        <row r="348">
          <cell r="A348" t="str">
            <v>US_33544</v>
          </cell>
          <cell r="B348" t="str">
            <v>KASB Securities Limited</v>
          </cell>
        </row>
        <row r="349">
          <cell r="A349" t="str">
            <v>US_25140</v>
          </cell>
          <cell r="B349" t="str">
            <v>CFI TOTTA Dealer</v>
          </cell>
        </row>
        <row r="350">
          <cell r="A350" t="str">
            <v>US_25141</v>
          </cell>
          <cell r="B350" t="str">
            <v>SkandiaBanken Fondkommission AB</v>
          </cell>
        </row>
        <row r="351">
          <cell r="A351" t="str">
            <v>US_25142</v>
          </cell>
          <cell r="B351" t="str">
            <v>Killik &amp; Co</v>
          </cell>
        </row>
        <row r="352">
          <cell r="A352" t="str">
            <v>US_25143</v>
          </cell>
          <cell r="B352" t="str">
            <v>J&amp;T Securities</v>
          </cell>
        </row>
        <row r="353">
          <cell r="A353" t="str">
            <v>US_35120</v>
          </cell>
          <cell r="B353" t="str">
            <v>Interdin</v>
          </cell>
        </row>
        <row r="354">
          <cell r="A354" t="str">
            <v>US_24511</v>
          </cell>
          <cell r="B354" t="str">
            <v>PT Danareksa Sekuritas</v>
          </cell>
        </row>
        <row r="355">
          <cell r="A355" t="str">
            <v>US_21496</v>
          </cell>
          <cell r="B355" t="str">
            <v>John S. Herold</v>
          </cell>
        </row>
        <row r="356">
          <cell r="A356" t="str">
            <v>US_12438</v>
          </cell>
          <cell r="B356" t="str">
            <v>BBVA Global Markets Research</v>
          </cell>
        </row>
        <row r="357">
          <cell r="A357" t="str">
            <v>US_13734</v>
          </cell>
          <cell r="B357" t="str">
            <v>Greenwich Global, LLC</v>
          </cell>
        </row>
        <row r="358">
          <cell r="A358" t="str">
            <v>US_24940</v>
          </cell>
          <cell r="B358" t="str">
            <v>Banedwards Corredores de Bolsa SA</v>
          </cell>
        </row>
        <row r="359">
          <cell r="A359" t="str">
            <v>US_5702</v>
          </cell>
          <cell r="B359" t="str">
            <v>KBC Peel Hunt Limited</v>
          </cell>
        </row>
        <row r="360">
          <cell r="A360" t="str">
            <v>US_9786</v>
          </cell>
          <cell r="B360" t="str">
            <v>BBA Icatu</v>
          </cell>
        </row>
        <row r="361">
          <cell r="A361" t="str">
            <v>US_5706</v>
          </cell>
          <cell r="B361" t="str">
            <v>Theodoor Gilissen Securities</v>
          </cell>
        </row>
        <row r="362">
          <cell r="A362" t="str">
            <v>US_22766</v>
          </cell>
          <cell r="B362" t="str">
            <v>Delafield Hambrecht</v>
          </cell>
        </row>
        <row r="363">
          <cell r="A363" t="str">
            <v>US_7170</v>
          </cell>
          <cell r="B363" t="str">
            <v>BT Alex Brown International</v>
          </cell>
        </row>
        <row r="364">
          <cell r="A364" t="str">
            <v>US_41998</v>
          </cell>
          <cell r="B364" t="str">
            <v>Al Mal Capital</v>
          </cell>
        </row>
        <row r="365">
          <cell r="A365" t="str">
            <v>US_12286</v>
          </cell>
          <cell r="B365" t="str">
            <v>Foyil Securities</v>
          </cell>
        </row>
        <row r="366">
          <cell r="A366" t="str">
            <v>US_11133</v>
          </cell>
          <cell r="B366" t="str">
            <v>National Bank Financial</v>
          </cell>
        </row>
        <row r="367">
          <cell r="A367" t="str">
            <v>US_10231</v>
          </cell>
          <cell r="B367" t="str">
            <v>E*OFFERING</v>
          </cell>
        </row>
        <row r="368">
          <cell r="A368" t="str">
            <v>US_11136</v>
          </cell>
          <cell r="B368" t="str">
            <v>WR Hambrecht + Co.</v>
          </cell>
        </row>
        <row r="369">
          <cell r="A369" t="str">
            <v>US_23025</v>
          </cell>
          <cell r="B369" t="str">
            <v>Capital Securities (Pty) Limited</v>
          </cell>
        </row>
        <row r="370">
          <cell r="A370" t="str">
            <v>US_23024</v>
          </cell>
          <cell r="B370" t="str">
            <v>Bank Hapoalim</v>
          </cell>
        </row>
        <row r="371">
          <cell r="A371" t="str">
            <v>US_2811</v>
          </cell>
          <cell r="B371" t="str">
            <v>New Vernon Associates</v>
          </cell>
        </row>
        <row r="372">
          <cell r="A372" t="str">
            <v>US_23026</v>
          </cell>
          <cell r="B372" t="str">
            <v>CDM Pekao Securities</v>
          </cell>
        </row>
        <row r="373">
          <cell r="A373" t="str">
            <v>US_24914</v>
          </cell>
          <cell r="B373" t="str">
            <v>Peregrine Securities</v>
          </cell>
        </row>
        <row r="374">
          <cell r="A374" t="str">
            <v>US_21636</v>
          </cell>
          <cell r="B374" t="str">
            <v>Eugene Investment &amp; Securities</v>
          </cell>
        </row>
        <row r="375">
          <cell r="A375" t="str">
            <v>US_22734</v>
          </cell>
          <cell r="B375" t="str">
            <v>Monarch Research LLC</v>
          </cell>
        </row>
        <row r="376">
          <cell r="A376" t="str">
            <v>US_3802</v>
          </cell>
          <cell r="B376" t="str">
            <v>H.C. Wainwright</v>
          </cell>
        </row>
        <row r="377">
          <cell r="A377" t="str">
            <v>US_22732</v>
          </cell>
          <cell r="B377" t="str">
            <v>Westminster Securities</v>
          </cell>
        </row>
        <row r="378">
          <cell r="A378" t="str">
            <v>US_10208</v>
          </cell>
          <cell r="B378" t="str">
            <v>Caja Madrid Bolsa (ESN)</v>
          </cell>
        </row>
        <row r="379">
          <cell r="A379" t="str">
            <v>US_24919</v>
          </cell>
          <cell r="B379" t="str">
            <v>Banco Bice Finser Ltda</v>
          </cell>
        </row>
        <row r="380">
          <cell r="A380" t="str">
            <v>US_2623</v>
          </cell>
          <cell r="B380" t="str">
            <v>Kim Eng Securities</v>
          </cell>
        </row>
        <row r="381">
          <cell r="A381" t="str">
            <v>US_5763</v>
          </cell>
          <cell r="B381" t="str">
            <v>Credit Suisse - Europe</v>
          </cell>
        </row>
        <row r="382">
          <cell r="A382" t="str">
            <v>US_19421</v>
          </cell>
          <cell r="B382" t="str">
            <v>Ichiyoshi Research Institute INC.</v>
          </cell>
        </row>
        <row r="383">
          <cell r="A383" t="str">
            <v>US_23030</v>
          </cell>
          <cell r="B383" t="str">
            <v>ConCorde Securities</v>
          </cell>
        </row>
        <row r="384">
          <cell r="A384" t="str">
            <v>US_23033</v>
          </cell>
          <cell r="B384" t="str">
            <v>Dragon Capital</v>
          </cell>
        </row>
        <row r="385">
          <cell r="A385" t="str">
            <v>US_23034</v>
          </cell>
          <cell r="B385" t="str">
            <v>Global Securities Inc</v>
          </cell>
        </row>
        <row r="386">
          <cell r="A386" t="str">
            <v>US_19428</v>
          </cell>
          <cell r="B386" t="str">
            <v>Commerce Capital Markets</v>
          </cell>
        </row>
        <row r="387">
          <cell r="A387" t="str">
            <v>US_13545</v>
          </cell>
          <cell r="B387" t="str">
            <v>Calyon Securities (USA) Inc.</v>
          </cell>
        </row>
        <row r="388">
          <cell r="A388" t="str">
            <v>US_13547</v>
          </cell>
          <cell r="B388" t="str">
            <v>Frost Securities, Inc.</v>
          </cell>
        </row>
        <row r="389">
          <cell r="A389" t="str">
            <v>US_15994</v>
          </cell>
          <cell r="B389" t="str">
            <v>Salman Partners</v>
          </cell>
        </row>
        <row r="390">
          <cell r="A390" t="str">
            <v>US_21608</v>
          </cell>
          <cell r="B390" t="str">
            <v>Cochran, Caronia Securities, LLC</v>
          </cell>
        </row>
        <row r="391">
          <cell r="A391" t="str">
            <v>US_35135</v>
          </cell>
          <cell r="B391" t="str">
            <v>IBT Securities Investment Consulting  Co. , Ltd</v>
          </cell>
        </row>
        <row r="392">
          <cell r="A392" t="str">
            <v>US_30938</v>
          </cell>
          <cell r="B392" t="str">
            <v>Kingsway Research</v>
          </cell>
        </row>
        <row r="393">
          <cell r="A393" t="str">
            <v>US_5727</v>
          </cell>
          <cell r="B393" t="str">
            <v>BPI</v>
          </cell>
        </row>
        <row r="394">
          <cell r="A394" t="str">
            <v>US_31858</v>
          </cell>
          <cell r="B394" t="str">
            <v>MF Global-Sify Securities India Private Ltd</v>
          </cell>
        </row>
        <row r="395">
          <cell r="A395" t="str">
            <v>US_18503</v>
          </cell>
          <cell r="B395" t="str">
            <v>Jefferies International Ltd</v>
          </cell>
        </row>
        <row r="396">
          <cell r="A396" t="str">
            <v>US_24537</v>
          </cell>
          <cell r="B396" t="str">
            <v>Lloyds Private Banking Limited</v>
          </cell>
        </row>
        <row r="397">
          <cell r="A397" t="str">
            <v>US_37927</v>
          </cell>
          <cell r="B397" t="str">
            <v>Foresight Securities</v>
          </cell>
        </row>
        <row r="398">
          <cell r="A398" t="str">
            <v>US_10255</v>
          </cell>
          <cell r="B398" t="str">
            <v>Petercam</v>
          </cell>
        </row>
        <row r="399">
          <cell r="A399" t="str">
            <v>US_18987</v>
          </cell>
          <cell r="B399" t="str">
            <v>Analyst Net Japan</v>
          </cell>
        </row>
        <row r="400">
          <cell r="A400" t="str">
            <v>US_23002</v>
          </cell>
          <cell r="B400" t="str">
            <v>Wargny</v>
          </cell>
        </row>
        <row r="401">
          <cell r="A401" t="str">
            <v>US_23001</v>
          </cell>
          <cell r="B401" t="str">
            <v>SEB AG</v>
          </cell>
        </row>
        <row r="402">
          <cell r="A402" t="str">
            <v>US_23000</v>
          </cell>
          <cell r="B402" t="str">
            <v>Mirabaud Securities</v>
          </cell>
        </row>
        <row r="403">
          <cell r="A403" t="str">
            <v>US_13551</v>
          </cell>
          <cell r="B403" t="str">
            <v>Pittsburg Research Inc.</v>
          </cell>
        </row>
        <row r="404">
          <cell r="A404" t="str">
            <v>US_6453</v>
          </cell>
          <cell r="B404" t="str">
            <v>BBY Ltd.</v>
          </cell>
        </row>
        <row r="405">
          <cell r="A405" t="str">
            <v>US_25058</v>
          </cell>
          <cell r="B405" t="str">
            <v>Merck Finck &amp; Company</v>
          </cell>
        </row>
        <row r="406">
          <cell r="A406" t="str">
            <v>US_34432</v>
          </cell>
          <cell r="B406" t="str">
            <v>EuroLand Finance</v>
          </cell>
        </row>
        <row r="407">
          <cell r="A407" t="str">
            <v>US_13555</v>
          </cell>
          <cell r="B407" t="str">
            <v>Neidiger, Tucker, Bruner</v>
          </cell>
        </row>
        <row r="408">
          <cell r="A408" t="str">
            <v>US_17642</v>
          </cell>
          <cell r="B408" t="str">
            <v>Hani Securities Ltd</v>
          </cell>
        </row>
        <row r="409">
          <cell r="A409" t="str">
            <v>US_20035</v>
          </cell>
          <cell r="B409" t="str">
            <v>PT BNI Securities</v>
          </cell>
        </row>
        <row r="410">
          <cell r="A410" t="str">
            <v>US_29289</v>
          </cell>
          <cell r="B410" t="str">
            <v>Socopa Corretora Paulista S/A</v>
          </cell>
        </row>
        <row r="411">
          <cell r="A411" t="str">
            <v>US_21613</v>
          </cell>
          <cell r="B411" t="str">
            <v>Craig Hallum</v>
          </cell>
        </row>
        <row r="412">
          <cell r="A412" t="str">
            <v>US_2450</v>
          </cell>
          <cell r="B412" t="str">
            <v>Sands Brothers &amp; Co. Ltd.</v>
          </cell>
        </row>
        <row r="413">
          <cell r="A413" t="str">
            <v>US_25057</v>
          </cell>
          <cell r="B413" t="str">
            <v>Kyte Securities</v>
          </cell>
        </row>
        <row r="414">
          <cell r="A414" t="str">
            <v>US_20716</v>
          </cell>
          <cell r="B414" t="str">
            <v>Hotovec Pomeranz &amp; Co.</v>
          </cell>
        </row>
        <row r="415">
          <cell r="A415" t="str">
            <v>US_3828</v>
          </cell>
          <cell r="B415" t="str">
            <v>Fechtor, Detwiler &amp; Company, Inc.</v>
          </cell>
        </row>
        <row r="416">
          <cell r="A416" t="str">
            <v>US_20715</v>
          </cell>
          <cell r="B416" t="str">
            <v>Banesto Bolsa SVA, S.A</v>
          </cell>
        </row>
        <row r="417">
          <cell r="A417" t="str">
            <v>US_23019</v>
          </cell>
          <cell r="B417" t="str">
            <v>Amstel Securities</v>
          </cell>
        </row>
        <row r="418">
          <cell r="A418" t="str">
            <v>US_20711</v>
          </cell>
          <cell r="B418" t="str">
            <v>Merriman Curhan Ford &amp; Co.</v>
          </cell>
        </row>
        <row r="419">
          <cell r="A419" t="str">
            <v>US_24559</v>
          </cell>
          <cell r="B419" t="str">
            <v>Henry Cooke Lumsden Plc</v>
          </cell>
        </row>
        <row r="420">
          <cell r="A420" t="str">
            <v>US_23013</v>
          </cell>
          <cell r="B420" t="str">
            <v>Alpha Finance SA</v>
          </cell>
        </row>
        <row r="421">
          <cell r="A421" t="str">
            <v>US_21287</v>
          </cell>
          <cell r="B421" t="str">
            <v>Mansion House Securities(F.E.) Ltd</v>
          </cell>
        </row>
        <row r="422">
          <cell r="A422" t="str">
            <v>US_21286</v>
          </cell>
          <cell r="B422" t="str">
            <v>Capstone Investments</v>
          </cell>
        </row>
        <row r="423">
          <cell r="A423" t="str">
            <v>US_25100</v>
          </cell>
          <cell r="B423" t="str">
            <v>HC Istanbul Yatirim</v>
          </cell>
        </row>
        <row r="424">
          <cell r="A424" t="str">
            <v>US_21284</v>
          </cell>
          <cell r="B424" t="str">
            <v>EarlyBirdCapital.com</v>
          </cell>
        </row>
        <row r="425">
          <cell r="A425" t="str">
            <v>US_24551</v>
          </cell>
          <cell r="B425" t="str">
            <v>Demirbank Yatirim Grubu</v>
          </cell>
        </row>
        <row r="426">
          <cell r="A426" t="str">
            <v>US_24552</v>
          </cell>
          <cell r="B426" t="str">
            <v>Meeschaert-Rousselle (Fortis Bank)</v>
          </cell>
        </row>
        <row r="427">
          <cell r="A427" t="str">
            <v>US_24553</v>
          </cell>
          <cell r="B427" t="str">
            <v>Sejong Securities Co</v>
          </cell>
        </row>
        <row r="428">
          <cell r="A428" t="str">
            <v>US_24554</v>
          </cell>
          <cell r="B428" t="str">
            <v>Wako Research Institute Ltd</v>
          </cell>
        </row>
        <row r="429">
          <cell r="A429" t="str">
            <v>US_24555</v>
          </cell>
          <cell r="B429" t="str">
            <v>Ottoman Bank</v>
          </cell>
        </row>
        <row r="430">
          <cell r="A430" t="str">
            <v>US_24556</v>
          </cell>
          <cell r="B430" t="str">
            <v>ANZ Securities Ltd</v>
          </cell>
        </row>
        <row r="431">
          <cell r="A431" t="str">
            <v>US_20559</v>
          </cell>
          <cell r="B431" t="str">
            <v>Montauk Capital Markets Group</v>
          </cell>
        </row>
        <row r="432">
          <cell r="A432" t="str">
            <v>US_3833</v>
          </cell>
          <cell r="B432" t="str">
            <v>George K. Baum</v>
          </cell>
        </row>
        <row r="433">
          <cell r="A433" t="str">
            <v>US_24943</v>
          </cell>
          <cell r="B433" t="str">
            <v>Prime Broking Company (India) Ltd</v>
          </cell>
        </row>
        <row r="434">
          <cell r="A434" t="str">
            <v>US_22723</v>
          </cell>
          <cell r="B434" t="str">
            <v>Oriel Securities</v>
          </cell>
        </row>
        <row r="435">
          <cell r="A435" t="str">
            <v>US_37906</v>
          </cell>
          <cell r="B435" t="str">
            <v>CitisecOnline.com, Inc.</v>
          </cell>
        </row>
        <row r="436">
          <cell r="A436" t="str">
            <v>US_37905</v>
          </cell>
          <cell r="B436" t="str">
            <v>Orion Securities ASA</v>
          </cell>
        </row>
        <row r="437">
          <cell r="A437" t="str">
            <v>US_11178</v>
          </cell>
          <cell r="B437" t="str">
            <v>Madison Securities</v>
          </cell>
        </row>
        <row r="438">
          <cell r="A438" t="str">
            <v>US_3838</v>
          </cell>
          <cell r="B438" t="str">
            <v>Global Securities Corporation</v>
          </cell>
        </row>
        <row r="439">
          <cell r="A439" t="str">
            <v>US_3839</v>
          </cell>
          <cell r="B439" t="str">
            <v>BBVA Bancomer</v>
          </cell>
        </row>
        <row r="440">
          <cell r="A440" t="str">
            <v>US_82</v>
          </cell>
          <cell r="B440" t="str">
            <v>Scotia Capital</v>
          </cell>
        </row>
        <row r="441">
          <cell r="A441" t="str">
            <v>US_39334</v>
          </cell>
          <cell r="B441" t="str">
            <v>Foundation Securities Private Limited</v>
          </cell>
        </row>
        <row r="442">
          <cell r="A442" t="str">
            <v>US_6478</v>
          </cell>
          <cell r="B442" t="str">
            <v>BNP Paribas Securities (Asia)</v>
          </cell>
        </row>
        <row r="443">
          <cell r="A443" t="str">
            <v>US_5907</v>
          </cell>
          <cell r="B443" t="str">
            <v>Nomura Securities</v>
          </cell>
        </row>
        <row r="444">
          <cell r="A444" t="str">
            <v>US_85</v>
          </cell>
          <cell r="B444" t="str">
            <v>Cowen and Company</v>
          </cell>
        </row>
        <row r="445">
          <cell r="A445" t="str">
            <v>US_9189</v>
          </cell>
          <cell r="B445" t="str">
            <v>Buenos Aires Trust Company</v>
          </cell>
        </row>
        <row r="446">
          <cell r="A446" t="str">
            <v>US_30945</v>
          </cell>
          <cell r="B446" t="str">
            <v>China Merchants Securities Co. Ltd</v>
          </cell>
        </row>
        <row r="447">
          <cell r="A447" t="str">
            <v>US_38039</v>
          </cell>
          <cell r="B447" t="str">
            <v>E L &amp; C Baillieu Stockbroking</v>
          </cell>
        </row>
        <row r="448">
          <cell r="A448" t="str">
            <v>US_32323</v>
          </cell>
          <cell r="B448" t="str">
            <v>Anand Rathi Securities Private Limited</v>
          </cell>
        </row>
        <row r="449">
          <cell r="A449" t="str">
            <v>US_32018</v>
          </cell>
          <cell r="B449" t="str">
            <v>Olma</v>
          </cell>
        </row>
        <row r="450">
          <cell r="A450" t="str">
            <v>US_3789</v>
          </cell>
          <cell r="B450" t="str">
            <v>Williams de Broe</v>
          </cell>
        </row>
        <row r="451">
          <cell r="A451" t="str">
            <v>US_8111</v>
          </cell>
          <cell r="B451" t="str">
            <v>Pareto Securities</v>
          </cell>
        </row>
        <row r="452">
          <cell r="A452" t="str">
            <v>US_20395</v>
          </cell>
          <cell r="B452" t="str">
            <v>WestLB Panmure Japan</v>
          </cell>
        </row>
        <row r="453">
          <cell r="A453" t="str">
            <v>US_24913</v>
          </cell>
          <cell r="B453" t="str">
            <v>Prabhudas Lilladher (Pvt) Ltd</v>
          </cell>
        </row>
        <row r="454">
          <cell r="A454" t="str">
            <v>US_36883</v>
          </cell>
          <cell r="B454" t="str">
            <v>Capital Investments</v>
          </cell>
        </row>
        <row r="455">
          <cell r="A455" t="str">
            <v>US_8707</v>
          </cell>
          <cell r="B455" t="str">
            <v>Ibersecurities</v>
          </cell>
        </row>
        <row r="456">
          <cell r="A456" t="str">
            <v>US_201</v>
          </cell>
          <cell r="B456" t="str">
            <v>Tucker Anthony Sutro Capital Markets</v>
          </cell>
        </row>
        <row r="457">
          <cell r="A457" t="str">
            <v>US_202</v>
          </cell>
          <cell r="B457" t="str">
            <v>FTN Equity Capital Markets Corp</v>
          </cell>
        </row>
        <row r="458">
          <cell r="A458" t="str">
            <v>US_985</v>
          </cell>
          <cell r="B458" t="str">
            <v>Daiwa Institute of Research - Japan</v>
          </cell>
        </row>
        <row r="459">
          <cell r="A459" t="str">
            <v>US_16342</v>
          </cell>
          <cell r="B459" t="str">
            <v>Capital One Southcoast, Inc</v>
          </cell>
        </row>
        <row r="460">
          <cell r="A460" t="str">
            <v>US_16346</v>
          </cell>
          <cell r="B460" t="str">
            <v>Ixe Casa de Bolsa</v>
          </cell>
        </row>
        <row r="461">
          <cell r="A461" t="str">
            <v>US_9343</v>
          </cell>
          <cell r="B461" t="str">
            <v>AROS Securities</v>
          </cell>
        </row>
        <row r="462">
          <cell r="A462" t="str">
            <v>US_17428</v>
          </cell>
          <cell r="B462" t="str">
            <v>HQ Bank</v>
          </cell>
        </row>
        <row r="463">
          <cell r="A463" t="str">
            <v>US_24572</v>
          </cell>
          <cell r="B463" t="str">
            <v>Societe de Bourse Dynabourse</v>
          </cell>
        </row>
        <row r="464">
          <cell r="A464" t="str">
            <v>US_24573</v>
          </cell>
          <cell r="B464" t="str">
            <v>New China Hong Kong Securities Ltd, The</v>
          </cell>
        </row>
        <row r="465">
          <cell r="A465" t="str">
            <v>US_17976</v>
          </cell>
          <cell r="B465" t="str">
            <v>Equity Growth Research</v>
          </cell>
        </row>
        <row r="466">
          <cell r="A466" t="str">
            <v>US_25120</v>
          </cell>
          <cell r="B466" t="str">
            <v>Nusa SIM SpA</v>
          </cell>
        </row>
        <row r="467">
          <cell r="A467" t="str">
            <v>US_18714</v>
          </cell>
          <cell r="B467" t="str">
            <v>Mito Securities Research Institute Co., Ltd.</v>
          </cell>
        </row>
        <row r="468">
          <cell r="A468" t="str">
            <v>US_35760</v>
          </cell>
          <cell r="B468" t="str">
            <v>Huatai Securities Co.,Ltd</v>
          </cell>
        </row>
        <row r="469">
          <cell r="A469" t="str">
            <v>US_20579</v>
          </cell>
          <cell r="B469" t="str">
            <v>MMWarburg / SES Research</v>
          </cell>
        </row>
        <row r="470">
          <cell r="A470" t="str">
            <v>US_7769</v>
          </cell>
          <cell r="B470" t="str">
            <v>Teathers Limited</v>
          </cell>
        </row>
        <row r="471">
          <cell r="A471" t="str">
            <v>US_30290</v>
          </cell>
          <cell r="B471" t="str">
            <v>Fearnley Fonds</v>
          </cell>
        </row>
        <row r="472">
          <cell r="A472" t="str">
            <v>US_30291</v>
          </cell>
          <cell r="B472" t="str">
            <v>DnBNOR Markets</v>
          </cell>
        </row>
        <row r="473">
          <cell r="A473" t="str">
            <v>US_6872</v>
          </cell>
          <cell r="B473" t="str">
            <v>Sanford Bernstein</v>
          </cell>
        </row>
        <row r="474">
          <cell r="A474" t="str">
            <v>US_30297</v>
          </cell>
          <cell r="B474" t="str">
            <v>Great Wall Securities</v>
          </cell>
        </row>
        <row r="475">
          <cell r="A475" t="str">
            <v>US_15382</v>
          </cell>
          <cell r="B475" t="str">
            <v>Shonstrom Research</v>
          </cell>
        </row>
        <row r="476">
          <cell r="A476" t="str">
            <v>US_22529</v>
          </cell>
          <cell r="B476" t="str">
            <v>Dexia Securities</v>
          </cell>
        </row>
        <row r="477">
          <cell r="A477" t="str">
            <v>US_9867</v>
          </cell>
          <cell r="B477" t="str">
            <v>Rye, Man &amp; Gor</v>
          </cell>
        </row>
        <row r="478">
          <cell r="A478" t="str">
            <v>US_11157</v>
          </cell>
          <cell r="B478" t="str">
            <v>Buckingham Research Group, The</v>
          </cell>
        </row>
        <row r="479">
          <cell r="A479" t="str">
            <v>US_34853</v>
          </cell>
          <cell r="B479" t="str">
            <v>BZ WBK S.A.</v>
          </cell>
        </row>
        <row r="480">
          <cell r="A480" t="str">
            <v>US_34855</v>
          </cell>
          <cell r="B480" t="str">
            <v>Raiffeisen Capital &amp; Investment</v>
          </cell>
        </row>
        <row r="481">
          <cell r="A481" t="str">
            <v>US_24545</v>
          </cell>
          <cell r="B481" t="str">
            <v>Kerry Securities Ltd</v>
          </cell>
        </row>
        <row r="482">
          <cell r="A482" t="str">
            <v>US_24544</v>
          </cell>
          <cell r="B482" t="str">
            <v>Iktisat Yatirim Securities</v>
          </cell>
        </row>
        <row r="483">
          <cell r="A483" t="str">
            <v>US_28439</v>
          </cell>
          <cell r="B483" t="str">
            <v>Austock</v>
          </cell>
        </row>
        <row r="484">
          <cell r="A484" t="str">
            <v>US_24541</v>
          </cell>
          <cell r="B484" t="str">
            <v>Affarsvarlden</v>
          </cell>
        </row>
        <row r="485">
          <cell r="A485" t="str">
            <v>US_25116</v>
          </cell>
          <cell r="B485" t="str">
            <v>State One Equities Pty Ltd</v>
          </cell>
        </row>
        <row r="486">
          <cell r="A486" t="str">
            <v>US_9338</v>
          </cell>
          <cell r="B486" t="str">
            <v>Kuala Lumpur City Securities</v>
          </cell>
        </row>
        <row r="487">
          <cell r="A487" t="str">
            <v>US_625</v>
          </cell>
          <cell r="B487" t="str">
            <v>Chase Securities, Inc.</v>
          </cell>
        </row>
        <row r="488">
          <cell r="A488" t="str">
            <v>US_25113</v>
          </cell>
          <cell r="B488" t="str">
            <v>Zivnostenska Banka AS</v>
          </cell>
        </row>
        <row r="489">
          <cell r="A489" t="str">
            <v>US_21406</v>
          </cell>
          <cell r="B489" t="str">
            <v>Fieldstone Research</v>
          </cell>
        </row>
        <row r="490">
          <cell r="A490" t="str">
            <v>US_39367</v>
          </cell>
          <cell r="B490" t="str">
            <v>IGI Finex Securities</v>
          </cell>
        </row>
        <row r="491">
          <cell r="A491" t="str">
            <v>US_31779</v>
          </cell>
          <cell r="B491" t="str">
            <v>Bankhaus Lampe</v>
          </cell>
        </row>
        <row r="492">
          <cell r="A492" t="str">
            <v>US_24971</v>
          </cell>
          <cell r="B492" t="str">
            <v>Schoellerbank</v>
          </cell>
        </row>
        <row r="493">
          <cell r="A493" t="str">
            <v>US_2412</v>
          </cell>
          <cell r="B493" t="str">
            <v>Fox-Pitt Kelton Cochran Caronia Waller</v>
          </cell>
        </row>
        <row r="494">
          <cell r="A494" t="str">
            <v>US_2927</v>
          </cell>
          <cell r="B494" t="str">
            <v>BHF-BANK AG</v>
          </cell>
        </row>
        <row r="495">
          <cell r="A495" t="str">
            <v>US_8978</v>
          </cell>
          <cell r="B495" t="str">
            <v>Millennium BCP</v>
          </cell>
        </row>
        <row r="496">
          <cell r="A496" t="str">
            <v>US_30477</v>
          </cell>
          <cell r="B496" t="str">
            <v>Everbright Securities</v>
          </cell>
        </row>
        <row r="497">
          <cell r="A497" t="str">
            <v>US_2928</v>
          </cell>
          <cell r="B497" t="str">
            <v>Mizuho Securities Co. Ltd</v>
          </cell>
        </row>
        <row r="498">
          <cell r="A498" t="str">
            <v>US_26034</v>
          </cell>
          <cell r="B498" t="str">
            <v>ManageSource</v>
          </cell>
        </row>
        <row r="499">
          <cell r="A499" t="str">
            <v>US_13524</v>
          </cell>
          <cell r="B499" t="str">
            <v>Advanced Equities</v>
          </cell>
        </row>
        <row r="500">
          <cell r="A500" t="str">
            <v>US_8313</v>
          </cell>
          <cell r="B500" t="str">
            <v>Sun Hung Kai Financial</v>
          </cell>
        </row>
        <row r="501">
          <cell r="A501" t="str">
            <v>US_41916</v>
          </cell>
          <cell r="B501" t="str">
            <v>Venture Finanzas S.V.</v>
          </cell>
        </row>
        <row r="502">
          <cell r="A502" t="str">
            <v>US_11328</v>
          </cell>
          <cell r="B502" t="str">
            <v>U.S. Bancorp Nessuah Zannex</v>
          </cell>
        </row>
        <row r="503">
          <cell r="A503" t="str">
            <v>US_24941</v>
          </cell>
          <cell r="B503" t="str">
            <v>OUB Securities Pte Ltd</v>
          </cell>
        </row>
        <row r="504">
          <cell r="A504" t="str">
            <v>US_24906</v>
          </cell>
          <cell r="B504" t="str">
            <v>Stanford Group Company</v>
          </cell>
        </row>
        <row r="505">
          <cell r="A505" t="str">
            <v>US_24901</v>
          </cell>
          <cell r="B505" t="str">
            <v>Lafis Servicos Financeiros e de Investimentos Ltda</v>
          </cell>
        </row>
        <row r="506">
          <cell r="A506" t="str">
            <v>US_24942</v>
          </cell>
          <cell r="B506" t="str">
            <v>Entrust Securities Co Ltd</v>
          </cell>
        </row>
        <row r="507">
          <cell r="A507" t="str">
            <v>US_24945</v>
          </cell>
          <cell r="B507" t="str">
            <v>BBV Interactivos SA SVB</v>
          </cell>
        </row>
        <row r="508">
          <cell r="A508" t="str">
            <v>US_24944</v>
          </cell>
          <cell r="B508" t="str">
            <v>Leong &amp; Company Sdn Bhd</v>
          </cell>
        </row>
        <row r="509">
          <cell r="A509" t="str">
            <v>US_2975</v>
          </cell>
          <cell r="B509" t="str">
            <v>Morgan Stanley</v>
          </cell>
        </row>
        <row r="510">
          <cell r="A510" t="str">
            <v>US_26289</v>
          </cell>
          <cell r="B510" t="str">
            <v>EKN, Inc.</v>
          </cell>
        </row>
        <row r="511">
          <cell r="A511" t="str">
            <v>US_25139</v>
          </cell>
          <cell r="B511" t="str">
            <v>Regent European Securities</v>
          </cell>
        </row>
        <row r="512">
          <cell r="A512" t="str">
            <v>US_25134</v>
          </cell>
          <cell r="B512" t="str">
            <v>Shinyoung Securities Co Ltd</v>
          </cell>
        </row>
        <row r="513">
          <cell r="A513" t="str">
            <v>US_25132</v>
          </cell>
          <cell r="B513" t="str">
            <v>IE New York Broker (Hungary)</v>
          </cell>
        </row>
        <row r="514">
          <cell r="A514" t="str">
            <v>US_25131</v>
          </cell>
          <cell r="B514" t="str">
            <v>Dom Maklerski BIG-BG SA</v>
          </cell>
        </row>
        <row r="515">
          <cell r="A515" t="str">
            <v>US_25130</v>
          </cell>
          <cell r="B515" t="str">
            <v>CEAT Financial Services Ltd</v>
          </cell>
        </row>
        <row r="516">
          <cell r="A516" t="str">
            <v>US_5771</v>
          </cell>
          <cell r="B516" t="str">
            <v>CCF Securities</v>
          </cell>
        </row>
        <row r="517">
          <cell r="A517" t="str">
            <v>US_21904</v>
          </cell>
          <cell r="B517" t="str">
            <v>IXIS Midcaps</v>
          </cell>
        </row>
        <row r="518">
          <cell r="A518" t="str">
            <v>US_30987</v>
          </cell>
          <cell r="B518" t="str">
            <v>NBK Capital</v>
          </cell>
        </row>
        <row r="519">
          <cell r="A519" t="str">
            <v>US_49280</v>
          </cell>
          <cell r="B519" t="str">
            <v>Evergreen Capital Partners Inc.</v>
          </cell>
        </row>
        <row r="520">
          <cell r="A520" t="str">
            <v>US_19824</v>
          </cell>
          <cell r="B520" t="str">
            <v>Wellington West Capital Markets</v>
          </cell>
        </row>
        <row r="521">
          <cell r="A521" t="str">
            <v>US_24915</v>
          </cell>
          <cell r="B521" t="str">
            <v>Ong Research Pte Ltd</v>
          </cell>
        </row>
        <row r="522">
          <cell r="A522" t="str">
            <v>US_24916</v>
          </cell>
          <cell r="B522" t="str">
            <v>Monte Paschi Mercato SIM SpA</v>
          </cell>
        </row>
        <row r="523">
          <cell r="A523" t="str">
            <v>US_24917</v>
          </cell>
          <cell r="B523" t="str">
            <v>Bank Brussels Lambert - ING Barings</v>
          </cell>
        </row>
        <row r="524">
          <cell r="A524" t="str">
            <v>US_24910</v>
          </cell>
          <cell r="B524" t="str">
            <v>Banca Commerciale Italiana</v>
          </cell>
        </row>
        <row r="525">
          <cell r="A525" t="str">
            <v>US_2947</v>
          </cell>
          <cell r="B525" t="str">
            <v>Conning &amp; Co.</v>
          </cell>
        </row>
        <row r="526">
          <cell r="A526" t="str">
            <v>US_4159</v>
          </cell>
          <cell r="B526" t="str">
            <v>RBC Wealth Management</v>
          </cell>
        </row>
        <row r="527">
          <cell r="A527" t="str">
            <v>US_2943</v>
          </cell>
          <cell r="B527" t="str">
            <v>Hoak Breedlove Wesneski &amp; Co.</v>
          </cell>
        </row>
        <row r="528">
          <cell r="A528" t="str">
            <v>US_24918</v>
          </cell>
          <cell r="B528" t="str">
            <v>Gilbert Eliott &amp; Co Limited</v>
          </cell>
        </row>
        <row r="529">
          <cell r="A529" t="str">
            <v>US_26490</v>
          </cell>
          <cell r="B529" t="str">
            <v>Fraser Mackenzie Limited</v>
          </cell>
        </row>
        <row r="530">
          <cell r="A530" t="str">
            <v>US_49446</v>
          </cell>
          <cell r="B530" t="str">
            <v>EQ Bank</v>
          </cell>
        </row>
        <row r="531">
          <cell r="A531" t="str">
            <v>US_26017</v>
          </cell>
          <cell r="B531" t="str">
            <v>Finansa Securities</v>
          </cell>
        </row>
        <row r="532">
          <cell r="A532" t="str">
            <v>US_34468</v>
          </cell>
          <cell r="B532" t="str">
            <v>E. Sun Investment Consulting</v>
          </cell>
        </row>
        <row r="533">
          <cell r="A533" t="str">
            <v>US_18122</v>
          </cell>
          <cell r="B533" t="str">
            <v>Gruppo Banca Leonardo S.p.A.</v>
          </cell>
        </row>
        <row r="534">
          <cell r="A534" t="str">
            <v>US_9447</v>
          </cell>
          <cell r="B534" t="str">
            <v>CA IB Investmentbank Aktiengesellschaft</v>
          </cell>
        </row>
        <row r="535">
          <cell r="A535" t="str">
            <v>US_36127</v>
          </cell>
          <cell r="B535" t="str">
            <v>PingAn Securities Co.,LTD</v>
          </cell>
        </row>
        <row r="536">
          <cell r="A536" t="str">
            <v>US_30253</v>
          </cell>
          <cell r="B536" t="str">
            <v>SK Securities</v>
          </cell>
        </row>
        <row r="537">
          <cell r="A537" t="str">
            <v>US_2233</v>
          </cell>
          <cell r="B537" t="str">
            <v>Exane BNP Paribas</v>
          </cell>
        </row>
        <row r="538">
          <cell r="A538" t="str">
            <v>US_39354</v>
          </cell>
          <cell r="B538" t="str">
            <v>SAIGON SECURITIES INC</v>
          </cell>
        </row>
        <row r="539">
          <cell r="A539" t="str">
            <v>US_4394</v>
          </cell>
          <cell r="B539" t="str">
            <v>Wilson HTM</v>
          </cell>
        </row>
        <row r="540">
          <cell r="A540" t="str">
            <v>US_34815</v>
          </cell>
          <cell r="B540" t="str">
            <v>Centre For Monitoring Indian Economy Private Limited</v>
          </cell>
        </row>
        <row r="541">
          <cell r="A541" t="str">
            <v>US_24924</v>
          </cell>
          <cell r="B541" t="str">
            <v>Pasfin Securities SIM</v>
          </cell>
        </row>
        <row r="542">
          <cell r="A542" t="str">
            <v>US_28164</v>
          </cell>
          <cell r="B542" t="str">
            <v>Rochdale Securities</v>
          </cell>
        </row>
        <row r="543">
          <cell r="A543" t="str">
            <v>US_24922</v>
          </cell>
          <cell r="B543" t="str">
            <v>Darier Hentsch &amp; Cie</v>
          </cell>
        </row>
        <row r="544">
          <cell r="A544" t="str">
            <v>US_14505</v>
          </cell>
          <cell r="B544" t="str">
            <v>Ferris, Baker Watts, Inc.</v>
          </cell>
        </row>
        <row r="545">
          <cell r="A545" t="str">
            <v>US_2883</v>
          </cell>
          <cell r="B545" t="str">
            <v>L.H. Friend, Weinress, Frankson &amp; Presson, Inc.</v>
          </cell>
        </row>
        <row r="546">
          <cell r="A546" t="str">
            <v>US_7943</v>
          </cell>
          <cell r="B546" t="str">
            <v>Irwin, Jacobs &amp; Greene</v>
          </cell>
        </row>
        <row r="547">
          <cell r="A547" t="str">
            <v>US_31521</v>
          </cell>
          <cell r="B547" t="str">
            <v>BankMuscat</v>
          </cell>
        </row>
        <row r="548">
          <cell r="A548" t="str">
            <v>US_16143</v>
          </cell>
          <cell r="B548" t="str">
            <v>equinet (ESN)</v>
          </cell>
        </row>
        <row r="549">
          <cell r="A549" t="str">
            <v>US_24929</v>
          </cell>
          <cell r="B549" t="str">
            <v>GVC General de Valores y Cambios</v>
          </cell>
        </row>
        <row r="550">
          <cell r="A550" t="str">
            <v>US_24928</v>
          </cell>
          <cell r="B550" t="str">
            <v>Aperion Group</v>
          </cell>
        </row>
        <row r="551">
          <cell r="A551" t="str">
            <v>US_28168</v>
          </cell>
          <cell r="B551" t="str">
            <v>INTERMONTE SIM</v>
          </cell>
        </row>
        <row r="552">
          <cell r="A552" t="str">
            <v>US_24750</v>
          </cell>
          <cell r="B552" t="str">
            <v>Karvy Stock Broking Limited</v>
          </cell>
        </row>
        <row r="553">
          <cell r="A553" t="str">
            <v>US_15087</v>
          </cell>
          <cell r="B553" t="str">
            <v>Dresdner Kleinwort</v>
          </cell>
        </row>
        <row r="554">
          <cell r="A554" t="str">
            <v>US_27</v>
          </cell>
          <cell r="B554" t="str">
            <v>Banc of America Securities</v>
          </cell>
        </row>
        <row r="555">
          <cell r="A555" t="str">
            <v>US_22147</v>
          </cell>
          <cell r="B555" t="str">
            <v>ETC</v>
          </cell>
        </row>
        <row r="556">
          <cell r="A556" t="str">
            <v>US_3723</v>
          </cell>
          <cell r="B556" t="str">
            <v>Yamaichi International</v>
          </cell>
        </row>
        <row r="557">
          <cell r="A557" t="str">
            <v>US_13817</v>
          </cell>
          <cell r="B557" t="str">
            <v>Epoch Partners</v>
          </cell>
        </row>
        <row r="558">
          <cell r="A558" t="str">
            <v>US_14579</v>
          </cell>
          <cell r="B558" t="str">
            <v>Dao Heng Securities Limited</v>
          </cell>
        </row>
        <row r="559">
          <cell r="A559" t="str">
            <v>US_8309</v>
          </cell>
          <cell r="B559" t="str">
            <v>PT Trimegah Securities</v>
          </cell>
        </row>
        <row r="560">
          <cell r="A560" t="str">
            <v>US_24936</v>
          </cell>
          <cell r="B560" t="str">
            <v>Birla Marlin Securities Ltd</v>
          </cell>
        </row>
        <row r="561">
          <cell r="A561" t="str">
            <v>US_24934</v>
          </cell>
          <cell r="B561" t="str">
            <v>KBW Wesselius Effectenbank NV</v>
          </cell>
        </row>
        <row r="562">
          <cell r="A562" t="str">
            <v>US_24932</v>
          </cell>
          <cell r="B562" t="str">
            <v>Telesis Securities</v>
          </cell>
        </row>
        <row r="563">
          <cell r="A563" t="str">
            <v>US_24933</v>
          </cell>
          <cell r="B563" t="str">
            <v>Santander Investment BSN SA SVB</v>
          </cell>
        </row>
        <row r="564">
          <cell r="A564" t="str">
            <v>US_24930</v>
          </cell>
          <cell r="B564" t="str">
            <v>Raiffeisen Centrobank</v>
          </cell>
        </row>
        <row r="565">
          <cell r="A565" t="str">
            <v>US_24931</v>
          </cell>
          <cell r="B565" t="str">
            <v>Pacific Challenge Securities Ltd</v>
          </cell>
        </row>
        <row r="566">
          <cell r="A566" t="str">
            <v>US_5280</v>
          </cell>
          <cell r="B566" t="str">
            <v>Research Capital Corp.</v>
          </cell>
        </row>
        <row r="567">
          <cell r="A567" t="str">
            <v>US_24938</v>
          </cell>
          <cell r="B567" t="str">
            <v>John Siddall &amp; Son Limited</v>
          </cell>
        </row>
        <row r="568">
          <cell r="A568" t="str">
            <v>US_24939</v>
          </cell>
          <cell r="B568" t="str">
            <v>Gudme Raaschou Bank</v>
          </cell>
        </row>
        <row r="569">
          <cell r="A569" t="str">
            <v>US_7771</v>
          </cell>
          <cell r="B569" t="str">
            <v>Hardman &amp; Company</v>
          </cell>
        </row>
        <row r="570">
          <cell r="A570" t="str">
            <v>US_24285</v>
          </cell>
          <cell r="B570" t="str">
            <v>Blackmont Capital Inc.</v>
          </cell>
        </row>
        <row r="571">
          <cell r="A571" t="str">
            <v>US_13315</v>
          </cell>
          <cell r="B571" t="str">
            <v>Raymond James Securities - Turkey</v>
          </cell>
        </row>
        <row r="572">
          <cell r="A572" t="str">
            <v>US_41033</v>
          </cell>
          <cell r="B572" t="str">
            <v>BankM</v>
          </cell>
        </row>
        <row r="573">
          <cell r="A573" t="str">
            <v>US_26258</v>
          </cell>
          <cell r="B573" t="str">
            <v>Soleil Media Team</v>
          </cell>
        </row>
        <row r="574">
          <cell r="A574" t="str">
            <v>US_21206</v>
          </cell>
          <cell r="B574" t="str">
            <v>Tokyo Mitsubishi</v>
          </cell>
        </row>
        <row r="575">
          <cell r="A575" t="str">
            <v>US_32048</v>
          </cell>
          <cell r="B575" t="str">
            <v>Legae Securities</v>
          </cell>
        </row>
        <row r="576">
          <cell r="A576" t="str">
            <v>US_21915</v>
          </cell>
          <cell r="B576" t="str">
            <v>Korea Investments and Securities</v>
          </cell>
        </row>
        <row r="577">
          <cell r="A577" t="str">
            <v>US_19833</v>
          </cell>
          <cell r="B577" t="str">
            <v>NRA Capital Pte. Ltd.</v>
          </cell>
        </row>
        <row r="578">
          <cell r="A578" t="str">
            <v>US_34399</v>
          </cell>
          <cell r="B578" t="str">
            <v>Landsbanki</v>
          </cell>
        </row>
        <row r="579">
          <cell r="A579" t="str">
            <v>US_30231</v>
          </cell>
          <cell r="B579" t="str">
            <v>Mitsubishi UFJ Securities</v>
          </cell>
        </row>
        <row r="580">
          <cell r="A580" t="str">
            <v>US_16163</v>
          </cell>
          <cell r="B580" t="str">
            <v>Cormark Securities Inc.</v>
          </cell>
        </row>
        <row r="581">
          <cell r="A581" t="str">
            <v>US_24909</v>
          </cell>
          <cell r="B581" t="str">
            <v>Phatra Thanakit Public Company Ltd</v>
          </cell>
        </row>
        <row r="582">
          <cell r="A582" t="str">
            <v>US_26271</v>
          </cell>
          <cell r="B582" t="str">
            <v>BWS Financial</v>
          </cell>
        </row>
        <row r="583">
          <cell r="A583" t="str">
            <v>US_35547</v>
          </cell>
          <cell r="B583" t="str">
            <v>Pali Capital, INC.</v>
          </cell>
        </row>
        <row r="584">
          <cell r="A584" t="str">
            <v>US_35540</v>
          </cell>
          <cell r="B584" t="str">
            <v>KAMCO</v>
          </cell>
        </row>
        <row r="585">
          <cell r="A585" t="str">
            <v>US_35542</v>
          </cell>
          <cell r="B585" t="str">
            <v>Prospera Securities</v>
          </cell>
        </row>
        <row r="586">
          <cell r="A586" t="str">
            <v>US_37121</v>
          </cell>
          <cell r="B586" t="str">
            <v>Strategas Research Partners</v>
          </cell>
        </row>
        <row r="587">
          <cell r="A587" t="str">
            <v>US_28061</v>
          </cell>
          <cell r="B587" t="str">
            <v>Acadian Securities Inc.</v>
          </cell>
        </row>
        <row r="588">
          <cell r="A588" t="str">
            <v>US_15063</v>
          </cell>
          <cell r="B588" t="str">
            <v>Dundee Securities Corporation</v>
          </cell>
        </row>
        <row r="589">
          <cell r="A589" t="str">
            <v>US_8530</v>
          </cell>
          <cell r="B589" t="str">
            <v>RHB Research Institute Sdn. Bhd. (Malaysia)</v>
          </cell>
        </row>
        <row r="590">
          <cell r="A590" t="str">
            <v>US_39131</v>
          </cell>
          <cell r="B590" t="str">
            <v>Simonis Storm Securities (Pty) Ltd</v>
          </cell>
        </row>
        <row r="591">
          <cell r="A591" t="str">
            <v>US_4683</v>
          </cell>
          <cell r="B591" t="str">
            <v>Van Lanschot Bankiers NV</v>
          </cell>
        </row>
        <row r="592">
          <cell r="A592" t="str">
            <v>US_37363</v>
          </cell>
          <cell r="B592" t="str">
            <v>Faida Investment Bank Ltd</v>
          </cell>
        </row>
        <row r="593">
          <cell r="A593" t="str">
            <v>US_78</v>
          </cell>
          <cell r="B593" t="str">
            <v>Wedbush Morgan Securities, Inc.</v>
          </cell>
        </row>
        <row r="594">
          <cell r="A594" t="str">
            <v>US_49636</v>
          </cell>
          <cell r="B594" t="str">
            <v>InterBolsa</v>
          </cell>
        </row>
        <row r="595">
          <cell r="A595" t="str">
            <v>US_2</v>
          </cell>
          <cell r="B595" t="str">
            <v>BofA Merrill Lynch</v>
          </cell>
        </row>
        <row r="596">
          <cell r="A596" t="str">
            <v>US_71</v>
          </cell>
          <cell r="B596" t="str">
            <v>Wachovia Securities (Historical)</v>
          </cell>
        </row>
        <row r="597">
          <cell r="A597" t="str">
            <v>US_73</v>
          </cell>
          <cell r="B597" t="str">
            <v>Janney Montgomery Scott LLC</v>
          </cell>
        </row>
        <row r="598">
          <cell r="A598" t="str">
            <v>US_24260</v>
          </cell>
          <cell r="B598" t="str">
            <v>Share Link Securities Ltd</v>
          </cell>
        </row>
        <row r="599">
          <cell r="A599" t="str">
            <v>US_24261</v>
          </cell>
          <cell r="B599" t="str">
            <v>Sigma Securities SA</v>
          </cell>
        </row>
        <row r="600">
          <cell r="A600" t="str">
            <v>US_24262</v>
          </cell>
          <cell r="B600" t="str">
            <v>Suprema Securities Ltd</v>
          </cell>
        </row>
        <row r="601">
          <cell r="A601" t="str">
            <v>US_29328</v>
          </cell>
          <cell r="B601" t="str">
            <v>HC Brokerage</v>
          </cell>
        </row>
        <row r="602">
          <cell r="A602" t="str">
            <v>US_33111</v>
          </cell>
          <cell r="B602" t="str">
            <v>Atout Capital</v>
          </cell>
        </row>
        <row r="603">
          <cell r="A603" t="str">
            <v>US_5489</v>
          </cell>
          <cell r="B603" t="str">
            <v>Unibanco</v>
          </cell>
        </row>
        <row r="604">
          <cell r="A604" t="str">
            <v>US_24926</v>
          </cell>
          <cell r="B604" t="str">
            <v>Edison Investment Research</v>
          </cell>
        </row>
        <row r="605">
          <cell r="A605" t="str">
            <v>US_20327</v>
          </cell>
          <cell r="B605" t="str">
            <v>McAdams Wright Ragen</v>
          </cell>
        </row>
        <row r="606">
          <cell r="A606" t="str">
            <v>US_24923</v>
          </cell>
          <cell r="B606" t="str">
            <v>Benito &amp; Monjardin</v>
          </cell>
        </row>
        <row r="607">
          <cell r="A607" t="str">
            <v>US_11626</v>
          </cell>
          <cell r="B607" t="str">
            <v>Ramirez &amp; Co. Inc.</v>
          </cell>
        </row>
        <row r="608">
          <cell r="A608" t="str">
            <v>US_24921</v>
          </cell>
          <cell r="B608" t="str">
            <v>Lippo Securities</v>
          </cell>
        </row>
        <row r="609">
          <cell r="A609" t="str">
            <v>US_24920</v>
          </cell>
          <cell r="B609" t="str">
            <v>SMIFS Securities Ltd</v>
          </cell>
        </row>
        <row r="610">
          <cell r="A610" t="str">
            <v>US_37600</v>
          </cell>
          <cell r="B610" t="str">
            <v>SLW Corretora</v>
          </cell>
        </row>
        <row r="611">
          <cell r="A611" t="str">
            <v>US_69</v>
          </cell>
          <cell r="B611" t="str">
            <v>Roth Capital Partners, Inc.</v>
          </cell>
        </row>
        <row r="612">
          <cell r="A612" t="str">
            <v>US_5486</v>
          </cell>
          <cell r="B612" t="str">
            <v>MasterLink Securities Corporation</v>
          </cell>
        </row>
        <row r="613">
          <cell r="A613" t="str">
            <v>US_13346</v>
          </cell>
          <cell r="B613" t="str">
            <v>Marfin Analysis/IBG (ESN)</v>
          </cell>
        </row>
        <row r="614">
          <cell r="A614" t="str">
            <v>US_41254</v>
          </cell>
          <cell r="B614" t="str">
            <v>MF Global</v>
          </cell>
        </row>
        <row r="615">
          <cell r="A615" t="str">
            <v>US_65</v>
          </cell>
          <cell r="B615" t="str">
            <v>First Analysis</v>
          </cell>
        </row>
        <row r="616">
          <cell r="A616" t="str">
            <v>US_35566</v>
          </cell>
          <cell r="B616" t="str">
            <v>Soleil Securities</v>
          </cell>
        </row>
        <row r="617">
          <cell r="A617" t="str">
            <v>US_67</v>
          </cell>
          <cell r="B617" t="str">
            <v>Moors &amp; Cabot, Inc.</v>
          </cell>
        </row>
        <row r="618">
          <cell r="A618" t="str">
            <v>US_7945</v>
          </cell>
          <cell r="B618" t="str">
            <v>UniCredit Research</v>
          </cell>
        </row>
        <row r="619">
          <cell r="A619" t="str">
            <v>US_26212</v>
          </cell>
          <cell r="B619" t="str">
            <v>UFJ Captial Markets</v>
          </cell>
        </row>
        <row r="620">
          <cell r="A620" t="str">
            <v>US_31113</v>
          </cell>
          <cell r="B620" t="str">
            <v>Helvea SA</v>
          </cell>
        </row>
        <row r="621">
          <cell r="A621" t="str">
            <v>US_10877</v>
          </cell>
          <cell r="B621" t="str">
            <v>KGI Securities Co. Ltd</v>
          </cell>
        </row>
        <row r="622">
          <cell r="A622" t="str">
            <v>US_24257</v>
          </cell>
          <cell r="B622" t="str">
            <v>National P&amp;K</v>
          </cell>
        </row>
        <row r="623">
          <cell r="A623" t="str">
            <v>US_24256</v>
          </cell>
          <cell r="B623" t="str">
            <v>Nedgroup Securities</v>
          </cell>
        </row>
        <row r="624">
          <cell r="A624" t="str">
            <v>US_32226</v>
          </cell>
          <cell r="B624" t="str">
            <v>UniCredit Research (formerly CA-IB)</v>
          </cell>
        </row>
        <row r="625">
          <cell r="A625" t="str">
            <v>US_25102</v>
          </cell>
          <cell r="B625" t="str">
            <v>Corluy &amp; Co Research</v>
          </cell>
        </row>
        <row r="626">
          <cell r="A626" t="str">
            <v>US_35952</v>
          </cell>
          <cell r="B626" t="str">
            <v>Lewis Charles Securities</v>
          </cell>
        </row>
        <row r="627">
          <cell r="A627" t="str">
            <v>US_30224</v>
          </cell>
          <cell r="B627" t="str">
            <v>Daiwa Securities America</v>
          </cell>
        </row>
        <row r="628">
          <cell r="A628" t="str">
            <v>US_35957</v>
          </cell>
          <cell r="B628" t="str">
            <v>Kestrel Capital (E.A.) Ltd</v>
          </cell>
        </row>
        <row r="629">
          <cell r="A629" t="str">
            <v>US_57</v>
          </cell>
          <cell r="B629" t="str">
            <v>Pacific Crest Securities</v>
          </cell>
        </row>
        <row r="630">
          <cell r="A630" t="str">
            <v>US_55</v>
          </cell>
          <cell r="B630" t="str">
            <v>The Seidler Companies Inc.</v>
          </cell>
        </row>
        <row r="631">
          <cell r="A631" t="str">
            <v>US_54</v>
          </cell>
          <cell r="B631" t="str">
            <v>CIBC World Markets</v>
          </cell>
        </row>
        <row r="632">
          <cell r="A632" t="str">
            <v>US_53</v>
          </cell>
          <cell r="B632" t="str">
            <v>Brown Brothers Harriman &amp; Co.</v>
          </cell>
        </row>
        <row r="633">
          <cell r="A633" t="str">
            <v>US_52</v>
          </cell>
          <cell r="B633" t="str">
            <v>Punk, Ziegel &amp; Company</v>
          </cell>
        </row>
        <row r="634">
          <cell r="A634" t="str">
            <v>US_17994</v>
          </cell>
          <cell r="B634" t="str">
            <v>Fulcrum Global Partners</v>
          </cell>
        </row>
        <row r="635">
          <cell r="A635" t="str">
            <v>US_37853</v>
          </cell>
          <cell r="B635" t="str">
            <v>Beltone Financial</v>
          </cell>
        </row>
        <row r="636">
          <cell r="A636" t="str">
            <v>US_32277</v>
          </cell>
          <cell r="B636" t="str">
            <v>Foresight Capital</v>
          </cell>
        </row>
        <row r="637">
          <cell r="A637" t="str">
            <v>US_32274</v>
          </cell>
          <cell r="B637" t="str">
            <v>Equilor</v>
          </cell>
        </row>
        <row r="638">
          <cell r="A638" t="str">
            <v>US_7557</v>
          </cell>
          <cell r="B638" t="str">
            <v>Johnson Research &amp; Capital Incorporated</v>
          </cell>
        </row>
        <row r="639">
          <cell r="A639" t="str">
            <v>US_20304</v>
          </cell>
          <cell r="B639" t="str">
            <v>ING FM</v>
          </cell>
        </row>
        <row r="640">
          <cell r="A640" t="str">
            <v>US_5274</v>
          </cell>
          <cell r="B640" t="str">
            <v>Credit Suisse - Non- Japan Asia</v>
          </cell>
        </row>
        <row r="641">
          <cell r="A641" t="str">
            <v>US_3559</v>
          </cell>
          <cell r="B641" t="str">
            <v>Southwest Securities</v>
          </cell>
        </row>
        <row r="642">
          <cell r="A642" t="str">
            <v>US_26200</v>
          </cell>
          <cell r="B642" t="str">
            <v>Macquarie First South</v>
          </cell>
        </row>
        <row r="643">
          <cell r="A643" t="str">
            <v>US_46</v>
          </cell>
          <cell r="B643" t="str">
            <v>JPMorgan H &amp; Q</v>
          </cell>
        </row>
        <row r="644">
          <cell r="A644" t="str">
            <v>US_47</v>
          </cell>
          <cell r="B644" t="str">
            <v>Deutsche Bank Research</v>
          </cell>
        </row>
        <row r="645">
          <cell r="A645" t="str">
            <v>US_45</v>
          </cell>
          <cell r="B645" t="str">
            <v>Prudential Volpe Technology Group</v>
          </cell>
        </row>
        <row r="646">
          <cell r="A646" t="str">
            <v>US_42</v>
          </cell>
          <cell r="B646" t="str">
            <v>Adams, Harkness, Inc.</v>
          </cell>
        </row>
        <row r="647">
          <cell r="A647" t="str">
            <v>US_38764</v>
          </cell>
          <cell r="B647" t="str">
            <v>Cenkos Securities</v>
          </cell>
        </row>
        <row r="648">
          <cell r="A648" t="str">
            <v>US_15115</v>
          </cell>
          <cell r="B648" t="str">
            <v>Equity Partners Securities Limited</v>
          </cell>
        </row>
        <row r="649">
          <cell r="A649" t="str">
            <v>US_49997</v>
          </cell>
          <cell r="B649" t="str">
            <v>Kansas City Capital Associates</v>
          </cell>
        </row>
        <row r="650">
          <cell r="A650" t="str">
            <v>US_9669</v>
          </cell>
          <cell r="B650" t="str">
            <v>Sal. Oppenheim jr. &amp; Cie</v>
          </cell>
        </row>
        <row r="651">
          <cell r="A651" t="str">
            <v>US_19236</v>
          </cell>
          <cell r="B651" t="str">
            <v>Mandatum Stockbrokers</v>
          </cell>
        </row>
        <row r="652">
          <cell r="A652" t="str">
            <v>US_15020</v>
          </cell>
          <cell r="B652" t="str">
            <v>Kintisheff Research</v>
          </cell>
        </row>
        <row r="653">
          <cell r="A653" t="str">
            <v>US_32243</v>
          </cell>
          <cell r="B653" t="str">
            <v>CCZ Statton Equities</v>
          </cell>
        </row>
        <row r="654">
          <cell r="A654" t="str">
            <v>US_38917</v>
          </cell>
          <cell r="B654" t="str">
            <v>Charles Stanley</v>
          </cell>
        </row>
        <row r="655">
          <cell r="A655" t="str">
            <v>US_25126</v>
          </cell>
          <cell r="B655" t="str">
            <v>Transandino Research</v>
          </cell>
        </row>
        <row r="656">
          <cell r="A656" t="str">
            <v>US_5200</v>
          </cell>
          <cell r="B656" t="str">
            <v>Daiwa Institute of Research (H.K.) Ltd.</v>
          </cell>
        </row>
        <row r="657">
          <cell r="A657" t="str">
            <v>US_11638</v>
          </cell>
          <cell r="B657" t="str">
            <v>Tradition Asiel</v>
          </cell>
        </row>
        <row r="658">
          <cell r="A658" t="str">
            <v>US_26232</v>
          </cell>
          <cell r="B658" t="str">
            <v>Roe Equity Research, LLC</v>
          </cell>
        </row>
        <row r="659">
          <cell r="A659" t="str">
            <v>US_6881</v>
          </cell>
          <cell r="B659" t="str">
            <v>OCBC Investment Research</v>
          </cell>
        </row>
        <row r="660">
          <cell r="A660" t="str">
            <v>US_35097</v>
          </cell>
          <cell r="B660" t="str">
            <v>Correval S.A.</v>
          </cell>
        </row>
        <row r="661">
          <cell r="A661" t="str">
            <v>US_7950</v>
          </cell>
          <cell r="B661" t="str">
            <v>BlueStone Capital Partners</v>
          </cell>
        </row>
        <row r="662">
          <cell r="A662" t="str">
            <v>US_19478</v>
          </cell>
          <cell r="B662" t="str">
            <v>SBI E2-Capital Securities Ltd.</v>
          </cell>
        </row>
        <row r="663">
          <cell r="A663" t="str">
            <v>US_35228</v>
          </cell>
          <cell r="B663" t="str">
            <v>Guojin / Sinolink Securities Co.,Ltd.</v>
          </cell>
        </row>
        <row r="664">
          <cell r="A664" t="str">
            <v>US_27692</v>
          </cell>
          <cell r="B664" t="str">
            <v>Thompson, Davis &amp; Company</v>
          </cell>
        </row>
        <row r="665">
          <cell r="A665" t="str">
            <v>US_33157</v>
          </cell>
          <cell r="B665" t="str">
            <v>Prospect Investment Company</v>
          </cell>
        </row>
        <row r="666">
          <cell r="A666" t="str">
            <v>US_5219</v>
          </cell>
          <cell r="B666" t="str">
            <v>Macquarie Research</v>
          </cell>
        </row>
        <row r="667">
          <cell r="A667" t="str">
            <v>US_5216</v>
          </cell>
          <cell r="B667" t="str">
            <v>SEB Enskilda</v>
          </cell>
        </row>
        <row r="668">
          <cell r="A668" t="str">
            <v>US_8504</v>
          </cell>
          <cell r="B668" t="str">
            <v>Thomas Weisel Partners LLC</v>
          </cell>
        </row>
        <row r="669">
          <cell r="A669" t="str">
            <v>US_30254</v>
          </cell>
          <cell r="B669" t="str">
            <v>Tong Yang Securities</v>
          </cell>
        </row>
        <row r="670">
          <cell r="A670" t="str">
            <v>US_10758</v>
          </cell>
          <cell r="B670" t="str">
            <v>First Honolulu Securities</v>
          </cell>
        </row>
        <row r="671">
          <cell r="A671" t="str">
            <v>US_248</v>
          </cell>
          <cell r="B671" t="str">
            <v>Ladenburg Thalmann &amp; Co. Inc.</v>
          </cell>
        </row>
        <row r="672">
          <cell r="A672" t="str">
            <v>US_13131</v>
          </cell>
          <cell r="B672" t="str">
            <v>BioScience Securities, Inc.</v>
          </cell>
        </row>
        <row r="673">
          <cell r="A673" t="str">
            <v>US_19424</v>
          </cell>
          <cell r="B673" t="str">
            <v>Meiko National Securities Co. Ltd</v>
          </cell>
        </row>
        <row r="674">
          <cell r="A674" t="str">
            <v>US_10750</v>
          </cell>
          <cell r="B674" t="str">
            <v>Simmons &amp; Company</v>
          </cell>
        </row>
        <row r="675">
          <cell r="A675" t="str">
            <v>US_12796</v>
          </cell>
          <cell r="B675" t="str">
            <v>Oddo Securities</v>
          </cell>
        </row>
        <row r="676">
          <cell r="A676" t="str">
            <v>US_10755</v>
          </cell>
          <cell r="B676" t="str">
            <v>Fondsfinans ASA</v>
          </cell>
        </row>
        <row r="677">
          <cell r="A677" t="str">
            <v>US_13899</v>
          </cell>
          <cell r="B677" t="str">
            <v>FBS Bankiers</v>
          </cell>
        </row>
        <row r="678">
          <cell r="A678" t="str">
            <v>US_35041</v>
          </cell>
          <cell r="B678" t="str">
            <v>SBS Sociedad de Bolsa</v>
          </cell>
        </row>
        <row r="679">
          <cell r="A679" t="str">
            <v>US_10503</v>
          </cell>
          <cell r="B679" t="str">
            <v>Smith, Moore &amp; Co.</v>
          </cell>
        </row>
        <row r="680">
          <cell r="A680" t="str">
            <v>US_33311</v>
          </cell>
          <cell r="B680" t="str">
            <v>GUOYUAN Securities Co., LTD</v>
          </cell>
        </row>
        <row r="681">
          <cell r="A681" t="str">
            <v>US_33312</v>
          </cell>
          <cell r="B681" t="str">
            <v>Pegasus Securities S.A.</v>
          </cell>
        </row>
        <row r="682">
          <cell r="A682" t="str">
            <v>US_6355</v>
          </cell>
          <cell r="B682" t="str">
            <v>La Caixa</v>
          </cell>
        </row>
        <row r="683">
          <cell r="A683" t="str">
            <v>US_34329</v>
          </cell>
          <cell r="B683" t="str">
            <v>Evolution Watterson Securities Ltd.</v>
          </cell>
        </row>
        <row r="684">
          <cell r="A684" t="str">
            <v>US_18208</v>
          </cell>
          <cell r="B684" t="str">
            <v>Redeye</v>
          </cell>
        </row>
        <row r="685">
          <cell r="A685" t="str">
            <v>US_4852</v>
          </cell>
          <cell r="B685" t="str">
            <v>ICEA Securities Limited</v>
          </cell>
        </row>
        <row r="686">
          <cell r="A686" t="str">
            <v>US_35528</v>
          </cell>
          <cell r="B686" t="str">
            <v>Forsyth Barr Limited</v>
          </cell>
        </row>
        <row r="687">
          <cell r="A687" t="str">
            <v>US_31523</v>
          </cell>
          <cell r="B687" t="str">
            <v>M.S. Howells &amp; Co.</v>
          </cell>
        </row>
        <row r="688">
          <cell r="A688" t="str">
            <v>US_6195</v>
          </cell>
          <cell r="B688" t="str">
            <v>Metzler Equities</v>
          </cell>
        </row>
        <row r="689">
          <cell r="A689" t="str">
            <v>US_16705</v>
          </cell>
          <cell r="B689" t="str">
            <v>KBC Securities</v>
          </cell>
        </row>
        <row r="690">
          <cell r="A690" t="str">
            <v>US_38734</v>
          </cell>
          <cell r="B690" t="str">
            <v>First Capital Securities Co.,LTD</v>
          </cell>
        </row>
        <row r="691">
          <cell r="A691" t="str">
            <v>US_6361</v>
          </cell>
          <cell r="B691" t="str">
            <v>Brewin Dolphin</v>
          </cell>
        </row>
        <row r="692">
          <cell r="A692" t="str">
            <v>US_22932</v>
          </cell>
          <cell r="B692" t="str">
            <v>Kotak Securities</v>
          </cell>
        </row>
        <row r="693">
          <cell r="A693" t="str">
            <v>US_5698</v>
          </cell>
          <cell r="B693" t="str">
            <v>Cantor Fitzgerald</v>
          </cell>
        </row>
        <row r="694">
          <cell r="A694" t="str">
            <v>US_17285</v>
          </cell>
          <cell r="B694" t="str">
            <v>Vereins- und Westbank</v>
          </cell>
        </row>
        <row r="695">
          <cell r="A695" t="str">
            <v>US_15033</v>
          </cell>
          <cell r="B695" t="str">
            <v>Tung Tai Securities Co. Ltd</v>
          </cell>
        </row>
        <row r="696">
          <cell r="A696" t="str">
            <v>US_8712</v>
          </cell>
          <cell r="B696" t="str">
            <v>Bahana Securities</v>
          </cell>
        </row>
        <row r="697">
          <cell r="A697" t="str">
            <v>US_3329</v>
          </cell>
          <cell r="B697" t="str">
            <v>Goodbody Stockbrokers</v>
          </cell>
        </row>
        <row r="698">
          <cell r="A698" t="str">
            <v>US_31326</v>
          </cell>
          <cell r="B698" t="str">
            <v>Global Investment House</v>
          </cell>
        </row>
        <row r="699">
          <cell r="A699" t="str">
            <v>US_37668</v>
          </cell>
          <cell r="B699" t="str">
            <v>Keijser Capital</v>
          </cell>
        </row>
        <row r="700">
          <cell r="A700" t="str">
            <v>US_35928</v>
          </cell>
          <cell r="B700" t="str">
            <v>Lanka Orix Securities (Pvt) Ltd.</v>
          </cell>
        </row>
        <row r="701">
          <cell r="A701" t="str">
            <v>US_22482</v>
          </cell>
          <cell r="B701" t="str">
            <v>Yuanta Research</v>
          </cell>
        </row>
        <row r="702">
          <cell r="A702" t="str">
            <v>US_34157</v>
          </cell>
          <cell r="B702" t="str">
            <v>Great Eastern Securities</v>
          </cell>
        </row>
        <row r="703">
          <cell r="A703" t="str">
            <v>US_25384</v>
          </cell>
          <cell r="B703" t="str">
            <v>Decatur Jones Equity Partners</v>
          </cell>
        </row>
        <row r="704">
          <cell r="A704" t="str">
            <v>US_22930</v>
          </cell>
          <cell r="B704" t="str">
            <v>KAF-Seagroatt &amp; Campbell Securities Sdn Bhd</v>
          </cell>
        </row>
        <row r="705">
          <cell r="A705" t="str">
            <v>US_35230</v>
          </cell>
          <cell r="B705" t="str">
            <v>Founder Securities Co.,LTD</v>
          </cell>
        </row>
        <row r="706">
          <cell r="A706" t="str">
            <v>US_30245</v>
          </cell>
          <cell r="B706" t="str">
            <v>Mirae Asset Securities</v>
          </cell>
        </row>
        <row r="707">
          <cell r="A707" t="str">
            <v>US_31823</v>
          </cell>
          <cell r="B707" t="str">
            <v>PINC Research</v>
          </cell>
        </row>
        <row r="708">
          <cell r="A708" t="str">
            <v>US_22934</v>
          </cell>
          <cell r="B708" t="str">
            <v>Millennium Securities</v>
          </cell>
        </row>
        <row r="709">
          <cell r="A709" t="str">
            <v>US_22935</v>
          </cell>
          <cell r="B709" t="str">
            <v>KT ZMICO Securities Company Ltd.</v>
          </cell>
        </row>
        <row r="710">
          <cell r="A710" t="str">
            <v>US_22938</v>
          </cell>
          <cell r="B710" t="str">
            <v>Shaw Stockbroking Ltd.</v>
          </cell>
        </row>
        <row r="711">
          <cell r="A711" t="str">
            <v>US_22939</v>
          </cell>
          <cell r="B711" t="str">
            <v>Taylor Collison Ltd</v>
          </cell>
        </row>
        <row r="712">
          <cell r="A712" t="str">
            <v>US_33348</v>
          </cell>
          <cell r="B712" t="str">
            <v>Beta Securities S.A.</v>
          </cell>
        </row>
        <row r="713">
          <cell r="A713" t="str">
            <v>US_19439</v>
          </cell>
          <cell r="B713" t="str">
            <v>Cohen Bros</v>
          </cell>
        </row>
        <row r="714">
          <cell r="A714" t="str">
            <v>US_30298</v>
          </cell>
          <cell r="B714" t="str">
            <v>Polaris Capital (Asia) Limited</v>
          </cell>
        </row>
        <row r="715">
          <cell r="A715" t="str">
            <v>US_2042</v>
          </cell>
          <cell r="B715" t="str">
            <v>Sutro &amp; Company</v>
          </cell>
        </row>
        <row r="716">
          <cell r="A716" t="str">
            <v>US_22919</v>
          </cell>
          <cell r="B716" t="str">
            <v>Hanwha Securities Co Ltd</v>
          </cell>
        </row>
        <row r="717">
          <cell r="A717" t="str">
            <v>US_24258</v>
          </cell>
          <cell r="B717" t="str">
            <v>Rice Rinaldi Securities (Pty) Ltd</v>
          </cell>
        </row>
        <row r="718">
          <cell r="A718" t="str">
            <v>US_3193</v>
          </cell>
          <cell r="B718" t="str">
            <v>Nomura International PLC</v>
          </cell>
        </row>
        <row r="719">
          <cell r="A719" t="str">
            <v>US_37086</v>
          </cell>
          <cell r="B719" t="str">
            <v>Tristone Capital Inc.</v>
          </cell>
        </row>
        <row r="720">
          <cell r="A720" t="str">
            <v>US_7042</v>
          </cell>
          <cell r="B720" t="str">
            <v>Investec Securities (UK)</v>
          </cell>
        </row>
        <row r="721">
          <cell r="A721" t="str">
            <v>US_26466</v>
          </cell>
          <cell r="B721" t="str">
            <v>Cross Research</v>
          </cell>
        </row>
        <row r="722">
          <cell r="A722" t="str">
            <v>US_22729</v>
          </cell>
          <cell r="B722" t="str">
            <v>Broadpoint AmTech</v>
          </cell>
        </row>
        <row r="723">
          <cell r="A723" t="str">
            <v>US_34780</v>
          </cell>
          <cell r="B723" t="str">
            <v>EFG Istanbul Securities</v>
          </cell>
        </row>
        <row r="724">
          <cell r="A724" t="str">
            <v>US_21064</v>
          </cell>
          <cell r="B724" t="str">
            <v>Motilal Oswal Securities Ltd.</v>
          </cell>
        </row>
        <row r="725">
          <cell r="A725" t="str">
            <v>US_16563</v>
          </cell>
          <cell r="B725" t="str">
            <v>Equity Investigator Limited</v>
          </cell>
        </row>
        <row r="726">
          <cell r="A726" t="str">
            <v>US_5418</v>
          </cell>
          <cell r="B726" t="str">
            <v>Indosuez WI Carr Securities Limited</v>
          </cell>
        </row>
        <row r="727">
          <cell r="A727" t="str">
            <v>US_35005</v>
          </cell>
          <cell r="B727" t="str">
            <v>Ayudhya Securities Public Company Limited</v>
          </cell>
        </row>
        <row r="728">
          <cell r="A728" t="str">
            <v>US_22924</v>
          </cell>
          <cell r="B728" t="str">
            <v>Investsmart India Limited</v>
          </cell>
        </row>
        <row r="729">
          <cell r="A729" t="str">
            <v>US_17294</v>
          </cell>
          <cell r="B729" t="str">
            <v>Geracao Corretora</v>
          </cell>
        </row>
        <row r="730">
          <cell r="A730" t="str">
            <v>US_27230</v>
          </cell>
          <cell r="B730" t="str">
            <v>Finansinvest</v>
          </cell>
        </row>
        <row r="731">
          <cell r="A731" t="str">
            <v>US_9497</v>
          </cell>
          <cell r="B731" t="str">
            <v>Sidoti &amp; Company</v>
          </cell>
        </row>
        <row r="732">
          <cell r="A732" t="str">
            <v>US_25368</v>
          </cell>
          <cell r="B732" t="str">
            <v>Credit Suisse Standard Securities</v>
          </cell>
        </row>
        <row r="733">
          <cell r="A733" t="str">
            <v>US_25369</v>
          </cell>
          <cell r="B733" t="str">
            <v>Maxcor Financial</v>
          </cell>
        </row>
        <row r="734">
          <cell r="A734" t="str">
            <v>US_9493</v>
          </cell>
          <cell r="B734" t="str">
            <v>South China Brokerage</v>
          </cell>
        </row>
        <row r="735">
          <cell r="A735" t="str">
            <v>US_9791</v>
          </cell>
          <cell r="B735" t="str">
            <v>Bank Sarasin &amp; Company</v>
          </cell>
        </row>
        <row r="736">
          <cell r="A736" t="str">
            <v>US_16515</v>
          </cell>
          <cell r="B736" t="str">
            <v>Mercury Partners LLC</v>
          </cell>
        </row>
        <row r="737">
          <cell r="A737" t="str">
            <v>US_22917</v>
          </cell>
          <cell r="B737" t="str">
            <v>KB Investment &amp; Securities</v>
          </cell>
        </row>
        <row r="738">
          <cell r="A738" t="str">
            <v>US_16742</v>
          </cell>
          <cell r="B738" t="str">
            <v>Schneider Securities, Inc.</v>
          </cell>
        </row>
        <row r="739">
          <cell r="A739" t="str">
            <v>US_49932</v>
          </cell>
          <cell r="B739" t="str">
            <v>Religare Hichens Harrison</v>
          </cell>
        </row>
        <row r="740">
          <cell r="A740" t="str">
            <v>US_30455</v>
          </cell>
          <cell r="B740" t="str">
            <v>Proton Securities</v>
          </cell>
        </row>
        <row r="741">
          <cell r="A741" t="str">
            <v>US_25365</v>
          </cell>
          <cell r="B741" t="str">
            <v>J.B. Hanauer &amp; Co.</v>
          </cell>
        </row>
        <row r="742">
          <cell r="A742" t="str">
            <v>US_19297</v>
          </cell>
          <cell r="B742" t="str">
            <v>Century Securities Co.,Ltd.</v>
          </cell>
        </row>
        <row r="743">
          <cell r="A743" t="str">
            <v>US_7937</v>
          </cell>
          <cell r="B743" t="str">
            <v>CJS Securities</v>
          </cell>
        </row>
        <row r="744">
          <cell r="A744" t="str">
            <v>US_9007</v>
          </cell>
          <cell r="B744" t="str">
            <v>Asset Plus Securities Company Limited</v>
          </cell>
        </row>
        <row r="745">
          <cell r="A745" t="str">
            <v>US_33362</v>
          </cell>
          <cell r="B745" t="str">
            <v>Kepler Capital Markets</v>
          </cell>
        </row>
        <row r="746">
          <cell r="A746" t="str">
            <v>US_11267</v>
          </cell>
          <cell r="B746" t="str">
            <v>Altium Securities</v>
          </cell>
        </row>
        <row r="747">
          <cell r="A747" t="str">
            <v>US_7069</v>
          </cell>
          <cell r="B747" t="str">
            <v>Dougherty &amp; Company LLC</v>
          </cell>
        </row>
        <row r="748">
          <cell r="A748" t="str">
            <v>US_22925</v>
          </cell>
          <cell r="B748" t="str">
            <v>J M Sassoon &amp; Co (Pte) Ltd</v>
          </cell>
        </row>
        <row r="749">
          <cell r="A749" t="str">
            <v>US_20038</v>
          </cell>
          <cell r="B749" t="str">
            <v>Oriental Patron Securities Ltd</v>
          </cell>
        </row>
        <row r="750">
          <cell r="A750" t="str">
            <v>US_31837</v>
          </cell>
          <cell r="B750" t="str">
            <v>IDBI Capital Market Services Ltd</v>
          </cell>
        </row>
        <row r="751">
          <cell r="A751" t="str">
            <v>US_22929</v>
          </cell>
          <cell r="B751" t="str">
            <v>K&amp;N Kenanga Research Sdn Bhd</v>
          </cell>
        </row>
        <row r="752">
          <cell r="A752" t="str">
            <v>US_6495</v>
          </cell>
          <cell r="B752" t="str">
            <v>Credit Suisse First Boston - Australia</v>
          </cell>
        </row>
        <row r="753">
          <cell r="A753" t="str">
            <v>US_31838</v>
          </cell>
          <cell r="B753" t="str">
            <v>Religare Securities Limited</v>
          </cell>
        </row>
        <row r="754">
          <cell r="A754" t="str">
            <v>US_28468</v>
          </cell>
          <cell r="B754" t="str">
            <v>Vintage Research, LLC</v>
          </cell>
        </row>
        <row r="755">
          <cell r="A755" t="str">
            <v>US_10732</v>
          </cell>
          <cell r="B755" t="str">
            <v>Oscar Gruss &amp; Son Inc.</v>
          </cell>
        </row>
        <row r="756">
          <cell r="A756" t="str">
            <v>US_10731</v>
          </cell>
          <cell r="B756" t="str">
            <v>Brean Murray &amp; Co., Inc.</v>
          </cell>
        </row>
        <row r="757">
          <cell r="A757" t="str">
            <v>US_20148</v>
          </cell>
          <cell r="B757" t="str">
            <v>Bluefire Research</v>
          </cell>
        </row>
        <row r="758">
          <cell r="A758" t="str">
            <v>US_38409</v>
          </cell>
          <cell r="B758" t="str">
            <v>Chapdelaine Institutional Equities</v>
          </cell>
        </row>
        <row r="759">
          <cell r="A759" t="str">
            <v>US_17081</v>
          </cell>
          <cell r="B759" t="str">
            <v>SOMA Partners, LLC</v>
          </cell>
        </row>
        <row r="760">
          <cell r="A760" t="str">
            <v>US_22906</v>
          </cell>
          <cell r="B760" t="str">
            <v>CIMB Securities Sdn Bhd</v>
          </cell>
        </row>
        <row r="761">
          <cell r="A761" t="str">
            <v>US_22443</v>
          </cell>
          <cell r="B761" t="str">
            <v>Goldsmith &amp; Harris</v>
          </cell>
        </row>
        <row r="762">
          <cell r="A762" t="str">
            <v>US_22444</v>
          </cell>
          <cell r="B762" t="str">
            <v>Jackson Securities (Historical)</v>
          </cell>
        </row>
        <row r="763">
          <cell r="A763" t="str">
            <v>US_31864</v>
          </cell>
          <cell r="B763" t="str">
            <v>Angel Broking Limited</v>
          </cell>
        </row>
        <row r="764">
          <cell r="A764" t="str">
            <v>US_15753</v>
          </cell>
          <cell r="B764" t="str">
            <v>Strain Consultants, Inc.</v>
          </cell>
        </row>
        <row r="765">
          <cell r="A765" t="str">
            <v>US_22972</v>
          </cell>
          <cell r="B765" t="str">
            <v>Susquehanna Financial Group LLLP</v>
          </cell>
        </row>
        <row r="766">
          <cell r="A766" t="str">
            <v>US_4570</v>
          </cell>
          <cell r="B766" t="str">
            <v>Keefe, Bruyette &amp; Woods, Inc.</v>
          </cell>
        </row>
        <row r="767">
          <cell r="A767" t="str">
            <v>US_31860</v>
          </cell>
          <cell r="B767" t="str">
            <v>IL &amp; FS Investsmart Limited</v>
          </cell>
        </row>
        <row r="768">
          <cell r="A768" t="str">
            <v>US_41470</v>
          </cell>
          <cell r="B768" t="str">
            <v>Pharos Research</v>
          </cell>
        </row>
        <row r="769">
          <cell r="A769" t="str">
            <v>US_10133</v>
          </cell>
          <cell r="B769" t="str">
            <v>BMO Capital Markets U.S</v>
          </cell>
        </row>
        <row r="770">
          <cell r="A770" t="str">
            <v>US_9067</v>
          </cell>
          <cell r="B770" t="str">
            <v>Rodman &amp; Renshaw, Inc.</v>
          </cell>
        </row>
        <row r="771">
          <cell r="A771" t="str">
            <v>US_27825</v>
          </cell>
          <cell r="B771" t="str">
            <v>Caixa BI (ESN)</v>
          </cell>
        </row>
        <row r="772">
          <cell r="A772" t="str">
            <v>US_22956</v>
          </cell>
          <cell r="B772" t="str">
            <v>Aitken Campbell &amp; Company Limited</v>
          </cell>
        </row>
        <row r="773">
          <cell r="A773" t="str">
            <v>US_7998</v>
          </cell>
          <cell r="B773" t="str">
            <v>Pictet &amp; Cie</v>
          </cell>
        </row>
        <row r="774">
          <cell r="A774" t="str">
            <v>US_22902</v>
          </cell>
          <cell r="B774" t="str">
            <v>Abacus Securities Corporation</v>
          </cell>
        </row>
        <row r="775">
          <cell r="A775" t="str">
            <v>US_25095</v>
          </cell>
          <cell r="B775" t="str">
            <v>Rathbone Neilson Cobbold Limited</v>
          </cell>
        </row>
        <row r="776">
          <cell r="A776" t="str">
            <v>US_24482</v>
          </cell>
          <cell r="B776" t="str">
            <v>Kim &amp; Company LLC</v>
          </cell>
        </row>
        <row r="777">
          <cell r="A777" t="str">
            <v>US_22904</v>
          </cell>
          <cell r="B777" t="str">
            <v>Affin Securities Sdn Bhd</v>
          </cell>
        </row>
        <row r="778">
          <cell r="A778" t="str">
            <v>US_31853</v>
          </cell>
          <cell r="B778" t="str">
            <v>Nord/LB</v>
          </cell>
        </row>
        <row r="779">
          <cell r="A779" t="str">
            <v>US_22908</v>
          </cell>
          <cell r="B779" t="str">
            <v>Citisecurities Inc</v>
          </cell>
        </row>
        <row r="780">
          <cell r="A780" t="str">
            <v>US_31884</v>
          </cell>
          <cell r="B780" t="str">
            <v>Mangal Keshav Securities Limited</v>
          </cell>
        </row>
        <row r="781">
          <cell r="A781" t="str">
            <v>US_21260</v>
          </cell>
          <cell r="B781" t="str">
            <v>FORUN Technologies</v>
          </cell>
        </row>
        <row r="782">
          <cell r="A782" t="str">
            <v>US_31109</v>
          </cell>
          <cell r="B782" t="str">
            <v>Leader &amp; Co (Leader Capital Markets Group)</v>
          </cell>
        </row>
        <row r="783">
          <cell r="A783" t="str">
            <v>US_31108</v>
          </cell>
          <cell r="B783" t="str">
            <v>Publikum</v>
          </cell>
        </row>
        <row r="784">
          <cell r="A784" t="str">
            <v>US_5600</v>
          </cell>
          <cell r="B784" t="str">
            <v>Equita SIM</v>
          </cell>
        </row>
        <row r="785">
          <cell r="A785" t="str">
            <v>US_5451</v>
          </cell>
          <cell r="B785" t="str">
            <v>Bear Stearns &amp; Co. Inc.</v>
          </cell>
        </row>
        <row r="786">
          <cell r="A786" t="str">
            <v>US_22957</v>
          </cell>
          <cell r="B786" t="str">
            <v>Bayerische Landesbank Girozentrale</v>
          </cell>
        </row>
        <row r="787">
          <cell r="A787" t="str">
            <v>US_17255</v>
          </cell>
          <cell r="B787" t="str">
            <v>Coinvalores S.A.</v>
          </cell>
        </row>
        <row r="788">
          <cell r="A788" t="str">
            <v>US_35361</v>
          </cell>
          <cell r="B788" t="str">
            <v>The National Investor (TNI)</v>
          </cell>
        </row>
        <row r="789">
          <cell r="A789" t="str">
            <v>US_7011</v>
          </cell>
          <cell r="B789" t="str">
            <v>UBS Pactual</v>
          </cell>
        </row>
        <row r="790">
          <cell r="A790" t="str">
            <v>US_38504</v>
          </cell>
          <cell r="B790" t="str">
            <v>Jjana Research</v>
          </cell>
        </row>
        <row r="791">
          <cell r="A791" t="str">
            <v>US_32804</v>
          </cell>
          <cell r="B791" t="str">
            <v>Axia Financial Research</v>
          </cell>
        </row>
        <row r="792">
          <cell r="A792" t="str">
            <v>US_22958</v>
          </cell>
          <cell r="B792" t="str">
            <v>Bell Lawrie White &amp; Co</v>
          </cell>
        </row>
        <row r="793">
          <cell r="A793" t="str">
            <v>US_24622</v>
          </cell>
          <cell r="B793" t="str">
            <v>Meritz Securities</v>
          </cell>
        </row>
        <row r="794">
          <cell r="A794" t="str">
            <v>US_24623</v>
          </cell>
          <cell r="B794" t="str">
            <v>DnB Markets</v>
          </cell>
        </row>
        <row r="795">
          <cell r="A795" t="str">
            <v>US_6112</v>
          </cell>
          <cell r="B795" t="str">
            <v>Swedbank Markets</v>
          </cell>
        </row>
        <row r="796">
          <cell r="A796" t="str">
            <v>US_12553</v>
          </cell>
          <cell r="B796" t="str">
            <v>Burkenroad Reports</v>
          </cell>
        </row>
        <row r="797">
          <cell r="A797" t="str">
            <v>US_12555</v>
          </cell>
          <cell r="B797" t="str">
            <v>UniCredit Research (formerly Aton)</v>
          </cell>
        </row>
        <row r="798">
          <cell r="A798" t="str">
            <v>US_5616</v>
          </cell>
          <cell r="B798" t="str">
            <v>Baird</v>
          </cell>
        </row>
        <row r="799">
          <cell r="A799" t="str">
            <v>US_29922</v>
          </cell>
          <cell r="B799" t="str">
            <v>FIM</v>
          </cell>
        </row>
        <row r="800">
          <cell r="A800" t="str">
            <v>US_7025</v>
          </cell>
          <cell r="B800" t="str">
            <v>Jardine Fleming Securities Ltd. (HK)</v>
          </cell>
        </row>
        <row r="801">
          <cell r="A801" t="str">
            <v>US_16542</v>
          </cell>
          <cell r="B801" t="str">
            <v>Lazard &amp; Co., Limited</v>
          </cell>
        </row>
        <row r="802">
          <cell r="A802" t="str">
            <v>US_7023</v>
          </cell>
          <cell r="B802" t="str">
            <v>Ord Minnett Securities Ltd. (Australia)</v>
          </cell>
        </row>
        <row r="803">
          <cell r="A803" t="str">
            <v>US_6168</v>
          </cell>
          <cell r="B803" t="str">
            <v>New Japan Securities Europe Limited</v>
          </cell>
        </row>
        <row r="804">
          <cell r="A804" t="str">
            <v>US_24619</v>
          </cell>
          <cell r="B804" t="str">
            <v>Fraser Securities Pte Ltd</v>
          </cell>
        </row>
        <row r="805">
          <cell r="A805" t="str">
            <v>US_32855</v>
          </cell>
          <cell r="B805" t="str">
            <v>Hamburger Sparkasse (HASPA)</v>
          </cell>
        </row>
        <row r="806">
          <cell r="A806" t="str">
            <v>US_776</v>
          </cell>
          <cell r="B806" t="str">
            <v>Offutt Securities</v>
          </cell>
        </row>
        <row r="807">
          <cell r="A807" t="str">
            <v>US_6162</v>
          </cell>
          <cell r="B807" t="str">
            <v>Corinthian Partners</v>
          </cell>
        </row>
        <row r="808">
          <cell r="A808" t="str">
            <v>US_38533</v>
          </cell>
          <cell r="B808" t="str">
            <v>Weeden &amp; Co.</v>
          </cell>
        </row>
        <row r="809">
          <cell r="A809" t="str">
            <v>US_24610</v>
          </cell>
          <cell r="B809" t="str">
            <v>Dharmala Securities Co Ltd</v>
          </cell>
        </row>
        <row r="810">
          <cell r="A810" t="str">
            <v>US_24617</v>
          </cell>
          <cell r="B810" t="str">
            <v>KLB Securities</v>
          </cell>
        </row>
        <row r="811">
          <cell r="A811" t="str">
            <v>US_24616</v>
          </cell>
          <cell r="B811" t="str">
            <v>Delbrueck &amp; Co Research</v>
          </cell>
        </row>
        <row r="812">
          <cell r="A812" t="str">
            <v>US_24615</v>
          </cell>
          <cell r="B812" t="str">
            <v>LGT Bank in Linchtenstein</v>
          </cell>
        </row>
        <row r="813">
          <cell r="A813" t="str">
            <v>US_24614</v>
          </cell>
          <cell r="B813" t="str">
            <v>Bicuben Girobank AS</v>
          </cell>
        </row>
        <row r="814">
          <cell r="A814" t="str">
            <v>US_29724</v>
          </cell>
          <cell r="B814" t="str">
            <v>Banif Primus Corretora de Valores S.A</v>
          </cell>
        </row>
        <row r="815">
          <cell r="A815" t="str">
            <v>US_22653</v>
          </cell>
          <cell r="B815" t="str">
            <v>Gilford Securities</v>
          </cell>
        </row>
        <row r="816">
          <cell r="A816" t="str">
            <v>US_22404</v>
          </cell>
          <cell r="B816" t="str">
            <v>McAlpine Associates LLC.</v>
          </cell>
        </row>
        <row r="817">
          <cell r="A817" t="str">
            <v>US_20692</v>
          </cell>
          <cell r="B817" t="str">
            <v>Vestigo-Fidelity Capital Markets</v>
          </cell>
        </row>
        <row r="818">
          <cell r="A818" t="str">
            <v>US_22940</v>
          </cell>
          <cell r="B818" t="str">
            <v>Tai Fook Research Limited</v>
          </cell>
        </row>
        <row r="819">
          <cell r="A819" t="str">
            <v>US_13415</v>
          </cell>
          <cell r="B819" t="str">
            <v>Janco Partners, Inc.</v>
          </cell>
        </row>
        <row r="820">
          <cell r="A820" t="str">
            <v>US_25049</v>
          </cell>
          <cell r="B820" t="str">
            <v>Banco Mello - M Valores SF de C SA</v>
          </cell>
        </row>
        <row r="821">
          <cell r="A821" t="str">
            <v>US_41627</v>
          </cell>
          <cell r="B821" t="str">
            <v>Spark Capital Advisors(India) Private Limited</v>
          </cell>
        </row>
        <row r="822">
          <cell r="A822" t="str">
            <v>US_38261</v>
          </cell>
          <cell r="B822" t="str">
            <v>Noor Capital P.S.C.</v>
          </cell>
        </row>
        <row r="823">
          <cell r="A823" t="str">
            <v>US_9211</v>
          </cell>
          <cell r="B823" t="str">
            <v>Goldman Sachs Research</v>
          </cell>
        </row>
        <row r="824">
          <cell r="A824" t="str">
            <v>US_25301</v>
          </cell>
          <cell r="B824" t="str">
            <v>21st Century Equity Research</v>
          </cell>
        </row>
        <row r="825">
          <cell r="A825" t="str">
            <v>US_14253</v>
          </cell>
          <cell r="B825" t="str">
            <v>Emerging Growth Equities , Ltd.</v>
          </cell>
        </row>
        <row r="826">
          <cell r="A826" t="str">
            <v>US_3350</v>
          </cell>
          <cell r="B826" t="str">
            <v>Roney &amp; Company</v>
          </cell>
        </row>
        <row r="827">
          <cell r="A827" t="str">
            <v>US_36750</v>
          </cell>
          <cell r="B827" t="str">
            <v>Asia Securities (Pvt) Ltd</v>
          </cell>
        </row>
        <row r="828">
          <cell r="A828" t="str">
            <v>US_25045</v>
          </cell>
          <cell r="B828" t="str">
            <v>Lloyds Securities Ltd</v>
          </cell>
        </row>
        <row r="829">
          <cell r="A829" t="str">
            <v>US_43626</v>
          </cell>
          <cell r="B829" t="str">
            <v>Raymond James Euro Equities</v>
          </cell>
        </row>
        <row r="830">
          <cell r="A830" t="str">
            <v>US_24607</v>
          </cell>
          <cell r="B830" t="str">
            <v>Banco Bozano Simonsen</v>
          </cell>
        </row>
        <row r="831">
          <cell r="A831" t="str">
            <v>US_7994</v>
          </cell>
          <cell r="B831" t="str">
            <v>Goldman Sachs JBWere Pty Ltd.</v>
          </cell>
        </row>
        <row r="832">
          <cell r="A832" t="str">
            <v>US_32758</v>
          </cell>
          <cell r="B832" t="str">
            <v>Evli Bank</v>
          </cell>
        </row>
        <row r="833">
          <cell r="A833" t="str">
            <v>US_7638</v>
          </cell>
          <cell r="B833" t="str">
            <v>Danske Markets Equities (ESN)</v>
          </cell>
        </row>
        <row r="834">
          <cell r="A834" t="str">
            <v>US_875</v>
          </cell>
          <cell r="B834" t="str">
            <v>Bank Vontobel AG</v>
          </cell>
        </row>
        <row r="835">
          <cell r="A835" t="str">
            <v>US_25148</v>
          </cell>
          <cell r="B835" t="str">
            <v>Zverina &amp; Belohlavek Ltd</v>
          </cell>
        </row>
        <row r="836">
          <cell r="A836" t="str">
            <v>US_3732</v>
          </cell>
          <cell r="B836" t="str">
            <v>Griffin Securities, Inc.</v>
          </cell>
        </row>
        <row r="837">
          <cell r="A837" t="str">
            <v>US_30219</v>
          </cell>
          <cell r="B837" t="str">
            <v>Daehan Investment Securities</v>
          </cell>
        </row>
        <row r="838">
          <cell r="A838" t="str">
            <v>US_29949</v>
          </cell>
          <cell r="B838" t="str">
            <v>Wolverton Capital Markets</v>
          </cell>
        </row>
        <row r="839">
          <cell r="A839" t="str">
            <v>US_22946</v>
          </cell>
          <cell r="B839" t="str">
            <v>Tolhurst Noall Ltd</v>
          </cell>
        </row>
        <row r="840">
          <cell r="A840" t="str">
            <v>US_4730</v>
          </cell>
          <cell r="B840" t="str">
            <v>Carnegie Investment Bank AB</v>
          </cell>
        </row>
        <row r="841">
          <cell r="A841" t="str">
            <v>US_30792</v>
          </cell>
          <cell r="B841" t="str">
            <v>CITIC Securities</v>
          </cell>
        </row>
        <row r="842">
          <cell r="A842" t="str">
            <v>US_27658</v>
          </cell>
          <cell r="B842" t="str">
            <v>Terra Nova Institutional</v>
          </cell>
        </row>
        <row r="843">
          <cell r="A843" t="str">
            <v>US_25144</v>
          </cell>
          <cell r="B843" t="str">
            <v>Indosurya Securities</v>
          </cell>
        </row>
        <row r="844">
          <cell r="A844" t="str">
            <v>US_25145</v>
          </cell>
          <cell r="B844" t="str">
            <v>Sevis SA</v>
          </cell>
        </row>
        <row r="845">
          <cell r="A845" t="str">
            <v>US_18815</v>
          </cell>
          <cell r="B845" t="str">
            <v>Golden Capital Securities Ltd.</v>
          </cell>
        </row>
        <row r="846">
          <cell r="A846" t="str">
            <v>US_19637</v>
          </cell>
          <cell r="B846" t="str">
            <v>Ohman Equities</v>
          </cell>
        </row>
        <row r="847">
          <cell r="A847" t="str">
            <v>US_31891</v>
          </cell>
          <cell r="B847" t="str">
            <v>Bonanza Portfolio Limited</v>
          </cell>
        </row>
        <row r="848">
          <cell r="A848" t="str">
            <v>US_25051</v>
          </cell>
          <cell r="B848" t="str">
            <v>Porter Western Ltd</v>
          </cell>
        </row>
        <row r="849">
          <cell r="A849" t="str">
            <v>US_31149</v>
          </cell>
          <cell r="B849" t="str">
            <v>Benchmark Company LLC, The</v>
          </cell>
        </row>
        <row r="850">
          <cell r="A850" t="str">
            <v>US_29704</v>
          </cell>
          <cell r="B850" t="str">
            <v>Planner Corretora de Valores S/A</v>
          </cell>
        </row>
        <row r="851">
          <cell r="A851" t="str">
            <v>US_9936</v>
          </cell>
          <cell r="B851" t="str">
            <v>Tunisie Valeurs</v>
          </cell>
        </row>
        <row r="852">
          <cell r="A852" t="str">
            <v>US_36749</v>
          </cell>
          <cell r="B852" t="str">
            <v>Singer Capital Markets, Ltd.</v>
          </cell>
        </row>
        <row r="853">
          <cell r="A853" t="str">
            <v>US_868</v>
          </cell>
          <cell r="B853" t="str">
            <v>Natixis Bleichroeder Inc.</v>
          </cell>
        </row>
        <row r="854">
          <cell r="A854" t="str">
            <v>US_40933</v>
          </cell>
          <cell r="B854" t="str">
            <v>Bradesco S.A Corretora</v>
          </cell>
        </row>
        <row r="855">
          <cell r="A855" t="str">
            <v>US_22990</v>
          </cell>
          <cell r="B855" t="str">
            <v>Grupo Financiero Banamex-Accival</v>
          </cell>
        </row>
        <row r="856">
          <cell r="A856" t="str">
            <v>US_22991</v>
          </cell>
          <cell r="B856" t="str">
            <v>Maxim Group</v>
          </cell>
        </row>
        <row r="857">
          <cell r="A857" t="str">
            <v>US_3684</v>
          </cell>
          <cell r="B857" t="str">
            <v>Daiwa (Europe)</v>
          </cell>
        </row>
        <row r="858">
          <cell r="A858" t="str">
            <v>US_21507</v>
          </cell>
          <cell r="B858" t="str">
            <v>Millennium Capital</v>
          </cell>
        </row>
        <row r="859">
          <cell r="A859" t="str">
            <v>US_38314</v>
          </cell>
          <cell r="B859" t="str">
            <v>AFS Brokers</v>
          </cell>
        </row>
        <row r="860">
          <cell r="A860" t="str">
            <v>US_22668</v>
          </cell>
          <cell r="B860" t="str">
            <v>Longbow Research</v>
          </cell>
        </row>
        <row r="861">
          <cell r="A861" t="str">
            <v>US_24618</v>
          </cell>
          <cell r="B861" t="str">
            <v>Phileo Allied Securities Sdn Bhd</v>
          </cell>
        </row>
        <row r="862">
          <cell r="A862" t="str">
            <v>US_5657</v>
          </cell>
          <cell r="B862" t="str">
            <v>Cognosco Publishing</v>
          </cell>
        </row>
        <row r="863">
          <cell r="A863" t="str">
            <v>US_17041</v>
          </cell>
          <cell r="B863" t="str">
            <v>Inverseguros</v>
          </cell>
        </row>
        <row r="864">
          <cell r="A864" t="str">
            <v>US_2341</v>
          </cell>
          <cell r="B864" t="str">
            <v>FBR Capital Markets &amp; Co.</v>
          </cell>
        </row>
        <row r="865">
          <cell r="A865" t="str">
            <v>US_29960</v>
          </cell>
          <cell r="B865" t="str">
            <v>New York Global Securities, Ltd.</v>
          </cell>
        </row>
        <row r="866">
          <cell r="A866" t="str">
            <v>US_42511</v>
          </cell>
          <cell r="B866" t="str">
            <v>PENTA Estrategia &amp; Inversiones</v>
          </cell>
        </row>
        <row r="867">
          <cell r="A867" t="str">
            <v>US_582</v>
          </cell>
          <cell r="B867" t="str">
            <v>TD Securities, Inc.</v>
          </cell>
        </row>
        <row r="868">
          <cell r="A868" t="str">
            <v>US_47524</v>
          </cell>
          <cell r="B868" t="str">
            <v>Centrum Broking Private Limited</v>
          </cell>
        </row>
        <row r="869">
          <cell r="A869" t="str">
            <v>US_4915</v>
          </cell>
          <cell r="B869" t="str">
            <v>Chicago Management Research Advisers, LLC</v>
          </cell>
        </row>
        <row r="870">
          <cell r="A870" t="str">
            <v>US_32718</v>
          </cell>
          <cell r="B870" t="str">
            <v>United Securities LLC</v>
          </cell>
        </row>
        <row r="871">
          <cell r="A871" t="str">
            <v>US_12875</v>
          </cell>
          <cell r="B871" t="str">
            <v>Bankgesellschaft Berlin</v>
          </cell>
        </row>
        <row r="872">
          <cell r="A872" t="str">
            <v>US_4910</v>
          </cell>
          <cell r="B872" t="str">
            <v>H&amp;R Block Financial Advisors</v>
          </cell>
        </row>
        <row r="873">
          <cell r="A873" t="str">
            <v>US_22989</v>
          </cell>
          <cell r="B873" t="str">
            <v>Gestion NV</v>
          </cell>
        </row>
        <row r="874">
          <cell r="A874" t="str">
            <v>US_1090</v>
          </cell>
          <cell r="B874" t="str">
            <v>C.L. King &amp; Associates</v>
          </cell>
        </row>
        <row r="875">
          <cell r="A875" t="str">
            <v>US_25151</v>
          </cell>
          <cell r="B875" t="str">
            <v>IB Austria Securities</v>
          </cell>
        </row>
        <row r="876">
          <cell r="A876" t="str">
            <v>US_25150</v>
          </cell>
          <cell r="B876" t="str">
            <v>Panmure Gordon &amp; Co Ltd</v>
          </cell>
        </row>
        <row r="877">
          <cell r="A877" t="str">
            <v>US_24419</v>
          </cell>
          <cell r="B877" t="str">
            <v>Asia Securities Inc</v>
          </cell>
        </row>
        <row r="878">
          <cell r="A878" t="str">
            <v>US_3169</v>
          </cell>
          <cell r="B878" t="str">
            <v>Kempen &amp; Co</v>
          </cell>
        </row>
        <row r="879">
          <cell r="A879" t="str">
            <v>US_22982</v>
          </cell>
          <cell r="B879" t="str">
            <v>Centura SAB</v>
          </cell>
        </row>
        <row r="880">
          <cell r="A880" t="str">
            <v>US_41662</v>
          </cell>
          <cell r="B880" t="str">
            <v>Finansia Syrus Securities Plc</v>
          </cell>
        </row>
        <row r="881">
          <cell r="A881" t="str">
            <v>US_12194</v>
          </cell>
          <cell r="B881" t="str">
            <v>Consors France</v>
          </cell>
        </row>
        <row r="882">
          <cell r="A882" t="str">
            <v>US_24411</v>
          </cell>
          <cell r="B882" t="str">
            <v>Amsteel Securities (HK) Ltd</v>
          </cell>
        </row>
        <row r="883">
          <cell r="A883" t="str">
            <v>US_24410</v>
          </cell>
          <cell r="B883" t="str">
            <v>All Asia Securities Management Corporation</v>
          </cell>
        </row>
        <row r="884">
          <cell r="A884" t="str">
            <v>US_24413</v>
          </cell>
          <cell r="B884" t="str">
            <v>Angping &amp; Associates Securities Inc</v>
          </cell>
        </row>
        <row r="885">
          <cell r="A885" t="str">
            <v>US_28269</v>
          </cell>
          <cell r="B885" t="str">
            <v>Muriel Siebert &amp; Co.</v>
          </cell>
        </row>
        <row r="886">
          <cell r="A886" t="str">
            <v>US_24415</v>
          </cell>
          <cell r="B886" t="str">
            <v>Anscor Hagedorn Securities Inc</v>
          </cell>
        </row>
        <row r="887">
          <cell r="A887" t="str">
            <v>US_27735</v>
          </cell>
          <cell r="B887" t="str">
            <v>IS Investment</v>
          </cell>
        </row>
        <row r="888">
          <cell r="A888" t="str">
            <v>US_24417</v>
          </cell>
          <cell r="B888" t="str">
            <v>Asia Financial</v>
          </cell>
        </row>
        <row r="889">
          <cell r="A889" t="str">
            <v>US_24416</v>
          </cell>
          <cell r="B889" t="str">
            <v>Aragon Fond</v>
          </cell>
        </row>
        <row r="890">
          <cell r="A890" t="str">
            <v>US_25007</v>
          </cell>
          <cell r="B890" t="str">
            <v>Elixir Securities Pakistan (Pvt.) Limited</v>
          </cell>
        </row>
        <row r="891">
          <cell r="A891" t="str">
            <v>US_24640</v>
          </cell>
          <cell r="B891" t="str">
            <v>Tower Capital &amp; Securities</v>
          </cell>
        </row>
        <row r="892">
          <cell r="A892" t="str">
            <v>US_554</v>
          </cell>
          <cell r="B892" t="str">
            <v>Morgan Keegan &amp; Company, Inc.</v>
          </cell>
        </row>
        <row r="893">
          <cell r="A893" t="str">
            <v>US_32719</v>
          </cell>
          <cell r="B893" t="str">
            <v>Iberian Equities A.V.,S.A.</v>
          </cell>
        </row>
        <row r="894">
          <cell r="A894" t="str">
            <v>US_29714</v>
          </cell>
          <cell r="B894" t="str">
            <v>GF Securities Co.Ltd</v>
          </cell>
        </row>
        <row r="895">
          <cell r="A895" t="str">
            <v>US_37235</v>
          </cell>
          <cell r="B895" t="str">
            <v>INTERBANCA S.p.A.</v>
          </cell>
        </row>
        <row r="896">
          <cell r="A896" t="str">
            <v>US_25108</v>
          </cell>
          <cell r="B896" t="str">
            <v>Harris Allday</v>
          </cell>
        </row>
        <row r="897">
          <cell r="A897" t="str">
            <v>US_25109</v>
          </cell>
          <cell r="B897" t="str">
            <v>Codan Bank</v>
          </cell>
        </row>
        <row r="898">
          <cell r="A898" t="str">
            <v>US_8358</v>
          </cell>
          <cell r="B898" t="str">
            <v>Arab Malaysia Securities Sdn Bhd</v>
          </cell>
        </row>
        <row r="899">
          <cell r="A899" t="str">
            <v>US_108</v>
          </cell>
          <cell r="B899" t="str">
            <v>Green Street Advisors, Inc.</v>
          </cell>
        </row>
        <row r="900">
          <cell r="A900" t="str">
            <v>US_17074</v>
          </cell>
          <cell r="B900" t="str">
            <v>Natixis Securities</v>
          </cell>
        </row>
        <row r="901">
          <cell r="A901" t="str">
            <v>US_25106</v>
          </cell>
          <cell r="B901" t="str">
            <v>Nikko Research Centre Ltd</v>
          </cell>
        </row>
        <row r="902">
          <cell r="A902" t="str">
            <v>US_7671</v>
          </cell>
          <cell r="B902" t="str">
            <v>Wells Fargo Securities, LLC</v>
          </cell>
        </row>
        <row r="903">
          <cell r="A903" t="str">
            <v>US_10333</v>
          </cell>
          <cell r="B903" t="str">
            <v>Lehman Brothers Equity Research</v>
          </cell>
        </row>
        <row r="904">
          <cell r="A904" t="str">
            <v>US_25101</v>
          </cell>
          <cell r="B904" t="str">
            <v>Fleming BCP/Atlantico</v>
          </cell>
        </row>
        <row r="905">
          <cell r="A905" t="str">
            <v>US_3157</v>
          </cell>
          <cell r="B905" t="str">
            <v>The Northern Trust Company</v>
          </cell>
        </row>
        <row r="906">
          <cell r="A906" t="str">
            <v>US_25103</v>
          </cell>
          <cell r="B906" t="str">
            <v>CDIC Sassoon Cumberbatch (Pvt) Ltd</v>
          </cell>
        </row>
        <row r="907">
          <cell r="A907" t="str">
            <v>US_6774</v>
          </cell>
          <cell r="B907" t="str">
            <v>SNS Securities (ESN)</v>
          </cell>
        </row>
        <row r="908">
          <cell r="A908" t="str">
            <v>US_22981</v>
          </cell>
          <cell r="B908" t="str">
            <v>Bital - Banco Internacional</v>
          </cell>
        </row>
        <row r="909">
          <cell r="A909" t="str">
            <v>US_22987</v>
          </cell>
          <cell r="B909" t="str">
            <v>Fyshe Horton Finney Limited</v>
          </cell>
        </row>
        <row r="910">
          <cell r="A910" t="str">
            <v>US_22986</v>
          </cell>
          <cell r="B910" t="str">
            <v>Durlacher Equity Research</v>
          </cell>
        </row>
        <row r="911">
          <cell r="A911" t="str">
            <v>US_22985</v>
          </cell>
          <cell r="B911" t="str">
            <v>Collins Stewart &amp; Co</v>
          </cell>
        </row>
        <row r="912">
          <cell r="A912" t="str">
            <v>US_28259</v>
          </cell>
          <cell r="B912" t="str">
            <v>HansonWesthouse</v>
          </cell>
        </row>
        <row r="913">
          <cell r="A913" t="str">
            <v>US_24405</v>
          </cell>
          <cell r="B913" t="str">
            <v>AB Asesores Morgan Stanley Dean Witter SA</v>
          </cell>
        </row>
        <row r="914">
          <cell r="A914" t="str">
            <v>US_24406</v>
          </cell>
          <cell r="B914" t="str">
            <v>AFIN Securities International Ltd</v>
          </cell>
        </row>
        <row r="915">
          <cell r="A915" t="str">
            <v>US_24412</v>
          </cell>
          <cell r="B915" t="str">
            <v>Amstgeld NV</v>
          </cell>
        </row>
        <row r="916">
          <cell r="A916" t="str">
            <v>US_12336</v>
          </cell>
          <cell r="B916" t="str">
            <v>KeyBanc Capital Markets Inc.</v>
          </cell>
        </row>
        <row r="917">
          <cell r="A917" t="str">
            <v>US_20486</v>
          </cell>
          <cell r="B917" t="str">
            <v>Alfa Bank</v>
          </cell>
        </row>
        <row r="918">
          <cell r="A918" t="str">
            <v>US_42548</v>
          </cell>
          <cell r="B918" t="str">
            <v>Finquest Securities Pvt Ltd</v>
          </cell>
        </row>
        <row r="919">
          <cell r="A919" t="str">
            <v>US_20481</v>
          </cell>
          <cell r="B919" t="str">
            <v>ThinkEquity(Panmure Gordon Co)</v>
          </cell>
        </row>
        <row r="920">
          <cell r="A920" t="str">
            <v>US_37346</v>
          </cell>
          <cell r="B920" t="str">
            <v>Vunani Securities (Pty) Ltd</v>
          </cell>
        </row>
        <row r="921">
          <cell r="A921" t="str">
            <v>US_12892</v>
          </cell>
          <cell r="B921" t="str">
            <v>JSA Research</v>
          </cell>
        </row>
        <row r="922">
          <cell r="A922" t="str">
            <v>US_15873</v>
          </cell>
          <cell r="B922" t="str">
            <v>HypoVereinsbank</v>
          </cell>
        </row>
        <row r="923">
          <cell r="A923" t="str">
            <v>US_3332</v>
          </cell>
          <cell r="B923" t="str">
            <v>First Dallas Securities</v>
          </cell>
        </row>
        <row r="924">
          <cell r="A924" t="str">
            <v>US_19070</v>
          </cell>
          <cell r="B924" t="str">
            <v>DBS Vickers Hong Kong Limited</v>
          </cell>
        </row>
        <row r="925">
          <cell r="A925" t="str">
            <v>US_22282</v>
          </cell>
          <cell r="B925" t="str">
            <v>URALSIB</v>
          </cell>
        </row>
        <row r="926">
          <cell r="A926" t="str">
            <v>US_16251</v>
          </cell>
          <cell r="B926" t="str">
            <v>Equity Development</v>
          </cell>
        </row>
        <row r="927">
          <cell r="A927" t="str">
            <v>US_24434</v>
          </cell>
          <cell r="B927" t="str">
            <v>KBC Securities Japan</v>
          </cell>
        </row>
        <row r="928">
          <cell r="A928" t="str">
            <v>US_47533</v>
          </cell>
          <cell r="B928" t="str">
            <v>CB Seydler Research</v>
          </cell>
        </row>
        <row r="929">
          <cell r="A929" t="str">
            <v>US_24403</v>
          </cell>
          <cell r="B929" t="str">
            <v>FIG Partners</v>
          </cell>
        </row>
        <row r="930">
          <cell r="A930" t="str">
            <v>US_25024</v>
          </cell>
          <cell r="B930" t="str">
            <v>Cavill White Securities Ltd</v>
          </cell>
        </row>
        <row r="931">
          <cell r="A931" t="str">
            <v>US_4904</v>
          </cell>
          <cell r="B931" t="str">
            <v>Bank Labouchere</v>
          </cell>
        </row>
        <row r="932">
          <cell r="A932" t="str">
            <v>US_898</v>
          </cell>
          <cell r="B932" t="str">
            <v>Smith Barney International Inc.</v>
          </cell>
        </row>
        <row r="933">
          <cell r="A933" t="str">
            <v>US_22623</v>
          </cell>
          <cell r="B933" t="str">
            <v>Fortis Private Investment Management Ltd.</v>
          </cell>
        </row>
        <row r="934">
          <cell r="A934" t="str">
            <v>US_8183</v>
          </cell>
          <cell r="B934" t="str">
            <v>Samco Capital Markets - Equity</v>
          </cell>
        </row>
        <row r="935">
          <cell r="A935" t="str">
            <v>US_25128</v>
          </cell>
          <cell r="B935" t="str">
            <v>BMA Capital Management</v>
          </cell>
        </row>
        <row r="936">
          <cell r="A936" t="str">
            <v>US_25129</v>
          </cell>
          <cell r="B936" t="str">
            <v>Fischer Partners Fondkommision AB</v>
          </cell>
        </row>
        <row r="937">
          <cell r="A937" t="str">
            <v>US_8180</v>
          </cell>
          <cell r="B937" t="str">
            <v>Donaldson, Lufkin &amp; Jenrette Securities Corp.</v>
          </cell>
        </row>
        <row r="938">
          <cell r="A938" t="str">
            <v>US_25127</v>
          </cell>
          <cell r="B938" t="str">
            <v>Mirabaud &amp; Cie-EE</v>
          </cell>
        </row>
        <row r="939">
          <cell r="A939" t="str">
            <v>US_25124</v>
          </cell>
          <cell r="B939" t="str">
            <v>Valores Finamex</v>
          </cell>
        </row>
        <row r="940">
          <cell r="A940" t="str">
            <v>US_2812</v>
          </cell>
          <cell r="B940" t="str">
            <v>Hoefer &amp; Arnett, Inc.</v>
          </cell>
        </row>
        <row r="941">
          <cell r="A941" t="str">
            <v>US_12869</v>
          </cell>
          <cell r="B941" t="str">
            <v>Westergaard.com, Inc.</v>
          </cell>
        </row>
        <row r="942">
          <cell r="A942" t="str">
            <v>US_24600</v>
          </cell>
          <cell r="B942" t="str">
            <v>Sky Capital LLC</v>
          </cell>
        </row>
        <row r="943">
          <cell r="A943" t="str">
            <v>US_20623</v>
          </cell>
          <cell r="B943" t="str">
            <v>Worldsec International Limited</v>
          </cell>
        </row>
        <row r="944">
          <cell r="A944" t="str">
            <v>US_6770</v>
          </cell>
          <cell r="B944" t="str">
            <v>Seymour Pierce</v>
          </cell>
        </row>
        <row r="945">
          <cell r="A945" t="str">
            <v>US_33541</v>
          </cell>
          <cell r="B945" t="str">
            <v>Swiss Capital S.A.</v>
          </cell>
        </row>
        <row r="946">
          <cell r="A946" t="str">
            <v>US_24422</v>
          </cell>
          <cell r="B946" t="str">
            <v>ASSIRT Equities Research Pty Ltd</v>
          </cell>
        </row>
        <row r="947">
          <cell r="A947" t="str">
            <v>US_8559</v>
          </cell>
          <cell r="B947" t="str">
            <v>Eczacibasi Securities</v>
          </cell>
        </row>
        <row r="948">
          <cell r="A948" t="str">
            <v>US_24421</v>
          </cell>
          <cell r="B948" t="str">
            <v>Asian Securities Ltd</v>
          </cell>
        </row>
        <row r="949">
          <cell r="A949" t="str">
            <v>US_19695</v>
          </cell>
          <cell r="B949" t="str">
            <v>SinoPac Securities</v>
          </cell>
        </row>
        <row r="950">
          <cell r="A950" t="str">
            <v>US_24424</v>
          </cell>
          <cell r="B950" t="str">
            <v>Australian Equities Research</v>
          </cell>
        </row>
        <row r="951">
          <cell r="A951" t="str">
            <v>US_15612</v>
          </cell>
          <cell r="B951" t="str">
            <v>GMP Securities Ltd.</v>
          </cell>
        </row>
        <row r="952">
          <cell r="A952" t="str">
            <v>US_9871</v>
          </cell>
          <cell r="B952" t="str">
            <v>Putnam Lovell Securities Inc.</v>
          </cell>
        </row>
        <row r="953">
          <cell r="A953" t="str">
            <v>US_25035</v>
          </cell>
          <cell r="B953" t="str">
            <v>Provalor Sociedad Agente de Bolsa</v>
          </cell>
        </row>
        <row r="954">
          <cell r="A954" t="str">
            <v>US_25033</v>
          </cell>
          <cell r="B954" t="str">
            <v>Capitalcorp Securities Sdn Bhd</v>
          </cell>
        </row>
        <row r="955">
          <cell r="A955" t="str">
            <v>US_25119</v>
          </cell>
          <cell r="B955" t="str">
            <v>IMI SIGECO (UK) LTD</v>
          </cell>
        </row>
        <row r="956">
          <cell r="A956" t="str">
            <v>US_25118</v>
          </cell>
          <cell r="B956" t="str">
            <v>Patria Finance AS</v>
          </cell>
        </row>
        <row r="957">
          <cell r="A957" t="str">
            <v>US_30056</v>
          </cell>
          <cell r="B957" t="str">
            <v>Floor Broker Network</v>
          </cell>
        </row>
        <row r="958">
          <cell r="A958" t="str">
            <v>US_37792</v>
          </cell>
          <cell r="B958" t="str">
            <v>Alpha Finance Romania S.A</v>
          </cell>
        </row>
        <row r="959">
          <cell r="A959" t="str">
            <v>US_25115</v>
          </cell>
          <cell r="B959" t="str">
            <v>Bagnardi y Cia Stock Brokers</v>
          </cell>
        </row>
        <row r="960">
          <cell r="A960" t="str">
            <v>US_25114</v>
          </cell>
          <cell r="B960" t="str">
            <v>Brno Broker Group</v>
          </cell>
        </row>
        <row r="961">
          <cell r="A961" t="str">
            <v>US_14047</v>
          </cell>
          <cell r="B961" t="str">
            <v>Blaylock and Partners</v>
          </cell>
        </row>
        <row r="962">
          <cell r="A962" t="str">
            <v>US_25188</v>
          </cell>
          <cell r="B962" t="str">
            <v>Northland Securities</v>
          </cell>
        </row>
        <row r="963">
          <cell r="A963" t="str">
            <v>US_25111</v>
          </cell>
          <cell r="B963" t="str">
            <v>Banco General de Negocios</v>
          </cell>
        </row>
        <row r="964">
          <cell r="A964" t="str">
            <v>US_25110</v>
          </cell>
          <cell r="B964" t="str">
            <v>Garlick &amp; Co Ltd</v>
          </cell>
        </row>
        <row r="965">
          <cell r="A965" t="str">
            <v>US_24459</v>
          </cell>
          <cell r="B965" t="str">
            <v>Dongsuh Securities</v>
          </cell>
        </row>
        <row r="966">
          <cell r="A966" t="str">
            <v>US_25112</v>
          </cell>
          <cell r="B966" t="str">
            <v>Sanyo International Ltd</v>
          </cell>
        </row>
        <row r="967">
          <cell r="A967" t="str">
            <v>US_39644</v>
          </cell>
          <cell r="B967" t="str">
            <v>Afrifocus Securities (Pty) Ltd</v>
          </cell>
        </row>
        <row r="968">
          <cell r="A968" t="str">
            <v>US_43625</v>
          </cell>
          <cell r="B968" t="str">
            <v>Piraeus Bank</v>
          </cell>
        </row>
        <row r="969">
          <cell r="A969" t="str">
            <v>US_24454</v>
          </cell>
          <cell r="B969" t="str">
            <v>Warburg Dillon Read (Europe)</v>
          </cell>
        </row>
        <row r="970">
          <cell r="A970" t="str">
            <v>US_24428</v>
          </cell>
          <cell r="B970" t="str">
            <v>Phillip Securities (Hong Kong) Limited</v>
          </cell>
        </row>
        <row r="971">
          <cell r="A971" t="str">
            <v>US_6763</v>
          </cell>
          <cell r="B971" t="str">
            <v>Eurobank Securities SA</v>
          </cell>
        </row>
        <row r="972">
          <cell r="A972" t="str">
            <v>US_24453</v>
          </cell>
          <cell r="B972" t="str">
            <v>Nikko Europe Plc</v>
          </cell>
        </row>
        <row r="973">
          <cell r="A973" t="str">
            <v>US_765</v>
          </cell>
          <cell r="B973" t="str">
            <v>Cathay Financial Inc.</v>
          </cell>
        </row>
        <row r="974">
          <cell r="A974" t="str">
            <v>US_32129</v>
          </cell>
          <cell r="B974" t="str">
            <v>Industrial Securities</v>
          </cell>
        </row>
        <row r="975">
          <cell r="A975" t="str">
            <v>US_42456</v>
          </cell>
          <cell r="B975" t="str">
            <v>Banca Aletti</v>
          </cell>
        </row>
        <row r="976">
          <cell r="A976" t="str">
            <v>US_24409</v>
          </cell>
          <cell r="B976" t="str">
            <v>Albertini &amp; C SIM SpA</v>
          </cell>
        </row>
        <row r="977">
          <cell r="A977" t="str">
            <v>US_37428</v>
          </cell>
          <cell r="B977" t="str">
            <v>Southern Cross Equities Ltd</v>
          </cell>
        </row>
        <row r="978">
          <cell r="A978" t="str">
            <v>US_28022</v>
          </cell>
          <cell r="B978" t="str">
            <v>ICAP</v>
          </cell>
        </row>
        <row r="979">
          <cell r="A979" t="str">
            <v>US_7426</v>
          </cell>
          <cell r="B979" t="str">
            <v>Davenport &amp; Company, LLC</v>
          </cell>
        </row>
        <row r="980">
          <cell r="A980" t="str">
            <v>US_7425</v>
          </cell>
          <cell r="B980" t="str">
            <v>Schroder &amp; Co., Inc.</v>
          </cell>
        </row>
        <row r="981">
          <cell r="A981" t="str">
            <v>US_21348</v>
          </cell>
          <cell r="B981" t="str">
            <v>Nordea Markets</v>
          </cell>
        </row>
        <row r="982">
          <cell r="A982" t="str">
            <v>US_14011</v>
          </cell>
          <cell r="B982" t="str">
            <v>EFG-Hermes</v>
          </cell>
        </row>
        <row r="983">
          <cell r="A983" t="str">
            <v>US_8821</v>
          </cell>
          <cell r="B983" t="str">
            <v>Bell Securities Limited</v>
          </cell>
        </row>
        <row r="984">
          <cell r="A984" t="str">
            <v>US_39229</v>
          </cell>
          <cell r="B984" t="str">
            <v>Capital Growth Financial</v>
          </cell>
        </row>
        <row r="985">
          <cell r="A985" t="str">
            <v>US_19080</v>
          </cell>
          <cell r="B985" t="str">
            <v>ATR-Kim Eng Securities Inc.</v>
          </cell>
        </row>
        <row r="986">
          <cell r="A986" t="str">
            <v>US_35253</v>
          </cell>
          <cell r="B986" t="str">
            <v>Signal Hill</v>
          </cell>
        </row>
        <row r="987">
          <cell r="A987" t="str">
            <v>US_35250</v>
          </cell>
          <cell r="B987" t="str">
            <v>American Capital Partners, LLC</v>
          </cell>
        </row>
        <row r="988">
          <cell r="A988" t="str">
            <v>US_27744</v>
          </cell>
          <cell r="B988" t="str">
            <v>HD Brous &amp; Co., Inc.(Institutional Digest)</v>
          </cell>
        </row>
        <row r="989">
          <cell r="A989" t="str">
            <v>US_19919</v>
          </cell>
          <cell r="B989" t="str">
            <v>Steubing AG</v>
          </cell>
        </row>
        <row r="990">
          <cell r="A990" t="str">
            <v>US_24451</v>
          </cell>
          <cell r="B990" t="str">
            <v>Jackson Securities</v>
          </cell>
        </row>
        <row r="991">
          <cell r="A991" t="str">
            <v>US_13054</v>
          </cell>
          <cell r="B991" t="str">
            <v>Researchstock.com, Inc.</v>
          </cell>
        </row>
        <row r="992">
          <cell r="A992" t="str">
            <v>US_24452</v>
          </cell>
          <cell r="B992" t="str">
            <v>Yamaichi Research Institute</v>
          </cell>
        </row>
        <row r="993">
          <cell r="A993" t="str">
            <v>US_18891</v>
          </cell>
          <cell r="B993" t="str">
            <v>Shinhan Investment Corp.</v>
          </cell>
        </row>
        <row r="994">
          <cell r="A994" t="str">
            <v>US_25138</v>
          </cell>
          <cell r="B994" t="str">
            <v>Townsley &amp; Co</v>
          </cell>
        </row>
        <row r="995">
          <cell r="A995" t="str">
            <v>US_25137</v>
          </cell>
          <cell r="B995" t="str">
            <v>Henderson Charlton Jones</v>
          </cell>
        </row>
        <row r="996">
          <cell r="A996" t="str">
            <v>US_25136</v>
          </cell>
          <cell r="B996" t="str">
            <v>Nevitts Ltd</v>
          </cell>
        </row>
        <row r="997">
          <cell r="A997" t="str">
            <v>US_25135</v>
          </cell>
          <cell r="B997" t="str">
            <v>Refco - Sify Securities India Pvt Ltd</v>
          </cell>
        </row>
        <row r="998">
          <cell r="A998" t="str">
            <v>US_191</v>
          </cell>
          <cell r="B998" t="str">
            <v>Redbook Research</v>
          </cell>
        </row>
        <row r="999">
          <cell r="A999" t="str">
            <v>US_25133</v>
          </cell>
          <cell r="B999" t="str">
            <v>Postbank Securities &amp; Investment Ltd</v>
          </cell>
        </row>
        <row r="1000">
          <cell r="A1000" t="str">
            <v>US_13342</v>
          </cell>
          <cell r="B1000" t="str">
            <v>Branch, Cabell &amp; Co.</v>
          </cell>
        </row>
        <row r="1001">
          <cell r="A1001" t="str">
            <v>US_4091</v>
          </cell>
          <cell r="B1001" t="str">
            <v>Black &amp; Company, Inc.</v>
          </cell>
        </row>
        <row r="1002">
          <cell r="A1002" t="str">
            <v>US_19242</v>
          </cell>
          <cell r="B1002" t="str">
            <v>Gilbert Dupont</v>
          </cell>
        </row>
        <row r="1003">
          <cell r="A1003" t="str">
            <v>US_29182</v>
          </cell>
          <cell r="B1003" t="str">
            <v>Thomas Weisel Partners Canada Inc.</v>
          </cell>
        </row>
        <row r="1004">
          <cell r="A1004" t="str">
            <v>US_5782</v>
          </cell>
          <cell r="B1004" t="str">
            <v>Charterhouse Securities Limited</v>
          </cell>
        </row>
        <row r="1005">
          <cell r="A1005" t="str">
            <v>US_24472</v>
          </cell>
          <cell r="B1005" t="str">
            <v>Daishin International (Europe) Ltd</v>
          </cell>
        </row>
        <row r="1006">
          <cell r="A1006" t="str">
            <v>US_22078</v>
          </cell>
          <cell r="B1006" t="str">
            <v>Noble Financial Capital Markets</v>
          </cell>
        </row>
        <row r="1007">
          <cell r="A1007" t="str">
            <v>US_24470</v>
          </cell>
          <cell r="B1007" t="str">
            <v>Albert E Sharp Limited</v>
          </cell>
        </row>
        <row r="1008">
          <cell r="A1008" t="str">
            <v>US_20280</v>
          </cell>
          <cell r="B1008" t="str">
            <v>Fubon Securities Investment Services Co., Ltd.</v>
          </cell>
        </row>
        <row r="1009">
          <cell r="A1009" t="str">
            <v>US_8549</v>
          </cell>
          <cell r="B1009" t="str">
            <v>CIBC World Markets Australia Limited</v>
          </cell>
        </row>
        <row r="1010">
          <cell r="A1010" t="str">
            <v>US_21789</v>
          </cell>
          <cell r="B1010" t="str">
            <v>Caris &amp; Company</v>
          </cell>
        </row>
        <row r="1011">
          <cell r="A1011" t="str">
            <v>US_27737</v>
          </cell>
          <cell r="B1011" t="str">
            <v>Oyak Securities</v>
          </cell>
        </row>
        <row r="1012">
          <cell r="A1012" t="str">
            <v>US_32102</v>
          </cell>
          <cell r="B1012" t="str">
            <v>Societe de Bourse Portzamparc</v>
          </cell>
        </row>
        <row r="1013">
          <cell r="A1013" t="str">
            <v>US_15161</v>
          </cell>
          <cell r="B1013" t="str">
            <v>BES Securities</v>
          </cell>
        </row>
        <row r="1014">
          <cell r="A1014" t="str">
            <v>US_32101</v>
          </cell>
          <cell r="B1014" t="str">
            <v>Redwood Brokerage</v>
          </cell>
        </row>
        <row r="1015">
          <cell r="A1015" t="str">
            <v>US_6508</v>
          </cell>
          <cell r="B1015" t="str">
            <v>CIMB_GK Research Pte Limited</v>
          </cell>
        </row>
        <row r="1016">
          <cell r="A1016" t="str">
            <v>US_32105</v>
          </cell>
          <cell r="B1016" t="str">
            <v>Raiffeisen CENTROBANK AG</v>
          </cell>
        </row>
        <row r="1017">
          <cell r="A1017" t="str">
            <v>US_4083</v>
          </cell>
          <cell r="B1017" t="str">
            <v>C.K. Cooper &amp; Company</v>
          </cell>
        </row>
        <row r="1018">
          <cell r="A1018" t="str">
            <v>US_11414</v>
          </cell>
          <cell r="B1018" t="str">
            <v>Espirito Santo Equity Research</v>
          </cell>
        </row>
        <row r="1019">
          <cell r="A1019" t="str">
            <v>US_39656</v>
          </cell>
          <cell r="B1019" t="str">
            <v>Laurentian Bank Securities</v>
          </cell>
        </row>
        <row r="1020">
          <cell r="A1020" t="str">
            <v>US_24468</v>
          </cell>
          <cell r="B1020" t="str">
            <v>Taiwan Securities Investment Advisory Co Ltd</v>
          </cell>
        </row>
        <row r="1021">
          <cell r="A1021" t="str">
            <v>US_24469</v>
          </cell>
          <cell r="B1021" t="str">
            <v>President Securities Corporation</v>
          </cell>
        </row>
        <row r="1022">
          <cell r="A1022" t="str">
            <v>US_24467</v>
          </cell>
          <cell r="B1022" t="str">
            <v>Nava SC Securities</v>
          </cell>
        </row>
        <row r="1023">
          <cell r="A1023" t="str">
            <v>US_24464</v>
          </cell>
          <cell r="B1023" t="str">
            <v>Paribas</v>
          </cell>
        </row>
        <row r="1024">
          <cell r="A1024" t="str">
            <v>US_39844</v>
          </cell>
          <cell r="B1024" t="str">
            <v>Coker &amp; Palmer</v>
          </cell>
        </row>
        <row r="1025">
          <cell r="A1025" t="str">
            <v>US_35042</v>
          </cell>
          <cell r="B1025" t="str">
            <v>PKO BP S.A.</v>
          </cell>
        </row>
        <row r="1026">
          <cell r="A1026" t="str">
            <v>US_24463</v>
          </cell>
          <cell r="B1026" t="str">
            <v>Schroders Securities Ltd</v>
          </cell>
        </row>
        <row r="1027">
          <cell r="A1027" t="str">
            <v>US_35045</v>
          </cell>
          <cell r="B1027" t="str">
            <v>Elana Trading</v>
          </cell>
        </row>
        <row r="1028">
          <cell r="A1028" t="str">
            <v>US_35046</v>
          </cell>
          <cell r="B1028" t="str">
            <v>Pentedekas Securities S.A.</v>
          </cell>
        </row>
        <row r="1029">
          <cell r="A1029" t="str">
            <v>US_35231</v>
          </cell>
          <cell r="B1029" t="str">
            <v>Changjiang Securities Co.,LTD</v>
          </cell>
        </row>
        <row r="1030">
          <cell r="A1030" t="str">
            <v>US_22065</v>
          </cell>
          <cell r="B1030" t="str">
            <v>Bridgewell</v>
          </cell>
        </row>
        <row r="1031">
          <cell r="A1031" t="str">
            <v>US_22066</v>
          </cell>
          <cell r="B1031" t="str">
            <v>Avondale Partners, LLC</v>
          </cell>
        </row>
        <row r="1032">
          <cell r="A1032" t="str">
            <v>US_18658</v>
          </cell>
          <cell r="B1032" t="str">
            <v>DZ Bank</v>
          </cell>
        </row>
        <row r="1033">
          <cell r="A1033" t="str">
            <v>US_7458</v>
          </cell>
          <cell r="B1033" t="str">
            <v>CIBC World Markets Inc. - Equity</v>
          </cell>
        </row>
        <row r="1034">
          <cell r="A1034" t="str">
            <v>US_9678</v>
          </cell>
          <cell r="B1034" t="str">
            <v>Bluestone Capital Corp.</v>
          </cell>
        </row>
        <row r="1035">
          <cell r="A1035" t="str">
            <v>US_16991</v>
          </cell>
          <cell r="B1035" t="str">
            <v>OSK Asia Research Ltd.</v>
          </cell>
        </row>
        <row r="1036">
          <cell r="A1036" t="str">
            <v>US_30578</v>
          </cell>
          <cell r="B1036" t="str">
            <v>CRT Capital Group LLC</v>
          </cell>
        </row>
        <row r="1037">
          <cell r="A1037" t="str">
            <v>US_25149</v>
          </cell>
          <cell r="B1037" t="str">
            <v>Grand Orient Securities</v>
          </cell>
        </row>
        <row r="1038">
          <cell r="A1038" t="str">
            <v>US_9292</v>
          </cell>
          <cell r="B1038" t="str">
            <v>Banca Akros (ESN)</v>
          </cell>
        </row>
        <row r="1039">
          <cell r="A1039" t="str">
            <v>US_20954</v>
          </cell>
          <cell r="B1039" t="str">
            <v>Loewen, Ondaatje, McCutcheon Limited</v>
          </cell>
        </row>
        <row r="1040">
          <cell r="A1040" t="str">
            <v>US_20956</v>
          </cell>
          <cell r="B1040" t="str">
            <v>Jennings Capital Inc.</v>
          </cell>
        </row>
        <row r="1041">
          <cell r="A1041" t="str">
            <v>US_6554</v>
          </cell>
          <cell r="B1041" t="str">
            <v>Hartley Poynton Limited</v>
          </cell>
        </row>
        <row r="1042">
          <cell r="A1042" t="str">
            <v>US_34330</v>
          </cell>
          <cell r="B1042" t="str">
            <v>Vanguard</v>
          </cell>
        </row>
        <row r="1043">
          <cell r="A1043" t="str">
            <v>US_2843</v>
          </cell>
          <cell r="B1043" t="str">
            <v>CLSA Asia Pacific Market</v>
          </cell>
        </row>
        <row r="1044">
          <cell r="A1044" t="str">
            <v>US_30575</v>
          </cell>
          <cell r="B1044" t="str">
            <v>United Securities</v>
          </cell>
        </row>
        <row r="1045">
          <cell r="A1045" t="str">
            <v>US_21356</v>
          </cell>
          <cell r="B1045" t="str">
            <v>Arab Finance  Corp.</v>
          </cell>
        </row>
        <row r="1046">
          <cell r="A1046" t="str">
            <v>US_19093</v>
          </cell>
          <cell r="B1046" t="str">
            <v>MoneyGuru Ltd</v>
          </cell>
        </row>
        <row r="1047">
          <cell r="A1047" t="str">
            <v>US_7841</v>
          </cell>
          <cell r="B1047" t="str">
            <v>Anderson &amp; Strudwick</v>
          </cell>
        </row>
        <row r="1048">
          <cell r="A1048" t="str">
            <v>US_25147</v>
          </cell>
          <cell r="B1048" t="str">
            <v>Hermis Finansai</v>
          </cell>
        </row>
        <row r="1049">
          <cell r="A1049" t="str">
            <v>US_19269</v>
          </cell>
          <cell r="B1049" t="str">
            <v>Provident Equity Research</v>
          </cell>
        </row>
        <row r="1050">
          <cell r="A1050" t="str">
            <v>US_27758</v>
          </cell>
          <cell r="B1050" t="str">
            <v>Jyske Bank</v>
          </cell>
        </row>
        <row r="1051">
          <cell r="A1051" t="str">
            <v>US_2729</v>
          </cell>
          <cell r="B1051" t="str">
            <v>PI Financial Corp</v>
          </cell>
        </row>
        <row r="1052">
          <cell r="A1052" t="str">
            <v>US_29885</v>
          </cell>
          <cell r="B1052" t="str">
            <v>Pohjola Bank</v>
          </cell>
        </row>
        <row r="1053">
          <cell r="A1053" t="str">
            <v>US_24465</v>
          </cell>
          <cell r="B1053" t="str">
            <v>Greig Middleton &amp; Co Limited</v>
          </cell>
        </row>
        <row r="1054">
          <cell r="A1054" t="str">
            <v>US_2724</v>
          </cell>
          <cell r="B1054" t="str">
            <v>B.C. Ziegler and Company</v>
          </cell>
        </row>
        <row r="1055">
          <cell r="A1055" t="str">
            <v>US_7465</v>
          </cell>
          <cell r="B1055" t="str">
            <v>Credit Lyonnais Securities - Europe</v>
          </cell>
        </row>
        <row r="1056">
          <cell r="A1056" t="str">
            <v>US_6529</v>
          </cell>
          <cell r="B1056" t="str">
            <v>Macquarie Research Canada</v>
          </cell>
        </row>
        <row r="1057">
          <cell r="A1057" t="str">
            <v>US_15383</v>
          </cell>
          <cell r="B1057" t="str">
            <v>Capital Markets Argentina</v>
          </cell>
        </row>
        <row r="1058">
          <cell r="A1058" t="str">
            <v>US_2722</v>
          </cell>
          <cell r="B1058" t="str">
            <v>Everen Securities, Inc.</v>
          </cell>
        </row>
        <row r="1059">
          <cell r="A1059" t="str">
            <v>US_187</v>
          </cell>
          <cell r="B1059" t="str">
            <v>Ragen MacKenzie</v>
          </cell>
        </row>
        <row r="1060">
          <cell r="A1060" t="str">
            <v>US_186</v>
          </cell>
          <cell r="B1060" t="str">
            <v>Caspian Securities</v>
          </cell>
        </row>
        <row r="1061">
          <cell r="A1061" t="str">
            <v>US_35069</v>
          </cell>
          <cell r="B1061" t="str">
            <v>Gold Stone Securities Co., LTD</v>
          </cell>
        </row>
        <row r="1062">
          <cell r="A1062" t="str">
            <v>US_22219</v>
          </cell>
          <cell r="B1062" t="str">
            <v>TD Waterhouse</v>
          </cell>
        </row>
        <row r="1063">
          <cell r="A1063" t="str">
            <v>US_107</v>
          </cell>
          <cell r="B1063" t="str">
            <v>Stifel Nicolaus and Company, Incorporated</v>
          </cell>
        </row>
        <row r="1064">
          <cell r="A1064" t="str">
            <v>US_4063</v>
          </cell>
          <cell r="B1064" t="str">
            <v>Delta Lloyd Securities</v>
          </cell>
        </row>
        <row r="1065">
          <cell r="A1065" t="str">
            <v>US_34730</v>
          </cell>
          <cell r="B1065" t="str">
            <v>AL Habib Capital Markets (Private) Limited</v>
          </cell>
        </row>
        <row r="1066">
          <cell r="A1066" t="str">
            <v>US_21791</v>
          </cell>
          <cell r="B1066" t="str">
            <v>Desjardins Securities</v>
          </cell>
        </row>
        <row r="1067">
          <cell r="A1067" t="str">
            <v>US_39639</v>
          </cell>
          <cell r="B1067" t="str">
            <v>Tsec</v>
          </cell>
        </row>
        <row r="1068">
          <cell r="A1068" t="str">
            <v>US_39863</v>
          </cell>
          <cell r="B1068" t="str">
            <v>Noble - Clear Capital</v>
          </cell>
        </row>
        <row r="1069">
          <cell r="A1069" t="str">
            <v>US_38731</v>
          </cell>
          <cell r="B1069" t="str">
            <v>SSIF Fortius Finance SA</v>
          </cell>
        </row>
        <row r="1070">
          <cell r="A1070" t="str">
            <v>US_18403</v>
          </cell>
          <cell r="B1070" t="str">
            <v>Discovery Group</v>
          </cell>
        </row>
        <row r="1071">
          <cell r="A1071" t="str">
            <v>US_19579</v>
          </cell>
          <cell r="B1071" t="str">
            <v>Cosmo Securities Co., Ltd.</v>
          </cell>
        </row>
        <row r="1072">
          <cell r="A1072" t="str">
            <v>US_22041</v>
          </cell>
          <cell r="B1072" t="str">
            <v>Enam</v>
          </cell>
        </row>
        <row r="1073">
          <cell r="A1073" t="str">
            <v>US_15154</v>
          </cell>
          <cell r="B1073" t="str">
            <v>Hyundai Securities</v>
          </cell>
        </row>
        <row r="1074">
          <cell r="A1074" t="str">
            <v>US_13678</v>
          </cell>
          <cell r="B1074" t="str">
            <v>Fator Corretora</v>
          </cell>
        </row>
        <row r="1075">
          <cell r="A1075" t="str">
            <v>US_158</v>
          </cell>
          <cell r="B1075" t="str">
            <v>D.A. Davidson &amp; Company</v>
          </cell>
        </row>
        <row r="1076">
          <cell r="A1076" t="str">
            <v>US_1077</v>
          </cell>
          <cell r="B1076" t="str">
            <v>R. J. Steichen &amp; Co.</v>
          </cell>
        </row>
        <row r="1077">
          <cell r="A1077" t="str">
            <v>US_1073</v>
          </cell>
          <cell r="B1077" t="str">
            <v>Stonegate Securities, Inc.</v>
          </cell>
        </row>
        <row r="1078">
          <cell r="A1078" t="str">
            <v>US_9036</v>
          </cell>
          <cell r="B1078" t="str">
            <v>Excellence Nessuah Securities</v>
          </cell>
        </row>
        <row r="1079">
          <cell r="A1079" t="str">
            <v>US_767</v>
          </cell>
          <cell r="B1079" t="str">
            <v>Credit Suisse</v>
          </cell>
        </row>
        <row r="1080">
          <cell r="A1080" t="str">
            <v>US_21740</v>
          </cell>
          <cell r="B1080" t="str">
            <v>MeesPierson</v>
          </cell>
        </row>
        <row r="1081">
          <cell r="A1081" t="str">
            <v>US_7866</v>
          </cell>
          <cell r="B1081" t="str">
            <v>Delta Securities</v>
          </cell>
        </row>
        <row r="1082">
          <cell r="A1082" t="str">
            <v>US_22205</v>
          </cell>
          <cell r="B1082" t="str">
            <v>First Securities</v>
          </cell>
        </row>
        <row r="1083">
          <cell r="A1083" t="str">
            <v>US_29319</v>
          </cell>
          <cell r="B1083" t="str">
            <v>Patria Finance</v>
          </cell>
        </row>
        <row r="1084">
          <cell r="A1084" t="str">
            <v>US_32144</v>
          </cell>
          <cell r="B1084" t="str">
            <v>Sharekhan Limited</v>
          </cell>
        </row>
        <row r="1085">
          <cell r="A1085" t="str">
            <v>US_24644</v>
          </cell>
          <cell r="B1085" t="str">
            <v>Banca Finnat Euramerica</v>
          </cell>
        </row>
        <row r="1086">
          <cell r="A1086" t="str">
            <v>US_2704</v>
          </cell>
          <cell r="B1086" t="str">
            <v>BB&amp;T Capital Markets</v>
          </cell>
        </row>
        <row r="1087">
          <cell r="A1087" t="str">
            <v>US_2701</v>
          </cell>
          <cell r="B1087" t="str">
            <v>Stephens Inc.</v>
          </cell>
        </row>
        <row r="1088">
          <cell r="A1088" t="str">
            <v>US_40257</v>
          </cell>
          <cell r="B1088" t="str">
            <v>BRE Bank SA</v>
          </cell>
        </row>
        <row r="1089">
          <cell r="A1089" t="str">
            <v>US_21886</v>
          </cell>
          <cell r="B1089" t="str">
            <v>SBK-Brooks Investment Corp.</v>
          </cell>
        </row>
        <row r="1090">
          <cell r="A1090" t="str">
            <v>US_39610</v>
          </cell>
          <cell r="B1090" t="str">
            <v>Centrobanca</v>
          </cell>
        </row>
        <row r="1091">
          <cell r="A1091" t="str">
            <v>US_22239</v>
          </cell>
          <cell r="B1091" t="str">
            <v>Khandwala Securities</v>
          </cell>
        </row>
        <row r="1092">
          <cell r="A1092" t="str">
            <v>US_4041</v>
          </cell>
          <cell r="B1092" t="str">
            <v>NCB Stockbrokers (ESN)</v>
          </cell>
        </row>
        <row r="1093">
          <cell r="A1093" t="str">
            <v>US_35004</v>
          </cell>
          <cell r="B1093" t="str">
            <v>GUOSEN Securities Co.,LTD</v>
          </cell>
        </row>
        <row r="1094">
          <cell r="A1094" t="str">
            <v>US_4390</v>
          </cell>
          <cell r="B1094" t="str">
            <v>Williams Capital Group, L.P.</v>
          </cell>
        </row>
        <row r="1095">
          <cell r="A1095" t="str">
            <v>US_40048</v>
          </cell>
          <cell r="B1095" t="str">
            <v>Troika Dialog</v>
          </cell>
        </row>
        <row r="1096">
          <cell r="A1096" t="str">
            <v>US_35007</v>
          </cell>
          <cell r="B1096" t="str">
            <v>UOB Kay Hian Securities (Thailand) Public Company Limited</v>
          </cell>
        </row>
        <row r="1097">
          <cell r="A1097" t="str">
            <v>US_43629</v>
          </cell>
          <cell r="B1097" t="str">
            <v>India Nivesh Securities Pvt Ltd</v>
          </cell>
        </row>
        <row r="1098">
          <cell r="A1098" t="str">
            <v>US_14236</v>
          </cell>
          <cell r="B1098" t="str">
            <v>Wood &amp; Company</v>
          </cell>
        </row>
        <row r="1099">
          <cell r="A1099" t="str">
            <v>US_138</v>
          </cell>
          <cell r="B1099" t="str">
            <v>Jefferies &amp; Company, Inc.</v>
          </cell>
        </row>
        <row r="1100">
          <cell r="A1100" t="str">
            <v>US_13781</v>
          </cell>
          <cell r="B1100" t="str">
            <v>Banco Brascan</v>
          </cell>
        </row>
        <row r="1101">
          <cell r="A1101" t="str">
            <v>US_1052</v>
          </cell>
          <cell r="B1101" t="str">
            <v>Kankaku Securities (America), Inc.</v>
          </cell>
        </row>
        <row r="1102">
          <cell r="A1102" t="str">
            <v>US_1051</v>
          </cell>
          <cell r="B1102" t="str">
            <v>Barnard Jacobs Mellet</v>
          </cell>
        </row>
        <row r="1103">
          <cell r="A1103" t="str">
            <v>US_13788</v>
          </cell>
          <cell r="B1103" t="str">
            <v>Northern Securities Inc.</v>
          </cell>
        </row>
        <row r="1104">
          <cell r="A1104" t="str">
            <v>US_3414</v>
          </cell>
          <cell r="B1104" t="str">
            <v>Prudential Equity Group, LLC</v>
          </cell>
        </row>
        <row r="1105">
          <cell r="A1105" t="str">
            <v>US_21725</v>
          </cell>
          <cell r="B1105" t="str">
            <v>Core Pacific - Yamaichi International (H.K.) Limited</v>
          </cell>
        </row>
        <row r="1106">
          <cell r="A1106" t="str">
            <v>US_36053</v>
          </cell>
          <cell r="B1106" t="str">
            <v>DMR Finance S.A.</v>
          </cell>
        </row>
        <row r="1107">
          <cell r="A1107" t="str">
            <v>US_25107</v>
          </cell>
          <cell r="B1107" t="str">
            <v>HLG Securities Sdn Bhd</v>
          </cell>
        </row>
        <row r="1108">
          <cell r="A1108" t="str">
            <v>US_21721</v>
          </cell>
          <cell r="B1108" t="str">
            <v>JM Financial Institutional Securities Pvt. Ltd.</v>
          </cell>
        </row>
        <row r="1109">
          <cell r="A1109" t="str">
            <v>US_10922</v>
          </cell>
          <cell r="B1109" t="str">
            <v>Grupo Santander</v>
          </cell>
        </row>
        <row r="1110">
          <cell r="A1110" t="str">
            <v>US_10924</v>
          </cell>
          <cell r="B1110" t="str">
            <v>Robert W. Baird &amp; Co.</v>
          </cell>
        </row>
        <row r="1111">
          <cell r="A1111" t="str">
            <v>US_32331</v>
          </cell>
          <cell r="B1111" t="str">
            <v>E.K. Riley</v>
          </cell>
        </row>
        <row r="1112">
          <cell r="A1112" t="str">
            <v>US_16221</v>
          </cell>
          <cell r="B1112" t="str">
            <v>Renaissance Capital (Russia)</v>
          </cell>
        </row>
        <row r="1113">
          <cell r="A1113" t="str">
            <v>US_33476</v>
          </cell>
          <cell r="B1113" t="str">
            <v>JS Global Capital Limited</v>
          </cell>
        </row>
        <row r="1114">
          <cell r="A1114" t="str">
            <v>US_6947</v>
          </cell>
          <cell r="B1114" t="str">
            <v>Petrie Parkman &amp; Co.</v>
          </cell>
        </row>
        <row r="1115">
          <cell r="A1115" t="str">
            <v>US_59068</v>
          </cell>
          <cell r="B1115" t="str">
            <v>KBC Securities CEE</v>
          </cell>
        </row>
        <row r="1116">
          <cell r="A1116" t="str">
            <v>US_27034</v>
          </cell>
          <cell r="B1116" t="str">
            <v>FIMA Vrijednosnice</v>
          </cell>
        </row>
        <row r="1117">
          <cell r="A1117" t="str">
            <v>US_30210</v>
          </cell>
          <cell r="B1117" t="str">
            <v>HI Investment &amp; Securities</v>
          </cell>
        </row>
        <row r="1118">
          <cell r="A1118" t="str">
            <v>US_30526</v>
          </cell>
          <cell r="B1118" t="str">
            <v>Atlantic Equities</v>
          </cell>
        </row>
        <row r="1119">
          <cell r="A1119" t="str">
            <v>US_27033</v>
          </cell>
          <cell r="B1119" t="str">
            <v>SHUAA Capital</v>
          </cell>
        </row>
        <row r="1120">
          <cell r="A1120" t="str">
            <v>US_11682</v>
          </cell>
          <cell r="B1120" t="str">
            <v>CA Cheuvreux</v>
          </cell>
        </row>
        <row r="1121">
          <cell r="A1121" t="str">
            <v>US_15341</v>
          </cell>
          <cell r="B1121" t="str">
            <v>HSBC Securities Canada</v>
          </cell>
        </row>
        <row r="1122">
          <cell r="A1122" t="str">
            <v>US_49302</v>
          </cell>
          <cell r="B1122" t="str">
            <v>ATON LLC</v>
          </cell>
        </row>
        <row r="1123">
          <cell r="A1123" t="str">
            <v>US_32509</v>
          </cell>
          <cell r="B1123" t="str">
            <v>Guodu Securities</v>
          </cell>
        </row>
        <row r="1124">
          <cell r="A1124" t="str">
            <v>US_40028</v>
          </cell>
          <cell r="B1124" t="str">
            <v>Pritchard Capital</v>
          </cell>
        </row>
        <row r="1125">
          <cell r="A1125" t="str">
            <v>US_18915</v>
          </cell>
          <cell r="B1125" t="str">
            <v>JM Dutton &amp; Associates</v>
          </cell>
        </row>
        <row r="1126">
          <cell r="A1126" t="str">
            <v>US_20219</v>
          </cell>
          <cell r="B1126" t="str">
            <v>Summit Analytic Partners</v>
          </cell>
        </row>
        <row r="1127">
          <cell r="A1127" t="str">
            <v>US_22251</v>
          </cell>
          <cell r="B1127" t="str">
            <v>Kevin Dann &amp; Partners</v>
          </cell>
        </row>
        <row r="1128">
          <cell r="A1128" t="str">
            <v>US_22250</v>
          </cell>
          <cell r="B1128" t="str">
            <v>Farmhouse Equity Research, LLC</v>
          </cell>
        </row>
        <row r="1129">
          <cell r="A1129" t="str">
            <v>US_40027</v>
          </cell>
          <cell r="B1129" t="str">
            <v>FinnCap</v>
          </cell>
        </row>
        <row r="1130">
          <cell r="A1130" t="str">
            <v>US_17386</v>
          </cell>
          <cell r="B1130" t="str">
            <v>Detroyat Associes</v>
          </cell>
        </row>
        <row r="1131">
          <cell r="A1131" t="str">
            <v>US_25043</v>
          </cell>
          <cell r="B1131" t="str">
            <v>Quilter Goodison Company Ltd</v>
          </cell>
        </row>
        <row r="1132">
          <cell r="A1132" t="str">
            <v>US_25042</v>
          </cell>
          <cell r="B1132" t="str">
            <v>Pioneer Group (Boston)</v>
          </cell>
        </row>
        <row r="1133">
          <cell r="A1133" t="str">
            <v>US_27008</v>
          </cell>
          <cell r="B1133" t="str">
            <v>Marquis Investment Research</v>
          </cell>
        </row>
        <row r="1134">
          <cell r="A1134" t="str">
            <v>US_118</v>
          </cell>
          <cell r="B1134" t="str">
            <v>J.C. Bradford &amp; Co.</v>
          </cell>
        </row>
        <row r="1135">
          <cell r="A1135" t="str">
            <v>US_119</v>
          </cell>
          <cell r="B1135" t="str">
            <v>SunTrust Equitable Securities</v>
          </cell>
        </row>
        <row r="1136">
          <cell r="A1136" t="str">
            <v>US_112</v>
          </cell>
          <cell r="B1136" t="str">
            <v>Legg Mason Wood Walker, Inc.</v>
          </cell>
        </row>
        <row r="1137">
          <cell r="A1137" t="str">
            <v>US_110</v>
          </cell>
          <cell r="B1137" t="str">
            <v>Needham &amp; Company Inc.</v>
          </cell>
        </row>
        <row r="1138">
          <cell r="A1138" t="str">
            <v>US_4013</v>
          </cell>
          <cell r="B1138" t="str">
            <v>BZW Europe</v>
          </cell>
        </row>
        <row r="1139">
          <cell r="A1139" t="str">
            <v>US_21708</v>
          </cell>
          <cell r="B1139" t="str">
            <v>Brown Shipley</v>
          </cell>
        </row>
        <row r="1140">
          <cell r="A1140" t="str">
            <v>US_14684</v>
          </cell>
          <cell r="B1140" t="str">
            <v>Kerchville &amp; Company</v>
          </cell>
        </row>
        <row r="1141">
          <cell r="A1141" t="str">
            <v>US_7821</v>
          </cell>
          <cell r="B1141" t="str">
            <v>Berenberg Bank</v>
          </cell>
        </row>
        <row r="1142">
          <cell r="A1142" t="str">
            <v>US_22240</v>
          </cell>
          <cell r="B1142" t="str">
            <v>SCB Securities</v>
          </cell>
        </row>
        <row r="1143">
          <cell r="A1143" t="str">
            <v>US_25125</v>
          </cell>
          <cell r="B1143" t="str">
            <v>Khadim Ali Shah Bukhari &amp; Company Ltd</v>
          </cell>
        </row>
        <row r="1144">
          <cell r="A1144" t="str">
            <v>US_25123</v>
          </cell>
          <cell r="B1144" t="str">
            <v>Banco Bansud Res &amp; Admin de Portfolios</v>
          </cell>
        </row>
        <row r="1145">
          <cell r="A1145" t="str">
            <v>US_27012</v>
          </cell>
          <cell r="B1145" t="str">
            <v>Citigroup Global Markets Japan Inc.</v>
          </cell>
        </row>
        <row r="1146">
          <cell r="A1146" t="str">
            <v>US_26383</v>
          </cell>
          <cell r="B1146" t="str">
            <v>IRG Research</v>
          </cell>
        </row>
        <row r="1147">
          <cell r="A1147" t="str">
            <v>US_121</v>
          </cell>
          <cell r="B1147" t="str">
            <v>Josephthal, Lyon &amp; Ross, Inc.</v>
          </cell>
        </row>
        <row r="1148">
          <cell r="A1148" t="str">
            <v>US_24895</v>
          </cell>
          <cell r="B1148" t="str">
            <v>Schroder Munchmeyer Hengst &amp; Co</v>
          </cell>
        </row>
        <row r="1149">
          <cell r="A1149" t="str">
            <v>US_20983</v>
          </cell>
          <cell r="B1149" t="str">
            <v>VFinance Investments, Inc.</v>
          </cell>
        </row>
        <row r="1150">
          <cell r="A1150" t="str">
            <v>US_20982</v>
          </cell>
          <cell r="B1150" t="str">
            <v>Morgan Joseph &amp; Co. Inc.</v>
          </cell>
        </row>
        <row r="1151">
          <cell r="A1151" t="str">
            <v>US_76</v>
          </cell>
          <cell r="B1151" t="str">
            <v>Schwab Soundview Capital Markets</v>
          </cell>
        </row>
        <row r="1152">
          <cell r="A1152" t="str">
            <v>US_7830</v>
          </cell>
          <cell r="B1152" t="str">
            <v>Prudential - Bache International (Hong Kong) Limited</v>
          </cell>
        </row>
        <row r="1153">
          <cell r="A1153" t="str">
            <v>US_27480</v>
          </cell>
          <cell r="B1153" t="str">
            <v>Ardour Capital, LLC</v>
          </cell>
        </row>
        <row r="1154">
          <cell r="A1154" t="str">
            <v>US_25117</v>
          </cell>
          <cell r="B1154" t="str">
            <v>Prisma Sociedad Agente de Bolsa SA</v>
          </cell>
        </row>
        <row r="1155">
          <cell r="A1155" t="str">
            <v>US_2501</v>
          </cell>
          <cell r="B1155" t="str">
            <v>Actinvest Group Limited</v>
          </cell>
        </row>
        <row r="1156">
          <cell r="A1156" t="str">
            <v>US_37854</v>
          </cell>
          <cell r="B1156" t="str">
            <v>Clal Finance Batucha Brokerage Ltd</v>
          </cell>
        </row>
        <row r="1157">
          <cell r="A1157" t="str">
            <v>US_20273</v>
          </cell>
          <cell r="B1157" t="str">
            <v>Numis Securities</v>
          </cell>
        </row>
        <row r="1158">
          <cell r="A1158" t="e">
            <v>#N/A</v>
          </cell>
          <cell r="B1158" t="e">
            <v>#N/A</v>
          </cell>
        </row>
      </sheetData>
      <sheetData sheetId="11">
        <row r="1">
          <cell r="A1" t="str">
            <v>Broker</v>
          </cell>
          <cell r="B1" t="str">
            <v>Rating</v>
          </cell>
          <cell r="C1" t="str">
            <v>Label</v>
          </cell>
          <cell r="D1" t="str">
            <v>Confirmation</v>
          </cell>
        </row>
        <row r="2">
          <cell r="A2" t="str">
            <v>US_5216</v>
          </cell>
          <cell r="B2">
            <v>2</v>
          </cell>
          <cell r="C2" t="str">
            <v>OUTPERFORM</v>
          </cell>
          <cell r="D2">
            <v>40116.041666666664</v>
          </cell>
        </row>
        <row r="3">
          <cell r="A3" t="str">
            <v>US_5587</v>
          </cell>
          <cell r="B3">
            <v>1</v>
          </cell>
          <cell r="C3" t="str">
            <v>BUY</v>
          </cell>
          <cell r="D3">
            <v>40116.041666666664</v>
          </cell>
        </row>
        <row r="4">
          <cell r="A4" t="str">
            <v>US_10755</v>
          </cell>
          <cell r="B4">
            <v>1</v>
          </cell>
          <cell r="C4" t="str">
            <v>BUY</v>
          </cell>
          <cell r="D4">
            <v>40126.041666666664</v>
          </cell>
        </row>
        <row r="5">
          <cell r="A5" t="str">
            <v>US_8689</v>
          </cell>
          <cell r="B5">
            <v>2</v>
          </cell>
          <cell r="C5" t="str">
            <v>OUTPERFORM</v>
          </cell>
          <cell r="D5">
            <v>40137.041666666664</v>
          </cell>
        </row>
        <row r="6">
          <cell r="A6" t="str">
            <v>US_7638</v>
          </cell>
          <cell r="B6">
            <v>2</v>
          </cell>
          <cell r="C6" t="str">
            <v>OUTPERFORM</v>
          </cell>
          <cell r="D6">
            <v>40135.041666666664</v>
          </cell>
        </row>
        <row r="7">
          <cell r="A7" t="str">
            <v>US_5907</v>
          </cell>
          <cell r="B7">
            <v>2</v>
          </cell>
          <cell r="C7" t="str">
            <v>OUTPERFORM</v>
          </cell>
          <cell r="D7">
            <v>40116.041666666664</v>
          </cell>
        </row>
        <row r="8">
          <cell r="A8" t="str">
            <v>US_22205</v>
          </cell>
          <cell r="B8">
            <v>1</v>
          </cell>
          <cell r="C8" t="str">
            <v>BUY</v>
          </cell>
          <cell r="D8">
            <v>40144.041666666664</v>
          </cell>
        </row>
        <row r="9">
          <cell r="A9" t="str">
            <v>US_4730</v>
          </cell>
          <cell r="B9">
            <v>2</v>
          </cell>
          <cell r="C9" t="str">
            <v>OUTPERFORM</v>
          </cell>
          <cell r="D9">
            <v>40136.041666666664</v>
          </cell>
        </row>
        <row r="10">
          <cell r="A10" t="str">
            <v>US_358</v>
          </cell>
          <cell r="B10">
            <v>1</v>
          </cell>
          <cell r="C10" t="str">
            <v>BUY</v>
          </cell>
          <cell r="D10">
            <v>40144.041666666664</v>
          </cell>
        </row>
        <row r="11">
          <cell r="A11" t="str">
            <v>US_8111</v>
          </cell>
          <cell r="B11">
            <v>2</v>
          </cell>
          <cell r="C11" t="str">
            <v>OUTPERFORM</v>
          </cell>
          <cell r="D11">
            <v>40144.041666666664</v>
          </cell>
        </row>
        <row r="12">
          <cell r="A12" t="str">
            <v>US_1013</v>
          </cell>
          <cell r="B12">
            <v>1</v>
          </cell>
          <cell r="C12" t="str">
            <v>BUY</v>
          </cell>
          <cell r="D12">
            <v>40116.041666666664</v>
          </cell>
        </row>
        <row r="13">
          <cell r="A13" t="str">
            <v>US_32758</v>
          </cell>
          <cell r="B13">
            <v>2</v>
          </cell>
          <cell r="C13" t="str">
            <v>OUTPERFORM</v>
          </cell>
          <cell r="D13">
            <v>40136.041666666664</v>
          </cell>
        </row>
        <row r="14">
          <cell r="A14" t="str">
            <v>US_2233</v>
          </cell>
          <cell r="B14">
            <v>2</v>
          </cell>
          <cell r="C14" t="str">
            <v>OUTPERFORM</v>
          </cell>
          <cell r="D14">
            <v>40116.041666666664</v>
          </cell>
        </row>
        <row r="15">
          <cell r="A15" t="str">
            <v>US_30291</v>
          </cell>
          <cell r="B15">
            <v>1</v>
          </cell>
          <cell r="C15" t="str">
            <v>BUY</v>
          </cell>
          <cell r="D15">
            <v>40144.041666666664</v>
          </cell>
        </row>
        <row r="16">
          <cell r="A16" t="str">
            <v>US_11682</v>
          </cell>
          <cell r="B16">
            <v>2</v>
          </cell>
          <cell r="C16" t="str">
            <v>OUTPERFORM</v>
          </cell>
          <cell r="D16">
            <v>40136.041666666664</v>
          </cell>
        </row>
        <row r="17">
          <cell r="A17" t="str">
            <v>US_16006</v>
          </cell>
          <cell r="B17">
            <v>3</v>
          </cell>
          <cell r="C17" t="str">
            <v>HOLD</v>
          </cell>
          <cell r="D17">
            <v>40115.041666666664</v>
          </cell>
        </row>
        <row r="18">
          <cell r="A18" t="str">
            <v>US_767</v>
          </cell>
          <cell r="B18">
            <v>3</v>
          </cell>
          <cell r="C18" t="str">
            <v>HOLD</v>
          </cell>
          <cell r="D18">
            <v>40128.041666666664</v>
          </cell>
        </row>
        <row r="19">
          <cell r="A19" t="str">
            <v>US_2975</v>
          </cell>
          <cell r="B19">
            <v>3</v>
          </cell>
          <cell r="C19" t="str">
            <v>HOLD</v>
          </cell>
          <cell r="D19">
            <v>40125.041666666664</v>
          </cell>
        </row>
        <row r="20">
          <cell r="A20" t="str">
            <v>US_9211</v>
          </cell>
          <cell r="B20">
            <v>3</v>
          </cell>
          <cell r="C20" t="str">
            <v>HOLD</v>
          </cell>
          <cell r="D20">
            <v>40121.041666666664</v>
          </cell>
        </row>
        <row r="21">
          <cell r="A21" t="str">
            <v>US_6112</v>
          </cell>
          <cell r="B21">
            <v>1</v>
          </cell>
          <cell r="C21" t="str">
            <v>BUY</v>
          </cell>
          <cell r="D21">
            <v>40085.041666666664</v>
          </cell>
        </row>
        <row r="22">
          <cell r="A22" t="str">
            <v>US_21348</v>
          </cell>
          <cell r="B22">
            <v>2</v>
          </cell>
          <cell r="C22" t="str">
            <v>OUTPERFORM</v>
          </cell>
          <cell r="D22">
            <v>40116.041666666664</v>
          </cell>
        </row>
        <row r="23">
          <cell r="A23" t="str">
            <v>US_4614</v>
          </cell>
          <cell r="B23">
            <v>2</v>
          </cell>
          <cell r="C23" t="str">
            <v>OUTPERFORM</v>
          </cell>
          <cell r="D23">
            <v>40028.041666666664</v>
          </cell>
        </row>
        <row r="24">
          <cell r="A24" t="str">
            <v>US_49765</v>
          </cell>
          <cell r="B24">
            <v>3</v>
          </cell>
          <cell r="C24" t="str">
            <v>HOLD</v>
          </cell>
          <cell r="D24">
            <v>40144.041666666664</v>
          </cell>
        </row>
        <row r="25">
          <cell r="A25" t="str">
            <v>US_3202</v>
          </cell>
          <cell r="B25">
            <v>1</v>
          </cell>
          <cell r="C25" t="str">
            <v>BUY</v>
          </cell>
          <cell r="D25">
            <v>40142.041666666664</v>
          </cell>
        </row>
        <row r="26">
          <cell r="A26" t="str">
            <v>US_2</v>
          </cell>
          <cell r="B26">
            <v>3</v>
          </cell>
          <cell r="C26" t="str">
            <v>HOLD</v>
          </cell>
          <cell r="D26">
            <v>40116.041666666664</v>
          </cell>
        </row>
        <row r="27">
          <cell r="A27" t="str">
            <v>US_37905</v>
          </cell>
          <cell r="B27">
            <v>2</v>
          </cell>
          <cell r="C27" t="str">
            <v>OUTPERFORM</v>
          </cell>
          <cell r="D27">
            <v>40120.041666666664</v>
          </cell>
        </row>
        <row r="28">
          <cell r="A28" t="str">
            <v>US_47</v>
          </cell>
          <cell r="B28">
            <v>1</v>
          </cell>
          <cell r="C28" t="str">
            <v>BUY</v>
          </cell>
          <cell r="D28">
            <v>40135.041666666664</v>
          </cell>
        </row>
        <row r="29">
          <cell r="A29" t="e">
            <v>#N/A</v>
          </cell>
          <cell r="B29" t="e">
            <v>#N/A</v>
          </cell>
          <cell r="C29" t="e">
            <v>#N/A</v>
          </cell>
          <cell r="D29" t="e">
            <v>#N/A</v>
          </cell>
        </row>
      </sheetData>
      <sheetData sheetId="1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Formulas"/>
      <sheetName val="Readme"/>
      <sheetName val="LOG"/>
      <sheetName val="SETUP"/>
      <sheetName val="&lt;-&gt;"/>
      <sheetName val="EV_WACC"/>
      <sheetName val="Financials"/>
      <sheetName val="McK_Financials"/>
      <sheetName val="EV_historical"/>
      <sheetName val="Segment_info"/>
      <sheetName val="Rating"/>
      <sheetName val="Valuation"/>
      <sheetName val="&lt;=&gt;"/>
      <sheetName val="TRS"/>
      <sheetName val="Decomp"/>
      <sheetName val="ROICTree"/>
      <sheetName val="Buildup"/>
      <sheetName val="Forecast"/>
      <sheetName val="Multiples"/>
      <sheetName val="3bucket"/>
      <sheetName val="SOTP"/>
      <sheetName val="Isoquant"/>
      <sheetName val="Reco"/>
      <sheetName val="OUTPUT"/>
      <sheetName val="&lt;~&gt;"/>
      <sheetName val="other"/>
      <sheetName val="bb"/>
      <sheetName val="ds"/>
      <sheetName val="multex"/>
      <sheetName val="inf"/>
      <sheetName val="Master"/>
      <sheetName val="Analyst"/>
      <sheetName val="TemporaryData"/>
    </sheetNames>
    <sheetDataSet>
      <sheetData sheetId="0">
        <row r="2">
          <cell r="A2" t="str">
            <v>8M101</v>
          </cell>
          <cell r="B2">
            <v>8</v>
          </cell>
          <cell r="C2" t="str">
            <v>M101</v>
          </cell>
          <cell r="E2" t="str">
            <v>M97 + M98 + M99 + M100 + M694</v>
          </cell>
        </row>
        <row r="3">
          <cell r="A3" t="str">
            <v>8M105</v>
          </cell>
          <cell r="B3">
            <v>8</v>
          </cell>
          <cell r="C3" t="str">
            <v>M105</v>
          </cell>
          <cell r="E3" t="str">
            <v>M102 + M103 + M104 + M695</v>
          </cell>
        </row>
        <row r="4">
          <cell r="A4" t="str">
            <v>8M109</v>
          </cell>
          <cell r="B4">
            <v>8</v>
          </cell>
          <cell r="C4" t="str">
            <v>M109</v>
          </cell>
          <cell r="E4" t="str">
            <v>M106 + M107 + M108 + M696</v>
          </cell>
        </row>
        <row r="5">
          <cell r="A5" t="str">
            <v>8M113</v>
          </cell>
          <cell r="B5">
            <v>8</v>
          </cell>
          <cell r="C5" t="str">
            <v>M113</v>
          </cell>
          <cell r="E5" t="str">
            <v>M110 + M111 + M112 + M697</v>
          </cell>
        </row>
        <row r="6">
          <cell r="A6" t="str">
            <v>8M117</v>
          </cell>
          <cell r="B6">
            <v>8</v>
          </cell>
          <cell r="C6" t="str">
            <v>M117</v>
          </cell>
          <cell r="E6" t="str">
            <v>M114 + M115 + M116 + M698</v>
          </cell>
          <cell r="J6">
            <v>10</v>
          </cell>
          <cell r="K6">
            <v>51</v>
          </cell>
          <cell r="L6">
            <v>53</v>
          </cell>
          <cell r="M6">
            <v>54</v>
          </cell>
          <cell r="N6">
            <v>55</v>
          </cell>
          <cell r="O6">
            <v>70</v>
          </cell>
          <cell r="P6">
            <v>999</v>
          </cell>
        </row>
        <row r="7">
          <cell r="A7" t="str">
            <v>8M120</v>
          </cell>
          <cell r="B7">
            <v>8</v>
          </cell>
          <cell r="C7" t="str">
            <v>M120</v>
          </cell>
          <cell r="E7" t="str">
            <v>M118 + M119 + M699</v>
          </cell>
          <cell r="J7">
            <v>11</v>
          </cell>
          <cell r="K7">
            <v>51</v>
          </cell>
          <cell r="L7">
            <v>53</v>
          </cell>
          <cell r="M7">
            <v>54</v>
          </cell>
          <cell r="N7">
            <v>55</v>
          </cell>
          <cell r="O7">
            <v>70</v>
          </cell>
          <cell r="P7">
            <v>999</v>
          </cell>
        </row>
        <row r="8">
          <cell r="A8" t="str">
            <v>8M123</v>
          </cell>
          <cell r="B8">
            <v>8</v>
          </cell>
          <cell r="C8" t="str">
            <v>M123</v>
          </cell>
          <cell r="E8" t="str">
            <v>M121 + M122 + M745</v>
          </cell>
          <cell r="J8">
            <v>12</v>
          </cell>
          <cell r="K8">
            <v>51</v>
          </cell>
          <cell r="L8">
            <v>53</v>
          </cell>
          <cell r="M8">
            <v>54</v>
          </cell>
          <cell r="N8">
            <v>55</v>
          </cell>
          <cell r="O8">
            <v>70</v>
          </cell>
          <cell r="P8">
            <v>999</v>
          </cell>
        </row>
        <row r="9">
          <cell r="A9" t="str">
            <v>8M127</v>
          </cell>
          <cell r="B9">
            <v>8</v>
          </cell>
          <cell r="C9" t="str">
            <v>M127</v>
          </cell>
          <cell r="E9" t="str">
            <v>M124 + M125 + M126 + M746</v>
          </cell>
          <cell r="J9">
            <v>13</v>
          </cell>
          <cell r="K9">
            <v>51</v>
          </cell>
          <cell r="L9">
            <v>53</v>
          </cell>
          <cell r="M9">
            <v>54</v>
          </cell>
          <cell r="N9">
            <v>55</v>
          </cell>
          <cell r="O9">
            <v>70</v>
          </cell>
          <cell r="P9">
            <v>999</v>
          </cell>
        </row>
        <row r="10">
          <cell r="A10" t="str">
            <v>8M129</v>
          </cell>
          <cell r="B10">
            <v>8</v>
          </cell>
          <cell r="C10" t="str">
            <v>M129</v>
          </cell>
          <cell r="E10" t="str">
            <v>M33 + M34 + M38 + M39 + M43 + M44 + M48 + M49 + M53 + M54 + M58 + M59 + M63 + M67 + M71 + M75 + M79 + M83 + M87 + M91 + M95 + M96 + M97 + M98 + M102 + M106 + M110 + M114+ M118 + M121 + M124</v>
          </cell>
          <cell r="J10">
            <v>14</v>
          </cell>
          <cell r="K10">
            <v>52</v>
          </cell>
          <cell r="L10">
            <v>53</v>
          </cell>
          <cell r="M10">
            <v>54</v>
          </cell>
          <cell r="N10">
            <v>55</v>
          </cell>
          <cell r="O10">
            <v>70</v>
          </cell>
          <cell r="P10">
            <v>999</v>
          </cell>
        </row>
        <row r="11">
          <cell r="A11" t="str">
            <v>8M130</v>
          </cell>
          <cell r="B11">
            <v>8</v>
          </cell>
          <cell r="C11" t="str">
            <v>M130</v>
          </cell>
          <cell r="E11" t="str">
            <v>M35 + M40 + M45 + M50 + M55 + M60 + M64 + M68 + M72 + M76 + M80 + M84 + M88 + M92 + M99 + M103 + M107 + M111 + M115 + M125</v>
          </cell>
          <cell r="J11">
            <v>15</v>
          </cell>
          <cell r="K11">
            <v>50</v>
          </cell>
          <cell r="L11">
            <v>53</v>
          </cell>
          <cell r="M11">
            <v>54</v>
          </cell>
          <cell r="N11">
            <v>55</v>
          </cell>
          <cell r="O11">
            <v>70</v>
          </cell>
          <cell r="P11">
            <v>999</v>
          </cell>
        </row>
        <row r="12">
          <cell r="A12" t="str">
            <v>8M131</v>
          </cell>
          <cell r="B12">
            <v>8</v>
          </cell>
          <cell r="C12" t="str">
            <v>M131</v>
          </cell>
          <cell r="E12" t="str">
            <v>M36 + M41 + M46 + M51 + M56 + M61 + M65 + M69 + M73 + M77 + M81 + M85 + M89 + M93 + M100 + M104 + M108 + M112 + M116 + M119 + M122 + M126</v>
          </cell>
          <cell r="J12">
            <v>16</v>
          </cell>
          <cell r="K12">
            <v>50</v>
          </cell>
          <cell r="L12">
            <v>53</v>
          </cell>
          <cell r="M12">
            <v>54</v>
          </cell>
          <cell r="N12">
            <v>55</v>
          </cell>
          <cell r="O12">
            <v>70</v>
          </cell>
          <cell r="P12">
            <v>999</v>
          </cell>
        </row>
        <row r="13">
          <cell r="A13" t="str">
            <v>8M136</v>
          </cell>
          <cell r="B13">
            <v>8</v>
          </cell>
          <cell r="C13" t="str">
            <v>M136</v>
          </cell>
          <cell r="E13" t="str">
            <v>M133 + M134 + M135</v>
          </cell>
          <cell r="J13">
            <v>17</v>
          </cell>
          <cell r="K13">
            <v>50</v>
          </cell>
          <cell r="L13">
            <v>53</v>
          </cell>
          <cell r="M13">
            <v>54</v>
          </cell>
          <cell r="N13">
            <v>55</v>
          </cell>
          <cell r="O13">
            <v>70</v>
          </cell>
          <cell r="P13">
            <v>999</v>
          </cell>
        </row>
        <row r="14">
          <cell r="A14" t="str">
            <v>8M140</v>
          </cell>
          <cell r="B14">
            <v>8</v>
          </cell>
          <cell r="C14" t="str">
            <v>M140</v>
          </cell>
          <cell r="E14" t="str">
            <v>M137 + M138 + M139 + M748</v>
          </cell>
        </row>
        <row r="15">
          <cell r="A15" t="str">
            <v>8M147</v>
          </cell>
          <cell r="B15">
            <v>8</v>
          </cell>
          <cell r="C15" t="str">
            <v>M147</v>
          </cell>
          <cell r="E15" t="str">
            <v>M150 + M151 + M152</v>
          </cell>
        </row>
        <row r="16">
          <cell r="A16" t="str">
            <v>8M15</v>
          </cell>
          <cell r="B16">
            <v>8</v>
          </cell>
          <cell r="C16" t="str">
            <v>M15</v>
          </cell>
          <cell r="E16" t="str">
            <v>M11 + M12 + M13 + M14</v>
          </cell>
        </row>
        <row r="17">
          <cell r="A17" t="str">
            <v>8M158</v>
          </cell>
          <cell r="B17">
            <v>8</v>
          </cell>
          <cell r="C17" t="str">
            <v>M158</v>
          </cell>
          <cell r="E17" t="str">
            <v>M155 + M156 + M157</v>
          </cell>
        </row>
        <row r="18">
          <cell r="A18" t="str">
            <v>8M160</v>
          </cell>
          <cell r="B18">
            <v>8</v>
          </cell>
          <cell r="C18" t="str">
            <v>M160</v>
          </cell>
          <cell r="E18" t="str">
            <v>M178 + M181 + M184 + M187 + M190 + M193</v>
          </cell>
        </row>
        <row r="19">
          <cell r="A19" t="str">
            <v>8M160</v>
          </cell>
          <cell r="B19">
            <v>8</v>
          </cell>
          <cell r="C19" t="str">
            <v>M160</v>
          </cell>
          <cell r="E19" t="str">
            <v>M194 + M195</v>
          </cell>
        </row>
        <row r="20">
          <cell r="A20" t="str">
            <v>8M160</v>
          </cell>
          <cell r="B20">
            <v>8</v>
          </cell>
          <cell r="C20" t="str">
            <v>M160</v>
          </cell>
          <cell r="E20" t="str">
            <v>M178 + M181 + M184 + M187 + M190 + M193</v>
          </cell>
        </row>
        <row r="21">
          <cell r="A21" t="str">
            <v>8M169</v>
          </cell>
          <cell r="B21">
            <v>8</v>
          </cell>
          <cell r="C21" t="str">
            <v>M169</v>
          </cell>
          <cell r="E21" t="str">
            <v>M166 + M167 + M168 + M749</v>
          </cell>
        </row>
        <row r="22">
          <cell r="A22" t="str">
            <v>8M175</v>
          </cell>
          <cell r="B22">
            <v>8</v>
          </cell>
          <cell r="C22" t="str">
            <v>M175</v>
          </cell>
          <cell r="E22" t="str">
            <v>M32 + M132 + M136 + M140 + M141 + M142 + M143 + M144 + M145 + M146 + M233 + M154 + M158 + M159 + M160 + M161 + M162 + M163 + M164 + M165 + M169 + M170 + M171 + M172 + M173 + M174</v>
          </cell>
        </row>
        <row r="23">
          <cell r="A23" t="str">
            <v>8M178</v>
          </cell>
          <cell r="B23">
            <v>8</v>
          </cell>
          <cell r="C23" t="str">
            <v>M178</v>
          </cell>
          <cell r="E23" t="str">
            <v>M176 + M177</v>
          </cell>
        </row>
        <row r="24">
          <cell r="A24" t="str">
            <v>8M181</v>
          </cell>
          <cell r="B24">
            <v>8</v>
          </cell>
          <cell r="C24" t="str">
            <v>M181</v>
          </cell>
          <cell r="E24" t="str">
            <v>M179 + M180</v>
          </cell>
        </row>
        <row r="25">
          <cell r="A25" t="str">
            <v>8M184</v>
          </cell>
          <cell r="B25">
            <v>8</v>
          </cell>
          <cell r="C25" t="str">
            <v>M184</v>
          </cell>
          <cell r="E25" t="str">
            <v>M182 + M183</v>
          </cell>
        </row>
        <row r="26">
          <cell r="A26" t="str">
            <v>8M187</v>
          </cell>
          <cell r="B26">
            <v>8</v>
          </cell>
          <cell r="C26" t="str">
            <v>M187</v>
          </cell>
          <cell r="E26" t="str">
            <v>M185 + M186</v>
          </cell>
        </row>
        <row r="27">
          <cell r="A27" t="str">
            <v>8M190</v>
          </cell>
          <cell r="B27">
            <v>8</v>
          </cell>
          <cell r="C27" t="str">
            <v>M190</v>
          </cell>
          <cell r="E27" t="str">
            <v>M188 + M189</v>
          </cell>
        </row>
        <row r="28">
          <cell r="A28" t="str">
            <v>8M193</v>
          </cell>
          <cell r="B28">
            <v>8</v>
          </cell>
          <cell r="C28" t="str">
            <v>M193</v>
          </cell>
          <cell r="E28" t="str">
            <v>M191 + M192</v>
          </cell>
        </row>
        <row r="29">
          <cell r="A29" t="str">
            <v>8M194</v>
          </cell>
          <cell r="B29">
            <v>8</v>
          </cell>
          <cell r="C29" t="str">
            <v>M194</v>
          </cell>
          <cell r="E29" t="str">
            <v>M176 + M179 + M182 + M185 + M188 + M191</v>
          </cell>
        </row>
        <row r="30">
          <cell r="A30" t="str">
            <v>8M195</v>
          </cell>
          <cell r="B30">
            <v>8</v>
          </cell>
          <cell r="C30" t="str">
            <v>M195</v>
          </cell>
          <cell r="E30" t="str">
            <v>M177 + M180 + M183 + M186 + M189 + M192</v>
          </cell>
        </row>
        <row r="31">
          <cell r="A31" t="str">
            <v>8M200</v>
          </cell>
          <cell r="B31">
            <v>8</v>
          </cell>
          <cell r="C31" t="str">
            <v>M200</v>
          </cell>
          <cell r="E31" t="str">
            <v>M197 + M198 + M199</v>
          </cell>
        </row>
        <row r="32">
          <cell r="A32" t="str">
            <v>8M204</v>
          </cell>
          <cell r="B32">
            <v>8</v>
          </cell>
          <cell r="C32" t="str">
            <v>M204</v>
          </cell>
          <cell r="E32" t="str">
            <v>M201 + M202 + M203</v>
          </cell>
        </row>
        <row r="33">
          <cell r="A33" t="str">
            <v>8M211</v>
          </cell>
          <cell r="B33">
            <v>8</v>
          </cell>
          <cell r="C33" t="str">
            <v>M211</v>
          </cell>
          <cell r="E33" t="str">
            <v>M208 + M209 + M210</v>
          </cell>
        </row>
        <row r="34">
          <cell r="A34" t="str">
            <v>8M215</v>
          </cell>
          <cell r="B34">
            <v>8</v>
          </cell>
          <cell r="C34" t="str">
            <v>M215</v>
          </cell>
          <cell r="E34" t="str">
            <v>M212 + M213 + M214</v>
          </cell>
        </row>
        <row r="35">
          <cell r="A35" t="str">
            <v>8M216</v>
          </cell>
          <cell r="B35">
            <v>8</v>
          </cell>
          <cell r="C35" t="str">
            <v>M216</v>
          </cell>
          <cell r="E35" t="str">
            <v>M215 - M211</v>
          </cell>
        </row>
        <row r="36">
          <cell r="A36" t="str">
            <v>8M220</v>
          </cell>
          <cell r="B36">
            <v>8</v>
          </cell>
          <cell r="C36" t="str">
            <v>M220</v>
          </cell>
          <cell r="E36" t="str">
            <v>M217 + M218 + M219</v>
          </cell>
        </row>
        <row r="37">
          <cell r="A37" t="str">
            <v>8M224</v>
          </cell>
          <cell r="B37">
            <v>8</v>
          </cell>
          <cell r="C37" t="str">
            <v>M224</v>
          </cell>
          <cell r="E37" t="str">
            <v>M221 + M222 + M223</v>
          </cell>
        </row>
        <row r="38">
          <cell r="A38" t="str">
            <v>8M225</v>
          </cell>
          <cell r="B38">
            <v>8</v>
          </cell>
          <cell r="C38" t="str">
            <v>M225</v>
          </cell>
          <cell r="E38" t="str">
            <v>M224 - M220</v>
          </cell>
        </row>
        <row r="39">
          <cell r="A39" t="str">
            <v>8M232</v>
          </cell>
          <cell r="B39">
            <v>8</v>
          </cell>
          <cell r="C39" t="str">
            <v>M232</v>
          </cell>
          <cell r="E39" t="str">
            <v>M230 + M231</v>
          </cell>
        </row>
        <row r="40">
          <cell r="A40" t="str">
            <v>8M233</v>
          </cell>
          <cell r="B40">
            <v>8</v>
          </cell>
          <cell r="C40" t="str">
            <v>M233</v>
          </cell>
          <cell r="E40" t="str">
            <v>M147 + M148 + M149</v>
          </cell>
        </row>
        <row r="41">
          <cell r="A41" t="str">
            <v>8M32</v>
          </cell>
          <cell r="B41">
            <v>8</v>
          </cell>
          <cell r="C41" t="str">
            <v>M32</v>
          </cell>
          <cell r="E41" t="str">
            <v>M5 + M8 + M9 + M10 + M15 + M16 + M17 + M18 + M19 + M20 + M21 + M22 + M23 + M24 + M25 + M26 + M27 + M28 + M29 + M30 + M31</v>
          </cell>
        </row>
        <row r="42">
          <cell r="A42" t="str">
            <v>8M37</v>
          </cell>
          <cell r="B42">
            <v>8</v>
          </cell>
          <cell r="C42" t="str">
            <v>M37</v>
          </cell>
          <cell r="E42" t="str">
            <v>M33 + M34 + M35 + M36 + M37 + M680</v>
          </cell>
        </row>
        <row r="43">
          <cell r="A43" t="str">
            <v>8M42</v>
          </cell>
          <cell r="B43">
            <v>8</v>
          </cell>
          <cell r="C43" t="str">
            <v>M42</v>
          </cell>
          <cell r="E43" t="str">
            <v>M38 + M39 + M40 + M41 + M681</v>
          </cell>
        </row>
        <row r="44">
          <cell r="A44" t="str">
            <v>8M47</v>
          </cell>
          <cell r="B44">
            <v>8</v>
          </cell>
          <cell r="C44" t="str">
            <v>M47</v>
          </cell>
          <cell r="E44" t="str">
            <v>M43 + M44 + M45 + M46+ M682</v>
          </cell>
        </row>
        <row r="45">
          <cell r="A45" t="str">
            <v>8M5</v>
          </cell>
          <cell r="B45">
            <v>8</v>
          </cell>
          <cell r="C45" t="str">
            <v>M5</v>
          </cell>
          <cell r="E45" t="str">
            <v>M1 + M2 + M3 + M4</v>
          </cell>
        </row>
        <row r="46">
          <cell r="A46" t="str">
            <v>8M52</v>
          </cell>
          <cell r="B46">
            <v>8</v>
          </cell>
          <cell r="C46" t="str">
            <v>M52</v>
          </cell>
          <cell r="E46" t="str">
            <v>M48 + M49 + M50 + M51+ M683</v>
          </cell>
        </row>
        <row r="47">
          <cell r="A47" t="str">
            <v>8M57</v>
          </cell>
          <cell r="B47">
            <v>8</v>
          </cell>
          <cell r="C47" t="str">
            <v>M57</v>
          </cell>
          <cell r="E47" t="str">
            <v>M53 + M54 + M55 + M56 + M684</v>
          </cell>
        </row>
        <row r="48">
          <cell r="A48" t="str">
            <v>8M62</v>
          </cell>
          <cell r="B48">
            <v>8</v>
          </cell>
          <cell r="C48" t="str">
            <v>M62</v>
          </cell>
          <cell r="E48" t="str">
            <v>M58 + M59 + M60 + M61 + M685</v>
          </cell>
        </row>
        <row r="49">
          <cell r="A49" t="str">
            <v>8M640</v>
          </cell>
          <cell r="B49">
            <v>8</v>
          </cell>
          <cell r="C49" t="str">
            <v>M640</v>
          </cell>
          <cell r="E49" t="str">
            <v>M638 + M639</v>
          </cell>
        </row>
        <row r="50">
          <cell r="A50" t="str">
            <v>8M66</v>
          </cell>
          <cell r="B50">
            <v>8</v>
          </cell>
          <cell r="C50" t="str">
            <v>M66</v>
          </cell>
          <cell r="E50" t="str">
            <v>M63 + M64 + M65 + M686</v>
          </cell>
        </row>
        <row r="51">
          <cell r="A51" t="str">
            <v>8M677</v>
          </cell>
          <cell r="B51">
            <v>8</v>
          </cell>
          <cell r="C51" t="str">
            <v>M677</v>
          </cell>
          <cell r="E51" t="str">
            <v xml:space="preserve">M674 + M675 + M776 </v>
          </cell>
        </row>
        <row r="52">
          <cell r="A52" t="str">
            <v>8M70</v>
          </cell>
          <cell r="B52">
            <v>8</v>
          </cell>
          <cell r="C52" t="str">
            <v>M70</v>
          </cell>
          <cell r="E52" t="str">
            <v>M67 + M68 + M69 + M687</v>
          </cell>
        </row>
        <row r="53">
          <cell r="A53" t="str">
            <v>8M74</v>
          </cell>
          <cell r="B53">
            <v>8</v>
          </cell>
          <cell r="C53" t="str">
            <v>M74</v>
          </cell>
          <cell r="E53" t="str">
            <v>M71 + M72 + M73 + M688</v>
          </cell>
        </row>
        <row r="54">
          <cell r="A54" t="str">
            <v>8M747</v>
          </cell>
          <cell r="B54">
            <v>8</v>
          </cell>
          <cell r="C54" t="str">
            <v>M747</v>
          </cell>
          <cell r="E54" t="str">
            <v>M680 + M681 + M682 + M683 + M684 + M685 + M686 + M687 + M688 + M689 + M690 + M691 + M692 + M693 + M694 + M695 + M696 + M697 + M698 + M699 + M745 + M746</v>
          </cell>
        </row>
        <row r="55">
          <cell r="A55" t="str">
            <v>8M78</v>
          </cell>
          <cell r="B55">
            <v>8</v>
          </cell>
          <cell r="C55" t="str">
            <v>M78</v>
          </cell>
          <cell r="E55" t="str">
            <v>M75 + M76 + M77 + M689</v>
          </cell>
        </row>
        <row r="56">
          <cell r="A56" t="str">
            <v>8M8</v>
          </cell>
          <cell r="B56">
            <v>8</v>
          </cell>
          <cell r="C56" t="str">
            <v>M8</v>
          </cell>
          <cell r="E56" t="str">
            <v>M6 + M7</v>
          </cell>
        </row>
        <row r="57">
          <cell r="A57" t="str">
            <v>8M82</v>
          </cell>
          <cell r="B57">
            <v>8</v>
          </cell>
          <cell r="C57" t="str">
            <v>M82</v>
          </cell>
          <cell r="E57" t="str">
            <v>M79 + M80 + M81 + M690</v>
          </cell>
        </row>
        <row r="58">
          <cell r="A58" t="str">
            <v>8M86</v>
          </cell>
          <cell r="B58">
            <v>8</v>
          </cell>
          <cell r="C58" t="str">
            <v>M86</v>
          </cell>
          <cell r="E58" t="str">
            <v>M83 + M84 + M85 + M691</v>
          </cell>
        </row>
        <row r="59">
          <cell r="A59" t="str">
            <v>8M90</v>
          </cell>
          <cell r="B59">
            <v>8</v>
          </cell>
          <cell r="C59" t="str">
            <v>M90</v>
          </cell>
          <cell r="E59" t="str">
            <v>M87 + M88 + M89 + M692</v>
          </cell>
        </row>
        <row r="60">
          <cell r="A60" t="str">
            <v>8M94</v>
          </cell>
          <cell r="B60">
            <v>8</v>
          </cell>
          <cell r="C60" t="str">
            <v>M94</v>
          </cell>
          <cell r="E60" t="str">
            <v>M91 + M92 + M93 + M693</v>
          </cell>
        </row>
        <row r="61">
          <cell r="A61" t="str">
            <v>9M251</v>
          </cell>
          <cell r="B61">
            <v>9</v>
          </cell>
          <cell r="C61" t="str">
            <v>M251</v>
          </cell>
          <cell r="E61" t="str">
            <v>M244 + M245 + M246 + M247 + M248 + M249 + M250</v>
          </cell>
        </row>
        <row r="62">
          <cell r="A62" t="str">
            <v>9M263</v>
          </cell>
          <cell r="B62">
            <v>9</v>
          </cell>
          <cell r="C62" t="str">
            <v>M263</v>
          </cell>
          <cell r="E62" t="str">
            <v>M236 + M237 + M238 + M239 + M240 + M241 + M242 + M243 + M251 + M252 + M253 + M254 + M255 + M256 + M257 + M258 + M259 + M260 + M261 + M262</v>
          </cell>
        </row>
        <row r="63">
          <cell r="A63" t="str">
            <v>9M276</v>
          </cell>
          <cell r="B63">
            <v>9</v>
          </cell>
          <cell r="C63" t="str">
            <v>M276</v>
          </cell>
          <cell r="E63" t="str">
            <v>M264 + M265 + M266 + M267 + M268 + M269 + M270 + +M480 + M481 + M271 + M272 + M273 + M274+ M275</v>
          </cell>
        </row>
        <row r="64">
          <cell r="A64" t="str">
            <v>9M291</v>
          </cell>
          <cell r="B64">
            <v>9</v>
          </cell>
          <cell r="C64" t="str">
            <v>M291</v>
          </cell>
          <cell r="E64" t="str">
            <v>M286 + M287 + M288 + M289 + M290</v>
          </cell>
        </row>
        <row r="65">
          <cell r="A65" t="str">
            <v>9M296</v>
          </cell>
          <cell r="B65">
            <v>9</v>
          </cell>
          <cell r="C65" t="str">
            <v>M296</v>
          </cell>
          <cell r="E65" t="str">
            <v>M277 + M278 + M279 + M280 + M281 + M282 + M283 + M285 + M291 + M292 + M293 + M294 + M295</v>
          </cell>
        </row>
        <row r="66">
          <cell r="A66" t="str">
            <v>9M297</v>
          </cell>
          <cell r="B66">
            <v>9</v>
          </cell>
          <cell r="C66" t="str">
            <v>M297</v>
          </cell>
          <cell r="E66" t="str">
            <v>M263 + M276 + M296</v>
          </cell>
        </row>
        <row r="67">
          <cell r="A67" t="str">
            <v>9M303</v>
          </cell>
          <cell r="B67">
            <v>9</v>
          </cell>
          <cell r="C67" t="str">
            <v>M303</v>
          </cell>
          <cell r="E67" t="str">
            <v>M301 + M302</v>
          </cell>
        </row>
        <row r="68">
          <cell r="A68" t="str">
            <v>9M304</v>
          </cell>
          <cell r="B68">
            <v>9</v>
          </cell>
          <cell r="C68" t="str">
            <v>M304</v>
          </cell>
          <cell r="E68" t="str">
            <v>M298 + M299 + M300 + M303</v>
          </cell>
        </row>
        <row r="69">
          <cell r="A69" t="str">
            <v>9M307</v>
          </cell>
          <cell r="B69">
            <v>9</v>
          </cell>
          <cell r="C69" t="str">
            <v>M307</v>
          </cell>
          <cell r="E69" t="str">
            <v>M472 + M473 + M474</v>
          </cell>
        </row>
        <row r="70">
          <cell r="A70" t="str">
            <v>9M308</v>
          </cell>
          <cell r="B70">
            <v>9</v>
          </cell>
          <cell r="C70" t="str">
            <v>M308</v>
          </cell>
          <cell r="E70" t="str">
            <v>M304 + M307</v>
          </cell>
        </row>
        <row r="71">
          <cell r="A71" t="str">
            <v>9M322</v>
          </cell>
          <cell r="B71">
            <v>9</v>
          </cell>
          <cell r="C71" t="str">
            <v>M322</v>
          </cell>
          <cell r="E71" t="str">
            <v>M309 + M310 + M311 + M312 + M313 + M314 + M315 + M316 + M317 + M318 + M319 + M320 + M321</v>
          </cell>
        </row>
        <row r="72">
          <cell r="A72" t="str">
            <v>9M330</v>
          </cell>
          <cell r="B72">
            <v>9</v>
          </cell>
          <cell r="C72" t="str">
            <v>M330</v>
          </cell>
          <cell r="E72" t="str">
            <v>M297 + M304 + M305 + M306 + M307 + M322 + M323 + M324 + M325 + M326 + M327 + M328 + M329</v>
          </cell>
        </row>
        <row r="73">
          <cell r="A73" t="str">
            <v>9M335</v>
          </cell>
          <cell r="B73">
            <v>9</v>
          </cell>
          <cell r="C73" t="str">
            <v>M335</v>
          </cell>
          <cell r="E73" t="str">
            <v>M332 + M333 + M334</v>
          </cell>
        </row>
        <row r="74">
          <cell r="A74" t="str">
            <v>9M532</v>
          </cell>
          <cell r="B74">
            <v>9</v>
          </cell>
          <cell r="C74" t="str">
            <v>M532</v>
          </cell>
          <cell r="E74" t="str">
            <v>M527 + M528 + M529 + M530 + M531</v>
          </cell>
        </row>
        <row r="75">
          <cell r="A75" t="str">
            <v>9M544</v>
          </cell>
          <cell r="B75">
            <v>9</v>
          </cell>
          <cell r="C75" t="str">
            <v>M544</v>
          </cell>
          <cell r="E75" t="str">
            <v>M534 + M535 + M536 + M537 + M538 + M539 + M540 + M541 + M542 + M543</v>
          </cell>
        </row>
        <row r="76">
          <cell r="A76" t="str">
            <v>9M567</v>
          </cell>
          <cell r="B76">
            <v>9</v>
          </cell>
          <cell r="C76" t="str">
            <v>M567</v>
          </cell>
          <cell r="E76" t="str">
            <v>M545 + M546 + M547 + M548 + M549 + M550 + M551 + M552</v>
          </cell>
        </row>
        <row r="77">
          <cell r="A77" t="str">
            <v>9M573</v>
          </cell>
          <cell r="B77">
            <v>9</v>
          </cell>
          <cell r="C77" t="str">
            <v>M573</v>
          </cell>
          <cell r="E77" t="str">
            <v>M568 + M569 + M570 + M571 + M572</v>
          </cell>
        </row>
        <row r="78">
          <cell r="A78" t="str">
            <v>9M578</v>
          </cell>
          <cell r="B78">
            <v>9</v>
          </cell>
          <cell r="C78" t="str">
            <v>M578</v>
          </cell>
          <cell r="E78" t="str">
            <v>M574 + M575 + M576 + M577</v>
          </cell>
        </row>
        <row r="79">
          <cell r="A79" t="str">
            <v>9M588</v>
          </cell>
          <cell r="B79">
            <v>9</v>
          </cell>
          <cell r="C79" t="str">
            <v>M588</v>
          </cell>
          <cell r="E79" t="str">
            <v>M579 + M580 + M581 + M582 + M583 + M584 + M585 + M586 + M587</v>
          </cell>
        </row>
        <row r="80">
          <cell r="A80" t="str">
            <v>9M710</v>
          </cell>
          <cell r="B80">
            <v>9</v>
          </cell>
          <cell r="C80" t="str">
            <v>M710</v>
          </cell>
          <cell r="E80" t="str">
            <v>M700 + M701 + M702 + M703 + M704 + M705 + M706 + M707 + M708 + M709</v>
          </cell>
        </row>
        <row r="81">
          <cell r="A81" t="str">
            <v>9M719</v>
          </cell>
          <cell r="B81">
            <v>9</v>
          </cell>
          <cell r="C81" t="str">
            <v>M719</v>
          </cell>
          <cell r="E81" t="str">
            <v>M711 + M712 + M713 + M714 + M715 + M716 + M717 + M718</v>
          </cell>
        </row>
        <row r="82">
          <cell r="A82" t="str">
            <v>9M725</v>
          </cell>
          <cell r="B82">
            <v>9</v>
          </cell>
          <cell r="C82" t="str">
            <v>M725</v>
          </cell>
          <cell r="E82" t="str">
            <v>M720 + M721 + M722 + M723 + M724</v>
          </cell>
        </row>
        <row r="83">
          <cell r="A83" t="str">
            <v>9M730</v>
          </cell>
          <cell r="B83">
            <v>9</v>
          </cell>
          <cell r="C83" t="str">
            <v>M730</v>
          </cell>
          <cell r="E83" t="str">
            <v>M726 + M727 + M728 + M729</v>
          </cell>
        </row>
        <row r="84">
          <cell r="A84" t="str">
            <v>9M740</v>
          </cell>
          <cell r="B84">
            <v>9</v>
          </cell>
          <cell r="C84" t="str">
            <v>M740</v>
          </cell>
          <cell r="E84" t="str">
            <v>M731 + M732 + M733 + M734 + M735 + M736 + M737 + M738 + M739</v>
          </cell>
        </row>
        <row r="85">
          <cell r="A85" t="str">
            <v>10M342</v>
          </cell>
          <cell r="B85">
            <v>10</v>
          </cell>
          <cell r="C85" t="str">
            <v>M342</v>
          </cell>
          <cell r="E85" t="str">
            <v>M337 + M338 + M339 + M340 + M341</v>
          </cell>
        </row>
        <row r="86">
          <cell r="A86" t="str">
            <v>10M352</v>
          </cell>
          <cell r="B86">
            <v>10</v>
          </cell>
          <cell r="C86" t="str">
            <v>M352</v>
          </cell>
          <cell r="E86" t="str">
            <v>M343 + M344 + M345 + M346 + M347 + M348 + M349 + M350 + M351</v>
          </cell>
        </row>
        <row r="87">
          <cell r="A87" t="str">
            <v>10M353</v>
          </cell>
          <cell r="B87">
            <v>10</v>
          </cell>
          <cell r="C87" t="str">
            <v>M353</v>
          </cell>
          <cell r="E87" t="str">
            <v>M342 + M352</v>
          </cell>
        </row>
        <row r="88">
          <cell r="A88" t="str">
            <v>10M357</v>
          </cell>
          <cell r="B88">
            <v>10</v>
          </cell>
          <cell r="C88" t="str">
            <v>M357</v>
          </cell>
          <cell r="E88" t="str">
            <v>M356 - (M353 + M354 + M355)</v>
          </cell>
        </row>
        <row r="89">
          <cell r="A89" t="str">
            <v>10M365</v>
          </cell>
          <cell r="B89">
            <v>10</v>
          </cell>
          <cell r="C89" t="str">
            <v>M365</v>
          </cell>
          <cell r="E89" t="str">
            <v>M358 + M359 + M360 + M361 + M362 + M363 + M364</v>
          </cell>
        </row>
        <row r="90">
          <cell r="A90" t="str">
            <v>10M366</v>
          </cell>
          <cell r="B90">
            <v>10</v>
          </cell>
          <cell r="C90" t="str">
            <v>M366</v>
          </cell>
          <cell r="E90" t="str">
            <v>M356 + M365</v>
          </cell>
        </row>
        <row r="91">
          <cell r="A91" t="str">
            <v>10M371</v>
          </cell>
          <cell r="B91">
            <v>10</v>
          </cell>
          <cell r="C91" t="str">
            <v>M371</v>
          </cell>
          <cell r="E91" t="str">
            <v>M366 + M367 + M368 + M369 + M370 + M470</v>
          </cell>
        </row>
        <row r="92">
          <cell r="A92" t="str">
            <v>10M373</v>
          </cell>
          <cell r="B92">
            <v>10</v>
          </cell>
          <cell r="C92" t="str">
            <v>M373</v>
          </cell>
          <cell r="E92" t="str">
            <v>M371 + M372</v>
          </cell>
        </row>
        <row r="93">
          <cell r="A93" t="str">
            <v>10M376</v>
          </cell>
          <cell r="B93">
            <v>10</v>
          </cell>
          <cell r="C93" t="str">
            <v>M376</v>
          </cell>
          <cell r="E93" t="str">
            <v>M373 + M374 + M375</v>
          </cell>
        </row>
        <row r="94">
          <cell r="A94" t="str">
            <v>10M390</v>
          </cell>
          <cell r="B94">
            <v>10</v>
          </cell>
          <cell r="C94" t="str">
            <v>M390</v>
          </cell>
          <cell r="E94" t="str">
            <v>M376 + M377 + M378 + M379 + M471</v>
          </cell>
        </row>
        <row r="95">
          <cell r="A95" t="str">
            <v>10M394</v>
          </cell>
          <cell r="B95">
            <v>10</v>
          </cell>
          <cell r="C95" t="str">
            <v>M394</v>
          </cell>
          <cell r="E95" t="str">
            <v>M391 + M392 + M393</v>
          </cell>
        </row>
        <row r="96">
          <cell r="A96" t="str">
            <v>10M399</v>
          </cell>
          <cell r="B96">
            <v>10</v>
          </cell>
          <cell r="C96" t="str">
            <v>M399</v>
          </cell>
          <cell r="E96" t="str">
            <v>M478 + M479</v>
          </cell>
        </row>
        <row r="97">
          <cell r="A97" t="str">
            <v>10M416</v>
          </cell>
          <cell r="B97">
            <v>10</v>
          </cell>
          <cell r="C97" t="str">
            <v>M416</v>
          </cell>
          <cell r="E97" t="str">
            <v>M394 + M395 + M396 + M397 + M398 + M399 + M400 + M401 + M402 + M403 + M404 + M405 + M406 + M407 + M408 + M409 + M410 + M411 + M412 + M413 + M414 + M415</v>
          </cell>
        </row>
        <row r="98">
          <cell r="A98" t="str">
            <v>11M342</v>
          </cell>
          <cell r="B98">
            <v>11</v>
          </cell>
          <cell r="C98" t="str">
            <v>M342</v>
          </cell>
          <cell r="E98" t="str">
            <v>M337 + M338 + M339 + M340 + M341</v>
          </cell>
        </row>
        <row r="99">
          <cell r="A99" t="str">
            <v>11M352</v>
          </cell>
          <cell r="B99">
            <v>11</v>
          </cell>
          <cell r="C99" t="str">
            <v>M352</v>
          </cell>
          <cell r="E99" t="str">
            <v>M343 + M344 + M345 + M 348+ M349 + M350 + M351</v>
          </cell>
        </row>
        <row r="100">
          <cell r="A100" t="str">
            <v>11M353</v>
          </cell>
          <cell r="B100">
            <v>11</v>
          </cell>
          <cell r="C100" t="str">
            <v>M353</v>
          </cell>
          <cell r="E100" t="str">
            <v>M342 + M352</v>
          </cell>
        </row>
        <row r="101">
          <cell r="A101" t="str">
            <v>11M357</v>
          </cell>
          <cell r="B101">
            <v>11</v>
          </cell>
          <cell r="C101" t="str">
            <v>M357</v>
          </cell>
          <cell r="E101" t="str">
            <v>M356 - M353</v>
          </cell>
        </row>
        <row r="102">
          <cell r="A102" t="str">
            <v>11M365</v>
          </cell>
          <cell r="B102">
            <v>11</v>
          </cell>
          <cell r="C102" t="str">
            <v>M365</v>
          </cell>
          <cell r="E102" t="str">
            <v>M358 + M359 + M360 + M361 + M362 + M363 + M364</v>
          </cell>
        </row>
        <row r="103">
          <cell r="A103" t="str">
            <v>11M366</v>
          </cell>
          <cell r="B103">
            <v>11</v>
          </cell>
          <cell r="C103" t="str">
            <v>M366</v>
          </cell>
          <cell r="E103" t="str">
            <v>M356 + M365</v>
          </cell>
        </row>
        <row r="104">
          <cell r="A104" t="str">
            <v>11M371</v>
          </cell>
          <cell r="B104">
            <v>11</v>
          </cell>
          <cell r="C104" t="str">
            <v>M371</v>
          </cell>
          <cell r="E104" t="str">
            <v>M366 + M367 + M368 + M370 + M470</v>
          </cell>
        </row>
        <row r="105">
          <cell r="A105" t="str">
            <v>11M373</v>
          </cell>
          <cell r="B105">
            <v>11</v>
          </cell>
          <cell r="C105" t="str">
            <v>M373</v>
          </cell>
          <cell r="E105" t="str">
            <v>M371 + M372</v>
          </cell>
        </row>
        <row r="106">
          <cell r="A106" t="str">
            <v>11M376</v>
          </cell>
          <cell r="B106">
            <v>11</v>
          </cell>
          <cell r="C106" t="str">
            <v>M376</v>
          </cell>
          <cell r="E106" t="str">
            <v>M373 + M374 + M375</v>
          </cell>
        </row>
        <row r="107">
          <cell r="A107" t="str">
            <v>11M390</v>
          </cell>
          <cell r="B107">
            <v>11</v>
          </cell>
          <cell r="C107" t="str">
            <v>M390</v>
          </cell>
          <cell r="E107" t="str">
            <v>M376 + M377 + M471</v>
          </cell>
        </row>
        <row r="108">
          <cell r="A108" t="str">
            <v>11M394</v>
          </cell>
          <cell r="B108">
            <v>11</v>
          </cell>
          <cell r="C108" t="str">
            <v>M394</v>
          </cell>
          <cell r="E108" t="str">
            <v>M391 + M392 + M393</v>
          </cell>
        </row>
        <row r="109">
          <cell r="A109" t="str">
            <v>11M399</v>
          </cell>
          <cell r="B109">
            <v>11</v>
          </cell>
          <cell r="C109" t="str">
            <v>M399</v>
          </cell>
          <cell r="E109" t="str">
            <v>M478 + M479</v>
          </cell>
        </row>
        <row r="110">
          <cell r="A110" t="str">
            <v>11M416</v>
          </cell>
          <cell r="B110">
            <v>11</v>
          </cell>
          <cell r="C110" t="str">
            <v>M416</v>
          </cell>
          <cell r="E110" t="str">
            <v>M394 + M397 + M398 + M399 + M400 + M401 + M402 + M403 +  M404 + M430 + M409 + M410 + M411 + M412 + M413 + M414 + M415 + M405</v>
          </cell>
        </row>
        <row r="111">
          <cell r="A111" t="str">
            <v>12M342</v>
          </cell>
          <cell r="B111">
            <v>12</v>
          </cell>
          <cell r="C111" t="str">
            <v>M342</v>
          </cell>
          <cell r="E111" t="str">
            <v>M337 + M338 + M339 + M340 + M341</v>
          </cell>
        </row>
        <row r="112">
          <cell r="A112" t="str">
            <v>12M352</v>
          </cell>
          <cell r="B112">
            <v>12</v>
          </cell>
          <cell r="C112" t="str">
            <v>M352</v>
          </cell>
          <cell r="E112" t="str">
            <v>M345 + M344 + M343 + M348 + M349 + M351</v>
          </cell>
        </row>
        <row r="113">
          <cell r="A113" t="str">
            <v>12M353</v>
          </cell>
          <cell r="B113">
            <v>12</v>
          </cell>
          <cell r="C113" t="str">
            <v>M353</v>
          </cell>
          <cell r="E113" t="str">
            <v>M342 + M352</v>
          </cell>
        </row>
        <row r="114">
          <cell r="A114" t="str">
            <v>12M356</v>
          </cell>
          <cell r="B114">
            <v>12</v>
          </cell>
          <cell r="C114" t="str">
            <v>M356</v>
          </cell>
          <cell r="E114" t="str">
            <v>M468 + M469</v>
          </cell>
        </row>
        <row r="115">
          <cell r="A115" t="str">
            <v>12M357</v>
          </cell>
          <cell r="B115">
            <v>12</v>
          </cell>
          <cell r="C115" t="str">
            <v>M357</v>
          </cell>
          <cell r="E115" t="str">
            <v>M468 - (M353 + M412 + M413)</v>
          </cell>
        </row>
        <row r="116">
          <cell r="A116" t="str">
            <v>12M365</v>
          </cell>
          <cell r="B116">
            <v>12</v>
          </cell>
          <cell r="C116" t="str">
            <v>M365</v>
          </cell>
          <cell r="E116" t="str">
            <v>M358 + M359 + M360 + M361 + M362 + M363 + M364</v>
          </cell>
        </row>
        <row r="117">
          <cell r="A117" t="str">
            <v>12M366</v>
          </cell>
          <cell r="B117">
            <v>12</v>
          </cell>
          <cell r="C117" t="str">
            <v>M366</v>
          </cell>
          <cell r="E117" t="str">
            <v>M356 + M365</v>
          </cell>
        </row>
        <row r="118">
          <cell r="A118" t="str">
            <v>12M371</v>
          </cell>
          <cell r="B118">
            <v>12</v>
          </cell>
          <cell r="C118" t="str">
            <v>M371</v>
          </cell>
          <cell r="E118" t="str">
            <v>M366 + M367 + M368 + M370 + M470</v>
          </cell>
        </row>
        <row r="119">
          <cell r="A119" t="str">
            <v>12M373</v>
          </cell>
          <cell r="B119">
            <v>12</v>
          </cell>
          <cell r="C119" t="str">
            <v>M373</v>
          </cell>
          <cell r="E119" t="str">
            <v>M371 + M372</v>
          </cell>
        </row>
        <row r="120">
          <cell r="A120" t="str">
            <v>12M376</v>
          </cell>
          <cell r="B120">
            <v>12</v>
          </cell>
          <cell r="C120" t="str">
            <v>M376</v>
          </cell>
          <cell r="E120" t="str">
            <v>M373 + M374 + M375</v>
          </cell>
        </row>
        <row r="121">
          <cell r="A121" t="str">
            <v>12M390</v>
          </cell>
          <cell r="B121">
            <v>12</v>
          </cell>
          <cell r="C121" t="str">
            <v>M390</v>
          </cell>
          <cell r="E121" t="str">
            <v>M376 + M377 + M471</v>
          </cell>
        </row>
        <row r="122">
          <cell r="A122" t="str">
            <v>12M394</v>
          </cell>
          <cell r="B122">
            <v>12</v>
          </cell>
          <cell r="C122" t="str">
            <v>M394</v>
          </cell>
          <cell r="E122" t="str">
            <v>M391 + M392 + M393</v>
          </cell>
        </row>
        <row r="123">
          <cell r="A123" t="str">
            <v>12M399</v>
          </cell>
          <cell r="B123">
            <v>12</v>
          </cell>
          <cell r="C123" t="str">
            <v>M399</v>
          </cell>
          <cell r="E123" t="str">
            <v>M478 + M479</v>
          </cell>
        </row>
        <row r="124">
          <cell r="A124" t="str">
            <v>12M416</v>
          </cell>
          <cell r="B124">
            <v>12</v>
          </cell>
          <cell r="C124" t="str">
            <v>M416</v>
          </cell>
          <cell r="E124" t="str">
            <v>M394 + M398 + M399 + M400 + M401 + M402 + M403 + M404 + M405 + M406 + M407 + M408 + M409 + M410 +    M411 + M414 + M415 + M433</v>
          </cell>
        </row>
        <row r="125">
          <cell r="A125" t="str">
            <v>12M437</v>
          </cell>
          <cell r="B125">
            <v>12</v>
          </cell>
          <cell r="C125" t="str">
            <v>M437</v>
          </cell>
          <cell r="E125" t="str">
            <v>M434 + M435 + M436</v>
          </cell>
        </row>
        <row r="126">
          <cell r="A126" t="str">
            <v>13M342</v>
          </cell>
          <cell r="B126">
            <v>13</v>
          </cell>
          <cell r="C126" t="str">
            <v>M342</v>
          </cell>
          <cell r="E126" t="str">
            <v>M337 + M338 + M339 + M340 + M341</v>
          </cell>
        </row>
        <row r="127">
          <cell r="A127" t="str">
            <v>13M352</v>
          </cell>
          <cell r="B127">
            <v>13</v>
          </cell>
          <cell r="C127" t="str">
            <v>M352</v>
          </cell>
          <cell r="E127" t="str">
            <v>M343 + M344 + M345 + M348 + M349 + M351</v>
          </cell>
        </row>
        <row r="128">
          <cell r="A128" t="str">
            <v>13M353</v>
          </cell>
          <cell r="B128">
            <v>13</v>
          </cell>
          <cell r="C128" t="str">
            <v>M353</v>
          </cell>
          <cell r="E128" t="str">
            <v>M342 + M352</v>
          </cell>
        </row>
        <row r="129">
          <cell r="A129" t="str">
            <v>13M357</v>
          </cell>
          <cell r="B129">
            <v>13</v>
          </cell>
          <cell r="C129" t="str">
            <v>M357</v>
          </cell>
          <cell r="E129" t="str">
            <v>M356 -  M353</v>
          </cell>
        </row>
        <row r="130">
          <cell r="A130" t="str">
            <v>13M365</v>
          </cell>
          <cell r="B130">
            <v>13</v>
          </cell>
          <cell r="C130" t="str">
            <v>M365</v>
          </cell>
          <cell r="E130" t="str">
            <v>M358 + M359 + M360 + M361 + M362 + M363 + M364</v>
          </cell>
        </row>
        <row r="131">
          <cell r="A131" t="str">
            <v>13M366</v>
          </cell>
          <cell r="B131">
            <v>13</v>
          </cell>
          <cell r="C131" t="str">
            <v>M366</v>
          </cell>
          <cell r="E131" t="str">
            <v>M356 + M365</v>
          </cell>
        </row>
        <row r="132">
          <cell r="A132" t="str">
            <v>13M371</v>
          </cell>
          <cell r="B132">
            <v>13</v>
          </cell>
          <cell r="C132" t="str">
            <v>M371</v>
          </cell>
          <cell r="E132" t="str">
            <v>M366 + M367 + M368 + M370 + M470</v>
          </cell>
        </row>
        <row r="133">
          <cell r="A133" t="str">
            <v>13M373</v>
          </cell>
          <cell r="B133">
            <v>13</v>
          </cell>
          <cell r="C133" t="str">
            <v>M373</v>
          </cell>
          <cell r="E133" t="str">
            <v>M371 + M372</v>
          </cell>
        </row>
        <row r="134">
          <cell r="A134" t="str">
            <v>13M376</v>
          </cell>
          <cell r="B134">
            <v>13</v>
          </cell>
          <cell r="C134" t="str">
            <v>M376</v>
          </cell>
          <cell r="E134" t="str">
            <v>M373 + M374 + M375</v>
          </cell>
        </row>
        <row r="135">
          <cell r="A135" t="str">
            <v>13M390</v>
          </cell>
          <cell r="B135">
            <v>13</v>
          </cell>
          <cell r="C135" t="str">
            <v>M390</v>
          </cell>
          <cell r="E135" t="str">
            <v>M376 + M377 + M471 + M378</v>
          </cell>
        </row>
        <row r="136">
          <cell r="A136" t="str">
            <v>13M394</v>
          </cell>
          <cell r="B136">
            <v>13</v>
          </cell>
          <cell r="C136" t="str">
            <v>M394</v>
          </cell>
          <cell r="E136" t="str">
            <v>M391 + M392 + M393</v>
          </cell>
        </row>
        <row r="137">
          <cell r="A137" t="str">
            <v>13M399</v>
          </cell>
          <cell r="B137">
            <v>13</v>
          </cell>
          <cell r="C137" t="str">
            <v>M399</v>
          </cell>
          <cell r="E137" t="str">
            <v>M478 + M479</v>
          </cell>
        </row>
        <row r="138">
          <cell r="A138" t="str">
            <v>13M416</v>
          </cell>
          <cell r="B138">
            <v>13</v>
          </cell>
          <cell r="C138" t="str">
            <v>M416</v>
          </cell>
          <cell r="E138" t="str">
            <v xml:space="preserve">M394 + M438 + M439 + M401 + M402 + M403 + M404 + M405 + M406 + M440 + M441 + M408 + M409 + M410 +  M411 + M412 + M413 + M414 + M415 </v>
          </cell>
        </row>
        <row r="139">
          <cell r="A139" t="str">
            <v>14M342</v>
          </cell>
          <cell r="B139">
            <v>14</v>
          </cell>
          <cell r="C139" t="str">
            <v>M342</v>
          </cell>
          <cell r="E139" t="str">
            <v>M337 + M338 + M339 + M340 + M341</v>
          </cell>
        </row>
        <row r="140">
          <cell r="A140" t="str">
            <v>14M352</v>
          </cell>
          <cell r="B140">
            <v>14</v>
          </cell>
          <cell r="C140" t="str">
            <v>M352</v>
          </cell>
          <cell r="E140" t="str">
            <v>M343 + M344 + M345 + M346 + M347 + M348 + M349 + M350 + M351</v>
          </cell>
        </row>
        <row r="141">
          <cell r="A141" t="str">
            <v>14M353</v>
          </cell>
          <cell r="B141">
            <v>14</v>
          </cell>
          <cell r="C141" t="str">
            <v>M353</v>
          </cell>
          <cell r="E141" t="str">
            <v>M342 + M352 + M414</v>
          </cell>
        </row>
        <row r="142">
          <cell r="A142" t="str">
            <v>14M356</v>
          </cell>
          <cell r="B142">
            <v>14</v>
          </cell>
          <cell r="C142" t="str">
            <v>M356</v>
          </cell>
          <cell r="E142" t="str">
            <v>M451 + M401 + M402 + M355</v>
          </cell>
        </row>
        <row r="143">
          <cell r="A143" t="str">
            <v>14M365</v>
          </cell>
          <cell r="B143">
            <v>14</v>
          </cell>
          <cell r="C143" t="str">
            <v>M365</v>
          </cell>
          <cell r="E143" t="str">
            <v>M358 + M359 + M360 + M361 + M362 + M363 + M364</v>
          </cell>
        </row>
        <row r="144">
          <cell r="A144" t="str">
            <v>14M366</v>
          </cell>
          <cell r="B144">
            <v>14</v>
          </cell>
          <cell r="C144" t="str">
            <v>M366</v>
          </cell>
          <cell r="E144" t="str">
            <v>M356 + M365</v>
          </cell>
        </row>
        <row r="145">
          <cell r="A145" t="str">
            <v>14M371</v>
          </cell>
          <cell r="B145">
            <v>14</v>
          </cell>
          <cell r="C145" t="str">
            <v>M371</v>
          </cell>
          <cell r="E145" t="str">
            <v>M366 + M367 + M368 + M369 + M379 + M470</v>
          </cell>
        </row>
        <row r="146">
          <cell r="A146" t="str">
            <v>14M373</v>
          </cell>
          <cell r="B146">
            <v>14</v>
          </cell>
          <cell r="C146" t="str">
            <v>M373</v>
          </cell>
          <cell r="E146" t="str">
            <v>M371 + M372</v>
          </cell>
        </row>
        <row r="147">
          <cell r="A147" t="str">
            <v>14M376</v>
          </cell>
          <cell r="B147">
            <v>14</v>
          </cell>
          <cell r="C147" t="str">
            <v>M376</v>
          </cell>
          <cell r="E147" t="str">
            <v>M373 + M374 + M375</v>
          </cell>
        </row>
        <row r="148">
          <cell r="A148" t="str">
            <v>14M390</v>
          </cell>
          <cell r="B148">
            <v>14</v>
          </cell>
          <cell r="C148" t="str">
            <v>M390</v>
          </cell>
          <cell r="E148" t="str">
            <v>M376 + M377 + M378 + M400 + M471</v>
          </cell>
        </row>
        <row r="149">
          <cell r="A149" t="str">
            <v>14M394</v>
          </cell>
          <cell r="B149">
            <v>14</v>
          </cell>
          <cell r="C149" t="str">
            <v>M394</v>
          </cell>
          <cell r="E149" t="str">
            <v>M391 + M392 + M393</v>
          </cell>
        </row>
        <row r="150">
          <cell r="A150" t="str">
            <v>14M399</v>
          </cell>
          <cell r="B150">
            <v>14</v>
          </cell>
          <cell r="C150" t="str">
            <v>M399</v>
          </cell>
          <cell r="E150" t="str">
            <v>M478 + M479</v>
          </cell>
        </row>
        <row r="151">
          <cell r="A151" t="str">
            <v>14M448</v>
          </cell>
          <cell r="B151">
            <v>14</v>
          </cell>
          <cell r="C151" t="str">
            <v>M448</v>
          </cell>
          <cell r="E151" t="str">
            <v>M353 + M354 + M408 + M442 + M443 + M395 + M396 + M444 + M445 + M398 + M446 + M447</v>
          </cell>
        </row>
        <row r="152">
          <cell r="A152" t="str">
            <v>14M451</v>
          </cell>
          <cell r="B152">
            <v>14</v>
          </cell>
          <cell r="C152" t="str">
            <v>M451</v>
          </cell>
          <cell r="E152" t="str">
            <v>M448 + M394 + M406 + M449 + M409 + M410 + M415 + M412 + M413 + M450 + M411</v>
          </cell>
        </row>
        <row r="153">
          <cell r="A153" t="str">
            <v>15M342</v>
          </cell>
          <cell r="B153">
            <v>15</v>
          </cell>
          <cell r="C153" t="str">
            <v>M342</v>
          </cell>
          <cell r="E153" t="str">
            <v>M337 + M338 + M339 + M340 + M341</v>
          </cell>
        </row>
        <row r="154">
          <cell r="A154" t="str">
            <v>15M356</v>
          </cell>
          <cell r="B154">
            <v>15</v>
          </cell>
          <cell r="C154" t="str">
            <v>M356</v>
          </cell>
          <cell r="E154" t="str">
            <v>M451 + M401 + M402</v>
          </cell>
        </row>
        <row r="155">
          <cell r="A155" t="str">
            <v>15M365</v>
          </cell>
          <cell r="B155">
            <v>15</v>
          </cell>
          <cell r="C155" t="str">
            <v>M365</v>
          </cell>
          <cell r="E155" t="str">
            <v>M358 + M359 + M360 + M361 + M362 + M363 + M364</v>
          </cell>
        </row>
        <row r="156">
          <cell r="A156" t="str">
            <v>15M366</v>
          </cell>
          <cell r="B156">
            <v>15</v>
          </cell>
          <cell r="C156" t="str">
            <v>M366</v>
          </cell>
          <cell r="E156" t="str">
            <v>M356 + M365</v>
          </cell>
        </row>
        <row r="157">
          <cell r="A157" t="str">
            <v>15M371</v>
          </cell>
          <cell r="B157">
            <v>15</v>
          </cell>
          <cell r="C157" t="str">
            <v>M371</v>
          </cell>
          <cell r="E157" t="str">
            <v>M366 + M368 + M470</v>
          </cell>
        </row>
        <row r="158">
          <cell r="A158" t="str">
            <v>15M373</v>
          </cell>
          <cell r="B158">
            <v>15</v>
          </cell>
          <cell r="C158" t="str">
            <v>M373</v>
          </cell>
          <cell r="E158" t="str">
            <v>M371 + M372</v>
          </cell>
        </row>
        <row r="159">
          <cell r="A159" t="str">
            <v>15M376</v>
          </cell>
          <cell r="B159">
            <v>15</v>
          </cell>
          <cell r="C159" t="str">
            <v>M376</v>
          </cell>
          <cell r="E159" t="str">
            <v>M373 + M374 + M375</v>
          </cell>
        </row>
        <row r="160">
          <cell r="A160" t="str">
            <v>15M390</v>
          </cell>
          <cell r="B160">
            <v>15</v>
          </cell>
          <cell r="C160" t="str">
            <v>M390</v>
          </cell>
          <cell r="E160" t="str">
            <v>M376 + M377 + M378 + M379 + M471</v>
          </cell>
        </row>
        <row r="161">
          <cell r="A161" t="str">
            <v>15M394</v>
          </cell>
          <cell r="B161">
            <v>15</v>
          </cell>
          <cell r="C161" t="str">
            <v>M394</v>
          </cell>
          <cell r="E161" t="str">
            <v>M391 + M392 + M393</v>
          </cell>
        </row>
        <row r="162">
          <cell r="A162" t="str">
            <v>15M399</v>
          </cell>
          <cell r="B162">
            <v>15</v>
          </cell>
          <cell r="C162" t="str">
            <v>M399</v>
          </cell>
          <cell r="E162" t="str">
            <v>M478 + M479</v>
          </cell>
        </row>
        <row r="163">
          <cell r="A163" t="str">
            <v>15M416</v>
          </cell>
          <cell r="B163">
            <v>15</v>
          </cell>
          <cell r="C163" t="str">
            <v>M416</v>
          </cell>
          <cell r="E163" t="str">
            <v>M397 + M398 + M399 + M400 + M455 + M441 + M443 +  M456 + M457 + M458 + M459</v>
          </cell>
        </row>
        <row r="164">
          <cell r="A164" t="str">
            <v>15M448</v>
          </cell>
          <cell r="B164">
            <v>15</v>
          </cell>
          <cell r="C164" t="str">
            <v>M448</v>
          </cell>
          <cell r="E164" t="str">
            <v>M452 + M351 + M395 + M396 + M453 + M444 + M454 + M446</v>
          </cell>
        </row>
        <row r="165">
          <cell r="A165" t="str">
            <v>15M451</v>
          </cell>
          <cell r="B165">
            <v>15</v>
          </cell>
          <cell r="C165" t="str">
            <v>M451</v>
          </cell>
          <cell r="E165" t="str">
            <v>M448 + M394 + M406 + M449 + M344 + M343 + M409 + M410 +  M450 + M411</v>
          </cell>
        </row>
        <row r="166">
          <cell r="A166" t="str">
            <v>15M452</v>
          </cell>
          <cell r="B166">
            <v>15</v>
          </cell>
          <cell r="C166" t="str">
            <v>M452</v>
          </cell>
          <cell r="E166" t="str">
            <v>M342 + M408</v>
          </cell>
        </row>
        <row r="167">
          <cell r="A167" t="str">
            <v>16M342</v>
          </cell>
          <cell r="B167">
            <v>16</v>
          </cell>
          <cell r="C167" t="str">
            <v>M342</v>
          </cell>
          <cell r="E167" t="str">
            <v>M337 + M338 + M339 + M340 + M341</v>
          </cell>
        </row>
        <row r="168">
          <cell r="A168" t="str">
            <v>16M356</v>
          </cell>
          <cell r="B168">
            <v>16</v>
          </cell>
          <cell r="C168" t="str">
            <v>M356</v>
          </cell>
          <cell r="E168" t="str">
            <v>M451 + M401 + M402</v>
          </cell>
        </row>
        <row r="169">
          <cell r="A169" t="str">
            <v>16M365</v>
          </cell>
          <cell r="B169">
            <v>16</v>
          </cell>
          <cell r="C169" t="str">
            <v>M365</v>
          </cell>
          <cell r="E169" t="str">
            <v>M358 + M359 + M360 + M361 + M362 + M363 + M364</v>
          </cell>
        </row>
        <row r="170">
          <cell r="A170" t="str">
            <v>16M366</v>
          </cell>
          <cell r="B170">
            <v>16</v>
          </cell>
          <cell r="C170" t="str">
            <v>M366</v>
          </cell>
          <cell r="E170" t="str">
            <v>M356 + M365</v>
          </cell>
        </row>
        <row r="171">
          <cell r="A171" t="str">
            <v>16M371</v>
          </cell>
          <cell r="B171">
            <v>16</v>
          </cell>
          <cell r="C171" t="str">
            <v>M371</v>
          </cell>
          <cell r="E171" t="str">
            <v>M366 + M368 + M463 + M470</v>
          </cell>
        </row>
        <row r="172">
          <cell r="A172" t="str">
            <v>16M373</v>
          </cell>
          <cell r="B172">
            <v>16</v>
          </cell>
          <cell r="C172" t="str">
            <v>M373</v>
          </cell>
          <cell r="E172" t="str">
            <v>M371 + M372</v>
          </cell>
        </row>
        <row r="173">
          <cell r="A173" t="str">
            <v>16M376</v>
          </cell>
          <cell r="B173">
            <v>16</v>
          </cell>
          <cell r="C173" t="str">
            <v>M376</v>
          </cell>
          <cell r="E173" t="str">
            <v>M373 + M374 + M375</v>
          </cell>
        </row>
        <row r="174">
          <cell r="A174" t="str">
            <v>16M390</v>
          </cell>
          <cell r="B174">
            <v>16</v>
          </cell>
          <cell r="C174" t="str">
            <v>M390</v>
          </cell>
          <cell r="E174" t="str">
            <v>M376 + M377 + M464 + M378 + M465 + M379 + M471</v>
          </cell>
        </row>
        <row r="175">
          <cell r="A175" t="str">
            <v>16M394</v>
          </cell>
          <cell r="B175">
            <v>16</v>
          </cell>
          <cell r="C175" t="str">
            <v>M394</v>
          </cell>
          <cell r="E175" t="str">
            <v>M391 + M392 + M393</v>
          </cell>
        </row>
        <row r="176">
          <cell r="A176" t="str">
            <v>16M399</v>
          </cell>
          <cell r="B176">
            <v>16</v>
          </cell>
          <cell r="C176" t="str">
            <v>M399</v>
          </cell>
          <cell r="E176" t="str">
            <v>M478 + M479</v>
          </cell>
        </row>
        <row r="177">
          <cell r="A177" t="str">
            <v>16M448</v>
          </cell>
          <cell r="B177">
            <v>16</v>
          </cell>
          <cell r="C177" t="str">
            <v>M448</v>
          </cell>
          <cell r="E177" t="str">
            <v>M452 + M351 + M395 + M460 + M396 + M453 + M444 + M446 + M369</v>
          </cell>
        </row>
        <row r="178">
          <cell r="A178" t="str">
            <v>16M451</v>
          </cell>
          <cell r="B178">
            <v>16</v>
          </cell>
          <cell r="C178" t="str">
            <v>M451</v>
          </cell>
          <cell r="E178" t="str">
            <v>M448 + M394 + M406 + M412 + M413 + M449 + M344 + M343 + M461 + M409 + M410 + M462 + M414 + M415 + M450 + M411</v>
          </cell>
        </row>
        <row r="179">
          <cell r="A179" t="str">
            <v>16M452</v>
          </cell>
          <cell r="B179">
            <v>16</v>
          </cell>
          <cell r="C179" t="str">
            <v>M452</v>
          </cell>
          <cell r="E179" t="str">
            <v>M342 + M408</v>
          </cell>
        </row>
        <row r="180">
          <cell r="A180" t="str">
            <v>17M342</v>
          </cell>
          <cell r="B180">
            <v>17</v>
          </cell>
          <cell r="C180" t="str">
            <v>M342</v>
          </cell>
          <cell r="E180" t="str">
            <v>M337 + M338 + M339 + M340 + M341</v>
          </cell>
        </row>
        <row r="181">
          <cell r="A181" t="str">
            <v>17M356</v>
          </cell>
          <cell r="B181">
            <v>17</v>
          </cell>
          <cell r="C181" t="str">
            <v>M356</v>
          </cell>
          <cell r="E181" t="str">
            <v>M451 + M401 + M402</v>
          </cell>
        </row>
        <row r="182">
          <cell r="A182" t="str">
            <v>17M365</v>
          </cell>
          <cell r="B182">
            <v>17</v>
          </cell>
          <cell r="C182" t="str">
            <v>M365</v>
          </cell>
          <cell r="E182" t="str">
            <v>M358 + M359 + M360 + M361 + M362 + M363 + M364</v>
          </cell>
        </row>
        <row r="183">
          <cell r="A183" t="str">
            <v>17M366</v>
          </cell>
          <cell r="B183">
            <v>17</v>
          </cell>
          <cell r="C183" t="str">
            <v>M366</v>
          </cell>
          <cell r="E183" t="str">
            <v>M356 + M365</v>
          </cell>
        </row>
        <row r="184">
          <cell r="A184" t="str">
            <v>17M371</v>
          </cell>
          <cell r="B184">
            <v>17</v>
          </cell>
          <cell r="C184" t="str">
            <v>M371</v>
          </cell>
          <cell r="E184" t="str">
            <v>M366 + M368 + M470</v>
          </cell>
        </row>
        <row r="185">
          <cell r="A185" t="str">
            <v>17M373</v>
          </cell>
          <cell r="B185">
            <v>17</v>
          </cell>
          <cell r="C185" t="str">
            <v>M373</v>
          </cell>
          <cell r="E185" t="str">
            <v>M371 + M372</v>
          </cell>
        </row>
        <row r="186">
          <cell r="A186" t="str">
            <v>17M376</v>
          </cell>
          <cell r="B186">
            <v>17</v>
          </cell>
          <cell r="C186" t="str">
            <v>M376</v>
          </cell>
          <cell r="E186" t="str">
            <v>M373 + M374 + M375</v>
          </cell>
        </row>
        <row r="187">
          <cell r="A187" t="str">
            <v>17M390</v>
          </cell>
          <cell r="B187">
            <v>17</v>
          </cell>
          <cell r="C187" t="str">
            <v>M390</v>
          </cell>
          <cell r="E187" t="str">
            <v>M376 + M377 + M464 + M378 + M379 + M466 + M409 + M410 + M467 + M471</v>
          </cell>
        </row>
        <row r="188">
          <cell r="A188" t="str">
            <v>17M394</v>
          </cell>
          <cell r="B188">
            <v>17</v>
          </cell>
          <cell r="C188" t="str">
            <v>M394</v>
          </cell>
          <cell r="E188" t="str">
            <v>M391 + M392 + M393</v>
          </cell>
        </row>
        <row r="189">
          <cell r="A189" t="str">
            <v>17M399</v>
          </cell>
          <cell r="B189">
            <v>17</v>
          </cell>
          <cell r="C189" t="str">
            <v>M399</v>
          </cell>
          <cell r="E189" t="str">
            <v>M478 + M479</v>
          </cell>
        </row>
        <row r="190">
          <cell r="A190" t="str">
            <v>17M448</v>
          </cell>
          <cell r="B190">
            <v>17</v>
          </cell>
          <cell r="C190" t="str">
            <v>M448</v>
          </cell>
          <cell r="E190" t="str">
            <v>M452 + M351 + M396 + M453 + M444 + M446</v>
          </cell>
        </row>
        <row r="191">
          <cell r="A191" t="str">
            <v>17M451</v>
          </cell>
          <cell r="B191">
            <v>17</v>
          </cell>
          <cell r="C191" t="str">
            <v>M451</v>
          </cell>
          <cell r="E191" t="str">
            <v>M448 + M394 + M406 + M449 + M344 + M343 +  M462 + M414 + M415 + M450 + M411</v>
          </cell>
        </row>
        <row r="192">
          <cell r="A192" t="str">
            <v>17M452</v>
          </cell>
          <cell r="B192">
            <v>17</v>
          </cell>
          <cell r="C192" t="str">
            <v>M452</v>
          </cell>
          <cell r="E192" t="str">
            <v>M342 + M408</v>
          </cell>
        </row>
        <row r="193">
          <cell r="A193" t="str">
            <v>18M1403</v>
          </cell>
          <cell r="B193">
            <v>18</v>
          </cell>
          <cell r="C193" t="str">
            <v>M1403</v>
          </cell>
          <cell r="E193" t="str">
            <v>M1401 + M1402</v>
          </cell>
        </row>
        <row r="194">
          <cell r="A194" t="str">
            <v>18M1406</v>
          </cell>
          <cell r="B194">
            <v>18</v>
          </cell>
          <cell r="C194" t="str">
            <v>M1406</v>
          </cell>
          <cell r="E194" t="str">
            <v>M1404 + M1405 + M343</v>
          </cell>
        </row>
        <row r="195">
          <cell r="A195" t="str">
            <v>18M1409</v>
          </cell>
          <cell r="B195">
            <v>18</v>
          </cell>
          <cell r="C195" t="str">
            <v>M1409</v>
          </cell>
          <cell r="E195" t="str">
            <v>M1407 + M1408</v>
          </cell>
        </row>
        <row r="196">
          <cell r="A196" t="str">
            <v>18M1414</v>
          </cell>
          <cell r="B196">
            <v>18</v>
          </cell>
          <cell r="C196" t="str">
            <v>M1414</v>
          </cell>
          <cell r="E196" t="str">
            <v>M1410 + M1411 + M1412 + M1413</v>
          </cell>
        </row>
        <row r="197">
          <cell r="A197" t="str">
            <v>18M1415</v>
          </cell>
          <cell r="B197">
            <v>18</v>
          </cell>
          <cell r="C197" t="str">
            <v>M1415</v>
          </cell>
          <cell r="E197" t="str">
            <v>M1403 + M1406 + M1409 + M1414</v>
          </cell>
        </row>
        <row r="198">
          <cell r="A198" t="str">
            <v>18M1420</v>
          </cell>
          <cell r="B198">
            <v>18</v>
          </cell>
          <cell r="C198" t="str">
            <v>M1420</v>
          </cell>
          <cell r="E198" t="str">
            <v>M1416 + M1417 + M635 + M1419</v>
          </cell>
        </row>
        <row r="199">
          <cell r="A199" t="str">
            <v>18M1423</v>
          </cell>
          <cell r="B199">
            <v>18</v>
          </cell>
          <cell r="C199" t="str">
            <v>M1423</v>
          </cell>
          <cell r="E199" t="str">
            <v>M1421 + M1422</v>
          </cell>
        </row>
        <row r="200">
          <cell r="A200" t="str">
            <v>18M1428</v>
          </cell>
          <cell r="B200">
            <v>18</v>
          </cell>
          <cell r="C200" t="str">
            <v>M1428</v>
          </cell>
          <cell r="E200" t="str">
            <v>M1425+M442+M441+M443+M394+M398+M445+M396+M446</v>
          </cell>
        </row>
        <row r="201">
          <cell r="A201" t="str">
            <v>18M1433</v>
          </cell>
          <cell r="B201">
            <v>18</v>
          </cell>
          <cell r="C201" t="str">
            <v>M1433</v>
          </cell>
          <cell r="E201" t="str">
            <v>M1430+M1431+M1515+M1345+M1432</v>
          </cell>
        </row>
        <row r="202">
          <cell r="A202" t="str">
            <v>18M1434</v>
          </cell>
          <cell r="B202">
            <v>18</v>
          </cell>
          <cell r="C202" t="str">
            <v>M1434</v>
          </cell>
          <cell r="E202" t="str">
            <v>M1420 + M1423 + M1428 + M1433</v>
          </cell>
        </row>
        <row r="203">
          <cell r="A203" t="str">
            <v>18M1437</v>
          </cell>
          <cell r="B203">
            <v>18</v>
          </cell>
          <cell r="C203" t="str">
            <v>M1437</v>
          </cell>
          <cell r="E203" t="str">
            <v>M1435 + M1436</v>
          </cell>
        </row>
        <row r="204">
          <cell r="A204" t="str">
            <v>18M1453</v>
          </cell>
          <cell r="B204">
            <v>18</v>
          </cell>
          <cell r="C204" t="str">
            <v>M1453</v>
          </cell>
          <cell r="E204" t="str">
            <v>M1446 + M1447 + M1448 + M1449 + M1450 + M1451 + M1452</v>
          </cell>
        </row>
        <row r="205">
          <cell r="A205" t="str">
            <v>18M1456</v>
          </cell>
          <cell r="B205">
            <v>18</v>
          </cell>
          <cell r="C205" t="str">
            <v>M1456</v>
          </cell>
          <cell r="E205" t="str">
            <v>M1454 + M1455</v>
          </cell>
        </row>
        <row r="206">
          <cell r="A206" t="str">
            <v>18M356</v>
          </cell>
          <cell r="B206">
            <v>18</v>
          </cell>
          <cell r="C206" t="str">
            <v>M356</v>
          </cell>
          <cell r="E206" t="str">
            <v>M1415 + M1434 + M414 + M415</v>
          </cell>
        </row>
        <row r="207">
          <cell r="A207" t="str">
            <v>18M366</v>
          </cell>
          <cell r="B207">
            <v>18</v>
          </cell>
          <cell r="C207" t="str">
            <v>M366</v>
          </cell>
          <cell r="E207" t="str">
            <v>M356 + M365</v>
          </cell>
        </row>
        <row r="208">
          <cell r="A208" t="str">
            <v>18M376</v>
          </cell>
          <cell r="B208">
            <v>18</v>
          </cell>
          <cell r="C208" t="str">
            <v>M376</v>
          </cell>
          <cell r="E208" t="str">
            <v>M366 + M368 + M374 + M375</v>
          </cell>
        </row>
        <row r="209">
          <cell r="A209" t="str">
            <v>18M394</v>
          </cell>
          <cell r="B209">
            <v>18</v>
          </cell>
          <cell r="C209" t="str">
            <v>M394</v>
          </cell>
          <cell r="E209" t="str">
            <v>M391 + M392</v>
          </cell>
        </row>
        <row r="210">
          <cell r="A210" t="str">
            <v>18M399</v>
          </cell>
          <cell r="B210">
            <v>18</v>
          </cell>
          <cell r="C210" t="str">
            <v>M399</v>
          </cell>
          <cell r="E210" t="str">
            <v>M478 + M479</v>
          </cell>
        </row>
        <row r="211">
          <cell r="A211" t="str">
            <v>19M1409</v>
          </cell>
          <cell r="B211">
            <v>19</v>
          </cell>
          <cell r="C211" t="str">
            <v>M1409</v>
          </cell>
          <cell r="E211" t="str">
            <v>M1009 + M1407 + M1408</v>
          </cell>
        </row>
        <row r="212">
          <cell r="A212" t="str">
            <v>19M1415</v>
          </cell>
          <cell r="B212">
            <v>19</v>
          </cell>
          <cell r="C212" t="str">
            <v>M1415</v>
          </cell>
          <cell r="E212" t="str">
            <v>M1481 + M1496</v>
          </cell>
        </row>
        <row r="213">
          <cell r="A213" t="str">
            <v>19M1423</v>
          </cell>
          <cell r="B213">
            <v>19</v>
          </cell>
          <cell r="C213" t="str">
            <v>M1423</v>
          </cell>
          <cell r="E213" t="str">
            <v>M1421 + M1422</v>
          </cell>
        </row>
        <row r="214">
          <cell r="A214" t="str">
            <v>19M1429</v>
          </cell>
          <cell r="B214">
            <v>19</v>
          </cell>
          <cell r="C214" t="str">
            <v>M1429</v>
          </cell>
          <cell r="E214" t="str">
            <v>M1500 + M394</v>
          </cell>
        </row>
        <row r="215">
          <cell r="A215" t="str">
            <v>19M1437</v>
          </cell>
          <cell r="B215">
            <v>19</v>
          </cell>
          <cell r="C215" t="str">
            <v>M1437</v>
          </cell>
          <cell r="E215" t="str">
            <v>M1435 + M1436</v>
          </cell>
        </row>
        <row r="216">
          <cell r="A216" t="str">
            <v>19M1481</v>
          </cell>
          <cell r="B216">
            <v>19</v>
          </cell>
          <cell r="C216" t="str">
            <v>M1481</v>
          </cell>
          <cell r="E216" t="str">
            <v>M630 + M634</v>
          </cell>
        </row>
        <row r="217">
          <cell r="A217" t="str">
            <v>19M1487</v>
          </cell>
          <cell r="B217">
            <v>19</v>
          </cell>
          <cell r="C217" t="str">
            <v>M1487</v>
          </cell>
          <cell r="E217" t="str">
            <v>M1482 + M1483 + M1484 + M1485 + M1486</v>
          </cell>
        </row>
        <row r="218">
          <cell r="A218" t="str">
            <v>19M1496</v>
          </cell>
          <cell r="B218">
            <v>19</v>
          </cell>
          <cell r="C218" t="str">
            <v>M1496</v>
          </cell>
          <cell r="E218" t="str">
            <v>M1488 + M1489 + M1490 + M647 + M1491 + M1492 + M1493 + M1494 + M1495 +  M1409 + M1423 + M1487</v>
          </cell>
        </row>
        <row r="219">
          <cell r="A219" t="str">
            <v>19M1500</v>
          </cell>
          <cell r="B219">
            <v>19</v>
          </cell>
          <cell r="C219" t="str">
            <v>M1500</v>
          </cell>
          <cell r="E219" t="str">
            <v>M442 + M441 + M443 + M397 + M398 + M1498 + M1499 + M667 + M668 + M669 + M1426 + M1427 + M1432 +   M355</v>
          </cell>
        </row>
        <row r="220">
          <cell r="A220" t="str">
            <v>19M1501</v>
          </cell>
          <cell r="B220">
            <v>19</v>
          </cell>
          <cell r="C220" t="str">
            <v>M1501</v>
          </cell>
          <cell r="E220" t="str">
            <v>M1415 + M1429</v>
          </cell>
        </row>
        <row r="221">
          <cell r="A221" t="str">
            <v>19M1506</v>
          </cell>
          <cell r="B221">
            <v>19</v>
          </cell>
          <cell r="C221" t="str">
            <v>M1506</v>
          </cell>
          <cell r="E221" t="str">
            <v>M1501 + M450</v>
          </cell>
        </row>
        <row r="222">
          <cell r="A222" t="str">
            <v>19M1511</v>
          </cell>
          <cell r="B222">
            <v>19</v>
          </cell>
          <cell r="C222" t="str">
            <v>M1511</v>
          </cell>
          <cell r="E222" t="str">
            <v>M366 + M374 + M375</v>
          </cell>
        </row>
        <row r="223">
          <cell r="A223" t="str">
            <v>19M356</v>
          </cell>
          <cell r="B223">
            <v>19</v>
          </cell>
          <cell r="C223" t="str">
            <v>M356</v>
          </cell>
          <cell r="E223" t="str">
            <v>M1506 + M1507 + M1508 + M1509 + M1510 + M413</v>
          </cell>
        </row>
        <row r="224">
          <cell r="A224" t="str">
            <v>19M365</v>
          </cell>
          <cell r="B224">
            <v>19</v>
          </cell>
          <cell r="C224" t="str">
            <v>M365</v>
          </cell>
          <cell r="E224" t="str">
            <v xml:space="preserve">M358 + M362 + M361 + M360 + M364 </v>
          </cell>
        </row>
        <row r="225">
          <cell r="A225" t="str">
            <v>19M366</v>
          </cell>
          <cell r="B225">
            <v>19</v>
          </cell>
          <cell r="C225" t="str">
            <v>M366</v>
          </cell>
          <cell r="E225" t="str">
            <v>M356 + M365</v>
          </cell>
        </row>
        <row r="226">
          <cell r="A226" t="str">
            <v>19M371</v>
          </cell>
          <cell r="B226">
            <v>19</v>
          </cell>
          <cell r="C226" t="str">
            <v>M371</v>
          </cell>
          <cell r="E226" t="str">
            <v>M1511 + M368</v>
          </cell>
        </row>
        <row r="227">
          <cell r="A227" t="str">
            <v>19M376</v>
          </cell>
          <cell r="B227">
            <v>19</v>
          </cell>
          <cell r="C227" t="str">
            <v>M376</v>
          </cell>
          <cell r="E227" t="str">
            <v>M371 + M372 + M1513</v>
          </cell>
        </row>
        <row r="228">
          <cell r="A228" t="str">
            <v>19M390</v>
          </cell>
          <cell r="B228">
            <v>19</v>
          </cell>
          <cell r="C228" t="str">
            <v>M390</v>
          </cell>
          <cell r="E228" t="str">
            <v>M376 + M377 + M471 + M400 + M378</v>
          </cell>
        </row>
        <row r="229">
          <cell r="A229" t="str">
            <v>19M394</v>
          </cell>
          <cell r="B229">
            <v>19</v>
          </cell>
          <cell r="C229" t="str">
            <v>M394</v>
          </cell>
          <cell r="E229" t="str">
            <v>M391 + M392</v>
          </cell>
        </row>
        <row r="230">
          <cell r="A230" t="str">
            <v>19M399</v>
          </cell>
          <cell r="B230">
            <v>19</v>
          </cell>
          <cell r="C230" t="str">
            <v>M399</v>
          </cell>
          <cell r="E230" t="str">
            <v>M478 + M479</v>
          </cell>
        </row>
        <row r="231">
          <cell r="A231" t="str">
            <v>19M450</v>
          </cell>
          <cell r="B231">
            <v>19</v>
          </cell>
          <cell r="C231" t="str">
            <v>M450</v>
          </cell>
          <cell r="E231" t="str">
            <v>M1502 + M1503 + M1504 + M1505</v>
          </cell>
        </row>
        <row r="232">
          <cell r="A232" t="str">
            <v>19M630</v>
          </cell>
          <cell r="B232">
            <v>19</v>
          </cell>
          <cell r="C232" t="str">
            <v>M630</v>
          </cell>
          <cell r="E232" t="str">
            <v>M1460 + M1461 + M1462 + M1463 + M1464 + M1465 + M1466 + M1467  + M1468 + M1469 + M1470 + M1471</v>
          </cell>
        </row>
        <row r="233">
          <cell r="A233" t="str">
            <v>19M634</v>
          </cell>
          <cell r="B233">
            <v>19</v>
          </cell>
          <cell r="C233" t="str">
            <v>M634</v>
          </cell>
          <cell r="E233" t="str">
            <v>M1472 + M1473 + M1474 + M1475 + M1476 + M1477 + M1478  + M1479 + M1480</v>
          </cell>
        </row>
        <row r="234">
          <cell r="A234" t="str">
            <v>37A4325</v>
          </cell>
          <cell r="B234">
            <v>37</v>
          </cell>
          <cell r="C234" t="str">
            <v>A4325</v>
          </cell>
          <cell r="D234" t="str">
            <v>M6686</v>
          </cell>
        </row>
        <row r="235">
          <cell r="A235" t="str">
            <v>37A4301</v>
          </cell>
          <cell r="B235">
            <v>37</v>
          </cell>
          <cell r="C235" t="str">
            <v>A4301</v>
          </cell>
          <cell r="D235" t="str">
            <v>M6601</v>
          </cell>
        </row>
        <row r="236">
          <cell r="A236" t="str">
            <v>37A4303</v>
          </cell>
          <cell r="B236">
            <v>37</v>
          </cell>
          <cell r="C236" t="str">
            <v>A4303</v>
          </cell>
          <cell r="D236" t="str">
            <v>M6601+M6602+M6603+M6604+M6605+M6606+M6607+M6608+M6609+M6610+M6611+M6612+M6613+M6614+M6615+M6616</v>
          </cell>
          <cell r="E236" t="str">
            <v>M6620</v>
          </cell>
        </row>
        <row r="237">
          <cell r="A237" t="str">
            <v>37A4305</v>
          </cell>
          <cell r="B237">
            <v>37</v>
          </cell>
          <cell r="C237" t="str">
            <v>A4305</v>
          </cell>
          <cell r="D237" t="str">
            <v>M6621+M6622+M6623+M6624+M6625+M6626+M6627</v>
          </cell>
          <cell r="E237" t="str">
            <v>M6630</v>
          </cell>
        </row>
        <row r="238">
          <cell r="A238" t="str">
            <v>37A4307</v>
          </cell>
          <cell r="B238">
            <v>37</v>
          </cell>
          <cell r="C238" t="str">
            <v>A4307</v>
          </cell>
          <cell r="D238" t="str">
            <v>A4303+A4305+M6633+M6634+M6635+M6636+M6637+M6638+M6639</v>
          </cell>
          <cell r="E238" t="str">
            <v>M6620+M6630+M6633+M6634+M6635+M6636+M6637+M6638+M6639</v>
          </cell>
        </row>
        <row r="239">
          <cell r="A239" t="str">
            <v>37A4309</v>
          </cell>
          <cell r="B239">
            <v>37</v>
          </cell>
          <cell r="C239" t="str">
            <v>A4309</v>
          </cell>
          <cell r="D239" t="str">
            <v>M6644</v>
          </cell>
          <cell r="E239" t="str">
            <v>M6642+M6643</v>
          </cell>
        </row>
        <row r="240">
          <cell r="A240" t="str">
            <v>37A4311</v>
          </cell>
          <cell r="B240">
            <v>37</v>
          </cell>
          <cell r="C240" t="str">
            <v>A4311</v>
          </cell>
          <cell r="D240" t="str">
            <v>A4307+A4309</v>
          </cell>
        </row>
        <row r="241">
          <cell r="A241" t="str">
            <v>37A4313</v>
          </cell>
          <cell r="B241">
            <v>37</v>
          </cell>
          <cell r="C241" t="str">
            <v>A4313</v>
          </cell>
          <cell r="D241" t="str">
            <v>M6644+M6645+M6646+M6647+M6648+M6649+M6650+M6651+M6652+M6653+M6654+M6655+M6656+M6657</v>
          </cell>
          <cell r="E241" t="str">
            <v>M6660</v>
          </cell>
        </row>
        <row r="242">
          <cell r="A242" t="str">
            <v>37A4315</v>
          </cell>
          <cell r="B242">
            <v>37</v>
          </cell>
          <cell r="C242" t="str">
            <v>A4315</v>
          </cell>
          <cell r="D242" t="str">
            <v>M6662+M6663+M6664+M6665+M6666+M6667+M6668+M6669+M6670+M6671+M6672+M6673+M6674</v>
          </cell>
          <cell r="E242" t="str">
            <v>M6679</v>
          </cell>
        </row>
        <row r="243">
          <cell r="A243" t="str">
            <v>37A4317</v>
          </cell>
          <cell r="B243">
            <v>37</v>
          </cell>
          <cell r="C243" t="str">
            <v>A4317</v>
          </cell>
          <cell r="D243" t="str">
            <v>M6680</v>
          </cell>
        </row>
        <row r="244">
          <cell r="A244" t="str">
            <v>37A4319</v>
          </cell>
          <cell r="B244">
            <v>37</v>
          </cell>
          <cell r="C244" t="str">
            <v>A4319</v>
          </cell>
          <cell r="D244" t="str">
            <v>M6681</v>
          </cell>
        </row>
        <row r="245">
          <cell r="A245" t="str">
            <v>37A4321</v>
          </cell>
          <cell r="B245">
            <v>37</v>
          </cell>
          <cell r="C245" t="str">
            <v>A4321</v>
          </cell>
          <cell r="D245" t="str">
            <v>A4307+A4313+A4315+A4317+A4319</v>
          </cell>
          <cell r="E245" t="str">
            <v>M6640+M6660+M6679+M6680+M6681</v>
          </cell>
        </row>
        <row r="246">
          <cell r="A246" t="str">
            <v>37A4323</v>
          </cell>
          <cell r="B246">
            <v>37</v>
          </cell>
          <cell r="C246" t="str">
            <v>A4323</v>
          </cell>
          <cell r="D246" t="str">
            <v>M6685+M6686</v>
          </cell>
          <cell r="E246" t="str">
            <v>M6687</v>
          </cell>
        </row>
        <row r="247">
          <cell r="A247" t="str">
            <v>30A4325</v>
          </cell>
          <cell r="B247">
            <v>30</v>
          </cell>
          <cell r="C247" t="str">
            <v>A4325</v>
          </cell>
          <cell r="D247" t="str">
            <v>M6397</v>
          </cell>
        </row>
        <row r="248">
          <cell r="A248" t="str">
            <v>30A4301</v>
          </cell>
          <cell r="B248">
            <v>30</v>
          </cell>
          <cell r="C248" t="str">
            <v>A4301</v>
          </cell>
          <cell r="D248" t="str">
            <v>M6300</v>
          </cell>
        </row>
        <row r="249">
          <cell r="A249" t="str">
            <v>30A4303</v>
          </cell>
          <cell r="B249">
            <v>30</v>
          </cell>
          <cell r="C249" t="str">
            <v>A4303</v>
          </cell>
          <cell r="D249" t="str">
            <v>M6301+M6302+M6303+M6304+M6305+M6306+M6307</v>
          </cell>
          <cell r="E249" t="str">
            <v>M6355</v>
          </cell>
        </row>
        <row r="250">
          <cell r="A250" t="str">
            <v>30A4305</v>
          </cell>
          <cell r="B250">
            <v>30</v>
          </cell>
          <cell r="C250" t="str">
            <v>A4305</v>
          </cell>
          <cell r="D250" t="str">
            <v>M6342+M6343+M6344+M6345+M6346+M6347+M6348+M6349</v>
          </cell>
          <cell r="E250" t="str">
            <v>M6350</v>
          </cell>
        </row>
        <row r="251">
          <cell r="A251" t="str">
            <v>30A4307</v>
          </cell>
          <cell r="B251">
            <v>30</v>
          </cell>
          <cell r="C251" t="str">
            <v>A4307</v>
          </cell>
          <cell r="D251" t="str">
            <v>A4303+A4305</v>
          </cell>
        </row>
        <row r="252">
          <cell r="A252" t="str">
            <v>30A4309</v>
          </cell>
          <cell r="B252">
            <v>30</v>
          </cell>
          <cell r="C252" t="str">
            <v>A4309</v>
          </cell>
          <cell r="D252" t="str">
            <v>M6357+M6358+M6359</v>
          </cell>
        </row>
        <row r="253">
          <cell r="A253" t="str">
            <v>30A4311</v>
          </cell>
          <cell r="B253">
            <v>30</v>
          </cell>
          <cell r="C253" t="str">
            <v>A4311</v>
          </cell>
          <cell r="D253" t="str">
            <v>A4307+A4309</v>
          </cell>
        </row>
        <row r="254">
          <cell r="A254" t="str">
            <v>30A4313</v>
          </cell>
          <cell r="B254">
            <v>30</v>
          </cell>
          <cell r="C254" t="str">
            <v>A4313</v>
          </cell>
          <cell r="D254" t="str">
            <v>M6357+M6358+M6359+M6360+M6361+M6362+M6363+M6364+M6365+M6366+M6367+M6368+M6369+M6370+M6371+M6372+M6373+M6374+M6375+M6376</v>
          </cell>
          <cell r="E254" t="str">
            <v>M6380</v>
          </cell>
        </row>
        <row r="255">
          <cell r="A255" t="str">
            <v>30A4315</v>
          </cell>
          <cell r="B255">
            <v>30</v>
          </cell>
          <cell r="C255" t="str">
            <v>A4315</v>
          </cell>
          <cell r="D255" t="str">
            <v>M6382+M6383+M6384+M6385+M6386+M6387+M6388+M6389+M6390+M6391+M6392+M6393</v>
          </cell>
          <cell r="E255" t="str">
            <v>M6395</v>
          </cell>
        </row>
        <row r="256">
          <cell r="A256" t="str">
            <v>30A4317</v>
          </cell>
          <cell r="B256">
            <v>30</v>
          </cell>
          <cell r="C256" t="str">
            <v>A4317</v>
          </cell>
          <cell r="D256" t="str">
            <v>M6396</v>
          </cell>
        </row>
        <row r="257">
          <cell r="A257" t="str">
            <v>30A4319</v>
          </cell>
          <cell r="B257">
            <v>30</v>
          </cell>
          <cell r="C257" t="str">
            <v>A4319</v>
          </cell>
        </row>
        <row r="258">
          <cell r="A258" t="str">
            <v>30A4321</v>
          </cell>
          <cell r="B258">
            <v>30</v>
          </cell>
          <cell r="C258" t="str">
            <v>A4321</v>
          </cell>
          <cell r="D258" t="str">
            <v>A4307+A4313+A4315+A4317+A4319</v>
          </cell>
          <cell r="E258" t="str">
            <v>M6355+M6380+M6395+M6396</v>
          </cell>
        </row>
        <row r="259">
          <cell r="A259" t="str">
            <v>30A4323</v>
          </cell>
          <cell r="B259">
            <v>30</v>
          </cell>
          <cell r="C259" t="str">
            <v>A4323</v>
          </cell>
          <cell r="D259" t="str">
            <v>M6397+M6398</v>
          </cell>
          <cell r="E259" t="str">
            <v>M6399</v>
          </cell>
        </row>
        <row r="260">
          <cell r="A260" t="str">
            <v>29A4325</v>
          </cell>
          <cell r="B260">
            <v>29</v>
          </cell>
          <cell r="C260" t="str">
            <v>A4325</v>
          </cell>
          <cell r="D260" t="str">
            <v>M6271</v>
          </cell>
        </row>
        <row r="261">
          <cell r="A261" t="str">
            <v>29A4301</v>
          </cell>
          <cell r="B261">
            <v>29</v>
          </cell>
          <cell r="C261" t="str">
            <v>A4301</v>
          </cell>
          <cell r="D261" t="str">
            <v>M6200</v>
          </cell>
        </row>
        <row r="262">
          <cell r="A262" t="str">
            <v>29A4303</v>
          </cell>
          <cell r="B262">
            <v>29</v>
          </cell>
          <cell r="C262" t="str">
            <v>A4303</v>
          </cell>
          <cell r="D262" t="str">
            <v>M6200+M6201+M6202+M6203+M6204+M6205+M6206+M6207+M6208+M6209+M6210+M6211+M6212+M6213+M6214+M6215+M6216+M6217+M6218+M6219+M6220+M6221+M6222+M6223+M6224+M6225+M6226+M6227</v>
          </cell>
          <cell r="E262" t="str">
            <v>M6228</v>
          </cell>
        </row>
        <row r="263">
          <cell r="A263" t="str">
            <v>29A4305</v>
          </cell>
          <cell r="B263">
            <v>29</v>
          </cell>
          <cell r="C263" t="str">
            <v>A4305</v>
          </cell>
          <cell r="D263" t="str">
            <v>M6229+M6230+M6231+M6232+M6233+M6234+M6235+M6236</v>
          </cell>
          <cell r="E263" t="str">
            <v>M6237</v>
          </cell>
        </row>
        <row r="264">
          <cell r="A264" t="str">
            <v>29A4307</v>
          </cell>
          <cell r="B264">
            <v>29</v>
          </cell>
          <cell r="C264" t="str">
            <v>A4307</v>
          </cell>
          <cell r="D264" t="str">
            <v>A4303+A4305+M6238+M6239+M6240+M6241+M6242+M6244</v>
          </cell>
          <cell r="E264" t="str">
            <v>M6245</v>
          </cell>
        </row>
        <row r="265">
          <cell r="A265" t="str">
            <v>29A4309</v>
          </cell>
          <cell r="B265">
            <v>29</v>
          </cell>
          <cell r="C265" t="str">
            <v>A4309</v>
          </cell>
          <cell r="D265" t="str">
            <v>M6246+M6247</v>
          </cell>
        </row>
        <row r="266">
          <cell r="A266" t="str">
            <v>29A4311</v>
          </cell>
          <cell r="B266">
            <v>29</v>
          </cell>
          <cell r="C266" t="str">
            <v>A4311</v>
          </cell>
          <cell r="D266" t="str">
            <v>A4307+A4309</v>
          </cell>
        </row>
        <row r="267">
          <cell r="A267" t="str">
            <v>29A4313</v>
          </cell>
          <cell r="B267">
            <v>29</v>
          </cell>
          <cell r="C267" t="str">
            <v>A4313</v>
          </cell>
          <cell r="D267" t="str">
            <v>M6246+M6247+M6248+M6249+M6250+M6251+M6252+M6253+M6254+M6255+M6256</v>
          </cell>
          <cell r="E267" t="str">
            <v>M6257</v>
          </cell>
        </row>
        <row r="268">
          <cell r="A268" t="str">
            <v>29A4315</v>
          </cell>
          <cell r="B268">
            <v>29</v>
          </cell>
          <cell r="C268" t="str">
            <v>A4315</v>
          </cell>
          <cell r="D268" t="str">
            <v>M6258+M6259+M6260+M6261+M6262+M6263+M6264+M6265+M6266+M6267</v>
          </cell>
          <cell r="E268" t="str">
            <v>M6268</v>
          </cell>
        </row>
        <row r="269">
          <cell r="A269" t="str">
            <v>29A4317</v>
          </cell>
          <cell r="B269">
            <v>29</v>
          </cell>
          <cell r="C269" t="str">
            <v>A4317</v>
          </cell>
          <cell r="D269" t="str">
            <v>M6269</v>
          </cell>
        </row>
        <row r="270">
          <cell r="A270" t="str">
            <v>29A4319</v>
          </cell>
          <cell r="B270">
            <v>29</v>
          </cell>
          <cell r="C270" t="str">
            <v>A4319</v>
          </cell>
        </row>
        <row r="271">
          <cell r="A271" t="str">
            <v>29A4321</v>
          </cell>
          <cell r="B271">
            <v>29</v>
          </cell>
          <cell r="C271" t="str">
            <v>A4321</v>
          </cell>
          <cell r="D271" t="str">
            <v>A4307+A4313+A4315+A4317+A4319</v>
          </cell>
          <cell r="E271" t="str">
            <v>M6245+M6257+M6268+M6269</v>
          </cell>
        </row>
        <row r="272">
          <cell r="A272" t="str">
            <v>29A4323</v>
          </cell>
          <cell r="B272">
            <v>29</v>
          </cell>
          <cell r="C272" t="str">
            <v>A4323</v>
          </cell>
          <cell r="D272" t="str">
            <v>M6270+M6271+M6272</v>
          </cell>
          <cell r="E272" t="str">
            <v>M6273</v>
          </cell>
        </row>
        <row r="273">
          <cell r="A273" t="str">
            <v>34A4325</v>
          </cell>
          <cell r="B273">
            <v>34</v>
          </cell>
          <cell r="C273" t="str">
            <v>A4325</v>
          </cell>
          <cell r="D273" t="str">
            <v>M6064</v>
          </cell>
        </row>
        <row r="274">
          <cell r="A274" t="str">
            <v>34A4301</v>
          </cell>
          <cell r="B274">
            <v>34</v>
          </cell>
          <cell r="C274" t="str">
            <v>A4301</v>
          </cell>
          <cell r="D274" t="str">
            <v>M6001</v>
          </cell>
        </row>
        <row r="275">
          <cell r="A275" t="str">
            <v>34A4303</v>
          </cell>
          <cell r="B275">
            <v>34</v>
          </cell>
          <cell r="C275" t="str">
            <v>A4303</v>
          </cell>
        </row>
        <row r="276">
          <cell r="A276" t="str">
            <v>34A4305</v>
          </cell>
          <cell r="B276">
            <v>34</v>
          </cell>
          <cell r="C276" t="str">
            <v>A4305</v>
          </cell>
          <cell r="D276" t="str">
            <v>M6025+M6026+M6027+M6028+M6029+M6030+M6031</v>
          </cell>
        </row>
        <row r="277">
          <cell r="A277" t="str">
            <v>34A4307</v>
          </cell>
          <cell r="B277">
            <v>34</v>
          </cell>
          <cell r="C277" t="str">
            <v>A4307</v>
          </cell>
          <cell r="D277" t="str">
            <v>M6001+M6002+M6003+M6004+M6005+M6006+M6007+M6008+M6009+M6010+M6011+M6012+M6013+M6014+M6015+M6016+M6017+M6018+M6019+M6020+M6021+M6022+M6023+M6024+M6025+M6026+M6027+M6028+M6029+M6030+M6031+M6032</v>
          </cell>
          <cell r="E277" t="str">
            <v>M6040</v>
          </cell>
        </row>
        <row r="278">
          <cell r="A278" t="str">
            <v>34A4309</v>
          </cell>
          <cell r="B278">
            <v>34</v>
          </cell>
          <cell r="C278" t="str">
            <v>A4309</v>
          </cell>
          <cell r="D278" t="str">
            <v>M6042+M6043</v>
          </cell>
        </row>
        <row r="279">
          <cell r="A279" t="str">
            <v>34A4311</v>
          </cell>
          <cell r="B279">
            <v>34</v>
          </cell>
          <cell r="C279" t="str">
            <v>A4311</v>
          </cell>
          <cell r="D279" t="str">
            <v>A4307+A4309</v>
          </cell>
        </row>
        <row r="280">
          <cell r="A280" t="str">
            <v>34A4313</v>
          </cell>
          <cell r="B280">
            <v>34</v>
          </cell>
          <cell r="C280" t="str">
            <v>A4313</v>
          </cell>
          <cell r="D280" t="str">
            <v>M6042+M6043+M6044+M6045+M6046+M6047+M6048+M6049</v>
          </cell>
          <cell r="E280" t="str">
            <v>M6050</v>
          </cell>
        </row>
        <row r="281">
          <cell r="A281" t="str">
            <v>34A4315</v>
          </cell>
          <cell r="B281">
            <v>34</v>
          </cell>
          <cell r="C281" t="str">
            <v>A4315</v>
          </cell>
          <cell r="D281" t="str">
            <v>M6052+M6053+M6054+M6055+M6056+M6057+M6058+M6059</v>
          </cell>
          <cell r="E281" t="str">
            <v>M6060</v>
          </cell>
        </row>
        <row r="282">
          <cell r="A282" t="str">
            <v>34A4317</v>
          </cell>
          <cell r="B282">
            <v>34</v>
          </cell>
          <cell r="C282" t="str">
            <v>A4317</v>
          </cell>
          <cell r="D282" t="str">
            <v>M6061</v>
          </cell>
        </row>
        <row r="283">
          <cell r="A283" t="str">
            <v>34A4319</v>
          </cell>
          <cell r="B283">
            <v>34</v>
          </cell>
          <cell r="C283" t="str">
            <v>A4319</v>
          </cell>
          <cell r="D283" t="str">
            <v>M6062</v>
          </cell>
        </row>
        <row r="284">
          <cell r="A284" t="str">
            <v>34A4321</v>
          </cell>
          <cell r="B284">
            <v>34</v>
          </cell>
          <cell r="C284" t="str">
            <v>A4321</v>
          </cell>
          <cell r="D284" t="str">
            <v>A4307+A4313+A4315+A4317+A4319</v>
          </cell>
          <cell r="E284" t="str">
            <v>M6040+M6050+M6060+M6061+M6062</v>
          </cell>
        </row>
        <row r="285">
          <cell r="A285" t="str">
            <v>34A4323</v>
          </cell>
          <cell r="B285">
            <v>34</v>
          </cell>
          <cell r="C285" t="str">
            <v>A4323</v>
          </cell>
          <cell r="D285" t="str">
            <v>M6063+M6064</v>
          </cell>
          <cell r="E285" t="str">
            <v>M6065</v>
          </cell>
        </row>
        <row r="286">
          <cell r="A286" t="str">
            <v>35A4325</v>
          </cell>
          <cell r="B286">
            <v>35</v>
          </cell>
          <cell r="C286" t="str">
            <v>A4325</v>
          </cell>
          <cell r="D286" t="str">
            <v>M6064</v>
          </cell>
        </row>
        <row r="287">
          <cell r="A287" t="str">
            <v>35A4301</v>
          </cell>
          <cell r="B287">
            <v>35</v>
          </cell>
          <cell r="C287" t="str">
            <v>A4301</v>
          </cell>
          <cell r="D287" t="str">
            <v>M6001</v>
          </cell>
        </row>
        <row r="288">
          <cell r="A288" t="str">
            <v>35A4303</v>
          </cell>
          <cell r="B288">
            <v>35</v>
          </cell>
          <cell r="C288" t="str">
            <v>A4303</v>
          </cell>
        </row>
        <row r="289">
          <cell r="A289" t="str">
            <v>35A4305</v>
          </cell>
          <cell r="B289">
            <v>35</v>
          </cell>
          <cell r="C289" t="str">
            <v>A4305</v>
          </cell>
          <cell r="D289" t="str">
            <v>M6024+M6025+M6026+M6027+M6028+M6029+M6030+M6031</v>
          </cell>
        </row>
        <row r="290">
          <cell r="A290" t="str">
            <v>35A4307</v>
          </cell>
          <cell r="B290">
            <v>35</v>
          </cell>
          <cell r="C290" t="str">
            <v>A4307</v>
          </cell>
          <cell r="D290" t="str">
            <v>M6001+M6002+M6003+M6004+M6005+M6006+M6007+M6008+M6009+M6010+M6011+M6012+M6013+M6014+M6015+M6016+M6017+M6018+M6019+M6020+M6021+M6022+M6023+M6024+M6025+M6026+M6027+M6028+M6029+M6030+M6031+M6032</v>
          </cell>
          <cell r="E290" t="str">
            <v>M6110</v>
          </cell>
        </row>
        <row r="291">
          <cell r="A291" t="str">
            <v>35A4309</v>
          </cell>
          <cell r="B291">
            <v>35</v>
          </cell>
          <cell r="C291" t="str">
            <v>A4309</v>
          </cell>
          <cell r="D291" t="str">
            <v>M6042+M6043</v>
          </cell>
        </row>
        <row r="292">
          <cell r="A292" t="str">
            <v>35A4311</v>
          </cell>
          <cell r="B292">
            <v>35</v>
          </cell>
          <cell r="C292" t="str">
            <v>A4311</v>
          </cell>
          <cell r="D292" t="str">
            <v>A4307+A4309</v>
          </cell>
        </row>
        <row r="293">
          <cell r="A293" t="str">
            <v>35A4313</v>
          </cell>
          <cell r="B293">
            <v>35</v>
          </cell>
          <cell r="C293" t="str">
            <v>A4313</v>
          </cell>
          <cell r="D293" t="str">
            <v>M6042+M6043+M6112+M6113+M6114+M6115+M6116+M6117+M6118+M6119+M6044+M6045+M6046+M6047+M6048+M6049</v>
          </cell>
          <cell r="E293" t="str">
            <v>M6130</v>
          </cell>
        </row>
        <row r="294">
          <cell r="A294" t="str">
            <v>35A4315</v>
          </cell>
          <cell r="B294">
            <v>35</v>
          </cell>
          <cell r="C294" t="str">
            <v>A4315</v>
          </cell>
          <cell r="D294" t="str">
            <v>M6052+M6053+M6054+M6055+M6056+M6057+M6058+M6059</v>
          </cell>
          <cell r="E294" t="str">
            <v>M6139</v>
          </cell>
        </row>
        <row r="295">
          <cell r="A295" t="str">
            <v>35A4317</v>
          </cell>
          <cell r="B295">
            <v>35</v>
          </cell>
          <cell r="C295" t="str">
            <v>A4317</v>
          </cell>
          <cell r="D295" t="str">
            <v>M6061</v>
          </cell>
        </row>
        <row r="296">
          <cell r="A296" t="str">
            <v>35A4319</v>
          </cell>
          <cell r="B296">
            <v>35</v>
          </cell>
          <cell r="C296" t="str">
            <v>A4319</v>
          </cell>
          <cell r="D296" t="str">
            <v>M6062</v>
          </cell>
        </row>
        <row r="297">
          <cell r="A297" t="str">
            <v>35A4321</v>
          </cell>
          <cell r="B297">
            <v>35</v>
          </cell>
          <cell r="C297" t="str">
            <v>A4321</v>
          </cell>
          <cell r="D297" t="str">
            <v>A4307+A4313+A4315+A4317+A4319</v>
          </cell>
          <cell r="E297" t="str">
            <v>M6110+M6130+M6139+M6061+M6062</v>
          </cell>
        </row>
        <row r="298">
          <cell r="A298" t="str">
            <v>35A4323</v>
          </cell>
          <cell r="B298">
            <v>35</v>
          </cell>
          <cell r="C298" t="str">
            <v>A4323</v>
          </cell>
          <cell r="D298" t="str">
            <v>M6140+M6064</v>
          </cell>
          <cell r="E298" t="str">
            <v>M6141</v>
          </cell>
        </row>
        <row r="299">
          <cell r="A299" t="str">
            <v>39A4325</v>
          </cell>
          <cell r="B299">
            <v>39</v>
          </cell>
          <cell r="C299" t="str">
            <v>A4325</v>
          </cell>
          <cell r="D299" t="str">
            <v>M6538</v>
          </cell>
        </row>
        <row r="300">
          <cell r="A300" t="str">
            <v>39A4301</v>
          </cell>
          <cell r="B300">
            <v>39</v>
          </cell>
          <cell r="C300" t="str">
            <v>A4301</v>
          </cell>
          <cell r="D300" t="str">
            <v>M6501</v>
          </cell>
        </row>
        <row r="301">
          <cell r="A301" t="str">
            <v>39A4303</v>
          </cell>
          <cell r="B301">
            <v>39</v>
          </cell>
          <cell r="C301" t="str">
            <v>A4303</v>
          </cell>
          <cell r="D301" t="str">
            <v>M6501+M6502+M6503+M6504+M6505+M6506+M6507+M6508+M6509+M6510+M6512+M6513+M6558+M6559+M6560</v>
          </cell>
        </row>
        <row r="302">
          <cell r="A302" t="str">
            <v>39A4305</v>
          </cell>
          <cell r="B302">
            <v>39</v>
          </cell>
          <cell r="C302" t="str">
            <v>A4305</v>
          </cell>
          <cell r="D302" t="str">
            <v>M6551+M6552+M6553+M6554+M6555+M6556+M6557</v>
          </cell>
          <cell r="E302" t="str">
            <v>M6511</v>
          </cell>
        </row>
        <row r="303">
          <cell r="A303" t="str">
            <v>39A4307</v>
          </cell>
          <cell r="B303">
            <v>39</v>
          </cell>
          <cell r="C303" t="str">
            <v>A4307</v>
          </cell>
          <cell r="D303" t="str">
            <v>A4303+A4305</v>
          </cell>
        </row>
        <row r="304">
          <cell r="A304" t="str">
            <v>39A4309</v>
          </cell>
          <cell r="B304">
            <v>39</v>
          </cell>
          <cell r="C304" t="str">
            <v>A4309</v>
          </cell>
          <cell r="D304" t="str">
            <v>M6517</v>
          </cell>
        </row>
        <row r="305">
          <cell r="A305" t="str">
            <v>39A4311</v>
          </cell>
          <cell r="B305">
            <v>39</v>
          </cell>
          <cell r="C305" t="str">
            <v>A4311</v>
          </cell>
          <cell r="D305" t="str">
            <v>A4307+A4309</v>
          </cell>
        </row>
        <row r="306">
          <cell r="A306" t="str">
            <v>39A4313</v>
          </cell>
          <cell r="B306">
            <v>39</v>
          </cell>
          <cell r="C306" t="str">
            <v>A4313</v>
          </cell>
          <cell r="D306" t="str">
            <v>M6517+M6518+M6519+M6520+M6521+M6522+M6561</v>
          </cell>
          <cell r="E306" t="str">
            <v>M6525</v>
          </cell>
        </row>
        <row r="307">
          <cell r="A307" t="str">
            <v>39A4315</v>
          </cell>
          <cell r="B307">
            <v>39</v>
          </cell>
          <cell r="C307" t="str">
            <v>A4315</v>
          </cell>
          <cell r="D307" t="str">
            <v>M6527+M6528+M6529+M6530+M6531+M6532</v>
          </cell>
          <cell r="E307" t="str">
            <v>M6535</v>
          </cell>
        </row>
        <row r="308">
          <cell r="A308" t="str">
            <v>39A4317</v>
          </cell>
          <cell r="B308">
            <v>39</v>
          </cell>
          <cell r="C308" t="str">
            <v>A4317</v>
          </cell>
          <cell r="D308" t="str">
            <v>M6533</v>
          </cell>
        </row>
        <row r="309">
          <cell r="A309" t="str">
            <v>39A4319</v>
          </cell>
          <cell r="B309">
            <v>39</v>
          </cell>
          <cell r="C309" t="str">
            <v>A4319</v>
          </cell>
        </row>
        <row r="310">
          <cell r="A310" t="str">
            <v>39A4321</v>
          </cell>
          <cell r="B310">
            <v>39</v>
          </cell>
          <cell r="C310" t="str">
            <v>A4321</v>
          </cell>
          <cell r="D310" t="str">
            <v>A4307+A4313+A4315+A4317+A4319</v>
          </cell>
          <cell r="E310" t="str">
            <v>M6515+M6525+M6535</v>
          </cell>
        </row>
        <row r="311">
          <cell r="A311" t="str">
            <v>39A4323</v>
          </cell>
          <cell r="B311">
            <v>39</v>
          </cell>
          <cell r="C311" t="str">
            <v>A4323</v>
          </cell>
          <cell r="D311" t="str">
            <v>M6537+M6538</v>
          </cell>
          <cell r="E311" t="str">
            <v>M6539</v>
          </cell>
        </row>
        <row r="312">
          <cell r="A312" t="str">
            <v>36A4325</v>
          </cell>
          <cell r="B312">
            <v>36</v>
          </cell>
          <cell r="C312" t="str">
            <v>A4325</v>
          </cell>
          <cell r="D312" t="str">
            <v>M6769</v>
          </cell>
        </row>
        <row r="313">
          <cell r="A313" t="str">
            <v>36A4301</v>
          </cell>
          <cell r="B313">
            <v>36</v>
          </cell>
          <cell r="C313" t="str">
            <v>A4301</v>
          </cell>
          <cell r="D313" t="str">
            <v>M6701</v>
          </cell>
        </row>
        <row r="314">
          <cell r="A314" t="str">
            <v>36A4303</v>
          </cell>
          <cell r="B314">
            <v>36</v>
          </cell>
          <cell r="C314" t="str">
            <v>A4303</v>
          </cell>
        </row>
        <row r="315">
          <cell r="A315" t="str">
            <v>36A4305</v>
          </cell>
          <cell r="B315">
            <v>36</v>
          </cell>
          <cell r="C315" t="str">
            <v>A4305</v>
          </cell>
        </row>
        <row r="316">
          <cell r="A316" t="str">
            <v>36A4307</v>
          </cell>
          <cell r="B316">
            <v>36</v>
          </cell>
          <cell r="C316" t="str">
            <v>A4307</v>
          </cell>
          <cell r="D316" t="str">
            <v>M6703+M6704+M6705+M6706+M6707+M6708+M6709+M6710 +M6720+M6721+M6722+M6723+M6724+M6725+M6726+M6729+M6711+M6712+M6713+M6714+M6715+M6716+M6717+M6718+M6719+M6720+M6721+M6722+M6723+M6724+M6725+M6726+M6729</v>
          </cell>
          <cell r="E316" t="str">
            <v>M6730</v>
          </cell>
        </row>
        <row r="317">
          <cell r="A317" t="str">
            <v>36A4309</v>
          </cell>
          <cell r="B317">
            <v>36</v>
          </cell>
          <cell r="C317" t="str">
            <v>A4309</v>
          </cell>
          <cell r="D317" t="str">
            <v>M6737</v>
          </cell>
        </row>
        <row r="318">
          <cell r="A318" t="str">
            <v>36A4311</v>
          </cell>
          <cell r="B318">
            <v>36</v>
          </cell>
          <cell r="C318" t="str">
            <v>A4311</v>
          </cell>
          <cell r="D318" t="str">
            <v>A4307+A4309</v>
          </cell>
        </row>
        <row r="319">
          <cell r="A319" t="str">
            <v>36A4313</v>
          </cell>
          <cell r="B319">
            <v>36</v>
          </cell>
          <cell r="C319" t="str">
            <v>A4313</v>
          </cell>
          <cell r="D319" t="str">
            <v>M6732+M6733+M6734+M6735+M6736+M6737+M6738+M6739+M6744</v>
          </cell>
          <cell r="E319" t="str">
            <v>M6745</v>
          </cell>
        </row>
        <row r="320">
          <cell r="A320" t="str">
            <v>36A4315</v>
          </cell>
          <cell r="B320">
            <v>36</v>
          </cell>
          <cell r="C320" t="str">
            <v>A4315</v>
          </cell>
          <cell r="D320" t="str">
            <v>M6747+M6748+M6749+M6750+M6751+M6752+M6753+M6754+M6755+M6756+M6757+M6758+M6759+M6764</v>
          </cell>
          <cell r="E320" t="str">
            <v>M6765</v>
          </cell>
        </row>
        <row r="321">
          <cell r="A321" t="str">
            <v>36A4317</v>
          </cell>
          <cell r="B321">
            <v>36</v>
          </cell>
          <cell r="C321" t="str">
            <v>A4317</v>
          </cell>
          <cell r="D321" t="str">
            <v>M6766</v>
          </cell>
        </row>
        <row r="322">
          <cell r="A322" t="str">
            <v>36A4319</v>
          </cell>
          <cell r="B322">
            <v>36</v>
          </cell>
          <cell r="C322" t="str">
            <v>A4319</v>
          </cell>
        </row>
        <row r="323">
          <cell r="A323" t="str">
            <v>36A4321</v>
          </cell>
          <cell r="B323">
            <v>36</v>
          </cell>
          <cell r="C323" t="str">
            <v>A4321</v>
          </cell>
          <cell r="D323" t="str">
            <v>A4307+A4313+A4315+A4317+A4319</v>
          </cell>
          <cell r="E323" t="str">
            <v>M6730+M6745+M6765+M6766</v>
          </cell>
        </row>
        <row r="324">
          <cell r="A324" t="str">
            <v>36A4323</v>
          </cell>
          <cell r="B324">
            <v>36</v>
          </cell>
          <cell r="C324" t="str">
            <v>A4323</v>
          </cell>
          <cell r="D324" t="str">
            <v>M6768+M6769</v>
          </cell>
          <cell r="E324" t="str">
            <v>M6770</v>
          </cell>
        </row>
        <row r="325">
          <cell r="A325" t="str">
            <v>38A4325</v>
          </cell>
          <cell r="B325">
            <v>38</v>
          </cell>
          <cell r="C325" t="str">
            <v>A4325</v>
          </cell>
        </row>
        <row r="326">
          <cell r="A326" t="str">
            <v>38A4301</v>
          </cell>
          <cell r="B326">
            <v>38</v>
          </cell>
          <cell r="C326" t="str">
            <v>A4301</v>
          </cell>
          <cell r="D326" t="str">
            <v>M6400</v>
          </cell>
        </row>
        <row r="327">
          <cell r="A327" t="str">
            <v>38A4303</v>
          </cell>
          <cell r="B327">
            <v>38</v>
          </cell>
          <cell r="C327" t="str">
            <v>A4303</v>
          </cell>
        </row>
        <row r="328">
          <cell r="A328" t="str">
            <v>38A4305</v>
          </cell>
          <cell r="B328">
            <v>38</v>
          </cell>
          <cell r="C328" t="str">
            <v>A4305</v>
          </cell>
        </row>
        <row r="329">
          <cell r="A329" t="str">
            <v>38A4307</v>
          </cell>
          <cell r="B329">
            <v>38</v>
          </cell>
          <cell r="C329" t="str">
            <v>A4307</v>
          </cell>
          <cell r="D329" t="str">
            <v>M6475+M6402+M6403+M6404+M6405+M6406+M6407+M6408+M6409+M6412+M6413+M6476+M6477+M6478+M6479+M6480+M6481+M6482+M6483+M6484+M6485+M6486+M6487+M6488+M6489+M6490+M6491+M6492</v>
          </cell>
          <cell r="E329" t="str">
            <v>M6493</v>
          </cell>
        </row>
        <row r="330">
          <cell r="A330" t="str">
            <v>38A4309</v>
          </cell>
          <cell r="B330">
            <v>38</v>
          </cell>
          <cell r="C330" t="str">
            <v>A4309</v>
          </cell>
          <cell r="D330" t="str">
            <v>M6421</v>
          </cell>
        </row>
        <row r="331">
          <cell r="A331" t="str">
            <v>38A4311</v>
          </cell>
          <cell r="B331">
            <v>38</v>
          </cell>
          <cell r="C331" t="str">
            <v>A4311</v>
          </cell>
          <cell r="D331" t="str">
            <v>A4307+A4309</v>
          </cell>
        </row>
        <row r="332">
          <cell r="A332" t="str">
            <v>38A4313</v>
          </cell>
          <cell r="B332">
            <v>38</v>
          </cell>
          <cell r="C332" t="str">
            <v>A4313</v>
          </cell>
          <cell r="D332" t="str">
            <v>M6421+M6422+M6423+M6424+M6425+M6426+M6427+M6428+M6429+M6430+M6431+M6432+M6439+M6440+M6441+M6442+M6443+M6444+M6445+M6446+M6447+M6448+M6449+M6456+M6457+M6460</v>
          </cell>
        </row>
        <row r="333">
          <cell r="A333" t="str">
            <v>38A4315</v>
          </cell>
          <cell r="B333">
            <v>38</v>
          </cell>
          <cell r="C333" t="str">
            <v>A4315</v>
          </cell>
          <cell r="D333" t="str">
            <v>M6453+M6458+M6459+M6461+M6462+M6463+M6464+M6465+M6466+M6467+M6468+M6469+M6470</v>
          </cell>
        </row>
        <row r="334">
          <cell r="A334" t="str">
            <v>38A4317</v>
          </cell>
          <cell r="B334">
            <v>38</v>
          </cell>
          <cell r="C334" t="str">
            <v>A4317</v>
          </cell>
          <cell r="D334" t="str">
            <v>M6472</v>
          </cell>
        </row>
        <row r="335">
          <cell r="A335" t="str">
            <v>38A4319</v>
          </cell>
          <cell r="B335">
            <v>38</v>
          </cell>
          <cell r="C335" t="str">
            <v>A4319</v>
          </cell>
        </row>
        <row r="336">
          <cell r="A336" t="str">
            <v>38A4321</v>
          </cell>
          <cell r="B336">
            <v>38</v>
          </cell>
          <cell r="C336" t="str">
            <v>A4321</v>
          </cell>
          <cell r="D336" t="str">
            <v>A4307+A4313+A4315+A4317+A4319</v>
          </cell>
          <cell r="E336" t="str">
            <v>M6454+M6471+M6472</v>
          </cell>
        </row>
        <row r="337">
          <cell r="A337" t="str">
            <v>38A4323</v>
          </cell>
          <cell r="B337">
            <v>38</v>
          </cell>
          <cell r="C337" t="str">
            <v>A4323</v>
          </cell>
        </row>
        <row r="338">
          <cell r="A338" t="str">
            <v>50A3000</v>
          </cell>
          <cell r="B338">
            <v>50</v>
          </cell>
          <cell r="C338" t="str">
            <v>A3000</v>
          </cell>
          <cell r="E338" t="str">
            <v>M337</v>
          </cell>
        </row>
        <row r="339">
          <cell r="A339" t="str">
            <v>50A3001</v>
          </cell>
          <cell r="B339">
            <v>50</v>
          </cell>
          <cell r="C339" t="str">
            <v>A3001</v>
          </cell>
          <cell r="E339" t="str">
            <v>M338+M339+M340+M341</v>
          </cell>
        </row>
        <row r="340">
          <cell r="A340" t="str">
            <v>50A3002</v>
          </cell>
          <cell r="B340">
            <v>50</v>
          </cell>
          <cell r="C340" t="str">
            <v>A3002</v>
          </cell>
          <cell r="D340" t="str">
            <v xml:space="preserve"> A3001 + A3000</v>
          </cell>
          <cell r="E340" t="str">
            <v>M342</v>
          </cell>
        </row>
        <row r="341">
          <cell r="A341" t="str">
            <v>50A3003</v>
          </cell>
          <cell r="B341">
            <v>50</v>
          </cell>
          <cell r="C341" t="str">
            <v>A3003</v>
          </cell>
          <cell r="E341" t="str">
            <v>M351+M647</v>
          </cell>
        </row>
        <row r="342">
          <cell r="A342" t="str">
            <v>50A3003_15</v>
          </cell>
          <cell r="B342">
            <v>50</v>
          </cell>
          <cell r="C342" t="str">
            <v>A3003_15</v>
          </cell>
          <cell r="E342" t="str">
            <v>M351</v>
          </cell>
        </row>
        <row r="343">
          <cell r="A343" t="str">
            <v>50A3003_16</v>
          </cell>
          <cell r="B343">
            <v>50</v>
          </cell>
          <cell r="C343" t="str">
            <v>A3003_16</v>
          </cell>
          <cell r="E343" t="str">
            <v>M351</v>
          </cell>
        </row>
        <row r="344">
          <cell r="A344" t="str">
            <v>50A3004</v>
          </cell>
          <cell r="B344">
            <v>50</v>
          </cell>
          <cell r="C344" t="str">
            <v>A3004</v>
          </cell>
          <cell r="D344" t="str">
            <v xml:space="preserve"> A3002 + A3003</v>
          </cell>
        </row>
        <row r="345">
          <cell r="A345" t="str">
            <v>50A3005</v>
          </cell>
          <cell r="B345">
            <v>50</v>
          </cell>
          <cell r="C345" t="str">
            <v>A3005</v>
          </cell>
          <cell r="E345" t="str">
            <v>M408</v>
          </cell>
        </row>
        <row r="346">
          <cell r="A346" t="str">
            <v>50A3006</v>
          </cell>
          <cell r="B346">
            <v>50</v>
          </cell>
          <cell r="C346" t="str">
            <v>A3006</v>
          </cell>
          <cell r="E346" t="str">
            <v>M444</v>
          </cell>
        </row>
        <row r="347">
          <cell r="A347" t="str">
            <v>50A3007</v>
          </cell>
          <cell r="B347">
            <v>50</v>
          </cell>
          <cell r="C347" t="str">
            <v>A3007</v>
          </cell>
        </row>
        <row r="348">
          <cell r="A348" t="str">
            <v>50A3008</v>
          </cell>
          <cell r="B348">
            <v>50</v>
          </cell>
          <cell r="C348" t="str">
            <v>A3008</v>
          </cell>
          <cell r="E348" t="str">
            <v>M454+M369</v>
          </cell>
        </row>
        <row r="349">
          <cell r="A349" t="str">
            <v>50A3009</v>
          </cell>
          <cell r="B349">
            <v>50</v>
          </cell>
          <cell r="C349" t="str">
            <v>A3009</v>
          </cell>
          <cell r="D349" t="str">
            <v>A3004+A3005</v>
          </cell>
        </row>
        <row r="350">
          <cell r="A350" t="str">
            <v>50A3016</v>
          </cell>
          <cell r="B350">
            <v>50</v>
          </cell>
          <cell r="C350" t="str">
            <v>A3016</v>
          </cell>
          <cell r="E350" t="str">
            <v>M395+M396+M453+M438+M439+M638+M667+M446+M450+M460</v>
          </cell>
        </row>
        <row r="351">
          <cell r="A351" t="str">
            <v>50A3016_15</v>
          </cell>
          <cell r="B351">
            <v>50</v>
          </cell>
          <cell r="C351" t="str">
            <v>A3016_15</v>
          </cell>
          <cell r="E351" t="str">
            <v>M395+M396+M453+M439+M638+M667+M446+M450+M460</v>
          </cell>
        </row>
        <row r="352">
          <cell r="A352" t="str">
            <v>50A3018</v>
          </cell>
          <cell r="B352">
            <v>50</v>
          </cell>
          <cell r="C352" t="str">
            <v>A3018</v>
          </cell>
          <cell r="D352" t="str">
            <v>A3009+A3016+A3006+A3008</v>
          </cell>
        </row>
        <row r="353">
          <cell r="A353" t="str">
            <v>50A3019</v>
          </cell>
          <cell r="B353">
            <v>50</v>
          </cell>
          <cell r="C353" t="str">
            <v>A3019</v>
          </cell>
          <cell r="E353" t="str">
            <v>M391</v>
          </cell>
        </row>
        <row r="354">
          <cell r="A354" t="str">
            <v>50A3020</v>
          </cell>
          <cell r="B354">
            <v>50</v>
          </cell>
          <cell r="C354" t="str">
            <v>A3020</v>
          </cell>
          <cell r="E354" t="str">
            <v>M392+M393</v>
          </cell>
        </row>
        <row r="355">
          <cell r="A355" t="str">
            <v>50A3021</v>
          </cell>
          <cell r="B355">
            <v>50</v>
          </cell>
          <cell r="C355" t="str">
            <v>A3021</v>
          </cell>
          <cell r="D355" t="str">
            <v xml:space="preserve"> A3019 + A3020</v>
          </cell>
          <cell r="E355" t="str">
            <v>M394</v>
          </cell>
        </row>
        <row r="356">
          <cell r="A356" t="str">
            <v>50A3022</v>
          </cell>
          <cell r="B356">
            <v>50</v>
          </cell>
          <cell r="C356" t="str">
            <v>A3022</v>
          </cell>
          <cell r="D356" t="str">
            <v xml:space="preserve"> A3018 + A3021</v>
          </cell>
        </row>
        <row r="357">
          <cell r="A357" t="str">
            <v>50A3023</v>
          </cell>
          <cell r="B357">
            <v>50</v>
          </cell>
          <cell r="C357" t="str">
            <v>A3023</v>
          </cell>
          <cell r="E357" t="str">
            <v>M414+M415+M413+M412+M449+M409</v>
          </cell>
        </row>
        <row r="358">
          <cell r="A358" t="str">
            <v>50A3023_15</v>
          </cell>
          <cell r="B358">
            <v>50</v>
          </cell>
          <cell r="C358" t="str">
            <v>A3023_15</v>
          </cell>
          <cell r="E358" t="str">
            <v>M414+M449+M409</v>
          </cell>
        </row>
        <row r="359">
          <cell r="A359" t="str">
            <v>50A3023_17</v>
          </cell>
          <cell r="B359">
            <v>50</v>
          </cell>
          <cell r="C359" t="str">
            <v>A3023_17</v>
          </cell>
          <cell r="E359" t="str">
            <v>M414+M415+M413+M412+M449</v>
          </cell>
        </row>
        <row r="360">
          <cell r="A360" t="str">
            <v>50A3024</v>
          </cell>
          <cell r="B360">
            <v>50</v>
          </cell>
          <cell r="C360" t="str">
            <v>A3024</v>
          </cell>
          <cell r="D360" t="str">
            <v xml:space="preserve"> A3022 + A3023</v>
          </cell>
        </row>
        <row r="361">
          <cell r="A361" t="str">
            <v>50A3025</v>
          </cell>
          <cell r="B361">
            <v>50</v>
          </cell>
          <cell r="C361" t="str">
            <v>A3025</v>
          </cell>
          <cell r="E361" t="str">
            <v>M344</v>
          </cell>
        </row>
        <row r="362">
          <cell r="A362" t="str">
            <v>50A3026</v>
          </cell>
          <cell r="B362">
            <v>50</v>
          </cell>
          <cell r="C362" t="str">
            <v>A3026</v>
          </cell>
          <cell r="E362" t="str">
            <v>M401+M402</v>
          </cell>
        </row>
        <row r="363">
          <cell r="A363" t="str">
            <v>50A3027</v>
          </cell>
          <cell r="B363">
            <v>50</v>
          </cell>
          <cell r="C363" t="str">
            <v>A3027</v>
          </cell>
          <cell r="D363" t="str">
            <v xml:space="preserve"> A3025 + A3026</v>
          </cell>
        </row>
        <row r="364">
          <cell r="A364" t="str">
            <v>50A3028</v>
          </cell>
          <cell r="B364">
            <v>50</v>
          </cell>
          <cell r="C364" t="str">
            <v>A3028</v>
          </cell>
          <cell r="E364" t="str">
            <v>M343+M345+M410+M411+M406+M462</v>
          </cell>
        </row>
        <row r="365">
          <cell r="A365" t="str">
            <v>50A3028_16</v>
          </cell>
          <cell r="B365">
            <v>50</v>
          </cell>
          <cell r="C365" t="str">
            <v>A3028_16</v>
          </cell>
          <cell r="E365" t="str">
            <v>M343+M345+M410+M411+M406</v>
          </cell>
        </row>
        <row r="366">
          <cell r="A366" t="str">
            <v>50A3029</v>
          </cell>
          <cell r="B366">
            <v>50</v>
          </cell>
          <cell r="C366" t="str">
            <v>A3029</v>
          </cell>
        </row>
        <row r="367">
          <cell r="A367" t="str">
            <v>50A3030</v>
          </cell>
          <cell r="B367">
            <v>50</v>
          </cell>
          <cell r="C367" t="str">
            <v>A3030</v>
          </cell>
        </row>
        <row r="368">
          <cell r="A368" t="str">
            <v>50A3031</v>
          </cell>
          <cell r="B368">
            <v>50</v>
          </cell>
          <cell r="C368" t="str">
            <v>A3031</v>
          </cell>
          <cell r="E368" t="str">
            <v>M461</v>
          </cell>
        </row>
        <row r="369">
          <cell r="A369" t="str">
            <v>50A3034</v>
          </cell>
          <cell r="B369">
            <v>50</v>
          </cell>
          <cell r="C369" t="str">
            <v>A3034</v>
          </cell>
          <cell r="D369" t="str">
            <v xml:space="preserve"> A3024 + A3027 + A3028+ A3029 + A3030 + A3031</v>
          </cell>
          <cell r="E369" t="str">
            <v>M356</v>
          </cell>
        </row>
        <row r="370">
          <cell r="A370" t="str">
            <v>50A3035</v>
          </cell>
          <cell r="B370">
            <v>50</v>
          </cell>
          <cell r="C370" t="str">
            <v>A3035</v>
          </cell>
          <cell r="E370" t="str">
            <v>M365</v>
          </cell>
        </row>
        <row r="371">
          <cell r="A371" t="str">
            <v>50A3037</v>
          </cell>
          <cell r="B371">
            <v>50</v>
          </cell>
          <cell r="C371" t="str">
            <v>A3037</v>
          </cell>
          <cell r="D371" t="str">
            <v xml:space="preserve"> A3034 + A3035</v>
          </cell>
          <cell r="E371" t="str">
            <v>M366</v>
          </cell>
        </row>
        <row r="372">
          <cell r="A372" t="str">
            <v>50A3038</v>
          </cell>
          <cell r="B372">
            <v>50</v>
          </cell>
          <cell r="C372" t="str">
            <v>A3038</v>
          </cell>
          <cell r="E372" t="str">
            <v>M368</v>
          </cell>
        </row>
        <row r="373">
          <cell r="A373" t="str">
            <v>50A3039</v>
          </cell>
          <cell r="B373">
            <v>50</v>
          </cell>
          <cell r="C373" t="str">
            <v>A3039</v>
          </cell>
          <cell r="E373" t="str">
            <v>M470+M463</v>
          </cell>
        </row>
        <row r="374">
          <cell r="A374" t="str">
            <v>50A3040</v>
          </cell>
          <cell r="B374">
            <v>50</v>
          </cell>
          <cell r="C374" t="str">
            <v>A3040</v>
          </cell>
        </row>
        <row r="375">
          <cell r="A375" t="str">
            <v>50A3043</v>
          </cell>
          <cell r="B375">
            <v>50</v>
          </cell>
          <cell r="C375" t="str">
            <v>A3043</v>
          </cell>
          <cell r="E375" t="str">
            <v>M374+M375</v>
          </cell>
        </row>
        <row r="376">
          <cell r="A376" t="str">
            <v>50A3044</v>
          </cell>
          <cell r="B376">
            <v>50</v>
          </cell>
          <cell r="C376" t="str">
            <v>A3044</v>
          </cell>
          <cell r="E376" t="str">
            <v>M372</v>
          </cell>
        </row>
        <row r="377">
          <cell r="A377" t="str">
            <v>50A3045</v>
          </cell>
          <cell r="B377">
            <v>50</v>
          </cell>
          <cell r="C377" t="str">
            <v>A3045</v>
          </cell>
          <cell r="D377" t="str">
            <v xml:space="preserve"> A3037 + A3038 + A3039 + A3040 +A3043 +A3044</v>
          </cell>
          <cell r="E377" t="str">
            <v>M376</v>
          </cell>
        </row>
        <row r="378">
          <cell r="A378" t="str">
            <v>50A3046</v>
          </cell>
          <cell r="B378">
            <v>50</v>
          </cell>
          <cell r="C378" t="str">
            <v>A3046</v>
          </cell>
          <cell r="E378" t="str">
            <v>M377</v>
          </cell>
        </row>
        <row r="379">
          <cell r="A379" t="str">
            <v>50A3047</v>
          </cell>
          <cell r="B379">
            <v>50</v>
          </cell>
          <cell r="C379" t="str">
            <v>A3047</v>
          </cell>
          <cell r="E379" t="str">
            <v>M471</v>
          </cell>
        </row>
        <row r="380">
          <cell r="A380" t="str">
            <v>51A3000</v>
          </cell>
          <cell r="B380">
            <v>51</v>
          </cell>
          <cell r="C380" t="str">
            <v>A3000</v>
          </cell>
          <cell r="E380" t="str">
            <v>M337</v>
          </cell>
        </row>
        <row r="381">
          <cell r="A381" t="str">
            <v>51A3001</v>
          </cell>
          <cell r="B381">
            <v>51</v>
          </cell>
          <cell r="C381" t="str">
            <v>A3001</v>
          </cell>
          <cell r="E381" t="str">
            <v>M338+M339+M340+M341</v>
          </cell>
        </row>
        <row r="382">
          <cell r="A382" t="str">
            <v>51A3002</v>
          </cell>
          <cell r="B382">
            <v>51</v>
          </cell>
          <cell r="C382" t="str">
            <v>A3002</v>
          </cell>
          <cell r="D382" t="str">
            <v xml:space="preserve"> A3001 + A3000</v>
          </cell>
          <cell r="E382" t="str">
            <v>M342</v>
          </cell>
        </row>
        <row r="383">
          <cell r="A383" t="str">
            <v>51A3003</v>
          </cell>
          <cell r="B383">
            <v>51</v>
          </cell>
          <cell r="C383" t="str">
            <v>A3003</v>
          </cell>
          <cell r="E383" t="str">
            <v>M352-M344-M343-M345</v>
          </cell>
        </row>
        <row r="384">
          <cell r="A384" t="str">
            <v>51A3004</v>
          </cell>
          <cell r="B384">
            <v>51</v>
          </cell>
          <cell r="C384" t="str">
            <v>A3004</v>
          </cell>
          <cell r="D384" t="str">
            <v>A3002+A3003</v>
          </cell>
        </row>
        <row r="385">
          <cell r="A385" t="str">
            <v>51A3005</v>
          </cell>
          <cell r="B385">
            <v>51</v>
          </cell>
          <cell r="C385" t="str">
            <v>A3005</v>
          </cell>
          <cell r="E385" t="str">
            <v>M357-(M394+M412+M413+M401+M402+M406+M469)</v>
          </cell>
        </row>
        <row r="386">
          <cell r="A386" t="str">
            <v>51A3005_12</v>
          </cell>
          <cell r="B386">
            <v>51</v>
          </cell>
          <cell r="C386" t="str">
            <v>A3005_12</v>
          </cell>
          <cell r="E386" t="str">
            <v>M357-(M394+M401+M402+M406)</v>
          </cell>
        </row>
        <row r="387">
          <cell r="A387" t="str">
            <v>51A3005_10</v>
          </cell>
          <cell r="B387">
            <v>51</v>
          </cell>
          <cell r="C387" t="str">
            <v>A3005_10</v>
          </cell>
          <cell r="E387" t="str">
            <v>M357+ M355 + M354 -(M394+M412+M413+M401+M402+M406+M469)</v>
          </cell>
        </row>
        <row r="388">
          <cell r="A388" t="str">
            <v>51A3018</v>
          </cell>
          <cell r="B388">
            <v>51</v>
          </cell>
          <cell r="C388" t="str">
            <v>A3018</v>
          </cell>
          <cell r="D388" t="str">
            <v>A3004+A3005</v>
          </cell>
        </row>
        <row r="389">
          <cell r="A389" t="str">
            <v>51A3019</v>
          </cell>
          <cell r="B389">
            <v>51</v>
          </cell>
          <cell r="C389" t="str">
            <v>A3019</v>
          </cell>
          <cell r="E389" t="str">
            <v>M391</v>
          </cell>
        </row>
        <row r="390">
          <cell r="A390" t="str">
            <v>51A3020</v>
          </cell>
          <cell r="B390">
            <v>51</v>
          </cell>
          <cell r="C390" t="str">
            <v>A3020</v>
          </cell>
          <cell r="E390" t="str">
            <v>M392</v>
          </cell>
        </row>
        <row r="391">
          <cell r="A391" t="str">
            <v>51A3021</v>
          </cell>
          <cell r="B391">
            <v>51</v>
          </cell>
          <cell r="C391" t="str">
            <v>A3021</v>
          </cell>
          <cell r="E391" t="str">
            <v>M394</v>
          </cell>
        </row>
        <row r="392">
          <cell r="A392" t="str">
            <v>51A3022</v>
          </cell>
          <cell r="B392">
            <v>51</v>
          </cell>
          <cell r="C392" t="str">
            <v>A3022</v>
          </cell>
          <cell r="D392" t="str">
            <v>A3018+A3021</v>
          </cell>
        </row>
        <row r="393">
          <cell r="A393" t="str">
            <v>51A3023</v>
          </cell>
          <cell r="B393">
            <v>51</v>
          </cell>
          <cell r="C393" t="str">
            <v>A3023</v>
          </cell>
          <cell r="E393" t="str">
            <v>M412+M413</v>
          </cell>
        </row>
        <row r="394">
          <cell r="A394" t="str">
            <v>51A3024</v>
          </cell>
          <cell r="B394">
            <v>51</v>
          </cell>
          <cell r="C394" t="str">
            <v>A3024</v>
          </cell>
          <cell r="D394" t="str">
            <v>A3022+A3023</v>
          </cell>
        </row>
        <row r="395">
          <cell r="A395" t="str">
            <v>51A3025</v>
          </cell>
          <cell r="B395">
            <v>51</v>
          </cell>
          <cell r="C395" t="str">
            <v>A3025</v>
          </cell>
          <cell r="E395" t="str">
            <v>M344</v>
          </cell>
        </row>
        <row r="396">
          <cell r="A396" t="str">
            <v>51A3026</v>
          </cell>
          <cell r="B396">
            <v>51</v>
          </cell>
          <cell r="C396" t="str">
            <v>A3026</v>
          </cell>
          <cell r="E396" t="str">
            <v>M401+M402</v>
          </cell>
        </row>
        <row r="397">
          <cell r="A397" t="str">
            <v>51A3027</v>
          </cell>
          <cell r="B397">
            <v>51</v>
          </cell>
          <cell r="C397" t="str">
            <v>A3027</v>
          </cell>
          <cell r="D397" t="str">
            <v>A3025+A3026</v>
          </cell>
        </row>
        <row r="398">
          <cell r="A398" t="str">
            <v>51A3028</v>
          </cell>
          <cell r="B398">
            <v>51</v>
          </cell>
          <cell r="C398" t="str">
            <v>A3028</v>
          </cell>
          <cell r="E398" t="str">
            <v>M343+M345</v>
          </cell>
        </row>
        <row r="399">
          <cell r="A399" t="str">
            <v>51A3029</v>
          </cell>
          <cell r="B399">
            <v>51</v>
          </cell>
          <cell r="C399" t="str">
            <v>A3029</v>
          </cell>
          <cell r="E399" t="str">
            <v>M406</v>
          </cell>
        </row>
        <row r="400">
          <cell r="A400" t="str">
            <v>51A3030</v>
          </cell>
          <cell r="B400">
            <v>51</v>
          </cell>
          <cell r="C400" t="str">
            <v>A3030</v>
          </cell>
          <cell r="E400" t="str">
            <v>M469</v>
          </cell>
        </row>
        <row r="401">
          <cell r="A401" t="str">
            <v>51A3034</v>
          </cell>
          <cell r="B401">
            <v>51</v>
          </cell>
          <cell r="C401" t="str">
            <v>A3034</v>
          </cell>
          <cell r="D401" t="str">
            <v xml:space="preserve"> A3024 + A3027 + A3028+ A3029 + A3030 + A3031</v>
          </cell>
          <cell r="E401" t="str">
            <v>M356</v>
          </cell>
        </row>
        <row r="402">
          <cell r="A402" t="str">
            <v>51A3035</v>
          </cell>
          <cell r="B402">
            <v>51</v>
          </cell>
          <cell r="C402" t="str">
            <v>A3035</v>
          </cell>
          <cell r="E402" t="str">
            <v>M365</v>
          </cell>
        </row>
        <row r="403">
          <cell r="A403" t="str">
            <v>51A3037</v>
          </cell>
          <cell r="B403">
            <v>51</v>
          </cell>
          <cell r="C403" t="str">
            <v>A3037</v>
          </cell>
          <cell r="D403" t="str">
            <v xml:space="preserve"> A3034 + A3035</v>
          </cell>
          <cell r="E403" t="str">
            <v>M366</v>
          </cell>
        </row>
        <row r="404">
          <cell r="A404" t="str">
            <v>51A3038</v>
          </cell>
          <cell r="B404">
            <v>51</v>
          </cell>
          <cell r="C404" t="str">
            <v>A3038</v>
          </cell>
          <cell r="E404" t="str">
            <v>M368</v>
          </cell>
        </row>
        <row r="405">
          <cell r="A405" t="str">
            <v>51A3040</v>
          </cell>
          <cell r="B405">
            <v>51</v>
          </cell>
          <cell r="C405" t="str">
            <v>A3040</v>
          </cell>
          <cell r="E405" t="str">
            <v>M367+M370+M470</v>
          </cell>
        </row>
        <row r="406">
          <cell r="A406" t="str">
            <v>51A3043</v>
          </cell>
          <cell r="B406">
            <v>51</v>
          </cell>
          <cell r="C406" t="str">
            <v>A3043</v>
          </cell>
          <cell r="E406" t="str">
            <v>M374+M375</v>
          </cell>
        </row>
        <row r="407">
          <cell r="A407" t="str">
            <v>51A3044</v>
          </cell>
          <cell r="B407">
            <v>51</v>
          </cell>
          <cell r="C407" t="str">
            <v>A3044</v>
          </cell>
          <cell r="E407" t="str">
            <v>M372</v>
          </cell>
        </row>
        <row r="408">
          <cell r="A408" t="str">
            <v>51A3045</v>
          </cell>
          <cell r="B408">
            <v>51</v>
          </cell>
          <cell r="C408" t="str">
            <v>A3045</v>
          </cell>
          <cell r="D408" t="str">
            <v xml:space="preserve"> A3037 + A3038 + A3039 + A3040 +A3043 +A3044</v>
          </cell>
          <cell r="E408" t="str">
            <v>M376</v>
          </cell>
        </row>
        <row r="409">
          <cell r="A409" t="str">
            <v>51A3046</v>
          </cell>
          <cell r="B409">
            <v>51</v>
          </cell>
          <cell r="C409" t="str">
            <v>A3046</v>
          </cell>
          <cell r="E409" t="str">
            <v>M377</v>
          </cell>
        </row>
        <row r="410">
          <cell r="A410" t="str">
            <v>51A3047</v>
          </cell>
          <cell r="B410">
            <v>51</v>
          </cell>
          <cell r="C410" t="str">
            <v>A3047</v>
          </cell>
          <cell r="E410" t="str">
            <v>M471</v>
          </cell>
        </row>
        <row r="411">
          <cell r="A411" t="str">
            <v>52A3000</v>
          </cell>
          <cell r="B411">
            <v>52</v>
          </cell>
          <cell r="C411" t="str">
            <v>A3000</v>
          </cell>
          <cell r="E411" t="str">
            <v>M337</v>
          </cell>
        </row>
        <row r="412">
          <cell r="A412" t="str">
            <v>52A3001</v>
          </cell>
          <cell r="B412">
            <v>52</v>
          </cell>
          <cell r="C412" t="str">
            <v>A3001</v>
          </cell>
          <cell r="E412" t="str">
            <v>M338+M339+M340+M341</v>
          </cell>
        </row>
        <row r="413">
          <cell r="A413" t="str">
            <v>52A3002</v>
          </cell>
          <cell r="B413">
            <v>52</v>
          </cell>
          <cell r="C413" t="str">
            <v>A3002</v>
          </cell>
          <cell r="D413" t="str">
            <v xml:space="preserve"> A3001 + A3000</v>
          </cell>
          <cell r="E413" t="str">
            <v>M342</v>
          </cell>
        </row>
        <row r="414">
          <cell r="A414" t="str">
            <v>52A3003_OLD</v>
          </cell>
          <cell r="B414">
            <v>52</v>
          </cell>
          <cell r="C414" t="str">
            <v>A3003_OLD</v>
          </cell>
          <cell r="E414" t="str">
            <v>M346+M351+M647</v>
          </cell>
        </row>
        <row r="415">
          <cell r="A415" t="str">
            <v>52A3003</v>
          </cell>
          <cell r="B415">
            <v>52</v>
          </cell>
          <cell r="C415" t="str">
            <v>A3003</v>
          </cell>
          <cell r="E415" t="str">
            <v>M346+M351</v>
          </cell>
        </row>
        <row r="416">
          <cell r="A416" t="str">
            <v>52A3004</v>
          </cell>
          <cell r="B416">
            <v>52</v>
          </cell>
          <cell r="C416" t="str">
            <v>A3004</v>
          </cell>
          <cell r="D416" t="str">
            <v>A3002+A3003</v>
          </cell>
        </row>
        <row r="417">
          <cell r="A417" t="str">
            <v>52A3005_OLD</v>
          </cell>
          <cell r="B417">
            <v>52</v>
          </cell>
          <cell r="C417" t="str">
            <v>A3005_OLD</v>
          </cell>
          <cell r="E417" t="str">
            <v>M354+M408+M442+M441+M443+M395+M396+M445+M667+M397+M398+M438+M439+M638+M446+M447+M347</v>
          </cell>
        </row>
        <row r="418">
          <cell r="A418" t="str">
            <v>52A3005</v>
          </cell>
          <cell r="B418">
            <v>52</v>
          </cell>
          <cell r="C418" t="str">
            <v>A3005</v>
          </cell>
          <cell r="E418" t="str">
            <v>M354+M408+M442+M443+M395+M396+M445+M397+M398+M438+M439+M638+M446+M447+M347</v>
          </cell>
        </row>
        <row r="419">
          <cell r="A419" t="str">
            <v>52A3005_14</v>
          </cell>
          <cell r="B419">
            <v>52</v>
          </cell>
          <cell r="C419" t="str">
            <v>A3005_14</v>
          </cell>
          <cell r="E419" t="str">
            <v>M354+M408+M442+M443+M395+M396+M445+M397+M398+M439+M638+M446+M447+M347</v>
          </cell>
        </row>
        <row r="420">
          <cell r="A420" t="str">
            <v>52A3006</v>
          </cell>
          <cell r="B420">
            <v>52</v>
          </cell>
          <cell r="C420" t="str">
            <v>A3006</v>
          </cell>
          <cell r="E420" t="str">
            <v>M444</v>
          </cell>
        </row>
        <row r="421">
          <cell r="A421" t="str">
            <v>52A3007</v>
          </cell>
          <cell r="B421">
            <v>52</v>
          </cell>
          <cell r="C421" t="str">
            <v>A3007</v>
          </cell>
          <cell r="E421" t="str">
            <v>M348+M450</v>
          </cell>
        </row>
        <row r="422">
          <cell r="A422" t="str">
            <v>52A3008</v>
          </cell>
          <cell r="B422">
            <v>52</v>
          </cell>
          <cell r="C422" t="str">
            <v>A3008</v>
          </cell>
          <cell r="E422" t="str">
            <v>M349+M350</v>
          </cell>
        </row>
        <row r="423">
          <cell r="A423" t="str">
            <v>52A3018</v>
          </cell>
          <cell r="B423">
            <v>52</v>
          </cell>
          <cell r="C423" t="str">
            <v>A3018</v>
          </cell>
          <cell r="D423" t="str">
            <v>A3005+A3006+A3007+A3008+A3004</v>
          </cell>
        </row>
        <row r="424">
          <cell r="A424" t="str">
            <v>52A3019</v>
          </cell>
          <cell r="B424">
            <v>52</v>
          </cell>
          <cell r="C424" t="str">
            <v>A3019</v>
          </cell>
          <cell r="E424" t="str">
            <v>M391</v>
          </cell>
        </row>
        <row r="425">
          <cell r="A425" t="str">
            <v>52A3020</v>
          </cell>
          <cell r="B425">
            <v>52</v>
          </cell>
          <cell r="C425" t="str">
            <v>A3020</v>
          </cell>
          <cell r="E425" t="str">
            <v>M392</v>
          </cell>
        </row>
        <row r="426">
          <cell r="A426" t="str">
            <v>52A3021</v>
          </cell>
          <cell r="B426">
            <v>52</v>
          </cell>
          <cell r="C426" t="str">
            <v>A3021</v>
          </cell>
          <cell r="E426" t="str">
            <v>M394</v>
          </cell>
        </row>
        <row r="427">
          <cell r="A427" t="str">
            <v>52A3022</v>
          </cell>
          <cell r="B427">
            <v>52</v>
          </cell>
          <cell r="C427" t="str">
            <v>A3022</v>
          </cell>
          <cell r="D427" t="str">
            <v>A3018+A3021</v>
          </cell>
        </row>
        <row r="428">
          <cell r="A428" t="str">
            <v>52A3023_OLD</v>
          </cell>
          <cell r="B428">
            <v>52</v>
          </cell>
          <cell r="C428" t="str">
            <v>A3023_OLD</v>
          </cell>
          <cell r="E428" t="str">
            <v>M414+M636+M415+M413+M412</v>
          </cell>
        </row>
        <row r="429">
          <cell r="A429" t="str">
            <v>52A3023</v>
          </cell>
          <cell r="B429">
            <v>52</v>
          </cell>
          <cell r="C429" t="str">
            <v>A3023</v>
          </cell>
          <cell r="E429" t="str">
            <v>M414+M415+M413+M412</v>
          </cell>
        </row>
        <row r="430">
          <cell r="A430" t="str">
            <v>52A3024</v>
          </cell>
          <cell r="B430">
            <v>52</v>
          </cell>
          <cell r="C430" t="str">
            <v>A3024</v>
          </cell>
          <cell r="D430" t="str">
            <v>A3022+A3023</v>
          </cell>
        </row>
        <row r="431">
          <cell r="A431" t="str">
            <v>52A3025</v>
          </cell>
          <cell r="B431">
            <v>52</v>
          </cell>
          <cell r="C431" t="str">
            <v>A3025</v>
          </cell>
          <cell r="E431" t="str">
            <v>M344</v>
          </cell>
        </row>
        <row r="432">
          <cell r="A432" t="str">
            <v>52A3026</v>
          </cell>
          <cell r="B432">
            <v>52</v>
          </cell>
          <cell r="C432" t="str">
            <v>A3026</v>
          </cell>
          <cell r="E432" t="str">
            <v>M401+M402</v>
          </cell>
        </row>
        <row r="433">
          <cell r="A433" t="str">
            <v>52A3027</v>
          </cell>
          <cell r="B433">
            <v>52</v>
          </cell>
          <cell r="C433" t="str">
            <v>A3027</v>
          </cell>
          <cell r="E433" t="str">
            <v>M344+M401+M402</v>
          </cell>
        </row>
        <row r="434">
          <cell r="A434" t="str">
            <v>52A3028</v>
          </cell>
          <cell r="B434">
            <v>52</v>
          </cell>
          <cell r="C434" t="str">
            <v>A3028</v>
          </cell>
          <cell r="E434" t="str">
            <v>M343+M345+M411+M406+M410</v>
          </cell>
        </row>
        <row r="435">
          <cell r="A435" t="str">
            <v>52A3030</v>
          </cell>
          <cell r="B435">
            <v>52</v>
          </cell>
          <cell r="C435" t="str">
            <v>A3030</v>
          </cell>
          <cell r="E435" t="str">
            <v>M449+M355+M649</v>
          </cell>
        </row>
        <row r="436">
          <cell r="A436" t="str">
            <v>52A3031</v>
          </cell>
          <cell r="B436">
            <v>52</v>
          </cell>
          <cell r="C436" t="str">
            <v>A3031</v>
          </cell>
          <cell r="E436" t="str">
            <v>M409</v>
          </cell>
        </row>
        <row r="437">
          <cell r="A437" t="str">
            <v>52A3034</v>
          </cell>
          <cell r="B437">
            <v>52</v>
          </cell>
          <cell r="C437" t="str">
            <v>A3034</v>
          </cell>
          <cell r="D437" t="str">
            <v xml:space="preserve"> A3024 + A3027 + A3028+ A3029 + A3030 + A3031</v>
          </cell>
          <cell r="E437" t="str">
            <v>M356</v>
          </cell>
        </row>
        <row r="438">
          <cell r="A438" t="str">
            <v>52A3035</v>
          </cell>
          <cell r="B438">
            <v>52</v>
          </cell>
          <cell r="C438" t="str">
            <v>A3035</v>
          </cell>
          <cell r="E438" t="str">
            <v>M365</v>
          </cell>
        </row>
        <row r="439">
          <cell r="A439" t="str">
            <v>52A3037</v>
          </cell>
          <cell r="B439">
            <v>52</v>
          </cell>
          <cell r="C439" t="str">
            <v>A3037</v>
          </cell>
          <cell r="D439" t="str">
            <v xml:space="preserve"> A3034 + A3035</v>
          </cell>
        </row>
        <row r="440">
          <cell r="A440" t="str">
            <v>52A3038</v>
          </cell>
          <cell r="B440">
            <v>52</v>
          </cell>
          <cell r="C440" t="str">
            <v>A3038</v>
          </cell>
          <cell r="E440" t="str">
            <v>M368</v>
          </cell>
        </row>
        <row r="441">
          <cell r="A441" t="str">
            <v>52A3040</v>
          </cell>
          <cell r="B441">
            <v>52</v>
          </cell>
          <cell r="C441" t="str">
            <v>A3040</v>
          </cell>
          <cell r="E441" t="str">
            <v>M369+M379+M470+M367</v>
          </cell>
        </row>
        <row r="442">
          <cell r="A442" t="str">
            <v>52A3043</v>
          </cell>
          <cell r="B442">
            <v>52</v>
          </cell>
          <cell r="C442" t="str">
            <v>A3043</v>
          </cell>
          <cell r="E442" t="str">
            <v>M374+M375</v>
          </cell>
        </row>
        <row r="443">
          <cell r="A443" t="str">
            <v>52A3044</v>
          </cell>
          <cell r="B443">
            <v>52</v>
          </cell>
          <cell r="C443" t="str">
            <v>A3044</v>
          </cell>
          <cell r="E443" t="str">
            <v>M372</v>
          </cell>
        </row>
        <row r="444">
          <cell r="A444" t="str">
            <v>52A3045</v>
          </cell>
          <cell r="B444">
            <v>52</v>
          </cell>
          <cell r="C444" t="str">
            <v>A3045</v>
          </cell>
          <cell r="D444" t="str">
            <v>A3037+A3038+A3040+A3043+A3044</v>
          </cell>
        </row>
        <row r="445">
          <cell r="A445" t="str">
            <v>52A3046</v>
          </cell>
          <cell r="B445">
            <v>52</v>
          </cell>
          <cell r="C445" t="str">
            <v>A3046</v>
          </cell>
          <cell r="E445" t="str">
            <v>M377</v>
          </cell>
        </row>
        <row r="446">
          <cell r="A446" t="str">
            <v>52A3047</v>
          </cell>
          <cell r="B446">
            <v>52</v>
          </cell>
          <cell r="C446" t="str">
            <v>A3047</v>
          </cell>
          <cell r="E446" t="str">
            <v>M471</v>
          </cell>
        </row>
        <row r="447">
          <cell r="A447" t="str">
            <v>53A3050</v>
          </cell>
          <cell r="B447">
            <v>53</v>
          </cell>
          <cell r="C447" t="str">
            <v>A3050</v>
          </cell>
          <cell r="E447" t="str">
            <v>M1</v>
          </cell>
        </row>
        <row r="448">
          <cell r="A448" t="str">
            <v>53A3051</v>
          </cell>
          <cell r="B448">
            <v>53</v>
          </cell>
          <cell r="C448" t="str">
            <v>A3051</v>
          </cell>
          <cell r="E448" t="str">
            <v>M2+M3+M4</v>
          </cell>
        </row>
        <row r="449">
          <cell r="A449" t="str">
            <v>53A3052</v>
          </cell>
          <cell r="B449">
            <v>53</v>
          </cell>
          <cell r="C449" t="str">
            <v>A3052</v>
          </cell>
          <cell r="E449" t="str">
            <v>M8</v>
          </cell>
        </row>
        <row r="450">
          <cell r="A450" t="str">
            <v>53A3053</v>
          </cell>
          <cell r="B450">
            <v>53</v>
          </cell>
          <cell r="C450" t="str">
            <v>A3053</v>
          </cell>
          <cell r="E450" t="str">
            <v>M15+M17+M18</v>
          </cell>
        </row>
        <row r="451">
          <cell r="A451" t="str">
            <v>53A3054</v>
          </cell>
          <cell r="B451">
            <v>53</v>
          </cell>
          <cell r="C451" t="str">
            <v>A3054</v>
          </cell>
          <cell r="E451" t="str">
            <v>M25+M26+M24</v>
          </cell>
        </row>
        <row r="452">
          <cell r="A452" t="str">
            <v>53A3055</v>
          </cell>
          <cell r="B452">
            <v>53</v>
          </cell>
          <cell r="C452" t="str">
            <v>A3055</v>
          </cell>
          <cell r="E452" t="str">
            <v>M32-(M1+M2+M3+M4+M8+M15+M17+M18+M25+M26+M24)</v>
          </cell>
        </row>
        <row r="453">
          <cell r="A453" t="str">
            <v>53A3061</v>
          </cell>
          <cell r="B453">
            <v>53</v>
          </cell>
          <cell r="C453" t="str">
            <v>A3061</v>
          </cell>
          <cell r="E453" t="str">
            <v>M32</v>
          </cell>
        </row>
        <row r="454">
          <cell r="A454" t="str">
            <v>53A3064</v>
          </cell>
          <cell r="B454">
            <v>53</v>
          </cell>
          <cell r="C454" t="str">
            <v>A3064</v>
          </cell>
          <cell r="E454" t="str">
            <v>M141+M142+M143+M144+M145+M146+M147+M148+M149+M159+M154</v>
          </cell>
        </row>
        <row r="455">
          <cell r="A455" t="str">
            <v>53A3065</v>
          </cell>
          <cell r="B455">
            <v>53</v>
          </cell>
          <cell r="C455" t="str">
            <v>A3065</v>
          </cell>
          <cell r="E455" t="str">
            <v>M129+M133+M137</v>
          </cell>
        </row>
        <row r="456">
          <cell r="A456" t="str">
            <v>53A3066</v>
          </cell>
          <cell r="B456">
            <v>53</v>
          </cell>
          <cell r="C456" t="str">
            <v>A3066</v>
          </cell>
          <cell r="E456" t="str">
            <v>M130+M134+M138</v>
          </cell>
        </row>
        <row r="457">
          <cell r="A457" t="str">
            <v>53A3067</v>
          </cell>
          <cell r="B457">
            <v>53</v>
          </cell>
          <cell r="C457" t="str">
            <v>A3067</v>
          </cell>
          <cell r="E457" t="str">
            <v>M131+M135+M139</v>
          </cell>
        </row>
        <row r="458">
          <cell r="A458" t="str">
            <v>53A3068</v>
          </cell>
          <cell r="B458">
            <v>53</v>
          </cell>
          <cell r="C458" t="str">
            <v>A3068</v>
          </cell>
          <cell r="E458" t="str">
            <v>M132+M136+M140</v>
          </cell>
        </row>
        <row r="459">
          <cell r="A459" t="str">
            <v>53A3070</v>
          </cell>
          <cell r="B459">
            <v>53</v>
          </cell>
          <cell r="C459" t="str">
            <v>A3070</v>
          </cell>
          <cell r="E459" t="str">
            <v>M190</v>
          </cell>
        </row>
        <row r="460">
          <cell r="A460" t="str">
            <v>53A3071</v>
          </cell>
          <cell r="B460">
            <v>53</v>
          </cell>
          <cell r="C460" t="str">
            <v>A3071</v>
          </cell>
          <cell r="E460" t="str">
            <v>M160-M190</v>
          </cell>
        </row>
        <row r="461">
          <cell r="A461" t="str">
            <v>53A3072</v>
          </cell>
          <cell r="B461">
            <v>53</v>
          </cell>
          <cell r="C461" t="str">
            <v>A3072</v>
          </cell>
          <cell r="D461" t="str">
            <v>A3070+A3071</v>
          </cell>
          <cell r="E461" t="str">
            <v>M160</v>
          </cell>
        </row>
        <row r="462">
          <cell r="A462" t="str">
            <v>53A3073</v>
          </cell>
          <cell r="B462">
            <v>53</v>
          </cell>
          <cell r="C462" t="str">
            <v>A3073</v>
          </cell>
          <cell r="E462" t="str">
            <v>M165+M169</v>
          </cell>
        </row>
        <row r="463">
          <cell r="A463" t="str">
            <v>53A3076</v>
          </cell>
          <cell r="B463">
            <v>53</v>
          </cell>
          <cell r="C463" t="str">
            <v>A3076</v>
          </cell>
          <cell r="E463" t="str">
            <v>M175-(M32+(M141+M142+M143+M144+M145+M146+M147+M148+M149+M159 +M154) +(M132+M136+M140)+M160+M165+M169)</v>
          </cell>
        </row>
        <row r="464">
          <cell r="A464" t="str">
            <v>53A3077</v>
          </cell>
          <cell r="B464">
            <v>53</v>
          </cell>
          <cell r="C464" t="str">
            <v>A3077</v>
          </cell>
          <cell r="D464" t="str">
            <v>A3061+A3064+A3068+A3072+A3073+A3076</v>
          </cell>
          <cell r="E464" t="str">
            <v>M175</v>
          </cell>
        </row>
        <row r="465">
          <cell r="A465" t="str">
            <v>54A4000</v>
          </cell>
          <cell r="B465">
            <v>54</v>
          </cell>
          <cell r="C465" t="str">
            <v>A4000</v>
          </cell>
          <cell r="E465" t="str">
            <v>M236+M237+M238+M239+M240+M241</v>
          </cell>
        </row>
        <row r="466">
          <cell r="A466" t="str">
            <v>54A4002</v>
          </cell>
          <cell r="B466">
            <v>54</v>
          </cell>
          <cell r="C466" t="str">
            <v>A4002</v>
          </cell>
          <cell r="E466" t="str">
            <v>M244+M246+M247+M248+M249+M250</v>
          </cell>
        </row>
        <row r="467">
          <cell r="A467" t="str">
            <v>54A4004</v>
          </cell>
          <cell r="B467">
            <v>54</v>
          </cell>
          <cell r="C467" t="str">
            <v>A4004</v>
          </cell>
          <cell r="E467" t="str">
            <v>M245</v>
          </cell>
        </row>
        <row r="468">
          <cell r="A468" t="str">
            <v>54A4006</v>
          </cell>
          <cell r="B468">
            <v>54</v>
          </cell>
          <cell r="C468" t="str">
            <v>A4006</v>
          </cell>
          <cell r="E468" t="str">
            <v>M242+M243+M252</v>
          </cell>
        </row>
        <row r="469">
          <cell r="A469" t="str">
            <v>54A4008</v>
          </cell>
          <cell r="B469">
            <v>54</v>
          </cell>
          <cell r="C469" t="str">
            <v>A4008</v>
          </cell>
          <cell r="E469" t="str">
            <v>M253+M254+M255+M256+M257+M258+M259+M260+M261+M262</v>
          </cell>
        </row>
        <row r="470">
          <cell r="A470" t="str">
            <v>54A4011</v>
          </cell>
          <cell r="B470">
            <v>54</v>
          </cell>
          <cell r="C470" t="str">
            <v>A4011</v>
          </cell>
          <cell r="D470" t="str">
            <v>A4000+A4002+A4004+A4006+A4008</v>
          </cell>
          <cell r="E470" t="str">
            <v>M263</v>
          </cell>
        </row>
        <row r="471">
          <cell r="A471" t="str">
            <v>54A4012</v>
          </cell>
          <cell r="B471">
            <v>54</v>
          </cell>
          <cell r="C471" t="str">
            <v>A4012</v>
          </cell>
          <cell r="E471" t="str">
            <v>M276-M275-M269</v>
          </cell>
        </row>
        <row r="472">
          <cell r="A472" t="str">
            <v>54A4013</v>
          </cell>
          <cell r="B472">
            <v>54</v>
          </cell>
          <cell r="C472" t="str">
            <v>A4013</v>
          </cell>
          <cell r="E472" t="str">
            <v>M269</v>
          </cell>
        </row>
        <row r="473">
          <cell r="A473" t="str">
            <v>54A4014</v>
          </cell>
          <cell r="B473">
            <v>54</v>
          </cell>
          <cell r="C473" t="str">
            <v>A4014</v>
          </cell>
          <cell r="E473" t="str">
            <v>M275</v>
          </cell>
        </row>
        <row r="474">
          <cell r="A474" t="str">
            <v>54A4016</v>
          </cell>
          <cell r="B474">
            <v>54</v>
          </cell>
          <cell r="C474" t="str">
            <v>A4016</v>
          </cell>
          <cell r="E474" t="str">
            <v>M276</v>
          </cell>
        </row>
        <row r="475">
          <cell r="A475" t="str">
            <v>54A4018</v>
          </cell>
          <cell r="B475">
            <v>54</v>
          </cell>
          <cell r="C475" t="str">
            <v>A4018</v>
          </cell>
          <cell r="E475" t="str">
            <v>M295</v>
          </cell>
        </row>
        <row r="476">
          <cell r="A476" t="str">
            <v>54A4019</v>
          </cell>
          <cell r="B476">
            <v>54</v>
          </cell>
          <cell r="C476" t="str">
            <v>A4019</v>
          </cell>
          <cell r="E476" t="str">
            <v>M278+M288</v>
          </cell>
        </row>
        <row r="477">
          <cell r="A477" t="str">
            <v>54A4020</v>
          </cell>
          <cell r="B477">
            <v>54</v>
          </cell>
          <cell r="C477" t="str">
            <v>A4020</v>
          </cell>
          <cell r="E477" t="str">
            <v>M291+M285-M288</v>
          </cell>
        </row>
        <row r="478">
          <cell r="A478" t="str">
            <v>54A4021</v>
          </cell>
          <cell r="B478">
            <v>54</v>
          </cell>
          <cell r="C478" t="str">
            <v>A4021</v>
          </cell>
          <cell r="E478" t="str">
            <v>M297-(A4011+A4016+A4019+A4020+M295)</v>
          </cell>
        </row>
        <row r="479">
          <cell r="A479" t="str">
            <v>54A4022</v>
          </cell>
          <cell r="B479">
            <v>54</v>
          </cell>
          <cell r="C479" t="str">
            <v>A4022</v>
          </cell>
          <cell r="D479" t="str">
            <v>A4011+A4016+A4018+A4019+A4020+A4021</v>
          </cell>
          <cell r="E479" t="str">
            <v>M297</v>
          </cell>
        </row>
        <row r="480">
          <cell r="A480" t="str">
            <v>54A4025</v>
          </cell>
          <cell r="B480">
            <v>54</v>
          </cell>
          <cell r="C480" t="str">
            <v>A4025</v>
          </cell>
          <cell r="E480" t="str">
            <v>M302</v>
          </cell>
        </row>
        <row r="481">
          <cell r="A481" t="str">
            <v>54A4026</v>
          </cell>
          <cell r="B481">
            <v>54</v>
          </cell>
          <cell r="C481" t="str">
            <v>A4026</v>
          </cell>
          <cell r="E481" t="str">
            <v>M301</v>
          </cell>
        </row>
        <row r="482">
          <cell r="A482" t="str">
            <v>54A4027</v>
          </cell>
          <cell r="B482">
            <v>54</v>
          </cell>
          <cell r="C482" t="str">
            <v>A4027</v>
          </cell>
          <cell r="E482" t="str">
            <v>M298+M299</v>
          </cell>
        </row>
        <row r="483">
          <cell r="A483" t="str">
            <v>54A4029</v>
          </cell>
          <cell r="B483">
            <v>54</v>
          </cell>
          <cell r="C483" t="str">
            <v>A4029</v>
          </cell>
          <cell r="E483" t="str">
            <v>M300</v>
          </cell>
        </row>
        <row r="484">
          <cell r="A484" t="str">
            <v>54A4045</v>
          </cell>
          <cell r="B484">
            <v>54</v>
          </cell>
          <cell r="C484" t="str">
            <v>A4045</v>
          </cell>
          <cell r="E484" t="str">
            <v>A4025+A4026+A4027+A4029</v>
          </cell>
        </row>
        <row r="485">
          <cell r="A485" t="str">
            <v>54A4032</v>
          </cell>
          <cell r="B485">
            <v>54</v>
          </cell>
          <cell r="C485" t="str">
            <v>A4032</v>
          </cell>
          <cell r="E485" t="str">
            <v>M305</v>
          </cell>
        </row>
        <row r="486">
          <cell r="A486" t="str">
            <v>54A4033</v>
          </cell>
          <cell r="B486">
            <v>54</v>
          </cell>
          <cell r="C486" t="str">
            <v>A4033</v>
          </cell>
          <cell r="E486" t="str">
            <v>M309+M310+M311</v>
          </cell>
        </row>
        <row r="487">
          <cell r="A487" t="str">
            <v>54A4034</v>
          </cell>
          <cell r="B487">
            <v>54</v>
          </cell>
          <cell r="C487" t="str">
            <v>A4034</v>
          </cell>
          <cell r="E487" t="str">
            <v>M306+M312+M313+M314+M315+M316+M317+M319+M318</v>
          </cell>
        </row>
        <row r="488">
          <cell r="A488" t="str">
            <v>54A4036</v>
          </cell>
          <cell r="B488">
            <v>54</v>
          </cell>
          <cell r="C488" t="str">
            <v>A4036</v>
          </cell>
          <cell r="E488" t="str">
            <v>M320+M321</v>
          </cell>
        </row>
        <row r="489">
          <cell r="A489" t="str">
            <v>54A4030</v>
          </cell>
          <cell r="B489">
            <v>54</v>
          </cell>
          <cell r="C489" t="str">
            <v>A4030</v>
          </cell>
          <cell r="E489" t="str">
            <v>M307</v>
          </cell>
        </row>
        <row r="490">
          <cell r="A490" t="str">
            <v>54A4040</v>
          </cell>
          <cell r="B490">
            <v>54</v>
          </cell>
          <cell r="C490" t="str">
            <v>A4040</v>
          </cell>
          <cell r="E490" t="str">
            <v>M323+M324+M325+M326+M327+M328+M329</v>
          </cell>
        </row>
        <row r="491">
          <cell r="A491" t="str">
            <v>54A4041</v>
          </cell>
          <cell r="B491">
            <v>54</v>
          </cell>
          <cell r="C491" t="str">
            <v>A4041</v>
          </cell>
          <cell r="D491" t="str">
            <v>A4025+A4026+A4027+A4029+A4030+A4032+A4033+A4034+A4036+A4040</v>
          </cell>
          <cell r="E491" t="str">
            <v>M330-M297</v>
          </cell>
        </row>
        <row r="492">
          <cell r="A492" t="str">
            <v>54A4042</v>
          </cell>
          <cell r="B492">
            <v>54</v>
          </cell>
          <cell r="C492" t="str">
            <v>A4042</v>
          </cell>
          <cell r="D492" t="str">
            <v>A4022+A4041</v>
          </cell>
          <cell r="E492" t="str">
            <v>M330</v>
          </cell>
        </row>
        <row r="493">
          <cell r="A493" t="str">
            <v>60A3050</v>
          </cell>
          <cell r="B493">
            <v>60</v>
          </cell>
          <cell r="C493" t="str">
            <v>A3050</v>
          </cell>
          <cell r="E493" t="str">
            <v>M1</v>
          </cell>
        </row>
        <row r="494">
          <cell r="A494" t="str">
            <v>60A3051</v>
          </cell>
          <cell r="B494">
            <v>60</v>
          </cell>
          <cell r="C494" t="str">
            <v>A3051</v>
          </cell>
          <cell r="D494" t="str">
            <v>M2+M3+M4</v>
          </cell>
          <cell r="E494" t="str">
            <v>M5-M1</v>
          </cell>
        </row>
        <row r="495">
          <cell r="A495" t="str">
            <v>60A3052</v>
          </cell>
          <cell r="B495">
            <v>60</v>
          </cell>
          <cell r="C495" t="str">
            <v>A3052</v>
          </cell>
          <cell r="D495" t="str">
            <v>M6+M7</v>
          </cell>
          <cell r="E495" t="str">
            <v>M8</v>
          </cell>
        </row>
        <row r="496">
          <cell r="A496" t="str">
            <v>60A3053</v>
          </cell>
          <cell r="B496">
            <v>60</v>
          </cell>
          <cell r="C496" t="str">
            <v>A3053</v>
          </cell>
          <cell r="E496" t="str">
            <v>M15+M17+M18</v>
          </cell>
        </row>
        <row r="497">
          <cell r="A497" t="str">
            <v>60A3054</v>
          </cell>
          <cell r="B497">
            <v>60</v>
          </cell>
          <cell r="C497" t="str">
            <v>A3054</v>
          </cell>
          <cell r="E497" t="str">
            <v>M24+M25+M26</v>
          </cell>
        </row>
        <row r="498">
          <cell r="A498" t="str">
            <v>60A3055</v>
          </cell>
          <cell r="B498">
            <v>60</v>
          </cell>
          <cell r="C498" t="str">
            <v>A3055</v>
          </cell>
          <cell r="E498" t="str">
            <v>M32-(M1+M2+M3+M4+M8+M15+M17+M18+M24+M25+M26)</v>
          </cell>
        </row>
        <row r="499">
          <cell r="A499" t="str">
            <v>60A3056</v>
          </cell>
          <cell r="B499">
            <v>60</v>
          </cell>
          <cell r="C499" t="str">
            <v>A3056</v>
          </cell>
          <cell r="E499" t="str">
            <v>M2087</v>
          </cell>
        </row>
        <row r="500">
          <cell r="A500" t="str">
            <v>60A3057</v>
          </cell>
          <cell r="B500">
            <v>60</v>
          </cell>
          <cell r="C500" t="str">
            <v>A3057</v>
          </cell>
          <cell r="E500" t="str">
            <v>M2088</v>
          </cell>
        </row>
        <row r="501">
          <cell r="A501" t="str">
            <v>60A3058</v>
          </cell>
          <cell r="B501">
            <v>60</v>
          </cell>
          <cell r="C501" t="str">
            <v>A3058</v>
          </cell>
          <cell r="E501" t="str">
            <v>M17</v>
          </cell>
        </row>
        <row r="502">
          <cell r="A502" t="str">
            <v>60A3059</v>
          </cell>
          <cell r="B502">
            <v>60</v>
          </cell>
          <cell r="C502" t="str">
            <v>A3059</v>
          </cell>
          <cell r="E502" t="str">
            <v>M2090</v>
          </cell>
        </row>
        <row r="503">
          <cell r="A503" t="str">
            <v>60A3060</v>
          </cell>
          <cell r="B503">
            <v>60</v>
          </cell>
          <cell r="C503" t="str">
            <v>A3060</v>
          </cell>
          <cell r="E503" t="str">
            <v>M32</v>
          </cell>
        </row>
        <row r="504">
          <cell r="A504" t="str">
            <v>60A3061</v>
          </cell>
          <cell r="B504">
            <v>60</v>
          </cell>
          <cell r="C504" t="str">
            <v>A3061</v>
          </cell>
          <cell r="E504" t="str">
            <v>M32</v>
          </cell>
        </row>
        <row r="505">
          <cell r="A505" t="str">
            <v>60A3064</v>
          </cell>
          <cell r="B505">
            <v>60</v>
          </cell>
          <cell r="C505" t="str">
            <v>A3064</v>
          </cell>
          <cell r="E505" t="str">
            <v>M141+M142+M143+M144+M145+M146+M147+M148+M149+M154+M159</v>
          </cell>
        </row>
        <row r="506">
          <cell r="A506" t="str">
            <v>60A3065</v>
          </cell>
          <cell r="B506">
            <v>60</v>
          </cell>
          <cell r="C506" t="str">
            <v>A3065</v>
          </cell>
          <cell r="E506" t="str">
            <v>M129+M133+M137</v>
          </cell>
        </row>
        <row r="507">
          <cell r="A507" t="str">
            <v>60A3066</v>
          </cell>
          <cell r="B507">
            <v>60</v>
          </cell>
          <cell r="C507" t="str">
            <v>A3066</v>
          </cell>
          <cell r="E507" t="str">
            <v>M130+M134+M138</v>
          </cell>
        </row>
        <row r="508">
          <cell r="A508" t="str">
            <v>60A3067</v>
          </cell>
          <cell r="B508">
            <v>60</v>
          </cell>
          <cell r="C508" t="str">
            <v>A3067</v>
          </cell>
          <cell r="E508" t="str">
            <v>M131+M135+M139</v>
          </cell>
        </row>
        <row r="509">
          <cell r="A509" t="str">
            <v>60A3068</v>
          </cell>
          <cell r="B509">
            <v>60</v>
          </cell>
          <cell r="C509" t="str">
            <v>A3068</v>
          </cell>
          <cell r="E509" t="str">
            <v>M132</v>
          </cell>
        </row>
        <row r="510">
          <cell r="A510" t="str">
            <v>60A3069</v>
          </cell>
          <cell r="B510">
            <v>60</v>
          </cell>
          <cell r="C510" t="str">
            <v>A3069</v>
          </cell>
          <cell r="E510" t="str">
            <v>M146</v>
          </cell>
        </row>
        <row r="511">
          <cell r="A511" t="str">
            <v>60A3070</v>
          </cell>
          <cell r="B511">
            <v>60</v>
          </cell>
          <cell r="C511" t="str">
            <v>A3070</v>
          </cell>
          <cell r="E511" t="str">
            <v>M190</v>
          </cell>
        </row>
        <row r="512">
          <cell r="A512" t="str">
            <v>60A3071</v>
          </cell>
          <cell r="B512">
            <v>60</v>
          </cell>
          <cell r="C512" t="str">
            <v>A3071</v>
          </cell>
          <cell r="E512" t="str">
            <v>M160-M190</v>
          </cell>
        </row>
        <row r="513">
          <cell r="A513" t="str">
            <v>60A3072</v>
          </cell>
          <cell r="B513">
            <v>60</v>
          </cell>
          <cell r="C513" t="str">
            <v>A3072</v>
          </cell>
          <cell r="D513" t="str">
            <v>A3070+A3071</v>
          </cell>
          <cell r="E513" t="str">
            <v>M160</v>
          </cell>
        </row>
        <row r="514">
          <cell r="A514" t="str">
            <v>60A3073</v>
          </cell>
          <cell r="B514">
            <v>60</v>
          </cell>
          <cell r="C514" t="str">
            <v>A3073</v>
          </cell>
          <cell r="E514" t="str">
            <v>M165+M169</v>
          </cell>
        </row>
        <row r="515">
          <cell r="A515" t="str">
            <v>60A3075</v>
          </cell>
          <cell r="B515">
            <v>60</v>
          </cell>
          <cell r="C515" t="str">
            <v>A3075</v>
          </cell>
          <cell r="E515" t="str">
            <v>M2091</v>
          </cell>
        </row>
        <row r="516">
          <cell r="A516" t="str">
            <v>60A3076</v>
          </cell>
          <cell r="B516">
            <v>60</v>
          </cell>
          <cell r="C516" t="str">
            <v>A3076</v>
          </cell>
          <cell r="E516" t="str">
            <v>M175-M32+A3068+M160+M165+A3064+M169</v>
          </cell>
        </row>
        <row r="517">
          <cell r="A517" t="str">
            <v>60A3077</v>
          </cell>
          <cell r="B517">
            <v>60</v>
          </cell>
          <cell r="C517" t="str">
            <v>A3077</v>
          </cell>
          <cell r="D517" t="str">
            <v>A3061+A3064+A3068+A3072+A3073+A3076</v>
          </cell>
          <cell r="E517" t="str">
            <v>M175</v>
          </cell>
        </row>
        <row r="518">
          <cell r="A518" t="str">
            <v>61A4000</v>
          </cell>
          <cell r="B518">
            <v>61</v>
          </cell>
          <cell r="C518" t="str">
            <v>A4000</v>
          </cell>
          <cell r="D518" t="str">
            <v>M236+M237+M238+M239+M240+M241</v>
          </cell>
          <cell r="E518" t="str">
            <v>M247</v>
          </cell>
        </row>
        <row r="519">
          <cell r="A519" t="str">
            <v>61A4002</v>
          </cell>
          <cell r="B519">
            <v>61</v>
          </cell>
          <cell r="C519" t="str">
            <v>A4002</v>
          </cell>
          <cell r="E519" t="str">
            <v>M244+M246+M247+M248+M249+M250</v>
          </cell>
        </row>
        <row r="520">
          <cell r="A520" t="str">
            <v>61A4004</v>
          </cell>
          <cell r="B520">
            <v>61</v>
          </cell>
          <cell r="C520" t="str">
            <v>A4004</v>
          </cell>
          <cell r="D520" t="str">
            <v>M245</v>
          </cell>
        </row>
        <row r="521">
          <cell r="A521" t="str">
            <v>61A4005</v>
          </cell>
          <cell r="B521">
            <v>61</v>
          </cell>
          <cell r="C521" t="str">
            <v>A4005</v>
          </cell>
          <cell r="D521" t="str">
            <v>M154</v>
          </cell>
        </row>
        <row r="522">
          <cell r="A522" t="str">
            <v>61A4006</v>
          </cell>
          <cell r="B522">
            <v>61</v>
          </cell>
          <cell r="C522" t="str">
            <v>A4006</v>
          </cell>
          <cell r="E522" t="str">
            <v>M242+M243+M252</v>
          </cell>
        </row>
        <row r="523">
          <cell r="A523" t="str">
            <v>61A4007</v>
          </cell>
          <cell r="B523">
            <v>61</v>
          </cell>
          <cell r="C523" t="str">
            <v>A4007</v>
          </cell>
          <cell r="D523" t="str">
            <v>M263</v>
          </cell>
        </row>
        <row r="524">
          <cell r="A524" t="str">
            <v>61A4008</v>
          </cell>
          <cell r="B524">
            <v>61</v>
          </cell>
          <cell r="C524" t="str">
            <v>A4008</v>
          </cell>
          <cell r="E524" t="str">
            <v>M253+M254+M255+M256+M257+M258+M259+M260+M261+M262</v>
          </cell>
        </row>
        <row r="525">
          <cell r="A525" t="str">
            <v>61A4011</v>
          </cell>
          <cell r="B525">
            <v>61</v>
          </cell>
          <cell r="C525" t="str">
            <v>A4011</v>
          </cell>
          <cell r="D525" t="str">
            <v>A4000+A4002+A4004+A4006+A4008</v>
          </cell>
          <cell r="E525" t="str">
            <v>M263</v>
          </cell>
        </row>
        <row r="526">
          <cell r="A526" t="str">
            <v>61A4012</v>
          </cell>
          <cell r="B526">
            <v>61</v>
          </cell>
          <cell r="C526" t="str">
            <v>A4012</v>
          </cell>
          <cell r="E526" t="str">
            <v>M276-M275-M269</v>
          </cell>
        </row>
        <row r="527">
          <cell r="A527" t="str">
            <v>61A4013</v>
          </cell>
          <cell r="B527">
            <v>61</v>
          </cell>
          <cell r="C527" t="str">
            <v>A4013</v>
          </cell>
          <cell r="E527" t="str">
            <v>M269</v>
          </cell>
        </row>
        <row r="528">
          <cell r="A528" t="str">
            <v>61A4014</v>
          </cell>
          <cell r="B528">
            <v>61</v>
          </cell>
          <cell r="C528" t="str">
            <v>A4014</v>
          </cell>
          <cell r="E528" t="str">
            <v>M275</v>
          </cell>
        </row>
        <row r="529">
          <cell r="A529" t="str">
            <v>61A4015</v>
          </cell>
          <cell r="B529">
            <v>61</v>
          </cell>
          <cell r="C529" t="str">
            <v>A4015</v>
          </cell>
          <cell r="D529" t="str">
            <v>M282</v>
          </cell>
        </row>
        <row r="530">
          <cell r="A530" t="str">
            <v>61A4016</v>
          </cell>
          <cell r="B530">
            <v>61</v>
          </cell>
          <cell r="C530" t="str">
            <v>A4016</v>
          </cell>
          <cell r="D530" t="str">
            <v>M276</v>
          </cell>
        </row>
        <row r="531">
          <cell r="A531" t="str">
            <v>61A4017</v>
          </cell>
          <cell r="B531">
            <v>61</v>
          </cell>
          <cell r="C531" t="str">
            <v>A4017</v>
          </cell>
          <cell r="D531" t="str">
            <v>M2097</v>
          </cell>
        </row>
        <row r="532">
          <cell r="A532" t="str">
            <v>61A4018</v>
          </cell>
          <cell r="B532">
            <v>61</v>
          </cell>
          <cell r="C532" t="str">
            <v>A4018</v>
          </cell>
          <cell r="D532" t="str">
            <v>M295</v>
          </cell>
        </row>
        <row r="533">
          <cell r="A533" t="str">
            <v>61A4019</v>
          </cell>
          <cell r="B533">
            <v>61</v>
          </cell>
          <cell r="C533" t="str">
            <v>A4019</v>
          </cell>
          <cell r="E533" t="str">
            <v>M278+M288</v>
          </cell>
        </row>
        <row r="534">
          <cell r="A534" t="str">
            <v>61A4020</v>
          </cell>
          <cell r="B534">
            <v>61</v>
          </cell>
          <cell r="C534" t="str">
            <v>A4020</v>
          </cell>
          <cell r="E534" t="str">
            <v>M291+M285-M288</v>
          </cell>
        </row>
        <row r="535">
          <cell r="A535" t="str">
            <v>61A4021</v>
          </cell>
          <cell r="B535">
            <v>61</v>
          </cell>
          <cell r="C535" t="str">
            <v>A4021</v>
          </cell>
          <cell r="E535" t="str">
            <v>M277+M279+M280+M281+M282+M283+M292+M293+M294</v>
          </cell>
        </row>
        <row r="536">
          <cell r="A536" t="str">
            <v>61A4022</v>
          </cell>
          <cell r="B536">
            <v>61</v>
          </cell>
          <cell r="C536" t="str">
            <v>A4022</v>
          </cell>
          <cell r="D536" t="str">
            <v>A4011+A4016+A4018+A4019+A4020+A4021</v>
          </cell>
          <cell r="E536" t="str">
            <v>M297</v>
          </cell>
        </row>
        <row r="537">
          <cell r="A537" t="str">
            <v>61A4023</v>
          </cell>
          <cell r="B537">
            <v>61</v>
          </cell>
          <cell r="C537" t="str">
            <v>A4023</v>
          </cell>
          <cell r="D537" t="str">
            <v>M2098</v>
          </cell>
        </row>
        <row r="538">
          <cell r="A538" t="str">
            <v>61A4025</v>
          </cell>
          <cell r="B538">
            <v>61</v>
          </cell>
          <cell r="C538" t="str">
            <v>A4025</v>
          </cell>
          <cell r="E538" t="str">
            <v>M302</v>
          </cell>
        </row>
        <row r="539">
          <cell r="A539" t="str">
            <v>61A4026</v>
          </cell>
          <cell r="B539">
            <v>61</v>
          </cell>
          <cell r="C539" t="str">
            <v>A4026</v>
          </cell>
          <cell r="E539" t="str">
            <v>M301</v>
          </cell>
        </row>
        <row r="540">
          <cell r="A540" t="str">
            <v>61A4027</v>
          </cell>
          <cell r="B540">
            <v>61</v>
          </cell>
          <cell r="C540" t="str">
            <v>A4027</v>
          </cell>
          <cell r="E540" t="str">
            <v>M298+M299</v>
          </cell>
        </row>
        <row r="541">
          <cell r="A541" t="str">
            <v>61A4027</v>
          </cell>
          <cell r="B541">
            <v>61</v>
          </cell>
          <cell r="C541" t="str">
            <v>A4027</v>
          </cell>
        </row>
        <row r="542">
          <cell r="A542" t="str">
            <v>61A4028</v>
          </cell>
          <cell r="B542">
            <v>61</v>
          </cell>
          <cell r="C542" t="str">
            <v>A4028</v>
          </cell>
          <cell r="D542" t="str">
            <v>M299</v>
          </cell>
        </row>
        <row r="543">
          <cell r="A543" t="str">
            <v>61A4029</v>
          </cell>
          <cell r="B543">
            <v>61</v>
          </cell>
          <cell r="C543" t="str">
            <v>A4029</v>
          </cell>
          <cell r="D543" t="str">
            <v>M300</v>
          </cell>
        </row>
        <row r="544">
          <cell r="A544" t="str">
            <v>61A4030</v>
          </cell>
          <cell r="B544">
            <v>61</v>
          </cell>
          <cell r="C544" t="str">
            <v>A4030</v>
          </cell>
          <cell r="D544" t="str">
            <v>M307</v>
          </cell>
        </row>
        <row r="545">
          <cell r="A545" t="str">
            <v>61A4031</v>
          </cell>
          <cell r="B545">
            <v>61</v>
          </cell>
          <cell r="C545" t="str">
            <v>A4031</v>
          </cell>
          <cell r="D545" t="str">
            <v>M5</v>
          </cell>
        </row>
        <row r="546">
          <cell r="A546" t="str">
            <v>61A4032</v>
          </cell>
          <cell r="B546">
            <v>61</v>
          </cell>
          <cell r="C546" t="str">
            <v>A4032</v>
          </cell>
          <cell r="D546" t="str">
            <v>M305</v>
          </cell>
        </row>
        <row r="547">
          <cell r="A547" t="str">
            <v>61A4033</v>
          </cell>
          <cell r="B547">
            <v>61</v>
          </cell>
          <cell r="C547" t="str">
            <v>A4033</v>
          </cell>
          <cell r="E547" t="str">
            <v>M309+M310+M311</v>
          </cell>
        </row>
        <row r="548">
          <cell r="A548" t="str">
            <v>61A4034</v>
          </cell>
          <cell r="B548">
            <v>61</v>
          </cell>
          <cell r="C548" t="str">
            <v>A4034</v>
          </cell>
          <cell r="D548" t="str">
            <v>M306+M312+M313+M314+M315+M316+M317+M318+M319</v>
          </cell>
        </row>
        <row r="549">
          <cell r="A549" t="str">
            <v>61A4036</v>
          </cell>
          <cell r="B549">
            <v>61</v>
          </cell>
          <cell r="C549" t="str">
            <v>A4036</v>
          </cell>
          <cell r="D549" t="str">
            <v>M320+M321</v>
          </cell>
        </row>
        <row r="550">
          <cell r="A550" t="str">
            <v>61A4037</v>
          </cell>
          <cell r="B550">
            <v>61</v>
          </cell>
          <cell r="C550" t="str">
            <v>A4037</v>
          </cell>
          <cell r="D550" t="str">
            <v>M325</v>
          </cell>
        </row>
        <row r="551">
          <cell r="A551" t="str">
            <v>61A4040</v>
          </cell>
          <cell r="B551">
            <v>61</v>
          </cell>
          <cell r="C551" t="str">
            <v>A4040</v>
          </cell>
          <cell r="E551" t="str">
            <v>M323+M324+M325+M326+M327+M328+M329</v>
          </cell>
        </row>
        <row r="552">
          <cell r="A552" t="str">
            <v>61A4041</v>
          </cell>
          <cell r="B552">
            <v>61</v>
          </cell>
          <cell r="C552" t="str">
            <v>A4041</v>
          </cell>
          <cell r="D552" t="str">
            <v>A4025+A4026+A4027+A4029+A4030+A4032+A4033+A4034+A4036+A4040</v>
          </cell>
          <cell r="E552" t="str">
            <v>M330-M297</v>
          </cell>
        </row>
        <row r="553">
          <cell r="A553" t="str">
            <v>61A4042</v>
          </cell>
          <cell r="B553">
            <v>61</v>
          </cell>
          <cell r="C553" t="str">
            <v>A4042</v>
          </cell>
          <cell r="D553" t="str">
            <v>A4022+A4041</v>
          </cell>
          <cell r="E553" t="str">
            <v>M330</v>
          </cell>
        </row>
        <row r="554">
          <cell r="A554" t="str">
            <v>61A4043</v>
          </cell>
          <cell r="B554">
            <v>61</v>
          </cell>
          <cell r="C554" t="str">
            <v>A4043</v>
          </cell>
          <cell r="D554" t="str">
            <v>M306+M313+M316+M317+M318+M319+M320+M321+M324</v>
          </cell>
        </row>
        <row r="555">
          <cell r="A555" t="str">
            <v>61A4044</v>
          </cell>
          <cell r="B555">
            <v>61</v>
          </cell>
          <cell r="C555" t="str">
            <v>A4044</v>
          </cell>
          <cell r="D555" t="str">
            <v>M301</v>
          </cell>
        </row>
        <row r="556">
          <cell r="A556" t="str">
            <v>61A4045</v>
          </cell>
          <cell r="B556">
            <v>61</v>
          </cell>
          <cell r="C556" t="str">
            <v>A4045</v>
          </cell>
          <cell r="D556" t="str">
            <v>A4025+A4026+A4027+A4029</v>
          </cell>
          <cell r="E556" t="str">
            <v>M304</v>
          </cell>
        </row>
        <row r="557">
          <cell r="A557" t="str">
            <v>999C9901</v>
          </cell>
          <cell r="B557">
            <v>999</v>
          </cell>
          <cell r="C557" t="str">
            <v>C9901</v>
          </cell>
          <cell r="D557" t="str">
            <v>A3002-A3001-A3000</v>
          </cell>
        </row>
        <row r="558">
          <cell r="A558" t="str">
            <v>999C9902</v>
          </cell>
          <cell r="B558">
            <v>999</v>
          </cell>
          <cell r="C558" t="str">
            <v>C9902</v>
          </cell>
          <cell r="D558" t="str">
            <v>A3004-A3002-A3003</v>
          </cell>
        </row>
        <row r="559">
          <cell r="A559" t="str">
            <v>999C9903</v>
          </cell>
          <cell r="B559">
            <v>999</v>
          </cell>
          <cell r="C559" t="str">
            <v>C9903</v>
          </cell>
          <cell r="D559" t="str">
            <v>if(A3009&lt;&gt;0,A3009-A3004-A3005,0)</v>
          </cell>
        </row>
        <row r="560">
          <cell r="A560" t="str">
            <v>999C9904</v>
          </cell>
          <cell r="B560">
            <v>999</v>
          </cell>
          <cell r="C560" t="str">
            <v>C9904</v>
          </cell>
          <cell r="D560" t="str">
            <v>A3018-(A3004+A3005+A3006+A3007+A3008+A3016)</v>
          </cell>
        </row>
        <row r="561">
          <cell r="A561" t="str">
            <v>999C9905</v>
          </cell>
          <cell r="B561">
            <v>999</v>
          </cell>
          <cell r="C561" t="str">
            <v>C9905</v>
          </cell>
          <cell r="D561" t="str">
            <v>A3021-(A3019+A3020)</v>
          </cell>
        </row>
        <row r="562">
          <cell r="A562" t="str">
            <v>999C9906</v>
          </cell>
          <cell r="B562">
            <v>999</v>
          </cell>
          <cell r="C562" t="str">
            <v>C9906</v>
          </cell>
          <cell r="D562" t="str">
            <v>A3022-(A3018+A3021)</v>
          </cell>
        </row>
        <row r="563">
          <cell r="A563" t="str">
            <v>999C9907</v>
          </cell>
          <cell r="B563">
            <v>999</v>
          </cell>
          <cell r="C563" t="str">
            <v>C9907</v>
          </cell>
          <cell r="D563" t="str">
            <v>A3024-(A3022+A3023)</v>
          </cell>
        </row>
        <row r="564">
          <cell r="A564" t="str">
            <v>999C9908</v>
          </cell>
          <cell r="B564">
            <v>999</v>
          </cell>
          <cell r="C564" t="str">
            <v>C9908</v>
          </cell>
          <cell r="D564" t="str">
            <v>A3027-(A3025+A3026)</v>
          </cell>
        </row>
        <row r="565">
          <cell r="A565" t="str">
            <v>999C9909</v>
          </cell>
          <cell r="B565">
            <v>999</v>
          </cell>
          <cell r="C565" t="str">
            <v>C9909</v>
          </cell>
          <cell r="D565" t="str">
            <v>A3034-(A3024+A3027+A3028+A3029+A30A30+A3031)</v>
          </cell>
        </row>
        <row r="566">
          <cell r="A566" t="str">
            <v>999C9910</v>
          </cell>
          <cell r="B566">
            <v>999</v>
          </cell>
          <cell r="C566" t="str">
            <v>C9910</v>
          </cell>
          <cell r="D566" t="str">
            <v>A3037-(A3034+A3035)</v>
          </cell>
        </row>
        <row r="567">
          <cell r="A567" t="str">
            <v>999C9911</v>
          </cell>
          <cell r="B567">
            <v>999</v>
          </cell>
          <cell r="C567" t="str">
            <v>C9911</v>
          </cell>
          <cell r="D567" t="str">
            <v>A3045-(A3037+A3038+A3039+A30A40+A3043+A3044)</v>
          </cell>
        </row>
        <row r="568">
          <cell r="A568" t="str">
            <v>999C9912</v>
          </cell>
          <cell r="B568">
            <v>999</v>
          </cell>
          <cell r="C568" t="str">
            <v>C9912</v>
          </cell>
          <cell r="D568" t="str">
            <v>A3072-(A3070+A3071)</v>
          </cell>
        </row>
        <row r="569">
          <cell r="A569" t="str">
            <v>999C9913</v>
          </cell>
          <cell r="B569">
            <v>999</v>
          </cell>
          <cell r="C569" t="str">
            <v>C9913</v>
          </cell>
          <cell r="D569" t="str">
            <v>A3077-(A3061+A3064+A3068+A3072+A3073+A3076)</v>
          </cell>
        </row>
        <row r="570">
          <cell r="A570" t="str">
            <v>999C9914</v>
          </cell>
          <cell r="B570">
            <v>999</v>
          </cell>
          <cell r="C570" t="str">
            <v>C9914</v>
          </cell>
          <cell r="D570" t="str">
            <v>A4011-(A4000+A4002+A4004+A4006+A4008)</v>
          </cell>
        </row>
        <row r="571">
          <cell r="A571" t="str">
            <v>999C9915</v>
          </cell>
          <cell r="B571">
            <v>999</v>
          </cell>
          <cell r="C571" t="str">
            <v>C9915</v>
          </cell>
          <cell r="D571" t="str">
            <v>A4022-(A4011+A4016+A4018+A4019+A4020+A4021)</v>
          </cell>
        </row>
        <row r="572">
          <cell r="A572" t="str">
            <v>999C9916</v>
          </cell>
          <cell r="B572">
            <v>999</v>
          </cell>
          <cell r="C572" t="str">
            <v>C9916</v>
          </cell>
          <cell r="D572" t="str">
            <v>A4041-(A4025+A4026+A4027+A4029+A40A30+A4032+A4033+A4034+A4036+A40A40)</v>
          </cell>
        </row>
        <row r="573">
          <cell r="A573" t="str">
            <v>999C9917</v>
          </cell>
          <cell r="B573">
            <v>999</v>
          </cell>
          <cell r="C573" t="str">
            <v>C9917</v>
          </cell>
          <cell r="D573" t="str">
            <v>A4042-(A4022+A4041)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6">
          <cell r="C16">
            <v>14</v>
          </cell>
          <cell r="D16">
            <v>14</v>
          </cell>
          <cell r="E16">
            <v>14</v>
          </cell>
          <cell r="F16">
            <v>14</v>
          </cell>
          <cell r="G16">
            <v>14</v>
          </cell>
          <cell r="H16">
            <v>14</v>
          </cell>
          <cell r="I16">
            <v>14</v>
          </cell>
          <cell r="J16">
            <v>14</v>
          </cell>
          <cell r="K16">
            <v>14</v>
          </cell>
          <cell r="L16">
            <v>14</v>
          </cell>
          <cell r="M16">
            <v>14</v>
          </cell>
          <cell r="N16">
            <v>14</v>
          </cell>
          <cell r="O16">
            <v>14</v>
          </cell>
          <cell r="P16">
            <v>14</v>
          </cell>
          <cell r="Q16">
            <v>14</v>
          </cell>
          <cell r="R16">
            <v>14</v>
          </cell>
          <cell r="S16">
            <v>14</v>
          </cell>
          <cell r="T16">
            <v>14</v>
          </cell>
          <cell r="U16">
            <v>14</v>
          </cell>
          <cell r="V16">
            <v>14</v>
          </cell>
        </row>
      </sheetData>
      <sheetData sheetId="31">
        <row r="5">
          <cell r="L5">
            <v>14</v>
          </cell>
          <cell r="N5">
            <v>20002</v>
          </cell>
        </row>
        <row r="22">
          <cell r="P22" t="str">
            <v>EUR</v>
          </cell>
          <cell r="Q22" t="str">
            <v>EUR</v>
          </cell>
          <cell r="R22" t="str">
            <v>EUR</v>
          </cell>
          <cell r="S22" t="str">
            <v>EUR</v>
          </cell>
          <cell r="T22" t="str">
            <v>EUR</v>
          </cell>
          <cell r="U22" t="str">
            <v>EUR</v>
          </cell>
          <cell r="V22" t="str">
            <v>NLG</v>
          </cell>
          <cell r="W22" t="str">
            <v>NLG</v>
          </cell>
          <cell r="X22" t="str">
            <v>NLG</v>
          </cell>
          <cell r="Y22" t="str">
            <v>NLG</v>
          </cell>
          <cell r="Z22" t="str">
            <v>NLG</v>
          </cell>
          <cell r="AA22" t="str">
            <v>NLG</v>
          </cell>
          <cell r="AB22" t="str">
            <v>NLG</v>
          </cell>
          <cell r="AC22" t="str">
            <v>NLG</v>
          </cell>
          <cell r="AD22" t="str">
            <v>NLG</v>
          </cell>
          <cell r="AE22" t="str">
            <v>NLG</v>
          </cell>
          <cell r="AF22" t="str">
            <v>NLG</v>
          </cell>
          <cell r="AG22" t="str">
            <v>NLG</v>
          </cell>
          <cell r="AH22" t="str">
            <v>NLG</v>
          </cell>
          <cell r="AI22" t="str">
            <v>NLG</v>
          </cell>
        </row>
      </sheetData>
      <sheetData sheetId="32">
        <row r="7">
          <cell r="B7">
            <v>1</v>
          </cell>
          <cell r="C7" t="str">
            <v>Auto</v>
          </cell>
          <cell r="F7">
            <v>10</v>
          </cell>
          <cell r="G7">
            <v>2</v>
          </cell>
        </row>
        <row r="8">
          <cell r="B8">
            <v>2</v>
          </cell>
          <cell r="C8" t="str">
            <v>Bank</v>
          </cell>
          <cell r="F8">
            <v>11</v>
          </cell>
          <cell r="G8">
            <v>2</v>
          </cell>
        </row>
        <row r="9">
          <cell r="B9">
            <v>3</v>
          </cell>
          <cell r="C9" t="str">
            <v>Energy</v>
          </cell>
          <cell r="F9">
            <v>12</v>
          </cell>
          <cell r="G9">
            <v>2</v>
          </cell>
        </row>
        <row r="10">
          <cell r="B10">
            <v>4</v>
          </cell>
          <cell r="C10" t="str">
            <v>Food and Beverage</v>
          </cell>
          <cell r="F10">
            <v>13</v>
          </cell>
          <cell r="G10">
            <v>2</v>
          </cell>
        </row>
        <row r="11">
          <cell r="B11">
            <v>5</v>
          </cell>
          <cell r="C11" t="str">
            <v>Insurance</v>
          </cell>
          <cell r="F11">
            <v>14</v>
          </cell>
          <cell r="G11">
            <v>3</v>
          </cell>
        </row>
        <row r="12">
          <cell r="B12">
            <v>6</v>
          </cell>
          <cell r="C12" t="str">
            <v>Media</v>
          </cell>
          <cell r="F12">
            <v>15</v>
          </cell>
          <cell r="G12">
            <v>1</v>
          </cell>
        </row>
        <row r="13">
          <cell r="B13">
            <v>7</v>
          </cell>
          <cell r="C13" t="str">
            <v>Healthcare</v>
          </cell>
          <cell r="F13">
            <v>16</v>
          </cell>
          <cell r="G13">
            <v>1</v>
          </cell>
        </row>
        <row r="14">
          <cell r="B14">
            <v>8</v>
          </cell>
          <cell r="C14" t="str">
            <v>Retail</v>
          </cell>
          <cell r="F14">
            <v>17</v>
          </cell>
          <cell r="G14">
            <v>1</v>
          </cell>
        </row>
        <row r="15">
          <cell r="B15">
            <v>9</v>
          </cell>
          <cell r="C15" t="str">
            <v>Technology</v>
          </cell>
        </row>
        <row r="16">
          <cell r="B16">
            <v>10</v>
          </cell>
          <cell r="C16" t="str">
            <v>Telecom</v>
          </cell>
        </row>
        <row r="17">
          <cell r="B17">
            <v>11</v>
          </cell>
          <cell r="C17" t="str">
            <v>Basic Resources</v>
          </cell>
        </row>
        <row r="18">
          <cell r="B18">
            <v>12</v>
          </cell>
          <cell r="C18" t="str">
            <v>Chemical</v>
          </cell>
        </row>
        <row r="19">
          <cell r="B19">
            <v>13</v>
          </cell>
          <cell r="C19" t="str">
            <v>Construction</v>
          </cell>
        </row>
        <row r="20">
          <cell r="B20">
            <v>14</v>
          </cell>
          <cell r="C20" t="str">
            <v>Cyclical Goods and Services</v>
          </cell>
        </row>
        <row r="21">
          <cell r="B21">
            <v>15</v>
          </cell>
          <cell r="C21" t="str">
            <v>Non-cycl. Goods and Services</v>
          </cell>
        </row>
        <row r="22">
          <cell r="B22">
            <v>16</v>
          </cell>
          <cell r="C22" t="str">
            <v>Financial Services</v>
          </cell>
        </row>
        <row r="23">
          <cell r="B23">
            <v>17</v>
          </cell>
          <cell r="C23" t="str">
            <v>Industrial Goods and Services</v>
          </cell>
        </row>
        <row r="24">
          <cell r="B24">
            <v>18</v>
          </cell>
          <cell r="C24" t="str">
            <v>Utility Suppliers</v>
          </cell>
        </row>
        <row r="40">
          <cell r="C40" t="str">
            <v>D</v>
          </cell>
        </row>
        <row r="41">
          <cell r="C41" t="str">
            <v>Y</v>
          </cell>
        </row>
        <row r="44">
          <cell r="C44">
            <v>-1</v>
          </cell>
        </row>
        <row r="45">
          <cell r="C45" t="str">
            <v>N</v>
          </cell>
        </row>
        <row r="47">
          <cell r="C47" t="str">
            <v>MonoCompany</v>
          </cell>
        </row>
        <row r="48">
          <cell r="C48" t="str">
            <v>N</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gt; Implied Growth &gt;&gt;"/>
      <sheetName val="Model"/>
      <sheetName val="TableCopy"/>
      <sheetName val="Capital Turnover"/>
      <sheetName val="&gt;&gt; Div. Calculations &gt;&gt;"/>
      <sheetName val="3 bucket"/>
      <sheetName val="Strategic Control "/>
      <sheetName val="Credit Rating"/>
      <sheetName val="SOTP Comparison"/>
      <sheetName val="Leverage"/>
      <sheetName val="DSAFO32ADVVERINF32"/>
      <sheetName val="ROIC Zain"/>
      <sheetName val="ROIC Mobile Developed"/>
      <sheetName val="Reuters F"/>
      <sheetName val="Region"/>
      <sheetName val="Multiples"/>
      <sheetName val="ANC"/>
      <sheetName val="TRS"/>
      <sheetName val="Share Price"/>
      <sheetName val="Codes"/>
      <sheetName val="&gt;&gt;EV Template &gt;&gt;"/>
      <sheetName val="Summary"/>
      <sheetName val="Intermediate"/>
      <sheetName val="Estimates"/>
      <sheetName val="OperatingLease"/>
      <sheetName val="BloombergData"/>
      <sheetName val="AnnualReport"/>
      <sheetName val="InterimReport"/>
    </sheetNames>
    <sheetDataSet>
      <sheetData sheetId="0"/>
      <sheetData sheetId="1">
        <row r="47">
          <cell r="P47">
            <v>2022</v>
          </cell>
          <cell r="Q47">
            <v>2023</v>
          </cell>
        </row>
        <row r="48">
          <cell r="P48">
            <v>6677.6420256710599</v>
          </cell>
          <cell r="Q48">
            <v>7123.8592834419187</v>
          </cell>
        </row>
        <row r="49">
          <cell r="P49">
            <v>1821.175097910289</v>
          </cell>
          <cell r="Q49">
            <v>1942.8707136659777</v>
          </cell>
        </row>
        <row r="50">
          <cell r="P50">
            <v>-218.54101174923471</v>
          </cell>
          <cell r="Q50">
            <v>-233.14448563991732</v>
          </cell>
        </row>
        <row r="51">
          <cell r="P51">
            <v>1602.6340861610543</v>
          </cell>
          <cell r="Q51">
            <v>1709.7262280260604</v>
          </cell>
        </row>
        <row r="52">
          <cell r="P52">
            <v>5342.1136205368475</v>
          </cell>
          <cell r="Q52">
            <v>5699.0874267535346</v>
          </cell>
        </row>
        <row r="53">
          <cell r="P53">
            <v>334.61403371580764</v>
          </cell>
          <cell r="Q53">
            <v>356.97380621668708</v>
          </cell>
        </row>
        <row r="54">
          <cell r="P54">
            <v>1268.0200524452466</v>
          </cell>
          <cell r="Q54">
            <v>1352.7524218093733</v>
          </cell>
        </row>
        <row r="55">
          <cell r="P55">
            <v>0.20900434665031856</v>
          </cell>
          <cell r="Q55">
            <v>0.18829220418947615</v>
          </cell>
        </row>
        <row r="56">
          <cell r="P56">
            <v>265.02170260082141</v>
          </cell>
          <cell r="Q56">
            <v>254.71273522513889</v>
          </cell>
        </row>
        <row r="58">
          <cell r="P58">
            <v>0</v>
          </cell>
          <cell r="Q58">
            <v>0</v>
          </cell>
        </row>
        <row r="59">
          <cell r="P59">
            <v>0</v>
          </cell>
          <cell r="Q59">
            <v>0</v>
          </cell>
        </row>
        <row r="60">
          <cell r="P60">
            <v>0</v>
          </cell>
          <cell r="Q60">
            <v>0</v>
          </cell>
        </row>
        <row r="64">
          <cell r="P64">
            <v>6.6822578397502053E-2</v>
          </cell>
          <cell r="Q64">
            <v>6.6822578397502053E-2</v>
          </cell>
        </row>
        <row r="65">
          <cell r="P65">
            <v>0.27272727272727271</v>
          </cell>
          <cell r="Q65">
            <v>0.27272727272727271</v>
          </cell>
        </row>
        <row r="66">
          <cell r="P66">
            <v>0.3</v>
          </cell>
          <cell r="Q66">
            <v>0.3</v>
          </cell>
        </row>
        <row r="67">
          <cell r="P67">
            <v>6.2637011768046424E-2</v>
          </cell>
          <cell r="Q67">
            <v>6.2637011768046522E-2</v>
          </cell>
        </row>
        <row r="68">
          <cell r="P68">
            <v>5.0109609414437137E-2</v>
          </cell>
          <cell r="Q68">
            <v>5.0109609414437206E-2</v>
          </cell>
        </row>
        <row r="73">
          <cell r="P73">
            <v>1</v>
          </cell>
          <cell r="Q73">
            <v>1</v>
          </cell>
        </row>
        <row r="74">
          <cell r="P74">
            <v>0</v>
          </cell>
          <cell r="Q74">
            <v>0</v>
          </cell>
        </row>
        <row r="75">
          <cell r="P75">
            <v>1</v>
          </cell>
          <cell r="Q75">
            <v>1</v>
          </cell>
        </row>
        <row r="102">
          <cell r="P102" t="str">
            <v>Data for Graph</v>
          </cell>
        </row>
        <row r="103">
          <cell r="P103" t="str">
            <v>ROIC Start</v>
          </cell>
          <cell r="Q103" t="str">
            <v>Increment</v>
          </cell>
        </row>
        <row r="104">
          <cell r="P104">
            <v>0.14000000000000001</v>
          </cell>
          <cell r="Q104">
            <v>0.02</v>
          </cell>
        </row>
        <row r="106">
          <cell r="P106" t="str">
            <v>ROIC</v>
          </cell>
          <cell r="Q106" t="str">
            <v>Implied Growth</v>
          </cell>
        </row>
        <row r="107">
          <cell r="P107">
            <v>0.16</v>
          </cell>
          <cell r="Q107">
            <v>0.15504663042131744</v>
          </cell>
        </row>
        <row r="108">
          <cell r="P108">
            <v>0.18</v>
          </cell>
          <cell r="Q108">
            <v>0.13184238498861159</v>
          </cell>
        </row>
        <row r="109">
          <cell r="P109">
            <v>0.2</v>
          </cell>
          <cell r="Q109">
            <v>0.11321459190509488</v>
          </cell>
        </row>
        <row r="110">
          <cell r="P110">
            <v>0.22</v>
          </cell>
          <cell r="Q110">
            <v>9.7532088347798279E-2</v>
          </cell>
        </row>
        <row r="111">
          <cell r="P111">
            <v>0.24</v>
          </cell>
          <cell r="Q111">
            <v>8.3874908444743712E-2</v>
          </cell>
        </row>
        <row r="112">
          <cell r="P112">
            <v>0.26</v>
          </cell>
          <cell r="Q112">
            <v>7.1696856092932804E-2</v>
          </cell>
        </row>
        <row r="113">
          <cell r="P113">
            <v>0.28000000000000003</v>
          </cell>
          <cell r="Q113">
            <v>6.0646070369888345E-2</v>
          </cell>
        </row>
        <row r="114">
          <cell r="P114">
            <v>0.3</v>
          </cell>
          <cell r="Q114">
            <v>5.048225873174253E-2</v>
          </cell>
        </row>
        <row r="115">
          <cell r="P115">
            <v>0.32</v>
          </cell>
          <cell r="Q115">
            <v>4.103394657748799E-2</v>
          </cell>
        </row>
        <row r="116">
          <cell r="P116">
            <v>0.34</v>
          </cell>
          <cell r="Q116">
            <v>3.2174474011353607E-2</v>
          </cell>
        </row>
        <row r="117">
          <cell r="P117">
            <v>0.36</v>
          </cell>
          <cell r="Q117">
            <v>2.3807643332050245E-2</v>
          </cell>
        </row>
        <row r="118">
          <cell r="P118">
            <v>0.38</v>
          </cell>
          <cell r="Q118">
            <v>1.5869404394361613E-2</v>
          </cell>
        </row>
        <row r="119">
          <cell r="P119">
            <v>0.4</v>
          </cell>
          <cell r="Q119">
            <v>8.2606741941973552E-3</v>
          </cell>
        </row>
        <row r="120">
          <cell r="P120">
            <v>0.42</v>
          </cell>
          <cell r="Q120">
            <v>1.0188804875457605E-3</v>
          </cell>
        </row>
        <row r="121">
          <cell r="P121">
            <v>0.44</v>
          </cell>
          <cell r="Q121">
            <v>-6.0154240736567726E-3</v>
          </cell>
        </row>
        <row r="122">
          <cell r="P122">
            <v>0.46</v>
          </cell>
          <cell r="Q122">
            <v>-1.2725823383807292E-2</v>
          </cell>
        </row>
        <row r="123">
          <cell r="P123">
            <v>0.48</v>
          </cell>
          <cell r="Q123">
            <v>-1.9272517831956638E-2</v>
          </cell>
        </row>
        <row r="124">
          <cell r="P124">
            <v>0.5</v>
          </cell>
          <cell r="Q124">
            <v>-2.57070583569801E-2</v>
          </cell>
        </row>
        <row r="125">
          <cell r="P125">
            <v>0.52</v>
          </cell>
          <cell r="Q125">
            <v>-3.1910398571352465E-2</v>
          </cell>
        </row>
        <row r="126">
          <cell r="P126">
            <v>0.54</v>
          </cell>
          <cell r="Q126">
            <v>-3.7870784177882658E-2</v>
          </cell>
        </row>
        <row r="127">
          <cell r="P127">
            <v>0.56000000000000005</v>
          </cell>
          <cell r="Q127">
            <v>-4.3793847290888699E-2</v>
          </cell>
        </row>
        <row r="128">
          <cell r="P128">
            <v>0.57999999999999996</v>
          </cell>
          <cell r="Q128">
            <v>-4.9589977014376327E-2</v>
          </cell>
        </row>
        <row r="129">
          <cell r="P129">
            <v>0.6</v>
          </cell>
          <cell r="Q129">
            <v>-5.5265101495757016E-2</v>
          </cell>
        </row>
        <row r="130">
          <cell r="P130">
            <v>0.62</v>
          </cell>
          <cell r="Q130">
            <v>-6.0810793281852869E-2</v>
          </cell>
        </row>
        <row r="131">
          <cell r="P131">
            <v>0.64</v>
          </cell>
          <cell r="Q131">
            <v>-6.6253949298354639E-2</v>
          </cell>
        </row>
        <row r="132">
          <cell r="P132">
            <v>0.66</v>
          </cell>
          <cell r="Q132">
            <v>-7.1603682698320875E-2</v>
          </cell>
        </row>
        <row r="133">
          <cell r="P133">
            <v>0.68</v>
          </cell>
          <cell r="Q133">
            <v>-7.6747849915747748E-2</v>
          </cell>
        </row>
        <row r="134">
          <cell r="P134">
            <v>0.7</v>
          </cell>
          <cell r="Q134">
            <v>-8.1929909629174028E-2</v>
          </cell>
        </row>
        <row r="135">
          <cell r="P135">
            <v>0.72</v>
          </cell>
          <cell r="Q135">
            <v>-8.7040857847119402E-2</v>
          </cell>
        </row>
        <row r="136">
          <cell r="P136">
            <v>0.74</v>
          </cell>
          <cell r="Q136">
            <v>-9.20793621059037E-2</v>
          </cell>
        </row>
        <row r="137">
          <cell r="P137">
            <v>0.76</v>
          </cell>
          <cell r="Q137">
            <v>-9.7049083059157257E-2</v>
          </cell>
        </row>
        <row r="138">
          <cell r="P138">
            <v>0.78</v>
          </cell>
          <cell r="Q138">
            <v>-0.10195352291003267</v>
          </cell>
        </row>
        <row r="139">
          <cell r="P139">
            <v>0.8</v>
          </cell>
          <cell r="Q139">
            <v>-0.10679581929210864</v>
          </cell>
        </row>
        <row r="140">
          <cell r="P140">
            <v>0.82</v>
          </cell>
          <cell r="Q140">
            <v>-0.11157877843279627</v>
          </cell>
        </row>
        <row r="141">
          <cell r="P141">
            <v>0.84</v>
          </cell>
          <cell r="Q141">
            <v>-0.11630491413266918</v>
          </cell>
        </row>
        <row r="142">
          <cell r="P142">
            <v>0.86</v>
          </cell>
          <cell r="Q142">
            <v>-0.12097648221835025</v>
          </cell>
        </row>
        <row r="143">
          <cell r="P143">
            <v>0.88</v>
          </cell>
          <cell r="Q143">
            <v>-0.1255955107073396</v>
          </cell>
        </row>
        <row r="144">
          <cell r="P144">
            <v>0.9</v>
          </cell>
          <cell r="Q144">
            <v>-0.13016382628568915</v>
          </cell>
        </row>
        <row r="145">
          <cell r="P145">
            <v>0.92</v>
          </cell>
          <cell r="Q145">
            <v>-0.13468307761296527</v>
          </cell>
        </row>
        <row r="146">
          <cell r="P146">
            <v>0.94</v>
          </cell>
          <cell r="Q146">
            <v>-0.13915475588291859</v>
          </cell>
        </row>
        <row r="147">
          <cell r="P147">
            <v>0.96</v>
          </cell>
          <cell r="Q147">
            <v>-0.143580212998316</v>
          </cell>
        </row>
        <row r="148">
          <cell r="P148">
            <v>0.98</v>
          </cell>
          <cell r="Q148">
            <v>-0.14796067766178964</v>
          </cell>
        </row>
        <row r="149">
          <cell r="P149">
            <v>1</v>
          </cell>
          <cell r="Q149">
            <v>-0.1522972696385734</v>
          </cell>
        </row>
        <row r="150">
          <cell r="P150">
            <v>1.02</v>
          </cell>
          <cell r="Q150">
            <v>-0.15659101240942952</v>
          </cell>
        </row>
        <row r="151">
          <cell r="P151">
            <v>1.04</v>
          </cell>
          <cell r="Q151">
            <v>-0.16084284440118896</v>
          </cell>
        </row>
        <row r="152">
          <cell r="P152">
            <v>1.06</v>
          </cell>
          <cell r="Q152">
            <v>-0.1650536289568546</v>
          </cell>
        </row>
        <row r="153">
          <cell r="P153">
            <v>1.08</v>
          </cell>
          <cell r="Q153">
            <v>-0.16922416318602745</v>
          </cell>
        </row>
        <row r="154">
          <cell r="P154">
            <v>1.1000000000000001</v>
          </cell>
          <cell r="Q154">
            <v>-0.17335518581868631</v>
          </cell>
        </row>
        <row r="155">
          <cell r="P155">
            <v>1.1200000000000001</v>
          </cell>
          <cell r="Q155">
            <v>-0.17744738417043215</v>
          </cell>
        </row>
        <row r="156">
          <cell r="P156">
            <v>1.1399999999999999</v>
          </cell>
          <cell r="Q156">
            <v>-0.18150140031465786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ies"/>
      <sheetName val="People"/>
      <sheetName val="Language Index"/>
    </sheetNames>
    <sheetDataSet>
      <sheetData sheetId="0">
        <row r="12">
          <cell r="J12" t="str">
            <v>Antero Resources Corporation</v>
          </cell>
          <cell r="K12" t="str">
            <v>Antero Resources LLC</v>
          </cell>
          <cell r="L12" t="str">
            <v>Antero Midstream Partners LP</v>
          </cell>
          <cell r="M12" t="str">
            <v>Antero Resources Investment LLC</v>
          </cell>
          <cell r="N12" t="str">
            <v>Antero Resources Finance Corporation</v>
          </cell>
          <cell r="P12" t="str">
            <v>IQ4544094</v>
          </cell>
          <cell r="Q12" t="str">
            <v>IQ79600151</v>
          </cell>
          <cell r="R12" t="str">
            <v>IQ256558670</v>
          </cell>
          <cell r="S12" t="str">
            <v>IQ248619294</v>
          </cell>
          <cell r="T12" t="str">
            <v>IQ241497183</v>
          </cell>
        </row>
        <row r="13">
          <cell r="J13" t="str">
            <v>ARC Resources Ltd.</v>
          </cell>
          <cell r="K13" t="str">
            <v>ARC Resources Company Limited</v>
          </cell>
          <cell r="L13" t="str">
            <v>A.R.C. Resins International Corp.</v>
          </cell>
          <cell r="M13" t="str">
            <v>ARC Resin Corporation</v>
          </cell>
          <cell r="N13" t="str">
            <v>ARC Research, LLC</v>
          </cell>
        </row>
        <row r="14">
          <cell r="P14" t="str">
            <v>IQ879180</v>
          </cell>
          <cell r="Q14" t="str">
            <v>IQ222434529</v>
          </cell>
          <cell r="R14" t="str">
            <v>IQ58944848</v>
          </cell>
          <cell r="S14" t="str">
            <v>IQ27845130</v>
          </cell>
          <cell r="T14" t="str">
            <v>IQ379559731</v>
          </cell>
        </row>
        <row r="15">
          <cell r="J15" t="str">
            <v>Birchcliff Energy Ltd.</v>
          </cell>
          <cell r="K15" t="str">
            <v>Birchcliff Energy Ltd., Non Core Petroleum and Natural gas Assets in the Rycroft Area</v>
          </cell>
          <cell r="L15" t="str">
            <v>Birchcliff Energy Ltd., Non-core assets</v>
          </cell>
          <cell r="M15" t="str">
            <v>Birchcliff Energy Ltd., Worsley Charlie Lake Light Oil Pool located in the Peace River Arch</v>
          </cell>
          <cell r="N15" t="str">
            <v>Birchcliff Energy Ltd., Some of Remaining Assets</v>
          </cell>
          <cell r="P15" t="str">
            <v>IQ12519785</v>
          </cell>
          <cell r="Q15" t="str">
            <v>IQ533172952</v>
          </cell>
          <cell r="R15" t="str">
            <v>IQ533242710</v>
          </cell>
          <cell r="S15" t="str">
            <v>IQ533243175</v>
          </cell>
          <cell r="T15" t="str">
            <v>IQ539354301</v>
          </cell>
        </row>
        <row r="16">
          <cell r="J16" t="str">
            <v>Bonavista Energy Corporation</v>
          </cell>
          <cell r="K16" t="str">
            <v>Bonavista Energy Ltd.</v>
          </cell>
          <cell r="L16" t="str">
            <v>Bonavista Energy Corporation, Non-Core Oil Weighted Assets</v>
          </cell>
          <cell r="M16" t="str">
            <v>Certain Minor Non Core Assets of Bonavista Energy Corporation</v>
          </cell>
          <cell r="P16" t="str">
            <v>IQ876622</v>
          </cell>
          <cell r="Q16" t="str">
            <v>IQ48906992</v>
          </cell>
          <cell r="R16" t="str">
            <v>IQ253518837</v>
          </cell>
          <cell r="S16" t="str">
            <v>IQ578053860</v>
          </cell>
        </row>
        <row r="17">
          <cell r="J17" t="str">
            <v>California Resources Corporation</v>
          </cell>
          <cell r="K17" t="str">
            <v>California Resources Production Corporation</v>
          </cell>
          <cell r="L17" t="str">
            <v>California Resources Development JV, LLC</v>
          </cell>
          <cell r="M17" t="str">
            <v>California Resources Long Beach, Inc.</v>
          </cell>
          <cell r="N17" t="str">
            <v>California Resources Elk Hills, LLC</v>
          </cell>
        </row>
        <row r="18">
          <cell r="P18" t="str">
            <v>IQ365114</v>
          </cell>
          <cell r="Q18" t="str">
            <v>IQ130824096</v>
          </cell>
          <cell r="R18" t="str">
            <v>IQ141070701</v>
          </cell>
          <cell r="S18" t="str">
            <v>IQ222964373</v>
          </cell>
          <cell r="T18" t="str">
            <v>IQ245780808</v>
          </cell>
        </row>
        <row r="19">
          <cell r="J19" t="str">
            <v>Centennial Resource Development, Inc.</v>
          </cell>
          <cell r="K19" t="str">
            <v>Centennial Resources Development, LLC</v>
          </cell>
          <cell r="P19" t="str">
            <v>IQ323581924</v>
          </cell>
          <cell r="Q19" t="str">
            <v>IQ254649686</v>
          </cell>
        </row>
        <row r="20">
          <cell r="J20" t="str">
            <v>Comstock Resources, Inc.</v>
          </cell>
          <cell r="K20" t="str">
            <v>Comstock Resources, Inc.</v>
          </cell>
          <cell r="L20" t="str">
            <v>Comstock Resources Development LLC</v>
          </cell>
          <cell r="M20" t="str">
            <v>Comstock Resources Inc., Certain Non Core Oil and Gas Properties Located in Texas and Louisiana</v>
          </cell>
          <cell r="N20" t="str">
            <v>Comstock Resources Inc., Natural Gas Properties in South Texas</v>
          </cell>
          <cell r="P20" t="str">
            <v>IQ560592817</v>
          </cell>
          <cell r="Q20" t="str">
            <v>IQ262937</v>
          </cell>
          <cell r="R20" t="str">
            <v>IQ422638703</v>
          </cell>
          <cell r="S20" t="str">
            <v>IQ182504650</v>
          </cell>
          <cell r="T20" t="str">
            <v>IQ405007424</v>
          </cell>
        </row>
        <row r="21">
          <cell r="J21" t="str">
            <v>Covey Park Energy LLC</v>
          </cell>
          <cell r="P21" t="str">
            <v>IQ257417679</v>
          </cell>
        </row>
        <row r="22">
          <cell r="P22" t="str">
            <v>IQ3109216</v>
          </cell>
          <cell r="Q22" t="str">
            <v>IQ269116672</v>
          </cell>
          <cell r="R22" t="str">
            <v>IQ279513</v>
          </cell>
          <cell r="S22" t="str">
            <v>IQ206615579</v>
          </cell>
          <cell r="T22" t="str">
            <v>IQ429068611</v>
          </cell>
        </row>
        <row r="23">
          <cell r="J23" t="str">
            <v>Denbury Resources Inc.</v>
          </cell>
          <cell r="K23" t="str">
            <v>Denbury Onshore, L.L.C.</v>
          </cell>
          <cell r="L23" t="str">
            <v>Denbury Resources Inc., Louisiana Natural Gas Assets</v>
          </cell>
          <cell r="M23" t="str">
            <v>Danbury Resources Inc.</v>
          </cell>
          <cell r="N23" t="str">
            <v>Denbury Resources Inc., Oil and Natural Gas Properties in the Permian Basin</v>
          </cell>
          <cell r="P23" t="str">
            <v>IQ27490</v>
          </cell>
          <cell r="Q23" t="str">
            <v>IQ11732474</v>
          </cell>
          <cell r="R23" t="str">
            <v>IQ38305463</v>
          </cell>
          <cell r="S23" t="str">
            <v>IQ59268402</v>
          </cell>
          <cell r="T23" t="str">
            <v>IQ100418697</v>
          </cell>
        </row>
        <row r="24">
          <cell r="J24" t="str">
            <v>Diversified Gas &amp; Oil PLC</v>
          </cell>
          <cell r="K24" t="str">
            <v>Diversified Gas &amp; Oil Corporation</v>
          </cell>
          <cell r="P24" t="str">
            <v>IQ304836959</v>
          </cell>
          <cell r="Q24" t="str">
            <v>IQ434664408</v>
          </cell>
        </row>
        <row r="25">
          <cell r="J25" t="str">
            <v>NOW Inc.</v>
          </cell>
          <cell r="K25" t="str">
            <v>DNO ASA</v>
          </cell>
          <cell r="L25" t="str">
            <v>DNOW L.P.</v>
          </cell>
          <cell r="M25" t="str">
            <v>DNOW Canada ULC</v>
          </cell>
          <cell r="N25" t="str">
            <v>DNO Norge AS</v>
          </cell>
        </row>
        <row r="26">
          <cell r="P26" t="str">
            <v>IQ874055</v>
          </cell>
          <cell r="Q26" t="str">
            <v>IQ22354198</v>
          </cell>
          <cell r="R26" t="str">
            <v>IQ4437833</v>
          </cell>
          <cell r="S26" t="str">
            <v>IQ4774396</v>
          </cell>
          <cell r="T26" t="str">
            <v>IQ26433542</v>
          </cell>
        </row>
        <row r="27">
          <cell r="P27" t="str">
            <v>IQ99040697</v>
          </cell>
          <cell r="Q27" t="str">
            <v>IQ27164532</v>
          </cell>
          <cell r="R27" t="str">
            <v>IQ41566646</v>
          </cell>
          <cell r="S27" t="str">
            <v>IQ53215008</v>
          </cell>
          <cell r="T27" t="str">
            <v>IQ228810917</v>
          </cell>
        </row>
        <row r="28">
          <cell r="J28" t="str">
            <v>EP Energy Corporation</v>
          </cell>
          <cell r="K28" t="str">
            <v>EP Energy LLC</v>
          </cell>
          <cell r="L28" t="str">
            <v>EP Energy, a.s.</v>
          </cell>
          <cell r="M28" t="str">
            <v>EP Energy Global LLC</v>
          </cell>
          <cell r="N28" t="str">
            <v>EP Energy E&amp;P Company, L.P.</v>
          </cell>
          <cell r="P28" t="str">
            <v>IQ245786818</v>
          </cell>
          <cell r="Q28" t="str">
            <v>IQ6165248</v>
          </cell>
          <cell r="R28" t="str">
            <v>IQ212733770</v>
          </cell>
          <cell r="S28" t="str">
            <v>IQ216922161</v>
          </cell>
          <cell r="T28" t="str">
            <v>IQ26632955</v>
          </cell>
        </row>
        <row r="30">
          <cell r="P30" t="str">
            <v>IQ3109158</v>
          </cell>
          <cell r="Q30" t="str">
            <v>IQ565633890</v>
          </cell>
          <cell r="R30" t="str">
            <v>IQ126951739</v>
          </cell>
        </row>
        <row r="31">
          <cell r="J31" t="str">
            <v>Gulfport Energy Corporation</v>
          </cell>
          <cell r="K31" t="str">
            <v>Gulfport Energy Corp., Non-Core Exploratory Acreage Position in West Virginia</v>
          </cell>
          <cell r="L31" t="str">
            <v>Gulfport Energy Corp., Certain Oil And Gas Properties Located In The Bakken Shale Of North Dakota</v>
          </cell>
          <cell r="M31" t="str">
            <v>Gulfport Energy Corporation, Certain Oil and Gas Leases along the Utica Shale</v>
          </cell>
          <cell r="P31" t="str">
            <v>IQ331476</v>
          </cell>
          <cell r="Q31" t="str">
            <v>IQ408480315</v>
          </cell>
          <cell r="R31" t="str">
            <v>IQ59268453</v>
          </cell>
          <cell r="S31" t="str">
            <v>IQ183456474</v>
          </cell>
        </row>
        <row r="32">
          <cell r="J32" t="str">
            <v>Laredo Petroleum, Inc.</v>
          </cell>
          <cell r="K32" t="str">
            <v>Laredo Petroleum Texas, LLC</v>
          </cell>
          <cell r="L32" t="str">
            <v>Laredo Petroleum, Inc.</v>
          </cell>
          <cell r="M32" t="str">
            <v>Laredo Petroleum, Llc</v>
          </cell>
          <cell r="N32" t="str">
            <v>Laredo Petroleum-Dallas, Inc.</v>
          </cell>
          <cell r="P32" t="str">
            <v>IQ132077212</v>
          </cell>
          <cell r="Q32" t="str">
            <v>IQ132077524</v>
          </cell>
          <cell r="R32" t="str">
            <v>IQ35995116</v>
          </cell>
          <cell r="S32" t="str">
            <v>IQ248092808</v>
          </cell>
          <cell r="T32" t="str">
            <v>IQ30371887</v>
          </cell>
        </row>
        <row r="33">
          <cell r="J33" t="str">
            <v>Mari Petroleum Company Limited</v>
          </cell>
          <cell r="P33" t="str">
            <v>IQ20356559</v>
          </cell>
        </row>
        <row r="34">
          <cell r="P34" t="str">
            <v>IQ11888172</v>
          </cell>
          <cell r="Q34" t="str">
            <v>IQ182651433</v>
          </cell>
          <cell r="R34" t="str">
            <v>IQ655962899</v>
          </cell>
        </row>
        <row r="35">
          <cell r="P35" t="str">
            <v>IQ712384</v>
          </cell>
          <cell r="Q35" t="str">
            <v>IQ62449349</v>
          </cell>
          <cell r="R35" t="str">
            <v>IQ26437981</v>
          </cell>
          <cell r="S35" t="str">
            <v>IQ320950469</v>
          </cell>
          <cell r="T35" t="str">
            <v>IQ260678798</v>
          </cell>
        </row>
        <row r="36">
          <cell r="J36" t="str">
            <v>MEG Energy Corp.</v>
          </cell>
          <cell r="K36" t="str">
            <v>MEG Energy (US) Inc</v>
          </cell>
          <cell r="P36" t="str">
            <v>IQ9444413</v>
          </cell>
          <cell r="Q36" t="str">
            <v>IQ248046888</v>
          </cell>
        </row>
        <row r="38">
          <cell r="P38" t="str">
            <v>IQ37644463</v>
          </cell>
          <cell r="Q38" t="str">
            <v>IQ100411664</v>
          </cell>
          <cell r="R38" t="str">
            <v>IQ581476427</v>
          </cell>
          <cell r="S38" t="str">
            <v>IQ102269329</v>
          </cell>
          <cell r="T38" t="str">
            <v>IQ140892395</v>
          </cell>
        </row>
        <row r="40">
          <cell r="J40" t="str">
            <v>PDC Energy, Inc.</v>
          </cell>
          <cell r="K40" t="str">
            <v>Utica Shale Assets In Ohio of PDC Energy,Inc.</v>
          </cell>
          <cell r="L40" t="str">
            <v>Pdc Energy Ltd</v>
          </cell>
          <cell r="P40" t="str">
            <v>IQ296104</v>
          </cell>
          <cell r="Q40" t="str">
            <v>IQ554343305</v>
          </cell>
          <cell r="R40" t="str">
            <v>IQ655880778</v>
          </cell>
        </row>
        <row r="41">
          <cell r="J41" t="str">
            <v>Peyto Exploration &amp; Development Corp.</v>
          </cell>
          <cell r="K41" t="str">
            <v>Smith's Food &amp; Drug Centers, Inc.</v>
          </cell>
          <cell r="L41" t="str">
            <v>Dillon Companies, Inc.</v>
          </cell>
          <cell r="M41" t="str">
            <v>Peyton Southeast</v>
          </cell>
          <cell r="N41" t="str">
            <v>Peyton's-Southeastern, Inc.</v>
          </cell>
          <cell r="P41" t="str">
            <v>IQ983668</v>
          </cell>
          <cell r="Q41" t="str">
            <v>IQ303590</v>
          </cell>
          <cell r="R41" t="str">
            <v>IQ4164980</v>
          </cell>
          <cell r="S41" t="str">
            <v>IQ27203969</v>
          </cell>
          <cell r="T41" t="str">
            <v>IQ32673968</v>
          </cell>
        </row>
        <row r="43">
          <cell r="P43" t="str">
            <v>IQ1565109</v>
          </cell>
          <cell r="Q43" t="str">
            <v>IQ276178786</v>
          </cell>
          <cell r="R43" t="str">
            <v>IQ330258232</v>
          </cell>
          <cell r="S43" t="str">
            <v>IQ532151020</v>
          </cell>
          <cell r="T43" t="str">
            <v>IQ547324514</v>
          </cell>
        </row>
        <row r="44">
          <cell r="J44" t="str">
            <v>Sasol Limited</v>
          </cell>
          <cell r="K44" t="str">
            <v>Sasol Chemicals (USA) LLC</v>
          </cell>
          <cell r="L44" t="str">
            <v>Sasol-Huntsman GmbH &amp; Co. KG</v>
          </cell>
          <cell r="M44" t="str">
            <v>SASOL (USA) Corporation</v>
          </cell>
          <cell r="N44" t="str">
            <v>Sasol Chemie</v>
          </cell>
          <cell r="P44" t="str">
            <v>IQ527037</v>
          </cell>
          <cell r="Q44" t="str">
            <v>IQ36352</v>
          </cell>
          <cell r="R44" t="str">
            <v>IQ27752660</v>
          </cell>
          <cell r="S44" t="str">
            <v>IQ231678692</v>
          </cell>
          <cell r="T44" t="str">
            <v>IQ660792</v>
          </cell>
        </row>
        <row r="45">
          <cell r="J45" t="str">
            <v>Seven Generations Energy Ltd.</v>
          </cell>
          <cell r="K45" t="str">
            <v>Seven Generations Energy (US) Corp</v>
          </cell>
          <cell r="P45" t="str">
            <v>IQ47531149</v>
          </cell>
          <cell r="Q45" t="str">
            <v>IQ365187012</v>
          </cell>
        </row>
        <row r="47">
          <cell r="P47" t="str">
            <v>IQ48815056</v>
          </cell>
          <cell r="Q47" t="str">
            <v>IQ423714136</v>
          </cell>
          <cell r="R47" t="str">
            <v>IQ543949027</v>
          </cell>
        </row>
        <row r="48">
          <cell r="J48" t="str">
            <v>Talos Energy Inc.</v>
          </cell>
          <cell r="K48" t="str">
            <v>Talos Energy Inc.</v>
          </cell>
          <cell r="L48" t="str">
            <v>Talos Energy Offshore LLC</v>
          </cell>
          <cell r="M48" t="str">
            <v>Talos Energy Holdings LLC</v>
          </cell>
          <cell r="N48" t="str">
            <v>Talos Energy Production LLC</v>
          </cell>
          <cell r="P48" t="str">
            <v>IQ183786013</v>
          </cell>
          <cell r="Q48" t="str">
            <v>IQ559865134</v>
          </cell>
          <cell r="R48" t="str">
            <v>IQ267080289</v>
          </cell>
          <cell r="S48" t="str">
            <v>IQ581306104</v>
          </cell>
          <cell r="T48" t="str">
            <v>IQ267205892</v>
          </cell>
        </row>
        <row r="49">
          <cell r="J49" t="str">
            <v>Ultra Petroleum Corp.</v>
          </cell>
          <cell r="K49" t="str">
            <v>Ultra Petroleum Corp., Asset Management Arm</v>
          </cell>
          <cell r="L49" t="str">
            <v>Ultra Petroleum Limited</v>
          </cell>
          <cell r="P49" t="str">
            <v>IQ610837</v>
          </cell>
          <cell r="Q49" t="str">
            <v>IQ51175875</v>
          </cell>
          <cell r="R49" t="str">
            <v>IQ634428025</v>
          </cell>
        </row>
        <row r="51">
          <cell r="P51" t="str">
            <v>IQ79124477</v>
          </cell>
          <cell r="Q51" t="str">
            <v>IQ223430664</v>
          </cell>
        </row>
        <row r="52">
          <cell r="P52" t="str">
            <v>IQ3711992</v>
          </cell>
          <cell r="Q52" t="str">
            <v>IQ30773344</v>
          </cell>
          <cell r="R52" t="str">
            <v>IQ44463554</v>
          </cell>
          <cell r="S52" t="str">
            <v>IQ59604302</v>
          </cell>
          <cell r="T52" t="str">
            <v>IQ307051702</v>
          </cell>
        </row>
      </sheetData>
      <sheetData sheetId="1">
        <row r="12">
          <cell r="J12" t="str">
            <v>Cook, Timothy</v>
          </cell>
          <cell r="K12" t="str">
            <v>Cook, Timothy</v>
          </cell>
          <cell r="L12" t="str">
            <v>Cook, Timothy</v>
          </cell>
          <cell r="M12" t="str">
            <v>Cook, Timothy</v>
          </cell>
          <cell r="N12" t="str">
            <v>Cook, Timothy</v>
          </cell>
        </row>
        <row r="13">
          <cell r="J13" t="str">
            <v>Gates, William</v>
          </cell>
          <cell r="K13" t="str">
            <v>Gates, Bill</v>
          </cell>
          <cell r="L13" t="str">
            <v>Gates, William</v>
          </cell>
          <cell r="M13" t="str">
            <v>Gates, William</v>
          </cell>
          <cell r="N13" t="str">
            <v>Gates, William</v>
          </cell>
        </row>
        <row r="14">
          <cell r="J14" t="str">
            <v>McGraw, Terry</v>
          </cell>
          <cell r="K14" t="str">
            <v>McGraw, A.</v>
          </cell>
          <cell r="L14" t="str">
            <v>McGraw, Alan</v>
          </cell>
          <cell r="M14" t="str">
            <v>McGraw, Benjamin</v>
          </cell>
          <cell r="P14" t="str">
            <v>IQ53273963</v>
          </cell>
          <cell r="Q14" t="str">
            <v>IQ102228582</v>
          </cell>
          <cell r="R14" t="str">
            <v>IQ170658042</v>
          </cell>
          <cell r="S14" t="str">
            <v>IQ11737962</v>
          </cell>
        </row>
        <row r="15">
          <cell r="J15" t="str">
            <v>Dayakar, G.</v>
          </cell>
          <cell r="K15" t="str">
            <v>Dayakar, G.</v>
          </cell>
          <cell r="L15" t="str">
            <v>Dayakar, Talluru</v>
          </cell>
          <cell r="P15" t="str">
            <v>IQ25360032</v>
          </cell>
          <cell r="Q15" t="str">
            <v>IQ205570894</v>
          </cell>
          <cell r="R15" t="str">
            <v>IQ47584372</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ies"/>
      <sheetName val="People"/>
    </sheetNames>
    <sheetDataSet>
      <sheetData sheetId="0">
        <row r="68">
          <cell r="P68" t="str">
            <v>IQ160233</v>
          </cell>
          <cell r="Q68" t="str">
            <v>IQ222596808</v>
          </cell>
          <cell r="R68" t="str">
            <v>IQ22686257</v>
          </cell>
          <cell r="S68" t="str">
            <v>IQ244812354</v>
          </cell>
          <cell r="T68" t="str">
            <v>IQ245664154</v>
          </cell>
        </row>
        <row r="69">
          <cell r="J69" t="str">
            <v>DynCorp Inc.</v>
          </cell>
          <cell r="K69" t="str">
            <v>DynCorp International LLC</v>
          </cell>
          <cell r="L69" t="str">
            <v>Delta Tucker Holdings, Inc.</v>
          </cell>
          <cell r="M69" t="str">
            <v>DynCorp International Inc.</v>
          </cell>
          <cell r="N69" t="str">
            <v>DynCorp International Corp.</v>
          </cell>
          <cell r="P69" t="str">
            <v>IQ90167</v>
          </cell>
          <cell r="Q69" t="str">
            <v>IQ13154196</v>
          </cell>
          <cell r="R69" t="str">
            <v>IQ24114004</v>
          </cell>
          <cell r="S69" t="str">
            <v>IQ223688679</v>
          </cell>
          <cell r="T69" t="str">
            <v>IQ270716580</v>
          </cell>
        </row>
      </sheetData>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_CIQHiddenCacheSheet"/>
      <sheetName val="Inputs"/>
      <sheetName val="Company Analysis"/>
      <sheetName val="Capital Structure"/>
      <sheetName val="WACC"/>
      <sheetName val="Beta"/>
      <sheetName val="Indexes"/>
      <sheetName val="Sector Beta"/>
      <sheetName val="Inflation"/>
      <sheetName val="Credit Yields"/>
      <sheetName val="KPMG Tax Rate"/>
      <sheetName val="One point"/>
      <sheetName val="Sector Capital Structu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5">
          <cell r="C15">
            <v>42947</v>
          </cell>
        </row>
        <row r="16">
          <cell r="C16">
            <v>42916</v>
          </cell>
        </row>
        <row r="17">
          <cell r="C17">
            <v>42886</v>
          </cell>
        </row>
        <row r="18">
          <cell r="C18">
            <v>42853</v>
          </cell>
        </row>
        <row r="19">
          <cell r="C19">
            <v>42825</v>
          </cell>
        </row>
        <row r="20">
          <cell r="C20">
            <v>42794</v>
          </cell>
        </row>
        <row r="21">
          <cell r="C21">
            <v>42766</v>
          </cell>
        </row>
        <row r="22">
          <cell r="C22">
            <v>42734</v>
          </cell>
        </row>
        <row r="23">
          <cell r="C23">
            <v>42704</v>
          </cell>
        </row>
        <row r="24">
          <cell r="C24">
            <v>42674</v>
          </cell>
        </row>
        <row r="25">
          <cell r="C25">
            <v>42643</v>
          </cell>
        </row>
        <row r="26">
          <cell r="C26">
            <v>42613</v>
          </cell>
        </row>
        <row r="27">
          <cell r="C27">
            <v>42580</v>
          </cell>
        </row>
        <row r="28">
          <cell r="C28">
            <v>42551</v>
          </cell>
        </row>
        <row r="29">
          <cell r="C29">
            <v>42521</v>
          </cell>
        </row>
        <row r="30">
          <cell r="C30">
            <v>42489</v>
          </cell>
        </row>
        <row r="31">
          <cell r="C31">
            <v>42460</v>
          </cell>
        </row>
        <row r="32">
          <cell r="C32">
            <v>42429</v>
          </cell>
        </row>
        <row r="33">
          <cell r="C33">
            <v>42398</v>
          </cell>
        </row>
        <row r="34">
          <cell r="C34">
            <v>42368</v>
          </cell>
        </row>
        <row r="35">
          <cell r="C35">
            <v>42338</v>
          </cell>
        </row>
        <row r="36">
          <cell r="C36">
            <v>42307</v>
          </cell>
        </row>
        <row r="37">
          <cell r="C37">
            <v>42277</v>
          </cell>
        </row>
        <row r="38">
          <cell r="C38">
            <v>42247</v>
          </cell>
        </row>
        <row r="39">
          <cell r="C39">
            <v>42216</v>
          </cell>
        </row>
        <row r="40">
          <cell r="C40">
            <v>42185</v>
          </cell>
        </row>
        <row r="41">
          <cell r="C41">
            <v>42153</v>
          </cell>
        </row>
        <row r="42">
          <cell r="C42">
            <v>42124</v>
          </cell>
        </row>
        <row r="43">
          <cell r="C43">
            <v>42094</v>
          </cell>
        </row>
        <row r="44">
          <cell r="C44">
            <v>42062</v>
          </cell>
        </row>
        <row r="45">
          <cell r="C45">
            <v>42034</v>
          </cell>
        </row>
        <row r="46">
          <cell r="C46">
            <v>42003</v>
          </cell>
        </row>
        <row r="47">
          <cell r="C47">
            <v>41971</v>
          </cell>
        </row>
        <row r="48">
          <cell r="C48">
            <v>41943</v>
          </cell>
        </row>
        <row r="49">
          <cell r="C49">
            <v>41912</v>
          </cell>
        </row>
        <row r="50">
          <cell r="C50">
            <v>41880</v>
          </cell>
        </row>
        <row r="51">
          <cell r="C51">
            <v>41851</v>
          </cell>
        </row>
        <row r="52">
          <cell r="C52">
            <v>41820</v>
          </cell>
        </row>
        <row r="53">
          <cell r="C53">
            <v>41789</v>
          </cell>
        </row>
        <row r="54">
          <cell r="C54">
            <v>41759</v>
          </cell>
        </row>
        <row r="55">
          <cell r="C55">
            <v>41729</v>
          </cell>
        </row>
        <row r="56">
          <cell r="C56">
            <v>41698</v>
          </cell>
        </row>
        <row r="57">
          <cell r="C57">
            <v>41670</v>
          </cell>
        </row>
        <row r="58">
          <cell r="C58">
            <v>41638</v>
          </cell>
        </row>
        <row r="59">
          <cell r="C59">
            <v>41607</v>
          </cell>
        </row>
        <row r="60">
          <cell r="C60">
            <v>41578</v>
          </cell>
        </row>
        <row r="61">
          <cell r="C61">
            <v>41547</v>
          </cell>
        </row>
        <row r="62">
          <cell r="C62">
            <v>41516</v>
          </cell>
        </row>
        <row r="63">
          <cell r="C63">
            <v>41486</v>
          </cell>
        </row>
        <row r="64">
          <cell r="C64">
            <v>41453</v>
          </cell>
        </row>
        <row r="65">
          <cell r="C65">
            <v>41425</v>
          </cell>
        </row>
        <row r="66">
          <cell r="C66">
            <v>41394</v>
          </cell>
        </row>
        <row r="67">
          <cell r="C67">
            <v>41361</v>
          </cell>
        </row>
        <row r="68">
          <cell r="C68">
            <v>41333</v>
          </cell>
        </row>
        <row r="69">
          <cell r="C69">
            <v>41305</v>
          </cell>
        </row>
        <row r="70">
          <cell r="C70">
            <v>41271</v>
          </cell>
        </row>
        <row r="71">
          <cell r="C71">
            <v>41243</v>
          </cell>
        </row>
        <row r="72">
          <cell r="C72">
            <v>41213</v>
          </cell>
        </row>
        <row r="73">
          <cell r="C73">
            <v>41180</v>
          </cell>
        </row>
        <row r="74">
          <cell r="C74">
            <v>41152</v>
          </cell>
        </row>
      </sheetData>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CS Financials"/>
      <sheetName val="EV - WACC"/>
      <sheetName val="Adjusted Financials"/>
      <sheetName val="McK Financials"/>
      <sheetName val="Analyst Reports"/>
      <sheetName val="Valuation"/>
      <sheetName val="TRS Chart"/>
      <sheetName val="Worm Chart"/>
      <sheetName val="Stock Data"/>
      <sheetName val="SCM Chart"/>
      <sheetName val="Multiples Chart"/>
      <sheetName val="Performance Chart"/>
      <sheetName val="ROIC Tree"/>
      <sheetName val="Valuation Financials"/>
      <sheetName val="Sensitivity"/>
      <sheetName val="3.3 Isoquants"/>
      <sheetName val="Basic data"/>
      <sheetName val="Defini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2">
          <cell r="D22">
            <v>228</v>
          </cell>
          <cell r="E22">
            <v>13</v>
          </cell>
        </row>
        <row r="117">
          <cell r="J117">
            <v>31078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EV_WACC"/>
      <sheetName val="Financials"/>
      <sheetName val="McK_Financials"/>
      <sheetName val="ROICTree"/>
      <sheetName val="TRS"/>
      <sheetName val="Reco"/>
      <sheetName val="SCM_IC"/>
      <sheetName val="SCM_Rev"/>
      <sheetName val="Hist_Multiples"/>
      <sheetName val="Decompositions"/>
      <sheetName val="Treadmill"/>
      <sheetName val="Matrixes"/>
      <sheetName val="OUTPUT_DATA"/>
      <sheetName val="&lt;=&gt;"/>
      <sheetName val="other"/>
      <sheetName val="ts"/>
      <sheetName val="multex"/>
      <sheetName val="beta"/>
      <sheetName val="&lt;-&gt;"/>
      <sheetName val="McKAnalyst"/>
      <sheetName val="Master"/>
      <sheetName val="Analyst"/>
      <sheetName val="TemporaryData"/>
      <sheetName val="GenFormul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208">
          <cell r="B208">
            <v>1E-3</v>
          </cell>
        </row>
      </sheetData>
      <sheetData sheetId="21" refreshError="1"/>
      <sheetData sheetId="22" refreshError="1"/>
      <sheetData sheetId="23" refreshError="1"/>
      <sheetData sheetId="2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updates"/>
      <sheetName val="1 SETUP"/>
      <sheetName val="2 Cost of Equity"/>
      <sheetName val="3 Yield Curve"/>
      <sheetName val="4a Historical"/>
      <sheetName val="4b Restated"/>
      <sheetName val="5 ROE Tree"/>
      <sheetName val="6 TRS"/>
      <sheetName val="7 SVC"/>
      <sheetName val="8 Worm"/>
      <sheetName val="9 SCM"/>
      <sheetName val="10 Multiples"/>
      <sheetName val="BU1"/>
      <sheetName val="BU2"/>
      <sheetName val="BU3"/>
      <sheetName val="BU4"/>
      <sheetName val="BU5"/>
      <sheetName val="BU6"/>
      <sheetName val="BU7"/>
      <sheetName val="BU4 (old)"/>
      <sheetName val="BU5 (old)"/>
      <sheetName val="BU6 (old)"/>
      <sheetName val="BU7 (old)"/>
      <sheetName val="Corp (old)"/>
      <sheetName val="Elim (old)"/>
      <sheetName val="Corp"/>
      <sheetName val="Elim"/>
      <sheetName val="Sum of Parts"/>
      <sheetName val="Proj"/>
      <sheetName val="11 Valuation"/>
      <sheetName val="12 Growth-Spread"/>
      <sheetName val="13 3-Bucket"/>
      <sheetName val="14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Interface"/>
      <sheetName val="Aggregate view&gt;&gt;"/>
      <sheetName val="Apache"/>
      <sheetName val="EOG"/>
      <sheetName val="Cimarex"/>
      <sheetName val="Operator view&gt;&gt;"/>
      <sheetName val="CapexReduction"/>
      <sheetName val="Assumptions"/>
      <sheetName val="Basin view&gt;&gt;"/>
      <sheetName val="BottomUpModel"/>
      <sheetName val="Basin economics"/>
      <sheetName val="Scenarios&gt;&gt;"/>
      <sheetName val="Quarterly Forecasts"/>
      <sheetName val="Inputs&gt;&gt;"/>
      <sheetName val="$22"/>
      <sheetName val="$33"/>
      <sheetName val="Production"/>
      <sheetName val="Economics"/>
      <sheetName val="EconomicsOLD"/>
      <sheetName val="CF_Annual"/>
      <sheetName val="IS_Annual"/>
      <sheetName val="IS_Quarterly"/>
      <sheetName val="BS_Annual"/>
      <sheetName val="BS_Quarterly"/>
      <sheetName val="ListOfOp"/>
    </sheetNames>
    <sheetDataSet>
      <sheetData sheetId="0"/>
      <sheetData sheetId="1"/>
      <sheetData sheetId="2"/>
      <sheetData sheetId="3"/>
      <sheetData sheetId="4"/>
      <sheetData sheetId="5"/>
      <sheetData sheetId="6"/>
      <sheetData sheetId="7"/>
      <sheetData sheetId="8">
        <row r="2">
          <cell r="B2" t="str">
            <v>Operators</v>
          </cell>
          <cell r="C2" t="str">
            <v>Assumption</v>
          </cell>
          <cell r="D2" t="str">
            <v>2020 Q1</v>
          </cell>
          <cell r="E2" t="str">
            <v>2020 Q2</v>
          </cell>
          <cell r="F2" t="str">
            <v>2020 Q3</v>
          </cell>
          <cell r="G2" t="str">
            <v>2020 Q4</v>
          </cell>
          <cell r="H2" t="str">
            <v>2021 Q1</v>
          </cell>
          <cell r="I2" t="str">
            <v>2021 Q2</v>
          </cell>
          <cell r="J2" t="str">
            <v>2021 Q3</v>
          </cell>
          <cell r="K2" t="str">
            <v>2021 Q4</v>
          </cell>
        </row>
        <row r="3">
          <cell r="A3" t="str">
            <v>Cimarex EnergyCapex reduction</v>
          </cell>
          <cell r="B3" t="str">
            <v>Cimarex Energy</v>
          </cell>
          <cell r="C3" t="str">
            <v>Capex reduction</v>
          </cell>
          <cell r="E3">
            <v>0.3</v>
          </cell>
          <cell r="F3">
            <v>0.3</v>
          </cell>
          <cell r="G3">
            <v>0.3</v>
          </cell>
        </row>
        <row r="4">
          <cell r="A4" t="str">
            <v>Cimarex EnergyOpex reduction</v>
          </cell>
          <cell r="B4" t="str">
            <v>Cimarex Energy</v>
          </cell>
          <cell r="C4" t="str">
            <v>Opex reduction</v>
          </cell>
        </row>
        <row r="5">
          <cell r="A5" t="str">
            <v>Cimarex EnergyDividend reduction</v>
          </cell>
          <cell r="B5" t="str">
            <v>Cimarex Energy</v>
          </cell>
          <cell r="C5" t="str">
            <v>Dividend reduction</v>
          </cell>
        </row>
        <row r="6">
          <cell r="A6" t="str">
            <v>Cimarex EnergyExpected impairment</v>
          </cell>
          <cell r="B6" t="str">
            <v>Cimarex Energy</v>
          </cell>
          <cell r="C6" t="str">
            <v>Expected impairment</v>
          </cell>
        </row>
        <row r="7">
          <cell r="A7" t="str">
            <v>Cimarex EnergyOil production reduction</v>
          </cell>
          <cell r="B7" t="str">
            <v>Cimarex Energy</v>
          </cell>
          <cell r="C7" t="str">
            <v>Oil production reduction</v>
          </cell>
        </row>
        <row r="8">
          <cell r="A8" t="str">
            <v>Cimarex EnergyGas production reduction</v>
          </cell>
          <cell r="B8" t="str">
            <v>Cimarex Energy</v>
          </cell>
          <cell r="C8" t="str">
            <v>Gas production reduction</v>
          </cell>
        </row>
        <row r="9">
          <cell r="A9" t="str">
            <v>Cimarex EnergyNGL production reduction</v>
          </cell>
          <cell r="B9" t="str">
            <v>Cimarex Energy</v>
          </cell>
          <cell r="C9" t="str">
            <v>NGL production reduction</v>
          </cell>
        </row>
        <row r="10">
          <cell r="A10" t="str">
            <v>Cimarex EnergyCondensate production reduction</v>
          </cell>
          <cell r="B10" t="str">
            <v>Cimarex Energy</v>
          </cell>
          <cell r="C10" t="str">
            <v>Condensate production reduction</v>
          </cell>
        </row>
        <row r="11">
          <cell r="A11" t="str">
            <v>Cimarex Energy Co. (XEC)Capex reduction</v>
          </cell>
          <cell r="B11" t="str">
            <v>Cimarex Energy Co. (XEC)</v>
          </cell>
          <cell r="C11" t="str">
            <v>Capex reduction</v>
          </cell>
          <cell r="E11">
            <v>0.3</v>
          </cell>
          <cell r="F11">
            <v>0.3</v>
          </cell>
          <cell r="G11">
            <v>0.3</v>
          </cell>
        </row>
        <row r="12">
          <cell r="A12" t="str">
            <v>Cimarex Energy Co. (XEC)Opex reduction</v>
          </cell>
          <cell r="B12" t="str">
            <v>Cimarex Energy Co. (XEC)</v>
          </cell>
          <cell r="C12" t="str">
            <v>Opex reduction</v>
          </cell>
        </row>
        <row r="13">
          <cell r="A13" t="str">
            <v>Cimarex Energy Co. (XEC)Dividend reduction</v>
          </cell>
          <cell r="B13" t="str">
            <v>Cimarex Energy Co. (XEC)</v>
          </cell>
          <cell r="C13" t="str">
            <v>Dividend reduction</v>
          </cell>
        </row>
        <row r="14">
          <cell r="A14" t="str">
            <v>Cimarex Energy Co. (XEC)Expected impairment</v>
          </cell>
          <cell r="B14" t="str">
            <v>Cimarex Energy Co. (XEC)</v>
          </cell>
          <cell r="C14" t="str">
            <v>Expected impairment</v>
          </cell>
        </row>
        <row r="15">
          <cell r="A15" t="str">
            <v>Cimarex Energy Co. (XEC)Oil production reduction</v>
          </cell>
          <cell r="B15" t="str">
            <v>Cimarex Energy Co. (XEC)</v>
          </cell>
          <cell r="C15" t="str">
            <v>Oil production reduction</v>
          </cell>
        </row>
        <row r="16">
          <cell r="A16" t="str">
            <v>Cimarex Energy Co. (XEC)Gas production reduction</v>
          </cell>
          <cell r="B16" t="str">
            <v>Cimarex Energy Co. (XEC)</v>
          </cell>
          <cell r="C16" t="str">
            <v>Gas production reduction</v>
          </cell>
        </row>
        <row r="17">
          <cell r="A17" t="str">
            <v>Cimarex Energy Co. (XEC)NGL production reduction</v>
          </cell>
          <cell r="B17" t="str">
            <v>Cimarex Energy Co. (XEC)</v>
          </cell>
          <cell r="C17" t="str">
            <v>NGL production reduction</v>
          </cell>
        </row>
        <row r="18">
          <cell r="A18" t="str">
            <v>Cimarex Energy Co. (XEC)Condensate production reduction</v>
          </cell>
          <cell r="B18" t="str">
            <v>Cimarex Energy Co. (XEC)</v>
          </cell>
          <cell r="C18" t="str">
            <v>Condensate production reduction</v>
          </cell>
        </row>
        <row r="19">
          <cell r="A19" t="str">
            <v>Husky Energy Inc. (HSE.TO)Capex reduction</v>
          </cell>
          <cell r="B19" t="str">
            <v>Husky Energy Inc. (HSE.TO)</v>
          </cell>
          <cell r="C19" t="str">
            <v>Capex reduction</v>
          </cell>
        </row>
        <row r="20">
          <cell r="A20" t="str">
            <v>Husky Energy Inc. (HSE.TO)Opex reduction</v>
          </cell>
          <cell r="B20" t="str">
            <v>Husky Energy Inc. (HSE.TO)</v>
          </cell>
          <cell r="C20" t="str">
            <v>Opex reduction</v>
          </cell>
        </row>
        <row r="21">
          <cell r="A21" t="str">
            <v>Husky Energy Inc. (HSE.TO)Dividend reduction</v>
          </cell>
          <cell r="B21" t="str">
            <v>Husky Energy Inc. (HSE.TO)</v>
          </cell>
          <cell r="C21" t="str">
            <v>Dividend reduction</v>
          </cell>
        </row>
        <row r="22">
          <cell r="A22" t="str">
            <v>Husky Energy Inc. (HSE.TO)Expected impairment</v>
          </cell>
          <cell r="B22" t="str">
            <v>Husky Energy Inc. (HSE.TO)</v>
          </cell>
          <cell r="C22" t="str">
            <v>Expected impairment</v>
          </cell>
        </row>
        <row r="23">
          <cell r="A23" t="str">
            <v>Husky Energy Inc. (HSE.TO)Oil production reduction</v>
          </cell>
          <cell r="B23" t="str">
            <v>Husky Energy Inc. (HSE.TO)</v>
          </cell>
          <cell r="C23" t="str">
            <v>Oil production reduction</v>
          </cell>
        </row>
        <row r="24">
          <cell r="A24" t="str">
            <v>Husky Energy Inc. (HSE.TO)Gas production reduction</v>
          </cell>
          <cell r="B24" t="str">
            <v>Husky Energy Inc. (HSE.TO)</v>
          </cell>
          <cell r="C24" t="str">
            <v>Gas production reduction</v>
          </cell>
        </row>
        <row r="25">
          <cell r="A25" t="str">
            <v>Husky Energy Inc. (HSE.TO)NGL production reduction</v>
          </cell>
          <cell r="B25" t="str">
            <v>Husky Energy Inc. (HSE.TO)</v>
          </cell>
          <cell r="C25" t="str">
            <v>NGL production reduction</v>
          </cell>
        </row>
        <row r="26">
          <cell r="A26" t="str">
            <v>Husky Energy Inc. (HSE.TO)Condensate production reduction</v>
          </cell>
          <cell r="B26" t="str">
            <v>Husky Energy Inc. (HSE.TO)</v>
          </cell>
          <cell r="C26" t="str">
            <v>Condensate production reduction</v>
          </cell>
        </row>
        <row r="27">
          <cell r="A27" t="str">
            <v>Diamondback Energy, Inc. (FANG)Capex reduction</v>
          </cell>
          <cell r="B27" t="str">
            <v>Diamondback Energy, Inc. (FANG)</v>
          </cell>
          <cell r="C27" t="str">
            <v>Capex reduction</v>
          </cell>
        </row>
        <row r="28">
          <cell r="A28" t="str">
            <v>Diamondback Energy, Inc. (FANG)Opex reduction</v>
          </cell>
          <cell r="B28" t="str">
            <v>Diamondback Energy, Inc. (FANG)</v>
          </cell>
          <cell r="C28" t="str">
            <v>Opex reduction</v>
          </cell>
        </row>
        <row r="29">
          <cell r="A29" t="str">
            <v>Diamondback Energy, Inc. (FANG)Dividend reduction</v>
          </cell>
          <cell r="B29" t="str">
            <v>Diamondback Energy, Inc. (FANG)</v>
          </cell>
          <cell r="C29" t="str">
            <v>Dividend reduction</v>
          </cell>
        </row>
        <row r="30">
          <cell r="A30" t="str">
            <v>Diamondback Energy, Inc. (FANG)Expected impairment</v>
          </cell>
          <cell r="B30" t="str">
            <v>Diamondback Energy, Inc. (FANG)</v>
          </cell>
          <cell r="C30" t="str">
            <v>Expected impairment</v>
          </cell>
        </row>
        <row r="31">
          <cell r="A31" t="str">
            <v>Diamondback Energy, Inc. (FANG)Oil production reduction</v>
          </cell>
          <cell r="B31" t="str">
            <v>Diamondback Energy, Inc. (FANG)</v>
          </cell>
          <cell r="C31" t="str">
            <v>Oil production reduction</v>
          </cell>
        </row>
        <row r="32">
          <cell r="A32" t="str">
            <v>Diamondback Energy, Inc. (FANG)Gas production reduction</v>
          </cell>
          <cell r="B32" t="str">
            <v>Diamondback Energy, Inc. (FANG)</v>
          </cell>
          <cell r="C32" t="str">
            <v>Gas production reduction</v>
          </cell>
        </row>
        <row r="33">
          <cell r="A33" t="str">
            <v>Diamondback Energy, Inc. (FANG)NGL production reduction</v>
          </cell>
          <cell r="B33" t="str">
            <v>Diamondback Energy, Inc. (FANG)</v>
          </cell>
          <cell r="C33" t="str">
            <v>NGL production reduction</v>
          </cell>
        </row>
        <row r="34">
          <cell r="A34" t="str">
            <v>Diamondback Energy, Inc. (FANG)Condensate production reduction</v>
          </cell>
          <cell r="B34" t="str">
            <v>Diamondback Energy, Inc. (FANG)</v>
          </cell>
          <cell r="C34" t="str">
            <v>Condensate production reduction</v>
          </cell>
        </row>
        <row r="35">
          <cell r="A35" t="str">
            <v>PDC Energy, Inc. (PDCE)Capex reduction</v>
          </cell>
          <cell r="B35" t="str">
            <v>PDC Energy, Inc. (PDCE)</v>
          </cell>
          <cell r="C35" t="str">
            <v>Capex reduction</v>
          </cell>
        </row>
        <row r="36">
          <cell r="A36" t="str">
            <v>PDC Energy, Inc. (PDCE)Opex reduction</v>
          </cell>
          <cell r="B36" t="str">
            <v>PDC Energy, Inc. (PDCE)</v>
          </cell>
          <cell r="C36" t="str">
            <v>Opex reduction</v>
          </cell>
        </row>
        <row r="37">
          <cell r="A37" t="str">
            <v>PDC Energy, Inc. (PDCE)Dividend reduction</v>
          </cell>
          <cell r="B37" t="str">
            <v>PDC Energy, Inc. (PDCE)</v>
          </cell>
          <cell r="C37" t="str">
            <v>Dividend reduction</v>
          </cell>
        </row>
        <row r="38">
          <cell r="A38" t="str">
            <v>PDC Energy, Inc. (PDCE)Expected impairment</v>
          </cell>
          <cell r="B38" t="str">
            <v>PDC Energy, Inc. (PDCE)</v>
          </cell>
          <cell r="C38" t="str">
            <v>Expected impairment</v>
          </cell>
        </row>
        <row r="39">
          <cell r="A39" t="str">
            <v>PDC Energy, Inc. (PDCE)Oil production reduction</v>
          </cell>
          <cell r="B39" t="str">
            <v>PDC Energy, Inc. (PDCE)</v>
          </cell>
          <cell r="C39" t="str">
            <v>Oil production reduction</v>
          </cell>
        </row>
        <row r="40">
          <cell r="A40" t="str">
            <v>PDC Energy, Inc. (PDCE)Gas production reduction</v>
          </cell>
          <cell r="B40" t="str">
            <v>PDC Energy, Inc. (PDCE)</v>
          </cell>
          <cell r="C40" t="str">
            <v>Gas production reduction</v>
          </cell>
        </row>
        <row r="41">
          <cell r="A41" t="str">
            <v>PDC Energy, Inc. (PDCE)NGL production reduction</v>
          </cell>
          <cell r="B41" t="str">
            <v>PDC Energy, Inc. (PDCE)</v>
          </cell>
          <cell r="C41" t="str">
            <v>NGL production reduction</v>
          </cell>
        </row>
        <row r="42">
          <cell r="A42" t="str">
            <v>PDC Energy, Inc. (PDCE)Condensate production reduction</v>
          </cell>
          <cell r="B42" t="str">
            <v>PDC Energy, Inc. (PDCE)</v>
          </cell>
          <cell r="C42" t="str">
            <v>Condensate production reduction</v>
          </cell>
        </row>
        <row r="43">
          <cell r="A43" t="str">
            <v>Murphy Oil Corporation (MUR)Capex reduction</v>
          </cell>
          <cell r="B43" t="str">
            <v>Murphy Oil Corporation (MUR)</v>
          </cell>
          <cell r="C43" t="str">
            <v>Capex reduction</v>
          </cell>
        </row>
        <row r="44">
          <cell r="A44" t="str">
            <v>Murphy Oil Corporation (MUR)Opex reduction</v>
          </cell>
          <cell r="B44" t="str">
            <v>Murphy Oil Corporation (MUR)</v>
          </cell>
          <cell r="C44" t="str">
            <v>Opex reduction</v>
          </cell>
        </row>
        <row r="45">
          <cell r="A45" t="str">
            <v>Murphy Oil Corporation (MUR)Dividend reduction</v>
          </cell>
          <cell r="B45" t="str">
            <v>Murphy Oil Corporation (MUR)</v>
          </cell>
          <cell r="C45" t="str">
            <v>Dividend reduction</v>
          </cell>
        </row>
        <row r="46">
          <cell r="A46" t="str">
            <v>Murphy Oil Corporation (MUR)Expected impairment</v>
          </cell>
          <cell r="B46" t="str">
            <v>Murphy Oil Corporation (MUR)</v>
          </cell>
          <cell r="C46" t="str">
            <v>Expected impairment</v>
          </cell>
        </row>
        <row r="47">
          <cell r="A47" t="str">
            <v>Murphy Oil Corporation (MUR)Oil production reduction</v>
          </cell>
          <cell r="B47" t="str">
            <v>Murphy Oil Corporation (MUR)</v>
          </cell>
          <cell r="C47" t="str">
            <v>Oil production reduction</v>
          </cell>
        </row>
        <row r="48">
          <cell r="A48" t="str">
            <v>Murphy Oil Corporation (MUR)Gas production reduction</v>
          </cell>
          <cell r="B48" t="str">
            <v>Murphy Oil Corporation (MUR)</v>
          </cell>
          <cell r="C48" t="str">
            <v>Gas production reduction</v>
          </cell>
        </row>
        <row r="49">
          <cell r="A49" t="str">
            <v>Murphy Oil Corporation (MUR)NGL production reduction</v>
          </cell>
          <cell r="B49" t="str">
            <v>Murphy Oil Corporation (MUR)</v>
          </cell>
          <cell r="C49" t="str">
            <v>NGL production reduction</v>
          </cell>
        </row>
        <row r="50">
          <cell r="A50" t="str">
            <v>Murphy Oil Corporation (MUR)Condensate production reduction</v>
          </cell>
          <cell r="B50" t="str">
            <v>Murphy Oil Corporation (MUR)</v>
          </cell>
          <cell r="C50" t="str">
            <v>Condensate production reduction</v>
          </cell>
        </row>
        <row r="51">
          <cell r="A51" t="str">
            <v>Parsley Energy, Inc. (PE)Capex reduction</v>
          </cell>
          <cell r="B51" t="str">
            <v>Parsley Energy, Inc. (PE)</v>
          </cell>
          <cell r="C51" t="str">
            <v>Capex reduction</v>
          </cell>
        </row>
        <row r="52">
          <cell r="A52" t="str">
            <v>Parsley Energy, Inc. (PE)Opex reduction</v>
          </cell>
          <cell r="B52" t="str">
            <v>Parsley Energy, Inc. (PE)</v>
          </cell>
          <cell r="C52" t="str">
            <v>Opex reduction</v>
          </cell>
        </row>
        <row r="53">
          <cell r="A53" t="str">
            <v>Parsley Energy, Inc. (PE)Dividend reduction</v>
          </cell>
          <cell r="B53" t="str">
            <v>Parsley Energy, Inc. (PE)</v>
          </cell>
          <cell r="C53" t="str">
            <v>Dividend reduction</v>
          </cell>
        </row>
        <row r="54">
          <cell r="A54" t="str">
            <v>Parsley Energy, Inc. (PE)Expected impairment</v>
          </cell>
          <cell r="B54" t="str">
            <v>Parsley Energy, Inc. (PE)</v>
          </cell>
          <cell r="C54" t="str">
            <v>Expected impairment</v>
          </cell>
        </row>
        <row r="55">
          <cell r="A55" t="str">
            <v>Parsley Energy, Inc. (PE)Oil production reduction</v>
          </cell>
          <cell r="B55" t="str">
            <v>Parsley Energy, Inc. (PE)</v>
          </cell>
          <cell r="C55" t="str">
            <v>Oil production reduction</v>
          </cell>
        </row>
        <row r="56">
          <cell r="A56" t="str">
            <v>Parsley Energy, Inc. (PE)Gas production reduction</v>
          </cell>
          <cell r="B56" t="str">
            <v>Parsley Energy, Inc. (PE)</v>
          </cell>
          <cell r="C56" t="str">
            <v>Gas production reduction</v>
          </cell>
        </row>
        <row r="57">
          <cell r="A57" t="str">
            <v>Parsley Energy, Inc. (PE)NGL production reduction</v>
          </cell>
          <cell r="B57" t="str">
            <v>Parsley Energy, Inc. (PE)</v>
          </cell>
          <cell r="C57" t="str">
            <v>NGL production reduction</v>
          </cell>
        </row>
        <row r="58">
          <cell r="A58" t="str">
            <v>Parsley Energy, Inc. (PE)Condensate production reduction</v>
          </cell>
          <cell r="B58" t="str">
            <v>Parsley Energy, Inc. (PE)</v>
          </cell>
          <cell r="C58" t="str">
            <v>Condensate production reduction</v>
          </cell>
        </row>
        <row r="59">
          <cell r="A59" t="str">
            <v>WPX Energy, Inc. (WPX)Capex reduction</v>
          </cell>
          <cell r="B59" t="str">
            <v>WPX Energy, Inc. (WPX)</v>
          </cell>
          <cell r="C59" t="str">
            <v>Capex reduction</v>
          </cell>
        </row>
        <row r="60">
          <cell r="A60" t="str">
            <v>WPX Energy, Inc. (WPX)Opex reduction</v>
          </cell>
          <cell r="B60" t="str">
            <v>WPX Energy, Inc. (WPX)</v>
          </cell>
          <cell r="C60" t="str">
            <v>Opex reduction</v>
          </cell>
        </row>
        <row r="61">
          <cell r="A61" t="str">
            <v>WPX Energy, Inc. (WPX)Dividend reduction</v>
          </cell>
          <cell r="B61" t="str">
            <v>WPX Energy, Inc. (WPX)</v>
          </cell>
          <cell r="C61" t="str">
            <v>Dividend reduction</v>
          </cell>
        </row>
        <row r="62">
          <cell r="A62" t="str">
            <v>WPX Energy, Inc. (WPX)Expected impairment</v>
          </cell>
          <cell r="B62" t="str">
            <v>WPX Energy, Inc. (WPX)</v>
          </cell>
          <cell r="C62" t="str">
            <v>Expected impairment</v>
          </cell>
        </row>
        <row r="63">
          <cell r="A63" t="str">
            <v>WPX Energy, Inc. (WPX)Oil production reduction</v>
          </cell>
          <cell r="B63" t="str">
            <v>WPX Energy, Inc. (WPX)</v>
          </cell>
          <cell r="C63" t="str">
            <v>Oil production reduction</v>
          </cell>
        </row>
        <row r="64">
          <cell r="A64" t="str">
            <v>WPX Energy, Inc. (WPX)Gas production reduction</v>
          </cell>
          <cell r="B64" t="str">
            <v>WPX Energy, Inc. (WPX)</v>
          </cell>
          <cell r="C64" t="str">
            <v>Gas production reduction</v>
          </cell>
        </row>
        <row r="65">
          <cell r="A65" t="str">
            <v>WPX Energy, Inc. (WPX)NGL production reduction</v>
          </cell>
          <cell r="B65" t="str">
            <v>WPX Energy, Inc. (WPX)</v>
          </cell>
          <cell r="C65" t="str">
            <v>NGL production reduction</v>
          </cell>
        </row>
        <row r="66">
          <cell r="A66" t="str">
            <v>WPX Energy, Inc. (WPX)Condensate production reduction</v>
          </cell>
          <cell r="B66" t="str">
            <v>WPX Energy, Inc. (WPX)</v>
          </cell>
          <cell r="C66" t="str">
            <v>Condensate production reduction</v>
          </cell>
        </row>
        <row r="67">
          <cell r="A67" t="str">
            <v>SM Energy Company (SM)Capex reduction</v>
          </cell>
          <cell r="B67" t="str">
            <v>SM Energy Company (SM)</v>
          </cell>
          <cell r="C67" t="str">
            <v>Capex reduction</v>
          </cell>
        </row>
        <row r="68">
          <cell r="A68" t="str">
            <v>SM Energy Company (SM)Opex reduction</v>
          </cell>
          <cell r="B68" t="str">
            <v>SM Energy Company (SM)</v>
          </cell>
          <cell r="C68" t="str">
            <v>Opex reduction</v>
          </cell>
        </row>
        <row r="69">
          <cell r="A69" t="str">
            <v>SM Energy Company (SM)Dividend reduction</v>
          </cell>
          <cell r="B69" t="str">
            <v>SM Energy Company (SM)</v>
          </cell>
          <cell r="C69" t="str">
            <v>Dividend reduction</v>
          </cell>
        </row>
        <row r="70">
          <cell r="A70" t="str">
            <v>SM Energy Company (SM)Expected impairment</v>
          </cell>
          <cell r="B70" t="str">
            <v>SM Energy Company (SM)</v>
          </cell>
          <cell r="C70" t="str">
            <v>Expected impairment</v>
          </cell>
        </row>
        <row r="71">
          <cell r="A71" t="str">
            <v>SM Energy Company (SM)Oil production reduction</v>
          </cell>
          <cell r="B71" t="str">
            <v>SM Energy Company (SM)</v>
          </cell>
          <cell r="C71" t="str">
            <v>Oil production reduction</v>
          </cell>
        </row>
        <row r="72">
          <cell r="A72" t="str">
            <v>SM Energy Company (SM)Gas production reduction</v>
          </cell>
          <cell r="B72" t="str">
            <v>SM Energy Company (SM)</v>
          </cell>
          <cell r="C72" t="str">
            <v>Gas production reduction</v>
          </cell>
        </row>
        <row r="73">
          <cell r="A73" t="str">
            <v>SM Energy Company (SM)NGL production reduction</v>
          </cell>
          <cell r="B73" t="str">
            <v>SM Energy Company (SM)</v>
          </cell>
          <cell r="C73" t="str">
            <v>NGL production reduction</v>
          </cell>
        </row>
        <row r="74">
          <cell r="A74" t="str">
            <v>SM Energy Company (SM)Condensate production reduction</v>
          </cell>
          <cell r="B74" t="str">
            <v>SM Energy Company (SM)</v>
          </cell>
          <cell r="C74" t="str">
            <v>Condensate production reduction</v>
          </cell>
        </row>
        <row r="75">
          <cell r="A75" t="str">
            <v>Whiting Petroleum Corporation (WLL)Capex reduction</v>
          </cell>
          <cell r="B75" t="str">
            <v>Whiting Petroleum Corporation (WLL)</v>
          </cell>
          <cell r="C75" t="str">
            <v>Capex reduction</v>
          </cell>
        </row>
        <row r="76">
          <cell r="A76" t="str">
            <v>Whiting Petroleum Corporation (WLL)Opex reduction</v>
          </cell>
          <cell r="B76" t="str">
            <v>Whiting Petroleum Corporation (WLL)</v>
          </cell>
          <cell r="C76" t="str">
            <v>Opex reduction</v>
          </cell>
        </row>
        <row r="77">
          <cell r="A77" t="str">
            <v>Whiting Petroleum Corporation (WLL)Dividend reduction</v>
          </cell>
          <cell r="B77" t="str">
            <v>Whiting Petroleum Corporation (WLL)</v>
          </cell>
          <cell r="C77" t="str">
            <v>Dividend reduction</v>
          </cell>
        </row>
        <row r="78">
          <cell r="A78" t="str">
            <v>Whiting Petroleum Corporation (WLL)Expected impairment</v>
          </cell>
          <cell r="B78" t="str">
            <v>Whiting Petroleum Corporation (WLL)</v>
          </cell>
          <cell r="C78" t="str">
            <v>Expected impairment</v>
          </cell>
        </row>
        <row r="79">
          <cell r="A79" t="str">
            <v>Whiting Petroleum Corporation (WLL)Oil production reduction</v>
          </cell>
          <cell r="B79" t="str">
            <v>Whiting Petroleum Corporation (WLL)</v>
          </cell>
          <cell r="C79" t="str">
            <v>Oil production reduction</v>
          </cell>
        </row>
        <row r="80">
          <cell r="A80" t="str">
            <v>Whiting Petroleum Corporation (WLL)Gas production reduction</v>
          </cell>
          <cell r="B80" t="str">
            <v>Whiting Petroleum Corporation (WLL)</v>
          </cell>
          <cell r="C80" t="str">
            <v>Gas production reduction</v>
          </cell>
        </row>
        <row r="81">
          <cell r="A81" t="str">
            <v>Whiting Petroleum Corporation (WLL)NGL production reduction</v>
          </cell>
          <cell r="B81" t="str">
            <v>Whiting Petroleum Corporation (WLL)</v>
          </cell>
          <cell r="C81" t="str">
            <v>NGL production reduction</v>
          </cell>
        </row>
        <row r="82">
          <cell r="A82" t="str">
            <v>Whiting Petroleum Corporation (WLL)Condensate production reduction</v>
          </cell>
          <cell r="B82" t="str">
            <v>Whiting Petroleum Corporation (WLL)</v>
          </cell>
          <cell r="C82" t="str">
            <v>Condensate production reduction</v>
          </cell>
        </row>
        <row r="83">
          <cell r="A83" t="str">
            <v>ARC Resources Ltd. (ARX.TO)Capex reduction</v>
          </cell>
          <cell r="B83" t="str">
            <v>ARC Resources Ltd. (ARX.TO)</v>
          </cell>
          <cell r="C83" t="str">
            <v>Capex reduction</v>
          </cell>
        </row>
        <row r="84">
          <cell r="A84" t="str">
            <v>ARC Resources Ltd. (ARX.TO)Opex reduction</v>
          </cell>
          <cell r="B84" t="str">
            <v>ARC Resources Ltd. (ARX.TO)</v>
          </cell>
          <cell r="C84" t="str">
            <v>Opex reduction</v>
          </cell>
        </row>
        <row r="85">
          <cell r="A85" t="str">
            <v>ARC Resources Ltd. (ARX.TO)Dividend reduction</v>
          </cell>
          <cell r="B85" t="str">
            <v>ARC Resources Ltd. (ARX.TO)</v>
          </cell>
          <cell r="C85" t="str">
            <v>Dividend reduction</v>
          </cell>
        </row>
        <row r="86">
          <cell r="A86" t="str">
            <v>ARC Resources Ltd. (ARX.TO)Expected impairment</v>
          </cell>
          <cell r="B86" t="str">
            <v>ARC Resources Ltd. (ARX.TO)</v>
          </cell>
          <cell r="C86" t="str">
            <v>Expected impairment</v>
          </cell>
        </row>
        <row r="87">
          <cell r="A87" t="str">
            <v>ARC Resources Ltd. (ARX.TO)Oil production reduction</v>
          </cell>
          <cell r="B87" t="str">
            <v>ARC Resources Ltd. (ARX.TO)</v>
          </cell>
          <cell r="C87" t="str">
            <v>Oil production reduction</v>
          </cell>
        </row>
        <row r="88">
          <cell r="A88" t="str">
            <v>ARC Resources Ltd. (ARX.TO)Gas production reduction</v>
          </cell>
          <cell r="B88" t="str">
            <v>ARC Resources Ltd. (ARX.TO)</v>
          </cell>
          <cell r="C88" t="str">
            <v>Gas production reduction</v>
          </cell>
        </row>
        <row r="89">
          <cell r="A89" t="str">
            <v>ARC Resources Ltd. (ARX.TO)NGL production reduction</v>
          </cell>
          <cell r="B89" t="str">
            <v>ARC Resources Ltd. (ARX.TO)</v>
          </cell>
          <cell r="C89" t="str">
            <v>NGL production reduction</v>
          </cell>
        </row>
        <row r="90">
          <cell r="A90" t="str">
            <v>ARC Resources Ltd. (ARX.TO)Condensate production reduction</v>
          </cell>
          <cell r="B90" t="str">
            <v>ARC Resources Ltd. (ARX.TO)</v>
          </cell>
          <cell r="C90" t="str">
            <v>Condensate production reduction</v>
          </cell>
        </row>
        <row r="91">
          <cell r="A91" t="str">
            <v>California Resources Corporation (CRC)Capex reduction</v>
          </cell>
          <cell r="B91" t="str">
            <v>California Resources Corporation (CRC)</v>
          </cell>
          <cell r="C91" t="str">
            <v>Capex reduction</v>
          </cell>
        </row>
        <row r="92">
          <cell r="A92" t="str">
            <v>California Resources Corporation (CRC)Opex reduction</v>
          </cell>
          <cell r="B92" t="str">
            <v>California Resources Corporation (CRC)</v>
          </cell>
          <cell r="C92" t="str">
            <v>Opex reduction</v>
          </cell>
        </row>
        <row r="93">
          <cell r="A93" t="str">
            <v>California Resources Corporation (CRC)Dividend reduction</v>
          </cell>
          <cell r="B93" t="str">
            <v>California Resources Corporation (CRC)</v>
          </cell>
          <cell r="C93" t="str">
            <v>Dividend reduction</v>
          </cell>
        </row>
        <row r="94">
          <cell r="A94" t="str">
            <v>California Resources Corporation (CRC)Expected impairment</v>
          </cell>
          <cell r="B94" t="str">
            <v>California Resources Corporation (CRC)</v>
          </cell>
          <cell r="C94" t="str">
            <v>Expected impairment</v>
          </cell>
        </row>
        <row r="95">
          <cell r="A95" t="str">
            <v>California Resources Corporation (CRC)Oil production reduction</v>
          </cell>
          <cell r="B95" t="str">
            <v>California Resources Corporation (CRC)</v>
          </cell>
          <cell r="C95" t="str">
            <v>Oil production reduction</v>
          </cell>
        </row>
        <row r="96">
          <cell r="A96" t="str">
            <v>California Resources Corporation (CRC)Gas production reduction</v>
          </cell>
          <cell r="B96" t="str">
            <v>California Resources Corporation (CRC)</v>
          </cell>
          <cell r="C96" t="str">
            <v>Gas production reduction</v>
          </cell>
        </row>
        <row r="97">
          <cell r="A97" t="str">
            <v>California Resources Corporation (CRC)NGL production reduction</v>
          </cell>
          <cell r="B97" t="str">
            <v>California Resources Corporation (CRC)</v>
          </cell>
          <cell r="C97" t="str">
            <v>NGL production reduction</v>
          </cell>
        </row>
        <row r="98">
          <cell r="A98" t="str">
            <v>California Resources Corporation (CRC)Condensate production reduction</v>
          </cell>
          <cell r="B98" t="str">
            <v>California Resources Corporation (CRC)</v>
          </cell>
          <cell r="C98" t="str">
            <v>Condensate production reduction</v>
          </cell>
        </row>
        <row r="99">
          <cell r="A99" t="str">
            <v>Oasis Petroleum Inc. (OAS)Capex reduction</v>
          </cell>
          <cell r="B99" t="str">
            <v>Oasis Petroleum Inc. (OAS)</v>
          </cell>
          <cell r="C99" t="str">
            <v>Capex reduction</v>
          </cell>
        </row>
        <row r="100">
          <cell r="A100" t="str">
            <v>Oasis Petroleum Inc. (OAS)Opex reduction</v>
          </cell>
          <cell r="B100" t="str">
            <v>Oasis Petroleum Inc. (OAS)</v>
          </cell>
          <cell r="C100" t="str">
            <v>Opex reduction</v>
          </cell>
        </row>
        <row r="101">
          <cell r="A101" t="str">
            <v>Oasis Petroleum Inc. (OAS)Dividend reduction</v>
          </cell>
          <cell r="B101" t="str">
            <v>Oasis Petroleum Inc. (OAS)</v>
          </cell>
          <cell r="C101" t="str">
            <v>Dividend reduction</v>
          </cell>
        </row>
        <row r="102">
          <cell r="A102" t="str">
            <v>Oasis Petroleum Inc. (OAS)Expected impairment</v>
          </cell>
          <cell r="B102" t="str">
            <v>Oasis Petroleum Inc. (OAS)</v>
          </cell>
          <cell r="C102" t="str">
            <v>Expected impairment</v>
          </cell>
        </row>
        <row r="103">
          <cell r="A103" t="str">
            <v>Oasis Petroleum Inc. (OAS)Oil production reduction</v>
          </cell>
          <cell r="B103" t="str">
            <v>Oasis Petroleum Inc. (OAS)</v>
          </cell>
          <cell r="C103" t="str">
            <v>Oil production reduction</v>
          </cell>
        </row>
        <row r="104">
          <cell r="A104" t="str">
            <v>Oasis Petroleum Inc. (OAS)Gas production reduction</v>
          </cell>
          <cell r="B104" t="str">
            <v>Oasis Petroleum Inc. (OAS)</v>
          </cell>
          <cell r="C104" t="str">
            <v>Gas production reduction</v>
          </cell>
        </row>
        <row r="105">
          <cell r="A105" t="str">
            <v>Oasis Petroleum Inc. (OAS)NGL production reduction</v>
          </cell>
          <cell r="B105" t="str">
            <v>Oasis Petroleum Inc. (OAS)</v>
          </cell>
          <cell r="C105" t="str">
            <v>NGL production reduction</v>
          </cell>
        </row>
        <row r="106">
          <cell r="A106" t="str">
            <v>Oasis Petroleum Inc. (OAS)Condensate production reduction</v>
          </cell>
          <cell r="B106" t="str">
            <v>Oasis Petroleum Inc. (OAS)</v>
          </cell>
          <cell r="C106" t="str">
            <v>Condensate production reduction</v>
          </cell>
        </row>
        <row r="107">
          <cell r="A107" t="str">
            <v>QEP Resources, Inc. (QEP)Capex reduction</v>
          </cell>
          <cell r="B107" t="str">
            <v>QEP Resources, Inc. (QEP)</v>
          </cell>
          <cell r="C107" t="str">
            <v>Capex reduction</v>
          </cell>
        </row>
        <row r="108">
          <cell r="A108" t="str">
            <v>QEP Resources, Inc. (QEP)Opex reduction</v>
          </cell>
          <cell r="B108" t="str">
            <v>QEP Resources, Inc. (QEP)</v>
          </cell>
          <cell r="C108" t="str">
            <v>Opex reduction</v>
          </cell>
        </row>
        <row r="109">
          <cell r="A109" t="str">
            <v>QEP Resources, Inc. (QEP)Dividend reduction</v>
          </cell>
          <cell r="B109" t="str">
            <v>QEP Resources, Inc. (QEP)</v>
          </cell>
          <cell r="C109" t="str">
            <v>Dividend reduction</v>
          </cell>
        </row>
        <row r="110">
          <cell r="A110" t="str">
            <v>QEP Resources, Inc. (QEP)Expected impairment</v>
          </cell>
          <cell r="B110" t="str">
            <v>QEP Resources, Inc. (QEP)</v>
          </cell>
          <cell r="C110" t="str">
            <v>Expected impairment</v>
          </cell>
        </row>
        <row r="111">
          <cell r="A111" t="str">
            <v>QEP Resources, Inc. (QEP)Oil production reduction</v>
          </cell>
          <cell r="B111" t="str">
            <v>QEP Resources, Inc. (QEP)</v>
          </cell>
          <cell r="C111" t="str">
            <v>Oil production reduction</v>
          </cell>
        </row>
        <row r="112">
          <cell r="A112" t="str">
            <v>QEP Resources, Inc. (QEP)Gas production reduction</v>
          </cell>
          <cell r="B112" t="str">
            <v>QEP Resources, Inc. (QEP)</v>
          </cell>
          <cell r="C112" t="str">
            <v>Gas production reduction</v>
          </cell>
        </row>
        <row r="113">
          <cell r="A113" t="str">
            <v>QEP Resources, Inc. (QEP)NGL production reduction</v>
          </cell>
          <cell r="B113" t="str">
            <v>QEP Resources, Inc. (QEP)</v>
          </cell>
          <cell r="C113" t="str">
            <v>NGL production reduction</v>
          </cell>
        </row>
        <row r="114">
          <cell r="A114" t="str">
            <v>QEP Resources, Inc. (QEP)Condensate production reduction</v>
          </cell>
          <cell r="B114" t="str">
            <v>QEP Resources, Inc. (QEP)</v>
          </cell>
          <cell r="C114" t="str">
            <v>Condensate production reduction</v>
          </cell>
        </row>
        <row r="115">
          <cell r="A115" t="str">
            <v>MEG Energy Corp. (MEG.TO)Capex reduction</v>
          </cell>
          <cell r="B115" t="str">
            <v>MEG Energy Corp. (MEG.TO)</v>
          </cell>
          <cell r="C115" t="str">
            <v>Capex reduction</v>
          </cell>
        </row>
        <row r="116">
          <cell r="A116" t="str">
            <v>MEG Energy Corp. (MEG.TO)Opex reduction</v>
          </cell>
          <cell r="B116" t="str">
            <v>MEG Energy Corp. (MEG.TO)</v>
          </cell>
          <cell r="C116" t="str">
            <v>Opex reduction</v>
          </cell>
        </row>
        <row r="117">
          <cell r="A117" t="str">
            <v>MEG Energy Corp. (MEG.TO)Dividend reduction</v>
          </cell>
          <cell r="B117" t="str">
            <v>MEG Energy Corp. (MEG.TO)</v>
          </cell>
          <cell r="C117" t="str">
            <v>Dividend reduction</v>
          </cell>
        </row>
        <row r="118">
          <cell r="A118" t="str">
            <v>MEG Energy Corp. (MEG.TO)Expected impairment</v>
          </cell>
          <cell r="B118" t="str">
            <v>MEG Energy Corp. (MEG.TO)</v>
          </cell>
          <cell r="C118" t="str">
            <v>Expected impairment</v>
          </cell>
        </row>
        <row r="119">
          <cell r="A119" t="str">
            <v>MEG Energy Corp. (MEG.TO)Oil production reduction</v>
          </cell>
          <cell r="B119" t="str">
            <v>MEG Energy Corp. (MEG.TO)</v>
          </cell>
          <cell r="C119" t="str">
            <v>Oil production reduction</v>
          </cell>
        </row>
        <row r="120">
          <cell r="A120" t="str">
            <v>MEG Energy Corp. (MEG.TO)Gas production reduction</v>
          </cell>
          <cell r="B120" t="str">
            <v>MEG Energy Corp. (MEG.TO)</v>
          </cell>
          <cell r="C120" t="str">
            <v>Gas production reduction</v>
          </cell>
        </row>
        <row r="121">
          <cell r="A121" t="str">
            <v>MEG Energy Corp. (MEG.TO)NGL production reduction</v>
          </cell>
          <cell r="B121" t="str">
            <v>MEG Energy Corp. (MEG.TO)</v>
          </cell>
          <cell r="C121" t="str">
            <v>NGL production reduction</v>
          </cell>
        </row>
        <row r="122">
          <cell r="A122" t="str">
            <v>MEG Energy Corp. (MEG.TO)Condensate production reduction</v>
          </cell>
          <cell r="B122" t="str">
            <v>MEG Energy Corp. (MEG.TO)</v>
          </cell>
          <cell r="C122" t="str">
            <v>Condensate production reduction</v>
          </cell>
        </row>
        <row r="123">
          <cell r="A123" t="str">
            <v>Whitecap Resources Inc. (WCP.TO)Capex reduction</v>
          </cell>
          <cell r="B123" t="str">
            <v>Whitecap Resources Inc. (WCP.TO)</v>
          </cell>
          <cell r="C123" t="str">
            <v>Capex reduction</v>
          </cell>
        </row>
        <row r="124">
          <cell r="A124" t="str">
            <v>Whitecap Resources Inc. (WCP.TO)Opex reduction</v>
          </cell>
          <cell r="B124" t="str">
            <v>Whitecap Resources Inc. (WCP.TO)</v>
          </cell>
          <cell r="C124" t="str">
            <v>Opex reduction</v>
          </cell>
        </row>
        <row r="125">
          <cell r="A125" t="str">
            <v>Whitecap Resources Inc. (WCP.TO)Dividend reduction</v>
          </cell>
          <cell r="B125" t="str">
            <v>Whitecap Resources Inc. (WCP.TO)</v>
          </cell>
          <cell r="C125" t="str">
            <v>Dividend reduction</v>
          </cell>
        </row>
        <row r="126">
          <cell r="A126" t="str">
            <v>Whitecap Resources Inc. (WCP.TO)Expected impairment</v>
          </cell>
          <cell r="B126" t="str">
            <v>Whitecap Resources Inc. (WCP.TO)</v>
          </cell>
          <cell r="C126" t="str">
            <v>Expected impairment</v>
          </cell>
        </row>
        <row r="127">
          <cell r="A127" t="str">
            <v>Whitecap Resources Inc. (WCP.TO)Oil production reduction</v>
          </cell>
          <cell r="B127" t="str">
            <v>Whitecap Resources Inc. (WCP.TO)</v>
          </cell>
          <cell r="C127" t="str">
            <v>Oil production reduction</v>
          </cell>
        </row>
        <row r="128">
          <cell r="A128" t="str">
            <v>Whitecap Resources Inc. (WCP.TO)Gas production reduction</v>
          </cell>
          <cell r="B128" t="str">
            <v>Whitecap Resources Inc. (WCP.TO)</v>
          </cell>
          <cell r="C128" t="str">
            <v>Gas production reduction</v>
          </cell>
        </row>
        <row r="129">
          <cell r="A129" t="str">
            <v>Whitecap Resources Inc. (WCP.TO)NGL production reduction</v>
          </cell>
          <cell r="B129" t="str">
            <v>Whitecap Resources Inc. (WCP.TO)</v>
          </cell>
          <cell r="C129" t="str">
            <v>NGL production reduction</v>
          </cell>
        </row>
        <row r="130">
          <cell r="A130" t="str">
            <v>Whitecap Resources Inc. (WCP.TO)Condensate production reduction</v>
          </cell>
          <cell r="B130" t="str">
            <v>Whitecap Resources Inc. (WCP.TO)</v>
          </cell>
          <cell r="C130" t="str">
            <v>Condensate production reduction</v>
          </cell>
        </row>
        <row r="131">
          <cell r="A131" t="str">
            <v>EP Energy Corporation (EPEGQ)Capex reduction</v>
          </cell>
          <cell r="B131" t="str">
            <v>EP Energy Corporation (EPEGQ)</v>
          </cell>
          <cell r="C131" t="str">
            <v>Capex reduction</v>
          </cell>
        </row>
        <row r="132">
          <cell r="A132" t="str">
            <v>EP Energy Corporation (EPEGQ)Opex reduction</v>
          </cell>
          <cell r="B132" t="str">
            <v>EP Energy Corporation (EPEGQ)</v>
          </cell>
          <cell r="C132" t="str">
            <v>Opex reduction</v>
          </cell>
        </row>
        <row r="133">
          <cell r="A133" t="str">
            <v>EP Energy Corporation (EPEGQ)Dividend reduction</v>
          </cell>
          <cell r="B133" t="str">
            <v>EP Energy Corporation (EPEGQ)</v>
          </cell>
          <cell r="C133" t="str">
            <v>Dividend reduction</v>
          </cell>
        </row>
        <row r="134">
          <cell r="A134" t="str">
            <v>EP Energy Corporation (EPEGQ)Expected impairment</v>
          </cell>
          <cell r="B134" t="str">
            <v>EP Energy Corporation (EPEGQ)</v>
          </cell>
          <cell r="C134" t="str">
            <v>Expected impairment</v>
          </cell>
        </row>
        <row r="135">
          <cell r="A135" t="str">
            <v>EP Energy Corporation (EPEGQ)Oil production reduction</v>
          </cell>
          <cell r="B135" t="str">
            <v>EP Energy Corporation (EPEGQ)</v>
          </cell>
          <cell r="C135" t="str">
            <v>Oil production reduction</v>
          </cell>
        </row>
        <row r="136">
          <cell r="A136" t="str">
            <v>EP Energy Corporation (EPEGQ)Gas production reduction</v>
          </cell>
          <cell r="B136" t="str">
            <v>EP Energy Corporation (EPEGQ)</v>
          </cell>
          <cell r="C136" t="str">
            <v>Gas production reduction</v>
          </cell>
        </row>
        <row r="137">
          <cell r="A137" t="str">
            <v>EP Energy Corporation (EPEGQ)NGL production reduction</v>
          </cell>
          <cell r="B137" t="str">
            <v>EP Energy Corporation (EPEGQ)</v>
          </cell>
          <cell r="C137" t="str">
            <v>NGL production reduction</v>
          </cell>
        </row>
        <row r="138">
          <cell r="A138" t="str">
            <v>EP Energy Corporation (EPEGQ)Condensate production reduction</v>
          </cell>
          <cell r="B138" t="str">
            <v>EP Energy Corporation (EPEGQ)</v>
          </cell>
          <cell r="C138" t="str">
            <v>Condensate production reduction</v>
          </cell>
        </row>
        <row r="139">
          <cell r="A139" t="str">
            <v>Talos Energy Inc. (TALO)Capex reduction</v>
          </cell>
          <cell r="B139" t="str">
            <v>Talos Energy Inc. (TALO)</v>
          </cell>
          <cell r="C139" t="str">
            <v>Capex reduction</v>
          </cell>
        </row>
        <row r="140">
          <cell r="A140" t="str">
            <v>Talos Energy Inc. (TALO)Opex reduction</v>
          </cell>
          <cell r="B140" t="str">
            <v>Talos Energy Inc. (TALO)</v>
          </cell>
          <cell r="C140" t="str">
            <v>Opex reduction</v>
          </cell>
        </row>
        <row r="141">
          <cell r="A141" t="str">
            <v>Talos Energy Inc. (TALO)Dividend reduction</v>
          </cell>
          <cell r="B141" t="str">
            <v>Talos Energy Inc. (TALO)</v>
          </cell>
          <cell r="C141" t="str">
            <v>Dividend reduction</v>
          </cell>
        </row>
        <row r="142">
          <cell r="A142" t="str">
            <v>Talos Energy Inc. (TALO)Expected impairment</v>
          </cell>
          <cell r="B142" t="str">
            <v>Talos Energy Inc. (TALO)</v>
          </cell>
          <cell r="C142" t="str">
            <v>Expected impairment</v>
          </cell>
        </row>
        <row r="143">
          <cell r="A143" t="str">
            <v>Talos Energy Inc. (TALO)Oil production reduction</v>
          </cell>
          <cell r="B143" t="str">
            <v>Talos Energy Inc. (TALO)</v>
          </cell>
          <cell r="C143" t="str">
            <v>Oil production reduction</v>
          </cell>
        </row>
        <row r="144">
          <cell r="A144" t="str">
            <v>Talos Energy Inc. (TALO)Gas production reduction</v>
          </cell>
          <cell r="B144" t="str">
            <v>Talos Energy Inc. (TALO)</v>
          </cell>
          <cell r="C144" t="str">
            <v>Gas production reduction</v>
          </cell>
        </row>
        <row r="145">
          <cell r="A145" t="str">
            <v>Talos Energy Inc. (TALO)NGL production reduction</v>
          </cell>
          <cell r="B145" t="str">
            <v>Talos Energy Inc. (TALO)</v>
          </cell>
          <cell r="C145" t="str">
            <v>NGL production reduction</v>
          </cell>
        </row>
        <row r="146">
          <cell r="A146" t="str">
            <v>Talos Energy Inc. (TALO)Condensate production reduction</v>
          </cell>
          <cell r="B146" t="str">
            <v>Talos Energy Inc. (TALO)</v>
          </cell>
          <cell r="C146" t="str">
            <v>Condensate production reduction</v>
          </cell>
        </row>
        <row r="147">
          <cell r="A147" t="str">
            <v>Denbury Resources Inc. (DNR)Capex reduction</v>
          </cell>
          <cell r="B147" t="str">
            <v>Denbury Resources Inc. (DNR)</v>
          </cell>
          <cell r="C147" t="str">
            <v>Capex reduction</v>
          </cell>
        </row>
        <row r="148">
          <cell r="A148" t="str">
            <v>Denbury Resources Inc. (DNR)Opex reduction</v>
          </cell>
          <cell r="B148" t="str">
            <v>Denbury Resources Inc. (DNR)</v>
          </cell>
          <cell r="C148" t="str">
            <v>Opex reduction</v>
          </cell>
        </row>
        <row r="149">
          <cell r="A149" t="str">
            <v>Denbury Resources Inc. (DNR)Dividend reduction</v>
          </cell>
          <cell r="B149" t="str">
            <v>Denbury Resources Inc. (DNR)</v>
          </cell>
          <cell r="C149" t="str">
            <v>Dividend reduction</v>
          </cell>
        </row>
        <row r="150">
          <cell r="A150" t="str">
            <v>Denbury Resources Inc. (DNR)Expected impairment</v>
          </cell>
          <cell r="B150" t="str">
            <v>Denbury Resources Inc. (DNR)</v>
          </cell>
          <cell r="C150" t="str">
            <v>Expected impairment</v>
          </cell>
        </row>
        <row r="151">
          <cell r="A151" t="str">
            <v>Denbury Resources Inc. (DNR)Oil production reduction</v>
          </cell>
          <cell r="B151" t="str">
            <v>Denbury Resources Inc. (DNR)</v>
          </cell>
          <cell r="C151" t="str">
            <v>Oil production reduction</v>
          </cell>
        </row>
        <row r="152">
          <cell r="A152" t="str">
            <v>Denbury Resources Inc. (DNR)Gas production reduction</v>
          </cell>
          <cell r="B152" t="str">
            <v>Denbury Resources Inc. (DNR)</v>
          </cell>
          <cell r="C152" t="str">
            <v>Gas production reduction</v>
          </cell>
        </row>
        <row r="153">
          <cell r="A153" t="str">
            <v>Denbury Resources Inc. (DNR)NGL production reduction</v>
          </cell>
          <cell r="B153" t="str">
            <v>Denbury Resources Inc. (DNR)</v>
          </cell>
          <cell r="C153" t="str">
            <v>NGL production reduction</v>
          </cell>
        </row>
        <row r="154">
          <cell r="A154" t="str">
            <v>Denbury Resources Inc. (DNR)Condensate production reduction</v>
          </cell>
          <cell r="B154" t="str">
            <v>Denbury Resources Inc. (DNR)</v>
          </cell>
          <cell r="C154" t="str">
            <v>Condensate production reduction</v>
          </cell>
        </row>
        <row r="155">
          <cell r="A155" t="str">
            <v>Baytex Energy Corp. (BTE)Capex reduction</v>
          </cell>
          <cell r="B155" t="str">
            <v>Baytex Energy Corp. (BTE)</v>
          </cell>
          <cell r="C155" t="str">
            <v>Capex reduction</v>
          </cell>
        </row>
        <row r="156">
          <cell r="A156" t="str">
            <v>Baytex Energy Corp. (BTE)Opex reduction</v>
          </cell>
          <cell r="B156" t="str">
            <v>Baytex Energy Corp. (BTE)</v>
          </cell>
          <cell r="C156" t="str">
            <v>Opex reduction</v>
          </cell>
        </row>
        <row r="157">
          <cell r="A157" t="str">
            <v>Baytex Energy Corp. (BTE)Dividend reduction</v>
          </cell>
          <cell r="B157" t="str">
            <v>Baytex Energy Corp. (BTE)</v>
          </cell>
          <cell r="C157" t="str">
            <v>Dividend reduction</v>
          </cell>
        </row>
        <row r="158">
          <cell r="A158" t="str">
            <v>Baytex Energy Corp. (BTE)Expected impairment</v>
          </cell>
          <cell r="B158" t="str">
            <v>Baytex Energy Corp. (BTE)</v>
          </cell>
          <cell r="C158" t="str">
            <v>Expected impairment</v>
          </cell>
        </row>
        <row r="159">
          <cell r="A159" t="str">
            <v>Baytex Energy Corp. (BTE)Oil production reduction</v>
          </cell>
          <cell r="B159" t="str">
            <v>Baytex Energy Corp. (BTE)</v>
          </cell>
          <cell r="C159" t="str">
            <v>Oil production reduction</v>
          </cell>
        </row>
        <row r="160">
          <cell r="A160" t="str">
            <v>Baytex Energy Corp. (BTE)Gas production reduction</v>
          </cell>
          <cell r="B160" t="str">
            <v>Baytex Energy Corp. (BTE)</v>
          </cell>
          <cell r="C160" t="str">
            <v>Gas production reduction</v>
          </cell>
        </row>
        <row r="161">
          <cell r="A161" t="str">
            <v>Baytex Energy Corp. (BTE)NGL production reduction</v>
          </cell>
          <cell r="B161" t="str">
            <v>Baytex Energy Corp. (BTE)</v>
          </cell>
          <cell r="C161" t="str">
            <v>NGL production reduction</v>
          </cell>
        </row>
        <row r="162">
          <cell r="A162" t="str">
            <v>Baytex Energy Corp. (BTE)Condensate production reduction</v>
          </cell>
          <cell r="B162" t="str">
            <v>Baytex Energy Corp. (BTE)</v>
          </cell>
          <cell r="C162" t="str">
            <v>Condensate production reduction</v>
          </cell>
        </row>
        <row r="163">
          <cell r="A163" t="str">
            <v>Kinder Morgan, Inc. (KMI)Capex reduction</v>
          </cell>
          <cell r="B163" t="str">
            <v>Kinder Morgan, Inc. (KMI)</v>
          </cell>
          <cell r="C163" t="str">
            <v>Capex reduction</v>
          </cell>
        </row>
        <row r="164">
          <cell r="A164" t="str">
            <v>Kinder Morgan, Inc. (KMI)Opex reduction</v>
          </cell>
          <cell r="B164" t="str">
            <v>Kinder Morgan, Inc. (KMI)</v>
          </cell>
          <cell r="C164" t="str">
            <v>Opex reduction</v>
          </cell>
        </row>
        <row r="165">
          <cell r="A165" t="str">
            <v>Kinder Morgan, Inc. (KMI)Dividend reduction</v>
          </cell>
          <cell r="B165" t="str">
            <v>Kinder Morgan, Inc. (KMI)</v>
          </cell>
          <cell r="C165" t="str">
            <v>Dividend reduction</v>
          </cell>
        </row>
        <row r="166">
          <cell r="A166" t="str">
            <v>Kinder Morgan, Inc. (KMI)Expected impairment</v>
          </cell>
          <cell r="B166" t="str">
            <v>Kinder Morgan, Inc. (KMI)</v>
          </cell>
          <cell r="C166" t="str">
            <v>Expected impairment</v>
          </cell>
        </row>
        <row r="167">
          <cell r="A167" t="str">
            <v>Kinder Morgan, Inc. (KMI)Oil production reduction</v>
          </cell>
          <cell r="B167" t="str">
            <v>Kinder Morgan, Inc. (KMI)</v>
          </cell>
          <cell r="C167" t="str">
            <v>Oil production reduction</v>
          </cell>
        </row>
        <row r="168">
          <cell r="A168" t="str">
            <v>Kinder Morgan, Inc. (KMI)Gas production reduction</v>
          </cell>
          <cell r="B168" t="str">
            <v>Kinder Morgan, Inc. (KMI)</v>
          </cell>
          <cell r="C168" t="str">
            <v>Gas production reduction</v>
          </cell>
        </row>
        <row r="169">
          <cell r="A169" t="str">
            <v>Kinder Morgan, Inc. (KMI)NGL production reduction</v>
          </cell>
          <cell r="B169" t="str">
            <v>Kinder Morgan, Inc. (KMI)</v>
          </cell>
          <cell r="C169" t="str">
            <v>NGL production reduction</v>
          </cell>
        </row>
        <row r="170">
          <cell r="A170" t="str">
            <v>Kinder Morgan, Inc. (KMI)Condensate production reduction</v>
          </cell>
          <cell r="B170" t="str">
            <v>Kinder Morgan, Inc. (KMI)</v>
          </cell>
          <cell r="C170" t="str">
            <v>Condensate production reduction</v>
          </cell>
        </row>
        <row r="171">
          <cell r="A171" t="str">
            <v>Obsidian Energy Ltd. (OBELF)Capex reduction</v>
          </cell>
          <cell r="B171" t="str">
            <v>Obsidian Energy Ltd. (OBELF)</v>
          </cell>
          <cell r="C171" t="str">
            <v>Capex reduction</v>
          </cell>
        </row>
        <row r="172">
          <cell r="A172" t="str">
            <v>Obsidian Energy Ltd. (OBELF)Opex reduction</v>
          </cell>
          <cell r="B172" t="str">
            <v>Obsidian Energy Ltd. (OBELF)</v>
          </cell>
          <cell r="C172" t="str">
            <v>Opex reduction</v>
          </cell>
        </row>
        <row r="173">
          <cell r="A173" t="str">
            <v>Obsidian Energy Ltd. (OBELF)Dividend reduction</v>
          </cell>
          <cell r="B173" t="str">
            <v>Obsidian Energy Ltd. (OBELF)</v>
          </cell>
          <cell r="C173" t="str">
            <v>Dividend reduction</v>
          </cell>
        </row>
        <row r="174">
          <cell r="A174" t="str">
            <v>Obsidian Energy Ltd. (OBELF)Expected impairment</v>
          </cell>
          <cell r="B174" t="str">
            <v>Obsidian Energy Ltd. (OBELF)</v>
          </cell>
          <cell r="C174" t="str">
            <v>Expected impairment</v>
          </cell>
        </row>
        <row r="175">
          <cell r="A175" t="str">
            <v>Obsidian Energy Ltd. (OBELF)Oil production reduction</v>
          </cell>
          <cell r="B175" t="str">
            <v>Obsidian Energy Ltd. (OBELF)</v>
          </cell>
          <cell r="C175" t="str">
            <v>Oil production reduction</v>
          </cell>
        </row>
        <row r="176">
          <cell r="A176" t="str">
            <v>Obsidian Energy Ltd. (OBELF)Gas production reduction</v>
          </cell>
          <cell r="B176" t="str">
            <v>Obsidian Energy Ltd. (OBELF)</v>
          </cell>
          <cell r="C176" t="str">
            <v>Gas production reduction</v>
          </cell>
        </row>
        <row r="177">
          <cell r="A177" t="str">
            <v>Obsidian Energy Ltd. (OBELF)NGL production reduction</v>
          </cell>
          <cell r="B177" t="str">
            <v>Obsidian Energy Ltd. (OBELF)</v>
          </cell>
          <cell r="C177" t="str">
            <v>NGL production reduction</v>
          </cell>
        </row>
        <row r="178">
          <cell r="A178" t="str">
            <v>Obsidian Energy Ltd. (OBELF)Condensate production reduction</v>
          </cell>
          <cell r="B178" t="str">
            <v>Obsidian Energy Ltd. (OBELF)</v>
          </cell>
          <cell r="C178" t="str">
            <v>Condensate production reduction</v>
          </cell>
        </row>
        <row r="179">
          <cell r="A179" t="str">
            <v>Bonterra Energy Corp. (BNE.TO)Capex reduction</v>
          </cell>
          <cell r="B179" t="str">
            <v>Bonterra Energy Corp. (BNE.TO)</v>
          </cell>
          <cell r="C179" t="str">
            <v>Capex reduction</v>
          </cell>
        </row>
        <row r="180">
          <cell r="A180" t="str">
            <v>Bonterra Energy Corp. (BNE.TO)Opex reduction</v>
          </cell>
          <cell r="B180" t="str">
            <v>Bonterra Energy Corp. (BNE.TO)</v>
          </cell>
          <cell r="C180" t="str">
            <v>Opex reduction</v>
          </cell>
        </row>
        <row r="181">
          <cell r="A181" t="str">
            <v>Bonterra Energy Corp. (BNE.TO)Dividend reduction</v>
          </cell>
          <cell r="B181" t="str">
            <v>Bonterra Energy Corp. (BNE.TO)</v>
          </cell>
          <cell r="C181" t="str">
            <v>Dividend reduction</v>
          </cell>
        </row>
        <row r="182">
          <cell r="A182" t="str">
            <v>Bonterra Energy Corp. (BNE.TO)Expected impairment</v>
          </cell>
          <cell r="B182" t="str">
            <v>Bonterra Energy Corp. (BNE.TO)</v>
          </cell>
          <cell r="C182" t="str">
            <v>Expected impairment</v>
          </cell>
        </row>
        <row r="183">
          <cell r="A183" t="str">
            <v>Bonterra Energy Corp. (BNE.TO)Oil production reduction</v>
          </cell>
          <cell r="B183" t="str">
            <v>Bonterra Energy Corp. (BNE.TO)</v>
          </cell>
          <cell r="C183" t="str">
            <v>Oil production reduction</v>
          </cell>
        </row>
        <row r="184">
          <cell r="A184" t="str">
            <v>Bonterra Energy Corp. (BNE.TO)Gas production reduction</v>
          </cell>
          <cell r="B184" t="str">
            <v>Bonterra Energy Corp. (BNE.TO)</v>
          </cell>
          <cell r="C184" t="str">
            <v>Gas production reduction</v>
          </cell>
        </row>
        <row r="185">
          <cell r="A185" t="str">
            <v>Bonterra Energy Corp. (BNE.TO)NGL production reduction</v>
          </cell>
          <cell r="B185" t="str">
            <v>Bonterra Energy Corp. (BNE.TO)</v>
          </cell>
          <cell r="C185" t="str">
            <v>NGL production reduction</v>
          </cell>
        </row>
        <row r="186">
          <cell r="A186" t="str">
            <v>Bonterra Energy Corp. (BNE.TO)Condensate production reduction</v>
          </cell>
          <cell r="B186" t="str">
            <v>Bonterra Energy Corp. (BNE.TO)</v>
          </cell>
          <cell r="C186" t="str">
            <v>Condensate production reduction</v>
          </cell>
        </row>
        <row r="187">
          <cell r="A187" t="str">
            <v>Crescent Point Energy Corp. (CPG)Capex reduction</v>
          </cell>
          <cell r="B187" t="str">
            <v>Crescent Point Energy Corp. (CPG)</v>
          </cell>
          <cell r="C187" t="str">
            <v>Capex reduction</v>
          </cell>
        </row>
        <row r="188">
          <cell r="A188" t="str">
            <v>Crescent Point Energy Corp. (CPG)Opex reduction</v>
          </cell>
          <cell r="B188" t="str">
            <v>Crescent Point Energy Corp. (CPG)</v>
          </cell>
          <cell r="C188" t="str">
            <v>Opex reduction</v>
          </cell>
        </row>
        <row r="189">
          <cell r="A189" t="str">
            <v>Crescent Point Energy Corp. (CPG)Dividend reduction</v>
          </cell>
          <cell r="B189" t="str">
            <v>Crescent Point Energy Corp. (CPG)</v>
          </cell>
          <cell r="C189" t="str">
            <v>Dividend reduction</v>
          </cell>
        </row>
        <row r="190">
          <cell r="A190" t="str">
            <v>Crescent Point Energy Corp. (CPG)Expected impairment</v>
          </cell>
          <cell r="B190" t="str">
            <v>Crescent Point Energy Corp. (CPG)</v>
          </cell>
          <cell r="C190" t="str">
            <v>Expected impairment</v>
          </cell>
        </row>
        <row r="191">
          <cell r="A191" t="str">
            <v>Crescent Point Energy Corp. (CPG)Oil production reduction</v>
          </cell>
          <cell r="B191" t="str">
            <v>Crescent Point Energy Corp. (CPG)</v>
          </cell>
          <cell r="C191" t="str">
            <v>Oil production reduction</v>
          </cell>
        </row>
        <row r="192">
          <cell r="A192" t="str">
            <v>Crescent Point Energy Corp. (CPG)Gas production reduction</v>
          </cell>
          <cell r="B192" t="str">
            <v>Crescent Point Energy Corp. (CPG)</v>
          </cell>
          <cell r="C192" t="str">
            <v>Gas production reduction</v>
          </cell>
        </row>
        <row r="193">
          <cell r="A193" t="str">
            <v>Crescent Point Energy Corp. (CPG)NGL production reduction</v>
          </cell>
          <cell r="B193" t="str">
            <v>Crescent Point Energy Corp. (CPG)</v>
          </cell>
          <cell r="C193" t="str">
            <v>NGL production reduction</v>
          </cell>
        </row>
        <row r="194">
          <cell r="A194" t="str">
            <v>Crescent Point Energy Corp. (CPG)Condensate production reduction</v>
          </cell>
          <cell r="B194" t="str">
            <v>Crescent Point Energy Corp. (CPG)</v>
          </cell>
          <cell r="C194" t="str">
            <v>Condensate production reduction</v>
          </cell>
        </row>
        <row r="195">
          <cell r="A195" t="str">
            <v>EOG ResourcesCapex reduction</v>
          </cell>
          <cell r="B195" t="str">
            <v>EOG Resources</v>
          </cell>
          <cell r="C195" t="str">
            <v>Capex reduction</v>
          </cell>
        </row>
        <row r="196">
          <cell r="A196" t="str">
            <v>EOG ResourcesOpex reduction</v>
          </cell>
          <cell r="B196" t="str">
            <v>EOG Resources</v>
          </cell>
          <cell r="C196" t="str">
            <v>Opex reduction</v>
          </cell>
        </row>
        <row r="197">
          <cell r="A197" t="str">
            <v>EOG ResourcesDividend reduction</v>
          </cell>
          <cell r="B197" t="str">
            <v>EOG Resources</v>
          </cell>
          <cell r="C197" t="str">
            <v>Dividend reduction</v>
          </cell>
        </row>
        <row r="198">
          <cell r="A198" t="str">
            <v>EOG ResourcesExpected impairment</v>
          </cell>
          <cell r="B198" t="str">
            <v>EOG Resources</v>
          </cell>
          <cell r="C198" t="str">
            <v>Expected impairment</v>
          </cell>
        </row>
        <row r="199">
          <cell r="A199" t="str">
            <v>EOG ResourcesOil production reduction</v>
          </cell>
          <cell r="B199" t="str">
            <v>EOG Resources</v>
          </cell>
          <cell r="C199" t="str">
            <v>Oil production reduction</v>
          </cell>
        </row>
        <row r="200">
          <cell r="A200" t="str">
            <v>EOG ResourcesGas production reduction</v>
          </cell>
          <cell r="B200" t="str">
            <v>EOG Resources</v>
          </cell>
          <cell r="C200" t="str">
            <v>Gas production reduction</v>
          </cell>
        </row>
        <row r="201">
          <cell r="A201" t="str">
            <v>EOG ResourcesNGL production reduction</v>
          </cell>
          <cell r="B201" t="str">
            <v>EOG Resources</v>
          </cell>
          <cell r="C201" t="str">
            <v>NGL production reduction</v>
          </cell>
        </row>
        <row r="202">
          <cell r="A202" t="str">
            <v>EOG ResourcesCondensate production reduction</v>
          </cell>
          <cell r="B202" t="str">
            <v>EOG Resources</v>
          </cell>
          <cell r="C202" t="str">
            <v>Condensate production reduction</v>
          </cell>
        </row>
        <row r="203">
          <cell r="A203" t="str">
            <v>Devon EnergyCapex reduction</v>
          </cell>
          <cell r="B203" t="str">
            <v>Devon Energy</v>
          </cell>
          <cell r="C203" t="str">
            <v>Capex reduction</v>
          </cell>
        </row>
        <row r="204">
          <cell r="A204" t="str">
            <v>Devon EnergyOpex reduction</v>
          </cell>
          <cell r="B204" t="str">
            <v>Devon Energy</v>
          </cell>
          <cell r="C204" t="str">
            <v>Opex reduction</v>
          </cell>
        </row>
        <row r="205">
          <cell r="A205" t="str">
            <v>Devon EnergyDividend reduction</v>
          </cell>
          <cell r="B205" t="str">
            <v>Devon Energy</v>
          </cell>
          <cell r="C205" t="str">
            <v>Dividend reduction</v>
          </cell>
        </row>
        <row r="206">
          <cell r="A206" t="str">
            <v>Devon EnergyExpected impairment</v>
          </cell>
          <cell r="B206" t="str">
            <v>Devon Energy</v>
          </cell>
          <cell r="C206" t="str">
            <v>Expected impairment</v>
          </cell>
        </row>
        <row r="207">
          <cell r="A207" t="str">
            <v>Devon EnergyOil production reduction</v>
          </cell>
          <cell r="B207" t="str">
            <v>Devon Energy</v>
          </cell>
          <cell r="C207" t="str">
            <v>Oil production reduction</v>
          </cell>
        </row>
        <row r="208">
          <cell r="A208" t="str">
            <v>Devon EnergyGas production reduction</v>
          </cell>
          <cell r="B208" t="str">
            <v>Devon Energy</v>
          </cell>
          <cell r="C208" t="str">
            <v>Gas production reduction</v>
          </cell>
        </row>
        <row r="209">
          <cell r="A209" t="str">
            <v>Devon EnergyNGL production reduction</v>
          </cell>
          <cell r="B209" t="str">
            <v>Devon Energy</v>
          </cell>
          <cell r="C209" t="str">
            <v>NGL production reduction</v>
          </cell>
        </row>
        <row r="210">
          <cell r="A210" t="str">
            <v>Devon EnergyCondensate production reduction</v>
          </cell>
          <cell r="B210" t="str">
            <v>Devon Energy</v>
          </cell>
          <cell r="C210" t="str">
            <v>Condensate production reduction</v>
          </cell>
        </row>
        <row r="211">
          <cell r="A211" t="str">
            <v>ApacheCapex reduction</v>
          </cell>
          <cell r="B211" t="str">
            <v>Apache</v>
          </cell>
          <cell r="C211" t="str">
            <v>Capex reduction</v>
          </cell>
        </row>
        <row r="212">
          <cell r="A212" t="str">
            <v>ApacheOpex reduction</v>
          </cell>
          <cell r="B212" t="str">
            <v>Apache</v>
          </cell>
          <cell r="C212" t="str">
            <v>Opex reduction</v>
          </cell>
        </row>
        <row r="213">
          <cell r="A213" t="str">
            <v>ApacheDividend reduction</v>
          </cell>
          <cell r="B213" t="str">
            <v>Apache</v>
          </cell>
          <cell r="C213" t="str">
            <v>Dividend reduction</v>
          </cell>
        </row>
        <row r="214">
          <cell r="A214" t="str">
            <v>ApacheExpected impairment</v>
          </cell>
          <cell r="B214" t="str">
            <v>Apache</v>
          </cell>
          <cell r="C214" t="str">
            <v>Expected impairment</v>
          </cell>
        </row>
        <row r="215">
          <cell r="A215" t="str">
            <v>ApacheOil production reduction</v>
          </cell>
          <cell r="B215" t="str">
            <v>Apache</v>
          </cell>
          <cell r="C215" t="str">
            <v>Oil production reduction</v>
          </cell>
        </row>
        <row r="216">
          <cell r="A216" t="str">
            <v>ApacheGas production reduction</v>
          </cell>
          <cell r="B216" t="str">
            <v>Apache</v>
          </cell>
          <cell r="C216" t="str">
            <v>Gas production reduction</v>
          </cell>
        </row>
        <row r="217">
          <cell r="A217" t="str">
            <v>ApacheNGL production reduction</v>
          </cell>
          <cell r="B217" t="str">
            <v>Apache</v>
          </cell>
          <cell r="C217" t="str">
            <v>NGL production reduction</v>
          </cell>
        </row>
        <row r="218">
          <cell r="A218" t="str">
            <v>ApacheCondensate production reduction</v>
          </cell>
          <cell r="B218" t="str">
            <v>Apache</v>
          </cell>
          <cell r="C218" t="str">
            <v>Condensate production reduction</v>
          </cell>
        </row>
        <row r="219">
          <cell r="A219" t="str">
            <v>Concho ResourcesCapex reduction</v>
          </cell>
          <cell r="B219" t="str">
            <v>Concho Resources</v>
          </cell>
          <cell r="C219" t="str">
            <v>Capex reduction</v>
          </cell>
        </row>
        <row r="220">
          <cell r="A220" t="str">
            <v>Concho ResourcesOpex reduction</v>
          </cell>
          <cell r="B220" t="str">
            <v>Concho Resources</v>
          </cell>
          <cell r="C220" t="str">
            <v>Opex reduction</v>
          </cell>
        </row>
        <row r="221">
          <cell r="A221" t="str">
            <v>Concho ResourcesDividend reduction</v>
          </cell>
          <cell r="B221" t="str">
            <v>Concho Resources</v>
          </cell>
          <cell r="C221" t="str">
            <v>Dividend reduction</v>
          </cell>
        </row>
        <row r="222">
          <cell r="A222" t="str">
            <v>Concho ResourcesExpected impairment</v>
          </cell>
          <cell r="B222" t="str">
            <v>Concho Resources</v>
          </cell>
          <cell r="C222" t="str">
            <v>Expected impairment</v>
          </cell>
        </row>
        <row r="223">
          <cell r="A223" t="str">
            <v>Concho ResourcesOil production reduction</v>
          </cell>
          <cell r="B223" t="str">
            <v>Concho Resources</v>
          </cell>
          <cell r="C223" t="str">
            <v>Oil production reduction</v>
          </cell>
        </row>
        <row r="224">
          <cell r="A224" t="str">
            <v>Concho ResourcesGas production reduction</v>
          </cell>
          <cell r="B224" t="str">
            <v>Concho Resources</v>
          </cell>
          <cell r="C224" t="str">
            <v>Gas production reduction</v>
          </cell>
        </row>
        <row r="225">
          <cell r="A225" t="str">
            <v>Concho ResourcesNGL production reduction</v>
          </cell>
          <cell r="B225" t="str">
            <v>Concho Resources</v>
          </cell>
          <cell r="C225" t="str">
            <v>NGL production reduction</v>
          </cell>
        </row>
        <row r="226">
          <cell r="A226" t="str">
            <v>Concho ResourcesCondensate production reduction</v>
          </cell>
          <cell r="B226" t="str">
            <v>Concho Resources</v>
          </cell>
          <cell r="C226" t="str">
            <v>Condensate production reduction</v>
          </cell>
        </row>
        <row r="227">
          <cell r="A227" t="str">
            <v>Continental ResourcesCapex reduction</v>
          </cell>
          <cell r="B227" t="str">
            <v>Continental Resources</v>
          </cell>
          <cell r="C227" t="str">
            <v>Capex reduction</v>
          </cell>
        </row>
        <row r="228">
          <cell r="A228" t="str">
            <v>Continental ResourcesOpex reduction</v>
          </cell>
          <cell r="B228" t="str">
            <v>Continental Resources</v>
          </cell>
          <cell r="C228" t="str">
            <v>Opex reduction</v>
          </cell>
        </row>
        <row r="229">
          <cell r="A229" t="str">
            <v>Continental ResourcesDividend reduction</v>
          </cell>
          <cell r="B229" t="str">
            <v>Continental Resources</v>
          </cell>
          <cell r="C229" t="str">
            <v>Dividend reduction</v>
          </cell>
        </row>
        <row r="230">
          <cell r="A230" t="str">
            <v>Continental ResourcesExpected impairment</v>
          </cell>
          <cell r="B230" t="str">
            <v>Continental Resources</v>
          </cell>
          <cell r="C230" t="str">
            <v>Expected impairment</v>
          </cell>
        </row>
        <row r="231">
          <cell r="A231" t="str">
            <v>Continental ResourcesOil production reduction</v>
          </cell>
          <cell r="B231" t="str">
            <v>Continental Resources</v>
          </cell>
          <cell r="C231" t="str">
            <v>Oil production reduction</v>
          </cell>
        </row>
        <row r="232">
          <cell r="A232" t="str">
            <v>Continental ResourcesGas production reduction</v>
          </cell>
          <cell r="B232" t="str">
            <v>Continental Resources</v>
          </cell>
          <cell r="C232" t="str">
            <v>Gas production reduction</v>
          </cell>
        </row>
        <row r="233">
          <cell r="A233" t="str">
            <v>Continental ResourcesNGL production reduction</v>
          </cell>
          <cell r="B233" t="str">
            <v>Continental Resources</v>
          </cell>
          <cell r="C233" t="str">
            <v>NGL production reduction</v>
          </cell>
        </row>
        <row r="234">
          <cell r="A234" t="str">
            <v>Continental ResourcesCondensate production reduction</v>
          </cell>
          <cell r="B234" t="str">
            <v>Continental Resources</v>
          </cell>
          <cell r="C234" t="str">
            <v>Condensate production reduction</v>
          </cell>
        </row>
      </sheetData>
      <sheetData sheetId="9"/>
      <sheetData sheetId="10"/>
      <sheetData sheetId="11"/>
      <sheetData sheetId="12"/>
      <sheetData sheetId="13">
        <row r="4">
          <cell r="D4" t="str">
            <v>Variable</v>
          </cell>
          <cell r="E4" t="str">
            <v>Measurement</v>
          </cell>
          <cell r="G4" t="str">
            <v>2019Q4</v>
          </cell>
          <cell r="H4" t="str">
            <v>2020 Q1</v>
          </cell>
          <cell r="I4" t="str">
            <v>2020 Q2</v>
          </cell>
          <cell r="J4" t="str">
            <v>2020 Q3</v>
          </cell>
          <cell r="K4" t="str">
            <v>2020 Q4</v>
          </cell>
          <cell r="L4" t="str">
            <v>2021 Q1</v>
          </cell>
          <cell r="M4" t="str">
            <v>2021 Q2</v>
          </cell>
          <cell r="N4" t="str">
            <v>2021 Q3</v>
          </cell>
          <cell r="O4" t="str">
            <v>2021 Q4</v>
          </cell>
        </row>
        <row r="5">
          <cell r="B5" t="str">
            <v>A3Corporate borrowing rate, end of period</v>
          </cell>
          <cell r="C5" t="str">
            <v>A3</v>
          </cell>
          <cell r="D5" t="str">
            <v>Corporate borrowing rate, end of period</v>
          </cell>
          <cell r="E5" t="str">
            <v>Level</v>
          </cell>
          <cell r="G5">
            <v>3</v>
          </cell>
          <cell r="H5">
            <v>2.8072490000000001</v>
          </cell>
          <cell r="I5">
            <v>4.4609610000000002</v>
          </cell>
          <cell r="J5">
            <v>3.709581</v>
          </cell>
          <cell r="K5">
            <v>3.427848</v>
          </cell>
          <cell r="L5">
            <v>3.2276259999999999</v>
          </cell>
          <cell r="M5">
            <v>3.0509940000000002</v>
          </cell>
          <cell r="N5">
            <v>2.9990350000000001</v>
          </cell>
          <cell r="O5">
            <v>2.9942799999999998</v>
          </cell>
        </row>
        <row r="6">
          <cell r="B6" t="str">
            <v>A3GDP, real, annual growth</v>
          </cell>
          <cell r="C6" t="str">
            <v>A3</v>
          </cell>
          <cell r="D6" t="str">
            <v>GDP, real, annual growth</v>
          </cell>
          <cell r="E6" t="str">
            <v>Level</v>
          </cell>
          <cell r="G6">
            <v>2</v>
          </cell>
          <cell r="H6">
            <v>1.38849</v>
          </cell>
          <cell r="I6">
            <v>-7.0217850000000004</v>
          </cell>
          <cell r="J6">
            <v>-4.4541060000000003</v>
          </cell>
          <cell r="K6">
            <v>0.47456029999999999</v>
          </cell>
          <cell r="L6">
            <v>2.3021340000000001</v>
          </cell>
          <cell r="M6">
            <v>11.77444</v>
          </cell>
          <cell r="N6">
            <v>8.7205300000000001</v>
          </cell>
          <cell r="O6">
            <v>3.1195520000000001</v>
          </cell>
        </row>
        <row r="7">
          <cell r="B7" t="str">
            <v>A3Inflation, consumer price index - % year-on-year</v>
          </cell>
          <cell r="C7" t="str">
            <v>A3</v>
          </cell>
          <cell r="D7" t="str">
            <v>Inflation, consumer price index - % year-on-year</v>
          </cell>
          <cell r="E7" t="str">
            <v>Level</v>
          </cell>
          <cell r="H7">
            <v>2.1908280000000002</v>
          </cell>
          <cell r="I7">
            <v>0.87926389999999999</v>
          </cell>
          <cell r="J7">
            <v>0.57789089999999999</v>
          </cell>
          <cell r="K7">
            <v>0.42549369999999997</v>
          </cell>
          <cell r="L7">
            <v>0.42189359999999998</v>
          </cell>
          <cell r="M7">
            <v>1.543939</v>
          </cell>
          <cell r="N7">
            <v>2.1069529999999999</v>
          </cell>
          <cell r="O7">
            <v>2.4200080000000002</v>
          </cell>
        </row>
        <row r="8">
          <cell r="B8" t="str">
            <v>A3Interest rates  on 30 Year Fixed Rate Mortgages</v>
          </cell>
          <cell r="C8" t="str">
            <v>A3</v>
          </cell>
          <cell r="D8" t="str">
            <v>Interest rates  on 30 Year Fixed Rate Mortgages</v>
          </cell>
          <cell r="E8" t="str">
            <v>Level</v>
          </cell>
          <cell r="H8">
            <v>3.7754150000000002</v>
          </cell>
          <cell r="I8">
            <v>4.5580530000000001</v>
          </cell>
          <cell r="J8">
            <v>3.9764529999999998</v>
          </cell>
          <cell r="K8">
            <v>3.7679930000000001</v>
          </cell>
          <cell r="L8">
            <v>3.428445</v>
          </cell>
          <cell r="M8">
            <v>3.1842760000000001</v>
          </cell>
          <cell r="N8">
            <v>3.2079080000000002</v>
          </cell>
          <cell r="O8">
            <v>3.251627</v>
          </cell>
        </row>
        <row r="9">
          <cell r="B9" t="str">
            <v>A3Interest rate, 10 year government bonds</v>
          </cell>
          <cell r="C9" t="str">
            <v>A3</v>
          </cell>
          <cell r="D9" t="str">
            <v>Interest rate, 10 year government bonds</v>
          </cell>
          <cell r="E9" t="str">
            <v>Level</v>
          </cell>
          <cell r="G9">
            <v>1.8</v>
          </cell>
          <cell r="H9">
            <v>1.370538</v>
          </cell>
          <cell r="I9">
            <v>0.68837700000000002</v>
          </cell>
          <cell r="J9">
            <v>0.7589167</v>
          </cell>
          <cell r="K9">
            <v>1.017954</v>
          </cell>
          <cell r="L9">
            <v>1.201648</v>
          </cell>
          <cell r="M9">
            <v>1.322147</v>
          </cell>
          <cell r="N9">
            <v>1.4422550000000001</v>
          </cell>
          <cell r="O9">
            <v>1.565439</v>
          </cell>
        </row>
        <row r="10">
          <cell r="B10" t="str">
            <v>A3Interest rate, short-term, 3 month t-bill rate</v>
          </cell>
          <cell r="C10" t="str">
            <v>A3</v>
          </cell>
          <cell r="D10" t="str">
            <v>Interest rate, short-term, 3 month t-bill rate</v>
          </cell>
          <cell r="E10" t="str">
            <v>Level</v>
          </cell>
          <cell r="G10">
            <v>1.6</v>
          </cell>
          <cell r="H10">
            <v>1.1200030000000001</v>
          </cell>
          <cell r="I10">
            <v>0.01</v>
          </cell>
          <cell r="J10">
            <v>0.15526570000000001</v>
          </cell>
          <cell r="K10">
            <v>0.1546894</v>
          </cell>
          <cell r="L10">
            <v>0.1590423</v>
          </cell>
          <cell r="M10">
            <v>0.19078020000000001</v>
          </cell>
          <cell r="N10">
            <v>0.4106648</v>
          </cell>
          <cell r="O10">
            <v>0.4720762</v>
          </cell>
        </row>
        <row r="11">
          <cell r="B11" t="str">
            <v>A3Unemployment rate</v>
          </cell>
          <cell r="C11" t="str">
            <v>A3</v>
          </cell>
          <cell r="D11" t="str">
            <v>Unemployment rate</v>
          </cell>
          <cell r="E11" t="str">
            <v>Level</v>
          </cell>
          <cell r="G11">
            <v>3.5</v>
          </cell>
          <cell r="H11">
            <v>3.7078880000000001</v>
          </cell>
          <cell r="I11">
            <v>6.9141529999999998</v>
          </cell>
          <cell r="J11">
            <v>5.9350290000000001</v>
          </cell>
          <cell r="K11">
            <v>4.0995119999999998</v>
          </cell>
          <cell r="L11">
            <v>3.6937950000000002</v>
          </cell>
          <cell r="M11">
            <v>3.5584099999999999</v>
          </cell>
          <cell r="N11">
            <v>3.4944510000000002</v>
          </cell>
          <cell r="O11">
            <v>3.5079220000000002</v>
          </cell>
        </row>
        <row r="12">
          <cell r="B12" t="str">
            <v>A3WTI</v>
          </cell>
          <cell r="C12" t="str">
            <v>A3</v>
          </cell>
          <cell r="D12" t="str">
            <v>WTI</v>
          </cell>
          <cell r="E12" t="str">
            <v>Level</v>
          </cell>
          <cell r="H12">
            <v>47.436461538461543</v>
          </cell>
          <cell r="I12">
            <v>52.19656410256411</v>
          </cell>
          <cell r="J12">
            <v>56.956666666666671</v>
          </cell>
          <cell r="K12">
            <v>56.956666666666671</v>
          </cell>
        </row>
        <row r="13">
          <cell r="B13" t="str">
            <v>A3Airline Idiosyncratic impact %</v>
          </cell>
          <cell r="C13" t="str">
            <v>A3</v>
          </cell>
          <cell r="D13" t="str">
            <v>Airline Idiosyncratic impact %</v>
          </cell>
          <cell r="H13">
            <v>0.5</v>
          </cell>
          <cell r="I13">
            <v>0.5</v>
          </cell>
          <cell r="J13">
            <v>0.25</v>
          </cell>
          <cell r="K13">
            <v>0</v>
          </cell>
        </row>
        <row r="14">
          <cell r="B14" t="str">
            <v>A3BBB yield</v>
          </cell>
          <cell r="C14" t="str">
            <v>A3</v>
          </cell>
          <cell r="D14" t="str">
            <v>BBB yield</v>
          </cell>
          <cell r="G14">
            <v>3.14</v>
          </cell>
          <cell r="H14">
            <v>3.14</v>
          </cell>
          <cell r="I14">
            <v>3.14</v>
          </cell>
          <cell r="J14">
            <v>3.14</v>
          </cell>
          <cell r="K14">
            <v>3.14</v>
          </cell>
        </row>
        <row r="15">
          <cell r="B15" t="str">
            <v>A3CPI</v>
          </cell>
          <cell r="C15" t="str">
            <v>A3</v>
          </cell>
          <cell r="D15" t="str">
            <v>CPI</v>
          </cell>
          <cell r="G15">
            <v>255.65100000000001</v>
          </cell>
          <cell r="H15">
            <v>261.25187369027998</v>
          </cell>
          <cell r="I15">
            <v>257.898846952989</v>
          </cell>
          <cell r="J15">
            <v>257.12838386475903</v>
          </cell>
          <cell r="K15">
            <v>256.73877889898699</v>
          </cell>
          <cell r="L15">
            <v>256.72957520733604</v>
          </cell>
          <cell r="M15">
            <v>259.59809549289002</v>
          </cell>
          <cell r="N15">
            <v>261.03744641403</v>
          </cell>
          <cell r="O15">
            <v>261.83777465207999</v>
          </cell>
        </row>
        <row r="16">
          <cell r="B16" t="str">
            <v>A35Y treasury</v>
          </cell>
          <cell r="C16" t="str">
            <v>A3</v>
          </cell>
          <cell r="D16" t="str">
            <v>5Y treasury</v>
          </cell>
          <cell r="G16">
            <v>1.6</v>
          </cell>
          <cell r="H16">
            <v>1.2738508716324288</v>
          </cell>
          <cell r="I16">
            <v>0.48308375779783241</v>
          </cell>
          <cell r="J16">
            <v>0.57259237731112012</v>
          </cell>
          <cell r="K16">
            <v>0.76572772239643361</v>
          </cell>
          <cell r="L16">
            <v>0.90389664556474869</v>
          </cell>
          <cell r="M16">
            <v>1.0018639676773884</v>
          </cell>
          <cell r="N16">
            <v>1.147299889614994</v>
          </cell>
          <cell r="O16">
            <v>1.2548031429200481</v>
          </cell>
        </row>
        <row r="17">
          <cell r="B17" t="str">
            <v>A3GDP</v>
          </cell>
          <cell r="C17" t="str">
            <v>A3</v>
          </cell>
          <cell r="D17" t="str">
            <v>GDP</v>
          </cell>
          <cell r="E17" t="str">
            <v>Level</v>
          </cell>
          <cell r="G17">
            <v>4805.125</v>
          </cell>
          <cell r="H17">
            <v>4797.5259999999998</v>
          </cell>
          <cell r="I17">
            <v>4421.5559999999996</v>
          </cell>
          <cell r="J17">
            <v>4567.3559999999998</v>
          </cell>
          <cell r="K17">
            <v>4827.9279999999999</v>
          </cell>
          <cell r="L17">
            <v>4907.9709999999995</v>
          </cell>
          <cell r="M17">
            <v>4942.1689999999999</v>
          </cell>
          <cell r="N17">
            <v>4965.6540000000005</v>
          </cell>
          <cell r="O17">
            <v>4978.5379999999996</v>
          </cell>
        </row>
        <row r="18">
          <cell r="B18" t="str">
            <v>A3GDP growth</v>
          </cell>
          <cell r="C18" t="str">
            <v>A3</v>
          </cell>
          <cell r="D18" t="str">
            <v>GDP growth</v>
          </cell>
          <cell r="G18">
            <v>5.1984456961158302E-3</v>
          </cell>
          <cell r="H18">
            <v>-1.5814364870840869E-3</v>
          </cell>
          <cell r="I18">
            <v>-7.8367475236194695E-2</v>
          </cell>
          <cell r="J18">
            <v>3.2974817010120505E-2</v>
          </cell>
          <cell r="K18">
            <v>5.705095026531759E-2</v>
          </cell>
          <cell r="L18">
            <v>1.6579161909622497E-2</v>
          </cell>
          <cell r="M18">
            <v>6.9678488320326082E-3</v>
          </cell>
          <cell r="N18">
            <v>4.7519621445564209E-3</v>
          </cell>
          <cell r="O18">
            <v>2.5946229842028767E-3</v>
          </cell>
        </row>
        <row r="19">
          <cell r="B19" t="str">
            <v>A3Oil</v>
          </cell>
          <cell r="C19" t="str">
            <v>A3</v>
          </cell>
          <cell r="D19" t="str">
            <v>Oil</v>
          </cell>
          <cell r="E19">
            <v>5</v>
          </cell>
          <cell r="G19">
            <v>57.03</v>
          </cell>
          <cell r="H19">
            <v>50.81859</v>
          </cell>
          <cell r="I19">
            <v>20</v>
          </cell>
          <cell r="J19">
            <v>22</v>
          </cell>
          <cell r="K19">
            <v>24</v>
          </cell>
          <cell r="L19">
            <v>26</v>
          </cell>
          <cell r="M19">
            <v>28</v>
          </cell>
          <cell r="N19">
            <v>30</v>
          </cell>
          <cell r="O19">
            <v>30</v>
          </cell>
        </row>
        <row r="20">
          <cell r="B20" t="str">
            <v>A3Condensate</v>
          </cell>
          <cell r="C20" t="str">
            <v>A3</v>
          </cell>
          <cell r="D20" t="str">
            <v>Condensate</v>
          </cell>
          <cell r="G20">
            <v>34.217999999999996</v>
          </cell>
          <cell r="H20">
            <v>30.491153999999998</v>
          </cell>
          <cell r="I20">
            <v>12</v>
          </cell>
          <cell r="J20">
            <v>13.2</v>
          </cell>
          <cell r="K20">
            <v>14.399999999999999</v>
          </cell>
          <cell r="L20">
            <v>15.6</v>
          </cell>
          <cell r="M20">
            <v>16.8</v>
          </cell>
          <cell r="N20">
            <v>18</v>
          </cell>
          <cell r="O20">
            <v>18</v>
          </cell>
        </row>
        <row r="21">
          <cell r="B21" t="str">
            <v>A3Gas</v>
          </cell>
          <cell r="C21" t="str">
            <v>A3</v>
          </cell>
          <cell r="D21" t="str">
            <v>Gas</v>
          </cell>
          <cell r="G21">
            <v>15.78</v>
          </cell>
          <cell r="H21">
            <v>11.20355</v>
          </cell>
          <cell r="I21">
            <v>12.8748</v>
          </cell>
          <cell r="J21">
            <v>13.0944</v>
          </cell>
          <cell r="K21">
            <v>13.314000000000002</v>
          </cell>
          <cell r="L21">
            <v>13.533600000000002</v>
          </cell>
          <cell r="M21">
            <v>13.753200000000001</v>
          </cell>
          <cell r="N21">
            <v>13.972800000000001</v>
          </cell>
          <cell r="O21">
            <v>13.972800000000001</v>
          </cell>
        </row>
        <row r="22">
          <cell r="B22" t="str">
            <v>A3NGL</v>
          </cell>
          <cell r="C22" t="str">
            <v>A3</v>
          </cell>
          <cell r="D22" t="str">
            <v>NGL</v>
          </cell>
          <cell r="G22">
            <v>31.928999999999998</v>
          </cell>
          <cell r="H22">
            <v>17.26445</v>
          </cell>
          <cell r="I22">
            <v>8.4505925000000008</v>
          </cell>
          <cell r="J22">
            <v>9.3239265000000007</v>
          </cell>
          <cell r="K22">
            <v>10.197260500000001</v>
          </cell>
          <cell r="L22">
            <v>11.0705945</v>
          </cell>
          <cell r="M22">
            <v>11.9439285</v>
          </cell>
          <cell r="N22">
            <v>12.8172625</v>
          </cell>
          <cell r="O22">
            <v>12.8172625</v>
          </cell>
        </row>
        <row r="24">
          <cell r="G24" t="str">
            <v>Actuals</v>
          </cell>
          <cell r="H24" t="str">
            <v>Scenario A1</v>
          </cell>
        </row>
        <row r="25">
          <cell r="D25" t="str">
            <v>Variable</v>
          </cell>
          <cell r="E25" t="str">
            <v>Measurement</v>
          </cell>
          <cell r="G25" t="str">
            <v>2019Q4</v>
          </cell>
          <cell r="H25" t="str">
            <v>2020 Q1</v>
          </cell>
          <cell r="I25" t="str">
            <v>2020 Q2</v>
          </cell>
          <cell r="J25" t="str">
            <v>2020 Q3</v>
          </cell>
          <cell r="K25" t="str">
            <v>2020 Q4</v>
          </cell>
          <cell r="L25" t="str">
            <v>2021 Q1</v>
          </cell>
          <cell r="M25" t="str">
            <v>2021 Q2</v>
          </cell>
          <cell r="N25" t="str">
            <v>2021 Q3</v>
          </cell>
          <cell r="O25" t="str">
            <v>2021 Q4</v>
          </cell>
        </row>
        <row r="26">
          <cell r="B26" t="str">
            <v>A1Corporate borrowing rate, end of period</v>
          </cell>
          <cell r="C26" t="str">
            <v>A1</v>
          </cell>
          <cell r="D26" t="str">
            <v>Corporate borrowing rate, end of period</v>
          </cell>
          <cell r="E26" t="str">
            <v>Level</v>
          </cell>
          <cell r="G26">
            <v>3</v>
          </cell>
          <cell r="H26">
            <v>2.803798</v>
          </cell>
          <cell r="I26">
            <v>4.5846619999999998</v>
          </cell>
          <cell r="J26">
            <v>4.2382470000000003</v>
          </cell>
          <cell r="K26">
            <v>4.3673339999999996</v>
          </cell>
          <cell r="L26">
            <v>4.340687</v>
          </cell>
          <cell r="M26">
            <v>4.0711510000000004</v>
          </cell>
          <cell r="N26">
            <v>3.4391289999999999</v>
          </cell>
          <cell r="O26">
            <v>2.7993790000000001</v>
          </cell>
        </row>
        <row r="27">
          <cell r="B27" t="str">
            <v>A1GDP, real, annual growth</v>
          </cell>
          <cell r="C27" t="str">
            <v>A1</v>
          </cell>
          <cell r="D27" t="str">
            <v>GDP, real, annual growth</v>
          </cell>
          <cell r="E27" t="str">
            <v>Level</v>
          </cell>
          <cell r="G27">
            <v>2</v>
          </cell>
          <cell r="H27">
            <v>1.4334560000000001</v>
          </cell>
          <cell r="I27">
            <v>-9.7118490000000008</v>
          </cell>
          <cell r="J27">
            <v>-12.21716</v>
          </cell>
          <cell r="K27">
            <v>-12.80545</v>
          </cell>
          <cell r="L27">
            <v>-12.514950000000001</v>
          </cell>
          <cell r="M27">
            <v>-1.6500170000000001</v>
          </cell>
          <cell r="N27">
            <v>1.770532</v>
          </cell>
          <cell r="O27">
            <v>3.4220100000000002</v>
          </cell>
        </row>
        <row r="28">
          <cell r="B28" t="str">
            <v>A1Inflation, consumer price index - % year-on-year</v>
          </cell>
          <cell r="C28" t="str">
            <v>A1</v>
          </cell>
          <cell r="D28" t="str">
            <v>Inflation, consumer price index - % year-on-year</v>
          </cell>
          <cell r="E28" t="str">
            <v>Level</v>
          </cell>
          <cell r="H28">
            <v>2.2000310000000001</v>
          </cell>
          <cell r="I28">
            <v>0.80821509999999996</v>
          </cell>
          <cell r="J28">
            <v>0.15575890000000001</v>
          </cell>
          <cell r="K28">
            <v>-0.74693560000000003</v>
          </cell>
          <cell r="L28">
            <v>-1.821035</v>
          </cell>
          <cell r="M28">
            <v>-1.771164</v>
          </cell>
          <cell r="N28">
            <v>-1.7860590000000001</v>
          </cell>
          <cell r="O28">
            <v>-1.3189789999999999</v>
          </cell>
        </row>
        <row r="29">
          <cell r="B29" t="str">
            <v>A1Interest rates  on 30 Year Fixed Rate Mortgages</v>
          </cell>
          <cell r="C29" t="str">
            <v>A1</v>
          </cell>
          <cell r="D29" t="str">
            <v>Interest rates  on 30 Year Fixed Rate Mortgages</v>
          </cell>
          <cell r="E29" t="str">
            <v>Level</v>
          </cell>
          <cell r="H29">
            <v>3.7728269999999999</v>
          </cell>
          <cell r="I29">
            <v>4.6386469999999997</v>
          </cell>
          <cell r="J29">
            <v>4.3616970000000004</v>
          </cell>
          <cell r="K29">
            <v>4.4614960000000004</v>
          </cell>
          <cell r="L29">
            <v>4.2510409999999998</v>
          </cell>
          <cell r="M29">
            <v>3.9292600000000002</v>
          </cell>
          <cell r="N29">
            <v>3.4628730000000001</v>
          </cell>
          <cell r="O29">
            <v>3.0149910000000002</v>
          </cell>
        </row>
        <row r="30">
          <cell r="B30" t="str">
            <v>A1Interest rate, 10 year government bonds</v>
          </cell>
          <cell r="C30" t="str">
            <v>A1</v>
          </cell>
          <cell r="D30" t="str">
            <v>Interest rate, 10 year government bonds</v>
          </cell>
          <cell r="E30" t="str">
            <v>Level</v>
          </cell>
          <cell r="G30">
            <v>1.8</v>
          </cell>
          <cell r="H30">
            <v>1.3700019999999999</v>
          </cell>
          <cell r="I30">
            <v>0.71799219999999997</v>
          </cell>
          <cell r="J30">
            <v>0.80514859999999999</v>
          </cell>
          <cell r="K30">
            <v>1.0393300000000001</v>
          </cell>
          <cell r="L30">
            <v>1.1264890000000001</v>
          </cell>
          <cell r="M30">
            <v>1.21099</v>
          </cell>
          <cell r="N30">
            <v>1.193308</v>
          </cell>
          <cell r="O30">
            <v>1.1811510000000001</v>
          </cell>
        </row>
        <row r="31">
          <cell r="B31" t="str">
            <v>A1Interest rate, short-term, 3 month t-bill rate</v>
          </cell>
          <cell r="C31" t="str">
            <v>A1</v>
          </cell>
          <cell r="D31" t="str">
            <v>Interest rate, short-term, 3 month t-bill rate</v>
          </cell>
          <cell r="E31" t="str">
            <v>Level</v>
          </cell>
          <cell r="G31">
            <v>1.6</v>
          </cell>
          <cell r="H31">
            <v>1.1200030000000001</v>
          </cell>
          <cell r="I31">
            <v>0.01</v>
          </cell>
          <cell r="J31">
            <v>0.11024200000000001</v>
          </cell>
          <cell r="K31">
            <v>0.11024200000000001</v>
          </cell>
          <cell r="L31">
            <v>0.11024200000000001</v>
          </cell>
          <cell r="M31">
            <v>0.11024200000000001</v>
          </cell>
          <cell r="N31">
            <v>0.11024200000000001</v>
          </cell>
          <cell r="O31">
            <v>0.11024200000000001</v>
          </cell>
        </row>
        <row r="32">
          <cell r="B32" t="str">
            <v>A1Unemployment rate</v>
          </cell>
          <cell r="C32" t="str">
            <v>A1</v>
          </cell>
          <cell r="D32" t="str">
            <v>Unemployment rate</v>
          </cell>
          <cell r="E32" t="str">
            <v>Level</v>
          </cell>
          <cell r="G32">
            <v>3.5</v>
          </cell>
          <cell r="H32">
            <v>3.7000030000000002</v>
          </cell>
          <cell r="I32">
            <v>7.4189639999999999</v>
          </cell>
          <cell r="J32">
            <v>9.0090280000000007</v>
          </cell>
          <cell r="K32">
            <v>9.3175120000000007</v>
          </cell>
          <cell r="L32">
            <v>9.5537449999999993</v>
          </cell>
          <cell r="M32">
            <v>9.4232449999999996</v>
          </cell>
          <cell r="N32">
            <v>9.0712379999999992</v>
          </cell>
          <cell r="O32">
            <v>8.1723210000000002</v>
          </cell>
        </row>
        <row r="33">
          <cell r="B33" t="str">
            <v>A1WTI</v>
          </cell>
          <cell r="C33" t="str">
            <v>A1</v>
          </cell>
          <cell r="D33" t="str">
            <v>WTI</v>
          </cell>
          <cell r="E33" t="str">
            <v>Level</v>
          </cell>
          <cell r="H33">
            <v>47.436461538461543</v>
          </cell>
          <cell r="I33">
            <v>44.088333333333338</v>
          </cell>
          <cell r="J33">
            <v>50.522500000000008</v>
          </cell>
          <cell r="K33">
            <v>57</v>
          </cell>
        </row>
        <row r="34">
          <cell r="B34" t="str">
            <v>A1Airline Idiosyncratic impact %</v>
          </cell>
          <cell r="C34" t="str">
            <v>A1</v>
          </cell>
          <cell r="D34" t="str">
            <v>Airline Idiosyncratic impact %</v>
          </cell>
          <cell r="H34">
            <v>2</v>
          </cell>
          <cell r="I34">
            <v>3</v>
          </cell>
          <cell r="J34">
            <v>3</v>
          </cell>
          <cell r="K34">
            <v>2</v>
          </cell>
        </row>
        <row r="35">
          <cell r="B35" t="str">
            <v>A1BBB yield</v>
          </cell>
          <cell r="C35" t="str">
            <v>A1</v>
          </cell>
          <cell r="D35" t="str">
            <v>BBB yield</v>
          </cell>
          <cell r="G35">
            <v>3.14</v>
          </cell>
          <cell r="H35">
            <v>3.14</v>
          </cell>
          <cell r="I35">
            <v>3.14</v>
          </cell>
          <cell r="J35">
            <v>3.14</v>
          </cell>
          <cell r="K35">
            <v>3.14</v>
          </cell>
        </row>
        <row r="36">
          <cell r="B36" t="str">
            <v>A1CPI</v>
          </cell>
          <cell r="C36" t="str">
            <v>A1</v>
          </cell>
          <cell r="D36" t="str">
            <v>CPI</v>
          </cell>
          <cell r="G36">
            <v>255.65100000000001</v>
          </cell>
          <cell r="H36">
            <v>261.27540125180997</v>
          </cell>
          <cell r="I36">
            <v>257.717209985301</v>
          </cell>
          <cell r="J36">
            <v>256.04919918543897</v>
          </cell>
          <cell r="K36">
            <v>253.74145166924401</v>
          </cell>
          <cell r="L36">
            <v>250.99550581214999</v>
          </cell>
          <cell r="M36">
            <v>251.12300152236</v>
          </cell>
          <cell r="N36">
            <v>251.08492230591003</v>
          </cell>
          <cell r="O36">
            <v>252.27901699671003</v>
          </cell>
        </row>
        <row r="37">
          <cell r="B37" t="str">
            <v>A15Y treasury</v>
          </cell>
          <cell r="C37" t="str">
            <v>A1</v>
          </cell>
          <cell r="D37" t="str">
            <v>5Y treasury</v>
          </cell>
          <cell r="G37">
            <v>1.6</v>
          </cell>
          <cell r="H37">
            <v>1.2734509332556805</v>
          </cell>
          <cell r="I37">
            <v>0.50518124849758994</v>
          </cell>
          <cell r="J37">
            <v>0.59565937979838313</v>
          </cell>
          <cell r="K37">
            <v>0.77039469506068792</v>
          </cell>
          <cell r="L37">
            <v>0.83542870434984229</v>
          </cell>
          <cell r="M37">
            <v>0.89847943713639156</v>
          </cell>
          <cell r="N37">
            <v>0.88528594762583235</v>
          </cell>
          <cell r="O37">
            <v>0.87621495724126786</v>
          </cell>
        </row>
        <row r="38">
          <cell r="B38" t="str">
            <v>A1GDP</v>
          </cell>
          <cell r="C38" t="str">
            <v>A1</v>
          </cell>
          <cell r="D38" t="str">
            <v>GDP</v>
          </cell>
          <cell r="E38" t="str">
            <v>Level</v>
          </cell>
          <cell r="G38">
            <v>4805.125</v>
          </cell>
          <cell r="H38">
            <v>4799.6540000000005</v>
          </cell>
          <cell r="I38">
            <v>4293.63</v>
          </cell>
          <cell r="J38">
            <v>4196.2610000000004</v>
          </cell>
          <cell r="K38">
            <v>4189.8069999999998</v>
          </cell>
          <cell r="L38">
            <v>4198.9790000000003</v>
          </cell>
          <cell r="M38">
            <v>4222.7849999999999</v>
          </cell>
          <cell r="N38">
            <v>4270.558</v>
          </cell>
          <cell r="O38">
            <v>4333.183</v>
          </cell>
        </row>
        <row r="39">
          <cell r="B39" t="str">
            <v>A1GDP growth</v>
          </cell>
          <cell r="C39" t="str">
            <v>A1</v>
          </cell>
          <cell r="D39" t="str">
            <v>GDP growth</v>
          </cell>
          <cell r="G39">
            <v>5.1984456961158302E-3</v>
          </cell>
          <cell r="H39">
            <v>-1.1385759995836686E-3</v>
          </cell>
          <cell r="I39">
            <v>-0.1054292663596168</v>
          </cell>
          <cell r="J39">
            <v>-2.2677547902357653E-2</v>
          </cell>
          <cell r="K39">
            <v>-1.5380358848032794E-3</v>
          </cell>
          <cell r="L39">
            <v>2.1891223151806471E-3</v>
          </cell>
          <cell r="M39">
            <v>5.6694734600957197E-3</v>
          </cell>
          <cell r="N39">
            <v>1.131314997093158E-2</v>
          </cell>
          <cell r="O39">
            <v>1.4664360020400169E-2</v>
          </cell>
        </row>
        <row r="40">
          <cell r="B40" t="str">
            <v>A1Oil</v>
          </cell>
          <cell r="C40" t="str">
            <v>A1</v>
          </cell>
          <cell r="D40" t="str">
            <v>Oil</v>
          </cell>
          <cell r="E40">
            <v>5</v>
          </cell>
          <cell r="G40">
            <v>56.956666666666671</v>
          </cell>
          <cell r="H40">
            <v>50.81859</v>
          </cell>
          <cell r="I40">
            <v>15</v>
          </cell>
          <cell r="J40">
            <v>17</v>
          </cell>
          <cell r="K40">
            <v>19</v>
          </cell>
          <cell r="L40">
            <v>21</v>
          </cell>
          <cell r="M40">
            <v>23</v>
          </cell>
          <cell r="N40">
            <v>25</v>
          </cell>
          <cell r="O40">
            <v>25</v>
          </cell>
        </row>
        <row r="41">
          <cell r="B41" t="str">
            <v>A1Condensate</v>
          </cell>
          <cell r="C41" t="str">
            <v>A1</v>
          </cell>
          <cell r="D41" t="str">
            <v>Condensate</v>
          </cell>
          <cell r="G41">
            <v>34.173999999999999</v>
          </cell>
          <cell r="H41">
            <v>30.491153999999998</v>
          </cell>
          <cell r="I41">
            <v>9</v>
          </cell>
          <cell r="J41">
            <v>10.199999999999999</v>
          </cell>
          <cell r="K41">
            <v>11.4</v>
          </cell>
          <cell r="L41">
            <v>12.6</v>
          </cell>
          <cell r="M41">
            <v>13.799999999999999</v>
          </cell>
          <cell r="N41">
            <v>15</v>
          </cell>
          <cell r="O41">
            <v>15</v>
          </cell>
        </row>
        <row r="42">
          <cell r="B42" t="str">
            <v>A1Gas</v>
          </cell>
          <cell r="C42" t="str">
            <v>A1</v>
          </cell>
          <cell r="D42" t="str">
            <v>Gas</v>
          </cell>
          <cell r="G42">
            <v>14.34</v>
          </cell>
          <cell r="H42">
            <v>11.20355</v>
          </cell>
          <cell r="I42">
            <v>12.325800000000001</v>
          </cell>
          <cell r="J42">
            <v>12.545400000000001</v>
          </cell>
          <cell r="K42">
            <v>12.765000000000001</v>
          </cell>
          <cell r="L42">
            <v>12.9846</v>
          </cell>
          <cell r="M42">
            <v>13.2042</v>
          </cell>
          <cell r="N42">
            <v>13.423800000000002</v>
          </cell>
          <cell r="O42">
            <v>13.423800000000002</v>
          </cell>
        </row>
        <row r="43">
          <cell r="B43" t="str">
            <v>A1NGL</v>
          </cell>
          <cell r="C43" t="str">
            <v>A1</v>
          </cell>
          <cell r="D43" t="str">
            <v>NGL</v>
          </cell>
          <cell r="G43">
            <v>20.073200000000003</v>
          </cell>
          <cell r="H43">
            <v>17.26445</v>
          </cell>
          <cell r="I43">
            <v>6.2672575000000004</v>
          </cell>
          <cell r="J43">
            <v>7.1405915000000002</v>
          </cell>
          <cell r="K43">
            <v>8.0139254999999991</v>
          </cell>
          <cell r="L43">
            <v>8.8872595000000008</v>
          </cell>
          <cell r="M43">
            <v>9.7605935000000006</v>
          </cell>
          <cell r="N43">
            <v>10.6339275</v>
          </cell>
          <cell r="O43">
            <v>10.6339275</v>
          </cell>
        </row>
      </sheetData>
      <sheetData sheetId="14"/>
      <sheetData sheetId="15"/>
      <sheetData sheetId="16"/>
      <sheetData sheetId="17">
        <row r="3">
          <cell r="B3" t="str">
            <v>Operator</v>
          </cell>
          <cell r="K3" t="str">
            <v>Production (kboe/d)</v>
          </cell>
          <cell r="L3" t="str">
            <v>Production (kboe/d)</v>
          </cell>
          <cell r="M3" t="str">
            <v>Production (kboe/d)</v>
          </cell>
          <cell r="N3" t="str">
            <v>Production (kboe/d)</v>
          </cell>
          <cell r="O3" t="str">
            <v>Production (kboe/d)</v>
          </cell>
          <cell r="P3" t="str">
            <v>Production (kboe/d)</v>
          </cell>
          <cell r="Q3" t="str">
            <v>Production (kboe/d)</v>
          </cell>
          <cell r="R3" t="str">
            <v>Production (kboe/d)</v>
          </cell>
        </row>
        <row r="4">
          <cell r="B4" t="str">
            <v>ExxonMobil</v>
          </cell>
          <cell r="K4">
            <v>0</v>
          </cell>
          <cell r="L4">
            <v>167.79939999999999</v>
          </cell>
          <cell r="M4">
            <v>66.555049999999994</v>
          </cell>
          <cell r="N4">
            <v>635.375</v>
          </cell>
          <cell r="P4">
            <v>167.49690000000001</v>
          </cell>
          <cell r="Q4">
            <v>63.45044</v>
          </cell>
          <cell r="R4">
            <v>637.05989999999997</v>
          </cell>
        </row>
        <row r="5">
          <cell r="B5" t="str">
            <v>ExxonMobil</v>
          </cell>
          <cell r="K5">
            <v>194.70869999999999</v>
          </cell>
          <cell r="L5">
            <v>0</v>
          </cell>
          <cell r="M5">
            <v>0</v>
          </cell>
          <cell r="N5">
            <v>0</v>
          </cell>
          <cell r="O5">
            <v>198.3776</v>
          </cell>
        </row>
        <row r="6">
          <cell r="B6" t="str">
            <v>ExxonMobil</v>
          </cell>
          <cell r="K6">
            <v>0</v>
          </cell>
          <cell r="L6">
            <v>0</v>
          </cell>
          <cell r="M6">
            <v>0</v>
          </cell>
          <cell r="N6">
            <v>-2.0902449999999998E-5</v>
          </cell>
          <cell r="R6">
            <v>-1.5676840000000002E-5</v>
          </cell>
        </row>
        <row r="7">
          <cell r="B7" t="str">
            <v>ExxonMobil</v>
          </cell>
          <cell r="K7">
            <v>318.27</v>
          </cell>
          <cell r="L7">
            <v>0.1242861</v>
          </cell>
          <cell r="M7">
            <v>4.599691</v>
          </cell>
          <cell r="N7">
            <v>33.892539999999997</v>
          </cell>
          <cell r="O7">
            <v>277.75189999999998</v>
          </cell>
          <cell r="P7">
            <v>0.1240057</v>
          </cell>
          <cell r="Q7">
            <v>5.0905199999999997</v>
          </cell>
          <cell r="R7">
            <v>35.180399999999999</v>
          </cell>
        </row>
        <row r="8">
          <cell r="B8" t="str">
            <v>ExxonMobil</v>
          </cell>
          <cell r="K8">
            <v>133.69030000000001</v>
          </cell>
          <cell r="L8">
            <v>0</v>
          </cell>
          <cell r="M8">
            <v>35.066969999999998</v>
          </cell>
          <cell r="N8">
            <v>24.427409999999998</v>
          </cell>
          <cell r="O8">
            <v>148.38470000000001</v>
          </cell>
          <cell r="Q8">
            <v>44.291739999999997</v>
          </cell>
          <cell r="R8">
            <v>27.261320000000001</v>
          </cell>
        </row>
        <row r="9">
          <cell r="B9" t="str">
            <v>ExxonMobil</v>
          </cell>
          <cell r="K9">
            <v>58.967399999999998</v>
          </cell>
          <cell r="L9">
            <v>9.6476699999999999E-2</v>
          </cell>
          <cell r="M9">
            <v>22.510819999999999</v>
          </cell>
          <cell r="N9">
            <v>19.506599999999999</v>
          </cell>
          <cell r="O9">
            <v>111.6681</v>
          </cell>
          <cell r="P9">
            <v>7.6408219999999999E-2</v>
          </cell>
          <cell r="Q9">
            <v>45.353789999999996</v>
          </cell>
          <cell r="R9">
            <v>28.127649999999999</v>
          </cell>
        </row>
        <row r="10">
          <cell r="B10" t="str">
            <v>ExxonMobil</v>
          </cell>
          <cell r="K10">
            <v>36.757399999999997</v>
          </cell>
          <cell r="L10">
            <v>0</v>
          </cell>
          <cell r="M10">
            <v>4.6172279999999999</v>
          </cell>
          <cell r="N10">
            <v>8.6921149999999994</v>
          </cell>
          <cell r="O10">
            <v>17.604579999999999</v>
          </cell>
          <cell r="Q10">
            <v>3.1116259999999998</v>
          </cell>
          <cell r="R10">
            <v>7.9053009999999997</v>
          </cell>
        </row>
        <row r="11">
          <cell r="B11" t="str">
            <v>ExxonMobil</v>
          </cell>
          <cell r="K11">
            <v>50.584269999999997</v>
          </cell>
          <cell r="L11">
            <v>0</v>
          </cell>
          <cell r="M11">
            <v>0</v>
          </cell>
          <cell r="N11">
            <v>8.6813269999999996</v>
          </cell>
          <cell r="O11">
            <v>54.805190000000003</v>
          </cell>
          <cell r="R11">
            <v>10.675549999999999</v>
          </cell>
        </row>
        <row r="12">
          <cell r="B12" t="str">
            <v>ExxonMobil</v>
          </cell>
          <cell r="K12">
            <v>162.83080000000001</v>
          </cell>
          <cell r="L12">
            <v>0</v>
          </cell>
          <cell r="M12">
            <v>7.0980540000000003</v>
          </cell>
          <cell r="N12">
            <v>33.904110000000003</v>
          </cell>
          <cell r="O12">
            <v>155.6164</v>
          </cell>
          <cell r="Q12">
            <v>6.8082190000000002</v>
          </cell>
          <cell r="R12">
            <v>35.616439999999997</v>
          </cell>
        </row>
        <row r="13">
          <cell r="B13" t="str">
            <v>ExxonMobil</v>
          </cell>
          <cell r="K13">
            <v>104.4521</v>
          </cell>
          <cell r="L13">
            <v>0</v>
          </cell>
          <cell r="M13">
            <v>1.3974749999999999E-2</v>
          </cell>
          <cell r="N13">
            <v>0.65419720000000003</v>
          </cell>
          <cell r="O13">
            <v>106.79940000000001</v>
          </cell>
          <cell r="Q13">
            <v>4.9038629999999996E-3</v>
          </cell>
          <cell r="R13">
            <v>0</v>
          </cell>
        </row>
        <row r="14">
          <cell r="B14" t="str">
            <v>ExxonMobil</v>
          </cell>
          <cell r="K14">
            <v>41.673079999999999</v>
          </cell>
          <cell r="L14">
            <v>0</v>
          </cell>
          <cell r="M14">
            <v>0</v>
          </cell>
          <cell r="N14">
            <v>0</v>
          </cell>
          <cell r="O14">
            <v>36.870269999999998</v>
          </cell>
        </row>
        <row r="15">
          <cell r="B15" t="str">
            <v>ExxonMobil</v>
          </cell>
          <cell r="K15">
            <v>81.178529999999995</v>
          </cell>
          <cell r="L15">
            <v>2.958904</v>
          </cell>
          <cell r="M15">
            <v>1.1390670000000001</v>
          </cell>
          <cell r="N15">
            <v>3.9489879999999999</v>
          </cell>
          <cell r="O15">
            <v>84.148439999999994</v>
          </cell>
          <cell r="P15">
            <v>1.00793</v>
          </cell>
          <cell r="Q15">
            <v>0.37616620000000001</v>
          </cell>
          <cell r="R15">
            <v>12.5375</v>
          </cell>
        </row>
        <row r="16">
          <cell r="B16" t="str">
            <v>ExxonMobil</v>
          </cell>
          <cell r="K16">
            <v>0</v>
          </cell>
          <cell r="L16">
            <v>0</v>
          </cell>
          <cell r="M16">
            <v>10.546720000000001</v>
          </cell>
          <cell r="N16">
            <v>0</v>
          </cell>
          <cell r="Q16">
            <v>8.6124299999999998</v>
          </cell>
        </row>
        <row r="17">
          <cell r="B17" t="str">
            <v>ExxonMobil</v>
          </cell>
          <cell r="K17">
            <v>25.480540000000001</v>
          </cell>
          <cell r="L17">
            <v>0</v>
          </cell>
          <cell r="M17">
            <v>0</v>
          </cell>
          <cell r="N17">
            <v>0</v>
          </cell>
          <cell r="O17">
            <v>30.966719999999999</v>
          </cell>
        </row>
        <row r="18">
          <cell r="B18" t="str">
            <v>ExxonMobil</v>
          </cell>
          <cell r="K18">
            <v>164.05080000000001</v>
          </cell>
          <cell r="L18">
            <v>0</v>
          </cell>
          <cell r="M18">
            <v>0</v>
          </cell>
          <cell r="N18">
            <v>0</v>
          </cell>
          <cell r="O18">
            <v>139.75989999999999</v>
          </cell>
        </row>
        <row r="19">
          <cell r="B19" t="str">
            <v>ExxonMobil</v>
          </cell>
          <cell r="K19">
            <v>15.812519999999999</v>
          </cell>
          <cell r="L19">
            <v>2.3419180000000001E-2</v>
          </cell>
          <cell r="M19">
            <v>5.4512330000000002</v>
          </cell>
          <cell r="N19">
            <v>167.6447</v>
          </cell>
          <cell r="O19">
            <v>14.91535</v>
          </cell>
          <cell r="P19">
            <v>2.2024660000000001E-2</v>
          </cell>
          <cell r="Q19">
            <v>5.6838139999999999</v>
          </cell>
          <cell r="R19">
            <v>190.2029</v>
          </cell>
        </row>
        <row r="20">
          <cell r="B20" t="str">
            <v>ExxonMobil</v>
          </cell>
          <cell r="K20">
            <v>0</v>
          </cell>
          <cell r="L20">
            <v>3.2716160000000001E-2</v>
          </cell>
          <cell r="M20">
            <v>0</v>
          </cell>
          <cell r="N20">
            <v>5.39567</v>
          </cell>
          <cell r="P20">
            <v>3.1013969999999998E-2</v>
          </cell>
          <cell r="R20">
            <v>5.7818139999999998</v>
          </cell>
        </row>
        <row r="21">
          <cell r="B21" t="str">
            <v>ExxonMobil</v>
          </cell>
          <cell r="K21">
            <v>0.2269823</v>
          </cell>
          <cell r="L21">
            <v>0</v>
          </cell>
          <cell r="M21">
            <v>0</v>
          </cell>
          <cell r="N21">
            <v>9.8862919999999992</v>
          </cell>
          <cell r="O21">
            <v>0.1962767</v>
          </cell>
          <cell r="R21">
            <v>8.6480180000000004</v>
          </cell>
        </row>
        <row r="22">
          <cell r="B22" t="str">
            <v>ExxonMobil</v>
          </cell>
          <cell r="K22">
            <v>0</v>
          </cell>
          <cell r="L22">
            <v>0.19999839999999999</v>
          </cell>
          <cell r="M22">
            <v>0</v>
          </cell>
          <cell r="N22">
            <v>98.642690000000002</v>
          </cell>
          <cell r="P22">
            <v>0.17584430000000001</v>
          </cell>
          <cell r="R22">
            <v>70.310100000000006</v>
          </cell>
        </row>
        <row r="23">
          <cell r="B23" t="str">
            <v>ExxonMobil</v>
          </cell>
          <cell r="K23">
            <v>4.9094340000000001</v>
          </cell>
          <cell r="L23">
            <v>5.8017810000000003E-2</v>
          </cell>
          <cell r="M23">
            <v>0</v>
          </cell>
          <cell r="N23">
            <v>22.690349999999999</v>
          </cell>
          <cell r="O23">
            <v>3.7100149999999998</v>
          </cell>
          <cell r="P23">
            <v>4.0080820000000003E-2</v>
          </cell>
          <cell r="R23">
            <v>21.32789</v>
          </cell>
        </row>
        <row r="24">
          <cell r="B24" t="str">
            <v>ExxonMobil</v>
          </cell>
          <cell r="K24">
            <v>1.608293</v>
          </cell>
          <cell r="L24">
            <v>6.6024250000000007E-2</v>
          </cell>
          <cell r="M24">
            <v>0</v>
          </cell>
          <cell r="N24">
            <v>2.3291970000000002</v>
          </cell>
          <cell r="O24">
            <v>1.342484</v>
          </cell>
          <cell r="P24">
            <v>6.4314659999999996E-2</v>
          </cell>
          <cell r="R24">
            <v>2.3438850000000002</v>
          </cell>
        </row>
        <row r="25">
          <cell r="B25" t="str">
            <v>ExxonMobil</v>
          </cell>
          <cell r="K25">
            <v>78.176569999999998</v>
          </cell>
          <cell r="L25">
            <v>0</v>
          </cell>
          <cell r="M25">
            <v>14.928280000000001</v>
          </cell>
          <cell r="N25">
            <v>16.741910000000001</v>
          </cell>
          <cell r="O25">
            <v>93.065510000000003</v>
          </cell>
          <cell r="Q25">
            <v>17.709689999999998</v>
          </cell>
          <cell r="R25">
            <v>20.05986</v>
          </cell>
        </row>
        <row r="26">
          <cell r="B26" t="str">
            <v>ExxonMobil</v>
          </cell>
          <cell r="K26">
            <v>0</v>
          </cell>
          <cell r="L26">
            <v>3.974707</v>
          </cell>
          <cell r="M26">
            <v>0</v>
          </cell>
          <cell r="N26">
            <v>101.05880000000001</v>
          </cell>
          <cell r="P26">
            <v>3.974113</v>
          </cell>
          <cell r="R26">
            <v>101.3994</v>
          </cell>
        </row>
        <row r="27">
          <cell r="B27" t="str">
            <v>ExxonMobil</v>
          </cell>
          <cell r="K27">
            <v>0</v>
          </cell>
          <cell r="L27">
            <v>0</v>
          </cell>
          <cell r="M27">
            <v>0</v>
          </cell>
          <cell r="N27">
            <v>0</v>
          </cell>
        </row>
        <row r="28">
          <cell r="B28" t="str">
            <v>ExxonMobil</v>
          </cell>
          <cell r="K28">
            <v>0.78301359999999998</v>
          </cell>
          <cell r="L28">
            <v>0</v>
          </cell>
          <cell r="M28">
            <v>0</v>
          </cell>
          <cell r="N28">
            <v>0</v>
          </cell>
          <cell r="O28">
            <v>0.64744389999999996</v>
          </cell>
          <cell r="R28">
            <v>0</v>
          </cell>
        </row>
        <row r="29">
          <cell r="B29" t="str">
            <v>ExxonMobil</v>
          </cell>
          <cell r="K29">
            <v>0</v>
          </cell>
          <cell r="L29">
            <v>6.948906</v>
          </cell>
          <cell r="M29">
            <v>0.43833070000000002</v>
          </cell>
          <cell r="N29">
            <v>98.630139999999997</v>
          </cell>
          <cell r="P29">
            <v>5.7730790000000001</v>
          </cell>
          <cell r="Q29">
            <v>0.43833070000000002</v>
          </cell>
          <cell r="R29">
            <v>98.630129999999994</v>
          </cell>
        </row>
        <row r="30">
          <cell r="B30" t="str">
            <v>ExxonMobil</v>
          </cell>
          <cell r="K30">
            <v>104.0218</v>
          </cell>
          <cell r="L30">
            <v>0</v>
          </cell>
          <cell r="M30">
            <v>0</v>
          </cell>
          <cell r="N30">
            <v>0</v>
          </cell>
          <cell r="O30">
            <v>101.82689999999999</v>
          </cell>
        </row>
        <row r="31">
          <cell r="B31" t="str">
            <v>ExxonMobil</v>
          </cell>
          <cell r="K31">
            <v>10.54138</v>
          </cell>
          <cell r="L31">
            <v>3.6937030000000002</v>
          </cell>
          <cell r="M31">
            <v>0.63630059999999999</v>
          </cell>
          <cell r="N31">
            <v>2.3485499999999999</v>
          </cell>
          <cell r="O31">
            <v>10.16316</v>
          </cell>
          <cell r="P31">
            <v>3.5645920000000002</v>
          </cell>
          <cell r="Q31">
            <v>0.60199670000000005</v>
          </cell>
          <cell r="R31">
            <v>1.8078449999999999</v>
          </cell>
        </row>
        <row r="32">
          <cell r="B32" t="str">
            <v>ExxonMobil</v>
          </cell>
          <cell r="K32">
            <v>67.908510000000007</v>
          </cell>
          <cell r="L32">
            <v>0</v>
          </cell>
          <cell r="M32">
            <v>12.284750000000001</v>
          </cell>
          <cell r="N32">
            <v>2.563841E-4</v>
          </cell>
          <cell r="O32">
            <v>69.085999999999999</v>
          </cell>
          <cell r="Q32">
            <v>13.45304</v>
          </cell>
          <cell r="R32">
            <v>2.2827289999999999E-4</v>
          </cell>
        </row>
        <row r="33">
          <cell r="B33" t="str">
            <v>ExxonMobil</v>
          </cell>
          <cell r="K33">
            <v>37.101709999999997</v>
          </cell>
          <cell r="L33">
            <v>2.7083740000000001</v>
          </cell>
          <cell r="M33">
            <v>1.6787559999999999</v>
          </cell>
          <cell r="N33">
            <v>58.719589999999997</v>
          </cell>
          <cell r="O33">
            <v>36.632849999999998</v>
          </cell>
          <cell r="P33">
            <v>2.3608069999999999</v>
          </cell>
          <cell r="Q33">
            <v>0.88864860000000001</v>
          </cell>
          <cell r="R33">
            <v>41.25112</v>
          </cell>
        </row>
        <row r="34">
          <cell r="B34" t="str">
            <v>ExxonMobil</v>
          </cell>
          <cell r="K34">
            <v>97.95205</v>
          </cell>
          <cell r="L34">
            <v>0</v>
          </cell>
          <cell r="M34">
            <v>0</v>
          </cell>
          <cell r="N34">
            <v>0</v>
          </cell>
          <cell r="O34">
            <v>98.108059999999995</v>
          </cell>
        </row>
        <row r="35">
          <cell r="B35" t="str">
            <v>ExxonMobil</v>
          </cell>
          <cell r="K35">
            <v>55.525750000000002</v>
          </cell>
          <cell r="L35">
            <v>0</v>
          </cell>
          <cell r="M35">
            <v>1.434561</v>
          </cell>
          <cell r="N35">
            <v>4.6476179999999996</v>
          </cell>
          <cell r="O35">
            <v>55.157690000000002</v>
          </cell>
          <cell r="Q35">
            <v>1.505808</v>
          </cell>
          <cell r="R35">
            <v>4.7302520000000001</v>
          </cell>
        </row>
        <row r="36">
          <cell r="B36" t="str">
            <v>ExxonMobil</v>
          </cell>
          <cell r="K36">
            <v>18.654299999999999</v>
          </cell>
          <cell r="L36">
            <v>0</v>
          </cell>
          <cell r="M36">
            <v>1.284653</v>
          </cell>
          <cell r="N36">
            <v>4.4415889999999996</v>
          </cell>
          <cell r="O36">
            <v>17.006699999999999</v>
          </cell>
          <cell r="Q36">
            <v>0.89580040000000005</v>
          </cell>
          <cell r="R36">
            <v>3.4996710000000002</v>
          </cell>
        </row>
        <row r="37">
          <cell r="B37" t="str">
            <v>ExxonMobil</v>
          </cell>
          <cell r="K37">
            <v>0</v>
          </cell>
          <cell r="L37">
            <v>0</v>
          </cell>
          <cell r="M37">
            <v>5.3374300000000003</v>
          </cell>
          <cell r="N37">
            <v>73.048220000000001</v>
          </cell>
          <cell r="Q37">
            <v>5.692628</v>
          </cell>
          <cell r="R37">
            <v>80.308040000000005</v>
          </cell>
        </row>
        <row r="38">
          <cell r="B38" t="str">
            <v>ExxonMobil</v>
          </cell>
          <cell r="K38">
            <v>68.317800000000005</v>
          </cell>
          <cell r="L38">
            <v>0</v>
          </cell>
          <cell r="M38">
            <v>0</v>
          </cell>
          <cell r="N38">
            <v>13.4855</v>
          </cell>
          <cell r="O38">
            <v>67.018649999999994</v>
          </cell>
          <cell r="R38">
            <v>12.51098</v>
          </cell>
        </row>
        <row r="39">
          <cell r="B39" t="str">
            <v>ExxonMobil</v>
          </cell>
          <cell r="K39">
            <v>77.102969999999999</v>
          </cell>
          <cell r="L39">
            <v>0</v>
          </cell>
          <cell r="M39">
            <v>0</v>
          </cell>
          <cell r="N39">
            <v>0</v>
          </cell>
          <cell r="O39">
            <v>91.234999999999999</v>
          </cell>
        </row>
        <row r="40">
          <cell r="B40" t="str">
            <v>ExxonMobil</v>
          </cell>
          <cell r="K40">
            <v>9.7123290000000001E-2</v>
          </cell>
          <cell r="L40">
            <v>0</v>
          </cell>
          <cell r="M40">
            <v>3.3943830000000001E-2</v>
          </cell>
          <cell r="N40">
            <v>5.4657539999999998E-2</v>
          </cell>
          <cell r="O40">
            <v>9.5200000000000007E-2</v>
          </cell>
          <cell r="Q40">
            <v>3.2415880000000001E-2</v>
          </cell>
          <cell r="R40">
            <v>4.9117809999999998E-2</v>
          </cell>
        </row>
        <row r="41">
          <cell r="B41" t="str">
            <v>ExxonMobil</v>
          </cell>
          <cell r="K41">
            <v>8.1138449999999995</v>
          </cell>
          <cell r="L41">
            <v>5.4191209999999996</v>
          </cell>
          <cell r="M41">
            <v>10.39818</v>
          </cell>
          <cell r="N41">
            <v>52.909419999999997</v>
          </cell>
          <cell r="O41">
            <v>7.8678439999999998</v>
          </cell>
          <cell r="P41">
            <v>5.7768670000000002</v>
          </cell>
          <cell r="Q41">
            <v>9.8920030000000008</v>
          </cell>
          <cell r="R41">
            <v>49.404200000000003</v>
          </cell>
        </row>
        <row r="42">
          <cell r="B42" t="str">
            <v>ExxonMobil</v>
          </cell>
          <cell r="K42">
            <v>1.1941459999999999</v>
          </cell>
          <cell r="L42">
            <v>8.9412599999999998</v>
          </cell>
          <cell r="M42">
            <v>0.65182569999999995</v>
          </cell>
          <cell r="N42">
            <v>66.899119999999996</v>
          </cell>
          <cell r="O42">
            <v>2.1589670000000001</v>
          </cell>
          <cell r="P42">
            <v>7.9266069999999997</v>
          </cell>
          <cell r="Q42">
            <v>0.83087860000000002</v>
          </cell>
          <cell r="R42">
            <v>65.272779999999997</v>
          </cell>
        </row>
        <row r="43">
          <cell r="B43" t="str">
            <v>ExxonMobil</v>
          </cell>
          <cell r="K43">
            <v>0</v>
          </cell>
          <cell r="L43">
            <v>0</v>
          </cell>
          <cell r="M43">
            <v>2.5514790000000001</v>
          </cell>
          <cell r="N43">
            <v>64.030270000000002</v>
          </cell>
          <cell r="Q43">
            <v>2.1838709999999999</v>
          </cell>
          <cell r="R43">
            <v>58.441650000000003</v>
          </cell>
        </row>
        <row r="44">
          <cell r="B44" t="str">
            <v>ExxonMobil</v>
          </cell>
          <cell r="K44">
            <v>18.546130000000002</v>
          </cell>
          <cell r="L44">
            <v>0</v>
          </cell>
          <cell r="M44">
            <v>2.467231</v>
          </cell>
          <cell r="N44">
            <v>4.9603120000000001</v>
          </cell>
        </row>
        <row r="45">
          <cell r="B45" t="str">
            <v>ExxonMobil</v>
          </cell>
          <cell r="K45">
            <v>0.1519229</v>
          </cell>
          <cell r="L45">
            <v>0</v>
          </cell>
          <cell r="M45">
            <v>0</v>
          </cell>
          <cell r="N45">
            <v>0</v>
          </cell>
          <cell r="O45">
            <v>0.34096670000000001</v>
          </cell>
        </row>
        <row r="46">
          <cell r="B46" t="str">
            <v>ExxonMobil</v>
          </cell>
          <cell r="K46">
            <v>1.922574</v>
          </cell>
          <cell r="L46">
            <v>0</v>
          </cell>
          <cell r="M46">
            <v>1.024726</v>
          </cell>
          <cell r="N46">
            <v>9.1024220000000007</v>
          </cell>
        </row>
        <row r="47">
          <cell r="B47" t="str">
            <v>ExxonMobil</v>
          </cell>
          <cell r="K47">
            <v>6.9688129999999999</v>
          </cell>
          <cell r="L47">
            <v>0</v>
          </cell>
          <cell r="M47">
            <v>0.3404066</v>
          </cell>
          <cell r="N47">
            <v>2.9540259999999998</v>
          </cell>
        </row>
        <row r="48">
          <cell r="B48" t="str">
            <v>ExxonMobil</v>
          </cell>
          <cell r="K48">
            <v>1.528195</v>
          </cell>
          <cell r="L48">
            <v>0</v>
          </cell>
          <cell r="M48">
            <v>4.332751E-2</v>
          </cell>
          <cell r="N48">
            <v>0.88791509999999996</v>
          </cell>
          <cell r="O48">
            <v>2.5211299999999999</v>
          </cell>
          <cell r="Q48">
            <v>0.14438090000000001</v>
          </cell>
          <cell r="R48">
            <v>0.1682411</v>
          </cell>
        </row>
        <row r="49">
          <cell r="B49" t="str">
            <v>ExxonMobil</v>
          </cell>
          <cell r="K49">
            <v>0.30186859999999999</v>
          </cell>
          <cell r="L49">
            <v>0</v>
          </cell>
          <cell r="M49">
            <v>2.2001090000000001E-2</v>
          </cell>
          <cell r="N49">
            <v>0.48808099999999999</v>
          </cell>
          <cell r="O49">
            <v>0.42066609999999999</v>
          </cell>
          <cell r="Q49">
            <v>3.7311289999999997E-2</v>
          </cell>
          <cell r="R49">
            <v>0.17451510000000001</v>
          </cell>
        </row>
        <row r="50">
          <cell r="B50" t="str">
            <v>ExxonMobil</v>
          </cell>
          <cell r="K50">
            <v>0.62044390000000005</v>
          </cell>
          <cell r="L50">
            <v>0</v>
          </cell>
          <cell r="M50">
            <v>6.0962739999999996E-3</v>
          </cell>
          <cell r="N50">
            <v>0.18783420000000001</v>
          </cell>
          <cell r="O50">
            <v>0.1819548</v>
          </cell>
          <cell r="Q50">
            <v>1.7876439999999999E-3</v>
          </cell>
          <cell r="R50">
            <v>5.5084939999999999E-2</v>
          </cell>
        </row>
        <row r="51">
          <cell r="B51" t="str">
            <v>ExxonMobil</v>
          </cell>
          <cell r="K51">
            <v>0.1056772</v>
          </cell>
          <cell r="L51">
            <v>0</v>
          </cell>
          <cell r="M51">
            <v>7.4936530000000001E-2</v>
          </cell>
          <cell r="N51">
            <v>0.44350319999999999</v>
          </cell>
        </row>
        <row r="52">
          <cell r="B52" t="str">
            <v>ExxonMobil</v>
          </cell>
          <cell r="K52">
            <v>0</v>
          </cell>
          <cell r="L52">
            <v>0</v>
          </cell>
          <cell r="M52">
            <v>0</v>
          </cell>
          <cell r="N52">
            <v>0</v>
          </cell>
        </row>
        <row r="53">
          <cell r="B53" t="str">
            <v>ExxonMobil</v>
          </cell>
          <cell r="K53">
            <v>3.2499060000000002</v>
          </cell>
          <cell r="L53">
            <v>2.258127</v>
          </cell>
          <cell r="M53">
            <v>1.2231240000000001</v>
          </cell>
          <cell r="N53">
            <v>34.123899999999999</v>
          </cell>
          <cell r="O53">
            <v>3.9077860000000002</v>
          </cell>
          <cell r="P53">
            <v>2.3266300000000002</v>
          </cell>
          <cell r="Q53">
            <v>1.4314439999999999</v>
          </cell>
          <cell r="R53">
            <v>35.130200000000002</v>
          </cell>
        </row>
        <row r="54">
          <cell r="B54" t="str">
            <v>ExxonMobil</v>
          </cell>
          <cell r="K54">
            <v>2.0996540000000001</v>
          </cell>
          <cell r="L54">
            <v>0</v>
          </cell>
          <cell r="M54">
            <v>2.6114160000000002</v>
          </cell>
          <cell r="N54">
            <v>10.26667</v>
          </cell>
        </row>
        <row r="55">
          <cell r="B55" t="str">
            <v>ExxonMobil</v>
          </cell>
          <cell r="K55">
            <v>0</v>
          </cell>
          <cell r="L55">
            <v>0.68010159999999997</v>
          </cell>
          <cell r="M55">
            <v>0</v>
          </cell>
          <cell r="N55">
            <v>12.99816</v>
          </cell>
        </row>
        <row r="56">
          <cell r="B56" t="str">
            <v>ExxonMobil</v>
          </cell>
          <cell r="K56">
            <v>1.428593</v>
          </cell>
          <cell r="L56">
            <v>0</v>
          </cell>
          <cell r="M56">
            <v>2.52529</v>
          </cell>
          <cell r="N56">
            <v>7.1613170000000004</v>
          </cell>
        </row>
        <row r="57">
          <cell r="B57" t="str">
            <v>ExxonMobil</v>
          </cell>
          <cell r="K57">
            <v>2.5507840000000002</v>
          </cell>
          <cell r="L57">
            <v>0</v>
          </cell>
          <cell r="M57">
            <v>1.7044220000000001</v>
          </cell>
          <cell r="N57">
            <v>7.6008820000000004</v>
          </cell>
        </row>
        <row r="58">
          <cell r="B58" t="str">
            <v>ExxonMobil</v>
          </cell>
          <cell r="K58">
            <v>2.7883200000000001</v>
          </cell>
          <cell r="L58">
            <v>0</v>
          </cell>
          <cell r="M58">
            <v>0</v>
          </cell>
          <cell r="N58">
            <v>0</v>
          </cell>
        </row>
        <row r="59">
          <cell r="B59" t="str">
            <v>ExxonMobil</v>
          </cell>
          <cell r="K59">
            <v>37.537739999999999</v>
          </cell>
          <cell r="L59">
            <v>0</v>
          </cell>
          <cell r="M59">
            <v>0.33781489999999997</v>
          </cell>
          <cell r="N59">
            <v>0.51818169999999997</v>
          </cell>
          <cell r="O59">
            <v>36.308700000000002</v>
          </cell>
          <cell r="Q59">
            <v>0.3278104</v>
          </cell>
          <cell r="R59">
            <v>0.51102910000000001</v>
          </cell>
        </row>
        <row r="60">
          <cell r="B60" t="str">
            <v>ExxonMobil</v>
          </cell>
          <cell r="K60">
            <v>6.7646139999999999</v>
          </cell>
          <cell r="L60">
            <v>4.4731510000000002E-2</v>
          </cell>
          <cell r="M60">
            <v>13.10341</v>
          </cell>
          <cell r="N60">
            <v>18.34151</v>
          </cell>
          <cell r="O60">
            <v>5.8443480000000001</v>
          </cell>
          <cell r="P60">
            <v>4.4832869999999997E-2</v>
          </cell>
          <cell r="Q60">
            <v>11.228859999999999</v>
          </cell>
          <cell r="R60">
            <v>15.76341</v>
          </cell>
        </row>
        <row r="61">
          <cell r="B61" t="str">
            <v>ExxonMobil</v>
          </cell>
          <cell r="K61">
            <v>0.70683770000000001</v>
          </cell>
          <cell r="L61">
            <v>5.1472990000000003</v>
          </cell>
          <cell r="M61">
            <v>0.84833480000000006</v>
          </cell>
          <cell r="N61">
            <v>7.2892830000000002</v>
          </cell>
          <cell r="O61">
            <v>0.50719820000000004</v>
          </cell>
          <cell r="P61">
            <v>5.2939160000000003</v>
          </cell>
          <cell r="Q61">
            <v>0.68143419999999999</v>
          </cell>
          <cell r="R61">
            <v>6.7231690000000004</v>
          </cell>
        </row>
        <row r="62">
          <cell r="B62" t="str">
            <v>ExxonMobil</v>
          </cell>
          <cell r="K62">
            <v>7.0187359999999996</v>
          </cell>
          <cell r="L62">
            <v>2.550685E-3</v>
          </cell>
          <cell r="M62">
            <v>7.8233250000000004E-2</v>
          </cell>
          <cell r="N62">
            <v>2.5960209999999999</v>
          </cell>
          <cell r="O62">
            <v>7.1335030000000001</v>
          </cell>
          <cell r="P62">
            <v>0.6302932</v>
          </cell>
          <cell r="Q62">
            <v>0.10311439999999999</v>
          </cell>
          <cell r="R62">
            <v>2.7911039999999998</v>
          </cell>
        </row>
        <row r="63">
          <cell r="B63" t="str">
            <v>ExxonMobil</v>
          </cell>
          <cell r="K63">
            <v>1.6726449999999999</v>
          </cell>
          <cell r="L63">
            <v>0</v>
          </cell>
          <cell r="M63">
            <v>0.89470640000000001</v>
          </cell>
          <cell r="N63">
            <v>4.4475490000000004</v>
          </cell>
          <cell r="O63">
            <v>1.4182090000000001</v>
          </cell>
          <cell r="P63">
            <v>0.46284710000000001</v>
          </cell>
          <cell r="Q63">
            <v>0.71739419999999998</v>
          </cell>
          <cell r="R63">
            <v>3.1364269999999999</v>
          </cell>
        </row>
        <row r="64">
          <cell r="B64" t="str">
            <v>ExxonMobil</v>
          </cell>
          <cell r="K64">
            <v>3.8700009999999998</v>
          </cell>
          <cell r="L64">
            <v>0</v>
          </cell>
          <cell r="M64">
            <v>7.879912E-2</v>
          </cell>
          <cell r="N64">
            <v>0.4515769</v>
          </cell>
          <cell r="O64">
            <v>3.2507709999999999</v>
          </cell>
          <cell r="Q64">
            <v>3.473449E-2</v>
          </cell>
          <cell r="R64">
            <v>0.33090809999999998</v>
          </cell>
        </row>
        <row r="65">
          <cell r="B65" t="str">
            <v>ExxonMobil</v>
          </cell>
          <cell r="K65">
            <v>1.163455E-2</v>
          </cell>
          <cell r="L65">
            <v>0</v>
          </cell>
          <cell r="M65">
            <v>2.8463999999999998E-3</v>
          </cell>
          <cell r="N65">
            <v>7.8914730000000002E-2</v>
          </cell>
          <cell r="O65">
            <v>0</v>
          </cell>
          <cell r="Q65">
            <v>0</v>
          </cell>
          <cell r="R65">
            <v>0</v>
          </cell>
        </row>
        <row r="66">
          <cell r="B66" t="str">
            <v>ExxonMobil</v>
          </cell>
          <cell r="K66">
            <v>36.293950000000002</v>
          </cell>
          <cell r="L66">
            <v>0</v>
          </cell>
          <cell r="M66">
            <v>0</v>
          </cell>
          <cell r="N66">
            <v>0</v>
          </cell>
          <cell r="O66">
            <v>34.731319999999997</v>
          </cell>
        </row>
        <row r="67">
          <cell r="B67" t="str">
            <v>ExxonMobil</v>
          </cell>
          <cell r="K67">
            <v>0</v>
          </cell>
          <cell r="L67">
            <v>0</v>
          </cell>
          <cell r="M67">
            <v>1.192164</v>
          </cell>
          <cell r="N67">
            <v>31.80566</v>
          </cell>
          <cell r="Q67">
            <v>1.009814</v>
          </cell>
          <cell r="R67">
            <v>28.344010000000001</v>
          </cell>
        </row>
        <row r="68">
          <cell r="B68" t="str">
            <v>ExxonMobil</v>
          </cell>
          <cell r="K68">
            <v>0</v>
          </cell>
          <cell r="L68">
            <v>0.28211730000000002</v>
          </cell>
          <cell r="M68">
            <v>0</v>
          </cell>
          <cell r="N68">
            <v>17.475149999999999</v>
          </cell>
          <cell r="P68">
            <v>0.12745039999999999</v>
          </cell>
          <cell r="R68">
            <v>18.064250000000001</v>
          </cell>
        </row>
        <row r="69">
          <cell r="B69" t="str">
            <v>ExxonMobil</v>
          </cell>
          <cell r="K69">
            <v>2.161315E-4</v>
          </cell>
          <cell r="L69">
            <v>0.1170952</v>
          </cell>
          <cell r="M69">
            <v>0</v>
          </cell>
          <cell r="N69">
            <v>7.5660569999999998</v>
          </cell>
          <cell r="O69">
            <v>1.380493E-4</v>
          </cell>
          <cell r="P69">
            <v>0.17187820000000001</v>
          </cell>
          <cell r="R69">
            <v>7.4117259999999998</v>
          </cell>
        </row>
        <row r="70">
          <cell r="B70" t="str">
            <v>ExxonMobil</v>
          </cell>
          <cell r="K70">
            <v>0.88187499999999996</v>
          </cell>
          <cell r="L70">
            <v>0.1546768</v>
          </cell>
          <cell r="M70">
            <v>0</v>
          </cell>
          <cell r="N70">
            <v>4.5896420000000004</v>
          </cell>
          <cell r="O70">
            <v>0.57010689999999997</v>
          </cell>
          <cell r="P70">
            <v>0.17415159999999999</v>
          </cell>
          <cell r="R70">
            <v>4.6840700000000002</v>
          </cell>
        </row>
        <row r="71">
          <cell r="B71" t="str">
            <v>ExxonMobil</v>
          </cell>
          <cell r="K71">
            <v>24.529160000000001</v>
          </cell>
          <cell r="L71">
            <v>0</v>
          </cell>
          <cell r="M71">
            <v>0</v>
          </cell>
          <cell r="N71">
            <v>0</v>
          </cell>
        </row>
        <row r="72">
          <cell r="B72" t="str">
            <v>ExxonMobil</v>
          </cell>
          <cell r="K72">
            <v>0</v>
          </cell>
          <cell r="L72">
            <v>5.2613689999999998E-2</v>
          </cell>
          <cell r="M72">
            <v>2.1608719999999999</v>
          </cell>
          <cell r="N72">
            <v>8.9465850000000007</v>
          </cell>
          <cell r="P72">
            <v>4.8336980000000002E-2</v>
          </cell>
          <cell r="Q72">
            <v>2.1608139999999998</v>
          </cell>
          <cell r="R72">
            <v>8.4831040000000009</v>
          </cell>
        </row>
        <row r="73">
          <cell r="B73" t="str">
            <v>ExxonMobil</v>
          </cell>
          <cell r="K73">
            <v>5.5304109999999997E-2</v>
          </cell>
          <cell r="L73">
            <v>4.49863E-3</v>
          </cell>
          <cell r="M73">
            <v>0.2402465</v>
          </cell>
          <cell r="N73">
            <v>6.006195</v>
          </cell>
          <cell r="O73">
            <v>4.9424660000000002E-2</v>
          </cell>
          <cell r="P73">
            <v>3.0219180000000002E-3</v>
          </cell>
          <cell r="Q73">
            <v>0.21108789999999999</v>
          </cell>
          <cell r="R73">
            <v>5.6271230000000001</v>
          </cell>
        </row>
        <row r="74">
          <cell r="B74" t="str">
            <v>ExxonMobil</v>
          </cell>
          <cell r="K74">
            <v>0.46621600000000002</v>
          </cell>
          <cell r="L74">
            <v>0</v>
          </cell>
          <cell r="M74">
            <v>0</v>
          </cell>
          <cell r="N74">
            <v>0</v>
          </cell>
          <cell r="O74">
            <v>44.86401</v>
          </cell>
        </row>
        <row r="75">
          <cell r="B75" t="str">
            <v>ExxonMobil</v>
          </cell>
          <cell r="K75">
            <v>13.76031</v>
          </cell>
          <cell r="L75">
            <v>0</v>
          </cell>
          <cell r="M75">
            <v>0</v>
          </cell>
          <cell r="N75">
            <v>0</v>
          </cell>
          <cell r="O75">
            <v>15.939769999999999</v>
          </cell>
        </row>
        <row r="76">
          <cell r="B76" t="str">
            <v>ExxonMobil</v>
          </cell>
          <cell r="K76">
            <v>2.7530000000000001</v>
          </cell>
          <cell r="L76">
            <v>1.893151E-3</v>
          </cell>
          <cell r="M76">
            <v>1.349375</v>
          </cell>
          <cell r="N76">
            <v>6.8763069999999997</v>
          </cell>
          <cell r="O76">
            <v>2.5266709999999999</v>
          </cell>
          <cell r="P76">
            <v>0</v>
          </cell>
          <cell r="Q76">
            <v>1.2322230000000001</v>
          </cell>
          <cell r="R76">
            <v>6.0940469999999998</v>
          </cell>
        </row>
        <row r="77">
          <cell r="B77" t="str">
            <v>ExxonMobil</v>
          </cell>
          <cell r="K77">
            <v>0.67098449999999998</v>
          </cell>
          <cell r="L77">
            <v>2.90686E-2</v>
          </cell>
          <cell r="M77">
            <v>0.2326317</v>
          </cell>
          <cell r="N77">
            <v>5.7052659999999999</v>
          </cell>
          <cell r="O77">
            <v>2.1968070000000002</v>
          </cell>
          <cell r="P77">
            <v>3.0230650000000001E-2</v>
          </cell>
          <cell r="Q77">
            <v>0.58075900000000003</v>
          </cell>
          <cell r="R77">
            <v>6.9618500000000001</v>
          </cell>
        </row>
        <row r="78">
          <cell r="B78" t="str">
            <v>ExxonMobil</v>
          </cell>
          <cell r="K78">
            <v>0</v>
          </cell>
          <cell r="L78">
            <v>0</v>
          </cell>
          <cell r="M78">
            <v>0</v>
          </cell>
          <cell r="N78">
            <v>5.0438359999999998</v>
          </cell>
          <cell r="R78">
            <v>5.0630139999999999</v>
          </cell>
        </row>
        <row r="79">
          <cell r="B79" t="str">
            <v>ExxonMobil</v>
          </cell>
          <cell r="K79">
            <v>5.4794520000000002</v>
          </cell>
          <cell r="L79">
            <v>0</v>
          </cell>
          <cell r="M79">
            <v>0</v>
          </cell>
          <cell r="N79">
            <v>0</v>
          </cell>
          <cell r="O79">
            <v>8.2191790000000005</v>
          </cell>
          <cell r="R79">
            <v>0</v>
          </cell>
        </row>
        <row r="80">
          <cell r="B80" t="str">
            <v>ExxonMobil</v>
          </cell>
          <cell r="K80">
            <v>0</v>
          </cell>
          <cell r="L80">
            <v>2.246575E-4</v>
          </cell>
          <cell r="M80">
            <v>2.046356E-3</v>
          </cell>
          <cell r="N80">
            <v>2.1506850000000001E-2</v>
          </cell>
          <cell r="P80">
            <v>0</v>
          </cell>
          <cell r="Q80">
            <v>2.015233E-3</v>
          </cell>
          <cell r="R80">
            <v>2.1528769999999999E-2</v>
          </cell>
        </row>
        <row r="81">
          <cell r="B81" t="str">
            <v>ExxonMobil</v>
          </cell>
          <cell r="K81">
            <v>1.3113669999999999</v>
          </cell>
          <cell r="L81">
            <v>5.308036E-2</v>
          </cell>
          <cell r="M81">
            <v>6.6032980000000005E-2</v>
          </cell>
          <cell r="N81">
            <v>0.33939550000000002</v>
          </cell>
          <cell r="O81">
            <v>1.2356739999999999</v>
          </cell>
          <cell r="P81">
            <v>5.3427389999999998E-2</v>
          </cell>
          <cell r="Q81">
            <v>6.37152E-2</v>
          </cell>
          <cell r="R81">
            <v>0.32258360000000003</v>
          </cell>
        </row>
        <row r="82">
          <cell r="B82" t="str">
            <v>ExxonMobil</v>
          </cell>
          <cell r="K82">
            <v>0</v>
          </cell>
          <cell r="L82">
            <v>0</v>
          </cell>
          <cell r="M82">
            <v>0</v>
          </cell>
          <cell r="N82">
            <v>0</v>
          </cell>
        </row>
        <row r="83">
          <cell r="B83" t="str">
            <v>ExxonMobil</v>
          </cell>
          <cell r="K83">
            <v>3.0173079999999999</v>
          </cell>
          <cell r="L83">
            <v>0</v>
          </cell>
          <cell r="M83">
            <v>0</v>
          </cell>
          <cell r="N83">
            <v>0</v>
          </cell>
          <cell r="O83">
            <v>2.915778</v>
          </cell>
        </row>
        <row r="84">
          <cell r="B84" t="str">
            <v>ExxonMobil</v>
          </cell>
          <cell r="K84">
            <v>2.5382189999999998</v>
          </cell>
          <cell r="L84">
            <v>0</v>
          </cell>
          <cell r="M84">
            <v>8.8701359999999996E-4</v>
          </cell>
          <cell r="N84">
            <v>4.961227E-2</v>
          </cell>
          <cell r="O84">
            <v>2.466323</v>
          </cell>
          <cell r="Q84">
            <v>8.683397E-4</v>
          </cell>
          <cell r="R84">
            <v>4.8629909999999998E-2</v>
          </cell>
        </row>
        <row r="85">
          <cell r="B85" t="str">
            <v>ExxonMobil</v>
          </cell>
          <cell r="K85">
            <v>0</v>
          </cell>
          <cell r="L85">
            <v>2.149452E-2</v>
          </cell>
          <cell r="M85">
            <v>0</v>
          </cell>
          <cell r="N85">
            <v>2.4239489999999999</v>
          </cell>
          <cell r="P85">
            <v>2.338904E-2</v>
          </cell>
          <cell r="R85">
            <v>2.2455189999999998</v>
          </cell>
        </row>
        <row r="86">
          <cell r="B86" t="str">
            <v>ExxonMobil</v>
          </cell>
          <cell r="K86">
            <v>0</v>
          </cell>
          <cell r="L86">
            <v>0</v>
          </cell>
          <cell r="M86">
            <v>0</v>
          </cell>
          <cell r="N86">
            <v>0</v>
          </cell>
        </row>
        <row r="87">
          <cell r="B87" t="str">
            <v>ExxonMobil</v>
          </cell>
          <cell r="K87">
            <v>0</v>
          </cell>
          <cell r="L87">
            <v>0</v>
          </cell>
          <cell r="M87">
            <v>0</v>
          </cell>
          <cell r="N87">
            <v>1.7692030000000001</v>
          </cell>
          <cell r="R87">
            <v>1.7692030000000001</v>
          </cell>
        </row>
        <row r="88">
          <cell r="B88" t="str">
            <v>ExxonMobil</v>
          </cell>
          <cell r="K88">
            <v>1.1165579999999999</v>
          </cell>
          <cell r="L88">
            <v>0</v>
          </cell>
          <cell r="M88">
            <v>0</v>
          </cell>
          <cell r="N88">
            <v>3.7777640000000001E-2</v>
          </cell>
          <cell r="O88">
            <v>1.065018</v>
          </cell>
          <cell r="R88">
            <v>3.6529590000000001E-2</v>
          </cell>
        </row>
        <row r="89">
          <cell r="B89" t="str">
            <v>ExxonMobil</v>
          </cell>
          <cell r="K89">
            <v>0.89769600000000005</v>
          </cell>
          <cell r="L89">
            <v>0</v>
          </cell>
          <cell r="M89">
            <v>0</v>
          </cell>
          <cell r="N89">
            <v>0.194189</v>
          </cell>
          <cell r="O89">
            <v>0.87992060000000005</v>
          </cell>
          <cell r="R89">
            <v>0.194189</v>
          </cell>
        </row>
        <row r="90">
          <cell r="B90" t="str">
            <v>ExxonMobil</v>
          </cell>
          <cell r="K90">
            <v>0.15502469999999999</v>
          </cell>
          <cell r="L90">
            <v>0.19907939999999999</v>
          </cell>
          <cell r="M90">
            <v>0</v>
          </cell>
          <cell r="N90">
            <v>0.1724849</v>
          </cell>
          <cell r="O90">
            <v>0.2797808</v>
          </cell>
          <cell r="P90">
            <v>0.37304110000000001</v>
          </cell>
          <cell r="R90">
            <v>0.2797808</v>
          </cell>
        </row>
        <row r="91">
          <cell r="B91" t="str">
            <v>ExxonMobil</v>
          </cell>
          <cell r="K91">
            <v>0.45201710000000001</v>
          </cell>
          <cell r="L91">
            <v>0</v>
          </cell>
          <cell r="M91">
            <v>0</v>
          </cell>
          <cell r="N91">
            <v>1.411577E-2</v>
          </cell>
          <cell r="O91">
            <v>0.36835079999999998</v>
          </cell>
          <cell r="R91">
            <v>1.3808910000000001E-2</v>
          </cell>
        </row>
        <row r="92">
          <cell r="B92" t="str">
            <v>ExxonMobil</v>
          </cell>
          <cell r="K92">
            <v>8.6301369999999995E-3</v>
          </cell>
          <cell r="L92">
            <v>0</v>
          </cell>
          <cell r="M92">
            <v>0</v>
          </cell>
          <cell r="N92">
            <v>0</v>
          </cell>
          <cell r="O92">
            <v>0.98917809999999995</v>
          </cell>
        </row>
        <row r="93">
          <cell r="B93" t="str">
            <v>ExxonMobil</v>
          </cell>
          <cell r="K93">
            <v>0</v>
          </cell>
          <cell r="L93">
            <v>5.5616439999999997E-4</v>
          </cell>
          <cell r="M93">
            <v>0</v>
          </cell>
          <cell r="N93">
            <v>0.3342466</v>
          </cell>
          <cell r="P93">
            <v>0</v>
          </cell>
          <cell r="R93">
            <v>0.3342466</v>
          </cell>
        </row>
        <row r="94">
          <cell r="B94" t="str">
            <v>ExxonMobil</v>
          </cell>
          <cell r="K94">
            <v>1.662932E-3</v>
          </cell>
          <cell r="L94">
            <v>1.7406899999999999E-2</v>
          </cell>
          <cell r="M94">
            <v>0</v>
          </cell>
          <cell r="N94">
            <v>0.2116693</v>
          </cell>
          <cell r="O94">
            <v>0</v>
          </cell>
          <cell r="P94">
            <v>5.7216440000000003E-4</v>
          </cell>
          <cell r="R94">
            <v>0.23920250000000001</v>
          </cell>
        </row>
        <row r="95">
          <cell r="B95" t="str">
            <v>ExxonMobil</v>
          </cell>
          <cell r="K95">
            <v>0.20036029999999999</v>
          </cell>
          <cell r="L95">
            <v>0</v>
          </cell>
          <cell r="M95">
            <v>0</v>
          </cell>
          <cell r="N95">
            <v>1.482192E-3</v>
          </cell>
          <cell r="O95">
            <v>0.16325480000000001</v>
          </cell>
          <cell r="R95">
            <v>1.2616439999999999E-3</v>
          </cell>
        </row>
        <row r="96">
          <cell r="B96" t="str">
            <v>ExxonMobil</v>
          </cell>
          <cell r="K96">
            <v>9.6677509999999994E-2</v>
          </cell>
          <cell r="L96">
            <v>0</v>
          </cell>
          <cell r="M96">
            <v>0</v>
          </cell>
          <cell r="N96">
            <v>1.7725169999999999E-3</v>
          </cell>
          <cell r="O96">
            <v>8.8965420000000003E-2</v>
          </cell>
          <cell r="R96">
            <v>1.6752570000000001E-3</v>
          </cell>
        </row>
        <row r="97">
          <cell r="B97" t="str">
            <v>BP</v>
          </cell>
          <cell r="K97">
            <v>598.89930000000004</v>
          </cell>
          <cell r="L97">
            <v>0</v>
          </cell>
          <cell r="M97">
            <v>0</v>
          </cell>
          <cell r="N97">
            <v>0</v>
          </cell>
          <cell r="O97">
            <v>624.06870000000004</v>
          </cell>
        </row>
        <row r="98">
          <cell r="B98" t="str">
            <v>BP</v>
          </cell>
          <cell r="K98">
            <v>183.3004</v>
          </cell>
          <cell r="L98">
            <v>0</v>
          </cell>
          <cell r="M98">
            <v>9.1409520000000004</v>
          </cell>
          <cell r="N98">
            <v>21.38279</v>
          </cell>
          <cell r="O98">
            <v>185.77430000000001</v>
          </cell>
          <cell r="Q98">
            <v>8.397983</v>
          </cell>
          <cell r="R98">
            <v>20.553830000000001</v>
          </cell>
        </row>
        <row r="99">
          <cell r="B99" t="str">
            <v>BP</v>
          </cell>
          <cell r="K99">
            <v>111.8533</v>
          </cell>
          <cell r="L99">
            <v>0</v>
          </cell>
          <cell r="M99">
            <v>5.1837150000000003</v>
          </cell>
          <cell r="N99">
            <v>13.8834</v>
          </cell>
          <cell r="O99">
            <v>105.7287</v>
          </cell>
          <cell r="P99">
            <v>1.611616E-3</v>
          </cell>
          <cell r="Q99">
            <v>3.7770619999999999</v>
          </cell>
          <cell r="R99">
            <v>11.32203</v>
          </cell>
        </row>
        <row r="100">
          <cell r="B100" t="str">
            <v>BP</v>
          </cell>
          <cell r="K100">
            <v>0</v>
          </cell>
          <cell r="L100">
            <v>13.211460000000001</v>
          </cell>
          <cell r="M100">
            <v>0.24717919999999999</v>
          </cell>
          <cell r="N100">
            <v>160.2062</v>
          </cell>
          <cell r="P100">
            <v>10.98995</v>
          </cell>
          <cell r="Q100">
            <v>0.2806169</v>
          </cell>
          <cell r="R100">
            <v>173.78110000000001</v>
          </cell>
        </row>
        <row r="101">
          <cell r="B101" t="str">
            <v>BP</v>
          </cell>
          <cell r="K101">
            <v>0</v>
          </cell>
          <cell r="L101">
            <v>3.1179709999999998</v>
          </cell>
          <cell r="M101">
            <v>3.4997069999999999</v>
          </cell>
          <cell r="N101">
            <v>64.580250000000007</v>
          </cell>
          <cell r="P101">
            <v>5.6109330000000002</v>
          </cell>
          <cell r="Q101">
            <v>2.9939789999999999</v>
          </cell>
          <cell r="R101">
            <v>68.808319999999995</v>
          </cell>
        </row>
        <row r="102">
          <cell r="B102" t="str">
            <v>BP</v>
          </cell>
          <cell r="K102">
            <v>0</v>
          </cell>
          <cell r="L102">
            <v>1.1934579999999999</v>
          </cell>
          <cell r="M102">
            <v>0.45065840000000001</v>
          </cell>
          <cell r="N102">
            <v>50.45</v>
          </cell>
          <cell r="P102">
            <v>2.6369449999999999</v>
          </cell>
          <cell r="Q102">
            <v>0.84875109999999998</v>
          </cell>
          <cell r="R102">
            <v>49.544559999999997</v>
          </cell>
        </row>
        <row r="103">
          <cell r="B103" t="str">
            <v>BP</v>
          </cell>
          <cell r="K103">
            <v>1.2465749999999999E-2</v>
          </cell>
          <cell r="L103">
            <v>4.6948249999999998</v>
          </cell>
          <cell r="M103">
            <v>5.624797</v>
          </cell>
          <cell r="N103">
            <v>266.21429999999998</v>
          </cell>
          <cell r="O103">
            <v>4.0676710000000001E-3</v>
          </cell>
          <cell r="P103">
            <v>6.7180049999999998</v>
          </cell>
          <cell r="Q103">
            <v>3.327223</v>
          </cell>
          <cell r="R103">
            <v>262.95800000000003</v>
          </cell>
        </row>
        <row r="104">
          <cell r="B104" t="str">
            <v>BP</v>
          </cell>
          <cell r="K104">
            <v>162.3339</v>
          </cell>
          <cell r="L104">
            <v>22.566569999999999</v>
          </cell>
          <cell r="M104">
            <v>0</v>
          </cell>
          <cell r="N104">
            <v>78.075609999999998</v>
          </cell>
          <cell r="O104">
            <v>155.34460000000001</v>
          </cell>
          <cell r="P104">
            <v>24.82563</v>
          </cell>
          <cell r="R104">
            <v>86.904979999999995</v>
          </cell>
        </row>
        <row r="105">
          <cell r="B105" t="str">
            <v>BP</v>
          </cell>
          <cell r="K105">
            <v>4.6032429999999999E-2</v>
          </cell>
          <cell r="L105">
            <v>0</v>
          </cell>
          <cell r="M105">
            <v>0</v>
          </cell>
          <cell r="N105">
            <v>7.545114E-2</v>
          </cell>
          <cell r="O105">
            <v>3.9282329999999997E-2</v>
          </cell>
          <cell r="R105">
            <v>7.2061890000000003E-2</v>
          </cell>
        </row>
        <row r="106">
          <cell r="B106" t="str">
            <v>BP</v>
          </cell>
          <cell r="K106">
            <v>20.88297</v>
          </cell>
          <cell r="L106">
            <v>0</v>
          </cell>
          <cell r="M106">
            <v>0</v>
          </cell>
          <cell r="N106">
            <v>0</v>
          </cell>
          <cell r="O106">
            <v>18.011379999999999</v>
          </cell>
        </row>
        <row r="107">
          <cell r="B107" t="str">
            <v>BP</v>
          </cell>
          <cell r="K107">
            <v>159.34119999999999</v>
          </cell>
          <cell r="L107">
            <v>0</v>
          </cell>
          <cell r="M107">
            <v>0</v>
          </cell>
          <cell r="N107">
            <v>0</v>
          </cell>
          <cell r="O107">
            <v>139.07579999999999</v>
          </cell>
        </row>
        <row r="108">
          <cell r="B108" t="str">
            <v>BP</v>
          </cell>
          <cell r="K108">
            <v>0</v>
          </cell>
          <cell r="L108">
            <v>0.94691769999999997</v>
          </cell>
          <cell r="M108">
            <v>3.272777</v>
          </cell>
          <cell r="N108">
            <v>16.9163</v>
          </cell>
          <cell r="P108">
            <v>0.74520549999999997</v>
          </cell>
          <cell r="Q108">
            <v>2.3809309999999999</v>
          </cell>
          <cell r="R108">
            <v>15.64931</v>
          </cell>
        </row>
        <row r="109">
          <cell r="B109" t="str">
            <v>BP</v>
          </cell>
          <cell r="K109">
            <v>9.5890409999999999</v>
          </cell>
          <cell r="L109">
            <v>0.66698060000000003</v>
          </cell>
          <cell r="M109">
            <v>1.3609830000000001</v>
          </cell>
          <cell r="N109">
            <v>11.74858</v>
          </cell>
          <cell r="O109">
            <v>9.7660260000000001</v>
          </cell>
          <cell r="P109">
            <v>0.4470904</v>
          </cell>
          <cell r="Q109">
            <v>0.91229400000000005</v>
          </cell>
          <cell r="R109">
            <v>11.74858</v>
          </cell>
        </row>
        <row r="110">
          <cell r="B110" t="str">
            <v>BP</v>
          </cell>
          <cell r="K110">
            <v>135.44669999999999</v>
          </cell>
          <cell r="L110">
            <v>1.860438E-2</v>
          </cell>
          <cell r="M110">
            <v>5.265898</v>
          </cell>
          <cell r="N110">
            <v>-6.5320160000000003E-7</v>
          </cell>
          <cell r="O110">
            <v>130.9726</v>
          </cell>
          <cell r="P110">
            <v>1.860438E-2</v>
          </cell>
          <cell r="Q110">
            <v>5.1616249999999999</v>
          </cell>
          <cell r="R110">
            <v>0</v>
          </cell>
        </row>
        <row r="111">
          <cell r="B111" t="str">
            <v>BP</v>
          </cell>
          <cell r="K111">
            <v>26.362410000000001</v>
          </cell>
          <cell r="L111">
            <v>36.127079999999999</v>
          </cell>
          <cell r="M111">
            <v>32.715899999999998</v>
          </cell>
          <cell r="N111">
            <v>73.255709999999993</v>
          </cell>
          <cell r="O111">
            <v>31.5517</v>
          </cell>
          <cell r="P111">
            <v>35.426400000000001</v>
          </cell>
          <cell r="Q111">
            <v>44.265279999999997</v>
          </cell>
          <cell r="R111">
            <v>92.564670000000007</v>
          </cell>
        </row>
        <row r="112">
          <cell r="B112" t="str">
            <v>BP</v>
          </cell>
          <cell r="K112">
            <v>2.3930600000000002</v>
          </cell>
          <cell r="L112">
            <v>2.5622739999999999</v>
          </cell>
          <cell r="M112">
            <v>1.6153360000000001</v>
          </cell>
          <cell r="N112">
            <v>193.75739999999999</v>
          </cell>
          <cell r="O112">
            <v>2.3311809999999999</v>
          </cell>
          <cell r="P112">
            <v>2.4477950000000002</v>
          </cell>
          <cell r="Q112">
            <v>1.368063</v>
          </cell>
          <cell r="R112">
            <v>151.49250000000001</v>
          </cell>
        </row>
        <row r="113">
          <cell r="B113" t="str">
            <v>BP</v>
          </cell>
          <cell r="K113">
            <v>0</v>
          </cell>
          <cell r="L113">
            <v>18.387899999999998</v>
          </cell>
          <cell r="M113">
            <v>0</v>
          </cell>
          <cell r="N113">
            <v>93.698620000000005</v>
          </cell>
          <cell r="P113">
            <v>18.387899999999998</v>
          </cell>
          <cell r="R113">
            <v>93.698620000000005</v>
          </cell>
        </row>
        <row r="114">
          <cell r="B114" t="str">
            <v>BP</v>
          </cell>
          <cell r="K114">
            <v>6.9617709999999997</v>
          </cell>
          <cell r="L114">
            <v>1.906428</v>
          </cell>
          <cell r="M114">
            <v>0.38355050000000002</v>
          </cell>
          <cell r="N114">
            <v>1.084562</v>
          </cell>
          <cell r="O114">
            <v>6.6921689999999998</v>
          </cell>
          <cell r="P114">
            <v>1.83979</v>
          </cell>
          <cell r="Q114">
            <v>0.36035620000000002</v>
          </cell>
          <cell r="R114">
            <v>0.70338429999999996</v>
          </cell>
        </row>
        <row r="115">
          <cell r="B115" t="str">
            <v>BP</v>
          </cell>
          <cell r="K115">
            <v>61.235399999999998</v>
          </cell>
          <cell r="L115">
            <v>0</v>
          </cell>
          <cell r="M115">
            <v>8.8963199999999993</v>
          </cell>
          <cell r="N115">
            <v>0.63590270000000004</v>
          </cell>
          <cell r="O115">
            <v>61.555660000000003</v>
          </cell>
          <cell r="Q115">
            <v>9.7423669999999998</v>
          </cell>
          <cell r="R115">
            <v>0.55431649999999999</v>
          </cell>
        </row>
        <row r="116">
          <cell r="B116" t="str">
            <v>BP</v>
          </cell>
          <cell r="K116">
            <v>0</v>
          </cell>
          <cell r="L116">
            <v>0</v>
          </cell>
          <cell r="M116">
            <v>1.659233</v>
          </cell>
          <cell r="N116">
            <v>115.8122</v>
          </cell>
          <cell r="Q116">
            <v>1.2320759999999999</v>
          </cell>
          <cell r="R116">
            <v>43.719650000000001</v>
          </cell>
        </row>
        <row r="117">
          <cell r="B117" t="str">
            <v>BP</v>
          </cell>
          <cell r="K117">
            <v>1.7623599999999999</v>
          </cell>
          <cell r="L117">
            <v>9.9219460000000002</v>
          </cell>
          <cell r="M117">
            <v>0</v>
          </cell>
          <cell r="N117">
            <v>59.108539999999998</v>
          </cell>
          <cell r="O117">
            <v>1.5795159999999999</v>
          </cell>
          <cell r="P117">
            <v>9.9012960000000003</v>
          </cell>
          <cell r="R117">
            <v>57.404339999999998</v>
          </cell>
        </row>
        <row r="118">
          <cell r="B118" t="str">
            <v>BP</v>
          </cell>
          <cell r="K118">
            <v>0.42448770000000002</v>
          </cell>
          <cell r="L118">
            <v>2.7928440000000001</v>
          </cell>
          <cell r="M118">
            <v>0</v>
          </cell>
          <cell r="N118">
            <v>12.57307</v>
          </cell>
          <cell r="O118">
            <v>0.39868340000000002</v>
          </cell>
          <cell r="P118">
            <v>2.6837529999999998</v>
          </cell>
          <cell r="R118">
            <v>12.12115</v>
          </cell>
        </row>
        <row r="119">
          <cell r="B119" t="str">
            <v>BP</v>
          </cell>
          <cell r="K119">
            <v>0</v>
          </cell>
          <cell r="L119">
            <v>2.0844019999999999</v>
          </cell>
          <cell r="M119">
            <v>0</v>
          </cell>
          <cell r="N119">
            <v>69.971789999999999</v>
          </cell>
          <cell r="P119">
            <v>2.0844019999999999</v>
          </cell>
          <cell r="R119">
            <v>69.971779999999995</v>
          </cell>
        </row>
        <row r="120">
          <cell r="B120" t="str">
            <v>BP</v>
          </cell>
          <cell r="K120">
            <v>0</v>
          </cell>
          <cell r="L120">
            <v>0</v>
          </cell>
          <cell r="M120">
            <v>0</v>
          </cell>
          <cell r="N120">
            <v>0</v>
          </cell>
          <cell r="R120">
            <v>0</v>
          </cell>
        </row>
        <row r="121">
          <cell r="B121" t="str">
            <v>BP</v>
          </cell>
          <cell r="K121">
            <v>61.700409999999998</v>
          </cell>
          <cell r="L121">
            <v>0</v>
          </cell>
          <cell r="M121">
            <v>0.76722970000000001</v>
          </cell>
          <cell r="N121">
            <v>4.8202210000000001</v>
          </cell>
          <cell r="O121">
            <v>77.110529999999997</v>
          </cell>
          <cell r="Q121">
            <v>0.74123249999999996</v>
          </cell>
          <cell r="R121">
            <v>6.2547819999999996</v>
          </cell>
        </row>
        <row r="122">
          <cell r="B122" t="str">
            <v>BP</v>
          </cell>
          <cell r="K122">
            <v>47.352760000000004</v>
          </cell>
          <cell r="L122">
            <v>0.6175233</v>
          </cell>
          <cell r="M122">
            <v>1.382068E-3</v>
          </cell>
          <cell r="N122">
            <v>20.496639999999999</v>
          </cell>
          <cell r="O122">
            <v>42.389220000000002</v>
          </cell>
          <cell r="P122">
            <v>0.47919729999999999</v>
          </cell>
          <cell r="Q122">
            <v>5.7140410000000004E-3</v>
          </cell>
          <cell r="R122">
            <v>18.43272</v>
          </cell>
        </row>
        <row r="123">
          <cell r="B123" t="str">
            <v>BP</v>
          </cell>
          <cell r="K123">
            <v>48.466520000000003</v>
          </cell>
          <cell r="L123">
            <v>4.2414560000000002E-3</v>
          </cell>
          <cell r="M123">
            <v>3.8387160000000001E-5</v>
          </cell>
          <cell r="N123">
            <v>6.8791359999999999</v>
          </cell>
        </row>
        <row r="124">
          <cell r="B124" t="str">
            <v>BP</v>
          </cell>
          <cell r="K124">
            <v>27.096319999999999</v>
          </cell>
          <cell r="L124">
            <v>0</v>
          </cell>
          <cell r="M124">
            <v>7.1146539999999998</v>
          </cell>
          <cell r="N124">
            <v>12.69877</v>
          </cell>
          <cell r="O124">
            <v>40.443899999999999</v>
          </cell>
          <cell r="Q124">
            <v>10.437049999999999</v>
          </cell>
          <cell r="R124">
            <v>18.48105</v>
          </cell>
        </row>
        <row r="125">
          <cell r="B125" t="str">
            <v>BP</v>
          </cell>
          <cell r="K125">
            <v>0</v>
          </cell>
          <cell r="L125">
            <v>0</v>
          </cell>
          <cell r="M125">
            <v>0.16492229999999999</v>
          </cell>
          <cell r="N125">
            <v>39.160739999999997</v>
          </cell>
          <cell r="Q125">
            <v>0.13234589999999999</v>
          </cell>
          <cell r="R125">
            <v>34.618650000000002</v>
          </cell>
        </row>
        <row r="126">
          <cell r="B126" t="str">
            <v>BP</v>
          </cell>
          <cell r="K126">
            <v>9.6164919999999992</v>
          </cell>
          <cell r="L126">
            <v>7.5949650000000002</v>
          </cell>
          <cell r="M126">
            <v>0.89454160000000005</v>
          </cell>
          <cell r="N126">
            <v>3.236208</v>
          </cell>
          <cell r="O126">
            <v>7.4629269999999996</v>
          </cell>
          <cell r="P126">
            <v>5.8280519999999996</v>
          </cell>
          <cell r="Q126">
            <v>0.68743270000000001</v>
          </cell>
          <cell r="R126">
            <v>2.475441</v>
          </cell>
        </row>
        <row r="127">
          <cell r="B127" t="str">
            <v>BP</v>
          </cell>
          <cell r="K127">
            <v>0</v>
          </cell>
          <cell r="L127">
            <v>1.4271780000000001</v>
          </cell>
          <cell r="M127">
            <v>1.4259950000000001E-5</v>
          </cell>
          <cell r="N127">
            <v>10.27722</v>
          </cell>
          <cell r="O127">
            <v>1.732124</v>
          </cell>
          <cell r="P127">
            <v>3.9670209999999999</v>
          </cell>
          <cell r="Q127">
            <v>0.200928</v>
          </cell>
          <cell r="R127">
            <v>27.60191</v>
          </cell>
        </row>
        <row r="128">
          <cell r="B128" t="str">
            <v>BP</v>
          </cell>
          <cell r="K128">
            <v>2.2834569999999998</v>
          </cell>
          <cell r="L128">
            <v>0</v>
          </cell>
          <cell r="M128">
            <v>9.4416070000000005E-2</v>
          </cell>
          <cell r="N128">
            <v>0.4094508</v>
          </cell>
          <cell r="O128">
            <v>1.8692839999999999</v>
          </cell>
          <cell r="Q128">
            <v>3.1512070000000003E-2</v>
          </cell>
          <cell r="R128">
            <v>0.2690844</v>
          </cell>
        </row>
        <row r="129">
          <cell r="B129" t="str">
            <v>BP</v>
          </cell>
          <cell r="K129">
            <v>0.44294670000000003</v>
          </cell>
          <cell r="L129">
            <v>0</v>
          </cell>
          <cell r="M129">
            <v>0.28789369999999997</v>
          </cell>
          <cell r="N129">
            <v>1.796346</v>
          </cell>
          <cell r="O129">
            <v>0.43071510000000002</v>
          </cell>
          <cell r="Q129">
            <v>9.8018889999999997E-2</v>
          </cell>
          <cell r="R129">
            <v>1.9831639999999999</v>
          </cell>
        </row>
        <row r="130">
          <cell r="B130" t="str">
            <v>BP</v>
          </cell>
          <cell r="K130">
            <v>0</v>
          </cell>
          <cell r="L130">
            <v>0</v>
          </cell>
          <cell r="M130">
            <v>0</v>
          </cell>
          <cell r="N130">
            <v>0</v>
          </cell>
          <cell r="O130">
            <v>0</v>
          </cell>
          <cell r="Q130">
            <v>0</v>
          </cell>
        </row>
        <row r="131">
          <cell r="B131" t="str">
            <v>BP</v>
          </cell>
          <cell r="K131">
            <v>0</v>
          </cell>
          <cell r="L131">
            <v>0</v>
          </cell>
          <cell r="M131">
            <v>0</v>
          </cell>
          <cell r="N131">
            <v>0</v>
          </cell>
          <cell r="O131">
            <v>0</v>
          </cell>
          <cell r="Q131">
            <v>0</v>
          </cell>
          <cell r="R131">
            <v>0</v>
          </cell>
        </row>
        <row r="132">
          <cell r="B132" t="str">
            <v>BP</v>
          </cell>
          <cell r="K132">
            <v>1.9254250000000001E-4</v>
          </cell>
          <cell r="L132">
            <v>0</v>
          </cell>
          <cell r="M132">
            <v>0</v>
          </cell>
          <cell r="N132">
            <v>35.266539999999999</v>
          </cell>
          <cell r="O132">
            <v>4.2686299999999998E-5</v>
          </cell>
          <cell r="R132">
            <v>34.53387</v>
          </cell>
        </row>
        <row r="133">
          <cell r="B133" t="str">
            <v>BP</v>
          </cell>
          <cell r="K133">
            <v>6.5960520000000002</v>
          </cell>
          <cell r="L133">
            <v>0</v>
          </cell>
          <cell r="M133">
            <v>0.7493107</v>
          </cell>
          <cell r="N133">
            <v>26.113389999999999</v>
          </cell>
          <cell r="O133">
            <v>6.3844269999999996</v>
          </cell>
          <cell r="Q133">
            <v>0.72527569999999997</v>
          </cell>
          <cell r="R133">
            <v>18.131779999999999</v>
          </cell>
        </row>
        <row r="134">
          <cell r="B134" t="str">
            <v>BP</v>
          </cell>
          <cell r="K134">
            <v>3.264564</v>
          </cell>
          <cell r="L134">
            <v>0.24295069999999999</v>
          </cell>
          <cell r="M134">
            <v>2.7147130000000002</v>
          </cell>
          <cell r="N134">
            <v>24.925940000000001</v>
          </cell>
          <cell r="O134">
            <v>2.9135209999999998</v>
          </cell>
          <cell r="P134">
            <v>0.33381919999999998</v>
          </cell>
          <cell r="Q134">
            <v>2.6888190000000001</v>
          </cell>
          <cell r="R134">
            <v>25.05678</v>
          </cell>
        </row>
        <row r="135">
          <cell r="B135" t="str">
            <v>BP</v>
          </cell>
          <cell r="K135">
            <v>24.600010000000001</v>
          </cell>
          <cell r="L135">
            <v>0</v>
          </cell>
          <cell r="M135">
            <v>0</v>
          </cell>
          <cell r="N135">
            <v>0</v>
          </cell>
          <cell r="O135">
            <v>24.75</v>
          </cell>
          <cell r="P135">
            <v>0</v>
          </cell>
          <cell r="Q135">
            <v>-3.1894610000000002E-10</v>
          </cell>
          <cell r="R135">
            <v>0</v>
          </cell>
        </row>
        <row r="136">
          <cell r="B136" t="str">
            <v>BP</v>
          </cell>
          <cell r="K136">
            <v>2.707309</v>
          </cell>
          <cell r="L136">
            <v>0.17228379999999999</v>
          </cell>
          <cell r="M136">
            <v>0.36724519999999999</v>
          </cell>
          <cell r="N136">
            <v>18.427530000000001</v>
          </cell>
          <cell r="O136">
            <v>6.1265359999999998</v>
          </cell>
          <cell r="P136">
            <v>0.21780569999999999</v>
          </cell>
          <cell r="Q136">
            <v>0.47127570000000002</v>
          </cell>
          <cell r="R136">
            <v>18.88627</v>
          </cell>
        </row>
        <row r="137">
          <cell r="B137" t="str">
            <v>BP</v>
          </cell>
          <cell r="K137">
            <v>0.65501120000000002</v>
          </cell>
          <cell r="L137">
            <v>0.65430829999999995</v>
          </cell>
          <cell r="M137">
            <v>0.14137240000000001</v>
          </cell>
          <cell r="N137">
            <v>15.886010000000001</v>
          </cell>
          <cell r="O137">
            <v>0.11742379999999999</v>
          </cell>
          <cell r="P137">
            <v>0.87682599999999999</v>
          </cell>
          <cell r="Q137">
            <v>0.15906600000000001</v>
          </cell>
          <cell r="R137">
            <v>16.717919999999999</v>
          </cell>
        </row>
        <row r="138">
          <cell r="B138" t="str">
            <v>BP</v>
          </cell>
          <cell r="K138">
            <v>1.544718</v>
          </cell>
          <cell r="L138">
            <v>0.1570493</v>
          </cell>
          <cell r="M138">
            <v>1.3701539999999999E-3</v>
          </cell>
          <cell r="N138">
            <v>2.3222499999999999</v>
          </cell>
          <cell r="O138">
            <v>1.1659949999999999</v>
          </cell>
          <cell r="P138">
            <v>0.17065520000000001</v>
          </cell>
          <cell r="Q138">
            <v>2.1136599999999998E-3</v>
          </cell>
          <cell r="R138">
            <v>2.3561830000000001</v>
          </cell>
        </row>
        <row r="139">
          <cell r="B139" t="str">
            <v>BP</v>
          </cell>
          <cell r="K139">
            <v>6.8440550000000003E-2</v>
          </cell>
          <cell r="L139">
            <v>0.37451679999999998</v>
          </cell>
          <cell r="M139">
            <v>0</v>
          </cell>
          <cell r="N139">
            <v>3.7676850000000002</v>
          </cell>
          <cell r="O139">
            <v>0</v>
          </cell>
          <cell r="P139">
            <v>0.45983879999999999</v>
          </cell>
          <cell r="R139">
            <v>3.4824839999999999</v>
          </cell>
        </row>
        <row r="140">
          <cell r="B140" t="str">
            <v>BP</v>
          </cell>
          <cell r="K140">
            <v>0</v>
          </cell>
          <cell r="L140">
            <v>2.2498870000000002</v>
          </cell>
          <cell r="M140">
            <v>0</v>
          </cell>
          <cell r="N140">
            <v>11.563800000000001</v>
          </cell>
          <cell r="P140">
            <v>2.0726019999999998</v>
          </cell>
          <cell r="R140">
            <v>10.72265</v>
          </cell>
        </row>
        <row r="141">
          <cell r="B141" t="str">
            <v>BP</v>
          </cell>
          <cell r="K141">
            <v>2.009589E-4</v>
          </cell>
          <cell r="L141">
            <v>10.66389</v>
          </cell>
          <cell r="M141">
            <v>4.0088929999999996</v>
          </cell>
          <cell r="N141">
            <v>0</v>
          </cell>
          <cell r="O141">
            <v>0</v>
          </cell>
          <cell r="P141">
            <v>9.4717490000000009</v>
          </cell>
          <cell r="Q141">
            <v>3.5607289999999998</v>
          </cell>
        </row>
        <row r="142">
          <cell r="B142" t="str">
            <v>BP</v>
          </cell>
          <cell r="K142">
            <v>15.82466</v>
          </cell>
          <cell r="L142">
            <v>0.1030137</v>
          </cell>
          <cell r="M142">
            <v>0</v>
          </cell>
          <cell r="N142">
            <v>3.2876709999999998E-3</v>
          </cell>
          <cell r="O142">
            <v>16.43835</v>
          </cell>
          <cell r="P142">
            <v>6.9052059999999998E-2</v>
          </cell>
          <cell r="R142">
            <v>3.2887670000000002E-3</v>
          </cell>
        </row>
        <row r="143">
          <cell r="B143" t="str">
            <v>BP</v>
          </cell>
          <cell r="K143">
            <v>0</v>
          </cell>
          <cell r="L143">
            <v>0</v>
          </cell>
          <cell r="M143">
            <v>0</v>
          </cell>
          <cell r="N143">
            <v>13.15715</v>
          </cell>
          <cell r="R143">
            <v>16.890550000000001</v>
          </cell>
        </row>
        <row r="144">
          <cell r="B144" t="str">
            <v>BP</v>
          </cell>
          <cell r="K144">
            <v>4.4515230000000003E-2</v>
          </cell>
          <cell r="L144">
            <v>0</v>
          </cell>
          <cell r="M144">
            <v>4.1784960000000002E-4</v>
          </cell>
          <cell r="N144">
            <v>0</v>
          </cell>
          <cell r="O144">
            <v>2.1643830000000001E-6</v>
          </cell>
          <cell r="Q144">
            <v>0</v>
          </cell>
        </row>
        <row r="145">
          <cell r="B145" t="str">
            <v>BP</v>
          </cell>
          <cell r="K145">
            <v>0</v>
          </cell>
          <cell r="L145">
            <v>0</v>
          </cell>
          <cell r="M145">
            <v>0</v>
          </cell>
          <cell r="N145">
            <v>0</v>
          </cell>
          <cell r="O145">
            <v>0</v>
          </cell>
        </row>
        <row r="146">
          <cell r="B146" t="str">
            <v>BP</v>
          </cell>
          <cell r="K146">
            <v>2.4311909999999999E-2</v>
          </cell>
          <cell r="L146">
            <v>0</v>
          </cell>
          <cell r="M146">
            <v>1.5121580000000001E-4</v>
          </cell>
          <cell r="N146">
            <v>1.3277689999999999E-3</v>
          </cell>
        </row>
        <row r="147">
          <cell r="B147" t="str">
            <v>BP</v>
          </cell>
          <cell r="K147">
            <v>1.7546139999999998E-2</v>
          </cell>
          <cell r="L147">
            <v>0</v>
          </cell>
          <cell r="M147">
            <v>1.7237720000000001E-5</v>
          </cell>
          <cell r="N147">
            <v>2.6868829999999999E-4</v>
          </cell>
        </row>
        <row r="148">
          <cell r="B148" t="str">
            <v>BP</v>
          </cell>
          <cell r="K148">
            <v>0</v>
          </cell>
          <cell r="L148">
            <v>1.659441E-2</v>
          </cell>
          <cell r="M148">
            <v>1.1671229999999999E-2</v>
          </cell>
          <cell r="N148">
            <v>9.5890409999999995E-2</v>
          </cell>
          <cell r="P148">
            <v>1.6401530000000001E-2</v>
          </cell>
          <cell r="Q148">
            <v>1.153557E-2</v>
          </cell>
          <cell r="R148">
            <v>9.477592E-2</v>
          </cell>
        </row>
        <row r="149">
          <cell r="B149" t="str">
            <v>BP</v>
          </cell>
          <cell r="K149">
            <v>0</v>
          </cell>
          <cell r="L149">
            <v>0</v>
          </cell>
          <cell r="M149">
            <v>0</v>
          </cell>
          <cell r="N149">
            <v>0</v>
          </cell>
        </row>
        <row r="150">
          <cell r="B150" t="str">
            <v>BP</v>
          </cell>
          <cell r="K150">
            <v>0</v>
          </cell>
          <cell r="L150">
            <v>0</v>
          </cell>
          <cell r="M150">
            <v>0</v>
          </cell>
          <cell r="N150">
            <v>0</v>
          </cell>
          <cell r="O150">
            <v>0</v>
          </cell>
          <cell r="R150">
            <v>0</v>
          </cell>
        </row>
        <row r="151">
          <cell r="B151" t="str">
            <v>BP</v>
          </cell>
          <cell r="K151">
            <v>0</v>
          </cell>
          <cell r="L151">
            <v>0</v>
          </cell>
          <cell r="M151">
            <v>0</v>
          </cell>
          <cell r="N151">
            <v>0</v>
          </cell>
          <cell r="O151">
            <v>0</v>
          </cell>
          <cell r="R151">
            <v>0</v>
          </cell>
        </row>
        <row r="152">
          <cell r="B152" t="str">
            <v>BP</v>
          </cell>
          <cell r="K152">
            <v>0</v>
          </cell>
          <cell r="L152">
            <v>0</v>
          </cell>
          <cell r="M152">
            <v>0</v>
          </cell>
          <cell r="N152">
            <v>0</v>
          </cell>
          <cell r="O152">
            <v>0</v>
          </cell>
          <cell r="R152">
            <v>0</v>
          </cell>
        </row>
        <row r="153">
          <cell r="B153" t="str">
            <v>BP</v>
          </cell>
          <cell r="K153">
            <v>0</v>
          </cell>
          <cell r="L153">
            <v>0</v>
          </cell>
          <cell r="M153">
            <v>0</v>
          </cell>
          <cell r="N153">
            <v>0</v>
          </cell>
          <cell r="O153">
            <v>0</v>
          </cell>
          <cell r="Q153">
            <v>0</v>
          </cell>
          <cell r="R153">
            <v>0</v>
          </cell>
        </row>
        <row r="154">
          <cell r="B154" t="str">
            <v>BP</v>
          </cell>
          <cell r="K154">
            <v>0</v>
          </cell>
          <cell r="L154">
            <v>0</v>
          </cell>
          <cell r="M154">
            <v>0</v>
          </cell>
          <cell r="N154">
            <v>0</v>
          </cell>
          <cell r="O154">
            <v>0</v>
          </cell>
          <cell r="R154">
            <v>0</v>
          </cell>
        </row>
        <row r="155">
          <cell r="B155" t="str">
            <v>BP</v>
          </cell>
          <cell r="K155">
            <v>0</v>
          </cell>
          <cell r="L155">
            <v>0</v>
          </cell>
          <cell r="M155">
            <v>0</v>
          </cell>
          <cell r="N155">
            <v>0</v>
          </cell>
          <cell r="O155">
            <v>0</v>
          </cell>
          <cell r="R155">
            <v>0</v>
          </cell>
        </row>
        <row r="156">
          <cell r="B156" t="str">
            <v>BP</v>
          </cell>
          <cell r="K156">
            <v>7.6353220000000004</v>
          </cell>
          <cell r="L156">
            <v>0.33695890000000001</v>
          </cell>
          <cell r="M156">
            <v>1.1609420000000001E-3</v>
          </cell>
          <cell r="N156">
            <v>0.952125</v>
          </cell>
          <cell r="O156">
            <v>7.251976</v>
          </cell>
          <cell r="P156">
            <v>0.33028689999999999</v>
          </cell>
          <cell r="Q156">
            <v>1.160821E-3</v>
          </cell>
          <cell r="R156">
            <v>0.95212359999999996</v>
          </cell>
        </row>
        <row r="157">
          <cell r="B157" t="str">
            <v>BP</v>
          </cell>
          <cell r="K157">
            <v>0</v>
          </cell>
          <cell r="L157">
            <v>0</v>
          </cell>
          <cell r="M157">
            <v>0</v>
          </cell>
          <cell r="N157">
            <v>0</v>
          </cell>
          <cell r="R157">
            <v>3.898326</v>
          </cell>
        </row>
        <row r="158">
          <cell r="B158" t="str">
            <v>BP</v>
          </cell>
          <cell r="K158">
            <v>0</v>
          </cell>
          <cell r="L158">
            <v>0</v>
          </cell>
          <cell r="M158">
            <v>0</v>
          </cell>
          <cell r="N158">
            <v>3.0891329999999999</v>
          </cell>
          <cell r="R158">
            <v>0.240617</v>
          </cell>
        </row>
        <row r="159">
          <cell r="B159" t="str">
            <v>BP</v>
          </cell>
          <cell r="K159">
            <v>0</v>
          </cell>
          <cell r="L159">
            <v>0</v>
          </cell>
          <cell r="M159">
            <v>0</v>
          </cell>
          <cell r="N159">
            <v>4.0850650000000002</v>
          </cell>
          <cell r="R159">
            <v>4.8137040000000004</v>
          </cell>
        </row>
        <row r="160">
          <cell r="B160" t="str">
            <v>BP</v>
          </cell>
          <cell r="K160">
            <v>0</v>
          </cell>
          <cell r="L160">
            <v>0</v>
          </cell>
          <cell r="M160">
            <v>1.050001</v>
          </cell>
          <cell r="N160">
            <v>0</v>
          </cell>
          <cell r="Q160">
            <v>0.95175460000000001</v>
          </cell>
        </row>
        <row r="161">
          <cell r="B161" t="str">
            <v>BP</v>
          </cell>
          <cell r="K161">
            <v>2.2671290000000001E-3</v>
          </cell>
          <cell r="L161">
            <v>0</v>
          </cell>
          <cell r="M161">
            <v>1.2985349999999999E-5</v>
          </cell>
          <cell r="N161">
            <v>3.2603950000000001E-3</v>
          </cell>
        </row>
        <row r="162">
          <cell r="B162" t="str">
            <v>BP</v>
          </cell>
          <cell r="K162">
            <v>0</v>
          </cell>
          <cell r="L162">
            <v>0</v>
          </cell>
          <cell r="M162">
            <v>0</v>
          </cell>
          <cell r="N162">
            <v>0.4076301</v>
          </cell>
          <cell r="R162">
            <v>0.4076301</v>
          </cell>
        </row>
        <row r="163">
          <cell r="B163" t="str">
            <v>BP</v>
          </cell>
          <cell r="K163">
            <v>0</v>
          </cell>
          <cell r="L163">
            <v>0</v>
          </cell>
          <cell r="M163">
            <v>0</v>
          </cell>
          <cell r="N163">
            <v>0</v>
          </cell>
        </row>
        <row r="164">
          <cell r="B164" t="str">
            <v>BP</v>
          </cell>
          <cell r="K164">
            <v>9.0560260000000004E-2</v>
          </cell>
          <cell r="L164">
            <v>0</v>
          </cell>
          <cell r="M164">
            <v>0</v>
          </cell>
          <cell r="N164">
            <v>5.243836E-3</v>
          </cell>
          <cell r="O164">
            <v>6.0704099999999997E-2</v>
          </cell>
          <cell r="R164">
            <v>5.1383560000000002E-3</v>
          </cell>
        </row>
        <row r="165">
          <cell r="B165" t="str">
            <v>BP</v>
          </cell>
          <cell r="K165">
            <v>0</v>
          </cell>
          <cell r="L165">
            <v>0</v>
          </cell>
          <cell r="M165">
            <v>0</v>
          </cell>
          <cell r="N165">
            <v>0</v>
          </cell>
          <cell r="O165">
            <v>3.7362739999999998E-2</v>
          </cell>
          <cell r="R165">
            <v>1.570685E-3</v>
          </cell>
        </row>
        <row r="166">
          <cell r="B166" t="str">
            <v>BP</v>
          </cell>
          <cell r="K166">
            <v>0</v>
          </cell>
          <cell r="L166">
            <v>0</v>
          </cell>
          <cell r="M166">
            <v>0</v>
          </cell>
          <cell r="N166">
            <v>2.612806E-6</v>
          </cell>
          <cell r="R166">
            <v>1.9596050000000002E-6</v>
          </cell>
        </row>
        <row r="167">
          <cell r="B167" t="str">
            <v>BP</v>
          </cell>
          <cell r="K167">
            <v>1.8010889999999999E-6</v>
          </cell>
          <cell r="L167">
            <v>-3.9868259999999998E-11</v>
          </cell>
          <cell r="M167">
            <v>4.7841910000000001E-10</v>
          </cell>
          <cell r="N167">
            <v>-9.5683830000000004E-8</v>
          </cell>
          <cell r="O167">
            <v>5.3064660000000001E-7</v>
          </cell>
          <cell r="P167">
            <v>0</v>
          </cell>
          <cell r="Q167">
            <v>-6.7464570000000002E-10</v>
          </cell>
          <cell r="R167">
            <v>2.0412550000000001E-8</v>
          </cell>
        </row>
        <row r="168">
          <cell r="B168" t="str">
            <v>BP</v>
          </cell>
          <cell r="K168">
            <v>6.5320160000000003E-7</v>
          </cell>
          <cell r="L168">
            <v>8.1650200000000004E-8</v>
          </cell>
          <cell r="M168">
            <v>0</v>
          </cell>
          <cell r="N168">
            <v>0</v>
          </cell>
          <cell r="O168">
            <v>0</v>
          </cell>
          <cell r="P168">
            <v>0</v>
          </cell>
          <cell r="Q168">
            <v>0</v>
          </cell>
          <cell r="R168">
            <v>0</v>
          </cell>
        </row>
        <row r="169">
          <cell r="B169" t="str">
            <v>BP</v>
          </cell>
          <cell r="K169">
            <v>0</v>
          </cell>
          <cell r="L169">
            <v>0</v>
          </cell>
          <cell r="M169">
            <v>0</v>
          </cell>
          <cell r="N169">
            <v>0</v>
          </cell>
          <cell r="O169">
            <v>0</v>
          </cell>
          <cell r="P169">
            <v>0</v>
          </cell>
          <cell r="R169">
            <v>0</v>
          </cell>
        </row>
        <row r="170">
          <cell r="B170" t="str">
            <v>BP</v>
          </cell>
          <cell r="K170">
            <v>0</v>
          </cell>
          <cell r="L170">
            <v>0</v>
          </cell>
          <cell r="M170">
            <v>-1.9934129999999999E-11</v>
          </cell>
          <cell r="N170">
            <v>-1.2757839999999999E-9</v>
          </cell>
          <cell r="O170">
            <v>3.1102229999999997E-8</v>
          </cell>
          <cell r="P170">
            <v>0</v>
          </cell>
          <cell r="Q170">
            <v>-3.4884729999999997E-11</v>
          </cell>
          <cell r="R170">
            <v>-3.8124019999999996E-9</v>
          </cell>
        </row>
        <row r="171">
          <cell r="B171" t="str">
            <v>BP</v>
          </cell>
          <cell r="K171">
            <v>2.0412550000000001E-8</v>
          </cell>
          <cell r="L171">
            <v>0</v>
          </cell>
          <cell r="M171">
            <v>0</v>
          </cell>
          <cell r="N171">
            <v>0</v>
          </cell>
          <cell r="O171">
            <v>2.0412550000000001E-8</v>
          </cell>
        </row>
        <row r="172">
          <cell r="B172" t="str">
            <v>BP</v>
          </cell>
          <cell r="K172">
            <v>1.291732E-8</v>
          </cell>
          <cell r="L172">
            <v>-3.9868259999999998E-11</v>
          </cell>
          <cell r="M172">
            <v>0</v>
          </cell>
          <cell r="N172">
            <v>0</v>
          </cell>
          <cell r="O172">
            <v>-1.114318E-8</v>
          </cell>
          <cell r="P172">
            <v>3.9868259999999998E-11</v>
          </cell>
          <cell r="Q172">
            <v>1.370471E-11</v>
          </cell>
        </row>
        <row r="173">
          <cell r="B173" t="str">
            <v>BP</v>
          </cell>
          <cell r="K173">
            <v>4.0825100000000002E-8</v>
          </cell>
          <cell r="L173">
            <v>1.5947299999999999E-10</v>
          </cell>
          <cell r="M173">
            <v>4.7841910000000001E-10</v>
          </cell>
          <cell r="N173">
            <v>0</v>
          </cell>
          <cell r="O173">
            <v>-4.0825100000000002E-8</v>
          </cell>
          <cell r="P173">
            <v>0</v>
          </cell>
          <cell r="Q173">
            <v>-6.3789220000000004E-10</v>
          </cell>
          <cell r="R173">
            <v>0</v>
          </cell>
        </row>
        <row r="174">
          <cell r="B174" t="str">
            <v>BP</v>
          </cell>
          <cell r="K174">
            <v>0</v>
          </cell>
          <cell r="L174">
            <v>0</v>
          </cell>
          <cell r="M174">
            <v>2.0412550000000001E-8</v>
          </cell>
          <cell r="N174">
            <v>0</v>
          </cell>
          <cell r="O174">
            <v>0</v>
          </cell>
          <cell r="Q174">
            <v>0</v>
          </cell>
          <cell r="R174">
            <v>0</v>
          </cell>
        </row>
        <row r="175">
          <cell r="B175" t="str">
            <v>BP</v>
          </cell>
          <cell r="K175">
            <v>0</v>
          </cell>
          <cell r="L175">
            <v>0</v>
          </cell>
          <cell r="M175">
            <v>0</v>
          </cell>
          <cell r="N175">
            <v>0</v>
          </cell>
          <cell r="P175">
            <v>0</v>
          </cell>
          <cell r="R175">
            <v>0</v>
          </cell>
        </row>
        <row r="176">
          <cell r="B176" t="str">
            <v>BP</v>
          </cell>
          <cell r="K176">
            <v>0</v>
          </cell>
          <cell r="L176">
            <v>0</v>
          </cell>
          <cell r="M176">
            <v>0</v>
          </cell>
          <cell r="N176">
            <v>0</v>
          </cell>
          <cell r="O176">
            <v>0</v>
          </cell>
          <cell r="Q176">
            <v>0</v>
          </cell>
          <cell r="R176">
            <v>0</v>
          </cell>
        </row>
        <row r="177">
          <cell r="B177" t="str">
            <v>BP</v>
          </cell>
          <cell r="K177">
            <v>0</v>
          </cell>
          <cell r="L177">
            <v>0</v>
          </cell>
          <cell r="M177">
            <v>0</v>
          </cell>
          <cell r="N177">
            <v>0</v>
          </cell>
          <cell r="O177">
            <v>0</v>
          </cell>
          <cell r="Q177">
            <v>0</v>
          </cell>
          <cell r="R177">
            <v>0</v>
          </cell>
        </row>
        <row r="178">
          <cell r="B178" t="str">
            <v>BP</v>
          </cell>
          <cell r="K178">
            <v>0</v>
          </cell>
          <cell r="L178">
            <v>0</v>
          </cell>
          <cell r="M178">
            <v>0</v>
          </cell>
          <cell r="N178">
            <v>0</v>
          </cell>
          <cell r="O178">
            <v>0</v>
          </cell>
        </row>
        <row r="179">
          <cell r="B179" t="str">
            <v>BP</v>
          </cell>
          <cell r="K179">
            <v>0</v>
          </cell>
          <cell r="L179">
            <v>0</v>
          </cell>
          <cell r="M179">
            <v>0</v>
          </cell>
          <cell r="N179">
            <v>0</v>
          </cell>
          <cell r="O179">
            <v>0</v>
          </cell>
        </row>
        <row r="180">
          <cell r="B180" t="str">
            <v>BP</v>
          </cell>
          <cell r="K180">
            <v>0</v>
          </cell>
          <cell r="L180">
            <v>0</v>
          </cell>
          <cell r="M180">
            <v>0</v>
          </cell>
          <cell r="N180">
            <v>0</v>
          </cell>
          <cell r="O180">
            <v>0</v>
          </cell>
        </row>
        <row r="181">
          <cell r="B181" t="str">
            <v>BP</v>
          </cell>
          <cell r="K181">
            <v>0</v>
          </cell>
          <cell r="L181">
            <v>0</v>
          </cell>
          <cell r="M181">
            <v>1.4950600000000001E-11</v>
          </cell>
          <cell r="N181">
            <v>0</v>
          </cell>
          <cell r="O181">
            <v>0</v>
          </cell>
          <cell r="P181">
            <v>0</v>
          </cell>
          <cell r="Q181">
            <v>-9.9670649999999994E-12</v>
          </cell>
          <cell r="R181">
            <v>0</v>
          </cell>
        </row>
        <row r="182">
          <cell r="B182" t="str">
            <v>BP</v>
          </cell>
          <cell r="K182">
            <v>-2.5515689999999998E-9</v>
          </cell>
          <cell r="L182">
            <v>0</v>
          </cell>
          <cell r="M182">
            <v>6.3789220000000004E-10</v>
          </cell>
          <cell r="N182">
            <v>-2.0452420000000002E-8</v>
          </cell>
          <cell r="O182">
            <v>1.2757839999999999E-9</v>
          </cell>
          <cell r="P182">
            <v>0</v>
          </cell>
          <cell r="Q182">
            <v>-6.3789220000000004E-10</v>
          </cell>
          <cell r="R182">
            <v>-3.9868259999999998E-11</v>
          </cell>
        </row>
        <row r="183">
          <cell r="B183" t="str">
            <v>BP</v>
          </cell>
          <cell r="K183">
            <v>-1.2757839999999999E-9</v>
          </cell>
          <cell r="L183">
            <v>0</v>
          </cell>
          <cell r="M183">
            <v>3.1894610000000002E-10</v>
          </cell>
          <cell r="N183">
            <v>-2.0412550000000001E-8</v>
          </cell>
          <cell r="O183">
            <v>-4.6885079999999998E-8</v>
          </cell>
          <cell r="P183">
            <v>-3.9868259999999998E-11</v>
          </cell>
          <cell r="Q183">
            <v>-1.9136769999999998E-9</v>
          </cell>
          <cell r="R183">
            <v>0</v>
          </cell>
        </row>
        <row r="184">
          <cell r="B184" t="str">
            <v>BP</v>
          </cell>
          <cell r="K184">
            <v>-2.347443E-7</v>
          </cell>
          <cell r="L184">
            <v>0</v>
          </cell>
          <cell r="M184">
            <v>-4.3605910000000003E-12</v>
          </cell>
          <cell r="N184">
            <v>-2.0412550000000001E-8</v>
          </cell>
          <cell r="O184">
            <v>-1.6330040000000001E-7</v>
          </cell>
          <cell r="Q184">
            <v>2.4917660000000001E-12</v>
          </cell>
          <cell r="R184">
            <v>-2.0412550000000001E-8</v>
          </cell>
        </row>
        <row r="185">
          <cell r="B185" t="str">
            <v>Shell</v>
          </cell>
          <cell r="K185">
            <v>84.831029999999998</v>
          </cell>
          <cell r="L185">
            <v>1.861348</v>
          </cell>
          <cell r="M185">
            <v>4.5083270000000004</v>
          </cell>
          <cell r="N185">
            <v>16.151299999999999</v>
          </cell>
          <cell r="O185">
            <v>171.20590000000001</v>
          </cell>
          <cell r="P185">
            <v>3.1286930000000002</v>
          </cell>
          <cell r="Q185">
            <v>3.7790509999999999</v>
          </cell>
          <cell r="R185">
            <v>21.007280000000002</v>
          </cell>
        </row>
        <row r="186">
          <cell r="B186" t="str">
            <v>Shell</v>
          </cell>
          <cell r="K186">
            <v>184.1978</v>
          </cell>
          <cell r="L186">
            <v>29.999680000000001</v>
          </cell>
          <cell r="M186">
            <v>14.04813</v>
          </cell>
          <cell r="N186">
            <v>48.98677</v>
          </cell>
          <cell r="O186">
            <v>177.72479999999999</v>
          </cell>
          <cell r="P186">
            <v>22.98415</v>
          </cell>
          <cell r="Q186">
            <v>9.5156430000000007</v>
          </cell>
          <cell r="R186">
            <v>39.974850000000004</v>
          </cell>
        </row>
        <row r="187">
          <cell r="B187" t="str">
            <v>Shell</v>
          </cell>
          <cell r="K187">
            <v>327.19929999999999</v>
          </cell>
          <cell r="L187">
            <v>0</v>
          </cell>
          <cell r="M187">
            <v>0</v>
          </cell>
          <cell r="N187">
            <v>30.815159999999999</v>
          </cell>
          <cell r="O187">
            <v>389.36329999999998</v>
          </cell>
          <cell r="R187">
            <v>31.158989999999999</v>
          </cell>
        </row>
        <row r="188">
          <cell r="B188" t="str">
            <v>Shell</v>
          </cell>
          <cell r="K188">
            <v>0</v>
          </cell>
          <cell r="L188">
            <v>14.49863</v>
          </cell>
          <cell r="M188">
            <v>6.2849579999999996</v>
          </cell>
          <cell r="N188">
            <v>51.279449999999997</v>
          </cell>
          <cell r="P188">
            <v>14.49863</v>
          </cell>
          <cell r="Q188">
            <v>6.3374779999999999</v>
          </cell>
          <cell r="R188">
            <v>51.279449999999997</v>
          </cell>
        </row>
        <row r="189">
          <cell r="B189" t="str">
            <v>Shell</v>
          </cell>
          <cell r="K189">
            <v>0</v>
          </cell>
          <cell r="L189">
            <v>0</v>
          </cell>
          <cell r="M189">
            <v>8.3593550000000008</v>
          </cell>
          <cell r="N189">
            <v>23.867460000000001</v>
          </cell>
          <cell r="Q189">
            <v>8.5771250000000006</v>
          </cell>
          <cell r="R189">
            <v>26.334019999999999</v>
          </cell>
        </row>
        <row r="190">
          <cell r="B190" t="str">
            <v>Shell</v>
          </cell>
          <cell r="K190">
            <v>0</v>
          </cell>
          <cell r="L190">
            <v>54.794519999999999</v>
          </cell>
          <cell r="M190">
            <v>0</v>
          </cell>
          <cell r="N190">
            <v>0</v>
          </cell>
          <cell r="P190">
            <v>54.794519999999999</v>
          </cell>
          <cell r="R190">
            <v>0</v>
          </cell>
        </row>
        <row r="191">
          <cell r="B191" t="str">
            <v>Shell</v>
          </cell>
          <cell r="K191">
            <v>0</v>
          </cell>
          <cell r="L191">
            <v>33.916620000000002</v>
          </cell>
          <cell r="M191">
            <v>31.220549999999999</v>
          </cell>
          <cell r="N191">
            <v>87.641090000000005</v>
          </cell>
          <cell r="P191">
            <v>33.62876</v>
          </cell>
          <cell r="Q191">
            <v>31.22054</v>
          </cell>
          <cell r="R191">
            <v>86.662999999999997</v>
          </cell>
        </row>
        <row r="192">
          <cell r="B192" t="str">
            <v>Shell</v>
          </cell>
          <cell r="K192">
            <v>14.051220000000001</v>
          </cell>
          <cell r="L192">
            <v>0.4095221</v>
          </cell>
          <cell r="M192">
            <v>0</v>
          </cell>
          <cell r="N192">
            <v>5.7685240000000002</v>
          </cell>
          <cell r="O192">
            <v>14.964090000000001</v>
          </cell>
          <cell r="P192">
            <v>1.7761229999999999</v>
          </cell>
          <cell r="R192">
            <v>5.9893640000000001</v>
          </cell>
        </row>
        <row r="193">
          <cell r="B193" t="str">
            <v>Shell</v>
          </cell>
          <cell r="K193">
            <v>122.5343</v>
          </cell>
          <cell r="L193">
            <v>0</v>
          </cell>
          <cell r="M193">
            <v>3.8430550000000001E-2</v>
          </cell>
          <cell r="N193">
            <v>1.799042</v>
          </cell>
          <cell r="O193">
            <v>130.4862</v>
          </cell>
          <cell r="Q193">
            <v>1.348562E-2</v>
          </cell>
          <cell r="R193">
            <v>0</v>
          </cell>
        </row>
        <row r="194">
          <cell r="B194" t="str">
            <v>Shell</v>
          </cell>
          <cell r="K194">
            <v>11.446680000000001</v>
          </cell>
          <cell r="L194">
            <v>0</v>
          </cell>
          <cell r="M194">
            <v>0</v>
          </cell>
          <cell r="N194">
            <v>10.365180000000001</v>
          </cell>
          <cell r="O194">
            <v>19.854179999999999</v>
          </cell>
          <cell r="R194">
            <v>5.7191900000000002</v>
          </cell>
        </row>
        <row r="195">
          <cell r="B195" t="str">
            <v>Shell</v>
          </cell>
          <cell r="K195">
            <v>18.860690000000002</v>
          </cell>
          <cell r="L195">
            <v>4.6197350000000004</v>
          </cell>
          <cell r="M195">
            <v>3.4384169999999998</v>
          </cell>
          <cell r="N195">
            <v>119.1129</v>
          </cell>
          <cell r="O195">
            <v>49.85624</v>
          </cell>
          <cell r="P195">
            <v>0.6903878</v>
          </cell>
          <cell r="Q195">
            <v>3.615475</v>
          </cell>
          <cell r="R195">
            <v>92.41028</v>
          </cell>
        </row>
        <row r="196">
          <cell r="B196" t="str">
            <v>Shell</v>
          </cell>
          <cell r="K196">
            <v>57.419469999999997</v>
          </cell>
          <cell r="L196">
            <v>3.287671</v>
          </cell>
          <cell r="M196">
            <v>0.44884059999999998</v>
          </cell>
          <cell r="N196">
            <v>19.34675</v>
          </cell>
          <cell r="O196">
            <v>58.115270000000002</v>
          </cell>
          <cell r="P196">
            <v>3.287671</v>
          </cell>
          <cell r="Q196">
            <v>0.49290410000000001</v>
          </cell>
          <cell r="R196">
            <v>21.17287</v>
          </cell>
        </row>
        <row r="197">
          <cell r="B197" t="str">
            <v>Shell</v>
          </cell>
          <cell r="K197">
            <v>3.5759349999999999</v>
          </cell>
          <cell r="L197">
            <v>0</v>
          </cell>
          <cell r="M197">
            <v>1.523485E-3</v>
          </cell>
          <cell r="N197">
            <v>4.8059789999999998</v>
          </cell>
          <cell r="O197">
            <v>2.0545110000000002</v>
          </cell>
          <cell r="P197">
            <v>5.3457540000000003E-3</v>
          </cell>
          <cell r="Q197">
            <v>1.11966E-3</v>
          </cell>
          <cell r="R197">
            <v>5.0212490000000001</v>
          </cell>
        </row>
        <row r="198">
          <cell r="B198" t="str">
            <v>Shell</v>
          </cell>
          <cell r="K198">
            <v>46.385489999999997</v>
          </cell>
          <cell r="L198">
            <v>3.8712010000000001</v>
          </cell>
          <cell r="M198">
            <v>1.503933</v>
          </cell>
          <cell r="N198">
            <v>90.771050000000002</v>
          </cell>
          <cell r="O198">
            <v>44.321429999999999</v>
          </cell>
          <cell r="P198">
            <v>4.708431</v>
          </cell>
          <cell r="Q198">
            <v>1.54087</v>
          </cell>
          <cell r="R198">
            <v>80.210989999999995</v>
          </cell>
        </row>
        <row r="199">
          <cell r="B199" t="str">
            <v>Shell</v>
          </cell>
          <cell r="K199">
            <v>2.9053680000000002</v>
          </cell>
          <cell r="L199">
            <v>1.2876709999999999E-4</v>
          </cell>
          <cell r="M199">
            <v>1.5026709999999999E-3</v>
          </cell>
          <cell r="N199">
            <v>6.3332439999999997</v>
          </cell>
          <cell r="O199">
            <v>3.6659630000000001</v>
          </cell>
          <cell r="P199">
            <v>1.082192E-4</v>
          </cell>
          <cell r="Q199">
            <v>1.274109E-3</v>
          </cell>
          <cell r="R199">
            <v>9.6693200000000008</v>
          </cell>
        </row>
        <row r="200">
          <cell r="B200" t="str">
            <v>Shell</v>
          </cell>
          <cell r="K200">
            <v>0</v>
          </cell>
          <cell r="L200">
            <v>13.894550000000001</v>
          </cell>
          <cell r="M200">
            <v>0</v>
          </cell>
          <cell r="N200">
            <v>154.9299</v>
          </cell>
          <cell r="P200">
            <v>13.873900000000001</v>
          </cell>
          <cell r="R200">
            <v>153.91059999999999</v>
          </cell>
        </row>
        <row r="201">
          <cell r="B201" t="str">
            <v>Shell</v>
          </cell>
          <cell r="K201">
            <v>0</v>
          </cell>
          <cell r="L201">
            <v>2.7928440000000001</v>
          </cell>
          <cell r="M201">
            <v>0</v>
          </cell>
          <cell r="N201">
            <v>12.57212</v>
          </cell>
          <cell r="P201">
            <v>2.6837529999999998</v>
          </cell>
          <cell r="R201">
            <v>12.12017</v>
          </cell>
        </row>
        <row r="202">
          <cell r="B202" t="str">
            <v>Shell</v>
          </cell>
          <cell r="K202">
            <v>0</v>
          </cell>
          <cell r="L202">
            <v>0</v>
          </cell>
          <cell r="M202">
            <v>0</v>
          </cell>
          <cell r="N202">
            <v>0</v>
          </cell>
          <cell r="R202">
            <v>0</v>
          </cell>
        </row>
        <row r="203">
          <cell r="B203" t="str">
            <v>Shell</v>
          </cell>
          <cell r="K203">
            <v>87.326809999999995</v>
          </cell>
          <cell r="L203">
            <v>0</v>
          </cell>
          <cell r="M203">
            <v>21.120069999999998</v>
          </cell>
          <cell r="N203">
            <v>34.845529999999997</v>
          </cell>
          <cell r="O203">
            <v>106.1527</v>
          </cell>
          <cell r="Q203">
            <v>26.432849999999998</v>
          </cell>
          <cell r="R203">
            <v>44.032200000000003</v>
          </cell>
        </row>
        <row r="204">
          <cell r="B204" t="str">
            <v>Shell</v>
          </cell>
          <cell r="K204">
            <v>26.959029999999998</v>
          </cell>
          <cell r="L204">
            <v>0</v>
          </cell>
          <cell r="M204">
            <v>7.5515629999999998</v>
          </cell>
          <cell r="N204">
            <v>10.636010000000001</v>
          </cell>
          <cell r="O204">
            <v>34.9129</v>
          </cell>
          <cell r="Q204">
            <v>9.7382039999999996</v>
          </cell>
          <cell r="R204">
            <v>13.715780000000001</v>
          </cell>
        </row>
        <row r="205">
          <cell r="B205" t="str">
            <v>Shell</v>
          </cell>
          <cell r="K205">
            <v>9.2876720000000001E-4</v>
          </cell>
          <cell r="L205">
            <v>2.7199999999999998E-2</v>
          </cell>
          <cell r="M205">
            <v>3.7919830000000002E-2</v>
          </cell>
          <cell r="N205">
            <v>3.7236220000000002</v>
          </cell>
          <cell r="O205">
            <v>0</v>
          </cell>
          <cell r="P205">
            <v>2.474521E-2</v>
          </cell>
          <cell r="Q205">
            <v>2.5418E-2</v>
          </cell>
          <cell r="R205">
            <v>3.4627620000000001</v>
          </cell>
        </row>
        <row r="206">
          <cell r="B206" t="str">
            <v>Shell</v>
          </cell>
          <cell r="K206">
            <v>50.584269999999997</v>
          </cell>
          <cell r="L206">
            <v>0</v>
          </cell>
          <cell r="M206">
            <v>0</v>
          </cell>
          <cell r="N206">
            <v>8.6813269999999996</v>
          </cell>
          <cell r="O206">
            <v>54.805190000000003</v>
          </cell>
          <cell r="R206">
            <v>10.675549999999999</v>
          </cell>
        </row>
        <row r="207">
          <cell r="B207" t="str">
            <v>Shell</v>
          </cell>
          <cell r="K207">
            <v>0</v>
          </cell>
          <cell r="L207">
            <v>63.911650000000002</v>
          </cell>
          <cell r="M207">
            <v>0</v>
          </cell>
          <cell r="N207">
            <v>42.953420000000001</v>
          </cell>
          <cell r="P207">
            <v>68.444999999999993</v>
          </cell>
          <cell r="R207">
            <v>48.0822</v>
          </cell>
        </row>
        <row r="208">
          <cell r="B208" t="str">
            <v>Shell</v>
          </cell>
          <cell r="K208">
            <v>30.130289999999999</v>
          </cell>
          <cell r="L208">
            <v>5.6133090000000001</v>
          </cell>
          <cell r="M208">
            <v>24.830850000000002</v>
          </cell>
          <cell r="N208">
            <v>110.70350000000001</v>
          </cell>
          <cell r="O208">
            <v>29.99661</v>
          </cell>
          <cell r="P208">
            <v>5.4004899999999996</v>
          </cell>
          <cell r="Q208">
            <v>19.254670000000001</v>
          </cell>
          <cell r="R208">
            <v>92.367649999999998</v>
          </cell>
        </row>
        <row r="209">
          <cell r="B209" t="str">
            <v>Shell</v>
          </cell>
          <cell r="K209">
            <v>0.17785200000000001</v>
          </cell>
          <cell r="L209">
            <v>0.83429279999999995</v>
          </cell>
          <cell r="M209">
            <v>0</v>
          </cell>
          <cell r="N209">
            <v>8.7886550000000003</v>
          </cell>
          <cell r="O209">
            <v>3.7239729999999999E-2</v>
          </cell>
          <cell r="P209">
            <v>1.233463</v>
          </cell>
          <cell r="R209">
            <v>7.0862759999999998</v>
          </cell>
        </row>
        <row r="210">
          <cell r="B210" t="str">
            <v>Shell</v>
          </cell>
          <cell r="K210">
            <v>1.369863E-6</v>
          </cell>
          <cell r="L210">
            <v>8.2922619999999991</v>
          </cell>
          <cell r="M210">
            <v>4.0383579999999997</v>
          </cell>
          <cell r="N210">
            <v>123.88290000000001</v>
          </cell>
          <cell r="O210">
            <v>5.2009100000000004</v>
          </cell>
          <cell r="P210">
            <v>11.47785</v>
          </cell>
          <cell r="Q210">
            <v>2.4463219999999999</v>
          </cell>
          <cell r="R210">
            <v>135.75810000000001</v>
          </cell>
        </row>
        <row r="211">
          <cell r="B211" t="str">
            <v>Shell</v>
          </cell>
          <cell r="K211">
            <v>43.90307</v>
          </cell>
          <cell r="L211">
            <v>5.3524190000000003</v>
          </cell>
          <cell r="M211">
            <v>1.540429</v>
          </cell>
          <cell r="N211">
            <v>101.0258</v>
          </cell>
          <cell r="O211">
            <v>45.089199999999998</v>
          </cell>
          <cell r="P211">
            <v>5.7038919999999997</v>
          </cell>
          <cell r="Q211">
            <v>1.6254630000000001</v>
          </cell>
          <cell r="R211">
            <v>106.48099999999999</v>
          </cell>
        </row>
        <row r="212">
          <cell r="B212" t="str">
            <v>Shell</v>
          </cell>
          <cell r="K212">
            <v>0</v>
          </cell>
          <cell r="L212">
            <v>0</v>
          </cell>
          <cell r="M212">
            <v>0</v>
          </cell>
          <cell r="N212">
            <v>143.7884</v>
          </cell>
          <cell r="R212">
            <v>143.15799999999999</v>
          </cell>
        </row>
        <row r="213">
          <cell r="B213" t="str">
            <v>Shell</v>
          </cell>
          <cell r="K213">
            <v>0</v>
          </cell>
          <cell r="L213">
            <v>2.1294239999999999E-2</v>
          </cell>
          <cell r="M213">
            <v>0</v>
          </cell>
          <cell r="N213">
            <v>4.563542</v>
          </cell>
          <cell r="P213">
            <v>2.215808E-2</v>
          </cell>
          <cell r="R213">
            <v>5.1366399999999999</v>
          </cell>
        </row>
        <row r="214">
          <cell r="B214" t="str">
            <v>Shell</v>
          </cell>
          <cell r="K214">
            <v>4.6278079999999999E-2</v>
          </cell>
          <cell r="L214">
            <v>0</v>
          </cell>
          <cell r="M214">
            <v>0</v>
          </cell>
          <cell r="N214">
            <v>6.5933989999999998</v>
          </cell>
          <cell r="O214">
            <v>4.2350680000000002E-2</v>
          </cell>
          <cell r="R214">
            <v>5.7489939999999997</v>
          </cell>
        </row>
        <row r="215">
          <cell r="B215" t="str">
            <v>Shell</v>
          </cell>
          <cell r="K215">
            <v>0</v>
          </cell>
          <cell r="L215">
            <v>0.1675662</v>
          </cell>
          <cell r="M215">
            <v>0</v>
          </cell>
          <cell r="N215">
            <v>93.982579999999999</v>
          </cell>
          <cell r="P215">
            <v>0.1538398</v>
          </cell>
          <cell r="R215">
            <v>66.669240000000002</v>
          </cell>
        </row>
        <row r="216">
          <cell r="B216" t="str">
            <v>Shell</v>
          </cell>
          <cell r="K216">
            <v>1.004067</v>
          </cell>
          <cell r="L216">
            <v>5.8017810000000003E-2</v>
          </cell>
          <cell r="M216">
            <v>0</v>
          </cell>
          <cell r="N216">
            <v>20.362010000000001</v>
          </cell>
          <cell r="O216">
            <v>0.88768990000000003</v>
          </cell>
          <cell r="P216">
            <v>4.0080820000000003E-2</v>
          </cell>
          <cell r="R216">
            <v>18.56155</v>
          </cell>
        </row>
        <row r="217">
          <cell r="B217" t="str">
            <v>Shell</v>
          </cell>
          <cell r="K217">
            <v>1.608293</v>
          </cell>
          <cell r="L217">
            <v>6.6024250000000007E-2</v>
          </cell>
          <cell r="M217">
            <v>0</v>
          </cell>
          <cell r="N217">
            <v>2.3291970000000002</v>
          </cell>
          <cell r="O217">
            <v>1.342484</v>
          </cell>
          <cell r="P217">
            <v>6.4314659999999996E-2</v>
          </cell>
          <cell r="R217">
            <v>2.3438850000000002</v>
          </cell>
        </row>
        <row r="218">
          <cell r="B218" t="str">
            <v>Shell</v>
          </cell>
          <cell r="K218">
            <v>0</v>
          </cell>
          <cell r="L218">
            <v>8.5426439999999992</v>
          </cell>
          <cell r="M218">
            <v>16.29552</v>
          </cell>
          <cell r="N218">
            <v>78.512889999999999</v>
          </cell>
          <cell r="P218">
            <v>9.3444179999999992</v>
          </cell>
          <cell r="Q218">
            <v>16.438099999999999</v>
          </cell>
          <cell r="R218">
            <v>86.848330000000004</v>
          </cell>
        </row>
        <row r="219">
          <cell r="B219" t="str">
            <v>Shell</v>
          </cell>
          <cell r="K219">
            <v>31.106490000000001</v>
          </cell>
          <cell r="L219">
            <v>20.20476</v>
          </cell>
          <cell r="M219">
            <v>1.655062</v>
          </cell>
          <cell r="N219">
            <v>64.371600000000001</v>
          </cell>
          <cell r="O219">
            <v>31.821729999999999</v>
          </cell>
          <cell r="P219">
            <v>19.968959999999999</v>
          </cell>
          <cell r="Q219">
            <v>5.9134650000000004</v>
          </cell>
          <cell r="R219">
            <v>74.646450000000002</v>
          </cell>
        </row>
        <row r="220">
          <cell r="B220" t="str">
            <v>Shell</v>
          </cell>
          <cell r="K220">
            <v>92.332170000000005</v>
          </cell>
          <cell r="L220">
            <v>4.7994409999999998</v>
          </cell>
          <cell r="M220">
            <v>0</v>
          </cell>
          <cell r="N220">
            <v>0.89945940000000002</v>
          </cell>
          <cell r="O220">
            <v>95.938900000000004</v>
          </cell>
          <cell r="P220">
            <v>14.334519999999999</v>
          </cell>
          <cell r="Q220">
            <v>0</v>
          </cell>
          <cell r="R220">
            <v>3.203802</v>
          </cell>
        </row>
        <row r="221">
          <cell r="B221" t="str">
            <v>Shell</v>
          </cell>
          <cell r="K221">
            <v>20.010960000000001</v>
          </cell>
          <cell r="L221">
            <v>9.0410970000000006</v>
          </cell>
          <cell r="M221">
            <v>0</v>
          </cell>
          <cell r="N221">
            <v>68.712320000000005</v>
          </cell>
          <cell r="O221">
            <v>18.89141</v>
          </cell>
          <cell r="P221">
            <v>8.4583940000000002</v>
          </cell>
          <cell r="R221">
            <v>68.712329999999994</v>
          </cell>
        </row>
        <row r="222">
          <cell r="B222" t="str">
            <v>Shell</v>
          </cell>
          <cell r="K222">
            <v>63.535249999999998</v>
          </cell>
          <cell r="L222">
            <v>0</v>
          </cell>
          <cell r="M222">
            <v>0</v>
          </cell>
          <cell r="N222">
            <v>0</v>
          </cell>
          <cell r="O222">
            <v>61.02158</v>
          </cell>
        </row>
        <row r="223">
          <cell r="B223" t="str">
            <v>Shell</v>
          </cell>
          <cell r="K223">
            <v>1.477921E-4</v>
          </cell>
          <cell r="L223">
            <v>0</v>
          </cell>
          <cell r="M223">
            <v>6.1889509999999998E-5</v>
          </cell>
          <cell r="N223">
            <v>53.874949999999998</v>
          </cell>
          <cell r="R223">
            <v>56.421050000000001</v>
          </cell>
        </row>
        <row r="224">
          <cell r="B224" t="str">
            <v>Shell</v>
          </cell>
          <cell r="K224">
            <v>51.835889999999999</v>
          </cell>
          <cell r="L224">
            <v>0</v>
          </cell>
          <cell r="M224">
            <v>0.76940299999999995</v>
          </cell>
          <cell r="N224">
            <v>3.8282310000000002</v>
          </cell>
          <cell r="O224">
            <v>64.716430000000003</v>
          </cell>
          <cell r="Q224">
            <v>0.77720900000000004</v>
          </cell>
          <cell r="R224">
            <v>5.1831180000000003</v>
          </cell>
        </row>
        <row r="225">
          <cell r="B225" t="str">
            <v>Shell</v>
          </cell>
          <cell r="K225">
            <v>7.6997560000000007E-2</v>
          </cell>
          <cell r="L225">
            <v>8.1347469999999995E-3</v>
          </cell>
          <cell r="M225">
            <v>0</v>
          </cell>
          <cell r="N225">
            <v>3.7719540000000003E-2</v>
          </cell>
        </row>
        <row r="226">
          <cell r="B226" t="str">
            <v>Shell</v>
          </cell>
          <cell r="K226">
            <v>7.0187359999999996</v>
          </cell>
          <cell r="L226">
            <v>2.550685E-3</v>
          </cell>
          <cell r="M226">
            <v>7.8233250000000004E-2</v>
          </cell>
          <cell r="N226">
            <v>2.5960200000000002</v>
          </cell>
          <cell r="O226">
            <v>7.1335030000000001</v>
          </cell>
          <cell r="P226">
            <v>0.6302932</v>
          </cell>
          <cell r="Q226">
            <v>0.10311439999999999</v>
          </cell>
          <cell r="R226">
            <v>2.7911039999999998</v>
          </cell>
        </row>
        <row r="227">
          <cell r="B227" t="str">
            <v>Shell</v>
          </cell>
          <cell r="K227">
            <v>10.88865</v>
          </cell>
          <cell r="L227">
            <v>0</v>
          </cell>
          <cell r="M227">
            <v>0</v>
          </cell>
          <cell r="N227">
            <v>0</v>
          </cell>
          <cell r="O227">
            <v>9.2043689999999998</v>
          </cell>
        </row>
        <row r="228">
          <cell r="B228" t="str">
            <v>Shell</v>
          </cell>
          <cell r="K228">
            <v>7.207795</v>
          </cell>
          <cell r="L228">
            <v>0</v>
          </cell>
          <cell r="M228">
            <v>0.1174312</v>
          </cell>
          <cell r="N228">
            <v>1.1311180000000001</v>
          </cell>
          <cell r="O228">
            <v>5.8371589999999998</v>
          </cell>
          <cell r="Q228">
            <v>8.1476010000000001E-2</v>
          </cell>
          <cell r="R228">
            <v>0.95538849999999997</v>
          </cell>
        </row>
        <row r="229">
          <cell r="B229" t="str">
            <v>Shell</v>
          </cell>
          <cell r="K229">
            <v>0.70683770000000001</v>
          </cell>
          <cell r="L229">
            <v>1.719573</v>
          </cell>
          <cell r="M229">
            <v>0.29030080000000003</v>
          </cell>
          <cell r="N229">
            <v>3.8335080000000001</v>
          </cell>
          <cell r="O229">
            <v>0.50719820000000004</v>
          </cell>
          <cell r="P229">
            <v>1.638665</v>
          </cell>
          <cell r="Q229">
            <v>0.1905635</v>
          </cell>
          <cell r="R229">
            <v>3.0818970000000001</v>
          </cell>
        </row>
        <row r="230">
          <cell r="B230" t="str">
            <v>Shell</v>
          </cell>
          <cell r="K230">
            <v>0.72404829999999998</v>
          </cell>
          <cell r="L230">
            <v>0</v>
          </cell>
          <cell r="M230">
            <v>0.34794130000000001</v>
          </cell>
          <cell r="N230">
            <v>2.467095</v>
          </cell>
          <cell r="O230">
            <v>0.55152570000000001</v>
          </cell>
          <cell r="P230">
            <v>0.21781039999999999</v>
          </cell>
          <cell r="Q230">
            <v>0.27898659999999997</v>
          </cell>
          <cell r="R230">
            <v>1.2585839999999999</v>
          </cell>
        </row>
        <row r="231">
          <cell r="B231" t="str">
            <v>Shell</v>
          </cell>
          <cell r="K231">
            <v>2.046823E-4</v>
          </cell>
          <cell r="L231">
            <v>1.4584649999999999E-4</v>
          </cell>
          <cell r="M231">
            <v>0</v>
          </cell>
          <cell r="N231">
            <v>2.8448359999999999E-3</v>
          </cell>
        </row>
        <row r="232">
          <cell r="B232" t="str">
            <v>Shell</v>
          </cell>
          <cell r="K232">
            <v>1.163455E-2</v>
          </cell>
          <cell r="L232">
            <v>0</v>
          </cell>
          <cell r="M232">
            <v>3.223886E-3</v>
          </cell>
          <cell r="N232">
            <v>7.8921530000000004E-2</v>
          </cell>
          <cell r="O232">
            <v>0</v>
          </cell>
          <cell r="Q232">
            <v>0</v>
          </cell>
          <cell r="R232">
            <v>0</v>
          </cell>
        </row>
        <row r="233">
          <cell r="B233" t="str">
            <v>Shell</v>
          </cell>
          <cell r="K233">
            <v>0</v>
          </cell>
          <cell r="L233">
            <v>0</v>
          </cell>
          <cell r="M233">
            <v>0</v>
          </cell>
          <cell r="N233">
            <v>0</v>
          </cell>
          <cell r="P233">
            <v>0</v>
          </cell>
          <cell r="R233">
            <v>0</v>
          </cell>
        </row>
        <row r="234">
          <cell r="B234" t="str">
            <v>Shell</v>
          </cell>
          <cell r="K234">
            <v>0</v>
          </cell>
          <cell r="L234">
            <v>0</v>
          </cell>
          <cell r="M234">
            <v>1.1859999999999999</v>
          </cell>
          <cell r="N234">
            <v>44.024360000000001</v>
          </cell>
          <cell r="Q234">
            <v>1.2289810000000001</v>
          </cell>
          <cell r="R234">
            <v>48.489040000000003</v>
          </cell>
        </row>
        <row r="235">
          <cell r="B235" t="str">
            <v>Shell</v>
          </cell>
          <cell r="K235">
            <v>8.7364189999999997</v>
          </cell>
          <cell r="L235">
            <v>0</v>
          </cell>
          <cell r="M235">
            <v>0</v>
          </cell>
          <cell r="N235">
            <v>0</v>
          </cell>
          <cell r="O235">
            <v>7.5624479999999998</v>
          </cell>
        </row>
        <row r="236">
          <cell r="B236" t="str">
            <v>Shell</v>
          </cell>
          <cell r="K236">
            <v>5.9227399999999999E-2</v>
          </cell>
          <cell r="L236">
            <v>0.32410109999999998</v>
          </cell>
          <cell r="M236">
            <v>0</v>
          </cell>
          <cell r="N236">
            <v>3.2604959999999998</v>
          </cell>
          <cell r="O236">
            <v>0</v>
          </cell>
          <cell r="P236">
            <v>0.3979374</v>
          </cell>
          <cell r="R236">
            <v>3.0136880000000001</v>
          </cell>
        </row>
        <row r="237">
          <cell r="B237" t="str">
            <v>Shell</v>
          </cell>
          <cell r="K237">
            <v>0</v>
          </cell>
          <cell r="L237">
            <v>7.3413839999999997</v>
          </cell>
          <cell r="M237">
            <v>0</v>
          </cell>
          <cell r="N237">
            <v>42.717350000000003</v>
          </cell>
          <cell r="P237">
            <v>6.8361289999999997</v>
          </cell>
          <cell r="R237">
            <v>40.145490000000002</v>
          </cell>
        </row>
        <row r="238">
          <cell r="B238" t="str">
            <v>Shell</v>
          </cell>
          <cell r="K238">
            <v>0</v>
          </cell>
          <cell r="L238">
            <v>2.028931</v>
          </cell>
          <cell r="M238">
            <v>0</v>
          </cell>
          <cell r="N238">
            <v>38.777099999999997</v>
          </cell>
          <cell r="P238">
            <v>1.8323400000000001</v>
          </cell>
          <cell r="R238">
            <v>35.95834</v>
          </cell>
        </row>
        <row r="239">
          <cell r="B239" t="str">
            <v>Shell</v>
          </cell>
          <cell r="K239">
            <v>0</v>
          </cell>
          <cell r="L239">
            <v>1.8514649999999999</v>
          </cell>
          <cell r="M239">
            <v>0</v>
          </cell>
          <cell r="N239">
            <v>29.35135</v>
          </cell>
          <cell r="P239">
            <v>5.0912699999999997</v>
          </cell>
          <cell r="R239">
            <v>52.39866</v>
          </cell>
        </row>
        <row r="240">
          <cell r="B240" t="str">
            <v>Shell</v>
          </cell>
          <cell r="K240">
            <v>0</v>
          </cell>
          <cell r="L240">
            <v>0</v>
          </cell>
          <cell r="M240">
            <v>0</v>
          </cell>
          <cell r="N240">
            <v>0</v>
          </cell>
        </row>
        <row r="241">
          <cell r="B241" t="str">
            <v>Shell</v>
          </cell>
          <cell r="K241">
            <v>0</v>
          </cell>
          <cell r="L241">
            <v>0</v>
          </cell>
          <cell r="M241">
            <v>0</v>
          </cell>
          <cell r="N241">
            <v>0</v>
          </cell>
          <cell r="R241">
            <v>0</v>
          </cell>
        </row>
        <row r="242">
          <cell r="B242" t="str">
            <v>Shell</v>
          </cell>
          <cell r="K242">
            <v>40.665889999999997</v>
          </cell>
          <cell r="L242">
            <v>0</v>
          </cell>
          <cell r="M242">
            <v>0.36596620000000002</v>
          </cell>
          <cell r="N242">
            <v>0.56136350000000002</v>
          </cell>
          <cell r="O242">
            <v>39.334429999999998</v>
          </cell>
          <cell r="Q242">
            <v>0.3551279</v>
          </cell>
          <cell r="R242">
            <v>0.55361479999999996</v>
          </cell>
        </row>
        <row r="243">
          <cell r="B243" t="str">
            <v>Shell</v>
          </cell>
          <cell r="K243">
            <v>26.505680000000002</v>
          </cell>
          <cell r="L243">
            <v>0</v>
          </cell>
          <cell r="M243">
            <v>6.0009590000000002E-4</v>
          </cell>
          <cell r="N243">
            <v>9.3271540000000002</v>
          </cell>
          <cell r="O243">
            <v>29.986969999999999</v>
          </cell>
          <cell r="Q243">
            <v>8.5624049999999993E-2</v>
          </cell>
          <cell r="R243">
            <v>7.6735660000000001</v>
          </cell>
        </row>
        <row r="244">
          <cell r="B244" t="str">
            <v>Shell</v>
          </cell>
          <cell r="K244">
            <v>16.818809999999999</v>
          </cell>
          <cell r="L244">
            <v>0.42592190000000002</v>
          </cell>
          <cell r="M244">
            <v>0</v>
          </cell>
          <cell r="N244">
            <v>22.775780000000001</v>
          </cell>
          <cell r="O244">
            <v>10.299770000000001</v>
          </cell>
          <cell r="P244">
            <v>1.7365930000000001</v>
          </cell>
          <cell r="R244">
            <v>21.388850000000001</v>
          </cell>
        </row>
        <row r="245">
          <cell r="B245" t="str">
            <v>Shell</v>
          </cell>
          <cell r="K245">
            <v>0</v>
          </cell>
          <cell r="L245">
            <v>4.9376709999999999</v>
          </cell>
          <cell r="M245">
            <v>0</v>
          </cell>
          <cell r="N245">
            <v>31.994509999999998</v>
          </cell>
          <cell r="P245">
            <v>5.4083220000000001</v>
          </cell>
          <cell r="R245">
            <v>28.774270000000001</v>
          </cell>
        </row>
        <row r="246">
          <cell r="B246" t="str">
            <v>Shell</v>
          </cell>
          <cell r="K246">
            <v>0</v>
          </cell>
          <cell r="L246">
            <v>0</v>
          </cell>
          <cell r="M246">
            <v>2.8629470000000001</v>
          </cell>
          <cell r="N246">
            <v>30.734480000000001</v>
          </cell>
          <cell r="Q246">
            <v>2.732882</v>
          </cell>
          <cell r="R246">
            <v>28.390070000000001</v>
          </cell>
        </row>
        <row r="247">
          <cell r="B247" t="str">
            <v>Shell</v>
          </cell>
          <cell r="K247">
            <v>0</v>
          </cell>
          <cell r="L247">
            <v>0.3159073</v>
          </cell>
          <cell r="M247">
            <v>0</v>
          </cell>
          <cell r="N247">
            <v>17.603390000000001</v>
          </cell>
          <cell r="P247">
            <v>0.17458580000000001</v>
          </cell>
          <cell r="R247">
            <v>18.611560000000001</v>
          </cell>
        </row>
        <row r="248">
          <cell r="B248" t="str">
            <v>Shell</v>
          </cell>
          <cell r="K248">
            <v>2.161315E-4</v>
          </cell>
          <cell r="L248">
            <v>0.109625</v>
          </cell>
          <cell r="M248">
            <v>0</v>
          </cell>
          <cell r="N248">
            <v>6.1700010000000001</v>
          </cell>
          <cell r="O248">
            <v>1.380493E-4</v>
          </cell>
          <cell r="P248">
            <v>0.16673540000000001</v>
          </cell>
          <cell r="R248">
            <v>6.2625229999999998</v>
          </cell>
        </row>
        <row r="249">
          <cell r="B249" t="str">
            <v>Shell</v>
          </cell>
          <cell r="K249">
            <v>0.88187499999999996</v>
          </cell>
          <cell r="L249">
            <v>0.15467690000000001</v>
          </cell>
          <cell r="M249">
            <v>0</v>
          </cell>
          <cell r="N249">
            <v>4.5896420000000004</v>
          </cell>
          <cell r="O249">
            <v>0.57010689999999997</v>
          </cell>
          <cell r="P249">
            <v>0.17415159999999999</v>
          </cell>
          <cell r="R249">
            <v>4.6840700000000002</v>
          </cell>
        </row>
        <row r="250">
          <cell r="B250" t="str">
            <v>Shell</v>
          </cell>
          <cell r="K250">
            <v>0</v>
          </cell>
          <cell r="L250">
            <v>16.49315</v>
          </cell>
          <cell r="M250">
            <v>0</v>
          </cell>
          <cell r="N250">
            <v>16.26793</v>
          </cell>
          <cell r="P250">
            <v>15.565390000000001</v>
          </cell>
          <cell r="R250">
            <v>15.35284</v>
          </cell>
        </row>
        <row r="251">
          <cell r="B251" t="str">
            <v>Shell</v>
          </cell>
          <cell r="K251">
            <v>1.8965019999999999E-2</v>
          </cell>
          <cell r="L251">
            <v>0</v>
          </cell>
          <cell r="M251">
            <v>0</v>
          </cell>
          <cell r="N251">
            <v>29.158359999999998</v>
          </cell>
          <cell r="O251">
            <v>1.271181E-2</v>
          </cell>
          <cell r="R251">
            <v>30.140830000000001</v>
          </cell>
        </row>
        <row r="252">
          <cell r="B252" t="str">
            <v>Shell</v>
          </cell>
          <cell r="K252">
            <v>0</v>
          </cell>
          <cell r="L252">
            <v>9.8098469999999995</v>
          </cell>
          <cell r="M252">
            <v>1.365051</v>
          </cell>
          <cell r="N252">
            <v>16.47954</v>
          </cell>
          <cell r="P252">
            <v>16.549340000000001</v>
          </cell>
          <cell r="Q252">
            <v>3.2059530000000001</v>
          </cell>
          <cell r="R252">
            <v>38.703670000000002</v>
          </cell>
        </row>
        <row r="253">
          <cell r="B253" t="str">
            <v>Shell</v>
          </cell>
          <cell r="K253">
            <v>0</v>
          </cell>
          <cell r="L253">
            <v>0</v>
          </cell>
          <cell r="M253">
            <v>0</v>
          </cell>
          <cell r="N253">
            <v>31.872620000000001</v>
          </cell>
        </row>
        <row r="254">
          <cell r="B254" t="str">
            <v>Shell</v>
          </cell>
          <cell r="K254">
            <v>0</v>
          </cell>
          <cell r="L254">
            <v>0.51084110000000005</v>
          </cell>
          <cell r="M254">
            <v>0</v>
          </cell>
          <cell r="N254">
            <v>26.03856</v>
          </cell>
          <cell r="P254">
            <v>0.45389590000000002</v>
          </cell>
          <cell r="R254">
            <v>24.610939999999999</v>
          </cell>
        </row>
        <row r="255">
          <cell r="B255" t="str">
            <v>Shell</v>
          </cell>
          <cell r="K255">
            <v>18.05714</v>
          </cell>
          <cell r="L255">
            <v>0</v>
          </cell>
          <cell r="M255">
            <v>0</v>
          </cell>
          <cell r="N255">
            <v>0.1925685</v>
          </cell>
          <cell r="O255">
            <v>20.694669999999999</v>
          </cell>
          <cell r="R255">
            <v>0.13042329999999999</v>
          </cell>
        </row>
        <row r="256">
          <cell r="B256" t="str">
            <v>Shell</v>
          </cell>
          <cell r="K256">
            <v>5.3989900000000004</v>
          </cell>
          <cell r="L256">
            <v>0</v>
          </cell>
          <cell r="M256">
            <v>0</v>
          </cell>
          <cell r="N256">
            <v>2.3749020000000001</v>
          </cell>
          <cell r="O256">
            <v>6.4878460000000002</v>
          </cell>
          <cell r="R256">
            <v>2.215128</v>
          </cell>
        </row>
        <row r="257">
          <cell r="B257" t="str">
            <v>Shell</v>
          </cell>
          <cell r="K257">
            <v>0.26277810000000001</v>
          </cell>
          <cell r="L257">
            <v>3.4211990000000001</v>
          </cell>
          <cell r="M257">
            <v>0.77570609999999995</v>
          </cell>
          <cell r="N257">
            <v>14.423909999999999</v>
          </cell>
          <cell r="O257">
            <v>0.26277810000000001</v>
          </cell>
          <cell r="P257">
            <v>3.3771019999999998</v>
          </cell>
          <cell r="Q257">
            <v>0.76203810000000005</v>
          </cell>
          <cell r="R257">
            <v>14.42699</v>
          </cell>
        </row>
        <row r="258">
          <cell r="B258" t="str">
            <v>Shell</v>
          </cell>
          <cell r="K258">
            <v>5.4211289999999996</v>
          </cell>
          <cell r="L258">
            <v>0</v>
          </cell>
          <cell r="M258">
            <v>0.42019410000000001</v>
          </cell>
          <cell r="N258">
            <v>0.18244730000000001</v>
          </cell>
          <cell r="O258">
            <v>6.4492929999999999</v>
          </cell>
          <cell r="Q258">
            <v>0.49988700000000003</v>
          </cell>
          <cell r="R258">
            <v>0.2170504</v>
          </cell>
        </row>
        <row r="259">
          <cell r="B259" t="str">
            <v>Shell</v>
          </cell>
          <cell r="K259">
            <v>0.87831789999999998</v>
          </cell>
          <cell r="L259">
            <v>0</v>
          </cell>
          <cell r="M259">
            <v>0.34482879999999999</v>
          </cell>
          <cell r="N259">
            <v>5.0224970000000004</v>
          </cell>
          <cell r="O259">
            <v>0.92065859999999999</v>
          </cell>
          <cell r="Q259">
            <v>0.39423720000000001</v>
          </cell>
          <cell r="R259">
            <v>4.4884930000000001</v>
          </cell>
        </row>
        <row r="260">
          <cell r="B260" t="str">
            <v>Shell</v>
          </cell>
          <cell r="K260">
            <v>1.528195</v>
          </cell>
          <cell r="L260">
            <v>0</v>
          </cell>
          <cell r="M260">
            <v>4.332751E-2</v>
          </cell>
          <cell r="N260">
            <v>0.88791509999999996</v>
          </cell>
          <cell r="O260">
            <v>2.5211299999999999</v>
          </cell>
          <cell r="Q260">
            <v>0.14438090000000001</v>
          </cell>
          <cell r="R260">
            <v>0.1682411</v>
          </cell>
        </row>
        <row r="261">
          <cell r="B261" t="str">
            <v>Shell</v>
          </cell>
          <cell r="K261">
            <v>0.1027101</v>
          </cell>
          <cell r="L261">
            <v>0</v>
          </cell>
          <cell r="M261">
            <v>2.3285E-2</v>
          </cell>
          <cell r="N261">
            <v>1.1362749999999999</v>
          </cell>
          <cell r="O261">
            <v>3.6192269999999999E-2</v>
          </cell>
          <cell r="Q261">
            <v>1.523104E-2</v>
          </cell>
          <cell r="R261">
            <v>0.48698429999999998</v>
          </cell>
        </row>
        <row r="262">
          <cell r="B262" t="str">
            <v>Shell</v>
          </cell>
          <cell r="K262">
            <v>0.30186859999999999</v>
          </cell>
          <cell r="L262">
            <v>0</v>
          </cell>
          <cell r="M262">
            <v>2.2001090000000001E-2</v>
          </cell>
          <cell r="N262">
            <v>0.48808099999999999</v>
          </cell>
          <cell r="O262">
            <v>0.42066609999999999</v>
          </cell>
          <cell r="Q262">
            <v>3.7311289999999997E-2</v>
          </cell>
          <cell r="R262">
            <v>0.17451510000000001</v>
          </cell>
        </row>
        <row r="263">
          <cell r="B263" t="str">
            <v>Shell</v>
          </cell>
          <cell r="K263">
            <v>0.62044390000000005</v>
          </cell>
          <cell r="L263">
            <v>0</v>
          </cell>
          <cell r="M263">
            <v>6.0962739999999996E-3</v>
          </cell>
          <cell r="N263">
            <v>0.18783420000000001</v>
          </cell>
          <cell r="O263">
            <v>0.1819548</v>
          </cell>
          <cell r="Q263">
            <v>1.7876439999999999E-3</v>
          </cell>
          <cell r="R263">
            <v>5.5084939999999999E-2</v>
          </cell>
        </row>
        <row r="264">
          <cell r="B264" t="str">
            <v>Shell</v>
          </cell>
          <cell r="K264">
            <v>0</v>
          </cell>
          <cell r="L264">
            <v>0</v>
          </cell>
          <cell r="M264">
            <v>0</v>
          </cell>
          <cell r="N264">
            <v>0</v>
          </cell>
        </row>
        <row r="265">
          <cell r="B265" t="str">
            <v>Shell</v>
          </cell>
          <cell r="K265">
            <v>9.5439869999999999E-4</v>
          </cell>
          <cell r="L265">
            <v>0</v>
          </cell>
          <cell r="M265">
            <v>0</v>
          </cell>
          <cell r="N265">
            <v>0</v>
          </cell>
          <cell r="O265">
            <v>0</v>
          </cell>
        </row>
        <row r="266">
          <cell r="B266" t="str">
            <v>Shell</v>
          </cell>
          <cell r="K266">
            <v>0</v>
          </cell>
          <cell r="L266">
            <v>0</v>
          </cell>
          <cell r="M266">
            <v>0</v>
          </cell>
          <cell r="N266">
            <v>0</v>
          </cell>
        </row>
        <row r="267">
          <cell r="B267" t="str">
            <v>Shell</v>
          </cell>
          <cell r="K267">
            <v>0</v>
          </cell>
          <cell r="L267">
            <v>0</v>
          </cell>
          <cell r="M267">
            <v>0</v>
          </cell>
          <cell r="N267">
            <v>16.531009999999998</v>
          </cell>
          <cell r="R267">
            <v>16.544799999999999</v>
          </cell>
        </row>
        <row r="268">
          <cell r="B268" t="str">
            <v>Shell</v>
          </cell>
          <cell r="K268">
            <v>5.3891299999999998</v>
          </cell>
          <cell r="L268">
            <v>1.2211100000000001E-2</v>
          </cell>
          <cell r="M268">
            <v>6.2134719999999997E-2</v>
          </cell>
          <cell r="N268">
            <v>0.41314020000000001</v>
          </cell>
          <cell r="O268">
            <v>16.794730000000001</v>
          </cell>
          <cell r="P268">
            <v>1.227164E-2</v>
          </cell>
          <cell r="Q268">
            <v>0.1230817</v>
          </cell>
          <cell r="R268">
            <v>1.8933040000000001</v>
          </cell>
        </row>
        <row r="269">
          <cell r="B269" t="str">
            <v>Shell</v>
          </cell>
          <cell r="K269">
            <v>0</v>
          </cell>
          <cell r="L269">
            <v>0</v>
          </cell>
          <cell r="M269">
            <v>0</v>
          </cell>
          <cell r="N269">
            <v>0</v>
          </cell>
        </row>
        <row r="270">
          <cell r="B270" t="str">
            <v>Shell</v>
          </cell>
          <cell r="K270">
            <v>1.8146370000000001</v>
          </cell>
          <cell r="L270">
            <v>0</v>
          </cell>
          <cell r="M270">
            <v>0</v>
          </cell>
          <cell r="N270">
            <v>6.2433100000000001</v>
          </cell>
        </row>
        <row r="271">
          <cell r="B271" t="str">
            <v>Shell</v>
          </cell>
          <cell r="K271">
            <v>0</v>
          </cell>
          <cell r="L271">
            <v>0.33337879999999998</v>
          </cell>
          <cell r="M271">
            <v>0</v>
          </cell>
          <cell r="N271">
            <v>5.5019689999999999</v>
          </cell>
          <cell r="P271">
            <v>0.85757260000000002</v>
          </cell>
          <cell r="R271">
            <v>3.8830330000000002</v>
          </cell>
        </row>
        <row r="272">
          <cell r="B272" t="str">
            <v>Shell</v>
          </cell>
          <cell r="K272">
            <v>3.2687499999999998</v>
          </cell>
          <cell r="L272">
            <v>0</v>
          </cell>
          <cell r="M272">
            <v>0</v>
          </cell>
          <cell r="N272">
            <v>0</v>
          </cell>
          <cell r="O272">
            <v>3.1587589999999999</v>
          </cell>
        </row>
        <row r="273">
          <cell r="B273" t="str">
            <v>Shell</v>
          </cell>
          <cell r="K273">
            <v>2.7497370000000001</v>
          </cell>
          <cell r="L273">
            <v>0</v>
          </cell>
          <cell r="M273">
            <v>9.609315E-4</v>
          </cell>
          <cell r="N273">
            <v>5.3746629999999997E-2</v>
          </cell>
          <cell r="O273">
            <v>2.6718500000000001</v>
          </cell>
          <cell r="Q273">
            <v>9.4070130000000005E-4</v>
          </cell>
          <cell r="R273">
            <v>5.2682409999999999E-2</v>
          </cell>
        </row>
        <row r="274">
          <cell r="B274" t="str">
            <v>Shell</v>
          </cell>
          <cell r="K274">
            <v>0</v>
          </cell>
          <cell r="L274">
            <v>0</v>
          </cell>
          <cell r="M274">
            <v>0</v>
          </cell>
          <cell r="N274">
            <v>0</v>
          </cell>
        </row>
        <row r="275">
          <cell r="B275" t="str">
            <v>Shell</v>
          </cell>
          <cell r="K275">
            <v>3.3742469999999997E-2</v>
          </cell>
          <cell r="L275">
            <v>0</v>
          </cell>
          <cell r="M275">
            <v>0</v>
          </cell>
          <cell r="N275">
            <v>0.39231640000000001</v>
          </cell>
          <cell r="O275">
            <v>0.20204250000000001</v>
          </cell>
          <cell r="R275">
            <v>5.17315E-2</v>
          </cell>
        </row>
        <row r="276">
          <cell r="B276" t="str">
            <v>Shell</v>
          </cell>
          <cell r="K276">
            <v>0</v>
          </cell>
          <cell r="L276">
            <v>0</v>
          </cell>
          <cell r="M276">
            <v>0</v>
          </cell>
          <cell r="N276">
            <v>0</v>
          </cell>
        </row>
        <row r="277">
          <cell r="B277" t="str">
            <v>Shell</v>
          </cell>
          <cell r="K277">
            <v>0</v>
          </cell>
          <cell r="L277">
            <v>0</v>
          </cell>
          <cell r="M277">
            <v>0</v>
          </cell>
          <cell r="N277">
            <v>0</v>
          </cell>
        </row>
        <row r="278">
          <cell r="B278" t="str">
            <v>Shell</v>
          </cell>
          <cell r="K278">
            <v>0</v>
          </cell>
          <cell r="L278">
            <v>0</v>
          </cell>
          <cell r="M278">
            <v>1.050001</v>
          </cell>
          <cell r="N278">
            <v>0</v>
          </cell>
          <cell r="Q278">
            <v>0.95175460000000001</v>
          </cell>
        </row>
        <row r="279">
          <cell r="B279" t="str">
            <v>Shell</v>
          </cell>
          <cell r="K279">
            <v>0</v>
          </cell>
          <cell r="L279">
            <v>0</v>
          </cell>
          <cell r="M279">
            <v>0</v>
          </cell>
          <cell r="N279">
            <v>0</v>
          </cell>
        </row>
        <row r="280">
          <cell r="B280" t="str">
            <v>Shell</v>
          </cell>
          <cell r="K280">
            <v>7.935391E-2</v>
          </cell>
          <cell r="L280">
            <v>0</v>
          </cell>
          <cell r="M280">
            <v>0</v>
          </cell>
          <cell r="N280">
            <v>0</v>
          </cell>
          <cell r="O280">
            <v>6.9389580000000006E-2</v>
          </cell>
          <cell r="R280">
            <v>5.6671230000000003E-4</v>
          </cell>
        </row>
        <row r="281">
          <cell r="B281" t="str">
            <v>Shell</v>
          </cell>
          <cell r="K281">
            <v>2.46637E-2</v>
          </cell>
          <cell r="L281">
            <v>0</v>
          </cell>
          <cell r="M281">
            <v>0</v>
          </cell>
          <cell r="N281">
            <v>0</v>
          </cell>
          <cell r="O281">
            <v>2.4174660000000001E-2</v>
          </cell>
        </row>
        <row r="282">
          <cell r="B282" t="str">
            <v>Shell</v>
          </cell>
          <cell r="K282">
            <v>1.5643870000000001E-2</v>
          </cell>
          <cell r="L282">
            <v>0</v>
          </cell>
          <cell r="M282">
            <v>4.7411229999999999E-3</v>
          </cell>
          <cell r="N282">
            <v>5.9020209999999997E-2</v>
          </cell>
          <cell r="O282">
            <v>1.533382E-2</v>
          </cell>
          <cell r="Q282">
            <v>4.1834970000000004E-3</v>
          </cell>
          <cell r="R282">
            <v>4.4876800000000001E-2</v>
          </cell>
        </row>
        <row r="283">
          <cell r="B283" t="str">
            <v>Shell</v>
          </cell>
          <cell r="K283">
            <v>4.535753E-2</v>
          </cell>
          <cell r="L283">
            <v>0</v>
          </cell>
          <cell r="M283">
            <v>0</v>
          </cell>
          <cell r="N283">
            <v>9.2054789999999995E-4</v>
          </cell>
          <cell r="O283">
            <v>3.9883559999999998E-2</v>
          </cell>
          <cell r="R283">
            <v>8.2328760000000001E-4</v>
          </cell>
        </row>
        <row r="284">
          <cell r="B284" t="str">
            <v>Shell</v>
          </cell>
          <cell r="K284">
            <v>0</v>
          </cell>
          <cell r="L284">
            <v>0</v>
          </cell>
          <cell r="M284">
            <v>0</v>
          </cell>
          <cell r="N284">
            <v>0</v>
          </cell>
        </row>
        <row r="285">
          <cell r="B285" t="str">
            <v>Shell</v>
          </cell>
          <cell r="K285">
            <v>0</v>
          </cell>
          <cell r="L285">
            <v>0</v>
          </cell>
          <cell r="M285">
            <v>0</v>
          </cell>
          <cell r="N285">
            <v>0</v>
          </cell>
        </row>
        <row r="286">
          <cell r="B286" t="str">
            <v>Shell</v>
          </cell>
          <cell r="K286">
            <v>2.0355610000000001E-4</v>
          </cell>
          <cell r="L286">
            <v>0</v>
          </cell>
          <cell r="M286">
            <v>0</v>
          </cell>
          <cell r="N286">
            <v>0</v>
          </cell>
          <cell r="O286">
            <v>2.7808219999999999E-4</v>
          </cell>
        </row>
        <row r="287">
          <cell r="B287" t="str">
            <v>Shell</v>
          </cell>
          <cell r="K287">
            <v>0</v>
          </cell>
          <cell r="L287">
            <v>0</v>
          </cell>
          <cell r="M287">
            <v>0</v>
          </cell>
          <cell r="N287">
            <v>2.612806E-6</v>
          </cell>
          <cell r="R287">
            <v>2.612806E-6</v>
          </cell>
        </row>
        <row r="288">
          <cell r="B288" t="str">
            <v>Shell</v>
          </cell>
          <cell r="K288">
            <v>0</v>
          </cell>
          <cell r="L288">
            <v>0</v>
          </cell>
          <cell r="M288">
            <v>0</v>
          </cell>
          <cell r="N288">
            <v>0</v>
          </cell>
          <cell r="O288">
            <v>0</v>
          </cell>
          <cell r="Q288">
            <v>0</v>
          </cell>
          <cell r="R288">
            <v>0</v>
          </cell>
        </row>
        <row r="289">
          <cell r="B289" t="str">
            <v>Shell</v>
          </cell>
          <cell r="K289">
            <v>0</v>
          </cell>
          <cell r="L289">
            <v>0</v>
          </cell>
          <cell r="M289">
            <v>0</v>
          </cell>
          <cell r="N289">
            <v>0</v>
          </cell>
          <cell r="R289">
            <v>0</v>
          </cell>
        </row>
        <row r="290">
          <cell r="B290" t="str">
            <v>Shell</v>
          </cell>
          <cell r="K290">
            <v>0</v>
          </cell>
          <cell r="L290">
            <v>0</v>
          </cell>
          <cell r="M290">
            <v>0</v>
          </cell>
          <cell r="N290">
            <v>0</v>
          </cell>
          <cell r="R290">
            <v>0</v>
          </cell>
        </row>
        <row r="291">
          <cell r="B291" t="str">
            <v>Shell</v>
          </cell>
          <cell r="K291">
            <v>0</v>
          </cell>
          <cell r="L291">
            <v>0</v>
          </cell>
          <cell r="M291">
            <v>0</v>
          </cell>
          <cell r="N291">
            <v>-6.5320160000000003E-7</v>
          </cell>
          <cell r="R291">
            <v>0</v>
          </cell>
        </row>
        <row r="292">
          <cell r="B292" t="str">
            <v>Chevron</v>
          </cell>
          <cell r="K292">
            <v>116.7123</v>
          </cell>
          <cell r="L292">
            <v>9.2876709999999997E-4</v>
          </cell>
          <cell r="M292">
            <v>22.023610000000001</v>
          </cell>
          <cell r="N292">
            <v>22.758900000000001</v>
          </cell>
          <cell r="O292">
            <v>111.7799</v>
          </cell>
          <cell r="P292">
            <v>0</v>
          </cell>
          <cell r="Q292">
            <v>20.371479999999998</v>
          </cell>
          <cell r="R292">
            <v>22.660630000000001</v>
          </cell>
        </row>
        <row r="293">
          <cell r="B293" t="str">
            <v>Chevron</v>
          </cell>
          <cell r="K293">
            <v>55.0685</v>
          </cell>
          <cell r="L293">
            <v>0</v>
          </cell>
          <cell r="M293">
            <v>29.567119999999999</v>
          </cell>
          <cell r="N293">
            <v>43.150680000000001</v>
          </cell>
          <cell r="O293">
            <v>67.900750000000002</v>
          </cell>
          <cell r="Q293">
            <v>34.424709999999997</v>
          </cell>
          <cell r="R293">
            <v>54.996180000000003</v>
          </cell>
        </row>
        <row r="294">
          <cell r="B294" t="str">
            <v>Chevron</v>
          </cell>
          <cell r="K294">
            <v>51.499229999999997</v>
          </cell>
          <cell r="L294">
            <v>0</v>
          </cell>
          <cell r="M294">
            <v>22.422149999999998</v>
          </cell>
          <cell r="N294">
            <v>38.194789999999998</v>
          </cell>
          <cell r="O294">
            <v>67.094220000000007</v>
          </cell>
          <cell r="Q294">
            <v>25.279789999999998</v>
          </cell>
          <cell r="R294">
            <v>51.597709999999999</v>
          </cell>
        </row>
        <row r="295">
          <cell r="B295" t="str">
            <v>Chevron</v>
          </cell>
          <cell r="K295">
            <v>23.696709999999999</v>
          </cell>
          <cell r="L295">
            <v>0</v>
          </cell>
          <cell r="M295">
            <v>9.9751670000000008</v>
          </cell>
          <cell r="N295">
            <v>27.54964</v>
          </cell>
          <cell r="O295">
            <v>25.818850000000001</v>
          </cell>
          <cell r="Q295">
            <v>10.643380000000001</v>
          </cell>
          <cell r="R295">
            <v>28.226939999999999</v>
          </cell>
        </row>
        <row r="296">
          <cell r="B296" t="str">
            <v>Chevron</v>
          </cell>
          <cell r="K296">
            <v>24.383559999999999</v>
          </cell>
          <cell r="L296">
            <v>0</v>
          </cell>
          <cell r="M296">
            <v>3.6958899999999999</v>
          </cell>
          <cell r="N296">
            <v>2.8767119999999999</v>
          </cell>
          <cell r="O296">
            <v>28.354659999999999</v>
          </cell>
          <cell r="Q296">
            <v>3.9733860000000001</v>
          </cell>
          <cell r="R296">
            <v>3.3577870000000001</v>
          </cell>
        </row>
        <row r="297">
          <cell r="B297" t="str">
            <v>Chevron</v>
          </cell>
          <cell r="K297">
            <v>0.73972610000000005</v>
          </cell>
          <cell r="L297">
            <v>0</v>
          </cell>
          <cell r="M297">
            <v>0.1108787</v>
          </cell>
          <cell r="N297">
            <v>0.17534250000000001</v>
          </cell>
          <cell r="O297">
            <v>0.60669039999999996</v>
          </cell>
          <cell r="Q297">
            <v>7.4913750000000001E-2</v>
          </cell>
          <cell r="R297">
            <v>0.16706029999999999</v>
          </cell>
        </row>
        <row r="298">
          <cell r="B298" t="str">
            <v>Chevron</v>
          </cell>
          <cell r="K298">
            <v>9.2876720000000001E-4</v>
          </cell>
          <cell r="L298">
            <v>9.2876720000000001E-4</v>
          </cell>
          <cell r="M298">
            <v>3.6783829999999999E-3</v>
          </cell>
          <cell r="N298">
            <v>0.71463279999999996</v>
          </cell>
          <cell r="O298">
            <v>0</v>
          </cell>
          <cell r="P298">
            <v>0</v>
          </cell>
          <cell r="Q298">
            <v>3.6044660000000002E-3</v>
          </cell>
          <cell r="R298">
            <v>0.69398349999999998</v>
          </cell>
        </row>
        <row r="299">
          <cell r="B299" t="str">
            <v>Chevron</v>
          </cell>
          <cell r="K299">
            <v>325.6617</v>
          </cell>
          <cell r="L299">
            <v>39.330249999999999</v>
          </cell>
          <cell r="M299">
            <v>14.196109999999999</v>
          </cell>
          <cell r="N299">
            <v>94.241100000000003</v>
          </cell>
          <cell r="O299">
            <v>311.2328</v>
          </cell>
          <cell r="P299">
            <v>42.12</v>
          </cell>
          <cell r="Q299">
            <v>13.616440000000001</v>
          </cell>
          <cell r="R299">
            <v>100.8219</v>
          </cell>
        </row>
        <row r="300">
          <cell r="B300" t="str">
            <v>Chevron</v>
          </cell>
          <cell r="K300">
            <v>1.7623599999999999</v>
          </cell>
          <cell r="L300">
            <v>30.183489999999999</v>
          </cell>
          <cell r="M300">
            <v>0</v>
          </cell>
          <cell r="N300">
            <v>367.4042</v>
          </cell>
          <cell r="O300">
            <v>1.5795159999999999</v>
          </cell>
          <cell r="P300">
            <v>30.162839999999999</v>
          </cell>
          <cell r="R300">
            <v>388.63069999999999</v>
          </cell>
        </row>
        <row r="301">
          <cell r="B301" t="str">
            <v>Chevron</v>
          </cell>
          <cell r="K301">
            <v>0.42448770000000002</v>
          </cell>
          <cell r="L301">
            <v>7.8888980000000002</v>
          </cell>
          <cell r="M301">
            <v>0</v>
          </cell>
          <cell r="N301">
            <v>38.93197</v>
          </cell>
          <cell r="O301">
            <v>0.39868340000000002</v>
          </cell>
          <cell r="P301">
            <v>7.7798080000000001</v>
          </cell>
          <cell r="R301">
            <v>39.57835</v>
          </cell>
        </row>
        <row r="302">
          <cell r="B302" t="str">
            <v>Chevron</v>
          </cell>
          <cell r="K302">
            <v>3.1309589999999998</v>
          </cell>
          <cell r="L302">
            <v>0</v>
          </cell>
          <cell r="M302">
            <v>0</v>
          </cell>
          <cell r="N302">
            <v>0</v>
          </cell>
          <cell r="O302">
            <v>2.58887</v>
          </cell>
          <cell r="R302">
            <v>0</v>
          </cell>
        </row>
        <row r="303">
          <cell r="B303" t="str">
            <v>Chevron</v>
          </cell>
          <cell r="K303">
            <v>0</v>
          </cell>
          <cell r="L303">
            <v>9.7669429999999995</v>
          </cell>
          <cell r="M303">
            <v>0</v>
          </cell>
          <cell r="N303">
            <v>256.95139999999998</v>
          </cell>
          <cell r="P303">
            <v>9.2181669999999993</v>
          </cell>
          <cell r="R303">
            <v>238.00700000000001</v>
          </cell>
        </row>
        <row r="304">
          <cell r="B304" t="str">
            <v>Chevron</v>
          </cell>
          <cell r="K304">
            <v>20.54795</v>
          </cell>
          <cell r="L304">
            <v>127.45780000000001</v>
          </cell>
          <cell r="M304">
            <v>0</v>
          </cell>
          <cell r="N304">
            <v>0</v>
          </cell>
          <cell r="O304">
            <v>18.0823</v>
          </cell>
          <cell r="P304">
            <v>111.9074</v>
          </cell>
        </row>
        <row r="305">
          <cell r="B305" t="str">
            <v>Chevron</v>
          </cell>
          <cell r="K305">
            <v>31.21463</v>
          </cell>
          <cell r="L305">
            <v>7.0136989999999999</v>
          </cell>
          <cell r="M305">
            <v>2.8160180000000001</v>
          </cell>
          <cell r="N305">
            <v>37.797719999999998</v>
          </cell>
          <cell r="O305">
            <v>24.953040000000001</v>
          </cell>
          <cell r="P305">
            <v>6.3452229999999998</v>
          </cell>
          <cell r="Q305">
            <v>4.1361509999999999</v>
          </cell>
          <cell r="R305">
            <v>38.447069999999997</v>
          </cell>
        </row>
        <row r="306">
          <cell r="B306" t="str">
            <v>Chevron</v>
          </cell>
          <cell r="K306">
            <v>23.54644</v>
          </cell>
          <cell r="L306">
            <v>7.1920200000000003</v>
          </cell>
          <cell r="M306">
            <v>3.1691290000000001E-3</v>
          </cell>
          <cell r="N306">
            <v>1.3127139999999999</v>
          </cell>
          <cell r="O306">
            <v>27.524799999999999</v>
          </cell>
          <cell r="P306">
            <v>6.038348</v>
          </cell>
          <cell r="Q306">
            <v>1.080211E-2</v>
          </cell>
          <cell r="R306">
            <v>1.4857940000000001</v>
          </cell>
        </row>
        <row r="307">
          <cell r="B307" t="str">
            <v>Chevron</v>
          </cell>
          <cell r="K307">
            <v>31.331600000000002</v>
          </cell>
          <cell r="L307">
            <v>32.784910000000004</v>
          </cell>
          <cell r="M307">
            <v>4.1052999999999997</v>
          </cell>
          <cell r="N307">
            <v>191.13460000000001</v>
          </cell>
          <cell r="O307">
            <v>29.028220000000001</v>
          </cell>
          <cell r="P307">
            <v>28.865739999999999</v>
          </cell>
          <cell r="Q307">
            <v>4.3295570000000003</v>
          </cell>
          <cell r="R307">
            <v>176.2022</v>
          </cell>
        </row>
        <row r="308">
          <cell r="B308" t="str">
            <v>Chevron</v>
          </cell>
          <cell r="K308">
            <v>114.967</v>
          </cell>
          <cell r="L308">
            <v>0</v>
          </cell>
          <cell r="M308">
            <v>3.556495</v>
          </cell>
          <cell r="N308">
            <v>7.8206740000000003</v>
          </cell>
          <cell r="O308">
            <v>126.1097</v>
          </cell>
          <cell r="Q308">
            <v>3.123475</v>
          </cell>
          <cell r="R308">
            <v>8.3633769999999998</v>
          </cell>
        </row>
        <row r="309">
          <cell r="B309" t="str">
            <v>Chevron</v>
          </cell>
          <cell r="K309">
            <v>98.278490000000005</v>
          </cell>
          <cell r="L309">
            <v>4.5988359999999999E-2</v>
          </cell>
          <cell r="M309">
            <v>2.8005499999999999</v>
          </cell>
          <cell r="N309">
            <v>9.5041250000000002</v>
          </cell>
          <cell r="O309">
            <v>102.5038</v>
          </cell>
          <cell r="P309">
            <v>3.082671E-2</v>
          </cell>
          <cell r="Q309">
            <v>2.5675110000000001</v>
          </cell>
          <cell r="R309">
            <v>8.9796759999999995</v>
          </cell>
        </row>
        <row r="310">
          <cell r="B310" t="str">
            <v>Chevron</v>
          </cell>
          <cell r="K310">
            <v>62.767589999999998</v>
          </cell>
          <cell r="L310">
            <v>0</v>
          </cell>
          <cell r="M310">
            <v>0.34429779999999999</v>
          </cell>
          <cell r="N310">
            <v>0</v>
          </cell>
          <cell r="O310">
            <v>59.621510000000001</v>
          </cell>
          <cell r="Q310">
            <v>0.2578954</v>
          </cell>
        </row>
        <row r="311">
          <cell r="B311" t="str">
            <v>Chevron</v>
          </cell>
          <cell r="K311">
            <v>28.202100000000002</v>
          </cell>
          <cell r="L311">
            <v>0</v>
          </cell>
          <cell r="M311">
            <v>0</v>
          </cell>
          <cell r="N311">
            <v>0</v>
          </cell>
          <cell r="O311">
            <v>25.06343</v>
          </cell>
        </row>
        <row r="312">
          <cell r="B312" t="str">
            <v>Chevron</v>
          </cell>
          <cell r="K312">
            <v>0</v>
          </cell>
          <cell r="L312">
            <v>0</v>
          </cell>
          <cell r="M312">
            <v>0</v>
          </cell>
          <cell r="N312">
            <v>0</v>
          </cell>
        </row>
        <row r="313">
          <cell r="B313" t="str">
            <v>Chevron</v>
          </cell>
          <cell r="K313">
            <v>67.026629999999997</v>
          </cell>
          <cell r="L313">
            <v>5.3147419999999999</v>
          </cell>
          <cell r="M313">
            <v>6.2310400000000001</v>
          </cell>
          <cell r="N313">
            <v>0</v>
          </cell>
          <cell r="O313">
            <v>54.69791</v>
          </cell>
          <cell r="P313">
            <v>5.1997660000000003</v>
          </cell>
          <cell r="Q313">
            <v>6.0548089999999997</v>
          </cell>
        </row>
        <row r="314">
          <cell r="B314" t="str">
            <v>Chevron</v>
          </cell>
          <cell r="K314">
            <v>0</v>
          </cell>
          <cell r="L314">
            <v>2.5343969999999998</v>
          </cell>
          <cell r="M314">
            <v>8.7594919999999998</v>
          </cell>
          <cell r="N314">
            <v>45.275970000000001</v>
          </cell>
          <cell r="P314">
            <v>1.994521</v>
          </cell>
          <cell r="Q314">
            <v>6.3724920000000003</v>
          </cell>
          <cell r="R314">
            <v>41.884929999999997</v>
          </cell>
        </row>
        <row r="315">
          <cell r="B315" t="str">
            <v>Chevron</v>
          </cell>
          <cell r="K315">
            <v>182.4794</v>
          </cell>
          <cell r="L315">
            <v>4.2096330000000002</v>
          </cell>
          <cell r="M315">
            <v>3.0281010000000001E-2</v>
          </cell>
          <cell r="N315">
            <v>7.2082179999999997E-3</v>
          </cell>
          <cell r="O315">
            <v>149.38650000000001</v>
          </cell>
          <cell r="P315">
            <v>3.6085069999999999</v>
          </cell>
          <cell r="Q315">
            <v>3.1667939999999999E-2</v>
          </cell>
          <cell r="R315">
            <v>5.8328770000000002E-3</v>
          </cell>
        </row>
        <row r="316">
          <cell r="B316" t="str">
            <v>Chevron</v>
          </cell>
          <cell r="K316">
            <v>143.8356</v>
          </cell>
          <cell r="L316">
            <v>0</v>
          </cell>
          <cell r="M316">
            <v>0.4283265</v>
          </cell>
          <cell r="N316">
            <v>3.1032160000000002</v>
          </cell>
          <cell r="O316">
            <v>132.31899999999999</v>
          </cell>
          <cell r="Q316">
            <v>0.34469430000000001</v>
          </cell>
          <cell r="R316">
            <v>2.9991780000000001</v>
          </cell>
        </row>
        <row r="317">
          <cell r="B317" t="str">
            <v>Chevron</v>
          </cell>
          <cell r="K317">
            <v>56.00132</v>
          </cell>
          <cell r="L317">
            <v>6.3013669999999999</v>
          </cell>
          <cell r="M317">
            <v>6.0301369999999999</v>
          </cell>
          <cell r="N317">
            <v>13.69863</v>
          </cell>
          <cell r="O317">
            <v>57</v>
          </cell>
          <cell r="P317">
            <v>7.5585560000000003</v>
          </cell>
          <cell r="Q317">
            <v>5.3665750000000001</v>
          </cell>
          <cell r="R317">
            <v>15.11711</v>
          </cell>
        </row>
        <row r="318">
          <cell r="B318" t="str">
            <v>Chevron</v>
          </cell>
          <cell r="K318">
            <v>0</v>
          </cell>
          <cell r="L318">
            <v>2.3674520000000001</v>
          </cell>
          <cell r="M318">
            <v>6.4580859999999998</v>
          </cell>
          <cell r="N318">
            <v>50.880830000000003</v>
          </cell>
          <cell r="P318">
            <v>3.4461620000000002</v>
          </cell>
          <cell r="Q318">
            <v>4.9511390000000004</v>
          </cell>
          <cell r="R318">
            <v>71.235979999999998</v>
          </cell>
        </row>
        <row r="319">
          <cell r="B319" t="str">
            <v>Chevron</v>
          </cell>
          <cell r="K319">
            <v>59.434080000000002</v>
          </cell>
          <cell r="L319">
            <v>0</v>
          </cell>
          <cell r="M319">
            <v>0</v>
          </cell>
          <cell r="N319">
            <v>0</v>
          </cell>
          <cell r="O319">
            <v>72.548050000000003</v>
          </cell>
        </row>
        <row r="320">
          <cell r="B320" t="str">
            <v>Chevron</v>
          </cell>
          <cell r="K320">
            <v>29.425930000000001</v>
          </cell>
          <cell r="L320">
            <v>3.1567119999999997E-2</v>
          </cell>
          <cell r="M320">
            <v>0.7365642</v>
          </cell>
          <cell r="N320">
            <v>4.1796449999999998</v>
          </cell>
          <cell r="O320">
            <v>39.49353</v>
          </cell>
          <cell r="P320">
            <v>3.321644E-2</v>
          </cell>
          <cell r="Q320">
            <v>0.97933910000000002</v>
          </cell>
          <cell r="R320">
            <v>5.5346570000000002</v>
          </cell>
        </row>
        <row r="321">
          <cell r="B321" t="str">
            <v>Chevron</v>
          </cell>
          <cell r="K321">
            <v>0</v>
          </cell>
          <cell r="L321">
            <v>0</v>
          </cell>
          <cell r="M321">
            <v>0</v>
          </cell>
          <cell r="N321">
            <v>36.544440000000002</v>
          </cell>
          <cell r="R321">
            <v>32.64817</v>
          </cell>
        </row>
        <row r="322">
          <cell r="B322" t="str">
            <v>Chevron</v>
          </cell>
          <cell r="K322">
            <v>3.1675439999999999</v>
          </cell>
          <cell r="L322">
            <v>1.288184</v>
          </cell>
          <cell r="M322">
            <v>3.6825290000000002</v>
          </cell>
          <cell r="N322">
            <v>10.1632</v>
          </cell>
        </row>
        <row r="323">
          <cell r="B323" t="str">
            <v>Chevron</v>
          </cell>
          <cell r="K323">
            <v>17.78031</v>
          </cell>
          <cell r="L323">
            <v>0</v>
          </cell>
          <cell r="M323">
            <v>0.2373258</v>
          </cell>
          <cell r="N323">
            <v>0.55614479999999999</v>
          </cell>
        </row>
        <row r="324">
          <cell r="B324" t="str">
            <v>Chevron</v>
          </cell>
          <cell r="K324">
            <v>0</v>
          </cell>
          <cell r="L324">
            <v>0.30638779999999999</v>
          </cell>
          <cell r="M324">
            <v>6.3820210000000002E-2</v>
          </cell>
          <cell r="N324">
            <v>0.89855779999999996</v>
          </cell>
        </row>
        <row r="325">
          <cell r="B325" t="str">
            <v>Chevron</v>
          </cell>
          <cell r="K325">
            <v>30.667110000000001</v>
          </cell>
          <cell r="L325">
            <v>0</v>
          </cell>
          <cell r="M325">
            <v>0</v>
          </cell>
          <cell r="N325">
            <v>0</v>
          </cell>
          <cell r="O325">
            <v>18.57497</v>
          </cell>
        </row>
        <row r="326">
          <cell r="B326" t="str">
            <v>Chevron</v>
          </cell>
          <cell r="K326">
            <v>0</v>
          </cell>
          <cell r="L326">
            <v>4.9376709999999999</v>
          </cell>
          <cell r="M326">
            <v>0</v>
          </cell>
          <cell r="N326">
            <v>31.994509999999998</v>
          </cell>
          <cell r="P326">
            <v>1.0491550000000001</v>
          </cell>
          <cell r="R326">
            <v>5.5818940000000001</v>
          </cell>
        </row>
        <row r="327">
          <cell r="B327" t="str">
            <v>Chevron</v>
          </cell>
          <cell r="K327">
            <v>22.188120000000001</v>
          </cell>
          <cell r="L327">
            <v>0</v>
          </cell>
          <cell r="M327">
            <v>0</v>
          </cell>
          <cell r="N327">
            <v>0</v>
          </cell>
          <cell r="O327">
            <v>20.083310000000001</v>
          </cell>
          <cell r="P327">
            <v>6.3335349999999997E-4</v>
          </cell>
          <cell r="R327">
            <v>4.2475070000000002E-3</v>
          </cell>
        </row>
        <row r="328">
          <cell r="B328" t="str">
            <v>Chevron</v>
          </cell>
          <cell r="K328">
            <v>0.14014689999999999</v>
          </cell>
          <cell r="L328">
            <v>0</v>
          </cell>
          <cell r="M328">
            <v>0</v>
          </cell>
          <cell r="N328">
            <v>0</v>
          </cell>
        </row>
        <row r="329">
          <cell r="B329" t="str">
            <v>Chevron</v>
          </cell>
          <cell r="K329">
            <v>0</v>
          </cell>
          <cell r="L329">
            <v>0</v>
          </cell>
          <cell r="M329">
            <v>0</v>
          </cell>
          <cell r="N329">
            <v>16.512329999999999</v>
          </cell>
          <cell r="R329">
            <v>16.512329999999999</v>
          </cell>
        </row>
        <row r="330">
          <cell r="B330" t="str">
            <v>Chevron</v>
          </cell>
          <cell r="K330">
            <v>2.8086610000000001E-2</v>
          </cell>
          <cell r="L330">
            <v>0</v>
          </cell>
          <cell r="M330">
            <v>0</v>
          </cell>
          <cell r="N330">
            <v>0</v>
          </cell>
          <cell r="O330">
            <v>0.94541489999999995</v>
          </cell>
        </row>
        <row r="331">
          <cell r="B331" t="str">
            <v>Chevron</v>
          </cell>
          <cell r="K331">
            <v>13.21536</v>
          </cell>
          <cell r="L331">
            <v>0</v>
          </cell>
          <cell r="M331">
            <v>0</v>
          </cell>
          <cell r="N331">
            <v>0</v>
          </cell>
          <cell r="O331">
            <v>7.0274970000000003</v>
          </cell>
        </row>
        <row r="332">
          <cell r="B332" t="str">
            <v>Chevron</v>
          </cell>
          <cell r="K332">
            <v>0</v>
          </cell>
          <cell r="L332">
            <v>4.4657530000000001E-2</v>
          </cell>
          <cell r="M332">
            <v>3.596492</v>
          </cell>
          <cell r="N332">
            <v>11.67343</v>
          </cell>
          <cell r="P332">
            <v>4.956439E-2</v>
          </cell>
          <cell r="Q332">
            <v>3.6069460000000002</v>
          </cell>
          <cell r="R332">
            <v>11.751950000000001</v>
          </cell>
        </row>
        <row r="333">
          <cell r="B333" t="str">
            <v>Chevron</v>
          </cell>
          <cell r="K333">
            <v>0</v>
          </cell>
          <cell r="L333">
            <v>0</v>
          </cell>
          <cell r="M333">
            <v>5.5107669999999997E-2</v>
          </cell>
          <cell r="N333">
            <v>5.4109589999999999E-3</v>
          </cell>
          <cell r="Q333">
            <v>5.4016410000000001E-2</v>
          </cell>
          <cell r="R333">
            <v>3.6273970000000001E-3</v>
          </cell>
        </row>
        <row r="334">
          <cell r="B334" t="str">
            <v>Chevron</v>
          </cell>
          <cell r="K334">
            <v>2.5107899999999999E-2</v>
          </cell>
          <cell r="L334">
            <v>2.6526340000000001E-3</v>
          </cell>
          <cell r="M334">
            <v>0</v>
          </cell>
          <cell r="N334">
            <v>1.2299849999999999E-2</v>
          </cell>
        </row>
        <row r="335">
          <cell r="B335" t="str">
            <v>Chevron</v>
          </cell>
          <cell r="K335">
            <v>0</v>
          </cell>
          <cell r="L335">
            <v>1.6097809999999999</v>
          </cell>
          <cell r="M335">
            <v>0.36998130000000001</v>
          </cell>
          <cell r="N335">
            <v>1.560297</v>
          </cell>
        </row>
        <row r="336">
          <cell r="B336" t="str">
            <v>Chevron</v>
          </cell>
          <cell r="K336">
            <v>0</v>
          </cell>
          <cell r="L336">
            <v>2.553166</v>
          </cell>
          <cell r="M336">
            <v>0.113925</v>
          </cell>
          <cell r="N336">
            <v>2.1138599999999999</v>
          </cell>
        </row>
        <row r="337">
          <cell r="B337" t="str">
            <v>Chevron</v>
          </cell>
          <cell r="K337">
            <v>0</v>
          </cell>
          <cell r="L337">
            <v>0.27295320000000001</v>
          </cell>
          <cell r="M337">
            <v>0.1304833</v>
          </cell>
          <cell r="N337">
            <v>0.92298080000000005</v>
          </cell>
        </row>
        <row r="338">
          <cell r="B338" t="str">
            <v>Chevron</v>
          </cell>
          <cell r="K338">
            <v>0</v>
          </cell>
          <cell r="L338">
            <v>4.7558649999999999E-5</v>
          </cell>
          <cell r="M338">
            <v>0</v>
          </cell>
          <cell r="N338">
            <v>8.8686069999999997E-4</v>
          </cell>
        </row>
        <row r="339">
          <cell r="B339" t="str">
            <v>Chevron</v>
          </cell>
          <cell r="K339">
            <v>0.1816439</v>
          </cell>
          <cell r="L339">
            <v>9.2876709999999997E-4</v>
          </cell>
          <cell r="M339">
            <v>0.93429580000000001</v>
          </cell>
          <cell r="N339">
            <v>10.68089</v>
          </cell>
          <cell r="O339">
            <v>0.33084649999999999</v>
          </cell>
          <cell r="P339">
            <v>0</v>
          </cell>
          <cell r="Q339">
            <v>1.50976</v>
          </cell>
          <cell r="R339">
            <v>12.40293</v>
          </cell>
        </row>
        <row r="340">
          <cell r="B340" t="str">
            <v>Chevron</v>
          </cell>
          <cell r="K340">
            <v>12.13134</v>
          </cell>
          <cell r="L340">
            <v>0</v>
          </cell>
          <cell r="M340">
            <v>5.9227309999999998E-2</v>
          </cell>
          <cell r="N340">
            <v>0.62467859999999997</v>
          </cell>
          <cell r="O340">
            <v>15.46217</v>
          </cell>
          <cell r="Q340">
            <v>5.8491050000000003E-2</v>
          </cell>
          <cell r="R340">
            <v>0.77079679999999995</v>
          </cell>
        </row>
        <row r="341">
          <cell r="B341" t="str">
            <v>Chevron</v>
          </cell>
          <cell r="K341">
            <v>0.53919519999999999</v>
          </cell>
          <cell r="L341">
            <v>1.0172699999999999</v>
          </cell>
          <cell r="M341">
            <v>0</v>
          </cell>
          <cell r="N341">
            <v>8.4632529999999999</v>
          </cell>
          <cell r="O341">
            <v>0.52768110000000001</v>
          </cell>
          <cell r="P341">
            <v>0.92833940000000004</v>
          </cell>
          <cell r="R341">
            <v>7.4851720000000004</v>
          </cell>
        </row>
        <row r="342">
          <cell r="B342" t="str">
            <v>Chevron</v>
          </cell>
          <cell r="K342">
            <v>0</v>
          </cell>
          <cell r="L342">
            <v>0</v>
          </cell>
          <cell r="M342">
            <v>0</v>
          </cell>
          <cell r="N342">
            <v>0</v>
          </cell>
        </row>
        <row r="343">
          <cell r="B343" t="str">
            <v>Chevron</v>
          </cell>
          <cell r="K343">
            <v>0</v>
          </cell>
          <cell r="L343">
            <v>0</v>
          </cell>
          <cell r="M343">
            <v>0</v>
          </cell>
          <cell r="N343">
            <v>12.906929999999999</v>
          </cell>
        </row>
        <row r="344">
          <cell r="B344" t="str">
            <v>Chevron</v>
          </cell>
          <cell r="K344">
            <v>0</v>
          </cell>
          <cell r="L344">
            <v>0</v>
          </cell>
          <cell r="M344">
            <v>0</v>
          </cell>
          <cell r="N344">
            <v>1.5644</v>
          </cell>
        </row>
        <row r="345">
          <cell r="B345" t="str">
            <v>Chevron</v>
          </cell>
          <cell r="K345">
            <v>1.950747</v>
          </cell>
          <cell r="L345">
            <v>0.1151129</v>
          </cell>
          <cell r="M345">
            <v>2.0051570000000001E-2</v>
          </cell>
          <cell r="N345">
            <v>1.1379980000000001</v>
          </cell>
          <cell r="O345">
            <v>1.6101179999999999</v>
          </cell>
          <cell r="P345">
            <v>8.0766850000000001E-2</v>
          </cell>
          <cell r="Q345">
            <v>1.4385179999999999E-2</v>
          </cell>
          <cell r="R345">
            <v>0.77344749999999995</v>
          </cell>
        </row>
        <row r="346">
          <cell r="B346" t="str">
            <v>Chevron</v>
          </cell>
          <cell r="K346">
            <v>1.4526779999999999</v>
          </cell>
          <cell r="L346">
            <v>0.35739860000000001</v>
          </cell>
          <cell r="M346">
            <v>0.43933650000000002</v>
          </cell>
          <cell r="N346">
            <v>4.4934969999999996</v>
          </cell>
          <cell r="O346">
            <v>1.24627</v>
          </cell>
          <cell r="P346">
            <v>0.30814360000000002</v>
          </cell>
          <cell r="Q346">
            <v>0.37425570000000002</v>
          </cell>
          <cell r="R346">
            <v>4.041582</v>
          </cell>
        </row>
        <row r="347">
          <cell r="B347" t="str">
            <v>Chevron</v>
          </cell>
          <cell r="K347">
            <v>0.93998970000000004</v>
          </cell>
          <cell r="L347">
            <v>0</v>
          </cell>
          <cell r="M347">
            <v>7.0778359999999998E-2</v>
          </cell>
          <cell r="N347">
            <v>0.55852500000000005</v>
          </cell>
          <cell r="O347">
            <v>0.87563679999999999</v>
          </cell>
          <cell r="Q347">
            <v>6.8607760000000004E-2</v>
          </cell>
          <cell r="R347">
            <v>0.49128369999999999</v>
          </cell>
        </row>
        <row r="348">
          <cell r="B348" t="str">
            <v>Chevron</v>
          </cell>
          <cell r="K348">
            <v>7.1050409999999999</v>
          </cell>
          <cell r="L348">
            <v>0</v>
          </cell>
          <cell r="M348">
            <v>0.39149210000000001</v>
          </cell>
          <cell r="N348">
            <v>1.2950010000000001E-3</v>
          </cell>
          <cell r="O348">
            <v>7.0358349999999996</v>
          </cell>
          <cell r="Q348">
            <v>0.42872320000000003</v>
          </cell>
          <cell r="R348">
            <v>1.153011E-3</v>
          </cell>
        </row>
        <row r="349">
          <cell r="B349" t="str">
            <v>Chevron</v>
          </cell>
          <cell r="K349">
            <v>8.7671229999999998</v>
          </cell>
          <cell r="L349">
            <v>0</v>
          </cell>
          <cell r="M349">
            <v>0</v>
          </cell>
          <cell r="N349">
            <v>3.3550690000000001E-2</v>
          </cell>
          <cell r="O349">
            <v>7.5750279999999997</v>
          </cell>
          <cell r="R349">
            <v>3.2887670000000001E-2</v>
          </cell>
        </row>
        <row r="350">
          <cell r="B350" t="str">
            <v>Chevron</v>
          </cell>
          <cell r="K350">
            <v>7.0385099999999996</v>
          </cell>
          <cell r="L350">
            <v>0</v>
          </cell>
          <cell r="M350">
            <v>0</v>
          </cell>
          <cell r="N350">
            <v>0</v>
          </cell>
          <cell r="O350">
            <v>5.3933090000000004</v>
          </cell>
        </row>
        <row r="351">
          <cell r="B351" t="str">
            <v>Chevron</v>
          </cell>
          <cell r="K351">
            <v>0</v>
          </cell>
          <cell r="L351">
            <v>1.5935919999999999</v>
          </cell>
          <cell r="M351">
            <v>0</v>
          </cell>
          <cell r="N351">
            <v>6.7922409999999998</v>
          </cell>
          <cell r="P351">
            <v>1.3833800000000001</v>
          </cell>
          <cell r="R351">
            <v>5.8962770000000004</v>
          </cell>
        </row>
        <row r="352">
          <cell r="B352" t="str">
            <v>Chevron</v>
          </cell>
          <cell r="K352">
            <v>7.3972600000000002</v>
          </cell>
          <cell r="L352">
            <v>0</v>
          </cell>
          <cell r="M352">
            <v>0</v>
          </cell>
          <cell r="N352">
            <v>0</v>
          </cell>
          <cell r="O352">
            <v>5.753425</v>
          </cell>
        </row>
        <row r="353">
          <cell r="B353" t="str">
            <v>Chevron</v>
          </cell>
          <cell r="K353">
            <v>0</v>
          </cell>
          <cell r="L353">
            <v>0</v>
          </cell>
          <cell r="M353">
            <v>0</v>
          </cell>
          <cell r="N353">
            <v>0</v>
          </cell>
          <cell r="O353">
            <v>17.5</v>
          </cell>
        </row>
        <row r="354">
          <cell r="B354" t="str">
            <v>Chevron</v>
          </cell>
          <cell r="K354">
            <v>2.5332539999999999</v>
          </cell>
          <cell r="L354">
            <v>0</v>
          </cell>
          <cell r="M354">
            <v>0</v>
          </cell>
          <cell r="N354">
            <v>0</v>
          </cell>
          <cell r="O354">
            <v>2.0244080000000002</v>
          </cell>
        </row>
        <row r="355">
          <cell r="B355" t="str">
            <v>Chevron</v>
          </cell>
          <cell r="K355">
            <v>0</v>
          </cell>
          <cell r="L355">
            <v>0</v>
          </cell>
          <cell r="M355">
            <v>0</v>
          </cell>
          <cell r="N355">
            <v>1.9685919999999999</v>
          </cell>
          <cell r="R355">
            <v>1.918301</v>
          </cell>
        </row>
        <row r="356">
          <cell r="B356" t="str">
            <v>Chevron</v>
          </cell>
          <cell r="K356">
            <v>0</v>
          </cell>
          <cell r="L356">
            <v>0</v>
          </cell>
          <cell r="M356">
            <v>1.050001</v>
          </cell>
          <cell r="N356">
            <v>0</v>
          </cell>
          <cell r="Q356">
            <v>0.95175449999999995</v>
          </cell>
        </row>
        <row r="357">
          <cell r="B357" t="str">
            <v>Chevron</v>
          </cell>
          <cell r="K357">
            <v>0.18066850000000001</v>
          </cell>
          <cell r="L357">
            <v>0</v>
          </cell>
          <cell r="M357">
            <v>6.4137310000000003E-2</v>
          </cell>
          <cell r="N357">
            <v>0.18066850000000001</v>
          </cell>
          <cell r="O357">
            <v>0.1749452</v>
          </cell>
          <cell r="Q357">
            <v>6.2100679999999998E-2</v>
          </cell>
          <cell r="R357">
            <v>0.1749452</v>
          </cell>
        </row>
        <row r="358">
          <cell r="B358" t="str">
            <v>Chevron</v>
          </cell>
          <cell r="K358">
            <v>0</v>
          </cell>
          <cell r="L358">
            <v>0</v>
          </cell>
          <cell r="M358">
            <v>2.6602629999999999E-2</v>
          </cell>
          <cell r="N358">
            <v>0.31506849999999997</v>
          </cell>
          <cell r="Q358">
            <v>3.30043E-2</v>
          </cell>
          <cell r="R358">
            <v>0.4183945</v>
          </cell>
        </row>
        <row r="359">
          <cell r="B359" t="str">
            <v>Chevron</v>
          </cell>
          <cell r="K359">
            <v>0</v>
          </cell>
          <cell r="L359">
            <v>0</v>
          </cell>
          <cell r="M359">
            <v>0</v>
          </cell>
          <cell r="N359">
            <v>0</v>
          </cell>
          <cell r="O359">
            <v>0.27218490000000001</v>
          </cell>
        </row>
        <row r="360">
          <cell r="B360" t="str">
            <v>Chevron</v>
          </cell>
          <cell r="K360">
            <v>0</v>
          </cell>
          <cell r="L360">
            <v>0</v>
          </cell>
          <cell r="M360">
            <v>0</v>
          </cell>
          <cell r="N360">
            <v>2.612806E-6</v>
          </cell>
          <cell r="R360">
            <v>-3.266008E-6</v>
          </cell>
        </row>
        <row r="361">
          <cell r="B361" t="str">
            <v>ConocoPhillips</v>
          </cell>
          <cell r="K361">
            <v>56.07123</v>
          </cell>
          <cell r="L361">
            <v>113.6247</v>
          </cell>
          <cell r="M361">
            <v>46.622680000000003</v>
          </cell>
          <cell r="N361">
            <v>57.326030000000003</v>
          </cell>
          <cell r="O361">
            <v>51.81512</v>
          </cell>
          <cell r="P361">
            <v>108.9781</v>
          </cell>
          <cell r="Q361">
            <v>36.862479999999998</v>
          </cell>
          <cell r="R361">
            <v>52.737050000000004</v>
          </cell>
        </row>
        <row r="362">
          <cell r="B362" t="str">
            <v>ConocoPhillips</v>
          </cell>
          <cell r="K362">
            <v>9.1722300000000008</v>
          </cell>
          <cell r="L362">
            <v>0.29787930000000001</v>
          </cell>
          <cell r="M362">
            <v>0.52398929999999999</v>
          </cell>
          <cell r="N362">
            <v>1.305793</v>
          </cell>
          <cell r="O362">
            <v>8.9078479999999995</v>
          </cell>
          <cell r="P362">
            <v>0.28746709999999998</v>
          </cell>
          <cell r="Q362">
            <v>0.49226370000000003</v>
          </cell>
          <cell r="R362">
            <v>0.87552200000000002</v>
          </cell>
        </row>
        <row r="363">
          <cell r="B363" t="str">
            <v>ConocoPhillips</v>
          </cell>
          <cell r="K363">
            <v>223.78639999999999</v>
          </cell>
          <cell r="L363">
            <v>0</v>
          </cell>
          <cell r="M363">
            <v>12.17675</v>
          </cell>
          <cell r="N363">
            <v>2.4610259999999998E-2</v>
          </cell>
          <cell r="O363">
            <v>226.03460000000001</v>
          </cell>
          <cell r="Q363">
            <v>13.334770000000001</v>
          </cell>
          <cell r="R363">
            <v>2.191187E-2</v>
          </cell>
        </row>
        <row r="364">
          <cell r="B364" t="str">
            <v>ConocoPhillips</v>
          </cell>
          <cell r="K364">
            <v>0</v>
          </cell>
          <cell r="L364">
            <v>1.1416779999999999E-4</v>
          </cell>
          <cell r="M364">
            <v>0</v>
          </cell>
          <cell r="N364">
            <v>124.188</v>
          </cell>
          <cell r="R364">
            <v>124.5544</v>
          </cell>
        </row>
        <row r="365">
          <cell r="B365" t="str">
            <v>ConocoPhillips</v>
          </cell>
          <cell r="K365">
            <v>89.165610000000001</v>
          </cell>
          <cell r="L365">
            <v>0</v>
          </cell>
          <cell r="M365">
            <v>8.7359159999999996</v>
          </cell>
          <cell r="N365">
            <v>18.038350000000001</v>
          </cell>
          <cell r="O365">
            <v>97.024709999999999</v>
          </cell>
          <cell r="Q365">
            <v>11.243650000000001</v>
          </cell>
          <cell r="R365">
            <v>18.494330000000001</v>
          </cell>
        </row>
        <row r="366">
          <cell r="B366" t="str">
            <v>ConocoPhillips</v>
          </cell>
          <cell r="K366">
            <v>25.194590000000002</v>
          </cell>
          <cell r="L366">
            <v>2.7435620000000001E-2</v>
          </cell>
          <cell r="M366">
            <v>6.0472700000000001</v>
          </cell>
          <cell r="N366">
            <v>14.917</v>
          </cell>
          <cell r="O366">
            <v>22.441099999999999</v>
          </cell>
          <cell r="P366">
            <v>1.8394520000000001E-2</v>
          </cell>
          <cell r="Q366">
            <v>4.7092130000000001</v>
          </cell>
          <cell r="R366">
            <v>14.261469999999999</v>
          </cell>
        </row>
        <row r="367">
          <cell r="B367" t="str">
            <v>ConocoPhillips</v>
          </cell>
          <cell r="K367">
            <v>19.124770000000002</v>
          </cell>
          <cell r="L367">
            <v>0</v>
          </cell>
          <cell r="M367">
            <v>6.9505650000000001</v>
          </cell>
          <cell r="N367">
            <v>8.659967</v>
          </cell>
          <cell r="O367">
            <v>20.856839999999998</v>
          </cell>
          <cell r="Q367">
            <v>7.5493560000000004</v>
          </cell>
          <cell r="R367">
            <v>9.4060279999999992</v>
          </cell>
        </row>
        <row r="368">
          <cell r="B368" t="str">
            <v>ConocoPhillips</v>
          </cell>
          <cell r="K368">
            <v>6.8450389999999999</v>
          </cell>
          <cell r="L368">
            <v>0</v>
          </cell>
          <cell r="M368">
            <v>2.1304479999999999</v>
          </cell>
          <cell r="N368">
            <v>2.6255480000000002</v>
          </cell>
          <cell r="O368">
            <v>10.012409999999999</v>
          </cell>
          <cell r="Q368">
            <v>3.1020289999999999</v>
          </cell>
          <cell r="R368">
            <v>3.822921</v>
          </cell>
        </row>
        <row r="369">
          <cell r="B369" t="str">
            <v>ConocoPhillips</v>
          </cell>
          <cell r="K369">
            <v>1.6323970000000001</v>
          </cell>
          <cell r="L369">
            <v>0</v>
          </cell>
          <cell r="M369">
            <v>0</v>
          </cell>
          <cell r="N369">
            <v>0</v>
          </cell>
          <cell r="O369">
            <v>1.482775</v>
          </cell>
        </row>
        <row r="370">
          <cell r="B370" t="str">
            <v>ConocoPhillips</v>
          </cell>
          <cell r="K370">
            <v>57.41948</v>
          </cell>
          <cell r="L370">
            <v>3.287671</v>
          </cell>
          <cell r="M370">
            <v>0.44884059999999998</v>
          </cell>
          <cell r="N370">
            <v>18.279450000000001</v>
          </cell>
          <cell r="O370">
            <v>58.115270000000002</v>
          </cell>
          <cell r="P370">
            <v>3.287671</v>
          </cell>
          <cell r="Q370">
            <v>0.49290410000000001</v>
          </cell>
          <cell r="R370">
            <v>20.257529999999999</v>
          </cell>
        </row>
        <row r="371">
          <cell r="B371" t="str">
            <v>ConocoPhillips</v>
          </cell>
          <cell r="K371">
            <v>0</v>
          </cell>
          <cell r="L371">
            <v>16.627400000000002</v>
          </cell>
          <cell r="M371">
            <v>5.9523279999999996</v>
          </cell>
          <cell r="N371">
            <v>51.279449999999997</v>
          </cell>
          <cell r="P371">
            <v>16.627400000000002</v>
          </cell>
          <cell r="Q371">
            <v>5.9990129999999997</v>
          </cell>
          <cell r="R371">
            <v>51.279449999999997</v>
          </cell>
        </row>
        <row r="372">
          <cell r="B372" t="str">
            <v>ConocoPhillips</v>
          </cell>
          <cell r="K372">
            <v>0</v>
          </cell>
          <cell r="L372">
            <v>0</v>
          </cell>
          <cell r="M372">
            <v>0</v>
          </cell>
          <cell r="N372">
            <v>0</v>
          </cell>
          <cell r="R372">
            <v>0</v>
          </cell>
        </row>
        <row r="373">
          <cell r="B373" t="str">
            <v>ConocoPhillips</v>
          </cell>
          <cell r="K373">
            <v>0.1503138</v>
          </cell>
          <cell r="L373">
            <v>3.159411</v>
          </cell>
          <cell r="M373">
            <v>9.4536980000000002E-6</v>
          </cell>
          <cell r="N373">
            <v>69.694220000000001</v>
          </cell>
          <cell r="O373">
            <v>0.1436829</v>
          </cell>
          <cell r="P373">
            <v>3.1128010000000002</v>
          </cell>
          <cell r="Q373">
            <v>8.4032870000000008E-6</v>
          </cell>
          <cell r="R373">
            <v>67.739040000000003</v>
          </cell>
        </row>
        <row r="374">
          <cell r="B374" t="str">
            <v>ConocoPhillips</v>
          </cell>
          <cell r="K374">
            <v>62.52225</v>
          </cell>
          <cell r="L374">
            <v>0.92798360000000002</v>
          </cell>
          <cell r="M374">
            <v>0.56474369999999996</v>
          </cell>
          <cell r="N374">
            <v>1.59083</v>
          </cell>
          <cell r="O374">
            <v>66.5</v>
          </cell>
          <cell r="P374">
            <v>3.702477</v>
          </cell>
          <cell r="Q374">
            <v>2.2532190000000001</v>
          </cell>
          <cell r="R374">
            <v>6.3471039999999999</v>
          </cell>
        </row>
        <row r="375">
          <cell r="B375" t="str">
            <v>ConocoPhillips</v>
          </cell>
          <cell r="K375">
            <v>33.850969999999997</v>
          </cell>
          <cell r="L375">
            <v>0</v>
          </cell>
          <cell r="M375">
            <v>0.81722439999999996</v>
          </cell>
          <cell r="N375">
            <v>5.2057520000000004</v>
          </cell>
          <cell r="O375">
            <v>38.176189999999998</v>
          </cell>
          <cell r="Q375">
            <v>0.64385360000000003</v>
          </cell>
          <cell r="R375">
            <v>7.3735200000000001</v>
          </cell>
        </row>
        <row r="376">
          <cell r="B376" t="str">
            <v>ConocoPhillips</v>
          </cell>
          <cell r="K376">
            <v>14.045870000000001</v>
          </cell>
          <cell r="L376">
            <v>0</v>
          </cell>
          <cell r="M376">
            <v>0.3185576</v>
          </cell>
          <cell r="N376">
            <v>1.4658929999999999</v>
          </cell>
          <cell r="O376">
            <v>14.475630000000001</v>
          </cell>
          <cell r="Q376">
            <v>0.3283047</v>
          </cell>
          <cell r="R376">
            <v>1.5107429999999999</v>
          </cell>
        </row>
        <row r="377">
          <cell r="B377" t="str">
            <v>ConocoPhillips</v>
          </cell>
          <cell r="K377">
            <v>0</v>
          </cell>
          <cell r="L377">
            <v>1.6955399999999999E-2</v>
          </cell>
          <cell r="M377">
            <v>3.4671950000000002E-3</v>
          </cell>
          <cell r="N377">
            <v>2.6880629999999999E-2</v>
          </cell>
        </row>
        <row r="378">
          <cell r="B378" t="str">
            <v>ConocoPhillips</v>
          </cell>
          <cell r="K378">
            <v>0.54146260000000002</v>
          </cell>
          <cell r="L378">
            <v>0</v>
          </cell>
          <cell r="M378">
            <v>9.0217530000000004E-2</v>
          </cell>
          <cell r="N378">
            <v>0.63036720000000002</v>
          </cell>
          <cell r="O378">
            <v>0.5168275</v>
          </cell>
          <cell r="Q378">
            <v>7.4871199999999999E-2</v>
          </cell>
          <cell r="R378">
            <v>0.4990906</v>
          </cell>
        </row>
        <row r="379">
          <cell r="B379" t="str">
            <v>ConocoPhillips</v>
          </cell>
          <cell r="K379">
            <v>0</v>
          </cell>
          <cell r="L379">
            <v>0</v>
          </cell>
          <cell r="M379">
            <v>0</v>
          </cell>
          <cell r="N379">
            <v>0</v>
          </cell>
          <cell r="O379">
            <v>0.29561949999999998</v>
          </cell>
        </row>
        <row r="380">
          <cell r="B380" t="str">
            <v>ConocoPhillips</v>
          </cell>
          <cell r="K380">
            <v>39.696710000000003</v>
          </cell>
          <cell r="L380">
            <v>0</v>
          </cell>
          <cell r="M380">
            <v>0</v>
          </cell>
          <cell r="N380">
            <v>0.55035999999999996</v>
          </cell>
          <cell r="O380">
            <v>47.823799999999999</v>
          </cell>
          <cell r="R380">
            <v>1.14653</v>
          </cell>
        </row>
        <row r="381">
          <cell r="B381" t="str">
            <v>ConocoPhillips</v>
          </cell>
          <cell r="K381">
            <v>41.565579999999997</v>
          </cell>
          <cell r="L381">
            <v>6.8907019999999999E-2</v>
          </cell>
          <cell r="M381">
            <v>0</v>
          </cell>
          <cell r="N381">
            <v>5.0016439999999998</v>
          </cell>
          <cell r="O381">
            <v>32.689799999999998</v>
          </cell>
          <cell r="P381">
            <v>1.004794</v>
          </cell>
          <cell r="R381">
            <v>3.9336220000000002</v>
          </cell>
        </row>
        <row r="382">
          <cell r="B382" t="str">
            <v>ConocoPhillips</v>
          </cell>
          <cell r="K382">
            <v>12.5106</v>
          </cell>
          <cell r="L382">
            <v>0</v>
          </cell>
          <cell r="M382">
            <v>0.41956680000000002</v>
          </cell>
          <cell r="N382">
            <v>6.0617429999999999</v>
          </cell>
          <cell r="O382">
            <v>12.745760000000001</v>
          </cell>
          <cell r="Q382">
            <v>0.47760910000000001</v>
          </cell>
          <cell r="R382">
            <v>8.3958689999999994</v>
          </cell>
        </row>
        <row r="383">
          <cell r="B383" t="str">
            <v>ConocoPhillips</v>
          </cell>
          <cell r="K383">
            <v>0</v>
          </cell>
          <cell r="L383">
            <v>0.28759259999999998</v>
          </cell>
          <cell r="M383">
            <v>0</v>
          </cell>
          <cell r="N383">
            <v>11.63843</v>
          </cell>
          <cell r="P383">
            <v>0.26766990000000002</v>
          </cell>
          <cell r="R383">
            <v>11.78082</v>
          </cell>
        </row>
        <row r="384">
          <cell r="B384" t="str">
            <v>ConocoPhillips</v>
          </cell>
          <cell r="K384">
            <v>2.5266609999999998</v>
          </cell>
          <cell r="L384">
            <v>0</v>
          </cell>
          <cell r="M384">
            <v>1.201419</v>
          </cell>
          <cell r="N384">
            <v>8.6321279999999998</v>
          </cell>
          <cell r="O384">
            <v>2.3700139999999998</v>
          </cell>
          <cell r="Q384">
            <v>1.1837230000000001</v>
          </cell>
          <cell r="R384">
            <v>8.9207049999999999</v>
          </cell>
        </row>
        <row r="385">
          <cell r="B385" t="str">
            <v>ConocoPhillips</v>
          </cell>
          <cell r="K385">
            <v>9.8850339999999992</v>
          </cell>
          <cell r="L385">
            <v>0</v>
          </cell>
          <cell r="M385">
            <v>0</v>
          </cell>
          <cell r="N385">
            <v>2.12582</v>
          </cell>
          <cell r="O385">
            <v>8.5857200000000002</v>
          </cell>
          <cell r="R385">
            <v>1.8463970000000001</v>
          </cell>
        </row>
        <row r="386">
          <cell r="B386" t="str">
            <v>ConocoPhillips</v>
          </cell>
          <cell r="K386">
            <v>3.4859289999999998E-4</v>
          </cell>
          <cell r="L386">
            <v>0</v>
          </cell>
          <cell r="M386">
            <v>0</v>
          </cell>
          <cell r="N386">
            <v>0</v>
          </cell>
        </row>
        <row r="387">
          <cell r="B387" t="str">
            <v>ConocoPhillips</v>
          </cell>
          <cell r="K387">
            <v>0</v>
          </cell>
          <cell r="L387">
            <v>0</v>
          </cell>
          <cell r="M387">
            <v>0.23719999999999999</v>
          </cell>
          <cell r="N387">
            <v>8.8048730000000006</v>
          </cell>
          <cell r="Q387">
            <v>0.24579619999999999</v>
          </cell>
          <cell r="R387">
            <v>9.6978080000000002</v>
          </cell>
        </row>
        <row r="388">
          <cell r="B388" t="str">
            <v>ConocoPhillips</v>
          </cell>
          <cell r="K388">
            <v>5.4459920000000004</v>
          </cell>
          <cell r="L388">
            <v>0</v>
          </cell>
          <cell r="M388">
            <v>0</v>
          </cell>
          <cell r="N388">
            <v>0</v>
          </cell>
          <cell r="O388">
            <v>4.6228809999999996</v>
          </cell>
        </row>
        <row r="389">
          <cell r="B389" t="str">
            <v>ConocoPhillips</v>
          </cell>
          <cell r="K389">
            <v>1.373448</v>
          </cell>
          <cell r="L389">
            <v>0</v>
          </cell>
          <cell r="M389">
            <v>0.3163916</v>
          </cell>
          <cell r="N389">
            <v>1.29033</v>
          </cell>
          <cell r="O389">
            <v>1.8042260000000001</v>
          </cell>
          <cell r="Q389">
            <v>0.33591100000000002</v>
          </cell>
          <cell r="R389">
            <v>1.8853219999999999</v>
          </cell>
        </row>
        <row r="390">
          <cell r="B390" t="str">
            <v>ConocoPhillips</v>
          </cell>
          <cell r="K390">
            <v>0.38041340000000001</v>
          </cell>
          <cell r="L390">
            <v>0</v>
          </cell>
          <cell r="M390">
            <v>0</v>
          </cell>
          <cell r="N390">
            <v>0.36875390000000002</v>
          </cell>
          <cell r="O390">
            <v>0.4594762</v>
          </cell>
          <cell r="R390">
            <v>0.4453935</v>
          </cell>
        </row>
        <row r="391">
          <cell r="B391" t="str">
            <v>ConocoPhillips</v>
          </cell>
          <cell r="K391">
            <v>1.7472840000000001</v>
          </cell>
          <cell r="L391">
            <v>0</v>
          </cell>
          <cell r="M391">
            <v>0</v>
          </cell>
          <cell r="N391">
            <v>0</v>
          </cell>
          <cell r="O391">
            <v>1.512489</v>
          </cell>
        </row>
        <row r="392">
          <cell r="B392" t="str">
            <v>ConocoPhillips</v>
          </cell>
          <cell r="K392">
            <v>0.1873678</v>
          </cell>
          <cell r="L392">
            <v>0</v>
          </cell>
          <cell r="M392">
            <v>0</v>
          </cell>
          <cell r="N392">
            <v>0</v>
          </cell>
          <cell r="O392">
            <v>0.1330885</v>
          </cell>
          <cell r="Q392">
            <v>3.31463E-6</v>
          </cell>
        </row>
        <row r="393">
          <cell r="B393" t="str">
            <v>ConocoPhillips</v>
          </cell>
          <cell r="K393">
            <v>0.18830620000000001</v>
          </cell>
          <cell r="L393">
            <v>0</v>
          </cell>
          <cell r="M393">
            <v>0</v>
          </cell>
          <cell r="N393">
            <v>3.5026850000000002E-3</v>
          </cell>
          <cell r="O393">
            <v>0.18321000000000001</v>
          </cell>
          <cell r="Q393">
            <v>0</v>
          </cell>
          <cell r="R393">
            <v>2.7304109999999999E-3</v>
          </cell>
        </row>
        <row r="394">
          <cell r="B394" t="str">
            <v>ConocoPhillips</v>
          </cell>
          <cell r="K394">
            <v>0</v>
          </cell>
          <cell r="L394">
            <v>2.525635E-2</v>
          </cell>
          <cell r="M394">
            <v>7.6474339999999998E-3</v>
          </cell>
          <cell r="N394">
            <v>0.1004955</v>
          </cell>
        </row>
        <row r="395">
          <cell r="B395" t="str">
            <v>ConocoPhillips</v>
          </cell>
          <cell r="K395">
            <v>1.10137</v>
          </cell>
          <cell r="L395">
            <v>2.00549</v>
          </cell>
          <cell r="M395">
            <v>2.2642169999999999</v>
          </cell>
          <cell r="N395">
            <v>12.0822</v>
          </cell>
          <cell r="O395">
            <v>1.0643370000000001</v>
          </cell>
          <cell r="P395">
            <v>1.3443229999999999</v>
          </cell>
          <cell r="Q395">
            <v>1.517754</v>
          </cell>
          <cell r="R395">
            <v>11.775259999999999</v>
          </cell>
        </row>
        <row r="396">
          <cell r="B396" t="str">
            <v>ConocoPhillips</v>
          </cell>
          <cell r="K396">
            <v>14.196949999999999</v>
          </cell>
          <cell r="L396">
            <v>9.273622E-4</v>
          </cell>
          <cell r="M396">
            <v>0.95491269999999995</v>
          </cell>
          <cell r="N396">
            <v>1.981163</v>
          </cell>
          <cell r="O396">
            <v>13.424390000000001</v>
          </cell>
          <cell r="P396">
            <v>6.2367659999999997E-4</v>
          </cell>
          <cell r="Q396">
            <v>0.6462561</v>
          </cell>
          <cell r="R396">
            <v>1.5922879999999999</v>
          </cell>
        </row>
        <row r="397">
          <cell r="B397" t="str">
            <v>ConocoPhillips</v>
          </cell>
          <cell r="K397">
            <v>1.2032670000000001E-2</v>
          </cell>
          <cell r="L397">
            <v>3.8890359999999998E-3</v>
          </cell>
          <cell r="M397">
            <v>7.1179049999999999E-3</v>
          </cell>
          <cell r="N397">
            <v>4.0661940000000001E-2</v>
          </cell>
        </row>
        <row r="398">
          <cell r="B398" t="str">
            <v>ConocoPhillips</v>
          </cell>
          <cell r="K398">
            <v>0</v>
          </cell>
          <cell r="L398">
            <v>1.0092769999999999E-2</v>
          </cell>
          <cell r="M398">
            <v>2.1023130000000002E-3</v>
          </cell>
          <cell r="N398">
            <v>2.9599549999999999E-2</v>
          </cell>
        </row>
        <row r="399">
          <cell r="B399" t="str">
            <v>ConocoPhillips</v>
          </cell>
          <cell r="K399">
            <v>11.678890000000001</v>
          </cell>
          <cell r="L399">
            <v>0</v>
          </cell>
          <cell r="M399">
            <v>0</v>
          </cell>
          <cell r="N399">
            <v>0</v>
          </cell>
          <cell r="O399">
            <v>13.29735</v>
          </cell>
        </row>
        <row r="400">
          <cell r="B400" t="str">
            <v>ConocoPhillips</v>
          </cell>
          <cell r="K400">
            <v>0</v>
          </cell>
          <cell r="L400">
            <v>0</v>
          </cell>
          <cell r="M400">
            <v>0</v>
          </cell>
          <cell r="N400">
            <v>6.1260269999999997</v>
          </cell>
          <cell r="R400">
            <v>7.6670220000000002</v>
          </cell>
        </row>
        <row r="401">
          <cell r="B401" t="str">
            <v>ConocoPhillips</v>
          </cell>
          <cell r="K401">
            <v>8.866987</v>
          </cell>
          <cell r="L401">
            <v>0</v>
          </cell>
          <cell r="M401">
            <v>0</v>
          </cell>
          <cell r="N401">
            <v>0</v>
          </cell>
          <cell r="O401">
            <v>7.4518170000000001</v>
          </cell>
        </row>
        <row r="402">
          <cell r="B402" t="str">
            <v>ConocoPhillips</v>
          </cell>
          <cell r="K402">
            <v>8.5205479999999998</v>
          </cell>
          <cell r="L402">
            <v>0</v>
          </cell>
          <cell r="M402">
            <v>0.97454790000000002</v>
          </cell>
          <cell r="N402">
            <v>2.3534250000000001</v>
          </cell>
          <cell r="O402">
            <v>2.2186400000000002</v>
          </cell>
          <cell r="Q402">
            <v>0.25203720000000002</v>
          </cell>
          <cell r="R402">
            <v>0.38456410000000002</v>
          </cell>
        </row>
        <row r="403">
          <cell r="B403" t="str">
            <v>ConocoPhillips</v>
          </cell>
          <cell r="K403">
            <v>0</v>
          </cell>
          <cell r="L403">
            <v>0</v>
          </cell>
          <cell r="M403">
            <v>0</v>
          </cell>
          <cell r="N403">
            <v>2.4148309999999999</v>
          </cell>
          <cell r="R403">
            <v>2.2160250000000001</v>
          </cell>
        </row>
        <row r="404">
          <cell r="B404" t="str">
            <v>ConocoPhillips</v>
          </cell>
          <cell r="K404">
            <v>0</v>
          </cell>
          <cell r="L404">
            <v>0</v>
          </cell>
          <cell r="M404">
            <v>0</v>
          </cell>
          <cell r="N404">
            <v>0</v>
          </cell>
        </row>
        <row r="405">
          <cell r="B405" t="str">
            <v>ConocoPhillips</v>
          </cell>
          <cell r="K405">
            <v>1.283595E-2</v>
          </cell>
          <cell r="L405">
            <v>0</v>
          </cell>
          <cell r="M405">
            <v>6.2667319999999997E-5</v>
          </cell>
          <cell r="N405">
            <v>6.6096090000000002E-4</v>
          </cell>
        </row>
        <row r="406">
          <cell r="B406" t="str">
            <v>ConocoPhillips</v>
          </cell>
          <cell r="K406">
            <v>0</v>
          </cell>
          <cell r="L406">
            <v>5.7646830000000002E-6</v>
          </cell>
          <cell r="M406">
            <v>0</v>
          </cell>
          <cell r="N406">
            <v>1.434765E-2</v>
          </cell>
        </row>
        <row r="407">
          <cell r="B407" t="str">
            <v>ConocoPhillips</v>
          </cell>
          <cell r="K407">
            <v>0</v>
          </cell>
          <cell r="L407">
            <v>0</v>
          </cell>
          <cell r="M407">
            <v>0</v>
          </cell>
          <cell r="N407">
            <v>2.971818E-2</v>
          </cell>
        </row>
        <row r="408">
          <cell r="B408" t="str">
            <v>ConocoPhillips</v>
          </cell>
          <cell r="K408">
            <v>0</v>
          </cell>
          <cell r="L408">
            <v>2.514483E-6</v>
          </cell>
          <cell r="M408">
            <v>0</v>
          </cell>
          <cell r="N408">
            <v>1.2368850000000001E-3</v>
          </cell>
        </row>
        <row r="409">
          <cell r="B409" t="str">
            <v>ConocoPhillips</v>
          </cell>
          <cell r="K409">
            <v>0</v>
          </cell>
          <cell r="L409">
            <v>0</v>
          </cell>
          <cell r="M409">
            <v>0</v>
          </cell>
          <cell r="N409">
            <v>0.64657529999999996</v>
          </cell>
          <cell r="R409">
            <v>0.61678359999999999</v>
          </cell>
        </row>
        <row r="410">
          <cell r="B410" t="str">
            <v>ConocoPhillips</v>
          </cell>
          <cell r="K410">
            <v>4.7174309999999997E-2</v>
          </cell>
          <cell r="L410">
            <v>9.1263819999999996E-2</v>
          </cell>
          <cell r="M410">
            <v>2.5972370000000002E-2</v>
          </cell>
          <cell r="N410">
            <v>0.382104</v>
          </cell>
          <cell r="O410">
            <v>4.6240999999999997E-2</v>
          </cell>
          <cell r="P410">
            <v>7.9077800000000004E-2</v>
          </cell>
          <cell r="Q410">
            <v>2.0533639999999999E-2</v>
          </cell>
          <cell r="R410">
            <v>0.3173009</v>
          </cell>
        </row>
        <row r="411">
          <cell r="B411" t="str">
            <v>ConocoPhillips</v>
          </cell>
          <cell r="K411">
            <v>0</v>
          </cell>
          <cell r="L411">
            <v>0</v>
          </cell>
          <cell r="M411">
            <v>0</v>
          </cell>
          <cell r="N411">
            <v>0.41369860000000003</v>
          </cell>
          <cell r="R411">
            <v>0.40066849999999998</v>
          </cell>
        </row>
        <row r="412">
          <cell r="B412" t="str">
            <v>ConocoPhillips</v>
          </cell>
          <cell r="K412">
            <v>0</v>
          </cell>
          <cell r="L412">
            <v>0</v>
          </cell>
          <cell r="M412">
            <v>0</v>
          </cell>
          <cell r="N412">
            <v>1.0980820000000001E-2</v>
          </cell>
          <cell r="R412">
            <v>1.074247E-2</v>
          </cell>
        </row>
        <row r="413">
          <cell r="B413" t="str">
            <v>ConocoPhillips</v>
          </cell>
          <cell r="K413">
            <v>0</v>
          </cell>
          <cell r="L413">
            <v>0</v>
          </cell>
          <cell r="M413">
            <v>0</v>
          </cell>
          <cell r="N413">
            <v>0</v>
          </cell>
          <cell r="R413">
            <v>2.612806E-6</v>
          </cell>
        </row>
        <row r="414">
          <cell r="B414" t="str">
            <v>ConocoPhillips</v>
          </cell>
          <cell r="K414">
            <v>0</v>
          </cell>
          <cell r="L414">
            <v>0</v>
          </cell>
          <cell r="M414">
            <v>0</v>
          </cell>
          <cell r="N414">
            <v>0</v>
          </cell>
        </row>
        <row r="415">
          <cell r="B415" t="str">
            <v>ConocoPhillips</v>
          </cell>
          <cell r="K415">
            <v>0</v>
          </cell>
          <cell r="L415">
            <v>0</v>
          </cell>
          <cell r="M415">
            <v>0</v>
          </cell>
          <cell r="N415">
            <v>0</v>
          </cell>
          <cell r="O415">
            <v>0</v>
          </cell>
          <cell r="R415">
            <v>0</v>
          </cell>
        </row>
        <row r="416">
          <cell r="B416" t="str">
            <v>ConocoPhillips</v>
          </cell>
          <cell r="K416">
            <v>0</v>
          </cell>
          <cell r="L416">
            <v>0</v>
          </cell>
          <cell r="M416">
            <v>0</v>
          </cell>
          <cell r="N416">
            <v>0</v>
          </cell>
        </row>
        <row r="417">
          <cell r="B417" t="str">
            <v>Suncor Energy</v>
          </cell>
          <cell r="K417">
            <v>676.81370000000004</v>
          </cell>
          <cell r="L417">
            <v>0</v>
          </cell>
          <cell r="M417">
            <v>1.502088E-2</v>
          </cell>
          <cell r="N417">
            <v>8.4621909999999995E-2</v>
          </cell>
          <cell r="O417">
            <v>599.20650000000001</v>
          </cell>
          <cell r="Q417">
            <v>1.3211840000000001E-2</v>
          </cell>
          <cell r="R417">
            <v>7.4446570000000004E-2</v>
          </cell>
        </row>
        <row r="418">
          <cell r="B418" t="str">
            <v>Suncor Energy</v>
          </cell>
          <cell r="K418">
            <v>1.4080779999999999</v>
          </cell>
          <cell r="L418">
            <v>0</v>
          </cell>
          <cell r="M418">
            <v>0</v>
          </cell>
          <cell r="N418">
            <v>0</v>
          </cell>
          <cell r="O418">
            <v>3.2708759999999999</v>
          </cell>
        </row>
        <row r="419">
          <cell r="B419" t="str">
            <v>Suncor Energy</v>
          </cell>
          <cell r="K419">
            <v>58.350650000000002</v>
          </cell>
          <cell r="L419">
            <v>0</v>
          </cell>
          <cell r="M419">
            <v>0</v>
          </cell>
          <cell r="N419">
            <v>0</v>
          </cell>
          <cell r="O419">
            <v>65.337720000000004</v>
          </cell>
        </row>
        <row r="420">
          <cell r="B420" t="str">
            <v>Suncor Energy</v>
          </cell>
          <cell r="K420">
            <v>40.317489999999999</v>
          </cell>
          <cell r="L420">
            <v>0</v>
          </cell>
          <cell r="M420">
            <v>0.52598650000000002</v>
          </cell>
          <cell r="N420">
            <v>1.4175819999999999</v>
          </cell>
          <cell r="O420">
            <v>32.019959999999998</v>
          </cell>
          <cell r="Q420">
            <v>0.4165625</v>
          </cell>
          <cell r="R420">
            <v>1.1185130000000001</v>
          </cell>
        </row>
        <row r="421">
          <cell r="B421" t="str">
            <v>Suncor Energy</v>
          </cell>
          <cell r="K421">
            <v>15.680149999999999</v>
          </cell>
          <cell r="L421">
            <v>0</v>
          </cell>
          <cell r="M421">
            <v>0</v>
          </cell>
          <cell r="N421">
            <v>0</v>
          </cell>
          <cell r="O421">
            <v>11.79222</v>
          </cell>
        </row>
        <row r="422">
          <cell r="B422" t="str">
            <v>Suncor Energy</v>
          </cell>
          <cell r="K422">
            <v>3.3865189999999998</v>
          </cell>
          <cell r="L422">
            <v>0</v>
          </cell>
          <cell r="M422">
            <v>5.151331E-2</v>
          </cell>
          <cell r="N422">
            <v>0</v>
          </cell>
          <cell r="O422">
            <v>8.9835159999999998</v>
          </cell>
          <cell r="Q422">
            <v>0.16522729999999999</v>
          </cell>
          <cell r="R422">
            <v>0</v>
          </cell>
        </row>
        <row r="423">
          <cell r="B423" t="str">
            <v>Suncor Energy</v>
          </cell>
          <cell r="K423">
            <v>0</v>
          </cell>
          <cell r="L423">
            <v>0</v>
          </cell>
          <cell r="M423">
            <v>0</v>
          </cell>
          <cell r="N423">
            <v>0</v>
          </cell>
          <cell r="O423">
            <v>0</v>
          </cell>
          <cell r="R423">
            <v>0</v>
          </cell>
        </row>
        <row r="424">
          <cell r="B424" t="str">
            <v>Suncor Energy</v>
          </cell>
          <cell r="K424">
            <v>0</v>
          </cell>
          <cell r="L424">
            <v>0</v>
          </cell>
          <cell r="M424">
            <v>0</v>
          </cell>
          <cell r="N424">
            <v>0</v>
          </cell>
          <cell r="P424">
            <v>0</v>
          </cell>
          <cell r="R424">
            <v>0</v>
          </cell>
        </row>
        <row r="425">
          <cell r="B425" t="str">
            <v>Hess</v>
          </cell>
          <cell r="K425">
            <v>116.7985</v>
          </cell>
          <cell r="L425">
            <v>0</v>
          </cell>
          <cell r="M425">
            <v>34.399549999999998</v>
          </cell>
          <cell r="N425">
            <v>21.124590000000001</v>
          </cell>
          <cell r="O425">
            <v>132.84299999999999</v>
          </cell>
          <cell r="Q425">
            <v>39.08381</v>
          </cell>
          <cell r="R425">
            <v>23.364609999999999</v>
          </cell>
        </row>
        <row r="426">
          <cell r="B426" t="str">
            <v>Hess</v>
          </cell>
          <cell r="K426">
            <v>0</v>
          </cell>
          <cell r="L426">
            <v>1.084573</v>
          </cell>
          <cell r="M426">
            <v>0</v>
          </cell>
          <cell r="N426">
            <v>21.184069999999998</v>
          </cell>
          <cell r="P426">
            <v>3.594325</v>
          </cell>
          <cell r="Q426">
            <v>0.24096229999999999</v>
          </cell>
          <cell r="R426">
            <v>30.064800000000002</v>
          </cell>
        </row>
        <row r="427">
          <cell r="B427" t="str">
            <v>Hess</v>
          </cell>
          <cell r="K427">
            <v>0</v>
          </cell>
          <cell r="L427">
            <v>3.735932</v>
          </cell>
          <cell r="M427">
            <v>0</v>
          </cell>
          <cell r="N427">
            <v>68.242360000000005</v>
          </cell>
          <cell r="P427">
            <v>3.4643830000000002</v>
          </cell>
          <cell r="R427">
            <v>62.793320000000001</v>
          </cell>
        </row>
        <row r="428">
          <cell r="B428" t="str">
            <v>Hess</v>
          </cell>
          <cell r="K428">
            <v>34.816650000000003</v>
          </cell>
          <cell r="L428">
            <v>12.88297</v>
          </cell>
          <cell r="M428">
            <v>6.2641039999999997</v>
          </cell>
          <cell r="N428">
            <v>14.044040000000001</v>
          </cell>
          <cell r="O428">
            <v>43.911630000000002</v>
          </cell>
          <cell r="P428">
            <v>10.289849999999999</v>
          </cell>
          <cell r="Q428">
            <v>4.7626410000000003</v>
          </cell>
          <cell r="R428">
            <v>13.141780000000001</v>
          </cell>
        </row>
        <row r="429">
          <cell r="B429" t="str">
            <v>Hess</v>
          </cell>
          <cell r="K429">
            <v>20.91029</v>
          </cell>
          <cell r="L429">
            <v>3.4664880000000002E-2</v>
          </cell>
          <cell r="M429">
            <v>0</v>
          </cell>
          <cell r="N429">
            <v>2.5161639999999998</v>
          </cell>
          <cell r="O429">
            <v>16.445180000000001</v>
          </cell>
          <cell r="P429">
            <v>0.50547949999999997</v>
          </cell>
          <cell r="R429">
            <v>1.9788779999999999</v>
          </cell>
        </row>
        <row r="430">
          <cell r="B430" t="str">
            <v>Hess</v>
          </cell>
          <cell r="K430">
            <v>0.3108107</v>
          </cell>
          <cell r="L430">
            <v>0</v>
          </cell>
          <cell r="M430">
            <v>0</v>
          </cell>
          <cell r="N430">
            <v>0</v>
          </cell>
          <cell r="O430">
            <v>29.90934</v>
          </cell>
        </row>
        <row r="431">
          <cell r="B431" t="str">
            <v>Hess</v>
          </cell>
          <cell r="K431">
            <v>5.9934700000000003</v>
          </cell>
          <cell r="L431">
            <v>0</v>
          </cell>
          <cell r="M431">
            <v>0</v>
          </cell>
          <cell r="N431">
            <v>1.649548</v>
          </cell>
          <cell r="O431">
            <v>6.3589310000000001</v>
          </cell>
          <cell r="R431">
            <v>1.48611</v>
          </cell>
        </row>
        <row r="432">
          <cell r="B432" t="str">
            <v>Hess</v>
          </cell>
          <cell r="K432">
            <v>0</v>
          </cell>
          <cell r="L432">
            <v>0</v>
          </cell>
          <cell r="M432">
            <v>0</v>
          </cell>
          <cell r="N432">
            <v>0</v>
          </cell>
        </row>
        <row r="433">
          <cell r="B433" t="str">
            <v>Hess</v>
          </cell>
          <cell r="K433">
            <v>0</v>
          </cell>
          <cell r="L433">
            <v>0</v>
          </cell>
          <cell r="M433">
            <v>0</v>
          </cell>
          <cell r="N433">
            <v>0</v>
          </cell>
          <cell r="O433">
            <v>4.6172600000000001E-2</v>
          </cell>
          <cell r="Q433">
            <v>1.9257530000000001E-3</v>
          </cell>
          <cell r="R433">
            <v>5.4301369999999998E-3</v>
          </cell>
        </row>
        <row r="434">
          <cell r="B434" t="str">
            <v>Hess</v>
          </cell>
          <cell r="K434">
            <v>8.2212329999999997E-3</v>
          </cell>
          <cell r="L434">
            <v>0</v>
          </cell>
          <cell r="M434">
            <v>0</v>
          </cell>
          <cell r="N434">
            <v>0</v>
          </cell>
          <cell r="O434">
            <v>8.0582190000000001E-3</v>
          </cell>
        </row>
        <row r="435">
          <cell r="B435" t="str">
            <v>Marathon Oil</v>
          </cell>
          <cell r="K435">
            <v>52.96181</v>
          </cell>
          <cell r="L435">
            <v>30.454930000000001</v>
          </cell>
          <cell r="M435">
            <v>20.47035</v>
          </cell>
          <cell r="N435">
            <v>28.65108</v>
          </cell>
          <cell r="O435">
            <v>51.60633</v>
          </cell>
          <cell r="P435">
            <v>27.799150000000001</v>
          </cell>
          <cell r="Q435">
            <v>19.23104</v>
          </cell>
          <cell r="R435">
            <v>29.413019999999999</v>
          </cell>
        </row>
        <row r="436">
          <cell r="B436" t="str">
            <v>Marathon Oil</v>
          </cell>
          <cell r="K436">
            <v>107.8147</v>
          </cell>
          <cell r="L436">
            <v>0</v>
          </cell>
          <cell r="M436">
            <v>7.5182250000000002</v>
          </cell>
          <cell r="N436">
            <v>8.9726029999999994</v>
          </cell>
          <cell r="O436">
            <v>114.5994</v>
          </cell>
          <cell r="Q436">
            <v>7.3213020000000002</v>
          </cell>
          <cell r="R436">
            <v>9.3867440000000002</v>
          </cell>
        </row>
        <row r="437">
          <cell r="B437" t="str">
            <v>Marathon Oil</v>
          </cell>
          <cell r="K437">
            <v>0</v>
          </cell>
          <cell r="L437">
            <v>19.961500000000001</v>
          </cell>
          <cell r="M437">
            <v>8.7350949999999994</v>
          </cell>
          <cell r="N437">
            <v>77.479470000000006</v>
          </cell>
          <cell r="P437">
            <v>16.72296</v>
          </cell>
          <cell r="Q437">
            <v>7.3179189999999998</v>
          </cell>
          <cell r="R437">
            <v>64.909260000000003</v>
          </cell>
        </row>
        <row r="438">
          <cell r="B438" t="str">
            <v>Marathon Oil</v>
          </cell>
          <cell r="K438">
            <v>21.024660000000001</v>
          </cell>
          <cell r="L438">
            <v>5.2219179999999996</v>
          </cell>
          <cell r="M438">
            <v>19.30228</v>
          </cell>
          <cell r="N438">
            <v>43.8</v>
          </cell>
          <cell r="O438">
            <v>16.88926</v>
          </cell>
          <cell r="P438">
            <v>5.3339309999999998</v>
          </cell>
          <cell r="Q438">
            <v>13.0898</v>
          </cell>
          <cell r="R438">
            <v>36.042789999999997</v>
          </cell>
        </row>
        <row r="439">
          <cell r="B439" t="str">
            <v>Marathon Oil</v>
          </cell>
          <cell r="K439">
            <v>20.661919999999999</v>
          </cell>
          <cell r="L439">
            <v>0</v>
          </cell>
          <cell r="M439">
            <v>4.863747</v>
          </cell>
          <cell r="N439">
            <v>7.2679179999999999</v>
          </cell>
          <cell r="O439">
            <v>23.676970000000001</v>
          </cell>
          <cell r="Q439">
            <v>5.51919</v>
          </cell>
          <cell r="R439">
            <v>7.7962600000000002</v>
          </cell>
        </row>
        <row r="440">
          <cell r="B440" t="str">
            <v>Marathon Oil</v>
          </cell>
          <cell r="K440">
            <v>0</v>
          </cell>
          <cell r="L440">
            <v>0</v>
          </cell>
          <cell r="M440">
            <v>0</v>
          </cell>
          <cell r="N440">
            <v>0</v>
          </cell>
          <cell r="P440">
            <v>2.3531509999999999E-2</v>
          </cell>
          <cell r="Q440">
            <v>9.2805749999999992E-3</v>
          </cell>
          <cell r="R440">
            <v>1.5687670000000001E-2</v>
          </cell>
        </row>
        <row r="441">
          <cell r="B441" t="str">
            <v>Marathon Oil</v>
          </cell>
          <cell r="K441">
            <v>5.6315070000000002E-2</v>
          </cell>
          <cell r="L441">
            <v>1.1698629999999999E-3</v>
          </cell>
          <cell r="M441">
            <v>0.39733930000000001</v>
          </cell>
          <cell r="N441">
            <v>3.2218659999999999</v>
          </cell>
          <cell r="O441">
            <v>5.3758899999999998E-2</v>
          </cell>
          <cell r="P441">
            <v>0</v>
          </cell>
          <cell r="Q441">
            <v>0.38366650000000002</v>
          </cell>
          <cell r="R441">
            <v>3.015625</v>
          </cell>
        </row>
        <row r="442">
          <cell r="B442" t="str">
            <v>Marathon Oil</v>
          </cell>
          <cell r="K442">
            <v>1.652685</v>
          </cell>
          <cell r="L442">
            <v>0</v>
          </cell>
          <cell r="M442">
            <v>2.7062360000000001E-2</v>
          </cell>
          <cell r="N442">
            <v>0.26431359999999998</v>
          </cell>
        </row>
        <row r="443">
          <cell r="B443" t="str">
            <v>Marathon Oil</v>
          </cell>
          <cell r="K443">
            <v>1.589753</v>
          </cell>
          <cell r="L443">
            <v>0</v>
          </cell>
          <cell r="M443">
            <v>7.8526189999999999E-3</v>
          </cell>
          <cell r="N443">
            <v>0.15485080000000001</v>
          </cell>
        </row>
        <row r="444">
          <cell r="B444" t="str">
            <v>Marathon Oil</v>
          </cell>
          <cell r="K444">
            <v>0</v>
          </cell>
          <cell r="L444">
            <v>0</v>
          </cell>
          <cell r="M444">
            <v>0</v>
          </cell>
          <cell r="N444">
            <v>0</v>
          </cell>
        </row>
        <row r="445">
          <cell r="B445" t="str">
            <v>Marathon Oil</v>
          </cell>
          <cell r="K445">
            <v>0</v>
          </cell>
          <cell r="L445">
            <v>0.1728092</v>
          </cell>
          <cell r="M445">
            <v>9.3153659999999999E-2</v>
          </cell>
          <cell r="N445">
            <v>1.072989</v>
          </cell>
        </row>
        <row r="446">
          <cell r="B446" t="str">
            <v>Marathon Oil</v>
          </cell>
          <cell r="K446">
            <v>6.6206050000000002E-2</v>
          </cell>
          <cell r="L446">
            <v>0</v>
          </cell>
          <cell r="M446">
            <v>1.4161100000000001E-4</v>
          </cell>
          <cell r="N446">
            <v>5.4901220000000001E-3</v>
          </cell>
        </row>
        <row r="447">
          <cell r="B447" t="str">
            <v>Marathon Oil</v>
          </cell>
          <cell r="K447">
            <v>0</v>
          </cell>
          <cell r="L447">
            <v>0</v>
          </cell>
          <cell r="M447">
            <v>0</v>
          </cell>
          <cell r="N447">
            <v>0</v>
          </cell>
        </row>
        <row r="448">
          <cell r="B448" t="str">
            <v>Marathon Oil</v>
          </cell>
          <cell r="K448">
            <v>0</v>
          </cell>
          <cell r="L448">
            <v>7.6739729999999997E-3</v>
          </cell>
          <cell r="M448">
            <v>0.1471451</v>
          </cell>
          <cell r="N448">
            <v>0.16886300000000001</v>
          </cell>
          <cell r="P448">
            <v>6.9068489999999996E-3</v>
          </cell>
          <cell r="Q448">
            <v>0.13241990000000001</v>
          </cell>
          <cell r="R448">
            <v>0.15196709999999999</v>
          </cell>
        </row>
        <row r="449">
          <cell r="B449" t="str">
            <v>Marathon Oil</v>
          </cell>
          <cell r="K449">
            <v>7.0085239999999993E-2</v>
          </cell>
          <cell r="L449">
            <v>0</v>
          </cell>
          <cell r="M449">
            <v>2.2841279999999999E-3</v>
          </cell>
          <cell r="N449">
            <v>1.480296E-2</v>
          </cell>
          <cell r="O449">
            <v>4.6980170000000002E-2</v>
          </cell>
          <cell r="Q449">
            <v>1.531183E-3</v>
          </cell>
          <cell r="R449">
            <v>9.9225319999999995E-3</v>
          </cell>
        </row>
        <row r="450">
          <cell r="B450" t="str">
            <v>Marathon Oil</v>
          </cell>
          <cell r="K450">
            <v>0</v>
          </cell>
          <cell r="L450">
            <v>3.1317810000000001E-2</v>
          </cell>
          <cell r="M450">
            <v>8.1941779999999997E-4</v>
          </cell>
          <cell r="N450">
            <v>1.9356849999999998E-2</v>
          </cell>
          <cell r="O450">
            <v>5.5856159999999998E-3</v>
          </cell>
          <cell r="P450">
            <v>2.9983559999999999E-2</v>
          </cell>
          <cell r="Q450">
            <v>8.0288349999999996E-4</v>
          </cell>
          <cell r="R450">
            <v>1.8339040000000001E-2</v>
          </cell>
        </row>
        <row r="451">
          <cell r="B451" t="str">
            <v>Marathon Oil</v>
          </cell>
          <cell r="K451">
            <v>1.0054790000000001E-3</v>
          </cell>
          <cell r="L451">
            <v>0</v>
          </cell>
          <cell r="M451">
            <v>0</v>
          </cell>
          <cell r="N451">
            <v>0</v>
          </cell>
          <cell r="O451">
            <v>1.0054790000000001E-3</v>
          </cell>
        </row>
        <row r="452">
          <cell r="B452" t="str">
            <v>Marathon Oil</v>
          </cell>
          <cell r="K452">
            <v>0</v>
          </cell>
          <cell r="L452">
            <v>0</v>
          </cell>
          <cell r="M452">
            <v>0</v>
          </cell>
          <cell r="N452">
            <v>0</v>
          </cell>
          <cell r="R452">
            <v>0</v>
          </cell>
        </row>
        <row r="453">
          <cell r="B453" t="str">
            <v>Husky Energy Inc. (HSE.TO)</v>
          </cell>
          <cell r="K453">
            <v>171.3486</v>
          </cell>
          <cell r="L453">
            <v>0.32876709999999998</v>
          </cell>
          <cell r="M453">
            <v>9.0199300000000004</v>
          </cell>
          <cell r="N453">
            <v>51.009569999999997</v>
          </cell>
          <cell r="O453">
            <v>170.84119999999999</v>
          </cell>
          <cell r="P453">
            <v>0.31941910000000001</v>
          </cell>
          <cell r="Q453">
            <v>7.0570130000000004</v>
          </cell>
          <cell r="R453">
            <v>47.698749999999997</v>
          </cell>
        </row>
        <row r="454">
          <cell r="B454" t="str">
            <v>Husky Energy Inc. (HSE.TO)</v>
          </cell>
          <cell r="K454">
            <v>0</v>
          </cell>
          <cell r="L454">
            <v>3.3158889999999999</v>
          </cell>
          <cell r="M454">
            <v>2.9071090000000002</v>
          </cell>
          <cell r="N454">
            <v>28.50055</v>
          </cell>
          <cell r="P454">
            <v>3.2540309999999999</v>
          </cell>
          <cell r="Q454">
            <v>2.9071099999999999</v>
          </cell>
          <cell r="R454">
            <v>28.26895</v>
          </cell>
        </row>
        <row r="455">
          <cell r="B455" t="str">
            <v>Husky Energy Inc. (HSE.TO)</v>
          </cell>
          <cell r="K455">
            <v>3.7122060000000001</v>
          </cell>
          <cell r="L455">
            <v>0</v>
          </cell>
          <cell r="M455">
            <v>0</v>
          </cell>
          <cell r="N455">
            <v>0</v>
          </cell>
          <cell r="O455">
            <v>8.6232179999999996</v>
          </cell>
        </row>
        <row r="456">
          <cell r="B456" t="str">
            <v>Husky Energy Inc. (HSE.TO)</v>
          </cell>
          <cell r="K456">
            <v>12.53328</v>
          </cell>
          <cell r="L456">
            <v>0</v>
          </cell>
          <cell r="M456">
            <v>0</v>
          </cell>
          <cell r="N456">
            <v>0</v>
          </cell>
          <cell r="O456">
            <v>13.453150000000001</v>
          </cell>
        </row>
        <row r="457">
          <cell r="B457" t="str">
            <v>Husky Energy Inc. (HSE.TO)</v>
          </cell>
          <cell r="K457">
            <v>0</v>
          </cell>
          <cell r="L457">
            <v>2.432877</v>
          </cell>
          <cell r="M457">
            <v>0</v>
          </cell>
          <cell r="N457">
            <v>5.4575339999999999</v>
          </cell>
          <cell r="P457">
            <v>2.5205479999999998</v>
          </cell>
          <cell r="R457">
            <v>6.0273969999999997</v>
          </cell>
        </row>
        <row r="458">
          <cell r="B458" t="str">
            <v>Husky Energy Inc. (HSE.TO)</v>
          </cell>
          <cell r="K458">
            <v>0</v>
          </cell>
          <cell r="L458">
            <v>0</v>
          </cell>
          <cell r="M458">
            <v>0</v>
          </cell>
          <cell r="N458">
            <v>0.42465760000000002</v>
          </cell>
          <cell r="R458">
            <v>0.386737</v>
          </cell>
        </row>
        <row r="459">
          <cell r="B459" t="str">
            <v>Murphy Oil Corporation (MUR)</v>
          </cell>
          <cell r="K459">
            <v>25.148954321865613</v>
          </cell>
          <cell r="L459">
            <v>13.322530634612939</v>
          </cell>
          <cell r="M459">
            <v>8.8453183870968086</v>
          </cell>
          <cell r="N459">
            <v>5.1314357892695321</v>
          </cell>
          <cell r="O459">
            <v>36.52514</v>
          </cell>
          <cell r="P459">
            <v>16.971070000000001</v>
          </cell>
          <cell r="Q459">
            <v>9.1366119999999995</v>
          </cell>
          <cell r="R459">
            <v>12.69354</v>
          </cell>
        </row>
        <row r="460">
          <cell r="B460" t="str">
            <v>Murphy Oil Corporation (MUR)</v>
          </cell>
          <cell r="K460">
            <v>37.692720906359575</v>
          </cell>
          <cell r="L460">
            <v>0</v>
          </cell>
          <cell r="M460">
            <v>0.25232561268521969</v>
          </cell>
          <cell r="N460">
            <v>3.0157766413215863</v>
          </cell>
          <cell r="O460">
            <v>42.431800000000003</v>
          </cell>
          <cell r="P460">
            <v>2.1053740000000001E-5</v>
          </cell>
          <cell r="Q460">
            <v>0.18228510000000001</v>
          </cell>
          <cell r="R460">
            <v>4.0361440000000002</v>
          </cell>
        </row>
        <row r="461">
          <cell r="B461" t="str">
            <v>Murphy Oil Corporation (MUR)</v>
          </cell>
          <cell r="K461">
            <v>12.555719699060479</v>
          </cell>
          <cell r="L461">
            <v>2.0083728843752158</v>
          </cell>
          <cell r="M461">
            <v>0.6107377071412976</v>
          </cell>
          <cell r="N461">
            <v>4.3172056645371253</v>
          </cell>
          <cell r="O461">
            <v>22.92343</v>
          </cell>
          <cell r="P461">
            <v>1.554891</v>
          </cell>
          <cell r="Q461">
            <v>0.44020920000000002</v>
          </cell>
          <cell r="R461">
            <v>11.439640000000001</v>
          </cell>
        </row>
        <row r="462">
          <cell r="B462" t="str">
            <v>Murphy Oil Corporation (MUR)</v>
          </cell>
          <cell r="K462">
            <v>1.0740311169911418</v>
          </cell>
          <cell r="L462">
            <v>4.721069392547987</v>
          </cell>
          <cell r="M462">
            <v>1.4155219978220335</v>
          </cell>
          <cell r="N462">
            <v>37.16084662295679</v>
          </cell>
          <cell r="O462">
            <v>1.116633</v>
          </cell>
          <cell r="P462">
            <v>3.4277449999999998</v>
          </cell>
          <cell r="Q462">
            <v>0.62352779999999997</v>
          </cell>
          <cell r="R462">
            <v>50.251629999999999</v>
          </cell>
        </row>
        <row r="463">
          <cell r="B463" t="str">
            <v>Murphy Oil Corporation (MUR)</v>
          </cell>
          <cell r="K463">
            <v>5.5775789615077551</v>
          </cell>
          <cell r="L463">
            <v>0</v>
          </cell>
          <cell r="M463">
            <v>0.40422547245215379</v>
          </cell>
          <cell r="N463">
            <v>7.5768557926786348</v>
          </cell>
        </row>
        <row r="464">
          <cell r="B464" t="str">
            <v>Murphy Oil Corporation (MUR)</v>
          </cell>
          <cell r="K464">
            <v>7.7635609128897034</v>
          </cell>
          <cell r="L464">
            <v>0</v>
          </cell>
          <cell r="M464">
            <v>0</v>
          </cell>
          <cell r="N464">
            <v>0</v>
          </cell>
          <cell r="O464">
            <v>9.0462070000000008</v>
          </cell>
        </row>
        <row r="465">
          <cell r="B465" t="str">
            <v>Murphy Oil Corporation (MUR)</v>
          </cell>
          <cell r="K465">
            <v>3.2660355658356104</v>
          </cell>
          <cell r="L465">
            <v>0</v>
          </cell>
          <cell r="M465">
            <v>0</v>
          </cell>
          <cell r="N465">
            <v>0.34755433803151187</v>
          </cell>
        </row>
        <row r="466">
          <cell r="B466" t="str">
            <v>Murphy Oil Corporation (MUR)</v>
          </cell>
          <cell r="K466">
            <v>0</v>
          </cell>
          <cell r="L466">
            <v>1.8673772734445995E-2</v>
          </cell>
          <cell r="M466">
            <v>5.0108508029385275E-2</v>
          </cell>
          <cell r="N466">
            <v>0.27197293165088665</v>
          </cell>
          <cell r="P466">
            <v>2.0552549999999999E-2</v>
          </cell>
          <cell r="Q466">
            <v>2.8381630000000001E-2</v>
          </cell>
          <cell r="R466">
            <v>0.3264184</v>
          </cell>
        </row>
        <row r="467">
          <cell r="B467" t="str">
            <v>Murphy Oil Corporation (MUR)</v>
          </cell>
          <cell r="K467">
            <v>2.9003231346461624E-2</v>
          </cell>
          <cell r="L467">
            <v>0.17655365639787157</v>
          </cell>
          <cell r="M467">
            <v>0.14239461409345366</v>
          </cell>
          <cell r="N467">
            <v>1.1133970257872781</v>
          </cell>
          <cell r="O467">
            <v>3.1003289999999999E-2</v>
          </cell>
          <cell r="P467">
            <v>0.25042599999999998</v>
          </cell>
          <cell r="Q467">
            <v>0.1054447</v>
          </cell>
          <cell r="R467">
            <v>1.780456</v>
          </cell>
        </row>
        <row r="468">
          <cell r="B468" t="str">
            <v>Murphy Oil Corporation (MUR)</v>
          </cell>
          <cell r="K468">
            <v>1.3773741206592629</v>
          </cell>
          <cell r="L468">
            <v>0</v>
          </cell>
          <cell r="M468">
            <v>0.1631977758471678</v>
          </cell>
          <cell r="N468">
            <v>8.4121860433323592E-2</v>
          </cell>
          <cell r="O468">
            <v>0.92978899999999998</v>
          </cell>
          <cell r="Q468">
            <v>8.2521449999999996E-2</v>
          </cell>
          <cell r="R468">
            <v>0.1162219</v>
          </cell>
        </row>
        <row r="469">
          <cell r="B469" t="str">
            <v>Murphy Oil Corporation (MUR)</v>
          </cell>
          <cell r="K469">
            <v>9.820822815958221E-3</v>
          </cell>
          <cell r="L469">
            <v>0</v>
          </cell>
          <cell r="M469">
            <v>4.1699248324791188E-3</v>
          </cell>
          <cell r="N469">
            <v>0</v>
          </cell>
          <cell r="O469">
            <v>1.0948919999999999E-2</v>
          </cell>
          <cell r="Q469">
            <v>2.0692879999999999E-3</v>
          </cell>
        </row>
        <row r="470">
          <cell r="B470" t="str">
            <v>Devon Energy</v>
          </cell>
          <cell r="K470">
            <v>41.435609999999997</v>
          </cell>
          <cell r="L470">
            <v>9.5890409999999995E-2</v>
          </cell>
          <cell r="M470">
            <v>9.8855400000000007</v>
          </cell>
          <cell r="N470">
            <v>15.227399999999999</v>
          </cell>
          <cell r="O470">
            <v>46.844279999999998</v>
          </cell>
          <cell r="P470">
            <v>6.4276710000000001E-2</v>
          </cell>
          <cell r="Q470">
            <v>11.528969999999999</v>
          </cell>
          <cell r="R470">
            <v>16.454149999999998</v>
          </cell>
        </row>
        <row r="471">
          <cell r="B471" t="str">
            <v>Devon Energy</v>
          </cell>
          <cell r="K471">
            <v>46.871229999999997</v>
          </cell>
          <cell r="L471">
            <v>0</v>
          </cell>
          <cell r="M471">
            <v>13.07178</v>
          </cell>
          <cell r="N471">
            <v>18.695889999999999</v>
          </cell>
          <cell r="O471">
            <v>55.809399999999997</v>
          </cell>
          <cell r="Q471">
            <v>14.77643</v>
          </cell>
          <cell r="R471">
            <v>20.94136</v>
          </cell>
        </row>
        <row r="472">
          <cell r="B472" t="str">
            <v>Devon Energy</v>
          </cell>
          <cell r="K472">
            <v>4.3890409999999997</v>
          </cell>
          <cell r="L472">
            <v>0.33972599999999997</v>
          </cell>
          <cell r="M472">
            <v>0.69832680000000003</v>
          </cell>
          <cell r="N472">
            <v>6.3013700000000006E-2</v>
          </cell>
          <cell r="O472">
            <v>3.6181809999999999</v>
          </cell>
          <cell r="P472">
            <v>0.32732600000000001</v>
          </cell>
          <cell r="Q472">
            <v>0.67549979999999998</v>
          </cell>
          <cell r="R472">
            <v>6.1767130000000003E-2</v>
          </cell>
        </row>
        <row r="473">
          <cell r="B473" t="str">
            <v>Devon Energy</v>
          </cell>
          <cell r="K473">
            <v>0.4082192</v>
          </cell>
          <cell r="L473">
            <v>0</v>
          </cell>
          <cell r="M473">
            <v>8.9479450000000002E-2</v>
          </cell>
          <cell r="N473">
            <v>0.18630140000000001</v>
          </cell>
          <cell r="O473">
            <v>0.37369590000000003</v>
          </cell>
          <cell r="Q473">
            <v>7.7767370000000002E-2</v>
          </cell>
          <cell r="R473">
            <v>0.16107669999999999</v>
          </cell>
        </row>
        <row r="474">
          <cell r="B474" t="str">
            <v>Devon Energy</v>
          </cell>
          <cell r="K474">
            <v>5.5068490000000003E-3</v>
          </cell>
          <cell r="L474">
            <v>38.298630000000003</v>
          </cell>
          <cell r="M474">
            <v>31.498719999999999</v>
          </cell>
          <cell r="N474">
            <v>65.52055</v>
          </cell>
          <cell r="O474">
            <v>3.7013699999999998E-3</v>
          </cell>
          <cell r="P474">
            <v>22.22664</v>
          </cell>
          <cell r="Q474">
            <v>21.691179999999999</v>
          </cell>
          <cell r="R474">
            <v>42.018349999999998</v>
          </cell>
        </row>
        <row r="475">
          <cell r="B475" t="str">
            <v>Devon Energy</v>
          </cell>
          <cell r="K475">
            <v>0</v>
          </cell>
          <cell r="L475">
            <v>0</v>
          </cell>
          <cell r="M475">
            <v>25.995719999999999</v>
          </cell>
          <cell r="N475">
            <v>85.109589999999997</v>
          </cell>
          <cell r="Q475">
            <v>24.92877</v>
          </cell>
          <cell r="R475">
            <v>85.661709999999999</v>
          </cell>
        </row>
        <row r="476">
          <cell r="B476" t="str">
            <v>Devon Energy</v>
          </cell>
          <cell r="K476">
            <v>10.51233</v>
          </cell>
          <cell r="L476">
            <v>20.487670000000001</v>
          </cell>
          <cell r="M476">
            <v>10.41268</v>
          </cell>
          <cell r="N476">
            <v>17.498629999999999</v>
          </cell>
          <cell r="O476">
            <v>12.105119999999999</v>
          </cell>
          <cell r="P476">
            <v>22.936019999999999</v>
          </cell>
          <cell r="Q476">
            <v>9.9516899999999993</v>
          </cell>
          <cell r="R476">
            <v>14.65357</v>
          </cell>
        </row>
        <row r="477">
          <cell r="B477" t="str">
            <v>Devon Energy</v>
          </cell>
          <cell r="K477">
            <v>3.4971329999999998</v>
          </cell>
          <cell r="L477">
            <v>0</v>
          </cell>
          <cell r="M477">
            <v>0</v>
          </cell>
          <cell r="N477">
            <v>0.1017784</v>
          </cell>
          <cell r="R477">
            <v>0.68890949999999995</v>
          </cell>
        </row>
        <row r="478">
          <cell r="B478" t="str">
            <v>Devon Energy</v>
          </cell>
          <cell r="K478">
            <v>21.284949999999998</v>
          </cell>
          <cell r="L478">
            <v>6.3013700000000006E-2</v>
          </cell>
          <cell r="M478">
            <v>1.6728959999999999</v>
          </cell>
          <cell r="N478">
            <v>4.7095890000000002</v>
          </cell>
          <cell r="O478">
            <v>22.738109999999999</v>
          </cell>
          <cell r="P478">
            <v>4.2238350000000001E-2</v>
          </cell>
          <cell r="Q478">
            <v>1.8054790000000001</v>
          </cell>
          <cell r="R478">
            <v>4.9296629999999997</v>
          </cell>
        </row>
        <row r="479">
          <cell r="B479" t="str">
            <v>Devon Energy</v>
          </cell>
          <cell r="K479">
            <v>0</v>
          </cell>
          <cell r="L479">
            <v>0</v>
          </cell>
          <cell r="M479">
            <v>0</v>
          </cell>
          <cell r="N479">
            <v>8.2191780000000006E-3</v>
          </cell>
          <cell r="R479">
            <v>1.546049</v>
          </cell>
        </row>
        <row r="480">
          <cell r="B480" t="str">
            <v>Devon Energy</v>
          </cell>
          <cell r="K480">
            <v>1.0958900000000001E-2</v>
          </cell>
          <cell r="L480">
            <v>0</v>
          </cell>
          <cell r="M480">
            <v>0</v>
          </cell>
          <cell r="N480">
            <v>0</v>
          </cell>
          <cell r="O480">
            <v>5.0219180000000002E-3</v>
          </cell>
          <cell r="Q480">
            <v>2.2564380000000001E-4</v>
          </cell>
          <cell r="R480">
            <v>9.4246569999999999E-4</v>
          </cell>
        </row>
        <row r="481">
          <cell r="B481" t="str">
            <v>Apache</v>
          </cell>
          <cell r="K481">
            <v>53.15343</v>
          </cell>
          <cell r="L481">
            <v>0</v>
          </cell>
          <cell r="M481">
            <v>12.0097</v>
          </cell>
          <cell r="N481">
            <v>15.40274</v>
          </cell>
          <cell r="O481">
            <v>63.580179999999999</v>
          </cell>
          <cell r="Q481">
            <v>12.897690000000001</v>
          </cell>
          <cell r="R481">
            <v>9.0828819999999997</v>
          </cell>
        </row>
        <row r="482">
          <cell r="B482" t="str">
            <v>Apache</v>
          </cell>
          <cell r="K482">
            <v>0</v>
          </cell>
          <cell r="L482">
            <v>7.4438360000000001</v>
          </cell>
          <cell r="M482">
            <v>29.5535</v>
          </cell>
          <cell r="N482">
            <v>52.917810000000003</v>
          </cell>
          <cell r="P482">
            <v>7.15123</v>
          </cell>
          <cell r="Q482">
            <v>26.910080000000001</v>
          </cell>
          <cell r="R482">
            <v>26.45955</v>
          </cell>
        </row>
        <row r="483">
          <cell r="B483" t="str">
            <v>Apache</v>
          </cell>
          <cell r="K483">
            <v>20.0274</v>
          </cell>
          <cell r="L483">
            <v>0</v>
          </cell>
          <cell r="M483">
            <v>4.6490410000000004</v>
          </cell>
          <cell r="N483">
            <v>10.024660000000001</v>
          </cell>
          <cell r="O483">
            <v>24.0794</v>
          </cell>
          <cell r="Q483">
            <v>4.9837210000000001</v>
          </cell>
          <cell r="R483">
            <v>5.8991369999999996</v>
          </cell>
        </row>
        <row r="484">
          <cell r="B484" t="str">
            <v>Apache</v>
          </cell>
          <cell r="K484">
            <v>17.9863</v>
          </cell>
          <cell r="L484">
            <v>1.00274E-3</v>
          </cell>
          <cell r="M484">
            <v>1.0718080000000001</v>
          </cell>
          <cell r="N484">
            <v>11.99178</v>
          </cell>
          <cell r="O484">
            <v>18.595680000000002</v>
          </cell>
          <cell r="P484">
            <v>0</v>
          </cell>
          <cell r="Q484">
            <v>1.1769909999999999</v>
          </cell>
          <cell r="R484">
            <v>8.1811749999999996</v>
          </cell>
        </row>
        <row r="485">
          <cell r="B485" t="str">
            <v>Apache</v>
          </cell>
          <cell r="K485">
            <v>5.7424650000000002</v>
          </cell>
          <cell r="L485">
            <v>0.13698630000000001</v>
          </cell>
          <cell r="M485">
            <v>0.86756370000000005</v>
          </cell>
          <cell r="N485">
            <v>14.55616</v>
          </cell>
          <cell r="O485">
            <v>6.3199480000000001</v>
          </cell>
          <cell r="P485">
            <v>0.127526</v>
          </cell>
          <cell r="Q485">
            <v>0.87354900000000002</v>
          </cell>
          <cell r="R485">
            <v>10.93567</v>
          </cell>
        </row>
        <row r="486">
          <cell r="B486" t="str">
            <v>Apache</v>
          </cell>
          <cell r="K486">
            <v>7.7041089999999999</v>
          </cell>
          <cell r="L486">
            <v>0</v>
          </cell>
          <cell r="M486">
            <v>1.775973</v>
          </cell>
          <cell r="N486">
            <v>2.3013699999999999</v>
          </cell>
          <cell r="O486">
            <v>8.9654629999999997</v>
          </cell>
          <cell r="Q486">
            <v>1.8542730000000001</v>
          </cell>
          <cell r="R486">
            <v>1.319499</v>
          </cell>
        </row>
        <row r="487">
          <cell r="B487" t="str">
            <v>Apache</v>
          </cell>
          <cell r="K487">
            <v>6.0465749999999998</v>
          </cell>
          <cell r="L487">
            <v>0</v>
          </cell>
          <cell r="M487">
            <v>1.6125750000000001</v>
          </cell>
          <cell r="N487">
            <v>4.1342460000000001</v>
          </cell>
          <cell r="O487">
            <v>10.31249</v>
          </cell>
          <cell r="Q487">
            <v>2.4406240000000001</v>
          </cell>
          <cell r="R487">
            <v>3.4374959999999999</v>
          </cell>
        </row>
        <row r="488">
          <cell r="B488" t="str">
            <v>Apache</v>
          </cell>
          <cell r="K488">
            <v>2.2164389999999998</v>
          </cell>
          <cell r="L488">
            <v>0</v>
          </cell>
          <cell r="M488">
            <v>0.58550679999999999</v>
          </cell>
          <cell r="N488">
            <v>1.156164</v>
          </cell>
          <cell r="O488">
            <v>2.5282629999999999</v>
          </cell>
          <cell r="Q488">
            <v>0.60151779999999999</v>
          </cell>
          <cell r="R488">
            <v>0.65885479999999996</v>
          </cell>
        </row>
        <row r="489">
          <cell r="B489" t="str">
            <v>Apache</v>
          </cell>
          <cell r="K489">
            <v>12.64223</v>
          </cell>
          <cell r="L489">
            <v>16.432680000000001</v>
          </cell>
          <cell r="M489">
            <v>0.21083959999999999</v>
          </cell>
          <cell r="N489">
            <v>62.25996</v>
          </cell>
          <cell r="O489">
            <v>10.840859999999999</v>
          </cell>
          <cell r="P489">
            <v>13.947480000000001</v>
          </cell>
          <cell r="Q489">
            <v>0.26893679999999998</v>
          </cell>
          <cell r="R489">
            <v>54.792479999999998</v>
          </cell>
        </row>
        <row r="490">
          <cell r="B490" t="str">
            <v>Apache</v>
          </cell>
          <cell r="K490">
            <v>2.2511100000000002</v>
          </cell>
          <cell r="L490">
            <v>0</v>
          </cell>
          <cell r="M490">
            <v>0</v>
          </cell>
          <cell r="N490">
            <v>0.4612541</v>
          </cell>
          <cell r="O490">
            <v>2.089102</v>
          </cell>
          <cell r="R490">
            <v>0.4283903</v>
          </cell>
        </row>
        <row r="491">
          <cell r="B491" t="str">
            <v>Apache</v>
          </cell>
          <cell r="K491">
            <v>39.212220000000002</v>
          </cell>
          <cell r="L491">
            <v>0.2982998</v>
          </cell>
          <cell r="M491">
            <v>0.43918580000000002</v>
          </cell>
          <cell r="N491">
            <v>5.670928</v>
          </cell>
          <cell r="O491">
            <v>36.491779999999999</v>
          </cell>
          <cell r="P491">
            <v>0.30962820000000002</v>
          </cell>
          <cell r="Q491">
            <v>0.38426860000000002</v>
          </cell>
          <cell r="R491">
            <v>5.4346670000000001</v>
          </cell>
        </row>
        <row r="492">
          <cell r="B492" t="str">
            <v>Apache</v>
          </cell>
          <cell r="K492">
            <v>40.094140000000003</v>
          </cell>
          <cell r="L492">
            <v>5.9378309999999997E-2</v>
          </cell>
          <cell r="M492">
            <v>2.7390210000000002E-2</v>
          </cell>
          <cell r="N492">
            <v>1.884924</v>
          </cell>
          <cell r="O492">
            <v>34.824039999999997</v>
          </cell>
          <cell r="P492">
            <v>1.8609150000000001E-2</v>
          </cell>
          <cell r="Q492">
            <v>4.7789989999999997E-2</v>
          </cell>
          <cell r="R492">
            <v>3.1258189999999999</v>
          </cell>
        </row>
        <row r="493">
          <cell r="B493" t="str">
            <v>Apache</v>
          </cell>
          <cell r="K493">
            <v>10.026619999999999</v>
          </cell>
          <cell r="L493">
            <v>0</v>
          </cell>
          <cell r="M493">
            <v>1.0251410000000001</v>
          </cell>
          <cell r="N493">
            <v>5.4164000000000003</v>
          </cell>
          <cell r="O493">
            <v>10.228759999999999</v>
          </cell>
          <cell r="Q493">
            <v>0.70730820000000005</v>
          </cell>
          <cell r="R493">
            <v>4.9490449999999999</v>
          </cell>
        </row>
        <row r="494">
          <cell r="B494" t="str">
            <v>Apache</v>
          </cell>
          <cell r="K494">
            <v>3.5824940000000001</v>
          </cell>
          <cell r="L494">
            <v>0.18260799999999999</v>
          </cell>
          <cell r="M494">
            <v>0.74252359999999995</v>
          </cell>
          <cell r="N494">
            <v>4.561172</v>
          </cell>
          <cell r="O494">
            <v>7.2073549999999997</v>
          </cell>
          <cell r="P494">
            <v>0.26264369999999998</v>
          </cell>
          <cell r="Q494">
            <v>0.4815219</v>
          </cell>
          <cell r="R494">
            <v>6.8640860000000004</v>
          </cell>
        </row>
        <row r="495">
          <cell r="B495" t="str">
            <v>Apache</v>
          </cell>
          <cell r="K495">
            <v>4.7290479999999997</v>
          </cell>
          <cell r="L495">
            <v>0</v>
          </cell>
          <cell r="M495">
            <v>1.6928160000000001E-2</v>
          </cell>
          <cell r="N495">
            <v>0.91678249999999994</v>
          </cell>
          <cell r="O495">
            <v>2.6931430000000001</v>
          </cell>
          <cell r="Q495">
            <v>0</v>
          </cell>
          <cell r="R495">
            <v>0.52209839999999996</v>
          </cell>
        </row>
        <row r="496">
          <cell r="B496" t="str">
            <v>Apache</v>
          </cell>
          <cell r="K496">
            <v>28.13363</v>
          </cell>
          <cell r="L496">
            <v>0</v>
          </cell>
          <cell r="M496">
            <v>9.6423659999999994E-3</v>
          </cell>
          <cell r="N496">
            <v>9.8528740000000004E-2</v>
          </cell>
          <cell r="O496">
            <v>24.50928</v>
          </cell>
          <cell r="Q496">
            <v>7.8478349999999992E-3</v>
          </cell>
          <cell r="R496">
            <v>8.3292400000000003E-2</v>
          </cell>
        </row>
        <row r="497">
          <cell r="B497" t="str">
            <v>Apache</v>
          </cell>
          <cell r="K497">
            <v>4.5942459999999997E-2</v>
          </cell>
          <cell r="L497">
            <v>0</v>
          </cell>
          <cell r="M497">
            <v>0</v>
          </cell>
          <cell r="N497">
            <v>0</v>
          </cell>
          <cell r="O497">
            <v>0.2303616</v>
          </cell>
        </row>
        <row r="498">
          <cell r="B498" t="str">
            <v>Apache</v>
          </cell>
          <cell r="K498">
            <v>2.3911750000000001</v>
          </cell>
          <cell r="L498">
            <v>2.619688</v>
          </cell>
          <cell r="M498">
            <v>3.9048699999999998</v>
          </cell>
          <cell r="N498">
            <v>6.5307250000000003</v>
          </cell>
        </row>
        <row r="499">
          <cell r="B499" t="str">
            <v>Apache</v>
          </cell>
          <cell r="K499">
            <v>0</v>
          </cell>
          <cell r="L499">
            <v>0.22258710000000001</v>
          </cell>
          <cell r="M499">
            <v>0.19645870000000001</v>
          </cell>
          <cell r="N499">
            <v>1.912709</v>
          </cell>
          <cell r="P499">
            <v>0.22258710000000001</v>
          </cell>
          <cell r="Q499">
            <v>0.16229560000000001</v>
          </cell>
          <cell r="R499">
            <v>1.6162669999999999</v>
          </cell>
        </row>
        <row r="500">
          <cell r="B500" t="str">
            <v>Apache</v>
          </cell>
          <cell r="K500">
            <v>2.5917810000000001</v>
          </cell>
          <cell r="L500">
            <v>0</v>
          </cell>
          <cell r="M500">
            <v>0.48435620000000001</v>
          </cell>
          <cell r="N500">
            <v>0.65753419999999996</v>
          </cell>
          <cell r="O500">
            <v>2.0735399999999999</v>
          </cell>
          <cell r="Q500">
            <v>0.3744209</v>
          </cell>
          <cell r="R500">
            <v>0.63799450000000002</v>
          </cell>
        </row>
        <row r="501">
          <cell r="B501" t="str">
            <v>Apache</v>
          </cell>
          <cell r="K501">
            <v>5.5123289999999998E-3</v>
          </cell>
          <cell r="L501">
            <v>2.7561640000000002E-3</v>
          </cell>
          <cell r="M501">
            <v>3.892356E-3</v>
          </cell>
          <cell r="N501">
            <v>5.1917809999999998</v>
          </cell>
          <cell r="O501">
            <v>3.7013699999999998E-3</v>
          </cell>
          <cell r="P501">
            <v>2.7013699999999998E-3</v>
          </cell>
          <cell r="Q501">
            <v>3.8223290000000002E-3</v>
          </cell>
          <cell r="R501">
            <v>4.9618520000000004</v>
          </cell>
        </row>
        <row r="502">
          <cell r="B502" t="str">
            <v>Apache</v>
          </cell>
          <cell r="K502">
            <v>0</v>
          </cell>
          <cell r="L502">
            <v>0</v>
          </cell>
          <cell r="M502">
            <v>0</v>
          </cell>
          <cell r="N502">
            <v>0</v>
          </cell>
        </row>
        <row r="503">
          <cell r="B503" t="str">
            <v>Apache</v>
          </cell>
          <cell r="K503">
            <v>0.1121684</v>
          </cell>
          <cell r="L503">
            <v>0.83069599999999999</v>
          </cell>
          <cell r="M503">
            <v>0.38276260000000001</v>
          </cell>
          <cell r="N503">
            <v>3.5083220000000002</v>
          </cell>
          <cell r="O503">
            <v>9.7067710000000001E-2</v>
          </cell>
          <cell r="P503">
            <v>0.72454790000000002</v>
          </cell>
          <cell r="Q503">
            <v>0.26222519999999999</v>
          </cell>
          <cell r="R503">
            <v>2.4124509999999999</v>
          </cell>
        </row>
        <row r="504">
          <cell r="B504" t="str">
            <v>Apache</v>
          </cell>
          <cell r="K504">
            <v>1.5041099999999999E-3</v>
          </cell>
          <cell r="L504">
            <v>0</v>
          </cell>
          <cell r="M504">
            <v>1.8423040000000002E-2</v>
          </cell>
          <cell r="N504">
            <v>0.1807096</v>
          </cell>
          <cell r="O504">
            <v>1.2821919999999999E-3</v>
          </cell>
          <cell r="Q504">
            <v>1.6524520000000001E-2</v>
          </cell>
          <cell r="R504">
            <v>0.1647699</v>
          </cell>
        </row>
        <row r="505">
          <cell r="B505" t="str">
            <v>Apache</v>
          </cell>
          <cell r="K505">
            <v>0.87330819999999998</v>
          </cell>
          <cell r="L505">
            <v>0.71930550000000004</v>
          </cell>
          <cell r="M505">
            <v>2.0663919999999999E-2</v>
          </cell>
          <cell r="N505">
            <v>0.72011999999999998</v>
          </cell>
          <cell r="O505">
            <v>0.76801370000000002</v>
          </cell>
          <cell r="P505">
            <v>0.48216300000000001</v>
          </cell>
          <cell r="Q505">
            <v>2.0122270000000001E-2</v>
          </cell>
          <cell r="R505">
            <v>0.66595009999999999</v>
          </cell>
        </row>
        <row r="506">
          <cell r="B506" t="str">
            <v>Apache</v>
          </cell>
          <cell r="K506">
            <v>1.6407419999999999</v>
          </cell>
          <cell r="L506">
            <v>0</v>
          </cell>
          <cell r="M506">
            <v>6.9074239999999997E-3</v>
          </cell>
          <cell r="N506">
            <v>8.8210960000000005E-2</v>
          </cell>
          <cell r="O506">
            <v>1.2991509999999999</v>
          </cell>
          <cell r="Q506">
            <v>5.4699179999999998E-3</v>
          </cell>
          <cell r="R506">
            <v>6.9846569999999997E-2</v>
          </cell>
        </row>
        <row r="507">
          <cell r="B507" t="str">
            <v>Apache</v>
          </cell>
          <cell r="K507">
            <v>0.89679869999999995</v>
          </cell>
          <cell r="L507">
            <v>0</v>
          </cell>
          <cell r="M507">
            <v>0</v>
          </cell>
          <cell r="N507">
            <v>1.2328769999999999E-5</v>
          </cell>
          <cell r="O507">
            <v>0.81568980000000002</v>
          </cell>
          <cell r="R507">
            <v>2.7397260000000001E-6</v>
          </cell>
        </row>
        <row r="508">
          <cell r="B508" t="str">
            <v>Apache</v>
          </cell>
          <cell r="K508">
            <v>0.21939220000000001</v>
          </cell>
          <cell r="L508">
            <v>1.6469959999999999E-2</v>
          </cell>
          <cell r="M508">
            <v>0</v>
          </cell>
          <cell r="N508">
            <v>0</v>
          </cell>
          <cell r="O508">
            <v>0.18653749999999999</v>
          </cell>
          <cell r="P508">
            <v>0</v>
          </cell>
        </row>
        <row r="509">
          <cell r="B509" t="str">
            <v>Apache</v>
          </cell>
          <cell r="K509">
            <v>0.118779</v>
          </cell>
          <cell r="L509">
            <v>0</v>
          </cell>
          <cell r="M509">
            <v>0</v>
          </cell>
          <cell r="N509">
            <v>0</v>
          </cell>
          <cell r="O509">
            <v>8.9406009999999994E-2</v>
          </cell>
        </row>
        <row r="510">
          <cell r="B510" t="str">
            <v>Apache</v>
          </cell>
          <cell r="K510">
            <v>5.1361469999999999E-2</v>
          </cell>
          <cell r="L510">
            <v>0</v>
          </cell>
          <cell r="M510">
            <v>0</v>
          </cell>
          <cell r="N510">
            <v>0</v>
          </cell>
          <cell r="O510">
            <v>3.3528620000000002E-2</v>
          </cell>
        </row>
        <row r="511">
          <cell r="B511" t="str">
            <v>Chesapeake</v>
          </cell>
          <cell r="K511">
            <v>0</v>
          </cell>
          <cell r="L511">
            <v>0</v>
          </cell>
          <cell r="M511">
            <v>0</v>
          </cell>
          <cell r="N511">
            <v>187.52789999999999</v>
          </cell>
          <cell r="R511">
            <v>202.3288</v>
          </cell>
        </row>
        <row r="512">
          <cell r="B512" t="str">
            <v>Chesapeake</v>
          </cell>
          <cell r="K512">
            <v>121.3035</v>
          </cell>
          <cell r="L512">
            <v>0</v>
          </cell>
          <cell r="M512">
            <v>22.64049</v>
          </cell>
          <cell r="N512">
            <v>44.338059999999999</v>
          </cell>
          <cell r="O512">
            <v>114.2632</v>
          </cell>
          <cell r="Q512">
            <v>21.5046</v>
          </cell>
          <cell r="R512">
            <v>42.22927</v>
          </cell>
        </row>
        <row r="513">
          <cell r="B513" t="str">
            <v>Chesapeake</v>
          </cell>
          <cell r="K513">
            <v>0</v>
          </cell>
          <cell r="L513">
            <v>0</v>
          </cell>
          <cell r="M513">
            <v>0</v>
          </cell>
          <cell r="N513">
            <v>156</v>
          </cell>
          <cell r="R513">
            <v>132.91460000000001</v>
          </cell>
        </row>
        <row r="514">
          <cell r="B514" t="str">
            <v>Chesapeake</v>
          </cell>
          <cell r="K514">
            <v>23.594519999999999</v>
          </cell>
          <cell r="L514">
            <v>0</v>
          </cell>
          <cell r="M514">
            <v>4.1880309999999996</v>
          </cell>
          <cell r="N514">
            <v>16.906849999999999</v>
          </cell>
          <cell r="O514">
            <v>25.084689999999998</v>
          </cell>
          <cell r="Q514">
            <v>5.0341639999999996</v>
          </cell>
          <cell r="R514">
            <v>22.858180000000001</v>
          </cell>
        </row>
        <row r="515">
          <cell r="B515" t="str">
            <v>Chesapeake</v>
          </cell>
          <cell r="K515">
            <v>9.8301929999999995</v>
          </cell>
          <cell r="L515">
            <v>0</v>
          </cell>
          <cell r="M515">
            <v>3.5500020000000001</v>
          </cell>
          <cell r="N515">
            <v>11.11781</v>
          </cell>
          <cell r="O515">
            <v>12.845319999999999</v>
          </cell>
          <cell r="Q515">
            <v>2.2430829999999999</v>
          </cell>
          <cell r="R515">
            <v>3.4899339999999999</v>
          </cell>
        </row>
        <row r="516">
          <cell r="B516" t="str">
            <v>Chesapeake</v>
          </cell>
          <cell r="K516">
            <v>0</v>
          </cell>
          <cell r="L516">
            <v>0</v>
          </cell>
          <cell r="M516">
            <v>0</v>
          </cell>
          <cell r="N516">
            <v>0</v>
          </cell>
        </row>
        <row r="517">
          <cell r="B517" t="str">
            <v>Chesapeake</v>
          </cell>
          <cell r="K517">
            <v>0.18082190000000001</v>
          </cell>
          <cell r="L517">
            <v>0</v>
          </cell>
          <cell r="M517">
            <v>0</v>
          </cell>
          <cell r="N517">
            <v>0.75616430000000001</v>
          </cell>
          <cell r="O517">
            <v>0.25969039999999999</v>
          </cell>
          <cell r="R517">
            <v>0.25969039999999999</v>
          </cell>
        </row>
        <row r="518">
          <cell r="B518" t="str">
            <v>Chesapeake</v>
          </cell>
          <cell r="K518">
            <v>0.12264659999999999</v>
          </cell>
          <cell r="L518">
            <v>0</v>
          </cell>
          <cell r="M518">
            <v>1.6896049999999999E-2</v>
          </cell>
          <cell r="N518">
            <v>3.6610959999999998E-2</v>
          </cell>
          <cell r="O518">
            <v>0.1051699</v>
          </cell>
          <cell r="Q518">
            <v>1.448789E-2</v>
          </cell>
          <cell r="R518">
            <v>3.1394520000000002E-2</v>
          </cell>
        </row>
        <row r="519">
          <cell r="B519" t="str">
            <v>EOG Resources</v>
          </cell>
          <cell r="K519">
            <v>129.65309999999999</v>
          </cell>
          <cell r="L519">
            <v>0</v>
          </cell>
          <cell r="M519">
            <v>30.242789999999999</v>
          </cell>
          <cell r="N519">
            <v>45.931510000000003</v>
          </cell>
          <cell r="O519">
            <v>169.7655</v>
          </cell>
          <cell r="Q519">
            <v>39.561990000000002</v>
          </cell>
          <cell r="R519">
            <v>58.110100000000003</v>
          </cell>
        </row>
        <row r="520">
          <cell r="B520" t="str">
            <v>EOG Resources</v>
          </cell>
          <cell r="K520">
            <v>89.890240000000006</v>
          </cell>
          <cell r="L520">
            <v>0</v>
          </cell>
          <cell r="M520">
            <v>25.028960000000001</v>
          </cell>
          <cell r="N520">
            <v>34.368490000000001</v>
          </cell>
          <cell r="O520">
            <v>85.355540000000005</v>
          </cell>
          <cell r="Q520">
            <v>26.75179</v>
          </cell>
          <cell r="R520">
            <v>37.248559999999998</v>
          </cell>
        </row>
        <row r="521">
          <cell r="B521" t="str">
            <v>EOG Resources</v>
          </cell>
          <cell r="K521">
            <v>0.65205480000000005</v>
          </cell>
          <cell r="L521">
            <v>0</v>
          </cell>
          <cell r="M521">
            <v>4.668688E-2</v>
          </cell>
          <cell r="N521">
            <v>6.5753420000000007E-2</v>
          </cell>
          <cell r="O521">
            <v>0.5314219</v>
          </cell>
          <cell r="Q521">
            <v>3.6809120000000001E-2</v>
          </cell>
          <cell r="R521">
            <v>6.4805489999999993E-2</v>
          </cell>
        </row>
        <row r="522">
          <cell r="B522" t="str">
            <v>EOG Resources</v>
          </cell>
          <cell r="K522">
            <v>268.84930000000003</v>
          </cell>
          <cell r="L522">
            <v>2.7413699999999999E-2</v>
          </cell>
          <cell r="M522">
            <v>35.262689999999999</v>
          </cell>
          <cell r="N522">
            <v>56.517809999999997</v>
          </cell>
          <cell r="O522">
            <v>241.76929999999999</v>
          </cell>
          <cell r="P522">
            <v>2.632603E-2</v>
          </cell>
          <cell r="Q522">
            <v>38.099620000000002</v>
          </cell>
          <cell r="R522">
            <v>61.210549999999998</v>
          </cell>
        </row>
        <row r="523">
          <cell r="B523" t="str">
            <v>EOG Resources</v>
          </cell>
          <cell r="K523">
            <v>0</v>
          </cell>
          <cell r="L523">
            <v>0</v>
          </cell>
          <cell r="M523">
            <v>0</v>
          </cell>
          <cell r="N523">
            <v>25.617059999999999</v>
          </cell>
          <cell r="R523">
            <v>23.389420000000001</v>
          </cell>
        </row>
        <row r="524">
          <cell r="B524" t="str">
            <v>EOG Resources</v>
          </cell>
          <cell r="K524">
            <v>1.7950689999999998E-2</v>
          </cell>
          <cell r="L524">
            <v>0.89329320000000001</v>
          </cell>
          <cell r="M524">
            <v>0</v>
          </cell>
          <cell r="N524">
            <v>41.701250000000002</v>
          </cell>
          <cell r="O524">
            <v>5.857447E-3</v>
          </cell>
          <cell r="P524">
            <v>0.6665025</v>
          </cell>
          <cell r="R524">
            <v>35.689500000000002</v>
          </cell>
        </row>
        <row r="525">
          <cell r="B525" t="str">
            <v>EOG Resources</v>
          </cell>
          <cell r="K525">
            <v>37.857390000000002</v>
          </cell>
          <cell r="L525">
            <v>0</v>
          </cell>
          <cell r="M525">
            <v>4.7774210000000004</v>
          </cell>
          <cell r="N525">
            <v>6.8164379999999998</v>
          </cell>
          <cell r="O525">
            <v>36.79889</v>
          </cell>
          <cell r="Q525">
            <v>5.3886789999999998</v>
          </cell>
          <cell r="R525">
            <v>7.2668549999999996</v>
          </cell>
        </row>
        <row r="526">
          <cell r="B526" t="str">
            <v>EOG Resources</v>
          </cell>
          <cell r="K526">
            <v>18.150680000000001</v>
          </cell>
          <cell r="L526">
            <v>3.1139730000000001E-2</v>
          </cell>
          <cell r="M526">
            <v>4.3280830000000003</v>
          </cell>
          <cell r="N526">
            <v>19.36712</v>
          </cell>
          <cell r="O526">
            <v>13.75342</v>
          </cell>
          <cell r="P526">
            <v>2.6468490000000001E-2</v>
          </cell>
          <cell r="Q526">
            <v>4.7005850000000002</v>
          </cell>
          <cell r="R526">
            <v>19.482600000000001</v>
          </cell>
        </row>
        <row r="527">
          <cell r="B527" t="str">
            <v>EOG Resources</v>
          </cell>
          <cell r="K527">
            <v>2.665753</v>
          </cell>
          <cell r="L527">
            <v>0</v>
          </cell>
          <cell r="M527">
            <v>11.36</v>
          </cell>
          <cell r="N527">
            <v>14.88767</v>
          </cell>
          <cell r="O527">
            <v>1.649553</v>
          </cell>
          <cell r="Q527">
            <v>11.711830000000001</v>
          </cell>
          <cell r="R527">
            <v>14.845969999999999</v>
          </cell>
        </row>
        <row r="528">
          <cell r="B528" t="str">
            <v>EOG Resources</v>
          </cell>
          <cell r="K528">
            <v>18.769870000000001</v>
          </cell>
          <cell r="L528">
            <v>0</v>
          </cell>
          <cell r="M528">
            <v>2.359534</v>
          </cell>
          <cell r="N528">
            <v>2.8465750000000001</v>
          </cell>
          <cell r="O528">
            <v>14.117660000000001</v>
          </cell>
          <cell r="Q528">
            <v>2.2038690000000001</v>
          </cell>
          <cell r="R528">
            <v>3.0886740000000001</v>
          </cell>
        </row>
        <row r="529">
          <cell r="B529" t="str">
            <v>EOG Resources</v>
          </cell>
          <cell r="K529">
            <v>12.19178</v>
          </cell>
          <cell r="L529">
            <v>0.30342200000000003</v>
          </cell>
          <cell r="M529">
            <v>1.770138</v>
          </cell>
          <cell r="N529">
            <v>4.1506930000000004</v>
          </cell>
          <cell r="O529">
            <v>12.68614</v>
          </cell>
          <cell r="P529">
            <v>0.20679449999999999</v>
          </cell>
          <cell r="Q529">
            <v>2.7535310000000002</v>
          </cell>
          <cell r="R529">
            <v>5.4587839999999996</v>
          </cell>
        </row>
        <row r="530">
          <cell r="B530" t="str">
            <v>EOG Resources</v>
          </cell>
          <cell r="K530">
            <v>1.00274E-3</v>
          </cell>
          <cell r="L530">
            <v>0</v>
          </cell>
          <cell r="M530">
            <v>0</v>
          </cell>
          <cell r="N530">
            <v>13.33151</v>
          </cell>
          <cell r="O530">
            <v>0</v>
          </cell>
          <cell r="R530">
            <v>9.6713640000000005</v>
          </cell>
        </row>
        <row r="531">
          <cell r="B531" t="str">
            <v>EOG Resources</v>
          </cell>
          <cell r="K531">
            <v>0</v>
          </cell>
          <cell r="L531">
            <v>0</v>
          </cell>
          <cell r="M531">
            <v>0.5524384</v>
          </cell>
          <cell r="N531">
            <v>4.70411</v>
          </cell>
          <cell r="Q531">
            <v>0.58611950000000002</v>
          </cell>
          <cell r="R531">
            <v>4.6779539999999997</v>
          </cell>
        </row>
        <row r="532">
          <cell r="B532" t="str">
            <v>EOG Resources</v>
          </cell>
          <cell r="K532">
            <v>2.3753419999999998</v>
          </cell>
          <cell r="L532">
            <v>0</v>
          </cell>
          <cell r="M532">
            <v>0</v>
          </cell>
          <cell r="N532">
            <v>0.37260270000000001</v>
          </cell>
          <cell r="O532">
            <v>1.967052</v>
          </cell>
          <cell r="R532">
            <v>0.37260270000000001</v>
          </cell>
        </row>
        <row r="533">
          <cell r="B533" t="str">
            <v>EOG Resources</v>
          </cell>
          <cell r="K533">
            <v>0.44657530000000001</v>
          </cell>
          <cell r="L533">
            <v>9.2794520000000005E-3</v>
          </cell>
          <cell r="M533">
            <v>0.23343050000000001</v>
          </cell>
          <cell r="N533">
            <v>5.5671229999999996</v>
          </cell>
          <cell r="O533">
            <v>0.43541089999999999</v>
          </cell>
          <cell r="P533">
            <v>8.0986300000000008E-3</v>
          </cell>
          <cell r="Q533">
            <v>0.2253598</v>
          </cell>
          <cell r="R533">
            <v>5.17957</v>
          </cell>
        </row>
        <row r="534">
          <cell r="B534" t="str">
            <v>EOG Resources</v>
          </cell>
          <cell r="K534">
            <v>0</v>
          </cell>
          <cell r="L534">
            <v>0</v>
          </cell>
          <cell r="M534">
            <v>0</v>
          </cell>
          <cell r="N534">
            <v>5</v>
          </cell>
          <cell r="R534">
            <v>4.161778</v>
          </cell>
        </row>
        <row r="535">
          <cell r="B535" t="str">
            <v>EOG Resources</v>
          </cell>
          <cell r="K535">
            <v>0.3205479</v>
          </cell>
          <cell r="L535">
            <v>0</v>
          </cell>
          <cell r="M535">
            <v>0.52131309999999997</v>
          </cell>
          <cell r="N535">
            <v>2.8958879999999998</v>
          </cell>
          <cell r="O535">
            <v>0.28210410000000002</v>
          </cell>
          <cell r="Q535">
            <v>0.5257676</v>
          </cell>
          <cell r="R535">
            <v>2.7557179999999999</v>
          </cell>
        </row>
        <row r="536">
          <cell r="B536" t="str">
            <v>EOG Resources</v>
          </cell>
          <cell r="K536">
            <v>0</v>
          </cell>
          <cell r="L536">
            <v>2.8465750000000001E-3</v>
          </cell>
          <cell r="M536">
            <v>7.4478009999999997E-2</v>
          </cell>
          <cell r="N536">
            <v>2.740548</v>
          </cell>
          <cell r="P536">
            <v>2.8465750000000001E-3</v>
          </cell>
          <cell r="Q536">
            <v>7.3003559999999995E-2</v>
          </cell>
          <cell r="R536">
            <v>2.4912580000000002</v>
          </cell>
        </row>
        <row r="537">
          <cell r="B537" t="str">
            <v>EOG Resources</v>
          </cell>
          <cell r="K537">
            <v>0</v>
          </cell>
          <cell r="L537">
            <v>0</v>
          </cell>
          <cell r="M537">
            <v>0</v>
          </cell>
          <cell r="N537">
            <v>0</v>
          </cell>
        </row>
        <row r="538">
          <cell r="B538" t="str">
            <v>EOG Resources</v>
          </cell>
          <cell r="K538">
            <v>0</v>
          </cell>
          <cell r="L538">
            <v>0</v>
          </cell>
          <cell r="M538">
            <v>0</v>
          </cell>
          <cell r="N538">
            <v>3.3703919999999998E-2</v>
          </cell>
          <cell r="R538">
            <v>3.2664899999999997E-2</v>
          </cell>
        </row>
        <row r="539">
          <cell r="B539" t="str">
            <v>EOG Resources</v>
          </cell>
          <cell r="K539">
            <v>0</v>
          </cell>
          <cell r="L539">
            <v>0</v>
          </cell>
          <cell r="M539">
            <v>0</v>
          </cell>
          <cell r="N539">
            <v>1.00274E-3</v>
          </cell>
          <cell r="R539">
            <v>1.00274E-3</v>
          </cell>
        </row>
        <row r="540">
          <cell r="B540" t="str">
            <v>Noble Energy</v>
          </cell>
          <cell r="K540">
            <v>60.448</v>
          </cell>
          <cell r="L540">
            <v>26.862300000000001</v>
          </cell>
          <cell r="M540">
            <v>27.446429999999999</v>
          </cell>
          <cell r="N540">
            <v>58.97972</v>
          </cell>
          <cell r="O540">
            <v>63.49682</v>
          </cell>
          <cell r="P540">
            <v>26.497640000000001</v>
          </cell>
          <cell r="Q540">
            <v>26.471889999999998</v>
          </cell>
          <cell r="R540">
            <v>55.086790000000001</v>
          </cell>
        </row>
        <row r="541">
          <cell r="B541" t="str">
            <v>Noble Energy</v>
          </cell>
          <cell r="K541">
            <v>48.355350000000001</v>
          </cell>
          <cell r="L541">
            <v>0</v>
          </cell>
          <cell r="M541">
            <v>11.13377</v>
          </cell>
          <cell r="N541">
            <v>12.75123</v>
          </cell>
          <cell r="O541">
            <v>45.992240000000002</v>
          </cell>
          <cell r="Q541">
            <v>11.494669999999999</v>
          </cell>
          <cell r="R541">
            <v>15.54548</v>
          </cell>
        </row>
        <row r="542">
          <cell r="B542" t="str">
            <v>Noble Energy</v>
          </cell>
          <cell r="K542">
            <v>1.1731510000000001</v>
          </cell>
          <cell r="L542">
            <v>0</v>
          </cell>
          <cell r="M542">
            <v>4.1627400000000002E-2</v>
          </cell>
          <cell r="N542">
            <v>0.27753420000000001</v>
          </cell>
          <cell r="O542">
            <v>0.98119460000000003</v>
          </cell>
          <cell r="Q542">
            <v>4.04097E-2</v>
          </cell>
          <cell r="R542">
            <v>0.31896989999999997</v>
          </cell>
        </row>
        <row r="543">
          <cell r="B543" t="str">
            <v>Noble Energy</v>
          </cell>
          <cell r="K543">
            <v>1.254794</v>
          </cell>
          <cell r="L543">
            <v>5.4794520000000005E-4</v>
          </cell>
          <cell r="M543">
            <v>0.1089276</v>
          </cell>
          <cell r="N543">
            <v>0.13095889999999999</v>
          </cell>
          <cell r="O543">
            <v>1.194666</v>
          </cell>
          <cell r="P543">
            <v>0</v>
          </cell>
          <cell r="Q543">
            <v>0.1067723</v>
          </cell>
          <cell r="R543">
            <v>0.1290521</v>
          </cell>
        </row>
        <row r="544">
          <cell r="B544" t="str">
            <v>Noble Energy</v>
          </cell>
          <cell r="K544">
            <v>0.46630139999999998</v>
          </cell>
          <cell r="L544">
            <v>0</v>
          </cell>
          <cell r="M544">
            <v>1.8090410000000001E-2</v>
          </cell>
          <cell r="N544">
            <v>2.1369860000000001E-2</v>
          </cell>
          <cell r="O544">
            <v>0.35401650000000001</v>
          </cell>
          <cell r="Q544">
            <v>1.7137260000000001E-2</v>
          </cell>
          <cell r="R544">
            <v>2.4136979999999999E-2</v>
          </cell>
        </row>
        <row r="545">
          <cell r="B545" t="str">
            <v>Noble Energy</v>
          </cell>
          <cell r="K545">
            <v>1.3316190000000001</v>
          </cell>
          <cell r="L545">
            <v>11.199529999999999</v>
          </cell>
          <cell r="M545">
            <v>20.604289999999999</v>
          </cell>
          <cell r="N545">
            <v>33.499479999999998</v>
          </cell>
          <cell r="O545">
            <v>1.2518879999999999</v>
          </cell>
          <cell r="P545">
            <v>8.8387919999999998</v>
          </cell>
          <cell r="Q545">
            <v>15.49818</v>
          </cell>
          <cell r="R545">
            <v>27.94577</v>
          </cell>
        </row>
        <row r="546">
          <cell r="B546" t="str">
            <v>Noble Energy</v>
          </cell>
          <cell r="K546">
            <v>0</v>
          </cell>
          <cell r="L546">
            <v>0.3409123</v>
          </cell>
          <cell r="M546">
            <v>0</v>
          </cell>
          <cell r="N546">
            <v>41.749220000000001</v>
          </cell>
          <cell r="P546">
            <v>1.1816530000000001</v>
          </cell>
          <cell r="Q546">
            <v>0</v>
          </cell>
          <cell r="R546">
            <v>92.050910000000002</v>
          </cell>
        </row>
        <row r="547">
          <cell r="B547" t="str">
            <v>Noble Energy</v>
          </cell>
          <cell r="K547">
            <v>0</v>
          </cell>
          <cell r="L547">
            <v>10.13918</v>
          </cell>
          <cell r="M547">
            <v>4.4368740000000004</v>
          </cell>
          <cell r="N547">
            <v>39.354649999999999</v>
          </cell>
          <cell r="P547">
            <v>8.4942019999999996</v>
          </cell>
          <cell r="Q547">
            <v>3.7170380000000001</v>
          </cell>
          <cell r="R547">
            <v>32.96978</v>
          </cell>
        </row>
        <row r="548">
          <cell r="B548" t="str">
            <v>Noble Energy</v>
          </cell>
          <cell r="K548">
            <v>6.9545209999999997</v>
          </cell>
          <cell r="L548">
            <v>0</v>
          </cell>
          <cell r="M548">
            <v>0</v>
          </cell>
          <cell r="N548">
            <v>0</v>
          </cell>
          <cell r="O548">
            <v>6.0809150000000001</v>
          </cell>
        </row>
        <row r="549">
          <cell r="B549" t="str">
            <v>Noble Energy</v>
          </cell>
          <cell r="K549">
            <v>0</v>
          </cell>
          <cell r="L549">
            <v>3.1263700000000001</v>
          </cell>
          <cell r="M549">
            <v>0</v>
          </cell>
          <cell r="N549">
            <v>0</v>
          </cell>
          <cell r="P549">
            <v>2.7050640000000001</v>
          </cell>
          <cell r="Q549">
            <v>0</v>
          </cell>
          <cell r="R549">
            <v>0</v>
          </cell>
        </row>
        <row r="550">
          <cell r="B550" t="str">
            <v>Noble Energy</v>
          </cell>
          <cell r="K550">
            <v>0.51434519999999995</v>
          </cell>
          <cell r="L550">
            <v>0</v>
          </cell>
          <cell r="M550">
            <v>2.15412E-2</v>
          </cell>
          <cell r="N550">
            <v>2.919781</v>
          </cell>
          <cell r="O550">
            <v>0.50416159999999999</v>
          </cell>
          <cell r="Q550">
            <v>1.4435369999999999E-2</v>
          </cell>
          <cell r="R550">
            <v>2.6372520000000002</v>
          </cell>
        </row>
        <row r="551">
          <cell r="B551" t="str">
            <v>Noble Energy</v>
          </cell>
          <cell r="K551">
            <v>0</v>
          </cell>
          <cell r="L551">
            <v>0</v>
          </cell>
          <cell r="M551">
            <v>0</v>
          </cell>
          <cell r="N551">
            <v>0</v>
          </cell>
        </row>
        <row r="552">
          <cell r="B552" t="str">
            <v>Noble Energy</v>
          </cell>
          <cell r="K552">
            <v>0</v>
          </cell>
          <cell r="L552">
            <v>0</v>
          </cell>
          <cell r="M552">
            <v>0</v>
          </cell>
          <cell r="N552">
            <v>0</v>
          </cell>
        </row>
        <row r="553">
          <cell r="B553" t="str">
            <v>Noble Energy</v>
          </cell>
          <cell r="K553">
            <v>0</v>
          </cell>
          <cell r="L553">
            <v>0</v>
          </cell>
          <cell r="M553">
            <v>0</v>
          </cell>
          <cell r="N553">
            <v>1.0756300000000001</v>
          </cell>
          <cell r="R553">
            <v>1.0087010000000001</v>
          </cell>
        </row>
        <row r="554">
          <cell r="B554" t="str">
            <v>Noble Energy</v>
          </cell>
          <cell r="K554">
            <v>0.15086579999999999</v>
          </cell>
          <cell r="L554">
            <v>3.2361639999999997E-2</v>
          </cell>
          <cell r="M554">
            <v>9.6906240000000005E-2</v>
          </cell>
          <cell r="N554">
            <v>0.1580356</v>
          </cell>
          <cell r="O554">
            <v>0.1478767</v>
          </cell>
          <cell r="P554">
            <v>3.1723290000000001E-2</v>
          </cell>
          <cell r="Q554">
            <v>9.498827E-2</v>
          </cell>
          <cell r="R554">
            <v>0.1519452</v>
          </cell>
        </row>
        <row r="555">
          <cell r="B555" t="str">
            <v>Noble Energy</v>
          </cell>
          <cell r="K555">
            <v>9.2602739999999998E-4</v>
          </cell>
          <cell r="L555">
            <v>5.4520549999999995E-4</v>
          </cell>
          <cell r="M555">
            <v>1.32274E-2</v>
          </cell>
          <cell r="N555">
            <v>8.2191790000000001E-2</v>
          </cell>
          <cell r="O555">
            <v>0</v>
          </cell>
          <cell r="P555">
            <v>0</v>
          </cell>
          <cell r="Q555">
            <v>1.296479E-2</v>
          </cell>
          <cell r="R555">
            <v>8.2191790000000001E-2</v>
          </cell>
        </row>
        <row r="556">
          <cell r="B556" t="str">
            <v>Noble Energy</v>
          </cell>
          <cell r="K556">
            <v>4.6101370000000003E-2</v>
          </cell>
          <cell r="L556">
            <v>2.3068490000000001E-3</v>
          </cell>
          <cell r="M556">
            <v>0</v>
          </cell>
          <cell r="N556">
            <v>7.7260269999999997E-4</v>
          </cell>
          <cell r="O556">
            <v>6.4876719999999999E-2</v>
          </cell>
          <cell r="P556">
            <v>2.7315070000000002E-3</v>
          </cell>
          <cell r="R556">
            <v>6.8219169999999998E-4</v>
          </cell>
        </row>
        <row r="557">
          <cell r="B557" t="str">
            <v>Noble Energy</v>
          </cell>
          <cell r="K557">
            <v>0</v>
          </cell>
          <cell r="L557">
            <v>0</v>
          </cell>
          <cell r="M557">
            <v>0</v>
          </cell>
          <cell r="N557">
            <v>2.6854800000000002E-2</v>
          </cell>
          <cell r="R557">
            <v>2.6323280000000001E-2</v>
          </cell>
        </row>
        <row r="558">
          <cell r="B558" t="str">
            <v>Noble Energy</v>
          </cell>
          <cell r="K558">
            <v>0</v>
          </cell>
          <cell r="L558">
            <v>0</v>
          </cell>
          <cell r="M558">
            <v>1.9741890000000002E-2</v>
          </cell>
          <cell r="N558">
            <v>0</v>
          </cell>
          <cell r="Q558">
            <v>1.323129E-2</v>
          </cell>
        </row>
        <row r="559">
          <cell r="B559" t="str">
            <v>Noble Energy</v>
          </cell>
          <cell r="K559">
            <v>0</v>
          </cell>
          <cell r="L559">
            <v>0</v>
          </cell>
          <cell r="M559">
            <v>0</v>
          </cell>
          <cell r="N559">
            <v>0</v>
          </cell>
        </row>
        <row r="560">
          <cell r="B560" t="str">
            <v>Noble Energy</v>
          </cell>
          <cell r="K560">
            <v>0</v>
          </cell>
          <cell r="L560">
            <v>0</v>
          </cell>
          <cell r="M560">
            <v>1.637863E-3</v>
          </cell>
          <cell r="N560">
            <v>0</v>
          </cell>
          <cell r="Q560">
            <v>1.0951509999999999E-3</v>
          </cell>
        </row>
        <row r="561">
          <cell r="B561" t="str">
            <v>Noble Energy</v>
          </cell>
          <cell r="K561">
            <v>0</v>
          </cell>
          <cell r="L561">
            <v>0</v>
          </cell>
          <cell r="M561">
            <v>0</v>
          </cell>
          <cell r="N561">
            <v>0</v>
          </cell>
        </row>
        <row r="562">
          <cell r="B562" t="str">
            <v>Pioneer Natural Resources</v>
          </cell>
          <cell r="K562">
            <v>263.88220000000001</v>
          </cell>
          <cell r="L562">
            <v>0</v>
          </cell>
          <cell r="M562">
            <v>63.119970000000002</v>
          </cell>
          <cell r="N562">
            <v>73.542469999999994</v>
          </cell>
          <cell r="O562">
            <v>269.7799</v>
          </cell>
          <cell r="Q562">
            <v>64.395910000000001</v>
          </cell>
          <cell r="R562">
            <v>76.934150000000002</v>
          </cell>
        </row>
        <row r="563">
          <cell r="B563" t="str">
            <v>Pioneer Natural Resources</v>
          </cell>
          <cell r="K563">
            <v>0</v>
          </cell>
          <cell r="L563">
            <v>1.6653709999999999</v>
          </cell>
          <cell r="M563">
            <v>1.1357109999999999</v>
          </cell>
          <cell r="N563">
            <v>2.6767949999999998</v>
          </cell>
        </row>
        <row r="564">
          <cell r="B564" t="str">
            <v>Pioneer Natural Resources</v>
          </cell>
          <cell r="K564">
            <v>0</v>
          </cell>
          <cell r="L564">
            <v>0</v>
          </cell>
          <cell r="M564">
            <v>0</v>
          </cell>
          <cell r="N564">
            <v>0</v>
          </cell>
        </row>
        <row r="565">
          <cell r="B565" t="str">
            <v>Pioneer Natural Resources</v>
          </cell>
          <cell r="K565">
            <v>1.3922600000000001</v>
          </cell>
          <cell r="L565">
            <v>0</v>
          </cell>
          <cell r="M565">
            <v>0</v>
          </cell>
          <cell r="N565">
            <v>0.76747120000000002</v>
          </cell>
          <cell r="O565">
            <v>0.93326030000000004</v>
          </cell>
          <cell r="R565">
            <v>0.51445200000000002</v>
          </cell>
        </row>
        <row r="566">
          <cell r="B566" t="str">
            <v>Pioneer Natural Resources</v>
          </cell>
          <cell r="K566">
            <v>0</v>
          </cell>
          <cell r="L566">
            <v>0</v>
          </cell>
          <cell r="M566">
            <v>0</v>
          </cell>
          <cell r="N566">
            <v>0</v>
          </cell>
        </row>
        <row r="567">
          <cell r="B567" t="str">
            <v>Whiting Petroleum Corporation (WLL)</v>
          </cell>
          <cell r="K567">
            <v>71.297278567372999</v>
          </cell>
          <cell r="L567">
            <v>0</v>
          </cell>
          <cell r="M567">
            <v>19.937786717454937</v>
          </cell>
          <cell r="N567">
            <v>19.667251520139761</v>
          </cell>
          <cell r="O567">
            <v>94.823650000000001</v>
          </cell>
          <cell r="Q567">
            <v>18.05885</v>
          </cell>
          <cell r="R567">
            <v>25.1234</v>
          </cell>
        </row>
        <row r="568">
          <cell r="B568" t="str">
            <v>Whiting Petroleum Corporation (WLL)</v>
          </cell>
          <cell r="K568">
            <v>9.1410485218501183</v>
          </cell>
          <cell r="L568">
            <v>0</v>
          </cell>
          <cell r="M568">
            <v>0.83340488475375241</v>
          </cell>
          <cell r="N568">
            <v>2.8220071211919424</v>
          </cell>
          <cell r="O568">
            <v>11.165459999999999</v>
          </cell>
          <cell r="Q568">
            <v>0.6427697</v>
          </cell>
          <cell r="R568">
            <v>3.017693</v>
          </cell>
        </row>
        <row r="569">
          <cell r="B569" t="str">
            <v>Whiting Petroleum Corporation (WLL)</v>
          </cell>
          <cell r="K569">
            <v>0.56010174601141294</v>
          </cell>
          <cell r="L569">
            <v>0</v>
          </cell>
          <cell r="M569">
            <v>4.0521552794672107E-3</v>
          </cell>
          <cell r="N569">
            <v>5.1553553247119556E-2</v>
          </cell>
          <cell r="O569">
            <v>0.67132599999999998</v>
          </cell>
          <cell r="Q569">
            <v>3.0675889999999999E-3</v>
          </cell>
          <cell r="R569">
            <v>5.4060270000000001E-2</v>
          </cell>
        </row>
        <row r="570">
          <cell r="B570" t="str">
            <v>Whiting Petroleum Corporation (WLL)</v>
          </cell>
          <cell r="K570">
            <v>0.11006999124480876</v>
          </cell>
          <cell r="L570">
            <v>0</v>
          </cell>
          <cell r="M570">
            <v>0</v>
          </cell>
          <cell r="N570">
            <v>0.13186268949519289</v>
          </cell>
          <cell r="O570">
            <v>0.1318822</v>
          </cell>
          <cell r="R570">
            <v>0.6778904</v>
          </cell>
        </row>
        <row r="571">
          <cell r="B571" t="str">
            <v>Whiting Petroleum Corporation (WLL)</v>
          </cell>
          <cell r="K571">
            <v>0.1930030781340068</v>
          </cell>
          <cell r="L571">
            <v>0</v>
          </cell>
          <cell r="M571">
            <v>0</v>
          </cell>
          <cell r="N571">
            <v>3.4418544228876961E-2</v>
          </cell>
          <cell r="O571">
            <v>0.23113420000000001</v>
          </cell>
          <cell r="R571">
            <v>3.6049320000000003E-2</v>
          </cell>
        </row>
        <row r="572">
          <cell r="B572" t="str">
            <v>Whiting Petroleum Corporation (WLL)</v>
          </cell>
          <cell r="K572">
            <v>2.5323975604581769E-2</v>
          </cell>
          <cell r="L572">
            <v>0</v>
          </cell>
          <cell r="M572">
            <v>8.6195322807136494E-3</v>
          </cell>
          <cell r="N572">
            <v>5.9352486341966465E-2</v>
          </cell>
          <cell r="O572">
            <v>3.0605480000000001E-2</v>
          </cell>
          <cell r="Q572">
            <v>6.518383E-3</v>
          </cell>
          <cell r="R572">
            <v>6.2235609999999997E-2</v>
          </cell>
        </row>
        <row r="573">
          <cell r="B573" t="str">
            <v>Whiting Petroleum Corporation (WLL)</v>
          </cell>
          <cell r="K573">
            <v>1.3736574283438206E-3</v>
          </cell>
          <cell r="L573">
            <v>0</v>
          </cell>
          <cell r="M573">
            <v>1.0049157872050787E-2</v>
          </cell>
          <cell r="N573">
            <v>6.6741182520828821E-2</v>
          </cell>
          <cell r="O573">
            <v>1.6465749999999999E-3</v>
          </cell>
          <cell r="Q573">
            <v>7.6018630000000004E-3</v>
          </cell>
          <cell r="R573">
            <v>6.9986300000000001E-2</v>
          </cell>
        </row>
        <row r="574">
          <cell r="B574" t="str">
            <v>Whiting Petroleum Corporation (WLL)</v>
          </cell>
          <cell r="K574">
            <v>0.15798509248237166</v>
          </cell>
          <cell r="L574">
            <v>0</v>
          </cell>
          <cell r="M574">
            <v>0</v>
          </cell>
          <cell r="N574">
            <v>9.5058312071333809E-3</v>
          </cell>
          <cell r="O574">
            <v>0.1893562</v>
          </cell>
          <cell r="R574">
            <v>9.9671229999999996E-3</v>
          </cell>
        </row>
        <row r="575">
          <cell r="B575" t="str">
            <v>Whiting Petroleum Corporation (WLL)</v>
          </cell>
          <cell r="K575">
            <v>2.3853388991809561E-2</v>
          </cell>
          <cell r="L575">
            <v>0</v>
          </cell>
          <cell r="M575">
            <v>1.5268690904365986E-2</v>
          </cell>
          <cell r="N575">
            <v>9.8597038959935948E-2</v>
          </cell>
          <cell r="O575">
            <v>2.8561650000000001E-2</v>
          </cell>
          <cell r="Q575">
            <v>1.153507E-2</v>
          </cell>
          <cell r="R575">
            <v>0.10327119999999999</v>
          </cell>
        </row>
        <row r="576">
          <cell r="B576" t="str">
            <v>Whiting Petroleum Corporation (WLL)</v>
          </cell>
          <cell r="K576">
            <v>8.5618508539757734E-2</v>
          </cell>
          <cell r="L576">
            <v>0</v>
          </cell>
          <cell r="M576">
            <v>2.2140640403637488E-3</v>
          </cell>
          <cell r="N576">
            <v>1.2375019919302434E-2</v>
          </cell>
          <cell r="O576">
            <v>0.1026055</v>
          </cell>
          <cell r="Q576">
            <v>1.6748220000000001E-3</v>
          </cell>
          <cell r="R576">
            <v>1.2972600000000001E-2</v>
          </cell>
        </row>
        <row r="577">
          <cell r="B577" t="str">
            <v>Whiting Petroleum Corporation (WLL)</v>
          </cell>
          <cell r="K577">
            <v>1.7632735573904958E-2</v>
          </cell>
          <cell r="L577">
            <v>0</v>
          </cell>
          <cell r="M577">
            <v>6.1339321294788217E-3</v>
          </cell>
          <cell r="N577">
            <v>5.5188959844384586E-2</v>
          </cell>
          <cell r="O577">
            <v>2.1131509999999999E-2</v>
          </cell>
          <cell r="Q577">
            <v>4.6393149999999998E-3</v>
          </cell>
          <cell r="R577">
            <v>5.7868500000000003E-2</v>
          </cell>
        </row>
        <row r="578">
          <cell r="B578" t="str">
            <v>Whiting Petroleum Corporation (WLL)</v>
          </cell>
          <cell r="K578">
            <v>1.1187264385961213E-2</v>
          </cell>
          <cell r="L578">
            <v>0</v>
          </cell>
          <cell r="M578">
            <v>3.6088774015711499E-3</v>
          </cell>
          <cell r="N578">
            <v>2.6812944735679314E-2</v>
          </cell>
          <cell r="O578">
            <v>1.341096E-2</v>
          </cell>
          <cell r="Q578">
            <v>2.7758079999999998E-3</v>
          </cell>
          <cell r="R578">
            <v>2.9252050000000002E-2</v>
          </cell>
        </row>
        <row r="579">
          <cell r="B579" t="str">
            <v>Whiting Petroleum Corporation (WLL)</v>
          </cell>
          <cell r="K579">
            <v>0</v>
          </cell>
          <cell r="L579">
            <v>0</v>
          </cell>
          <cell r="M579">
            <v>0</v>
          </cell>
          <cell r="N579">
            <v>1.8316162272454417E-2</v>
          </cell>
          <cell r="R579">
            <v>1.9208220000000002E-2</v>
          </cell>
        </row>
        <row r="580">
          <cell r="B580" t="str">
            <v>Whiting Petroleum Corporation (WLL)</v>
          </cell>
          <cell r="K580">
            <v>9.883738387827138E-3</v>
          </cell>
          <cell r="L580">
            <v>0</v>
          </cell>
          <cell r="M580">
            <v>5.2218488366431802E-4</v>
          </cell>
          <cell r="N580">
            <v>3.5717580467421067E-3</v>
          </cell>
          <cell r="O580">
            <v>1.1846570000000001E-2</v>
          </cell>
          <cell r="Q580">
            <v>3.9098630000000001E-4</v>
          </cell>
          <cell r="R580">
            <v>3.7452050000000001E-3</v>
          </cell>
        </row>
        <row r="581">
          <cell r="B581" t="str">
            <v>Whiting Petroleum Corporation (WLL)</v>
          </cell>
          <cell r="K581">
            <v>9.4753504304446422E-3</v>
          </cell>
          <cell r="L581">
            <v>0</v>
          </cell>
          <cell r="M581">
            <v>2.5761121881918547E-4</v>
          </cell>
          <cell r="N581">
            <v>1.8059184422894985E-3</v>
          </cell>
          <cell r="O581">
            <v>1.1356160000000001E-2</v>
          </cell>
          <cell r="Q581">
            <v>1.9452050000000001E-4</v>
          </cell>
          <cell r="R581">
            <v>1.893151E-3</v>
          </cell>
        </row>
        <row r="582">
          <cell r="B582" t="str">
            <v>Whiting Petroleum Corporation (WLL)</v>
          </cell>
          <cell r="K582">
            <v>0</v>
          </cell>
          <cell r="L582">
            <v>0</v>
          </cell>
          <cell r="M582">
            <v>0</v>
          </cell>
          <cell r="N582">
            <v>0</v>
          </cell>
        </row>
        <row r="583">
          <cell r="B583" t="str">
            <v>Cimarex Energy Co. (XEC)</v>
          </cell>
          <cell r="K583">
            <v>49.743674753292652</v>
          </cell>
          <cell r="L583">
            <v>0</v>
          </cell>
          <cell r="M583">
            <v>34.132822932127013</v>
          </cell>
          <cell r="N583">
            <v>44.496011431511995</v>
          </cell>
          <cell r="O583">
            <v>67.081559999999996</v>
          </cell>
          <cell r="Q583">
            <v>31.566859999999998</v>
          </cell>
          <cell r="R583">
            <v>55.677900000000001</v>
          </cell>
        </row>
        <row r="584">
          <cell r="B584" t="str">
            <v>Cimarex Energy Co. (XEC)</v>
          </cell>
          <cell r="K584">
            <v>16.498046237451412</v>
          </cell>
          <cell r="L584">
            <v>0</v>
          </cell>
          <cell r="M584">
            <v>11.897225216516667</v>
          </cell>
          <cell r="N584">
            <v>13.215997462134737</v>
          </cell>
          <cell r="O584">
            <v>23.035820000000001</v>
          </cell>
          <cell r="Q584">
            <v>11.273669999999999</v>
          </cell>
          <cell r="R584">
            <v>16.984529999999999</v>
          </cell>
        </row>
        <row r="585">
          <cell r="B585" t="str">
            <v>Cimarex Energy Co. (XEC)</v>
          </cell>
          <cell r="K585">
            <v>6.2898957867662366</v>
          </cell>
          <cell r="L585">
            <v>3.758904E-3</v>
          </cell>
          <cell r="M585">
            <v>5.4123210848943648</v>
          </cell>
          <cell r="N585">
            <v>7.830786430976219</v>
          </cell>
          <cell r="O585">
            <v>6.4867509999999999</v>
          </cell>
          <cell r="P585">
            <v>1.852055E-3</v>
          </cell>
          <cell r="Q585">
            <v>3.8045070000000001</v>
          </cell>
          <cell r="R585">
            <v>8.0829590000000007</v>
          </cell>
        </row>
        <row r="586">
          <cell r="B586" t="str">
            <v>Cimarex Energy Co. (XEC)</v>
          </cell>
          <cell r="K586">
            <v>0</v>
          </cell>
          <cell r="L586">
            <v>0</v>
          </cell>
          <cell r="M586">
            <v>0</v>
          </cell>
          <cell r="N586">
            <v>0</v>
          </cell>
        </row>
        <row r="587">
          <cell r="B587" t="str">
            <v>Cimarex Energy Co. (XEC)</v>
          </cell>
          <cell r="K587">
            <v>0</v>
          </cell>
          <cell r="L587">
            <v>0</v>
          </cell>
          <cell r="M587">
            <v>0</v>
          </cell>
          <cell r="N587">
            <v>0</v>
          </cell>
        </row>
        <row r="588">
          <cell r="B588" t="str">
            <v>Cimarex Energy Co. (XEC)</v>
          </cell>
          <cell r="K588">
            <v>13.451819459334287</v>
          </cell>
          <cell r="L588">
            <v>0.2174575</v>
          </cell>
          <cell r="M588">
            <v>25.950847593472222</v>
          </cell>
          <cell r="N588">
            <v>48.38604158515156</v>
          </cell>
          <cell r="O588">
            <v>13.355700000000001</v>
          </cell>
          <cell r="P588">
            <v>0.24584110000000001</v>
          </cell>
          <cell r="Q588">
            <v>17.81503</v>
          </cell>
          <cell r="R588">
            <v>49.651000000000003</v>
          </cell>
        </row>
        <row r="589">
          <cell r="B589" t="str">
            <v>Cimarex Energy Co. (XEC)</v>
          </cell>
          <cell r="K589">
            <v>0.16500246490877546</v>
          </cell>
          <cell r="L589">
            <v>1.00274E-3</v>
          </cell>
          <cell r="M589">
            <v>6.7474453186394338E-3</v>
          </cell>
          <cell r="N589">
            <v>0.60858700717546421</v>
          </cell>
          <cell r="O589">
            <v>0.2014109</v>
          </cell>
          <cell r="P589">
            <v>0</v>
          </cell>
          <cell r="Q589">
            <v>5.7364110000000003E-3</v>
          </cell>
          <cell r="R589">
            <v>0.68758350000000001</v>
          </cell>
        </row>
        <row r="590">
          <cell r="B590" t="str">
            <v>Cimarex Energy Co. (XEC)</v>
          </cell>
          <cell r="K590">
            <v>0</v>
          </cell>
          <cell r="L590">
            <v>0</v>
          </cell>
          <cell r="M590">
            <v>0</v>
          </cell>
          <cell r="N590">
            <v>0.28295930991224205</v>
          </cell>
          <cell r="R590">
            <v>0.31968489999999999</v>
          </cell>
        </row>
        <row r="591">
          <cell r="B591" t="str">
            <v>Cimarex Energy Co. (XEC)</v>
          </cell>
          <cell r="K591">
            <v>4.6200696598554719E-2</v>
          </cell>
          <cell r="L591">
            <v>1.00274E-3</v>
          </cell>
          <cell r="M591">
            <v>4.5012884465103712E-3</v>
          </cell>
          <cell r="N591">
            <v>1.3474255194917238E-2</v>
          </cell>
          <cell r="O591">
            <v>4.6969860000000002E-2</v>
          </cell>
          <cell r="P591">
            <v>0</v>
          </cell>
          <cell r="Q591">
            <v>3.6472599999999998E-3</v>
          </cell>
          <cell r="R591">
            <v>1.523562E-2</v>
          </cell>
        </row>
        <row r="592">
          <cell r="B592" t="str">
            <v>Cimarex Energy Co. (XEC)</v>
          </cell>
          <cell r="K592">
            <v>4.9566755105538655E-3</v>
          </cell>
          <cell r="L592">
            <v>4.8594520000000002E-2</v>
          </cell>
          <cell r="M592">
            <v>0</v>
          </cell>
          <cell r="N592">
            <v>0</v>
          </cell>
          <cell r="O592">
            <v>4.142466E-3</v>
          </cell>
          <cell r="P592">
            <v>4.6413700000000002E-2</v>
          </cell>
        </row>
        <row r="593">
          <cell r="B593" t="str">
            <v>Cimarex Energy Co. (XEC)</v>
          </cell>
          <cell r="K593">
            <v>4.0392613752465359E-4</v>
          </cell>
          <cell r="L593">
            <v>0</v>
          </cell>
          <cell r="M593">
            <v>3.7536173067705798E-3</v>
          </cell>
          <cell r="N593">
            <v>2.3410837653883732E-2</v>
          </cell>
          <cell r="O593">
            <v>4.9397259999999995E-4</v>
          </cell>
          <cell r="P593">
            <v>2.2890409999999999E-3</v>
          </cell>
          <cell r="Q593">
            <v>2.1807699999999998E-3</v>
          </cell>
          <cell r="R593">
            <v>1.9144930000000001E-2</v>
          </cell>
        </row>
        <row r="594">
          <cell r="B594" t="str">
            <v>Cimarex Energy Co. (XEC)</v>
          </cell>
          <cell r="K594">
            <v>0</v>
          </cell>
          <cell r="L594">
            <v>0</v>
          </cell>
          <cell r="M594">
            <v>0</v>
          </cell>
          <cell r="N594">
            <v>1.3507935996770901E-2</v>
          </cell>
          <cell r="R594">
            <v>1.428493E-2</v>
          </cell>
        </row>
        <row r="595">
          <cell r="B595" t="str">
            <v>Baytex Energy Corp. (BTE)</v>
          </cell>
          <cell r="K595">
            <v>43.998309493938294</v>
          </cell>
          <cell r="L595">
            <v>0.10682773153695832</v>
          </cell>
          <cell r="M595">
            <v>1.1434045585559771</v>
          </cell>
          <cell r="N595">
            <v>7.8627882420676869</v>
          </cell>
          <cell r="O595">
            <v>37.978810000000003</v>
          </cell>
          <cell r="P595">
            <v>7.2534249999999995E-2</v>
          </cell>
          <cell r="Q595">
            <v>1.092511</v>
          </cell>
          <cell r="R595">
            <v>5.7882160000000002</v>
          </cell>
        </row>
        <row r="596">
          <cell r="B596" t="str">
            <v>Baytex Energy Corp. (BTE)</v>
          </cell>
          <cell r="K596">
            <v>12.169228940050155</v>
          </cell>
          <cell r="L596">
            <v>9.0687219229057554</v>
          </cell>
          <cell r="M596">
            <v>9.0575735499075449</v>
          </cell>
          <cell r="N596">
            <v>8.9069941823831211</v>
          </cell>
          <cell r="O596">
            <v>12.23157</v>
          </cell>
          <cell r="P596">
            <v>7.9125610000000002</v>
          </cell>
          <cell r="Q596">
            <v>5.9317690000000001</v>
          </cell>
          <cell r="R596">
            <v>8.3106080000000002</v>
          </cell>
        </row>
        <row r="597">
          <cell r="B597" t="str">
            <v>Baytex Energy Corp. (BTE)</v>
          </cell>
          <cell r="K597">
            <v>4.984911911568835</v>
          </cell>
          <cell r="L597">
            <v>0</v>
          </cell>
          <cell r="M597">
            <v>2.8021891536478039E-2</v>
          </cell>
          <cell r="N597">
            <v>0.3538842422158594</v>
          </cell>
          <cell r="O597">
            <v>4.0737449999999997</v>
          </cell>
          <cell r="Q597">
            <v>0.1662256</v>
          </cell>
          <cell r="R597">
            <v>0.37459439999999999</v>
          </cell>
        </row>
        <row r="598">
          <cell r="B598" t="str">
            <v>Repsol</v>
          </cell>
          <cell r="K598">
            <v>0</v>
          </cell>
          <cell r="L598">
            <v>2.0120680000000002</v>
          </cell>
          <cell r="M598">
            <v>2.4106269999999999</v>
          </cell>
          <cell r="N598">
            <v>113.9061</v>
          </cell>
          <cell r="P598">
            <v>2.8791449999999998</v>
          </cell>
          <cell r="Q598">
            <v>1.425953</v>
          </cell>
          <cell r="R598">
            <v>112.5369</v>
          </cell>
        </row>
        <row r="599">
          <cell r="B599" t="str">
            <v>Repsol</v>
          </cell>
          <cell r="K599">
            <v>0</v>
          </cell>
          <cell r="L599">
            <v>0</v>
          </cell>
          <cell r="M599">
            <v>0</v>
          </cell>
          <cell r="N599">
            <v>101.3699</v>
          </cell>
          <cell r="R599">
            <v>112.24209999999999</v>
          </cell>
        </row>
        <row r="600">
          <cell r="B600" t="str">
            <v>Repsol</v>
          </cell>
          <cell r="K600">
            <v>0</v>
          </cell>
          <cell r="L600">
            <v>10.815239999999999</v>
          </cell>
          <cell r="M600">
            <v>0</v>
          </cell>
          <cell r="N600">
            <v>61.207180000000001</v>
          </cell>
          <cell r="P600">
            <v>10.04316</v>
          </cell>
          <cell r="R600">
            <v>57.279089999999997</v>
          </cell>
        </row>
        <row r="601">
          <cell r="B601" t="str">
            <v>Repsol</v>
          </cell>
          <cell r="K601">
            <v>9.4680739999999997</v>
          </cell>
          <cell r="L601">
            <v>0.39194250000000003</v>
          </cell>
          <cell r="M601">
            <v>9.1274909999999991</v>
          </cell>
          <cell r="N601">
            <v>40.15531</v>
          </cell>
          <cell r="O601">
            <v>8.769679</v>
          </cell>
          <cell r="P601">
            <v>0.35940270000000002</v>
          </cell>
          <cell r="Q601">
            <v>8.0868939999999991</v>
          </cell>
          <cell r="R601">
            <v>34.274290000000001</v>
          </cell>
        </row>
        <row r="602">
          <cell r="B602" t="str">
            <v>Repsol</v>
          </cell>
          <cell r="K602">
            <v>0.1002092</v>
          </cell>
          <cell r="L602">
            <v>2.2073700000000001</v>
          </cell>
          <cell r="M602">
            <v>2.873939E-2</v>
          </cell>
          <cell r="N602">
            <v>46.742100000000001</v>
          </cell>
          <cell r="O602">
            <v>9.5788600000000002E-2</v>
          </cell>
          <cell r="P602">
            <v>2.0752009999999999</v>
          </cell>
          <cell r="Q602">
            <v>5.6021909999999999E-6</v>
          </cell>
          <cell r="R602">
            <v>45.15936</v>
          </cell>
        </row>
        <row r="603">
          <cell r="B603" t="str">
            <v>Repsol</v>
          </cell>
          <cell r="K603">
            <v>40.525469999999999</v>
          </cell>
          <cell r="L603">
            <v>0</v>
          </cell>
          <cell r="M603">
            <v>0</v>
          </cell>
          <cell r="N603">
            <v>4.3965779999999999</v>
          </cell>
          <cell r="O603">
            <v>44.438090000000003</v>
          </cell>
          <cell r="R603">
            <v>4.3382269999999998</v>
          </cell>
        </row>
        <row r="604">
          <cell r="B604" t="str">
            <v>Repsol</v>
          </cell>
          <cell r="K604">
            <v>0</v>
          </cell>
          <cell r="L604">
            <v>1.3770830000000001</v>
          </cell>
          <cell r="M604">
            <v>1.727838</v>
          </cell>
          <cell r="N604">
            <v>21.647169999999999</v>
          </cell>
          <cell r="P604">
            <v>1.4470799999999999</v>
          </cell>
          <cell r="Q604">
            <v>1.81572</v>
          </cell>
          <cell r="R604">
            <v>22.741060000000001</v>
          </cell>
        </row>
        <row r="605">
          <cell r="B605" t="str">
            <v>Repsol</v>
          </cell>
          <cell r="K605">
            <v>14.712960000000001</v>
          </cell>
          <cell r="L605">
            <v>2.0214080000000001</v>
          </cell>
          <cell r="M605">
            <v>1.5533030000000001</v>
          </cell>
          <cell r="N605">
            <v>0</v>
          </cell>
          <cell r="O605">
            <v>13.226050000000001</v>
          </cell>
          <cell r="P605">
            <v>2.0956630000000001</v>
          </cell>
          <cell r="Q605">
            <v>1.5423770000000001</v>
          </cell>
        </row>
        <row r="606">
          <cell r="B606" t="str">
            <v>Repsol</v>
          </cell>
          <cell r="K606">
            <v>0</v>
          </cell>
          <cell r="L606">
            <v>0</v>
          </cell>
          <cell r="M606">
            <v>9.8398120000000002</v>
          </cell>
          <cell r="N606">
            <v>32.010950000000001</v>
          </cell>
          <cell r="Q606">
            <v>7.8442530000000001</v>
          </cell>
          <cell r="R606">
            <v>43.32123</v>
          </cell>
        </row>
        <row r="607">
          <cell r="B607" t="str">
            <v>Repsol</v>
          </cell>
          <cell r="K607">
            <v>0</v>
          </cell>
          <cell r="L607">
            <v>0.3835616</v>
          </cell>
          <cell r="M607">
            <v>1.6268990000000001</v>
          </cell>
          <cell r="N607">
            <v>38.356169999999999</v>
          </cell>
          <cell r="P607">
            <v>2.0037419999999999</v>
          </cell>
          <cell r="Q607">
            <v>2.236186</v>
          </cell>
          <cell r="R607">
            <v>42.46134</v>
          </cell>
        </row>
        <row r="608">
          <cell r="B608" t="str">
            <v>Repsol</v>
          </cell>
          <cell r="K608">
            <v>40.881920000000001</v>
          </cell>
          <cell r="L608">
            <v>0</v>
          </cell>
          <cell r="M608">
            <v>0</v>
          </cell>
          <cell r="N608">
            <v>0</v>
          </cell>
          <cell r="O608">
            <v>40.082949999999997</v>
          </cell>
        </row>
        <row r="609">
          <cell r="B609" t="str">
            <v>Repsol</v>
          </cell>
          <cell r="K609">
            <v>0</v>
          </cell>
          <cell r="L609">
            <v>8.7976749999999999</v>
          </cell>
          <cell r="M609">
            <v>5.1549680000000002</v>
          </cell>
          <cell r="N609">
            <v>10.434659999999999</v>
          </cell>
          <cell r="P609">
            <v>24.376180000000002</v>
          </cell>
          <cell r="Q609">
            <v>16.113810000000001</v>
          </cell>
          <cell r="R609">
            <v>32.777810000000002</v>
          </cell>
        </row>
        <row r="610">
          <cell r="B610" t="str">
            <v>Repsol</v>
          </cell>
          <cell r="K610">
            <v>13.67093</v>
          </cell>
          <cell r="L610">
            <v>8.3515619999999995</v>
          </cell>
          <cell r="M610">
            <v>2.472922E-2</v>
          </cell>
          <cell r="N610">
            <v>7.2111770000000002</v>
          </cell>
          <cell r="O610">
            <v>14.50456</v>
          </cell>
          <cell r="P610">
            <v>7.8998949999999999</v>
          </cell>
          <cell r="Q610">
            <v>3.1890590000000003E-2</v>
          </cell>
          <cell r="R610">
            <v>6.9101229999999996</v>
          </cell>
        </row>
        <row r="611">
          <cell r="B611" t="str">
            <v>Repsol</v>
          </cell>
          <cell r="K611">
            <v>2.1379440000000001</v>
          </cell>
          <cell r="L611">
            <v>0</v>
          </cell>
          <cell r="M611">
            <v>1.0125599999999999</v>
          </cell>
          <cell r="N611">
            <v>7.2892010000000003</v>
          </cell>
          <cell r="O611">
            <v>2.0053969999999999</v>
          </cell>
          <cell r="Q611">
            <v>1.001611</v>
          </cell>
          <cell r="R611">
            <v>7.5482880000000003</v>
          </cell>
        </row>
        <row r="612">
          <cell r="B612" t="str">
            <v>Repsol</v>
          </cell>
          <cell r="K612">
            <v>5.0999739999999996</v>
          </cell>
          <cell r="L612">
            <v>0</v>
          </cell>
          <cell r="M612">
            <v>0.53184670000000001</v>
          </cell>
          <cell r="N612">
            <v>3.8400780000000001</v>
          </cell>
          <cell r="O612">
            <v>3.8871380000000002</v>
          </cell>
          <cell r="Q612">
            <v>0.48301569999999999</v>
          </cell>
          <cell r="R612">
            <v>2.9986609999999998</v>
          </cell>
        </row>
        <row r="613">
          <cell r="B613" t="str">
            <v>Repsol</v>
          </cell>
          <cell r="K613">
            <v>0.21772749999999999</v>
          </cell>
          <cell r="L613">
            <v>0</v>
          </cell>
          <cell r="M613">
            <v>2.8423879999999997E-4</v>
          </cell>
          <cell r="N613">
            <v>3.4299049999999998E-2</v>
          </cell>
          <cell r="O613">
            <v>0.19920679999999999</v>
          </cell>
          <cell r="Q613">
            <v>2.7771859999999997E-4</v>
          </cell>
          <cell r="R613">
            <v>1.5716020000000001E-2</v>
          </cell>
        </row>
        <row r="614">
          <cell r="B614" t="str">
            <v>Repsol</v>
          </cell>
          <cell r="K614">
            <v>0</v>
          </cell>
          <cell r="L614">
            <v>2.6908769999999999E-2</v>
          </cell>
          <cell r="M614">
            <v>2.937065E-3</v>
          </cell>
          <cell r="N614">
            <v>8.7613140000000006E-2</v>
          </cell>
          <cell r="P614">
            <v>0</v>
          </cell>
          <cell r="Q614">
            <v>0</v>
          </cell>
          <cell r="R614">
            <v>0</v>
          </cell>
        </row>
        <row r="615">
          <cell r="B615" t="str">
            <v>Repsol</v>
          </cell>
          <cell r="K615">
            <v>7.5405480000000003</v>
          </cell>
          <cell r="L615">
            <v>0</v>
          </cell>
          <cell r="M615">
            <v>0</v>
          </cell>
          <cell r="N615">
            <v>13.46838</v>
          </cell>
          <cell r="O615">
            <v>5.2179589999999996</v>
          </cell>
          <cell r="R615">
            <v>10.16966</v>
          </cell>
        </row>
        <row r="616">
          <cell r="B616" t="str">
            <v>Repsol</v>
          </cell>
          <cell r="K616">
            <v>2.3541949999999999E-2</v>
          </cell>
          <cell r="L616">
            <v>0</v>
          </cell>
          <cell r="M616">
            <v>0</v>
          </cell>
          <cell r="N616">
            <v>0</v>
          </cell>
          <cell r="O616">
            <v>1.707815E-2</v>
          </cell>
        </row>
        <row r="617">
          <cell r="B617" t="str">
            <v>Repsol</v>
          </cell>
          <cell r="K617">
            <v>3.335051</v>
          </cell>
          <cell r="L617">
            <v>0</v>
          </cell>
          <cell r="M617">
            <v>0</v>
          </cell>
          <cell r="N617">
            <v>8.5943220000000001E-2</v>
          </cell>
          <cell r="O617">
            <v>6.074999</v>
          </cell>
          <cell r="R617">
            <v>0.50125379999999997</v>
          </cell>
        </row>
        <row r="618">
          <cell r="B618" t="str">
            <v>Repsol</v>
          </cell>
          <cell r="K618">
            <v>12.95955</v>
          </cell>
          <cell r="L618">
            <v>0</v>
          </cell>
          <cell r="M618">
            <v>0.65978890000000001</v>
          </cell>
          <cell r="N618">
            <v>0.46012520000000001</v>
          </cell>
          <cell r="O618">
            <v>11.87337</v>
          </cell>
          <cell r="Q618">
            <v>0.60773219999999994</v>
          </cell>
          <cell r="R618">
            <v>0.42477150000000002</v>
          </cell>
        </row>
        <row r="619">
          <cell r="B619" t="str">
            <v>Repsol</v>
          </cell>
          <cell r="K619">
            <v>9.2099849999999996</v>
          </cell>
          <cell r="L619">
            <v>0</v>
          </cell>
          <cell r="M619">
            <v>1.1736889999999999E-3</v>
          </cell>
          <cell r="N619">
            <v>0.14943699999999999</v>
          </cell>
          <cell r="O619">
            <v>9.2654420000000002</v>
          </cell>
          <cell r="Q619">
            <v>0</v>
          </cell>
          <cell r="R619">
            <v>8.9870370000000005E-2</v>
          </cell>
        </row>
        <row r="620">
          <cell r="B620" t="str">
            <v>Repsol</v>
          </cell>
          <cell r="K620">
            <v>1.664531</v>
          </cell>
          <cell r="L620">
            <v>0</v>
          </cell>
          <cell r="M620">
            <v>3.799276E-4</v>
          </cell>
          <cell r="N620">
            <v>9.5393199999999997E-2</v>
          </cell>
          <cell r="O620">
            <v>1.7202519999999999</v>
          </cell>
          <cell r="Q620">
            <v>3.7033889999999999E-4</v>
          </cell>
          <cell r="R620">
            <v>9.2968869999999995E-2</v>
          </cell>
        </row>
        <row r="621">
          <cell r="B621" t="str">
            <v>Repsol</v>
          </cell>
          <cell r="K621">
            <v>2.7959800000000001</v>
          </cell>
          <cell r="L621">
            <v>0</v>
          </cell>
          <cell r="M621">
            <v>4.2635920000000001E-2</v>
          </cell>
          <cell r="N621">
            <v>0.3072706</v>
          </cell>
          <cell r="O621">
            <v>2.4983689999999998</v>
          </cell>
          <cell r="Q621">
            <v>3.8097390000000002E-2</v>
          </cell>
          <cell r="R621">
            <v>0.27456390000000003</v>
          </cell>
        </row>
        <row r="622">
          <cell r="B622" t="str">
            <v>Repsol</v>
          </cell>
          <cell r="K622">
            <v>0.84481980000000001</v>
          </cell>
          <cell r="L622">
            <v>0</v>
          </cell>
          <cell r="M622">
            <v>1.774786E-3</v>
          </cell>
          <cell r="N622">
            <v>0.18959709999999999</v>
          </cell>
          <cell r="O622">
            <v>0.4416293</v>
          </cell>
          <cell r="Q622">
            <v>9.2856320000000005E-4</v>
          </cell>
          <cell r="R622">
            <v>9.9111859999999996E-2</v>
          </cell>
        </row>
        <row r="623">
          <cell r="B623" t="str">
            <v>Repsol</v>
          </cell>
          <cell r="K623">
            <v>4.0936880000000002E-2</v>
          </cell>
          <cell r="L623">
            <v>0</v>
          </cell>
          <cell r="M623">
            <v>0</v>
          </cell>
          <cell r="N623">
            <v>0</v>
          </cell>
          <cell r="O623">
            <v>4.9055340000000003E-2</v>
          </cell>
        </row>
        <row r="624">
          <cell r="B624" t="str">
            <v>Repsol</v>
          </cell>
          <cell r="K624">
            <v>0.17762249999999999</v>
          </cell>
          <cell r="L624">
            <v>0</v>
          </cell>
          <cell r="M624">
            <v>1.3390599999999999E-4</v>
          </cell>
          <cell r="N624">
            <v>0</v>
          </cell>
          <cell r="O624">
            <v>9.5238859999999995E-2</v>
          </cell>
          <cell r="Q624">
            <v>0</v>
          </cell>
        </row>
        <row r="625">
          <cell r="B625" t="str">
            <v>Repsol</v>
          </cell>
          <cell r="K625">
            <v>3.7572719999999997E-2</v>
          </cell>
          <cell r="L625">
            <v>0</v>
          </cell>
          <cell r="M625">
            <v>1.5784169999999998E-5</v>
          </cell>
          <cell r="N625">
            <v>2.6716140000000001E-3</v>
          </cell>
          <cell r="O625">
            <v>3.9735910000000003E-3</v>
          </cell>
          <cell r="Q625">
            <v>2.058805E-6</v>
          </cell>
          <cell r="R625">
            <v>2.8224000000000001E-4</v>
          </cell>
        </row>
        <row r="626">
          <cell r="B626" t="str">
            <v>Repsol</v>
          </cell>
          <cell r="K626">
            <v>7.1947010000000002</v>
          </cell>
          <cell r="L626">
            <v>0</v>
          </cell>
          <cell r="M626">
            <v>0.59771779999999997</v>
          </cell>
          <cell r="N626">
            <v>2.5197240000000001</v>
          </cell>
          <cell r="O626">
            <v>5.5573870000000003</v>
          </cell>
          <cell r="Q626">
            <v>0.51711249999999997</v>
          </cell>
          <cell r="R626">
            <v>1.7344090000000001</v>
          </cell>
        </row>
        <row r="627">
          <cell r="B627" t="str">
            <v>Repsol</v>
          </cell>
          <cell r="K627">
            <v>2.0031189999999999</v>
          </cell>
          <cell r="L627">
            <v>0</v>
          </cell>
          <cell r="M627">
            <v>0</v>
          </cell>
          <cell r="N627">
            <v>0</v>
          </cell>
          <cell r="O627">
            <v>1.963268</v>
          </cell>
        </row>
        <row r="628">
          <cell r="B628" t="str">
            <v>Repsol</v>
          </cell>
          <cell r="K628">
            <v>1.806135</v>
          </cell>
          <cell r="L628">
            <v>0</v>
          </cell>
          <cell r="M628">
            <v>3.342233E-3</v>
          </cell>
          <cell r="N628">
            <v>0.23354230000000001</v>
          </cell>
          <cell r="O628">
            <v>1.168066</v>
          </cell>
          <cell r="Q628">
            <v>0.34263890000000002</v>
          </cell>
          <cell r="R628">
            <v>1.058511</v>
          </cell>
        </row>
        <row r="629">
          <cell r="B629" t="str">
            <v>Repsol</v>
          </cell>
          <cell r="K629">
            <v>0.56461269999999997</v>
          </cell>
          <cell r="L629">
            <v>0</v>
          </cell>
          <cell r="M629">
            <v>1.2003440000000001E-2</v>
          </cell>
          <cell r="N629">
            <v>0</v>
          </cell>
          <cell r="O629">
            <v>0.1024616</v>
          </cell>
          <cell r="Q629">
            <v>2.624894E-3</v>
          </cell>
        </row>
        <row r="630">
          <cell r="B630" t="str">
            <v>Repsol</v>
          </cell>
          <cell r="K630">
            <v>0.14972199999999999</v>
          </cell>
          <cell r="L630">
            <v>0</v>
          </cell>
          <cell r="M630">
            <v>2.8582450000000001E-3</v>
          </cell>
          <cell r="N630">
            <v>2.9098659999999998E-2</v>
          </cell>
          <cell r="O630">
            <v>0.20450550000000001</v>
          </cell>
          <cell r="Q630">
            <v>5.2919059999999999E-3</v>
          </cell>
          <cell r="R630">
            <v>3.4562030000000001E-2</v>
          </cell>
        </row>
        <row r="631">
          <cell r="B631" t="str">
            <v>Repsol</v>
          </cell>
          <cell r="K631">
            <v>0.18861939999999999</v>
          </cell>
          <cell r="L631">
            <v>0</v>
          </cell>
          <cell r="M631">
            <v>8.917094E-4</v>
          </cell>
          <cell r="N631">
            <v>8.7706260000000001E-3</v>
          </cell>
          <cell r="O631">
            <v>0.1657149</v>
          </cell>
          <cell r="Q631">
            <v>7.8644649999999995E-4</v>
          </cell>
          <cell r="R631">
            <v>6.4773210000000003E-3</v>
          </cell>
        </row>
        <row r="632">
          <cell r="B632" t="str">
            <v>Repsol</v>
          </cell>
          <cell r="K632">
            <v>0.10333349999999999</v>
          </cell>
          <cell r="L632">
            <v>1.464996</v>
          </cell>
          <cell r="M632">
            <v>3.4660340000000001</v>
          </cell>
          <cell r="N632">
            <v>9.0503520000000002</v>
          </cell>
          <cell r="O632">
            <v>9.6863920000000006E-2</v>
          </cell>
          <cell r="P632">
            <v>1.083569</v>
          </cell>
          <cell r="Q632">
            <v>3.1955429999999998</v>
          </cell>
          <cell r="R632">
            <v>7.4656359999999999</v>
          </cell>
        </row>
        <row r="633">
          <cell r="B633" t="str">
            <v>Repsol</v>
          </cell>
          <cell r="K633">
            <v>1.5533710000000001</v>
          </cell>
          <cell r="L633">
            <v>0.1645266</v>
          </cell>
          <cell r="M633">
            <v>2.3342469999999998E-6</v>
          </cell>
          <cell r="N633">
            <v>8.9591930000000009</v>
          </cell>
          <cell r="O633">
            <v>1.671751</v>
          </cell>
          <cell r="P633">
            <v>2.6404619999999999</v>
          </cell>
          <cell r="Q633">
            <v>0</v>
          </cell>
          <cell r="R633">
            <v>3.6420309999999998</v>
          </cell>
        </row>
        <row r="634">
          <cell r="B634" t="str">
            <v>Repsol</v>
          </cell>
          <cell r="K634">
            <v>0</v>
          </cell>
          <cell r="L634">
            <v>0</v>
          </cell>
          <cell r="M634">
            <v>0</v>
          </cell>
          <cell r="N634">
            <v>2.8769640000000001</v>
          </cell>
          <cell r="R634">
            <v>2.695265</v>
          </cell>
        </row>
        <row r="635">
          <cell r="B635" t="str">
            <v>Repsol</v>
          </cell>
          <cell r="K635">
            <v>0</v>
          </cell>
          <cell r="L635">
            <v>0</v>
          </cell>
          <cell r="M635">
            <v>0</v>
          </cell>
          <cell r="N635">
            <v>12.38918</v>
          </cell>
          <cell r="R635">
            <v>12.341900000000001</v>
          </cell>
        </row>
        <row r="636">
          <cell r="B636" t="str">
            <v>Repsol</v>
          </cell>
          <cell r="K636">
            <v>8.9095890000000004</v>
          </cell>
          <cell r="L636">
            <v>0</v>
          </cell>
          <cell r="M636">
            <v>0</v>
          </cell>
          <cell r="N636">
            <v>0.69041090000000005</v>
          </cell>
          <cell r="O636">
            <v>6.4109590000000001</v>
          </cell>
          <cell r="R636">
            <v>1.150685</v>
          </cell>
        </row>
        <row r="637">
          <cell r="B637" t="str">
            <v>Repsol</v>
          </cell>
          <cell r="K637">
            <v>8.1881039999999992</v>
          </cell>
          <cell r="L637">
            <v>0</v>
          </cell>
          <cell r="M637">
            <v>1.7020550000000001E-5</v>
          </cell>
          <cell r="N637">
            <v>0</v>
          </cell>
          <cell r="O637">
            <v>7.6171860000000002</v>
          </cell>
          <cell r="Q637">
            <v>4.1325889999999999E-4</v>
          </cell>
        </row>
        <row r="638">
          <cell r="B638" t="str">
            <v>Repsol</v>
          </cell>
          <cell r="K638">
            <v>7.659713</v>
          </cell>
          <cell r="L638">
            <v>0</v>
          </cell>
          <cell r="M638">
            <v>0</v>
          </cell>
          <cell r="N638">
            <v>0</v>
          </cell>
          <cell r="O638">
            <v>7.1532790000000004</v>
          </cell>
        </row>
        <row r="639">
          <cell r="B639" t="str">
            <v>Repsol</v>
          </cell>
          <cell r="K639">
            <v>5.3667490000000004</v>
          </cell>
          <cell r="L639">
            <v>0</v>
          </cell>
          <cell r="M639">
            <v>0</v>
          </cell>
          <cell r="N639">
            <v>1.468493E-3</v>
          </cell>
          <cell r="O639">
            <v>5.2023289999999998</v>
          </cell>
          <cell r="R639">
            <v>1.1931509999999999E-3</v>
          </cell>
        </row>
        <row r="640">
          <cell r="B640" t="str">
            <v>Repsol</v>
          </cell>
          <cell r="K640">
            <v>3.0198269999999998</v>
          </cell>
          <cell r="L640">
            <v>0</v>
          </cell>
          <cell r="M640">
            <v>0.16230510000000001</v>
          </cell>
          <cell r="N640">
            <v>0.39408739999999998</v>
          </cell>
          <cell r="O640">
            <v>2.745212</v>
          </cell>
          <cell r="Q640">
            <v>0.1475455</v>
          </cell>
          <cell r="R640">
            <v>0.3582495</v>
          </cell>
        </row>
        <row r="641">
          <cell r="B641" t="str">
            <v>Repsol</v>
          </cell>
          <cell r="K641">
            <v>1.115211</v>
          </cell>
          <cell r="L641">
            <v>0</v>
          </cell>
          <cell r="M641">
            <v>0.26199349999999999</v>
          </cell>
          <cell r="N641">
            <v>0.66517499999999996</v>
          </cell>
          <cell r="O641">
            <v>1.052214</v>
          </cell>
          <cell r="Q641">
            <v>0.24719369999999999</v>
          </cell>
          <cell r="R641">
            <v>0.62760059999999995</v>
          </cell>
        </row>
        <row r="642">
          <cell r="B642" t="str">
            <v>Repsol</v>
          </cell>
          <cell r="K642">
            <v>4.3835620000000004</v>
          </cell>
          <cell r="L642">
            <v>0</v>
          </cell>
          <cell r="M642">
            <v>0</v>
          </cell>
          <cell r="N642">
            <v>0</v>
          </cell>
          <cell r="O642">
            <v>3.5332029999999999</v>
          </cell>
        </row>
        <row r="643">
          <cell r="B643" t="str">
            <v>Repsol</v>
          </cell>
          <cell r="K643">
            <v>0</v>
          </cell>
          <cell r="L643">
            <v>0</v>
          </cell>
          <cell r="M643">
            <v>0</v>
          </cell>
          <cell r="N643">
            <v>1.750742</v>
          </cell>
          <cell r="R643">
            <v>2.0630139999999999</v>
          </cell>
        </row>
        <row r="644">
          <cell r="B644" t="str">
            <v>Repsol</v>
          </cell>
          <cell r="K644">
            <v>0.31598779999999999</v>
          </cell>
          <cell r="L644">
            <v>0</v>
          </cell>
          <cell r="M644">
            <v>0.55856419999999996</v>
          </cell>
          <cell r="N644">
            <v>1.583998</v>
          </cell>
          <cell r="O644">
            <v>0.29425020000000002</v>
          </cell>
          <cell r="Q644">
            <v>0.66830590000000001</v>
          </cell>
          <cell r="R644">
            <v>1.5228139999999999</v>
          </cell>
        </row>
        <row r="645">
          <cell r="B645" t="str">
            <v>Repsol</v>
          </cell>
          <cell r="K645">
            <v>0.42364649999999998</v>
          </cell>
          <cell r="L645">
            <v>0</v>
          </cell>
          <cell r="M645">
            <v>0.28419450000000002</v>
          </cell>
          <cell r="N645">
            <v>0.87016450000000001</v>
          </cell>
          <cell r="O645">
            <v>0.44196160000000001</v>
          </cell>
          <cell r="Q645">
            <v>0.2673024</v>
          </cell>
          <cell r="R645">
            <v>0.81844380000000005</v>
          </cell>
        </row>
        <row r="646">
          <cell r="B646" t="str">
            <v>Repsol</v>
          </cell>
          <cell r="K646">
            <v>1.152291</v>
          </cell>
          <cell r="L646">
            <v>0</v>
          </cell>
          <cell r="M646">
            <v>0</v>
          </cell>
          <cell r="N646">
            <v>7.7457520000000002E-2</v>
          </cell>
          <cell r="O646">
            <v>0.85003200000000001</v>
          </cell>
          <cell r="R646">
            <v>5.7139559999999999E-2</v>
          </cell>
        </row>
        <row r="647">
          <cell r="B647" t="str">
            <v>Repsol</v>
          </cell>
          <cell r="K647">
            <v>0</v>
          </cell>
          <cell r="L647">
            <v>0</v>
          </cell>
          <cell r="M647">
            <v>0</v>
          </cell>
          <cell r="N647">
            <v>0</v>
          </cell>
          <cell r="O647">
            <v>2.4172440000000002</v>
          </cell>
        </row>
        <row r="648">
          <cell r="B648" t="str">
            <v>Repsol</v>
          </cell>
          <cell r="K648">
            <v>0.47849380000000002</v>
          </cell>
          <cell r="L648">
            <v>0</v>
          </cell>
          <cell r="M648">
            <v>0</v>
          </cell>
          <cell r="N648">
            <v>0</v>
          </cell>
          <cell r="O648">
            <v>0.46901969999999998</v>
          </cell>
        </row>
        <row r="649">
          <cell r="B649" t="str">
            <v>Repsol</v>
          </cell>
          <cell r="K649">
            <v>0.33244889999999999</v>
          </cell>
          <cell r="L649">
            <v>0</v>
          </cell>
          <cell r="M649">
            <v>1.7892000000000001E-5</v>
          </cell>
          <cell r="N649">
            <v>9.9638720000000004E-3</v>
          </cell>
          <cell r="O649">
            <v>0.29589929999999998</v>
          </cell>
          <cell r="Q649">
            <v>1.593123E-5</v>
          </cell>
          <cell r="R649">
            <v>8.8771660000000006E-3</v>
          </cell>
        </row>
        <row r="650">
          <cell r="B650" t="str">
            <v>Repsol</v>
          </cell>
          <cell r="K650">
            <v>4.4498629999999997E-2</v>
          </cell>
          <cell r="L650">
            <v>0</v>
          </cell>
          <cell r="M650">
            <v>5.0332189999999999E-2</v>
          </cell>
          <cell r="N650">
            <v>0.2089452</v>
          </cell>
          <cell r="O650">
            <v>8.1761639999999997E-2</v>
          </cell>
          <cell r="Q650">
            <v>4.4117259999999998E-2</v>
          </cell>
          <cell r="R650">
            <v>0.18314520000000001</v>
          </cell>
        </row>
        <row r="651">
          <cell r="B651" t="str">
            <v>Repsol</v>
          </cell>
          <cell r="K651">
            <v>0</v>
          </cell>
          <cell r="L651">
            <v>0</v>
          </cell>
          <cell r="M651">
            <v>0</v>
          </cell>
          <cell r="N651">
            <v>7.6712329999999995E-2</v>
          </cell>
          <cell r="R651">
            <v>7.5194520000000001E-2</v>
          </cell>
        </row>
        <row r="652">
          <cell r="B652" t="str">
            <v>Repsol</v>
          </cell>
          <cell r="K652">
            <v>3.2767120000000002E-3</v>
          </cell>
          <cell r="L652">
            <v>0</v>
          </cell>
          <cell r="M652">
            <v>1.552274E-3</v>
          </cell>
          <cell r="N652">
            <v>6.5589039999999999E-3</v>
          </cell>
          <cell r="O652">
            <v>5.9863019999999998E-3</v>
          </cell>
          <cell r="Q652">
            <v>1.349973E-3</v>
          </cell>
          <cell r="R652">
            <v>5.7150680000000002E-3</v>
          </cell>
        </row>
        <row r="653">
          <cell r="B653" t="str">
            <v>Repsol</v>
          </cell>
          <cell r="K653">
            <v>0</v>
          </cell>
          <cell r="L653">
            <v>0</v>
          </cell>
          <cell r="M653">
            <v>0</v>
          </cell>
          <cell r="N653">
            <v>1.428687E-2</v>
          </cell>
          <cell r="R653">
            <v>1.0639569999999999E-2</v>
          </cell>
        </row>
        <row r="654">
          <cell r="B654" t="str">
            <v>Repsol</v>
          </cell>
          <cell r="K654">
            <v>0</v>
          </cell>
          <cell r="L654">
            <v>0</v>
          </cell>
          <cell r="M654">
            <v>0</v>
          </cell>
          <cell r="N654">
            <v>0</v>
          </cell>
          <cell r="O654">
            <v>0</v>
          </cell>
          <cell r="Q654">
            <v>0</v>
          </cell>
          <cell r="R654">
            <v>0</v>
          </cell>
        </row>
        <row r="655">
          <cell r="B655" t="str">
            <v>Repsol</v>
          </cell>
          <cell r="K655">
            <v>0</v>
          </cell>
          <cell r="L655">
            <v>0</v>
          </cell>
          <cell r="M655">
            <v>0</v>
          </cell>
          <cell r="N655">
            <v>0</v>
          </cell>
          <cell r="R655">
            <v>0</v>
          </cell>
        </row>
        <row r="656">
          <cell r="B656" t="str">
            <v>Canadian Natural Resources (CNRL)</v>
          </cell>
          <cell r="K656">
            <v>807.92570000000001</v>
          </cell>
          <cell r="L656">
            <v>9.0142470000000002E-2</v>
          </cell>
          <cell r="M656">
            <v>27.0137</v>
          </cell>
          <cell r="N656">
            <v>241.23009999999999</v>
          </cell>
          <cell r="O656">
            <v>861.4</v>
          </cell>
          <cell r="P656">
            <v>9.5564369999999996E-2</v>
          </cell>
          <cell r="Q656">
            <v>23.095610000000001</v>
          </cell>
          <cell r="R656">
            <v>218.00919999999999</v>
          </cell>
        </row>
        <row r="657">
          <cell r="B657" t="str">
            <v>Canadian Natural Resources (CNRL)</v>
          </cell>
          <cell r="K657">
            <v>21.388110000000001</v>
          </cell>
          <cell r="L657">
            <v>0</v>
          </cell>
          <cell r="M657">
            <v>0</v>
          </cell>
          <cell r="N657">
            <v>3.0973869999999999</v>
          </cell>
          <cell r="O657">
            <v>19.281749999999999</v>
          </cell>
          <cell r="R657">
            <v>1.5887180000000001</v>
          </cell>
        </row>
        <row r="658">
          <cell r="B658" t="str">
            <v>Canadian Natural Resources (CNRL)</v>
          </cell>
          <cell r="K658">
            <v>5.336557</v>
          </cell>
          <cell r="L658">
            <v>0</v>
          </cell>
          <cell r="M658">
            <v>0</v>
          </cell>
          <cell r="N658">
            <v>2.0896159999999999</v>
          </cell>
          <cell r="O658">
            <v>3.4802430000000002</v>
          </cell>
          <cell r="R658">
            <v>1.612795</v>
          </cell>
        </row>
        <row r="659">
          <cell r="B659" t="str">
            <v>Canadian Natural Resources (CNRL)</v>
          </cell>
          <cell r="K659">
            <v>16.856190000000002</v>
          </cell>
          <cell r="L659">
            <v>0</v>
          </cell>
          <cell r="M659">
            <v>9.4179029999999997E-2</v>
          </cell>
          <cell r="N659">
            <v>0.91930199999999995</v>
          </cell>
          <cell r="O659">
            <v>14.6997</v>
          </cell>
          <cell r="Q659">
            <v>0.2052958</v>
          </cell>
          <cell r="R659">
            <v>0.82897650000000001</v>
          </cell>
        </row>
        <row r="660">
          <cell r="B660" t="str">
            <v>Canadian Natural Resources (CNRL)</v>
          </cell>
          <cell r="K660">
            <v>5.6627070000000002</v>
          </cell>
          <cell r="L660">
            <v>0</v>
          </cell>
          <cell r="M660">
            <v>8.4810949999999995E-4</v>
          </cell>
          <cell r="N660">
            <v>1.53094</v>
          </cell>
          <cell r="O660">
            <v>5.2028569999999998</v>
          </cell>
          <cell r="Q660">
            <v>0</v>
          </cell>
          <cell r="R660">
            <v>1.3257559999999999</v>
          </cell>
        </row>
        <row r="661">
          <cell r="B661" t="str">
            <v>Canadian Natural Resources (CNRL)</v>
          </cell>
          <cell r="K661">
            <v>2.4355920000000002</v>
          </cell>
          <cell r="L661">
            <v>0</v>
          </cell>
          <cell r="M661">
            <v>1.460849E-3</v>
          </cell>
          <cell r="N661">
            <v>0.57011500000000004</v>
          </cell>
          <cell r="O661">
            <v>1.9714579999999999</v>
          </cell>
          <cell r="Q661">
            <v>0</v>
          </cell>
          <cell r="R661">
            <v>0.2509014</v>
          </cell>
        </row>
        <row r="662">
          <cell r="B662" t="str">
            <v>Canadian Natural Resources (CNRL)</v>
          </cell>
          <cell r="K662">
            <v>0.44695049999999997</v>
          </cell>
          <cell r="L662">
            <v>0</v>
          </cell>
          <cell r="M662">
            <v>3.6300740000000001E-3</v>
          </cell>
          <cell r="N662">
            <v>0.39544610000000002</v>
          </cell>
          <cell r="O662">
            <v>0.34823490000000001</v>
          </cell>
          <cell r="Q662">
            <v>8.5368939999999997E-3</v>
          </cell>
          <cell r="R662">
            <v>0.33504919999999999</v>
          </cell>
        </row>
        <row r="663">
          <cell r="B663" t="str">
            <v>Canadian Natural Resources (CNRL)</v>
          </cell>
          <cell r="K663">
            <v>7.0135680000000002</v>
          </cell>
          <cell r="L663">
            <v>0</v>
          </cell>
          <cell r="M663">
            <v>1.2424030000000001E-2</v>
          </cell>
          <cell r="N663">
            <v>0.28381640000000002</v>
          </cell>
          <cell r="O663">
            <v>6.5126179999999998</v>
          </cell>
          <cell r="Q663">
            <v>1.217699E-2</v>
          </cell>
          <cell r="R663">
            <v>0.24198359999999999</v>
          </cell>
        </row>
        <row r="664">
          <cell r="B664" t="str">
            <v>Canadian Natural Resources (CNRL)</v>
          </cell>
          <cell r="K664">
            <v>1.6369629999999999</v>
          </cell>
          <cell r="L664">
            <v>0</v>
          </cell>
          <cell r="M664">
            <v>0.1169669</v>
          </cell>
          <cell r="N664">
            <v>3.8125100000000001</v>
          </cell>
          <cell r="O664">
            <v>1.314451</v>
          </cell>
          <cell r="Q664">
            <v>0.1136103</v>
          </cell>
          <cell r="R664">
            <v>3.2568600000000001</v>
          </cell>
        </row>
        <row r="665">
          <cell r="B665" t="str">
            <v>Canadian Natural Resources (CNRL)</v>
          </cell>
          <cell r="K665">
            <v>0</v>
          </cell>
          <cell r="L665">
            <v>0</v>
          </cell>
          <cell r="M665">
            <v>0</v>
          </cell>
          <cell r="N665">
            <v>0</v>
          </cell>
        </row>
        <row r="666">
          <cell r="B666" t="str">
            <v>Canadian Natural Resources (CNRL)</v>
          </cell>
          <cell r="K666">
            <v>1.358904E-3</v>
          </cell>
          <cell r="L666">
            <v>0</v>
          </cell>
          <cell r="M666">
            <v>1.328575E-3</v>
          </cell>
          <cell r="N666">
            <v>1.1878079999999999E-2</v>
          </cell>
          <cell r="O666">
            <v>9.1643840000000002E-4</v>
          </cell>
          <cell r="Q666">
            <v>1.0367950000000001E-3</v>
          </cell>
          <cell r="R666">
            <v>1.0686299999999999E-2</v>
          </cell>
        </row>
        <row r="667">
          <cell r="B667" t="str">
            <v>EP Energy Corporation (EPEGQ)</v>
          </cell>
          <cell r="K667">
            <v>24.859770000000001</v>
          </cell>
          <cell r="L667">
            <v>4.4735649999999998</v>
          </cell>
          <cell r="M667">
            <v>5.3013339999999998</v>
          </cell>
          <cell r="N667">
            <v>7.2222210000000002</v>
          </cell>
          <cell r="O667">
            <v>17.968389999999999</v>
          </cell>
          <cell r="P667">
            <v>3.1905100000000002</v>
          </cell>
          <cell r="Q667">
            <v>4.3623469999999998</v>
          </cell>
          <cell r="R667">
            <v>5.629321</v>
          </cell>
        </row>
        <row r="668">
          <cell r="B668" t="str">
            <v>EP Energy Corporation (EPEGQ)</v>
          </cell>
          <cell r="K668">
            <v>8.2191779999999994</v>
          </cell>
          <cell r="L668">
            <v>0</v>
          </cell>
          <cell r="M668">
            <v>6.7109579999999998</v>
          </cell>
          <cell r="N668">
            <v>10.136990000000001</v>
          </cell>
          <cell r="O668">
            <v>9.4273589999999992</v>
          </cell>
          <cell r="Q668">
            <v>4.1833920000000004</v>
          </cell>
          <cell r="R668">
            <v>8.2489399999999993</v>
          </cell>
        </row>
        <row r="669">
          <cell r="B669" t="str">
            <v>EP Energy Corporation (EPEGQ)</v>
          </cell>
          <cell r="K669">
            <v>2.1819180000000001E-2</v>
          </cell>
          <cell r="L669">
            <v>0</v>
          </cell>
          <cell r="M669">
            <v>8.3254780000000005E-4</v>
          </cell>
          <cell r="N669">
            <v>1.0575340000000001E-2</v>
          </cell>
          <cell r="O669">
            <v>1.950959E-2</v>
          </cell>
          <cell r="Q669">
            <v>7.4501359999999998E-4</v>
          </cell>
          <cell r="R669">
            <v>9.4547940000000007E-3</v>
          </cell>
        </row>
        <row r="670">
          <cell r="B670" t="str">
            <v>EP Energy Corporation (EPEGQ)</v>
          </cell>
          <cell r="K670">
            <v>12.12045</v>
          </cell>
          <cell r="L670">
            <v>0</v>
          </cell>
          <cell r="M670">
            <v>0</v>
          </cell>
          <cell r="N670">
            <v>5.9078299999999997</v>
          </cell>
          <cell r="O670">
            <v>13.8544</v>
          </cell>
          <cell r="R670">
            <v>6.0289570000000001</v>
          </cell>
        </row>
        <row r="671">
          <cell r="B671" t="str">
            <v>Obsidian Energy Ltd. (OBELF)</v>
          </cell>
          <cell r="K671">
            <v>16.60378</v>
          </cell>
          <cell r="L671">
            <v>8.3457539999999997E-2</v>
          </cell>
          <cell r="M671">
            <v>1.473122</v>
          </cell>
          <cell r="N671">
            <v>8.4135679999999997</v>
          </cell>
          <cell r="O671">
            <v>17.054960000000001</v>
          </cell>
          <cell r="P671">
            <v>8.2926029999999998E-2</v>
          </cell>
          <cell r="Q671">
            <v>1.3884639999999999</v>
          </cell>
          <cell r="R671">
            <v>7.4464410000000001</v>
          </cell>
        </row>
        <row r="672">
          <cell r="B672" t="str">
            <v>Talos Energy Inc. (TALO)</v>
          </cell>
          <cell r="K672">
            <v>1.2611863223828066</v>
          </cell>
          <cell r="L672">
            <v>1.5232552940000001</v>
          </cell>
          <cell r="M672">
            <v>3.9745729220655918E-2</v>
          </cell>
          <cell r="N672">
            <v>0.36303201616147446</v>
          </cell>
          <cell r="O672">
            <v>1.4317800000000001</v>
          </cell>
          <cell r="Q672">
            <v>1.2382789999999999E-2</v>
          </cell>
          <cell r="R672">
            <v>0.44429950000000001</v>
          </cell>
        </row>
        <row r="673">
          <cell r="B673" t="str">
            <v>Talos Energy Inc. (TALO)</v>
          </cell>
          <cell r="K673">
            <v>28.609028341442361</v>
          </cell>
          <cell r="L673">
            <v>1.5232552940000001</v>
          </cell>
          <cell r="M673">
            <v>1.7003424624861756</v>
          </cell>
          <cell r="N673">
            <v>6.525747593103989</v>
          </cell>
          <cell r="O673">
            <v>33.04636</v>
          </cell>
          <cell r="P673">
            <v>0.18643370000000001</v>
          </cell>
          <cell r="Q673">
            <v>0.44749800000000001</v>
          </cell>
          <cell r="R673">
            <v>8.7790719999999993</v>
          </cell>
        </row>
        <row r="674">
          <cell r="B674" t="str">
            <v>Talos Energy Inc. (TALO)</v>
          </cell>
          <cell r="K674">
            <v>3.0716614249728225</v>
          </cell>
          <cell r="L674">
            <v>1.5232552940000001</v>
          </cell>
          <cell r="M674">
            <v>0.31924393035941306</v>
          </cell>
          <cell r="N674">
            <v>0.42584126982973963</v>
          </cell>
          <cell r="O674">
            <v>3.188075</v>
          </cell>
          <cell r="P674">
            <v>1.5716730000000002E-2</v>
          </cell>
          <cell r="Q674">
            <v>7.3980539999999997E-2</v>
          </cell>
          <cell r="R674">
            <v>0.4399787</v>
          </cell>
        </row>
        <row r="675">
          <cell r="B675" t="str">
            <v>Talos Energy Inc. (TALO)</v>
          </cell>
          <cell r="K675">
            <v>3.9271113482962754</v>
          </cell>
          <cell r="L675">
            <v>1.5232552940000001</v>
          </cell>
          <cell r="M675">
            <v>1.1571627231221622</v>
          </cell>
          <cell r="N675">
            <v>3.1187633763627702</v>
          </cell>
          <cell r="O675">
            <v>3.8188550000000001</v>
          </cell>
          <cell r="P675">
            <v>1.049879</v>
          </cell>
          <cell r="Q675">
            <v>0.3489835</v>
          </cell>
          <cell r="R675">
            <v>3.7710319999999999</v>
          </cell>
        </row>
        <row r="676">
          <cell r="B676" t="str">
            <v>Talos Energy Inc. (TALO)</v>
          </cell>
          <cell r="K676">
            <v>0.87605490977571721</v>
          </cell>
          <cell r="L676">
            <v>1.5232552940000001</v>
          </cell>
          <cell r="M676">
            <v>0</v>
          </cell>
          <cell r="N676">
            <v>9.8825742779987992E-3</v>
          </cell>
          <cell r="O676">
            <v>0.68142740000000002</v>
          </cell>
          <cell r="R676">
            <v>1.132055E-2</v>
          </cell>
        </row>
        <row r="677">
          <cell r="B677" t="str">
            <v>Talos Energy Inc. (TALO)</v>
          </cell>
          <cell r="K677">
            <v>9.4211840878996062E-2</v>
          </cell>
          <cell r="L677">
            <v>1.5232552940000001</v>
          </cell>
          <cell r="M677">
            <v>0.13646230954126826</v>
          </cell>
          <cell r="N677">
            <v>8.2885491153343163E-2</v>
          </cell>
          <cell r="O677">
            <v>9.9238359999999998E-2</v>
          </cell>
          <cell r="P677">
            <v>3.6087670000000002E-2</v>
          </cell>
          <cell r="Q677">
            <v>4.270115E-2</v>
          </cell>
          <cell r="R677">
            <v>0.1052548</v>
          </cell>
        </row>
        <row r="678">
          <cell r="B678" t="str">
            <v>Talos Energy Inc. (TALO)</v>
          </cell>
          <cell r="K678">
            <v>4.4217206475166117E-2</v>
          </cell>
          <cell r="L678">
            <v>1.5232552940000001</v>
          </cell>
          <cell r="M678">
            <v>1.1426406914160515E-2</v>
          </cell>
          <cell r="N678">
            <v>0.11511062415227744</v>
          </cell>
          <cell r="O678">
            <v>4.8380819999999998E-2</v>
          </cell>
          <cell r="P678">
            <v>0</v>
          </cell>
          <cell r="Q678">
            <v>2.639644E-3</v>
          </cell>
          <cell r="R678">
            <v>0.15783839999999999</v>
          </cell>
        </row>
        <row r="679">
          <cell r="B679" t="str">
            <v>Talos Energy Inc. (TALO)</v>
          </cell>
          <cell r="K679">
            <v>5.3514907145719638E-2</v>
          </cell>
          <cell r="L679">
            <v>1.5232552940000001</v>
          </cell>
          <cell r="M679">
            <v>0</v>
          </cell>
          <cell r="N679">
            <v>7.461873784996633E-4</v>
          </cell>
          <cell r="O679">
            <v>0.16082469999999999</v>
          </cell>
          <cell r="P679">
            <v>6.7726030000000003E-3</v>
          </cell>
          <cell r="R679">
            <v>1.690411E-3</v>
          </cell>
        </row>
        <row r="680">
          <cell r="B680" t="str">
            <v>WPX Energy, Inc. (WPX)</v>
          </cell>
          <cell r="K680">
            <v>39.946857850787865</v>
          </cell>
          <cell r="L680">
            <v>0</v>
          </cell>
          <cell r="M680">
            <v>16.404599675320799</v>
          </cell>
          <cell r="N680">
            <v>24.889530698824128</v>
          </cell>
          <cell r="O680">
            <v>93.81071</v>
          </cell>
          <cell r="Q680">
            <v>18.341830000000002</v>
          </cell>
          <cell r="R680">
            <v>36.781950000000002</v>
          </cell>
        </row>
        <row r="681">
          <cell r="B681" t="str">
            <v>WPX Energy, Inc. (WPX)</v>
          </cell>
          <cell r="K681">
            <v>6.9292124206696677</v>
          </cell>
          <cell r="L681">
            <v>0</v>
          </cell>
          <cell r="M681">
            <v>3.6726298721314024</v>
          </cell>
          <cell r="N681">
            <v>4.9766510827082842</v>
          </cell>
          <cell r="O681">
            <v>8.4605530000000009</v>
          </cell>
          <cell r="Q681">
            <v>2.5885199999999999</v>
          </cell>
          <cell r="R681">
            <v>5.5933210000000004</v>
          </cell>
        </row>
        <row r="682">
          <cell r="B682" t="str">
            <v>WPX Energy, Inc. (WPX)</v>
          </cell>
          <cell r="K682">
            <v>0.83243752265257343</v>
          </cell>
          <cell r="L682">
            <v>0</v>
          </cell>
          <cell r="M682">
            <v>0.10328362903032981</v>
          </cell>
          <cell r="N682">
            <v>0.15948140787958223</v>
          </cell>
          <cell r="O682">
            <v>0.92118630000000001</v>
          </cell>
          <cell r="Q682">
            <v>6.7082359999999994E-2</v>
          </cell>
          <cell r="R682">
            <v>0.16533970000000001</v>
          </cell>
        </row>
        <row r="683">
          <cell r="B683" t="str">
            <v>WPX Energy, Inc. (WPX)</v>
          </cell>
          <cell r="K683">
            <v>55.913410014109083</v>
          </cell>
          <cell r="L683">
            <v>0</v>
          </cell>
          <cell r="M683">
            <v>7.3345553166681512</v>
          </cell>
          <cell r="N683">
            <v>5.7524190023688249</v>
          </cell>
          <cell r="O683">
            <v>74.040120000000002</v>
          </cell>
          <cell r="Q683">
            <v>5.700202</v>
          </cell>
          <cell r="R683">
            <v>7.1364000000000001</v>
          </cell>
        </row>
        <row r="684">
          <cell r="B684" t="str">
            <v>WPX Energy, Inc. (WPX)</v>
          </cell>
          <cell r="K684">
            <v>0</v>
          </cell>
          <cell r="L684">
            <v>0</v>
          </cell>
          <cell r="M684">
            <v>0</v>
          </cell>
          <cell r="N684">
            <v>0</v>
          </cell>
        </row>
        <row r="685">
          <cell r="B685" t="str">
            <v>ARC Resources Ltd. (ARX.TO)</v>
          </cell>
          <cell r="K685">
            <v>17.567119999999999</v>
          </cell>
          <cell r="L685">
            <v>1.835616E-2</v>
          </cell>
          <cell r="M685">
            <v>12.523239999999999</v>
          </cell>
          <cell r="N685">
            <v>103.8841</v>
          </cell>
          <cell r="O685">
            <v>17.661639999999998</v>
          </cell>
          <cell r="P685">
            <v>1.230411E-2</v>
          </cell>
          <cell r="Q685">
            <v>10.349270000000001</v>
          </cell>
          <cell r="R685">
            <v>109.51819999999999</v>
          </cell>
        </row>
        <row r="686">
          <cell r="B686" t="str">
            <v>SM Energy Company (SM)</v>
          </cell>
          <cell r="K686">
            <v>51.328154200532929</v>
          </cell>
          <cell r="L686">
            <v>0</v>
          </cell>
          <cell r="M686">
            <v>0.2064234210248819</v>
          </cell>
          <cell r="N686">
            <v>9.0799317896928589</v>
          </cell>
          <cell r="O686">
            <v>80.838359999999994</v>
          </cell>
          <cell r="Q686">
            <v>0.1765002</v>
          </cell>
          <cell r="R686">
            <v>15.52969</v>
          </cell>
        </row>
        <row r="687">
          <cell r="B687" t="str">
            <v>SM Energy Company (SM)</v>
          </cell>
          <cell r="K687">
            <v>5.4620851091009328</v>
          </cell>
          <cell r="L687">
            <v>0</v>
          </cell>
          <cell r="M687">
            <v>0</v>
          </cell>
          <cell r="N687">
            <v>2.0477905297409422</v>
          </cell>
          <cell r="O687">
            <v>7.4651509999999996</v>
          </cell>
          <cell r="R687">
            <v>3.0491450000000002</v>
          </cell>
        </row>
        <row r="688">
          <cell r="B688" t="str">
            <v>SM Energy Company (SM)</v>
          </cell>
          <cell r="K688">
            <v>0.38554705949617873</v>
          </cell>
          <cell r="L688">
            <v>0</v>
          </cell>
          <cell r="M688">
            <v>0</v>
          </cell>
          <cell r="N688">
            <v>0.16653395001384291</v>
          </cell>
          <cell r="O688">
            <v>0.42634250000000001</v>
          </cell>
          <cell r="R688">
            <v>0.2006329</v>
          </cell>
        </row>
        <row r="689">
          <cell r="B689" t="str">
            <v>SM Energy Company (SM)</v>
          </cell>
          <cell r="K689">
            <v>2.7131626914183142</v>
          </cell>
          <cell r="L689">
            <v>0</v>
          </cell>
          <cell r="M689">
            <v>21.98237617294906</v>
          </cell>
          <cell r="N689">
            <v>38.825205719087528</v>
          </cell>
          <cell r="O689">
            <v>5.3388109999999998</v>
          </cell>
          <cell r="Q689">
            <v>22.74333</v>
          </cell>
          <cell r="R689">
            <v>51.608499999999999</v>
          </cell>
        </row>
        <row r="690">
          <cell r="B690" t="str">
            <v>SM Energy Company (SM)</v>
          </cell>
          <cell r="K690">
            <v>0</v>
          </cell>
          <cell r="L690">
            <v>0</v>
          </cell>
          <cell r="M690">
            <v>0</v>
          </cell>
          <cell r="N690">
            <v>0</v>
          </cell>
        </row>
        <row r="691">
          <cell r="B691" t="str">
            <v>SM Energy Company (SM)</v>
          </cell>
          <cell r="K691">
            <v>0</v>
          </cell>
          <cell r="L691">
            <v>0</v>
          </cell>
          <cell r="M691">
            <v>0</v>
          </cell>
          <cell r="N691">
            <v>0</v>
          </cell>
        </row>
        <row r="692">
          <cell r="B692" t="str">
            <v>SM Energy Company (SM)</v>
          </cell>
          <cell r="K692">
            <v>0.11105093945164188</v>
          </cell>
          <cell r="L692">
            <v>0</v>
          </cell>
          <cell r="M692">
            <v>2.9812279438693671E-3</v>
          </cell>
          <cell r="N692">
            <v>1.7524312834687115E-2</v>
          </cell>
          <cell r="O692">
            <v>0.1019848</v>
          </cell>
          <cell r="Q692">
            <v>2.3278270000000002E-3</v>
          </cell>
          <cell r="R692">
            <v>1.5764380000000001E-2</v>
          </cell>
        </row>
        <row r="693">
          <cell r="B693" t="str">
            <v>Crescent Point Energy Corp. (CPG)</v>
          </cell>
          <cell r="K693">
            <v>98.15204</v>
          </cell>
          <cell r="L693">
            <v>0</v>
          </cell>
          <cell r="M693">
            <v>9.9831749999999992</v>
          </cell>
          <cell r="N693">
            <v>9.95045</v>
          </cell>
          <cell r="O693">
            <v>95.118570000000005</v>
          </cell>
          <cell r="Q693">
            <v>9.7511650000000003</v>
          </cell>
          <cell r="R693">
            <v>9.4036430000000006</v>
          </cell>
        </row>
        <row r="694">
          <cell r="B694" t="str">
            <v>Crescent Point Energy Corp. (CPG)</v>
          </cell>
          <cell r="K694">
            <v>15.793469999999999</v>
          </cell>
          <cell r="L694">
            <v>0</v>
          </cell>
          <cell r="M694">
            <v>1.2716970000000001</v>
          </cell>
          <cell r="N694">
            <v>1.0746739999999999</v>
          </cell>
          <cell r="O694">
            <v>16.892779999999998</v>
          </cell>
          <cell r="Q694">
            <v>1.3721989999999999</v>
          </cell>
          <cell r="R694">
            <v>1.159605</v>
          </cell>
        </row>
        <row r="695">
          <cell r="B695" t="str">
            <v>Crescent Point Energy Corp. (CPG)</v>
          </cell>
          <cell r="K695">
            <v>13.33624</v>
          </cell>
          <cell r="L695">
            <v>0</v>
          </cell>
          <cell r="M695">
            <v>0.77745379999999997</v>
          </cell>
          <cell r="N695">
            <v>2.6036160000000002</v>
          </cell>
        </row>
        <row r="696">
          <cell r="B696" t="str">
            <v>Crescent Point Energy Corp. (CPG)</v>
          </cell>
          <cell r="K696">
            <v>7.5752740000000003</v>
          </cell>
          <cell r="L696">
            <v>0</v>
          </cell>
          <cell r="M696">
            <v>0.93707929999999995</v>
          </cell>
          <cell r="N696">
            <v>2.1552850000000001</v>
          </cell>
          <cell r="O696">
            <v>7.3567229999999997</v>
          </cell>
          <cell r="Q696">
            <v>0.78800650000000005</v>
          </cell>
          <cell r="R696">
            <v>1.9691590000000001</v>
          </cell>
        </row>
        <row r="697">
          <cell r="B697" t="str">
            <v>QEP Resources, Inc. (QEP)</v>
          </cell>
          <cell r="K697">
            <v>22.011678727264023</v>
          </cell>
          <cell r="L697">
            <v>0</v>
          </cell>
          <cell r="M697">
            <v>5.4340156725634969</v>
          </cell>
          <cell r="N697">
            <v>4.5468315792707683</v>
          </cell>
          <cell r="O697">
            <v>31.839459999999999</v>
          </cell>
          <cell r="Q697">
            <v>3.8862770000000002</v>
          </cell>
          <cell r="R697">
            <v>4.1514709999999999</v>
          </cell>
        </row>
        <row r="698">
          <cell r="B698" t="str">
            <v>QEP Resources, Inc. (QEP)</v>
          </cell>
          <cell r="K698">
            <v>15.109289750879807</v>
          </cell>
          <cell r="L698">
            <v>0</v>
          </cell>
          <cell r="M698">
            <v>3.1664721417895803</v>
          </cell>
          <cell r="N698">
            <v>3.4180412258132113</v>
          </cell>
          <cell r="O698">
            <v>15.592879999999999</v>
          </cell>
          <cell r="Q698">
            <v>1.586268</v>
          </cell>
          <cell r="R698">
            <v>2.2341859999999998</v>
          </cell>
        </row>
        <row r="699">
          <cell r="B699" t="str">
            <v>QEP Resources, Inc. (QEP)</v>
          </cell>
          <cell r="K699">
            <v>21.94140396761966</v>
          </cell>
          <cell r="L699">
            <v>0</v>
          </cell>
          <cell r="M699">
            <v>5.4789642404414423</v>
          </cell>
          <cell r="N699">
            <v>6.207217016717621</v>
          </cell>
          <cell r="O699">
            <v>25.403390000000002</v>
          </cell>
          <cell r="Q699">
            <v>3.6944789999999998</v>
          </cell>
          <cell r="R699">
            <v>6.8988810000000003</v>
          </cell>
        </row>
        <row r="700">
          <cell r="B700" t="str">
            <v>QEP Resources, Inc. (QEP)</v>
          </cell>
          <cell r="K700">
            <v>1.4631706748756961E-3</v>
          </cell>
          <cell r="L700">
            <v>0</v>
          </cell>
          <cell r="M700">
            <v>0</v>
          </cell>
          <cell r="N700">
            <v>0.94206542933995585</v>
          </cell>
        </row>
        <row r="701">
          <cell r="B701" t="str">
            <v>QEP Resources, Inc. (QEP)</v>
          </cell>
          <cell r="K701">
            <v>0</v>
          </cell>
          <cell r="L701">
            <v>0</v>
          </cell>
          <cell r="M701">
            <v>0</v>
          </cell>
          <cell r="N701">
            <v>0</v>
          </cell>
        </row>
        <row r="702">
          <cell r="B702" t="str">
            <v>Continental Resources</v>
          </cell>
          <cell r="K702">
            <v>193.6232</v>
          </cell>
          <cell r="L702">
            <v>0</v>
          </cell>
          <cell r="M702">
            <v>31.55124</v>
          </cell>
          <cell r="N702">
            <v>35.487670000000001</v>
          </cell>
          <cell r="O702">
            <v>186.68190000000001</v>
          </cell>
          <cell r="Q702">
            <v>31.43976</v>
          </cell>
          <cell r="R702">
            <v>35.187190000000001</v>
          </cell>
        </row>
        <row r="703">
          <cell r="B703" t="str">
            <v>Continental Resources</v>
          </cell>
          <cell r="K703">
            <v>37.454790000000003</v>
          </cell>
          <cell r="L703">
            <v>15.580819999999999</v>
          </cell>
          <cell r="M703">
            <v>45.836820000000003</v>
          </cell>
          <cell r="N703">
            <v>79.189049999999995</v>
          </cell>
          <cell r="O703">
            <v>38.174680000000002</v>
          </cell>
          <cell r="P703">
            <v>17.956029999999998</v>
          </cell>
          <cell r="Q703">
            <v>42.966889999999999</v>
          </cell>
          <cell r="R703">
            <v>74.168109999999999</v>
          </cell>
        </row>
        <row r="704">
          <cell r="B704" t="str">
            <v>Continental Resources</v>
          </cell>
          <cell r="K704">
            <v>0</v>
          </cell>
          <cell r="L704">
            <v>0.87945200000000001</v>
          </cell>
          <cell r="M704">
            <v>0.23536789999999999</v>
          </cell>
          <cell r="N704">
            <v>1.991781</v>
          </cell>
          <cell r="P704">
            <v>1.1021559999999999</v>
          </cell>
          <cell r="Q704">
            <v>0.26084230000000003</v>
          </cell>
          <cell r="R704">
            <v>2.2043119999999998</v>
          </cell>
        </row>
        <row r="705">
          <cell r="B705" t="str">
            <v>Continental Resources</v>
          </cell>
          <cell r="K705">
            <v>9.5890409999999995E-2</v>
          </cell>
          <cell r="L705">
            <v>0</v>
          </cell>
          <cell r="M705">
            <v>1.945205E-3</v>
          </cell>
          <cell r="N705">
            <v>3.2876710000000003E-2</v>
          </cell>
          <cell r="O705">
            <v>0.1179342</v>
          </cell>
          <cell r="Q705">
            <v>2.2311509999999998E-3</v>
          </cell>
          <cell r="R705">
            <v>3.6167119999999997E-2</v>
          </cell>
        </row>
        <row r="706">
          <cell r="B706" t="str">
            <v>Continental Resources</v>
          </cell>
          <cell r="K706">
            <v>3.835616E-2</v>
          </cell>
          <cell r="L706">
            <v>0</v>
          </cell>
          <cell r="M706">
            <v>0</v>
          </cell>
          <cell r="N706">
            <v>9.8630140000000005E-2</v>
          </cell>
          <cell r="O706">
            <v>3.3260270000000002E-2</v>
          </cell>
          <cell r="R706">
            <v>7.7605489999999999E-2</v>
          </cell>
        </row>
        <row r="707">
          <cell r="B707" t="str">
            <v>Continental Resources</v>
          </cell>
          <cell r="K707">
            <v>1.00274E-3</v>
          </cell>
          <cell r="L707">
            <v>1.00274E-3</v>
          </cell>
          <cell r="M707">
            <v>0</v>
          </cell>
          <cell r="N707">
            <v>0.12602740000000001</v>
          </cell>
          <cell r="O707">
            <v>0</v>
          </cell>
          <cell r="P707">
            <v>0</v>
          </cell>
          <cell r="R707">
            <v>0.1235315</v>
          </cell>
        </row>
        <row r="708">
          <cell r="B708" t="str">
            <v>PDC Energy, Inc. (PDCE)</v>
          </cell>
          <cell r="K708">
            <v>39.326926699259317</v>
          </cell>
          <cell r="L708">
            <v>4.8136980000000003E-2</v>
          </cell>
          <cell r="M708">
            <v>22.644422232640263</v>
          </cell>
          <cell r="N708">
            <v>41.640986955412458</v>
          </cell>
          <cell r="O708">
            <v>106.5309</v>
          </cell>
          <cell r="P708">
            <v>4.6576709999999997</v>
          </cell>
          <cell r="Q708">
            <v>37.79513</v>
          </cell>
          <cell r="R708">
            <v>90.632829999999998</v>
          </cell>
        </row>
        <row r="709">
          <cell r="B709" t="str">
            <v>PDC Energy, Inc. (PDCE)</v>
          </cell>
          <cell r="K709">
            <v>13.182662341836581</v>
          </cell>
          <cell r="L709">
            <v>4.8136980000000003E-2</v>
          </cell>
          <cell r="M709">
            <v>7.2816051646200108</v>
          </cell>
          <cell r="N709">
            <v>11.304218524039596</v>
          </cell>
          <cell r="O709">
            <v>16.120809999999999</v>
          </cell>
          <cell r="Q709">
            <v>5.3413649999999997</v>
          </cell>
          <cell r="R709">
            <v>12.18017</v>
          </cell>
        </row>
        <row r="710">
          <cell r="B710" t="str">
            <v>PDC Energy, Inc. (PDCE)</v>
          </cell>
          <cell r="K710">
            <v>0</v>
          </cell>
          <cell r="L710">
            <v>4.8136980000000003E-2</v>
          </cell>
          <cell r="M710">
            <v>0</v>
          </cell>
          <cell r="N710">
            <v>0</v>
          </cell>
        </row>
        <row r="711">
          <cell r="B711" t="str">
            <v>Bonterra Energy Corp. (BNE.TO)</v>
          </cell>
          <cell r="K711">
            <v>7.7254149999999999</v>
          </cell>
          <cell r="L711">
            <v>0</v>
          </cell>
          <cell r="M711">
            <v>0.40681640000000002</v>
          </cell>
          <cell r="N711">
            <v>2.8421799999999999</v>
          </cell>
          <cell r="O711">
            <v>7.4630830000000001</v>
          </cell>
          <cell r="Q711">
            <v>0.4008951</v>
          </cell>
          <cell r="R711">
            <v>2.8162929999999999</v>
          </cell>
        </row>
        <row r="712">
          <cell r="B712" t="str">
            <v>Bonterra Energy Corp. (BNE.TO)</v>
          </cell>
          <cell r="K712">
            <v>4.1405480000000001E-2</v>
          </cell>
          <cell r="L712">
            <v>0</v>
          </cell>
          <cell r="M712">
            <v>5.2656710000000004E-3</v>
          </cell>
          <cell r="N712">
            <v>0.1000877</v>
          </cell>
          <cell r="O712">
            <v>4.0131510000000002E-2</v>
          </cell>
          <cell r="Q712">
            <v>5.2656710000000004E-3</v>
          </cell>
          <cell r="R712">
            <v>6.7093150000000004E-2</v>
          </cell>
        </row>
        <row r="713">
          <cell r="B713" t="str">
            <v>Denbury Resources Inc. (DNR)</v>
          </cell>
          <cell r="K713">
            <v>25.161809999999999</v>
          </cell>
          <cell r="L713">
            <v>0</v>
          </cell>
          <cell r="M713">
            <v>0</v>
          </cell>
          <cell r="N713">
            <v>2.25863E-2</v>
          </cell>
          <cell r="O713">
            <v>20.644449999999999</v>
          </cell>
          <cell r="R713">
            <v>2.0350690000000001E-2</v>
          </cell>
        </row>
        <row r="714">
          <cell r="B714" t="str">
            <v>Denbury Resources Inc. (DNR)</v>
          </cell>
          <cell r="K714">
            <v>17.272500000000001</v>
          </cell>
          <cell r="L714">
            <v>0</v>
          </cell>
          <cell r="M714">
            <v>0</v>
          </cell>
          <cell r="N714">
            <v>0.3524986</v>
          </cell>
          <cell r="O714">
            <v>15.879149999999999</v>
          </cell>
          <cell r="R714">
            <v>0.23628769999999999</v>
          </cell>
        </row>
        <row r="715">
          <cell r="B715" t="str">
            <v>Denbury Resources Inc. (DNR)</v>
          </cell>
          <cell r="K715">
            <v>14.725070000000001</v>
          </cell>
          <cell r="L715">
            <v>0</v>
          </cell>
          <cell r="M715">
            <v>0</v>
          </cell>
          <cell r="N715">
            <v>1.2409749999999999</v>
          </cell>
          <cell r="O715">
            <v>12.21064</v>
          </cell>
          <cell r="R715">
            <v>0.64659670000000002</v>
          </cell>
        </row>
        <row r="716">
          <cell r="B716" t="str">
            <v>Denbury Resources Inc. (DNR)</v>
          </cell>
          <cell r="K716">
            <v>8.4133250000000004</v>
          </cell>
          <cell r="L716">
            <v>0</v>
          </cell>
          <cell r="M716">
            <v>0</v>
          </cell>
          <cell r="N716">
            <v>1.1536109999999999</v>
          </cell>
          <cell r="O716">
            <v>5.7658550000000002</v>
          </cell>
          <cell r="R716">
            <v>1.1274630000000001</v>
          </cell>
        </row>
        <row r="717">
          <cell r="B717" t="str">
            <v>Kinder Morgan, Inc. (KMI)</v>
          </cell>
          <cell r="K717">
            <v>24.161259999999999</v>
          </cell>
          <cell r="L717">
            <v>9.0684930000000004E-4</v>
          </cell>
          <cell r="M717">
            <v>4.5456770000000004</v>
          </cell>
          <cell r="N717">
            <v>8.5167119999999999E-2</v>
          </cell>
          <cell r="O717">
            <v>23.049499999999998</v>
          </cell>
          <cell r="P717">
            <v>0</v>
          </cell>
          <cell r="Q717">
            <v>3.6135139999999999</v>
          </cell>
          <cell r="R717">
            <v>8.1000000000000003E-2</v>
          </cell>
        </row>
        <row r="718">
          <cell r="B718" t="str">
            <v>Kinder Morgan, Inc. (KMI)</v>
          </cell>
          <cell r="K718">
            <v>16.20825</v>
          </cell>
          <cell r="L718">
            <v>9.2876709999999997E-4</v>
          </cell>
          <cell r="M718">
            <v>2.3620709999999998</v>
          </cell>
          <cell r="N718">
            <v>5.9592799999999997</v>
          </cell>
          <cell r="O718">
            <v>10.864710000000001</v>
          </cell>
          <cell r="P718">
            <v>0</v>
          </cell>
          <cell r="Q718">
            <v>1.583345</v>
          </cell>
          <cell r="R718">
            <v>3.994624</v>
          </cell>
        </row>
        <row r="719">
          <cell r="B719" t="str">
            <v>Kinder Morgan, Inc. (KMI)</v>
          </cell>
          <cell r="K719">
            <v>0</v>
          </cell>
          <cell r="L719">
            <v>0</v>
          </cell>
          <cell r="M719">
            <v>0</v>
          </cell>
          <cell r="N719">
            <v>0</v>
          </cell>
          <cell r="R719">
            <v>0</v>
          </cell>
        </row>
        <row r="720">
          <cell r="B720" t="str">
            <v>MEG Energy Corp. (MEG.TO)</v>
          </cell>
          <cell r="K720">
            <v>94.565999999999988</v>
          </cell>
          <cell r="L720">
            <v>0</v>
          </cell>
          <cell r="M720">
            <v>0</v>
          </cell>
          <cell r="N720">
            <v>0</v>
          </cell>
          <cell r="O720">
            <v>95.747540000000001</v>
          </cell>
        </row>
        <row r="721">
          <cell r="B721" t="str">
            <v>Hilcorp Energy</v>
          </cell>
          <cell r="K721">
            <v>1.250848</v>
          </cell>
          <cell r="L721">
            <v>0</v>
          </cell>
          <cell r="M721">
            <v>25.81005</v>
          </cell>
          <cell r="N721">
            <v>122.2266</v>
          </cell>
          <cell r="O721">
            <v>1.1232880000000001</v>
          </cell>
          <cell r="Q721">
            <v>23.820959999999999</v>
          </cell>
          <cell r="R721">
            <v>113.2186</v>
          </cell>
        </row>
        <row r="722">
          <cell r="B722" t="str">
            <v>Hilcorp Energy</v>
          </cell>
          <cell r="K722">
            <v>25.754429999999999</v>
          </cell>
          <cell r="L722">
            <v>1.352329E-2</v>
          </cell>
          <cell r="M722">
            <v>8.9952860000000001</v>
          </cell>
          <cell r="N722">
            <v>51.57743</v>
          </cell>
          <cell r="O722">
            <v>20.078130000000002</v>
          </cell>
          <cell r="P722">
            <v>9.2219180000000008E-3</v>
          </cell>
          <cell r="Q722">
            <v>6.4103139999999996</v>
          </cell>
          <cell r="R722">
            <v>35.702829999999999</v>
          </cell>
        </row>
        <row r="723">
          <cell r="B723" t="str">
            <v>Hilcorp Energy</v>
          </cell>
          <cell r="K723">
            <v>6.8927550000000002</v>
          </cell>
          <cell r="L723">
            <v>0</v>
          </cell>
          <cell r="M723">
            <v>0</v>
          </cell>
          <cell r="N723">
            <v>7.7566319999999997</v>
          </cell>
          <cell r="O723">
            <v>6.4579029999999999</v>
          </cell>
          <cell r="R723">
            <v>7.1851390000000004</v>
          </cell>
        </row>
        <row r="724">
          <cell r="B724" t="str">
            <v>Hilcorp Energy</v>
          </cell>
          <cell r="K724">
            <v>1.7928409999999999</v>
          </cell>
          <cell r="L724">
            <v>0</v>
          </cell>
          <cell r="M724">
            <v>0</v>
          </cell>
          <cell r="N724">
            <v>13.463850000000001</v>
          </cell>
          <cell r="O724">
            <v>1.7004360000000001</v>
          </cell>
          <cell r="R724">
            <v>10.65753</v>
          </cell>
        </row>
        <row r="725">
          <cell r="B725" t="str">
            <v>Hilcorp Energy</v>
          </cell>
          <cell r="K725">
            <v>11.166169999999999</v>
          </cell>
          <cell r="L725">
            <v>0</v>
          </cell>
          <cell r="M725">
            <v>1.8989419999999999</v>
          </cell>
          <cell r="N725">
            <v>3.276221</v>
          </cell>
          <cell r="O725">
            <v>10.636670000000001</v>
          </cell>
          <cell r="Q725">
            <v>1.632026</v>
          </cell>
          <cell r="R725">
            <v>2.9903089999999999</v>
          </cell>
        </row>
        <row r="726">
          <cell r="B726" t="str">
            <v>Hilcorp Energy</v>
          </cell>
          <cell r="K726">
            <v>12.7706</v>
          </cell>
          <cell r="L726">
            <v>0</v>
          </cell>
          <cell r="M726">
            <v>0</v>
          </cell>
          <cell r="N726">
            <v>0.63590270000000004</v>
          </cell>
          <cell r="O726">
            <v>12.22274</v>
          </cell>
          <cell r="R726">
            <v>0.55431649999999999</v>
          </cell>
        </row>
        <row r="727">
          <cell r="B727" t="str">
            <v>Hilcorp Energy</v>
          </cell>
          <cell r="K727">
            <v>0</v>
          </cell>
          <cell r="L727">
            <v>0.19777259999999999</v>
          </cell>
          <cell r="M727">
            <v>2.59321</v>
          </cell>
          <cell r="N727">
            <v>17.081759999999999</v>
          </cell>
          <cell r="P727">
            <v>0.40127940000000001</v>
          </cell>
          <cell r="Q727">
            <v>3.0785629999999999</v>
          </cell>
          <cell r="R727">
            <v>19.227799999999998</v>
          </cell>
        </row>
        <row r="728">
          <cell r="B728" t="str">
            <v>Hilcorp Energy</v>
          </cell>
          <cell r="K728">
            <v>0.5116986</v>
          </cell>
          <cell r="L728">
            <v>0</v>
          </cell>
          <cell r="M728">
            <v>0.42969980000000002</v>
          </cell>
          <cell r="N728">
            <v>10.70059</v>
          </cell>
          <cell r="O728">
            <v>0.49938349999999998</v>
          </cell>
          <cell r="Q728">
            <v>0.3283507</v>
          </cell>
          <cell r="R728">
            <v>9.8220050000000008</v>
          </cell>
        </row>
        <row r="729">
          <cell r="B729" t="str">
            <v>Hilcorp Energy</v>
          </cell>
          <cell r="K729">
            <v>0.46614250000000002</v>
          </cell>
          <cell r="L729">
            <v>0</v>
          </cell>
          <cell r="M729">
            <v>0.74123600000000001</v>
          </cell>
          <cell r="N729">
            <v>5.8230909999999998</v>
          </cell>
          <cell r="O729">
            <v>0.43341099999999999</v>
          </cell>
          <cell r="Q729">
            <v>0.64164160000000003</v>
          </cell>
          <cell r="R729">
            <v>4.8516159999999999</v>
          </cell>
        </row>
        <row r="730">
          <cell r="B730" t="str">
            <v>Hilcorp Energy</v>
          </cell>
          <cell r="K730">
            <v>0.1249589</v>
          </cell>
          <cell r="L730">
            <v>0.93948220000000005</v>
          </cell>
          <cell r="M730">
            <v>5.2145120000000003E-2</v>
          </cell>
          <cell r="N730">
            <v>0.76109309999999997</v>
          </cell>
          <cell r="O730">
            <v>0.12248489999999999</v>
          </cell>
          <cell r="P730">
            <v>0.62975349999999997</v>
          </cell>
          <cell r="Q730">
            <v>3.4951450000000002E-2</v>
          </cell>
          <cell r="R730">
            <v>0.5101753</v>
          </cell>
        </row>
        <row r="731">
          <cell r="B731" t="str">
            <v>Hilcorp Energy</v>
          </cell>
          <cell r="K731">
            <v>0</v>
          </cell>
          <cell r="L731">
            <v>0</v>
          </cell>
          <cell r="M731">
            <v>0</v>
          </cell>
          <cell r="N731">
            <v>0</v>
          </cell>
        </row>
        <row r="732">
          <cell r="B732" t="str">
            <v>Concho Resources</v>
          </cell>
          <cell r="K732">
            <v>97.095889999999997</v>
          </cell>
          <cell r="L732">
            <v>0</v>
          </cell>
          <cell r="M732">
            <v>0</v>
          </cell>
          <cell r="N732">
            <v>62.613700000000001</v>
          </cell>
          <cell r="O732">
            <v>103.47020000000001</v>
          </cell>
          <cell r="R732">
            <v>64.807829999999996</v>
          </cell>
        </row>
        <row r="733">
          <cell r="B733" t="str">
            <v>Concho Resources</v>
          </cell>
          <cell r="K733">
            <v>91.295879999999997</v>
          </cell>
          <cell r="L733">
            <v>0</v>
          </cell>
          <cell r="M733">
            <v>1.6273489999999999</v>
          </cell>
          <cell r="N733">
            <v>37.345210000000002</v>
          </cell>
          <cell r="O733">
            <v>97.580640000000002</v>
          </cell>
          <cell r="Q733">
            <v>1.895548</v>
          </cell>
          <cell r="R733">
            <v>35.770530000000001</v>
          </cell>
        </row>
        <row r="734">
          <cell r="B734" t="str">
            <v>Concho Resources</v>
          </cell>
          <cell r="K734">
            <v>53.589039999999997</v>
          </cell>
          <cell r="L734">
            <v>0</v>
          </cell>
          <cell r="M734">
            <v>0</v>
          </cell>
          <cell r="N734">
            <v>29.728770000000001</v>
          </cell>
          <cell r="O734">
            <v>50.427720000000001</v>
          </cell>
          <cell r="R734">
            <v>27.153390000000002</v>
          </cell>
        </row>
        <row r="735">
          <cell r="B735" t="str">
            <v>Concho Resources</v>
          </cell>
          <cell r="K735">
            <v>11.537050000000001</v>
          </cell>
          <cell r="L735">
            <v>0</v>
          </cell>
          <cell r="M735">
            <v>0</v>
          </cell>
          <cell r="N735">
            <v>11.20736</v>
          </cell>
        </row>
        <row r="736">
          <cell r="B736" t="str">
            <v>Concho Resources</v>
          </cell>
          <cell r="K736">
            <v>8.0191780000000001</v>
          </cell>
          <cell r="L736">
            <v>0</v>
          </cell>
          <cell r="M736">
            <v>0.36411329999999997</v>
          </cell>
          <cell r="N736">
            <v>6.0356170000000002</v>
          </cell>
          <cell r="O736">
            <v>6.4884550000000001</v>
          </cell>
          <cell r="Q736">
            <v>0.3232834</v>
          </cell>
          <cell r="R736">
            <v>4.4394679999999997</v>
          </cell>
        </row>
        <row r="737">
          <cell r="B737" t="str">
            <v>Whitecap Resources Inc. (WCP.TO)</v>
          </cell>
          <cell r="K737">
            <v>34.591180000000001</v>
          </cell>
          <cell r="L737">
            <v>0.12839729999999999</v>
          </cell>
          <cell r="M737">
            <v>1.533534</v>
          </cell>
          <cell r="N737">
            <v>9.3654890000000002</v>
          </cell>
          <cell r="O737">
            <v>33.973820000000003</v>
          </cell>
          <cell r="P737">
            <v>0.1222438</v>
          </cell>
          <cell r="Q737">
            <v>1.475249</v>
          </cell>
          <cell r="R737">
            <v>9.3031559999999995</v>
          </cell>
        </row>
        <row r="738">
          <cell r="B738" t="str">
            <v>Whitecap Resources Inc. (WCP.TO)</v>
          </cell>
          <cell r="K738">
            <v>26.123360000000002</v>
          </cell>
          <cell r="L738">
            <v>0</v>
          </cell>
          <cell r="M738">
            <v>0</v>
          </cell>
          <cell r="N738">
            <v>0.21741640000000001</v>
          </cell>
          <cell r="O738">
            <v>25.902629999999998</v>
          </cell>
          <cell r="R738">
            <v>0.2003549</v>
          </cell>
        </row>
        <row r="739">
          <cell r="B739" t="str">
            <v>Cenovus Energy</v>
          </cell>
          <cell r="K739">
            <v>358.96499999999997</v>
          </cell>
          <cell r="L739">
            <v>0.20273969999999999</v>
          </cell>
          <cell r="M739">
            <v>15.45152</v>
          </cell>
          <cell r="N739">
            <v>70.837590000000006</v>
          </cell>
          <cell r="O739">
            <v>366.57350000000002</v>
          </cell>
          <cell r="P739">
            <v>0.19875889999999999</v>
          </cell>
          <cell r="Q739">
            <v>14.236470000000001</v>
          </cell>
          <cell r="R739">
            <v>64.111050000000006</v>
          </cell>
        </row>
        <row r="740">
          <cell r="B740" t="str">
            <v>Cenovus Energy</v>
          </cell>
          <cell r="K740">
            <v>1.2052219999999999E-3</v>
          </cell>
          <cell r="L740">
            <v>0</v>
          </cell>
          <cell r="M740">
            <v>0</v>
          </cell>
          <cell r="N740">
            <v>0</v>
          </cell>
          <cell r="O740">
            <v>1.168086E-3</v>
          </cell>
        </row>
        <row r="741">
          <cell r="B741" t="str">
            <v>Ovintiv</v>
          </cell>
          <cell r="K741">
            <v>0</v>
          </cell>
          <cell r="L741">
            <v>0.54642460000000004</v>
          </cell>
          <cell r="M741">
            <v>38.316319999999997</v>
          </cell>
          <cell r="N741">
            <v>177.85890000000001</v>
          </cell>
          <cell r="P741">
            <v>0.52326850000000003</v>
          </cell>
          <cell r="Q741">
            <v>43.269039999999997</v>
          </cell>
          <cell r="R741">
            <v>202.3673</v>
          </cell>
        </row>
        <row r="742">
          <cell r="B742" t="str">
            <v>Ovintiv</v>
          </cell>
          <cell r="K742">
            <v>48.996639999999999</v>
          </cell>
          <cell r="L742">
            <v>0</v>
          </cell>
          <cell r="M742">
            <v>10.71726</v>
          </cell>
          <cell r="N742">
            <v>15.19346</v>
          </cell>
          <cell r="O742">
            <v>50.069920000000003</v>
          </cell>
          <cell r="Q742">
            <v>10.962210000000001</v>
          </cell>
          <cell r="R742">
            <v>15.46472</v>
          </cell>
        </row>
        <row r="743">
          <cell r="B743" t="str">
            <v>Ovintiv</v>
          </cell>
          <cell r="K743">
            <v>35.76191</v>
          </cell>
          <cell r="L743">
            <v>0</v>
          </cell>
          <cell r="M743">
            <v>7.2879149999999999</v>
          </cell>
          <cell r="N743">
            <v>8.7032600000000002</v>
          </cell>
          <cell r="O743">
            <v>37.419429999999998</v>
          </cell>
          <cell r="Q743">
            <v>7.6207209999999996</v>
          </cell>
          <cell r="R743">
            <v>9.218947</v>
          </cell>
        </row>
        <row r="744">
          <cell r="B744" t="str">
            <v>Ovintiv</v>
          </cell>
          <cell r="K744">
            <v>48.937289999999997</v>
          </cell>
          <cell r="L744">
            <v>5.1489630000000002</v>
          </cell>
          <cell r="M744">
            <v>32.228029999999997</v>
          </cell>
          <cell r="N744">
            <v>54.208260000000003</v>
          </cell>
          <cell r="O744">
            <v>66.304479999999998</v>
          </cell>
          <cell r="P744">
            <v>6.6440489999999999</v>
          </cell>
          <cell r="Q744">
            <v>38.416840000000001</v>
          </cell>
          <cell r="R744">
            <v>66.065020000000004</v>
          </cell>
        </row>
        <row r="745">
          <cell r="B745" t="str">
            <v>Ovintiv</v>
          </cell>
          <cell r="K745">
            <v>27.949480000000001</v>
          </cell>
          <cell r="L745">
            <v>9.5808350000000004</v>
          </cell>
          <cell r="M745">
            <v>7.4531710000000002</v>
          </cell>
          <cell r="N745">
            <v>11.82011</v>
          </cell>
          <cell r="O745">
            <v>26.456969999999998</v>
          </cell>
          <cell r="P745">
            <v>6.8550620000000002</v>
          </cell>
          <cell r="Q745">
            <v>6.7967639999999996</v>
          </cell>
          <cell r="R745">
            <v>10.71984</v>
          </cell>
        </row>
        <row r="746">
          <cell r="B746" t="str">
            <v>Ovintiv</v>
          </cell>
          <cell r="K746">
            <v>16.78069</v>
          </cell>
          <cell r="L746">
            <v>0</v>
          </cell>
          <cell r="M746">
            <v>2.5608330000000001</v>
          </cell>
          <cell r="N746">
            <v>4.0524089999999999</v>
          </cell>
          <cell r="O746">
            <v>19.01858</v>
          </cell>
          <cell r="Q746">
            <v>2.914412</v>
          </cell>
          <cell r="R746">
            <v>4.5555779999999997</v>
          </cell>
        </row>
        <row r="747">
          <cell r="B747" t="str">
            <v>Ovintiv</v>
          </cell>
          <cell r="K747">
            <v>15.437110000000001</v>
          </cell>
          <cell r="L747">
            <v>0</v>
          </cell>
          <cell r="M747">
            <v>0.78063850000000001</v>
          </cell>
          <cell r="N747">
            <v>2.7597860000000001</v>
          </cell>
          <cell r="O747">
            <v>16.867629999999998</v>
          </cell>
          <cell r="Q747">
            <v>0.87421020000000005</v>
          </cell>
          <cell r="R747">
            <v>2.9856250000000002</v>
          </cell>
        </row>
        <row r="748">
          <cell r="B748" t="str">
            <v>Ovintiv</v>
          </cell>
          <cell r="K748">
            <v>1.0291520000000001</v>
          </cell>
          <cell r="L748">
            <v>0</v>
          </cell>
          <cell r="M748">
            <v>0.27268700000000001</v>
          </cell>
          <cell r="N748">
            <v>7.9354139999999997</v>
          </cell>
        </row>
        <row r="749">
          <cell r="B749" t="str">
            <v>Ovintiv</v>
          </cell>
          <cell r="K749">
            <v>0.17096159999999999</v>
          </cell>
          <cell r="L749">
            <v>1.6821920000000001E-3</v>
          </cell>
          <cell r="M749">
            <v>0</v>
          </cell>
          <cell r="N749">
            <v>1.965625</v>
          </cell>
          <cell r="O749">
            <v>0.11459999999999999</v>
          </cell>
          <cell r="P749">
            <v>1.1260269999999999E-3</v>
          </cell>
          <cell r="R749">
            <v>1.8788899999999999</v>
          </cell>
        </row>
        <row r="750">
          <cell r="B750" t="str">
            <v>Ovintiv</v>
          </cell>
          <cell r="K750">
            <v>2.0584180000000001</v>
          </cell>
          <cell r="L750">
            <v>0</v>
          </cell>
          <cell r="M750">
            <v>0</v>
          </cell>
          <cell r="N750">
            <v>0</v>
          </cell>
          <cell r="O750">
            <v>1.9146350000000001</v>
          </cell>
        </row>
        <row r="751">
          <cell r="B751" t="str">
            <v>Ovintiv</v>
          </cell>
          <cell r="K751">
            <v>0.9695935</v>
          </cell>
          <cell r="L751">
            <v>0</v>
          </cell>
          <cell r="M751">
            <v>0</v>
          </cell>
          <cell r="N751">
            <v>0</v>
          </cell>
          <cell r="O751">
            <v>0.9471579</v>
          </cell>
        </row>
        <row r="752">
          <cell r="B752" t="str">
            <v>Ovintiv</v>
          </cell>
          <cell r="K752">
            <v>9.2876709999999997E-4</v>
          </cell>
          <cell r="L752">
            <v>9.2876709999999997E-4</v>
          </cell>
          <cell r="M752">
            <v>0</v>
          </cell>
          <cell r="N752">
            <v>0.23393700000000001</v>
          </cell>
          <cell r="O752">
            <v>0</v>
          </cell>
          <cell r="P752">
            <v>0</v>
          </cell>
          <cell r="R752">
            <v>0.23393700000000001</v>
          </cell>
        </row>
        <row r="753">
          <cell r="B753" t="str">
            <v>Ovintiv</v>
          </cell>
          <cell r="K753">
            <v>4.5611030000000004E-3</v>
          </cell>
          <cell r="L753">
            <v>0</v>
          </cell>
          <cell r="M753">
            <v>5.3420490000000001E-2</v>
          </cell>
          <cell r="N753">
            <v>0.1482009</v>
          </cell>
          <cell r="O753">
            <v>4.6794519999999997E-3</v>
          </cell>
          <cell r="Q753">
            <v>5.4810049999999999E-2</v>
          </cell>
          <cell r="R753">
            <v>0.15205479999999999</v>
          </cell>
        </row>
        <row r="754">
          <cell r="B754" t="str">
            <v>Ovintiv</v>
          </cell>
          <cell r="K754">
            <v>2.0567129999999999E-2</v>
          </cell>
          <cell r="L754">
            <v>5.1562389999999997E-4</v>
          </cell>
          <cell r="M754">
            <v>4.8926449999999995E-4</v>
          </cell>
          <cell r="N754">
            <v>3.445524E-4</v>
          </cell>
          <cell r="O754">
            <v>6.8194519999999995E-2</v>
          </cell>
          <cell r="P754">
            <v>1.435616E-3</v>
          </cell>
          <cell r="Q754">
            <v>1.0173420000000001E-3</v>
          </cell>
          <cell r="R754">
            <v>7.1506849999999997E-4</v>
          </cell>
        </row>
        <row r="755">
          <cell r="B755" t="str">
            <v>Ovintiv</v>
          </cell>
          <cell r="K755">
            <v>0</v>
          </cell>
          <cell r="L755">
            <v>0</v>
          </cell>
          <cell r="M755">
            <v>0</v>
          </cell>
          <cell r="N755">
            <v>0</v>
          </cell>
        </row>
        <row r="756">
          <cell r="B756" t="str">
            <v>Ovintiv</v>
          </cell>
          <cell r="K756">
            <v>0</v>
          </cell>
          <cell r="L756">
            <v>0</v>
          </cell>
          <cell r="M756">
            <v>0</v>
          </cell>
          <cell r="N756">
            <v>0</v>
          </cell>
        </row>
        <row r="757">
          <cell r="B757" t="str">
            <v>Oasis Petroleum Inc. (OAS)</v>
          </cell>
          <cell r="K757">
            <v>71.019239999999996</v>
          </cell>
          <cell r="L757">
            <v>0</v>
          </cell>
          <cell r="M757">
            <v>9.8407909999999994</v>
          </cell>
          <cell r="N757">
            <v>22.59178</v>
          </cell>
          <cell r="O757">
            <v>60.699840000000002</v>
          </cell>
          <cell r="Q757">
            <v>9.0622699999999998</v>
          </cell>
          <cell r="R757">
            <v>20.48499</v>
          </cell>
        </row>
        <row r="758">
          <cell r="B758" t="str">
            <v>Oasis Petroleum Inc. (OAS)</v>
          </cell>
          <cell r="K758">
            <v>7.1917809999999998</v>
          </cell>
          <cell r="L758">
            <v>0</v>
          </cell>
          <cell r="M758">
            <v>0.65747940000000005</v>
          </cell>
          <cell r="N758">
            <v>1.3698630000000001</v>
          </cell>
          <cell r="O758">
            <v>11.236079999999999</v>
          </cell>
          <cell r="Q758">
            <v>1.063687</v>
          </cell>
          <cell r="R758">
            <v>2.2472159999999999</v>
          </cell>
        </row>
        <row r="759">
          <cell r="B759" t="str">
            <v>Endeavor Energy Resources LP</v>
          </cell>
          <cell r="K759">
            <v>81.499049999999997</v>
          </cell>
          <cell r="L759">
            <v>0</v>
          </cell>
          <cell r="M759">
            <v>12.704929999999999</v>
          </cell>
          <cell r="N759">
            <v>18.99427</v>
          </cell>
          <cell r="O759">
            <v>94.950550000000007</v>
          </cell>
          <cell r="Q759">
            <v>14.99278</v>
          </cell>
          <cell r="R759">
            <v>22.5426</v>
          </cell>
        </row>
        <row r="760">
          <cell r="B760" t="str">
            <v>Endeavor Energy Resources LP</v>
          </cell>
          <cell r="K760">
            <v>15.432790000000001</v>
          </cell>
          <cell r="L760">
            <v>0</v>
          </cell>
          <cell r="M760">
            <v>1.823159</v>
          </cell>
          <cell r="N760">
            <v>3.397948</v>
          </cell>
          <cell r="O760">
            <v>16.57835</v>
          </cell>
          <cell r="Q760">
            <v>1.9414610000000001</v>
          </cell>
          <cell r="R760">
            <v>3.4742329999999999</v>
          </cell>
        </row>
        <row r="761">
          <cell r="B761" t="str">
            <v>Endeavor Energy Resources LP</v>
          </cell>
          <cell r="K761">
            <v>2.855499</v>
          </cell>
          <cell r="L761">
            <v>0</v>
          </cell>
          <cell r="M761">
            <v>0.8688863</v>
          </cell>
          <cell r="N761">
            <v>1.019822</v>
          </cell>
          <cell r="O761">
            <v>2.5641829999999999</v>
          </cell>
          <cell r="Q761">
            <v>0.78024530000000003</v>
          </cell>
          <cell r="R761">
            <v>0.91578079999999995</v>
          </cell>
        </row>
        <row r="762">
          <cell r="B762" t="str">
            <v>Endeavor Energy Resources LP</v>
          </cell>
          <cell r="K762">
            <v>0.41009580000000001</v>
          </cell>
          <cell r="L762">
            <v>0</v>
          </cell>
          <cell r="M762">
            <v>3.653679E-2</v>
          </cell>
          <cell r="N762">
            <v>5.1460270000000002E-2</v>
          </cell>
          <cell r="O762">
            <v>0.33576440000000002</v>
          </cell>
          <cell r="Q762">
            <v>2.9800549999999999E-2</v>
          </cell>
          <cell r="R762">
            <v>4.1969859999999998E-2</v>
          </cell>
        </row>
        <row r="763">
          <cell r="B763" t="str">
            <v>Endeavor Energy Resources LP</v>
          </cell>
          <cell r="K763">
            <v>6.892877E-2</v>
          </cell>
          <cell r="L763">
            <v>0</v>
          </cell>
          <cell r="M763">
            <v>3.6353940000000001E-2</v>
          </cell>
          <cell r="N763">
            <v>7.6808219999999996E-2</v>
          </cell>
          <cell r="O763">
            <v>5.9643839999999997E-2</v>
          </cell>
          <cell r="Q763">
            <v>3.1459809999999998E-2</v>
          </cell>
          <cell r="R763">
            <v>6.6463019999999998E-2</v>
          </cell>
        </row>
        <row r="764">
          <cell r="B764" t="str">
            <v>Endeavor Energy Resources LP</v>
          </cell>
          <cell r="K764">
            <v>0.50758080000000005</v>
          </cell>
          <cell r="L764">
            <v>5.113972E-2</v>
          </cell>
          <cell r="M764">
            <v>0.64722630000000003</v>
          </cell>
          <cell r="N764">
            <v>1.1839120000000001</v>
          </cell>
          <cell r="O764">
            <v>0.41143829999999998</v>
          </cell>
          <cell r="P764">
            <v>4.9956170000000001E-2</v>
          </cell>
          <cell r="Q764">
            <v>0.59354640000000003</v>
          </cell>
          <cell r="R764">
            <v>1.0982050000000001</v>
          </cell>
        </row>
        <row r="765">
          <cell r="B765" t="str">
            <v>Talos Energy Offshore</v>
          </cell>
          <cell r="K765">
            <v>0</v>
          </cell>
          <cell r="L765">
            <v>0</v>
          </cell>
          <cell r="M765">
            <v>0</v>
          </cell>
          <cell r="N765">
            <v>0</v>
          </cell>
        </row>
        <row r="766">
          <cell r="B766" t="str">
            <v>Talos Energy Offshore</v>
          </cell>
          <cell r="K766">
            <v>0</v>
          </cell>
          <cell r="L766">
            <v>0</v>
          </cell>
          <cell r="M766">
            <v>0</v>
          </cell>
          <cell r="N766">
            <v>0</v>
          </cell>
        </row>
        <row r="767">
          <cell r="B767" t="str">
            <v>Talos Energy Offshore</v>
          </cell>
          <cell r="K767">
            <v>0</v>
          </cell>
          <cell r="L767">
            <v>0</v>
          </cell>
          <cell r="M767">
            <v>0</v>
          </cell>
          <cell r="N767">
            <v>0</v>
          </cell>
        </row>
        <row r="768">
          <cell r="B768" t="str">
            <v>Talos Energy Offshore</v>
          </cell>
          <cell r="K768">
            <v>0</v>
          </cell>
          <cell r="L768">
            <v>0</v>
          </cell>
          <cell r="M768">
            <v>0</v>
          </cell>
          <cell r="N768">
            <v>8.5013699999999998E-2</v>
          </cell>
          <cell r="R768">
            <v>8.3293149999999996E-2</v>
          </cell>
        </row>
        <row r="769">
          <cell r="B769" t="str">
            <v>Diamondback Energy, Inc. (FANG)</v>
          </cell>
          <cell r="K769">
            <v>87.09543393395063</v>
          </cell>
          <cell r="L769">
            <v>0</v>
          </cell>
          <cell r="M769">
            <v>20.445705736378336</v>
          </cell>
          <cell r="N769">
            <v>16.509985239631547</v>
          </cell>
          <cell r="O769">
            <v>107.2047</v>
          </cell>
          <cell r="Q769">
            <v>16.022379999999998</v>
          </cell>
          <cell r="R769">
            <v>23.137060000000002</v>
          </cell>
        </row>
        <row r="770">
          <cell r="B770" t="str">
            <v>Diamondback Energy, Inc. (FANG)</v>
          </cell>
          <cell r="K770">
            <v>37.253975157264875</v>
          </cell>
          <cell r="L770">
            <v>0</v>
          </cell>
          <cell r="M770">
            <v>9.4065984413220765</v>
          </cell>
          <cell r="N770">
            <v>9.1424734769503928</v>
          </cell>
          <cell r="O770">
            <v>59.111669999999997</v>
          </cell>
          <cell r="Q770">
            <v>9.1995459999999998</v>
          </cell>
          <cell r="R770">
            <v>14.641830000000001</v>
          </cell>
        </row>
        <row r="771">
          <cell r="B771" t="str">
            <v>Diamondback Energy, Inc. (FANG)</v>
          </cell>
          <cell r="K771">
            <v>32.890095394273253</v>
          </cell>
          <cell r="L771">
            <v>0</v>
          </cell>
          <cell r="M771">
            <v>8.6057131803538454</v>
          </cell>
          <cell r="N771">
            <v>9.8401688327113401</v>
          </cell>
          <cell r="O771">
            <v>41.031350000000003</v>
          </cell>
          <cell r="Q771">
            <v>6.7010639999999997</v>
          </cell>
          <cell r="R771">
            <v>12.56682</v>
          </cell>
        </row>
        <row r="772">
          <cell r="B772" t="str">
            <v>Diamondback Energy, Inc. (FANG)</v>
          </cell>
          <cell r="K772">
            <v>22.336602579484104</v>
          </cell>
          <cell r="L772">
            <v>0</v>
          </cell>
          <cell r="M772">
            <v>10.968882897035451</v>
          </cell>
          <cell r="N772">
            <v>7.8458074230484298</v>
          </cell>
          <cell r="O772">
            <v>26.501480000000001</v>
          </cell>
          <cell r="Q772">
            <v>8.0484240000000007</v>
          </cell>
          <cell r="R772">
            <v>9.4418530000000001</v>
          </cell>
        </row>
        <row r="773">
          <cell r="B773" t="str">
            <v>Diamondback Energy, Inc. (FANG)</v>
          </cell>
          <cell r="K773">
            <v>3.1649542364767944</v>
          </cell>
          <cell r="L773">
            <v>0</v>
          </cell>
          <cell r="M773">
            <v>0.82283299387788988</v>
          </cell>
          <cell r="N773">
            <v>0.6538172585601526</v>
          </cell>
          <cell r="O773">
            <v>2.6697890000000002</v>
          </cell>
          <cell r="Q773">
            <v>0.4372316</v>
          </cell>
          <cell r="R773">
            <v>0.56936719999999996</v>
          </cell>
        </row>
        <row r="774">
          <cell r="B774" t="str">
            <v>Diamondback Energy, Inc. (FANG)</v>
          </cell>
          <cell r="K774">
            <v>3.1957120603510885</v>
          </cell>
          <cell r="L774">
            <v>0</v>
          </cell>
          <cell r="M774">
            <v>1.1146650847909933E-2</v>
          </cell>
          <cell r="N774">
            <v>0.20965191676009476</v>
          </cell>
          <cell r="O774">
            <v>3.0784220000000002</v>
          </cell>
          <cell r="R774">
            <v>0.1293397</v>
          </cell>
        </row>
        <row r="775">
          <cell r="B775" t="str">
            <v>Diamondback Energy, Inc. (FANG)</v>
          </cell>
          <cell r="K775">
            <v>1.7837745834047278</v>
          </cell>
          <cell r="L775">
            <v>0</v>
          </cell>
          <cell r="M775">
            <v>0.4185721549790184</v>
          </cell>
          <cell r="N775">
            <v>0.37024197105950379</v>
          </cell>
        </row>
        <row r="776">
          <cell r="B776" t="str">
            <v>Diamondback Energy, Inc. (FANG)</v>
          </cell>
          <cell r="K776">
            <v>0</v>
          </cell>
          <cell r="L776">
            <v>0</v>
          </cell>
          <cell r="M776">
            <v>0</v>
          </cell>
          <cell r="N776">
            <v>0</v>
          </cell>
          <cell r="O776">
            <v>0</v>
          </cell>
          <cell r="Q776">
            <v>0</v>
          </cell>
          <cell r="R776">
            <v>0</v>
          </cell>
        </row>
        <row r="777">
          <cell r="B777" t="str">
            <v>Fieldwood Energy LLC</v>
          </cell>
          <cell r="K777">
            <v>1.853972</v>
          </cell>
          <cell r="L777">
            <v>1.3496170000000001</v>
          </cell>
          <cell r="M777">
            <v>7.6597960000000007E-2</v>
          </cell>
          <cell r="N777">
            <v>1.347119</v>
          </cell>
          <cell r="O777">
            <v>1.4401079999999999</v>
          </cell>
          <cell r="P777">
            <v>1.104797</v>
          </cell>
          <cell r="Q777">
            <v>4.9711789999999999E-2</v>
          </cell>
          <cell r="R777">
            <v>1.0555760000000001</v>
          </cell>
        </row>
        <row r="778">
          <cell r="B778" t="str">
            <v>Fieldwood Energy LLC</v>
          </cell>
          <cell r="K778">
            <v>25.92493</v>
          </cell>
          <cell r="L778">
            <v>6.7210809999999999</v>
          </cell>
          <cell r="M778">
            <v>3.5626820000000001</v>
          </cell>
          <cell r="N778">
            <v>31.70992</v>
          </cell>
          <cell r="O778">
            <v>22.74719</v>
          </cell>
          <cell r="P778">
            <v>5.740081</v>
          </cell>
          <cell r="Q778">
            <v>3.0343149999999999</v>
          </cell>
          <cell r="R778">
            <v>27.753779999999999</v>
          </cell>
        </row>
        <row r="779">
          <cell r="B779" t="str">
            <v>Fieldwood Energy LLC</v>
          </cell>
          <cell r="K779">
            <v>18.677289999999999</v>
          </cell>
          <cell r="L779">
            <v>0</v>
          </cell>
          <cell r="M779">
            <v>0.1300191</v>
          </cell>
          <cell r="N779">
            <v>4.1211859999999998</v>
          </cell>
          <cell r="O779">
            <v>18.283280000000001</v>
          </cell>
          <cell r="P779">
            <v>0</v>
          </cell>
          <cell r="Q779">
            <v>0.12546450000000001</v>
          </cell>
          <cell r="R779">
            <v>3.717692</v>
          </cell>
        </row>
        <row r="780">
          <cell r="B780" t="str">
            <v>Fieldwood Energy LLC</v>
          </cell>
          <cell r="K780">
            <v>2.64019</v>
          </cell>
          <cell r="L780">
            <v>0.49896590000000002</v>
          </cell>
          <cell r="M780">
            <v>0.17247499999999999</v>
          </cell>
          <cell r="N780">
            <v>1.262521</v>
          </cell>
          <cell r="O780">
            <v>4.6998030000000002</v>
          </cell>
          <cell r="P780">
            <v>0.3381924</v>
          </cell>
          <cell r="Q780">
            <v>0.1266901</v>
          </cell>
          <cell r="R780">
            <v>2.1149979999999999</v>
          </cell>
        </row>
        <row r="781">
          <cell r="B781" t="str">
            <v>Fieldwood Energy LLC</v>
          </cell>
          <cell r="K781">
            <v>0.2352274</v>
          </cell>
          <cell r="L781">
            <v>0</v>
          </cell>
          <cell r="M781">
            <v>8.8759730000000005E-3</v>
          </cell>
          <cell r="N781">
            <v>0.1159096</v>
          </cell>
          <cell r="O781">
            <v>0.21719450000000001</v>
          </cell>
          <cell r="Q781">
            <v>7.8994789999999992E-3</v>
          </cell>
          <cell r="R781">
            <v>0.1088274</v>
          </cell>
        </row>
        <row r="782">
          <cell r="B782" t="str">
            <v>Fieldwood Energy LLC</v>
          </cell>
          <cell r="K782">
            <v>9.3547950000000005E-2</v>
          </cell>
          <cell r="L782">
            <v>0</v>
          </cell>
          <cell r="M782">
            <v>0</v>
          </cell>
          <cell r="N782">
            <v>0</v>
          </cell>
          <cell r="O782">
            <v>8.3520549999999999E-2</v>
          </cell>
        </row>
        <row r="783">
          <cell r="B783" t="str">
            <v>Fieldwood Energy LLC</v>
          </cell>
          <cell r="K783">
            <v>0</v>
          </cell>
          <cell r="L783">
            <v>0</v>
          </cell>
          <cell r="M783">
            <v>0</v>
          </cell>
          <cell r="N783">
            <v>0</v>
          </cell>
          <cell r="O783">
            <v>0</v>
          </cell>
          <cell r="Q783">
            <v>0</v>
          </cell>
          <cell r="R783">
            <v>0</v>
          </cell>
        </row>
        <row r="784">
          <cell r="B784" t="str">
            <v>Parsley Energy, Inc. (PE)</v>
          </cell>
          <cell r="K784">
            <v>69.159873393544999</v>
          </cell>
          <cell r="L784">
            <v>0</v>
          </cell>
          <cell r="M784">
            <v>26.573401357248319</v>
          </cell>
          <cell r="N784">
            <v>20.324053185193584</v>
          </cell>
          <cell r="O784">
            <v>88.898099999999999</v>
          </cell>
          <cell r="Q784">
            <v>22.195799999999998</v>
          </cell>
          <cell r="R784">
            <v>20.546620000000001</v>
          </cell>
        </row>
        <row r="785">
          <cell r="B785" t="str">
            <v>Parsley Energy, Inc. (PE)</v>
          </cell>
          <cell r="K785">
            <v>17.590811537961841</v>
          </cell>
          <cell r="L785">
            <v>0</v>
          </cell>
          <cell r="M785">
            <v>3.569064396176334</v>
          </cell>
          <cell r="N785">
            <v>3.3896454449434028</v>
          </cell>
          <cell r="O785">
            <v>51.986919999999998</v>
          </cell>
          <cell r="Q785">
            <v>7.545604</v>
          </cell>
          <cell r="R785">
            <v>9.3093579999999996</v>
          </cell>
        </row>
        <row r="786">
          <cell r="B786" t="str">
            <v>Mewbourne Oil Company</v>
          </cell>
          <cell r="K786">
            <v>75.235079999999996</v>
          </cell>
          <cell r="L786">
            <v>0</v>
          </cell>
          <cell r="M786">
            <v>22.80444</v>
          </cell>
          <cell r="N786">
            <v>42.111080000000001</v>
          </cell>
          <cell r="O786">
            <v>86.769049999999993</v>
          </cell>
          <cell r="Q786">
            <v>25.17596</v>
          </cell>
          <cell r="R786">
            <v>46.492919999999998</v>
          </cell>
        </row>
        <row r="787">
          <cell r="B787" t="str">
            <v>Mewbourne Oil Company</v>
          </cell>
          <cell r="K787">
            <v>10.9808</v>
          </cell>
          <cell r="L787">
            <v>0</v>
          </cell>
          <cell r="M787">
            <v>2.0788760000000002</v>
          </cell>
          <cell r="N787">
            <v>3.2724630000000001</v>
          </cell>
          <cell r="O787">
            <v>9.8617010000000001</v>
          </cell>
          <cell r="Q787">
            <v>1.8598539999999999</v>
          </cell>
          <cell r="R787">
            <v>2.9276930000000001</v>
          </cell>
        </row>
        <row r="788">
          <cell r="B788" t="str">
            <v>Mewbourne Oil Company</v>
          </cell>
          <cell r="K788">
            <v>0.59999179999999996</v>
          </cell>
          <cell r="L788">
            <v>0</v>
          </cell>
          <cell r="M788">
            <v>0.1341725</v>
          </cell>
          <cell r="N788">
            <v>0.22676979999999999</v>
          </cell>
          <cell r="O788">
            <v>0.57731779999999999</v>
          </cell>
          <cell r="Q788">
            <v>0.1291013</v>
          </cell>
          <cell r="R788">
            <v>0.21819730000000001</v>
          </cell>
        </row>
        <row r="789">
          <cell r="B789" t="str">
            <v>Mewbourne Oil Company</v>
          </cell>
          <cell r="K789">
            <v>5.4326029999999997E-2</v>
          </cell>
          <cell r="L789">
            <v>0</v>
          </cell>
          <cell r="M789">
            <v>2.0660029999999999E-2</v>
          </cell>
          <cell r="N789">
            <v>4.8813700000000002E-2</v>
          </cell>
          <cell r="O789">
            <v>4.1153429999999998E-2</v>
          </cell>
          <cell r="Q789">
            <v>1.9597940000000001E-2</v>
          </cell>
          <cell r="R789">
            <v>4.68685E-2</v>
          </cell>
        </row>
        <row r="790">
          <cell r="B790" t="str">
            <v>Mewbourne Oil Company</v>
          </cell>
          <cell r="K790">
            <v>6.8418049999999999</v>
          </cell>
          <cell r="L790">
            <v>0</v>
          </cell>
          <cell r="M790">
            <v>7.9128629999999998</v>
          </cell>
          <cell r="N790">
            <v>16.122170000000001</v>
          </cell>
          <cell r="O790">
            <v>6.1083809999999996</v>
          </cell>
          <cell r="Q790">
            <v>7.2253439999999998</v>
          </cell>
          <cell r="R790">
            <v>14.86961</v>
          </cell>
        </row>
        <row r="791">
          <cell r="B791" t="str">
            <v>California Resources Corporation (CRC)</v>
          </cell>
          <cell r="K791">
            <v>49.862564915408498</v>
          </cell>
          <cell r="L791">
            <v>1.0174407399999998</v>
          </cell>
          <cell r="M791">
            <v>14.999999999999998</v>
          </cell>
          <cell r="N791">
            <v>28.357647192574429</v>
          </cell>
          <cell r="O791">
            <v>51.783560000000001</v>
          </cell>
          <cell r="P791">
            <v>0.99178089999999997</v>
          </cell>
          <cell r="Q791">
            <v>11.669280000000001</v>
          </cell>
          <cell r="R791">
            <v>36.571910000000003</v>
          </cell>
        </row>
        <row r="792">
          <cell r="B792" t="str">
            <v>California Resources Corporation (CRC)</v>
          </cell>
          <cell r="K792">
            <v>26.228393932579181</v>
          </cell>
          <cell r="L792">
            <v>1.0174407399999998</v>
          </cell>
          <cell r="M792">
            <v>0</v>
          </cell>
          <cell r="N792">
            <v>0.2127924076540651</v>
          </cell>
          <cell r="O792">
            <v>32.736980000000003</v>
          </cell>
          <cell r="P792">
            <v>0</v>
          </cell>
          <cell r="R792">
            <v>0.250274</v>
          </cell>
        </row>
        <row r="793">
          <cell r="B793" t="str">
            <v>California Resources Corporation (CRC)</v>
          </cell>
          <cell r="K793">
            <v>3.8966806705047308</v>
          </cell>
          <cell r="L793">
            <v>1.0174407399999998</v>
          </cell>
          <cell r="M793">
            <v>0</v>
          </cell>
          <cell r="N793">
            <v>0.87562847058341864</v>
          </cell>
          <cell r="O793">
            <v>4.8082190000000002</v>
          </cell>
          <cell r="R793">
            <v>1.029863</v>
          </cell>
        </row>
        <row r="794">
          <cell r="B794" t="str">
            <v>California Resources Corporation (CRC)</v>
          </cell>
          <cell r="K794">
            <v>1.2360481507597212E-2</v>
          </cell>
          <cell r="L794">
            <v>1.0174407399999998</v>
          </cell>
          <cell r="M794">
            <v>0</v>
          </cell>
          <cell r="N794">
            <v>3.3872652625214195</v>
          </cell>
          <cell r="O794">
            <v>0</v>
          </cell>
          <cell r="R794">
            <v>0</v>
          </cell>
        </row>
        <row r="795">
          <cell r="K795">
            <v>15058.324701609856</v>
          </cell>
          <cell r="L795">
            <v>1477.0713912345464</v>
          </cell>
          <cell r="M795">
            <v>1968.5935058087925</v>
          </cell>
          <cell r="N795">
            <v>11759.76127547109</v>
          </cell>
          <cell r="O795">
            <v>15405.32591710777</v>
          </cell>
          <cell r="P795">
            <v>1456.7218018664405</v>
          </cell>
          <cell r="Q795">
            <v>1997.7695292577312</v>
          </cell>
          <cell r="R795">
            <v>11523.234451127939</v>
          </cell>
        </row>
        <row r="796">
          <cell r="K796">
            <v>31463</v>
          </cell>
          <cell r="L796">
            <v>99.212987460000008</v>
          </cell>
          <cell r="M796">
            <v>28253.999999999996</v>
          </cell>
          <cell r="N796">
            <v>41927.833333333343</v>
          </cell>
        </row>
        <row r="797">
          <cell r="N797">
            <v>251567.00000000006</v>
          </cell>
        </row>
        <row r="799">
          <cell r="K799">
            <v>1660302.51</v>
          </cell>
          <cell r="M799">
            <v>382841.69999999995</v>
          </cell>
          <cell r="N799">
            <v>279239.37000000011</v>
          </cell>
        </row>
        <row r="800">
          <cell r="K800">
            <v>92.510000000009313</v>
          </cell>
          <cell r="M800">
            <v>-93.300000000046566</v>
          </cell>
          <cell r="N800">
            <v>463.37000000011176</v>
          </cell>
        </row>
      </sheetData>
      <sheetData sheetId="18"/>
      <sheetData sheetId="19">
        <row r="2">
          <cell r="N2" t="str">
            <v>Capex</v>
          </cell>
          <cell r="O2" t="str">
            <v>Exploration Capex</v>
          </cell>
          <cell r="S2" t="str">
            <v>Capex</v>
          </cell>
          <cell r="T2" t="str">
            <v>Exploration Capex</v>
          </cell>
        </row>
        <row r="3">
          <cell r="B3" t="str">
            <v>Operator</v>
          </cell>
          <cell r="N3" t="str">
            <v>Economics (MUSD)</v>
          </cell>
          <cell r="O3" t="str">
            <v>Economics (MUSD)</v>
          </cell>
          <cell r="S3" t="str">
            <v>Economics (MUSD)</v>
          </cell>
          <cell r="T3" t="str">
            <v>Economics (MUSD)</v>
          </cell>
        </row>
        <row r="4">
          <cell r="B4" t="str">
            <v>ExxonMobil</v>
          </cell>
          <cell r="O4">
            <v>0.49760949999999998</v>
          </cell>
          <cell r="T4">
            <v>0.49760949999999998</v>
          </cell>
        </row>
        <row r="5">
          <cell r="B5" t="str">
            <v>ExxonMobil</v>
          </cell>
          <cell r="O5">
            <v>6.4955990000000005E-2</v>
          </cell>
          <cell r="T5">
            <v>6.4955990000000005E-2</v>
          </cell>
        </row>
        <row r="6">
          <cell r="B6" t="str">
            <v>ExxonMobil</v>
          </cell>
          <cell r="N6">
            <v>147.76949999999999</v>
          </cell>
          <cell r="O6">
            <v>27.313079999999999</v>
          </cell>
          <cell r="S6">
            <v>48.071309999999997</v>
          </cell>
          <cell r="T6">
            <v>2.5587520000000001</v>
          </cell>
        </row>
        <row r="7">
          <cell r="B7" t="str">
            <v>ExxonMobil</v>
          </cell>
          <cell r="O7">
            <v>9.2030500000000001E-2</v>
          </cell>
          <cell r="T7">
            <v>9.2030500000000001E-2</v>
          </cell>
        </row>
        <row r="8">
          <cell r="B8" t="str">
            <v>ExxonMobil</v>
          </cell>
          <cell r="O8">
            <v>0.1032817</v>
          </cell>
          <cell r="T8">
            <v>4.0808589999999999E-2</v>
          </cell>
        </row>
        <row r="9">
          <cell r="B9" t="str">
            <v>ExxonMobil</v>
          </cell>
          <cell r="N9">
            <v>46.326059999999998</v>
          </cell>
          <cell r="O9">
            <v>0.37701669999999998</v>
          </cell>
          <cell r="S9">
            <v>51.169609999999999</v>
          </cell>
          <cell r="T9">
            <v>9.9015930000000002E-2</v>
          </cell>
        </row>
        <row r="10">
          <cell r="B10" t="str">
            <v>ExxonMobil</v>
          </cell>
          <cell r="N10">
            <v>2556.8780000000002</v>
          </cell>
          <cell r="O10">
            <v>4.8514750000000002E-2</v>
          </cell>
          <cell r="S10">
            <v>1925.3109999999999</v>
          </cell>
          <cell r="T10">
            <v>4.167125E-2</v>
          </cell>
        </row>
        <row r="11">
          <cell r="B11" t="str">
            <v>ExxonMobil</v>
          </cell>
          <cell r="O11">
            <v>0.1556553</v>
          </cell>
          <cell r="T11">
            <v>28.577750000000002</v>
          </cell>
        </row>
        <row r="12">
          <cell r="B12" t="str">
            <v>ExxonMobil</v>
          </cell>
          <cell r="O12">
            <v>0.12303600000000001</v>
          </cell>
          <cell r="S12">
            <v>0</v>
          </cell>
          <cell r="T12">
            <v>0.12303600000000001</v>
          </cell>
        </row>
        <row r="13">
          <cell r="B13" t="str">
            <v>ExxonMobil</v>
          </cell>
          <cell r="O13">
            <v>0.1108698</v>
          </cell>
          <cell r="T13">
            <v>0.1108697</v>
          </cell>
        </row>
        <row r="14">
          <cell r="B14" t="str">
            <v>ExxonMobil</v>
          </cell>
          <cell r="O14">
            <v>0.20695769999999999</v>
          </cell>
          <cell r="T14">
            <v>0.16851659999999999</v>
          </cell>
        </row>
        <row r="15">
          <cell r="B15" t="str">
            <v>ExxonMobil</v>
          </cell>
          <cell r="N15">
            <v>207.39599999999999</v>
          </cell>
          <cell r="O15">
            <v>0.1091997</v>
          </cell>
          <cell r="S15">
            <v>132.07499999999999</v>
          </cell>
          <cell r="T15">
            <v>20.29476</v>
          </cell>
        </row>
        <row r="16">
          <cell r="B16" t="str">
            <v>ExxonMobil</v>
          </cell>
          <cell r="N16">
            <v>519.42110000000002</v>
          </cell>
          <cell r="O16">
            <v>0.31823269999999998</v>
          </cell>
          <cell r="S16">
            <v>349.16399999999999</v>
          </cell>
          <cell r="T16">
            <v>0.30455090000000001</v>
          </cell>
        </row>
        <row r="17">
          <cell r="B17" t="str">
            <v>ExxonMobil</v>
          </cell>
        </row>
        <row r="18">
          <cell r="B18" t="str">
            <v>ExxonMobil</v>
          </cell>
          <cell r="N18">
            <v>0</v>
          </cell>
        </row>
        <row r="19">
          <cell r="B19" t="str">
            <v>ExxonMobil</v>
          </cell>
          <cell r="O19">
            <v>0.51703889999999997</v>
          </cell>
          <cell r="T19">
            <v>0.51703889999999997</v>
          </cell>
        </row>
        <row r="20">
          <cell r="B20" t="str">
            <v>ExxonMobil</v>
          </cell>
          <cell r="O20">
            <v>9.044199E-2</v>
          </cell>
          <cell r="T20">
            <v>3.11185E-2</v>
          </cell>
        </row>
        <row r="21">
          <cell r="B21" t="str">
            <v>ExxonMobil</v>
          </cell>
          <cell r="O21">
            <v>76.046679999999995</v>
          </cell>
          <cell r="S21">
            <v>0</v>
          </cell>
          <cell r="T21">
            <v>1.122773</v>
          </cell>
        </row>
        <row r="22">
          <cell r="B22" t="str">
            <v>ExxonMobil</v>
          </cell>
          <cell r="O22">
            <v>0.53895119999999996</v>
          </cell>
          <cell r="T22">
            <v>0.80664939999999996</v>
          </cell>
        </row>
        <row r="23">
          <cell r="B23" t="str">
            <v>ExxonMobil</v>
          </cell>
          <cell r="O23">
            <v>0.34714159999999999</v>
          </cell>
          <cell r="T23">
            <v>0.55520590000000003</v>
          </cell>
        </row>
        <row r="24">
          <cell r="B24" t="str">
            <v>ExxonMobil</v>
          </cell>
          <cell r="N24">
            <v>371.5976</v>
          </cell>
          <cell r="O24">
            <v>14.23715</v>
          </cell>
          <cell r="S24">
            <v>357.54</v>
          </cell>
          <cell r="T24">
            <v>0</v>
          </cell>
        </row>
        <row r="25">
          <cell r="B25" t="str">
            <v>ExxonMobil</v>
          </cell>
          <cell r="N25">
            <v>103.2677</v>
          </cell>
          <cell r="O25">
            <v>4.8420169999999997E-3</v>
          </cell>
          <cell r="S25">
            <v>104.6572</v>
          </cell>
          <cell r="T25">
            <v>4.8420169999999997E-3</v>
          </cell>
        </row>
        <row r="26">
          <cell r="B26" t="str">
            <v>ExxonMobil</v>
          </cell>
          <cell r="O26">
            <v>0.59178330000000001</v>
          </cell>
          <cell r="T26">
            <v>0.59178330000000001</v>
          </cell>
        </row>
        <row r="27">
          <cell r="B27" t="str">
            <v>ExxonMobil</v>
          </cell>
          <cell r="N27">
            <v>42.02675</v>
          </cell>
          <cell r="O27">
            <v>0.14950930000000001</v>
          </cell>
        </row>
        <row r="28">
          <cell r="B28" t="str">
            <v>ExxonMobil</v>
          </cell>
          <cell r="O28">
            <v>8.9850439999999993E-3</v>
          </cell>
        </row>
        <row r="29">
          <cell r="B29" t="str">
            <v>ExxonMobil</v>
          </cell>
          <cell r="N29">
            <v>160.31319999999999</v>
          </cell>
          <cell r="O29">
            <v>3.8670749999999997E-2</v>
          </cell>
          <cell r="S29">
            <v>107.3623</v>
          </cell>
          <cell r="T29">
            <v>5.466555E-2</v>
          </cell>
        </row>
        <row r="30">
          <cell r="B30" t="str">
            <v>ExxonMobil</v>
          </cell>
          <cell r="N30">
            <v>17.30639</v>
          </cell>
          <cell r="S30">
            <v>14.0594</v>
          </cell>
        </row>
        <row r="31">
          <cell r="B31" t="str">
            <v>ExxonMobil</v>
          </cell>
          <cell r="N31">
            <v>62.13</v>
          </cell>
          <cell r="O31">
            <v>1.7080519999999998E-2</v>
          </cell>
          <cell r="S31">
            <v>73.575000000000003</v>
          </cell>
          <cell r="T31">
            <v>1.7080519999999998E-2</v>
          </cell>
        </row>
        <row r="32">
          <cell r="B32" t="str">
            <v>ExxonMobil</v>
          </cell>
          <cell r="N32">
            <v>759.29070000000002</v>
          </cell>
          <cell r="O32">
            <v>80.129959999999997</v>
          </cell>
          <cell r="S32">
            <v>624.24180000000001</v>
          </cell>
          <cell r="T32">
            <v>58.762569999999997</v>
          </cell>
        </row>
        <row r="33">
          <cell r="B33" t="str">
            <v>ExxonMobil</v>
          </cell>
          <cell r="O33">
            <v>77.949650000000005</v>
          </cell>
          <cell r="T33">
            <v>5.5653540000000001E-2</v>
          </cell>
        </row>
        <row r="34">
          <cell r="B34" t="str">
            <v>ExxonMobil</v>
          </cell>
          <cell r="O34">
            <v>38.594410000000003</v>
          </cell>
          <cell r="T34">
            <v>35.075330000000001</v>
          </cell>
        </row>
        <row r="35">
          <cell r="B35" t="str">
            <v>ExxonMobil</v>
          </cell>
          <cell r="O35">
            <v>0.66840599999999994</v>
          </cell>
          <cell r="T35">
            <v>0.66840699999999997</v>
          </cell>
        </row>
        <row r="36">
          <cell r="B36" t="str">
            <v>ExxonMobil</v>
          </cell>
          <cell r="N36">
            <v>176.98580000000001</v>
          </cell>
          <cell r="O36">
            <v>0.75868270000000004</v>
          </cell>
          <cell r="S36">
            <v>287.61649999999997</v>
          </cell>
          <cell r="T36">
            <v>0.75868270000000004</v>
          </cell>
        </row>
        <row r="37">
          <cell r="B37" t="str">
            <v>ExxonMobil</v>
          </cell>
          <cell r="O37">
            <v>0.13100429999999999</v>
          </cell>
          <cell r="S37">
            <v>0</v>
          </cell>
          <cell r="T37">
            <v>0.13100429999999999</v>
          </cell>
        </row>
        <row r="38">
          <cell r="B38" t="str">
            <v>ExxonMobil</v>
          </cell>
          <cell r="N38">
            <v>3.3768729999999998</v>
          </cell>
          <cell r="O38">
            <v>3.0533899999999999E-2</v>
          </cell>
          <cell r="S38">
            <v>2.6076090000000001</v>
          </cell>
          <cell r="T38">
            <v>3.966219E-2</v>
          </cell>
        </row>
        <row r="39">
          <cell r="B39" t="str">
            <v>ExxonMobil</v>
          </cell>
          <cell r="N39">
            <v>747.03639999999996</v>
          </cell>
          <cell r="O39">
            <v>386.46269999999998</v>
          </cell>
          <cell r="S39">
            <v>1185.5440000000001</v>
          </cell>
          <cell r="T39">
            <v>231.99369999999999</v>
          </cell>
        </row>
        <row r="40">
          <cell r="B40" t="str">
            <v>ExxonMobil</v>
          </cell>
          <cell r="N40">
            <v>0.67500000000000004</v>
          </cell>
          <cell r="O40">
            <v>254.34229999999999</v>
          </cell>
          <cell r="S40">
            <v>22.670999999999999</v>
          </cell>
          <cell r="T40">
            <v>160.56190000000001</v>
          </cell>
        </row>
        <row r="41">
          <cell r="B41" t="str">
            <v>ExxonMobil</v>
          </cell>
          <cell r="O41">
            <v>0.2963906</v>
          </cell>
          <cell r="T41">
            <v>122.1357</v>
          </cell>
        </row>
        <row r="42">
          <cell r="B42" t="str">
            <v>ExxonMobil</v>
          </cell>
          <cell r="N42">
            <v>191.04900000000001</v>
          </cell>
          <cell r="O42">
            <v>0.79830970000000001</v>
          </cell>
          <cell r="S42">
            <v>155.35149999999999</v>
          </cell>
          <cell r="T42">
            <v>1.902185</v>
          </cell>
        </row>
        <row r="43">
          <cell r="B43" t="str">
            <v>ExxonMobil</v>
          </cell>
          <cell r="O43">
            <v>1.670895E-2</v>
          </cell>
          <cell r="T43">
            <v>1.670895E-2</v>
          </cell>
        </row>
        <row r="44">
          <cell r="B44" t="str">
            <v>ExxonMobil</v>
          </cell>
          <cell r="N44">
            <v>13.22855</v>
          </cell>
          <cell r="S44">
            <v>12.093360000000001</v>
          </cell>
        </row>
        <row r="45">
          <cell r="B45" t="str">
            <v>ExxonMobil</v>
          </cell>
          <cell r="N45">
            <v>21.769829999999999</v>
          </cell>
          <cell r="S45">
            <v>17.396750000000001</v>
          </cell>
        </row>
        <row r="46">
          <cell r="B46" t="str">
            <v>ExxonMobil</v>
          </cell>
          <cell r="O46">
            <v>0.27975</v>
          </cell>
          <cell r="S46">
            <v>0</v>
          </cell>
          <cell r="T46">
            <v>11.52359</v>
          </cell>
        </row>
        <row r="47">
          <cell r="B47" t="str">
            <v>ExxonMobil</v>
          </cell>
          <cell r="O47">
            <v>6.1040870000000002E-3</v>
          </cell>
          <cell r="T47">
            <v>6.1040870000000002E-3</v>
          </cell>
        </row>
        <row r="48">
          <cell r="B48" t="str">
            <v>ExxonMobil</v>
          </cell>
          <cell r="O48">
            <v>9.9989999999999996E-2</v>
          </cell>
          <cell r="T48">
            <v>9.9989999999999996E-2</v>
          </cell>
        </row>
        <row r="49">
          <cell r="B49" t="str">
            <v>ExxonMobil</v>
          </cell>
          <cell r="O49">
            <v>8.0769149999999998E-2</v>
          </cell>
          <cell r="T49">
            <v>73.438850000000002</v>
          </cell>
        </row>
        <row r="50">
          <cell r="B50" t="str">
            <v>ExxonMobil</v>
          </cell>
          <cell r="N50">
            <v>0.83440259999999999</v>
          </cell>
          <cell r="O50">
            <v>0.28899209999999997</v>
          </cell>
          <cell r="S50">
            <v>0</v>
          </cell>
          <cell r="T50">
            <v>7.2847660000000003</v>
          </cell>
        </row>
        <row r="51">
          <cell r="B51" t="str">
            <v>ExxonMobil</v>
          </cell>
          <cell r="N51">
            <v>13.608079999999999</v>
          </cell>
          <cell r="O51">
            <v>3.7150500000000003E-2</v>
          </cell>
          <cell r="S51">
            <v>10.84003</v>
          </cell>
          <cell r="T51">
            <v>4.1530999999999998E-2</v>
          </cell>
        </row>
        <row r="52">
          <cell r="B52" t="str">
            <v>ExxonMobil</v>
          </cell>
          <cell r="O52">
            <v>5.0355E-3</v>
          </cell>
          <cell r="T52">
            <v>5.6295E-3</v>
          </cell>
        </row>
        <row r="53">
          <cell r="B53" t="str">
            <v>ExxonMobil</v>
          </cell>
          <cell r="O53">
            <v>1.12205E-2</v>
          </cell>
          <cell r="T53">
            <v>1.2543500000000001E-2</v>
          </cell>
        </row>
        <row r="54">
          <cell r="B54" t="str">
            <v>ExxonMobil</v>
          </cell>
          <cell r="N54">
            <v>62.075409999999998</v>
          </cell>
          <cell r="O54">
            <v>8.4790879999999999E-2</v>
          </cell>
          <cell r="S54">
            <v>45.61242</v>
          </cell>
          <cell r="T54">
            <v>9.4791509999999995E-2</v>
          </cell>
        </row>
        <row r="55">
          <cell r="B55" t="str">
            <v>ExxonMobil</v>
          </cell>
          <cell r="N55">
            <v>80.250979999999998</v>
          </cell>
          <cell r="O55">
            <v>5.8785959999999998E-2</v>
          </cell>
          <cell r="S55">
            <v>23.402999999999999</v>
          </cell>
          <cell r="T55">
            <v>6.5719659999999999E-2</v>
          </cell>
        </row>
        <row r="56">
          <cell r="B56" t="str">
            <v>ExxonMobil</v>
          </cell>
          <cell r="O56">
            <v>3.0474999999999999E-3</v>
          </cell>
          <cell r="T56">
            <v>3.4064999999999998E-3</v>
          </cell>
        </row>
        <row r="57">
          <cell r="B57" t="str">
            <v>ExxonMobil</v>
          </cell>
          <cell r="O57">
            <v>1.3655509999999999E-2</v>
          </cell>
          <cell r="T57">
            <v>1.9625950000000001</v>
          </cell>
        </row>
        <row r="58">
          <cell r="B58" t="str">
            <v>ExxonMobil</v>
          </cell>
          <cell r="O58">
            <v>4.0850150000000002E-2</v>
          </cell>
          <cell r="T58">
            <v>4.0850150000000002E-2</v>
          </cell>
        </row>
        <row r="59">
          <cell r="B59" t="str">
            <v>ExxonMobil</v>
          </cell>
          <cell r="N59">
            <v>8.3175600000000003</v>
          </cell>
          <cell r="O59">
            <v>1.8580510000000001E-2</v>
          </cell>
          <cell r="S59">
            <v>1.458291</v>
          </cell>
          <cell r="T59">
            <v>2.0771850000000001E-2</v>
          </cell>
        </row>
        <row r="60">
          <cell r="B60" t="str">
            <v>ExxonMobil</v>
          </cell>
          <cell r="N60">
            <v>2.1894100000000001</v>
          </cell>
          <cell r="S60">
            <v>1.812953</v>
          </cell>
        </row>
        <row r="61">
          <cell r="B61" t="str">
            <v>ExxonMobil</v>
          </cell>
          <cell r="O61">
            <v>2.2084130000000002E-3</v>
          </cell>
          <cell r="T61">
            <v>2.2084130000000002E-3</v>
          </cell>
        </row>
        <row r="62">
          <cell r="B62" t="str">
            <v>ExxonMobil</v>
          </cell>
          <cell r="N62">
            <v>4.1970989999999997</v>
          </cell>
          <cell r="O62">
            <v>0.13508000000000001</v>
          </cell>
          <cell r="S62">
            <v>3.671008</v>
          </cell>
          <cell r="T62">
            <v>0.23413100000000001</v>
          </cell>
        </row>
        <row r="63">
          <cell r="B63" t="str">
            <v>ExxonMobil</v>
          </cell>
          <cell r="N63">
            <v>26.28406</v>
          </cell>
          <cell r="O63">
            <v>0.28896349999999998</v>
          </cell>
          <cell r="S63">
            <v>21.748270000000002</v>
          </cell>
          <cell r="T63">
            <v>0.28896349999999998</v>
          </cell>
        </row>
        <row r="64">
          <cell r="B64" t="str">
            <v>ExxonMobil</v>
          </cell>
          <cell r="N64">
            <v>25.78951</v>
          </cell>
          <cell r="O64">
            <v>9.2704739999999994E-2</v>
          </cell>
          <cell r="S64">
            <v>20.417580000000001</v>
          </cell>
          <cell r="T64">
            <v>0.21566779999999999</v>
          </cell>
        </row>
        <row r="65">
          <cell r="B65" t="str">
            <v>ExxonMobil</v>
          </cell>
          <cell r="N65">
            <v>94.444929999999999</v>
          </cell>
          <cell r="O65">
            <v>0.37264960000000003</v>
          </cell>
          <cell r="S65">
            <v>67.702129999999997</v>
          </cell>
          <cell r="T65">
            <v>0.34722579999999997</v>
          </cell>
        </row>
        <row r="66">
          <cell r="B66" t="str">
            <v>ExxonMobil</v>
          </cell>
          <cell r="N66">
            <v>9.3696040000000007</v>
          </cell>
          <cell r="O66">
            <v>0.18093880000000001</v>
          </cell>
          <cell r="S66">
            <v>7.2903539999999998</v>
          </cell>
          <cell r="T66">
            <v>0.56743809999999995</v>
          </cell>
        </row>
        <row r="67">
          <cell r="B67" t="str">
            <v>ExxonMobil</v>
          </cell>
          <cell r="O67">
            <v>1.1014599999999999E-2</v>
          </cell>
        </row>
        <row r="68">
          <cell r="B68" t="str">
            <v>ExxonMobil</v>
          </cell>
          <cell r="N68">
            <v>0.2082849</v>
          </cell>
          <cell r="O68">
            <v>2.9134529999999999E-2</v>
          </cell>
        </row>
        <row r="69">
          <cell r="B69" t="str">
            <v>ExxonMobil</v>
          </cell>
          <cell r="N69">
            <v>0</v>
          </cell>
          <cell r="O69">
            <v>4.1252759999999999E-2</v>
          </cell>
        </row>
        <row r="70">
          <cell r="B70" t="str">
            <v>ExxonMobil</v>
          </cell>
          <cell r="O70">
            <v>7.1009569999999998E-3</v>
          </cell>
          <cell r="T70">
            <v>7.9378109999999995E-3</v>
          </cell>
        </row>
        <row r="71">
          <cell r="B71" t="str">
            <v>ExxonMobil</v>
          </cell>
          <cell r="N71">
            <v>32.407850000000003</v>
          </cell>
          <cell r="O71">
            <v>13.9376</v>
          </cell>
        </row>
        <row r="72">
          <cell r="B72" t="str">
            <v>ExxonMobil</v>
          </cell>
          <cell r="O72">
            <v>1.75395E-2</v>
          </cell>
          <cell r="T72">
            <v>1.9608E-2</v>
          </cell>
        </row>
        <row r="73">
          <cell r="B73" t="str">
            <v>ExxonMobil</v>
          </cell>
          <cell r="O73">
            <v>2.8357500000000001E-2</v>
          </cell>
          <cell r="T73">
            <v>3.5274E-2</v>
          </cell>
        </row>
        <row r="74">
          <cell r="B74" t="str">
            <v>ExxonMobil</v>
          </cell>
          <cell r="O74">
            <v>8.8779999999999998E-2</v>
          </cell>
          <cell r="T74">
            <v>9.9250500000000005E-2</v>
          </cell>
        </row>
        <row r="75">
          <cell r="B75" t="str">
            <v>ExxonMobil</v>
          </cell>
          <cell r="N75">
            <v>0.45701000000000003</v>
          </cell>
          <cell r="O75">
            <v>1.567588E-2</v>
          </cell>
          <cell r="S75">
            <v>0.3405009</v>
          </cell>
          <cell r="T75">
            <v>1.7524680000000001E-2</v>
          </cell>
        </row>
        <row r="76">
          <cell r="B76" t="str">
            <v>ExxonMobil</v>
          </cell>
          <cell r="N76">
            <v>165.8433</v>
          </cell>
          <cell r="O76">
            <v>8.6901519999999994</v>
          </cell>
          <cell r="S76">
            <v>230.6062</v>
          </cell>
          <cell r="T76">
            <v>23.165240000000001</v>
          </cell>
        </row>
        <row r="77">
          <cell r="B77" t="str">
            <v>ExxonMobil</v>
          </cell>
          <cell r="N77">
            <v>217.42580000000001</v>
          </cell>
          <cell r="O77">
            <v>2.614706E-2</v>
          </cell>
        </row>
        <row r="78">
          <cell r="B78" t="str">
            <v>ExxonMobil</v>
          </cell>
          <cell r="N78">
            <v>11.114739999999999</v>
          </cell>
          <cell r="O78">
            <v>5.821515E-2</v>
          </cell>
          <cell r="S78">
            <v>0</v>
          </cell>
          <cell r="T78">
            <v>0.31203639999999999</v>
          </cell>
        </row>
        <row r="79">
          <cell r="B79" t="str">
            <v>ExxonMobil</v>
          </cell>
          <cell r="N79">
            <v>0.68321390000000004</v>
          </cell>
          <cell r="O79">
            <v>6.881E-3</v>
          </cell>
          <cell r="S79">
            <v>0.51496949999999997</v>
          </cell>
          <cell r="T79">
            <v>7.6924999999999997E-3</v>
          </cell>
        </row>
        <row r="80">
          <cell r="B80" t="str">
            <v>ExxonMobil</v>
          </cell>
          <cell r="N80">
            <v>394.41</v>
          </cell>
          <cell r="O80">
            <v>25.728909999999999</v>
          </cell>
          <cell r="S80">
            <v>612.45150000000001</v>
          </cell>
          <cell r="T80">
            <v>43.522849999999998</v>
          </cell>
        </row>
        <row r="81">
          <cell r="B81" t="str">
            <v>ExxonMobil</v>
          </cell>
          <cell r="N81">
            <v>59.72</v>
          </cell>
          <cell r="O81">
            <v>0.12188889999999999</v>
          </cell>
          <cell r="S81">
            <v>69.270740000000004</v>
          </cell>
          <cell r="T81">
            <v>0.12188889999999999</v>
          </cell>
        </row>
        <row r="82">
          <cell r="B82" t="str">
            <v>ExxonMobil</v>
          </cell>
          <cell r="O82">
            <v>1.3066E-3</v>
          </cell>
          <cell r="T82">
            <v>1.3066E-3</v>
          </cell>
        </row>
        <row r="83">
          <cell r="B83" t="str">
            <v>ExxonMobil</v>
          </cell>
          <cell r="O83">
            <v>4.0670480000000002E-2</v>
          </cell>
          <cell r="T83">
            <v>4.0670480000000002E-2</v>
          </cell>
        </row>
        <row r="84">
          <cell r="B84" t="str">
            <v>ExxonMobil</v>
          </cell>
          <cell r="N84">
            <v>21.253900000000002</v>
          </cell>
          <cell r="O84">
            <v>33.29139</v>
          </cell>
          <cell r="S84">
            <v>19.21698</v>
          </cell>
          <cell r="T84">
            <v>40.663040000000002</v>
          </cell>
        </row>
        <row r="85">
          <cell r="B85" t="str">
            <v>ExxonMobil</v>
          </cell>
          <cell r="O85">
            <v>1.974619E-2</v>
          </cell>
          <cell r="T85">
            <v>0.81531640000000005</v>
          </cell>
        </row>
        <row r="86">
          <cell r="B86" t="str">
            <v>ExxonMobil</v>
          </cell>
          <cell r="O86">
            <v>0.34633350000000002</v>
          </cell>
          <cell r="T86">
            <v>0.34633350000000002</v>
          </cell>
        </row>
        <row r="87">
          <cell r="B87" t="str">
            <v>ExxonMobil</v>
          </cell>
          <cell r="O87">
            <v>3.1887599999999998</v>
          </cell>
          <cell r="T87">
            <v>0.2002312</v>
          </cell>
        </row>
        <row r="88">
          <cell r="B88" t="str">
            <v>ExxonMobil</v>
          </cell>
          <cell r="O88">
            <v>35.627929999999999</v>
          </cell>
          <cell r="T88">
            <v>5.2068900000000001E-2</v>
          </cell>
        </row>
        <row r="89">
          <cell r="B89" t="str">
            <v>ExxonMobil</v>
          </cell>
          <cell r="N89">
            <v>2.4906320000000002</v>
          </cell>
          <cell r="O89">
            <v>1.2707299999999999E-2</v>
          </cell>
          <cell r="S89">
            <v>1.772289</v>
          </cell>
          <cell r="T89">
            <v>1.2707299999999999E-2</v>
          </cell>
        </row>
        <row r="90">
          <cell r="B90" t="str">
            <v>ExxonMobil</v>
          </cell>
          <cell r="N90">
            <v>126.7212</v>
          </cell>
          <cell r="O90">
            <v>1.6869720000000001E-2</v>
          </cell>
          <cell r="S90">
            <v>72.666910000000001</v>
          </cell>
          <cell r="T90">
            <v>1.6869720000000001E-2</v>
          </cell>
        </row>
        <row r="91">
          <cell r="B91" t="str">
            <v>ExxonMobil</v>
          </cell>
          <cell r="N91">
            <v>300.62580000000003</v>
          </cell>
          <cell r="S91">
            <v>220.11</v>
          </cell>
        </row>
        <row r="92">
          <cell r="B92" t="str">
            <v>ExxonMobil</v>
          </cell>
          <cell r="N92">
            <v>1.1339859999999999</v>
          </cell>
          <cell r="S92">
            <v>1.0380940000000001</v>
          </cell>
        </row>
        <row r="93">
          <cell r="B93" t="str">
            <v>ExxonMobil</v>
          </cell>
          <cell r="O93">
            <v>0.2001145</v>
          </cell>
          <cell r="T93">
            <v>0.2001145</v>
          </cell>
        </row>
        <row r="94">
          <cell r="B94" t="str">
            <v>ExxonMobil</v>
          </cell>
          <cell r="N94">
            <v>0</v>
          </cell>
          <cell r="O94">
            <v>1.3293010000000001</v>
          </cell>
          <cell r="S94">
            <v>0.17191699999999999</v>
          </cell>
          <cell r="T94">
            <v>47.931950000000001</v>
          </cell>
        </row>
        <row r="95">
          <cell r="B95" t="str">
            <v>ExxonMobil</v>
          </cell>
          <cell r="O95">
            <v>0.1011967</v>
          </cell>
          <cell r="S95">
            <v>0</v>
          </cell>
          <cell r="T95">
            <v>0.1011967</v>
          </cell>
        </row>
        <row r="96">
          <cell r="B96" t="str">
            <v>ExxonMobil</v>
          </cell>
          <cell r="O96">
            <v>0.60104009999999997</v>
          </cell>
          <cell r="T96">
            <v>0.67426969999999997</v>
          </cell>
        </row>
        <row r="97">
          <cell r="B97" t="str">
            <v>ExxonMobil</v>
          </cell>
          <cell r="O97">
            <v>9.8894099999999999E-2</v>
          </cell>
          <cell r="T97">
            <v>9.8894099999999999E-2</v>
          </cell>
        </row>
        <row r="98">
          <cell r="B98" t="str">
            <v>ExxonMobil</v>
          </cell>
          <cell r="N98">
            <v>48.526150000000001</v>
          </cell>
          <cell r="S98">
            <v>12.33526</v>
          </cell>
        </row>
        <row r="99">
          <cell r="B99" t="str">
            <v>ExxonMobil</v>
          </cell>
          <cell r="N99">
            <v>146.12540000000001</v>
          </cell>
          <cell r="O99">
            <v>4.0445309999999996E-3</v>
          </cell>
          <cell r="S99">
            <v>147.35220000000001</v>
          </cell>
          <cell r="T99">
            <v>7.0686100000000003E-3</v>
          </cell>
        </row>
        <row r="100">
          <cell r="B100" t="str">
            <v>ExxonMobil</v>
          </cell>
          <cell r="O100">
            <v>2.513796E-3</v>
          </cell>
          <cell r="T100">
            <v>2.513796E-3</v>
          </cell>
        </row>
        <row r="101">
          <cell r="B101" t="str">
            <v>ExxonMobil</v>
          </cell>
        </row>
        <row r="102">
          <cell r="B102" t="str">
            <v>ExxonMobil</v>
          </cell>
          <cell r="O102">
            <v>4.226162E-2</v>
          </cell>
          <cell r="T102">
            <v>4.226162E-2</v>
          </cell>
        </row>
        <row r="103">
          <cell r="B103" t="str">
            <v>ExxonMobil</v>
          </cell>
          <cell r="N103">
            <v>191.38470000000001</v>
          </cell>
          <cell r="O103">
            <v>0.44101040000000002</v>
          </cell>
          <cell r="S103">
            <v>249.59440000000001</v>
          </cell>
          <cell r="T103">
            <v>0.44101040000000002</v>
          </cell>
        </row>
        <row r="104">
          <cell r="B104" t="str">
            <v>ExxonMobil</v>
          </cell>
          <cell r="N104">
            <v>248.25479999999999</v>
          </cell>
          <cell r="O104">
            <v>0.46709590000000001</v>
          </cell>
          <cell r="S104">
            <v>150.51159999999999</v>
          </cell>
          <cell r="T104">
            <v>0.46709590000000001</v>
          </cell>
        </row>
        <row r="105">
          <cell r="B105" t="str">
            <v>ExxonMobil</v>
          </cell>
          <cell r="N105">
            <v>220.5205</v>
          </cell>
          <cell r="O105">
            <v>0.95479270000000005</v>
          </cell>
          <cell r="S105">
            <v>138.1172</v>
          </cell>
          <cell r="T105">
            <v>0.9547928</v>
          </cell>
        </row>
        <row r="106">
          <cell r="B106" t="str">
            <v>ExxonMobil</v>
          </cell>
          <cell r="O106">
            <v>1.772035</v>
          </cell>
          <cell r="T106">
            <v>1.772035</v>
          </cell>
        </row>
        <row r="107">
          <cell r="B107" t="str">
            <v>ExxonMobil</v>
          </cell>
          <cell r="N107">
            <v>1.6950810000000001</v>
          </cell>
          <cell r="S107">
            <v>1.4475849999999999</v>
          </cell>
        </row>
        <row r="108">
          <cell r="B108" t="str">
            <v>ExxonMobil</v>
          </cell>
          <cell r="O108">
            <v>6.8337859999999999</v>
          </cell>
          <cell r="S108">
            <v>0</v>
          </cell>
          <cell r="T108">
            <v>6.8337849999999998</v>
          </cell>
        </row>
        <row r="109">
          <cell r="B109" t="str">
            <v>ExxonMobil</v>
          </cell>
          <cell r="O109">
            <v>0.93116639999999995</v>
          </cell>
          <cell r="T109">
            <v>0.93116639999999995</v>
          </cell>
        </row>
        <row r="110">
          <cell r="B110" t="str">
            <v>ExxonMobil</v>
          </cell>
          <cell r="O110">
            <v>1.936002</v>
          </cell>
          <cell r="T110">
            <v>43.557690000000001</v>
          </cell>
        </row>
        <row r="111">
          <cell r="B111" t="str">
            <v>ExxonMobil</v>
          </cell>
          <cell r="O111">
            <v>5.4254569999999998E-4</v>
          </cell>
          <cell r="T111">
            <v>5.4254559999999995E-4</v>
          </cell>
        </row>
        <row r="112">
          <cell r="B112" t="str">
            <v>ExxonMobil</v>
          </cell>
          <cell r="O112">
            <v>8.4007209999999999E-3</v>
          </cell>
          <cell r="T112">
            <v>8.4007209999999999E-3</v>
          </cell>
        </row>
        <row r="113">
          <cell r="B113" t="str">
            <v>ExxonMobil</v>
          </cell>
          <cell r="O113">
            <v>0.31186419999999998</v>
          </cell>
          <cell r="T113">
            <v>0.31186419999999998</v>
          </cell>
        </row>
        <row r="114">
          <cell r="B114" t="str">
            <v>ExxonMobil</v>
          </cell>
          <cell r="N114">
            <v>18.967099999999999</v>
          </cell>
          <cell r="S114">
            <v>18.328869999999998</v>
          </cell>
        </row>
        <row r="115">
          <cell r="B115" t="str">
            <v>ExxonMobil</v>
          </cell>
          <cell r="O115">
            <v>11.143829999999999</v>
          </cell>
          <cell r="T115">
            <v>9.4924119999999998</v>
          </cell>
        </row>
        <row r="116">
          <cell r="B116" t="str">
            <v>ExxonMobil</v>
          </cell>
          <cell r="O116">
            <v>0.68392960000000003</v>
          </cell>
          <cell r="T116">
            <v>0.68392960000000003</v>
          </cell>
        </row>
        <row r="117">
          <cell r="B117" t="str">
            <v>ExxonMobil</v>
          </cell>
          <cell r="O117">
            <v>0.181062</v>
          </cell>
          <cell r="T117">
            <v>0.181062</v>
          </cell>
        </row>
        <row r="118">
          <cell r="B118" t="str">
            <v>ExxonMobil</v>
          </cell>
          <cell r="N118">
            <v>176.45910000000001</v>
          </cell>
          <cell r="O118">
            <v>5.8642849999999997</v>
          </cell>
          <cell r="S118">
            <v>160.11199999999999</v>
          </cell>
          <cell r="T118">
            <v>137.61080000000001</v>
          </cell>
        </row>
        <row r="119">
          <cell r="B119" t="str">
            <v>ExxonMobil</v>
          </cell>
          <cell r="N119">
            <v>42.188339999999997</v>
          </cell>
          <cell r="O119">
            <v>3.5745140000000002</v>
          </cell>
          <cell r="S119">
            <v>32.199089999999998</v>
          </cell>
          <cell r="T119">
            <v>0.52640430000000005</v>
          </cell>
        </row>
        <row r="120">
          <cell r="B120" t="str">
            <v>ExxonMobil</v>
          </cell>
          <cell r="O120">
            <v>42.326120000000003</v>
          </cell>
          <cell r="T120">
            <v>6.9162249999999995E-2</v>
          </cell>
        </row>
        <row r="121">
          <cell r="B121" t="str">
            <v>ExxonMobil</v>
          </cell>
          <cell r="N121">
            <v>9.5528329999999997</v>
          </cell>
        </row>
        <row r="122">
          <cell r="B122" t="str">
            <v>ExxonMobil</v>
          </cell>
          <cell r="N122">
            <v>81.288290000000003</v>
          </cell>
          <cell r="O122">
            <v>2.7198650000000001E-2</v>
          </cell>
        </row>
        <row r="123">
          <cell r="B123" t="str">
            <v>ExxonMobil</v>
          </cell>
          <cell r="N123">
            <v>6.2465809999999999</v>
          </cell>
          <cell r="O123">
            <v>6.1960649999999997E-3</v>
          </cell>
        </row>
        <row r="124">
          <cell r="B124" t="str">
            <v>ExxonMobil</v>
          </cell>
          <cell r="O124">
            <v>4.4313479999999999E-3</v>
          </cell>
        </row>
        <row r="125">
          <cell r="B125" t="str">
            <v>ExxonMobil</v>
          </cell>
          <cell r="N125">
            <v>3.1251199999999999</v>
          </cell>
          <cell r="O125">
            <v>8.9845709999999995E-2</v>
          </cell>
        </row>
        <row r="126">
          <cell r="B126" t="str">
            <v>ExxonMobil</v>
          </cell>
          <cell r="O126">
            <v>1.336072E-2</v>
          </cell>
        </row>
        <row r="127">
          <cell r="B127" t="str">
            <v>ExxonMobil</v>
          </cell>
          <cell r="N127">
            <v>6.2496409999999996</v>
          </cell>
          <cell r="O127">
            <v>19.319590000000002</v>
          </cell>
        </row>
        <row r="128">
          <cell r="B128" t="str">
            <v>ExxonMobil</v>
          </cell>
          <cell r="O128">
            <v>0.20735000000000001</v>
          </cell>
          <cell r="T128">
            <v>0.20735000000000001</v>
          </cell>
        </row>
        <row r="129">
          <cell r="B129" t="str">
            <v>ExxonMobil</v>
          </cell>
          <cell r="N129">
            <v>0.22609850000000001</v>
          </cell>
          <cell r="O129">
            <v>0.23329859999999999</v>
          </cell>
          <cell r="S129">
            <v>0.17041999999999999</v>
          </cell>
          <cell r="T129">
            <v>67.654499999999999</v>
          </cell>
        </row>
        <row r="130">
          <cell r="B130" t="str">
            <v>ExxonMobil</v>
          </cell>
          <cell r="N130">
            <v>68.37585</v>
          </cell>
          <cell r="O130">
            <v>0.55448379999999997</v>
          </cell>
          <cell r="S130">
            <v>138.69569999999999</v>
          </cell>
          <cell r="T130">
            <v>0.55448379999999997</v>
          </cell>
        </row>
        <row r="131">
          <cell r="B131" t="str">
            <v>ExxonMobil</v>
          </cell>
          <cell r="O131">
            <v>9.8600000000000007E-3</v>
          </cell>
          <cell r="T131">
            <v>9.8600000000000007E-3</v>
          </cell>
        </row>
        <row r="132">
          <cell r="B132" t="str">
            <v>ExxonMobil</v>
          </cell>
          <cell r="O132">
            <v>0.84488160000000001</v>
          </cell>
          <cell r="T132">
            <v>3.7035149999999999</v>
          </cell>
        </row>
        <row r="133">
          <cell r="B133" t="str">
            <v>ExxonMobil</v>
          </cell>
          <cell r="O133">
            <v>0.15384600000000001</v>
          </cell>
          <cell r="T133">
            <v>0.15384600000000001</v>
          </cell>
        </row>
        <row r="134">
          <cell r="B134" t="str">
            <v>ExxonMobil</v>
          </cell>
          <cell r="N134">
            <v>2321.627</v>
          </cell>
          <cell r="O134">
            <v>624.66560000000004</v>
          </cell>
          <cell r="S134">
            <v>1024.903</v>
          </cell>
          <cell r="T134">
            <v>248.55250000000001</v>
          </cell>
        </row>
        <row r="135">
          <cell r="B135" t="str">
            <v>ExxonMobil</v>
          </cell>
          <cell r="N135">
            <v>555.26980000000003</v>
          </cell>
          <cell r="O135">
            <v>129.839</v>
          </cell>
          <cell r="S135">
            <v>52.516080000000002</v>
          </cell>
          <cell r="T135">
            <v>10.85449</v>
          </cell>
        </row>
        <row r="136">
          <cell r="B136" t="str">
            <v>ExxonMobil</v>
          </cell>
          <cell r="N136">
            <v>1821.8620000000001</v>
          </cell>
          <cell r="O136">
            <v>546.73710000000005</v>
          </cell>
          <cell r="S136">
            <v>995.09109999999998</v>
          </cell>
          <cell r="T136">
            <v>253.67619999999999</v>
          </cell>
        </row>
        <row r="137">
          <cell r="B137" t="str">
            <v>ExxonMobil</v>
          </cell>
          <cell r="N137">
            <v>36.195950000000003</v>
          </cell>
          <cell r="O137">
            <v>0.1706358</v>
          </cell>
          <cell r="S137">
            <v>28.29121</v>
          </cell>
          <cell r="T137">
            <v>0.13416719999999999</v>
          </cell>
        </row>
        <row r="138">
          <cell r="B138" t="str">
            <v>ExxonMobil</v>
          </cell>
          <cell r="N138">
            <v>19.70036</v>
          </cell>
          <cell r="O138">
            <v>0.21946189999999999</v>
          </cell>
          <cell r="S138">
            <v>13.588200000000001</v>
          </cell>
          <cell r="T138">
            <v>1.846895</v>
          </cell>
        </row>
        <row r="139">
          <cell r="B139" t="str">
            <v>ExxonMobil</v>
          </cell>
          <cell r="N139">
            <v>6.1566530000000004</v>
          </cell>
          <cell r="O139">
            <v>8.5061239999999996E-2</v>
          </cell>
          <cell r="S139">
            <v>4.9896269999999996</v>
          </cell>
          <cell r="T139">
            <v>0.68524189999999996</v>
          </cell>
        </row>
        <row r="140">
          <cell r="B140" t="str">
            <v>ExxonMobil</v>
          </cell>
          <cell r="O140">
            <v>0.27732950000000001</v>
          </cell>
          <cell r="T140">
            <v>0.27732950000000001</v>
          </cell>
        </row>
        <row r="141">
          <cell r="B141" t="str">
            <v>ExxonMobil</v>
          </cell>
          <cell r="N141">
            <v>140.0641</v>
          </cell>
          <cell r="O141">
            <v>0.44854549999999999</v>
          </cell>
          <cell r="S141">
            <v>98.691410000000005</v>
          </cell>
          <cell r="T141">
            <v>2.022275</v>
          </cell>
        </row>
        <row r="142">
          <cell r="B142" t="str">
            <v>ExxonMobil</v>
          </cell>
          <cell r="N142">
            <v>69.874759999999995</v>
          </cell>
          <cell r="O142">
            <v>9.0822899999999998E-2</v>
          </cell>
          <cell r="S142">
            <v>52.757269999999998</v>
          </cell>
          <cell r="T142">
            <v>3.5886000000000001E-2</v>
          </cell>
        </row>
        <row r="143">
          <cell r="B143" t="str">
            <v>ExxonMobil</v>
          </cell>
          <cell r="N143">
            <v>27.028199999999998</v>
          </cell>
          <cell r="S143">
            <v>22.470669999999998</v>
          </cell>
        </row>
        <row r="144">
          <cell r="B144" t="str">
            <v>ExxonMobil</v>
          </cell>
          <cell r="O144">
            <v>8.0947909999999998E-2</v>
          </cell>
        </row>
        <row r="145">
          <cell r="B145" t="str">
            <v>ExxonMobil</v>
          </cell>
          <cell r="N145">
            <v>106.83410000000001</v>
          </cell>
          <cell r="S145">
            <v>93.241609999999994</v>
          </cell>
        </row>
        <row r="146">
          <cell r="B146" t="str">
            <v>ExxonMobil</v>
          </cell>
          <cell r="N146">
            <v>1.474817</v>
          </cell>
          <cell r="S146">
            <v>1.387532</v>
          </cell>
        </row>
        <row r="147">
          <cell r="B147" t="str">
            <v>ExxonMobil</v>
          </cell>
          <cell r="O147">
            <v>0.467358</v>
          </cell>
          <cell r="S147">
            <v>0</v>
          </cell>
          <cell r="T147">
            <v>0.39572400000000002</v>
          </cell>
        </row>
        <row r="148">
          <cell r="B148" t="str">
            <v>ExxonMobil</v>
          </cell>
        </row>
        <row r="149">
          <cell r="B149" t="str">
            <v>ExxonMobil</v>
          </cell>
          <cell r="N149">
            <v>42.311230000000002</v>
          </cell>
          <cell r="S149">
            <v>30.43291</v>
          </cell>
        </row>
        <row r="150">
          <cell r="B150" t="str">
            <v>ExxonMobil</v>
          </cell>
          <cell r="N150">
            <v>3.6930139999999998</v>
          </cell>
          <cell r="S150">
            <v>2.8177189999999999</v>
          </cell>
        </row>
        <row r="151">
          <cell r="B151" t="str">
            <v>ExxonMobil</v>
          </cell>
          <cell r="N151">
            <v>382.98430000000002</v>
          </cell>
          <cell r="S151">
            <v>317.64909999999998</v>
          </cell>
        </row>
        <row r="152">
          <cell r="B152" t="str">
            <v>ExxonMobil</v>
          </cell>
          <cell r="N152">
            <v>38.367150000000002</v>
          </cell>
          <cell r="O152">
            <v>14.84614</v>
          </cell>
          <cell r="S152">
            <v>90.123760000000004</v>
          </cell>
          <cell r="T152">
            <v>31.563870000000001</v>
          </cell>
        </row>
        <row r="153">
          <cell r="B153" t="str">
            <v>ExxonMobil</v>
          </cell>
          <cell r="O153">
            <v>0.5968656</v>
          </cell>
          <cell r="T153">
            <v>0.5968656</v>
          </cell>
        </row>
        <row r="154">
          <cell r="B154" t="str">
            <v>ExxonMobil</v>
          </cell>
          <cell r="N154">
            <v>161.7218</v>
          </cell>
          <cell r="O154">
            <v>4.8894789999999997</v>
          </cell>
          <cell r="S154">
            <v>115.5548</v>
          </cell>
          <cell r="T154">
            <v>1.895273</v>
          </cell>
        </row>
        <row r="155">
          <cell r="B155" t="str">
            <v>ExxonMobil</v>
          </cell>
          <cell r="O155">
            <v>9.1435579999999995E-3</v>
          </cell>
          <cell r="T155">
            <v>9.1435579999999995E-3</v>
          </cell>
        </row>
        <row r="156">
          <cell r="B156" t="str">
            <v>ExxonMobil</v>
          </cell>
          <cell r="O156">
            <v>5.0694910000000003E-2</v>
          </cell>
          <cell r="T156">
            <v>0.10107820000000001</v>
          </cell>
        </row>
        <row r="157">
          <cell r="B157" t="str">
            <v>ExxonMobil</v>
          </cell>
          <cell r="N157">
            <v>5.1590000000000004E-3</v>
          </cell>
          <cell r="S157">
            <v>3.9845000000000002E-3</v>
          </cell>
        </row>
        <row r="158">
          <cell r="B158" t="str">
            <v>ExxonMobil</v>
          </cell>
          <cell r="N158">
            <v>9.9262639999999998</v>
          </cell>
          <cell r="O158">
            <v>2.7786729999999999</v>
          </cell>
          <cell r="S158">
            <v>12.548249999999999</v>
          </cell>
          <cell r="T158">
            <v>2.4050760000000002</v>
          </cell>
        </row>
        <row r="159">
          <cell r="B159" t="str">
            <v>ExxonMobil</v>
          </cell>
          <cell r="O159">
            <v>5.72726E-2</v>
          </cell>
          <cell r="T159">
            <v>1.9706049999999999E-2</v>
          </cell>
        </row>
        <row r="160">
          <cell r="B160" t="str">
            <v>ExxonMobil</v>
          </cell>
          <cell r="O160">
            <v>0.72745020000000005</v>
          </cell>
          <cell r="T160">
            <v>0.72745020000000005</v>
          </cell>
        </row>
        <row r="161">
          <cell r="B161" t="str">
            <v>ExxonMobil</v>
          </cell>
        </row>
        <row r="162">
          <cell r="B162" t="str">
            <v>ExxonMobil</v>
          </cell>
          <cell r="N162">
            <v>37.174970000000002</v>
          </cell>
          <cell r="O162">
            <v>3.6882999999999999E-2</v>
          </cell>
          <cell r="S162">
            <v>36.118299999999998</v>
          </cell>
          <cell r="T162">
            <v>3.6882999999999999E-2</v>
          </cell>
        </row>
        <row r="163">
          <cell r="B163" t="str">
            <v>ExxonMobil</v>
          </cell>
          <cell r="O163">
            <v>2.4095999999999999E-2</v>
          </cell>
          <cell r="T163">
            <v>2.4095999999999999E-2</v>
          </cell>
        </row>
        <row r="164">
          <cell r="B164" t="str">
            <v>ExxonMobil</v>
          </cell>
          <cell r="N164">
            <v>12.05715</v>
          </cell>
          <cell r="S164">
            <v>9.4469899999999996</v>
          </cell>
        </row>
        <row r="165">
          <cell r="B165" t="str">
            <v>ExxonMobil</v>
          </cell>
          <cell r="N165">
            <v>25.384879999999999</v>
          </cell>
          <cell r="S165">
            <v>21.565529999999999</v>
          </cell>
        </row>
        <row r="166">
          <cell r="B166" t="str">
            <v>ExxonMobil</v>
          </cell>
          <cell r="O166">
            <v>0.76144250000000002</v>
          </cell>
          <cell r="T166">
            <v>0.76144250000000002</v>
          </cell>
        </row>
        <row r="167">
          <cell r="B167" t="str">
            <v>ExxonMobil</v>
          </cell>
          <cell r="O167">
            <v>3.9233949999999997E-2</v>
          </cell>
          <cell r="T167">
            <v>3.9233949999999997E-2</v>
          </cell>
        </row>
        <row r="168">
          <cell r="B168" t="str">
            <v>ExxonMobil</v>
          </cell>
          <cell r="O168">
            <v>2.5551480000000001E-2</v>
          </cell>
          <cell r="T168">
            <v>2.2441800000000001</v>
          </cell>
        </row>
        <row r="169">
          <cell r="B169" t="str">
            <v>ExxonMobil</v>
          </cell>
          <cell r="N169">
            <v>3.0868199999999999</v>
          </cell>
          <cell r="O169">
            <v>4.9753400000000003E-2</v>
          </cell>
          <cell r="S169">
            <v>2.5499710000000002</v>
          </cell>
          <cell r="T169">
            <v>4.9753400000000003E-2</v>
          </cell>
        </row>
        <row r="170">
          <cell r="B170" t="str">
            <v>ExxonMobil</v>
          </cell>
          <cell r="N170">
            <v>152.09190000000001</v>
          </cell>
          <cell r="O170">
            <v>26.683160000000001</v>
          </cell>
          <cell r="S170">
            <v>169.8519</v>
          </cell>
          <cell r="T170">
            <v>27.677489999999999</v>
          </cell>
        </row>
        <row r="171">
          <cell r="B171" t="str">
            <v>ExxonMobil</v>
          </cell>
          <cell r="O171">
            <v>1.4570400000000001E-2</v>
          </cell>
          <cell r="T171">
            <v>1.4570400000000001E-2</v>
          </cell>
        </row>
        <row r="172">
          <cell r="B172" t="str">
            <v>ExxonMobil</v>
          </cell>
        </row>
        <row r="173">
          <cell r="B173" t="str">
            <v>ExxonMobil</v>
          </cell>
          <cell r="N173">
            <v>627.12459999999999</v>
          </cell>
          <cell r="O173">
            <v>52.087029999999999</v>
          </cell>
          <cell r="S173">
            <v>518.51710000000003</v>
          </cell>
          <cell r="T173">
            <v>41.594299999999997</v>
          </cell>
        </row>
        <row r="174">
          <cell r="B174" t="str">
            <v>ExxonMobil</v>
          </cell>
          <cell r="N174">
            <v>0.36131799999999997</v>
          </cell>
          <cell r="S174">
            <v>0.28228900000000001</v>
          </cell>
        </row>
        <row r="175">
          <cell r="B175" t="str">
            <v>ExxonMobil</v>
          </cell>
          <cell r="N175">
            <v>0.20242009999999999</v>
          </cell>
          <cell r="S175">
            <v>9.9398990000000007E-2</v>
          </cell>
        </row>
        <row r="176">
          <cell r="B176" t="str">
            <v>ExxonMobil</v>
          </cell>
          <cell r="N176">
            <v>0</v>
          </cell>
          <cell r="O176">
            <v>7.9041500000000001E-2</v>
          </cell>
          <cell r="S176">
            <v>90</v>
          </cell>
          <cell r="T176">
            <v>4.9537499999999998E-2</v>
          </cell>
        </row>
        <row r="177">
          <cell r="B177" t="str">
            <v>ExxonMobil</v>
          </cell>
        </row>
        <row r="178">
          <cell r="B178" t="str">
            <v>ExxonMobil</v>
          </cell>
          <cell r="O178">
            <v>3.8775499999999997E-2</v>
          </cell>
          <cell r="T178">
            <v>2.43015E-2</v>
          </cell>
        </row>
        <row r="179">
          <cell r="B179" t="str">
            <v>ExxonMobil</v>
          </cell>
          <cell r="N179">
            <v>947.43600000000004</v>
          </cell>
          <cell r="O179">
            <v>21.575679999999998</v>
          </cell>
          <cell r="S179">
            <v>706.04939999999999</v>
          </cell>
          <cell r="T179">
            <v>21.32469</v>
          </cell>
        </row>
        <row r="180">
          <cell r="B180" t="str">
            <v>ExxonMobil</v>
          </cell>
          <cell r="O180">
            <v>5.8442790000000001E-2</v>
          </cell>
          <cell r="T180">
            <v>8.2615460000000002E-2</v>
          </cell>
        </row>
        <row r="181">
          <cell r="B181" t="str">
            <v>ExxonMobil</v>
          </cell>
          <cell r="N181">
            <v>7.9981010000000001</v>
          </cell>
          <cell r="S181">
            <v>6.6187060000000004</v>
          </cell>
        </row>
        <row r="182">
          <cell r="B182" t="str">
            <v>ExxonMobil</v>
          </cell>
          <cell r="N182">
            <v>17.478210000000001</v>
          </cell>
          <cell r="S182">
            <v>14.550750000000001</v>
          </cell>
        </row>
        <row r="183">
          <cell r="B183" t="str">
            <v>ExxonMobil</v>
          </cell>
          <cell r="O183">
            <v>0.61044480000000001</v>
          </cell>
          <cell r="T183">
            <v>0.61044480000000001</v>
          </cell>
        </row>
        <row r="184">
          <cell r="B184" t="str">
            <v>ExxonMobil</v>
          </cell>
        </row>
        <row r="185">
          <cell r="B185" t="str">
            <v>ExxonMobil</v>
          </cell>
          <cell r="O185">
            <v>1.0812E-2</v>
          </cell>
          <cell r="T185">
            <v>0</v>
          </cell>
        </row>
        <row r="186">
          <cell r="B186" t="str">
            <v>ExxonMobil</v>
          </cell>
          <cell r="O186">
            <v>-1.9553999999999998E-2</v>
          </cell>
          <cell r="T186">
            <v>0</v>
          </cell>
        </row>
        <row r="187">
          <cell r="B187" t="str">
            <v>ExxonMobil</v>
          </cell>
          <cell r="O187">
            <v>-8.2217579999999995</v>
          </cell>
          <cell r="T187">
            <v>0</v>
          </cell>
        </row>
        <row r="188">
          <cell r="B188" t="str">
            <v>ExxonMobil</v>
          </cell>
        </row>
        <row r="189">
          <cell r="B189" t="str">
            <v>ExxonMobil</v>
          </cell>
          <cell r="O189">
            <v>2.755614</v>
          </cell>
          <cell r="T189">
            <v>0</v>
          </cell>
        </row>
        <row r="190">
          <cell r="B190" t="str">
            <v>ExxonMobil</v>
          </cell>
          <cell r="O190">
            <v>4.4872000000000002E-2</v>
          </cell>
          <cell r="T190">
            <v>0</v>
          </cell>
        </row>
        <row r="191">
          <cell r="B191" t="str">
            <v>ExxonMobil</v>
          </cell>
          <cell r="O191">
            <v>3.0667019999999998</v>
          </cell>
          <cell r="T191">
            <v>0</v>
          </cell>
        </row>
        <row r="192">
          <cell r="B192" t="str">
            <v>ExxonMobil</v>
          </cell>
          <cell r="O192">
            <v>10.72555</v>
          </cell>
          <cell r="T192">
            <v>0</v>
          </cell>
        </row>
        <row r="193">
          <cell r="B193" t="str">
            <v>ExxonMobil</v>
          </cell>
          <cell r="O193">
            <v>153.40790000000001</v>
          </cell>
          <cell r="T193">
            <v>0</v>
          </cell>
        </row>
        <row r="194">
          <cell r="B194" t="str">
            <v>ExxonMobil</v>
          </cell>
          <cell r="O194">
            <v>0.16146199999999999</v>
          </cell>
          <cell r="T194">
            <v>0</v>
          </cell>
        </row>
        <row r="195">
          <cell r="B195" t="str">
            <v>ExxonMobil</v>
          </cell>
          <cell r="O195">
            <v>0.21352599999999999</v>
          </cell>
          <cell r="T195">
            <v>0</v>
          </cell>
        </row>
        <row r="196">
          <cell r="B196" t="str">
            <v>ExxonMobil</v>
          </cell>
          <cell r="O196">
            <v>1.811866</v>
          </cell>
          <cell r="T196">
            <v>0</v>
          </cell>
        </row>
        <row r="197">
          <cell r="B197" t="str">
            <v>ExxonMobil</v>
          </cell>
          <cell r="O197">
            <v>0.37950800000000001</v>
          </cell>
          <cell r="T197">
            <v>0</v>
          </cell>
        </row>
        <row r="198">
          <cell r="B198" t="str">
            <v>ExxonMobil</v>
          </cell>
          <cell r="O198">
            <v>6.5336000000000005E-2</v>
          </cell>
          <cell r="T198">
            <v>0</v>
          </cell>
        </row>
        <row r="199">
          <cell r="B199" t="str">
            <v>ExxonMobil</v>
          </cell>
          <cell r="O199">
            <v>55.583500000000001</v>
          </cell>
          <cell r="T199">
            <v>0</v>
          </cell>
        </row>
        <row r="200">
          <cell r="B200" t="str">
            <v>ExxonMobil</v>
          </cell>
          <cell r="O200">
            <v>4.2099719999999996</v>
          </cell>
          <cell r="T200">
            <v>0</v>
          </cell>
        </row>
        <row r="201">
          <cell r="B201" t="str">
            <v>ExxonMobil</v>
          </cell>
          <cell r="O201">
            <v>-1.687E-2</v>
          </cell>
          <cell r="T201">
            <v>0</v>
          </cell>
        </row>
        <row r="202">
          <cell r="B202" t="str">
            <v>ExxonMobil</v>
          </cell>
          <cell r="O202">
            <v>18.46856</v>
          </cell>
          <cell r="T202">
            <v>0</v>
          </cell>
        </row>
        <row r="203">
          <cell r="B203" t="str">
            <v>ExxonMobil</v>
          </cell>
          <cell r="O203">
            <v>64.12961</v>
          </cell>
          <cell r="T203">
            <v>0</v>
          </cell>
        </row>
        <row r="204">
          <cell r="B204" t="str">
            <v>ExxonMobil</v>
          </cell>
          <cell r="O204">
            <v>1.386088</v>
          </cell>
          <cell r="T204">
            <v>0</v>
          </cell>
        </row>
        <row r="205">
          <cell r="B205" t="str">
            <v>ExxonMobil</v>
          </cell>
          <cell r="O205">
            <v>1.1839839999999999</v>
          </cell>
          <cell r="T205">
            <v>0</v>
          </cell>
        </row>
        <row r="206">
          <cell r="B206" t="str">
            <v>ExxonMobil</v>
          </cell>
          <cell r="O206">
            <v>6.3850000000000004E-2</v>
          </cell>
          <cell r="T206">
            <v>0</v>
          </cell>
        </row>
        <row r="207">
          <cell r="B207" t="str">
            <v>ExxonMobil</v>
          </cell>
          <cell r="O207">
            <v>1.2593240000000001</v>
          </cell>
          <cell r="T207">
            <v>0</v>
          </cell>
        </row>
        <row r="208">
          <cell r="B208" t="str">
            <v>ExxonMobil</v>
          </cell>
          <cell r="O208">
            <v>1.0332600000000001</v>
          </cell>
          <cell r="T208">
            <v>0</v>
          </cell>
        </row>
        <row r="209">
          <cell r="B209" t="str">
            <v>ExxonMobil</v>
          </cell>
          <cell r="O209">
            <v>2.7991199999999998</v>
          </cell>
          <cell r="T209">
            <v>0</v>
          </cell>
        </row>
        <row r="210">
          <cell r="B210" t="str">
            <v>ExxonMobil</v>
          </cell>
          <cell r="O210">
            <v>3.8762599999999998</v>
          </cell>
          <cell r="T210">
            <v>0</v>
          </cell>
        </row>
        <row r="211">
          <cell r="B211" t="str">
            <v>ExxonMobil</v>
          </cell>
          <cell r="O211">
            <v>61.677120000000002</v>
          </cell>
          <cell r="T211">
            <v>0</v>
          </cell>
        </row>
        <row r="212">
          <cell r="B212" t="str">
            <v>ExxonMobil</v>
          </cell>
          <cell r="O212">
            <v>0.35827399999999998</v>
          </cell>
          <cell r="T212">
            <v>0</v>
          </cell>
        </row>
        <row r="213">
          <cell r="B213" t="str">
            <v>ExxonMobil</v>
          </cell>
          <cell r="O213">
            <v>0.73995</v>
          </cell>
          <cell r="T213">
            <v>0</v>
          </cell>
        </row>
        <row r="214">
          <cell r="B214" t="str">
            <v>ExxonMobil</v>
          </cell>
          <cell r="O214">
            <v>21.854900000000001</v>
          </cell>
          <cell r="T214">
            <v>0</v>
          </cell>
        </row>
        <row r="215">
          <cell r="B215" t="str">
            <v>ExxonMobil</v>
          </cell>
          <cell r="O215">
            <v>20.22448</v>
          </cell>
          <cell r="T215">
            <v>0</v>
          </cell>
        </row>
        <row r="216">
          <cell r="B216" t="str">
            <v>ExxonMobil</v>
          </cell>
          <cell r="O216">
            <v>287.60129999999998</v>
          </cell>
          <cell r="T216">
            <v>0</v>
          </cell>
        </row>
        <row r="217">
          <cell r="B217" t="str">
            <v>ExxonMobil</v>
          </cell>
          <cell r="O217">
            <v>0.71310600000000002</v>
          </cell>
          <cell r="T217">
            <v>0</v>
          </cell>
        </row>
        <row r="218">
          <cell r="B218" t="str">
            <v>ExxonMobil</v>
          </cell>
          <cell r="O218">
            <v>-1357.1479999999999</v>
          </cell>
          <cell r="T218">
            <v>0</v>
          </cell>
        </row>
        <row r="219">
          <cell r="B219" t="str">
            <v>ExxonMobil</v>
          </cell>
          <cell r="O219">
            <v>12.622730000000001</v>
          </cell>
          <cell r="T219">
            <v>0</v>
          </cell>
        </row>
        <row r="220">
          <cell r="B220" t="str">
            <v>ExxonMobil</v>
          </cell>
          <cell r="O220">
            <v>-3.6352060000000002</v>
          </cell>
          <cell r="T220">
            <v>0</v>
          </cell>
        </row>
        <row r="221">
          <cell r="B221" t="str">
            <v>ExxonMobil</v>
          </cell>
          <cell r="O221">
            <v>-1.013198</v>
          </cell>
          <cell r="T221">
            <v>0</v>
          </cell>
        </row>
        <row r="222">
          <cell r="B222" t="str">
            <v>ExxonMobil</v>
          </cell>
          <cell r="O222">
            <v>-8.2858000000000001E-2</v>
          </cell>
          <cell r="T222">
            <v>0</v>
          </cell>
        </row>
        <row r="223">
          <cell r="B223" t="str">
            <v>ExxonMobil</v>
          </cell>
          <cell r="O223">
            <v>4.2580220000000004</v>
          </cell>
          <cell r="T223">
            <v>0</v>
          </cell>
        </row>
        <row r="224">
          <cell r="B224" t="str">
            <v>ExxonMobil</v>
          </cell>
          <cell r="O224">
            <v>-4.1675740000000001</v>
          </cell>
          <cell r="T224">
            <v>0</v>
          </cell>
        </row>
        <row r="225">
          <cell r="B225" t="str">
            <v>ExxonMobil</v>
          </cell>
          <cell r="O225">
            <v>-1.2723999999999999E-2</v>
          </cell>
          <cell r="T225">
            <v>0</v>
          </cell>
        </row>
        <row r="226">
          <cell r="B226" t="str">
            <v>ExxonMobil</v>
          </cell>
          <cell r="O226">
            <v>0.25490400000000002</v>
          </cell>
          <cell r="T226">
            <v>0</v>
          </cell>
        </row>
        <row r="227">
          <cell r="B227" t="str">
            <v>ExxonMobil</v>
          </cell>
          <cell r="O227">
            <v>6.3600000000000002E-3</v>
          </cell>
          <cell r="T227">
            <v>0</v>
          </cell>
        </row>
        <row r="228">
          <cell r="B228" t="str">
            <v>ExxonMobil</v>
          </cell>
          <cell r="O228">
            <v>0.44659199999999999</v>
          </cell>
          <cell r="T228">
            <v>0</v>
          </cell>
        </row>
        <row r="229">
          <cell r="B229" t="str">
            <v>BP</v>
          </cell>
          <cell r="O229">
            <v>0.20050599999999999</v>
          </cell>
          <cell r="T229">
            <v>0.20050599999999999</v>
          </cell>
        </row>
        <row r="230">
          <cell r="B230" t="str">
            <v>BP</v>
          </cell>
          <cell r="N230">
            <v>2.209854</v>
          </cell>
          <cell r="S230">
            <v>2.0620539999999998</v>
          </cell>
        </row>
        <row r="231">
          <cell r="B231" t="str">
            <v>BP</v>
          </cell>
          <cell r="N231">
            <v>127.00239999999999</v>
          </cell>
          <cell r="O231">
            <v>8.4803190000000001E-2</v>
          </cell>
          <cell r="S231">
            <v>29.997</v>
          </cell>
          <cell r="T231">
            <v>8.4803190000000001E-2</v>
          </cell>
        </row>
        <row r="232">
          <cell r="B232" t="str">
            <v>BP</v>
          </cell>
          <cell r="N232">
            <v>228.27109999999999</v>
          </cell>
          <cell r="O232">
            <v>8.9033370000000001E-2</v>
          </cell>
          <cell r="S232">
            <v>460.72109999999998</v>
          </cell>
          <cell r="T232">
            <v>3.7191299999999997E-2</v>
          </cell>
        </row>
        <row r="233">
          <cell r="B233" t="str">
            <v>BP</v>
          </cell>
          <cell r="O233">
            <v>0.1293957</v>
          </cell>
          <cell r="T233">
            <v>0.1293957</v>
          </cell>
        </row>
        <row r="234">
          <cell r="B234" t="str">
            <v>BP</v>
          </cell>
          <cell r="O234">
            <v>0.24448310000000001</v>
          </cell>
          <cell r="T234">
            <v>0.24448310000000001</v>
          </cell>
        </row>
        <row r="235">
          <cell r="B235" t="str">
            <v>BP</v>
          </cell>
          <cell r="O235">
            <v>0</v>
          </cell>
          <cell r="T235">
            <v>0</v>
          </cell>
        </row>
        <row r="236">
          <cell r="B236" t="str">
            <v>BP</v>
          </cell>
          <cell r="O236">
            <v>0</v>
          </cell>
          <cell r="T236">
            <v>0</v>
          </cell>
        </row>
        <row r="237">
          <cell r="B237" t="str">
            <v>BP</v>
          </cell>
          <cell r="O237">
            <v>0</v>
          </cell>
          <cell r="T237">
            <v>0</v>
          </cell>
        </row>
        <row r="238">
          <cell r="B238" t="str">
            <v>BP</v>
          </cell>
          <cell r="N238">
            <v>17.720839999999999</v>
          </cell>
          <cell r="S238">
            <v>22.499600000000001</v>
          </cell>
        </row>
        <row r="239">
          <cell r="B239" t="str">
            <v>BP</v>
          </cell>
          <cell r="N239">
            <v>53.594099999999997</v>
          </cell>
          <cell r="O239">
            <v>0.49112109999999998</v>
          </cell>
          <cell r="S239">
            <v>41.549460000000003</v>
          </cell>
          <cell r="T239">
            <v>0.49112109999999998</v>
          </cell>
        </row>
        <row r="240">
          <cell r="B240" t="str">
            <v>BP</v>
          </cell>
          <cell r="N240">
            <v>471.72669999999999</v>
          </cell>
          <cell r="O240">
            <v>0.24274560000000001</v>
          </cell>
          <cell r="S240">
            <v>435.01710000000003</v>
          </cell>
          <cell r="T240">
            <v>0.2332487</v>
          </cell>
        </row>
        <row r="241">
          <cell r="B241" t="str">
            <v>BP</v>
          </cell>
          <cell r="N241">
            <v>0.1240291</v>
          </cell>
          <cell r="S241">
            <v>2.4805799999999998</v>
          </cell>
        </row>
        <row r="242">
          <cell r="B242" t="str">
            <v>BP</v>
          </cell>
          <cell r="N242">
            <v>0</v>
          </cell>
        </row>
        <row r="243">
          <cell r="B243" t="str">
            <v>BP</v>
          </cell>
          <cell r="N243">
            <v>70.474369999999993</v>
          </cell>
          <cell r="O243">
            <v>0</v>
          </cell>
          <cell r="S243">
            <v>47.393129999999999</v>
          </cell>
          <cell r="T243">
            <v>0.90328600000000003</v>
          </cell>
        </row>
        <row r="244">
          <cell r="B244" t="str">
            <v>BP</v>
          </cell>
          <cell r="O244">
            <v>0.62673970000000001</v>
          </cell>
          <cell r="T244">
            <v>0.58975650000000002</v>
          </cell>
        </row>
        <row r="245">
          <cell r="B245" t="str">
            <v>BP</v>
          </cell>
          <cell r="N245">
            <v>61</v>
          </cell>
          <cell r="O245">
            <v>75.400899999999993</v>
          </cell>
          <cell r="S245">
            <v>305.91500000000002</v>
          </cell>
          <cell r="T245">
            <v>0.60729789999999995</v>
          </cell>
        </row>
        <row r="246">
          <cell r="B246" t="str">
            <v>BP</v>
          </cell>
          <cell r="O246">
            <v>4.0111179999999997</v>
          </cell>
          <cell r="T246">
            <v>4.0111169999999996</v>
          </cell>
        </row>
        <row r="247">
          <cell r="B247" t="str">
            <v>BP</v>
          </cell>
          <cell r="O247">
            <v>8.6036779999999993E-2</v>
          </cell>
          <cell r="T247">
            <v>8.6036779999999993E-2</v>
          </cell>
        </row>
        <row r="248">
          <cell r="B248" t="str">
            <v>BP</v>
          </cell>
          <cell r="O248">
            <v>0.16587730000000001</v>
          </cell>
          <cell r="T248">
            <v>0.16587730000000001</v>
          </cell>
        </row>
        <row r="249">
          <cell r="B249" t="str">
            <v>BP</v>
          </cell>
          <cell r="O249">
            <v>7.9691399999999996E-2</v>
          </cell>
          <cell r="T249">
            <v>7.9691399999999996E-2</v>
          </cell>
        </row>
        <row r="250">
          <cell r="B250" t="str">
            <v>BP</v>
          </cell>
          <cell r="O250">
            <v>5.8781E-2</v>
          </cell>
          <cell r="T250">
            <v>5.8781E-2</v>
          </cell>
        </row>
        <row r="251">
          <cell r="B251" t="str">
            <v>BP</v>
          </cell>
          <cell r="O251">
            <v>0</v>
          </cell>
          <cell r="T251">
            <v>0</v>
          </cell>
        </row>
        <row r="252">
          <cell r="B252" t="str">
            <v>BP</v>
          </cell>
          <cell r="O252">
            <v>0</v>
          </cell>
          <cell r="T252">
            <v>0</v>
          </cell>
        </row>
        <row r="253">
          <cell r="B253" t="str">
            <v>BP</v>
          </cell>
          <cell r="O253">
            <v>0.89689870000000005</v>
          </cell>
          <cell r="T253">
            <v>0.91511710000000002</v>
          </cell>
        </row>
        <row r="254">
          <cell r="B254" t="str">
            <v>BP</v>
          </cell>
          <cell r="O254">
            <v>0.8493735</v>
          </cell>
          <cell r="T254">
            <v>1.1538470000000001</v>
          </cell>
        </row>
        <row r="255">
          <cell r="B255" t="str">
            <v>BP</v>
          </cell>
          <cell r="O255">
            <v>0</v>
          </cell>
          <cell r="T255">
            <v>0</v>
          </cell>
        </row>
        <row r="256">
          <cell r="B256" t="str">
            <v>BP</v>
          </cell>
        </row>
        <row r="257">
          <cell r="B257" t="str">
            <v>BP</v>
          </cell>
          <cell r="N257">
            <v>739.74329999999998</v>
          </cell>
          <cell r="O257">
            <v>66.052409999999995</v>
          </cell>
          <cell r="S257">
            <v>512.1327</v>
          </cell>
          <cell r="T257">
            <v>52.103050000000003</v>
          </cell>
        </row>
        <row r="258">
          <cell r="B258" t="str">
            <v>BP</v>
          </cell>
          <cell r="N258">
            <v>786.61699999999996</v>
          </cell>
          <cell r="O258">
            <v>0.12410259999999999</v>
          </cell>
          <cell r="S258">
            <v>642.34580000000005</v>
          </cell>
          <cell r="T258">
            <v>151.1798</v>
          </cell>
        </row>
        <row r="259">
          <cell r="B259" t="str">
            <v>BP</v>
          </cell>
          <cell r="O259">
            <v>9.375E-2</v>
          </cell>
          <cell r="T259">
            <v>9.375E-2</v>
          </cell>
        </row>
        <row r="260">
          <cell r="B260" t="str">
            <v>BP</v>
          </cell>
          <cell r="N260">
            <v>0.79808069999999998</v>
          </cell>
          <cell r="O260">
            <v>0.10856540000000001</v>
          </cell>
          <cell r="S260">
            <v>0.64162669999999999</v>
          </cell>
          <cell r="T260">
            <v>0.10856540000000001</v>
          </cell>
        </row>
        <row r="261">
          <cell r="B261" t="str">
            <v>BP</v>
          </cell>
          <cell r="O261">
            <v>0.57499999999999996</v>
          </cell>
          <cell r="T261">
            <v>0.57499999999999996</v>
          </cell>
        </row>
        <row r="262">
          <cell r="B262" t="str">
            <v>BP</v>
          </cell>
          <cell r="O262">
            <v>0.2</v>
          </cell>
          <cell r="T262">
            <v>0.2</v>
          </cell>
        </row>
        <row r="263">
          <cell r="B263" t="str">
            <v>BP</v>
          </cell>
          <cell r="O263">
            <v>0</v>
          </cell>
          <cell r="T263">
            <v>0</v>
          </cell>
        </row>
        <row r="264">
          <cell r="B264" t="str">
            <v>BP</v>
          </cell>
          <cell r="O264">
            <v>0</v>
          </cell>
          <cell r="T264">
            <v>0</v>
          </cell>
        </row>
        <row r="265">
          <cell r="B265" t="str">
            <v>BP</v>
          </cell>
          <cell r="N265">
            <v>0</v>
          </cell>
          <cell r="O265">
            <v>0</v>
          </cell>
          <cell r="S265">
            <v>0</v>
          </cell>
          <cell r="T265">
            <v>0</v>
          </cell>
        </row>
        <row r="266">
          <cell r="B266" t="str">
            <v>BP</v>
          </cell>
          <cell r="O266">
            <v>0</v>
          </cell>
          <cell r="T266">
            <v>0</v>
          </cell>
        </row>
        <row r="267">
          <cell r="B267" t="str">
            <v>BP</v>
          </cell>
          <cell r="N267">
            <v>0</v>
          </cell>
          <cell r="O267">
            <v>0</v>
          </cell>
          <cell r="S267">
            <v>0</v>
          </cell>
          <cell r="T267">
            <v>0</v>
          </cell>
        </row>
        <row r="268">
          <cell r="B268" t="str">
            <v>BP</v>
          </cell>
          <cell r="O268">
            <v>0</v>
          </cell>
          <cell r="T268">
            <v>0</v>
          </cell>
        </row>
        <row r="269">
          <cell r="B269" t="str">
            <v>BP</v>
          </cell>
        </row>
        <row r="270">
          <cell r="B270" t="str">
            <v>BP</v>
          </cell>
        </row>
        <row r="271">
          <cell r="B271" t="str">
            <v>BP</v>
          </cell>
          <cell r="O271">
            <v>0</v>
          </cell>
          <cell r="T271">
            <v>0</v>
          </cell>
        </row>
        <row r="272">
          <cell r="B272" t="str">
            <v>BP</v>
          </cell>
          <cell r="N272">
            <v>35.443309999999997</v>
          </cell>
          <cell r="O272">
            <v>8.7771940000000007E-2</v>
          </cell>
          <cell r="S272">
            <v>19.01491</v>
          </cell>
          <cell r="T272">
            <v>6.2774449999999996E-2</v>
          </cell>
        </row>
        <row r="273">
          <cell r="B273" t="str">
            <v>BP</v>
          </cell>
          <cell r="O273">
            <v>1.554501E-2</v>
          </cell>
          <cell r="S273">
            <v>0</v>
          </cell>
          <cell r="T273">
            <v>1.554501E-2</v>
          </cell>
        </row>
        <row r="274">
          <cell r="B274" t="str">
            <v>BP</v>
          </cell>
          <cell r="N274">
            <v>239.02869999999999</v>
          </cell>
          <cell r="O274">
            <v>0.18943299999999999</v>
          </cell>
          <cell r="S274">
            <v>205.43960000000001</v>
          </cell>
          <cell r="T274">
            <v>4.8499920000000003</v>
          </cell>
        </row>
        <row r="275">
          <cell r="B275" t="str">
            <v>BP</v>
          </cell>
          <cell r="N275">
            <v>437.92</v>
          </cell>
          <cell r="S275">
            <v>440.3</v>
          </cell>
        </row>
        <row r="276">
          <cell r="B276" t="str">
            <v>BP</v>
          </cell>
          <cell r="O276">
            <v>0</v>
          </cell>
          <cell r="T276">
            <v>0</v>
          </cell>
        </row>
        <row r="277">
          <cell r="B277" t="str">
            <v>BP</v>
          </cell>
          <cell r="O277">
            <v>0</v>
          </cell>
          <cell r="T277">
            <v>0</v>
          </cell>
        </row>
        <row r="278">
          <cell r="B278" t="str">
            <v>BP</v>
          </cell>
          <cell r="O278">
            <v>0</v>
          </cell>
          <cell r="T278">
            <v>0</v>
          </cell>
        </row>
        <row r="279">
          <cell r="B279" t="str">
            <v>BP</v>
          </cell>
          <cell r="O279">
            <v>0.70858690000000002</v>
          </cell>
          <cell r="T279">
            <v>0.70858690000000002</v>
          </cell>
        </row>
        <row r="280">
          <cell r="B280" t="str">
            <v>BP</v>
          </cell>
          <cell r="N280">
            <v>927.84349999999995</v>
          </cell>
          <cell r="O280">
            <v>61.805190000000003</v>
          </cell>
          <cell r="S280">
            <v>1065.7550000000001</v>
          </cell>
          <cell r="T280">
            <v>0.8850654</v>
          </cell>
        </row>
        <row r="281">
          <cell r="B281" t="str">
            <v>BP</v>
          </cell>
          <cell r="N281">
            <v>157.96629999999999</v>
          </cell>
          <cell r="O281">
            <v>0.75401600000000002</v>
          </cell>
          <cell r="S281">
            <v>124.7634</v>
          </cell>
          <cell r="T281">
            <v>0.47456100000000001</v>
          </cell>
        </row>
        <row r="282">
          <cell r="B282" t="str">
            <v>BP</v>
          </cell>
          <cell r="N282">
            <v>20.183820000000001</v>
          </cell>
          <cell r="O282">
            <v>0.70316579999999995</v>
          </cell>
          <cell r="S282">
            <v>14.040710000000001</v>
          </cell>
          <cell r="T282">
            <v>0.28059630000000002</v>
          </cell>
        </row>
        <row r="283">
          <cell r="B283" t="str">
            <v>BP</v>
          </cell>
          <cell r="N283">
            <v>0</v>
          </cell>
          <cell r="O283">
            <v>9.1414200000000001E-2</v>
          </cell>
          <cell r="S283">
            <v>0.33329999999999999</v>
          </cell>
          <cell r="T283">
            <v>9.1414200000000001E-2</v>
          </cell>
        </row>
        <row r="284">
          <cell r="B284" t="str">
            <v>BP</v>
          </cell>
          <cell r="N284">
            <v>346.88</v>
          </cell>
          <cell r="O284">
            <v>0.10671</v>
          </cell>
          <cell r="S284">
            <v>379.39609999999999</v>
          </cell>
          <cell r="T284">
            <v>0.12733559999999999</v>
          </cell>
        </row>
        <row r="285">
          <cell r="B285" t="str">
            <v>BP</v>
          </cell>
          <cell r="O285">
            <v>0</v>
          </cell>
          <cell r="T285">
            <v>0</v>
          </cell>
        </row>
        <row r="286">
          <cell r="B286" t="str">
            <v>BP</v>
          </cell>
          <cell r="O286">
            <v>0</v>
          </cell>
          <cell r="T286">
            <v>0</v>
          </cell>
        </row>
        <row r="287">
          <cell r="B287" t="str">
            <v>BP</v>
          </cell>
          <cell r="N287">
            <v>52.426180000000002</v>
          </cell>
          <cell r="O287">
            <v>17.104959999999998</v>
          </cell>
          <cell r="S287">
            <v>50.020069999999997</v>
          </cell>
          <cell r="T287">
            <v>17.104959999999998</v>
          </cell>
        </row>
        <row r="288">
          <cell r="B288" t="str">
            <v>BP</v>
          </cell>
          <cell r="N288">
            <v>31.153199999999998</v>
          </cell>
          <cell r="O288">
            <v>14.47054</v>
          </cell>
          <cell r="S288">
            <v>20.517569999999999</v>
          </cell>
          <cell r="T288">
            <v>0.19451099999999999</v>
          </cell>
        </row>
        <row r="289">
          <cell r="B289" t="str">
            <v>BP</v>
          </cell>
          <cell r="O289">
            <v>0.15422050000000001</v>
          </cell>
          <cell r="T289">
            <v>0.15422050000000001</v>
          </cell>
        </row>
        <row r="290">
          <cell r="B290" t="str">
            <v>BP</v>
          </cell>
          <cell r="O290">
            <v>7.1205550000000006E-2</v>
          </cell>
          <cell r="T290">
            <v>7.9511709999999999E-2</v>
          </cell>
        </row>
        <row r="291">
          <cell r="B291" t="str">
            <v>BP</v>
          </cell>
          <cell r="O291">
            <v>7.9863020000000007E-2</v>
          </cell>
          <cell r="T291">
            <v>13.817270000000001</v>
          </cell>
        </row>
        <row r="292">
          <cell r="B292" t="str">
            <v>BP</v>
          </cell>
          <cell r="O292">
            <v>0</v>
          </cell>
          <cell r="T292">
            <v>0</v>
          </cell>
        </row>
        <row r="293">
          <cell r="B293" t="str">
            <v>BP</v>
          </cell>
          <cell r="N293">
            <v>57.281579999999998</v>
          </cell>
          <cell r="S293">
            <v>44.042310000000001</v>
          </cell>
        </row>
        <row r="294">
          <cell r="B294" t="str">
            <v>BP</v>
          </cell>
          <cell r="N294">
            <v>0</v>
          </cell>
          <cell r="O294">
            <v>0</v>
          </cell>
          <cell r="S294">
            <v>0</v>
          </cell>
          <cell r="T294">
            <v>0</v>
          </cell>
        </row>
        <row r="295">
          <cell r="B295" t="str">
            <v>BP</v>
          </cell>
          <cell r="N295">
            <v>0</v>
          </cell>
          <cell r="O295">
            <v>0</v>
          </cell>
          <cell r="S295">
            <v>0</v>
          </cell>
          <cell r="T295">
            <v>0</v>
          </cell>
        </row>
        <row r="296">
          <cell r="B296" t="str">
            <v>BP</v>
          </cell>
          <cell r="O296">
            <v>1.406105E-2</v>
          </cell>
          <cell r="T296">
            <v>1.406105E-2</v>
          </cell>
        </row>
        <row r="297">
          <cell r="B297" t="str">
            <v>BP</v>
          </cell>
          <cell r="O297">
            <v>0</v>
          </cell>
          <cell r="T297">
            <v>0</v>
          </cell>
        </row>
        <row r="298">
          <cell r="B298" t="str">
            <v>BP</v>
          </cell>
          <cell r="N298">
            <v>23.696629999999999</v>
          </cell>
          <cell r="S298">
            <v>20.537469999999999</v>
          </cell>
        </row>
        <row r="299">
          <cell r="B299" t="str">
            <v>BP</v>
          </cell>
          <cell r="N299">
            <v>408.09879999999998</v>
          </cell>
          <cell r="O299">
            <v>10.99657</v>
          </cell>
          <cell r="S299">
            <v>375.37139999999999</v>
          </cell>
          <cell r="T299">
            <v>3.5296429999999997E-2</v>
          </cell>
        </row>
        <row r="300">
          <cell r="B300" t="str">
            <v>BP</v>
          </cell>
          <cell r="N300">
            <v>294.94670000000002</v>
          </cell>
          <cell r="O300">
            <v>2.3122440000000001E-2</v>
          </cell>
          <cell r="S300">
            <v>294.94670000000002</v>
          </cell>
          <cell r="T300">
            <v>3.2686310000000003E-2</v>
          </cell>
        </row>
        <row r="301">
          <cell r="B301" t="str">
            <v>BP</v>
          </cell>
          <cell r="N301">
            <v>9.4028770000000002</v>
          </cell>
          <cell r="O301">
            <v>9.4570570000000007E-2</v>
          </cell>
          <cell r="S301">
            <v>8.1287149999999997</v>
          </cell>
          <cell r="T301">
            <v>9.4570580000000001E-2</v>
          </cell>
        </row>
        <row r="302">
          <cell r="B302" t="str">
            <v>BP</v>
          </cell>
          <cell r="N302">
            <v>12.808400000000001</v>
          </cell>
          <cell r="O302">
            <v>4.8237750000000003E-2</v>
          </cell>
          <cell r="S302">
            <v>9.7652409999999996</v>
          </cell>
          <cell r="T302">
            <v>4.8237750000000003E-2</v>
          </cell>
        </row>
        <row r="303">
          <cell r="B303" t="str">
            <v>BP</v>
          </cell>
          <cell r="O303">
            <v>10.93342</v>
          </cell>
          <cell r="T303">
            <v>13.75747</v>
          </cell>
        </row>
        <row r="304">
          <cell r="B304" t="str">
            <v>BP</v>
          </cell>
          <cell r="O304">
            <v>6.8292000000000005E-2</v>
          </cell>
          <cell r="T304">
            <v>7.6346499999999998E-2</v>
          </cell>
        </row>
        <row r="305">
          <cell r="B305" t="str">
            <v>BP</v>
          </cell>
          <cell r="O305">
            <v>3.0002659999999999</v>
          </cell>
          <cell r="T305">
            <v>0.16541700000000001</v>
          </cell>
        </row>
        <row r="306">
          <cell r="B306" t="str">
            <v>BP</v>
          </cell>
          <cell r="O306">
            <v>7.5217060000000004E-3</v>
          </cell>
          <cell r="T306">
            <v>5.9417990000000002E-3</v>
          </cell>
        </row>
        <row r="307">
          <cell r="B307" t="str">
            <v>BP</v>
          </cell>
          <cell r="N307">
            <v>9.9465750000000009E-4</v>
          </cell>
          <cell r="O307">
            <v>2.1876E-2</v>
          </cell>
          <cell r="T307">
            <v>0.19252349999999999</v>
          </cell>
        </row>
        <row r="308">
          <cell r="B308" t="str">
            <v>BP</v>
          </cell>
          <cell r="N308">
            <v>32.930030000000002</v>
          </cell>
          <cell r="O308">
            <v>0.10928649999999999</v>
          </cell>
          <cell r="S308">
            <v>18.072379999999999</v>
          </cell>
          <cell r="T308">
            <v>0.12217450000000001</v>
          </cell>
        </row>
        <row r="309">
          <cell r="B309" t="str">
            <v>BP</v>
          </cell>
          <cell r="O309">
            <v>3.6648399999999998E-2</v>
          </cell>
          <cell r="T309">
            <v>0.36570799999999998</v>
          </cell>
        </row>
        <row r="310">
          <cell r="B310" t="str">
            <v>BP</v>
          </cell>
          <cell r="N310">
            <v>0</v>
          </cell>
          <cell r="O310">
            <v>0</v>
          </cell>
          <cell r="S310">
            <v>0</v>
          </cell>
          <cell r="T310">
            <v>0</v>
          </cell>
        </row>
        <row r="311">
          <cell r="B311" t="str">
            <v>BP</v>
          </cell>
          <cell r="O311">
            <v>0</v>
          </cell>
        </row>
        <row r="312">
          <cell r="B312" t="str">
            <v>BP</v>
          </cell>
          <cell r="N312">
            <v>0</v>
          </cell>
          <cell r="O312">
            <v>0</v>
          </cell>
          <cell r="S312">
            <v>0</v>
          </cell>
          <cell r="T312">
            <v>0</v>
          </cell>
        </row>
        <row r="313">
          <cell r="B313" t="str">
            <v>BP</v>
          </cell>
          <cell r="N313">
            <v>258.94439999999997</v>
          </cell>
          <cell r="O313">
            <v>0.2147696</v>
          </cell>
          <cell r="S313">
            <v>134.36869999999999</v>
          </cell>
          <cell r="T313">
            <v>5.4691700000000001</v>
          </cell>
        </row>
        <row r="314">
          <cell r="B314" t="str">
            <v>BP</v>
          </cell>
          <cell r="N314">
            <v>0</v>
          </cell>
          <cell r="O314">
            <v>0</v>
          </cell>
          <cell r="S314">
            <v>0</v>
          </cell>
          <cell r="T314">
            <v>0</v>
          </cell>
        </row>
        <row r="315">
          <cell r="B315" t="str">
            <v>BP</v>
          </cell>
          <cell r="O315">
            <v>0</v>
          </cell>
          <cell r="S315">
            <v>0</v>
          </cell>
          <cell r="T315">
            <v>0</v>
          </cell>
        </row>
        <row r="316">
          <cell r="B316" t="str">
            <v>BP</v>
          </cell>
          <cell r="N316">
            <v>0</v>
          </cell>
          <cell r="O316">
            <v>0.314805</v>
          </cell>
          <cell r="S316">
            <v>0.5</v>
          </cell>
          <cell r="T316">
            <v>0.351933</v>
          </cell>
        </row>
        <row r="317">
          <cell r="B317" t="str">
            <v>BP</v>
          </cell>
          <cell r="N317">
            <v>29.002500000000001</v>
          </cell>
          <cell r="O317">
            <v>4.5821279999999999E-2</v>
          </cell>
          <cell r="S317">
            <v>23.151129999999998</v>
          </cell>
          <cell r="T317">
            <v>5.122434E-2</v>
          </cell>
        </row>
        <row r="318">
          <cell r="B318" t="str">
            <v>BP</v>
          </cell>
          <cell r="O318">
            <v>0</v>
          </cell>
          <cell r="T318">
            <v>0</v>
          </cell>
        </row>
        <row r="319">
          <cell r="B319" t="str">
            <v>BP</v>
          </cell>
          <cell r="N319">
            <v>0</v>
          </cell>
          <cell r="O319">
            <v>0</v>
          </cell>
          <cell r="S319">
            <v>0</v>
          </cell>
          <cell r="T319">
            <v>0</v>
          </cell>
        </row>
        <row r="320">
          <cell r="B320" t="str">
            <v>BP</v>
          </cell>
          <cell r="N320">
            <v>8.1308179999999997</v>
          </cell>
          <cell r="O320">
            <v>0.13373360000000001</v>
          </cell>
          <cell r="S320">
            <v>59.239820000000002</v>
          </cell>
          <cell r="T320">
            <v>0.14950640000000001</v>
          </cell>
        </row>
        <row r="321">
          <cell r="B321" t="str">
            <v>BP</v>
          </cell>
          <cell r="N321">
            <v>0</v>
          </cell>
          <cell r="O321">
            <v>0</v>
          </cell>
          <cell r="S321">
            <v>0</v>
          </cell>
          <cell r="T321">
            <v>0</v>
          </cell>
        </row>
        <row r="322">
          <cell r="B322" t="str">
            <v>BP</v>
          </cell>
          <cell r="N322">
            <v>14.885160000000001</v>
          </cell>
          <cell r="O322">
            <v>0</v>
          </cell>
          <cell r="S322">
            <v>7.0357010000000004</v>
          </cell>
          <cell r="T322">
            <v>0</v>
          </cell>
        </row>
        <row r="323">
          <cell r="B323" t="str">
            <v>BP</v>
          </cell>
          <cell r="O323">
            <v>2.3206029999999999E-2</v>
          </cell>
          <cell r="T323">
            <v>2.3206029999999999E-2</v>
          </cell>
        </row>
        <row r="324">
          <cell r="B324" t="str">
            <v>BP</v>
          </cell>
          <cell r="O324">
            <v>4.2660500000000004E-3</v>
          </cell>
        </row>
        <row r="325">
          <cell r="B325" t="str">
            <v>BP</v>
          </cell>
          <cell r="O325">
            <v>0</v>
          </cell>
          <cell r="T325">
            <v>0</v>
          </cell>
        </row>
        <row r="326">
          <cell r="B326" t="str">
            <v>BP</v>
          </cell>
          <cell r="O326">
            <v>0.163082</v>
          </cell>
          <cell r="T326">
            <v>0.182315</v>
          </cell>
        </row>
        <row r="327">
          <cell r="B327" t="str">
            <v>BP</v>
          </cell>
          <cell r="N327">
            <v>0</v>
          </cell>
          <cell r="O327">
            <v>0</v>
          </cell>
          <cell r="S327">
            <v>0</v>
          </cell>
          <cell r="T327">
            <v>0</v>
          </cell>
        </row>
        <row r="328">
          <cell r="B328" t="str">
            <v>BP</v>
          </cell>
          <cell r="N328">
            <v>5.3662080000000001E-2</v>
          </cell>
          <cell r="O328">
            <v>2.894153E-2</v>
          </cell>
          <cell r="T328">
            <v>3.223761E-2</v>
          </cell>
        </row>
        <row r="329">
          <cell r="B329" t="str">
            <v>BP</v>
          </cell>
          <cell r="N329">
            <v>0</v>
          </cell>
          <cell r="O329">
            <v>0</v>
          </cell>
          <cell r="S329">
            <v>0</v>
          </cell>
          <cell r="T329">
            <v>0</v>
          </cell>
        </row>
        <row r="330">
          <cell r="B330" t="str">
            <v>BP</v>
          </cell>
          <cell r="N330">
            <v>0</v>
          </cell>
          <cell r="O330">
            <v>0</v>
          </cell>
          <cell r="S330">
            <v>0</v>
          </cell>
          <cell r="T330">
            <v>0</v>
          </cell>
        </row>
        <row r="331">
          <cell r="B331" t="str">
            <v>BP</v>
          </cell>
          <cell r="O331">
            <v>0</v>
          </cell>
          <cell r="T331">
            <v>0</v>
          </cell>
        </row>
        <row r="332">
          <cell r="B332" t="str">
            <v>BP</v>
          </cell>
          <cell r="O332">
            <v>3.761958E-2</v>
          </cell>
        </row>
        <row r="333">
          <cell r="B333" t="str">
            <v>BP</v>
          </cell>
          <cell r="N333">
            <v>0</v>
          </cell>
          <cell r="O333">
            <v>0</v>
          </cell>
          <cell r="S333">
            <v>0</v>
          </cell>
          <cell r="T333">
            <v>0</v>
          </cell>
        </row>
        <row r="334">
          <cell r="B334" t="str">
            <v>BP</v>
          </cell>
          <cell r="N334">
            <v>2.1758320000000001E-2</v>
          </cell>
          <cell r="O334">
            <v>2.5952179999999998E-2</v>
          </cell>
          <cell r="T334">
            <v>2.8962519999999999E-2</v>
          </cell>
        </row>
        <row r="335">
          <cell r="B335" t="str">
            <v>BP</v>
          </cell>
        </row>
        <row r="336">
          <cell r="B336" t="str">
            <v>BP</v>
          </cell>
          <cell r="O336">
            <v>0</v>
          </cell>
          <cell r="T336">
            <v>0</v>
          </cell>
        </row>
        <row r="337">
          <cell r="B337" t="str">
            <v>BP</v>
          </cell>
          <cell r="N337">
            <v>0</v>
          </cell>
          <cell r="O337">
            <v>0</v>
          </cell>
          <cell r="S337">
            <v>0</v>
          </cell>
          <cell r="T337">
            <v>0</v>
          </cell>
        </row>
        <row r="338">
          <cell r="B338" t="str">
            <v>BP</v>
          </cell>
          <cell r="N338">
            <v>0</v>
          </cell>
          <cell r="O338">
            <v>0</v>
          </cell>
          <cell r="S338">
            <v>0</v>
          </cell>
          <cell r="T338">
            <v>0</v>
          </cell>
        </row>
        <row r="339">
          <cell r="B339" t="str">
            <v>BP</v>
          </cell>
          <cell r="N339">
            <v>0</v>
          </cell>
          <cell r="S339">
            <v>0</v>
          </cell>
        </row>
        <row r="340">
          <cell r="B340" t="str">
            <v>BP</v>
          </cell>
          <cell r="O340">
            <v>0</v>
          </cell>
          <cell r="T340">
            <v>0</v>
          </cell>
        </row>
        <row r="341">
          <cell r="B341" t="str">
            <v>BP</v>
          </cell>
          <cell r="O341">
            <v>0.140568</v>
          </cell>
          <cell r="T341">
            <v>0.15714600000000001</v>
          </cell>
        </row>
        <row r="342">
          <cell r="B342" t="str">
            <v>BP</v>
          </cell>
          <cell r="N342">
            <v>0</v>
          </cell>
          <cell r="O342">
            <v>0</v>
          </cell>
          <cell r="S342">
            <v>0</v>
          </cell>
          <cell r="T342">
            <v>0</v>
          </cell>
        </row>
        <row r="343">
          <cell r="B343" t="str">
            <v>BP</v>
          </cell>
          <cell r="O343">
            <v>0</v>
          </cell>
          <cell r="T343">
            <v>0</v>
          </cell>
        </row>
        <row r="344">
          <cell r="B344" t="str">
            <v>BP</v>
          </cell>
        </row>
        <row r="345">
          <cell r="B345" t="str">
            <v>BP</v>
          </cell>
          <cell r="O345">
            <v>6.6339999999999997E-4</v>
          </cell>
          <cell r="T345">
            <v>7.4152500000000004E-4</v>
          </cell>
        </row>
        <row r="346">
          <cell r="B346" t="str">
            <v>BP</v>
          </cell>
          <cell r="O346">
            <v>4.7836999999999999E-4</v>
          </cell>
          <cell r="T346">
            <v>5.3478E-4</v>
          </cell>
        </row>
        <row r="347">
          <cell r="B347" t="str">
            <v>BP</v>
          </cell>
          <cell r="N347">
            <v>1.097622E-2</v>
          </cell>
          <cell r="O347">
            <v>11.61478</v>
          </cell>
          <cell r="S347">
            <v>6.0238899999999996E-3</v>
          </cell>
          <cell r="T347">
            <v>5.2676969999999997E-2</v>
          </cell>
        </row>
        <row r="348">
          <cell r="B348" t="str">
            <v>BP</v>
          </cell>
          <cell r="O348">
            <v>0</v>
          </cell>
          <cell r="S348">
            <v>0</v>
          </cell>
          <cell r="T348">
            <v>0</v>
          </cell>
        </row>
        <row r="349">
          <cell r="B349" t="str">
            <v>BP</v>
          </cell>
          <cell r="N349">
            <v>7.9435660000000005E-2</v>
          </cell>
          <cell r="O349">
            <v>1.9553999999999999E-4</v>
          </cell>
          <cell r="S349">
            <v>0</v>
          </cell>
          <cell r="T349">
            <v>2.186E-4</v>
          </cell>
        </row>
        <row r="350">
          <cell r="B350" t="str">
            <v>BP</v>
          </cell>
        </row>
        <row r="351">
          <cell r="B351" t="str">
            <v>BP</v>
          </cell>
          <cell r="N351">
            <v>0</v>
          </cell>
          <cell r="O351">
            <v>0</v>
          </cell>
          <cell r="S351">
            <v>0</v>
          </cell>
          <cell r="T351">
            <v>0</v>
          </cell>
        </row>
        <row r="352">
          <cell r="B352" t="str">
            <v>BP</v>
          </cell>
          <cell r="N352">
            <v>0</v>
          </cell>
          <cell r="O352">
            <v>0</v>
          </cell>
          <cell r="S352">
            <v>0</v>
          </cell>
          <cell r="T352">
            <v>0</v>
          </cell>
        </row>
        <row r="353">
          <cell r="B353" t="str">
            <v>BP</v>
          </cell>
          <cell r="O353">
            <v>0</v>
          </cell>
          <cell r="T353">
            <v>0</v>
          </cell>
        </row>
        <row r="354">
          <cell r="B354" t="str">
            <v>BP</v>
          </cell>
          <cell r="O354">
            <v>1.6489070000000002E-2</v>
          </cell>
          <cell r="T354">
            <v>1.6489070000000002E-2</v>
          </cell>
        </row>
        <row r="355">
          <cell r="B355" t="str">
            <v>BP</v>
          </cell>
          <cell r="O355">
            <v>0</v>
          </cell>
          <cell r="T355">
            <v>0</v>
          </cell>
        </row>
        <row r="356">
          <cell r="B356" t="str">
            <v>BP</v>
          </cell>
          <cell r="O356">
            <v>1.8896039999999999E-2</v>
          </cell>
          <cell r="T356">
            <v>1.8896039999999999E-2</v>
          </cell>
        </row>
        <row r="357">
          <cell r="B357" t="str">
            <v>BP</v>
          </cell>
          <cell r="O357">
            <v>27.895189999999999</v>
          </cell>
          <cell r="T357">
            <v>0.1312333</v>
          </cell>
        </row>
        <row r="358">
          <cell r="B358" t="str">
            <v>BP</v>
          </cell>
          <cell r="N358">
            <v>0</v>
          </cell>
          <cell r="O358">
            <v>0</v>
          </cell>
          <cell r="S358">
            <v>0</v>
          </cell>
          <cell r="T358">
            <v>0</v>
          </cell>
        </row>
        <row r="359">
          <cell r="B359" t="str">
            <v>BP</v>
          </cell>
          <cell r="O359">
            <v>0.1596265</v>
          </cell>
          <cell r="T359">
            <v>0.1596265</v>
          </cell>
        </row>
        <row r="360">
          <cell r="B360" t="str">
            <v>BP</v>
          </cell>
          <cell r="N360">
            <v>21.449190000000002</v>
          </cell>
          <cell r="O360">
            <v>6.2755329999999998E-3</v>
          </cell>
          <cell r="S360">
            <v>9.2284120000000005</v>
          </cell>
          <cell r="T360">
            <v>6.2755329999999998E-3</v>
          </cell>
        </row>
        <row r="361">
          <cell r="B361" t="str">
            <v>BP</v>
          </cell>
          <cell r="N361">
            <v>311.71600000000001</v>
          </cell>
          <cell r="O361">
            <v>2.6918399999999999E-2</v>
          </cell>
          <cell r="S361">
            <v>230.23070000000001</v>
          </cell>
          <cell r="T361">
            <v>2.6918399999999999E-2</v>
          </cell>
        </row>
        <row r="362">
          <cell r="B362" t="str">
            <v>BP</v>
          </cell>
          <cell r="O362">
            <v>0</v>
          </cell>
          <cell r="T362">
            <v>0</v>
          </cell>
        </row>
        <row r="363">
          <cell r="B363" t="str">
            <v>BP</v>
          </cell>
          <cell r="O363">
            <v>3.9176999999999997E-2</v>
          </cell>
          <cell r="T363">
            <v>0.96002100000000001</v>
          </cell>
        </row>
        <row r="364">
          <cell r="B364" t="str">
            <v>BP</v>
          </cell>
          <cell r="N364">
            <v>28.48706</v>
          </cell>
          <cell r="O364">
            <v>9.6110000000000001E-2</v>
          </cell>
          <cell r="S364">
            <v>9.4257790000000004</v>
          </cell>
          <cell r="T364">
            <v>0.11161799999999999</v>
          </cell>
        </row>
        <row r="365">
          <cell r="B365" t="str">
            <v>BP</v>
          </cell>
          <cell r="N365">
            <v>103.5094</v>
          </cell>
          <cell r="S365">
            <v>152.4401</v>
          </cell>
        </row>
        <row r="366">
          <cell r="B366" t="str">
            <v>BP</v>
          </cell>
          <cell r="O366">
            <v>1.207193E-2</v>
          </cell>
          <cell r="T366">
            <v>1.207193E-2</v>
          </cell>
        </row>
        <row r="367">
          <cell r="B367" t="str">
            <v>BP</v>
          </cell>
          <cell r="O367">
            <v>0</v>
          </cell>
          <cell r="T367">
            <v>0</v>
          </cell>
        </row>
        <row r="368">
          <cell r="B368" t="str">
            <v>BP</v>
          </cell>
          <cell r="N368">
            <v>0</v>
          </cell>
          <cell r="O368">
            <v>0</v>
          </cell>
          <cell r="S368">
            <v>0</v>
          </cell>
          <cell r="T368">
            <v>0</v>
          </cell>
        </row>
        <row r="369">
          <cell r="B369" t="str">
            <v>BP</v>
          </cell>
          <cell r="N369">
            <v>0</v>
          </cell>
          <cell r="O369">
            <v>0</v>
          </cell>
          <cell r="S369">
            <v>0</v>
          </cell>
          <cell r="T369">
            <v>0</v>
          </cell>
        </row>
        <row r="370">
          <cell r="B370" t="str">
            <v>BP</v>
          </cell>
          <cell r="O370">
            <v>6.9662500000000002E-2</v>
          </cell>
          <cell r="T370">
            <v>0.49041649999999998</v>
          </cell>
        </row>
        <row r="371">
          <cell r="B371" t="str">
            <v>BP</v>
          </cell>
          <cell r="O371">
            <v>1.4772479999999999</v>
          </cell>
          <cell r="T371">
            <v>27.196190000000001</v>
          </cell>
        </row>
        <row r="372">
          <cell r="B372" t="str">
            <v>BP</v>
          </cell>
          <cell r="O372">
            <v>3.437424E-2</v>
          </cell>
          <cell r="T372">
            <v>1.1827249999999999E-2</v>
          </cell>
        </row>
        <row r="373">
          <cell r="B373" t="str">
            <v>BP</v>
          </cell>
          <cell r="O373">
            <v>0.34105069999999998</v>
          </cell>
          <cell r="T373">
            <v>0.1173458</v>
          </cell>
        </row>
        <row r="374">
          <cell r="B374" t="str">
            <v>BP</v>
          </cell>
          <cell r="O374">
            <v>0.11655600000000001</v>
          </cell>
          <cell r="T374">
            <v>4.0103699999999999E-2</v>
          </cell>
        </row>
        <row r="375">
          <cell r="B375" t="str">
            <v>BP</v>
          </cell>
          <cell r="O375">
            <v>4.3686339999999997E-2</v>
          </cell>
          <cell r="T375">
            <v>4.3686330000000002E-2</v>
          </cell>
        </row>
        <row r="376">
          <cell r="B376" t="str">
            <v>BP</v>
          </cell>
          <cell r="O376">
            <v>0.24793309999999999</v>
          </cell>
          <cell r="T376">
            <v>19.12921</v>
          </cell>
        </row>
        <row r="377">
          <cell r="B377" t="str">
            <v>BP</v>
          </cell>
          <cell r="O377">
            <v>0</v>
          </cell>
          <cell r="T377">
            <v>0</v>
          </cell>
        </row>
        <row r="378">
          <cell r="B378" t="str">
            <v>BP</v>
          </cell>
          <cell r="O378">
            <v>0.27340550000000002</v>
          </cell>
          <cell r="T378">
            <v>16.528479999999998</v>
          </cell>
        </row>
        <row r="379">
          <cell r="B379" t="str">
            <v>BP</v>
          </cell>
        </row>
        <row r="380">
          <cell r="B380" t="str">
            <v>BP</v>
          </cell>
          <cell r="O380">
            <v>3.9144169999999999E-2</v>
          </cell>
        </row>
        <row r="381">
          <cell r="B381" t="str">
            <v>BP</v>
          </cell>
          <cell r="N381">
            <v>72.26867</v>
          </cell>
          <cell r="O381">
            <v>0.39793339999999999</v>
          </cell>
        </row>
        <row r="382">
          <cell r="B382" t="str">
            <v>BP</v>
          </cell>
          <cell r="N382">
            <v>0</v>
          </cell>
          <cell r="O382">
            <v>0</v>
          </cell>
          <cell r="S382">
            <v>0</v>
          </cell>
          <cell r="T382">
            <v>0</v>
          </cell>
        </row>
        <row r="383">
          <cell r="B383" t="str">
            <v>BP</v>
          </cell>
          <cell r="O383">
            <v>0</v>
          </cell>
          <cell r="T383">
            <v>0</v>
          </cell>
        </row>
        <row r="384">
          <cell r="B384" t="str">
            <v>BP</v>
          </cell>
          <cell r="N384">
            <v>1447.6769999999999</v>
          </cell>
          <cell r="O384">
            <v>868.47580000000005</v>
          </cell>
          <cell r="S384">
            <v>2149.9580000000001</v>
          </cell>
          <cell r="T384">
            <v>531.56449999999995</v>
          </cell>
        </row>
        <row r="385">
          <cell r="B385" t="str">
            <v>BP</v>
          </cell>
          <cell r="N385">
            <v>169.49889999999999</v>
          </cell>
          <cell r="O385">
            <v>258.36739999999998</v>
          </cell>
          <cell r="S385">
            <v>120.5658</v>
          </cell>
          <cell r="T385">
            <v>162.38980000000001</v>
          </cell>
        </row>
        <row r="386">
          <cell r="B386" t="str">
            <v>BP</v>
          </cell>
          <cell r="O386">
            <v>0</v>
          </cell>
          <cell r="T386">
            <v>0</v>
          </cell>
        </row>
        <row r="387">
          <cell r="B387" t="str">
            <v>BP</v>
          </cell>
          <cell r="O387">
            <v>0</v>
          </cell>
          <cell r="T387">
            <v>0</v>
          </cell>
        </row>
        <row r="388">
          <cell r="B388" t="str">
            <v>BP</v>
          </cell>
          <cell r="N388">
            <v>0</v>
          </cell>
          <cell r="O388">
            <v>0</v>
          </cell>
          <cell r="S388">
            <v>0</v>
          </cell>
          <cell r="T388">
            <v>0</v>
          </cell>
        </row>
        <row r="389">
          <cell r="B389" t="str">
            <v>BP</v>
          </cell>
          <cell r="O389">
            <v>0</v>
          </cell>
          <cell r="T389">
            <v>0</v>
          </cell>
        </row>
        <row r="390">
          <cell r="B390" t="str">
            <v>BP</v>
          </cell>
          <cell r="N390">
            <v>0</v>
          </cell>
          <cell r="O390">
            <v>0</v>
          </cell>
          <cell r="S390">
            <v>0</v>
          </cell>
          <cell r="T390">
            <v>0</v>
          </cell>
        </row>
        <row r="391">
          <cell r="B391" t="str">
            <v>BP</v>
          </cell>
          <cell r="O391">
            <v>0</v>
          </cell>
          <cell r="T391">
            <v>0</v>
          </cell>
        </row>
        <row r="392">
          <cell r="B392" t="str">
            <v>BP</v>
          </cell>
          <cell r="O392">
            <v>0</v>
          </cell>
          <cell r="T392">
            <v>0</v>
          </cell>
        </row>
        <row r="393">
          <cell r="B393" t="str">
            <v>BP</v>
          </cell>
          <cell r="O393">
            <v>0</v>
          </cell>
          <cell r="T393">
            <v>0</v>
          </cell>
        </row>
        <row r="394">
          <cell r="B394" t="str">
            <v>BP</v>
          </cell>
          <cell r="O394">
            <v>0.28446650000000001</v>
          </cell>
          <cell r="T394">
            <v>0.28446650000000001</v>
          </cell>
        </row>
        <row r="395">
          <cell r="B395" t="str">
            <v>BP</v>
          </cell>
          <cell r="O395">
            <v>9.4272999999999996E-2</v>
          </cell>
          <cell r="T395">
            <v>9.4272999999999996E-2</v>
          </cell>
        </row>
        <row r="396">
          <cell r="B396" t="str">
            <v>BP</v>
          </cell>
          <cell r="N396">
            <v>228.3623</v>
          </cell>
          <cell r="O396">
            <v>114.87560000000001</v>
          </cell>
          <cell r="S396">
            <v>324.47629999999998</v>
          </cell>
          <cell r="T396">
            <v>135.9426</v>
          </cell>
        </row>
        <row r="397">
          <cell r="B397" t="str">
            <v>BP</v>
          </cell>
          <cell r="O397">
            <v>0.25339509999999998</v>
          </cell>
          <cell r="T397">
            <v>0.1723017</v>
          </cell>
        </row>
        <row r="398">
          <cell r="B398" t="str">
            <v>BP</v>
          </cell>
          <cell r="N398">
            <v>0</v>
          </cell>
          <cell r="O398">
            <v>0.47557470000000002</v>
          </cell>
          <cell r="T398">
            <v>0.2901164</v>
          </cell>
        </row>
        <row r="399">
          <cell r="B399" t="str">
            <v>BP</v>
          </cell>
          <cell r="O399">
            <v>0.76689110000000005</v>
          </cell>
          <cell r="T399">
            <v>0.76689160000000001</v>
          </cell>
        </row>
        <row r="400">
          <cell r="B400" t="str">
            <v>BP</v>
          </cell>
          <cell r="O400">
            <v>0.16842850000000001</v>
          </cell>
          <cell r="T400">
            <v>0.16842850000000001</v>
          </cell>
        </row>
        <row r="401">
          <cell r="B401" t="str">
            <v>BP</v>
          </cell>
          <cell r="O401">
            <v>0</v>
          </cell>
          <cell r="T401">
            <v>0</v>
          </cell>
        </row>
        <row r="402">
          <cell r="B402" t="str">
            <v>BP</v>
          </cell>
          <cell r="N402">
            <v>0</v>
          </cell>
          <cell r="O402">
            <v>0</v>
          </cell>
          <cell r="S402">
            <v>0</v>
          </cell>
          <cell r="T402">
            <v>0</v>
          </cell>
        </row>
        <row r="403">
          <cell r="B403" t="str">
            <v>BP</v>
          </cell>
          <cell r="N403">
            <v>0</v>
          </cell>
          <cell r="O403">
            <v>0</v>
          </cell>
          <cell r="S403">
            <v>0</v>
          </cell>
          <cell r="T403">
            <v>0</v>
          </cell>
        </row>
        <row r="404">
          <cell r="B404" t="str">
            <v>BP</v>
          </cell>
          <cell r="O404">
            <v>0</v>
          </cell>
          <cell r="T404">
            <v>0</v>
          </cell>
        </row>
        <row r="405">
          <cell r="B405" t="str">
            <v>BP</v>
          </cell>
          <cell r="N405">
            <v>0</v>
          </cell>
          <cell r="O405">
            <v>0</v>
          </cell>
          <cell r="S405">
            <v>0</v>
          </cell>
          <cell r="T405">
            <v>0</v>
          </cell>
        </row>
        <row r="406">
          <cell r="B406" t="str">
            <v>BP</v>
          </cell>
          <cell r="N406">
            <v>0</v>
          </cell>
          <cell r="O406">
            <v>3.9199999999999999E-2</v>
          </cell>
          <cell r="S406">
            <v>0</v>
          </cell>
          <cell r="T406">
            <v>3.9199999999999999E-2</v>
          </cell>
        </row>
        <row r="407">
          <cell r="B407" t="str">
            <v>BP</v>
          </cell>
          <cell r="O407">
            <v>0</v>
          </cell>
          <cell r="T407">
            <v>0</v>
          </cell>
        </row>
        <row r="408">
          <cell r="B408" t="str">
            <v>BP</v>
          </cell>
          <cell r="O408">
            <v>0</v>
          </cell>
          <cell r="T408">
            <v>0</v>
          </cell>
        </row>
        <row r="409">
          <cell r="B409" t="str">
            <v>BP</v>
          </cell>
          <cell r="O409">
            <v>0</v>
          </cell>
          <cell r="T409">
            <v>0</v>
          </cell>
        </row>
        <row r="410">
          <cell r="B410" t="str">
            <v>BP</v>
          </cell>
          <cell r="O410">
            <v>0</v>
          </cell>
          <cell r="T410">
            <v>0</v>
          </cell>
        </row>
        <row r="411">
          <cell r="B411" t="str">
            <v>BP</v>
          </cell>
          <cell r="O411">
            <v>0</v>
          </cell>
          <cell r="T411">
            <v>0</v>
          </cell>
        </row>
        <row r="412">
          <cell r="B412" t="str">
            <v>BP</v>
          </cell>
          <cell r="N412">
            <v>0.60959920000000001</v>
          </cell>
          <cell r="S412">
            <v>0.47073019999999999</v>
          </cell>
        </row>
        <row r="413">
          <cell r="B413" t="str">
            <v>BP</v>
          </cell>
          <cell r="O413">
            <v>0.51428560000000001</v>
          </cell>
          <cell r="T413">
            <v>0.51428560000000001</v>
          </cell>
        </row>
        <row r="414">
          <cell r="B414" t="str">
            <v>BP</v>
          </cell>
          <cell r="N414">
            <v>94.865660000000005</v>
          </cell>
          <cell r="O414">
            <v>0</v>
          </cell>
          <cell r="S414">
            <v>118.5989</v>
          </cell>
          <cell r="T414">
            <v>5.2529680000000001</v>
          </cell>
        </row>
        <row r="415">
          <cell r="B415" t="str">
            <v>BP</v>
          </cell>
          <cell r="N415">
            <v>16.495480000000001</v>
          </cell>
          <cell r="O415">
            <v>5.9569499999999997E-2</v>
          </cell>
          <cell r="S415">
            <v>13.517760000000001</v>
          </cell>
          <cell r="T415">
            <v>5.9569499999999997E-2</v>
          </cell>
        </row>
        <row r="416">
          <cell r="B416" t="str">
            <v>BP</v>
          </cell>
          <cell r="N416">
            <v>4.4354509999999996</v>
          </cell>
          <cell r="O416">
            <v>35.512509999999999</v>
          </cell>
          <cell r="S416">
            <v>12.283440000000001</v>
          </cell>
          <cell r="T416">
            <v>64.559939999999997</v>
          </cell>
        </row>
        <row r="417">
          <cell r="B417" t="str">
            <v>BP</v>
          </cell>
          <cell r="N417">
            <v>117.56659999999999</v>
          </cell>
          <cell r="O417">
            <v>51.614690000000003</v>
          </cell>
          <cell r="S417">
            <v>42.661929999999998</v>
          </cell>
          <cell r="T417">
            <v>13.5387</v>
          </cell>
        </row>
        <row r="418">
          <cell r="B418" t="str">
            <v>BP</v>
          </cell>
          <cell r="O418">
            <v>0.14524799999999999</v>
          </cell>
          <cell r="T418">
            <v>0.162191</v>
          </cell>
        </row>
        <row r="419">
          <cell r="B419" t="str">
            <v>BP</v>
          </cell>
          <cell r="O419">
            <v>0</v>
          </cell>
          <cell r="T419">
            <v>0</v>
          </cell>
        </row>
        <row r="420">
          <cell r="B420" t="str">
            <v>BP</v>
          </cell>
          <cell r="N420">
            <v>80.300280000000001</v>
          </cell>
          <cell r="O420">
            <v>16.235959999999999</v>
          </cell>
          <cell r="S420">
            <v>106.21510000000001</v>
          </cell>
          <cell r="T420">
            <v>27.580950000000001</v>
          </cell>
        </row>
        <row r="421">
          <cell r="B421" t="str">
            <v>BP</v>
          </cell>
          <cell r="O421">
            <v>0.1168385</v>
          </cell>
          <cell r="T421">
            <v>24.19267</v>
          </cell>
        </row>
        <row r="422">
          <cell r="B422" t="str">
            <v>BP</v>
          </cell>
          <cell r="N422">
            <v>0</v>
          </cell>
          <cell r="O422">
            <v>0</v>
          </cell>
          <cell r="S422">
            <v>0</v>
          </cell>
          <cell r="T422">
            <v>0</v>
          </cell>
        </row>
        <row r="423">
          <cell r="B423" t="str">
            <v>BP</v>
          </cell>
          <cell r="N423">
            <v>0</v>
          </cell>
          <cell r="O423">
            <v>0</v>
          </cell>
          <cell r="S423">
            <v>0</v>
          </cell>
          <cell r="T423">
            <v>0</v>
          </cell>
        </row>
        <row r="424">
          <cell r="B424" t="str">
            <v>BP</v>
          </cell>
          <cell r="O424">
            <v>5.368241E-2</v>
          </cell>
          <cell r="T424">
            <v>7.5886289999999995E-2</v>
          </cell>
        </row>
        <row r="425">
          <cell r="B425" t="str">
            <v>BP</v>
          </cell>
        </row>
        <row r="426">
          <cell r="B426" t="str">
            <v>BP</v>
          </cell>
          <cell r="O426">
            <v>4.4922749999999997E-2</v>
          </cell>
          <cell r="T426">
            <v>4.4922749999999997E-2</v>
          </cell>
        </row>
        <row r="427">
          <cell r="B427" t="str">
            <v>BP</v>
          </cell>
          <cell r="O427">
            <v>0</v>
          </cell>
          <cell r="T427">
            <v>0</v>
          </cell>
        </row>
        <row r="428">
          <cell r="B428" t="str">
            <v>BP</v>
          </cell>
          <cell r="O428">
            <v>4.0533550000000002E-2</v>
          </cell>
          <cell r="T428">
            <v>4.0533550000000002E-2</v>
          </cell>
        </row>
        <row r="429">
          <cell r="B429" t="str">
            <v>BP</v>
          </cell>
          <cell r="O429">
            <v>3.2613970000000001E-3</v>
          </cell>
          <cell r="T429">
            <v>3.26136E-3</v>
          </cell>
        </row>
        <row r="430">
          <cell r="B430" t="str">
            <v>BP</v>
          </cell>
          <cell r="O430">
            <v>71.044740000000004</v>
          </cell>
          <cell r="S430">
            <v>0</v>
          </cell>
          <cell r="T430">
            <v>6.0525799999999998E-2</v>
          </cell>
        </row>
        <row r="431">
          <cell r="B431" t="str">
            <v>BP</v>
          </cell>
          <cell r="O431">
            <v>9.8160399999999995E-2</v>
          </cell>
          <cell r="T431">
            <v>3.3774400000000003E-2</v>
          </cell>
        </row>
        <row r="432">
          <cell r="B432" t="str">
            <v>BP</v>
          </cell>
          <cell r="O432">
            <v>0.61993299999999996</v>
          </cell>
          <cell r="T432">
            <v>0.21330180000000001</v>
          </cell>
        </row>
        <row r="433">
          <cell r="B433" t="str">
            <v>BP</v>
          </cell>
          <cell r="O433">
            <v>0</v>
          </cell>
          <cell r="T433">
            <v>0</v>
          </cell>
        </row>
        <row r="434">
          <cell r="B434" t="str">
            <v>BP</v>
          </cell>
          <cell r="N434">
            <v>0</v>
          </cell>
          <cell r="O434">
            <v>0</v>
          </cell>
          <cell r="S434">
            <v>0</v>
          </cell>
          <cell r="T434">
            <v>0</v>
          </cell>
        </row>
        <row r="435">
          <cell r="B435" t="str">
            <v>BP</v>
          </cell>
          <cell r="N435">
            <v>0</v>
          </cell>
          <cell r="O435">
            <v>0</v>
          </cell>
          <cell r="S435">
            <v>0</v>
          </cell>
          <cell r="T435">
            <v>0</v>
          </cell>
        </row>
        <row r="436">
          <cell r="B436" t="str">
            <v>BP</v>
          </cell>
          <cell r="O436">
            <v>52.111060000000002</v>
          </cell>
          <cell r="T436">
            <v>0.54513800000000001</v>
          </cell>
        </row>
        <row r="437">
          <cell r="B437" t="str">
            <v>BP</v>
          </cell>
          <cell r="N437">
            <v>0</v>
          </cell>
          <cell r="O437">
            <v>0.1129632</v>
          </cell>
          <cell r="S437">
            <v>0</v>
          </cell>
          <cell r="T437">
            <v>0.1129632</v>
          </cell>
        </row>
        <row r="438">
          <cell r="B438" t="str">
            <v>BP</v>
          </cell>
          <cell r="N438">
            <v>169.39689999999999</v>
          </cell>
          <cell r="O438">
            <v>0.93892439999999999</v>
          </cell>
          <cell r="S438">
            <v>127.5331</v>
          </cell>
          <cell r="T438">
            <v>0.98464110000000005</v>
          </cell>
        </row>
        <row r="439">
          <cell r="B439" t="str">
            <v>BP</v>
          </cell>
          <cell r="O439">
            <v>49.039790000000004</v>
          </cell>
          <cell r="T439">
            <v>0.17842540000000001</v>
          </cell>
        </row>
        <row r="440">
          <cell r="B440" t="str">
            <v>BP</v>
          </cell>
          <cell r="O440">
            <v>0.18842999999999999</v>
          </cell>
          <cell r="T440">
            <v>10.49597</v>
          </cell>
        </row>
        <row r="441">
          <cell r="B441" t="str">
            <v>BP</v>
          </cell>
          <cell r="O441">
            <v>0</v>
          </cell>
          <cell r="T441">
            <v>0</v>
          </cell>
        </row>
        <row r="442">
          <cell r="B442" t="str">
            <v>BP</v>
          </cell>
          <cell r="O442">
            <v>0.1054235</v>
          </cell>
          <cell r="T442">
            <v>0.1054235</v>
          </cell>
        </row>
        <row r="443">
          <cell r="B443" t="str">
            <v>BP</v>
          </cell>
          <cell r="O443">
            <v>0.11105660000000001</v>
          </cell>
        </row>
        <row r="444">
          <cell r="B444" t="str">
            <v>BP</v>
          </cell>
          <cell r="N444">
            <v>0</v>
          </cell>
          <cell r="O444">
            <v>0.1021307</v>
          </cell>
          <cell r="S444">
            <v>21.935030000000001</v>
          </cell>
          <cell r="T444">
            <v>0.1021307</v>
          </cell>
        </row>
        <row r="445">
          <cell r="B445" t="str">
            <v>BP</v>
          </cell>
          <cell r="N445">
            <v>446.77359999999999</v>
          </cell>
          <cell r="O445">
            <v>29.719560000000001</v>
          </cell>
          <cell r="S445">
            <v>380.59109999999998</v>
          </cell>
          <cell r="T445">
            <v>93.962540000000004</v>
          </cell>
        </row>
        <row r="446">
          <cell r="B446" t="str">
            <v>BP</v>
          </cell>
          <cell r="O446">
            <v>0</v>
          </cell>
          <cell r="T446">
            <v>0</v>
          </cell>
        </row>
        <row r="447">
          <cell r="B447" t="str">
            <v>BP</v>
          </cell>
          <cell r="N447">
            <v>81.422939999999997</v>
          </cell>
          <cell r="O447">
            <v>0</v>
          </cell>
          <cell r="S447">
            <v>88.206490000000002</v>
          </cell>
        </row>
        <row r="448">
          <cell r="B448" t="str">
            <v>BP</v>
          </cell>
          <cell r="O448">
            <v>0</v>
          </cell>
          <cell r="T448">
            <v>0</v>
          </cell>
        </row>
        <row r="449">
          <cell r="B449" t="str">
            <v>BP</v>
          </cell>
          <cell r="O449">
            <v>0.16080849999999999</v>
          </cell>
          <cell r="T449">
            <v>0.16080849999999999</v>
          </cell>
        </row>
        <row r="450">
          <cell r="B450" t="str">
            <v>BP</v>
          </cell>
          <cell r="N450">
            <v>76.638319999999993</v>
          </cell>
          <cell r="S450">
            <v>60.358150000000002</v>
          </cell>
        </row>
        <row r="451">
          <cell r="B451" t="str">
            <v>BP</v>
          </cell>
          <cell r="O451">
            <v>7.2818259999999997</v>
          </cell>
          <cell r="T451">
            <v>7.2818259999999997</v>
          </cell>
        </row>
        <row r="452">
          <cell r="B452" t="str">
            <v>BP</v>
          </cell>
          <cell r="O452">
            <v>0</v>
          </cell>
          <cell r="T452">
            <v>0</v>
          </cell>
        </row>
        <row r="453">
          <cell r="B453" t="str">
            <v>BP</v>
          </cell>
          <cell r="O453">
            <v>0</v>
          </cell>
          <cell r="T453">
            <v>0</v>
          </cell>
        </row>
        <row r="454">
          <cell r="B454" t="str">
            <v>BP</v>
          </cell>
          <cell r="N454">
            <v>0</v>
          </cell>
          <cell r="S454">
            <v>0</v>
          </cell>
        </row>
        <row r="455">
          <cell r="B455" t="str">
            <v>BP</v>
          </cell>
          <cell r="O455">
            <v>0</v>
          </cell>
          <cell r="T455">
            <v>0</v>
          </cell>
        </row>
        <row r="456">
          <cell r="B456" t="str">
            <v>BP</v>
          </cell>
          <cell r="O456">
            <v>0</v>
          </cell>
          <cell r="T456">
            <v>0</v>
          </cell>
        </row>
        <row r="457">
          <cell r="B457" t="str">
            <v>BP</v>
          </cell>
          <cell r="O457">
            <v>0</v>
          </cell>
          <cell r="T457">
            <v>0</v>
          </cell>
        </row>
        <row r="458">
          <cell r="B458" t="str">
            <v>BP</v>
          </cell>
          <cell r="O458">
            <v>0</v>
          </cell>
          <cell r="T458">
            <v>0</v>
          </cell>
        </row>
        <row r="459">
          <cell r="B459" t="str">
            <v>BP</v>
          </cell>
          <cell r="O459">
            <v>0</v>
          </cell>
          <cell r="T459">
            <v>0</v>
          </cell>
        </row>
        <row r="460">
          <cell r="B460" t="str">
            <v>BP</v>
          </cell>
          <cell r="O460">
            <v>0</v>
          </cell>
          <cell r="T460">
            <v>0</v>
          </cell>
        </row>
        <row r="461">
          <cell r="B461" t="str">
            <v>BP</v>
          </cell>
          <cell r="O461">
            <v>0</v>
          </cell>
          <cell r="T461">
            <v>0</v>
          </cell>
        </row>
        <row r="462">
          <cell r="B462" t="str">
            <v>BP</v>
          </cell>
          <cell r="N462">
            <v>179.1542</v>
          </cell>
          <cell r="O462">
            <v>0.1598145</v>
          </cell>
          <cell r="S462">
            <v>171.16540000000001</v>
          </cell>
          <cell r="T462">
            <v>2.0360490000000002</v>
          </cell>
        </row>
        <row r="463">
          <cell r="B463" t="str">
            <v>BP</v>
          </cell>
          <cell r="O463">
            <v>0</v>
          </cell>
          <cell r="T463">
            <v>0</v>
          </cell>
        </row>
        <row r="464">
          <cell r="B464" t="str">
            <v>BP</v>
          </cell>
          <cell r="O464">
            <v>0</v>
          </cell>
          <cell r="T464">
            <v>0</v>
          </cell>
        </row>
        <row r="465">
          <cell r="B465" t="str">
            <v>BP</v>
          </cell>
          <cell r="N465">
            <v>117.4</v>
          </cell>
          <cell r="O465">
            <v>1.5726799999999999E-2</v>
          </cell>
          <cell r="S465">
            <v>104</v>
          </cell>
          <cell r="T465">
            <v>1.5726799999999999E-2</v>
          </cell>
        </row>
        <row r="466">
          <cell r="B466" t="str">
            <v>BP</v>
          </cell>
          <cell r="N466">
            <v>216.6651</v>
          </cell>
          <cell r="O466">
            <v>0.24853500000000001</v>
          </cell>
          <cell r="S466">
            <v>55.553469999999997</v>
          </cell>
          <cell r="T466">
            <v>0</v>
          </cell>
        </row>
        <row r="467">
          <cell r="B467" t="str">
            <v>BP</v>
          </cell>
        </row>
        <row r="468">
          <cell r="B468" t="str">
            <v>BP</v>
          </cell>
          <cell r="N468">
            <v>0.10216500000000001</v>
          </cell>
          <cell r="S468">
            <v>8.0251500000000003E-2</v>
          </cell>
        </row>
        <row r="469">
          <cell r="B469" t="str">
            <v>BP</v>
          </cell>
          <cell r="O469">
            <v>0</v>
          </cell>
          <cell r="T469">
            <v>0</v>
          </cell>
        </row>
        <row r="470">
          <cell r="B470" t="str">
            <v>BP</v>
          </cell>
          <cell r="O470">
            <v>0</v>
          </cell>
          <cell r="T470">
            <v>0</v>
          </cell>
        </row>
        <row r="471">
          <cell r="B471" t="str">
            <v>BP</v>
          </cell>
          <cell r="N471">
            <v>33</v>
          </cell>
          <cell r="O471">
            <v>0.89735169999999997</v>
          </cell>
          <cell r="S471">
            <v>45</v>
          </cell>
          <cell r="T471">
            <v>1.152806</v>
          </cell>
        </row>
        <row r="472">
          <cell r="B472" t="str">
            <v>BP</v>
          </cell>
          <cell r="O472">
            <v>0</v>
          </cell>
          <cell r="T472">
            <v>0</v>
          </cell>
        </row>
        <row r="473">
          <cell r="B473" t="str">
            <v>BP</v>
          </cell>
          <cell r="N473">
            <v>0</v>
          </cell>
          <cell r="O473">
            <v>0</v>
          </cell>
          <cell r="S473">
            <v>0</v>
          </cell>
          <cell r="T473">
            <v>0</v>
          </cell>
        </row>
        <row r="474">
          <cell r="B474" t="str">
            <v>BP</v>
          </cell>
          <cell r="O474">
            <v>0</v>
          </cell>
          <cell r="T474">
            <v>0</v>
          </cell>
        </row>
        <row r="475">
          <cell r="B475" t="str">
            <v>BP</v>
          </cell>
          <cell r="N475">
            <v>0</v>
          </cell>
          <cell r="O475">
            <v>0</v>
          </cell>
          <cell r="S475">
            <v>0</v>
          </cell>
          <cell r="T475">
            <v>0</v>
          </cell>
        </row>
        <row r="476">
          <cell r="B476" t="str">
            <v>BP</v>
          </cell>
          <cell r="O476">
            <v>0.18890750000000001</v>
          </cell>
          <cell r="T476">
            <v>0.18890750000000001</v>
          </cell>
        </row>
        <row r="477">
          <cell r="B477" t="str">
            <v>BP</v>
          </cell>
          <cell r="O477">
            <v>0</v>
          </cell>
          <cell r="T477">
            <v>0</v>
          </cell>
        </row>
        <row r="478">
          <cell r="B478" t="str">
            <v>BP</v>
          </cell>
          <cell r="O478">
            <v>0</v>
          </cell>
          <cell r="T478">
            <v>0</v>
          </cell>
        </row>
        <row r="479">
          <cell r="B479" t="str">
            <v>BP</v>
          </cell>
          <cell r="N479">
            <v>0</v>
          </cell>
          <cell r="O479">
            <v>0</v>
          </cell>
          <cell r="S479">
            <v>0</v>
          </cell>
          <cell r="T479">
            <v>0</v>
          </cell>
        </row>
        <row r="480">
          <cell r="B480" t="str">
            <v>BP</v>
          </cell>
          <cell r="N480">
            <v>1.9756849999999999</v>
          </cell>
          <cell r="S480">
            <v>1.644493</v>
          </cell>
        </row>
        <row r="481">
          <cell r="B481" t="str">
            <v>BP</v>
          </cell>
          <cell r="O481">
            <v>0.1212102</v>
          </cell>
          <cell r="T481">
            <v>0.1212102</v>
          </cell>
        </row>
        <row r="482">
          <cell r="B482" t="str">
            <v>BP</v>
          </cell>
          <cell r="O482">
            <v>0</v>
          </cell>
        </row>
        <row r="483">
          <cell r="B483" t="str">
            <v>BP</v>
          </cell>
          <cell r="O483">
            <v>0</v>
          </cell>
        </row>
        <row r="484">
          <cell r="B484" t="str">
            <v>BP</v>
          </cell>
          <cell r="O484">
            <v>0</v>
          </cell>
        </row>
        <row r="485">
          <cell r="B485" t="str">
            <v>BP</v>
          </cell>
          <cell r="O485">
            <v>0</v>
          </cell>
        </row>
        <row r="486">
          <cell r="B486" t="str">
            <v>BP</v>
          </cell>
          <cell r="O486">
            <v>0</v>
          </cell>
        </row>
        <row r="487">
          <cell r="B487" t="str">
            <v>BP</v>
          </cell>
          <cell r="O487">
            <v>0</v>
          </cell>
        </row>
        <row r="488">
          <cell r="B488" t="str">
            <v>BP</v>
          </cell>
          <cell r="O488">
            <v>0</v>
          </cell>
        </row>
        <row r="489">
          <cell r="B489" t="str">
            <v>BP</v>
          </cell>
          <cell r="O489">
            <v>0</v>
          </cell>
        </row>
        <row r="490">
          <cell r="B490" t="str">
            <v>BP</v>
          </cell>
          <cell r="O490">
            <v>0</v>
          </cell>
        </row>
        <row r="491">
          <cell r="B491" t="str">
            <v>BP</v>
          </cell>
          <cell r="O491">
            <v>0</v>
          </cell>
        </row>
        <row r="492">
          <cell r="B492" t="str">
            <v>BP</v>
          </cell>
          <cell r="O492">
            <v>0</v>
          </cell>
        </row>
        <row r="493">
          <cell r="B493" t="str">
            <v>BP</v>
          </cell>
          <cell r="O493">
            <v>0</v>
          </cell>
        </row>
        <row r="494">
          <cell r="B494" t="str">
            <v>BP</v>
          </cell>
          <cell r="O494">
            <v>0</v>
          </cell>
        </row>
        <row r="495">
          <cell r="B495" t="str">
            <v>BP</v>
          </cell>
          <cell r="O495">
            <v>0</v>
          </cell>
        </row>
        <row r="496">
          <cell r="B496" t="str">
            <v>BP</v>
          </cell>
          <cell r="O496">
            <v>0</v>
          </cell>
        </row>
        <row r="497">
          <cell r="B497" t="str">
            <v>BP</v>
          </cell>
          <cell r="O497">
            <v>0</v>
          </cell>
        </row>
        <row r="498">
          <cell r="B498" t="str">
            <v>BP</v>
          </cell>
          <cell r="O498">
            <v>0</v>
          </cell>
        </row>
        <row r="499">
          <cell r="B499" t="str">
            <v>BP</v>
          </cell>
          <cell r="O499">
            <v>0</v>
          </cell>
        </row>
        <row r="500">
          <cell r="B500" t="str">
            <v>BP</v>
          </cell>
          <cell r="O500">
            <v>0</v>
          </cell>
        </row>
        <row r="501">
          <cell r="B501" t="str">
            <v>BP</v>
          </cell>
          <cell r="O501">
            <v>0</v>
          </cell>
        </row>
        <row r="502">
          <cell r="B502" t="str">
            <v>BP</v>
          </cell>
          <cell r="O502">
            <v>0</v>
          </cell>
        </row>
        <row r="503">
          <cell r="B503" t="str">
            <v>BP</v>
          </cell>
          <cell r="O503">
            <v>0</v>
          </cell>
        </row>
        <row r="504">
          <cell r="B504" t="str">
            <v>BP</v>
          </cell>
          <cell r="O504">
            <v>0</v>
          </cell>
        </row>
        <row r="505">
          <cell r="B505" t="str">
            <v>BP</v>
          </cell>
          <cell r="O505">
            <v>0</v>
          </cell>
        </row>
        <row r="506">
          <cell r="B506" t="str">
            <v>BP</v>
          </cell>
          <cell r="O506">
            <v>0</v>
          </cell>
        </row>
        <row r="507">
          <cell r="B507" t="str">
            <v>BP</v>
          </cell>
          <cell r="O507">
            <v>0</v>
          </cell>
        </row>
        <row r="508">
          <cell r="B508" t="str">
            <v>BP</v>
          </cell>
          <cell r="O508">
            <v>0</v>
          </cell>
        </row>
        <row r="509">
          <cell r="B509" t="str">
            <v>Shell</v>
          </cell>
          <cell r="N509">
            <v>2.209854</v>
          </cell>
          <cell r="S509">
            <v>2.0620539999999998</v>
          </cell>
        </row>
        <row r="510">
          <cell r="B510" t="str">
            <v>Shell</v>
          </cell>
          <cell r="O510">
            <v>5.3224050000000002E-2</v>
          </cell>
          <cell r="T510">
            <v>5.3224050000000002E-2</v>
          </cell>
        </row>
        <row r="511">
          <cell r="B511" t="str">
            <v>Shell</v>
          </cell>
          <cell r="O511">
            <v>1.7739649999999999E-2</v>
          </cell>
        </row>
        <row r="512">
          <cell r="B512" t="str">
            <v>Shell</v>
          </cell>
          <cell r="O512">
            <v>6.9748099999999993E-2</v>
          </cell>
          <cell r="T512">
            <v>6.9748110000000002E-2</v>
          </cell>
        </row>
        <row r="513">
          <cell r="B513" t="str">
            <v>Shell</v>
          </cell>
          <cell r="O513">
            <v>0.21630949999999999</v>
          </cell>
          <cell r="T513">
            <v>0.21630949999999999</v>
          </cell>
        </row>
        <row r="514">
          <cell r="B514" t="str">
            <v>Shell</v>
          </cell>
          <cell r="N514">
            <v>46.326059999999998</v>
          </cell>
          <cell r="O514">
            <v>0.64561860000000004</v>
          </cell>
          <cell r="S514">
            <v>51.169609999999999</v>
          </cell>
          <cell r="T514">
            <v>9.9015930000000002E-2</v>
          </cell>
        </row>
        <row r="515">
          <cell r="B515" t="str">
            <v>Shell</v>
          </cell>
          <cell r="N515">
            <v>289.24759999999998</v>
          </cell>
          <cell r="O515">
            <v>7.5076850000000001E-2</v>
          </cell>
          <cell r="S515">
            <v>219.63239999999999</v>
          </cell>
          <cell r="T515">
            <v>0.23397100000000001</v>
          </cell>
        </row>
        <row r="516">
          <cell r="B516" t="str">
            <v>Shell</v>
          </cell>
          <cell r="N516">
            <v>42.11985</v>
          </cell>
          <cell r="O516">
            <v>3.2272870000000002E-2</v>
          </cell>
          <cell r="S516">
            <v>31.006769999999999</v>
          </cell>
          <cell r="T516">
            <v>0.57604840000000002</v>
          </cell>
        </row>
        <row r="517">
          <cell r="B517" t="str">
            <v>Shell</v>
          </cell>
          <cell r="O517">
            <v>0.30455189999999999</v>
          </cell>
          <cell r="T517">
            <v>0.30455189999999999</v>
          </cell>
        </row>
        <row r="518">
          <cell r="B518" t="str">
            <v>Shell</v>
          </cell>
          <cell r="O518">
            <v>0.30641040000000003</v>
          </cell>
          <cell r="T518">
            <v>0.30641040000000003</v>
          </cell>
        </row>
        <row r="519">
          <cell r="B519" t="str">
            <v>Shell</v>
          </cell>
          <cell r="O519">
            <v>0.47333979999999998</v>
          </cell>
        </row>
        <row r="520">
          <cell r="B520" t="str">
            <v>Shell</v>
          </cell>
          <cell r="O520">
            <v>0.32143040000000001</v>
          </cell>
          <cell r="T520">
            <v>0.1101091</v>
          </cell>
        </row>
        <row r="521">
          <cell r="B521" t="str">
            <v>Shell</v>
          </cell>
          <cell r="O521">
            <v>0.1225</v>
          </cell>
          <cell r="T521">
            <v>0.1225</v>
          </cell>
        </row>
        <row r="522">
          <cell r="B522" t="str">
            <v>Shell</v>
          </cell>
          <cell r="O522">
            <v>0.1874797</v>
          </cell>
          <cell r="T522">
            <v>0.1874797</v>
          </cell>
        </row>
        <row r="523">
          <cell r="B523" t="str">
            <v>Shell</v>
          </cell>
          <cell r="N523">
            <v>22.529969999999999</v>
          </cell>
          <cell r="O523">
            <v>0.47833639999999999</v>
          </cell>
          <cell r="S523">
            <v>18.207039999999999</v>
          </cell>
          <cell r="T523">
            <v>0.47833639999999999</v>
          </cell>
        </row>
        <row r="524">
          <cell r="B524" t="str">
            <v>Shell</v>
          </cell>
        </row>
        <row r="525">
          <cell r="B525" t="str">
            <v>Shell</v>
          </cell>
          <cell r="O525">
            <v>7.4144500000000002E-2</v>
          </cell>
          <cell r="T525">
            <v>7.4144500000000002E-2</v>
          </cell>
        </row>
        <row r="526">
          <cell r="B526" t="str">
            <v>Shell</v>
          </cell>
          <cell r="O526">
            <v>0.29235129999999998</v>
          </cell>
          <cell r="T526">
            <v>0.39134330000000001</v>
          </cell>
        </row>
        <row r="527">
          <cell r="B527" t="str">
            <v>Shell</v>
          </cell>
        </row>
        <row r="528">
          <cell r="B528" t="str">
            <v>Shell</v>
          </cell>
          <cell r="O528">
            <v>9.8214499999999996E-2</v>
          </cell>
          <cell r="T528">
            <v>9.8214499999999996E-2</v>
          </cell>
        </row>
        <row r="529">
          <cell r="B529" t="str">
            <v>Shell</v>
          </cell>
          <cell r="N529">
            <v>0</v>
          </cell>
          <cell r="O529">
            <v>0.12720100000000001</v>
          </cell>
          <cell r="S529">
            <v>0.13895640000000001</v>
          </cell>
          <cell r="T529">
            <v>0.15178800000000001</v>
          </cell>
        </row>
        <row r="530">
          <cell r="B530" t="str">
            <v>Shell</v>
          </cell>
          <cell r="N530">
            <v>47.169840000000001</v>
          </cell>
          <cell r="S530">
            <v>38.443040000000003</v>
          </cell>
        </row>
        <row r="531">
          <cell r="B531" t="str">
            <v>Shell</v>
          </cell>
          <cell r="N531">
            <v>73.710009999999997</v>
          </cell>
          <cell r="O531">
            <v>2.2032670000000001E-2</v>
          </cell>
          <cell r="S531">
            <v>89.91</v>
          </cell>
          <cell r="T531">
            <v>1.4146819999999999E-2</v>
          </cell>
        </row>
        <row r="532">
          <cell r="B532" t="str">
            <v>Shell</v>
          </cell>
          <cell r="O532">
            <v>4.450747E-2</v>
          </cell>
          <cell r="T532">
            <v>7.5559200000000007E-2</v>
          </cell>
        </row>
        <row r="533">
          <cell r="B533" t="str">
            <v>Shell</v>
          </cell>
          <cell r="O533">
            <v>0.128521</v>
          </cell>
          <cell r="T533">
            <v>0.143513</v>
          </cell>
        </row>
        <row r="534">
          <cell r="B534" t="str">
            <v>Shell</v>
          </cell>
          <cell r="N534">
            <v>18.74858</v>
          </cell>
          <cell r="S534">
            <v>15.231009999999999</v>
          </cell>
        </row>
        <row r="535">
          <cell r="B535" t="str">
            <v>Shell</v>
          </cell>
          <cell r="N535">
            <v>1268.9549999999999</v>
          </cell>
          <cell r="O535">
            <v>71.683869999999999</v>
          </cell>
          <cell r="S535">
            <v>168.2423</v>
          </cell>
          <cell r="T535">
            <v>0.94296179999999996</v>
          </cell>
        </row>
        <row r="536">
          <cell r="B536" t="str">
            <v>Shell</v>
          </cell>
          <cell r="O536">
            <v>0.4732035</v>
          </cell>
          <cell r="S536">
            <v>0</v>
          </cell>
          <cell r="T536">
            <v>22.05115</v>
          </cell>
        </row>
        <row r="537">
          <cell r="B537" t="str">
            <v>Shell</v>
          </cell>
        </row>
        <row r="538">
          <cell r="B538" t="str">
            <v>Shell</v>
          </cell>
          <cell r="N538">
            <v>2.5238779999999998</v>
          </cell>
          <cell r="O538">
            <v>1.5969250000000001E-2</v>
          </cell>
          <cell r="S538">
            <v>20.832409999999999</v>
          </cell>
          <cell r="T538">
            <v>1.5969250000000001E-2</v>
          </cell>
        </row>
        <row r="539">
          <cell r="B539" t="str">
            <v>Shell</v>
          </cell>
          <cell r="N539">
            <v>275</v>
          </cell>
          <cell r="S539">
            <v>275</v>
          </cell>
        </row>
        <row r="540">
          <cell r="B540" t="str">
            <v>Shell</v>
          </cell>
          <cell r="O540">
            <v>-2.015352E-10</v>
          </cell>
          <cell r="T540">
            <v>1.7605150000000001</v>
          </cell>
        </row>
        <row r="541">
          <cell r="B541" t="str">
            <v>Shell</v>
          </cell>
          <cell r="O541">
            <v>0.41452620000000001</v>
          </cell>
          <cell r="S541">
            <v>0</v>
          </cell>
          <cell r="T541">
            <v>0.46288020000000002</v>
          </cell>
        </row>
        <row r="542">
          <cell r="B542" t="str">
            <v>Shell</v>
          </cell>
          <cell r="O542">
            <v>0.59942280000000003</v>
          </cell>
          <cell r="S542">
            <v>0</v>
          </cell>
          <cell r="T542">
            <v>0.66934519999999997</v>
          </cell>
        </row>
        <row r="543">
          <cell r="B543" t="str">
            <v>Shell</v>
          </cell>
          <cell r="O543">
            <v>0.1677534</v>
          </cell>
          <cell r="T543">
            <v>0.1677534</v>
          </cell>
        </row>
        <row r="544">
          <cell r="B544" t="str">
            <v>Shell</v>
          </cell>
          <cell r="N544">
            <v>156.88159999999999</v>
          </cell>
          <cell r="O544">
            <v>0.35444639999999999</v>
          </cell>
          <cell r="S544">
            <v>68.63203</v>
          </cell>
          <cell r="T544">
            <v>120.8665</v>
          </cell>
        </row>
        <row r="545">
          <cell r="B545" t="str">
            <v>Shell</v>
          </cell>
        </row>
        <row r="546">
          <cell r="B546" t="str">
            <v>Shell</v>
          </cell>
          <cell r="N546">
            <v>3.6172800000000001</v>
          </cell>
          <cell r="S546">
            <v>4.2574430000000003</v>
          </cell>
        </row>
        <row r="547">
          <cell r="B547" t="str">
            <v>Shell</v>
          </cell>
          <cell r="O547">
            <v>0.118421</v>
          </cell>
          <cell r="T547">
            <v>0.23611299999999999</v>
          </cell>
        </row>
        <row r="548">
          <cell r="B548" t="str">
            <v>Shell</v>
          </cell>
          <cell r="N548">
            <v>239.34549999999999</v>
          </cell>
          <cell r="O548">
            <v>0.32</v>
          </cell>
          <cell r="S548">
            <v>519.52139999999997</v>
          </cell>
          <cell r="T548">
            <v>0.32</v>
          </cell>
        </row>
        <row r="549">
          <cell r="B549" t="str">
            <v>Shell</v>
          </cell>
          <cell r="N549">
            <v>627.31880000000001</v>
          </cell>
          <cell r="O549">
            <v>0.13606869999999999</v>
          </cell>
          <cell r="S549">
            <v>534.99149999999997</v>
          </cell>
          <cell r="T549">
            <v>0.16236970000000001</v>
          </cell>
        </row>
        <row r="550">
          <cell r="B550" t="str">
            <v>Shell</v>
          </cell>
          <cell r="N550">
            <v>223.61250000000001</v>
          </cell>
          <cell r="O550">
            <v>10.65981</v>
          </cell>
          <cell r="S550">
            <v>335.57319999999999</v>
          </cell>
          <cell r="T550">
            <v>10.60487</v>
          </cell>
        </row>
        <row r="551">
          <cell r="B551" t="str">
            <v>Shell</v>
          </cell>
          <cell r="N551">
            <v>26.94106</v>
          </cell>
          <cell r="O551">
            <v>14.37288</v>
          </cell>
          <cell r="S551">
            <v>11.88373</v>
          </cell>
          <cell r="T551">
            <v>9.6844230000000003E-2</v>
          </cell>
        </row>
        <row r="552">
          <cell r="B552" t="str">
            <v>Shell</v>
          </cell>
          <cell r="O552">
            <v>2.2449750000000001E-2</v>
          </cell>
          <cell r="T552">
            <v>2.2449750000000001E-2</v>
          </cell>
        </row>
        <row r="553">
          <cell r="B553" t="str">
            <v>Shell</v>
          </cell>
          <cell r="O553">
            <v>0.80598780000000003</v>
          </cell>
          <cell r="T553">
            <v>139.92449999999999</v>
          </cell>
        </row>
        <row r="554">
          <cell r="B554" t="str">
            <v>Shell</v>
          </cell>
          <cell r="O554">
            <v>0.38603700000000002</v>
          </cell>
          <cell r="S554">
            <v>0</v>
          </cell>
          <cell r="T554">
            <v>0.43106800000000001</v>
          </cell>
        </row>
        <row r="555">
          <cell r="B555" t="str">
            <v>Shell</v>
          </cell>
          <cell r="N555">
            <v>7.5832069999999998</v>
          </cell>
        </row>
        <row r="556">
          <cell r="B556" t="str">
            <v>Shell</v>
          </cell>
          <cell r="O556">
            <v>0.27480100000000002</v>
          </cell>
          <cell r="T556">
            <v>0.27480100000000002</v>
          </cell>
        </row>
        <row r="557">
          <cell r="B557" t="str">
            <v>Shell</v>
          </cell>
        </row>
        <row r="558">
          <cell r="B558" t="str">
            <v>Shell</v>
          </cell>
        </row>
        <row r="559">
          <cell r="B559" t="str">
            <v>Shell</v>
          </cell>
          <cell r="N559">
            <v>47.884839999999997</v>
          </cell>
          <cell r="S559">
            <v>38.690510000000003</v>
          </cell>
        </row>
        <row r="560">
          <cell r="B560" t="str">
            <v>Shell</v>
          </cell>
          <cell r="O560">
            <v>8.0879999999999994E-2</v>
          </cell>
          <cell r="T560">
            <v>9.8853999999999997E-2</v>
          </cell>
        </row>
        <row r="561">
          <cell r="B561" t="str">
            <v>Shell</v>
          </cell>
          <cell r="O561">
            <v>0.37920700000000002</v>
          </cell>
          <cell r="T561">
            <v>0.37920700000000002</v>
          </cell>
        </row>
        <row r="562">
          <cell r="B562" t="str">
            <v>Shell</v>
          </cell>
        </row>
        <row r="563">
          <cell r="B563" t="str">
            <v>Shell</v>
          </cell>
        </row>
        <row r="564">
          <cell r="B564" t="str">
            <v>Shell</v>
          </cell>
          <cell r="N564">
            <v>8.9249989999999997</v>
          </cell>
          <cell r="O564">
            <v>0.15631390000000001</v>
          </cell>
          <cell r="S564">
            <v>26.425000000000001</v>
          </cell>
          <cell r="T564">
            <v>1.547315E-2</v>
          </cell>
        </row>
        <row r="565">
          <cell r="B565" t="str">
            <v>Shell</v>
          </cell>
          <cell r="N565">
            <v>0.5389678</v>
          </cell>
          <cell r="O565">
            <v>4.744834</v>
          </cell>
          <cell r="S565">
            <v>13.722250000000001</v>
          </cell>
          <cell r="T565">
            <v>0.84025839999999996</v>
          </cell>
        </row>
        <row r="566">
          <cell r="B566" t="str">
            <v>Shell</v>
          </cell>
        </row>
        <row r="567">
          <cell r="B567" t="str">
            <v>Shell</v>
          </cell>
          <cell r="O567">
            <v>0.110975</v>
          </cell>
          <cell r="T567">
            <v>0.12406300000000001</v>
          </cell>
        </row>
        <row r="568">
          <cell r="B568" t="str">
            <v>Shell</v>
          </cell>
          <cell r="O568">
            <v>9.5601360000000007E-5</v>
          </cell>
        </row>
        <row r="569">
          <cell r="B569" t="str">
            <v>Shell</v>
          </cell>
          <cell r="N569">
            <v>13.608079999999999</v>
          </cell>
          <cell r="O569">
            <v>9.0893000000000002E-2</v>
          </cell>
          <cell r="S569">
            <v>10.84003</v>
          </cell>
          <cell r="T569">
            <v>2.0331229999999998</v>
          </cell>
        </row>
        <row r="570">
          <cell r="B570" t="str">
            <v>Shell</v>
          </cell>
          <cell r="O570">
            <v>5.0355E-3</v>
          </cell>
          <cell r="T570">
            <v>5.6295E-3</v>
          </cell>
        </row>
        <row r="571">
          <cell r="B571" t="str">
            <v>Shell</v>
          </cell>
          <cell r="O571">
            <v>0.36482209999999998</v>
          </cell>
          <cell r="T571">
            <v>0.4078484</v>
          </cell>
        </row>
        <row r="572">
          <cell r="B572" t="str">
            <v>Shell</v>
          </cell>
          <cell r="O572">
            <v>6.7023600000000003E-2</v>
          </cell>
          <cell r="T572">
            <v>4.30344E-2</v>
          </cell>
        </row>
        <row r="573">
          <cell r="B573" t="str">
            <v>Shell</v>
          </cell>
          <cell r="N573">
            <v>30.690300000000001</v>
          </cell>
          <cell r="O573">
            <v>0.16241420000000001</v>
          </cell>
          <cell r="S573">
            <v>24.510629999999999</v>
          </cell>
          <cell r="T573">
            <v>0.18491879999999999</v>
          </cell>
        </row>
        <row r="574">
          <cell r="B574" t="str">
            <v>Shell</v>
          </cell>
          <cell r="O574">
            <v>4.3623630000000002E-5</v>
          </cell>
        </row>
        <row r="575">
          <cell r="B575" t="str">
            <v>Shell</v>
          </cell>
          <cell r="O575">
            <v>1.7976499999999999E-2</v>
          </cell>
          <cell r="T575">
            <v>1.1542500000000001E-2</v>
          </cell>
        </row>
        <row r="576">
          <cell r="B576" t="str">
            <v>Shell</v>
          </cell>
          <cell r="N576">
            <v>38.495739999999998</v>
          </cell>
          <cell r="O576">
            <v>5.4215039999999999E-2</v>
          </cell>
          <cell r="S576">
            <v>10.81039</v>
          </cell>
          <cell r="T576">
            <v>6.0610339999999999E-2</v>
          </cell>
        </row>
        <row r="577">
          <cell r="B577" t="str">
            <v>Shell</v>
          </cell>
          <cell r="N577">
            <v>98.768619999999999</v>
          </cell>
          <cell r="O577">
            <v>0.20745720000000001</v>
          </cell>
          <cell r="S577">
            <v>216.44499999999999</v>
          </cell>
          <cell r="T577">
            <v>0.23198240000000001</v>
          </cell>
        </row>
        <row r="578">
          <cell r="B578" t="str">
            <v>Shell</v>
          </cell>
          <cell r="N578">
            <v>13.371</v>
          </cell>
          <cell r="O578">
            <v>3.73231E-3</v>
          </cell>
          <cell r="S578">
            <v>79.334590000000006</v>
          </cell>
          <cell r="T578">
            <v>4.1724960000000004E-3</v>
          </cell>
        </row>
        <row r="579">
          <cell r="B579" t="str">
            <v>Shell</v>
          </cell>
          <cell r="O579">
            <v>0.12913440000000001</v>
          </cell>
          <cell r="T579">
            <v>0.14436399999999999</v>
          </cell>
        </row>
        <row r="580">
          <cell r="B580" t="str">
            <v>Shell</v>
          </cell>
          <cell r="N580">
            <v>1.0122519999999999</v>
          </cell>
          <cell r="O580">
            <v>3.7042070000000002E-4</v>
          </cell>
        </row>
        <row r="581">
          <cell r="B581" t="str">
            <v>Shell</v>
          </cell>
          <cell r="O581">
            <v>1.3655509999999999E-2</v>
          </cell>
          <cell r="T581">
            <v>1.9625950000000001</v>
          </cell>
        </row>
        <row r="582">
          <cell r="B582" t="str">
            <v>Shell</v>
          </cell>
          <cell r="O582">
            <v>4.0850150000000002E-2</v>
          </cell>
          <cell r="T582">
            <v>4.0850150000000002E-2</v>
          </cell>
        </row>
        <row r="583">
          <cell r="B583" t="str">
            <v>Shell</v>
          </cell>
          <cell r="N583">
            <v>3.9698959999999999</v>
          </cell>
          <cell r="O583">
            <v>0.15656619999999999</v>
          </cell>
          <cell r="S583">
            <v>2.585324</v>
          </cell>
          <cell r="T583">
            <v>19.876560000000001</v>
          </cell>
        </row>
        <row r="584">
          <cell r="B584" t="str">
            <v>Shell</v>
          </cell>
          <cell r="N584">
            <v>3.6310159999999998</v>
          </cell>
          <cell r="O584">
            <v>0.10120469999999999</v>
          </cell>
          <cell r="S584">
            <v>3.1789800000000001</v>
          </cell>
          <cell r="T584">
            <v>0.20025570000000001</v>
          </cell>
        </row>
        <row r="585">
          <cell r="B585" t="str">
            <v>Shell</v>
          </cell>
          <cell r="N585">
            <v>20.551210000000001</v>
          </cell>
          <cell r="O585">
            <v>0.12109549999999999</v>
          </cell>
          <cell r="S585">
            <v>16.847740000000002</v>
          </cell>
          <cell r="T585">
            <v>0.12109549999999999</v>
          </cell>
        </row>
        <row r="586">
          <cell r="B586" t="str">
            <v>Shell</v>
          </cell>
          <cell r="N586">
            <v>20.40278</v>
          </cell>
          <cell r="O586">
            <v>7.3047940000000006E-2</v>
          </cell>
          <cell r="S586">
            <v>16.422750000000001</v>
          </cell>
          <cell r="T586">
            <v>0.19601099999999999</v>
          </cell>
        </row>
        <row r="587">
          <cell r="B587" t="str">
            <v>Shell</v>
          </cell>
          <cell r="N587">
            <v>63.576839999999997</v>
          </cell>
          <cell r="O587">
            <v>0.3080772</v>
          </cell>
          <cell r="S587">
            <v>47.610059999999997</v>
          </cell>
          <cell r="T587">
            <v>0.2826535</v>
          </cell>
        </row>
        <row r="588">
          <cell r="B588" t="str">
            <v>Shell</v>
          </cell>
          <cell r="N588">
            <v>9.3696040000000007</v>
          </cell>
          <cell r="O588">
            <v>0.18093880000000001</v>
          </cell>
          <cell r="S588">
            <v>7.2903539999999998</v>
          </cell>
          <cell r="T588">
            <v>0.56743809999999995</v>
          </cell>
        </row>
        <row r="589">
          <cell r="B589" t="str">
            <v>Shell</v>
          </cell>
          <cell r="N589">
            <v>43.163339999999998</v>
          </cell>
          <cell r="O589">
            <v>1.573995</v>
          </cell>
          <cell r="S589">
            <v>43.880290000000002</v>
          </cell>
          <cell r="T589">
            <v>1.888188</v>
          </cell>
        </row>
        <row r="590">
          <cell r="B590" t="str">
            <v>Shell</v>
          </cell>
          <cell r="O590">
            <v>4.230363E-3</v>
          </cell>
          <cell r="T590">
            <v>0</v>
          </cell>
        </row>
        <row r="591">
          <cell r="B591" t="str">
            <v>Shell</v>
          </cell>
          <cell r="N591">
            <v>3.443511</v>
          </cell>
          <cell r="O591">
            <v>2.633715E-2</v>
          </cell>
          <cell r="S591">
            <v>1.7430570000000001</v>
          </cell>
          <cell r="T591">
            <v>0.43296580000000001</v>
          </cell>
        </row>
        <row r="592">
          <cell r="B592" t="str">
            <v>Shell</v>
          </cell>
          <cell r="N592">
            <v>1.94055</v>
          </cell>
          <cell r="O592">
            <v>0.1423933</v>
          </cell>
          <cell r="S592">
            <v>1.820336</v>
          </cell>
          <cell r="T592">
            <v>8.2990499999999995E-2</v>
          </cell>
        </row>
        <row r="593">
          <cell r="B593" t="str">
            <v>Shell</v>
          </cell>
          <cell r="O593">
            <v>7.7943420000000001E-3</v>
          </cell>
          <cell r="T593">
            <v>8.7128870000000008E-3</v>
          </cell>
        </row>
        <row r="594">
          <cell r="B594" t="str">
            <v>Shell</v>
          </cell>
          <cell r="O594">
            <v>2.21833E-7</v>
          </cell>
          <cell r="T594">
            <v>2.4801299999999999E-7</v>
          </cell>
        </row>
        <row r="595">
          <cell r="B595" t="str">
            <v>Shell</v>
          </cell>
          <cell r="O595">
            <v>2.1759110000000002E-2</v>
          </cell>
          <cell r="T595">
            <v>0.35995719999999998</v>
          </cell>
        </row>
        <row r="596">
          <cell r="B596" t="str">
            <v>Shell</v>
          </cell>
          <cell r="O596">
            <v>4.9903799999999998E-2</v>
          </cell>
          <cell r="T596">
            <v>3.2042399999999999E-2</v>
          </cell>
        </row>
        <row r="597">
          <cell r="B597" t="str">
            <v>Shell</v>
          </cell>
          <cell r="O597">
            <v>1.6360139999999999E-2</v>
          </cell>
          <cell r="T597">
            <v>1.8289369999999999E-2</v>
          </cell>
        </row>
        <row r="598">
          <cell r="B598" t="str">
            <v>Shell</v>
          </cell>
          <cell r="O598">
            <v>1.75395E-2</v>
          </cell>
          <cell r="T598">
            <v>1.9608E-2</v>
          </cell>
        </row>
        <row r="599">
          <cell r="B599" t="str">
            <v>Shell</v>
          </cell>
          <cell r="O599">
            <v>2.8357500000000001E-2</v>
          </cell>
          <cell r="T599">
            <v>3.5274E-2</v>
          </cell>
        </row>
        <row r="600">
          <cell r="B600" t="str">
            <v>Shell</v>
          </cell>
          <cell r="O600">
            <v>8.8779999999999998E-2</v>
          </cell>
          <cell r="T600">
            <v>9.9250500000000005E-2</v>
          </cell>
        </row>
        <row r="601">
          <cell r="B601" t="str">
            <v>Shell</v>
          </cell>
          <cell r="N601">
            <v>0.45701000000000003</v>
          </cell>
          <cell r="O601">
            <v>1.567588E-2</v>
          </cell>
          <cell r="S601">
            <v>0.3405009</v>
          </cell>
          <cell r="T601">
            <v>1.7524680000000001E-2</v>
          </cell>
        </row>
        <row r="602">
          <cell r="B602" t="str">
            <v>Shell</v>
          </cell>
        </row>
        <row r="603">
          <cell r="B603" t="str">
            <v>Shell</v>
          </cell>
          <cell r="N603">
            <v>165.8433</v>
          </cell>
          <cell r="O603">
            <v>8.6901519999999994</v>
          </cell>
          <cell r="S603">
            <v>230.6062</v>
          </cell>
          <cell r="T603">
            <v>23.165240000000001</v>
          </cell>
        </row>
        <row r="604">
          <cell r="B604" t="str">
            <v>Shell</v>
          </cell>
          <cell r="N604">
            <v>12.938980000000001</v>
          </cell>
          <cell r="O604">
            <v>0.23429240000000001</v>
          </cell>
          <cell r="S604">
            <v>13.5</v>
          </cell>
          <cell r="T604">
            <v>0.15043509999999999</v>
          </cell>
        </row>
        <row r="605">
          <cell r="B605" t="str">
            <v>Shell</v>
          </cell>
          <cell r="O605">
            <v>2.8731E-2</v>
          </cell>
          <cell r="T605">
            <v>0.27919050000000001</v>
          </cell>
        </row>
        <row r="606">
          <cell r="B606" t="str">
            <v>Shell</v>
          </cell>
          <cell r="N606">
            <v>0.68321390000000004</v>
          </cell>
          <cell r="O606">
            <v>1.063444E-2</v>
          </cell>
          <cell r="S606">
            <v>0.51496949999999997</v>
          </cell>
          <cell r="T606">
            <v>1.188875E-2</v>
          </cell>
        </row>
        <row r="607">
          <cell r="B607" t="str">
            <v>Shell</v>
          </cell>
          <cell r="O607">
            <v>8.8213200000000005E-2</v>
          </cell>
          <cell r="T607">
            <v>8.8213200000000005E-2</v>
          </cell>
        </row>
        <row r="608">
          <cell r="B608" t="str">
            <v>Shell</v>
          </cell>
          <cell r="O608">
            <v>0.44860800000000001</v>
          </cell>
          <cell r="T608">
            <v>0.44860800000000001</v>
          </cell>
        </row>
        <row r="609">
          <cell r="B609" t="str">
            <v>Shell</v>
          </cell>
          <cell r="O609">
            <v>6.5495600000000003E-3</v>
          </cell>
        </row>
        <row r="610">
          <cell r="B610" t="str">
            <v>Shell</v>
          </cell>
          <cell r="N610">
            <v>760.50139999999999</v>
          </cell>
          <cell r="O610">
            <v>96.177599999999998</v>
          </cell>
          <cell r="S610">
            <v>752.78620000000001</v>
          </cell>
          <cell r="T610">
            <v>42.425800000000002</v>
          </cell>
        </row>
        <row r="611">
          <cell r="B611" t="str">
            <v>Shell</v>
          </cell>
        </row>
        <row r="612">
          <cell r="B612" t="str">
            <v>Shell</v>
          </cell>
          <cell r="N612">
            <v>92.566950000000006</v>
          </cell>
          <cell r="O612">
            <v>7.7610209999999999E-2</v>
          </cell>
          <cell r="S612">
            <v>51.740960000000001</v>
          </cell>
          <cell r="T612">
            <v>7.7610209999999999E-2</v>
          </cell>
        </row>
        <row r="613">
          <cell r="B613" t="str">
            <v>Shell</v>
          </cell>
          <cell r="O613">
            <v>0.1153265</v>
          </cell>
        </row>
        <row r="614">
          <cell r="B614" t="str">
            <v>Shell</v>
          </cell>
          <cell r="O614">
            <v>2.2321199999999999E-2</v>
          </cell>
        </row>
        <row r="615">
          <cell r="B615" t="str">
            <v>Shell</v>
          </cell>
          <cell r="O615">
            <v>0.120771</v>
          </cell>
          <cell r="T615">
            <v>0.120771</v>
          </cell>
        </row>
        <row r="616">
          <cell r="B616" t="str">
            <v>Shell</v>
          </cell>
          <cell r="O616">
            <v>6.3526989999999998E-3</v>
          </cell>
          <cell r="T616">
            <v>6.3526989999999998E-3</v>
          </cell>
        </row>
        <row r="617">
          <cell r="B617" t="str">
            <v>Shell</v>
          </cell>
          <cell r="N617">
            <v>0.66000780000000003</v>
          </cell>
          <cell r="S617">
            <v>0.53473230000000005</v>
          </cell>
        </row>
        <row r="618">
          <cell r="B618" t="str">
            <v>Shell</v>
          </cell>
          <cell r="N618">
            <v>101.2127</v>
          </cell>
          <cell r="S618">
            <v>83.400779999999997</v>
          </cell>
        </row>
        <row r="619">
          <cell r="B619" t="str">
            <v>Shell</v>
          </cell>
          <cell r="N619">
            <v>20.076250000000002</v>
          </cell>
          <cell r="S619">
            <v>19.408729999999998</v>
          </cell>
        </row>
        <row r="620">
          <cell r="B620" t="str">
            <v>Shell</v>
          </cell>
          <cell r="N620">
            <v>23.326229999999999</v>
          </cell>
          <cell r="S620">
            <v>18.33708</v>
          </cell>
        </row>
        <row r="621">
          <cell r="B621" t="str">
            <v>Shell</v>
          </cell>
          <cell r="N621">
            <v>112.596</v>
          </cell>
          <cell r="O621">
            <v>0.1683983</v>
          </cell>
          <cell r="S621">
            <v>92.314400000000006</v>
          </cell>
          <cell r="T621">
            <v>0.20094780000000001</v>
          </cell>
        </row>
        <row r="622">
          <cell r="B622" t="str">
            <v>Shell</v>
          </cell>
          <cell r="O622">
            <v>0.27741900000000003</v>
          </cell>
          <cell r="T622">
            <v>165.2501</v>
          </cell>
        </row>
        <row r="623">
          <cell r="B623" t="str">
            <v>Shell</v>
          </cell>
          <cell r="O623">
            <v>2.4071249999999999E-2</v>
          </cell>
          <cell r="S623">
            <v>0</v>
          </cell>
          <cell r="T623">
            <v>2.4071249999999999E-2</v>
          </cell>
        </row>
        <row r="624">
          <cell r="B624" t="str">
            <v>Shell</v>
          </cell>
          <cell r="O624">
            <v>0.1094821</v>
          </cell>
          <cell r="T624">
            <v>0.1496237</v>
          </cell>
        </row>
        <row r="625">
          <cell r="B625" t="str">
            <v>Shell</v>
          </cell>
          <cell r="N625">
            <v>0</v>
          </cell>
          <cell r="O625">
            <v>4.2114209999999996</v>
          </cell>
          <cell r="S625">
            <v>2.5000000000000001E-3</v>
          </cell>
          <cell r="T625">
            <v>5.2558249999999997</v>
          </cell>
        </row>
        <row r="626">
          <cell r="B626" t="str">
            <v>Shell</v>
          </cell>
          <cell r="N626">
            <v>0.89698599999999995</v>
          </cell>
          <cell r="O626">
            <v>2.2204730000000001</v>
          </cell>
          <cell r="S626">
            <v>1.3155140000000001</v>
          </cell>
          <cell r="T626">
            <v>6.2548909999999998</v>
          </cell>
        </row>
        <row r="627">
          <cell r="B627" t="str">
            <v>Shell</v>
          </cell>
          <cell r="O627">
            <v>0.14300599999999999</v>
          </cell>
          <cell r="T627">
            <v>0.94786400000000004</v>
          </cell>
        </row>
        <row r="628">
          <cell r="B628" t="str">
            <v>Shell</v>
          </cell>
          <cell r="O628">
            <v>0.13726079999999999</v>
          </cell>
          <cell r="T628">
            <v>0.1261708</v>
          </cell>
        </row>
        <row r="629">
          <cell r="B629" t="str">
            <v>Shell</v>
          </cell>
          <cell r="N629">
            <v>243.08080000000001</v>
          </cell>
          <cell r="O629">
            <v>0.488066</v>
          </cell>
          <cell r="S629">
            <v>271.10359999999997</v>
          </cell>
          <cell r="T629">
            <v>0.488066</v>
          </cell>
        </row>
        <row r="630">
          <cell r="B630" t="str">
            <v>Shell</v>
          </cell>
          <cell r="N630">
            <v>118.30880000000001</v>
          </cell>
          <cell r="O630">
            <v>0.28797329999999999</v>
          </cell>
          <cell r="S630">
            <v>65.807029999999997</v>
          </cell>
          <cell r="T630">
            <v>0.28797329999999999</v>
          </cell>
        </row>
        <row r="631">
          <cell r="B631" t="str">
            <v>Shell</v>
          </cell>
          <cell r="N631">
            <v>408.00839999999999</v>
          </cell>
          <cell r="O631">
            <v>0.51001039999999997</v>
          </cell>
          <cell r="S631">
            <v>420.65179999999998</v>
          </cell>
          <cell r="T631">
            <v>0.51001039999999997</v>
          </cell>
        </row>
        <row r="632">
          <cell r="B632" t="str">
            <v>Shell</v>
          </cell>
          <cell r="N632">
            <v>0</v>
          </cell>
        </row>
        <row r="633">
          <cell r="B633" t="str">
            <v>Shell</v>
          </cell>
          <cell r="O633">
            <v>7.8522879999999997</v>
          </cell>
          <cell r="S633">
            <v>0</v>
          </cell>
          <cell r="T633">
            <v>7.8522869999999996</v>
          </cell>
        </row>
        <row r="634">
          <cell r="B634" t="str">
            <v>Shell</v>
          </cell>
          <cell r="O634">
            <v>7.6809710000000004</v>
          </cell>
          <cell r="S634">
            <v>0</v>
          </cell>
          <cell r="T634">
            <v>7.6809719999999997</v>
          </cell>
        </row>
        <row r="635">
          <cell r="B635" t="str">
            <v>Shell</v>
          </cell>
          <cell r="O635">
            <v>4.7366469999999996</v>
          </cell>
          <cell r="T635">
            <v>1.5763249999999999E-2</v>
          </cell>
        </row>
        <row r="636">
          <cell r="B636" t="str">
            <v>Shell</v>
          </cell>
          <cell r="N636">
            <v>45.282020000000003</v>
          </cell>
          <cell r="O636">
            <v>15.37064</v>
          </cell>
          <cell r="S636">
            <v>61.444369999999999</v>
          </cell>
          <cell r="T636">
            <v>6.4963860000000002</v>
          </cell>
        </row>
        <row r="637">
          <cell r="B637" t="str">
            <v>Shell</v>
          </cell>
          <cell r="N637">
            <v>8.8175480000000004</v>
          </cell>
          <cell r="S637">
            <v>2.3585940000000001</v>
          </cell>
        </row>
        <row r="638">
          <cell r="B638" t="str">
            <v>Shell</v>
          </cell>
          <cell r="N638">
            <v>198.5778</v>
          </cell>
          <cell r="O638">
            <v>6.1358920000000001</v>
          </cell>
          <cell r="S638">
            <v>208.35730000000001</v>
          </cell>
          <cell r="T638">
            <v>7.9804029999999999</v>
          </cell>
        </row>
        <row r="639">
          <cell r="B639" t="str">
            <v>Shell</v>
          </cell>
          <cell r="N639">
            <v>20.547689999999999</v>
          </cell>
          <cell r="S639">
            <v>19.856280000000002</v>
          </cell>
        </row>
        <row r="640">
          <cell r="B640" t="str">
            <v>Shell</v>
          </cell>
          <cell r="O640">
            <v>0.17928520000000001</v>
          </cell>
          <cell r="T640">
            <v>0.21895529999999999</v>
          </cell>
        </row>
        <row r="641">
          <cell r="B641" t="str">
            <v>Shell</v>
          </cell>
        </row>
        <row r="642">
          <cell r="B642" t="str">
            <v>Shell</v>
          </cell>
        </row>
        <row r="643">
          <cell r="B643" t="str">
            <v>Shell</v>
          </cell>
        </row>
        <row r="644">
          <cell r="B644" t="str">
            <v>Shell</v>
          </cell>
          <cell r="N644">
            <v>1139.8489999999999</v>
          </cell>
          <cell r="O644">
            <v>924.67719999999997</v>
          </cell>
          <cell r="S644">
            <v>715.04939999999999</v>
          </cell>
          <cell r="T644">
            <v>695.28800000000001</v>
          </cell>
        </row>
        <row r="645">
          <cell r="B645" t="str">
            <v>Shell</v>
          </cell>
          <cell r="N645">
            <v>1042.932</v>
          </cell>
          <cell r="O645">
            <v>627.32640000000004</v>
          </cell>
          <cell r="S645">
            <v>1077.0029999999999</v>
          </cell>
          <cell r="T645">
            <v>34.5655</v>
          </cell>
        </row>
        <row r="646">
          <cell r="B646" t="str">
            <v>Shell</v>
          </cell>
          <cell r="O646">
            <v>2.6134500000000001E-2</v>
          </cell>
          <cell r="S646">
            <v>0</v>
          </cell>
          <cell r="T646">
            <v>1.67806E-2</v>
          </cell>
        </row>
        <row r="647">
          <cell r="B647" t="str">
            <v>Shell</v>
          </cell>
          <cell r="N647">
            <v>18.635280000000002</v>
          </cell>
          <cell r="O647">
            <v>0.21709239999999999</v>
          </cell>
          <cell r="S647">
            <v>21.631830000000001</v>
          </cell>
          <cell r="T647">
            <v>0.1393913</v>
          </cell>
        </row>
        <row r="648">
          <cell r="B648" t="str">
            <v>Shell</v>
          </cell>
        </row>
        <row r="649">
          <cell r="B649" t="str">
            <v>Shell</v>
          </cell>
          <cell r="O649">
            <v>0.1247166</v>
          </cell>
          <cell r="T649">
            <v>1.356519E-2</v>
          </cell>
        </row>
        <row r="650">
          <cell r="B650" t="str">
            <v>Shell</v>
          </cell>
          <cell r="N650">
            <v>0</v>
          </cell>
          <cell r="O650">
            <v>6.7982399999999998E-2</v>
          </cell>
          <cell r="S650">
            <v>0.26245020000000002</v>
          </cell>
          <cell r="T650">
            <v>4.3650300000000003E-2</v>
          </cell>
        </row>
        <row r="651">
          <cell r="B651" t="str">
            <v>Shell</v>
          </cell>
          <cell r="O651">
            <v>0.110425</v>
          </cell>
          <cell r="T651">
            <v>0.110425</v>
          </cell>
        </row>
        <row r="652">
          <cell r="B652" t="str">
            <v>Shell</v>
          </cell>
          <cell r="O652">
            <v>0.49019089999999998</v>
          </cell>
          <cell r="S652">
            <v>0</v>
          </cell>
          <cell r="T652">
            <v>5.4750269999999999</v>
          </cell>
        </row>
        <row r="653">
          <cell r="B653" t="str">
            <v>Shell</v>
          </cell>
          <cell r="N653">
            <v>886.52409999999998</v>
          </cell>
          <cell r="O653">
            <v>236.59440000000001</v>
          </cell>
          <cell r="S653">
            <v>673.30730000000005</v>
          </cell>
          <cell r="T653">
            <v>146.0806</v>
          </cell>
        </row>
        <row r="654">
          <cell r="B654" t="str">
            <v>Shell</v>
          </cell>
          <cell r="N654">
            <v>239.7784</v>
          </cell>
          <cell r="O654">
            <v>74.394379999999998</v>
          </cell>
          <cell r="S654">
            <v>172.90610000000001</v>
          </cell>
          <cell r="T654">
            <v>45.986690000000003</v>
          </cell>
        </row>
        <row r="655">
          <cell r="B655" t="str">
            <v>Shell</v>
          </cell>
          <cell r="N655">
            <v>19.675979999999999</v>
          </cell>
          <cell r="S655">
            <v>17.10557</v>
          </cell>
        </row>
        <row r="656">
          <cell r="B656" t="str">
            <v>Shell</v>
          </cell>
          <cell r="O656">
            <v>0.38065559999999998</v>
          </cell>
          <cell r="T656">
            <v>6.4849959999999998</v>
          </cell>
        </row>
        <row r="657">
          <cell r="B657" t="str">
            <v>Shell</v>
          </cell>
          <cell r="N657">
            <v>35.637039999999999</v>
          </cell>
          <cell r="O657">
            <v>0.14003650000000001</v>
          </cell>
          <cell r="S657">
            <v>27.845300000000002</v>
          </cell>
          <cell r="T657">
            <v>2.542068</v>
          </cell>
        </row>
        <row r="658">
          <cell r="B658" t="str">
            <v>Shell</v>
          </cell>
          <cell r="N658">
            <v>16.845490000000002</v>
          </cell>
          <cell r="O658">
            <v>0.20216319999999999</v>
          </cell>
          <cell r="S658">
            <v>11.28768</v>
          </cell>
          <cell r="T658">
            <v>1.829596</v>
          </cell>
        </row>
        <row r="659">
          <cell r="B659" t="str">
            <v>Shell</v>
          </cell>
          <cell r="N659">
            <v>6.1566530000000004</v>
          </cell>
          <cell r="O659">
            <v>8.5061239999999996E-2</v>
          </cell>
          <cell r="S659">
            <v>4.9896269999999996</v>
          </cell>
          <cell r="T659">
            <v>0.68524189999999996</v>
          </cell>
        </row>
        <row r="660">
          <cell r="B660" t="str">
            <v>Shell</v>
          </cell>
        </row>
        <row r="661">
          <cell r="B661" t="str">
            <v>Shell</v>
          </cell>
        </row>
        <row r="662">
          <cell r="B662" t="str">
            <v>Shell</v>
          </cell>
          <cell r="N662">
            <v>32.642850000000003</v>
          </cell>
          <cell r="O662">
            <v>7.6955720000000005E-2</v>
          </cell>
          <cell r="S662">
            <v>28.344169999999998</v>
          </cell>
          <cell r="T662">
            <v>3.040648E-2</v>
          </cell>
        </row>
        <row r="663">
          <cell r="B663" t="str">
            <v>Shell</v>
          </cell>
          <cell r="N663">
            <v>11.44265</v>
          </cell>
          <cell r="O663">
            <v>6.7858199999999994E-2</v>
          </cell>
          <cell r="S663">
            <v>5.7149989999999997</v>
          </cell>
          <cell r="T663">
            <v>2.5084070000000001</v>
          </cell>
        </row>
        <row r="664">
          <cell r="B664" t="str">
            <v>Shell</v>
          </cell>
          <cell r="N664">
            <v>115.73690000000001</v>
          </cell>
          <cell r="S664">
            <v>101.0117</v>
          </cell>
        </row>
        <row r="665">
          <cell r="B665" t="str">
            <v>Shell</v>
          </cell>
          <cell r="N665">
            <v>0.30997249999999998</v>
          </cell>
          <cell r="S665">
            <v>0.27265450000000002</v>
          </cell>
        </row>
        <row r="666">
          <cell r="B666" t="str">
            <v>Shell</v>
          </cell>
          <cell r="N666">
            <v>63.204410000000003</v>
          </cell>
          <cell r="S666">
            <v>50.493160000000003</v>
          </cell>
        </row>
        <row r="667">
          <cell r="B667" t="str">
            <v>Shell</v>
          </cell>
          <cell r="O667">
            <v>6.9912000000000002E-2</v>
          </cell>
          <cell r="T667">
            <v>6.9912000000000002E-2</v>
          </cell>
        </row>
        <row r="668">
          <cell r="B668" t="str">
            <v>Shell</v>
          </cell>
          <cell r="O668">
            <v>9.0880009999999997E-2</v>
          </cell>
          <cell r="T668">
            <v>9.0880000000000002E-2</v>
          </cell>
        </row>
        <row r="669">
          <cell r="B669" t="str">
            <v>Shell</v>
          </cell>
          <cell r="O669">
            <v>8.9303129999999999</v>
          </cell>
          <cell r="T669">
            <v>7.7301919999999997</v>
          </cell>
        </row>
        <row r="670">
          <cell r="B670" t="str">
            <v>Shell</v>
          </cell>
          <cell r="N670">
            <v>0.60959920000000001</v>
          </cell>
          <cell r="S670">
            <v>0.47073019999999999</v>
          </cell>
        </row>
        <row r="671">
          <cell r="B671" t="str">
            <v>Shell</v>
          </cell>
          <cell r="O671">
            <v>2.8452600000000002E-2</v>
          </cell>
          <cell r="T671">
            <v>2.8452600000000002E-2</v>
          </cell>
        </row>
        <row r="672">
          <cell r="B672" t="str">
            <v>Shell</v>
          </cell>
          <cell r="O672">
            <v>9.4736699999999993E-2</v>
          </cell>
          <cell r="T672">
            <v>9.4736710000000002E-2</v>
          </cell>
        </row>
        <row r="673">
          <cell r="B673" t="str">
            <v>Shell</v>
          </cell>
          <cell r="N673">
            <v>14.274940000000001</v>
          </cell>
          <cell r="O673">
            <v>1.774125E-2</v>
          </cell>
          <cell r="S673">
            <v>11.69806</v>
          </cell>
          <cell r="T673">
            <v>1.774125E-2</v>
          </cell>
        </row>
        <row r="674">
          <cell r="B674" t="str">
            <v>Shell</v>
          </cell>
          <cell r="N674">
            <v>30.455909999999999</v>
          </cell>
          <cell r="O674">
            <v>0.44889630000000003</v>
          </cell>
          <cell r="S674">
            <v>50.007989999999999</v>
          </cell>
          <cell r="T674">
            <v>420.05549999999999</v>
          </cell>
        </row>
        <row r="675">
          <cell r="B675" t="str">
            <v>Shell</v>
          </cell>
        </row>
        <row r="676">
          <cell r="B676" t="str">
            <v>Shell</v>
          </cell>
          <cell r="O676">
            <v>4.1739249999999999E-2</v>
          </cell>
          <cell r="T676">
            <v>5.9003350000000003E-2</v>
          </cell>
        </row>
        <row r="677">
          <cell r="B677" t="str">
            <v>Shell</v>
          </cell>
          <cell r="O677">
            <v>5.4123000000000001E-3</v>
          </cell>
          <cell r="T677">
            <v>3.4751999999999999E-3</v>
          </cell>
        </row>
        <row r="678">
          <cell r="B678" t="str">
            <v>Shell</v>
          </cell>
          <cell r="O678">
            <v>8.5945199999999999E-2</v>
          </cell>
          <cell r="T678">
            <v>9.597079E-2</v>
          </cell>
        </row>
        <row r="679">
          <cell r="B679" t="str">
            <v>Shell</v>
          </cell>
          <cell r="N679">
            <v>132.0145</v>
          </cell>
          <cell r="O679">
            <v>2.4899800000000001</v>
          </cell>
          <cell r="S679">
            <v>370.01159999999999</v>
          </cell>
          <cell r="T679">
            <v>17.082630000000002</v>
          </cell>
        </row>
        <row r="680">
          <cell r="B680" t="str">
            <v>Shell</v>
          </cell>
          <cell r="N680">
            <v>0</v>
          </cell>
          <cell r="O680">
            <v>0.1419096</v>
          </cell>
          <cell r="S680">
            <v>0.52500000000000002</v>
          </cell>
          <cell r="T680">
            <v>0.1419096</v>
          </cell>
        </row>
        <row r="681">
          <cell r="B681" t="str">
            <v>Shell</v>
          </cell>
          <cell r="N681">
            <v>0.3427578</v>
          </cell>
          <cell r="O681">
            <v>6.3798919999999995E-2</v>
          </cell>
          <cell r="S681">
            <v>0</v>
          </cell>
          <cell r="T681">
            <v>6.3798919999999995E-2</v>
          </cell>
        </row>
        <row r="682">
          <cell r="B682" t="str">
            <v>Shell</v>
          </cell>
          <cell r="O682">
            <v>5.4829120000000002E-2</v>
          </cell>
          <cell r="S682">
            <v>0</v>
          </cell>
          <cell r="T682">
            <v>5.4829120000000002E-2</v>
          </cell>
        </row>
        <row r="683">
          <cell r="B683" t="str">
            <v>Shell</v>
          </cell>
          <cell r="N683">
            <v>221.45490000000001</v>
          </cell>
          <cell r="O683">
            <v>50.631839999999997</v>
          </cell>
          <cell r="S683">
            <v>114.608</v>
          </cell>
          <cell r="T683">
            <v>28.461379999999998</v>
          </cell>
        </row>
        <row r="684">
          <cell r="B684" t="str">
            <v>Shell</v>
          </cell>
          <cell r="N684">
            <v>0</v>
          </cell>
          <cell r="O684">
            <v>0.31440249999999997</v>
          </cell>
          <cell r="S684">
            <v>0.25</v>
          </cell>
          <cell r="T684">
            <v>0.31440249999999997</v>
          </cell>
        </row>
        <row r="685">
          <cell r="B685" t="str">
            <v>Shell</v>
          </cell>
          <cell r="N685">
            <v>184.00810000000001</v>
          </cell>
          <cell r="O685">
            <v>0.14906440000000001</v>
          </cell>
          <cell r="S685">
            <v>182.64510000000001</v>
          </cell>
          <cell r="T685">
            <v>10.78655</v>
          </cell>
        </row>
        <row r="686">
          <cell r="B686" t="str">
            <v>Shell</v>
          </cell>
          <cell r="N686">
            <v>182.7586</v>
          </cell>
          <cell r="O686">
            <v>26.77131</v>
          </cell>
          <cell r="S686">
            <v>140.10210000000001</v>
          </cell>
          <cell r="T686">
            <v>5.0034580000000002</v>
          </cell>
        </row>
        <row r="687">
          <cell r="B687" t="str">
            <v>Shell</v>
          </cell>
          <cell r="N687">
            <v>88.12115</v>
          </cell>
          <cell r="S687">
            <v>83.844700000000003</v>
          </cell>
        </row>
        <row r="688">
          <cell r="B688" t="str">
            <v>Shell</v>
          </cell>
          <cell r="N688">
            <v>835.15369999999996</v>
          </cell>
          <cell r="O688">
            <v>0.28331079999999997</v>
          </cell>
          <cell r="S688">
            <v>533.91669999999999</v>
          </cell>
          <cell r="T688">
            <v>0.3380725</v>
          </cell>
        </row>
        <row r="689">
          <cell r="B689" t="str">
            <v>Shell</v>
          </cell>
          <cell r="N689">
            <v>36.445729999999998</v>
          </cell>
          <cell r="O689">
            <v>1.1935500000000001</v>
          </cell>
          <cell r="S689">
            <v>27.83193</v>
          </cell>
          <cell r="T689">
            <v>0.78991469999999997</v>
          </cell>
        </row>
        <row r="690">
          <cell r="B690" t="str">
            <v>Shell</v>
          </cell>
          <cell r="O690">
            <v>0.57150670000000003</v>
          </cell>
          <cell r="T690">
            <v>0.19664029999999999</v>
          </cell>
        </row>
        <row r="691">
          <cell r="B691" t="str">
            <v>Shell</v>
          </cell>
          <cell r="O691">
            <v>0.1562634</v>
          </cell>
          <cell r="T691">
            <v>5.37657E-2</v>
          </cell>
        </row>
        <row r="692">
          <cell r="B692" t="str">
            <v>Shell</v>
          </cell>
          <cell r="O692">
            <v>3.3826990000000001E-2</v>
          </cell>
        </row>
        <row r="693">
          <cell r="B693" t="str">
            <v>Shell</v>
          </cell>
          <cell r="O693">
            <v>0.52092050000000001</v>
          </cell>
          <cell r="T693">
            <v>0.52092050000000001</v>
          </cell>
        </row>
        <row r="694">
          <cell r="B694" t="str">
            <v>Shell</v>
          </cell>
          <cell r="O694">
            <v>0.27409879999999998</v>
          </cell>
          <cell r="T694">
            <v>9.4310400000000003E-2</v>
          </cell>
        </row>
        <row r="695">
          <cell r="B695" t="str">
            <v>Shell</v>
          </cell>
          <cell r="O695">
            <v>0.17456050000000001</v>
          </cell>
          <cell r="T695">
            <v>0.13123799999999999</v>
          </cell>
        </row>
        <row r="696">
          <cell r="B696" t="str">
            <v>Shell</v>
          </cell>
          <cell r="O696">
            <v>0.65663300000000002</v>
          </cell>
          <cell r="T696">
            <v>0.803732</v>
          </cell>
        </row>
        <row r="697">
          <cell r="B697" t="str">
            <v>Shell</v>
          </cell>
          <cell r="N697">
            <v>150.59440000000001</v>
          </cell>
          <cell r="O697">
            <v>0.57084400000000002</v>
          </cell>
          <cell r="S697">
            <v>128.0402</v>
          </cell>
          <cell r="T697">
            <v>0.59784289999999995</v>
          </cell>
        </row>
        <row r="698">
          <cell r="B698" t="str">
            <v>Shell</v>
          </cell>
          <cell r="O698">
            <v>1.42056</v>
          </cell>
          <cell r="T698">
            <v>37.262810000000002</v>
          </cell>
        </row>
        <row r="699">
          <cell r="B699" t="str">
            <v>Shell</v>
          </cell>
          <cell r="O699">
            <v>0.14663499999999999</v>
          </cell>
          <cell r="T699">
            <v>0.14663499999999999</v>
          </cell>
        </row>
        <row r="700">
          <cell r="B700" t="str">
            <v>Shell</v>
          </cell>
          <cell r="N700">
            <v>339.5369</v>
          </cell>
          <cell r="O700">
            <v>0.56903150000000002</v>
          </cell>
          <cell r="S700">
            <v>281.53410000000002</v>
          </cell>
          <cell r="T700">
            <v>0.67902059999999997</v>
          </cell>
        </row>
        <row r="701">
          <cell r="B701" t="str">
            <v>Shell</v>
          </cell>
          <cell r="N701">
            <v>20.58577</v>
          </cell>
          <cell r="O701">
            <v>107.1221</v>
          </cell>
          <cell r="S701">
            <v>24.515129999999999</v>
          </cell>
          <cell r="T701">
            <v>4.2682840000000004</v>
          </cell>
        </row>
        <row r="702">
          <cell r="B702" t="str">
            <v>Shell</v>
          </cell>
          <cell r="N702">
            <v>374.8168</v>
          </cell>
          <cell r="O702">
            <v>1.589229</v>
          </cell>
          <cell r="S702">
            <v>307.28359999999998</v>
          </cell>
          <cell r="T702">
            <v>10.200519999999999</v>
          </cell>
        </row>
        <row r="703">
          <cell r="B703" t="str">
            <v>Shell</v>
          </cell>
          <cell r="N703">
            <v>0</v>
          </cell>
        </row>
        <row r="704">
          <cell r="B704" t="str">
            <v>Shell</v>
          </cell>
        </row>
        <row r="705">
          <cell r="B705" t="str">
            <v>Shell</v>
          </cell>
          <cell r="O705">
            <v>9.0104000000000004E-2</v>
          </cell>
          <cell r="S705">
            <v>0</v>
          </cell>
          <cell r="T705">
            <v>9.0104009999999998E-2</v>
          </cell>
        </row>
        <row r="706">
          <cell r="B706" t="str">
            <v>Shell</v>
          </cell>
          <cell r="N706">
            <v>31.038679999999999</v>
          </cell>
          <cell r="O706">
            <v>0.70078799999999997</v>
          </cell>
          <cell r="S706">
            <v>380.80540000000002</v>
          </cell>
          <cell r="T706">
            <v>0.311718</v>
          </cell>
        </row>
        <row r="707">
          <cell r="B707" t="str">
            <v>Shell</v>
          </cell>
          <cell r="S707">
            <v>0</v>
          </cell>
        </row>
        <row r="708">
          <cell r="B708" t="str">
            <v>Shell</v>
          </cell>
          <cell r="O708">
            <v>9.445365E-2</v>
          </cell>
          <cell r="T708">
            <v>9.445365E-2</v>
          </cell>
        </row>
        <row r="709">
          <cell r="B709" t="str">
            <v>Shell</v>
          </cell>
        </row>
        <row r="710">
          <cell r="B710" t="str">
            <v>Shell</v>
          </cell>
          <cell r="O710">
            <v>0.10133499999999999</v>
          </cell>
          <cell r="T710">
            <v>0.10133499999999999</v>
          </cell>
        </row>
        <row r="711">
          <cell r="B711" t="str">
            <v>Shell</v>
          </cell>
          <cell r="O711">
            <v>8.3705559999999998E-2</v>
          </cell>
          <cell r="S711">
            <v>0</v>
          </cell>
          <cell r="T711">
            <v>0.1421048</v>
          </cell>
        </row>
        <row r="712">
          <cell r="B712" t="str">
            <v>Shell</v>
          </cell>
          <cell r="O712">
            <v>0.21697620000000001</v>
          </cell>
          <cell r="T712">
            <v>0.21697620000000001</v>
          </cell>
        </row>
        <row r="713">
          <cell r="B713" t="str">
            <v>Shell</v>
          </cell>
          <cell r="O713">
            <v>0.23419100000000001</v>
          </cell>
          <cell r="T713">
            <v>0.23419100000000001</v>
          </cell>
        </row>
        <row r="714">
          <cell r="B714" t="str">
            <v>Shell</v>
          </cell>
          <cell r="O714">
            <v>0.35610120000000001</v>
          </cell>
          <cell r="S714">
            <v>0</v>
          </cell>
          <cell r="T714">
            <v>0.35610120000000001</v>
          </cell>
        </row>
        <row r="715">
          <cell r="B715" t="str">
            <v>Shell</v>
          </cell>
          <cell r="O715">
            <v>0.442581</v>
          </cell>
          <cell r="T715">
            <v>0.442581</v>
          </cell>
        </row>
        <row r="716">
          <cell r="B716" t="str">
            <v>Shell</v>
          </cell>
          <cell r="O716">
            <v>0.1557558</v>
          </cell>
          <cell r="T716">
            <v>0.1557558</v>
          </cell>
        </row>
        <row r="717">
          <cell r="B717" t="str">
            <v>Shell</v>
          </cell>
          <cell r="O717">
            <v>0.14071330000000001</v>
          </cell>
          <cell r="T717">
            <v>0.31575330000000001</v>
          </cell>
        </row>
        <row r="718">
          <cell r="B718" t="str">
            <v>Shell</v>
          </cell>
          <cell r="O718">
            <v>3.41886E-2</v>
          </cell>
          <cell r="T718">
            <v>3.0027759999999999</v>
          </cell>
        </row>
        <row r="719">
          <cell r="B719" t="str">
            <v>Shell</v>
          </cell>
          <cell r="O719">
            <v>4.6633599999999997E-2</v>
          </cell>
          <cell r="T719">
            <v>4.6633599999999997E-2</v>
          </cell>
        </row>
        <row r="720">
          <cell r="B720" t="str">
            <v>Shell</v>
          </cell>
          <cell r="N720">
            <v>56.194629999999997</v>
          </cell>
          <cell r="O720">
            <v>0</v>
          </cell>
          <cell r="S720">
            <v>275.90660000000003</v>
          </cell>
          <cell r="T720">
            <v>54.705800000000004</v>
          </cell>
        </row>
        <row r="721">
          <cell r="B721" t="str">
            <v>Shell</v>
          </cell>
          <cell r="O721">
            <v>0.26582600000000001</v>
          </cell>
          <cell r="T721">
            <v>0.31720799999999999</v>
          </cell>
        </row>
        <row r="722">
          <cell r="B722" t="str">
            <v>Shell</v>
          </cell>
          <cell r="O722">
            <v>0.15149799999999999</v>
          </cell>
          <cell r="T722">
            <v>0.15149799999999999</v>
          </cell>
        </row>
        <row r="723">
          <cell r="B723" t="str">
            <v>Shell</v>
          </cell>
          <cell r="N723">
            <v>0</v>
          </cell>
          <cell r="S723">
            <v>22.484780000000001</v>
          </cell>
        </row>
        <row r="724">
          <cell r="B724" t="str">
            <v>Shell</v>
          </cell>
          <cell r="N724">
            <v>1.57263</v>
          </cell>
          <cell r="O724">
            <v>1.049048</v>
          </cell>
          <cell r="S724">
            <v>0.4210064</v>
          </cell>
          <cell r="T724">
            <v>0.18057960000000001</v>
          </cell>
        </row>
        <row r="725">
          <cell r="B725" t="str">
            <v>Shell</v>
          </cell>
          <cell r="O725">
            <v>0.103754</v>
          </cell>
          <cell r="T725">
            <v>6.6618650000000001E-2</v>
          </cell>
        </row>
        <row r="726">
          <cell r="B726" t="str">
            <v>Shell</v>
          </cell>
          <cell r="O726">
            <v>3.2717200000000002E-2</v>
          </cell>
          <cell r="T726">
            <v>0.29692859999999999</v>
          </cell>
        </row>
        <row r="727">
          <cell r="B727" t="str">
            <v>Shell</v>
          </cell>
          <cell r="O727">
            <v>7.3478069999999996E-3</v>
          </cell>
        </row>
        <row r="728">
          <cell r="B728" t="str">
            <v>Shell</v>
          </cell>
          <cell r="O728">
            <v>0.111221</v>
          </cell>
          <cell r="T728">
            <v>7.1413000000000004E-2</v>
          </cell>
        </row>
        <row r="729">
          <cell r="B729" t="str">
            <v>Shell</v>
          </cell>
          <cell r="N729">
            <v>321.36360000000002</v>
          </cell>
          <cell r="O729">
            <v>0.1150524</v>
          </cell>
          <cell r="S729">
            <v>273.90710000000001</v>
          </cell>
          <cell r="T729">
            <v>0.1470368</v>
          </cell>
        </row>
        <row r="730">
          <cell r="B730" t="str">
            <v>Shell</v>
          </cell>
          <cell r="O730">
            <v>2.1351599999999998E-2</v>
          </cell>
          <cell r="T730">
            <v>2.1351599999999998E-2</v>
          </cell>
        </row>
        <row r="731">
          <cell r="B731" t="str">
            <v>Shell</v>
          </cell>
          <cell r="N731">
            <v>42.769680000000001</v>
          </cell>
        </row>
        <row r="732">
          <cell r="B732" t="str">
            <v>Shell</v>
          </cell>
          <cell r="O732">
            <v>0.28133849999999999</v>
          </cell>
          <cell r="T732">
            <v>0.28133849999999999</v>
          </cell>
        </row>
        <row r="733">
          <cell r="B733" t="str">
            <v>Shell</v>
          </cell>
          <cell r="S733">
            <v>0</v>
          </cell>
        </row>
        <row r="734">
          <cell r="B734" t="str">
            <v>Shell</v>
          </cell>
        </row>
        <row r="735">
          <cell r="B735" t="str">
            <v>Shell</v>
          </cell>
          <cell r="O735">
            <v>0.1</v>
          </cell>
          <cell r="T735">
            <v>0.1</v>
          </cell>
        </row>
        <row r="736">
          <cell r="B736" t="str">
            <v>Shell</v>
          </cell>
          <cell r="O736">
            <v>30.184480000000001</v>
          </cell>
          <cell r="T736">
            <v>0.15993350000000001</v>
          </cell>
        </row>
        <row r="737">
          <cell r="B737" t="str">
            <v>Shell</v>
          </cell>
          <cell r="N737">
            <v>464.9049</v>
          </cell>
          <cell r="O737">
            <v>53.992930000000001</v>
          </cell>
          <cell r="S737">
            <v>316.31119999999999</v>
          </cell>
          <cell r="T737">
            <v>35.259950000000003</v>
          </cell>
        </row>
        <row r="738">
          <cell r="B738" t="str">
            <v>Shell</v>
          </cell>
          <cell r="O738">
            <v>1.1838390000000001</v>
          </cell>
          <cell r="T738">
            <v>24.850190000000001</v>
          </cell>
        </row>
        <row r="739">
          <cell r="B739" t="str">
            <v>Shell</v>
          </cell>
          <cell r="O739">
            <v>0.35194429999999999</v>
          </cell>
          <cell r="T739">
            <v>0.35194419999999998</v>
          </cell>
        </row>
        <row r="740">
          <cell r="B740" t="str">
            <v>Shell</v>
          </cell>
          <cell r="O740">
            <v>8.3199990000000001E-2</v>
          </cell>
          <cell r="T740">
            <v>5.3421200000000002E-2</v>
          </cell>
        </row>
        <row r="741">
          <cell r="B741" t="str">
            <v>Shell</v>
          </cell>
          <cell r="O741">
            <v>6.8444269999999996</v>
          </cell>
          <cell r="T741">
            <v>3.390952</v>
          </cell>
        </row>
        <row r="742">
          <cell r="B742" t="str">
            <v>Shell</v>
          </cell>
          <cell r="O742">
            <v>0.36978610000000001</v>
          </cell>
          <cell r="T742">
            <v>0.2374329</v>
          </cell>
        </row>
        <row r="743">
          <cell r="B743" t="str">
            <v>Shell</v>
          </cell>
          <cell r="O743">
            <v>0.43644699999999997</v>
          </cell>
          <cell r="T743">
            <v>0.43644699999999997</v>
          </cell>
        </row>
        <row r="744">
          <cell r="B744" t="str">
            <v>Shell</v>
          </cell>
          <cell r="O744">
            <v>0.26064540000000003</v>
          </cell>
          <cell r="T744">
            <v>0.26064540000000003</v>
          </cell>
        </row>
        <row r="745">
          <cell r="B745" t="str">
            <v>Shell</v>
          </cell>
          <cell r="N745">
            <v>16.596810000000001</v>
          </cell>
          <cell r="O745">
            <v>0.68284599999999995</v>
          </cell>
          <cell r="S745">
            <v>12.91893</v>
          </cell>
          <cell r="T745">
            <v>0.68284599999999995</v>
          </cell>
        </row>
        <row r="746">
          <cell r="B746" t="str">
            <v>Shell</v>
          </cell>
          <cell r="O746">
            <v>0.15376600000000001</v>
          </cell>
          <cell r="T746">
            <v>0.15376600000000001</v>
          </cell>
        </row>
        <row r="747">
          <cell r="B747" t="str">
            <v>Shell</v>
          </cell>
          <cell r="O747">
            <v>3.5456359999999999E-2</v>
          </cell>
        </row>
        <row r="748">
          <cell r="B748" t="str">
            <v>Shell</v>
          </cell>
          <cell r="O748">
            <v>-0.116928</v>
          </cell>
          <cell r="T748">
            <v>0</v>
          </cell>
        </row>
        <row r="749">
          <cell r="B749" t="str">
            <v>Shell</v>
          </cell>
        </row>
        <row r="750">
          <cell r="B750" t="str">
            <v>Shell</v>
          </cell>
          <cell r="O750">
            <v>-8.0867260000000005</v>
          </cell>
          <cell r="T750">
            <v>0</v>
          </cell>
        </row>
        <row r="751">
          <cell r="B751" t="str">
            <v>Shell</v>
          </cell>
        </row>
        <row r="752">
          <cell r="B752" t="str">
            <v>Shell</v>
          </cell>
          <cell r="O752">
            <v>-5.2454000000000001E-2</v>
          </cell>
          <cell r="T752">
            <v>0</v>
          </cell>
        </row>
        <row r="753">
          <cell r="B753" t="str">
            <v>Shell</v>
          </cell>
          <cell r="O753">
            <v>-4.1615120000000001</v>
          </cell>
          <cell r="T753">
            <v>0</v>
          </cell>
        </row>
        <row r="754">
          <cell r="B754" t="str">
            <v>Shell</v>
          </cell>
          <cell r="O754">
            <v>0</v>
          </cell>
        </row>
        <row r="755">
          <cell r="B755" t="str">
            <v>Shell</v>
          </cell>
          <cell r="O755">
            <v>-28.818210000000001</v>
          </cell>
          <cell r="T755">
            <v>0</v>
          </cell>
        </row>
        <row r="756">
          <cell r="B756" t="str">
            <v>Shell</v>
          </cell>
          <cell r="O756">
            <v>0</v>
          </cell>
        </row>
        <row r="757">
          <cell r="B757" t="str">
            <v>Shell</v>
          </cell>
          <cell r="O757">
            <v>-6.2039999999999998E-2</v>
          </cell>
          <cell r="T757">
            <v>0</v>
          </cell>
        </row>
        <row r="758">
          <cell r="B758" t="str">
            <v>Shell</v>
          </cell>
          <cell r="O758">
            <v>-1.8178E-2</v>
          </cell>
          <cell r="T758">
            <v>0</v>
          </cell>
        </row>
        <row r="759">
          <cell r="B759" t="str">
            <v>Shell</v>
          </cell>
          <cell r="O759">
            <v>-5.3058000000000001E-2</v>
          </cell>
          <cell r="T759">
            <v>0</v>
          </cell>
        </row>
        <row r="760">
          <cell r="B760" t="str">
            <v>Shell</v>
          </cell>
          <cell r="O760">
            <v>-43.02075</v>
          </cell>
          <cell r="T760">
            <v>0</v>
          </cell>
        </row>
        <row r="761">
          <cell r="B761" t="str">
            <v>Shell</v>
          </cell>
          <cell r="O761">
            <v>-8.5473569999999999</v>
          </cell>
          <cell r="T761">
            <v>0</v>
          </cell>
        </row>
        <row r="762">
          <cell r="B762" t="str">
            <v>Shell</v>
          </cell>
          <cell r="O762">
            <v>-2.2012E-2</v>
          </cell>
          <cell r="T762">
            <v>0</v>
          </cell>
        </row>
        <row r="763">
          <cell r="B763" t="str">
            <v>Shell</v>
          </cell>
          <cell r="O763">
            <v>-0.212926</v>
          </cell>
          <cell r="T763">
            <v>0</v>
          </cell>
        </row>
        <row r="764">
          <cell r="B764" t="str">
            <v>Shell</v>
          </cell>
          <cell r="O764">
            <v>0</v>
          </cell>
        </row>
        <row r="765">
          <cell r="B765" t="str">
            <v>Shell</v>
          </cell>
          <cell r="O765">
            <v>-0.48736600000000002</v>
          </cell>
          <cell r="T765">
            <v>0</v>
          </cell>
        </row>
        <row r="766">
          <cell r="B766" t="str">
            <v>Shell</v>
          </cell>
          <cell r="O766">
            <v>-4.0590000000000001E-2</v>
          </cell>
          <cell r="T766">
            <v>0</v>
          </cell>
        </row>
        <row r="767">
          <cell r="B767" t="str">
            <v>Shell</v>
          </cell>
          <cell r="O767">
            <v>-2.9916000000000002E-2</v>
          </cell>
          <cell r="T767">
            <v>0</v>
          </cell>
        </row>
        <row r="768">
          <cell r="B768" t="str">
            <v>Shell</v>
          </cell>
          <cell r="O768">
            <v>-8.5382E-2</v>
          </cell>
          <cell r="T768">
            <v>0</v>
          </cell>
        </row>
        <row r="769">
          <cell r="B769" t="str">
            <v>Shell</v>
          </cell>
          <cell r="O769">
            <v>0</v>
          </cell>
        </row>
        <row r="770">
          <cell r="B770" t="str">
            <v>Shell</v>
          </cell>
          <cell r="O770">
            <v>-16.79496</v>
          </cell>
          <cell r="T770">
            <v>0</v>
          </cell>
        </row>
        <row r="771">
          <cell r="B771" t="str">
            <v>Shell</v>
          </cell>
          <cell r="O771">
            <v>-2.8358000000000001E-2</v>
          </cell>
          <cell r="T771">
            <v>0</v>
          </cell>
        </row>
        <row r="772">
          <cell r="B772" t="str">
            <v>Shell</v>
          </cell>
          <cell r="O772">
            <v>-5.2934000000000002E-2</v>
          </cell>
          <cell r="T772">
            <v>0</v>
          </cell>
        </row>
        <row r="773">
          <cell r="B773" t="str">
            <v>Shell</v>
          </cell>
          <cell r="O773">
            <v>-5.0229990000000002E-2</v>
          </cell>
          <cell r="T773">
            <v>0</v>
          </cell>
        </row>
        <row r="774">
          <cell r="B774" t="str">
            <v>Shell</v>
          </cell>
          <cell r="O774">
            <v>-0.33907999999999999</v>
          </cell>
          <cell r="T774">
            <v>0</v>
          </cell>
        </row>
        <row r="775">
          <cell r="B775" t="str">
            <v>Shell</v>
          </cell>
          <cell r="O775">
            <v>-0.181312</v>
          </cell>
          <cell r="T775">
            <v>0</v>
          </cell>
        </row>
        <row r="776">
          <cell r="B776" t="str">
            <v>Shell</v>
          </cell>
          <cell r="O776">
            <v>-3.4347999999999997E-2</v>
          </cell>
          <cell r="T776">
            <v>0</v>
          </cell>
        </row>
        <row r="777">
          <cell r="B777" t="str">
            <v>Shell</v>
          </cell>
          <cell r="O777">
            <v>-0.16368199999999999</v>
          </cell>
          <cell r="T777">
            <v>0</v>
          </cell>
        </row>
        <row r="778">
          <cell r="B778" t="str">
            <v>Shell</v>
          </cell>
          <cell r="O778">
            <v>-0.605908</v>
          </cell>
          <cell r="T778">
            <v>0</v>
          </cell>
        </row>
        <row r="779">
          <cell r="B779" t="str">
            <v>Shell</v>
          </cell>
          <cell r="O779">
            <v>-6.9234000000000004E-2</v>
          </cell>
          <cell r="T779">
            <v>0</v>
          </cell>
        </row>
        <row r="780">
          <cell r="B780" t="str">
            <v>Shell</v>
          </cell>
          <cell r="O780">
            <v>-6.1818600000000004</v>
          </cell>
          <cell r="T780">
            <v>0</v>
          </cell>
        </row>
        <row r="781">
          <cell r="B781" t="str">
            <v>Shell</v>
          </cell>
          <cell r="O781">
            <v>-0.14632000000000001</v>
          </cell>
          <cell r="T781">
            <v>0</v>
          </cell>
        </row>
        <row r="782">
          <cell r="B782" t="str">
            <v>Shell</v>
          </cell>
          <cell r="O782">
            <v>-68.894689999999997</v>
          </cell>
          <cell r="T782">
            <v>0</v>
          </cell>
        </row>
        <row r="783">
          <cell r="B783" t="str">
            <v>Shell</v>
          </cell>
          <cell r="O783">
            <v>0</v>
          </cell>
        </row>
        <row r="784">
          <cell r="B784" t="str">
            <v>Shell</v>
          </cell>
          <cell r="O784">
            <v>-2.5045440000000001</v>
          </cell>
          <cell r="T784">
            <v>0</v>
          </cell>
        </row>
        <row r="785">
          <cell r="B785" t="str">
            <v>Shell</v>
          </cell>
          <cell r="O785">
            <v>-0.85194800000000004</v>
          </cell>
          <cell r="T785">
            <v>0</v>
          </cell>
        </row>
        <row r="786">
          <cell r="B786" t="str">
            <v>Shell</v>
          </cell>
          <cell r="O786">
            <v>-0.64846199999999998</v>
          </cell>
          <cell r="T786">
            <v>0</v>
          </cell>
        </row>
        <row r="787">
          <cell r="B787" t="str">
            <v>Shell</v>
          </cell>
          <cell r="O787">
            <v>-524.59929999999997</v>
          </cell>
          <cell r="T787">
            <v>0</v>
          </cell>
        </row>
        <row r="788">
          <cell r="B788" t="str">
            <v>Shell</v>
          </cell>
          <cell r="O788">
            <v>-16.029879999999999</v>
          </cell>
          <cell r="T788">
            <v>0</v>
          </cell>
        </row>
        <row r="789">
          <cell r="B789" t="str">
            <v>Shell</v>
          </cell>
          <cell r="O789">
            <v>-9.4289999999999999E-2</v>
          </cell>
          <cell r="T789">
            <v>0</v>
          </cell>
        </row>
        <row r="790">
          <cell r="B790" t="str">
            <v>Shell</v>
          </cell>
          <cell r="O790">
            <v>-0.51293999999999995</v>
          </cell>
          <cell r="T790">
            <v>0</v>
          </cell>
        </row>
        <row r="791">
          <cell r="B791" t="str">
            <v>Shell</v>
          </cell>
          <cell r="O791">
            <v>-6.1271199999999997</v>
          </cell>
          <cell r="T791">
            <v>0</v>
          </cell>
        </row>
        <row r="792">
          <cell r="B792" t="str">
            <v>Shell</v>
          </cell>
          <cell r="O792">
            <v>-1.3799999999999999E-4</v>
          </cell>
          <cell r="T792">
            <v>0</v>
          </cell>
        </row>
        <row r="793">
          <cell r="B793" t="str">
            <v>Shell</v>
          </cell>
          <cell r="O793">
            <v>-0.13128600000000001</v>
          </cell>
          <cell r="T793">
            <v>0</v>
          </cell>
        </row>
        <row r="794">
          <cell r="B794" t="str">
            <v>Shell</v>
          </cell>
          <cell r="O794">
            <v>-0.233238</v>
          </cell>
          <cell r="T794">
            <v>0</v>
          </cell>
        </row>
        <row r="795">
          <cell r="B795" t="str">
            <v>Shell</v>
          </cell>
          <cell r="O795">
            <v>-0.12723200000000001</v>
          </cell>
          <cell r="T795">
            <v>0</v>
          </cell>
        </row>
        <row r="796">
          <cell r="B796" t="str">
            <v>Shell</v>
          </cell>
          <cell r="O796">
            <v>-3.8018000000000003E-2</v>
          </cell>
          <cell r="T796">
            <v>0</v>
          </cell>
        </row>
        <row r="797">
          <cell r="B797" t="str">
            <v>Shell</v>
          </cell>
          <cell r="O797">
            <v>-1.0419259999999999</v>
          </cell>
          <cell r="T797">
            <v>0</v>
          </cell>
        </row>
        <row r="798">
          <cell r="B798" t="str">
            <v>Shell</v>
          </cell>
          <cell r="O798">
            <v>-0.236788</v>
          </cell>
          <cell r="T798">
            <v>0</v>
          </cell>
        </row>
        <row r="799">
          <cell r="B799" t="str">
            <v>Chevron</v>
          </cell>
          <cell r="N799">
            <v>2.209854</v>
          </cell>
          <cell r="S799">
            <v>2.0620539999999998</v>
          </cell>
        </row>
        <row r="800">
          <cell r="B800" t="str">
            <v>Chevron</v>
          </cell>
          <cell r="N800">
            <v>733.23580000000004</v>
          </cell>
          <cell r="O800">
            <v>0.7827267</v>
          </cell>
          <cell r="S800">
            <v>688.65880000000004</v>
          </cell>
          <cell r="T800">
            <v>9.5641979999999993</v>
          </cell>
        </row>
        <row r="801">
          <cell r="B801" t="str">
            <v>Chevron</v>
          </cell>
          <cell r="N801">
            <v>5291.7550000000001</v>
          </cell>
          <cell r="O801">
            <v>0.14323060000000001</v>
          </cell>
          <cell r="S801">
            <v>3985.78</v>
          </cell>
          <cell r="T801">
            <v>0.22732469999999999</v>
          </cell>
        </row>
        <row r="802">
          <cell r="B802" t="str">
            <v>Chevron</v>
          </cell>
          <cell r="N802">
            <v>8.7312539999999998</v>
          </cell>
          <cell r="S802">
            <v>7.7243659999999998</v>
          </cell>
        </row>
        <row r="803">
          <cell r="B803" t="str">
            <v>Chevron</v>
          </cell>
          <cell r="N803">
            <v>93.2149</v>
          </cell>
          <cell r="O803">
            <v>0.1081718</v>
          </cell>
          <cell r="S803">
            <v>90.855869999999996</v>
          </cell>
          <cell r="T803">
            <v>8.0855629999999998E-2</v>
          </cell>
        </row>
        <row r="804">
          <cell r="B804" t="str">
            <v>Chevron</v>
          </cell>
          <cell r="N804">
            <v>45.307299999999998</v>
          </cell>
          <cell r="O804">
            <v>0.1176203</v>
          </cell>
          <cell r="S804">
            <v>28.378779999999999</v>
          </cell>
          <cell r="T804">
            <v>0.1176203</v>
          </cell>
        </row>
        <row r="805">
          <cell r="B805" t="str">
            <v>Chevron</v>
          </cell>
        </row>
        <row r="806">
          <cell r="B806" t="str">
            <v>Chevron</v>
          </cell>
          <cell r="N806">
            <v>133.88550000000001</v>
          </cell>
          <cell r="O806">
            <v>0.16977439999999999</v>
          </cell>
          <cell r="S806">
            <v>69.209209999999999</v>
          </cell>
          <cell r="T806">
            <v>0.16977439999999999</v>
          </cell>
        </row>
        <row r="807">
          <cell r="B807" t="str">
            <v>Chevron</v>
          </cell>
          <cell r="N807">
            <v>0</v>
          </cell>
        </row>
        <row r="808">
          <cell r="B808" t="str">
            <v>Chevron</v>
          </cell>
          <cell r="O808">
            <v>3.3359979999999997E-2</v>
          </cell>
        </row>
        <row r="809">
          <cell r="B809" t="str">
            <v>Chevron</v>
          </cell>
          <cell r="O809">
            <v>3.6081589999999997E-2</v>
          </cell>
        </row>
        <row r="810">
          <cell r="B810" t="str">
            <v>Chevron</v>
          </cell>
          <cell r="O810">
            <v>4.9210679999999998E-3</v>
          </cell>
        </row>
        <row r="811">
          <cell r="B811" t="str">
            <v>Chevron</v>
          </cell>
          <cell r="O811">
            <v>0.12112580000000001</v>
          </cell>
          <cell r="T811">
            <v>0.12112580000000001</v>
          </cell>
        </row>
        <row r="812">
          <cell r="B812" t="str">
            <v>Chevron</v>
          </cell>
          <cell r="O812">
            <v>0.41768699999999997</v>
          </cell>
          <cell r="T812">
            <v>0.53189500000000001</v>
          </cell>
        </row>
        <row r="813">
          <cell r="B813" t="str">
            <v>Chevron</v>
          </cell>
          <cell r="N813">
            <v>0.39876230000000001</v>
          </cell>
          <cell r="O813">
            <v>1.8697159999999998E-5</v>
          </cell>
        </row>
        <row r="814">
          <cell r="B814" t="str">
            <v>Chevron</v>
          </cell>
        </row>
        <row r="815">
          <cell r="B815" t="str">
            <v>Chevron</v>
          </cell>
        </row>
        <row r="816">
          <cell r="B816" t="str">
            <v>Chevron</v>
          </cell>
          <cell r="N816">
            <v>6.3959149999999996</v>
          </cell>
          <cell r="O816">
            <v>7.0465460000000002</v>
          </cell>
          <cell r="S816">
            <v>3.7869299999999999</v>
          </cell>
          <cell r="T816">
            <v>2.8966530000000001</v>
          </cell>
        </row>
        <row r="817">
          <cell r="B817" t="str">
            <v>Chevron</v>
          </cell>
          <cell r="O817">
            <v>0.42092550000000001</v>
          </cell>
          <cell r="T817">
            <v>0.42092550000000001</v>
          </cell>
        </row>
        <row r="818">
          <cell r="B818" t="str">
            <v>Chevron</v>
          </cell>
          <cell r="O818">
            <v>6.1179999999999998E-2</v>
          </cell>
          <cell r="T818">
            <v>6.1179999999999998E-2</v>
          </cell>
        </row>
        <row r="819">
          <cell r="B819" t="str">
            <v>Chevron</v>
          </cell>
          <cell r="O819">
            <v>5.1220000000000002E-2</v>
          </cell>
          <cell r="T819">
            <v>5.1220000000000002E-2</v>
          </cell>
        </row>
        <row r="820">
          <cell r="B820" t="str">
            <v>Chevron</v>
          </cell>
          <cell r="N820">
            <v>4.9400000000000004</v>
          </cell>
          <cell r="S820">
            <v>4.4400000000000004</v>
          </cell>
        </row>
        <row r="821">
          <cell r="B821" t="str">
            <v>Chevron</v>
          </cell>
          <cell r="O821">
            <v>7.3306659999999996E-2</v>
          </cell>
          <cell r="T821">
            <v>8.1857700000000005E-2</v>
          </cell>
        </row>
        <row r="822">
          <cell r="B822" t="str">
            <v>Chevron</v>
          </cell>
          <cell r="N822">
            <v>62.745260000000002</v>
          </cell>
          <cell r="O822">
            <v>0.20386199999999999</v>
          </cell>
          <cell r="S822">
            <v>52.105870000000003</v>
          </cell>
          <cell r="T822">
            <v>0.20386199999999999</v>
          </cell>
        </row>
        <row r="823">
          <cell r="B823" t="str">
            <v>Chevron</v>
          </cell>
          <cell r="N823">
            <v>33.566099999999999</v>
          </cell>
          <cell r="O823">
            <v>3.2164440000000001</v>
          </cell>
          <cell r="S823">
            <v>26.669149999999998</v>
          </cell>
          <cell r="T823">
            <v>3.8827609999999999E-2</v>
          </cell>
        </row>
        <row r="824">
          <cell r="B824" t="str">
            <v>Chevron</v>
          </cell>
          <cell r="O824">
            <v>0.102155</v>
          </cell>
          <cell r="T824">
            <v>0.102155</v>
          </cell>
        </row>
        <row r="825">
          <cell r="B825" t="str">
            <v>Chevron</v>
          </cell>
          <cell r="O825">
            <v>0.32222200000000001</v>
          </cell>
          <cell r="T825">
            <v>0.32222200000000001</v>
          </cell>
        </row>
        <row r="826">
          <cell r="B826" t="str">
            <v>Chevron</v>
          </cell>
          <cell r="O826">
            <v>3.3505780000000001</v>
          </cell>
          <cell r="T826">
            <v>3.3505780000000001</v>
          </cell>
        </row>
        <row r="827">
          <cell r="B827" t="str">
            <v>Chevron</v>
          </cell>
          <cell r="N827">
            <v>506.98259999999999</v>
          </cell>
          <cell r="O827">
            <v>15.32358</v>
          </cell>
          <cell r="S827">
            <v>643.26890000000003</v>
          </cell>
          <cell r="T827">
            <v>15.30382</v>
          </cell>
        </row>
        <row r="828">
          <cell r="B828" t="str">
            <v>Chevron</v>
          </cell>
          <cell r="N828">
            <v>63.126980000000003</v>
          </cell>
          <cell r="O828">
            <v>15.04679</v>
          </cell>
          <cell r="S828">
            <v>25.639330000000001</v>
          </cell>
          <cell r="T828">
            <v>0.77075579999999999</v>
          </cell>
        </row>
        <row r="829">
          <cell r="B829" t="str">
            <v>Chevron</v>
          </cell>
          <cell r="N829">
            <v>13.50277</v>
          </cell>
          <cell r="O829">
            <v>7.4831239999999993E-2</v>
          </cell>
          <cell r="S829">
            <v>10.42679</v>
          </cell>
          <cell r="T829">
            <v>0.1113373</v>
          </cell>
        </row>
        <row r="830">
          <cell r="B830" t="str">
            <v>Chevron</v>
          </cell>
          <cell r="O830">
            <v>0.17580799999999999</v>
          </cell>
          <cell r="T830">
            <v>0.17580799999999999</v>
          </cell>
        </row>
        <row r="831">
          <cell r="B831" t="str">
            <v>Chevron</v>
          </cell>
          <cell r="O831">
            <v>1.7016570000000002E-2</v>
          </cell>
          <cell r="T831">
            <v>1.7016570000000002E-2</v>
          </cell>
        </row>
        <row r="832">
          <cell r="B832" t="str">
            <v>Chevron</v>
          </cell>
          <cell r="N832">
            <v>142.16300000000001</v>
          </cell>
          <cell r="O832">
            <v>9.932552E-2</v>
          </cell>
          <cell r="S832">
            <v>99.766909999999996</v>
          </cell>
          <cell r="T832">
            <v>0.56562409999999996</v>
          </cell>
        </row>
        <row r="833">
          <cell r="B833" t="str">
            <v>Chevron</v>
          </cell>
          <cell r="O833">
            <v>1.670895E-2</v>
          </cell>
          <cell r="T833">
            <v>1.670895E-2</v>
          </cell>
        </row>
        <row r="834">
          <cell r="B834" t="str">
            <v>Chevron</v>
          </cell>
          <cell r="N834">
            <v>60.012540000000001</v>
          </cell>
          <cell r="O834">
            <v>0.63360000000000005</v>
          </cell>
          <cell r="S834">
            <v>50.610419999999998</v>
          </cell>
          <cell r="T834">
            <v>0.70223999999999998</v>
          </cell>
        </row>
        <row r="835">
          <cell r="B835" t="str">
            <v>Chevron</v>
          </cell>
          <cell r="N835">
            <v>1.069204</v>
          </cell>
          <cell r="S835">
            <v>1.02644</v>
          </cell>
        </row>
        <row r="836">
          <cell r="B836" t="str">
            <v>Chevron</v>
          </cell>
          <cell r="N836">
            <v>9.6373200000000008</v>
          </cell>
          <cell r="O836">
            <v>6.3851489999999997E-2</v>
          </cell>
          <cell r="S836">
            <v>10.058479999999999</v>
          </cell>
          <cell r="T836">
            <v>5.4369649999999998</v>
          </cell>
        </row>
        <row r="837">
          <cell r="B837" t="str">
            <v>Chevron</v>
          </cell>
          <cell r="O837">
            <v>0.22976089999999999</v>
          </cell>
          <cell r="S837">
            <v>0</v>
          </cell>
          <cell r="T837">
            <v>93.4435</v>
          </cell>
        </row>
        <row r="838">
          <cell r="B838" t="str">
            <v>Chevron</v>
          </cell>
          <cell r="O838">
            <v>0.111165</v>
          </cell>
        </row>
        <row r="839">
          <cell r="B839" t="str">
            <v>Chevron</v>
          </cell>
        </row>
        <row r="840">
          <cell r="B840" t="str">
            <v>Chevron</v>
          </cell>
          <cell r="O840">
            <v>1.8312149999999999E-2</v>
          </cell>
          <cell r="T840">
            <v>1.8312149999999999E-2</v>
          </cell>
        </row>
        <row r="841">
          <cell r="B841" t="str">
            <v>Chevron</v>
          </cell>
        </row>
        <row r="842">
          <cell r="B842" t="str">
            <v>Chevron</v>
          </cell>
          <cell r="O842">
            <v>0.103448</v>
          </cell>
          <cell r="T842">
            <v>0.103448</v>
          </cell>
        </row>
        <row r="843">
          <cell r="B843" t="str">
            <v>Chevron</v>
          </cell>
        </row>
        <row r="844">
          <cell r="B844" t="str">
            <v>Chevron</v>
          </cell>
          <cell r="O844">
            <v>5.0312000000000003E-2</v>
          </cell>
          <cell r="T844">
            <v>5.0312000000000003E-2</v>
          </cell>
        </row>
        <row r="845">
          <cell r="B845" t="str">
            <v>Chevron</v>
          </cell>
          <cell r="O845">
            <v>0.20038149999999999</v>
          </cell>
          <cell r="T845">
            <v>3.899448</v>
          </cell>
        </row>
        <row r="846">
          <cell r="B846" t="str">
            <v>Chevron</v>
          </cell>
          <cell r="O846">
            <v>6.9727999999999998E-2</v>
          </cell>
          <cell r="T846">
            <v>6.9727999999999998E-2</v>
          </cell>
        </row>
        <row r="847">
          <cell r="B847" t="str">
            <v>Chevron</v>
          </cell>
          <cell r="O847">
            <v>19.260840000000002</v>
          </cell>
        </row>
        <row r="848">
          <cell r="B848" t="str">
            <v>Chevron</v>
          </cell>
          <cell r="N848">
            <v>3.4203769999999998</v>
          </cell>
          <cell r="O848">
            <v>1.977567E-3</v>
          </cell>
        </row>
        <row r="849">
          <cell r="B849" t="str">
            <v>Chevron</v>
          </cell>
          <cell r="O849">
            <v>8.1437309999999999E-2</v>
          </cell>
        </row>
        <row r="850">
          <cell r="B850" t="str">
            <v>Chevron</v>
          </cell>
          <cell r="N850">
            <v>37.899380000000001</v>
          </cell>
          <cell r="O850">
            <v>9.9787100000000004E-2</v>
          </cell>
        </row>
        <row r="851">
          <cell r="B851" t="str">
            <v>Chevron</v>
          </cell>
          <cell r="N851">
            <v>23.088950000000001</v>
          </cell>
          <cell r="O851">
            <v>8.0629419999999993E-2</v>
          </cell>
        </row>
        <row r="852">
          <cell r="B852" t="str">
            <v>Chevron</v>
          </cell>
          <cell r="O852">
            <v>5.6232240000000003E-2</v>
          </cell>
        </row>
        <row r="853">
          <cell r="B853" t="str">
            <v>Chevron</v>
          </cell>
          <cell r="O853">
            <v>7.3780670000000007E-2</v>
          </cell>
        </row>
        <row r="854">
          <cell r="B854" t="str">
            <v>Chevron</v>
          </cell>
          <cell r="O854">
            <v>3.1174350000000001E-5</v>
          </cell>
        </row>
        <row r="855">
          <cell r="B855" t="str">
            <v>Chevron</v>
          </cell>
          <cell r="N855">
            <v>3.7582810000000002</v>
          </cell>
          <cell r="O855">
            <v>1.3819710000000001E-2</v>
          </cell>
        </row>
        <row r="856">
          <cell r="B856" t="str">
            <v>Chevron</v>
          </cell>
          <cell r="N856">
            <v>8.8674800000000005</v>
          </cell>
          <cell r="O856">
            <v>8.3507800000000004E-3</v>
          </cell>
        </row>
        <row r="857">
          <cell r="B857" t="str">
            <v>Chevron</v>
          </cell>
          <cell r="O857">
            <v>1.42251E-5</v>
          </cell>
        </row>
        <row r="858">
          <cell r="B858" t="str">
            <v>Chevron</v>
          </cell>
          <cell r="N858">
            <v>4.4987539999999999</v>
          </cell>
          <cell r="O858">
            <v>1.542293E-2</v>
          </cell>
        </row>
        <row r="859">
          <cell r="B859" t="str">
            <v>Chevron</v>
          </cell>
          <cell r="N859">
            <v>0.33008219999999999</v>
          </cell>
          <cell r="O859">
            <v>1.068454E-4</v>
          </cell>
        </row>
        <row r="860">
          <cell r="B860" t="str">
            <v>Chevron</v>
          </cell>
          <cell r="O860">
            <v>2.3083800000000002E-2</v>
          </cell>
          <cell r="T860">
            <v>2.3083800000000002E-2</v>
          </cell>
        </row>
        <row r="861">
          <cell r="B861" t="str">
            <v>Chevron</v>
          </cell>
          <cell r="N861">
            <v>6.7737379999999998</v>
          </cell>
          <cell r="S861">
            <v>4.8941800000000004</v>
          </cell>
        </row>
        <row r="862">
          <cell r="B862" t="str">
            <v>Chevron</v>
          </cell>
          <cell r="O862">
            <v>2.807365E-3</v>
          </cell>
        </row>
        <row r="863">
          <cell r="B863" t="str">
            <v>Chevron</v>
          </cell>
          <cell r="O863">
            <v>0.41034320000000002</v>
          </cell>
          <cell r="T863">
            <v>20.756489999999999</v>
          </cell>
        </row>
        <row r="864">
          <cell r="B864" t="str">
            <v>Chevron</v>
          </cell>
          <cell r="N864">
            <v>38.15446</v>
          </cell>
          <cell r="O864">
            <v>0.30344690000000002</v>
          </cell>
          <cell r="S864">
            <v>17.438600000000001</v>
          </cell>
          <cell r="T864">
            <v>7.0367670000000002</v>
          </cell>
        </row>
        <row r="865">
          <cell r="B865" t="str">
            <v>Chevron</v>
          </cell>
          <cell r="O865">
            <v>2.5666799999999999E-4</v>
          </cell>
          <cell r="T865">
            <v>2.5666799999999999E-4</v>
          </cell>
        </row>
        <row r="866">
          <cell r="B866" t="str">
            <v>Chevron</v>
          </cell>
          <cell r="O866">
            <v>0.11906700000000001</v>
          </cell>
          <cell r="T866">
            <v>0.11906700000000001</v>
          </cell>
        </row>
        <row r="867">
          <cell r="B867" t="str">
            <v>Chevron</v>
          </cell>
          <cell r="N867">
            <v>0.45578469999999999</v>
          </cell>
          <cell r="S867">
            <v>0.35746119999999998</v>
          </cell>
        </row>
        <row r="868">
          <cell r="B868" t="str">
            <v>Chevron</v>
          </cell>
          <cell r="N868">
            <v>23.100660000000001</v>
          </cell>
          <cell r="O868">
            <v>5.4887239999999997E-2</v>
          </cell>
          <cell r="S868">
            <v>21.07507</v>
          </cell>
          <cell r="T868">
            <v>9.5921989999999999E-2</v>
          </cell>
        </row>
        <row r="869">
          <cell r="B869" t="str">
            <v>Chevron</v>
          </cell>
          <cell r="O869">
            <v>0.11634799999999999</v>
          </cell>
          <cell r="T869">
            <v>0.11634799999999999</v>
          </cell>
        </row>
        <row r="870">
          <cell r="B870" t="str">
            <v>Chevron</v>
          </cell>
          <cell r="N870">
            <v>253.1353</v>
          </cell>
          <cell r="O870">
            <v>0.50774750000000002</v>
          </cell>
          <cell r="S870">
            <v>161.61150000000001</v>
          </cell>
          <cell r="T870">
            <v>0.45783869999999999</v>
          </cell>
        </row>
        <row r="871">
          <cell r="B871" t="str">
            <v>Chevron</v>
          </cell>
          <cell r="N871">
            <v>53.820250000000001</v>
          </cell>
          <cell r="O871">
            <v>0.34731200000000001</v>
          </cell>
          <cell r="S871">
            <v>27.131239999999998</v>
          </cell>
          <cell r="T871">
            <v>0.34731200000000001</v>
          </cell>
        </row>
        <row r="872">
          <cell r="B872" t="str">
            <v>Chevron</v>
          </cell>
          <cell r="N872">
            <v>137.28299999999999</v>
          </cell>
          <cell r="O872">
            <v>8.7370799999999998E-2</v>
          </cell>
          <cell r="S872">
            <v>107.4528</v>
          </cell>
          <cell r="T872">
            <v>8.7370799999999998E-2</v>
          </cell>
        </row>
        <row r="873">
          <cell r="B873" t="str">
            <v>Chevron</v>
          </cell>
        </row>
        <row r="874">
          <cell r="B874" t="str">
            <v>Chevron</v>
          </cell>
          <cell r="O874">
            <v>3.279787E-2</v>
          </cell>
          <cell r="T874">
            <v>0.1241466</v>
          </cell>
        </row>
        <row r="875">
          <cell r="B875" t="str">
            <v>Chevron</v>
          </cell>
          <cell r="O875">
            <v>0.45801710000000001</v>
          </cell>
          <cell r="T875">
            <v>0.15759110000000001</v>
          </cell>
        </row>
        <row r="876">
          <cell r="B876" t="str">
            <v>Chevron</v>
          </cell>
          <cell r="N876">
            <v>130.17850000000001</v>
          </cell>
          <cell r="O876">
            <v>1.553508E-2</v>
          </cell>
          <cell r="S876">
            <v>11.984109999999999</v>
          </cell>
        </row>
        <row r="877">
          <cell r="B877" t="str">
            <v>Chevron</v>
          </cell>
        </row>
        <row r="878">
          <cell r="B878" t="str">
            <v>Chevron</v>
          </cell>
          <cell r="N878">
            <v>34.264049999999997</v>
          </cell>
          <cell r="S878">
            <v>24.754359999999998</v>
          </cell>
        </row>
        <row r="879">
          <cell r="B879" t="str">
            <v>Chevron</v>
          </cell>
          <cell r="N879">
            <v>0.837947</v>
          </cell>
        </row>
        <row r="880">
          <cell r="B880" t="str">
            <v>Chevron</v>
          </cell>
          <cell r="N880">
            <v>6.3980949999999996</v>
          </cell>
        </row>
        <row r="881">
          <cell r="B881" t="str">
            <v>Chevron</v>
          </cell>
        </row>
        <row r="882">
          <cell r="B882" t="str">
            <v>Chevron</v>
          </cell>
          <cell r="N882">
            <v>81.87021</v>
          </cell>
          <cell r="S882">
            <v>29.159020000000002</v>
          </cell>
        </row>
        <row r="883">
          <cell r="B883" t="str">
            <v>Chevron</v>
          </cell>
          <cell r="N883">
            <v>514.91030000000001</v>
          </cell>
          <cell r="O883">
            <v>913.0788</v>
          </cell>
          <cell r="S883">
            <v>1233.779</v>
          </cell>
          <cell r="T883">
            <v>260.83089999999999</v>
          </cell>
        </row>
        <row r="884">
          <cell r="B884" t="str">
            <v>Chevron</v>
          </cell>
          <cell r="N884">
            <v>267.16849999999999</v>
          </cell>
          <cell r="O884">
            <v>47.253599999999999</v>
          </cell>
          <cell r="S884">
            <v>141.8725</v>
          </cell>
          <cell r="T884">
            <v>57.077669999999998</v>
          </cell>
        </row>
        <row r="885">
          <cell r="B885" t="str">
            <v>Chevron</v>
          </cell>
          <cell r="N885">
            <v>3.5458599999999998</v>
          </cell>
          <cell r="O885">
            <v>0.28161799999999998</v>
          </cell>
          <cell r="S885">
            <v>2.9990760000000001</v>
          </cell>
          <cell r="T885">
            <v>0.243592</v>
          </cell>
        </row>
        <row r="886">
          <cell r="B886" t="str">
            <v>Chevron</v>
          </cell>
          <cell r="O886">
            <v>2.45493E-2</v>
          </cell>
          <cell r="T886">
            <v>2.45493E-2</v>
          </cell>
        </row>
        <row r="887">
          <cell r="B887" t="str">
            <v>Chevron</v>
          </cell>
          <cell r="N887">
            <v>6.6448349999999996</v>
          </cell>
          <cell r="O887">
            <v>2.04</v>
          </cell>
          <cell r="S887">
            <v>0</v>
          </cell>
          <cell r="T887">
            <v>0</v>
          </cell>
        </row>
        <row r="888">
          <cell r="B888" t="str">
            <v>Chevron</v>
          </cell>
          <cell r="N888">
            <v>1091.7</v>
          </cell>
          <cell r="O888">
            <v>336.82240000000002</v>
          </cell>
          <cell r="S888">
            <v>518.06650000000002</v>
          </cell>
          <cell r="T888">
            <v>133.72300000000001</v>
          </cell>
        </row>
        <row r="889">
          <cell r="B889" t="str">
            <v>Chevron</v>
          </cell>
          <cell r="N889">
            <v>306.452</v>
          </cell>
          <cell r="O889">
            <v>93.547970000000007</v>
          </cell>
          <cell r="S889">
            <v>127.4866</v>
          </cell>
          <cell r="T889">
            <v>39.091079999999998</v>
          </cell>
        </row>
        <row r="890">
          <cell r="B890" t="str">
            <v>Chevron</v>
          </cell>
          <cell r="N890">
            <v>265.87060000000002</v>
          </cell>
          <cell r="O890">
            <v>84.129390000000001</v>
          </cell>
          <cell r="S890">
            <v>262.32089999999999</v>
          </cell>
          <cell r="T890">
            <v>81.835700000000003</v>
          </cell>
        </row>
        <row r="891">
          <cell r="B891" t="str">
            <v>Chevron</v>
          </cell>
          <cell r="N891">
            <v>470.17989999999998</v>
          </cell>
          <cell r="O891">
            <v>146.2901</v>
          </cell>
          <cell r="S891">
            <v>403.03179999999998</v>
          </cell>
          <cell r="T891">
            <v>98.815489999999997</v>
          </cell>
        </row>
        <row r="892">
          <cell r="B892" t="str">
            <v>Chevron</v>
          </cell>
          <cell r="N892">
            <v>824.60080000000005</v>
          </cell>
          <cell r="O892">
            <v>187.86420000000001</v>
          </cell>
          <cell r="S892">
            <v>443.77800000000002</v>
          </cell>
          <cell r="T892">
            <v>69.291110000000003</v>
          </cell>
        </row>
        <row r="893">
          <cell r="B893" t="str">
            <v>Chevron</v>
          </cell>
          <cell r="N893">
            <v>3.0010110000000001</v>
          </cell>
          <cell r="S893">
            <v>2.6896390000000001</v>
          </cell>
        </row>
        <row r="894">
          <cell r="B894" t="str">
            <v>Chevron</v>
          </cell>
          <cell r="O894">
            <v>0.1668578</v>
          </cell>
          <cell r="S894">
            <v>0</v>
          </cell>
          <cell r="T894">
            <v>0.1719455</v>
          </cell>
        </row>
        <row r="895">
          <cell r="B895" t="str">
            <v>Chevron</v>
          </cell>
          <cell r="N895">
            <v>28</v>
          </cell>
          <cell r="O895">
            <v>1.3950880000000001E-2</v>
          </cell>
          <cell r="S895">
            <v>55.820799999999998</v>
          </cell>
          <cell r="T895">
            <v>1.3950880000000001E-2</v>
          </cell>
        </row>
        <row r="896">
          <cell r="B896" t="str">
            <v>Chevron</v>
          </cell>
          <cell r="N896">
            <v>11.44265</v>
          </cell>
          <cell r="O896">
            <v>6.7858199999999994E-2</v>
          </cell>
          <cell r="S896">
            <v>1.1086469999999999</v>
          </cell>
          <cell r="T896">
            <v>0.48660360000000003</v>
          </cell>
        </row>
        <row r="897">
          <cell r="B897" t="str">
            <v>Chevron</v>
          </cell>
          <cell r="N897">
            <v>590.32650000000001</v>
          </cell>
          <cell r="S897">
            <v>456.62200000000001</v>
          </cell>
        </row>
        <row r="898">
          <cell r="B898" t="str">
            <v>Chevron</v>
          </cell>
          <cell r="O898">
            <v>0.65976800000000002</v>
          </cell>
          <cell r="T898">
            <v>0.65976800000000002</v>
          </cell>
        </row>
        <row r="899">
          <cell r="B899" t="str">
            <v>Chevron</v>
          </cell>
          <cell r="N899">
            <v>0.60959920000000001</v>
          </cell>
          <cell r="S899">
            <v>0.47073019999999999</v>
          </cell>
        </row>
        <row r="900">
          <cell r="B900" t="str">
            <v>Chevron</v>
          </cell>
          <cell r="N900">
            <v>3.4038059999999999</v>
          </cell>
          <cell r="O900">
            <v>0.15063199999999999</v>
          </cell>
          <cell r="S900">
            <v>3.3986860000000001</v>
          </cell>
          <cell r="T900">
            <v>9.2645000000000005E-2</v>
          </cell>
        </row>
        <row r="901">
          <cell r="B901" t="str">
            <v>Chevron</v>
          </cell>
          <cell r="N901">
            <v>203.73560000000001</v>
          </cell>
          <cell r="O901">
            <v>108.4</v>
          </cell>
          <cell r="S901">
            <v>221.3553</v>
          </cell>
          <cell r="T901">
            <v>112.2546</v>
          </cell>
        </row>
        <row r="902">
          <cell r="B902" t="str">
            <v>Chevron</v>
          </cell>
          <cell r="O902">
            <v>0.2339514</v>
          </cell>
        </row>
        <row r="903">
          <cell r="B903" t="str">
            <v>Chevron</v>
          </cell>
          <cell r="N903">
            <v>0</v>
          </cell>
          <cell r="O903">
            <v>0.1567614</v>
          </cell>
          <cell r="T903">
            <v>6.094662E-2</v>
          </cell>
        </row>
        <row r="904">
          <cell r="B904" t="str">
            <v>Chevron</v>
          </cell>
          <cell r="N904">
            <v>1.730132</v>
          </cell>
          <cell r="O904">
            <v>0.19323689999999999</v>
          </cell>
          <cell r="S904">
            <v>4.3840380000000003</v>
          </cell>
          <cell r="T904">
            <v>7.5127139999999995E-2</v>
          </cell>
        </row>
        <row r="905">
          <cell r="B905" t="str">
            <v>Chevron</v>
          </cell>
        </row>
        <row r="906">
          <cell r="B906" t="str">
            <v>Chevron</v>
          </cell>
        </row>
        <row r="907">
          <cell r="B907" t="str">
            <v>Chevron</v>
          </cell>
          <cell r="O907">
            <v>2.0856400000000001E-2</v>
          </cell>
          <cell r="T907">
            <v>2.0856400000000001E-2</v>
          </cell>
        </row>
        <row r="908">
          <cell r="B908" t="str">
            <v>Chevron</v>
          </cell>
          <cell r="N908">
            <v>56.643549999999998</v>
          </cell>
          <cell r="O908">
            <v>0.25349519999999998</v>
          </cell>
          <cell r="S908">
            <v>34.638120000000001</v>
          </cell>
          <cell r="T908">
            <v>0.25349519999999998</v>
          </cell>
        </row>
        <row r="909">
          <cell r="B909" t="str">
            <v>Chevron</v>
          </cell>
          <cell r="N909">
            <v>24.041699999999999</v>
          </cell>
          <cell r="O909">
            <v>6.6905569999999998E-2</v>
          </cell>
          <cell r="S909">
            <v>23.126560000000001</v>
          </cell>
          <cell r="T909">
            <v>4.6796499999999998E-2</v>
          </cell>
        </row>
        <row r="910">
          <cell r="B910" t="str">
            <v>Chevron</v>
          </cell>
          <cell r="N910">
            <v>17.23977</v>
          </cell>
          <cell r="O910">
            <v>8.3825769999999994E-2</v>
          </cell>
          <cell r="S910">
            <v>13.523400000000001</v>
          </cell>
          <cell r="T910">
            <v>0.16713510000000001</v>
          </cell>
        </row>
        <row r="911">
          <cell r="B911" t="str">
            <v>Chevron</v>
          </cell>
          <cell r="O911">
            <v>2.9850999999999999E-2</v>
          </cell>
          <cell r="T911">
            <v>2.9850999999999999E-2</v>
          </cell>
        </row>
        <row r="912">
          <cell r="B912" t="str">
            <v>Chevron</v>
          </cell>
          <cell r="O912">
            <v>5.1471599999999999E-2</v>
          </cell>
          <cell r="T912">
            <v>5.1471599999999999E-2</v>
          </cell>
        </row>
        <row r="913">
          <cell r="B913" t="str">
            <v>Chevron</v>
          </cell>
          <cell r="O913">
            <v>1.1363750000000001E-2</v>
          </cell>
          <cell r="T913">
            <v>1.1363750000000001E-2</v>
          </cell>
        </row>
        <row r="914">
          <cell r="B914" t="str">
            <v>Chevron</v>
          </cell>
        </row>
        <row r="915">
          <cell r="B915" t="str">
            <v>Chevron</v>
          </cell>
          <cell r="N915">
            <v>478.66239999999999</v>
          </cell>
          <cell r="O915">
            <v>50.855420000000002</v>
          </cell>
          <cell r="S915">
            <v>386.70740000000001</v>
          </cell>
          <cell r="T915">
            <v>34.610709999999997</v>
          </cell>
        </row>
        <row r="916">
          <cell r="B916" t="str">
            <v>Chevron</v>
          </cell>
          <cell r="N916">
            <v>158.8663</v>
          </cell>
          <cell r="O916">
            <v>3.7578E-2</v>
          </cell>
          <cell r="S916">
            <v>119.73260000000001</v>
          </cell>
          <cell r="T916">
            <v>5.3121000000000002E-2</v>
          </cell>
        </row>
        <row r="917">
          <cell r="B917" t="str">
            <v>Chevron</v>
          </cell>
          <cell r="N917">
            <v>33.072539999999996</v>
          </cell>
          <cell r="O917">
            <v>0</v>
          </cell>
          <cell r="S917">
            <v>15.44478</v>
          </cell>
        </row>
        <row r="918">
          <cell r="B918" t="str">
            <v>Chevron</v>
          </cell>
          <cell r="N918">
            <v>17.820920000000001</v>
          </cell>
          <cell r="S918">
            <v>13.518929999999999</v>
          </cell>
        </row>
        <row r="919">
          <cell r="B919" t="str">
            <v>Chevron</v>
          </cell>
          <cell r="N919">
            <v>20.22738</v>
          </cell>
          <cell r="O919">
            <v>2.1277000000000001E-2</v>
          </cell>
          <cell r="S919">
            <v>16.024049999999999</v>
          </cell>
          <cell r="T919">
            <v>0.45228200000000002</v>
          </cell>
        </row>
        <row r="920">
          <cell r="B920" t="str">
            <v>Chevron</v>
          </cell>
          <cell r="N920">
            <v>289.45580000000001</v>
          </cell>
          <cell r="O920">
            <v>117.8147</v>
          </cell>
          <cell r="S920">
            <v>316.14780000000002</v>
          </cell>
          <cell r="T920">
            <v>105.1161</v>
          </cell>
        </row>
        <row r="921">
          <cell r="B921" t="str">
            <v>Chevron</v>
          </cell>
        </row>
        <row r="922">
          <cell r="B922" t="str">
            <v>Chevron</v>
          </cell>
        </row>
        <row r="923">
          <cell r="B923" t="str">
            <v>Chevron</v>
          </cell>
        </row>
        <row r="924">
          <cell r="B924" t="str">
            <v>Chevron</v>
          </cell>
        </row>
        <row r="925">
          <cell r="B925" t="str">
            <v>Chevron</v>
          </cell>
        </row>
        <row r="926">
          <cell r="B926" t="str">
            <v>Chevron</v>
          </cell>
          <cell r="O926">
            <v>58.939050000000002</v>
          </cell>
          <cell r="T926">
            <v>0</v>
          </cell>
        </row>
        <row r="927">
          <cell r="B927" t="str">
            <v>Chevron</v>
          </cell>
          <cell r="O927">
            <v>5.9081020000000004</v>
          </cell>
          <cell r="T927">
            <v>0</v>
          </cell>
        </row>
        <row r="928">
          <cell r="B928" t="str">
            <v>Chevron</v>
          </cell>
        </row>
        <row r="929">
          <cell r="B929" t="str">
            <v>Chevron</v>
          </cell>
          <cell r="O929">
            <v>23.41122</v>
          </cell>
          <cell r="T929">
            <v>0</v>
          </cell>
        </row>
        <row r="930">
          <cell r="B930" t="str">
            <v>Chevron</v>
          </cell>
        </row>
        <row r="931">
          <cell r="B931" t="str">
            <v>Chevron</v>
          </cell>
        </row>
        <row r="932">
          <cell r="B932" t="str">
            <v>Chevron</v>
          </cell>
        </row>
        <row r="933">
          <cell r="B933" t="str">
            <v>Chevron</v>
          </cell>
        </row>
        <row r="934">
          <cell r="B934" t="str">
            <v>Chevron</v>
          </cell>
        </row>
        <row r="935">
          <cell r="B935" t="str">
            <v>Chevron</v>
          </cell>
          <cell r="O935">
            <v>0</v>
          </cell>
        </row>
        <row r="936">
          <cell r="B936" t="str">
            <v>Chevron</v>
          </cell>
        </row>
        <row r="937">
          <cell r="B937" t="str">
            <v>Chevron</v>
          </cell>
          <cell r="O937">
            <v>64.843739999999997</v>
          </cell>
          <cell r="T937">
            <v>0</v>
          </cell>
        </row>
        <row r="938">
          <cell r="B938" t="str">
            <v>Chevron</v>
          </cell>
          <cell r="O938">
            <v>13.384040000000001</v>
          </cell>
          <cell r="T938">
            <v>0</v>
          </cell>
        </row>
        <row r="939">
          <cell r="B939" t="str">
            <v>Chevron</v>
          </cell>
        </row>
        <row r="940">
          <cell r="B940" t="str">
            <v>Chevron</v>
          </cell>
          <cell r="O940">
            <v>46.95852</v>
          </cell>
          <cell r="T940">
            <v>0</v>
          </cell>
        </row>
        <row r="941">
          <cell r="B941" t="str">
            <v>Chevron</v>
          </cell>
        </row>
        <row r="942">
          <cell r="B942" t="str">
            <v>Chevron</v>
          </cell>
        </row>
        <row r="943">
          <cell r="B943" t="str">
            <v>Chevron</v>
          </cell>
          <cell r="O943">
            <v>793</v>
          </cell>
          <cell r="T943">
            <v>0</v>
          </cell>
        </row>
        <row r="944">
          <cell r="B944" t="str">
            <v>Chevron</v>
          </cell>
          <cell r="O944">
            <v>153.1275</v>
          </cell>
          <cell r="T944">
            <v>0</v>
          </cell>
        </row>
        <row r="945">
          <cell r="B945" t="str">
            <v>Chevron</v>
          </cell>
        </row>
        <row r="946">
          <cell r="B946" t="str">
            <v>Chevron</v>
          </cell>
        </row>
        <row r="947">
          <cell r="B947" t="str">
            <v>Chevron</v>
          </cell>
          <cell r="O947">
            <v>9.8314839999999997</v>
          </cell>
          <cell r="T947">
            <v>0</v>
          </cell>
        </row>
        <row r="948">
          <cell r="B948" t="str">
            <v>Chevron</v>
          </cell>
        </row>
        <row r="949">
          <cell r="B949" t="str">
            <v>Chevron</v>
          </cell>
          <cell r="O949">
            <v>0</v>
          </cell>
        </row>
        <row r="950">
          <cell r="B950" t="str">
            <v>Chevron</v>
          </cell>
        </row>
        <row r="951">
          <cell r="B951" t="str">
            <v>Chevron</v>
          </cell>
        </row>
        <row r="952">
          <cell r="B952" t="str">
            <v>Chevron</v>
          </cell>
        </row>
        <row r="953">
          <cell r="B953" t="str">
            <v>ConocoPhillips</v>
          </cell>
          <cell r="O953">
            <v>7.4225979999999997E-2</v>
          </cell>
          <cell r="T953">
            <v>7.4225979999999997E-2</v>
          </cell>
        </row>
        <row r="954">
          <cell r="B954" t="str">
            <v>ConocoPhillips</v>
          </cell>
          <cell r="N954">
            <v>5.0954850000000003E-3</v>
          </cell>
          <cell r="O954">
            <v>4.5127950000000002E-4</v>
          </cell>
        </row>
        <row r="955">
          <cell r="B955" t="str">
            <v>ConocoPhillips</v>
          </cell>
        </row>
        <row r="956">
          <cell r="B956" t="str">
            <v>ConocoPhillips</v>
          </cell>
          <cell r="O956">
            <v>0.29688439999999999</v>
          </cell>
          <cell r="T956">
            <v>0.29688439999999999</v>
          </cell>
        </row>
        <row r="957">
          <cell r="B957" t="str">
            <v>ConocoPhillips</v>
          </cell>
          <cell r="O957">
            <v>0.65288199999999996</v>
          </cell>
          <cell r="T957">
            <v>0.76709000000000005</v>
          </cell>
        </row>
        <row r="958">
          <cell r="B958" t="str">
            <v>ConocoPhillips</v>
          </cell>
          <cell r="N958">
            <v>1798.5129999999999</v>
          </cell>
          <cell r="O958">
            <v>127.25409999999999</v>
          </cell>
          <cell r="S958">
            <v>1127.4259999999999</v>
          </cell>
          <cell r="T958">
            <v>49.28978</v>
          </cell>
        </row>
        <row r="959">
          <cell r="B959" t="str">
            <v>ConocoPhillips</v>
          </cell>
          <cell r="N959">
            <v>9.4339670000000009</v>
          </cell>
          <cell r="S959">
            <v>7.6886080000000003</v>
          </cell>
        </row>
        <row r="960">
          <cell r="B960" t="str">
            <v>ConocoPhillips</v>
          </cell>
          <cell r="N960">
            <v>2.5144850000000001</v>
          </cell>
          <cell r="O960">
            <v>3.8980800000000001E-4</v>
          </cell>
          <cell r="S960">
            <v>1.7124600000000001</v>
          </cell>
          <cell r="T960">
            <v>2.50296E-4</v>
          </cell>
        </row>
        <row r="961">
          <cell r="B961" t="str">
            <v>ConocoPhillips</v>
          </cell>
          <cell r="N961">
            <v>14.742000000000001</v>
          </cell>
          <cell r="O961">
            <v>4.4159100000000003E-3</v>
          </cell>
          <cell r="S961">
            <v>17.981999999999999</v>
          </cell>
          <cell r="T961">
            <v>2.8353839999999998E-3</v>
          </cell>
        </row>
        <row r="962">
          <cell r="B962" t="str">
            <v>ConocoPhillips</v>
          </cell>
          <cell r="N962">
            <v>5.3743470000000002E-2</v>
          </cell>
          <cell r="O962">
            <v>3.1063919999999999E-3</v>
          </cell>
          <cell r="S962">
            <v>7.1151439999999996E-2</v>
          </cell>
          <cell r="T962">
            <v>9.6843960000000007E-2</v>
          </cell>
        </row>
        <row r="963">
          <cell r="B963" t="str">
            <v>ConocoPhillips</v>
          </cell>
          <cell r="N963">
            <v>9.2769739999999992</v>
          </cell>
          <cell r="O963">
            <v>2.9896800000000002E-3</v>
          </cell>
          <cell r="S963">
            <v>8.220186</v>
          </cell>
          <cell r="T963">
            <v>0.68419819999999998</v>
          </cell>
        </row>
        <row r="964">
          <cell r="B964" t="str">
            <v>ConocoPhillips</v>
          </cell>
          <cell r="N964">
            <v>2.5921949999999998</v>
          </cell>
          <cell r="O964">
            <v>2.5255680000000002E-3</v>
          </cell>
          <cell r="S964">
            <v>1.3942019999999999</v>
          </cell>
          <cell r="T964">
            <v>1.6216080000000001E-3</v>
          </cell>
        </row>
        <row r="965">
          <cell r="B965" t="str">
            <v>ConocoPhillips</v>
          </cell>
          <cell r="N965">
            <v>9.2163400000000006</v>
          </cell>
          <cell r="O965">
            <v>1.7959159999999998E-2</v>
          </cell>
          <cell r="S965">
            <v>9.7440610000000003</v>
          </cell>
          <cell r="T965">
            <v>9.068959E-2</v>
          </cell>
        </row>
        <row r="966">
          <cell r="B966" t="str">
            <v>ConocoPhillips</v>
          </cell>
          <cell r="O966">
            <v>9.3606960000000003E-2</v>
          </cell>
          <cell r="T966">
            <v>5.0452400000000001E-2</v>
          </cell>
        </row>
        <row r="967">
          <cell r="B967" t="str">
            <v>ConocoPhillips</v>
          </cell>
          <cell r="O967">
            <v>6.8718240000000002</v>
          </cell>
          <cell r="T967">
            <v>3.8769449999999997E-2</v>
          </cell>
        </row>
        <row r="968">
          <cell r="B968" t="str">
            <v>ConocoPhillips</v>
          </cell>
          <cell r="N968">
            <v>16.637920000000001</v>
          </cell>
          <cell r="S968">
            <v>13.36022</v>
          </cell>
        </row>
        <row r="969">
          <cell r="B969" t="str">
            <v>ConocoPhillips</v>
          </cell>
          <cell r="N969">
            <v>9.6271340000000007E-3</v>
          </cell>
        </row>
        <row r="970">
          <cell r="B970" t="str">
            <v>ConocoPhillips</v>
          </cell>
          <cell r="O970">
            <v>3.1908549999999998E-3</v>
          </cell>
        </row>
        <row r="971">
          <cell r="B971" t="str">
            <v>ConocoPhillips</v>
          </cell>
          <cell r="O971">
            <v>2.9273199999999997E-4</v>
          </cell>
        </row>
        <row r="972">
          <cell r="B972" t="str">
            <v>ConocoPhillips</v>
          </cell>
          <cell r="N972">
            <v>447.41770000000002</v>
          </cell>
          <cell r="O972">
            <v>54.82687</v>
          </cell>
          <cell r="S972">
            <v>360.42290000000003</v>
          </cell>
          <cell r="T972">
            <v>40.884099999999997</v>
          </cell>
        </row>
        <row r="973">
          <cell r="B973" t="str">
            <v>ConocoPhillips</v>
          </cell>
          <cell r="N973">
            <v>170.48929999999999</v>
          </cell>
          <cell r="O973">
            <v>5.120692</v>
          </cell>
          <cell r="S973">
            <v>102.5497</v>
          </cell>
          <cell r="T973">
            <v>8.4251579999999997</v>
          </cell>
        </row>
        <row r="974">
          <cell r="B974" t="str">
            <v>ConocoPhillips</v>
          </cell>
          <cell r="N974">
            <v>3.5652879999999998E-3</v>
          </cell>
          <cell r="O974">
            <v>3.4013500000000002E-2</v>
          </cell>
          <cell r="T974">
            <v>3.4013500000000002E-2</v>
          </cell>
        </row>
        <row r="975">
          <cell r="B975" t="str">
            <v>ConocoPhillips</v>
          </cell>
          <cell r="N975">
            <v>3.4741070000000001</v>
          </cell>
          <cell r="S975">
            <v>2.8027899999999999</v>
          </cell>
        </row>
        <row r="976">
          <cell r="B976" t="str">
            <v>ConocoPhillips</v>
          </cell>
          <cell r="O976">
            <v>0.114105</v>
          </cell>
          <cell r="T976">
            <v>4.9975199999999997E-2</v>
          </cell>
        </row>
        <row r="977">
          <cell r="B977" t="str">
            <v>ConocoPhillips</v>
          </cell>
          <cell r="N977">
            <v>49.684559999999998</v>
          </cell>
          <cell r="O977">
            <v>0.1362188</v>
          </cell>
          <cell r="S977">
            <v>51.526260000000001</v>
          </cell>
          <cell r="T977">
            <v>0.1362188</v>
          </cell>
        </row>
        <row r="978">
          <cell r="B978" t="str">
            <v>ConocoPhillips</v>
          </cell>
          <cell r="N978">
            <v>7.8074989999999997E-2</v>
          </cell>
        </row>
        <row r="979">
          <cell r="B979" t="str">
            <v>ConocoPhillips</v>
          </cell>
          <cell r="N979">
            <v>1.849315E-2</v>
          </cell>
          <cell r="O979">
            <v>0.1344737</v>
          </cell>
          <cell r="T979">
            <v>0.1341311</v>
          </cell>
        </row>
        <row r="980">
          <cell r="B980" t="str">
            <v>ConocoPhillips</v>
          </cell>
        </row>
        <row r="981">
          <cell r="B981" t="str">
            <v>ConocoPhillips</v>
          </cell>
          <cell r="O981">
            <v>7.4004070000000005E-2</v>
          </cell>
          <cell r="T981">
            <v>7.4004070000000005E-2</v>
          </cell>
        </row>
        <row r="982">
          <cell r="B982" t="str">
            <v>ConocoPhillips</v>
          </cell>
          <cell r="N982">
            <v>0.1126712</v>
          </cell>
          <cell r="O982">
            <v>2.1731510000000001E-5</v>
          </cell>
        </row>
        <row r="983">
          <cell r="B983" t="str">
            <v>ConocoPhillips</v>
          </cell>
          <cell r="O983">
            <v>3.3265749999999999E-5</v>
          </cell>
        </row>
        <row r="984">
          <cell r="B984" t="str">
            <v>ConocoPhillips</v>
          </cell>
          <cell r="N984">
            <v>9.9778469999999994E-2</v>
          </cell>
          <cell r="O984">
            <v>3.1327729999999998E-4</v>
          </cell>
        </row>
        <row r="985">
          <cell r="B985" t="str">
            <v>ConocoPhillips</v>
          </cell>
          <cell r="O985">
            <v>3.0376879999999999E-5</v>
          </cell>
        </row>
        <row r="986">
          <cell r="B986" t="str">
            <v>ConocoPhillips</v>
          </cell>
          <cell r="N986">
            <v>0.1999485</v>
          </cell>
          <cell r="O986">
            <v>7.0219569999999995E-2</v>
          </cell>
        </row>
        <row r="987">
          <cell r="B987" t="str">
            <v>ConocoPhillips</v>
          </cell>
          <cell r="N987">
            <v>149.69900000000001</v>
          </cell>
          <cell r="O987">
            <v>4.909525E-2</v>
          </cell>
          <cell r="S987">
            <v>152.3081</v>
          </cell>
          <cell r="T987">
            <v>3.1523259999999997E-2</v>
          </cell>
        </row>
        <row r="988">
          <cell r="B988" t="str">
            <v>ConocoPhillips</v>
          </cell>
          <cell r="N988">
            <v>5.3999999999999999E-2</v>
          </cell>
          <cell r="O988">
            <v>1.76188E-4</v>
          </cell>
        </row>
        <row r="989">
          <cell r="B989" t="str">
            <v>ConocoPhillips</v>
          </cell>
          <cell r="N989">
            <v>94.286029999999997</v>
          </cell>
          <cell r="S989">
            <v>85.153099999999995</v>
          </cell>
        </row>
        <row r="990">
          <cell r="B990" t="str">
            <v>ConocoPhillips</v>
          </cell>
          <cell r="N990">
            <v>70.585489999999993</v>
          </cell>
          <cell r="S990">
            <v>66.495679999999993</v>
          </cell>
        </row>
        <row r="991">
          <cell r="B991" t="str">
            <v>ConocoPhillips</v>
          </cell>
          <cell r="O991">
            <v>2.0326179999999999E-4</v>
          </cell>
        </row>
        <row r="992">
          <cell r="B992" t="str">
            <v>ConocoPhillips</v>
          </cell>
          <cell r="N992">
            <v>3.0351819999999998</v>
          </cell>
          <cell r="O992">
            <v>4.2601430000000003E-2</v>
          </cell>
          <cell r="S992">
            <v>2.7217720000000001</v>
          </cell>
          <cell r="T992">
            <v>2.7353679999999998E-2</v>
          </cell>
        </row>
        <row r="993">
          <cell r="B993" t="str">
            <v>ConocoPhillips</v>
          </cell>
          <cell r="O993">
            <v>8.0877989999999997E-2</v>
          </cell>
          <cell r="T993">
            <v>8.0877989999999997E-2</v>
          </cell>
        </row>
        <row r="994">
          <cell r="B994" t="str">
            <v>ConocoPhillips</v>
          </cell>
          <cell r="N994">
            <v>2.046948</v>
          </cell>
          <cell r="S994">
            <v>1.655251</v>
          </cell>
        </row>
        <row r="995">
          <cell r="B995" t="str">
            <v>ConocoPhillips</v>
          </cell>
          <cell r="O995">
            <v>3.604763E-3</v>
          </cell>
          <cell r="T995">
            <v>3.604763E-3</v>
          </cell>
        </row>
        <row r="996">
          <cell r="B996" t="str">
            <v>ConocoPhillips</v>
          </cell>
          <cell r="N996">
            <v>18.6464</v>
          </cell>
          <cell r="O996">
            <v>0.1101626</v>
          </cell>
          <cell r="S996">
            <v>41.45964</v>
          </cell>
          <cell r="T996">
            <v>0.15572749999999999</v>
          </cell>
        </row>
        <row r="997">
          <cell r="B997" t="str">
            <v>ConocoPhillips</v>
          </cell>
          <cell r="N997">
            <v>3.7233399999999999</v>
          </cell>
          <cell r="O997">
            <v>9.7272310000000001E-2</v>
          </cell>
          <cell r="S997">
            <v>3.658903</v>
          </cell>
          <cell r="T997">
            <v>0.15082799999999999</v>
          </cell>
        </row>
        <row r="998">
          <cell r="B998" t="str">
            <v>ConocoPhillips</v>
          </cell>
          <cell r="O998">
            <v>1.545135E-3</v>
          </cell>
        </row>
        <row r="999">
          <cell r="B999" t="str">
            <v>ConocoPhillips</v>
          </cell>
          <cell r="O999">
            <v>4.6016249999999998E-3</v>
          </cell>
        </row>
        <row r="1000">
          <cell r="B1000" t="str">
            <v>ConocoPhillips</v>
          </cell>
          <cell r="O1000">
            <v>3.6390900000000002E-3</v>
          </cell>
          <cell r="T1000">
            <v>5.8094519999999997E-2</v>
          </cell>
        </row>
        <row r="1001">
          <cell r="B1001" t="str">
            <v>ConocoPhillips</v>
          </cell>
          <cell r="N1001">
            <v>9.9999989999999997E-2</v>
          </cell>
          <cell r="O1001">
            <v>37.931759999999997</v>
          </cell>
          <cell r="S1001">
            <v>1.1209119999999999</v>
          </cell>
          <cell r="T1001">
            <v>7.4695340000000003</v>
          </cell>
        </row>
        <row r="1002">
          <cell r="B1002" t="str">
            <v>ConocoPhillips</v>
          </cell>
          <cell r="O1002">
            <v>6.038907</v>
          </cell>
          <cell r="T1002">
            <v>6.7429990000000004E-3</v>
          </cell>
        </row>
        <row r="1003">
          <cell r="B1003" t="str">
            <v>ConocoPhillips</v>
          </cell>
          <cell r="N1003">
            <v>22.62058</v>
          </cell>
          <cell r="S1003">
            <v>21.885110000000001</v>
          </cell>
        </row>
        <row r="1004">
          <cell r="B1004" t="str">
            <v>ConocoPhillips</v>
          </cell>
          <cell r="O1004">
            <v>1.1824400000000001E-2</v>
          </cell>
          <cell r="T1004">
            <v>7.5922000000000003E-3</v>
          </cell>
        </row>
        <row r="1005">
          <cell r="B1005" t="str">
            <v>ConocoPhillips</v>
          </cell>
          <cell r="O1005">
            <v>3.1823200000000003E-2</v>
          </cell>
          <cell r="T1005">
            <v>2.0433199999999999E-2</v>
          </cell>
        </row>
        <row r="1006">
          <cell r="B1006" t="str">
            <v>ConocoPhillips</v>
          </cell>
          <cell r="O1006">
            <v>1.8246570000000001E-7</v>
          </cell>
        </row>
        <row r="1007">
          <cell r="B1007" t="str">
            <v>ConocoPhillips</v>
          </cell>
          <cell r="N1007">
            <v>20.583649999999999</v>
          </cell>
          <cell r="O1007">
            <v>2.2414320000000001</v>
          </cell>
          <cell r="S1007">
            <v>7.1579750000000004</v>
          </cell>
          <cell r="T1007">
            <v>1.5980769999999998E-2</v>
          </cell>
        </row>
        <row r="1008">
          <cell r="B1008" t="str">
            <v>ConocoPhillips</v>
          </cell>
          <cell r="O1008">
            <v>0.11685719999999999</v>
          </cell>
          <cell r="T1008">
            <v>30.51</v>
          </cell>
        </row>
        <row r="1009">
          <cell r="B1009" t="str">
            <v>ConocoPhillips</v>
          </cell>
          <cell r="O1009">
            <v>4.3147339999999998E-3</v>
          </cell>
          <cell r="T1009">
            <v>4.3147339999999998E-3</v>
          </cell>
        </row>
        <row r="1010">
          <cell r="B1010" t="str">
            <v>ConocoPhillips</v>
          </cell>
          <cell r="N1010">
            <v>0.64428359999999996</v>
          </cell>
          <cell r="S1010">
            <v>0.52445850000000005</v>
          </cell>
        </row>
        <row r="1011">
          <cell r="B1011" t="str">
            <v>ConocoPhillips</v>
          </cell>
        </row>
        <row r="1012">
          <cell r="B1012" t="str">
            <v>ConocoPhillips</v>
          </cell>
          <cell r="O1012">
            <v>0.1258975</v>
          </cell>
          <cell r="T1012">
            <v>0.1258975</v>
          </cell>
        </row>
        <row r="1013">
          <cell r="B1013" t="str">
            <v>ConocoPhillips</v>
          </cell>
          <cell r="O1013">
            <v>7.5998740000000004E-3</v>
          </cell>
          <cell r="T1013">
            <v>7.5998740000000004E-3</v>
          </cell>
        </row>
        <row r="1014">
          <cell r="B1014" t="str">
            <v>ConocoPhillips</v>
          </cell>
          <cell r="N1014">
            <v>16.93647</v>
          </cell>
          <cell r="O1014">
            <v>0.23295399999999999</v>
          </cell>
          <cell r="S1014">
            <v>11.20847</v>
          </cell>
          <cell r="T1014">
            <v>2.5270160000000002</v>
          </cell>
        </row>
        <row r="1015">
          <cell r="B1015" t="str">
            <v>ConocoPhillips</v>
          </cell>
          <cell r="N1015">
            <v>1105.2670000000001</v>
          </cell>
          <cell r="O1015">
            <v>7.9120410000000003</v>
          </cell>
          <cell r="S1015">
            <v>1541.1279999999999</v>
          </cell>
          <cell r="T1015">
            <v>27.130960000000002</v>
          </cell>
        </row>
        <row r="1016">
          <cell r="B1016" t="str">
            <v>ConocoPhillips</v>
          </cell>
          <cell r="O1016">
            <v>7.4633710000000006E-2</v>
          </cell>
          <cell r="T1016">
            <v>7.4633710000000006E-2</v>
          </cell>
        </row>
        <row r="1017">
          <cell r="B1017" t="str">
            <v>ConocoPhillips</v>
          </cell>
          <cell r="N1017">
            <v>1.4375629999999999</v>
          </cell>
          <cell r="S1017">
            <v>9.8850829999999998</v>
          </cell>
        </row>
        <row r="1018">
          <cell r="B1018" t="str">
            <v>ConocoPhillips</v>
          </cell>
          <cell r="O1018">
            <v>4.5390399999999997E-2</v>
          </cell>
          <cell r="T1018">
            <v>7.2806360000000001E-2</v>
          </cell>
        </row>
        <row r="1019">
          <cell r="B1019" t="str">
            <v>ConocoPhillips</v>
          </cell>
          <cell r="O1019">
            <v>0.33740490000000001</v>
          </cell>
        </row>
        <row r="1020">
          <cell r="B1020" t="str">
            <v>ConocoPhillips</v>
          </cell>
          <cell r="O1020">
            <v>7.339305E-3</v>
          </cell>
          <cell r="T1020">
            <v>7.3393039999999996E-3</v>
          </cell>
        </row>
        <row r="1021">
          <cell r="B1021" t="str">
            <v>ConocoPhillips</v>
          </cell>
          <cell r="N1021">
            <v>175.16319999999999</v>
          </cell>
          <cell r="O1021">
            <v>3.219176</v>
          </cell>
          <cell r="S1021">
            <v>128.91489999999999</v>
          </cell>
          <cell r="T1021">
            <v>2.6266699999999998</v>
          </cell>
        </row>
        <row r="1022">
          <cell r="B1022" t="str">
            <v>ConocoPhillips</v>
          </cell>
          <cell r="O1022">
            <v>1.46523E-2</v>
          </cell>
          <cell r="T1022">
            <v>1.46523E-2</v>
          </cell>
        </row>
        <row r="1023">
          <cell r="B1023" t="str">
            <v>ConocoPhillips</v>
          </cell>
          <cell r="N1023">
            <v>24.99427</v>
          </cell>
          <cell r="O1023">
            <v>20.915620000000001</v>
          </cell>
          <cell r="S1023">
            <v>19.437149999999999</v>
          </cell>
          <cell r="T1023">
            <v>0</v>
          </cell>
        </row>
        <row r="1024">
          <cell r="B1024" t="str">
            <v>ConocoPhillips</v>
          </cell>
        </row>
        <row r="1025">
          <cell r="B1025" t="str">
            <v>ConocoPhillips</v>
          </cell>
          <cell r="N1025">
            <v>0</v>
          </cell>
          <cell r="O1025">
            <v>1.3938300000000001E-2</v>
          </cell>
          <cell r="S1025">
            <v>3.6273E-3</v>
          </cell>
          <cell r="T1025">
            <v>0.15121889999999999</v>
          </cell>
        </row>
        <row r="1026">
          <cell r="B1026" t="str">
            <v>ConocoPhillips</v>
          </cell>
          <cell r="O1026">
            <v>2.3300100000000001E-2</v>
          </cell>
          <cell r="T1026">
            <v>1.4960599999999999E-2</v>
          </cell>
        </row>
        <row r="1027">
          <cell r="B1027" t="str">
            <v>ConocoPhillips</v>
          </cell>
          <cell r="N1027">
            <v>99.790909999999997</v>
          </cell>
          <cell r="O1027">
            <v>20.14507</v>
          </cell>
          <cell r="S1027">
            <v>87.945269999999994</v>
          </cell>
          <cell r="T1027">
            <v>3.8347060000000002E-2</v>
          </cell>
        </row>
        <row r="1028">
          <cell r="B1028" t="str">
            <v>ConocoPhillips</v>
          </cell>
          <cell r="O1028">
            <v>2.7828599999999998E-2</v>
          </cell>
          <cell r="T1028">
            <v>1.7868200000000001E-2</v>
          </cell>
        </row>
        <row r="1029">
          <cell r="B1029" t="str">
            <v>ConocoPhillips</v>
          </cell>
          <cell r="O1029">
            <v>0.1228448</v>
          </cell>
          <cell r="T1029">
            <v>39.753039999999999</v>
          </cell>
        </row>
        <row r="1030">
          <cell r="B1030" t="str">
            <v>ConocoPhillips</v>
          </cell>
          <cell r="O1030">
            <v>3.056E-2</v>
          </cell>
          <cell r="T1030">
            <v>0</v>
          </cell>
        </row>
        <row r="1031">
          <cell r="B1031" t="str">
            <v>ConocoPhillips</v>
          </cell>
          <cell r="N1031">
            <v>203.17250000000001</v>
          </cell>
          <cell r="O1031">
            <v>51.940280000000001</v>
          </cell>
          <cell r="S1031">
            <v>154.352</v>
          </cell>
          <cell r="T1031">
            <v>28.344550000000002</v>
          </cell>
        </row>
        <row r="1032">
          <cell r="B1032" t="str">
            <v>ConocoPhillips</v>
          </cell>
          <cell r="N1032">
            <v>129.09360000000001</v>
          </cell>
          <cell r="O1032">
            <v>24.726379999999999</v>
          </cell>
          <cell r="S1032">
            <v>125.9285</v>
          </cell>
          <cell r="T1032">
            <v>22.858889999999999</v>
          </cell>
        </row>
        <row r="1033">
          <cell r="B1033" t="str">
            <v>ConocoPhillips</v>
          </cell>
          <cell r="N1033">
            <v>163.65100000000001</v>
          </cell>
          <cell r="O1033">
            <v>1.569672</v>
          </cell>
          <cell r="S1033">
            <v>130.86320000000001</v>
          </cell>
          <cell r="T1033">
            <v>2.1453169999999999</v>
          </cell>
        </row>
        <row r="1034">
          <cell r="B1034" t="str">
            <v>ConocoPhillips</v>
          </cell>
          <cell r="N1034">
            <v>1.468801</v>
          </cell>
          <cell r="S1034">
            <v>1.9999999999999999E-6</v>
          </cell>
        </row>
        <row r="1035">
          <cell r="B1035" t="str">
            <v>ConocoPhillips</v>
          </cell>
          <cell r="N1035">
            <v>2.3533959999999998E-3</v>
          </cell>
          <cell r="O1035">
            <v>2.162859E-2</v>
          </cell>
        </row>
        <row r="1036">
          <cell r="B1036" t="str">
            <v>ConocoPhillips</v>
          </cell>
          <cell r="N1036">
            <v>41.442630000000001</v>
          </cell>
          <cell r="O1036">
            <v>0.24663570000000001</v>
          </cell>
          <cell r="S1036">
            <v>35.67033</v>
          </cell>
          <cell r="T1036">
            <v>0.24663570000000001</v>
          </cell>
        </row>
        <row r="1037">
          <cell r="B1037" t="str">
            <v>ConocoPhillips</v>
          </cell>
          <cell r="N1037">
            <v>135.3509</v>
          </cell>
          <cell r="O1037">
            <v>27.452210000000001</v>
          </cell>
          <cell r="S1037">
            <v>26.481729999999999</v>
          </cell>
          <cell r="T1037">
            <v>4.3802269999999996</v>
          </cell>
        </row>
        <row r="1038">
          <cell r="B1038" t="str">
            <v>ConocoPhillips</v>
          </cell>
          <cell r="N1038">
            <v>16.27149</v>
          </cell>
          <cell r="O1038">
            <v>2.1882609999999998</v>
          </cell>
          <cell r="S1038">
            <v>47.833550000000002</v>
          </cell>
          <cell r="T1038">
            <v>2.1882609999999998</v>
          </cell>
        </row>
        <row r="1039">
          <cell r="B1039" t="str">
            <v>ConocoPhillips</v>
          </cell>
          <cell r="N1039">
            <v>10.10183</v>
          </cell>
          <cell r="S1039">
            <v>8.4238660000000003</v>
          </cell>
        </row>
        <row r="1040">
          <cell r="B1040" t="str">
            <v>ConocoPhillips</v>
          </cell>
          <cell r="O1040">
            <v>2.2600229999999999E-2</v>
          </cell>
        </row>
        <row r="1041">
          <cell r="B1041" t="str">
            <v>ConocoPhillips</v>
          </cell>
          <cell r="N1041">
            <v>0.3427578</v>
          </cell>
          <cell r="O1041">
            <v>5.495945E-2</v>
          </cell>
          <cell r="S1041">
            <v>0</v>
          </cell>
          <cell r="T1041">
            <v>5.495945E-2</v>
          </cell>
        </row>
        <row r="1042">
          <cell r="B1042" t="str">
            <v>ConocoPhillips</v>
          </cell>
          <cell r="O1042">
            <v>2.6595770000000002E-3</v>
          </cell>
        </row>
        <row r="1043">
          <cell r="B1043" t="str">
            <v>ConocoPhillips</v>
          </cell>
          <cell r="N1043">
            <v>219.73750000000001</v>
          </cell>
          <cell r="O1043">
            <v>9.4645950000000006E-2</v>
          </cell>
          <cell r="S1043">
            <v>112.24469999999999</v>
          </cell>
          <cell r="T1043">
            <v>28.430710000000001</v>
          </cell>
        </row>
        <row r="1044">
          <cell r="B1044" t="str">
            <v>ConocoPhillips</v>
          </cell>
          <cell r="O1044">
            <v>5.6056040000000001E-2</v>
          </cell>
          <cell r="T1044">
            <v>5.6056040000000001E-2</v>
          </cell>
        </row>
        <row r="1045">
          <cell r="B1045" t="str">
            <v>ConocoPhillips</v>
          </cell>
          <cell r="O1045">
            <v>6.0963859999999996E-3</v>
          </cell>
          <cell r="T1045">
            <v>6.0963859999999996E-3</v>
          </cell>
        </row>
        <row r="1046">
          <cell r="B1046" t="str">
            <v>ConocoPhillips</v>
          </cell>
          <cell r="N1046">
            <v>2.5438079999999998E-2</v>
          </cell>
          <cell r="O1046">
            <v>6.1137710000000003E-5</v>
          </cell>
        </row>
        <row r="1047">
          <cell r="B1047" t="str">
            <v>ConocoPhillips</v>
          </cell>
          <cell r="O1047">
            <v>8.5301500000000002E-2</v>
          </cell>
          <cell r="T1047">
            <v>8.5301500000000002E-2</v>
          </cell>
        </row>
        <row r="1048">
          <cell r="B1048" t="str">
            <v>ConocoPhillips</v>
          </cell>
          <cell r="N1048">
            <v>0.5</v>
          </cell>
          <cell r="O1048">
            <v>35.253619999999998</v>
          </cell>
          <cell r="S1048">
            <v>0.5</v>
          </cell>
          <cell r="T1048">
            <v>0.41862300000000002</v>
          </cell>
        </row>
        <row r="1049">
          <cell r="B1049" t="str">
            <v>ConocoPhillips</v>
          </cell>
          <cell r="O1049">
            <v>3.6882999999999999E-2</v>
          </cell>
          <cell r="T1049">
            <v>3.6882999999999999E-2</v>
          </cell>
        </row>
        <row r="1050">
          <cell r="B1050" t="str">
            <v>ConocoPhillips</v>
          </cell>
          <cell r="O1050">
            <v>5.6818750000000003E-3</v>
          </cell>
          <cell r="T1050">
            <v>5.6818750000000003E-3</v>
          </cell>
        </row>
        <row r="1051">
          <cell r="B1051" t="str">
            <v>ConocoPhillips</v>
          </cell>
          <cell r="O1051">
            <v>7.9285140000000004E-2</v>
          </cell>
          <cell r="T1051">
            <v>7.9285140000000004E-2</v>
          </cell>
        </row>
        <row r="1052">
          <cell r="B1052" t="str">
            <v>ConocoPhillips</v>
          </cell>
        </row>
        <row r="1053">
          <cell r="B1053" t="str">
            <v>ConocoPhillips</v>
          </cell>
          <cell r="O1053">
            <v>7.3929590000000003E-2</v>
          </cell>
          <cell r="T1053">
            <v>4.7468799999999998E-2</v>
          </cell>
        </row>
        <row r="1054">
          <cell r="B1054" t="str">
            <v>ConocoPhillips</v>
          </cell>
          <cell r="O1054">
            <v>6.0141600000000003E-2</v>
          </cell>
          <cell r="T1054">
            <v>0.60300039999999999</v>
          </cell>
        </row>
        <row r="1055">
          <cell r="B1055" t="str">
            <v>ConocoPhillips</v>
          </cell>
          <cell r="O1055">
            <v>0.1066455</v>
          </cell>
          <cell r="T1055">
            <v>30.186489999999999</v>
          </cell>
        </row>
        <row r="1056">
          <cell r="B1056" t="str">
            <v>ConocoPhillips</v>
          </cell>
          <cell r="O1056">
            <v>0.1054098</v>
          </cell>
          <cell r="T1056">
            <v>6.76818E-2</v>
          </cell>
        </row>
        <row r="1057">
          <cell r="B1057" t="str">
            <v>ConocoPhillips</v>
          </cell>
          <cell r="O1057">
            <v>5.2696149999999997E-2</v>
          </cell>
          <cell r="T1057">
            <v>5.2696149999999997E-2</v>
          </cell>
        </row>
        <row r="1058">
          <cell r="B1058" t="str">
            <v>ConocoPhillips</v>
          </cell>
          <cell r="N1058">
            <v>4.8996999999999999E-2</v>
          </cell>
          <cell r="S1058">
            <v>3.9627999999999997E-2</v>
          </cell>
        </row>
        <row r="1059">
          <cell r="B1059" t="str">
            <v>ConocoPhillips</v>
          </cell>
          <cell r="N1059">
            <v>0.61497210000000002</v>
          </cell>
          <cell r="S1059">
            <v>0.51041559999999997</v>
          </cell>
        </row>
        <row r="1060">
          <cell r="B1060" t="str">
            <v>ConocoPhillips</v>
          </cell>
          <cell r="N1060">
            <v>457.98489999999998</v>
          </cell>
          <cell r="O1060">
            <v>27.014720000000001</v>
          </cell>
          <cell r="S1060">
            <v>118.2664</v>
          </cell>
          <cell r="T1060">
            <v>32.86403</v>
          </cell>
        </row>
        <row r="1061">
          <cell r="B1061" t="str">
            <v>ConocoPhillips</v>
          </cell>
          <cell r="O1061">
            <v>0.215811</v>
          </cell>
          <cell r="T1061">
            <v>0.30507420000000002</v>
          </cell>
        </row>
        <row r="1062">
          <cell r="B1062" t="str">
            <v>ConocoPhillips</v>
          </cell>
          <cell r="N1062">
            <v>0</v>
          </cell>
        </row>
        <row r="1063">
          <cell r="B1063" t="str">
            <v>ConocoPhillips</v>
          </cell>
          <cell r="O1063">
            <v>0.1280695</v>
          </cell>
          <cell r="T1063">
            <v>0.1280695</v>
          </cell>
        </row>
        <row r="1064">
          <cell r="B1064" t="str">
            <v>ConocoPhillips</v>
          </cell>
          <cell r="O1064">
            <v>1.9688220000000001</v>
          </cell>
          <cell r="T1064">
            <v>0</v>
          </cell>
        </row>
        <row r="1065">
          <cell r="B1065" t="str">
            <v>ConocoPhillips</v>
          </cell>
          <cell r="O1065">
            <v>22.00517</v>
          </cell>
          <cell r="T1065">
            <v>0</v>
          </cell>
        </row>
        <row r="1066">
          <cell r="B1066" t="str">
            <v>ConocoPhillips</v>
          </cell>
          <cell r="O1066">
            <v>2.9479999999999999E-2</v>
          </cell>
          <cell r="T1066">
            <v>0</v>
          </cell>
        </row>
        <row r="1067">
          <cell r="B1067" t="str">
            <v>ConocoPhillips</v>
          </cell>
          <cell r="O1067">
            <v>2.039844</v>
          </cell>
          <cell r="T1067">
            <v>0</v>
          </cell>
        </row>
        <row r="1068">
          <cell r="B1068" t="str">
            <v>ConocoPhillips</v>
          </cell>
          <cell r="O1068">
            <v>0.129854</v>
          </cell>
          <cell r="T1068">
            <v>0</v>
          </cell>
        </row>
        <row r="1069">
          <cell r="B1069" t="str">
            <v>ConocoPhillips</v>
          </cell>
          <cell r="O1069">
            <v>14.13697</v>
          </cell>
          <cell r="T1069">
            <v>0</v>
          </cell>
        </row>
        <row r="1070">
          <cell r="B1070" t="str">
            <v>ConocoPhillips</v>
          </cell>
          <cell r="O1070">
            <v>0.15779599999999999</v>
          </cell>
          <cell r="T1070">
            <v>0</v>
          </cell>
        </row>
        <row r="1071">
          <cell r="B1071" t="str">
            <v>ConocoPhillips</v>
          </cell>
          <cell r="O1071">
            <v>7.8561829999999997</v>
          </cell>
          <cell r="T1071">
            <v>0</v>
          </cell>
        </row>
        <row r="1072">
          <cell r="B1072" t="str">
            <v>ConocoPhillips</v>
          </cell>
          <cell r="O1072">
            <v>0</v>
          </cell>
        </row>
        <row r="1073">
          <cell r="B1073" t="str">
            <v>ConocoPhillips</v>
          </cell>
          <cell r="O1073">
            <v>3.7742200000000001</v>
          </cell>
          <cell r="T1073">
            <v>0</v>
          </cell>
        </row>
        <row r="1074">
          <cell r="B1074" t="str">
            <v>ConocoPhillips</v>
          </cell>
          <cell r="O1074">
            <v>27.77684</v>
          </cell>
          <cell r="T1074">
            <v>0</v>
          </cell>
        </row>
        <row r="1075">
          <cell r="B1075" t="str">
            <v>ConocoPhillips</v>
          </cell>
          <cell r="O1075">
            <v>353.7706</v>
          </cell>
          <cell r="T1075">
            <v>0</v>
          </cell>
        </row>
        <row r="1076">
          <cell r="B1076" t="str">
            <v>ConocoPhillips</v>
          </cell>
          <cell r="O1076">
            <v>171.5155</v>
          </cell>
          <cell r="T1076">
            <v>0</v>
          </cell>
        </row>
        <row r="1077">
          <cell r="B1077" t="str">
            <v>ConocoPhillips</v>
          </cell>
          <cell r="O1077">
            <v>2.6320700000000001</v>
          </cell>
          <cell r="T1077">
            <v>0</v>
          </cell>
        </row>
        <row r="1078">
          <cell r="B1078" t="str">
            <v>ConocoPhillips</v>
          </cell>
          <cell r="O1078">
            <v>10.598610000000001</v>
          </cell>
          <cell r="T1078">
            <v>0</v>
          </cell>
        </row>
        <row r="1079">
          <cell r="B1079" t="str">
            <v>ConocoPhillips</v>
          </cell>
          <cell r="O1079">
            <v>1.3284000000000001E-2</v>
          </cell>
          <cell r="T1079">
            <v>0</v>
          </cell>
        </row>
        <row r="1080">
          <cell r="B1080" t="str">
            <v>Suncor Energy</v>
          </cell>
          <cell r="O1080">
            <v>0.26761879999999999</v>
          </cell>
          <cell r="T1080">
            <v>0.26761879999999999</v>
          </cell>
        </row>
        <row r="1081">
          <cell r="B1081" t="str">
            <v>Suncor Energy</v>
          </cell>
          <cell r="O1081">
            <v>0.18693699999999999</v>
          </cell>
          <cell r="T1081">
            <v>0.22761149999999999</v>
          </cell>
        </row>
        <row r="1082">
          <cell r="B1082" t="str">
            <v>Suncor Energy</v>
          </cell>
          <cell r="O1082">
            <v>5.0112299999999999E-2</v>
          </cell>
          <cell r="T1082">
            <v>3.2176200000000002E-2</v>
          </cell>
        </row>
        <row r="1083">
          <cell r="B1083" t="str">
            <v>Suncor Energy</v>
          </cell>
          <cell r="O1083">
            <v>6.4515989999999995E-2</v>
          </cell>
          <cell r="T1083">
            <v>4.1424799999999998E-2</v>
          </cell>
        </row>
        <row r="1084">
          <cell r="B1084" t="str">
            <v>Suncor Energy</v>
          </cell>
          <cell r="N1084">
            <v>232.6311</v>
          </cell>
          <cell r="O1084">
            <v>43.232399999999998</v>
          </cell>
          <cell r="S1084">
            <v>113.9195</v>
          </cell>
          <cell r="T1084">
            <v>91.716669999999993</v>
          </cell>
        </row>
        <row r="1085">
          <cell r="B1085" t="str">
            <v>Suncor Energy</v>
          </cell>
          <cell r="N1085">
            <v>206.74809999999999</v>
          </cell>
          <cell r="O1085">
            <v>0.59878540000000002</v>
          </cell>
          <cell r="S1085">
            <v>172.8878</v>
          </cell>
          <cell r="T1085">
            <v>1.1789989999999999</v>
          </cell>
        </row>
        <row r="1086">
          <cell r="B1086" t="str">
            <v>Suncor Energy</v>
          </cell>
          <cell r="O1086">
            <v>1.670895E-2</v>
          </cell>
          <cell r="T1086">
            <v>1.670895E-2</v>
          </cell>
        </row>
        <row r="1087">
          <cell r="B1087" t="str">
            <v>Suncor Energy</v>
          </cell>
          <cell r="O1087">
            <v>4.3600619999999996E-3</v>
          </cell>
          <cell r="T1087">
            <v>4.3600619999999996E-3</v>
          </cell>
        </row>
        <row r="1088">
          <cell r="B1088" t="str">
            <v>Suncor Energy</v>
          </cell>
          <cell r="O1088">
            <v>0.116671</v>
          </cell>
          <cell r="T1088">
            <v>0.116671</v>
          </cell>
        </row>
        <row r="1089">
          <cell r="B1089" t="str">
            <v>Suncor Energy</v>
          </cell>
          <cell r="N1089">
            <v>8.8105390000000003</v>
          </cell>
          <cell r="O1089">
            <v>0.38316149999999999</v>
          </cell>
          <cell r="S1089">
            <v>8.5572990000000004</v>
          </cell>
          <cell r="T1089">
            <v>0.38014389999999998</v>
          </cell>
        </row>
        <row r="1090">
          <cell r="B1090" t="str">
            <v>Suncor Energy</v>
          </cell>
          <cell r="O1090">
            <v>4.4844559999999998</v>
          </cell>
          <cell r="T1090">
            <v>5.3152749999999999E-2</v>
          </cell>
        </row>
        <row r="1091">
          <cell r="B1091" t="str">
            <v>Suncor Energy</v>
          </cell>
          <cell r="O1091">
            <v>3.5978120000000001E-3</v>
          </cell>
          <cell r="T1091">
            <v>4.0221830000000004E-3</v>
          </cell>
        </row>
        <row r="1092">
          <cell r="B1092" t="str">
            <v>Suncor Energy</v>
          </cell>
          <cell r="N1092">
            <v>98.188209999999998</v>
          </cell>
          <cell r="O1092">
            <v>3.3773970000000002</v>
          </cell>
          <cell r="S1092">
            <v>81.13194</v>
          </cell>
          <cell r="T1092">
            <v>5.0391199999999997E-2</v>
          </cell>
        </row>
        <row r="1093">
          <cell r="B1093" t="str">
            <v>Suncor Energy</v>
          </cell>
          <cell r="O1093">
            <v>1.369076E-2</v>
          </cell>
          <cell r="T1093">
            <v>1.369076E-2</v>
          </cell>
        </row>
        <row r="1094">
          <cell r="B1094" t="str">
            <v>Suncor Energy</v>
          </cell>
          <cell r="O1094">
            <v>0.13984179999999999</v>
          </cell>
          <cell r="T1094">
            <v>5.5575199999999998E-2</v>
          </cell>
        </row>
        <row r="1095">
          <cell r="B1095" t="str">
            <v>Suncor Energy</v>
          </cell>
          <cell r="O1095">
            <v>1.474288E-2</v>
          </cell>
        </row>
        <row r="1096">
          <cell r="B1096" t="str">
            <v>Suncor Energy</v>
          </cell>
          <cell r="O1096">
            <v>2.5261480000000001</v>
          </cell>
          <cell r="T1096">
            <v>6.1077199999999998E-2</v>
          </cell>
        </row>
        <row r="1097">
          <cell r="B1097" t="str">
            <v>Suncor Energy</v>
          </cell>
          <cell r="O1097">
            <v>2.49786E-2</v>
          </cell>
          <cell r="T1097">
            <v>15.23352</v>
          </cell>
        </row>
        <row r="1098">
          <cell r="B1098" t="str">
            <v>Suncor Energy</v>
          </cell>
          <cell r="O1098">
            <v>3.5211159999999998E-2</v>
          </cell>
          <cell r="T1098">
            <v>3.5211159999999998E-2</v>
          </cell>
        </row>
        <row r="1099">
          <cell r="B1099" t="str">
            <v>Suncor Energy</v>
          </cell>
          <cell r="O1099">
            <v>0.23703150000000001</v>
          </cell>
          <cell r="T1099">
            <v>0.24534</v>
          </cell>
        </row>
        <row r="1100">
          <cell r="B1100" t="str">
            <v>Suncor Energy</v>
          </cell>
          <cell r="O1100">
            <v>9.8864439999999998E-2</v>
          </cell>
          <cell r="T1100">
            <v>9.8864439999999998E-2</v>
          </cell>
        </row>
        <row r="1101">
          <cell r="B1101" t="str">
            <v>Suncor Energy</v>
          </cell>
          <cell r="O1101">
            <v>5.0682110000000004E-3</v>
          </cell>
          <cell r="T1101">
            <v>5.0682110000000004E-3</v>
          </cell>
        </row>
        <row r="1102">
          <cell r="B1102" t="str">
            <v>Suncor Energy</v>
          </cell>
          <cell r="O1102">
            <v>6.7272799999999994E-2</v>
          </cell>
          <cell r="T1102">
            <v>4.3194400000000001E-2</v>
          </cell>
        </row>
        <row r="1103">
          <cell r="B1103" t="str">
            <v>Suncor Energy</v>
          </cell>
          <cell r="O1103">
            <v>0.73716380000000004</v>
          </cell>
          <cell r="T1103">
            <v>0.73716380000000004</v>
          </cell>
        </row>
        <row r="1104">
          <cell r="B1104" t="str">
            <v>Suncor Energy</v>
          </cell>
          <cell r="O1104">
            <v>0.19705909999999999</v>
          </cell>
          <cell r="T1104">
            <v>0.19705909999999999</v>
          </cell>
        </row>
        <row r="1105">
          <cell r="B1105" t="str">
            <v>Suncor Energy</v>
          </cell>
          <cell r="O1105">
            <v>6.4004000000000005E-2</v>
          </cell>
          <cell r="T1105">
            <v>6.4004000000000005E-2</v>
          </cell>
        </row>
        <row r="1106">
          <cell r="B1106" t="str">
            <v>Suncor Energy</v>
          </cell>
        </row>
        <row r="1107">
          <cell r="B1107" t="str">
            <v>Suncor Energy</v>
          </cell>
          <cell r="O1107">
            <v>0.24413090000000001</v>
          </cell>
          <cell r="S1107">
            <v>0</v>
          </cell>
          <cell r="T1107">
            <v>0.10828160000000001</v>
          </cell>
        </row>
        <row r="1108">
          <cell r="B1108" t="str">
            <v>Suncor Energy</v>
          </cell>
          <cell r="O1108">
            <v>3.4343699999999998E-2</v>
          </cell>
        </row>
        <row r="1109">
          <cell r="B1109" t="str">
            <v>Suncor Energy</v>
          </cell>
          <cell r="O1109">
            <v>0.1212173</v>
          </cell>
        </row>
        <row r="1110">
          <cell r="B1110" t="str">
            <v>Suncor Energy</v>
          </cell>
          <cell r="N1110">
            <v>95.374989999999997</v>
          </cell>
          <cell r="O1110">
            <v>0.12858839999999999</v>
          </cell>
          <cell r="S1110">
            <v>50.925519999999999</v>
          </cell>
          <cell r="T1110">
            <v>8.2564029999999997E-2</v>
          </cell>
        </row>
        <row r="1111">
          <cell r="B1111" t="str">
            <v>Suncor Energy</v>
          </cell>
          <cell r="O1111">
            <v>2.1029820000000001E-2</v>
          </cell>
          <cell r="T1111">
            <v>2.1029820000000001E-2</v>
          </cell>
        </row>
        <row r="1112">
          <cell r="B1112" t="str">
            <v>Suncor Energy</v>
          </cell>
          <cell r="O1112">
            <v>2.5241920000000001E-2</v>
          </cell>
          <cell r="T1112">
            <v>2.5241920000000001E-2</v>
          </cell>
        </row>
        <row r="1113">
          <cell r="B1113" t="str">
            <v>Suncor Energy</v>
          </cell>
          <cell r="O1113">
            <v>1.8423510000000001E-2</v>
          </cell>
          <cell r="T1113">
            <v>1.8423510000000001E-2</v>
          </cell>
        </row>
        <row r="1114">
          <cell r="B1114" t="str">
            <v>Suncor Energy</v>
          </cell>
          <cell r="O1114">
            <v>0.40947299999999998</v>
          </cell>
          <cell r="T1114">
            <v>0.23555999999999999</v>
          </cell>
        </row>
        <row r="1115">
          <cell r="B1115" t="str">
            <v>Suncor Energy</v>
          </cell>
          <cell r="N1115">
            <v>7.9520010000000001</v>
          </cell>
          <cell r="O1115">
            <v>0.146282</v>
          </cell>
          <cell r="S1115">
            <v>1.947303</v>
          </cell>
          <cell r="T1115">
            <v>0.16353400000000001</v>
          </cell>
        </row>
        <row r="1116">
          <cell r="B1116" t="str">
            <v>Suncor Energy</v>
          </cell>
          <cell r="O1116">
            <v>0.1115845</v>
          </cell>
          <cell r="T1116">
            <v>0.1115845</v>
          </cell>
        </row>
        <row r="1117">
          <cell r="B1117" t="str">
            <v>Suncor Energy</v>
          </cell>
          <cell r="O1117">
            <v>3.1497909999999997E-2</v>
          </cell>
          <cell r="T1117">
            <v>1.287685E-2</v>
          </cell>
        </row>
        <row r="1118">
          <cell r="B1118" t="str">
            <v>Suncor Energy</v>
          </cell>
          <cell r="O1118">
            <v>5.8253529999999998E-2</v>
          </cell>
          <cell r="T1118">
            <v>5.8253520000000003E-2</v>
          </cell>
        </row>
        <row r="1119">
          <cell r="B1119" t="str">
            <v>Suncor Energy</v>
          </cell>
        </row>
        <row r="1120">
          <cell r="B1120" t="str">
            <v>Suncor Energy</v>
          </cell>
          <cell r="N1120">
            <v>2588.9070000000002</v>
          </cell>
          <cell r="O1120">
            <v>0.84995370000000003</v>
          </cell>
          <cell r="S1120">
            <v>1991.6759999999999</v>
          </cell>
          <cell r="T1120">
            <v>0.85177150000000001</v>
          </cell>
        </row>
        <row r="1121">
          <cell r="B1121" t="str">
            <v>Suncor Energy</v>
          </cell>
          <cell r="N1121">
            <v>24.306249999999999</v>
          </cell>
          <cell r="O1121">
            <v>10.36628</v>
          </cell>
          <cell r="S1121">
            <v>0.2037504</v>
          </cell>
          <cell r="T1121">
            <v>1.74798E-2</v>
          </cell>
        </row>
        <row r="1122">
          <cell r="B1122" t="str">
            <v>Suncor Energy</v>
          </cell>
          <cell r="O1122">
            <v>0</v>
          </cell>
        </row>
        <row r="1123">
          <cell r="B1123" t="str">
            <v>Suncor Energy</v>
          </cell>
          <cell r="O1123">
            <v>0</v>
          </cell>
        </row>
        <row r="1124">
          <cell r="B1124" t="str">
            <v>Suncor Energy</v>
          </cell>
        </row>
        <row r="1125">
          <cell r="B1125" t="str">
            <v>Suncor Energy</v>
          </cell>
          <cell r="O1125">
            <v>0</v>
          </cell>
        </row>
        <row r="1126">
          <cell r="B1126" t="str">
            <v>Suncor Energy</v>
          </cell>
          <cell r="O1126">
            <v>0</v>
          </cell>
        </row>
        <row r="1127">
          <cell r="B1127" t="str">
            <v>Suncor Energy</v>
          </cell>
          <cell r="O1127">
            <v>0</v>
          </cell>
        </row>
        <row r="1128">
          <cell r="B1128" t="str">
            <v>Hess</v>
          </cell>
          <cell r="N1128">
            <v>1397.7260000000001</v>
          </cell>
          <cell r="O1128">
            <v>100.6181</v>
          </cell>
          <cell r="S1128">
            <v>736.10019999999997</v>
          </cell>
          <cell r="T1128">
            <v>44.34102</v>
          </cell>
        </row>
        <row r="1129">
          <cell r="B1129" t="str">
            <v>Hess</v>
          </cell>
          <cell r="N1129">
            <v>498.02429999999998</v>
          </cell>
          <cell r="O1129">
            <v>257.54379999999998</v>
          </cell>
          <cell r="S1129">
            <v>789.8777</v>
          </cell>
          <cell r="T1129">
            <v>119.26179999999999</v>
          </cell>
        </row>
        <row r="1130">
          <cell r="B1130" t="str">
            <v>Hess</v>
          </cell>
          <cell r="O1130">
            <v>6.6384940000000003E-2</v>
          </cell>
          <cell r="T1130">
            <v>6.6384940000000003E-2</v>
          </cell>
        </row>
        <row r="1131">
          <cell r="B1131" t="str">
            <v>Hess</v>
          </cell>
          <cell r="N1131">
            <v>0.45</v>
          </cell>
          <cell r="O1131">
            <v>169.5616</v>
          </cell>
          <cell r="S1131">
            <v>15.114000000000001</v>
          </cell>
          <cell r="T1131">
            <v>107.04130000000001</v>
          </cell>
        </row>
        <row r="1132">
          <cell r="B1132" t="str">
            <v>Hess</v>
          </cell>
          <cell r="O1132">
            <v>9.9989999999999996E-2</v>
          </cell>
          <cell r="T1132">
            <v>9.9989999999999996E-2</v>
          </cell>
        </row>
        <row r="1133">
          <cell r="B1133" t="str">
            <v>Hess</v>
          </cell>
          <cell r="O1133">
            <v>3.4615350000000003E-2</v>
          </cell>
          <cell r="T1133">
            <v>31.473790000000001</v>
          </cell>
        </row>
        <row r="1134">
          <cell r="B1134" t="str">
            <v>Hess</v>
          </cell>
          <cell r="O1134">
            <v>0.147843</v>
          </cell>
          <cell r="T1134">
            <v>0.147843</v>
          </cell>
        </row>
        <row r="1135">
          <cell r="B1135" t="str">
            <v>Hess</v>
          </cell>
          <cell r="N1135">
            <v>24.994689999999999</v>
          </cell>
          <cell r="O1135">
            <v>6.8527229999999995E-2</v>
          </cell>
          <cell r="S1135">
            <v>25.921189999999999</v>
          </cell>
          <cell r="T1135">
            <v>6.8527240000000003E-2</v>
          </cell>
        </row>
        <row r="1136">
          <cell r="B1136" t="str">
            <v>Hess</v>
          </cell>
          <cell r="O1136">
            <v>0.189162</v>
          </cell>
          <cell r="T1136">
            <v>7.3543999999999998E-2</v>
          </cell>
        </row>
        <row r="1137">
          <cell r="B1137" t="str">
            <v>Hess</v>
          </cell>
        </row>
        <row r="1138">
          <cell r="B1138" t="str">
            <v>Hess</v>
          </cell>
        </row>
        <row r="1139">
          <cell r="B1139" t="str">
            <v>Hess</v>
          </cell>
        </row>
        <row r="1140">
          <cell r="B1140" t="str">
            <v>Hess</v>
          </cell>
          <cell r="N1140">
            <v>6.1500009999999996</v>
          </cell>
          <cell r="O1140">
            <v>6.6859820000000001</v>
          </cell>
          <cell r="S1140">
            <v>6.1499990000000002</v>
          </cell>
          <cell r="T1140">
            <v>0.131496</v>
          </cell>
        </row>
        <row r="1141">
          <cell r="B1141" t="str">
            <v>Hess</v>
          </cell>
          <cell r="O1141">
            <v>3.8232499999999998E-3</v>
          </cell>
          <cell r="T1141">
            <v>3.8232499999999998E-3</v>
          </cell>
        </row>
        <row r="1142">
          <cell r="B1142" t="str">
            <v>Hess</v>
          </cell>
          <cell r="N1142">
            <v>0</v>
          </cell>
          <cell r="O1142">
            <v>0</v>
          </cell>
          <cell r="S1142">
            <v>3.9162430000000001</v>
          </cell>
          <cell r="T1142">
            <v>13.848179999999999</v>
          </cell>
        </row>
        <row r="1143">
          <cell r="B1143" t="str">
            <v>Hess</v>
          </cell>
          <cell r="O1143">
            <v>0.41855569999999997</v>
          </cell>
          <cell r="T1143">
            <v>0.41855569999999997</v>
          </cell>
        </row>
        <row r="1144">
          <cell r="B1144" t="str">
            <v>Hess</v>
          </cell>
          <cell r="N1144">
            <v>140.2088</v>
          </cell>
          <cell r="O1144">
            <v>58.634099999999997</v>
          </cell>
          <cell r="S1144">
            <v>117.8723</v>
          </cell>
          <cell r="T1144">
            <v>64.701660000000004</v>
          </cell>
        </row>
        <row r="1145">
          <cell r="B1145" t="str">
            <v>Hess</v>
          </cell>
          <cell r="O1145">
            <v>0.28446650000000001</v>
          </cell>
          <cell r="T1145">
            <v>0.28446650000000001</v>
          </cell>
        </row>
        <row r="1146">
          <cell r="B1146" t="str">
            <v>Hess</v>
          </cell>
          <cell r="O1146">
            <v>9.4272999999999996E-2</v>
          </cell>
          <cell r="T1146">
            <v>9.4272999999999996E-2</v>
          </cell>
        </row>
        <row r="1147">
          <cell r="B1147" t="str">
            <v>Hess</v>
          </cell>
          <cell r="O1147">
            <v>0.184195</v>
          </cell>
          <cell r="T1147">
            <v>0.1841952</v>
          </cell>
        </row>
        <row r="1148">
          <cell r="B1148" t="str">
            <v>Hess</v>
          </cell>
          <cell r="O1148">
            <v>8.4214250000000004E-2</v>
          </cell>
          <cell r="T1148">
            <v>8.4214259999999999E-2</v>
          </cell>
        </row>
        <row r="1149">
          <cell r="B1149" t="str">
            <v>Hess</v>
          </cell>
          <cell r="N1149">
            <v>110.7255</v>
          </cell>
          <cell r="O1149">
            <v>0.39548519999999998</v>
          </cell>
          <cell r="S1149">
            <v>115.5171</v>
          </cell>
          <cell r="T1149">
            <v>0.34800449999999999</v>
          </cell>
        </row>
        <row r="1150">
          <cell r="B1150" t="str">
            <v>Hess</v>
          </cell>
          <cell r="N1150">
            <v>38.557749999999999</v>
          </cell>
          <cell r="O1150">
            <v>6.0565000000000001E-2</v>
          </cell>
          <cell r="S1150">
            <v>31.198530000000002</v>
          </cell>
          <cell r="T1150">
            <v>6.0565000000000001E-2</v>
          </cell>
        </row>
        <row r="1151">
          <cell r="B1151" t="str">
            <v>Hess</v>
          </cell>
        </row>
        <row r="1152">
          <cell r="B1152" t="str">
            <v>Hess</v>
          </cell>
          <cell r="O1152">
            <v>6.2140500000000001E-2</v>
          </cell>
          <cell r="T1152">
            <v>6.2140800000000003E-2</v>
          </cell>
        </row>
        <row r="1153">
          <cell r="B1153" t="str">
            <v>Hess</v>
          </cell>
        </row>
        <row r="1154">
          <cell r="B1154" t="str">
            <v>Hess</v>
          </cell>
          <cell r="O1154">
            <v>1.041995</v>
          </cell>
          <cell r="S1154">
            <v>0</v>
          </cell>
          <cell r="T1154">
            <v>1.041995</v>
          </cell>
        </row>
        <row r="1155">
          <cell r="B1155" t="str">
            <v>Hess</v>
          </cell>
          <cell r="O1155">
            <v>0</v>
          </cell>
        </row>
        <row r="1156">
          <cell r="B1156" t="str">
            <v>Hess</v>
          </cell>
          <cell r="O1156">
            <v>71.785709999999995</v>
          </cell>
          <cell r="T1156">
            <v>0</v>
          </cell>
        </row>
        <row r="1157">
          <cell r="B1157" t="str">
            <v>Hess</v>
          </cell>
          <cell r="O1157">
            <v>162.56979999999999</v>
          </cell>
          <cell r="T1157">
            <v>0</v>
          </cell>
        </row>
        <row r="1158">
          <cell r="B1158" t="str">
            <v>Hess</v>
          </cell>
          <cell r="O1158">
            <v>22.983840000000001</v>
          </cell>
          <cell r="T1158">
            <v>0</v>
          </cell>
        </row>
        <row r="1159">
          <cell r="B1159" t="str">
            <v>Hess</v>
          </cell>
          <cell r="O1159">
            <v>-0.30826599999999998</v>
          </cell>
          <cell r="T1159">
            <v>0</v>
          </cell>
        </row>
        <row r="1160">
          <cell r="B1160" t="str">
            <v>Hess</v>
          </cell>
          <cell r="O1160">
            <v>0</v>
          </cell>
        </row>
        <row r="1161">
          <cell r="B1161" t="str">
            <v>Hess</v>
          </cell>
        </row>
        <row r="1162">
          <cell r="B1162" t="str">
            <v>Hess</v>
          </cell>
          <cell r="O1162">
            <v>0</v>
          </cell>
        </row>
        <row r="1163">
          <cell r="B1163" t="str">
            <v>Hess</v>
          </cell>
          <cell r="O1163">
            <v>0</v>
          </cell>
        </row>
        <row r="1164">
          <cell r="B1164" t="str">
            <v>Hess</v>
          </cell>
          <cell r="O1164">
            <v>-13.07912</v>
          </cell>
          <cell r="T1164">
            <v>0</v>
          </cell>
        </row>
        <row r="1165">
          <cell r="B1165" t="str">
            <v>Hess</v>
          </cell>
          <cell r="O1165">
            <v>0</v>
          </cell>
        </row>
        <row r="1166">
          <cell r="B1166" t="str">
            <v>Hess</v>
          </cell>
        </row>
        <row r="1167">
          <cell r="B1167" t="str">
            <v>Hess</v>
          </cell>
          <cell r="O1167">
            <v>0</v>
          </cell>
        </row>
        <row r="1168">
          <cell r="B1168" t="str">
            <v>Hess</v>
          </cell>
          <cell r="O1168">
            <v>17.657589999999999</v>
          </cell>
          <cell r="T1168">
            <v>0</v>
          </cell>
        </row>
        <row r="1169">
          <cell r="B1169" t="str">
            <v>Hess</v>
          </cell>
          <cell r="O1169">
            <v>0.476134</v>
          </cell>
          <cell r="T1169">
            <v>0</v>
          </cell>
        </row>
        <row r="1170">
          <cell r="B1170" t="str">
            <v>Marathon Oil</v>
          </cell>
        </row>
        <row r="1171">
          <cell r="B1171" t="str">
            <v>Marathon Oil</v>
          </cell>
          <cell r="O1171">
            <v>0.17163439999999999</v>
          </cell>
        </row>
        <row r="1172">
          <cell r="B1172" t="str">
            <v>Marathon Oil</v>
          </cell>
          <cell r="N1172">
            <v>755.64229999999998</v>
          </cell>
          <cell r="O1172">
            <v>48.687359999999998</v>
          </cell>
          <cell r="S1172">
            <v>646.04989999999998</v>
          </cell>
          <cell r="T1172">
            <v>27.362469999999998</v>
          </cell>
        </row>
        <row r="1173">
          <cell r="B1173" t="str">
            <v>Marathon Oil</v>
          </cell>
          <cell r="N1173">
            <v>571.1481</v>
          </cell>
          <cell r="O1173">
            <v>71.591930000000005</v>
          </cell>
          <cell r="S1173">
            <v>522.86369999999999</v>
          </cell>
          <cell r="T1173">
            <v>57.13626</v>
          </cell>
        </row>
        <row r="1174">
          <cell r="B1174" t="str">
            <v>Marathon Oil</v>
          </cell>
        </row>
        <row r="1175">
          <cell r="B1175" t="str">
            <v>Marathon Oil</v>
          </cell>
          <cell r="N1175">
            <v>2.8716999999999999E-2</v>
          </cell>
          <cell r="S1175">
            <v>2.4833999999999998E-2</v>
          </cell>
        </row>
        <row r="1176">
          <cell r="B1176" t="str">
            <v>Marathon Oil</v>
          </cell>
          <cell r="N1176">
            <v>0</v>
          </cell>
          <cell r="O1176">
            <v>1.755976E-3</v>
          </cell>
        </row>
        <row r="1177">
          <cell r="B1177" t="str">
            <v>Marathon Oil</v>
          </cell>
          <cell r="N1177">
            <v>1.1216159999999999</v>
          </cell>
          <cell r="O1177">
            <v>4.9793509999999999E-3</v>
          </cell>
        </row>
        <row r="1178">
          <cell r="B1178" t="str">
            <v>Marathon Oil</v>
          </cell>
          <cell r="O1178">
            <v>9.423641E-3</v>
          </cell>
        </row>
        <row r="1179">
          <cell r="B1179" t="str">
            <v>Marathon Oil</v>
          </cell>
        </row>
        <row r="1180">
          <cell r="B1180" t="str">
            <v>Marathon Oil</v>
          </cell>
          <cell r="N1180">
            <v>1.008</v>
          </cell>
          <cell r="O1180">
            <v>0.33664290000000002</v>
          </cell>
          <cell r="S1180">
            <v>35.942659999999997</v>
          </cell>
          <cell r="T1180">
            <v>0.33664290000000002</v>
          </cell>
        </row>
        <row r="1181">
          <cell r="B1181" t="str">
            <v>Marathon Oil</v>
          </cell>
          <cell r="N1181">
            <v>4.6830860000000003</v>
          </cell>
        </row>
        <row r="1182">
          <cell r="B1182" t="str">
            <v>Marathon Oil</v>
          </cell>
          <cell r="O1182">
            <v>7.8814E-4</v>
          </cell>
        </row>
        <row r="1183">
          <cell r="B1183" t="str">
            <v>Marathon Oil</v>
          </cell>
          <cell r="N1183">
            <v>2.7548629999999998</v>
          </cell>
          <cell r="O1183">
            <v>14.04678</v>
          </cell>
          <cell r="S1183">
            <v>6.8452020000000002E-2</v>
          </cell>
        </row>
        <row r="1184">
          <cell r="B1184" t="str">
            <v>Marathon Oil</v>
          </cell>
        </row>
        <row r="1185">
          <cell r="B1185" t="str">
            <v>Marathon Oil</v>
          </cell>
          <cell r="N1185">
            <v>239.00049999999999</v>
          </cell>
          <cell r="O1185">
            <v>70.109470000000002</v>
          </cell>
          <cell r="S1185">
            <v>244.7439</v>
          </cell>
          <cell r="T1185">
            <v>65.256150000000005</v>
          </cell>
        </row>
        <row r="1186">
          <cell r="B1186" t="str">
            <v>Marathon Oil</v>
          </cell>
          <cell r="N1186">
            <v>0.20697399999999999</v>
          </cell>
          <cell r="O1186">
            <v>0.43318200000000001</v>
          </cell>
          <cell r="S1186">
            <v>1.0288120000000001</v>
          </cell>
          <cell r="T1186">
            <v>0</v>
          </cell>
        </row>
        <row r="1187">
          <cell r="B1187" t="str">
            <v>Marathon Oil</v>
          </cell>
          <cell r="N1187">
            <v>609.60429999999997</v>
          </cell>
          <cell r="O1187">
            <v>111.8057</v>
          </cell>
          <cell r="S1187">
            <v>84.391750000000002</v>
          </cell>
          <cell r="T1187">
            <v>15.33798</v>
          </cell>
        </row>
        <row r="1188">
          <cell r="B1188" t="str">
            <v>Marathon Oil</v>
          </cell>
          <cell r="N1188">
            <v>3.1413700000000002</v>
          </cell>
          <cell r="O1188">
            <v>1.7384139999999999E-2</v>
          </cell>
        </row>
        <row r="1189">
          <cell r="B1189" t="str">
            <v>Marathon Oil</v>
          </cell>
          <cell r="N1189">
            <v>2.4500999999999999</v>
          </cell>
          <cell r="S1189">
            <v>2.2034379999999998</v>
          </cell>
        </row>
        <row r="1190">
          <cell r="B1190" t="str">
            <v>Marathon Oil</v>
          </cell>
          <cell r="N1190">
            <v>0.1054392</v>
          </cell>
          <cell r="S1190">
            <v>8.4671239999999995E-2</v>
          </cell>
        </row>
        <row r="1191">
          <cell r="B1191" t="str">
            <v>Marathon Oil</v>
          </cell>
          <cell r="N1191">
            <v>0</v>
          </cell>
          <cell r="S1191">
            <v>2.4984160000000002</v>
          </cell>
        </row>
        <row r="1192">
          <cell r="B1192" t="str">
            <v>Husky Energy Inc. (HSE.TO)</v>
          </cell>
          <cell r="O1192">
            <v>2.1029989999999999E-3</v>
          </cell>
          <cell r="T1192">
            <v>2.1029989999999999E-3</v>
          </cell>
        </row>
        <row r="1193">
          <cell r="B1193" t="str">
            <v>Husky Energy Inc. (HSE.TO)</v>
          </cell>
          <cell r="O1193">
            <v>0.25187500000000002</v>
          </cell>
          <cell r="T1193">
            <v>9.7925999999999999E-2</v>
          </cell>
        </row>
        <row r="1194">
          <cell r="B1194" t="str">
            <v>Husky Energy Inc. (HSE.TO)</v>
          </cell>
          <cell r="N1194">
            <v>7.48</v>
          </cell>
          <cell r="O1194">
            <v>0.100342</v>
          </cell>
          <cell r="S1194">
            <v>69.958619999999996</v>
          </cell>
          <cell r="T1194">
            <v>3.9011999999999998E-2</v>
          </cell>
        </row>
        <row r="1195">
          <cell r="B1195" t="str">
            <v>Husky Energy Inc. (HSE.TO)</v>
          </cell>
          <cell r="N1195">
            <v>257.70330000000001</v>
          </cell>
          <cell r="O1195">
            <v>0.2414559</v>
          </cell>
          <cell r="S1195">
            <v>151.66030000000001</v>
          </cell>
          <cell r="T1195">
            <v>3.2949109999999999</v>
          </cell>
        </row>
        <row r="1196">
          <cell r="B1196" t="str">
            <v>Husky Energy Inc. (HSE.TO)</v>
          </cell>
          <cell r="O1196">
            <v>0.48228100000000002</v>
          </cell>
          <cell r="T1196">
            <v>16.851949999999999</v>
          </cell>
        </row>
        <row r="1197">
          <cell r="B1197" t="str">
            <v>Husky Energy Inc. (HSE.TO)</v>
          </cell>
          <cell r="O1197">
            <v>8.4128999999999995E-2</v>
          </cell>
          <cell r="T1197">
            <v>1.3667119999999999</v>
          </cell>
        </row>
        <row r="1198">
          <cell r="B1198" t="str">
            <v>Husky Energy Inc. (HSE.TO)</v>
          </cell>
          <cell r="O1198">
            <v>0.26431500000000002</v>
          </cell>
          <cell r="T1198">
            <v>0.32305200000000001</v>
          </cell>
        </row>
        <row r="1199">
          <cell r="B1199" t="str">
            <v>Husky Energy Inc. (HSE.TO)</v>
          </cell>
          <cell r="N1199">
            <v>1.8061940000000001</v>
          </cell>
          <cell r="S1199">
            <v>0</v>
          </cell>
        </row>
        <row r="1200">
          <cell r="B1200" t="str">
            <v>Husky Energy Inc. (HSE.TO)</v>
          </cell>
          <cell r="N1200">
            <v>613.30020000000002</v>
          </cell>
          <cell r="O1200">
            <v>113.54810000000001</v>
          </cell>
          <cell r="S1200">
            <v>300.33330000000001</v>
          </cell>
          <cell r="T1200">
            <v>0.53203259999999997</v>
          </cell>
        </row>
        <row r="1201">
          <cell r="B1201" t="str">
            <v>Husky Energy Inc. (HSE.TO)</v>
          </cell>
          <cell r="N1201">
            <v>180.1867</v>
          </cell>
          <cell r="O1201">
            <v>1.066303</v>
          </cell>
          <cell r="S1201">
            <v>98.009469999999993</v>
          </cell>
          <cell r="T1201">
            <v>1.133222</v>
          </cell>
        </row>
        <row r="1202">
          <cell r="B1202" t="str">
            <v>Husky Energy Inc. (HSE.TO)</v>
          </cell>
          <cell r="O1202">
            <v>4.6870200000000001E-3</v>
          </cell>
          <cell r="T1202">
            <v>4.6870189999999997E-3</v>
          </cell>
        </row>
        <row r="1203">
          <cell r="B1203" t="str">
            <v>Husky Energy Inc. (HSE.TO)</v>
          </cell>
          <cell r="O1203">
            <v>0.28351399999999999</v>
          </cell>
          <cell r="T1203">
            <v>0.62790270000000004</v>
          </cell>
        </row>
        <row r="1204">
          <cell r="B1204" t="str">
            <v>Husky Energy Inc. (HSE.TO)</v>
          </cell>
          <cell r="O1204">
            <v>7.9010499999999997E-2</v>
          </cell>
          <cell r="T1204">
            <v>8.1780000000000005E-2</v>
          </cell>
        </row>
        <row r="1205">
          <cell r="B1205" t="str">
            <v>Husky Energy Inc. (HSE.TO)</v>
          </cell>
        </row>
        <row r="1206">
          <cell r="B1206" t="str">
            <v>Husky Energy Inc. (HSE.TO)</v>
          </cell>
          <cell r="O1206">
            <v>0.60959149999999995</v>
          </cell>
          <cell r="S1206">
            <v>0</v>
          </cell>
          <cell r="T1206">
            <v>0.60959149999999995</v>
          </cell>
        </row>
        <row r="1207">
          <cell r="B1207" t="str">
            <v>Husky Energy Inc. (HSE.TO)</v>
          </cell>
          <cell r="O1207">
            <v>8.1830990000000001E-4</v>
          </cell>
          <cell r="T1207">
            <v>8.1831000000000004E-4</v>
          </cell>
        </row>
        <row r="1208">
          <cell r="B1208" t="str">
            <v>Husky Energy Inc. (HSE.TO)</v>
          </cell>
          <cell r="O1208">
            <v>1.8657079999999999E-2</v>
          </cell>
          <cell r="T1208">
            <v>1.8657079999999999E-2</v>
          </cell>
        </row>
        <row r="1209">
          <cell r="B1209" t="str">
            <v>Husky Energy Inc. (HSE.TO)</v>
          </cell>
          <cell r="O1209">
            <v>2.608162E-2</v>
          </cell>
          <cell r="T1209">
            <v>2.608162E-2</v>
          </cell>
        </row>
        <row r="1210">
          <cell r="B1210" t="str">
            <v>Husky Energy Inc. (HSE.TO)</v>
          </cell>
          <cell r="N1210">
            <v>1013.519</v>
          </cell>
          <cell r="O1210">
            <v>74.661249999999995</v>
          </cell>
          <cell r="S1210">
            <v>324.30610000000001</v>
          </cell>
          <cell r="T1210">
            <v>9.3460780000000003</v>
          </cell>
        </row>
        <row r="1211">
          <cell r="B1211" t="str">
            <v>Husky Energy Inc. (HSE.TO)</v>
          </cell>
          <cell r="O1211">
            <v>0.29697059999999997</v>
          </cell>
          <cell r="T1211">
            <v>0.29697059999999997</v>
          </cell>
        </row>
        <row r="1212">
          <cell r="B1212" t="str">
            <v>Husky Energy Inc. (HSE.TO)</v>
          </cell>
          <cell r="O1212">
            <v>2.9089119999999999</v>
          </cell>
          <cell r="T1212">
            <v>0</v>
          </cell>
        </row>
        <row r="1213">
          <cell r="B1213" t="str">
            <v>Husky Energy Inc. (HSE.TO)</v>
          </cell>
          <cell r="O1213">
            <v>-0.413248</v>
          </cell>
          <cell r="T1213">
            <v>0</v>
          </cell>
        </row>
        <row r="1214">
          <cell r="B1214" t="str">
            <v>Husky Energy Inc. (HSE.TO)</v>
          </cell>
          <cell r="O1214">
            <v>-135.86600000000001</v>
          </cell>
          <cell r="T1214">
            <v>0</v>
          </cell>
        </row>
        <row r="1215">
          <cell r="B1215" t="str">
            <v>Murphy Oil Corporation (MUR)</v>
          </cell>
          <cell r="N1215">
            <v>0.2</v>
          </cell>
          <cell r="O1215">
            <v>22.27534</v>
          </cell>
          <cell r="S1215">
            <v>0.2</v>
          </cell>
          <cell r="T1215">
            <v>0.30172599999999999</v>
          </cell>
        </row>
        <row r="1216">
          <cell r="B1216" t="str">
            <v>Murphy Oil Corporation (MUR)</v>
          </cell>
          <cell r="N1216">
            <v>596.38779999999997</v>
          </cell>
          <cell r="O1216">
            <v>33.512210000000003</v>
          </cell>
          <cell r="S1216">
            <v>460.2439</v>
          </cell>
          <cell r="T1216">
            <v>19.55613</v>
          </cell>
        </row>
        <row r="1217">
          <cell r="B1217" t="str">
            <v>Murphy Oil Corporation (MUR)</v>
          </cell>
          <cell r="O1217">
            <v>0.1284342</v>
          </cell>
          <cell r="T1217">
            <v>0.1284342</v>
          </cell>
        </row>
        <row r="1218">
          <cell r="B1218" t="str">
            <v>Murphy Oil Corporation (MUR)</v>
          </cell>
          <cell r="O1218">
            <v>0.1284342</v>
          </cell>
          <cell r="T1218">
            <v>0.1284342</v>
          </cell>
        </row>
        <row r="1219">
          <cell r="B1219" t="str">
            <v>Murphy Oil Corporation (MUR)</v>
          </cell>
          <cell r="O1219">
            <v>1.4542090000000001</v>
          </cell>
          <cell r="T1219">
            <v>1.4542090000000001</v>
          </cell>
        </row>
        <row r="1220">
          <cell r="B1220" t="str">
            <v>Murphy Oil Corporation (MUR)</v>
          </cell>
          <cell r="N1220">
            <v>20.75028</v>
          </cell>
          <cell r="O1220">
            <v>1.7929480000000001E-2</v>
          </cell>
          <cell r="S1220">
            <v>25.494009999999999</v>
          </cell>
          <cell r="T1220">
            <v>1.7929480000000001E-2</v>
          </cell>
        </row>
        <row r="1221">
          <cell r="B1221" t="str">
            <v>Murphy Oil Corporation (MUR)</v>
          </cell>
          <cell r="O1221">
            <v>13.771990000000001</v>
          </cell>
          <cell r="T1221">
            <v>0.14788519999999999</v>
          </cell>
        </row>
        <row r="1222">
          <cell r="B1222" t="str">
            <v>Murphy Oil Corporation (MUR)</v>
          </cell>
          <cell r="O1222">
            <v>0.73139299999999996</v>
          </cell>
          <cell r="T1222">
            <v>0.53517959999999998</v>
          </cell>
        </row>
        <row r="1223">
          <cell r="B1223" t="str">
            <v>Murphy Oil Corporation (MUR)</v>
          </cell>
          <cell r="O1223">
            <v>7.2433600000000001E-2</v>
          </cell>
          <cell r="T1223">
            <v>7.2433600000000001E-2</v>
          </cell>
        </row>
        <row r="1224">
          <cell r="B1224" t="str">
            <v>Murphy Oil Corporation (MUR)</v>
          </cell>
          <cell r="O1224">
            <v>4.7643440000000004</v>
          </cell>
          <cell r="T1224">
            <v>4.7643449999999996</v>
          </cell>
        </row>
        <row r="1225">
          <cell r="B1225" t="str">
            <v>Murphy Oil Corporation (MUR)</v>
          </cell>
          <cell r="N1225">
            <v>0</v>
          </cell>
          <cell r="O1225">
            <v>0.53172059999999999</v>
          </cell>
          <cell r="S1225">
            <v>6.8766800000000003E-2</v>
          </cell>
          <cell r="T1225">
            <v>19.172779999999999</v>
          </cell>
        </row>
        <row r="1226">
          <cell r="B1226" t="str">
            <v>Murphy Oil Corporation (MUR)</v>
          </cell>
          <cell r="O1226">
            <v>3.4090549999999997E-2</v>
          </cell>
          <cell r="T1226">
            <v>3.4090549999999997E-2</v>
          </cell>
        </row>
        <row r="1227">
          <cell r="B1227" t="str">
            <v>Murphy Oil Corporation (MUR)</v>
          </cell>
          <cell r="N1227">
            <v>7.8195210000000001E-2</v>
          </cell>
          <cell r="O1227">
            <v>8.8521999999999993E-3</v>
          </cell>
          <cell r="S1227">
            <v>6.6445509999999999E-2</v>
          </cell>
          <cell r="T1227">
            <v>8.8521999999999993E-3</v>
          </cell>
        </row>
        <row r="1228">
          <cell r="B1228" t="str">
            <v>Murphy Oil Corporation (MUR)</v>
          </cell>
          <cell r="O1228">
            <v>0.36707820000000002</v>
          </cell>
          <cell r="T1228">
            <v>0.36707820000000002</v>
          </cell>
        </row>
        <row r="1229">
          <cell r="B1229" t="str">
            <v>Murphy Oil Corporation (MUR)</v>
          </cell>
          <cell r="O1229">
            <v>11.378410000000001</v>
          </cell>
          <cell r="T1229">
            <v>4.8288909999999997E-2</v>
          </cell>
        </row>
        <row r="1230">
          <cell r="B1230" t="str">
            <v>Murphy Oil Corporation (MUR)</v>
          </cell>
          <cell r="N1230">
            <v>117.1528</v>
          </cell>
          <cell r="O1230">
            <v>96.57029</v>
          </cell>
          <cell r="S1230">
            <v>107.16970000000001</v>
          </cell>
          <cell r="T1230">
            <v>1.815653</v>
          </cell>
        </row>
        <row r="1231">
          <cell r="B1231" t="str">
            <v>Murphy Oil Corporation (MUR)</v>
          </cell>
          <cell r="N1231">
            <v>211.6001</v>
          </cell>
          <cell r="O1231">
            <v>178.69159999999999</v>
          </cell>
          <cell r="S1231">
            <v>212.43530000000001</v>
          </cell>
          <cell r="T1231">
            <v>18.178419999999999</v>
          </cell>
        </row>
        <row r="1232">
          <cell r="B1232" t="str">
            <v>Murphy Oil Corporation (MUR)</v>
          </cell>
          <cell r="N1232">
            <v>3.8400020000000001</v>
          </cell>
          <cell r="O1232">
            <v>0</v>
          </cell>
          <cell r="S1232">
            <v>0</v>
          </cell>
        </row>
        <row r="1233">
          <cell r="B1233" t="str">
            <v>Murphy Oil Corporation (MUR)</v>
          </cell>
          <cell r="O1233">
            <v>0.10246520000000001</v>
          </cell>
        </row>
        <row r="1234">
          <cell r="B1234" t="str">
            <v>Murphy Oil Corporation (MUR)</v>
          </cell>
          <cell r="O1234">
            <v>3.5193380000000003E-2</v>
          </cell>
        </row>
        <row r="1235">
          <cell r="B1235" t="str">
            <v>Murphy Oil Corporation (MUR)</v>
          </cell>
          <cell r="O1235">
            <v>0.13158990000000001</v>
          </cell>
          <cell r="S1235">
            <v>0</v>
          </cell>
          <cell r="T1235">
            <v>0.13158990000000001</v>
          </cell>
        </row>
        <row r="1236">
          <cell r="B1236" t="str">
            <v>Murphy Oil Corporation (MUR)</v>
          </cell>
          <cell r="N1236">
            <v>49.297609999999999</v>
          </cell>
          <cell r="O1236">
            <v>0.16613890000000001</v>
          </cell>
        </row>
        <row r="1237">
          <cell r="B1237" t="str">
            <v>Murphy Oil Corporation (MUR)</v>
          </cell>
          <cell r="O1237">
            <v>1.1755170000000001E-2</v>
          </cell>
          <cell r="T1237">
            <v>1.1755170000000001E-2</v>
          </cell>
        </row>
        <row r="1238">
          <cell r="B1238" t="str">
            <v>Murphy Oil Corporation (MUR)</v>
          </cell>
          <cell r="O1238">
            <v>4.6789289999999997E-2</v>
          </cell>
          <cell r="T1238">
            <v>7.0796399999999995E-2</v>
          </cell>
        </row>
        <row r="1239">
          <cell r="B1239" t="str">
            <v>Murphy Oil Corporation (MUR)</v>
          </cell>
          <cell r="O1239">
            <v>7.6108919999999997E-2</v>
          </cell>
        </row>
        <row r="1240">
          <cell r="B1240" t="str">
            <v>Murphy Oil Corporation (MUR)</v>
          </cell>
          <cell r="N1240">
            <v>13.59258</v>
          </cell>
          <cell r="O1240">
            <v>0.21201100000000001</v>
          </cell>
        </row>
        <row r="1241">
          <cell r="B1241" t="str">
            <v>Murphy Oil Corporation (MUR)</v>
          </cell>
        </row>
        <row r="1242">
          <cell r="B1242" t="str">
            <v>Murphy Oil Corporation (MUR)</v>
          </cell>
          <cell r="O1242">
            <v>0.1070912</v>
          </cell>
          <cell r="T1242">
            <v>0.1070912</v>
          </cell>
        </row>
        <row r="1243">
          <cell r="B1243" t="str">
            <v>Murphy Oil Corporation (MUR)</v>
          </cell>
          <cell r="N1243">
            <v>0.6127766</v>
          </cell>
          <cell r="O1243">
            <v>2.017215E-2</v>
          </cell>
          <cell r="S1243">
            <v>0.46187729999999999</v>
          </cell>
          <cell r="T1243">
            <v>2.017215E-2</v>
          </cell>
        </row>
        <row r="1244">
          <cell r="B1244" t="str">
            <v>Murphy Oil Corporation (MUR)</v>
          </cell>
          <cell r="N1244">
            <v>0.56460390000000005</v>
          </cell>
          <cell r="S1244">
            <v>0.84223060000000005</v>
          </cell>
        </row>
        <row r="1245">
          <cell r="B1245" t="str">
            <v>Murphy Oil Corporation (MUR)</v>
          </cell>
          <cell r="N1245">
            <v>184.91370000000001</v>
          </cell>
          <cell r="O1245">
            <v>85.116249999999994</v>
          </cell>
          <cell r="S1245">
            <v>105.29179999999999</v>
          </cell>
          <cell r="T1245">
            <v>34.708199999999998</v>
          </cell>
        </row>
        <row r="1246">
          <cell r="B1246" t="str">
            <v>Murphy Oil Corporation (MUR)</v>
          </cell>
          <cell r="O1246">
            <v>1.7437999999999999E-2</v>
          </cell>
          <cell r="T1246">
            <v>0</v>
          </cell>
        </row>
        <row r="1247">
          <cell r="B1247" t="str">
            <v>Murphy Oil Corporation (MUR)</v>
          </cell>
          <cell r="O1247">
            <v>1.1434839999999999</v>
          </cell>
          <cell r="T1247">
            <v>0</v>
          </cell>
        </row>
        <row r="1248">
          <cell r="B1248" t="str">
            <v>Murphy Oil Corporation (MUR)</v>
          </cell>
          <cell r="O1248">
            <v>0</v>
          </cell>
        </row>
        <row r="1249">
          <cell r="B1249" t="str">
            <v>Murphy Oil Corporation (MUR)</v>
          </cell>
          <cell r="O1249">
            <v>-0.66609399999999996</v>
          </cell>
          <cell r="T1249">
            <v>0</v>
          </cell>
        </row>
        <row r="1250">
          <cell r="B1250" t="str">
            <v>Murphy Oil Corporation (MUR)</v>
          </cell>
          <cell r="O1250">
            <v>1.8761319999999999</v>
          </cell>
          <cell r="T1250">
            <v>0</v>
          </cell>
        </row>
        <row r="1251">
          <cell r="B1251" t="str">
            <v>Murphy Oil Corporation (MUR)</v>
          </cell>
          <cell r="O1251">
            <v>3.7287819999999998</v>
          </cell>
          <cell r="T1251">
            <v>0</v>
          </cell>
        </row>
        <row r="1252">
          <cell r="B1252" t="str">
            <v>Murphy Oil Corporation (MUR)</v>
          </cell>
          <cell r="O1252">
            <v>0.16731199999999999</v>
          </cell>
          <cell r="T1252">
            <v>0</v>
          </cell>
        </row>
        <row r="1253">
          <cell r="B1253" t="str">
            <v>Murphy Oil Corporation (MUR)</v>
          </cell>
          <cell r="O1253">
            <v>2.2425480000000002</v>
          </cell>
          <cell r="T1253">
            <v>0</v>
          </cell>
        </row>
        <row r="1254">
          <cell r="B1254" t="str">
            <v>Murphy Oil Corporation (MUR)</v>
          </cell>
          <cell r="O1254">
            <v>-269.56880000000001</v>
          </cell>
          <cell r="T1254">
            <v>0</v>
          </cell>
        </row>
        <row r="1255">
          <cell r="B1255" t="str">
            <v>Murphy Oil Corporation (MUR)</v>
          </cell>
          <cell r="O1255">
            <v>-79.358059999999995</v>
          </cell>
          <cell r="T1255">
            <v>0</v>
          </cell>
        </row>
        <row r="1256">
          <cell r="B1256" t="str">
            <v>Devon Energy</v>
          </cell>
          <cell r="N1256">
            <v>37.084420000000001</v>
          </cell>
          <cell r="O1256">
            <v>2.915575</v>
          </cell>
          <cell r="S1256">
            <v>73.337890000000002</v>
          </cell>
          <cell r="T1256">
            <v>3.162874</v>
          </cell>
        </row>
        <row r="1257">
          <cell r="B1257" t="str">
            <v>Devon Energy</v>
          </cell>
          <cell r="O1257">
            <v>0.32847920000000003</v>
          </cell>
          <cell r="T1257">
            <v>0.35450540000000003</v>
          </cell>
        </row>
        <row r="1258">
          <cell r="B1258" t="str">
            <v>Devon Energy</v>
          </cell>
          <cell r="O1258">
            <v>0.18693699999999999</v>
          </cell>
          <cell r="T1258">
            <v>0.22761149999999999</v>
          </cell>
        </row>
        <row r="1259">
          <cell r="B1259" t="str">
            <v>Devon Energy</v>
          </cell>
          <cell r="N1259">
            <v>240.28569999999999</v>
          </cell>
          <cell r="O1259">
            <v>15.7143</v>
          </cell>
          <cell r="S1259">
            <v>120.1721</v>
          </cell>
          <cell r="T1259">
            <v>10.811529999999999</v>
          </cell>
        </row>
        <row r="1260">
          <cell r="B1260" t="str">
            <v>Devon Energy</v>
          </cell>
          <cell r="O1260">
            <v>8.9596499999999996E-3</v>
          </cell>
          <cell r="T1260">
            <v>8.9596490000000001E-3</v>
          </cell>
        </row>
        <row r="1261">
          <cell r="B1261" t="str">
            <v>Devon Energy</v>
          </cell>
        </row>
        <row r="1262">
          <cell r="B1262" t="str">
            <v>Devon Energy</v>
          </cell>
          <cell r="O1262">
            <v>0.188829</v>
          </cell>
          <cell r="T1262">
            <v>0.188829</v>
          </cell>
        </row>
        <row r="1263">
          <cell r="B1263" t="str">
            <v>Devon Energy</v>
          </cell>
          <cell r="O1263">
            <v>0.116671</v>
          </cell>
          <cell r="T1263">
            <v>0.116671</v>
          </cell>
        </row>
        <row r="1264">
          <cell r="B1264" t="str">
            <v>Devon Energy</v>
          </cell>
          <cell r="O1264">
            <v>2.3988049999999999E-3</v>
          </cell>
          <cell r="T1264">
            <v>2.3988049999999999E-3</v>
          </cell>
        </row>
        <row r="1265">
          <cell r="B1265" t="str">
            <v>Devon Energy</v>
          </cell>
          <cell r="O1265">
            <v>7.5712290000000003E-4</v>
          </cell>
          <cell r="T1265">
            <v>7.5712290000000003E-4</v>
          </cell>
        </row>
        <row r="1266">
          <cell r="B1266" t="str">
            <v>Devon Energy</v>
          </cell>
          <cell r="O1266">
            <v>7.8000220000000002E-3</v>
          </cell>
          <cell r="T1266">
            <v>7.8000220000000002E-3</v>
          </cell>
        </row>
        <row r="1267">
          <cell r="B1267" t="str">
            <v>Devon Energy</v>
          </cell>
          <cell r="O1267">
            <v>8.4821289999999997E-3</v>
          </cell>
          <cell r="T1267">
            <v>8.4821289999999997E-3</v>
          </cell>
        </row>
        <row r="1268">
          <cell r="B1268" t="str">
            <v>Devon Energy</v>
          </cell>
          <cell r="O1268">
            <v>4.144428E-2</v>
          </cell>
          <cell r="T1268">
            <v>8.6872829999999998E-2</v>
          </cell>
        </row>
        <row r="1269">
          <cell r="B1269" t="str">
            <v>Devon Energy</v>
          </cell>
          <cell r="O1269">
            <v>6.679155E-3</v>
          </cell>
          <cell r="T1269">
            <v>6.679155E-3</v>
          </cell>
        </row>
        <row r="1270">
          <cell r="B1270" t="str">
            <v>Devon Energy</v>
          </cell>
        </row>
        <row r="1271">
          <cell r="B1271" t="str">
            <v>Devon Energy</v>
          </cell>
          <cell r="N1271">
            <v>0</v>
          </cell>
          <cell r="O1271">
            <v>0</v>
          </cell>
          <cell r="S1271">
            <v>11.5623</v>
          </cell>
          <cell r="T1271">
            <v>1.656639</v>
          </cell>
        </row>
        <row r="1272">
          <cell r="B1272" t="str">
            <v>Devon Energy</v>
          </cell>
          <cell r="N1272">
            <v>0</v>
          </cell>
        </row>
        <row r="1273">
          <cell r="B1273" t="str">
            <v>Devon Energy</v>
          </cell>
          <cell r="N1273">
            <v>6.099691</v>
          </cell>
          <cell r="S1273">
            <v>26.3536</v>
          </cell>
        </row>
        <row r="1274">
          <cell r="B1274" t="str">
            <v>Devon Energy</v>
          </cell>
          <cell r="N1274">
            <v>437.50819999999999</v>
          </cell>
          <cell r="O1274">
            <v>174.25530000000001</v>
          </cell>
          <cell r="S1274">
            <v>388.05860000000001</v>
          </cell>
          <cell r="T1274">
            <v>115.0301</v>
          </cell>
        </row>
        <row r="1275">
          <cell r="B1275" t="str">
            <v>Devon Energy</v>
          </cell>
          <cell r="N1275">
            <v>254.00319999999999</v>
          </cell>
          <cell r="O1275">
            <v>35.133560000000003</v>
          </cell>
          <cell r="S1275">
            <v>239.45949999999999</v>
          </cell>
          <cell r="T1275">
            <v>29.144110000000001</v>
          </cell>
        </row>
        <row r="1276">
          <cell r="B1276" t="str">
            <v>Devon Energy</v>
          </cell>
          <cell r="N1276">
            <v>292.173</v>
          </cell>
          <cell r="O1276">
            <v>18.827030000000001</v>
          </cell>
          <cell r="S1276">
            <v>14.17493</v>
          </cell>
          <cell r="T1276">
            <v>0</v>
          </cell>
        </row>
        <row r="1277">
          <cell r="B1277" t="str">
            <v>Devon Energy</v>
          </cell>
          <cell r="O1277">
            <v>1.758291E-2</v>
          </cell>
          <cell r="T1277">
            <v>1.758291E-2</v>
          </cell>
        </row>
        <row r="1278">
          <cell r="B1278" t="str">
            <v>Devon Energy</v>
          </cell>
          <cell r="O1278">
            <v>0.184505</v>
          </cell>
          <cell r="T1278">
            <v>0.184505</v>
          </cell>
        </row>
        <row r="1279">
          <cell r="B1279" t="str">
            <v>Devon Energy</v>
          </cell>
          <cell r="O1279">
            <v>0.36674899999999999</v>
          </cell>
          <cell r="T1279">
            <v>0.36674899999999999</v>
          </cell>
        </row>
        <row r="1280">
          <cell r="B1280" t="str">
            <v>Devon Energy</v>
          </cell>
          <cell r="S1280">
            <v>0</v>
          </cell>
          <cell r="T1280">
            <v>0</v>
          </cell>
        </row>
        <row r="1281">
          <cell r="B1281" t="str">
            <v>Devon Energy</v>
          </cell>
        </row>
        <row r="1282">
          <cell r="B1282" t="str">
            <v>Devon Energy</v>
          </cell>
          <cell r="N1282">
            <v>9.1512779999999996</v>
          </cell>
          <cell r="O1282">
            <v>0.20904249999999999</v>
          </cell>
          <cell r="T1282">
            <v>1.8274719999999999E-3</v>
          </cell>
        </row>
        <row r="1283">
          <cell r="B1283" t="str">
            <v>Devon Energy</v>
          </cell>
          <cell r="N1283">
            <v>261.68189999999998</v>
          </cell>
          <cell r="O1283">
            <v>51.31812</v>
          </cell>
          <cell r="S1283">
            <v>134.3125</v>
          </cell>
          <cell r="T1283">
            <v>25.612939999999998</v>
          </cell>
        </row>
        <row r="1284">
          <cell r="B1284" t="str">
            <v>Devon Energy</v>
          </cell>
          <cell r="O1284">
            <v>0</v>
          </cell>
        </row>
        <row r="1285">
          <cell r="B1285" t="str">
            <v>Devon Energy</v>
          </cell>
          <cell r="O1285">
            <v>0</v>
          </cell>
        </row>
        <row r="1286">
          <cell r="B1286" t="str">
            <v>Apache</v>
          </cell>
          <cell r="N1286">
            <v>1.6788620000000001</v>
          </cell>
          <cell r="S1286">
            <v>1.1834020000000001</v>
          </cell>
        </row>
        <row r="1287">
          <cell r="B1287" t="str">
            <v>Apache</v>
          </cell>
          <cell r="N1287">
            <v>20.690339999999999</v>
          </cell>
          <cell r="O1287">
            <v>0</v>
          </cell>
          <cell r="S1287">
            <v>13.605829999999999</v>
          </cell>
        </row>
        <row r="1288">
          <cell r="B1288" t="str">
            <v>Apache</v>
          </cell>
          <cell r="O1288">
            <v>0.30993720000000002</v>
          </cell>
          <cell r="T1288">
            <v>83.383740000000003</v>
          </cell>
        </row>
        <row r="1289">
          <cell r="B1289" t="str">
            <v>Apache</v>
          </cell>
          <cell r="O1289">
            <v>63.333770000000001</v>
          </cell>
          <cell r="S1289">
            <v>0</v>
          </cell>
          <cell r="T1289">
            <v>28.578579999999999</v>
          </cell>
        </row>
        <row r="1290">
          <cell r="B1290" t="str">
            <v>Apache</v>
          </cell>
          <cell r="N1290">
            <v>5.5182820000000001</v>
          </cell>
          <cell r="O1290">
            <v>3.54825E-2</v>
          </cell>
          <cell r="S1290">
            <v>4.0011809999999999</v>
          </cell>
          <cell r="T1290">
            <v>3.54825E-2</v>
          </cell>
        </row>
        <row r="1291">
          <cell r="B1291" t="str">
            <v>Apache</v>
          </cell>
          <cell r="N1291">
            <v>54.626930000000002</v>
          </cell>
          <cell r="O1291">
            <v>0.46950960000000003</v>
          </cell>
          <cell r="S1291">
            <v>36.066989999999997</v>
          </cell>
          <cell r="T1291">
            <v>0.46950960000000003</v>
          </cell>
        </row>
        <row r="1292">
          <cell r="B1292" t="str">
            <v>Apache</v>
          </cell>
          <cell r="O1292">
            <v>1.3886000000000001E-2</v>
          </cell>
          <cell r="T1292">
            <v>1.5523E-2</v>
          </cell>
        </row>
        <row r="1293">
          <cell r="B1293" t="str">
            <v>Apache</v>
          </cell>
          <cell r="N1293">
            <v>0.98421099999999995</v>
          </cell>
          <cell r="O1293">
            <v>0.1002285</v>
          </cell>
          <cell r="S1293">
            <v>0.76894149999999994</v>
          </cell>
          <cell r="T1293">
            <v>0.11205</v>
          </cell>
        </row>
        <row r="1294">
          <cell r="B1294" t="str">
            <v>Apache</v>
          </cell>
          <cell r="O1294">
            <v>1.2605999999999999E-2</v>
          </cell>
          <cell r="T1294">
            <v>1.4093E-2</v>
          </cell>
        </row>
        <row r="1295">
          <cell r="B1295" t="str">
            <v>Apache</v>
          </cell>
          <cell r="N1295">
            <v>0.22234400000000001</v>
          </cell>
          <cell r="S1295">
            <v>0.173711</v>
          </cell>
        </row>
        <row r="1296">
          <cell r="B1296" t="str">
            <v>Apache</v>
          </cell>
          <cell r="O1296">
            <v>0.19728899999999999</v>
          </cell>
          <cell r="T1296">
            <v>0.220557</v>
          </cell>
        </row>
        <row r="1297">
          <cell r="B1297" t="str">
            <v>Apache</v>
          </cell>
          <cell r="N1297">
            <v>273.5317</v>
          </cell>
          <cell r="O1297">
            <v>2.1416419999999999E-2</v>
          </cell>
          <cell r="S1297">
            <v>26.58747</v>
          </cell>
          <cell r="T1297">
            <v>2.394137E-2</v>
          </cell>
        </row>
        <row r="1298">
          <cell r="B1298" t="str">
            <v>Apache</v>
          </cell>
          <cell r="O1298">
            <v>2.3836820000000002E-2</v>
          </cell>
        </row>
        <row r="1299">
          <cell r="B1299" t="str">
            <v>Apache</v>
          </cell>
          <cell r="N1299">
            <v>189.19739999999999</v>
          </cell>
          <cell r="O1299">
            <v>85.451070000000001</v>
          </cell>
          <cell r="S1299">
            <v>22.377659999999999</v>
          </cell>
          <cell r="T1299">
            <v>13.49732</v>
          </cell>
        </row>
        <row r="1300">
          <cell r="B1300" t="str">
            <v>Apache</v>
          </cell>
          <cell r="O1300">
            <v>6.4367250000000001E-2</v>
          </cell>
          <cell r="T1300">
            <v>7.3509130000000006E-2</v>
          </cell>
        </row>
        <row r="1301">
          <cell r="B1301" t="str">
            <v>Apache</v>
          </cell>
          <cell r="N1301">
            <v>51.779389999999999</v>
          </cell>
          <cell r="O1301">
            <v>2.7544220000000001E-2</v>
          </cell>
          <cell r="S1301">
            <v>1.846827</v>
          </cell>
          <cell r="T1301">
            <v>2.3547809999999999E-2</v>
          </cell>
        </row>
        <row r="1302">
          <cell r="B1302" t="str">
            <v>Apache</v>
          </cell>
          <cell r="O1302">
            <v>0.27218809999999999</v>
          </cell>
          <cell r="S1302">
            <v>0</v>
          </cell>
          <cell r="T1302">
            <v>0.2742021</v>
          </cell>
        </row>
        <row r="1303">
          <cell r="B1303" t="str">
            <v>Apache</v>
          </cell>
          <cell r="N1303">
            <v>62.340400000000002</v>
          </cell>
          <cell r="O1303">
            <v>0.2594342</v>
          </cell>
          <cell r="S1303">
            <v>46.22927</v>
          </cell>
          <cell r="T1303">
            <v>0.2430088</v>
          </cell>
        </row>
        <row r="1304">
          <cell r="B1304" t="str">
            <v>Apache</v>
          </cell>
          <cell r="N1304">
            <v>0.32263180000000002</v>
          </cell>
          <cell r="S1304">
            <v>0.2374705</v>
          </cell>
        </row>
        <row r="1305">
          <cell r="B1305" t="str">
            <v>Apache</v>
          </cell>
          <cell r="N1305">
            <v>0.49650840000000002</v>
          </cell>
          <cell r="S1305">
            <v>0.16449569999999999</v>
          </cell>
        </row>
        <row r="1306">
          <cell r="B1306" t="str">
            <v>Apache</v>
          </cell>
        </row>
        <row r="1307">
          <cell r="B1307" t="str">
            <v>Apache</v>
          </cell>
          <cell r="N1307">
            <v>0</v>
          </cell>
        </row>
        <row r="1308">
          <cell r="B1308" t="str">
            <v>Apache</v>
          </cell>
          <cell r="N1308">
            <v>0</v>
          </cell>
          <cell r="O1308">
            <v>0.1176777</v>
          </cell>
          <cell r="S1308">
            <v>0</v>
          </cell>
          <cell r="T1308">
            <v>3.5088250000000001E-2</v>
          </cell>
        </row>
        <row r="1309">
          <cell r="B1309" t="str">
            <v>Apache</v>
          </cell>
          <cell r="N1309">
            <v>2.7820719999999999</v>
          </cell>
          <cell r="O1309">
            <v>0.52516680000000004</v>
          </cell>
          <cell r="S1309">
            <v>2.1105049999999999</v>
          </cell>
          <cell r="T1309">
            <v>5.1614E-2</v>
          </cell>
        </row>
        <row r="1310">
          <cell r="B1310" t="str">
            <v>Apache</v>
          </cell>
          <cell r="N1310">
            <v>351.96890000000002</v>
          </cell>
          <cell r="O1310">
            <v>89.292689999999993</v>
          </cell>
          <cell r="S1310">
            <v>114.1211</v>
          </cell>
          <cell r="T1310">
            <v>35.963209999999997</v>
          </cell>
        </row>
        <row r="1311">
          <cell r="B1311" t="str">
            <v>Apache</v>
          </cell>
          <cell r="N1311">
            <v>79.487049999999996</v>
          </cell>
          <cell r="O1311">
            <v>16.806470000000001</v>
          </cell>
          <cell r="S1311">
            <v>49.943739999999998</v>
          </cell>
          <cell r="T1311">
            <v>8.8083670000000005</v>
          </cell>
        </row>
        <row r="1312">
          <cell r="B1312" t="str">
            <v>Apache</v>
          </cell>
          <cell r="N1312">
            <v>6.4729729999999996</v>
          </cell>
          <cell r="O1312">
            <v>0.33700999999999998</v>
          </cell>
          <cell r="S1312">
            <v>11.104189999999999</v>
          </cell>
          <cell r="T1312">
            <v>0.79166300000000001</v>
          </cell>
        </row>
        <row r="1313">
          <cell r="B1313" t="str">
            <v>Apache</v>
          </cell>
          <cell r="N1313">
            <v>195.03639999999999</v>
          </cell>
          <cell r="O1313">
            <v>50.666649999999997</v>
          </cell>
          <cell r="S1313">
            <v>0</v>
          </cell>
          <cell r="T1313">
            <v>0</v>
          </cell>
        </row>
        <row r="1314">
          <cell r="B1314" t="str">
            <v>Apache</v>
          </cell>
          <cell r="N1314">
            <v>121.2118</v>
          </cell>
          <cell r="O1314">
            <v>36.555149999999998</v>
          </cell>
          <cell r="S1314">
            <v>83.243290000000002</v>
          </cell>
          <cell r="T1314">
            <v>20.842490000000002</v>
          </cell>
        </row>
        <row r="1315">
          <cell r="B1315" t="str">
            <v>Apache</v>
          </cell>
          <cell r="N1315">
            <v>84.835700000000003</v>
          </cell>
          <cell r="O1315">
            <v>9.0610060000000008</v>
          </cell>
          <cell r="S1315">
            <v>17.449850000000001</v>
          </cell>
          <cell r="T1315">
            <v>1.1809689999999999</v>
          </cell>
        </row>
        <row r="1316">
          <cell r="B1316" t="str">
            <v>Apache</v>
          </cell>
          <cell r="N1316">
            <v>59.264809999999997</v>
          </cell>
          <cell r="O1316">
            <v>0.87230300000000005</v>
          </cell>
          <cell r="S1316">
            <v>74.875540000000001</v>
          </cell>
          <cell r="T1316">
            <v>3.1173730000000002</v>
          </cell>
        </row>
        <row r="1317">
          <cell r="B1317" t="str">
            <v>Apache</v>
          </cell>
          <cell r="N1317">
            <v>41.463590000000003</v>
          </cell>
          <cell r="O1317">
            <v>2.8879999999999999E-2</v>
          </cell>
          <cell r="S1317">
            <v>39.303469999999997</v>
          </cell>
          <cell r="T1317">
            <v>0</v>
          </cell>
        </row>
        <row r="1318">
          <cell r="B1318" t="str">
            <v>Apache</v>
          </cell>
          <cell r="N1318">
            <v>6.3306959999999997</v>
          </cell>
          <cell r="O1318">
            <v>3.7929059999999999</v>
          </cell>
        </row>
        <row r="1319">
          <cell r="B1319" t="str">
            <v>Apache</v>
          </cell>
          <cell r="N1319">
            <v>60.753360000000001</v>
          </cell>
          <cell r="O1319">
            <v>42.57376</v>
          </cell>
          <cell r="S1319">
            <v>46.545110000000001</v>
          </cell>
          <cell r="T1319">
            <v>0.4144447</v>
          </cell>
        </row>
        <row r="1320">
          <cell r="B1320" t="str">
            <v>Apache</v>
          </cell>
        </row>
        <row r="1321">
          <cell r="B1321" t="str">
            <v>Apache</v>
          </cell>
          <cell r="O1321">
            <v>7.5013999999999997E-2</v>
          </cell>
          <cell r="T1321">
            <v>7.5013999999999997E-2</v>
          </cell>
        </row>
        <row r="1322">
          <cell r="B1322" t="str">
            <v>Apache</v>
          </cell>
          <cell r="N1322">
            <v>47.881210000000003</v>
          </cell>
          <cell r="S1322">
            <v>37.97645</v>
          </cell>
        </row>
        <row r="1323">
          <cell r="B1323" t="str">
            <v>Apache</v>
          </cell>
          <cell r="O1323">
            <v>0.23766319999999999</v>
          </cell>
        </row>
        <row r="1324">
          <cell r="B1324" t="str">
            <v>Apache</v>
          </cell>
          <cell r="N1324">
            <v>4.0042280000000003</v>
          </cell>
          <cell r="O1324">
            <v>1.7026520000000001</v>
          </cell>
          <cell r="S1324">
            <v>3.2792089999999998</v>
          </cell>
          <cell r="T1324">
            <v>1.7485870000000001E-2</v>
          </cell>
        </row>
        <row r="1325">
          <cell r="B1325" t="str">
            <v>Apache</v>
          </cell>
          <cell r="N1325">
            <v>189.82169999999999</v>
          </cell>
          <cell r="O1325">
            <v>0.84001329999999996</v>
          </cell>
          <cell r="S1325">
            <v>145.3426</v>
          </cell>
          <cell r="T1325">
            <v>0.84001329999999996</v>
          </cell>
        </row>
        <row r="1326">
          <cell r="B1326" t="str">
            <v>Apache</v>
          </cell>
          <cell r="N1326">
            <v>6.1473709999999997</v>
          </cell>
          <cell r="O1326">
            <v>0.32822030000000002</v>
          </cell>
          <cell r="S1326">
            <v>4.6563090000000003</v>
          </cell>
          <cell r="T1326">
            <v>0.32822030000000002</v>
          </cell>
        </row>
        <row r="1327">
          <cell r="B1327" t="str">
            <v>Apache</v>
          </cell>
          <cell r="O1327">
            <v>0</v>
          </cell>
        </row>
        <row r="1328">
          <cell r="B1328" t="str">
            <v>Apache</v>
          </cell>
          <cell r="O1328">
            <v>0</v>
          </cell>
        </row>
        <row r="1329">
          <cell r="B1329" t="str">
            <v>Apache</v>
          </cell>
          <cell r="O1329">
            <v>0</v>
          </cell>
        </row>
        <row r="1330">
          <cell r="B1330" t="str">
            <v>Apache</v>
          </cell>
          <cell r="O1330">
            <v>0</v>
          </cell>
        </row>
        <row r="1331">
          <cell r="B1331" t="str">
            <v>Apache</v>
          </cell>
        </row>
        <row r="1332">
          <cell r="B1332" t="str">
            <v>Apache</v>
          </cell>
          <cell r="O1332">
            <v>0</v>
          </cell>
        </row>
        <row r="1333">
          <cell r="B1333" t="str">
            <v>Chesapeake</v>
          </cell>
        </row>
        <row r="1334">
          <cell r="B1334" t="str">
            <v>Chesapeake</v>
          </cell>
          <cell r="N1334">
            <v>1169.124</v>
          </cell>
          <cell r="O1334">
            <v>107.2223</v>
          </cell>
          <cell r="S1334">
            <v>694.16129999999998</v>
          </cell>
          <cell r="T1334">
            <v>54.404859999999999</v>
          </cell>
        </row>
        <row r="1335">
          <cell r="B1335" t="str">
            <v>Chesapeake</v>
          </cell>
          <cell r="N1335">
            <v>0</v>
          </cell>
        </row>
        <row r="1336">
          <cell r="B1336" t="str">
            <v>Chesapeake</v>
          </cell>
          <cell r="N1336">
            <v>79.636179999999996</v>
          </cell>
          <cell r="O1336">
            <v>9.4263870000000001</v>
          </cell>
          <cell r="S1336">
            <v>49.576030000000003</v>
          </cell>
          <cell r="T1336">
            <v>6.6532780000000002</v>
          </cell>
        </row>
        <row r="1337">
          <cell r="B1337" t="str">
            <v>Chesapeake</v>
          </cell>
        </row>
        <row r="1338">
          <cell r="B1338" t="str">
            <v>Chesapeake</v>
          </cell>
          <cell r="N1338">
            <v>209.6592</v>
          </cell>
          <cell r="O1338">
            <v>30.414390000000001</v>
          </cell>
          <cell r="S1338">
            <v>173.98</v>
          </cell>
          <cell r="T1338">
            <v>25.245619999999999</v>
          </cell>
        </row>
        <row r="1339">
          <cell r="B1339" t="str">
            <v>Chesapeake</v>
          </cell>
          <cell r="N1339">
            <v>144.11179999999999</v>
          </cell>
          <cell r="O1339">
            <v>16.570340000000002</v>
          </cell>
          <cell r="S1339">
            <v>46.58511</v>
          </cell>
          <cell r="T1339">
            <v>4.5647479999999998</v>
          </cell>
        </row>
        <row r="1340">
          <cell r="B1340" t="str">
            <v>Chesapeake</v>
          </cell>
          <cell r="N1340">
            <v>363.27550000000002</v>
          </cell>
          <cell r="O1340">
            <v>101.6092</v>
          </cell>
          <cell r="S1340">
            <v>215.97290000000001</v>
          </cell>
          <cell r="T1340">
            <v>64.704689999999999</v>
          </cell>
        </row>
        <row r="1341">
          <cell r="B1341" t="str">
            <v>EOG Resources</v>
          </cell>
        </row>
        <row r="1342">
          <cell r="B1342" t="str">
            <v>EOG Resources</v>
          </cell>
          <cell r="N1342">
            <v>1.6192999999999999E-2</v>
          </cell>
          <cell r="S1342">
            <v>1.4042000000000001E-2</v>
          </cell>
        </row>
        <row r="1343">
          <cell r="B1343" t="str">
            <v>EOG Resources</v>
          </cell>
        </row>
        <row r="1344">
          <cell r="B1344" t="str">
            <v>EOG Resources</v>
          </cell>
        </row>
        <row r="1345">
          <cell r="B1345" t="str">
            <v>EOG Resources</v>
          </cell>
          <cell r="N1345">
            <v>2261.7460000000001</v>
          </cell>
          <cell r="O1345">
            <v>248.83260000000001</v>
          </cell>
          <cell r="S1345">
            <v>1583.2539999999999</v>
          </cell>
          <cell r="T1345">
            <v>142.2782</v>
          </cell>
        </row>
        <row r="1346">
          <cell r="B1346" t="str">
            <v>EOG Resources</v>
          </cell>
          <cell r="N1346">
            <v>111.0479</v>
          </cell>
          <cell r="O1346">
            <v>9.4982970000000009</v>
          </cell>
          <cell r="S1346">
            <v>39.537509999999997</v>
          </cell>
          <cell r="T1346">
            <v>3.2449530000000002</v>
          </cell>
        </row>
        <row r="1347">
          <cell r="B1347" t="str">
            <v>EOG Resources</v>
          </cell>
          <cell r="N1347">
            <v>14.497210000000001</v>
          </cell>
          <cell r="S1347">
            <v>10.900969999999999</v>
          </cell>
        </row>
        <row r="1348">
          <cell r="B1348" t="str">
            <v>EOG Resources</v>
          </cell>
          <cell r="N1348">
            <v>29.118760000000002</v>
          </cell>
          <cell r="S1348">
            <v>21.038979999999999</v>
          </cell>
        </row>
        <row r="1349">
          <cell r="B1349" t="str">
            <v>EOG Resources</v>
          </cell>
          <cell r="O1349">
            <v>1.2281230000000001E-2</v>
          </cell>
          <cell r="T1349">
            <v>1.2281230000000001E-2</v>
          </cell>
        </row>
        <row r="1350">
          <cell r="B1350" t="str">
            <v>EOG Resources</v>
          </cell>
        </row>
        <row r="1351">
          <cell r="B1351" t="str">
            <v>EOG Resources</v>
          </cell>
          <cell r="N1351">
            <v>1.6386890000000001</v>
          </cell>
          <cell r="S1351">
            <v>1.0821879999999999</v>
          </cell>
        </row>
        <row r="1352">
          <cell r="B1352" t="str">
            <v>EOG Resources</v>
          </cell>
          <cell r="N1352">
            <v>885.32569999999998</v>
          </cell>
          <cell r="O1352">
            <v>182.61349999999999</v>
          </cell>
          <cell r="S1352">
            <v>643.55139999999994</v>
          </cell>
          <cell r="T1352">
            <v>96.448520000000002</v>
          </cell>
        </row>
        <row r="1353">
          <cell r="B1353" t="str">
            <v>EOG Resources</v>
          </cell>
          <cell r="N1353">
            <v>1025.2059999999999</v>
          </cell>
          <cell r="O1353">
            <v>204.95400000000001</v>
          </cell>
          <cell r="S1353">
            <v>1007.12</v>
          </cell>
          <cell r="T1353">
            <v>187.8801</v>
          </cell>
        </row>
        <row r="1354">
          <cell r="B1354" t="str">
            <v>EOG Resources</v>
          </cell>
          <cell r="N1354">
            <v>5.7692379999999996</v>
          </cell>
          <cell r="S1354">
            <v>0</v>
          </cell>
        </row>
        <row r="1355">
          <cell r="B1355" t="str">
            <v>EOG Resources</v>
          </cell>
        </row>
        <row r="1356">
          <cell r="B1356" t="str">
            <v>EOG Resources</v>
          </cell>
          <cell r="N1356">
            <v>285.99549999999999</v>
          </cell>
          <cell r="O1356">
            <v>30.592300000000002</v>
          </cell>
          <cell r="S1356">
            <v>108.4277</v>
          </cell>
          <cell r="T1356">
            <v>8.461964</v>
          </cell>
        </row>
        <row r="1357">
          <cell r="B1357" t="str">
            <v>EOG Resources</v>
          </cell>
          <cell r="N1357">
            <v>245.1807</v>
          </cell>
          <cell r="O1357">
            <v>62.926270000000002</v>
          </cell>
          <cell r="S1357">
            <v>38.013640000000002</v>
          </cell>
          <cell r="T1357">
            <v>5.4610130000000003</v>
          </cell>
        </row>
        <row r="1358">
          <cell r="B1358" t="str">
            <v>EOG Resources</v>
          </cell>
          <cell r="N1358">
            <v>25.314</v>
          </cell>
          <cell r="O1358">
            <v>5.9802000000000001E-2</v>
          </cell>
          <cell r="S1358">
            <v>4.7596540000000003</v>
          </cell>
          <cell r="T1358">
            <v>0.119237</v>
          </cell>
        </row>
        <row r="1359">
          <cell r="B1359" t="str">
            <v>EOG Resources</v>
          </cell>
          <cell r="N1359">
            <v>16.5</v>
          </cell>
          <cell r="S1359">
            <v>9.0779460000000007</v>
          </cell>
        </row>
        <row r="1360">
          <cell r="B1360" t="str">
            <v>EOG Resources</v>
          </cell>
          <cell r="N1360">
            <v>55.02</v>
          </cell>
          <cell r="O1360">
            <v>0.1644188</v>
          </cell>
          <cell r="S1360">
            <v>30.741499999999998</v>
          </cell>
          <cell r="T1360">
            <v>53.87529</v>
          </cell>
        </row>
        <row r="1361">
          <cell r="B1361" t="str">
            <v>EOG Resources</v>
          </cell>
          <cell r="N1361">
            <v>42.013919999999999</v>
          </cell>
          <cell r="O1361">
            <v>0</v>
          </cell>
          <cell r="S1361">
            <v>5.712936</v>
          </cell>
        </row>
        <row r="1362">
          <cell r="B1362" t="str">
            <v>EOG Resources</v>
          </cell>
          <cell r="N1362">
            <v>17.52092</v>
          </cell>
          <cell r="S1362">
            <v>22.372229999999998</v>
          </cell>
        </row>
        <row r="1363">
          <cell r="B1363" t="str">
            <v>EOG Resources</v>
          </cell>
          <cell r="N1363">
            <v>0.235573</v>
          </cell>
          <cell r="S1363">
            <v>0.23090849999999999</v>
          </cell>
        </row>
        <row r="1364">
          <cell r="B1364" t="str">
            <v>EOG Resources</v>
          </cell>
          <cell r="N1364">
            <v>7.2671929999999998</v>
          </cell>
          <cell r="S1364">
            <v>6.4244110000000001</v>
          </cell>
        </row>
        <row r="1365">
          <cell r="B1365" t="str">
            <v>EOG Resources</v>
          </cell>
          <cell r="N1365">
            <v>224.81729999999999</v>
          </cell>
          <cell r="O1365">
            <v>11.264659999999999</v>
          </cell>
          <cell r="S1365">
            <v>106.54940000000001</v>
          </cell>
          <cell r="T1365">
            <v>2.6576569999999999</v>
          </cell>
        </row>
        <row r="1366">
          <cell r="B1366" t="str">
            <v>Noble Energy</v>
          </cell>
          <cell r="O1366">
            <v>1.7227200000000002E-2</v>
          </cell>
          <cell r="T1366">
            <v>1.7227200000000002E-2</v>
          </cell>
        </row>
        <row r="1367">
          <cell r="B1367" t="str">
            <v>Noble Energy</v>
          </cell>
        </row>
        <row r="1368">
          <cell r="B1368" t="str">
            <v>Noble Energy</v>
          </cell>
        </row>
        <row r="1369">
          <cell r="B1369" t="str">
            <v>Noble Energy</v>
          </cell>
          <cell r="N1369">
            <v>103.6801</v>
          </cell>
          <cell r="O1369">
            <v>0</v>
          </cell>
          <cell r="S1369">
            <v>0</v>
          </cell>
        </row>
        <row r="1370">
          <cell r="B1370" t="str">
            <v>Noble Energy</v>
          </cell>
        </row>
        <row r="1371">
          <cell r="B1371" t="str">
            <v>Noble Energy</v>
          </cell>
          <cell r="N1371">
            <v>0</v>
          </cell>
          <cell r="S1371">
            <v>0</v>
          </cell>
        </row>
        <row r="1372">
          <cell r="B1372" t="str">
            <v>Noble Energy</v>
          </cell>
        </row>
        <row r="1373">
          <cell r="B1373" t="str">
            <v>Noble Energy</v>
          </cell>
          <cell r="N1373">
            <v>11.010160000000001</v>
          </cell>
          <cell r="S1373">
            <v>9.9828930000000007</v>
          </cell>
        </row>
        <row r="1374">
          <cell r="B1374" t="str">
            <v>Noble Energy</v>
          </cell>
          <cell r="O1374">
            <v>0.12281</v>
          </cell>
          <cell r="T1374">
            <v>110.0282</v>
          </cell>
        </row>
        <row r="1375">
          <cell r="B1375" t="str">
            <v>Noble Energy</v>
          </cell>
          <cell r="N1375">
            <v>0.51200000000000001</v>
          </cell>
          <cell r="O1375">
            <v>0.1315627</v>
          </cell>
          <cell r="S1375">
            <v>18.270720000000001</v>
          </cell>
          <cell r="T1375">
            <v>0.1315627</v>
          </cell>
        </row>
        <row r="1376">
          <cell r="B1376" t="str">
            <v>Noble Energy</v>
          </cell>
          <cell r="N1376">
            <v>3.2927999999999999E-2</v>
          </cell>
          <cell r="S1376">
            <v>1.8071E-2</v>
          </cell>
        </row>
        <row r="1377">
          <cell r="B1377" t="str">
            <v>Noble Energy</v>
          </cell>
        </row>
        <row r="1378">
          <cell r="B1378" t="str">
            <v>Noble Energy</v>
          </cell>
        </row>
        <row r="1379">
          <cell r="B1379" t="str">
            <v>Noble Energy</v>
          </cell>
          <cell r="N1379">
            <v>11.648849999999999</v>
          </cell>
          <cell r="S1379">
            <v>10.7</v>
          </cell>
        </row>
        <row r="1380">
          <cell r="B1380" t="str">
            <v>Noble Energy</v>
          </cell>
          <cell r="N1380">
            <v>616.61490000000003</v>
          </cell>
          <cell r="O1380">
            <v>146.08510000000001</v>
          </cell>
          <cell r="S1380">
            <v>227.32749999999999</v>
          </cell>
          <cell r="T1380">
            <v>47.67248</v>
          </cell>
        </row>
        <row r="1381">
          <cell r="B1381" t="str">
            <v>Noble Energy</v>
          </cell>
        </row>
        <row r="1382">
          <cell r="B1382" t="str">
            <v>Noble Energy</v>
          </cell>
          <cell r="N1382">
            <v>0</v>
          </cell>
        </row>
        <row r="1383">
          <cell r="B1383" t="str">
            <v>Noble Energy</v>
          </cell>
          <cell r="O1383">
            <v>0.33351940000000002</v>
          </cell>
          <cell r="T1383">
            <v>0.33351960000000003</v>
          </cell>
        </row>
        <row r="1384">
          <cell r="B1384" t="str">
            <v>Noble Energy</v>
          </cell>
          <cell r="O1384">
            <v>8.4214250000000004E-2</v>
          </cell>
          <cell r="T1384">
            <v>8.4214259999999999E-2</v>
          </cell>
        </row>
        <row r="1385">
          <cell r="B1385" t="str">
            <v>Noble Energy</v>
          </cell>
          <cell r="N1385">
            <v>0.78632800000000003</v>
          </cell>
          <cell r="S1385">
            <v>0.51679189999999997</v>
          </cell>
        </row>
        <row r="1386">
          <cell r="B1386" t="str">
            <v>Noble Energy</v>
          </cell>
          <cell r="N1386">
            <v>589.96299999999997</v>
          </cell>
          <cell r="O1386">
            <v>79.067019999999999</v>
          </cell>
          <cell r="S1386">
            <v>468.89319999999998</v>
          </cell>
          <cell r="T1386">
            <v>61.1068</v>
          </cell>
        </row>
        <row r="1387">
          <cell r="B1387" t="str">
            <v>Noble Energy</v>
          </cell>
          <cell r="O1387">
            <v>3.9533399999999999</v>
          </cell>
          <cell r="T1387">
            <v>5.1534610000000001</v>
          </cell>
        </row>
        <row r="1388">
          <cell r="B1388" t="str">
            <v>Noble Energy</v>
          </cell>
          <cell r="N1388">
            <v>514.29899999999998</v>
          </cell>
          <cell r="O1388">
            <v>0.18350720000000001</v>
          </cell>
          <cell r="S1388">
            <v>81.949969999999993</v>
          </cell>
          <cell r="T1388">
            <v>0.15036389999999999</v>
          </cell>
        </row>
        <row r="1389">
          <cell r="B1389" t="str">
            <v>Noble Energy</v>
          </cell>
          <cell r="N1389">
            <v>0</v>
          </cell>
          <cell r="O1389">
            <v>0.1419096</v>
          </cell>
          <cell r="S1389">
            <v>0.52500000000000002</v>
          </cell>
          <cell r="T1389">
            <v>0.1419096</v>
          </cell>
        </row>
        <row r="1390">
          <cell r="B1390" t="str">
            <v>Noble Energy</v>
          </cell>
          <cell r="O1390">
            <v>2.549475E-2</v>
          </cell>
          <cell r="T1390">
            <v>2.549475E-2</v>
          </cell>
        </row>
        <row r="1391">
          <cell r="B1391" t="str">
            <v>Noble Energy</v>
          </cell>
        </row>
        <row r="1392">
          <cell r="B1392" t="str">
            <v>Noble Energy</v>
          </cell>
          <cell r="O1392">
            <v>1.2235920000000001E-2</v>
          </cell>
          <cell r="T1392">
            <v>1.074678</v>
          </cell>
        </row>
        <row r="1393">
          <cell r="B1393" t="str">
            <v>Noble Energy</v>
          </cell>
        </row>
        <row r="1394">
          <cell r="B1394" t="str">
            <v>Noble Energy</v>
          </cell>
          <cell r="N1394">
            <v>1.338846</v>
          </cell>
          <cell r="S1394">
            <v>1.1304179999999999</v>
          </cell>
        </row>
        <row r="1395">
          <cell r="B1395" t="str">
            <v>Noble Energy</v>
          </cell>
        </row>
        <row r="1396">
          <cell r="B1396" t="str">
            <v>Noble Energy</v>
          </cell>
        </row>
        <row r="1397">
          <cell r="B1397" t="str">
            <v>Noble Energy</v>
          </cell>
        </row>
        <row r="1398">
          <cell r="B1398" t="str">
            <v>Noble Energy</v>
          </cell>
          <cell r="O1398">
            <v>0.16312399999999999</v>
          </cell>
          <cell r="S1398">
            <v>0</v>
          </cell>
          <cell r="T1398">
            <v>0.16312399999999999</v>
          </cell>
        </row>
        <row r="1399">
          <cell r="B1399" t="str">
            <v>Noble Energy</v>
          </cell>
          <cell r="N1399">
            <v>19.414999999999999</v>
          </cell>
          <cell r="O1399">
            <v>0.2199229</v>
          </cell>
          <cell r="S1399">
            <v>10.0046</v>
          </cell>
          <cell r="T1399">
            <v>0.2199229</v>
          </cell>
        </row>
        <row r="1400">
          <cell r="B1400" t="str">
            <v>Noble Energy</v>
          </cell>
          <cell r="O1400">
            <v>0.12234299999999999</v>
          </cell>
          <cell r="T1400">
            <v>0.12234299999999999</v>
          </cell>
        </row>
        <row r="1401">
          <cell r="B1401" t="str">
            <v>Noble Energy</v>
          </cell>
          <cell r="N1401">
            <v>26.61842</v>
          </cell>
          <cell r="O1401">
            <v>0.14510890000000001</v>
          </cell>
          <cell r="S1401">
            <v>142.1703</v>
          </cell>
          <cell r="T1401">
            <v>5.5470150000000003E-2</v>
          </cell>
        </row>
        <row r="1402">
          <cell r="B1402" t="str">
            <v>Noble Energy</v>
          </cell>
          <cell r="O1402">
            <v>13.791</v>
          </cell>
          <cell r="T1402">
            <v>0</v>
          </cell>
        </row>
        <row r="1403">
          <cell r="B1403" t="str">
            <v>Noble Energy</v>
          </cell>
          <cell r="O1403">
            <v>2.2001279999999999</v>
          </cell>
          <cell r="T1403">
            <v>0</v>
          </cell>
        </row>
        <row r="1404">
          <cell r="B1404" t="str">
            <v>Noble Energy</v>
          </cell>
          <cell r="O1404">
            <v>15.45266</v>
          </cell>
          <cell r="T1404">
            <v>0</v>
          </cell>
        </row>
        <row r="1405">
          <cell r="B1405" t="str">
            <v>Noble Energy</v>
          </cell>
          <cell r="O1405">
            <v>0.132772</v>
          </cell>
          <cell r="T1405">
            <v>0</v>
          </cell>
        </row>
        <row r="1406">
          <cell r="B1406" t="str">
            <v>Noble Energy</v>
          </cell>
          <cell r="O1406">
            <v>0</v>
          </cell>
        </row>
        <row r="1407">
          <cell r="B1407" t="str">
            <v>Noble Energy</v>
          </cell>
          <cell r="O1407">
            <v>31.415369999999999</v>
          </cell>
          <cell r="T1407">
            <v>0</v>
          </cell>
        </row>
        <row r="1408">
          <cell r="B1408" t="str">
            <v>Noble Energy</v>
          </cell>
          <cell r="O1408">
            <v>-158.19720000000001</v>
          </cell>
          <cell r="T1408">
            <v>0</v>
          </cell>
        </row>
        <row r="1409">
          <cell r="B1409" t="str">
            <v>Noble Energy</v>
          </cell>
          <cell r="O1409">
            <v>3.2195239999999998</v>
          </cell>
          <cell r="T1409">
            <v>0</v>
          </cell>
        </row>
        <row r="1410">
          <cell r="B1410" t="str">
            <v>Noble Energy</v>
          </cell>
        </row>
        <row r="1411">
          <cell r="B1411" t="str">
            <v>Noble Energy</v>
          </cell>
          <cell r="O1411">
            <v>1.0937159999999999</v>
          </cell>
          <cell r="T1411">
            <v>0</v>
          </cell>
        </row>
        <row r="1412">
          <cell r="B1412" t="str">
            <v>Pioneer Natural Resources</v>
          </cell>
          <cell r="N1412">
            <v>1.93475</v>
          </cell>
        </row>
        <row r="1413">
          <cell r="B1413" t="str">
            <v>Pioneer Natural Resources</v>
          </cell>
          <cell r="N1413">
            <v>2379.1869999999999</v>
          </cell>
          <cell r="O1413">
            <v>560.87829999999997</v>
          </cell>
          <cell r="S1413">
            <v>1416.1579999999999</v>
          </cell>
          <cell r="T1413">
            <v>247.81630000000001</v>
          </cell>
        </row>
        <row r="1414">
          <cell r="B1414" t="str">
            <v>Pioneer Natural Resources</v>
          </cell>
        </row>
        <row r="1415">
          <cell r="B1415" t="str">
            <v>Pioneer Natural Resources</v>
          </cell>
          <cell r="N1415">
            <v>8.336354</v>
          </cell>
          <cell r="S1415">
            <v>4.6204010000000002</v>
          </cell>
        </row>
        <row r="1416">
          <cell r="B1416" t="str">
            <v>Pioneer Natural Resources</v>
          </cell>
        </row>
        <row r="1417">
          <cell r="B1417" t="str">
            <v>Whiting Petroleum Corporation (WLL)</v>
          </cell>
        </row>
        <row r="1418">
          <cell r="B1418" t="str">
            <v>Whiting Petroleum Corporation (WLL)</v>
          </cell>
        </row>
        <row r="1419">
          <cell r="B1419" t="str">
            <v>Whiting Petroleum Corporation (WLL)</v>
          </cell>
          <cell r="N1419">
            <v>739.29390000000001</v>
          </cell>
          <cell r="O1419">
            <v>69.930210000000002</v>
          </cell>
          <cell r="S1419">
            <v>349.89109999999999</v>
          </cell>
          <cell r="T1419">
            <v>37.765929999999997</v>
          </cell>
        </row>
        <row r="1420">
          <cell r="B1420" t="str">
            <v>Whiting Petroleum Corporation (WLL)</v>
          </cell>
        </row>
        <row r="1421">
          <cell r="B1421" t="str">
            <v>Whiting Petroleum Corporation (WLL)</v>
          </cell>
        </row>
        <row r="1422">
          <cell r="B1422" t="str">
            <v>Whiting Petroleum Corporation (WLL)</v>
          </cell>
        </row>
        <row r="1423">
          <cell r="B1423" t="str">
            <v>Whiting Petroleum Corporation (WLL)</v>
          </cell>
          <cell r="N1423">
            <v>0.14943100000000001</v>
          </cell>
          <cell r="O1423">
            <v>9.3877000000000002E-2</v>
          </cell>
          <cell r="S1423">
            <v>0.251301</v>
          </cell>
          <cell r="T1423">
            <v>5.6902000000000001E-2</v>
          </cell>
        </row>
        <row r="1424">
          <cell r="B1424" t="str">
            <v>Whiting Petroleum Corporation (WLL)</v>
          </cell>
        </row>
        <row r="1425">
          <cell r="B1425" t="str">
            <v>Whiting Petroleum Corporation (WLL)</v>
          </cell>
        </row>
        <row r="1426">
          <cell r="B1426" t="str">
            <v>Whiting Petroleum Corporation (WLL)</v>
          </cell>
        </row>
        <row r="1427">
          <cell r="B1427" t="str">
            <v>Whiting Petroleum Corporation (WLL)</v>
          </cell>
          <cell r="N1427">
            <v>0</v>
          </cell>
          <cell r="S1427">
            <v>47.207569999999997</v>
          </cell>
          <cell r="T1427">
            <v>0</v>
          </cell>
        </row>
        <row r="1428">
          <cell r="B1428" t="str">
            <v>Whiting Petroleum Corporation (WLL)</v>
          </cell>
        </row>
        <row r="1429">
          <cell r="B1429" t="str">
            <v>Whiting Petroleum Corporation (WLL)</v>
          </cell>
        </row>
        <row r="1430">
          <cell r="B1430" t="str">
            <v>Whiting Petroleum Corporation (WLL)</v>
          </cell>
        </row>
        <row r="1431">
          <cell r="B1431" t="str">
            <v>Whiting Petroleum Corporation (WLL)</v>
          </cell>
        </row>
        <row r="1432">
          <cell r="B1432" t="str">
            <v>Whiting Petroleum Corporation (WLL)</v>
          </cell>
          <cell r="N1432">
            <v>0</v>
          </cell>
        </row>
        <row r="1433">
          <cell r="B1433" t="str">
            <v>Whiting Petroleum Corporation (WLL)</v>
          </cell>
        </row>
        <row r="1434">
          <cell r="B1434" t="str">
            <v>Whiting Petroleum Corporation (WLL)</v>
          </cell>
          <cell r="O1434">
            <v>0</v>
          </cell>
        </row>
        <row r="1435">
          <cell r="B1435" t="str">
            <v>Cimarex Energy</v>
          </cell>
        </row>
        <row r="1436">
          <cell r="B1436" t="str">
            <v>Cimarex Energy</v>
          </cell>
          <cell r="O1436">
            <v>0.22724900000000001</v>
          </cell>
          <cell r="T1436">
            <v>0.22724900000000001</v>
          </cell>
        </row>
        <row r="1437">
          <cell r="B1437" t="str">
            <v>Cimarex Energy</v>
          </cell>
          <cell r="N1437">
            <v>0.113839</v>
          </cell>
          <cell r="S1437">
            <v>0</v>
          </cell>
        </row>
        <row r="1438">
          <cell r="B1438" t="str">
            <v>Cimarex Energy</v>
          </cell>
          <cell r="N1438">
            <v>0.26145499999999999</v>
          </cell>
          <cell r="S1438">
            <v>0</v>
          </cell>
        </row>
        <row r="1439">
          <cell r="B1439" t="str">
            <v>Cimarex Energy</v>
          </cell>
        </row>
        <row r="1440">
          <cell r="B1440" t="str">
            <v>Cimarex Energy</v>
          </cell>
          <cell r="N1440">
            <v>615.42809999999997</v>
          </cell>
          <cell r="O1440">
            <v>161.53819999999999</v>
          </cell>
          <cell r="S1440">
            <v>305.0265</v>
          </cell>
          <cell r="T1440">
            <v>67.820719999999994</v>
          </cell>
        </row>
        <row r="1441">
          <cell r="B1441" t="str">
            <v>Cimarex Energy</v>
          </cell>
          <cell r="N1441">
            <v>195.24860000000001</v>
          </cell>
          <cell r="O1441">
            <v>29.112719999999999</v>
          </cell>
          <cell r="S1441">
            <v>151.4265</v>
          </cell>
          <cell r="T1441">
            <v>19.363479999999999</v>
          </cell>
        </row>
        <row r="1442">
          <cell r="B1442" t="str">
            <v>Cimarex Energy</v>
          </cell>
          <cell r="N1442">
            <v>13.31878</v>
          </cell>
          <cell r="O1442">
            <v>3.5296159999999999</v>
          </cell>
          <cell r="S1442">
            <v>0</v>
          </cell>
          <cell r="T1442">
            <v>0</v>
          </cell>
        </row>
        <row r="1443">
          <cell r="B1443" t="str">
            <v>Cimarex Energy</v>
          </cell>
        </row>
        <row r="1444">
          <cell r="B1444" t="str">
            <v>Cimarex Energy</v>
          </cell>
          <cell r="N1444">
            <v>188.37549999999999</v>
          </cell>
          <cell r="O1444">
            <v>1.0526329999999999</v>
          </cell>
          <cell r="S1444">
            <v>11.32818</v>
          </cell>
          <cell r="T1444">
            <v>0</v>
          </cell>
        </row>
        <row r="1445">
          <cell r="B1445" t="str">
            <v>Cimarex Energy</v>
          </cell>
          <cell r="S1445">
            <v>0</v>
          </cell>
        </row>
        <row r="1446">
          <cell r="B1446" t="str">
            <v>Cimarex Energy</v>
          </cell>
        </row>
        <row r="1447">
          <cell r="B1447" t="str">
            <v>Cimarex Energy</v>
          </cell>
          <cell r="N1447">
            <v>2.9138399999999998E-2</v>
          </cell>
          <cell r="S1447">
            <v>2.2969199999999999E-2</v>
          </cell>
        </row>
        <row r="1448">
          <cell r="B1448" t="str">
            <v>Baytex Energy Corp. (BTE)</v>
          </cell>
          <cell r="N1448">
            <v>128.13239999999999</v>
          </cell>
          <cell r="O1448">
            <v>9.6974280000000004</v>
          </cell>
          <cell r="S1448">
            <v>84.072590000000005</v>
          </cell>
          <cell r="T1448">
            <v>4.7307550000000003</v>
          </cell>
        </row>
        <row r="1449">
          <cell r="B1449" t="str">
            <v>Baytex Energy Corp. (BTE)</v>
          </cell>
          <cell r="N1449">
            <v>58.74615</v>
          </cell>
          <cell r="O1449">
            <v>6.4281280000000001</v>
          </cell>
          <cell r="S1449">
            <v>11.03586</v>
          </cell>
          <cell r="T1449">
            <v>1.975176</v>
          </cell>
        </row>
        <row r="1450">
          <cell r="B1450" t="str">
            <v>Baytex Energy Corp. (BTE)</v>
          </cell>
          <cell r="N1450">
            <v>221.39019999999999</v>
          </cell>
          <cell r="O1450">
            <v>22.838380000000001</v>
          </cell>
          <cell r="S1450">
            <v>135.85839999999999</v>
          </cell>
          <cell r="T1450">
            <v>13.09403</v>
          </cell>
        </row>
        <row r="1451">
          <cell r="B1451" t="str">
            <v>Repsol</v>
          </cell>
          <cell r="N1451">
            <v>0.88612400000000002</v>
          </cell>
          <cell r="S1451">
            <v>0.31774799999999997</v>
          </cell>
        </row>
        <row r="1452">
          <cell r="B1452" t="str">
            <v>Repsol</v>
          </cell>
          <cell r="N1452">
            <v>1.100223</v>
          </cell>
          <cell r="S1452">
            <v>0.90144100000000005</v>
          </cell>
        </row>
        <row r="1453">
          <cell r="B1453" t="str">
            <v>Repsol</v>
          </cell>
          <cell r="O1453">
            <v>0.20296500000000001</v>
          </cell>
          <cell r="T1453">
            <v>0.95186599999999999</v>
          </cell>
        </row>
        <row r="1454">
          <cell r="B1454" t="str">
            <v>Repsol</v>
          </cell>
        </row>
        <row r="1455">
          <cell r="B1455" t="str">
            <v>Repsol</v>
          </cell>
          <cell r="N1455">
            <v>16.675149999999999</v>
          </cell>
          <cell r="S1455">
            <v>34.755229999999997</v>
          </cell>
        </row>
        <row r="1456">
          <cell r="B1456" t="str">
            <v>Repsol</v>
          </cell>
          <cell r="O1456">
            <v>5.8808800000000001E-2</v>
          </cell>
          <cell r="T1456">
            <v>5.8808800000000001E-2</v>
          </cell>
        </row>
        <row r="1457">
          <cell r="B1457" t="str">
            <v>Repsol</v>
          </cell>
          <cell r="N1457">
            <v>5.3572439999999997</v>
          </cell>
          <cell r="O1457">
            <v>0.1656</v>
          </cell>
          <cell r="S1457">
            <v>4.3593349999999997</v>
          </cell>
          <cell r="T1457">
            <v>0.1656</v>
          </cell>
        </row>
        <row r="1458">
          <cell r="B1458" t="str">
            <v>Repsol</v>
          </cell>
          <cell r="O1458">
            <v>2.9348200000000002</v>
          </cell>
          <cell r="T1458">
            <v>2.9348200000000002</v>
          </cell>
        </row>
        <row r="1459">
          <cell r="B1459" t="str">
            <v>Repsol</v>
          </cell>
        </row>
        <row r="1460">
          <cell r="B1460" t="str">
            <v>Repsol</v>
          </cell>
        </row>
        <row r="1461">
          <cell r="B1461" t="str">
            <v>Repsol</v>
          </cell>
          <cell r="O1461">
            <v>0.1275</v>
          </cell>
          <cell r="T1461">
            <v>0.1275</v>
          </cell>
        </row>
        <row r="1462">
          <cell r="B1462" t="str">
            <v>Repsol</v>
          </cell>
          <cell r="O1462">
            <v>0.1874797</v>
          </cell>
          <cell r="T1462">
            <v>0.1874797</v>
          </cell>
        </row>
        <row r="1463">
          <cell r="B1463" t="str">
            <v>Repsol</v>
          </cell>
          <cell r="O1463">
            <v>9.68971E-2</v>
          </cell>
          <cell r="T1463">
            <v>9.68971E-2</v>
          </cell>
        </row>
        <row r="1464">
          <cell r="B1464" t="str">
            <v>Repsol</v>
          </cell>
          <cell r="O1464">
            <v>8.3776000000000007E-3</v>
          </cell>
          <cell r="T1464">
            <v>8.3776000000000007E-3</v>
          </cell>
        </row>
        <row r="1465">
          <cell r="B1465" t="str">
            <v>Repsol</v>
          </cell>
        </row>
        <row r="1466">
          <cell r="B1466" t="str">
            <v>Repsol</v>
          </cell>
          <cell r="O1466">
            <v>4.5052559999999998E-2</v>
          </cell>
          <cell r="T1466">
            <v>1.7711889999999999</v>
          </cell>
        </row>
        <row r="1467">
          <cell r="B1467" t="str">
            <v>Repsol</v>
          </cell>
          <cell r="N1467">
            <v>161.79929999999999</v>
          </cell>
          <cell r="O1467">
            <v>4.7620110000000002</v>
          </cell>
          <cell r="S1467">
            <v>288.21949999999998</v>
          </cell>
          <cell r="T1467">
            <v>13.19773</v>
          </cell>
        </row>
        <row r="1468">
          <cell r="B1468" t="str">
            <v>Repsol</v>
          </cell>
          <cell r="N1468">
            <v>3.0582549999999999</v>
          </cell>
          <cell r="O1468">
            <v>1.063503E-2</v>
          </cell>
          <cell r="S1468">
            <v>2.885497</v>
          </cell>
          <cell r="T1468">
            <v>6.82857E-3</v>
          </cell>
        </row>
        <row r="1469">
          <cell r="B1469" t="str">
            <v>Repsol</v>
          </cell>
          <cell r="N1469">
            <v>38.433990000000001</v>
          </cell>
          <cell r="O1469">
            <v>4.9676360000000003E-2</v>
          </cell>
          <cell r="S1469">
            <v>21.99821</v>
          </cell>
          <cell r="T1469">
            <v>3.762066E-2</v>
          </cell>
        </row>
        <row r="1470">
          <cell r="B1470" t="str">
            <v>Repsol</v>
          </cell>
          <cell r="O1470">
            <v>8.9492100000000008E-3</v>
          </cell>
          <cell r="T1470">
            <v>5.7462700000000004E-3</v>
          </cell>
        </row>
        <row r="1471">
          <cell r="B1471" t="str">
            <v>Repsol</v>
          </cell>
          <cell r="O1471">
            <v>-2.015352E-10</v>
          </cell>
          <cell r="T1471">
            <v>1.7605150000000001</v>
          </cell>
        </row>
        <row r="1472">
          <cell r="B1472" t="str">
            <v>Repsol</v>
          </cell>
          <cell r="O1472">
            <v>0.54410499999999995</v>
          </cell>
          <cell r="T1472">
            <v>0.60757399999999995</v>
          </cell>
        </row>
        <row r="1473">
          <cell r="B1473" t="str">
            <v>Repsol</v>
          </cell>
          <cell r="O1473">
            <v>0.30889339999999998</v>
          </cell>
          <cell r="T1473">
            <v>0.30889339999999998</v>
          </cell>
        </row>
        <row r="1474">
          <cell r="B1474" t="str">
            <v>Repsol</v>
          </cell>
          <cell r="N1474">
            <v>0</v>
          </cell>
          <cell r="S1474">
            <v>6.3839880000000004</v>
          </cell>
        </row>
        <row r="1475">
          <cell r="B1475" t="str">
            <v>Repsol</v>
          </cell>
          <cell r="N1475">
            <v>60.143949999999997</v>
          </cell>
          <cell r="O1475">
            <v>2.7215829999999999</v>
          </cell>
          <cell r="S1475">
            <v>45.697569999999999</v>
          </cell>
          <cell r="T1475">
            <v>7.1127549999999999</v>
          </cell>
        </row>
        <row r="1476">
          <cell r="B1476" t="str">
            <v>Repsol</v>
          </cell>
        </row>
        <row r="1477">
          <cell r="B1477" t="str">
            <v>Repsol</v>
          </cell>
          <cell r="O1477">
            <v>36.47531</v>
          </cell>
          <cell r="T1477">
            <v>23.188130000000001</v>
          </cell>
        </row>
        <row r="1478">
          <cell r="B1478" t="str">
            <v>Repsol</v>
          </cell>
        </row>
        <row r="1479">
          <cell r="B1479" t="str">
            <v>Repsol</v>
          </cell>
          <cell r="N1479">
            <v>0</v>
          </cell>
          <cell r="O1479">
            <v>0.116664</v>
          </cell>
          <cell r="S1479">
            <v>3.7499999999999999E-2</v>
          </cell>
          <cell r="T1479">
            <v>51.525089999999999</v>
          </cell>
        </row>
        <row r="1480">
          <cell r="B1480" t="str">
            <v>Repsol</v>
          </cell>
          <cell r="N1480">
            <v>193.91720000000001</v>
          </cell>
          <cell r="O1480">
            <v>13.40625</v>
          </cell>
          <cell r="S1480">
            <v>184.33199999999999</v>
          </cell>
          <cell r="T1480">
            <v>0.25246089999999999</v>
          </cell>
        </row>
        <row r="1481">
          <cell r="B1481" t="str">
            <v>Repsol</v>
          </cell>
          <cell r="O1481">
            <v>0.1103073</v>
          </cell>
          <cell r="T1481">
            <v>10.28463</v>
          </cell>
        </row>
        <row r="1482">
          <cell r="B1482" t="str">
            <v>Repsol</v>
          </cell>
          <cell r="N1482">
            <v>4.9156240000000002</v>
          </cell>
          <cell r="O1482">
            <v>7.2165499999999994E-2</v>
          </cell>
          <cell r="S1482">
            <v>7.7908569999999999</v>
          </cell>
          <cell r="T1482">
            <v>7.2165499999999994E-2</v>
          </cell>
        </row>
        <row r="1483">
          <cell r="B1483" t="str">
            <v>Repsol</v>
          </cell>
          <cell r="N1483">
            <v>2.0398179999999999</v>
          </cell>
          <cell r="S1483">
            <v>1.925959</v>
          </cell>
        </row>
        <row r="1484">
          <cell r="B1484" t="str">
            <v>Repsol</v>
          </cell>
        </row>
        <row r="1485">
          <cell r="B1485" t="str">
            <v>Repsol</v>
          </cell>
          <cell r="O1485">
            <v>2.7464639999999998E-2</v>
          </cell>
          <cell r="T1485">
            <v>2.7464639999999998E-2</v>
          </cell>
        </row>
        <row r="1486">
          <cell r="B1486" t="str">
            <v>Repsol</v>
          </cell>
        </row>
        <row r="1487">
          <cell r="B1487" t="str">
            <v>Repsol</v>
          </cell>
          <cell r="O1487">
            <v>2.6543130000000002E-2</v>
          </cell>
          <cell r="S1487">
            <v>0</v>
          </cell>
          <cell r="T1487">
            <v>0.15184230000000001</v>
          </cell>
        </row>
        <row r="1488">
          <cell r="B1488" t="str">
            <v>Repsol</v>
          </cell>
          <cell r="N1488">
            <v>1.4034530000000001</v>
          </cell>
          <cell r="S1488">
            <v>0.73365440000000004</v>
          </cell>
        </row>
        <row r="1489">
          <cell r="B1489" t="str">
            <v>Repsol</v>
          </cell>
          <cell r="O1489">
            <v>6.6750840000000006E-2</v>
          </cell>
          <cell r="T1489">
            <v>7.4623700000000001E-2</v>
          </cell>
        </row>
        <row r="1490">
          <cell r="B1490" t="str">
            <v>Repsol</v>
          </cell>
          <cell r="O1490">
            <v>1.3751630000000001E-2</v>
          </cell>
          <cell r="T1490">
            <v>1.537345E-2</v>
          </cell>
        </row>
        <row r="1491">
          <cell r="B1491" t="str">
            <v>Repsol</v>
          </cell>
          <cell r="O1491">
            <v>1.4487409999999999E-2</v>
          </cell>
          <cell r="T1491">
            <v>1.6196039999999998E-2</v>
          </cell>
        </row>
        <row r="1492">
          <cell r="B1492" t="str">
            <v>Repsol</v>
          </cell>
          <cell r="N1492">
            <v>0.49330689999999999</v>
          </cell>
        </row>
        <row r="1493">
          <cell r="B1493" t="str">
            <v>Repsol</v>
          </cell>
          <cell r="N1493">
            <v>37.225650000000002</v>
          </cell>
          <cell r="O1493">
            <v>5.083141E-2</v>
          </cell>
          <cell r="S1493">
            <v>28.833220000000001</v>
          </cell>
          <cell r="T1493">
            <v>5.6826330000000001E-2</v>
          </cell>
        </row>
        <row r="1494">
          <cell r="B1494" t="str">
            <v>Repsol</v>
          </cell>
          <cell r="N1494">
            <v>0</v>
          </cell>
          <cell r="O1494">
            <v>1.379507E-2</v>
          </cell>
          <cell r="S1494">
            <v>5.0802990000000001</v>
          </cell>
          <cell r="T1494">
            <v>1.542285E-2</v>
          </cell>
        </row>
        <row r="1495">
          <cell r="B1495" t="str">
            <v>Repsol</v>
          </cell>
          <cell r="N1495">
            <v>5.211093</v>
          </cell>
          <cell r="O1495">
            <v>4.0324080000000003E-3</v>
          </cell>
          <cell r="S1495">
            <v>11.45186</v>
          </cell>
          <cell r="T1495">
            <v>4.5081899999999996E-3</v>
          </cell>
        </row>
        <row r="1496">
          <cell r="B1496" t="str">
            <v>Repsol</v>
          </cell>
          <cell r="N1496">
            <v>0.1275</v>
          </cell>
          <cell r="O1496">
            <v>3.899561E-2</v>
          </cell>
          <cell r="S1496">
            <v>1.4025000000000001</v>
          </cell>
          <cell r="T1496">
            <v>4.359466E-2</v>
          </cell>
        </row>
        <row r="1497">
          <cell r="B1497" t="str">
            <v>Repsol</v>
          </cell>
          <cell r="O1497">
            <v>0.2211137</v>
          </cell>
          <cell r="T1497">
            <v>94.03425</v>
          </cell>
        </row>
        <row r="1498">
          <cell r="B1498" t="str">
            <v>Repsol</v>
          </cell>
          <cell r="O1498">
            <v>6.280956E-2</v>
          </cell>
          <cell r="T1498">
            <v>7.0216799999999996E-2</v>
          </cell>
        </row>
        <row r="1499">
          <cell r="B1499" t="str">
            <v>Repsol</v>
          </cell>
          <cell r="N1499">
            <v>3.344754</v>
          </cell>
          <cell r="O1499">
            <v>3.0090370000000002E-2</v>
          </cell>
          <cell r="S1499">
            <v>4.3306879999999999E-2</v>
          </cell>
          <cell r="T1499">
            <v>2.9299889999999999E-2</v>
          </cell>
        </row>
        <row r="1500">
          <cell r="B1500" t="str">
            <v>Repsol</v>
          </cell>
          <cell r="O1500">
            <v>5.034599E-2</v>
          </cell>
          <cell r="T1500">
            <v>3.2326000000000001E-2</v>
          </cell>
        </row>
        <row r="1501">
          <cell r="B1501" t="str">
            <v>Repsol</v>
          </cell>
          <cell r="N1501">
            <v>0.29478900000000002</v>
          </cell>
          <cell r="O1501">
            <v>3.3171260000000001E-3</v>
          </cell>
          <cell r="S1501">
            <v>0.23031170000000001</v>
          </cell>
          <cell r="T1501">
            <v>3.708364E-3</v>
          </cell>
        </row>
        <row r="1502">
          <cell r="B1502" t="str">
            <v>Repsol</v>
          </cell>
          <cell r="N1502">
            <v>0.51095069999999998</v>
          </cell>
          <cell r="O1502">
            <v>3.5747939999999999E-2</v>
          </cell>
          <cell r="S1502">
            <v>0.37787789999999999</v>
          </cell>
          <cell r="T1502">
            <v>3.9964720000000002E-2</v>
          </cell>
        </row>
        <row r="1503">
          <cell r="B1503" t="str">
            <v>Repsol</v>
          </cell>
          <cell r="N1503">
            <v>12.82888</v>
          </cell>
          <cell r="O1503">
            <v>1.4466120000000001E-2</v>
          </cell>
          <cell r="S1503">
            <v>6.6766209999999999</v>
          </cell>
          <cell r="T1503">
            <v>1.6172470000000001E-2</v>
          </cell>
        </row>
        <row r="1504">
          <cell r="B1504" t="str">
            <v>Repsol</v>
          </cell>
          <cell r="N1504">
            <v>2.1697939999999999E-2</v>
          </cell>
          <cell r="O1504">
            <v>4.6893749999999998E-2</v>
          </cell>
          <cell r="S1504">
            <v>1.527889E-2</v>
          </cell>
          <cell r="T1504">
            <v>0.2266302</v>
          </cell>
        </row>
        <row r="1505">
          <cell r="B1505" t="str">
            <v>Repsol</v>
          </cell>
          <cell r="N1505">
            <v>12.625870000000001</v>
          </cell>
          <cell r="O1505">
            <v>49.945920000000001</v>
          </cell>
          <cell r="S1505">
            <v>38.294370000000001</v>
          </cell>
          <cell r="T1505">
            <v>12.80768</v>
          </cell>
        </row>
        <row r="1506">
          <cell r="B1506" t="str">
            <v>Repsol</v>
          </cell>
          <cell r="N1506">
            <v>0.1654679</v>
          </cell>
          <cell r="O1506">
            <v>4.1091000000000001E-3</v>
          </cell>
          <cell r="S1506">
            <v>0.13544329999999999</v>
          </cell>
          <cell r="T1506">
            <v>4.8129150000000001E-3</v>
          </cell>
        </row>
        <row r="1507">
          <cell r="B1507" t="str">
            <v>Repsol</v>
          </cell>
          <cell r="O1507">
            <v>8.1082499999999991E-3</v>
          </cell>
          <cell r="T1507">
            <v>5.2060500000000003E-3</v>
          </cell>
        </row>
        <row r="1508">
          <cell r="B1508" t="str">
            <v>Repsol</v>
          </cell>
          <cell r="N1508">
            <v>12.139329999999999</v>
          </cell>
          <cell r="O1508">
            <v>4.8715499999999997E-3</v>
          </cell>
          <cell r="S1508">
            <v>11.97528</v>
          </cell>
          <cell r="T1508">
            <v>6.0232330000000003</v>
          </cell>
        </row>
        <row r="1509">
          <cell r="B1509" t="str">
            <v>Repsol</v>
          </cell>
          <cell r="N1509">
            <v>5.0378049999999996</v>
          </cell>
          <cell r="O1509">
            <v>3.3514599999999999E-2</v>
          </cell>
          <cell r="S1509">
            <v>3.852427</v>
          </cell>
          <cell r="T1509">
            <v>2.1518700000000002E-2</v>
          </cell>
        </row>
        <row r="1510">
          <cell r="B1510" t="str">
            <v>Repsol</v>
          </cell>
          <cell r="O1510">
            <v>0.32200899999999999</v>
          </cell>
          <cell r="T1510">
            <v>1.8642019999999999E-2</v>
          </cell>
        </row>
        <row r="1511">
          <cell r="B1511" t="str">
            <v>Repsol</v>
          </cell>
          <cell r="N1511">
            <v>17.392910000000001</v>
          </cell>
          <cell r="O1511">
            <v>1.895108</v>
          </cell>
          <cell r="S1511">
            <v>6.0566969999999998</v>
          </cell>
          <cell r="T1511">
            <v>1.352219E-2</v>
          </cell>
        </row>
        <row r="1512">
          <cell r="B1512" t="str">
            <v>Repsol</v>
          </cell>
          <cell r="O1512">
            <v>2.9445140000000001E-3</v>
          </cell>
          <cell r="T1512">
            <v>2.9445140000000001E-3</v>
          </cell>
        </row>
        <row r="1513">
          <cell r="B1513" t="str">
            <v>Repsol</v>
          </cell>
          <cell r="N1513">
            <v>80.221950000000007</v>
          </cell>
          <cell r="O1513">
            <v>12.117850000000001</v>
          </cell>
          <cell r="S1513">
            <v>46.911839999999998</v>
          </cell>
          <cell r="T1513">
            <v>0.1122454</v>
          </cell>
        </row>
        <row r="1514">
          <cell r="B1514" t="str">
            <v>Repsol</v>
          </cell>
          <cell r="O1514">
            <v>7.832604E-2</v>
          </cell>
          <cell r="T1514">
            <v>2.6949839999999999E-2</v>
          </cell>
        </row>
        <row r="1515">
          <cell r="B1515" t="str">
            <v>Repsol</v>
          </cell>
          <cell r="O1515">
            <v>0.2361664</v>
          </cell>
          <cell r="T1515">
            <v>0.2361664</v>
          </cell>
        </row>
        <row r="1516">
          <cell r="B1516" t="str">
            <v>Repsol</v>
          </cell>
          <cell r="O1516">
            <v>0.2001145</v>
          </cell>
          <cell r="T1516">
            <v>0.2001145</v>
          </cell>
        </row>
        <row r="1517">
          <cell r="B1517" t="str">
            <v>Repsol</v>
          </cell>
          <cell r="O1517">
            <v>0.1608173</v>
          </cell>
          <cell r="T1517">
            <v>0.1608173</v>
          </cell>
        </row>
        <row r="1518">
          <cell r="B1518" t="str">
            <v>Repsol</v>
          </cell>
          <cell r="N1518">
            <v>0</v>
          </cell>
          <cell r="O1518">
            <v>0.17421819999999999</v>
          </cell>
          <cell r="S1518">
            <v>1.25E-3</v>
          </cell>
          <cell r="T1518">
            <v>0.2656984</v>
          </cell>
        </row>
        <row r="1519">
          <cell r="B1519" t="str">
            <v>Repsol</v>
          </cell>
          <cell r="N1519">
            <v>0</v>
          </cell>
          <cell r="O1519">
            <v>0.93796230000000003</v>
          </cell>
          <cell r="S1519">
            <v>0.65775700000000004</v>
          </cell>
          <cell r="T1519">
            <v>4.1026170000000004</v>
          </cell>
        </row>
        <row r="1520">
          <cell r="B1520" t="str">
            <v>Repsol</v>
          </cell>
          <cell r="N1520">
            <v>41.532400000000003</v>
          </cell>
          <cell r="O1520">
            <v>25.340589999999999</v>
          </cell>
          <cell r="S1520">
            <v>113.5624</v>
          </cell>
          <cell r="T1520">
            <v>59.22833</v>
          </cell>
        </row>
        <row r="1521">
          <cell r="B1521" t="str">
            <v>Repsol</v>
          </cell>
        </row>
        <row r="1522">
          <cell r="B1522" t="str">
            <v>Repsol</v>
          </cell>
          <cell r="O1522">
            <v>5.1631490000000002E-2</v>
          </cell>
          <cell r="T1522">
            <v>5.1631490000000002E-2</v>
          </cell>
        </row>
        <row r="1523">
          <cell r="B1523" t="str">
            <v>Repsol</v>
          </cell>
          <cell r="O1523">
            <v>1.1565449999999999E-3</v>
          </cell>
          <cell r="T1523">
            <v>4.3777570000000003E-3</v>
          </cell>
        </row>
        <row r="1524">
          <cell r="B1524" t="str">
            <v>Repsol</v>
          </cell>
          <cell r="N1524">
            <v>0</v>
          </cell>
          <cell r="O1524">
            <v>0.56638160000000004</v>
          </cell>
          <cell r="S1524">
            <v>0.105</v>
          </cell>
          <cell r="T1524">
            <v>0.19487660000000001</v>
          </cell>
        </row>
        <row r="1525">
          <cell r="B1525" t="str">
            <v>Repsol</v>
          </cell>
          <cell r="N1525">
            <v>32.164149999999999</v>
          </cell>
          <cell r="S1525">
            <v>15.629580000000001</v>
          </cell>
        </row>
        <row r="1526">
          <cell r="B1526" t="str">
            <v>Repsol</v>
          </cell>
          <cell r="O1526">
            <v>5.4254569999999998E-4</v>
          </cell>
          <cell r="T1526">
            <v>5.4254559999999995E-4</v>
          </cell>
        </row>
        <row r="1527">
          <cell r="B1527" t="str">
            <v>Repsol</v>
          </cell>
          <cell r="O1527">
            <v>0.71040990000000004</v>
          </cell>
          <cell r="T1527">
            <v>0.71040990000000004</v>
          </cell>
        </row>
        <row r="1528">
          <cell r="B1528" t="str">
            <v>Repsol</v>
          </cell>
          <cell r="O1528">
            <v>8.196146E-2</v>
          </cell>
          <cell r="T1528">
            <v>2.6567199999999999E-2</v>
          </cell>
        </row>
        <row r="1529">
          <cell r="B1529" t="str">
            <v>Repsol</v>
          </cell>
          <cell r="O1529">
            <v>0.45377849999999997</v>
          </cell>
          <cell r="T1529">
            <v>0.45377849999999997</v>
          </cell>
        </row>
        <row r="1530">
          <cell r="B1530" t="str">
            <v>Repsol</v>
          </cell>
          <cell r="N1530">
            <v>14.92413</v>
          </cell>
          <cell r="S1530">
            <v>5.3336969999999999</v>
          </cell>
        </row>
        <row r="1531">
          <cell r="B1531" t="str">
            <v>Repsol</v>
          </cell>
          <cell r="O1531">
            <v>1.477087E-3</v>
          </cell>
          <cell r="T1531">
            <v>1.6512779999999999E-3</v>
          </cell>
        </row>
        <row r="1532">
          <cell r="B1532" t="str">
            <v>Repsol</v>
          </cell>
          <cell r="N1532">
            <v>2.0453619999999999</v>
          </cell>
          <cell r="O1532">
            <v>8.5192950000000003E-4</v>
          </cell>
          <cell r="S1532">
            <v>2.3476219999999999</v>
          </cell>
          <cell r="T1532">
            <v>1.033895E-2</v>
          </cell>
        </row>
        <row r="1533">
          <cell r="B1533" t="str">
            <v>Repsol</v>
          </cell>
          <cell r="N1533">
            <v>27.939599999999999</v>
          </cell>
          <cell r="O1533">
            <v>322.78590000000003</v>
          </cell>
          <cell r="S1533">
            <v>0.36199559999999997</v>
          </cell>
          <cell r="T1533">
            <v>28.28931</v>
          </cell>
        </row>
        <row r="1534">
          <cell r="B1534" t="str">
            <v>Repsol</v>
          </cell>
          <cell r="N1534">
            <v>15.23499</v>
          </cell>
          <cell r="O1534">
            <v>0.40449659999999998</v>
          </cell>
          <cell r="S1534">
            <v>27.224240000000002</v>
          </cell>
          <cell r="T1534">
            <v>0.34121000000000001</v>
          </cell>
        </row>
        <row r="1535">
          <cell r="B1535" t="str">
            <v>Repsol</v>
          </cell>
          <cell r="N1535">
            <v>0.48123310000000002</v>
          </cell>
          <cell r="O1535">
            <v>0.10126300000000001</v>
          </cell>
          <cell r="S1535">
            <v>0.37569770000000002</v>
          </cell>
          <cell r="T1535">
            <v>0.10126300000000001</v>
          </cell>
        </row>
        <row r="1536">
          <cell r="B1536" t="str">
            <v>Repsol</v>
          </cell>
          <cell r="O1536">
            <v>0.32523780000000002</v>
          </cell>
          <cell r="T1536">
            <v>0.32523780000000002</v>
          </cell>
        </row>
        <row r="1537">
          <cell r="B1537" t="str">
            <v>Repsol</v>
          </cell>
          <cell r="O1537">
            <v>20.314409999999999</v>
          </cell>
          <cell r="T1537">
            <v>3.7349760000000003E-2</v>
          </cell>
        </row>
        <row r="1538">
          <cell r="B1538" t="str">
            <v>Repsol</v>
          </cell>
          <cell r="O1538">
            <v>6.8322839999999996E-2</v>
          </cell>
        </row>
        <row r="1539">
          <cell r="B1539" t="str">
            <v>Repsol</v>
          </cell>
          <cell r="O1539">
            <v>7.8319490000000005E-2</v>
          </cell>
          <cell r="T1539">
            <v>5.8005180000000003E-2</v>
          </cell>
        </row>
        <row r="1540">
          <cell r="B1540" t="str">
            <v>Repsol</v>
          </cell>
        </row>
        <row r="1541">
          <cell r="B1541" t="str">
            <v>Repsol</v>
          </cell>
          <cell r="N1541">
            <v>0.66122080000000005</v>
          </cell>
          <cell r="O1541">
            <v>3.1515229999999998E-3</v>
          </cell>
          <cell r="S1541">
            <v>1.665861</v>
          </cell>
          <cell r="T1541">
            <v>4.2752019999999996E-3</v>
          </cell>
        </row>
        <row r="1542">
          <cell r="B1542" t="str">
            <v>Repsol</v>
          </cell>
          <cell r="O1542">
            <v>5.2516999999999998E-3</v>
          </cell>
        </row>
        <row r="1543">
          <cell r="B1543" t="str">
            <v>Repsol</v>
          </cell>
          <cell r="N1543">
            <v>22.296410000000002</v>
          </cell>
          <cell r="O1543">
            <v>0.17494680000000001</v>
          </cell>
          <cell r="S1543">
            <v>33.03886</v>
          </cell>
          <cell r="T1543">
            <v>0.17494680000000001</v>
          </cell>
        </row>
        <row r="1544">
          <cell r="B1544" t="str">
            <v>Repsol</v>
          </cell>
          <cell r="N1544">
            <v>4.7101179999999999E-2</v>
          </cell>
          <cell r="O1544">
            <v>0.1710043</v>
          </cell>
          <cell r="T1544">
            <v>0.1710043</v>
          </cell>
        </row>
        <row r="1545">
          <cell r="B1545" t="str">
            <v>Repsol</v>
          </cell>
          <cell r="N1545">
            <v>26.3626</v>
          </cell>
          <cell r="O1545">
            <v>4.068078E-2</v>
          </cell>
          <cell r="S1545">
            <v>22.540150000000001</v>
          </cell>
          <cell r="T1545">
            <v>4.068078E-2</v>
          </cell>
        </row>
        <row r="1546">
          <cell r="B1546" t="str">
            <v>Repsol</v>
          </cell>
          <cell r="N1546">
            <v>53.348689999999998</v>
          </cell>
          <cell r="O1546">
            <v>5.8238600000000001E-2</v>
          </cell>
          <cell r="S1546">
            <v>40.965910000000001</v>
          </cell>
          <cell r="T1546">
            <v>5.8238600000000001E-2</v>
          </cell>
        </row>
        <row r="1547">
          <cell r="B1547" t="str">
            <v>Repsol</v>
          </cell>
          <cell r="O1547">
            <v>0.38043120000000002</v>
          </cell>
          <cell r="T1547">
            <v>0.38043120000000002</v>
          </cell>
        </row>
        <row r="1548">
          <cell r="B1548" t="str">
            <v>Repsol</v>
          </cell>
          <cell r="O1548">
            <v>6.9957599999999995E-2</v>
          </cell>
          <cell r="T1548">
            <v>6.9957599999999995E-2</v>
          </cell>
        </row>
        <row r="1549">
          <cell r="B1549" t="str">
            <v>Repsol</v>
          </cell>
          <cell r="O1549">
            <v>0.10466</v>
          </cell>
          <cell r="T1549">
            <v>0.10466</v>
          </cell>
        </row>
        <row r="1550">
          <cell r="B1550" t="str">
            <v>Repsol</v>
          </cell>
          <cell r="O1550">
            <v>0.16372999999999999</v>
          </cell>
          <cell r="T1550">
            <v>0.16372999999999999</v>
          </cell>
        </row>
        <row r="1551">
          <cell r="B1551" t="str">
            <v>Repsol</v>
          </cell>
          <cell r="O1551">
            <v>4.5533450000000002</v>
          </cell>
          <cell r="T1551">
            <v>40.807949999999998</v>
          </cell>
        </row>
        <row r="1552">
          <cell r="B1552" t="str">
            <v>Repsol</v>
          </cell>
          <cell r="N1552">
            <v>91.431979999999996</v>
          </cell>
          <cell r="O1552">
            <v>0.153313</v>
          </cell>
          <cell r="S1552">
            <v>143.90819999999999</v>
          </cell>
          <cell r="T1552">
            <v>0.153313</v>
          </cell>
        </row>
        <row r="1553">
          <cell r="B1553" t="str">
            <v>Repsol</v>
          </cell>
          <cell r="O1553">
            <v>0.258245</v>
          </cell>
          <cell r="T1553">
            <v>8.8855000000000003E-2</v>
          </cell>
        </row>
        <row r="1554">
          <cell r="B1554" t="str">
            <v>Repsol</v>
          </cell>
          <cell r="N1554">
            <v>9.8531509999999992E-3</v>
          </cell>
          <cell r="O1554">
            <v>1.105125E-2</v>
          </cell>
        </row>
        <row r="1555">
          <cell r="B1555" t="str">
            <v>Repsol</v>
          </cell>
        </row>
        <row r="1556">
          <cell r="B1556" t="str">
            <v>Repsol</v>
          </cell>
          <cell r="N1556">
            <v>15.26998</v>
          </cell>
          <cell r="O1556">
            <v>0.21876470000000001</v>
          </cell>
          <cell r="S1556">
            <v>38.693210000000001</v>
          </cell>
          <cell r="T1556">
            <v>261.21539999999999</v>
          </cell>
        </row>
        <row r="1557">
          <cell r="B1557" t="str">
            <v>Repsol</v>
          </cell>
          <cell r="N1557">
            <v>122.694</v>
          </cell>
          <cell r="O1557">
            <v>3.2027399999999998E-2</v>
          </cell>
          <cell r="S1557">
            <v>43.11683</v>
          </cell>
          <cell r="T1557">
            <v>3.2027399999999998E-2</v>
          </cell>
        </row>
        <row r="1558">
          <cell r="B1558" t="str">
            <v>Repsol</v>
          </cell>
          <cell r="N1558">
            <v>4.2628079999999997</v>
          </cell>
          <cell r="O1558">
            <v>7.2425240000000004</v>
          </cell>
          <cell r="S1558">
            <v>8.4542629999999992</v>
          </cell>
          <cell r="T1558">
            <v>9.4266369999999995</v>
          </cell>
        </row>
        <row r="1559">
          <cell r="B1559" t="str">
            <v>Repsol</v>
          </cell>
          <cell r="O1559">
            <v>0.13173660000000001</v>
          </cell>
          <cell r="T1559">
            <v>0.14710380000000001</v>
          </cell>
        </row>
        <row r="1560">
          <cell r="B1560" t="str">
            <v>Repsol</v>
          </cell>
          <cell r="O1560">
            <v>0.11548319999999999</v>
          </cell>
          <cell r="T1560">
            <v>7.4149590000000001E-2</v>
          </cell>
        </row>
        <row r="1561">
          <cell r="B1561" t="str">
            <v>Repsol</v>
          </cell>
          <cell r="N1561">
            <v>8.2195649999999993</v>
          </cell>
          <cell r="O1561">
            <v>0.14131379999999999</v>
          </cell>
          <cell r="S1561">
            <v>0</v>
          </cell>
          <cell r="T1561">
            <v>0.14131450000000001</v>
          </cell>
        </row>
        <row r="1562">
          <cell r="B1562" t="str">
            <v>Repsol</v>
          </cell>
          <cell r="O1562">
            <v>5.1746760000000003E-2</v>
          </cell>
          <cell r="T1562">
            <v>5.1746159999999999E-2</v>
          </cell>
        </row>
        <row r="1563">
          <cell r="B1563" t="str">
            <v>Repsol</v>
          </cell>
          <cell r="O1563">
            <v>0.92850200000000005</v>
          </cell>
          <cell r="T1563">
            <v>0.92850200000000005</v>
          </cell>
        </row>
        <row r="1564">
          <cell r="B1564" t="str">
            <v>Repsol</v>
          </cell>
          <cell r="N1564">
            <v>2.5786829999999998</v>
          </cell>
          <cell r="O1564">
            <v>2.9090700000000001E-2</v>
          </cell>
          <cell r="S1564">
            <v>2.407273</v>
          </cell>
          <cell r="T1564">
            <v>0.46291339999999997</v>
          </cell>
        </row>
        <row r="1565">
          <cell r="B1565" t="str">
            <v>Repsol</v>
          </cell>
          <cell r="N1565">
            <v>16.736989999999999</v>
          </cell>
          <cell r="O1565">
            <v>0.17622380000000001</v>
          </cell>
          <cell r="S1565">
            <v>6.2712870000000001</v>
          </cell>
          <cell r="T1565">
            <v>0.17622380000000001</v>
          </cell>
        </row>
        <row r="1566">
          <cell r="B1566" t="str">
            <v>Repsol</v>
          </cell>
          <cell r="O1566">
            <v>7.6984499999999997E-2</v>
          </cell>
          <cell r="T1566">
            <v>7.6984499999999997E-2</v>
          </cell>
        </row>
        <row r="1567">
          <cell r="B1567" t="str">
            <v>Repsol</v>
          </cell>
          <cell r="O1567">
            <v>16.688829999999999</v>
          </cell>
          <cell r="T1567">
            <v>2.5628850000000002E-2</v>
          </cell>
        </row>
        <row r="1568">
          <cell r="B1568" t="str">
            <v>Repsol</v>
          </cell>
          <cell r="O1568">
            <v>0.15698019999999999</v>
          </cell>
          <cell r="T1568">
            <v>0.15698019999999999</v>
          </cell>
        </row>
        <row r="1569">
          <cell r="B1569" t="str">
            <v>Repsol</v>
          </cell>
          <cell r="N1569">
            <v>0</v>
          </cell>
          <cell r="O1569">
            <v>4.3770299999999998E-2</v>
          </cell>
          <cell r="S1569">
            <v>9.4007269999999998</v>
          </cell>
          <cell r="T1569">
            <v>4.3770299999999998E-2</v>
          </cell>
        </row>
        <row r="1570">
          <cell r="B1570" t="str">
            <v>Repsol</v>
          </cell>
          <cell r="N1570">
            <v>190.7244</v>
          </cell>
          <cell r="O1570">
            <v>12.73695</v>
          </cell>
          <cell r="S1570">
            <v>162.98140000000001</v>
          </cell>
          <cell r="T1570">
            <v>40.269660000000002</v>
          </cell>
        </row>
        <row r="1571">
          <cell r="B1571" t="str">
            <v>Repsol</v>
          </cell>
        </row>
        <row r="1572">
          <cell r="B1572" t="str">
            <v>Repsol</v>
          </cell>
          <cell r="N1572">
            <v>16.635549999999999</v>
          </cell>
          <cell r="O1572">
            <v>0.37396289999999999</v>
          </cell>
          <cell r="S1572">
            <v>12.83559</v>
          </cell>
          <cell r="T1572">
            <v>0.37396289999999999</v>
          </cell>
        </row>
        <row r="1573">
          <cell r="B1573" t="str">
            <v>Repsol</v>
          </cell>
          <cell r="N1573">
            <v>17.623090000000001</v>
          </cell>
          <cell r="O1573">
            <v>6.8950690000000002E-3</v>
          </cell>
          <cell r="S1573">
            <v>29.47842</v>
          </cell>
          <cell r="T1573">
            <v>6.895071E-3</v>
          </cell>
        </row>
        <row r="1574">
          <cell r="B1574" t="str">
            <v>Repsol</v>
          </cell>
          <cell r="N1574">
            <v>356.40230000000003</v>
          </cell>
          <cell r="O1574">
            <v>43.597630000000002</v>
          </cell>
          <cell r="S1574">
            <v>174.6395</v>
          </cell>
          <cell r="T1574">
            <v>19.685120000000001</v>
          </cell>
        </row>
        <row r="1575">
          <cell r="B1575" t="str">
            <v>Repsol</v>
          </cell>
          <cell r="O1575">
            <v>0.20242979999999999</v>
          </cell>
          <cell r="T1575">
            <v>0.20242979999999999</v>
          </cell>
        </row>
        <row r="1576">
          <cell r="B1576" t="str">
            <v>Repsol</v>
          </cell>
          <cell r="O1576">
            <v>0.178646</v>
          </cell>
          <cell r="T1576">
            <v>0.178646</v>
          </cell>
        </row>
        <row r="1577">
          <cell r="B1577" t="str">
            <v>Repsol</v>
          </cell>
          <cell r="O1577">
            <v>0.16884950000000001</v>
          </cell>
          <cell r="T1577">
            <v>0.16884950000000001</v>
          </cell>
        </row>
        <row r="1578">
          <cell r="B1578" t="str">
            <v>Repsol</v>
          </cell>
          <cell r="O1578">
            <v>0.13641990000000001</v>
          </cell>
          <cell r="T1578">
            <v>0.13641990000000001</v>
          </cell>
        </row>
        <row r="1579">
          <cell r="B1579" t="str">
            <v>Repsol</v>
          </cell>
          <cell r="O1579">
            <v>7.7502709999999997</v>
          </cell>
          <cell r="T1579">
            <v>6.39734E-2</v>
          </cell>
        </row>
        <row r="1580">
          <cell r="B1580" t="str">
            <v>Repsol</v>
          </cell>
          <cell r="N1580">
            <v>74.068209999999993</v>
          </cell>
          <cell r="O1580">
            <v>1.2147539999999999</v>
          </cell>
          <cell r="S1580">
            <v>59.053649999999998</v>
          </cell>
          <cell r="T1580">
            <v>1.188285</v>
          </cell>
        </row>
        <row r="1581">
          <cell r="B1581" t="str">
            <v>Repsol</v>
          </cell>
          <cell r="O1581">
            <v>0.31868249999999998</v>
          </cell>
          <cell r="T1581">
            <v>0.31868249999999998</v>
          </cell>
        </row>
        <row r="1582">
          <cell r="B1582" t="str">
            <v>Repsol</v>
          </cell>
          <cell r="O1582">
            <v>0.3231426</v>
          </cell>
          <cell r="T1582">
            <v>3.252367</v>
          </cell>
        </row>
        <row r="1583">
          <cell r="B1583" t="str">
            <v>Repsol</v>
          </cell>
          <cell r="O1583">
            <v>0</v>
          </cell>
        </row>
        <row r="1584">
          <cell r="B1584" t="str">
            <v>Repsol</v>
          </cell>
          <cell r="O1584">
            <v>0</v>
          </cell>
        </row>
        <row r="1585">
          <cell r="B1585" t="str">
            <v>Repsol</v>
          </cell>
          <cell r="O1585">
            <v>0</v>
          </cell>
        </row>
        <row r="1586">
          <cell r="B1586" t="str">
            <v>Repsol</v>
          </cell>
          <cell r="O1586">
            <v>0</v>
          </cell>
        </row>
        <row r="1587">
          <cell r="B1587" t="str">
            <v>Repsol</v>
          </cell>
          <cell r="O1587">
            <v>0</v>
          </cell>
        </row>
        <row r="1588">
          <cell r="B1588" t="str">
            <v>Repsol</v>
          </cell>
        </row>
        <row r="1589">
          <cell r="B1589" t="str">
            <v>Repsol</v>
          </cell>
          <cell r="O1589">
            <v>0</v>
          </cell>
        </row>
        <row r="1590">
          <cell r="B1590" t="str">
            <v>Repsol</v>
          </cell>
        </row>
        <row r="1591">
          <cell r="B1591" t="str">
            <v>Repsol</v>
          </cell>
          <cell r="O1591">
            <v>0</v>
          </cell>
        </row>
        <row r="1592">
          <cell r="B1592" t="str">
            <v>Repsol</v>
          </cell>
          <cell r="O1592">
            <v>0</v>
          </cell>
        </row>
        <row r="1593">
          <cell r="B1593" t="str">
            <v>Repsol</v>
          </cell>
          <cell r="O1593">
            <v>0</v>
          </cell>
        </row>
        <row r="1594">
          <cell r="B1594" t="str">
            <v>Repsol</v>
          </cell>
        </row>
        <row r="1595">
          <cell r="B1595" t="str">
            <v>Repsol</v>
          </cell>
          <cell r="O1595">
            <v>0</v>
          </cell>
        </row>
        <row r="1596">
          <cell r="B1596" t="str">
            <v>Repsol</v>
          </cell>
          <cell r="O1596">
            <v>0</v>
          </cell>
        </row>
        <row r="1597">
          <cell r="B1597" t="str">
            <v>Repsol</v>
          </cell>
          <cell r="O1597">
            <v>0</v>
          </cell>
        </row>
        <row r="1598">
          <cell r="B1598" t="str">
            <v>Repsol</v>
          </cell>
          <cell r="O1598">
            <v>0</v>
          </cell>
        </row>
        <row r="1599">
          <cell r="B1599" t="str">
            <v>Repsol</v>
          </cell>
          <cell r="O1599">
            <v>0</v>
          </cell>
        </row>
        <row r="1600">
          <cell r="B1600" t="str">
            <v>Repsol</v>
          </cell>
          <cell r="O1600">
            <v>0</v>
          </cell>
        </row>
        <row r="1601">
          <cell r="B1601" t="str">
            <v>Repsol</v>
          </cell>
          <cell r="O1601">
            <v>0</v>
          </cell>
        </row>
        <row r="1602">
          <cell r="B1602" t="str">
            <v>Repsol</v>
          </cell>
          <cell r="O1602">
            <v>0</v>
          </cell>
        </row>
        <row r="1603">
          <cell r="B1603" t="str">
            <v>Repsol</v>
          </cell>
          <cell r="O1603">
            <v>0</v>
          </cell>
        </row>
        <row r="1604">
          <cell r="B1604" t="str">
            <v>Repsol</v>
          </cell>
          <cell r="O1604">
            <v>0</v>
          </cell>
        </row>
        <row r="1605">
          <cell r="B1605" t="str">
            <v>Repsol</v>
          </cell>
          <cell r="O1605">
            <v>0</v>
          </cell>
        </row>
        <row r="1606">
          <cell r="B1606" t="str">
            <v>Repsol</v>
          </cell>
          <cell r="O1606">
            <v>0</v>
          </cell>
        </row>
        <row r="1607">
          <cell r="B1607" t="str">
            <v>Repsol</v>
          </cell>
          <cell r="O1607">
            <v>0</v>
          </cell>
        </row>
        <row r="1608">
          <cell r="B1608" t="str">
            <v>Repsol</v>
          </cell>
          <cell r="O1608">
            <v>0</v>
          </cell>
        </row>
        <row r="1609">
          <cell r="B1609" t="str">
            <v>Repsol</v>
          </cell>
          <cell r="O1609">
            <v>0</v>
          </cell>
        </row>
        <row r="1610">
          <cell r="B1610" t="str">
            <v>Repsol</v>
          </cell>
          <cell r="O1610">
            <v>0</v>
          </cell>
        </row>
        <row r="1611">
          <cell r="B1611" t="str">
            <v>Repsol</v>
          </cell>
          <cell r="O1611">
            <v>0</v>
          </cell>
        </row>
        <row r="1612">
          <cell r="B1612" t="str">
            <v>Repsol</v>
          </cell>
          <cell r="O1612">
            <v>0</v>
          </cell>
        </row>
        <row r="1613">
          <cell r="B1613" t="str">
            <v>Repsol</v>
          </cell>
          <cell r="O1613">
            <v>0</v>
          </cell>
        </row>
        <row r="1614">
          <cell r="B1614" t="str">
            <v>Repsol</v>
          </cell>
          <cell r="O1614">
            <v>0</v>
          </cell>
        </row>
        <row r="1615">
          <cell r="B1615" t="str">
            <v>Repsol</v>
          </cell>
          <cell r="O1615">
            <v>0</v>
          </cell>
        </row>
        <row r="1616">
          <cell r="B1616" t="str">
            <v>Canadian Natural Resources (CNRL)</v>
          </cell>
          <cell r="O1616">
            <v>1.570773E-2</v>
          </cell>
          <cell r="T1616">
            <v>1.570773E-2</v>
          </cell>
        </row>
        <row r="1617">
          <cell r="B1617" t="str">
            <v>Canadian Natural Resources (CNRL)</v>
          </cell>
        </row>
        <row r="1618">
          <cell r="B1618" t="str">
            <v>Canadian Natural Resources (CNRL)</v>
          </cell>
          <cell r="O1618">
            <v>30.603280000000002</v>
          </cell>
          <cell r="S1618">
            <v>0</v>
          </cell>
          <cell r="T1618">
            <v>38.08961</v>
          </cell>
        </row>
        <row r="1619">
          <cell r="B1619" t="str">
            <v>Canadian Natural Resources (CNRL)</v>
          </cell>
          <cell r="N1619">
            <v>55.872129999999999</v>
          </cell>
          <cell r="O1619">
            <v>0.21052599999999999</v>
          </cell>
          <cell r="S1619">
            <v>55.393999999999998</v>
          </cell>
          <cell r="T1619">
            <v>0</v>
          </cell>
        </row>
        <row r="1620">
          <cell r="B1620" t="str">
            <v>Canadian Natural Resources (CNRL)</v>
          </cell>
          <cell r="O1620">
            <v>7.5924759999999994E-2</v>
          </cell>
          <cell r="T1620">
            <v>7.5924759999999994E-2</v>
          </cell>
        </row>
        <row r="1621">
          <cell r="B1621" t="str">
            <v>Canadian Natural Resources (CNRL)</v>
          </cell>
          <cell r="O1621">
            <v>9.6425940000000002E-2</v>
          </cell>
          <cell r="T1621">
            <v>0.1077992</v>
          </cell>
        </row>
        <row r="1622">
          <cell r="B1622" t="str">
            <v>Canadian Natural Resources (CNRL)</v>
          </cell>
          <cell r="N1622">
            <v>18.496269999999999</v>
          </cell>
          <cell r="O1622">
            <v>1.2658000000000001E-2</v>
          </cell>
          <cell r="S1622">
            <v>10.150969999999999</v>
          </cell>
          <cell r="T1622">
            <v>1.4151E-2</v>
          </cell>
        </row>
        <row r="1623">
          <cell r="B1623" t="str">
            <v>Canadian Natural Resources (CNRL)</v>
          </cell>
        </row>
        <row r="1624">
          <cell r="B1624" t="str">
            <v>Canadian Natural Resources (CNRL)</v>
          </cell>
          <cell r="N1624">
            <v>2.5351119999999998</v>
          </cell>
          <cell r="O1624">
            <v>1.607623E-2</v>
          </cell>
          <cell r="S1624">
            <v>1.8888160000000001</v>
          </cell>
          <cell r="T1624">
            <v>1.7972640000000002E-2</v>
          </cell>
        </row>
        <row r="1625">
          <cell r="B1625" t="str">
            <v>Canadian Natural Resources (CNRL)</v>
          </cell>
        </row>
        <row r="1626">
          <cell r="B1626" t="str">
            <v>Canadian Natural Resources (CNRL)</v>
          </cell>
          <cell r="N1626">
            <v>49.545960000000001</v>
          </cell>
          <cell r="O1626">
            <v>4.5756119999999997E-2</v>
          </cell>
          <cell r="S1626">
            <v>25.93948</v>
          </cell>
          <cell r="T1626">
            <v>5.1153730000000001E-2</v>
          </cell>
        </row>
        <row r="1627">
          <cell r="B1627" t="str">
            <v>Canadian Natural Resources (CNRL)</v>
          </cell>
          <cell r="O1627">
            <v>1.3597E-2</v>
          </cell>
          <cell r="T1627">
            <v>1.52E-2</v>
          </cell>
        </row>
        <row r="1628">
          <cell r="B1628" t="str">
            <v>Canadian Natural Resources (CNRL)</v>
          </cell>
        </row>
        <row r="1629">
          <cell r="B1629" t="str">
            <v>Canadian Natural Resources (CNRL)</v>
          </cell>
          <cell r="O1629">
            <v>8.5054409999999997E-2</v>
          </cell>
          <cell r="T1629">
            <v>0.38453399999999999</v>
          </cell>
        </row>
        <row r="1630">
          <cell r="B1630" t="str">
            <v>Canadian Natural Resources (CNRL)</v>
          </cell>
          <cell r="O1630">
            <v>1.132609E-2</v>
          </cell>
          <cell r="T1630">
            <v>1.132609E-2</v>
          </cell>
        </row>
        <row r="1631">
          <cell r="B1631" t="str">
            <v>Canadian Natural Resources (CNRL)</v>
          </cell>
          <cell r="N1631">
            <v>23.332049999999999</v>
          </cell>
          <cell r="O1631">
            <v>31.65551</v>
          </cell>
          <cell r="S1631">
            <v>40.980220000000003</v>
          </cell>
          <cell r="T1631">
            <v>0.31752049999999998</v>
          </cell>
        </row>
        <row r="1632">
          <cell r="B1632" t="str">
            <v>Canadian Natural Resources (CNRL)</v>
          </cell>
          <cell r="N1632">
            <v>7.535927</v>
          </cell>
          <cell r="S1632">
            <v>5.1683079999999997</v>
          </cell>
        </row>
        <row r="1633">
          <cell r="B1633" t="str">
            <v>Canadian Natural Resources (CNRL)</v>
          </cell>
          <cell r="N1633">
            <v>1.2186499999999999E-2</v>
          </cell>
          <cell r="S1633">
            <v>9.1365000000000005E-3</v>
          </cell>
        </row>
        <row r="1634">
          <cell r="B1634" t="str">
            <v>Canadian Natural Resources (CNRL)</v>
          </cell>
          <cell r="N1634">
            <v>2561.2579999999998</v>
          </cell>
          <cell r="O1634">
            <v>30.43919</v>
          </cell>
          <cell r="S1634">
            <v>1978.748</v>
          </cell>
          <cell r="T1634">
            <v>21.267440000000001</v>
          </cell>
        </row>
        <row r="1635">
          <cell r="B1635" t="str">
            <v>Canadian Natural Resources (CNRL)</v>
          </cell>
          <cell r="O1635">
            <v>7.5212500000000002E-2</v>
          </cell>
          <cell r="T1635">
            <v>7.5212500000000002E-2</v>
          </cell>
        </row>
        <row r="1636">
          <cell r="B1636" t="str">
            <v>Canadian Natural Resources (CNRL)</v>
          </cell>
          <cell r="O1636">
            <v>0</v>
          </cell>
        </row>
        <row r="1637">
          <cell r="B1637" t="str">
            <v>Canadian Natural Resources (CNRL)</v>
          </cell>
          <cell r="O1637">
            <v>0</v>
          </cell>
        </row>
        <row r="1638">
          <cell r="B1638" t="str">
            <v>Canadian Natural Resources (CNRL)</v>
          </cell>
          <cell r="O1638">
            <v>0</v>
          </cell>
        </row>
        <row r="1639">
          <cell r="B1639" t="str">
            <v>Canadian Natural Resources (CNRL)</v>
          </cell>
          <cell r="O1639">
            <v>0</v>
          </cell>
        </row>
        <row r="1640">
          <cell r="B1640" t="str">
            <v>Canadian Natural Resources (CNRL)</v>
          </cell>
          <cell r="O1640">
            <v>0</v>
          </cell>
        </row>
        <row r="1641">
          <cell r="B1641" t="str">
            <v>EP Energy Corporation (EPEGQ)</v>
          </cell>
          <cell r="N1641">
            <v>350</v>
          </cell>
          <cell r="S1641">
            <v>45.034529999999997</v>
          </cell>
        </row>
        <row r="1642">
          <cell r="B1642" t="str">
            <v>EP Energy Corporation (EPEGQ)</v>
          </cell>
          <cell r="N1642">
            <v>83.958330000000004</v>
          </cell>
          <cell r="O1642">
            <v>23.566659999999999</v>
          </cell>
          <cell r="S1642">
            <v>87.090770000000006</v>
          </cell>
          <cell r="T1642">
            <v>20.834309999999999</v>
          </cell>
        </row>
        <row r="1643">
          <cell r="B1643" t="str">
            <v>EP Energy Corporation (EPEGQ)</v>
          </cell>
        </row>
        <row r="1644">
          <cell r="B1644" t="str">
            <v>EP Energy Corporation (EPEGQ)</v>
          </cell>
          <cell r="N1644">
            <v>0</v>
          </cell>
          <cell r="O1644">
            <v>0</v>
          </cell>
          <cell r="S1644">
            <v>7.4758509999999996</v>
          </cell>
        </row>
        <row r="1645">
          <cell r="B1645" t="str">
            <v>EP Energy Corporation (EPEGQ)</v>
          </cell>
        </row>
        <row r="1646">
          <cell r="B1646" t="str">
            <v>EP Energy Corporation (EPEGQ)</v>
          </cell>
        </row>
        <row r="1647">
          <cell r="B1647" t="str">
            <v>EP Energy Corporation (EPEGQ)</v>
          </cell>
          <cell r="O1647">
            <v>0</v>
          </cell>
        </row>
        <row r="1648">
          <cell r="B1648" t="str">
            <v>Obsidian Energy Ltd. (OBELF)</v>
          </cell>
          <cell r="N1648">
            <v>61.927019999999999</v>
          </cell>
          <cell r="O1648">
            <v>11.71036</v>
          </cell>
          <cell r="S1648">
            <v>51.27261</v>
          </cell>
          <cell r="T1648">
            <v>7.571847</v>
          </cell>
        </row>
        <row r="1649">
          <cell r="B1649" t="str">
            <v>Obsidian Energy Ltd. (OBELF)</v>
          </cell>
          <cell r="O1649">
            <v>0</v>
          </cell>
        </row>
        <row r="1650">
          <cell r="B1650" t="str">
            <v>Talos Energy Inc. (TALO)</v>
          </cell>
          <cell r="N1650">
            <v>0.15054200000000001</v>
          </cell>
          <cell r="O1650">
            <v>1.653E-3</v>
          </cell>
          <cell r="S1650">
            <v>0.94294900000000004</v>
          </cell>
          <cell r="T1650">
            <v>2.0939999999999999E-3</v>
          </cell>
        </row>
        <row r="1651">
          <cell r="B1651" t="str">
            <v>Talos Energy Inc. (TALO)</v>
          </cell>
          <cell r="N1651">
            <v>7.3110309999999998</v>
          </cell>
          <cell r="S1651">
            <v>4.4478249999999999</v>
          </cell>
        </row>
        <row r="1652">
          <cell r="B1652" t="str">
            <v>Talos Energy Inc. (TALO)</v>
          </cell>
          <cell r="N1652">
            <v>1.127291</v>
          </cell>
          <cell r="O1652">
            <v>0.40205649999999998</v>
          </cell>
          <cell r="S1652">
            <v>0.86991790000000002</v>
          </cell>
          <cell r="T1652">
            <v>0.40205619999999997</v>
          </cell>
        </row>
        <row r="1653">
          <cell r="B1653" t="str">
            <v>Talos Energy Inc. (TALO)</v>
          </cell>
          <cell r="N1653">
            <v>306.09649999999999</v>
          </cell>
          <cell r="O1653">
            <v>287.53149999999999</v>
          </cell>
          <cell r="S1653">
            <v>119.26430000000001</v>
          </cell>
          <cell r="T1653">
            <v>540.02239999999995</v>
          </cell>
        </row>
        <row r="1654">
          <cell r="B1654" t="str">
            <v>Talos Energy Inc. (TALO)</v>
          </cell>
          <cell r="N1654">
            <v>14.308</v>
          </cell>
          <cell r="O1654">
            <v>80.260819999999995</v>
          </cell>
          <cell r="S1654">
            <v>10.5</v>
          </cell>
          <cell r="T1654">
            <v>12.49207</v>
          </cell>
        </row>
        <row r="1655">
          <cell r="B1655" t="str">
            <v>Talos Energy Inc. (TALO)</v>
          </cell>
          <cell r="N1655">
            <v>0</v>
          </cell>
          <cell r="O1655">
            <v>37.441690000000001</v>
          </cell>
          <cell r="S1655">
            <v>0.125</v>
          </cell>
          <cell r="T1655">
            <v>9.0968280000000004</v>
          </cell>
        </row>
        <row r="1656">
          <cell r="B1656" t="str">
            <v>Talos Energy Inc. (TALO)</v>
          </cell>
          <cell r="N1656">
            <v>0</v>
          </cell>
          <cell r="O1656">
            <v>0</v>
          </cell>
          <cell r="S1656">
            <v>4.0468130000000002</v>
          </cell>
          <cell r="T1656">
            <v>0.31868600000000002</v>
          </cell>
        </row>
        <row r="1657">
          <cell r="B1657" t="str">
            <v>Talos Energy Inc. (TALO)</v>
          </cell>
          <cell r="N1657">
            <v>5.905405</v>
          </cell>
          <cell r="S1657">
            <v>5.0709410000000004</v>
          </cell>
        </row>
        <row r="1658">
          <cell r="B1658" t="str">
            <v>Talos Energy Inc. (TALO)</v>
          </cell>
          <cell r="N1658">
            <v>0.41893170000000002</v>
          </cell>
          <cell r="O1658">
            <v>0.36021599999999998</v>
          </cell>
          <cell r="S1658">
            <v>0.36997429999999998</v>
          </cell>
          <cell r="T1658">
            <v>128.10730000000001</v>
          </cell>
        </row>
        <row r="1659">
          <cell r="B1659" t="str">
            <v>Talos Energy Inc. (TALO)</v>
          </cell>
          <cell r="N1659">
            <v>45.488169999999997</v>
          </cell>
          <cell r="O1659">
            <v>2.3551380000000002</v>
          </cell>
          <cell r="S1659">
            <v>35.69314</v>
          </cell>
          <cell r="T1659">
            <v>1.9370719999999999</v>
          </cell>
        </row>
        <row r="1660">
          <cell r="B1660" t="str">
            <v>Talos Energy Inc. (TALO)</v>
          </cell>
          <cell r="O1660">
            <v>-59.865090000000002</v>
          </cell>
          <cell r="T1660">
            <v>0</v>
          </cell>
        </row>
        <row r="1661">
          <cell r="B1661" t="str">
            <v>Talos Energy Inc. (TALO)</v>
          </cell>
          <cell r="O1661">
            <v>-148.90620000000001</v>
          </cell>
          <cell r="T1661">
            <v>0</v>
          </cell>
        </row>
        <row r="1662">
          <cell r="B1662" t="str">
            <v>WPX Energy, Inc. (WPX)</v>
          </cell>
        </row>
        <row r="1663">
          <cell r="B1663" t="str">
            <v>WPX Energy, Inc. (WPX)</v>
          </cell>
          <cell r="N1663">
            <v>340.30840000000001</v>
          </cell>
          <cell r="O1663">
            <v>40.512779999999999</v>
          </cell>
          <cell r="S1663">
            <v>285.97789999999998</v>
          </cell>
          <cell r="T1663">
            <v>30.426639999999999</v>
          </cell>
        </row>
        <row r="1664">
          <cell r="B1664" t="str">
            <v>WPX Energy, Inc. (WPX)</v>
          </cell>
          <cell r="N1664">
            <v>459.9409</v>
          </cell>
          <cell r="O1664">
            <v>121.0699</v>
          </cell>
          <cell r="S1664">
            <v>715.48270000000002</v>
          </cell>
          <cell r="T1664">
            <v>166.50649999999999</v>
          </cell>
        </row>
        <row r="1665">
          <cell r="B1665" t="str">
            <v>WPX Energy, Inc. (WPX)</v>
          </cell>
          <cell r="N1665">
            <v>56.920279999999998</v>
          </cell>
          <cell r="O1665">
            <v>11.736000000000001</v>
          </cell>
          <cell r="S1665">
            <v>47.086669999999998</v>
          </cell>
          <cell r="T1665">
            <v>8.8335830000000009</v>
          </cell>
        </row>
        <row r="1666">
          <cell r="B1666" t="str">
            <v>WPX Energy, Inc. (WPX)</v>
          </cell>
        </row>
        <row r="1667">
          <cell r="B1667" t="str">
            <v>WPX Energy, Inc. (WPX)</v>
          </cell>
          <cell r="O1667">
            <v>0</v>
          </cell>
        </row>
        <row r="1668">
          <cell r="B1668" t="str">
            <v>ARC Resources Ltd. (ARX.TO)</v>
          </cell>
          <cell r="N1668">
            <v>457.029</v>
          </cell>
          <cell r="O1668">
            <v>75.600040000000007</v>
          </cell>
          <cell r="S1668">
            <v>212.54949999999999</v>
          </cell>
          <cell r="T1668">
            <v>43.978670000000001</v>
          </cell>
        </row>
        <row r="1669">
          <cell r="B1669" t="str">
            <v>ARC Resources Ltd. (ARX.TO)</v>
          </cell>
          <cell r="O1669">
            <v>0</v>
          </cell>
        </row>
        <row r="1670">
          <cell r="B1670" t="str">
            <v>SM Energy Company (SM)</v>
          </cell>
        </row>
        <row r="1671">
          <cell r="B1671" t="str">
            <v>SM Energy Company (SM)</v>
          </cell>
          <cell r="N1671">
            <v>165.22329999999999</v>
          </cell>
          <cell r="O1671">
            <v>3.0720000000000001</v>
          </cell>
          <cell r="S1671">
            <v>120.464</v>
          </cell>
          <cell r="T1671">
            <v>0.85106700000000002</v>
          </cell>
        </row>
        <row r="1672">
          <cell r="B1672" t="str">
            <v>SM Energy Company (SM)</v>
          </cell>
        </row>
        <row r="1673">
          <cell r="B1673" t="str">
            <v>SM Energy Company (SM)</v>
          </cell>
          <cell r="N1673">
            <v>0.47728120000000002</v>
          </cell>
        </row>
        <row r="1674">
          <cell r="B1674" t="str">
            <v>SM Energy Company (SM)</v>
          </cell>
          <cell r="N1674">
            <v>70.647139999999993</v>
          </cell>
          <cell r="O1674">
            <v>7.4593749999999996</v>
          </cell>
          <cell r="S1674">
            <v>60.37838</v>
          </cell>
          <cell r="T1674">
            <v>5.6524330000000003</v>
          </cell>
        </row>
        <row r="1675">
          <cell r="B1675" t="str">
            <v>SM Energy Company (SM)</v>
          </cell>
          <cell r="N1675">
            <v>541.85249999999996</v>
          </cell>
          <cell r="O1675">
            <v>142.83150000000001</v>
          </cell>
          <cell r="S1675">
            <v>475.97289999999998</v>
          </cell>
          <cell r="T1675">
            <v>88.512889999999999</v>
          </cell>
        </row>
        <row r="1676">
          <cell r="B1676" t="str">
            <v>SM Energy Company (SM)</v>
          </cell>
        </row>
        <row r="1677">
          <cell r="B1677" t="str">
            <v>SM Energy Company (SM)</v>
          </cell>
        </row>
        <row r="1678">
          <cell r="B1678" t="str">
            <v>SM Energy Company (SM)</v>
          </cell>
          <cell r="O1678">
            <v>0</v>
          </cell>
        </row>
        <row r="1679">
          <cell r="B1679" t="str">
            <v>Crescent Point Energy Corp. (CPG)</v>
          </cell>
          <cell r="N1679">
            <v>665.00660000000005</v>
          </cell>
          <cell r="O1679">
            <v>74.393900000000002</v>
          </cell>
          <cell r="S1679">
            <v>523.09829999999999</v>
          </cell>
          <cell r="T1679">
            <v>46.277630000000002</v>
          </cell>
        </row>
        <row r="1680">
          <cell r="B1680" t="str">
            <v>Crescent Point Energy Corp. (CPG)</v>
          </cell>
          <cell r="N1680">
            <v>127.34950000000001</v>
          </cell>
          <cell r="O1680">
            <v>17.624220000000001</v>
          </cell>
          <cell r="S1680">
            <v>102.65940000000001</v>
          </cell>
          <cell r="T1680">
            <v>12.557829999999999</v>
          </cell>
        </row>
        <row r="1681">
          <cell r="B1681" t="str">
            <v>Crescent Point Energy Corp. (CPG)</v>
          </cell>
          <cell r="N1681">
            <v>97.300319999999999</v>
          </cell>
          <cell r="O1681">
            <v>12.209239999999999</v>
          </cell>
        </row>
        <row r="1682">
          <cell r="B1682" t="str">
            <v>Crescent Point Energy Corp. (CPG)</v>
          </cell>
          <cell r="N1682">
            <v>43.568770000000001</v>
          </cell>
          <cell r="O1682">
            <v>24.9819</v>
          </cell>
          <cell r="S1682">
            <v>27.94838</v>
          </cell>
          <cell r="T1682">
            <v>15.769880000000001</v>
          </cell>
        </row>
        <row r="1683">
          <cell r="B1683" t="str">
            <v>Crescent Point Energy Corp. (CPG)</v>
          </cell>
          <cell r="O1683">
            <v>-15.440899999999999</v>
          </cell>
          <cell r="T1683">
            <v>0</v>
          </cell>
        </row>
        <row r="1684">
          <cell r="B1684" t="str">
            <v>Crescent Point Energy Corp. (CPG)</v>
          </cell>
          <cell r="O1684">
            <v>-92.172640000000001</v>
          </cell>
          <cell r="T1684">
            <v>0</v>
          </cell>
        </row>
        <row r="1685">
          <cell r="B1685" t="str">
            <v>QEP Resources, Inc. (QEP)</v>
          </cell>
          <cell r="N1685">
            <v>72.21893</v>
          </cell>
          <cell r="O1685">
            <v>3.9810750000000001</v>
          </cell>
          <cell r="S1685">
            <v>38.380409999999998</v>
          </cell>
          <cell r="T1685">
            <v>9.6519159999999999</v>
          </cell>
        </row>
        <row r="1686">
          <cell r="B1686" t="str">
            <v>QEP Resources, Inc. (QEP)</v>
          </cell>
        </row>
        <row r="1687">
          <cell r="B1687" t="str">
            <v>QEP Resources, Inc. (QEP)</v>
          </cell>
          <cell r="N1687">
            <v>145.05109999999999</v>
          </cell>
          <cell r="O1687">
            <v>24.048369999999998</v>
          </cell>
          <cell r="S1687">
            <v>76.128489999999999</v>
          </cell>
          <cell r="T1687">
            <v>9.0673630000000003</v>
          </cell>
        </row>
        <row r="1688">
          <cell r="B1688" t="str">
            <v>QEP Resources, Inc. (QEP)</v>
          </cell>
          <cell r="N1688">
            <v>250.8449</v>
          </cell>
          <cell r="O1688">
            <v>60.055610000000001</v>
          </cell>
          <cell r="S1688">
            <v>132.24019999999999</v>
          </cell>
          <cell r="T1688">
            <v>24.506450000000001</v>
          </cell>
        </row>
        <row r="1689">
          <cell r="B1689" t="str">
            <v>QEP Resources, Inc. (QEP)</v>
          </cell>
          <cell r="N1689">
            <v>3.3355000000000001</v>
          </cell>
          <cell r="O1689">
            <v>0.22174479999999999</v>
          </cell>
        </row>
        <row r="1690">
          <cell r="B1690" t="str">
            <v>Continental Resources</v>
          </cell>
        </row>
        <row r="1691">
          <cell r="B1691" t="str">
            <v>Continental Resources</v>
          </cell>
          <cell r="N1691">
            <v>1011.31</v>
          </cell>
          <cell r="O1691">
            <v>150.97020000000001</v>
          </cell>
          <cell r="S1691">
            <v>607.51959999999997</v>
          </cell>
          <cell r="T1691">
            <v>74.909599999999998</v>
          </cell>
        </row>
        <row r="1692">
          <cell r="B1692" t="str">
            <v>Continental Resources</v>
          </cell>
          <cell r="N1692">
            <v>0</v>
          </cell>
        </row>
        <row r="1693">
          <cell r="B1693" t="str">
            <v>Continental Resources</v>
          </cell>
          <cell r="N1693">
            <v>1067.5170000000001</v>
          </cell>
          <cell r="O1693">
            <v>188.3733</v>
          </cell>
          <cell r="S1693">
            <v>466.29469999999998</v>
          </cell>
          <cell r="T1693">
            <v>63.578690000000002</v>
          </cell>
        </row>
        <row r="1694">
          <cell r="B1694" t="str">
            <v>Continental Resources</v>
          </cell>
          <cell r="N1694">
            <v>18.182410000000001</v>
          </cell>
          <cell r="O1694">
            <v>2.3775949999999999</v>
          </cell>
          <cell r="S1694">
            <v>14.88883</v>
          </cell>
          <cell r="T1694">
            <v>2.0149650000000001</v>
          </cell>
        </row>
        <row r="1695">
          <cell r="B1695" t="str">
            <v>Continental Resources</v>
          </cell>
          <cell r="N1695">
            <v>0</v>
          </cell>
        </row>
        <row r="1696">
          <cell r="B1696" t="str">
            <v>PDC Energy, Inc. (PDCE)</v>
          </cell>
          <cell r="N1696">
            <v>230.14099999999999</v>
          </cell>
          <cell r="O1696">
            <v>49.279789999999998</v>
          </cell>
          <cell r="S1696">
            <v>78.63091</v>
          </cell>
          <cell r="T1696">
            <v>14.116429999999999</v>
          </cell>
        </row>
        <row r="1697">
          <cell r="B1697" t="str">
            <v>PDC Energy, Inc. (PDCE)</v>
          </cell>
          <cell r="N1697">
            <v>449.82749999999999</v>
          </cell>
          <cell r="O1697">
            <v>70.172520000000006</v>
          </cell>
          <cell r="S1697">
            <v>759.62570000000005</v>
          </cell>
          <cell r="T1697">
            <v>92.205119999999994</v>
          </cell>
        </row>
        <row r="1698">
          <cell r="B1698" t="str">
            <v>PDC Energy, Inc. (PDCE)</v>
          </cell>
        </row>
        <row r="1699">
          <cell r="B1699" t="str">
            <v>Imperial Oil</v>
          </cell>
          <cell r="O1699">
            <v>1.7072790000000001E-2</v>
          </cell>
          <cell r="T1699">
            <v>1.7072790000000001E-2</v>
          </cell>
        </row>
        <row r="1700">
          <cell r="B1700" t="str">
            <v>Imperial Oil</v>
          </cell>
          <cell r="O1700">
            <v>1.171031E-2</v>
          </cell>
          <cell r="T1700">
            <v>1.171031E-2</v>
          </cell>
        </row>
        <row r="1701">
          <cell r="B1701" t="str">
            <v>Bonterra Energy Corp. (BNE.TO)</v>
          </cell>
          <cell r="N1701">
            <v>0.40312300000000001</v>
          </cell>
          <cell r="S1701">
            <v>0.342748</v>
          </cell>
        </row>
        <row r="1702">
          <cell r="B1702" t="str">
            <v>Bonterra Energy Corp. (BNE.TO)</v>
          </cell>
          <cell r="N1702">
            <v>30.268370000000001</v>
          </cell>
          <cell r="O1702">
            <v>12.556139999999999</v>
          </cell>
          <cell r="S1702">
            <v>29.381820000000001</v>
          </cell>
          <cell r="T1702">
            <v>8.5868690000000001</v>
          </cell>
        </row>
        <row r="1703">
          <cell r="B1703" t="str">
            <v>Bonterra Energy Corp. (BNE.TO)</v>
          </cell>
        </row>
        <row r="1704">
          <cell r="B1704" t="str">
            <v>Denbury Resources Inc. (DNR)</v>
          </cell>
          <cell r="N1704">
            <v>102.51</v>
          </cell>
          <cell r="O1704">
            <v>2.6890909999999999</v>
          </cell>
          <cell r="S1704">
            <v>99.618769999999998</v>
          </cell>
          <cell r="T1704">
            <v>1.974262</v>
          </cell>
        </row>
        <row r="1705">
          <cell r="B1705" t="str">
            <v>Denbury Resources Inc. (DNR)</v>
          </cell>
          <cell r="N1705">
            <v>101.5985</v>
          </cell>
          <cell r="S1705">
            <v>96.192070000000001</v>
          </cell>
        </row>
        <row r="1706">
          <cell r="B1706" t="str">
            <v>Denbury Resources Inc. (DNR)</v>
          </cell>
          <cell r="N1706">
            <v>11.923310000000001</v>
          </cell>
          <cell r="S1706">
            <v>18.076689999999999</v>
          </cell>
        </row>
        <row r="1707">
          <cell r="B1707" t="str">
            <v>Denbury Resources Inc. (DNR)</v>
          </cell>
          <cell r="N1707">
            <v>31.882380000000001</v>
          </cell>
          <cell r="O1707">
            <v>2.1209739999999999</v>
          </cell>
          <cell r="S1707">
            <v>35.06277</v>
          </cell>
          <cell r="T1707">
            <v>1.473733</v>
          </cell>
        </row>
        <row r="1708">
          <cell r="B1708" t="str">
            <v>Denbury Resources Inc. (DNR)</v>
          </cell>
          <cell r="O1708">
            <v>-2.2350639999999999</v>
          </cell>
          <cell r="T1708">
            <v>0</v>
          </cell>
        </row>
        <row r="1709">
          <cell r="B1709" t="str">
            <v>Kinder Morgan, Inc. (KMI)</v>
          </cell>
          <cell r="N1709">
            <v>168.3673</v>
          </cell>
          <cell r="S1709">
            <v>0</v>
          </cell>
        </row>
        <row r="1710">
          <cell r="B1710" t="str">
            <v>Kinder Morgan, Inc. (KMI)</v>
          </cell>
          <cell r="N1710">
            <v>105.36750000000001</v>
          </cell>
          <cell r="S1710">
            <v>61.032679999999999</v>
          </cell>
        </row>
        <row r="1711">
          <cell r="B1711" t="str">
            <v>Kinder Morgan, Inc. (KMI)</v>
          </cell>
          <cell r="N1711">
            <v>141.37819999999999</v>
          </cell>
          <cell r="S1711">
            <v>112.8909</v>
          </cell>
        </row>
        <row r="1712">
          <cell r="B1712" t="str">
            <v>MEG Energy Corp. (MEG.TO)</v>
          </cell>
          <cell r="N1712">
            <v>148.648</v>
          </cell>
          <cell r="O1712">
            <v>0.54545399999999999</v>
          </cell>
          <cell r="S1712">
            <v>149</v>
          </cell>
          <cell r="T1712">
            <v>0.54545399999999999</v>
          </cell>
        </row>
        <row r="1713">
          <cell r="B1713" t="str">
            <v>MEG Energy Corp. (MEG.TO)</v>
          </cell>
        </row>
        <row r="1714">
          <cell r="B1714" t="str">
            <v>Hilcorp Energy</v>
          </cell>
          <cell r="N1714">
            <v>178.1962</v>
          </cell>
          <cell r="S1714">
            <v>139.32859999999999</v>
          </cell>
        </row>
        <row r="1715">
          <cell r="B1715" t="str">
            <v>Hilcorp Energy</v>
          </cell>
          <cell r="N1715">
            <v>165.7243</v>
          </cell>
          <cell r="S1715">
            <v>138.4804</v>
          </cell>
        </row>
        <row r="1716">
          <cell r="B1716" t="str">
            <v>Hilcorp Energy</v>
          </cell>
          <cell r="N1716">
            <v>48.793810000000001</v>
          </cell>
          <cell r="O1716">
            <v>0.10614750000000001</v>
          </cell>
          <cell r="S1716">
            <v>41.82226</v>
          </cell>
          <cell r="T1716">
            <v>0.10614750000000001</v>
          </cell>
        </row>
        <row r="1717">
          <cell r="B1717" t="str">
            <v>Hilcorp Energy</v>
          </cell>
          <cell r="N1717">
            <v>0.35000049999999999</v>
          </cell>
          <cell r="S1717">
            <v>48.094410000000003</v>
          </cell>
        </row>
        <row r="1718">
          <cell r="B1718" t="str">
            <v>Hilcorp Energy</v>
          </cell>
          <cell r="N1718">
            <v>14.02731</v>
          </cell>
          <cell r="S1718">
            <v>11.310829999999999</v>
          </cell>
        </row>
        <row r="1719">
          <cell r="B1719" t="str">
            <v>Hilcorp Energy</v>
          </cell>
          <cell r="N1719">
            <v>81.22927</v>
          </cell>
          <cell r="O1719">
            <v>0.64661199999999996</v>
          </cell>
          <cell r="S1719">
            <v>16.088339999999999</v>
          </cell>
          <cell r="T1719">
            <v>1.220126</v>
          </cell>
        </row>
        <row r="1720">
          <cell r="B1720" t="str">
            <v>Hilcorp Energy</v>
          </cell>
          <cell r="N1720">
            <v>43.830390000000001</v>
          </cell>
          <cell r="O1720">
            <v>2.316824</v>
          </cell>
          <cell r="S1720">
            <v>33.515180000000001</v>
          </cell>
          <cell r="T1720">
            <v>4.3588060000000004</v>
          </cell>
        </row>
        <row r="1721">
          <cell r="B1721" t="str">
            <v>Hilcorp Energy</v>
          </cell>
          <cell r="N1721">
            <v>65.695300000000003</v>
          </cell>
          <cell r="O1721">
            <v>9.8982030000000005</v>
          </cell>
          <cell r="S1721">
            <v>32.350110000000001</v>
          </cell>
          <cell r="T1721">
            <v>0</v>
          </cell>
        </row>
        <row r="1722">
          <cell r="B1722" t="str">
            <v>Hilcorp Energy</v>
          </cell>
          <cell r="N1722">
            <v>7.829237</v>
          </cell>
          <cell r="S1722">
            <v>5.4077409999999997</v>
          </cell>
        </row>
        <row r="1723">
          <cell r="B1723" t="str">
            <v>Hilcorp Energy</v>
          </cell>
        </row>
        <row r="1724">
          <cell r="B1724" t="str">
            <v>Hilcorp Energy</v>
          </cell>
          <cell r="N1724">
            <v>46.081859999999999</v>
          </cell>
          <cell r="S1724">
            <v>35.983220000000003</v>
          </cell>
        </row>
        <row r="1725">
          <cell r="B1725" t="str">
            <v>Concho Resources</v>
          </cell>
          <cell r="N1725">
            <v>444.81060000000002</v>
          </cell>
          <cell r="O1725">
            <v>95.307450000000003</v>
          </cell>
          <cell r="S1725">
            <v>239.88419999999999</v>
          </cell>
          <cell r="T1725">
            <v>46.205300000000001</v>
          </cell>
        </row>
        <row r="1726">
          <cell r="B1726" t="str">
            <v>Concho Resources</v>
          </cell>
          <cell r="N1726">
            <v>972.74149999999997</v>
          </cell>
          <cell r="O1726">
            <v>212.49469999999999</v>
          </cell>
          <cell r="S1726">
            <v>823.36490000000003</v>
          </cell>
          <cell r="T1726">
            <v>156.71369999999999</v>
          </cell>
        </row>
        <row r="1727">
          <cell r="B1727" t="str">
            <v>Concho Resources</v>
          </cell>
          <cell r="N1727">
            <v>1000.5410000000001</v>
          </cell>
          <cell r="O1727">
            <v>217.23849999999999</v>
          </cell>
          <cell r="S1727">
            <v>611.13480000000004</v>
          </cell>
          <cell r="T1727">
            <v>116.10599999999999</v>
          </cell>
        </row>
        <row r="1728">
          <cell r="B1728" t="str">
            <v>Concho Resources</v>
          </cell>
          <cell r="N1728">
            <v>2.475177</v>
          </cell>
          <cell r="S1728">
            <v>0.48528399999999999</v>
          </cell>
        </row>
        <row r="1729">
          <cell r="B1729" t="str">
            <v>Concho Resources</v>
          </cell>
          <cell r="N1729">
            <v>45.008380000000002</v>
          </cell>
          <cell r="O1729">
            <v>4.3821940000000001</v>
          </cell>
        </row>
        <row r="1730">
          <cell r="B1730" t="str">
            <v>Whitecap Resources Inc. (WCP.TO)</v>
          </cell>
          <cell r="N1730">
            <v>80.015540000000001</v>
          </cell>
          <cell r="S1730">
            <v>96.649199999999993</v>
          </cell>
        </row>
        <row r="1731">
          <cell r="B1731" t="str">
            <v>Whitecap Resources Inc. (WCP.TO)</v>
          </cell>
          <cell r="N1731">
            <v>195.59399999999999</v>
          </cell>
          <cell r="O1731">
            <v>18.17287</v>
          </cell>
          <cell r="S1731">
            <v>128.8922</v>
          </cell>
          <cell r="T1731">
            <v>14.76327</v>
          </cell>
        </row>
        <row r="1732">
          <cell r="B1732" t="str">
            <v>Whitecap Resources Inc. (WCP.TO)</v>
          </cell>
          <cell r="O1732">
            <v>-17.313839999999999</v>
          </cell>
          <cell r="T1732">
            <v>0</v>
          </cell>
        </row>
        <row r="1733">
          <cell r="B1733" t="str">
            <v>Cenovus Energy</v>
          </cell>
          <cell r="N1733">
            <v>2.5488360000000001E-3</v>
          </cell>
          <cell r="S1733">
            <v>2.2822609999999998E-3</v>
          </cell>
        </row>
        <row r="1734">
          <cell r="B1734" t="str">
            <v>Cenovus Energy</v>
          </cell>
          <cell r="N1734">
            <v>569.08029999999997</v>
          </cell>
          <cell r="O1734">
            <v>3.1734209999999998</v>
          </cell>
          <cell r="S1734">
            <v>488.26150000000001</v>
          </cell>
          <cell r="T1734">
            <v>1.5067550000000001</v>
          </cell>
        </row>
        <row r="1735">
          <cell r="B1735" t="str">
            <v>Cenovus Energy</v>
          </cell>
          <cell r="O1735">
            <v>46.930050000000001</v>
          </cell>
          <cell r="T1735">
            <v>0</v>
          </cell>
        </row>
        <row r="1736">
          <cell r="B1736" t="str">
            <v>Ovintiv</v>
          </cell>
        </row>
        <row r="1737">
          <cell r="B1737" t="str">
            <v>Ovintiv</v>
          </cell>
          <cell r="O1737">
            <v>3.7386720000000002E-3</v>
          </cell>
          <cell r="T1737">
            <v>2.9764880000000001E-2</v>
          </cell>
        </row>
        <row r="1738">
          <cell r="B1738" t="str">
            <v>Ovintiv</v>
          </cell>
          <cell r="N1738">
            <v>237.83920000000001</v>
          </cell>
          <cell r="O1738">
            <v>20.074280000000002</v>
          </cell>
          <cell r="S1738">
            <v>160.87190000000001</v>
          </cell>
          <cell r="T1738">
            <v>12.813610000000001</v>
          </cell>
        </row>
        <row r="1739">
          <cell r="B1739" t="str">
            <v>Ovintiv</v>
          </cell>
          <cell r="N1739">
            <v>5.9813289999999997</v>
          </cell>
          <cell r="O1739">
            <v>3.1779739999999999</v>
          </cell>
          <cell r="S1739">
            <v>0</v>
          </cell>
          <cell r="T1739">
            <v>4.3145759999999997</v>
          </cell>
        </row>
        <row r="1740">
          <cell r="B1740" t="str">
            <v>Ovintiv</v>
          </cell>
          <cell r="N1740">
            <v>4.2576039999999997</v>
          </cell>
          <cell r="O1740">
            <v>3.7741349999999998</v>
          </cell>
          <cell r="S1740">
            <v>0</v>
          </cell>
          <cell r="T1740">
            <v>0.25187959999999998</v>
          </cell>
        </row>
        <row r="1741">
          <cell r="B1741" t="str">
            <v>Ovintiv</v>
          </cell>
          <cell r="N1741">
            <v>85.001230000000007</v>
          </cell>
          <cell r="O1741">
            <v>6.255776</v>
          </cell>
          <cell r="S1741">
            <v>68.08717</v>
          </cell>
          <cell r="T1741">
            <v>3.8019729999999998</v>
          </cell>
        </row>
        <row r="1742">
          <cell r="B1742" t="str">
            <v>Ovintiv</v>
          </cell>
          <cell r="N1742">
            <v>10.446630000000001</v>
          </cell>
          <cell r="S1742">
            <v>8.3515619999999995</v>
          </cell>
        </row>
        <row r="1743">
          <cell r="B1743" t="str">
            <v>Ovintiv</v>
          </cell>
          <cell r="N1743">
            <v>37.79522</v>
          </cell>
          <cell r="O1743">
            <v>9.7935770000000009</v>
          </cell>
          <cell r="S1743">
            <v>40.011279999999999</v>
          </cell>
          <cell r="T1743">
            <v>10.58661</v>
          </cell>
        </row>
        <row r="1744">
          <cell r="B1744" t="str">
            <v>Ovintiv</v>
          </cell>
          <cell r="O1744">
            <v>6.2615539999999997E-2</v>
          </cell>
        </row>
        <row r="1745">
          <cell r="B1745" t="str">
            <v>Ovintiv</v>
          </cell>
        </row>
        <row r="1746">
          <cell r="B1746" t="str">
            <v>Ovintiv</v>
          </cell>
          <cell r="O1746">
            <v>3.3502999999999998E-2</v>
          </cell>
          <cell r="T1746">
            <v>3.3502999999999998E-2</v>
          </cell>
        </row>
        <row r="1747">
          <cell r="B1747" t="str">
            <v>Ovintiv</v>
          </cell>
          <cell r="O1747">
            <v>5.3221980000000002E-2</v>
          </cell>
          <cell r="T1747">
            <v>7.3094530000000005E-2</v>
          </cell>
        </row>
        <row r="1748">
          <cell r="B1748" t="str">
            <v>Ovintiv</v>
          </cell>
        </row>
        <row r="1749">
          <cell r="B1749" t="str">
            <v>Ovintiv</v>
          </cell>
          <cell r="N1749">
            <v>0</v>
          </cell>
          <cell r="O1749">
            <v>0.47947800000000002</v>
          </cell>
          <cell r="T1749">
            <v>0.47947800000000002</v>
          </cell>
        </row>
        <row r="1750">
          <cell r="B1750" t="str">
            <v>Ovintiv</v>
          </cell>
          <cell r="N1750">
            <v>331.36959999999999</v>
          </cell>
          <cell r="O1750">
            <v>58.630429999999997</v>
          </cell>
          <cell r="S1750">
            <v>197.48009999999999</v>
          </cell>
          <cell r="T1750">
            <v>31.641559999999998</v>
          </cell>
        </row>
        <row r="1751">
          <cell r="B1751" t="str">
            <v>Ovintiv</v>
          </cell>
          <cell r="N1751">
            <v>429.202</v>
          </cell>
          <cell r="O1751">
            <v>125.12949999999999</v>
          </cell>
          <cell r="S1751">
            <v>221.31659999999999</v>
          </cell>
          <cell r="T1751">
            <v>52.960639999999998</v>
          </cell>
        </row>
        <row r="1752">
          <cell r="B1752" t="str">
            <v>Ovintiv</v>
          </cell>
          <cell r="N1752">
            <v>579.53589999999997</v>
          </cell>
          <cell r="O1752">
            <v>124.0258</v>
          </cell>
          <cell r="S1752">
            <v>615.0942</v>
          </cell>
          <cell r="T1752">
            <v>107.4602</v>
          </cell>
        </row>
        <row r="1753">
          <cell r="B1753" t="str">
            <v>Ovintiv</v>
          </cell>
          <cell r="N1753">
            <v>37.151890000000002</v>
          </cell>
          <cell r="O1753">
            <v>0.24536549999999999</v>
          </cell>
        </row>
        <row r="1754">
          <cell r="B1754" t="str">
            <v>Ovintiv</v>
          </cell>
          <cell r="N1754">
            <v>0</v>
          </cell>
          <cell r="O1754">
            <v>0</v>
          </cell>
          <cell r="S1754">
            <v>2.270559</v>
          </cell>
          <cell r="T1754">
            <v>0.175068</v>
          </cell>
        </row>
        <row r="1755">
          <cell r="B1755" t="str">
            <v>Ovintiv</v>
          </cell>
          <cell r="N1755">
            <v>5.7299740000000003</v>
          </cell>
          <cell r="S1755">
            <v>4.6370360000000002</v>
          </cell>
        </row>
        <row r="1756">
          <cell r="B1756" t="str">
            <v>Ovintiv</v>
          </cell>
        </row>
        <row r="1757">
          <cell r="B1757" t="str">
            <v>Ovintiv</v>
          </cell>
        </row>
        <row r="1758">
          <cell r="B1758" t="str">
            <v>Ovintiv</v>
          </cell>
          <cell r="N1758">
            <v>450.42430000000002</v>
          </cell>
          <cell r="O1758">
            <v>137.26769999999999</v>
          </cell>
          <cell r="S1758">
            <v>295.60000000000002</v>
          </cell>
          <cell r="T1758">
            <v>82.042630000000003</v>
          </cell>
        </row>
        <row r="1759">
          <cell r="B1759" t="str">
            <v>Ovintiv</v>
          </cell>
          <cell r="O1759">
            <v>0</v>
          </cell>
        </row>
        <row r="1760">
          <cell r="B1760" t="str">
            <v>Ovintiv</v>
          </cell>
          <cell r="O1760">
            <v>0</v>
          </cell>
        </row>
        <row r="1761">
          <cell r="B1761" t="str">
            <v>Ovintiv</v>
          </cell>
          <cell r="O1761">
            <v>0</v>
          </cell>
        </row>
        <row r="1762">
          <cell r="B1762" t="str">
            <v>Oasis Petroleum Inc. (OAS)</v>
          </cell>
          <cell r="N1762">
            <v>382.9776</v>
          </cell>
          <cell r="O1762">
            <v>43.744480000000003</v>
          </cell>
          <cell r="S1762">
            <v>206.71870000000001</v>
          </cell>
          <cell r="T1762">
            <v>20.56841</v>
          </cell>
        </row>
        <row r="1763">
          <cell r="B1763" t="str">
            <v>Oasis Petroleum Inc. (OAS)</v>
          </cell>
          <cell r="N1763">
            <v>111.0291</v>
          </cell>
          <cell r="O1763">
            <v>71.851749999999996</v>
          </cell>
          <cell r="S1763">
            <v>101.57850000000001</v>
          </cell>
          <cell r="T1763">
            <v>52.12724</v>
          </cell>
        </row>
        <row r="1764">
          <cell r="B1764" t="str">
            <v>Endeavor Energy Resources LP</v>
          </cell>
          <cell r="N1764">
            <v>11.144360000000001</v>
          </cell>
          <cell r="S1764">
            <v>8.9952919999999992</v>
          </cell>
        </row>
        <row r="1765">
          <cell r="B1765" t="str">
            <v>Endeavor Energy Resources LP</v>
          </cell>
          <cell r="N1765">
            <v>989.46559999999999</v>
          </cell>
          <cell r="O1765">
            <v>294.28640000000001</v>
          </cell>
          <cell r="S1765">
            <v>692.18910000000005</v>
          </cell>
          <cell r="T1765">
            <v>170.60919999999999</v>
          </cell>
        </row>
        <row r="1766">
          <cell r="B1766" t="str">
            <v>Endeavor Energy Resources LP</v>
          </cell>
          <cell r="N1766">
            <v>0.18257599999999999</v>
          </cell>
          <cell r="S1766">
            <v>0</v>
          </cell>
        </row>
        <row r="1767">
          <cell r="B1767" t="str">
            <v>Endeavor Energy Resources LP</v>
          </cell>
          <cell r="N1767">
            <v>94.586690000000004</v>
          </cell>
          <cell r="O1767">
            <v>24.03</v>
          </cell>
          <cell r="S1767">
            <v>85.444029999999998</v>
          </cell>
          <cell r="T1767">
            <v>18.696539999999999</v>
          </cell>
        </row>
        <row r="1768">
          <cell r="B1768" t="str">
            <v>Endeavor Energy Resources LP</v>
          </cell>
        </row>
        <row r="1769">
          <cell r="B1769" t="str">
            <v>Endeavor Energy Resources LP</v>
          </cell>
          <cell r="N1769">
            <v>5.5770289999999996</v>
          </cell>
          <cell r="O1769">
            <v>8.0639989999999995E-2</v>
          </cell>
          <cell r="S1769">
            <v>5.3690090000000001</v>
          </cell>
          <cell r="T1769">
            <v>1.0695E-2</v>
          </cell>
        </row>
        <row r="1770">
          <cell r="B1770" t="str">
            <v>Talos Energy Offshore</v>
          </cell>
          <cell r="O1770">
            <v>1.453195E-2</v>
          </cell>
          <cell r="T1770">
            <v>1.453195E-2</v>
          </cell>
        </row>
        <row r="1771">
          <cell r="B1771" t="str">
            <v>Talos Energy Offshore</v>
          </cell>
          <cell r="O1771">
            <v>0.17094300000000001</v>
          </cell>
          <cell r="T1771">
            <v>0.17094300000000001</v>
          </cell>
        </row>
        <row r="1772">
          <cell r="B1772" t="str">
            <v>Talos Energy Offshore</v>
          </cell>
        </row>
        <row r="1773">
          <cell r="B1773" t="str">
            <v>Talos Energy Offshore</v>
          </cell>
        </row>
        <row r="1774">
          <cell r="B1774" t="str">
            <v>Talos Energy Offshore</v>
          </cell>
        </row>
        <row r="1775">
          <cell r="B1775" t="str">
            <v>Talos Energy Offshore</v>
          </cell>
          <cell r="N1775">
            <v>0.29014499999999999</v>
          </cell>
          <cell r="S1775">
            <v>0.23949899999999999</v>
          </cell>
        </row>
        <row r="1776">
          <cell r="B1776" t="str">
            <v>Diamondback Energy, Inc. (FANG)</v>
          </cell>
          <cell r="N1776">
            <v>1005.21</v>
          </cell>
          <cell r="O1776">
            <v>251.42009999999999</v>
          </cell>
          <cell r="S1776">
            <v>615.06050000000005</v>
          </cell>
          <cell r="T1776">
            <v>119.5814</v>
          </cell>
        </row>
        <row r="1777">
          <cell r="B1777" t="str">
            <v>Diamondback Energy, Inc. (FANG)</v>
          </cell>
          <cell r="N1777">
            <v>990.07190000000003</v>
          </cell>
          <cell r="O1777">
            <v>166.99930000000001</v>
          </cell>
          <cell r="S1777">
            <v>466.36040000000003</v>
          </cell>
          <cell r="T1777">
            <v>61.996229999999997</v>
          </cell>
        </row>
        <row r="1778">
          <cell r="B1778" t="str">
            <v>Diamondback Energy, Inc. (FANG)</v>
          </cell>
          <cell r="N1778">
            <v>151.67439999999999</v>
          </cell>
          <cell r="O1778">
            <v>20.152180000000001</v>
          </cell>
          <cell r="S1778">
            <v>178.86070000000001</v>
          </cell>
          <cell r="T1778">
            <v>19.985620000000001</v>
          </cell>
        </row>
        <row r="1779">
          <cell r="B1779" t="str">
            <v>Diamondback Energy, Inc. (FANG)</v>
          </cell>
          <cell r="N1779">
            <v>0.48035800000000001</v>
          </cell>
          <cell r="O1779">
            <v>0.927346</v>
          </cell>
          <cell r="S1779">
            <v>0</v>
          </cell>
          <cell r="T1779">
            <v>0</v>
          </cell>
        </row>
        <row r="1780">
          <cell r="B1780" t="str">
            <v>Diamondback Energy, Inc. (FANG)</v>
          </cell>
          <cell r="N1780">
            <v>10.20134</v>
          </cell>
          <cell r="O1780">
            <v>0</v>
          </cell>
          <cell r="S1780">
            <v>0</v>
          </cell>
        </row>
        <row r="1781">
          <cell r="B1781" t="str">
            <v>Diamondback Energy, Inc. (FANG)</v>
          </cell>
          <cell r="N1781">
            <v>224.22380000000001</v>
          </cell>
          <cell r="O1781">
            <v>25.697839999999999</v>
          </cell>
          <cell r="S1781">
            <v>219.9452</v>
          </cell>
          <cell r="T1781">
            <v>20.312529999999999</v>
          </cell>
        </row>
        <row r="1782">
          <cell r="B1782" t="str">
            <v>Diamondback Energy, Inc. (FANG)</v>
          </cell>
        </row>
        <row r="1783">
          <cell r="B1783" t="str">
            <v>Diamondback Energy, Inc. (FANG)</v>
          </cell>
          <cell r="N1783">
            <v>26.69548</v>
          </cell>
          <cell r="S1783">
            <v>16.846900000000002</v>
          </cell>
        </row>
        <row r="1784">
          <cell r="B1784" t="str">
            <v>Fieldwood Energy LLC</v>
          </cell>
          <cell r="N1784">
            <v>0.94199200000000005</v>
          </cell>
          <cell r="S1784">
            <v>0.84103300000000003</v>
          </cell>
        </row>
        <row r="1785">
          <cell r="B1785" t="str">
            <v>Fieldwood Energy LLC</v>
          </cell>
          <cell r="O1785">
            <v>0.1592355</v>
          </cell>
        </row>
        <row r="1786">
          <cell r="B1786" t="str">
            <v>Fieldwood Energy LLC</v>
          </cell>
          <cell r="N1786">
            <v>25.461189999999998</v>
          </cell>
          <cell r="O1786">
            <v>138.9776</v>
          </cell>
          <cell r="S1786">
            <v>34.10895</v>
          </cell>
          <cell r="T1786">
            <v>83.539270000000002</v>
          </cell>
        </row>
        <row r="1787">
          <cell r="B1787" t="str">
            <v>Fieldwood Energy LLC</v>
          </cell>
          <cell r="N1787">
            <v>162.20930000000001</v>
          </cell>
          <cell r="O1787">
            <v>402.5779</v>
          </cell>
          <cell r="S1787">
            <v>120.634</v>
          </cell>
          <cell r="T1787">
            <v>128.7962</v>
          </cell>
        </row>
        <row r="1788">
          <cell r="B1788" t="str">
            <v>Fieldwood Energy LLC</v>
          </cell>
          <cell r="N1788">
            <v>1.6263179999999999</v>
          </cell>
          <cell r="S1788">
            <v>1.3002940000000001</v>
          </cell>
        </row>
        <row r="1789">
          <cell r="B1789" t="str">
            <v>Fieldwood Energy LLC</v>
          </cell>
          <cell r="N1789">
            <v>35.123800000000003</v>
          </cell>
          <cell r="O1789">
            <v>9.7536999999999999E-2</v>
          </cell>
          <cell r="S1789">
            <v>157.5205</v>
          </cell>
          <cell r="T1789">
            <v>4.7098000000000001E-2</v>
          </cell>
        </row>
        <row r="1790">
          <cell r="B1790" t="str">
            <v>Fieldwood Energy LLC</v>
          </cell>
          <cell r="N1790">
            <v>17.507819999999999</v>
          </cell>
          <cell r="O1790">
            <v>0.33897749999999999</v>
          </cell>
          <cell r="S1790">
            <v>7.9438139999999997</v>
          </cell>
          <cell r="T1790">
            <v>0.31325399999999998</v>
          </cell>
        </row>
        <row r="1791">
          <cell r="B1791" t="str">
            <v>Fieldwood Energy LLC</v>
          </cell>
          <cell r="N1791">
            <v>265.88569999999999</v>
          </cell>
          <cell r="O1791">
            <v>54.325659999999999</v>
          </cell>
          <cell r="S1791">
            <v>216.27879999999999</v>
          </cell>
          <cell r="T1791">
            <v>13.221550000000001</v>
          </cell>
        </row>
        <row r="1792">
          <cell r="B1792" t="str">
            <v>Parsley Energy, Inc. (PE)</v>
          </cell>
          <cell r="N1792">
            <v>318.7217</v>
          </cell>
          <cell r="O1792">
            <v>63.499850000000002</v>
          </cell>
          <cell r="S1792">
            <v>278.11529999999999</v>
          </cell>
          <cell r="T1792">
            <v>66.945939999999993</v>
          </cell>
        </row>
        <row r="1793">
          <cell r="B1793" t="str">
            <v>Parsley Energy, Inc. (PE)</v>
          </cell>
          <cell r="N1793">
            <v>775.13900000000001</v>
          </cell>
          <cell r="O1793">
            <v>199.54660000000001</v>
          </cell>
          <cell r="S1793">
            <v>289.41520000000003</v>
          </cell>
          <cell r="T1793">
            <v>64.836010000000002</v>
          </cell>
        </row>
        <row r="1794">
          <cell r="B1794" t="str">
            <v>Mewbourne Oil Company</v>
          </cell>
          <cell r="N1794">
            <v>62.227220000000003</v>
          </cell>
          <cell r="O1794">
            <v>10.221120000000001</v>
          </cell>
          <cell r="S1794">
            <v>67.451890000000006</v>
          </cell>
          <cell r="T1794">
            <v>9.7055609999999994</v>
          </cell>
        </row>
        <row r="1795">
          <cell r="B1795" t="str">
            <v>Mewbourne Oil Company</v>
          </cell>
          <cell r="N1795">
            <v>0.299292</v>
          </cell>
          <cell r="S1795">
            <v>0.24306800000000001</v>
          </cell>
        </row>
        <row r="1796">
          <cell r="B1796" t="str">
            <v>Mewbourne Oil Company</v>
          </cell>
          <cell r="N1796">
            <v>484.86250000000001</v>
          </cell>
          <cell r="O1796">
            <v>98.563389999999998</v>
          </cell>
          <cell r="S1796">
            <v>522.7002</v>
          </cell>
          <cell r="T1796">
            <v>83.974109999999996</v>
          </cell>
        </row>
        <row r="1797">
          <cell r="B1797" t="str">
            <v>Mewbourne Oil Company</v>
          </cell>
          <cell r="N1797">
            <v>9.9703700000000008</v>
          </cell>
          <cell r="S1797">
            <v>2.3256009999999998</v>
          </cell>
        </row>
        <row r="1798">
          <cell r="B1798" t="str">
            <v>Mewbourne Oil Company</v>
          </cell>
          <cell r="N1798">
            <v>141.90600000000001</v>
          </cell>
          <cell r="O1798">
            <v>1.45285</v>
          </cell>
          <cell r="S1798">
            <v>81.632159999999999</v>
          </cell>
          <cell r="T1798">
            <v>0.33707500000000001</v>
          </cell>
        </row>
        <row r="1799">
          <cell r="B1799" t="str">
            <v>California Resources Corporation (CRC)</v>
          </cell>
        </row>
        <row r="1800">
          <cell r="B1800" t="str">
            <v>California Resources Corporation (CRC)</v>
          </cell>
          <cell r="N1800">
            <v>33.406219999999998</v>
          </cell>
          <cell r="S1800">
            <v>32.119149999999998</v>
          </cell>
        </row>
        <row r="1801">
          <cell r="B1801" t="str">
            <v>California Resources Corporation (CRC)</v>
          </cell>
          <cell r="N1801">
            <v>72.952740000000006</v>
          </cell>
          <cell r="S1801">
            <v>71.577449999999999</v>
          </cell>
        </row>
        <row r="1802">
          <cell r="B1802" t="str">
            <v>California Resources Corporation (CRC)</v>
          </cell>
          <cell r="N1802">
            <v>422.51979999999998</v>
          </cell>
          <cell r="O1802">
            <v>2.124647</v>
          </cell>
          <cell r="S1802">
            <v>341.85820000000001</v>
          </cell>
          <cell r="T1802">
            <v>1.751579</v>
          </cell>
        </row>
        <row r="1803">
          <cell r="B1803" t="str">
            <v>California Resources Corporation (CRC)</v>
          </cell>
          <cell r="O1803">
            <v>27.875350000000001</v>
          </cell>
          <cell r="T1803">
            <v>0</v>
          </cell>
        </row>
      </sheetData>
      <sheetData sheetId="20"/>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Yushan Zhang" id="{CCA140DA-9063-4D7B-8299-A67FE8C906BD}" userId="S::Yushan_Zhang@mckinsey.com::10fb4bbe-7718-4978-a43a-c9acf6cbd8c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7" dT="2020-05-06T20:09:41.69" personId="{CCA140DA-9063-4D7B-8299-A67FE8C906BD}" id="{A2E580E9-BD85-4694-944F-C3D3FC411C58}">
    <text>financing cost, transaction, reorganization, and separation</text>
  </threadedComment>
  <threadedComment ref="E56" dT="2020-05-06T20:29:17.25" personId="{CCA140DA-9063-4D7B-8299-A67FE8C906BD}" id="{278EC9E4-C61F-48A1-8994-D1742EAE31DD}">
    <text>income taxes receivable, other, assets from price risk management activities</text>
  </threadedComment>
</ThreadedComments>
</file>

<file path=xl/threadedComments/threadedComment2.xml><?xml version="1.0" encoding="utf-8"?>
<ThreadedComments xmlns="http://schemas.microsoft.com/office/spreadsheetml/2018/threadedcomments" xmlns:x="http://schemas.openxmlformats.org/spreadsheetml/2006/main">
  <threadedComment ref="E28" dT="2020-05-06T22:40:38.84" personId="{CCA140DA-9063-4D7B-8299-A67FE8C906BD}" id="{116F900E-15AB-4F48-9C26-5CE958CE1A0B}">
    <text>include all but commodity derivative contracts</text>
  </threadedComment>
  <threadedComment ref="F85" dT="2020-05-06T22:38:18.32" personId="{CCA140DA-9063-4D7B-8299-A67FE8C906BD}" id="{AF7B2CF8-6498-4A14-BB05-E2DEC088F9AD}">
    <text>does not sum from F31,33,34,42</text>
  </threadedComment>
  <threadedComment ref="E86" dT="2020-05-06T20:41:55.61" personId="{CCA140DA-9063-4D7B-8299-A67FE8C906BD}" id="{CA16E7A6-E357-4D8A-B65C-0B6B58EED140}">
    <text>E79-E82 sums to E83</text>
  </threadedComment>
</ThreadedComments>
</file>

<file path=xl/threadedComments/threadedComment3.xml><?xml version="1.0" encoding="utf-8"?>
<ThreadedComments xmlns="http://schemas.microsoft.com/office/spreadsheetml/2018/threadedcomments" xmlns:x="http://schemas.openxmlformats.org/spreadsheetml/2006/main">
  <threadedComment ref="E40" dT="2020-05-06T20:09:41.69" personId="{CCA140DA-9063-4D7B-8299-A67FE8C906BD}" id="{1628D89E-850D-40E2-807B-1B52F2F3AB81}">
    <text>financing cost, transaction, reorganization, and separation</text>
  </threadedComment>
  <threadedComment ref="E59" dT="2020-05-06T20:29:17.25" personId="{CCA140DA-9063-4D7B-8299-A67FE8C906BD}" id="{75FFFBF1-E852-47A3-83FC-C1AB4BCD16D0}">
    <text>income taxes receivable, other, assets from price risk management activities</text>
  </threadedComment>
</ThreadedComments>
</file>

<file path=xl/threadedComments/threadedComment4.xml><?xml version="1.0" encoding="utf-8"?>
<ThreadedComments xmlns="http://schemas.microsoft.com/office/spreadsheetml/2018/threadedcomments" xmlns:x="http://schemas.openxmlformats.org/spreadsheetml/2006/main">
  <threadedComment ref="E28" dT="2020-05-06T22:40:38.84" personId="{CCA140DA-9063-4D7B-8299-A67FE8C906BD}" id="{3F8B4957-BB96-46C8-9C1B-F1141728926E}">
    <text>include all but commodity derivative contracts</text>
  </threadedComment>
  <threadedComment ref="E59" dT="2020-05-06T20:29:17.25" personId="{CCA140DA-9063-4D7B-8299-A67FE8C906BD}" id="{7C8C65D8-86F2-4919-92B6-93E77C5E40A3}">
    <text>income taxes receivable, other, assets from price risk management activities</text>
  </threadedComment>
  <threadedComment ref="E59" dT="2020-05-06T20:31:31.21" personId="{CCA140DA-9063-4D7B-8299-A67FE8C906BD}" id="{8A4E09E9-ED11-4B6A-AE82-C5AAB459BAA9}" parentId="{7C8C65D8-86F2-4919-92B6-93E77C5E40A3}">
    <text>may add another income tax receivable depending on other companies</text>
  </threadedComment>
  <threadedComment ref="E84" dT="2020-05-07T23:01:24.77" personId="{CCA140DA-9063-4D7B-8299-A67FE8C906BD}" id="{FCB65568-EE87-4A1B-BA34-2CA462127C30}">
    <text>did not relate back to income statement</text>
  </threadedComment>
</ThreadedComments>
</file>

<file path=xl/threadedComments/threadedComment5.xml><?xml version="1.0" encoding="utf-8"?>
<ThreadedComments xmlns="http://schemas.microsoft.com/office/spreadsheetml/2018/threadedcomments" xmlns:x="http://schemas.openxmlformats.org/spreadsheetml/2006/main">
  <threadedComment ref="D29" dT="2020-05-08T13:20:31.92" personId="{CCA140DA-9063-4D7B-8299-A67FE8C906BD}" id="{A98370C6-E51C-441E-B556-D2AF82D2A6CD}">
    <text>2019Q4 with Rystad projection</text>
  </threadedComment>
  <threadedComment ref="E92" dT="2020-05-07T23:17:55.74" personId="{CCA140DA-9063-4D7B-8299-A67FE8C906BD}" id="{89465932-14E4-4195-BB2E-28F9449A1058}">
    <text>older version: 768338/4</text>
  </threadedComment>
</ThreadedComments>
</file>

<file path=xl/threadedComments/threadedComment6.xml><?xml version="1.0" encoding="utf-8"?>
<ThreadedComments xmlns="http://schemas.microsoft.com/office/spreadsheetml/2018/threadedcomments" xmlns:x="http://schemas.openxmlformats.org/spreadsheetml/2006/main">
  <threadedComment ref="E40" dT="2020-05-06T20:09:41.69" personId="{CCA140DA-9063-4D7B-8299-A67FE8C906BD}" id="{25556F51-B706-48C8-952F-6679940476F2}">
    <text>financing cost, transaction, reorganization, and separation</text>
  </threadedComment>
  <threadedComment ref="E59" dT="2020-05-06T20:29:17.25" personId="{CCA140DA-9063-4D7B-8299-A67FE8C906BD}" id="{A159E330-937A-4309-BB68-1F1FEC6E2140}">
    <text>income taxes receivable, other, assets from price risk management activities</text>
  </threadedComment>
</ThreadedComments>
</file>

<file path=xl/threadedComments/threadedComment7.xml><?xml version="1.0" encoding="utf-8"?>
<ThreadedComments xmlns="http://schemas.microsoft.com/office/spreadsheetml/2018/threadedcomments" xmlns:x="http://schemas.openxmlformats.org/spreadsheetml/2006/main">
  <threadedComment ref="E28" dT="2020-05-06T22:40:38.84" personId="{CCA140DA-9063-4D7B-8299-A67FE8C906BD}" id="{9AD1FBD1-4657-41AE-84D2-496808699195}">
    <text>include all but commodity derivative contracts</text>
  </threadedComment>
  <threadedComment ref="E59" dT="2020-05-06T20:29:17.25" personId="{CCA140DA-9063-4D7B-8299-A67FE8C906BD}" id="{37143AA5-F496-4381-8AA9-3BBC8EE9878A}">
    <text>income taxes receivable, other, assets from price risk management activities</text>
  </threadedComment>
  <threadedComment ref="E59" dT="2020-05-06T20:31:31.21" personId="{CCA140DA-9063-4D7B-8299-A67FE8C906BD}" id="{2E4031D2-E3B2-4C29-B9B1-58D5C7C81E55}" parentId="{37143AA5-F496-4381-8AA9-3BBC8EE9878A}">
    <text>may add another income tax receivable depending on other companies</text>
  </threadedComment>
  <threadedComment ref="E84" dT="2020-05-07T23:01:24.77" personId="{CCA140DA-9063-4D7B-8299-A67FE8C906BD}" id="{137C4F58-BBDD-4FD8-9960-F4337E01CE83}">
    <text>did not relate back to income statement</text>
  </threadedComment>
</ThreadedComments>
</file>

<file path=xl/threadedComments/threadedComment8.xml><?xml version="1.0" encoding="utf-8"?>
<ThreadedComments xmlns="http://schemas.microsoft.com/office/spreadsheetml/2018/threadedcomments" xmlns:x="http://schemas.openxmlformats.org/spreadsheetml/2006/main">
  <threadedComment ref="E26" dT="2020-05-08T13:20:31.92" personId="{CCA140DA-9063-4D7B-8299-A67FE8C906BD}" id="{FEC39DE0-3512-4880-A81A-5F659779CCB5}">
    <text>2019Q4 with Rystad projection</text>
  </threadedComment>
  <threadedComment ref="E92" dT="2020-05-07T23:17:55.74" personId="{CCA140DA-9063-4D7B-8299-A67FE8C906BD}" id="{FE3E3483-8A51-43A0-80EB-7576ECDDB9D8}">
    <text>older version: 768338/4</text>
  </threadedComment>
</ThreadedComments>
</file>

<file path=xl/threadedComments/threadedComment9.xml><?xml version="1.0" encoding="utf-8"?>
<ThreadedComments xmlns="http://schemas.microsoft.com/office/spreadsheetml/2018/threadedcomments" xmlns:x="http://schemas.openxmlformats.org/spreadsheetml/2006/main">
  <threadedComment ref="D29" dT="2020-05-08T13:20:31.92" personId="{CCA140DA-9063-4D7B-8299-A67FE8C906BD}" id="{90BA52B1-978D-4EAE-8409-02D80987647E}">
    <text>2019Q4 with Rystad projection</text>
  </threadedComment>
  <threadedComment ref="E92" dT="2020-05-07T23:17:55.74" personId="{CCA140DA-9063-4D7B-8299-A67FE8C906BD}" id="{0434CBE9-AED7-4E57-B915-515F297F7803}">
    <text>older version: 768338/4</text>
  </threadedComment>
</ThreadedComments>
</file>

<file path=xl/threadedComments/threadedComment10.xml><?xml version="1.0" encoding="utf-8"?>
<ThreadedComments xmlns="http://schemas.microsoft.com/office/spreadsheetml/2018/threadedcomments" xmlns:x="http://schemas.openxmlformats.org/spreadsheetml/2006/main">
  <threadedComment ref="I4" dT="2020-05-15T01:43:44.71" personId="{CCA140DA-9063-4D7B-8299-A67FE8C906BD}" id="{9EEF5F36-24CD-4B0D-87A6-5055ABBAF64D}">
    <text>with derivative</text>
  </threadedComment>
  <threadedComment ref="E14" dT="2020-05-06T22:40:38.84" personId="{CCA140DA-9063-4D7B-8299-A67FE8C906BD}" id="{91592B95-AFC0-422F-B366-A512FCE0427B}">
    <text>include all but commodity derivative contracts</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 Id="rId4" Type="http://schemas.microsoft.com/office/2017/10/relationships/threadedComment" Target="../threadedComments/threadedComment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 Id="rId4" Type="http://schemas.microsoft.com/office/2017/10/relationships/threadedComment" Target="../threadedComments/threadedComment4.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 Id="rId4" Type="http://schemas.microsoft.com/office/2017/10/relationships/threadedComment" Target="../threadedComments/threadedComment7.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 Id="rId4" Type="http://schemas.microsoft.com/office/2017/10/relationships/threadedComment" Target="../threadedComments/threadedComment8.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 Id="rId4" Type="http://schemas.microsoft.com/office/2017/10/relationships/threadedComment" Target="../threadedComments/threadedComment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app.quotemedia.com/data/downloadFiling?webmasterId=101533&amp;ref=114828566&amp;type=PDF&amp;symbol=CLR&amp;companyName=Continental+Resources+Inc.&amp;formType=10-K&amp;dateFiled=2020-02-26&amp;CK=732834" TargetMode="External"/><Relationship Id="rId1" Type="http://schemas.openxmlformats.org/officeDocument/2006/relationships/hyperlink" Target="http://d18rn0p25nwr6d.cloudfront.net/CIK-0001358071/fdf7d5d1-a33d-47db-a965-7eaf9b68667e.pdf" TargetMode="External"/><Relationship Id="rId6" Type="http://schemas.microsoft.com/office/2017/10/relationships/threadedComment" Target="../threadedComments/threadedComment10.xm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4D755-7F5D-4BB7-A671-9855184C559B}">
  <sheetPr codeName="Sheet1"/>
  <dimension ref="B1:E32"/>
  <sheetViews>
    <sheetView showGridLines="0" zoomScale="70" zoomScaleNormal="70" workbookViewId="0">
      <selection activeCell="D3" sqref="D3"/>
    </sheetView>
  </sheetViews>
  <sheetFormatPr defaultRowHeight="14.5" x14ac:dyDescent="0.35"/>
  <cols>
    <col min="1" max="1" width="1.1796875" customWidth="1"/>
    <col min="2" max="2" width="14.1796875" customWidth="1"/>
    <col min="3" max="3" width="2.81640625" customWidth="1"/>
    <col min="4" max="4" width="42.1796875" customWidth="1"/>
    <col min="5" max="5" width="72.1796875" customWidth="1"/>
  </cols>
  <sheetData>
    <row r="1" spans="2:5" ht="8" customHeight="1" x14ac:dyDescent="0.35"/>
    <row r="2" spans="2:5" ht="16" thickBot="1" x14ac:dyDescent="0.4">
      <c r="B2" s="47" t="s">
        <v>438</v>
      </c>
      <c r="C2" s="48"/>
      <c r="D2" s="48"/>
      <c r="E2" s="48"/>
    </row>
    <row r="3" spans="2:5" ht="8" customHeight="1" x14ac:dyDescent="0.35"/>
    <row r="4" spans="2:5" ht="32.5" customHeight="1" x14ac:dyDescent="0.35">
      <c r="B4" s="37" t="s">
        <v>430</v>
      </c>
      <c r="C4" s="39"/>
      <c r="D4" s="468" t="s">
        <v>457</v>
      </c>
      <c r="E4" s="468"/>
    </row>
    <row r="5" spans="2:5" ht="9" customHeight="1" x14ac:dyDescent="0.35">
      <c r="B5" s="38"/>
      <c r="C5" s="39"/>
      <c r="D5" s="39"/>
      <c r="E5" s="39"/>
    </row>
    <row r="6" spans="2:5" x14ac:dyDescent="0.35">
      <c r="B6" s="466" t="s">
        <v>431</v>
      </c>
      <c r="C6" s="39"/>
      <c r="D6" s="41" t="s">
        <v>434</v>
      </c>
      <c r="E6" s="39"/>
    </row>
    <row r="7" spans="2:5" x14ac:dyDescent="0.35">
      <c r="B7" s="466"/>
      <c r="C7" s="39"/>
      <c r="D7" s="42" t="s">
        <v>435</v>
      </c>
      <c r="E7" s="39"/>
    </row>
    <row r="8" spans="2:5" x14ac:dyDescent="0.35">
      <c r="B8" s="466"/>
      <c r="C8" s="39"/>
      <c r="D8" s="56" t="s">
        <v>436</v>
      </c>
      <c r="E8" s="39"/>
    </row>
    <row r="9" spans="2:5" ht="9" customHeight="1" x14ac:dyDescent="0.35">
      <c r="B9" s="39"/>
      <c r="C9" s="39"/>
      <c r="D9" s="39"/>
      <c r="E9" s="39"/>
    </row>
    <row r="10" spans="2:5" x14ac:dyDescent="0.35">
      <c r="B10" s="40" t="s">
        <v>432</v>
      </c>
      <c r="C10" s="39"/>
      <c r="D10" s="43" t="s">
        <v>437</v>
      </c>
      <c r="E10" s="58" t="s">
        <v>456</v>
      </c>
    </row>
    <row r="11" spans="2:5" x14ac:dyDescent="0.35">
      <c r="B11" s="40"/>
      <c r="C11" s="39"/>
      <c r="D11" s="44" t="s">
        <v>441</v>
      </c>
      <c r="E11" s="59" t="s">
        <v>456</v>
      </c>
    </row>
    <row r="12" spans="2:5" x14ac:dyDescent="0.35">
      <c r="B12" s="40"/>
      <c r="C12" s="39"/>
      <c r="D12" s="44" t="s">
        <v>442</v>
      </c>
      <c r="E12" s="59" t="s">
        <v>456</v>
      </c>
    </row>
    <row r="13" spans="2:5" x14ac:dyDescent="0.35">
      <c r="B13" s="40"/>
      <c r="C13" s="39"/>
      <c r="D13" s="44" t="s">
        <v>443</v>
      </c>
      <c r="E13" s="59" t="s">
        <v>456</v>
      </c>
    </row>
    <row r="14" spans="2:5" ht="14.5" customHeight="1" x14ac:dyDescent="0.35">
      <c r="B14" s="40"/>
      <c r="C14" s="39"/>
      <c r="D14" s="44" t="s">
        <v>444</v>
      </c>
      <c r="E14" s="59" t="s">
        <v>456</v>
      </c>
    </row>
    <row r="15" spans="2:5" ht="14.5" customHeight="1" x14ac:dyDescent="0.35">
      <c r="B15" s="40"/>
      <c r="C15" s="39"/>
      <c r="D15" s="45" t="s">
        <v>445</v>
      </c>
      <c r="E15" s="60" t="s">
        <v>456</v>
      </c>
    </row>
    <row r="16" spans="2:5" ht="14.5" customHeight="1" x14ac:dyDescent="0.35">
      <c r="B16" s="40"/>
      <c r="C16" s="39"/>
      <c r="D16" s="45" t="s">
        <v>446</v>
      </c>
      <c r="E16" s="60" t="s">
        <v>456</v>
      </c>
    </row>
    <row r="17" spans="2:5" ht="14.5" customHeight="1" x14ac:dyDescent="0.35">
      <c r="B17" s="40"/>
      <c r="C17" s="39"/>
      <c r="D17" s="45" t="s">
        <v>447</v>
      </c>
      <c r="E17" s="60" t="s">
        <v>456</v>
      </c>
    </row>
    <row r="18" spans="2:5" ht="14.5" customHeight="1" x14ac:dyDescent="0.35">
      <c r="B18" s="40"/>
      <c r="C18" s="39"/>
      <c r="D18" s="45" t="s">
        <v>448</v>
      </c>
      <c r="E18" s="60" t="s">
        <v>456</v>
      </c>
    </row>
    <row r="19" spans="2:5" ht="14.5" customHeight="1" x14ac:dyDescent="0.35">
      <c r="B19" s="40"/>
      <c r="C19" s="39"/>
      <c r="D19" s="45" t="s">
        <v>449</v>
      </c>
      <c r="E19" s="60" t="s">
        <v>456</v>
      </c>
    </row>
    <row r="20" spans="2:5" ht="14.5" customHeight="1" x14ac:dyDescent="0.35">
      <c r="B20" s="40"/>
      <c r="C20" s="39"/>
      <c r="D20" s="45" t="s">
        <v>450</v>
      </c>
      <c r="E20" s="60" t="s">
        <v>456</v>
      </c>
    </row>
    <row r="21" spans="2:5" ht="14.5" customHeight="1" x14ac:dyDescent="0.35">
      <c r="B21" s="40"/>
      <c r="C21" s="39"/>
      <c r="D21" s="45" t="s">
        <v>451</v>
      </c>
      <c r="E21" s="60" t="s">
        <v>456</v>
      </c>
    </row>
    <row r="22" spans="2:5" ht="14.5" customHeight="1" x14ac:dyDescent="0.35">
      <c r="B22" s="40"/>
      <c r="C22" s="39"/>
      <c r="D22" s="45" t="s">
        <v>452</v>
      </c>
      <c r="E22" s="60" t="s">
        <v>456</v>
      </c>
    </row>
    <row r="23" spans="2:5" ht="14.5" customHeight="1" x14ac:dyDescent="0.35">
      <c r="B23" s="40"/>
      <c r="C23" s="39"/>
      <c r="D23" s="46" t="s">
        <v>453</v>
      </c>
      <c r="E23" s="61" t="s">
        <v>456</v>
      </c>
    </row>
    <row r="24" spans="2:5" ht="9" customHeight="1" x14ac:dyDescent="0.35">
      <c r="B24" s="39"/>
      <c r="C24" s="39"/>
      <c r="D24" s="39"/>
      <c r="E24" s="39"/>
    </row>
    <row r="25" spans="2:5" x14ac:dyDescent="0.35">
      <c r="B25" s="475" t="s">
        <v>454</v>
      </c>
      <c r="C25" s="39"/>
      <c r="D25" s="471" t="s">
        <v>456</v>
      </c>
      <c r="E25" s="472"/>
    </row>
    <row r="26" spans="2:5" x14ac:dyDescent="0.35">
      <c r="B26" s="475"/>
      <c r="C26" s="39"/>
      <c r="D26" s="469"/>
      <c r="E26" s="470"/>
    </row>
    <row r="27" spans="2:5" x14ac:dyDescent="0.35">
      <c r="B27" s="475"/>
      <c r="C27" s="39"/>
      <c r="D27" s="469"/>
      <c r="E27" s="470"/>
    </row>
    <row r="28" spans="2:5" ht="9" customHeight="1" x14ac:dyDescent="0.35">
      <c r="B28" s="39"/>
      <c r="C28" s="39"/>
      <c r="D28" s="39"/>
      <c r="E28" s="39"/>
    </row>
    <row r="29" spans="2:5" ht="14.5" customHeight="1" x14ac:dyDescent="0.35">
      <c r="B29" s="467" t="s">
        <v>433</v>
      </c>
      <c r="C29" s="39"/>
      <c r="D29" s="471" t="s">
        <v>456</v>
      </c>
      <c r="E29" s="472"/>
    </row>
    <row r="30" spans="2:5" ht="14.5" customHeight="1" x14ac:dyDescent="0.35">
      <c r="B30" s="467"/>
      <c r="C30" s="39"/>
      <c r="D30" s="473"/>
      <c r="E30" s="474"/>
    </row>
    <row r="32" spans="2:5" ht="23.5" x14ac:dyDescent="0.55000000000000004">
      <c r="B32" s="57" t="s">
        <v>455</v>
      </c>
      <c r="C32" s="36"/>
      <c r="D32" s="36"/>
    </row>
  </sheetData>
  <mergeCells count="9">
    <mergeCell ref="B6:B8"/>
    <mergeCell ref="B29:B30"/>
    <mergeCell ref="D4:E4"/>
    <mergeCell ref="D27:E27"/>
    <mergeCell ref="D29:E29"/>
    <mergeCell ref="D30:E30"/>
    <mergeCell ref="D26:E26"/>
    <mergeCell ref="D25:E25"/>
    <mergeCell ref="B25:B2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5E74D-ED00-4CD5-8B49-6D8DC056F9B5}">
  <dimension ref="A1:AL48"/>
  <sheetViews>
    <sheetView topLeftCell="K26" zoomScale="72" workbookViewId="0">
      <selection activeCell="W40" sqref="W40:W41"/>
    </sheetView>
  </sheetViews>
  <sheetFormatPr defaultRowHeight="14.5" x14ac:dyDescent="0.35"/>
  <cols>
    <col min="3" max="3" width="8.81640625" bestFit="1" customWidth="1"/>
    <col min="4" max="4" width="13.7265625" customWidth="1"/>
    <col min="5" max="5" width="9.7265625" customWidth="1"/>
    <col min="6" max="6" width="17.08984375" customWidth="1"/>
    <col min="7" max="10" width="9.36328125" bestFit="1" customWidth="1"/>
    <col min="11" max="11" width="10.26953125" style="217" bestFit="1" customWidth="1"/>
    <col min="12" max="15" width="8.81640625" style="217" bestFit="1" customWidth="1"/>
    <col min="16" max="16" width="8.7265625" style="217"/>
    <col min="17" max="17" width="8.81640625" style="217" bestFit="1" customWidth="1"/>
    <col min="18" max="18" width="8.81640625" style="221" bestFit="1" customWidth="1"/>
    <col min="22" max="22" width="9.54296875" bestFit="1" customWidth="1"/>
  </cols>
  <sheetData>
    <row r="1" spans="1:29" x14ac:dyDescent="0.35">
      <c r="A1" t="s">
        <v>883</v>
      </c>
    </row>
    <row r="2" spans="1:29" x14ac:dyDescent="0.35">
      <c r="A2" s="209"/>
      <c r="B2" s="209"/>
      <c r="C2" s="210" t="s">
        <v>413</v>
      </c>
      <c r="D2" s="210" t="s">
        <v>414</v>
      </c>
      <c r="E2" s="210" t="s">
        <v>415</v>
      </c>
      <c r="F2" s="210" t="s">
        <v>416</v>
      </c>
      <c r="G2" s="210" t="s">
        <v>417</v>
      </c>
      <c r="H2" s="210" t="s">
        <v>418</v>
      </c>
      <c r="I2" s="210" t="s">
        <v>419</v>
      </c>
      <c r="J2" s="210" t="s">
        <v>420</v>
      </c>
      <c r="K2" s="218" t="s">
        <v>421</v>
      </c>
    </row>
    <row r="3" spans="1:29" x14ac:dyDescent="0.35">
      <c r="A3" s="209" t="s">
        <v>881</v>
      </c>
      <c r="B3" s="209" t="s">
        <v>440</v>
      </c>
      <c r="C3" s="211">
        <f>EOG_A1!E90</f>
        <v>3542118.754707498</v>
      </c>
      <c r="D3" s="211">
        <f>EOG_A1!F90</f>
        <v>1415076.1971918393</v>
      </c>
      <c r="E3" s="211">
        <f>EOG_A1!G90</f>
        <v>-2283524.9107534895</v>
      </c>
      <c r="F3" s="211">
        <f>EOG_A1!H90</f>
        <v>-708885.99593326496</v>
      </c>
      <c r="G3" s="211">
        <f>EOG_A1!I90</f>
        <v>-520062.34636845061</v>
      </c>
      <c r="H3" s="211">
        <f>EOG_A1!J90</f>
        <v>-762961.59455312777</v>
      </c>
      <c r="I3" s="211">
        <f>EOG_A1!K90</f>
        <v>-792970.90658249927</v>
      </c>
      <c r="J3" s="211">
        <f>EOG_A1!L90</f>
        <v>-630861.54927388567</v>
      </c>
      <c r="K3" s="219">
        <f>EOG_A1!M90</f>
        <v>-700236.35403983376</v>
      </c>
    </row>
    <row r="4" spans="1:29" x14ac:dyDescent="0.35">
      <c r="A4" s="209"/>
      <c r="B4" s="209" t="s">
        <v>439</v>
      </c>
      <c r="C4" s="211">
        <f>EOG!E90</f>
        <v>3542118.7549574976</v>
      </c>
      <c r="D4" s="211">
        <f>EOG!F90</f>
        <v>1485404.6517355146</v>
      </c>
      <c r="E4" s="211">
        <f>EOG!G90</f>
        <v>-1631069.2008688683</v>
      </c>
      <c r="F4" s="211">
        <f>EOG!H90</f>
        <v>-224299.802438718</v>
      </c>
      <c r="G4" s="211">
        <f>EOG!I90</f>
        <v>-30952.525812803513</v>
      </c>
      <c r="H4" s="211">
        <f>EOG!J90</f>
        <v>-414997.50601350097</v>
      </c>
      <c r="I4" s="211">
        <f>EOG!K90</f>
        <v>-275871.47865101555</v>
      </c>
      <c r="J4" s="211">
        <f>EOG!L90</f>
        <v>-88677.392777631991</v>
      </c>
      <c r="K4" s="219">
        <f>EOG!M90</f>
        <v>-168752.01487393025</v>
      </c>
    </row>
    <row r="5" spans="1:29" x14ac:dyDescent="0.35">
      <c r="A5" s="209" t="s">
        <v>232</v>
      </c>
      <c r="B5" s="209" t="s">
        <v>440</v>
      </c>
      <c r="C5" s="211">
        <f>Apache_A1!E90</f>
        <v>1280691.3124599997</v>
      </c>
      <c r="D5" s="211">
        <f>Apache_A1!F90</f>
        <v>-1002298.1764355665</v>
      </c>
      <c r="E5" s="211">
        <f>Apache_A1!G90</f>
        <v>-2976674.8072783342</v>
      </c>
      <c r="F5" s="211">
        <f>Apache_A1!H90</f>
        <v>-2360131.1957301777</v>
      </c>
      <c r="G5" s="211">
        <f>Apache_A1!I90</f>
        <v>-2256256.0176861184</v>
      </c>
      <c r="H5" s="211">
        <f>Apache_A1!J90</f>
        <v>-2071840.8799836978</v>
      </c>
      <c r="I5" s="211">
        <f>Apache_A1!K90</f>
        <v>-2004587.7052500111</v>
      </c>
      <c r="J5" s="211">
        <f>Apache_A1!L90</f>
        <v>-1913003.9356849235</v>
      </c>
      <c r="K5" s="219">
        <f>Apache_A1!M90</f>
        <v>-1938911.7390092746</v>
      </c>
    </row>
    <row r="6" spans="1:29" x14ac:dyDescent="0.35">
      <c r="A6" s="209"/>
      <c r="B6" s="209" t="s">
        <v>439</v>
      </c>
      <c r="C6" s="211">
        <f>Apache!E90</f>
        <v>1280691.3124599999</v>
      </c>
      <c r="D6" s="211">
        <f>Apache!F90</f>
        <v>-933427.11376610154</v>
      </c>
      <c r="E6" s="211">
        <f>Apache!G90</f>
        <v>-2570863.0222498337</v>
      </c>
      <c r="F6" s="211">
        <f>Apache!H90</f>
        <v>-2028370.7252642233</v>
      </c>
      <c r="G6" s="211">
        <f>Apache!I90</f>
        <v>-1924590.1992448014</v>
      </c>
      <c r="H6" s="211">
        <f>Apache!J90</f>
        <v>-1841366.6933649443</v>
      </c>
      <c r="I6" s="211">
        <f>Apache!K90</f>
        <v>-1763034.9246375868</v>
      </c>
      <c r="J6" s="211">
        <f>Apache!L90</f>
        <v>-1670492.029432469</v>
      </c>
      <c r="K6" s="219">
        <f>Apache!M90</f>
        <v>-1696670.8975696927</v>
      </c>
    </row>
    <row r="7" spans="1:29" x14ac:dyDescent="0.35">
      <c r="A7" s="209" t="s">
        <v>882</v>
      </c>
      <c r="B7" s="209" t="s">
        <v>440</v>
      </c>
      <c r="C7" s="211">
        <f>Cimarex_A1!E$90</f>
        <v>646204.23034999997</v>
      </c>
      <c r="D7" s="211">
        <f>Cimarex_A1!F$90</f>
        <v>114302.94492254034</v>
      </c>
      <c r="E7" s="211">
        <f>Cimarex_A1!G$90</f>
        <v>-491798.3372277263</v>
      </c>
      <c r="F7" s="211">
        <f>Cimarex_A1!H$90</f>
        <v>-202900.15224669941</v>
      </c>
      <c r="G7" s="211">
        <f>Cimarex_A1!I$90</f>
        <v>-173277.89139281775</v>
      </c>
      <c r="H7" s="211">
        <f>Cimarex_A1!J$90</f>
        <v>-165851.34778071867</v>
      </c>
      <c r="I7" s="211">
        <f>Cimarex_A1!K$90</f>
        <v>-129416.27717124026</v>
      </c>
      <c r="J7" s="211">
        <f>Cimarex_A1!L$90</f>
        <v>-101541.04798830498</v>
      </c>
      <c r="K7" s="219">
        <f>Cimarex_A1!M$90</f>
        <v>-116262.19154169748</v>
      </c>
    </row>
    <row r="8" spans="1:29" x14ac:dyDescent="0.35">
      <c r="A8" s="209"/>
      <c r="B8" s="209" t="s">
        <v>439</v>
      </c>
      <c r="C8" s="211">
        <f>Cimarex!E$90</f>
        <v>646204.23285000003</v>
      </c>
      <c r="D8" s="211">
        <f>Cimarex!F$90</f>
        <v>170709.26072308206</v>
      </c>
      <c r="E8" s="211">
        <f>Cimarex!G$90</f>
        <v>-346127.28558233991</v>
      </c>
      <c r="F8" s="211">
        <f>Cimarex!H$90</f>
        <v>-89987.909158094146</v>
      </c>
      <c r="G8" s="211">
        <f>Cimarex!I$90</f>
        <v>-59626.875467470869</v>
      </c>
      <c r="H8" s="211">
        <f>Cimarex!J$90</f>
        <v>-59816.240950582825</v>
      </c>
      <c r="I8" s="211">
        <f>Cimarex!K$90</f>
        <v>-26631.83271058965</v>
      </c>
      <c r="J8" s="211">
        <f>Cimarex!L$90</f>
        <v>3276.2633991552648</v>
      </c>
      <c r="K8" s="219">
        <f>Cimarex!M$90</f>
        <v>-12514.53010825704</v>
      </c>
    </row>
    <row r="9" spans="1:29" x14ac:dyDescent="0.35">
      <c r="A9" t="s">
        <v>950</v>
      </c>
      <c r="B9" s="209" t="s">
        <v>440</v>
      </c>
      <c r="C9" s="211">
        <f>Continental_A1!E$90</f>
        <v>1388604.4549999998</v>
      </c>
      <c r="D9" s="211">
        <f>Continental_A1!F$90</f>
        <v>289391.38700693089</v>
      </c>
      <c r="E9" s="211">
        <f>Continental_A1!G$90</f>
        <v>-590774.34207241633</v>
      </c>
      <c r="F9" s="211">
        <f>Continental_A1!H$90</f>
        <v>-33542.836493994313</v>
      </c>
      <c r="G9" s="211">
        <f>Continental_A1!I$90</f>
        <v>10802.511732732557</v>
      </c>
      <c r="H9" s="211">
        <f>Continental_A1!J$90</f>
        <v>-51100.141133847603</v>
      </c>
      <c r="I9" s="219">
        <f>Continental_A1!K$90</f>
        <v>-11042.702479558833</v>
      </c>
      <c r="J9" s="211">
        <f>Continental_A1!L$90</f>
        <v>34454.923424504159</v>
      </c>
      <c r="K9" s="219">
        <f>Continental_A1!M$90</f>
        <v>4791.7925484827028</v>
      </c>
    </row>
    <row r="10" spans="1:29" x14ac:dyDescent="0.35">
      <c r="B10" s="209" t="s">
        <v>439</v>
      </c>
      <c r="C10" s="211">
        <f>Continental!E$90</f>
        <v>1388604.4549999998</v>
      </c>
      <c r="D10" s="211">
        <f>Continental!F$90</f>
        <v>340840.25614544825</v>
      </c>
      <c r="E10" s="211">
        <f>Continental!G$90</f>
        <v>-359978.88008243439</v>
      </c>
      <c r="F10" s="211">
        <f>Continental!H$90</f>
        <v>127220.70241934073</v>
      </c>
      <c r="G10" s="211">
        <f>Continental!I$90</f>
        <v>171792.80525735041</v>
      </c>
      <c r="H10" s="211">
        <f>Continental!J$90</f>
        <v>112018.36152980752</v>
      </c>
      <c r="I10" s="219">
        <f>Continental!K$90</f>
        <v>163907.48895425731</v>
      </c>
      <c r="J10" s="211">
        <f>Continental!L$90</f>
        <v>212812.05421025454</v>
      </c>
      <c r="K10" s="219">
        <f>Continental!M$90</f>
        <v>180929.11203357959</v>
      </c>
    </row>
    <row r="11" spans="1:29" x14ac:dyDescent="0.35">
      <c r="A11" t="s">
        <v>951</v>
      </c>
      <c r="B11" s="209" t="s">
        <v>440</v>
      </c>
      <c r="C11" s="211">
        <f>Concho_A1!E$90</f>
        <v>1445402.2407500001</v>
      </c>
      <c r="D11" s="211">
        <f>Concho_A1!F$90</f>
        <v>82896.450611346081</v>
      </c>
      <c r="E11" s="211">
        <f>Concho_A1!G$90</f>
        <v>-1045946.8599208471</v>
      </c>
      <c r="F11" s="211">
        <f>Concho_A1!H$90</f>
        <v>-549404.88162221573</v>
      </c>
      <c r="G11" s="211">
        <f>Concho_A1!I$90</f>
        <v>-498822.1193204103</v>
      </c>
      <c r="H11" s="211">
        <f>Concho_A1!J$90</f>
        <v>-517558.65006812429</v>
      </c>
      <c r="I11" s="219">
        <f>Concho_A1!K$90</f>
        <v>-455066.05413643853</v>
      </c>
      <c r="J11" s="211">
        <f>Concho_A1!L$90</f>
        <v>-407501.80136088026</v>
      </c>
      <c r="K11" s="219">
        <f>Concho_A1!M$90</f>
        <v>-430987.70930333924</v>
      </c>
    </row>
    <row r="12" spans="1:29" x14ac:dyDescent="0.35">
      <c r="B12" s="209" t="s">
        <v>439</v>
      </c>
      <c r="C12" s="211">
        <f>Concho!E$90</f>
        <v>1445402.2407500001</v>
      </c>
      <c r="D12" s="211">
        <f>Concho!F$90</f>
        <v>217516.27059645654</v>
      </c>
      <c r="E12" s="211">
        <f>Concho!G$90</f>
        <v>-773823.66990252177</v>
      </c>
      <c r="F12" s="211">
        <f>Concho!H$90</f>
        <v>-326494.18255462096</v>
      </c>
      <c r="G12" s="211">
        <f>Concho!I$90</f>
        <v>-274374.03705301898</v>
      </c>
      <c r="H12" s="211">
        <f>Concho!J$90</f>
        <v>-350258.02827323414</v>
      </c>
      <c r="I12" s="219">
        <f>Concho!K$90</f>
        <v>-295033.746083315</v>
      </c>
      <c r="J12" s="211">
        <f>Concho!L$90</f>
        <v>-243391.68286381452</v>
      </c>
      <c r="K12" s="219">
        <f>Concho!M$90</f>
        <v>-268890.53291848651</v>
      </c>
      <c r="Y12" s="217"/>
      <c r="Z12" s="217"/>
      <c r="AB12" s="319"/>
      <c r="AC12" s="319"/>
    </row>
    <row r="13" spans="1:29" x14ac:dyDescent="0.35">
      <c r="A13" t="s">
        <v>952</v>
      </c>
      <c r="B13" s="209" t="s">
        <v>440</v>
      </c>
      <c r="C13" s="211">
        <f>Devon_A1!E$90</f>
        <v>967794.27646550001</v>
      </c>
      <c r="D13" s="211">
        <f>Devon_A1!F$90</f>
        <v>267304.9863287296</v>
      </c>
      <c r="E13" s="211">
        <f>Devon_A1!G$90</f>
        <v>-1451451.0803596426</v>
      </c>
      <c r="F13" s="211">
        <f>Devon_A1!H$90</f>
        <v>-914598.04708888114</v>
      </c>
      <c r="G13" s="211">
        <f>Devon_A1!I$90</f>
        <v>-821943.0857005358</v>
      </c>
      <c r="H13" s="211">
        <f>Devon_A1!J$90</f>
        <v>-665478.18089686276</v>
      </c>
      <c r="I13" s="219">
        <f>Devon_A1!K$90</f>
        <v>-591028.38490976894</v>
      </c>
      <c r="J13" s="211">
        <f>Devon_A1!L$90</f>
        <v>-509756.66822932014</v>
      </c>
      <c r="K13" s="219">
        <f>Devon_A1!M$90</f>
        <v>-534114.19909934991</v>
      </c>
      <c r="Y13" s="217"/>
      <c r="Z13" s="217"/>
      <c r="AB13" s="319"/>
      <c r="AC13" s="319"/>
    </row>
    <row r="14" spans="1:29" x14ac:dyDescent="0.35">
      <c r="B14" s="209" t="s">
        <v>439</v>
      </c>
      <c r="C14" s="211">
        <f>Devon!E$90</f>
        <v>967794.27621549997</v>
      </c>
      <c r="D14" s="211">
        <f>Devon!F$90</f>
        <v>355203.54903442325</v>
      </c>
      <c r="E14" s="211">
        <f>Devon!G$90</f>
        <v>-1101372.2656867942</v>
      </c>
      <c r="F14" s="211">
        <f>Devon!H$90</f>
        <v>-623892.29992958426</v>
      </c>
      <c r="G14" s="211">
        <f>Devon!I$90</f>
        <v>-529235.37540675665</v>
      </c>
      <c r="H14" s="211">
        <f>Devon!J$90</f>
        <v>-455306.55103758257</v>
      </c>
      <c r="I14" s="219">
        <f>Devon!K$90</f>
        <v>-367862.47087671561</v>
      </c>
      <c r="J14" s="211">
        <f>Devon!L$90</f>
        <v>-274509.06993792742</v>
      </c>
      <c r="K14" s="219">
        <f>Devon!M$90</f>
        <v>-302468.81807237654</v>
      </c>
      <c r="Y14" s="217"/>
      <c r="Z14" s="217"/>
      <c r="AB14" s="319"/>
      <c r="AC14" s="319"/>
    </row>
    <row r="18" spans="1:38" x14ac:dyDescent="0.35">
      <c r="A18" s="209"/>
      <c r="B18" s="209"/>
      <c r="C18" s="209"/>
      <c r="D18" s="209"/>
      <c r="E18" s="209"/>
      <c r="F18" s="209"/>
      <c r="G18" s="209"/>
      <c r="H18" s="209"/>
      <c r="O18" s="209"/>
      <c r="P18" s="209"/>
      <c r="Q18" s="219"/>
      <c r="R18" s="217"/>
      <c r="S18" s="217"/>
      <c r="T18" s="217"/>
      <c r="U18" s="217"/>
      <c r="V18" s="217"/>
      <c r="W18" s="217"/>
      <c r="X18" s="221"/>
    </row>
    <row r="19" spans="1:38" x14ac:dyDescent="0.35">
      <c r="A19" s="209" t="s">
        <v>440</v>
      </c>
      <c r="B19" s="209"/>
      <c r="C19" s="212" t="s">
        <v>884</v>
      </c>
      <c r="D19" s="212" t="s">
        <v>885</v>
      </c>
      <c r="E19" s="212" t="s">
        <v>277</v>
      </c>
      <c r="F19" s="212" t="s">
        <v>519</v>
      </c>
      <c r="G19" s="212" t="s">
        <v>956</v>
      </c>
      <c r="H19" s="212" t="s">
        <v>886</v>
      </c>
      <c r="I19" s="212" t="s">
        <v>953</v>
      </c>
      <c r="J19" s="419" t="s">
        <v>954</v>
      </c>
      <c r="K19" s="212" t="s">
        <v>955</v>
      </c>
      <c r="M19" s="217" t="s">
        <v>957</v>
      </c>
      <c r="N19" s="217" t="s">
        <v>954</v>
      </c>
      <c r="O19"/>
      <c r="P19"/>
      <c r="Q19"/>
      <c r="R19"/>
    </row>
    <row r="20" spans="1:38" x14ac:dyDescent="0.35">
      <c r="A20" s="209" t="s">
        <v>881</v>
      </c>
      <c r="B20" s="213">
        <v>2020</v>
      </c>
      <c r="C20" s="211">
        <f>SUM(EOG_A1!$F$44:$I$44)</f>
        <v>241985.20251749153</v>
      </c>
      <c r="D20" s="211">
        <f>ABS(SUM(EOG_A1!$F$97:$I$97))</f>
        <v>588200</v>
      </c>
      <c r="E20" s="211">
        <f>SUM(EOG_A1!$F$88:$I$88)</f>
        <v>3756320.963</v>
      </c>
      <c r="F20" s="211">
        <f>SUM(EOG_A1!$F$89:$I$89)</f>
        <v>193011.74803000005</v>
      </c>
      <c r="G20" s="208">
        <f>SUM(C20:F20)</f>
        <v>4779517.9135474917</v>
      </c>
      <c r="H20" s="211">
        <f>(SUM(D3:G3))</f>
        <v>-2097397.0558633655</v>
      </c>
      <c r="I20" s="208">
        <f t="shared" ref="I20:I31" si="0">-SUM(C20:F20)+H20</f>
        <v>-6876914.9694108572</v>
      </c>
      <c r="J20" s="214">
        <f t="shared" ref="J20:J31" si="1">H20/SUM(C20:F20)</f>
        <v>-0.43883025313459256</v>
      </c>
      <c r="K20"/>
      <c r="L20" s="209" t="s">
        <v>881</v>
      </c>
      <c r="M20" s="217">
        <f>G20/1000</f>
        <v>4779.5179135474918</v>
      </c>
      <c r="N20" s="217">
        <f>I20/1000</f>
        <v>-6876.9149694108573</v>
      </c>
      <c r="O20"/>
      <c r="P20" s="319">
        <f>EOG_A1!$I$95</f>
        <v>-2.9295854595782509</v>
      </c>
      <c r="Q20" s="319">
        <f>EOG_A1!$M$95</f>
        <v>-2.7650135262327331</v>
      </c>
      <c r="R20" s="421">
        <f>SUM(S20:V20)</f>
        <v>4779.5179135474918</v>
      </c>
      <c r="S20" s="421">
        <f t="shared" ref="S20:S25" si="2">C20/1000</f>
        <v>241.98520251749153</v>
      </c>
      <c r="T20" s="421">
        <f t="shared" ref="T20:T25" si="3">D20/1000</f>
        <v>588.20000000000005</v>
      </c>
      <c r="U20" s="421">
        <f t="shared" ref="U20:U25" si="4">E20/1000</f>
        <v>3756.3209630000001</v>
      </c>
      <c r="V20" s="421">
        <f t="shared" ref="V20:V25" si="5">F20/1000</f>
        <v>193.01174803000004</v>
      </c>
      <c r="W20" s="421">
        <f t="shared" ref="W20:W25" si="6">H20/1000</f>
        <v>-2097.3970558633655</v>
      </c>
    </row>
    <row r="21" spans="1:38" x14ac:dyDescent="0.35">
      <c r="A21" s="209"/>
      <c r="B21" s="213">
        <v>2021</v>
      </c>
      <c r="C21" s="211">
        <f>SUM(EOG_A1!$J$44:$M$44)</f>
        <v>175863.31929382781</v>
      </c>
      <c r="D21" s="211">
        <f>ABS(SUM(EOG_A1!$J$97:$M$97))</f>
        <v>588200</v>
      </c>
      <c r="E21" s="211">
        <f>SUM(EOG_A1!$J$88:$M$88)</f>
        <v>403879.658</v>
      </c>
      <c r="F21" s="211">
        <f>SUM(EOG_A1!$J$89:$M$89)</f>
        <v>224396.17582999999</v>
      </c>
      <c r="G21" s="208">
        <f t="shared" ref="G21:G31" si="7">SUM(C21:F21)</f>
        <v>1392339.1531238279</v>
      </c>
      <c r="H21" s="211">
        <f>(SUM(H3:K3))</f>
        <v>-2887030.4044493465</v>
      </c>
      <c r="I21" s="208">
        <f t="shared" si="0"/>
        <v>-4279369.5575731741</v>
      </c>
      <c r="J21" s="214">
        <f t="shared" si="1"/>
        <v>-2.0735108956550246</v>
      </c>
      <c r="K21"/>
      <c r="L21" s="209"/>
      <c r="M21" s="217">
        <f t="shared" ref="M21:M30" si="8">G21/1000</f>
        <v>1392.3391531238278</v>
      </c>
      <c r="N21" s="217">
        <f t="shared" ref="N21:N31" si="9">I21/1000</f>
        <v>-4279.3695575731745</v>
      </c>
      <c r="O21"/>
      <c r="R21" s="421">
        <f t="shared" ref="R21:R47" si="10">SUM(S21:V21)</f>
        <v>1392.3391531238278</v>
      </c>
      <c r="S21" s="421">
        <f t="shared" si="2"/>
        <v>175.8633192938278</v>
      </c>
      <c r="T21" s="421">
        <f t="shared" si="3"/>
        <v>588.20000000000005</v>
      </c>
      <c r="U21" s="421">
        <f t="shared" si="4"/>
        <v>403.87965800000001</v>
      </c>
      <c r="V21" s="421">
        <f t="shared" si="5"/>
        <v>224.39617583</v>
      </c>
      <c r="W21" s="421">
        <f t="shared" si="6"/>
        <v>-2887.0304044493464</v>
      </c>
    </row>
    <row r="22" spans="1:38" x14ac:dyDescent="0.35">
      <c r="A22" s="209" t="s">
        <v>232</v>
      </c>
      <c r="B22" s="213">
        <v>2020</v>
      </c>
      <c r="C22" s="211">
        <f>SUM(Apache_A1!$F$44:$I$44)</f>
        <v>546061.74573850096</v>
      </c>
      <c r="D22" s="211">
        <f>ABS(SUM(Apache_A1!$F$97:$I$97))</f>
        <v>376000</v>
      </c>
      <c r="E22" s="211">
        <f>SUM(Apache_A1!$F$88:$I$88)</f>
        <v>482952.73334999994</v>
      </c>
      <c r="F22" s="211">
        <f>SUM(Apache_A1!$F$89:$I$89)</f>
        <v>363350.81688</v>
      </c>
      <c r="G22" s="208">
        <f t="shared" si="7"/>
        <v>1768365.2959685009</v>
      </c>
      <c r="H22" s="211">
        <f>(SUM(D5:G5))</f>
        <v>-8595360.1971301958</v>
      </c>
      <c r="I22" s="208">
        <f>-SUM(C22:F22)+H22</f>
        <v>-10363725.493098697</v>
      </c>
      <c r="J22" s="214">
        <f t="shared" si="1"/>
        <v>-4.8606247910009319</v>
      </c>
      <c r="K22"/>
      <c r="L22" s="209" t="s">
        <v>232</v>
      </c>
      <c r="M22" s="217">
        <f t="shared" si="8"/>
        <v>1768.365295968501</v>
      </c>
      <c r="N22" s="217">
        <f>I22/1000</f>
        <v>-10363.725493098696</v>
      </c>
      <c r="O22"/>
      <c r="P22" s="319">
        <f>Apache_A1!$I$95</f>
        <v>-2.8825560707737807</v>
      </c>
      <c r="Q22" s="319">
        <f>Apache_A1!$M$95</f>
        <v>-2.7751737838489476</v>
      </c>
      <c r="R22" s="421">
        <f t="shared" si="10"/>
        <v>1768.365295968501</v>
      </c>
      <c r="S22" s="421">
        <f t="shared" si="2"/>
        <v>546.06174573850092</v>
      </c>
      <c r="T22" s="421">
        <f t="shared" si="3"/>
        <v>376</v>
      </c>
      <c r="U22" s="421">
        <f t="shared" si="4"/>
        <v>482.95273334999996</v>
      </c>
      <c r="V22" s="421">
        <f t="shared" si="5"/>
        <v>363.35081688000002</v>
      </c>
      <c r="W22" s="421">
        <f t="shared" si="6"/>
        <v>-8595.360197130196</v>
      </c>
    </row>
    <row r="23" spans="1:38" x14ac:dyDescent="0.35">
      <c r="A23" s="209"/>
      <c r="B23" s="213">
        <v>2021</v>
      </c>
      <c r="C23" s="211">
        <f>SUM(Apache_A1!$J$44:$M$44)</f>
        <v>412350.30996692268</v>
      </c>
      <c r="D23" s="211">
        <f>ABS(SUM(Apache_A1!$J$97:$M$97))</f>
        <v>376000</v>
      </c>
      <c r="E23" s="211">
        <f>SUM(Apache_A1!$J$88:$M$88)</f>
        <v>345767.62070999999</v>
      </c>
      <c r="F23" s="211">
        <f>SUM(Apache_A1!$J$89:$M$89)</f>
        <v>64755.611710000012</v>
      </c>
      <c r="G23" s="208">
        <f t="shared" si="7"/>
        <v>1198873.5423869228</v>
      </c>
      <c r="H23" s="211">
        <f>(SUM(H5:K5))</f>
        <v>-7928344.2599279061</v>
      </c>
      <c r="I23" s="208">
        <f t="shared" si="0"/>
        <v>-9127217.8023148291</v>
      </c>
      <c r="J23" s="214">
        <f t="shared" si="1"/>
        <v>-6.61316142163151</v>
      </c>
      <c r="K23"/>
      <c r="L23" s="209"/>
      <c r="M23" s="217">
        <f t="shared" si="8"/>
        <v>1198.8735423869227</v>
      </c>
      <c r="N23" s="217">
        <f t="shared" si="9"/>
        <v>-9127.2178023148299</v>
      </c>
      <c r="O23"/>
      <c r="R23" s="421">
        <f t="shared" si="10"/>
        <v>1198.8735423869227</v>
      </c>
      <c r="S23" s="421">
        <f t="shared" si="2"/>
        <v>412.35030996692268</v>
      </c>
      <c r="T23" s="421">
        <f t="shared" si="3"/>
        <v>376</v>
      </c>
      <c r="U23" s="421">
        <f t="shared" si="4"/>
        <v>345.76762070999996</v>
      </c>
      <c r="V23" s="421">
        <f t="shared" si="5"/>
        <v>64.755611710000011</v>
      </c>
      <c r="W23" s="421">
        <f t="shared" si="6"/>
        <v>-7928.344259927906</v>
      </c>
    </row>
    <row r="24" spans="1:38" x14ac:dyDescent="0.35">
      <c r="A24" s="209" t="s">
        <v>882</v>
      </c>
      <c r="B24" s="213">
        <v>2020</v>
      </c>
      <c r="C24" s="211">
        <f>SUM(Cimarex_A1!$F$44:$I$44)</f>
        <v>120361.06749399862</v>
      </c>
      <c r="D24" s="211">
        <f>ABS(SUM(Cimarex_A1!$F$97:$I$97))</f>
        <v>81709</v>
      </c>
      <c r="E24" s="211">
        <f>SUM(Cimarex_A1!$F$88:$I$88)</f>
        <v>110402.58256</v>
      </c>
      <c r="F24" s="211">
        <f>SUM(Cimarex_A1!$F$89:$I$89)</f>
        <v>84729.638000000006</v>
      </c>
      <c r="G24" s="208">
        <f t="shared" si="7"/>
        <v>397202.28805399861</v>
      </c>
      <c r="H24" s="211">
        <f>(SUM(D7:G7))</f>
        <v>-753673.43594470306</v>
      </c>
      <c r="I24" s="208">
        <f t="shared" si="0"/>
        <v>-1150875.7239987017</v>
      </c>
      <c r="J24" s="214">
        <f t="shared" si="1"/>
        <v>-1.897454920607716</v>
      </c>
      <c r="K24"/>
      <c r="L24" s="209" t="s">
        <v>882</v>
      </c>
      <c r="M24" s="217">
        <f t="shared" si="8"/>
        <v>397.20228805399859</v>
      </c>
      <c r="N24" s="217">
        <f t="shared" si="9"/>
        <v>-1150.8757239987017</v>
      </c>
      <c r="O24"/>
      <c r="P24" s="319">
        <f>Cimarex_A1!$I$95</f>
        <v>-5.9386450930921892</v>
      </c>
      <c r="Q24" s="319">
        <f>Cimarex_A1!$M$95</f>
        <v>-5.3624891268453938</v>
      </c>
      <c r="R24" s="421">
        <f t="shared" si="10"/>
        <v>397.20228805399864</v>
      </c>
      <c r="S24" s="421">
        <f t="shared" si="2"/>
        <v>120.36106749399862</v>
      </c>
      <c r="T24" s="421">
        <f t="shared" si="3"/>
        <v>81.709000000000003</v>
      </c>
      <c r="U24" s="421">
        <f t="shared" si="4"/>
        <v>110.40258256</v>
      </c>
      <c r="V24" s="421">
        <f t="shared" si="5"/>
        <v>84.729638000000008</v>
      </c>
      <c r="W24" s="421">
        <f t="shared" si="6"/>
        <v>-753.6734359447031</v>
      </c>
    </row>
    <row r="25" spans="1:38" x14ac:dyDescent="0.35">
      <c r="A25" s="209"/>
      <c r="B25" s="213">
        <v>2021</v>
      </c>
      <c r="C25" s="211">
        <f>SUM(Cimarex_A1!$J$44:$M$44)</f>
        <v>89381.763662244965</v>
      </c>
      <c r="D25" s="211">
        <f>ABS(SUM(Cimarex_A1!$J$97:$M$97))</f>
        <v>81709</v>
      </c>
      <c r="E25" s="211">
        <f>SUM(Cimarex_A1!$J$88:$M$88)</f>
        <v>14920.843739999998</v>
      </c>
      <c r="F25" s="211">
        <f>SUM(Cimarex_A1!$J$89:$M$89)</f>
        <v>48047.5746</v>
      </c>
      <c r="G25" s="208">
        <f t="shared" si="7"/>
        <v>234059.18200224495</v>
      </c>
      <c r="H25" s="211">
        <f>(SUM(H7:K7))</f>
        <v>-513070.86448196141</v>
      </c>
      <c r="I25" s="208">
        <f t="shared" si="0"/>
        <v>-747130.04648420634</v>
      </c>
      <c r="J25" s="214">
        <f t="shared" si="1"/>
        <v>-2.1920561291077245</v>
      </c>
      <c r="K25"/>
      <c r="L25" s="209"/>
      <c r="M25" s="217">
        <f t="shared" si="8"/>
        <v>234.05918200224497</v>
      </c>
      <c r="N25" s="217">
        <f t="shared" si="9"/>
        <v>-747.13004648420633</v>
      </c>
      <c r="O25"/>
      <c r="P25"/>
      <c r="Q25"/>
      <c r="R25" s="421">
        <f t="shared" si="10"/>
        <v>234.05918200224497</v>
      </c>
      <c r="S25" s="421">
        <f t="shared" si="2"/>
        <v>89.381763662244964</v>
      </c>
      <c r="T25" s="421">
        <f t="shared" si="3"/>
        <v>81.709000000000003</v>
      </c>
      <c r="U25" s="421">
        <f t="shared" si="4"/>
        <v>14.920843739999999</v>
      </c>
      <c r="V25" s="421">
        <f t="shared" si="5"/>
        <v>48.047574599999997</v>
      </c>
      <c r="W25" s="421">
        <f t="shared" si="6"/>
        <v>-513.07086448196139</v>
      </c>
    </row>
    <row r="26" spans="1:38" s="417" customFormat="1" x14ac:dyDescent="0.35">
      <c r="A26" s="413" t="s">
        <v>950</v>
      </c>
      <c r="B26" s="414">
        <v>2020</v>
      </c>
      <c r="C26" s="415">
        <f>SUM(Continental_A1!$F$44:$I$44)</f>
        <v>341846.64976186678</v>
      </c>
      <c r="D26" s="415">
        <f>ABS(SUM(Continental_A1!$F$97:$I$97))</f>
        <v>18380</v>
      </c>
      <c r="E26" s="415">
        <f>SUM(Continental_A1!$F$88:$I$88)</f>
        <v>759437.56800000009</v>
      </c>
      <c r="F26" s="415">
        <f>SUM(Continental_A1!$F$89:$I$89)</f>
        <v>121328.51000000001</v>
      </c>
      <c r="G26" s="208">
        <f t="shared" si="7"/>
        <v>1240992.7277618668</v>
      </c>
      <c r="H26" s="415">
        <f>(SUM(D9:G9))</f>
        <v>-324123.27982674725</v>
      </c>
      <c r="I26" s="416">
        <f t="shared" si="0"/>
        <v>-1565116.007588614</v>
      </c>
      <c r="J26" s="420">
        <f t="shared" si="1"/>
        <v>-0.26118064399241431</v>
      </c>
      <c r="L26" s="413" t="s">
        <v>950</v>
      </c>
      <c r="M26" s="217">
        <f t="shared" si="8"/>
        <v>1240.9927277618667</v>
      </c>
      <c r="N26" s="217">
        <f t="shared" si="9"/>
        <v>-1565.1160075886139</v>
      </c>
      <c r="O26"/>
      <c r="P26" s="319">
        <f>Continental_A1!$I$95</f>
        <v>11.503024132771937</v>
      </c>
      <c r="Q26" s="319">
        <f>Continental_A1!$M$95</f>
        <v>12.729142548021208</v>
      </c>
      <c r="R26" s="421">
        <f t="shared" si="10"/>
        <v>1240.9927277618669</v>
      </c>
      <c r="S26" s="421">
        <f>C26/1000</f>
        <v>341.84664976186679</v>
      </c>
      <c r="T26" s="421">
        <f t="shared" ref="T26:V31" si="11">D26/1000</f>
        <v>18.38</v>
      </c>
      <c r="U26" s="421">
        <f t="shared" si="11"/>
        <v>759.43756800000006</v>
      </c>
      <c r="V26" s="421">
        <f t="shared" si="11"/>
        <v>121.32851000000001</v>
      </c>
      <c r="W26" s="421">
        <f>H26/1000</f>
        <v>-324.12327982674725</v>
      </c>
      <c r="X26"/>
      <c r="Y26"/>
      <c r="Z26"/>
      <c r="AA26"/>
      <c r="AB26"/>
      <c r="AC26"/>
      <c r="AD26"/>
      <c r="AE26"/>
      <c r="AF26"/>
      <c r="AG26"/>
      <c r="AH26"/>
      <c r="AI26"/>
      <c r="AJ26"/>
      <c r="AK26"/>
      <c r="AL26"/>
    </row>
    <row r="27" spans="1:38" s="417" customFormat="1" x14ac:dyDescent="0.35">
      <c r="A27" s="413"/>
      <c r="B27" s="414">
        <v>2021</v>
      </c>
      <c r="C27" s="415">
        <f>SUM(Continental_A1!$J$44:$M$44)</f>
        <v>258690.45574732684</v>
      </c>
      <c r="D27" s="415">
        <f>ABS(SUM(Continental_A1!$J$97:$M$97))</f>
        <v>18380</v>
      </c>
      <c r="E27" s="415">
        <f>SUM(Continental_A1!$J$88:$M$88)</f>
        <v>151811.04999999999</v>
      </c>
      <c r="F27" s="415">
        <f>SUM(Continental_A1!$J$89:$M$89)</f>
        <v>110898.57899999998</v>
      </c>
      <c r="G27" s="208">
        <f t="shared" si="7"/>
        <v>539780.08474732679</v>
      </c>
      <c r="H27" s="415">
        <f>(SUM(H9:K9))</f>
        <v>-22896.127640419578</v>
      </c>
      <c r="I27" s="416">
        <f t="shared" si="0"/>
        <v>-562676.21238774632</v>
      </c>
      <c r="J27" s="420">
        <f t="shared" si="1"/>
        <v>-4.24175109223182E-2</v>
      </c>
      <c r="L27" s="413"/>
      <c r="M27" s="217">
        <f t="shared" si="8"/>
        <v>539.78008474732678</v>
      </c>
      <c r="N27" s="217">
        <f t="shared" si="9"/>
        <v>-562.67621238774632</v>
      </c>
      <c r="R27" s="421">
        <f t="shared" si="10"/>
        <v>539.78008474732678</v>
      </c>
      <c r="S27" s="421">
        <f t="shared" ref="S27:S31" si="12">C27/1000</f>
        <v>258.69045574732684</v>
      </c>
      <c r="T27" s="421">
        <f t="shared" si="11"/>
        <v>18.38</v>
      </c>
      <c r="U27" s="421">
        <f t="shared" si="11"/>
        <v>151.81104999999999</v>
      </c>
      <c r="V27" s="421">
        <f t="shared" si="11"/>
        <v>110.89857899999998</v>
      </c>
      <c r="W27" s="421">
        <f t="shared" ref="W27:W31" si="13">H27/1000</f>
        <v>-22.896127640419579</v>
      </c>
    </row>
    <row r="28" spans="1:38" x14ac:dyDescent="0.35">
      <c r="A28" s="209" t="s">
        <v>951</v>
      </c>
      <c r="B28" s="213">
        <v>2020</v>
      </c>
      <c r="C28" s="211">
        <f>SUM(Concho_A1!$F$44:$I$44)</f>
        <v>238034.3884305243</v>
      </c>
      <c r="D28" s="211">
        <f>ABS(SUM(Concho_A1!$F$97:$I$97))</f>
        <v>100000</v>
      </c>
      <c r="E28" s="211">
        <f>SUM(Concho_A1!$F$88:$I$88)</f>
        <v>348018.06920000009</v>
      </c>
      <c r="F28" s="211">
        <f>SUM(Concho_A1!$F$89:$I$89)</f>
        <v>309728.94</v>
      </c>
      <c r="G28" s="208">
        <f t="shared" si="7"/>
        <v>995781.39763052436</v>
      </c>
      <c r="H28" s="211">
        <f>(SUM(D11:G11))</f>
        <v>-2011277.4102521271</v>
      </c>
      <c r="I28" s="208">
        <f t="shared" si="0"/>
        <v>-3007058.8078826517</v>
      </c>
      <c r="J28" s="214">
        <f t="shared" si="1"/>
        <v>-2.0197981354522083</v>
      </c>
      <c r="K28"/>
      <c r="L28" s="209" t="s">
        <v>951</v>
      </c>
      <c r="M28" s="217">
        <f t="shared" si="8"/>
        <v>995.78139763052434</v>
      </c>
      <c r="N28" s="217">
        <f t="shared" si="9"/>
        <v>-3007.0588078826518</v>
      </c>
      <c r="O28" s="417"/>
      <c r="P28" s="319">
        <f>Concho_A1!$I$95</f>
        <v>-2.4454843699130517</v>
      </c>
      <c r="Q28" s="319">
        <f>Concho_A1!$M$95</f>
        <v>-2.3716649833951666</v>
      </c>
      <c r="R28" s="421">
        <f t="shared" si="10"/>
        <v>995.78139763052445</v>
      </c>
      <c r="S28" s="421">
        <f t="shared" si="12"/>
        <v>238.0343884305243</v>
      </c>
      <c r="T28" s="421">
        <f t="shared" si="11"/>
        <v>100</v>
      </c>
      <c r="U28" s="421">
        <f t="shared" si="11"/>
        <v>348.01806920000007</v>
      </c>
      <c r="V28" s="421">
        <f t="shared" si="11"/>
        <v>309.72894000000002</v>
      </c>
      <c r="W28" s="421">
        <f t="shared" si="13"/>
        <v>-2011.2774102521271</v>
      </c>
      <c r="X28" s="417"/>
      <c r="Y28" s="417"/>
      <c r="Z28" s="417"/>
      <c r="AA28" s="417"/>
      <c r="AB28" s="417"/>
      <c r="AC28" s="417"/>
      <c r="AD28" s="417"/>
      <c r="AE28" s="417"/>
      <c r="AF28" s="417"/>
      <c r="AG28" s="417"/>
      <c r="AH28" s="417"/>
      <c r="AI28" s="417"/>
      <c r="AJ28" s="417"/>
      <c r="AK28" s="417"/>
      <c r="AL28" s="417"/>
    </row>
    <row r="29" spans="1:38" x14ac:dyDescent="0.35">
      <c r="A29" s="209"/>
      <c r="B29" s="213">
        <v>2021</v>
      </c>
      <c r="C29" s="211">
        <f>SUM(Concho_A1!$J$44:$M$44)</f>
        <v>177044.66496850734</v>
      </c>
      <c r="D29" s="211">
        <f>ABS(SUM(Concho_A1!$J$97:$M$97))</f>
        <v>100000</v>
      </c>
      <c r="E29" s="211">
        <f>SUM(Concho_A1!$J$88:$M$88)</f>
        <v>55183.213000000003</v>
      </c>
      <c r="F29" s="211">
        <f>SUM(Concho_A1!$J$89:$M$89)</f>
        <v>135723.13</v>
      </c>
      <c r="G29" s="208">
        <f t="shared" si="7"/>
        <v>467951.00796850736</v>
      </c>
      <c r="H29" s="211">
        <f>(SUM(H11:K11))</f>
        <v>-1811114.2148687823</v>
      </c>
      <c r="I29" s="208">
        <f t="shared" si="0"/>
        <v>-2279065.2228372898</v>
      </c>
      <c r="J29" s="214">
        <f t="shared" si="1"/>
        <v>-3.8703073271094834</v>
      </c>
      <c r="K29"/>
      <c r="L29" s="209"/>
      <c r="M29" s="217">
        <f t="shared" si="8"/>
        <v>467.95100796850738</v>
      </c>
      <c r="N29" s="217">
        <f t="shared" si="9"/>
        <v>-2279.0652228372896</v>
      </c>
      <c r="O29"/>
      <c r="P29"/>
      <c r="Q29"/>
      <c r="R29" s="421">
        <f t="shared" si="10"/>
        <v>467.95100796850738</v>
      </c>
      <c r="S29" s="421">
        <f t="shared" si="12"/>
        <v>177.04466496850733</v>
      </c>
      <c r="T29" s="421">
        <f t="shared" si="11"/>
        <v>100</v>
      </c>
      <c r="U29" s="421">
        <f t="shared" si="11"/>
        <v>55.183213000000002</v>
      </c>
      <c r="V29" s="421">
        <f t="shared" si="11"/>
        <v>135.72313</v>
      </c>
      <c r="W29" s="421">
        <f t="shared" si="13"/>
        <v>-1811.1142148687823</v>
      </c>
    </row>
    <row r="30" spans="1:38" x14ac:dyDescent="0.35">
      <c r="A30" s="209" t="s">
        <v>952</v>
      </c>
      <c r="B30" s="213">
        <v>2020</v>
      </c>
      <c r="C30" s="211">
        <f>SUM(Devon_A1!$F$44:$I$44)</f>
        <v>318463.39499939192</v>
      </c>
      <c r="D30" s="211">
        <f>ABS(SUM(Devon_A1!$F$97:$I$97))</f>
        <v>140000</v>
      </c>
      <c r="E30" s="211">
        <f>SUM(Devon_A1!$F$88:$I$88)</f>
        <v>336186.65700000001</v>
      </c>
      <c r="F30" s="211">
        <f>SUM(Devon_A1!$F$89:$I$89)</f>
        <v>161457.36271000004</v>
      </c>
      <c r="G30" s="208">
        <f t="shared" si="7"/>
        <v>956107.414709392</v>
      </c>
      <c r="H30" s="211">
        <f>(SUM(D13:G13))</f>
        <v>-2920687.2268203297</v>
      </c>
      <c r="I30" s="208">
        <f t="shared" si="0"/>
        <v>-3876794.6415297217</v>
      </c>
      <c r="J30" s="214">
        <f t="shared" si="1"/>
        <v>-3.0547689327438903</v>
      </c>
      <c r="K30"/>
      <c r="L30" s="209" t="s">
        <v>952</v>
      </c>
      <c r="M30" s="217">
        <f t="shared" si="8"/>
        <v>956.10741470939206</v>
      </c>
      <c r="N30" s="217">
        <f t="shared" si="9"/>
        <v>-3876.7946415297215</v>
      </c>
      <c r="O30"/>
      <c r="P30" s="319">
        <f>Devon_A1!$I$95</f>
        <v>-5.1614552061588688</v>
      </c>
      <c r="Q30" s="319">
        <f>Devon_A1!$M$95</f>
        <v>-5.6859580657785882</v>
      </c>
      <c r="R30" s="421">
        <f t="shared" si="10"/>
        <v>956.10741470939206</v>
      </c>
      <c r="S30" s="421">
        <f t="shared" si="12"/>
        <v>318.46339499939194</v>
      </c>
      <c r="T30" s="421">
        <f t="shared" si="11"/>
        <v>140</v>
      </c>
      <c r="U30" s="421">
        <f t="shared" si="11"/>
        <v>336.18665700000003</v>
      </c>
      <c r="V30" s="421">
        <f t="shared" si="11"/>
        <v>161.45736271000004</v>
      </c>
      <c r="W30" s="421">
        <f t="shared" si="13"/>
        <v>-2920.6872268203297</v>
      </c>
    </row>
    <row r="31" spans="1:38" x14ac:dyDescent="0.35">
      <c r="A31" s="209"/>
      <c r="B31" s="213">
        <v>2021</v>
      </c>
      <c r="C31" s="211">
        <f>SUM(Devon_A1!$J$44:$M$44)</f>
        <v>250961.47536881675</v>
      </c>
      <c r="D31" s="211">
        <f>ABS(SUM(Devon_A1!$J$97:$M$97))</f>
        <v>140000</v>
      </c>
      <c r="E31" s="211">
        <f>SUM(Devon_A1!$J$88:$M$88)</f>
        <v>67048.604399999982</v>
      </c>
      <c r="F31" s="211">
        <f>SUM(Devon_A1!$J$89:$M$89)</f>
        <v>81770.415398000012</v>
      </c>
      <c r="G31" s="208">
        <f t="shared" si="7"/>
        <v>539780.49516681675</v>
      </c>
      <c r="H31" s="211">
        <f>(SUM(H13:K13))</f>
        <v>-2300377.4331353018</v>
      </c>
      <c r="I31" s="208">
        <f t="shared" si="0"/>
        <v>-2840157.9283021186</v>
      </c>
      <c r="J31" s="214">
        <f t="shared" si="1"/>
        <v>-4.261690545940124</v>
      </c>
      <c r="K31"/>
      <c r="L31" s="209"/>
      <c r="M31" s="217">
        <f>G31/1000</f>
        <v>539.78049516681676</v>
      </c>
      <c r="N31" s="217">
        <f t="shared" si="9"/>
        <v>-2840.1579283021188</v>
      </c>
      <c r="O31"/>
      <c r="P31"/>
      <c r="Q31"/>
      <c r="R31" s="421">
        <f t="shared" si="10"/>
        <v>539.78049516681676</v>
      </c>
      <c r="S31" s="421">
        <f t="shared" si="12"/>
        <v>250.96147536881676</v>
      </c>
      <c r="T31" s="421">
        <f t="shared" si="11"/>
        <v>140</v>
      </c>
      <c r="U31" s="421">
        <f t="shared" si="11"/>
        <v>67.048604399999988</v>
      </c>
      <c r="V31" s="421">
        <f t="shared" si="11"/>
        <v>81.770415398000011</v>
      </c>
      <c r="W31" s="421">
        <f t="shared" si="13"/>
        <v>-2300.377433135302</v>
      </c>
    </row>
    <row r="32" spans="1:38" x14ac:dyDescent="0.35">
      <c r="J32" s="214"/>
      <c r="O32"/>
      <c r="P32"/>
      <c r="Q32"/>
      <c r="R32" s="421"/>
      <c r="S32" s="221"/>
    </row>
    <row r="33" spans="1:23" x14ac:dyDescent="0.35">
      <c r="J33" s="214"/>
      <c r="O33"/>
      <c r="P33"/>
      <c r="Q33"/>
      <c r="R33" s="421"/>
      <c r="S33" s="221"/>
    </row>
    <row r="34" spans="1:23" x14ac:dyDescent="0.35">
      <c r="J34" s="214"/>
      <c r="O34"/>
      <c r="P34"/>
      <c r="Q34"/>
      <c r="R34" s="421"/>
      <c r="S34" s="221"/>
    </row>
    <row r="35" spans="1:23" x14ac:dyDescent="0.35">
      <c r="A35" s="209" t="s">
        <v>439</v>
      </c>
      <c r="B35" s="209"/>
      <c r="C35" s="212" t="s">
        <v>884</v>
      </c>
      <c r="D35" s="212" t="s">
        <v>885</v>
      </c>
      <c r="E35" s="212" t="s">
        <v>277</v>
      </c>
      <c r="F35" s="212" t="s">
        <v>519</v>
      </c>
      <c r="G35" s="212" t="s">
        <v>956</v>
      </c>
      <c r="H35" s="212" t="s">
        <v>886</v>
      </c>
      <c r="I35" s="212" t="s">
        <v>953</v>
      </c>
      <c r="J35" s="419" t="s">
        <v>954</v>
      </c>
      <c r="K35" s="212" t="s">
        <v>955</v>
      </c>
      <c r="M35" s="217" t="s">
        <v>957</v>
      </c>
      <c r="N35" s="217" t="s">
        <v>954</v>
      </c>
      <c r="R35" s="421"/>
      <c r="S35" s="217"/>
      <c r="T35" s="221"/>
    </row>
    <row r="36" spans="1:23" x14ac:dyDescent="0.35">
      <c r="A36" s="209" t="s">
        <v>881</v>
      </c>
      <c r="B36" s="213">
        <v>2020</v>
      </c>
      <c r="C36" s="211">
        <f>SUM(EOG!$F$44:$I$44)</f>
        <v>203061.95154406311</v>
      </c>
      <c r="D36" s="211">
        <f>ABS(SUM(EOG!$F$97:$I$97))</f>
        <v>588200</v>
      </c>
      <c r="E36" s="211">
        <f>SUM(EOG!$F$88:$I$88)</f>
        <v>3841616.7070000004</v>
      </c>
      <c r="F36" s="211">
        <f>SUM(EOG!$F$89:$I$89)</f>
        <v>193011.74553000004</v>
      </c>
      <c r="G36" s="208">
        <f>SUM(C36:F36)</f>
        <v>4825890.4040740635</v>
      </c>
      <c r="H36" s="211">
        <f>(SUM(D4:G4))</f>
        <v>-400916.8773848752</v>
      </c>
      <c r="I36" s="208">
        <f t="shared" ref="I36:I47" si="14">-SUM(C36:F36)+H36</f>
        <v>-5226807.2814589385</v>
      </c>
      <c r="J36" s="214">
        <f t="shared" ref="J36:J47" si="15">H36/SUM(C36:F36)</f>
        <v>-8.3076249938543414E-2</v>
      </c>
      <c r="K36"/>
      <c r="L36" s="209" t="s">
        <v>881</v>
      </c>
      <c r="M36" s="217">
        <f>G36/1000</f>
        <v>4825.8904040740636</v>
      </c>
      <c r="N36" s="217">
        <f>I36/1000</f>
        <v>-5226.8072814589386</v>
      </c>
      <c r="P36" s="319">
        <f>EOG!$I$95</f>
        <v>-4.9860069260124824</v>
      </c>
      <c r="Q36" s="319">
        <f>EOG!$M$95</f>
        <v>-5.2725085862067402</v>
      </c>
      <c r="R36" s="421">
        <f>SUM(S36:V36)</f>
        <v>4825.8904040740636</v>
      </c>
      <c r="S36" s="421">
        <f t="shared" ref="S36:S41" si="16">C36/1000</f>
        <v>203.06195154406311</v>
      </c>
      <c r="T36" s="421">
        <f t="shared" ref="T36:T47" si="17">D36/1000</f>
        <v>588.20000000000005</v>
      </c>
      <c r="U36" s="421">
        <f t="shared" ref="U36:U47" si="18">E36/1000</f>
        <v>3841.6167070000006</v>
      </c>
      <c r="V36" s="421">
        <f t="shared" ref="V36:V47" si="19">F36/1000</f>
        <v>193.01174553000004</v>
      </c>
      <c r="W36" s="421">
        <f t="shared" ref="W36:W41" si="20">H36/1000</f>
        <v>-400.91687738487519</v>
      </c>
    </row>
    <row r="37" spans="1:23" x14ac:dyDescent="0.35">
      <c r="A37" s="209"/>
      <c r="B37" s="213">
        <v>2021</v>
      </c>
      <c r="C37" s="211">
        <f>SUM(EOG!$J$44:$M$44)</f>
        <v>184625.10770532585</v>
      </c>
      <c r="D37" s="211">
        <f>ABS(SUM(EOG!$J$97:$M$97))</f>
        <v>588200</v>
      </c>
      <c r="E37" s="211">
        <f>SUM(EOG!$J$88:$M$88)</f>
        <v>1077471.4789999998</v>
      </c>
      <c r="F37" s="211">
        <f>SUM(EOG!$J$89:$M$89)</f>
        <v>268125.72083000001</v>
      </c>
      <c r="G37" s="208">
        <f t="shared" ref="G37:G47" si="21">SUM(C37:F37)</f>
        <v>2118422.3075353256</v>
      </c>
      <c r="H37" s="211">
        <f>(SUM(H4:K4))</f>
        <v>-948298.39231607877</v>
      </c>
      <c r="I37" s="208">
        <f t="shared" si="14"/>
        <v>-3066720.6998514044</v>
      </c>
      <c r="J37" s="214">
        <f t="shared" si="15"/>
        <v>-0.44764369641640278</v>
      </c>
      <c r="K37"/>
      <c r="L37" s="209"/>
      <c r="M37" s="217">
        <f t="shared" ref="M37:M47" si="22">G37/1000</f>
        <v>2118.4223075353257</v>
      </c>
      <c r="N37" s="217">
        <f t="shared" ref="N37:N47" si="23">I37/1000</f>
        <v>-3066.7206998514043</v>
      </c>
      <c r="R37" s="421">
        <f t="shared" si="10"/>
        <v>2118.4223075353257</v>
      </c>
      <c r="S37" s="421">
        <f t="shared" si="16"/>
        <v>184.62510770532586</v>
      </c>
      <c r="T37" s="421">
        <f t="shared" si="17"/>
        <v>588.20000000000005</v>
      </c>
      <c r="U37" s="421">
        <f t="shared" si="18"/>
        <v>1077.4714789999998</v>
      </c>
      <c r="V37" s="421">
        <f t="shared" si="19"/>
        <v>268.12572082999998</v>
      </c>
      <c r="W37" s="421">
        <f t="shared" si="20"/>
        <v>-948.29839231607878</v>
      </c>
    </row>
    <row r="38" spans="1:23" x14ac:dyDescent="0.35">
      <c r="A38" s="209" t="s">
        <v>232</v>
      </c>
      <c r="B38" s="213">
        <v>2020</v>
      </c>
      <c r="C38" s="211">
        <f>SUM(Apache!$F$44:$I$44)</f>
        <v>465825.57819375466</v>
      </c>
      <c r="D38" s="211">
        <f>ABS(SUM(Apache!$F$97:$I$97))</f>
        <v>376000</v>
      </c>
      <c r="E38" s="211">
        <f>SUM(Apache!$F$88:$I$88)</f>
        <v>581993.09475000016</v>
      </c>
      <c r="F38" s="211">
        <f>SUM(Apache!$F$89:$I$89)</f>
        <v>363350.81098000001</v>
      </c>
      <c r="G38" s="208">
        <f t="shared" si="21"/>
        <v>1787169.4839237549</v>
      </c>
      <c r="H38" s="211">
        <f>(SUM(D6:G6))</f>
        <v>-7457251.0605249591</v>
      </c>
      <c r="I38" s="208">
        <f t="shared" si="14"/>
        <v>-9244420.5444487147</v>
      </c>
      <c r="J38" s="214">
        <f t="shared" si="15"/>
        <v>-4.1726602471705503</v>
      </c>
      <c r="K38"/>
      <c r="L38" s="209" t="s">
        <v>232</v>
      </c>
      <c r="M38" s="217">
        <f t="shared" si="22"/>
        <v>1787.1694839237548</v>
      </c>
      <c r="N38" s="217">
        <f t="shared" si="23"/>
        <v>-9244.4205444487143</v>
      </c>
      <c r="P38" s="319">
        <f>Apache!$I$95</f>
        <v>-3.1997092384179391</v>
      </c>
      <c r="Q38" s="319">
        <f>Apache!$M$95</f>
        <v>-3.1346466842105478</v>
      </c>
      <c r="R38" s="421">
        <f t="shared" si="10"/>
        <v>1787.1694839237548</v>
      </c>
      <c r="S38" s="421">
        <f t="shared" si="16"/>
        <v>465.82557819375467</v>
      </c>
      <c r="T38" s="421">
        <f t="shared" si="17"/>
        <v>376</v>
      </c>
      <c r="U38" s="421">
        <f t="shared" si="18"/>
        <v>581.99309475000018</v>
      </c>
      <c r="V38" s="421">
        <f t="shared" si="19"/>
        <v>363.35081098000001</v>
      </c>
      <c r="W38" s="421">
        <f t="shared" si="20"/>
        <v>-7457.251060524959</v>
      </c>
    </row>
    <row r="39" spans="1:23" x14ac:dyDescent="0.35">
      <c r="A39" s="209"/>
      <c r="B39" s="213">
        <v>2021</v>
      </c>
      <c r="C39" s="211">
        <f>SUM(Apache!$J$44:$M$44)</f>
        <v>429048.24973964551</v>
      </c>
      <c r="D39" s="211">
        <f>ABS(SUM(Apache!$J$97:$M$97))</f>
        <v>376000</v>
      </c>
      <c r="E39" s="211">
        <f>SUM(Apache!$J$88:$M$88)</f>
        <v>451819.33410000004</v>
      </c>
      <c r="F39" s="211">
        <f>SUM(Apache!$J$89:$M$89)</f>
        <v>75063.562770000004</v>
      </c>
      <c r="G39" s="208">
        <f t="shared" si="21"/>
        <v>1331931.1466096456</v>
      </c>
      <c r="H39" s="211">
        <f>(SUM(H6:K6))</f>
        <v>-6971564.5450046929</v>
      </c>
      <c r="I39" s="208">
        <f t="shared" si="14"/>
        <v>-8303495.6916143382</v>
      </c>
      <c r="J39" s="214">
        <f t="shared" si="15"/>
        <v>-5.2341778798028793</v>
      </c>
      <c r="K39"/>
      <c r="L39" s="209"/>
      <c r="M39" s="217">
        <f t="shared" si="22"/>
        <v>1331.9311466096456</v>
      </c>
      <c r="N39" s="217">
        <f t="shared" si="23"/>
        <v>-8303.4956916143383</v>
      </c>
      <c r="R39" s="421">
        <f t="shared" si="10"/>
        <v>1331.9311466096458</v>
      </c>
      <c r="S39" s="421">
        <f t="shared" si="16"/>
        <v>429.04824973964554</v>
      </c>
      <c r="T39" s="421">
        <f t="shared" si="17"/>
        <v>376</v>
      </c>
      <c r="U39" s="421">
        <f t="shared" si="18"/>
        <v>451.81933410000005</v>
      </c>
      <c r="V39" s="421">
        <f t="shared" si="19"/>
        <v>75.063562770000004</v>
      </c>
      <c r="W39" s="421">
        <f t="shared" si="20"/>
        <v>-6971.5645450046932</v>
      </c>
    </row>
    <row r="40" spans="1:23" x14ac:dyDescent="0.35">
      <c r="A40" s="209" t="s">
        <v>882</v>
      </c>
      <c r="B40" s="213">
        <v>2020</v>
      </c>
      <c r="C40" s="211">
        <f>SUM(Cimarex!$F$44:$I$44)</f>
        <v>101743.8922941546</v>
      </c>
      <c r="D40" s="211">
        <f>ABS(SUM(Cimarex!$F$97:$I$97))</f>
        <v>81709</v>
      </c>
      <c r="E40" s="211">
        <f>SUM(Cimarex!$F$88:$I$88)</f>
        <v>235353.7752</v>
      </c>
      <c r="F40" s="211">
        <f>SUM(Cimarex!$F$89:$I$89)</f>
        <v>84729.637000000017</v>
      </c>
      <c r="G40" s="208">
        <f t="shared" si="21"/>
        <v>503536.30449415464</v>
      </c>
      <c r="H40" s="211">
        <f>(SUM(D8:G8))</f>
        <v>-325032.80948482285</v>
      </c>
      <c r="I40" s="208">
        <f t="shared" si="14"/>
        <v>-828569.11397897755</v>
      </c>
      <c r="J40" s="214">
        <f t="shared" si="15"/>
        <v>-0.64550024811288664</v>
      </c>
      <c r="K40"/>
      <c r="L40" s="209" t="s">
        <v>882</v>
      </c>
      <c r="M40" s="217">
        <f t="shared" si="22"/>
        <v>503.53630449415465</v>
      </c>
      <c r="N40" s="217">
        <f t="shared" si="23"/>
        <v>-828.5691139789775</v>
      </c>
      <c r="P40" s="319">
        <f>Cimarex!$I$95</f>
        <v>-10.362578263142812</v>
      </c>
      <c r="Q40" s="319">
        <f>Cimarex!$M$95</f>
        <v>-11.469877252806004</v>
      </c>
      <c r="R40" s="421">
        <f t="shared" si="10"/>
        <v>503.53630449415459</v>
      </c>
      <c r="S40" s="421">
        <f t="shared" si="16"/>
        <v>101.74389229415461</v>
      </c>
      <c r="T40" s="421">
        <f t="shared" si="17"/>
        <v>81.709000000000003</v>
      </c>
      <c r="U40" s="421">
        <f t="shared" si="18"/>
        <v>235.3537752</v>
      </c>
      <c r="V40" s="421">
        <f t="shared" si="19"/>
        <v>84.729637000000011</v>
      </c>
      <c r="W40" s="421">
        <f t="shared" si="20"/>
        <v>-325.03280948482285</v>
      </c>
    </row>
    <row r="41" spans="1:23" x14ac:dyDescent="0.35">
      <c r="A41" s="209"/>
      <c r="B41" s="213">
        <v>2021</v>
      </c>
      <c r="C41" s="211">
        <f>SUM(Cimarex!$J$44:$M$44)</f>
        <v>93262.372965087299</v>
      </c>
      <c r="D41" s="211">
        <f>ABS(SUM(Cimarex!$J$97:$M$97))</f>
        <v>81709</v>
      </c>
      <c r="E41" s="211">
        <f>SUM(Cimarex!$J$88:$M$88)</f>
        <v>91287.369300000006</v>
      </c>
      <c r="F41" s="211">
        <f>SUM(Cimarex!$J$89:$M$89)</f>
        <v>86709.10000000002</v>
      </c>
      <c r="G41" s="208">
        <f t="shared" si="21"/>
        <v>352967.84226508735</v>
      </c>
      <c r="H41" s="211">
        <f>(SUM(H8:K8))</f>
        <v>-95686.340370274251</v>
      </c>
      <c r="I41" s="208">
        <f t="shared" si="14"/>
        <v>-448654.18263536162</v>
      </c>
      <c r="J41" s="214">
        <f t="shared" si="15"/>
        <v>-0.27109081596847429</v>
      </c>
      <c r="K41"/>
      <c r="L41" s="209"/>
      <c r="M41" s="217">
        <f t="shared" si="22"/>
        <v>352.96784226508737</v>
      </c>
      <c r="N41" s="217">
        <f t="shared" si="23"/>
        <v>-448.65418263536162</v>
      </c>
      <c r="P41"/>
      <c r="Q41"/>
      <c r="R41" s="421">
        <f t="shared" si="10"/>
        <v>352.96784226508737</v>
      </c>
      <c r="S41" s="421">
        <f t="shared" si="16"/>
        <v>93.262372965087295</v>
      </c>
      <c r="T41" s="421">
        <f t="shared" si="17"/>
        <v>81.709000000000003</v>
      </c>
      <c r="U41" s="421">
        <f t="shared" si="18"/>
        <v>91.287369300000009</v>
      </c>
      <c r="V41" s="421">
        <f t="shared" si="19"/>
        <v>86.709100000000021</v>
      </c>
      <c r="W41" s="421">
        <f t="shared" si="20"/>
        <v>-95.686340370274252</v>
      </c>
    </row>
    <row r="42" spans="1:23" s="417" customFormat="1" x14ac:dyDescent="0.35">
      <c r="A42" s="413" t="s">
        <v>950</v>
      </c>
      <c r="B42" s="414">
        <v>2020</v>
      </c>
      <c r="C42" s="415">
        <f>SUM(Continental!$F$44:$I$44)</f>
        <v>291918.93080143572</v>
      </c>
      <c r="D42" s="415">
        <f>ABS(SUM(Continental!$F$97:$I$97))</f>
        <v>18380</v>
      </c>
      <c r="E42" s="415">
        <f>SUM(Continental!$F$88:$I$88)</f>
        <v>888527.70700000005</v>
      </c>
      <c r="F42" s="415">
        <f>SUM(Continental!$F$89:$I$89)</f>
        <v>121328.50900000001</v>
      </c>
      <c r="G42" s="208">
        <f t="shared" si="21"/>
        <v>1320155.1468014359</v>
      </c>
      <c r="H42" s="415">
        <f>(SUM(D10:G10))</f>
        <v>279874.88373970496</v>
      </c>
      <c r="I42" s="416">
        <f t="shared" si="14"/>
        <v>-1040280.2630617309</v>
      </c>
      <c r="J42" s="420">
        <f t="shared" si="15"/>
        <v>0.21200150938153398</v>
      </c>
      <c r="L42" s="413" t="s">
        <v>950</v>
      </c>
      <c r="M42" s="217">
        <f t="shared" si="22"/>
        <v>1320.1551468014359</v>
      </c>
      <c r="N42" s="217">
        <f t="shared" si="23"/>
        <v>-1040.2802630617309</v>
      </c>
      <c r="O42" s="418"/>
      <c r="P42" s="319">
        <f>Continental!$I$95</f>
        <v>8.1308979681227616</v>
      </c>
      <c r="Q42" s="319">
        <f>Continental!$M$95</f>
        <v>7.2917127216610433</v>
      </c>
      <c r="R42" s="421">
        <f t="shared" si="10"/>
        <v>1320.1551468014359</v>
      </c>
      <c r="S42" s="421">
        <f>C42/1000</f>
        <v>291.91893080143575</v>
      </c>
      <c r="T42" s="421">
        <f t="shared" si="17"/>
        <v>18.38</v>
      </c>
      <c r="U42" s="421">
        <f t="shared" si="18"/>
        <v>888.52770700000008</v>
      </c>
      <c r="V42" s="421">
        <f t="shared" si="19"/>
        <v>121.32850900000001</v>
      </c>
      <c r="W42" s="421">
        <f>H42/1000</f>
        <v>279.87488373970496</v>
      </c>
    </row>
    <row r="43" spans="1:23" s="417" customFormat="1" x14ac:dyDescent="0.35">
      <c r="A43" s="413"/>
      <c r="B43" s="414">
        <v>2021</v>
      </c>
      <c r="C43" s="415">
        <f>SUM(Continental!$J$44:$M$44)</f>
        <v>269368.16840529972</v>
      </c>
      <c r="D43" s="415">
        <f>ABS(SUM(Continental!$J$97:$M$97))</f>
        <v>18380</v>
      </c>
      <c r="E43" s="415">
        <f>SUM(Continental!$J$88:$M$88)</f>
        <v>386934.44299999997</v>
      </c>
      <c r="F43" s="415">
        <f>SUM(Continental!$J$89:$M$89)</f>
        <v>112231.28899999999</v>
      </c>
      <c r="G43" s="208">
        <f t="shared" si="21"/>
        <v>786913.90040529973</v>
      </c>
      <c r="H43" s="415">
        <f>(SUM(H10:K10))</f>
        <v>669667.01672789897</v>
      </c>
      <c r="I43" s="416">
        <f t="shared" si="14"/>
        <v>-117246.88367740077</v>
      </c>
      <c r="J43" s="420">
        <f t="shared" si="15"/>
        <v>0.85100417769083403</v>
      </c>
      <c r="L43" s="413"/>
      <c r="M43" s="217">
        <f t="shared" si="22"/>
        <v>786.91390040529973</v>
      </c>
      <c r="N43" s="217">
        <f t="shared" si="23"/>
        <v>-117.24688367740076</v>
      </c>
      <c r="O43" s="418"/>
      <c r="R43" s="421">
        <f t="shared" si="10"/>
        <v>786.91390040529961</v>
      </c>
      <c r="S43" s="421">
        <f t="shared" ref="S43:S47" si="24">C43/1000</f>
        <v>269.36816840529974</v>
      </c>
      <c r="T43" s="421">
        <f t="shared" si="17"/>
        <v>18.38</v>
      </c>
      <c r="U43" s="421">
        <f t="shared" si="18"/>
        <v>386.93444299999999</v>
      </c>
      <c r="V43" s="421">
        <f t="shared" si="19"/>
        <v>112.23128899999999</v>
      </c>
      <c r="W43" s="421">
        <f t="shared" ref="W43:W47" si="25">H43/1000</f>
        <v>669.66701672789895</v>
      </c>
    </row>
    <row r="44" spans="1:23" x14ac:dyDescent="0.35">
      <c r="A44" s="209" t="s">
        <v>951</v>
      </c>
      <c r="B44" s="213">
        <v>2020</v>
      </c>
      <c r="C44" s="211">
        <f>SUM(Concho!$F$44:$I$44)</f>
        <v>201050.91674185096</v>
      </c>
      <c r="D44" s="211">
        <f>ABS(SUM(Concho!$F$97:$I$97))</f>
        <v>100000</v>
      </c>
      <c r="E44" s="211">
        <f>SUM(Concho!$F$88:$I$88)</f>
        <v>736852.51480000012</v>
      </c>
      <c r="F44" s="211">
        <f>SUM(Concho!$F$89:$I$89)</f>
        <v>309728.93</v>
      </c>
      <c r="G44" s="208">
        <f t="shared" si="21"/>
        <v>1347632.361541851</v>
      </c>
      <c r="H44" s="211">
        <f>(SUM(D12:G12))</f>
        <v>-1157175.6189137052</v>
      </c>
      <c r="I44" s="208">
        <f t="shared" si="14"/>
        <v>-2504807.980455556</v>
      </c>
      <c r="J44" s="214">
        <f t="shared" si="15"/>
        <v>-0.8586730713336086</v>
      </c>
      <c r="K44"/>
      <c r="L44" s="209" t="s">
        <v>951</v>
      </c>
      <c r="M44" s="217">
        <f t="shared" si="22"/>
        <v>1347.632361541851</v>
      </c>
      <c r="N44" s="217">
        <f t="shared" si="23"/>
        <v>-2504.8079804555559</v>
      </c>
      <c r="P44" s="319">
        <f>Concho!$I$95</f>
        <v>-2.8354537669285573</v>
      </c>
      <c r="Q44" s="319">
        <f>Concho!$M$95</f>
        <v>-2.831683977858936</v>
      </c>
      <c r="R44" s="421">
        <f t="shared" si="10"/>
        <v>1347.6323615418512</v>
      </c>
      <c r="S44" s="421">
        <f>C44/1000</f>
        <v>201.05091674185095</v>
      </c>
      <c r="T44" s="421">
        <f t="shared" si="17"/>
        <v>100</v>
      </c>
      <c r="U44" s="421">
        <f t="shared" si="18"/>
        <v>736.85251480000011</v>
      </c>
      <c r="V44" s="421">
        <f t="shared" si="19"/>
        <v>309.72892999999999</v>
      </c>
      <c r="W44" s="421">
        <f t="shared" si="25"/>
        <v>-1157.1756189137052</v>
      </c>
    </row>
    <row r="45" spans="1:23" x14ac:dyDescent="0.35">
      <c r="A45" s="209"/>
      <c r="B45" s="213">
        <v>2021</v>
      </c>
      <c r="C45" s="211">
        <f>SUM(Concho!$J$44:$M$44)</f>
        <v>184768.78725243645</v>
      </c>
      <c r="D45" s="211">
        <f>ABS(SUM(Concho!$J$97:$M$97))</f>
        <v>100000</v>
      </c>
      <c r="E45" s="211">
        <f>SUM(Concho!$J$88:$M$88)</f>
        <v>274158.74000000005</v>
      </c>
      <c r="F45" s="211">
        <f>SUM(Concho!$J$89:$M$89)</f>
        <v>212481.01</v>
      </c>
      <c r="G45" s="208">
        <f t="shared" si="21"/>
        <v>771408.53725243651</v>
      </c>
      <c r="H45" s="211">
        <f>(SUM(H12:K12))</f>
        <v>-1157573.9901388502</v>
      </c>
      <c r="I45" s="208">
        <f t="shared" si="14"/>
        <v>-1928982.5273912866</v>
      </c>
      <c r="J45" s="214">
        <f t="shared" si="15"/>
        <v>-1.500597846974624</v>
      </c>
      <c r="K45"/>
      <c r="L45" s="209"/>
      <c r="M45" s="217">
        <f t="shared" si="22"/>
        <v>771.40853725243653</v>
      </c>
      <c r="N45" s="217">
        <f t="shared" si="23"/>
        <v>-1928.9825273912866</v>
      </c>
      <c r="P45"/>
      <c r="Q45"/>
      <c r="R45" s="421">
        <f t="shared" si="10"/>
        <v>771.40853725243642</v>
      </c>
      <c r="S45" s="421">
        <f t="shared" si="24"/>
        <v>184.76878725243645</v>
      </c>
      <c r="T45" s="421">
        <f t="shared" si="17"/>
        <v>100</v>
      </c>
      <c r="U45" s="421">
        <f t="shared" si="18"/>
        <v>274.15874000000002</v>
      </c>
      <c r="V45" s="421">
        <f t="shared" si="19"/>
        <v>212.48101</v>
      </c>
      <c r="W45" s="421">
        <f t="shared" si="25"/>
        <v>-1157.5739901388501</v>
      </c>
    </row>
    <row r="46" spans="1:23" x14ac:dyDescent="0.35">
      <c r="A46" s="209" t="s">
        <v>952</v>
      </c>
      <c r="B46" s="213">
        <v>2020</v>
      </c>
      <c r="C46" s="211">
        <f>SUM(Devon!$F$44:$I$44)</f>
        <v>278232.24920233153</v>
      </c>
      <c r="D46" s="211">
        <f>ABS(SUM(Devon!$F$97:$I$97))</f>
        <v>140000</v>
      </c>
      <c r="E46" s="211">
        <f>SUM(Devon!$F$88:$I$88)</f>
        <v>556397.86300000001</v>
      </c>
      <c r="F46" s="211">
        <f>SUM(Devon!$F$89:$I$89)</f>
        <v>172243.44971000004</v>
      </c>
      <c r="G46" s="208">
        <f t="shared" si="21"/>
        <v>1146873.5619123315</v>
      </c>
      <c r="H46" s="211">
        <f>(SUM(D14:G14))</f>
        <v>-1899296.3919887119</v>
      </c>
      <c r="I46" s="208">
        <f t="shared" si="14"/>
        <v>-3046169.9539010432</v>
      </c>
      <c r="J46" s="214">
        <f t="shared" si="15"/>
        <v>-1.6560643257150056</v>
      </c>
      <c r="K46"/>
      <c r="L46" s="209" t="s">
        <v>952</v>
      </c>
      <c r="M46" s="217">
        <f t="shared" si="22"/>
        <v>1146.8735619123315</v>
      </c>
      <c r="N46" s="217">
        <f t="shared" si="23"/>
        <v>-3046.1699539010433</v>
      </c>
      <c r="P46" s="319">
        <f>Devon!$I$95</f>
        <v>-8.6278070783741843</v>
      </c>
      <c r="Q46" s="319">
        <f>Devon!$M$95</f>
        <v>-12.449326368228155</v>
      </c>
      <c r="R46" s="421">
        <f t="shared" si="10"/>
        <v>1146.8735619123315</v>
      </c>
      <c r="S46" s="421">
        <f t="shared" si="24"/>
        <v>278.2322492023315</v>
      </c>
      <c r="T46" s="421">
        <f t="shared" si="17"/>
        <v>140</v>
      </c>
      <c r="U46" s="421">
        <f t="shared" si="18"/>
        <v>556.39786300000003</v>
      </c>
      <c r="V46" s="421">
        <f t="shared" si="19"/>
        <v>172.24344971000005</v>
      </c>
      <c r="W46" s="421">
        <f t="shared" si="25"/>
        <v>-1899.296391988712</v>
      </c>
    </row>
    <row r="47" spans="1:23" x14ac:dyDescent="0.35">
      <c r="A47" s="209"/>
      <c r="B47" s="213">
        <v>2021</v>
      </c>
      <c r="C47" s="211">
        <f>SUM(Devon!$J$44:$M$44)</f>
        <v>259607.41541146897</v>
      </c>
      <c r="D47" s="211">
        <f>ABS(SUM(Devon!$J$97:$M$97))</f>
        <v>140000</v>
      </c>
      <c r="E47" s="211">
        <f>SUM(Devon!$J$88:$M$88)</f>
        <v>230807.52700000006</v>
      </c>
      <c r="F47" s="211">
        <f>SUM(Devon!$J$89:$M$89)</f>
        <v>140821.78789799998</v>
      </c>
      <c r="G47" s="208">
        <f t="shared" si="21"/>
        <v>771236.73030946904</v>
      </c>
      <c r="H47" s="211">
        <f>(SUM(H14:K14))</f>
        <v>-1400146.9099246021</v>
      </c>
      <c r="I47" s="208">
        <f t="shared" si="14"/>
        <v>-2171383.6402340713</v>
      </c>
      <c r="J47" s="214">
        <f t="shared" si="15"/>
        <v>-1.8154567267079909</v>
      </c>
      <c r="K47"/>
      <c r="L47" s="209"/>
      <c r="M47" s="217">
        <f t="shared" si="22"/>
        <v>771.23673030946907</v>
      </c>
      <c r="N47" s="217">
        <f t="shared" si="23"/>
        <v>-2171.3836402340712</v>
      </c>
      <c r="R47" s="421">
        <f t="shared" si="10"/>
        <v>771.23673030946907</v>
      </c>
      <c r="S47" s="421">
        <f t="shared" si="24"/>
        <v>259.60741541146899</v>
      </c>
      <c r="T47" s="421">
        <f t="shared" si="17"/>
        <v>140</v>
      </c>
      <c r="U47" s="421">
        <f t="shared" si="18"/>
        <v>230.80752700000005</v>
      </c>
      <c r="V47" s="421">
        <f t="shared" si="19"/>
        <v>140.82178789799997</v>
      </c>
      <c r="W47" s="421">
        <f t="shared" si="25"/>
        <v>-1400.1469099246021</v>
      </c>
    </row>
    <row r="48" spans="1:23" x14ac:dyDescent="0.35">
      <c r="J48" s="214"/>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E0074-4902-42FE-9E6B-4F88DFB6EC7A}">
  <dimension ref="A1:M101"/>
  <sheetViews>
    <sheetView showGridLines="0" zoomScale="98" zoomScaleNormal="197" workbookViewId="0">
      <pane xSplit="2" ySplit="2" topLeftCell="E76" activePane="bottomRight" state="frozen"/>
      <selection activeCell="D29" sqref="D29"/>
      <selection pane="topRight" activeCell="D29" sqref="D29"/>
      <selection pane="bottomLeft" activeCell="D29" sqref="D29"/>
      <selection pane="bottomRight" activeCell="E26" sqref="E26"/>
    </sheetView>
  </sheetViews>
  <sheetFormatPr defaultColWidth="8.81640625" defaultRowHeight="10.5" x14ac:dyDescent="0.25"/>
  <cols>
    <col min="1" max="1" width="6.08984375" style="222" customWidth="1"/>
    <col min="2" max="2" width="22.08984375" style="2" customWidth="1"/>
    <col min="3" max="3" width="44.36328125" style="2" customWidth="1"/>
    <col min="4" max="4" width="9.453125" style="113" bestFit="1" customWidth="1"/>
    <col min="5" max="5" width="10.453125" style="2" bestFit="1" customWidth="1"/>
    <col min="6" max="6" width="12.1796875" style="2" bestFit="1" customWidth="1"/>
    <col min="7" max="13" width="10.453125" style="2" bestFit="1" customWidth="1"/>
    <col min="14" max="16384" width="8.81640625" style="2"/>
  </cols>
  <sheetData>
    <row r="1" spans="1:13" x14ac:dyDescent="0.25">
      <c r="B1" s="318"/>
      <c r="E1" s="2" t="str">
        <f>LEFT(E2,4)</f>
        <v>2019</v>
      </c>
      <c r="F1" s="2" t="str">
        <f t="shared" ref="F1:M1" si="0">LEFT(F2,4)</f>
        <v>2020</v>
      </c>
      <c r="G1" s="2" t="str">
        <f t="shared" si="0"/>
        <v>2020</v>
      </c>
      <c r="H1" s="2" t="str">
        <f t="shared" si="0"/>
        <v>2020</v>
      </c>
      <c r="I1" s="2" t="str">
        <f t="shared" si="0"/>
        <v>2020</v>
      </c>
      <c r="J1" s="2" t="str">
        <f t="shared" si="0"/>
        <v>2021</v>
      </c>
      <c r="K1" s="2" t="str">
        <f t="shared" si="0"/>
        <v>2021</v>
      </c>
      <c r="L1" s="2" t="str">
        <f t="shared" si="0"/>
        <v>2021</v>
      </c>
      <c r="M1" s="2" t="str">
        <f t="shared" si="0"/>
        <v>2021</v>
      </c>
    </row>
    <row r="2" spans="1:13" x14ac:dyDescent="0.25">
      <c r="B2" s="49" t="s">
        <v>439</v>
      </c>
      <c r="C2" s="2" t="s">
        <v>517</v>
      </c>
      <c r="D2" s="113" t="s">
        <v>524</v>
      </c>
      <c r="E2" s="67" t="s">
        <v>413</v>
      </c>
      <c r="F2" s="67" t="s">
        <v>414</v>
      </c>
      <c r="G2" s="67" t="s">
        <v>415</v>
      </c>
      <c r="H2" s="67" t="s">
        <v>416</v>
      </c>
      <c r="I2" s="67" t="s">
        <v>417</v>
      </c>
      <c r="J2" s="67" t="s">
        <v>418</v>
      </c>
      <c r="K2" s="67" t="s">
        <v>419</v>
      </c>
      <c r="L2" s="67" t="s">
        <v>420</v>
      </c>
      <c r="M2" s="67" t="s">
        <v>421</v>
      </c>
    </row>
    <row r="3" spans="1:13" x14ac:dyDescent="0.25">
      <c r="B3" s="72" t="s">
        <v>522</v>
      </c>
      <c r="C3" s="64"/>
      <c r="D3" s="111"/>
      <c r="E3" s="103"/>
      <c r="F3" s="99"/>
      <c r="G3" s="99"/>
      <c r="H3" s="99"/>
      <c r="I3" s="99"/>
      <c r="J3" s="99"/>
      <c r="K3" s="99"/>
      <c r="L3" s="99"/>
      <c r="M3" s="99"/>
    </row>
    <row r="4" spans="1:13" x14ac:dyDescent="0.25">
      <c r="A4" s="222" t="str">
        <f>$B$9&amp;$B$3&amp;B4</f>
        <v>ApacheMarket PricesOil</v>
      </c>
      <c r="B4" s="70" t="s">
        <v>396</v>
      </c>
      <c r="C4" s="70"/>
      <c r="D4" s="108"/>
      <c r="E4" s="89">
        <f>INDEX('Quarterly Forecasts'!$B$4:$O$500,MATCH(($B$2&amp;$B4),'Quarterly Forecasts'!$B$4:$B$500,0),MATCH(E$2,'Quarterly Forecasts'!$B$4:$O$4,0))</f>
        <v>64.358329999999995</v>
      </c>
      <c r="F4" s="134">
        <f>INDEX('Quarterly Forecasts'!$B$4:$O$500,MATCH($B$2&amp;$B4,'Quarterly Forecasts'!$B$4:$B$500,0),MATCH(F$2,'Quarterly Forecasts'!$B$4:$O$4,0))</f>
        <v>50.81859</v>
      </c>
      <c r="G4" s="134">
        <f>INDEX('Quarterly Forecasts'!$B$4:$O$500,MATCH($B$2&amp;$B4,'Quarterly Forecasts'!$B$4:$B$500,0),MATCH(G$2,'Quarterly Forecasts'!$B$4:$O$4,0))</f>
        <v>20</v>
      </c>
      <c r="H4" s="134">
        <f>INDEX('Quarterly Forecasts'!$B$4:$O$500,MATCH($B$2&amp;$B4,'Quarterly Forecasts'!$B$4:$B$500,0),MATCH(H$2,'Quarterly Forecasts'!$B$4:$O$4,0))</f>
        <v>22</v>
      </c>
      <c r="I4" s="134">
        <f>INDEX('Quarterly Forecasts'!$B$4:$O$500,MATCH($B$2&amp;$B4,'Quarterly Forecasts'!$B$4:$B$500,0),MATCH(I$2,'Quarterly Forecasts'!$B$4:$O$4,0))</f>
        <v>24</v>
      </c>
      <c r="J4" s="134">
        <f>INDEX('Quarterly Forecasts'!$B$4:$O$500,MATCH($B$2&amp;$B4,'Quarterly Forecasts'!$B$4:$B$500,0),MATCH(J$2,'Quarterly Forecasts'!$B$4:$O$4,0))</f>
        <v>26</v>
      </c>
      <c r="K4" s="134">
        <f>INDEX('Quarterly Forecasts'!$B$4:$O$500,MATCH($B$2&amp;$B4,'Quarterly Forecasts'!$B$4:$B$500,0),MATCH(K$2,'Quarterly Forecasts'!$B$4:$O$4,0))</f>
        <v>28</v>
      </c>
      <c r="L4" s="134">
        <f>INDEX('Quarterly Forecasts'!$B$4:$O$500,MATCH($B$2&amp;$B4,'Quarterly Forecasts'!$B$4:$B$500,0),MATCH(L$2,'Quarterly Forecasts'!$B$4:$O$4,0))</f>
        <v>30</v>
      </c>
      <c r="M4" s="134">
        <f>INDEX('Quarterly Forecasts'!$B$4:$O$500,MATCH($B$2&amp;$B4,'Quarterly Forecasts'!$B$4:$B$500,0),MATCH(M$2,'Quarterly Forecasts'!$B$4:$O$4,0))</f>
        <v>30</v>
      </c>
    </row>
    <row r="5" spans="1:13" x14ac:dyDescent="0.25">
      <c r="A5" s="222" t="str">
        <f>$B$9&amp;$B$3&amp;B5</f>
        <v>ApacheMarket PricesGas</v>
      </c>
      <c r="B5" s="70" t="s">
        <v>26</v>
      </c>
      <c r="C5" s="70"/>
      <c r="D5" s="108"/>
      <c r="E5" s="89">
        <f>INDEX('Quarterly Forecasts'!$B$4:$O$500,MATCH($B2&amp;$B5,'Quarterly Forecasts'!$B$4:$B$500,0),MATCH(E$2,'Quarterly Forecasts'!$B$4:$O$4,0))</f>
        <v>15.15714</v>
      </c>
      <c r="F5" s="134">
        <f>INDEX('Quarterly Forecasts'!$B$4:$O$500,MATCH($B$2&amp;$B5,'Quarterly Forecasts'!$B$4:$B$500,0),MATCH(F$2,'Quarterly Forecasts'!$B$4:$O$4,0))</f>
        <v>11.20355</v>
      </c>
      <c r="G5" s="134">
        <f>INDEX('Quarterly Forecasts'!$B$4:$O$500,MATCH($B$2&amp;$B5,'Quarterly Forecasts'!$B$4:$B$500,0),MATCH(G$2,'Quarterly Forecasts'!$B$4:$O$4,0))</f>
        <v>12.8748</v>
      </c>
      <c r="H5" s="134">
        <f>INDEX('Quarterly Forecasts'!$B$4:$O$500,MATCH($B$2&amp;$B5,'Quarterly Forecasts'!$B$4:$B$500,0),MATCH(H$2,'Quarterly Forecasts'!$B$4:$O$4,0))</f>
        <v>13.0944</v>
      </c>
      <c r="I5" s="134">
        <f>INDEX('Quarterly Forecasts'!$B$4:$O$500,MATCH($B$2&amp;$B5,'Quarterly Forecasts'!$B$4:$B$500,0),MATCH(I$2,'Quarterly Forecasts'!$B$4:$O$4,0))</f>
        <v>13.314000000000002</v>
      </c>
      <c r="J5" s="134">
        <f>INDEX('Quarterly Forecasts'!$B$4:$O$500,MATCH($B$2&amp;$B5,'Quarterly Forecasts'!$B$4:$B$500,0),MATCH(J$2,'Quarterly Forecasts'!$B$4:$O$4,0))</f>
        <v>13.533600000000002</v>
      </c>
      <c r="K5" s="134">
        <f>INDEX('Quarterly Forecasts'!$B$4:$O$500,MATCH($B$2&amp;$B5,'Quarterly Forecasts'!$B$4:$B$500,0),MATCH(K$2,'Quarterly Forecasts'!$B$4:$O$4,0))</f>
        <v>13.753200000000001</v>
      </c>
      <c r="L5" s="134">
        <f>INDEX('Quarterly Forecasts'!$B$4:$O$500,MATCH($B$2&amp;$B5,'Quarterly Forecasts'!$B$4:$B$500,0),MATCH(L$2,'Quarterly Forecasts'!$B$4:$O$4,0))</f>
        <v>13.972800000000001</v>
      </c>
      <c r="M5" s="134">
        <f>INDEX('Quarterly Forecasts'!$B$4:$O$500,MATCH($B$2&amp;$B5,'Quarterly Forecasts'!$B$4:$B$500,0),MATCH(M$2,'Quarterly Forecasts'!$B$4:$O$4,0))</f>
        <v>13.972800000000001</v>
      </c>
    </row>
    <row r="6" spans="1:13" x14ac:dyDescent="0.25">
      <c r="A6" s="222" t="str">
        <f>$B$9&amp;$B$3&amp;B6</f>
        <v>ApacheMarket PricesNGL</v>
      </c>
      <c r="B6" s="70" t="s">
        <v>25</v>
      </c>
      <c r="C6" s="70"/>
      <c r="D6" s="108"/>
      <c r="E6" s="89">
        <f>INDEX('Quarterly Forecasts'!$B$4:$O$500,MATCH($B2&amp;$B6,'Quarterly Forecasts'!$B$4:$B$500,0),MATCH(E$2,'Quarterly Forecasts'!$B$4:$O$4,0))</f>
        <v>20.616230000000002</v>
      </c>
      <c r="F6" s="134">
        <f>INDEX('Quarterly Forecasts'!$B$4:$O$500,MATCH($B$2&amp;$B6,'Quarterly Forecasts'!$B$4:$B$500,0),MATCH(F$2,'Quarterly Forecasts'!$B$4:$O$4,0))</f>
        <v>17.26445</v>
      </c>
      <c r="G6" s="134">
        <f>INDEX('Quarterly Forecasts'!$B$4:$O$500,MATCH($B$2&amp;$B6,'Quarterly Forecasts'!$B$4:$B$500,0),MATCH(G$2,'Quarterly Forecasts'!$B$4:$O$4,0))</f>
        <v>8.4505925000000008</v>
      </c>
      <c r="H6" s="134">
        <f>INDEX('Quarterly Forecasts'!$B$4:$O$500,MATCH($B$2&amp;$B6,'Quarterly Forecasts'!$B$4:$B$500,0),MATCH(H$2,'Quarterly Forecasts'!$B$4:$O$4,0))</f>
        <v>9.3239265000000007</v>
      </c>
      <c r="I6" s="134">
        <f>INDEX('Quarterly Forecasts'!$B$4:$O$500,MATCH($B$2&amp;$B6,'Quarterly Forecasts'!$B$4:$B$500,0),MATCH(I$2,'Quarterly Forecasts'!$B$4:$O$4,0))</f>
        <v>10.197260500000001</v>
      </c>
      <c r="J6" s="134">
        <f>INDEX('Quarterly Forecasts'!$B$4:$O$500,MATCH($B$2&amp;$B6,'Quarterly Forecasts'!$B$4:$B$500,0),MATCH(J$2,'Quarterly Forecasts'!$B$4:$O$4,0))</f>
        <v>11.0705945</v>
      </c>
      <c r="K6" s="134">
        <f>INDEX('Quarterly Forecasts'!$B$4:$O$500,MATCH($B$2&amp;$B6,'Quarterly Forecasts'!$B$4:$B$500,0),MATCH(K$2,'Quarterly Forecasts'!$B$4:$O$4,0))</f>
        <v>11.9439285</v>
      </c>
      <c r="L6" s="134">
        <f>INDEX('Quarterly Forecasts'!$B$4:$O$500,MATCH($B$2&amp;$B6,'Quarterly Forecasts'!$B$4:$B$500,0),MATCH(L$2,'Quarterly Forecasts'!$B$4:$O$4,0))</f>
        <v>12.8172625</v>
      </c>
      <c r="M6" s="134">
        <f>INDEX('Quarterly Forecasts'!$B$4:$O$500,MATCH($B$2&amp;$B6,'Quarterly Forecasts'!$B$4:$B$500,0),MATCH(M$2,'Quarterly Forecasts'!$B$4:$O$4,0))</f>
        <v>12.8172625</v>
      </c>
    </row>
    <row r="7" spans="1:13" x14ac:dyDescent="0.25">
      <c r="A7" s="222" t="str">
        <f>$B$9&amp;$B$3&amp;B7</f>
        <v>ApacheMarket PricesCondensate</v>
      </c>
      <c r="B7" s="71" t="s">
        <v>24</v>
      </c>
      <c r="C7" s="71"/>
      <c r="D7" s="114"/>
      <c r="E7" s="89">
        <f>INDEX('Quarterly Forecasts'!$B$4:$O$500,MATCH($B2&amp;$B7,'Quarterly Forecasts'!$B$4:$B$500,0),MATCH(E$2,'Quarterly Forecasts'!$B$4:$O$4,0))</f>
        <v>38.614997999999993</v>
      </c>
      <c r="F7" s="134">
        <f>INDEX('Quarterly Forecasts'!$B$4:$O$500,MATCH($B$2&amp;$B7,'Quarterly Forecasts'!$B$4:$B$500,0),MATCH(F$2,'Quarterly Forecasts'!$B$4:$O$4,0))</f>
        <v>30.491153999999998</v>
      </c>
      <c r="G7" s="134">
        <f>INDEX('Quarterly Forecasts'!$B$4:$O$500,MATCH($B$2&amp;$B7,'Quarterly Forecasts'!$B$4:$B$500,0),MATCH(G$2,'Quarterly Forecasts'!$B$4:$O$4,0))</f>
        <v>12</v>
      </c>
      <c r="H7" s="134">
        <f>INDEX('Quarterly Forecasts'!$B$4:$O$500,MATCH($B$2&amp;$B7,'Quarterly Forecasts'!$B$4:$B$500,0),MATCH(H$2,'Quarterly Forecasts'!$B$4:$O$4,0))</f>
        <v>13.2</v>
      </c>
      <c r="I7" s="134">
        <f>INDEX('Quarterly Forecasts'!$B$4:$O$500,MATCH($B$2&amp;$B7,'Quarterly Forecasts'!$B$4:$B$500,0),MATCH(I$2,'Quarterly Forecasts'!$B$4:$O$4,0))</f>
        <v>14.399999999999999</v>
      </c>
      <c r="J7" s="134">
        <f>INDEX('Quarterly Forecasts'!$B$4:$O$500,MATCH($B$2&amp;$B7,'Quarterly Forecasts'!$B$4:$B$500,0),MATCH(J$2,'Quarterly Forecasts'!$B$4:$O$4,0))</f>
        <v>15.6</v>
      </c>
      <c r="K7" s="134">
        <f>INDEX('Quarterly Forecasts'!$B$4:$O$500,MATCH($B$2&amp;$B7,'Quarterly Forecasts'!$B$4:$B$500,0),MATCH(K$2,'Quarterly Forecasts'!$B$4:$O$4,0))</f>
        <v>16.8</v>
      </c>
      <c r="L7" s="134">
        <f>INDEX('Quarterly Forecasts'!$B$4:$O$500,MATCH($B$2&amp;$B7,'Quarterly Forecasts'!$B$4:$B$500,0),MATCH(L$2,'Quarterly Forecasts'!$B$4:$O$4,0))</f>
        <v>18</v>
      </c>
      <c r="M7" s="134">
        <f>INDEX('Quarterly Forecasts'!$B$4:$O$500,MATCH($B$2&amp;$B7,'Quarterly Forecasts'!$B$4:$B$500,0),MATCH(M$2,'Quarterly Forecasts'!$B$4:$O$4,0))</f>
        <v>18</v>
      </c>
    </row>
    <row r="9" spans="1:13" x14ac:dyDescent="0.25">
      <c r="B9" s="31" t="s">
        <v>232</v>
      </c>
      <c r="C9" s="31"/>
      <c r="D9" s="115"/>
      <c r="E9" s="67"/>
      <c r="F9" s="67"/>
      <c r="G9" s="67"/>
      <c r="H9" s="67"/>
      <c r="I9" s="67"/>
      <c r="J9" s="67"/>
      <c r="K9" s="67"/>
      <c r="L9" s="67"/>
      <c r="M9" s="67"/>
    </row>
    <row r="10" spans="1:13" x14ac:dyDescent="0.25">
      <c r="B10" s="64" t="s">
        <v>523</v>
      </c>
      <c r="C10" s="64"/>
      <c r="D10" s="111"/>
      <c r="E10" s="103"/>
      <c r="F10" s="99"/>
      <c r="G10" s="99"/>
      <c r="H10" s="99"/>
      <c r="I10" s="99"/>
      <c r="J10" s="99"/>
      <c r="K10" s="99"/>
      <c r="L10" s="99"/>
      <c r="M10" s="99"/>
    </row>
    <row r="11" spans="1:13" x14ac:dyDescent="0.25">
      <c r="A11" s="222" t="str">
        <f>B9&amp;B10&amp;B11</f>
        <v>ApacheRealized pricesOil</v>
      </c>
      <c r="B11" s="70" t="s">
        <v>396</v>
      </c>
      <c r="C11" s="132" t="s">
        <v>542</v>
      </c>
      <c r="D11" s="108"/>
      <c r="E11" s="89">
        <v>60.05</v>
      </c>
      <c r="F11" s="134">
        <f>F4*($E11/$E4)</f>
        <v>47.416648777244532</v>
      </c>
      <c r="G11" s="134">
        <f>G4*($E11/$E4)</f>
        <v>18.661143009770452</v>
      </c>
      <c r="H11" s="134">
        <f t="shared" ref="G11:M14" si="1">H4*($E11/$E4)</f>
        <v>20.527257310747498</v>
      </c>
      <c r="I11" s="134">
        <f t="shared" si="1"/>
        <v>22.393371611724543</v>
      </c>
      <c r="J11" s="134">
        <f t="shared" si="1"/>
        <v>24.259485912701589</v>
      </c>
      <c r="K11" s="134">
        <f t="shared" si="1"/>
        <v>26.125600213678634</v>
      </c>
      <c r="L11" s="134">
        <f t="shared" si="1"/>
        <v>27.99171451465568</v>
      </c>
      <c r="M11" s="134">
        <f t="shared" si="1"/>
        <v>27.99171451465568</v>
      </c>
    </row>
    <row r="12" spans="1:13" x14ac:dyDescent="0.25">
      <c r="A12" s="222" t="str">
        <f>B9&amp;B10&amp;B12</f>
        <v>ApacheRealized pricesGas</v>
      </c>
      <c r="B12" s="70" t="s">
        <v>26</v>
      </c>
      <c r="C12" s="132" t="s">
        <v>542</v>
      </c>
      <c r="D12" s="108"/>
      <c r="E12" s="89">
        <f>1.9*6</f>
        <v>11.399999999999999</v>
      </c>
      <c r="F12" s="134">
        <f>F5*($E12/$E5)</f>
        <v>8.4264227948016561</v>
      </c>
      <c r="G12" s="134">
        <f t="shared" si="1"/>
        <v>9.6834046528566731</v>
      </c>
      <c r="H12" s="134">
        <f t="shared" si="1"/>
        <v>9.8485703767333401</v>
      </c>
      <c r="I12" s="134">
        <f t="shared" si="1"/>
        <v>10.013736100610009</v>
      </c>
      <c r="J12" s="134">
        <f t="shared" si="1"/>
        <v>10.178901824486678</v>
      </c>
      <c r="K12" s="134">
        <f t="shared" si="1"/>
        <v>10.344067548363345</v>
      </c>
      <c r="L12" s="134">
        <f t="shared" si="1"/>
        <v>10.509233272240014</v>
      </c>
      <c r="M12" s="134">
        <f t="shared" si="1"/>
        <v>10.509233272240014</v>
      </c>
    </row>
    <row r="13" spans="1:13" x14ac:dyDescent="0.25">
      <c r="A13" s="222" t="str">
        <f>B9&amp;B10&amp;B13</f>
        <v>ApacheRealized pricesNGL</v>
      </c>
      <c r="B13" s="70" t="s">
        <v>25</v>
      </c>
      <c r="C13" s="132" t="s">
        <v>542</v>
      </c>
      <c r="D13" s="108"/>
      <c r="E13" s="89">
        <v>15.74</v>
      </c>
      <c r="F13" s="134">
        <f>F6*($E13/$E6)</f>
        <v>13.180995894981768</v>
      </c>
      <c r="G13" s="134">
        <f t="shared" si="1"/>
        <v>6.4518258648647206</v>
      </c>
      <c r="H13" s="134">
        <f t="shared" si="1"/>
        <v>7.118595548749699</v>
      </c>
      <c r="I13" s="134">
        <f t="shared" si="1"/>
        <v>7.7853652326346765</v>
      </c>
      <c r="J13" s="134">
        <f t="shared" si="1"/>
        <v>8.452134916519654</v>
      </c>
      <c r="K13" s="134">
        <f t="shared" si="1"/>
        <v>9.1189046004046315</v>
      </c>
      <c r="L13" s="134">
        <f t="shared" si="1"/>
        <v>9.7856742842896107</v>
      </c>
      <c r="M13" s="134">
        <f t="shared" si="1"/>
        <v>9.7856742842896107</v>
      </c>
    </row>
    <row r="14" spans="1:13" x14ac:dyDescent="0.25">
      <c r="A14" s="222" t="str">
        <f>B9&amp;B10&amp;B14</f>
        <v>ApacheRealized pricesCondensate</v>
      </c>
      <c r="B14" s="70" t="s">
        <v>24</v>
      </c>
      <c r="C14" s="132" t="s">
        <v>543</v>
      </c>
      <c r="D14" s="108"/>
      <c r="E14" s="89">
        <f>E11*0.6</f>
        <v>36.029999999999994</v>
      </c>
      <c r="F14" s="134">
        <f>F7*($E14/$E7)</f>
        <v>28.449989266346719</v>
      </c>
      <c r="G14" s="134">
        <f t="shared" si="1"/>
        <v>11.196685805862272</v>
      </c>
      <c r="H14" s="134">
        <f t="shared" si="1"/>
        <v>12.316354386448499</v>
      </c>
      <c r="I14" s="134">
        <f t="shared" si="1"/>
        <v>13.436022967034726</v>
      </c>
      <c r="J14" s="134">
        <f t="shared" si="1"/>
        <v>14.555691547620953</v>
      </c>
      <c r="K14" s="134">
        <f t="shared" si="1"/>
        <v>15.675360128207181</v>
      </c>
      <c r="L14" s="134">
        <f t="shared" si="1"/>
        <v>16.795028708793406</v>
      </c>
      <c r="M14" s="134">
        <f t="shared" si="1"/>
        <v>16.795028708793406</v>
      </c>
    </row>
    <row r="15" spans="1:13" x14ac:dyDescent="0.25">
      <c r="B15" s="31"/>
      <c r="C15" s="31"/>
      <c r="D15" s="115"/>
      <c r="E15" s="100"/>
      <c r="F15" s="100"/>
      <c r="G15" s="100"/>
      <c r="H15" s="100"/>
      <c r="I15" s="100"/>
      <c r="J15" s="100"/>
      <c r="K15" s="100"/>
      <c r="L15" s="100"/>
      <c r="M15" s="100"/>
    </row>
    <row r="16" spans="1:13" x14ac:dyDescent="0.25">
      <c r="B16" s="64" t="s">
        <v>948</v>
      </c>
      <c r="C16" s="64"/>
      <c r="D16" s="111"/>
      <c r="E16" s="103"/>
      <c r="F16" s="99"/>
      <c r="G16" s="99"/>
      <c r="H16" s="99"/>
      <c r="I16" s="99"/>
      <c r="J16" s="99"/>
      <c r="K16" s="99"/>
      <c r="L16" s="99"/>
      <c r="M16" s="99"/>
    </row>
    <row r="17" spans="1:13" x14ac:dyDescent="0.25">
      <c r="A17" s="222" t="str">
        <f>B9&amp;B16&amp;B17</f>
        <v>ApacheProduction, KBOE/QOil</v>
      </c>
      <c r="B17" s="70" t="s">
        <v>396</v>
      </c>
      <c r="C17" s="73" t="s">
        <v>564</v>
      </c>
      <c r="D17" s="108"/>
      <c r="E17" s="105">
        <f>87.4*1000/4</f>
        <v>21850</v>
      </c>
      <c r="F17" s="50">
        <f>IF($B$2="A3",(SUMIFS('$33'!$I$9:$I$2139,'$33'!$A$9:$A$2139,$B$9,'$33'!$G$9:$G$2139, $B17)*365/4)*(1-INDEX(Assumptions!$A$2:$K$596,MATCH($B9&amp;"Oil production reduction",Assumptions!$A$2:$A$596,0),MATCH(F$2,Assumptions!$A$2:$K$2,0))),(SUMIFS('$22'!$I$10:$I$2140,'$22'!$A$10:$A$2140, $B$9,'$22'!$G$10:$G$2140, $B17)*365/4)*(1-INDEX(Assumptions!$A$2:$K$596,MATCH($B9&amp;"Oil production reduction",Assumptions!$A$2:$A$596,0),MATCH(F$2,Assumptions!$A$2:$K$2,0))))</f>
        <v>19257.227169215003</v>
      </c>
      <c r="G17" s="50">
        <f>F17*(1-INDEX(Assumptions!$A$2:$K$596,MATCH($B9&amp;"Oil production reduction",Assumptions!$A$2:$A$596,0),MATCH(G$2,Assumptions!$A$2:$K$2,0)))</f>
        <v>19257.227169215003</v>
      </c>
      <c r="H17" s="50">
        <f>G17*(1-INDEX(Assumptions!$A$2:$K$596,MATCH($B9&amp;"Oil production reduction",Assumptions!$A$2:$A$596,0),MATCH(H$2,Assumptions!$A$2:$K$2,0)))</f>
        <v>19257.227169215003</v>
      </c>
      <c r="I17" s="50">
        <f>H17*(1-INDEX(Assumptions!$A$2:$K$596,MATCH($B9&amp;"Oil production reduction",Assumptions!$A$2:$A$596,0),MATCH(I$2,Assumptions!$A$2:$K$2,0)))</f>
        <v>19257.227169215003</v>
      </c>
      <c r="J17" s="50">
        <f>IF($B$2 = "A3", SUMIFS('$33'!$J$9:$J$2139, '$33'!$A$9:$A$2139, $B$9, '$33'!$G$9:$G$2139, $B17)*365/4*(1-INDEX(Assumptions!$A$2:$K$596,MATCH($B9&amp;"Oil production reduction",Assumptions!$A$2:$A$596,0),MATCH(J$2,Assumptions!$A$2:$K$2,0))), SUMIFS('$22'!$J$10:$J$2140, '$22'!$A$10:$A$2140, $B$9, '$22'!$G$10:$G$2140, $B17)*365/4*(1-INDEX(Assumptions!$A$2:$K$596,MATCH($B9&amp;"Oil production reduction",Assumptions!$A$2:$A$596,0),MATCH(J$2,Assumptions!$A$2:$K$2,0))))</f>
        <v>16911.646952073748</v>
      </c>
      <c r="K17" s="50">
        <f>J17*(1-INDEX(Assumptions!$A$2:$K$596,MATCH($B9&amp;"Oil production reduction",Assumptions!$A$2:$A$596,0),MATCH(K$2,Assumptions!$A$2:$K$2,0)))</f>
        <v>16911.646952073748</v>
      </c>
      <c r="L17" s="50">
        <f>K17*(1-INDEX(Assumptions!$A$2:$K$596,MATCH($B9&amp;"Oil production reduction",Assumptions!$A$2:$A$596,0),MATCH(L$2,Assumptions!$A$2:$K$2,0)))</f>
        <v>16911.646952073748</v>
      </c>
      <c r="M17" s="50">
        <f>L17*(1-INDEX(Assumptions!$A$2:$K$596,MATCH($B9&amp;"Oil production reduction",Assumptions!$A$2:$A$596,0),MATCH(M$2,Assumptions!$A$2:$K$2,0)))</f>
        <v>16911.646952073748</v>
      </c>
    </row>
    <row r="18" spans="1:13" x14ac:dyDescent="0.25">
      <c r="A18" s="222" t="str">
        <f>B9&amp;B16&amp;B18</f>
        <v>ApacheProduction, KBOE/QGas</v>
      </c>
      <c r="B18" s="70" t="s">
        <v>26</v>
      </c>
      <c r="C18" s="73" t="s">
        <v>564</v>
      </c>
      <c r="D18" s="108"/>
      <c r="E18" s="105">
        <f>357.8*1000/4/6</f>
        <v>14908.333333333334</v>
      </c>
      <c r="F18" s="50">
        <f>IF($B$2 = "A3", (SUMIFS('$33'!$I$9:$I$2139, '$33'!$A$9:$A$2139, $B$9, '$33'!$G$9:$G$2139, $B18)*365/4)*(1-INDEX(Assumptions!$A$2:$K$596,MATCH($B9&amp;"Gas production reduction",Assumptions!$A$2:$A$596,0),MATCH(F$2,Assumptions!$A$2:$K$2,0))),  (SUMIFS('$22'!$I$10:$I$2140, '$22'!$A$10:$A$2140, $B$9, '$22'!$G$10:$G$2140, $B18)*365/4)*(1-INDEX(Assumptions!$A$2:$K$596,MATCH($B9&amp;"Gas production reduction",Assumptions!$A$2:$A$596,0),MATCH(F$2,Assumptions!$A$2:$K$2,0))))</f>
        <v>10668.021135199995</v>
      </c>
      <c r="G18" s="50">
        <f>F18*(1-INDEX(Assumptions!$A$2:$K$596,MATCH($B9&amp;"Gas production reduction",Assumptions!$A$2:$A$596,0),MATCH(G$2,Assumptions!$A$2:$K$2,0)))</f>
        <v>10668.021135199995</v>
      </c>
      <c r="H18" s="50">
        <f>G18*(1-INDEX(Assumptions!$A$2:$K$596,MATCH($B9&amp;"Gas production reduction",Assumptions!$A$2:$A$596,0),MATCH(H$2,Assumptions!$A$2:$K$2,0)))</f>
        <v>10668.021135199995</v>
      </c>
      <c r="I18" s="50">
        <f>H18*(1-INDEX(Assumptions!$A$2:$K$596,MATCH($B9&amp;"Gas production reduction",Assumptions!$A$2:$A$596,0),MATCH(I$2,Assumptions!$A$2:$K$2,0)))</f>
        <v>10668.021135199995</v>
      </c>
      <c r="J18" s="50">
        <f>IF($B$2="A3",(SUMIFS('$33'!$J$9:$J$2139,'$33'!$A$9:$A$2139, $B$9,'$33'!$G$9:$G$2139, $B18)*365/4)*(1-INDEX(Assumptions!$A$2:$K$596,MATCH($B9&amp;"Gas production reduction",Assumptions!$A$2:$A$596,0),MATCH(J$2,Assumptions!$A$2:$K$2,0))),(SUMIFS('$22'!$J$10:$J$2140,'$22'!$A$10:$A$2140, $B$9,'$22'!$G$10:$G$2140, $B18)*365/4)*(1-INDEX(Assumptions!$A$2:$K$596,MATCH($B9&amp;"Gas production reduction",Assumptions!$A$2:$A$596,0),MATCH(J$2,Assumptions!$A$2:$K$2,0))))</f>
        <v>9733.716977812499</v>
      </c>
      <c r="K18" s="50">
        <f>J18*(1-INDEX(Assumptions!$A$2:$K$596,MATCH($B9&amp;"Gas production reduction",Assumptions!$A$2:$A$596,0),MATCH(K$2,Assumptions!$A$2:$K$2,0)))</f>
        <v>9733.716977812499</v>
      </c>
      <c r="L18" s="50">
        <f>K18*(1-INDEX(Assumptions!$A$2:$K$596,MATCH($B9&amp;"Gas production reduction",Assumptions!$A$2:$A$596,0),MATCH(L$2,Assumptions!$A$2:$K$2,0)))</f>
        <v>9733.716977812499</v>
      </c>
      <c r="M18" s="50">
        <f>L18*(1-INDEX(Assumptions!$A$2:$K$596,MATCH($B9&amp;"Gas production reduction",Assumptions!$A$2:$A$596,0),MATCH(M$2,Assumptions!$A$2:$K$2,0)))</f>
        <v>9733.716977812499</v>
      </c>
    </row>
    <row r="19" spans="1:13" x14ac:dyDescent="0.25">
      <c r="A19" s="222" t="str">
        <f>B9&amp;B16&amp;B19</f>
        <v>ApacheProduction, KBOE/QNGL</v>
      </c>
      <c r="B19" s="70" t="s">
        <v>25</v>
      </c>
      <c r="C19" s="73" t="s">
        <v>564</v>
      </c>
      <c r="D19" s="108"/>
      <c r="E19" s="105">
        <f>25.9*1000/4</f>
        <v>6475</v>
      </c>
      <c r="F19" s="50">
        <f>IF($B$2="A3",(SUMIFS('$33'!$I$9:$I$2139,'$33'!$A$9:$A$2139,$B$9,'$33'!$G$9:$G$2139,$B19)*365/4)*(1-INDEX(Assumptions!$A$2:$K$596,MATCH($B9&amp;"NGL production reduction",Assumptions!$A$2:$A$596,0),MATCH(F$2,Assumptions!$A$2:$K$2,0))),(SUMIFS('$22'!$I$10:$I$2140,'$22'!$A$10:$A$2140, $B$9,'$22'!$G$10:$G$2140,$B19)*365/4)*(1-INDEX(Assumptions!$A$2:$K$596,MATCH($B9&amp;"NGL production reduction",Assumptions!$A$2:$A$596,0),MATCH(F$2,Assumptions!$A$2:$K$2,0))))</f>
        <v>6446.3672601337512</v>
      </c>
      <c r="G19" s="50">
        <f>F19*(1-INDEX(Assumptions!$A$2:$K$596,MATCH($B9&amp;"NGL production reduction",Assumptions!$A$2:$A$596,0),MATCH(G$2,Assumptions!$A$2:$K$2,0)))</f>
        <v>6446.3672601337512</v>
      </c>
      <c r="H19" s="50">
        <f>G19*(1-INDEX(Assumptions!$A$2:$K$596,MATCH($B9&amp;"NGL production reduction",Assumptions!$A$2:$A$596,0),MATCH(H$2,Assumptions!$A$2:$K$2,0)))</f>
        <v>6446.3672601337512</v>
      </c>
      <c r="I19" s="50">
        <f>H19*(1-INDEX(Assumptions!$A$2:$K$596,MATCH($B9&amp;"NGL production reduction",Assumptions!$A$2:$A$596,0),MATCH(I$2,Assumptions!$A$2:$K$2,0)))</f>
        <v>6446.3672601337512</v>
      </c>
      <c r="J19" s="50">
        <f>IF($B$2="A3",(SUMIFS('$33'!$J$9:$J$2139,'$33'!$A$9:$A$2139, $B$9,'$33'!$G$9:$G$2139, $B19)*365/4)*(1-INDEX(Assumptions!$A$2:$K$596,MATCH($B9&amp;"NGL production reduction",Assumptions!$A$2:$A$596,0),MATCH(J$2,Assumptions!$A$2:$K$2,0))),(SUMIFS('$22'!$J$10:$J$2140,'$22'!$A$10:$A$2140, $B$9,'$22'!$G$10:$G$2140, $B19)*365/4)*(1-INDEX(Assumptions!$A$2:$K$596,MATCH($B9&amp;"NGL production reduction",Assumptions!$A$2:$A$596,0),MATCH(J$2,Assumptions!$A$2:$K$2,0))))</f>
        <v>6300.5025400837485</v>
      </c>
      <c r="K19" s="50">
        <f>J19*(1-INDEX(Assumptions!$A$2:$K$596,MATCH($B9&amp;"NGL production reduction",Assumptions!$A$2:$A$596,0),MATCH(K$2,Assumptions!$A$2:$K$2,0)))</f>
        <v>6300.5025400837485</v>
      </c>
      <c r="L19" s="50">
        <f>K19*(1-INDEX(Assumptions!$A$2:$K$596,MATCH($B9&amp;"NGL production reduction",Assumptions!$A$2:$A$596,0),MATCH(L$2,Assumptions!$A$2:$K$2,0)))</f>
        <v>6300.5025400837485</v>
      </c>
      <c r="M19" s="50">
        <f>L19*(1-INDEX(Assumptions!$A$2:$K$596,MATCH($B9&amp;"NGL production reduction",Assumptions!$A$2:$A$596,0),MATCH(M$2,Assumptions!$A$2:$K$2,0)))</f>
        <v>6300.5025400837485</v>
      </c>
    </row>
    <row r="20" spans="1:13" x14ac:dyDescent="0.25">
      <c r="A20" s="222" t="str">
        <f>B9&amp;B16&amp;B20</f>
        <v>ApacheProduction, KBOE/QCondensate</v>
      </c>
      <c r="B20" s="70" t="s">
        <v>24</v>
      </c>
      <c r="C20" s="73" t="s">
        <v>564</v>
      </c>
      <c r="D20" s="108"/>
      <c r="E20" s="105">
        <v>0</v>
      </c>
      <c r="F20" s="50">
        <f>IF($B$2="A3",(SUMIFS('$33'!$I$9:$I$2139,'$33'!$A$9:$A$2139, $B$9,'$33'!$G$9:$G$2139, $B20)*365/4)*(1-INDEX(Assumptions!$A$2:$K$596,MATCH($B9&amp;"Condensate production reduction",Assumptions!$A$2:$A$596,0),MATCH(F$2,Assumptions!$A$2:$K$2,0))),(SUMIFS('$22'!$I$10:$I$2140,'$22'!$A$10:$A$2140, $B$9,'$22'!$G$10:$G$2140, $B20)*365/4)*(1-INDEX(Assumptions!$A$2:$K$596,MATCH($B9&amp;"Condensate production reduction", Assumptions!$A$2:$A$596,0),MATCH(F$2,Assumptions!$A$2:$K$2,0))))</f>
        <v>1440.3803132275</v>
      </c>
      <c r="G20" s="50">
        <f>F20*(1-INDEX(Assumptions!$A$2:$K$596,MATCH($B9&amp;"Condensate production reduction",Assumptions!$A$2:$A$596,0),MATCH(G$2,Assumptions!$A$2:$K$2,0)))</f>
        <v>1440.3803132275</v>
      </c>
      <c r="H20" s="50">
        <f>G20*(1-INDEX(Assumptions!$A$2:$K$596,MATCH($B9&amp;"Condensate production reduction",Assumptions!$A$2:$A$596,0),MATCH(H$2,Assumptions!$A$2:$K$2,0)))</f>
        <v>1440.3803132275</v>
      </c>
      <c r="I20" s="50">
        <f>H20*(1-INDEX(Assumptions!$A$2:$K$596,MATCH($B9&amp;"Condensate production reduction",Assumptions!$A$2:$A$596,0),MATCH(I$2,Assumptions!$A$2:$K$2,0)))</f>
        <v>1440.3803132275</v>
      </c>
      <c r="J20" s="50">
        <f>IF($B$2="A3",(SUMIFS('$33'!$J$9:$J$2139,'$33'!$A$9:$A$2139, $B$9,'$33'!$G$9:$G$2139, $B20)*365/4)*(1-INDEX(Assumptions!$A$2:$K$596,MATCH($B9&amp;"Condensate production reduction",Assumptions!$A$2:$A$596,0),MATCH(J$2,Assumptions!$A$2:$K$2,0))),(SUMIFS('$22'!$J$10:$J$2140,'$22'!$A$10:$A$2140,$B$9,'$22'!$G$10:$G$2140, $B20)*365/4)*(1-INDEX(Assumptions!$A$2:$K$596,MATCH($B9&amp;"Condensate production reduction",Assumptions!$A$2:$A$596,0),MATCH(J$2,Assumptions!$A$2:$K$2,0))))</f>
        <v>1383.7178084924999</v>
      </c>
      <c r="K20" s="50">
        <f>J20*(1-INDEX(Assumptions!$A$2:$K$596,MATCH($B9&amp;"Condensate production reduction",Assumptions!$A$2:$A$596,0),MATCH(K$2,Assumptions!$A$2:$K$2,0)))</f>
        <v>1383.7178084924999</v>
      </c>
      <c r="L20" s="50">
        <f>K20*(1-INDEX(Assumptions!$A$2:$K$596,MATCH($B9&amp;"Condensate production reduction",Assumptions!$A$2:$A$596,0),MATCH(L$2,Assumptions!$A$2:$K$2,0)))</f>
        <v>1383.7178084924999</v>
      </c>
      <c r="M20" s="50">
        <f>L20*(1-INDEX(Assumptions!$A$2:$K$596,MATCH($B9&amp;"Condensate production reduction",Assumptions!$A$2:$A$596,0),MATCH(M$2,Assumptions!$A$2:$K$2,0)))</f>
        <v>1383.7178084924999</v>
      </c>
    </row>
    <row r="21" spans="1:13" x14ac:dyDescent="0.25">
      <c r="A21" s="222" t="str">
        <f>B9&amp;B16&amp;B21</f>
        <v>ApacheProduction, KBOE/QTotal production</v>
      </c>
      <c r="B21" s="316" t="s">
        <v>397</v>
      </c>
      <c r="C21" s="77"/>
      <c r="D21" s="114"/>
      <c r="E21" s="63">
        <f>SUM(E17:E20)</f>
        <v>43233.333333333336</v>
      </c>
      <c r="F21" s="62">
        <f>SUM(F17:F20)</f>
        <v>37811.995877776251</v>
      </c>
      <c r="G21" s="62">
        <f t="shared" ref="G21:M21" si="2">SUM(G17:G20)</f>
        <v>37811.995877776251</v>
      </c>
      <c r="H21" s="62">
        <f t="shared" si="2"/>
        <v>37811.995877776251</v>
      </c>
      <c r="I21" s="62">
        <f t="shared" si="2"/>
        <v>37811.995877776251</v>
      </c>
      <c r="J21" s="62">
        <f t="shared" si="2"/>
        <v>34329.584278462498</v>
      </c>
      <c r="K21" s="62">
        <f t="shared" si="2"/>
        <v>34329.584278462498</v>
      </c>
      <c r="L21" s="62">
        <f t="shared" si="2"/>
        <v>34329.584278462498</v>
      </c>
      <c r="M21" s="62">
        <f t="shared" si="2"/>
        <v>34329.584278462498</v>
      </c>
    </row>
    <row r="22" spans="1:13" x14ac:dyDescent="0.25">
      <c r="B22" s="31"/>
      <c r="C22" s="31"/>
      <c r="D22" s="115"/>
      <c r="E22" s="67"/>
      <c r="F22" s="198"/>
      <c r="G22" s="198"/>
      <c r="H22" s="198"/>
      <c r="I22" s="201"/>
      <c r="J22" s="201"/>
      <c r="K22" s="201"/>
      <c r="L22" s="201"/>
      <c r="M22" s="201"/>
    </row>
    <row r="23" spans="1:13" hidden="1" x14ac:dyDescent="0.25">
      <c r="A23" s="222" t="str">
        <f>B9&amp;B23</f>
        <v>ApacheRevenues</v>
      </c>
      <c r="B23" s="64" t="s">
        <v>472</v>
      </c>
      <c r="C23" s="64"/>
      <c r="D23" s="111"/>
      <c r="E23" s="53"/>
      <c r="F23" s="200"/>
      <c r="G23" s="200"/>
      <c r="H23" s="200"/>
      <c r="I23" s="200"/>
      <c r="J23" s="200"/>
      <c r="K23" s="200"/>
      <c r="L23" s="200"/>
      <c r="M23" s="200"/>
    </row>
    <row r="24" spans="1:13" hidden="1" x14ac:dyDescent="0.25">
      <c r="A24" s="222" t="str">
        <f>B9&amp;B24</f>
        <v>ApacheSales Revenue</v>
      </c>
      <c r="B24" s="70" t="s">
        <v>461</v>
      </c>
      <c r="C24" s="82" t="s">
        <v>536</v>
      </c>
      <c r="D24" s="108"/>
      <c r="E24" s="83">
        <f>(5230+678+407)/4</f>
        <v>1578.75</v>
      </c>
      <c r="F24" s="50">
        <f>SUMPRODUCT(F11:F14,F17:F20)/1000</f>
        <v>1128.9547784195011</v>
      </c>
      <c r="G24" s="50">
        <f t="shared" ref="G24:L24" si="3">SUMPRODUCT(G11:G14,G17:G20)/1000</f>
        <v>520.38296050523309</v>
      </c>
      <c r="H24" s="50">
        <f t="shared" si="3"/>
        <v>563.99212979705737</v>
      </c>
      <c r="I24" s="50">
        <f t="shared" si="3"/>
        <v>607.60129908888177</v>
      </c>
      <c r="J24" s="50">
        <f t="shared" si="3"/>
        <v>582.7400776189379</v>
      </c>
      <c r="K24" s="50">
        <f t="shared" si="3"/>
        <v>621.65710970146336</v>
      </c>
      <c r="L24" s="50">
        <f t="shared" si="3"/>
        <v>660.57414178398903</v>
      </c>
      <c r="M24" s="50">
        <f>SUMPRODUCT(M11:M14,M17:M20)/1000</f>
        <v>660.57414178398903</v>
      </c>
    </row>
    <row r="25" spans="1:13" hidden="1" x14ac:dyDescent="0.25">
      <c r="A25" s="222" t="str">
        <f>B9&amp;B25</f>
        <v>ApacheOther Revenue</v>
      </c>
      <c r="B25" s="70" t="s">
        <v>462</v>
      </c>
      <c r="C25" s="82" t="s">
        <v>533</v>
      </c>
      <c r="D25" s="139">
        <f>$E25/$E24</f>
        <v>1.5201900237529691E-2</v>
      </c>
      <c r="E25" s="83">
        <f>(43+53)/4</f>
        <v>24</v>
      </c>
      <c r="F25" s="50">
        <f>F24*$D25</f>
        <v>17.162257914215694</v>
      </c>
      <c r="G25" s="50">
        <f t="shared" ref="G25:M25" si="4">G24*$D25</f>
        <v>7.9108098509109066</v>
      </c>
      <c r="H25" s="50">
        <f t="shared" si="4"/>
        <v>8.573752091926762</v>
      </c>
      <c r="I25" s="50">
        <f t="shared" si="4"/>
        <v>9.236694332942621</v>
      </c>
      <c r="J25" s="50">
        <f t="shared" si="4"/>
        <v>8.858756524373403</v>
      </c>
      <c r="K25" s="50">
        <f t="shared" si="4"/>
        <v>9.4503693636326975</v>
      </c>
      <c r="L25" s="50">
        <f t="shared" si="4"/>
        <v>10.041982202891996</v>
      </c>
      <c r="M25" s="50">
        <f t="shared" si="4"/>
        <v>10.041982202891996</v>
      </c>
    </row>
    <row r="26" spans="1:13" x14ac:dyDescent="0.25">
      <c r="A26" s="222" t="str">
        <f>B9&amp;B26</f>
        <v>ApacheTotal Revenue</v>
      </c>
      <c r="B26" s="79" t="s">
        <v>395</v>
      </c>
      <c r="C26" s="85"/>
      <c r="D26" s="63">
        <f>SUMPRODUCT(E11:E14,E17:E20)*(1+D25)</f>
        <v>1608043.2627078383</v>
      </c>
      <c r="E26" s="63">
        <f>SUM(E24:E25)</f>
        <v>1602.75</v>
      </c>
      <c r="F26" s="62">
        <f t="shared" ref="F26:M26" si="5">SUM(F24:F25)</f>
        <v>1146.1170363337167</v>
      </c>
      <c r="G26" s="62">
        <f t="shared" si="5"/>
        <v>528.29377035614402</v>
      </c>
      <c r="H26" s="62">
        <f t="shared" si="5"/>
        <v>572.56588188898411</v>
      </c>
      <c r="I26" s="62">
        <f t="shared" si="5"/>
        <v>616.83799342182442</v>
      </c>
      <c r="J26" s="62">
        <f t="shared" si="5"/>
        <v>591.59883414331125</v>
      </c>
      <c r="K26" s="62">
        <f t="shared" si="5"/>
        <v>631.10747906509607</v>
      </c>
      <c r="L26" s="62">
        <f t="shared" si="5"/>
        <v>670.61612398688101</v>
      </c>
      <c r="M26" s="62">
        <f t="shared" si="5"/>
        <v>670.61612398688101</v>
      </c>
    </row>
    <row r="27" spans="1:13" hidden="1" x14ac:dyDescent="0.25">
      <c r="A27" s="222" t="str">
        <f>B9&amp;B27</f>
        <v>ApacheCosts and Expenses</v>
      </c>
      <c r="B27" s="314" t="s">
        <v>473</v>
      </c>
      <c r="C27" s="72"/>
      <c r="D27" s="112"/>
      <c r="E27" s="83"/>
      <c r="F27" s="50"/>
      <c r="G27" s="50"/>
      <c r="H27" s="50"/>
      <c r="I27" s="50"/>
      <c r="J27" s="50"/>
      <c r="K27" s="50"/>
      <c r="L27" s="50"/>
      <c r="M27" s="50"/>
    </row>
    <row r="28" spans="1:13" hidden="1" x14ac:dyDescent="0.25">
      <c r="A28" s="222" t="str">
        <f>B9&amp;B28</f>
        <v>ApacheImpairment</v>
      </c>
      <c r="B28" s="75" t="s">
        <v>463</v>
      </c>
      <c r="C28" s="82" t="s">
        <v>537</v>
      </c>
      <c r="D28" s="108"/>
      <c r="E28" s="83">
        <f>2949/4</f>
        <v>737.25</v>
      </c>
      <c r="F28" s="83">
        <f>E28</f>
        <v>737.25</v>
      </c>
      <c r="G28" s="83">
        <f t="shared" ref="G28:M28" si="6">F28</f>
        <v>737.25</v>
      </c>
      <c r="H28" s="83">
        <f t="shared" si="6"/>
        <v>737.25</v>
      </c>
      <c r="I28" s="83">
        <f t="shared" si="6"/>
        <v>737.25</v>
      </c>
      <c r="J28" s="83">
        <f t="shared" si="6"/>
        <v>737.25</v>
      </c>
      <c r="K28" s="83">
        <f t="shared" si="6"/>
        <v>737.25</v>
      </c>
      <c r="L28" s="83">
        <f t="shared" si="6"/>
        <v>737.25</v>
      </c>
      <c r="M28" s="83">
        <f t="shared" si="6"/>
        <v>737.25</v>
      </c>
    </row>
    <row r="29" spans="1:13" hidden="1" x14ac:dyDescent="0.25">
      <c r="A29" s="222" t="str">
        <f>B9&amp;B29</f>
        <v>ApacheDD&amp;A</v>
      </c>
      <c r="B29" s="75" t="s">
        <v>464</v>
      </c>
      <c r="C29" s="106" t="s">
        <v>545</v>
      </c>
      <c r="D29" s="108">
        <f>E29/E21</f>
        <v>1.5497301464919042E-2</v>
      </c>
      <c r="E29" s="83">
        <f>2680/4</f>
        <v>670</v>
      </c>
      <c r="F29" s="50">
        <f>$D29*F$21</f>
        <v>585.98389910817468</v>
      </c>
      <c r="G29" s="50">
        <f t="shared" ref="G29:M29" si="7">$D29*G$21</f>
        <v>585.98389910817468</v>
      </c>
      <c r="H29" s="50">
        <f t="shared" si="7"/>
        <v>585.98389910817468</v>
      </c>
      <c r="I29" s="50">
        <f t="shared" si="7"/>
        <v>585.98389910817468</v>
      </c>
      <c r="J29" s="50">
        <f t="shared" si="7"/>
        <v>532.01591672867858</v>
      </c>
      <c r="K29" s="50">
        <f t="shared" si="7"/>
        <v>532.01591672867858</v>
      </c>
      <c r="L29" s="50">
        <f t="shared" si="7"/>
        <v>532.01591672867858</v>
      </c>
      <c r="M29" s="50">
        <f t="shared" si="7"/>
        <v>532.01591672867858</v>
      </c>
    </row>
    <row r="30" spans="1:13" hidden="1" x14ac:dyDescent="0.25">
      <c r="A30" s="222" t="str">
        <f>B9&amp;B30</f>
        <v>ApacheAsset retirement obligation</v>
      </c>
      <c r="B30" s="75" t="s">
        <v>465</v>
      </c>
      <c r="C30" s="106" t="s">
        <v>545</v>
      </c>
      <c r="D30" s="108">
        <f>E30/E21</f>
        <v>6.1873554356206627E-4</v>
      </c>
      <c r="E30" s="83">
        <f>107/4</f>
        <v>26.75</v>
      </c>
      <c r="F30" s="50">
        <f t="shared" ref="F30:M37" si="8">$D30*F$21</f>
        <v>23.395625822602497</v>
      </c>
      <c r="G30" s="50">
        <f t="shared" si="8"/>
        <v>23.395625822602497</v>
      </c>
      <c r="H30" s="50">
        <f t="shared" si="8"/>
        <v>23.395625822602497</v>
      </c>
      <c r="I30" s="50">
        <f t="shared" si="8"/>
        <v>23.395625822602497</v>
      </c>
      <c r="J30" s="50">
        <f t="shared" si="8"/>
        <v>21.240933988794257</v>
      </c>
      <c r="K30" s="50">
        <f t="shared" si="8"/>
        <v>21.240933988794257</v>
      </c>
      <c r="L30" s="50">
        <f t="shared" si="8"/>
        <v>21.240933988794257</v>
      </c>
      <c r="M30" s="50">
        <f t="shared" si="8"/>
        <v>21.240933988794257</v>
      </c>
    </row>
    <row r="31" spans="1:13" hidden="1" x14ac:dyDescent="0.25">
      <c r="A31" s="222" t="str">
        <f>B9&amp;B31</f>
        <v>ApacheNon-cash compensation</v>
      </c>
      <c r="B31" s="75" t="s">
        <v>505</v>
      </c>
      <c r="C31" s="106" t="s">
        <v>878</v>
      </c>
      <c r="D31" s="108">
        <f>E31/E21</f>
        <v>0</v>
      </c>
      <c r="E31" s="83">
        <f>0/4</f>
        <v>0</v>
      </c>
      <c r="F31" s="50">
        <f t="shared" ref="F31:M31" si="9">$E31*((F$4*0.0266+11.643)*F$21)/(($E$4*0.0266+11.643)*$E$21)</f>
        <v>0</v>
      </c>
      <c r="G31" s="50">
        <f t="shared" si="9"/>
        <v>0</v>
      </c>
      <c r="H31" s="50">
        <f t="shared" si="9"/>
        <v>0</v>
      </c>
      <c r="I31" s="50">
        <f t="shared" si="9"/>
        <v>0</v>
      </c>
      <c r="J31" s="50">
        <f t="shared" si="9"/>
        <v>0</v>
      </c>
      <c r="K31" s="50">
        <f t="shared" si="9"/>
        <v>0</v>
      </c>
      <c r="L31" s="50">
        <f t="shared" si="9"/>
        <v>0</v>
      </c>
      <c r="M31" s="50">
        <f t="shared" si="9"/>
        <v>0</v>
      </c>
    </row>
    <row r="32" spans="1:13" hidden="1" x14ac:dyDescent="0.25">
      <c r="A32" s="222" t="str">
        <f>B9&amp;B32</f>
        <v>ApacheTaxes other than income</v>
      </c>
      <c r="B32" s="75" t="s">
        <v>467</v>
      </c>
      <c r="C32" s="106" t="s">
        <v>545</v>
      </c>
      <c r="D32" s="108">
        <f>E32/E21</f>
        <v>1.1969930609097917E-3</v>
      </c>
      <c r="E32" s="83">
        <f>207/4</f>
        <v>51.75</v>
      </c>
      <c r="F32" s="50">
        <f>$D32*F21</f>
        <v>45.260696684847822</v>
      </c>
      <c r="G32" s="50">
        <f t="shared" ref="G32:M32" si="10">$D32*G21</f>
        <v>45.260696684847822</v>
      </c>
      <c r="H32" s="50">
        <f t="shared" si="10"/>
        <v>45.260696684847822</v>
      </c>
      <c r="I32" s="50">
        <f t="shared" si="10"/>
        <v>45.260696684847822</v>
      </c>
      <c r="J32" s="50">
        <f t="shared" si="10"/>
        <v>41.092274165237491</v>
      </c>
      <c r="K32" s="50">
        <f t="shared" si="10"/>
        <v>41.092274165237491</v>
      </c>
      <c r="L32" s="50">
        <f t="shared" si="10"/>
        <v>41.092274165237491</v>
      </c>
      <c r="M32" s="50">
        <f t="shared" si="10"/>
        <v>41.092274165237491</v>
      </c>
    </row>
    <row r="33" spans="1:13" hidden="1" x14ac:dyDescent="0.25">
      <c r="A33" s="222" t="str">
        <f>B9&amp;B33</f>
        <v>ApacheLease operating expenses</v>
      </c>
      <c r="B33" s="75" t="s">
        <v>468</v>
      </c>
      <c r="C33" s="106" t="s">
        <v>878</v>
      </c>
      <c r="D33" s="108">
        <f>E33/E21</f>
        <v>8.3673862760215885E-3</v>
      </c>
      <c r="E33" s="83">
        <f>1447/4</f>
        <v>361.75</v>
      </c>
      <c r="F33" s="50">
        <f t="shared" ref="F33:M35" si="11">$E33*((F$4*0.0266+11.643)*F$21)/(($E$4*0.0266+11.643)*$E$21)</f>
        <v>307.8552047017842</v>
      </c>
      <c r="G33" s="50">
        <f t="shared" si="11"/>
        <v>288.4341793676241</v>
      </c>
      <c r="H33" s="50">
        <f t="shared" si="11"/>
        <v>289.69452420067194</v>
      </c>
      <c r="I33" s="50">
        <f t="shared" si="11"/>
        <v>290.95486903371983</v>
      </c>
      <c r="J33" s="50">
        <f t="shared" si="11"/>
        <v>265.30275852971209</v>
      </c>
      <c r="K33" s="50">
        <f t="shared" si="11"/>
        <v>266.44702804423071</v>
      </c>
      <c r="L33" s="50">
        <f t="shared" si="11"/>
        <v>267.59129755874926</v>
      </c>
      <c r="M33" s="50">
        <f t="shared" si="11"/>
        <v>267.59129755874926</v>
      </c>
    </row>
    <row r="34" spans="1:13" hidden="1" x14ac:dyDescent="0.25">
      <c r="A34" s="222" t="str">
        <f>B9&amp;B34</f>
        <v>ApacheTransportation, Processing, and Other Operating</v>
      </c>
      <c r="B34" s="75" t="s">
        <v>469</v>
      </c>
      <c r="C34" s="106" t="s">
        <v>878</v>
      </c>
      <c r="D34" s="108">
        <f>E34/E21</f>
        <v>1.7694680030840399E-3</v>
      </c>
      <c r="E34" s="83">
        <f>(306)/4</f>
        <v>76.5</v>
      </c>
      <c r="F34" s="50">
        <f t="shared" si="11"/>
        <v>65.102759252761558</v>
      </c>
      <c r="G34" s="50">
        <f t="shared" si="11"/>
        <v>60.995755968550782</v>
      </c>
      <c r="H34" s="50">
        <f t="shared" si="11"/>
        <v>61.262283625021155</v>
      </c>
      <c r="I34" s="50">
        <f t="shared" si="11"/>
        <v>61.528811281491542</v>
      </c>
      <c r="J34" s="50">
        <f t="shared" si="11"/>
        <v>56.104107885343403</v>
      </c>
      <c r="K34" s="50">
        <f t="shared" si="11"/>
        <v>56.346088860770273</v>
      </c>
      <c r="L34" s="50">
        <f t="shared" si="11"/>
        <v>56.588069836197143</v>
      </c>
      <c r="M34" s="50">
        <f t="shared" si="11"/>
        <v>56.588069836197143</v>
      </c>
    </row>
    <row r="35" spans="1:13" hidden="1" x14ac:dyDescent="0.25">
      <c r="A35" s="222" t="str">
        <f>B9&amp;B35</f>
        <v>ApacheSG&amp;A</v>
      </c>
      <c r="B35" s="75" t="s">
        <v>470</v>
      </c>
      <c r="C35" s="106" t="s">
        <v>878</v>
      </c>
      <c r="D35" s="108">
        <f>E35/E21</f>
        <v>2.3477255204317656E-3</v>
      </c>
      <c r="E35" s="83">
        <f>406/4</f>
        <v>101.5</v>
      </c>
      <c r="F35" s="50">
        <f t="shared" si="11"/>
        <v>86.378170773271862</v>
      </c>
      <c r="G35" s="50">
        <f t="shared" si="11"/>
        <v>80.929009553044494</v>
      </c>
      <c r="H35" s="50">
        <f t="shared" si="11"/>
        <v>81.282637750845069</v>
      </c>
      <c r="I35" s="50">
        <f t="shared" si="11"/>
        <v>81.636265948645644</v>
      </c>
      <c r="J35" s="50">
        <f t="shared" si="11"/>
        <v>74.438783664867401</v>
      </c>
      <c r="K35" s="50">
        <f t="shared" si="11"/>
        <v>74.759843390433758</v>
      </c>
      <c r="L35" s="50">
        <f t="shared" si="11"/>
        <v>75.08090311600013</v>
      </c>
      <c r="M35" s="50">
        <f t="shared" si="11"/>
        <v>75.08090311600013</v>
      </c>
    </row>
    <row r="36" spans="1:13" s="65" customFormat="1" hidden="1" x14ac:dyDescent="0.25">
      <c r="A36" s="222" t="str">
        <f>B9&amp;B36</f>
        <v>ApacheExploratory and dirt well, dry hole</v>
      </c>
      <c r="B36" s="75" t="s">
        <v>561</v>
      </c>
      <c r="C36" s="106" t="s">
        <v>545</v>
      </c>
      <c r="D36" s="155">
        <f>E36/E21</f>
        <v>4.6549730146491905E-3</v>
      </c>
      <c r="E36" s="148">
        <f>805/4</f>
        <v>201.25</v>
      </c>
      <c r="F36" s="156">
        <f t="shared" si="8"/>
        <v>176.01382044107487</v>
      </c>
      <c r="G36" s="156">
        <f t="shared" si="8"/>
        <v>176.01382044107487</v>
      </c>
      <c r="H36" s="156">
        <f t="shared" si="8"/>
        <v>176.01382044107487</v>
      </c>
      <c r="I36" s="156">
        <f t="shared" si="8"/>
        <v>176.01382044107487</v>
      </c>
      <c r="J36" s="156">
        <f t="shared" si="8"/>
        <v>159.80328842036803</v>
      </c>
      <c r="K36" s="156">
        <f t="shared" si="8"/>
        <v>159.80328842036803</v>
      </c>
      <c r="L36" s="156">
        <f t="shared" si="8"/>
        <v>159.80328842036803</v>
      </c>
      <c r="M36" s="156">
        <f t="shared" si="8"/>
        <v>159.80328842036803</v>
      </c>
    </row>
    <row r="37" spans="1:13" hidden="1" x14ac:dyDescent="0.25">
      <c r="A37" s="222" t="str">
        <f>B9&amp;B37</f>
        <v>ApacheOther Expenses (benefits)</v>
      </c>
      <c r="B37" s="75" t="s">
        <v>471</v>
      </c>
      <c r="C37" s="106" t="s">
        <v>545</v>
      </c>
      <c r="D37" s="108">
        <f>E37/E21</f>
        <v>2.8912875867386276E-4</v>
      </c>
      <c r="E37" s="83">
        <f>(50)/4</f>
        <v>12.5</v>
      </c>
      <c r="F37" s="50">
        <f t="shared" si="8"/>
        <v>10.932535431122663</v>
      </c>
      <c r="G37" s="50">
        <f t="shared" si="8"/>
        <v>10.932535431122663</v>
      </c>
      <c r="H37" s="50">
        <f t="shared" si="8"/>
        <v>10.932535431122663</v>
      </c>
      <c r="I37" s="50">
        <f t="shared" si="8"/>
        <v>10.932535431122663</v>
      </c>
      <c r="J37" s="50">
        <f t="shared" si="8"/>
        <v>9.9256700882216169</v>
      </c>
      <c r="K37" s="50">
        <f t="shared" si="8"/>
        <v>9.9256700882216169</v>
      </c>
      <c r="L37" s="50">
        <f t="shared" si="8"/>
        <v>9.9256700882216169</v>
      </c>
      <c r="M37" s="50">
        <f t="shared" si="8"/>
        <v>9.9256700882216169</v>
      </c>
    </row>
    <row r="38" spans="1:13" x14ac:dyDescent="0.25">
      <c r="A38" s="222" t="str">
        <f>B9&amp;B38</f>
        <v>ApacheTotal Costs and Expenses</v>
      </c>
      <c r="B38" s="315" t="s">
        <v>474</v>
      </c>
      <c r="C38" s="85"/>
      <c r="D38" s="110"/>
      <c r="E38" s="63">
        <f>SUM(E28:E37)</f>
        <v>2239.25</v>
      </c>
      <c r="F38" s="62">
        <f t="shared" ref="F38:M38" si="12">SUM(F28:F37)</f>
        <v>2038.1727122156403</v>
      </c>
      <c r="G38" s="62">
        <f t="shared" si="12"/>
        <v>2009.1955223770422</v>
      </c>
      <c r="H38" s="62">
        <f t="shared" si="12"/>
        <v>2011.0760230643607</v>
      </c>
      <c r="I38" s="62">
        <f t="shared" si="12"/>
        <v>2012.9565237516795</v>
      </c>
      <c r="J38" s="62">
        <f t="shared" si="12"/>
        <v>1897.1737334712229</v>
      </c>
      <c r="K38" s="62">
        <f t="shared" si="12"/>
        <v>1898.8810436867348</v>
      </c>
      <c r="L38" s="62">
        <f t="shared" si="12"/>
        <v>1900.5883539022466</v>
      </c>
      <c r="M38" s="62">
        <f t="shared" si="12"/>
        <v>1900.5883539022466</v>
      </c>
    </row>
    <row r="39" spans="1:13" hidden="1" x14ac:dyDescent="0.25">
      <c r="A39" s="222" t="str">
        <f>B9&amp;B39</f>
        <v>ApacheOther (Income) Expense</v>
      </c>
      <c r="B39" s="314" t="s">
        <v>506</v>
      </c>
      <c r="C39" s="72"/>
      <c r="D39" s="112"/>
      <c r="E39" s="83"/>
      <c r="F39" s="50"/>
      <c r="G39" s="50"/>
      <c r="H39" s="50"/>
      <c r="I39" s="50"/>
      <c r="J39" s="50"/>
      <c r="K39" s="50"/>
      <c r="L39" s="50"/>
      <c r="M39" s="50"/>
    </row>
    <row r="40" spans="1:13" hidden="1" x14ac:dyDescent="0.25">
      <c r="A40" s="222" t="str">
        <f>B9&amp;B40</f>
        <v>ApacheLoss (gain) on derivative instruments, net</v>
      </c>
      <c r="B40" s="75" t="s">
        <v>466</v>
      </c>
      <c r="C40" s="107" t="s">
        <v>879</v>
      </c>
      <c r="D40" s="108"/>
      <c r="E40" s="83">
        <v>0</v>
      </c>
      <c r="F40" s="157">
        <f>E40</f>
        <v>0</v>
      </c>
      <c r="G40" s="157">
        <f t="shared" ref="G40:M40" si="13">F40</f>
        <v>0</v>
      </c>
      <c r="H40" s="157">
        <f t="shared" si="13"/>
        <v>0</v>
      </c>
      <c r="I40" s="157">
        <f t="shared" si="13"/>
        <v>0</v>
      </c>
      <c r="J40" s="157">
        <f t="shared" si="13"/>
        <v>0</v>
      </c>
      <c r="K40" s="157">
        <f t="shared" si="13"/>
        <v>0</v>
      </c>
      <c r="L40" s="157">
        <f t="shared" si="13"/>
        <v>0</v>
      </c>
      <c r="M40" s="157">
        <f t="shared" si="13"/>
        <v>0</v>
      </c>
    </row>
    <row r="41" spans="1:13" hidden="1" x14ac:dyDescent="0.25">
      <c r="A41" s="222" t="str">
        <f>B9&amp;B41</f>
        <v>ApacheInterest expense, net</v>
      </c>
      <c r="B41" s="75" t="s">
        <v>475</v>
      </c>
      <c r="C41" s="82" t="s">
        <v>526</v>
      </c>
      <c r="D41" s="108"/>
      <c r="E41" s="148">
        <f>430/4</f>
        <v>107.5</v>
      </c>
      <c r="F41" s="157">
        <f>$E70*(F75/E75)*(($E41/$E70)+IF($B$2="A3",(('Quarterly Forecasts'!$K$5-'Quarterly Forecasts'!$G$5)/400),(('Quarterly Forecasts'!$K$26-'Quarterly Forecasts'!$G$26)/400)))</f>
        <v>115.87378089375466</v>
      </c>
      <c r="G41" s="157">
        <f>$E70*(G75/F75)*(($E41/$E70)+IF($B$2="A3",(('Quarterly Forecasts'!$K$5-'Quarterly Forecasts'!$G$5)/400),(('Quarterly Forecasts'!$K$26-'Quarterly Forecasts'!$G$26)/400)))</f>
        <v>116.65059909999999</v>
      </c>
      <c r="H41" s="157">
        <f>$E70*(H75/G75)*(($E41/$E70)+IF($B$2="A3",(('Quarterly Forecasts'!$K$5-'Quarterly Forecasts'!$G$5)/400),(('Quarterly Forecasts'!$K$26-'Quarterly Forecasts'!$G$26)/400)))</f>
        <v>116.65059909999999</v>
      </c>
      <c r="I41" s="157">
        <f>$E70*(I75/H75)*(($E41/$E70)+IF($B$2="A3",(('Quarterly Forecasts'!$K$5-'Quarterly Forecasts'!$G$5)/400),(('Quarterly Forecasts'!$K$26-'Quarterly Forecasts'!$G$26)/400)))</f>
        <v>116.65059909999999</v>
      </c>
      <c r="J41" s="157">
        <f>$I70*(J75/I75)*(($I41/$I70)+ IF($B$2 = "A3", (('Quarterly Forecasts'!$O$5-'Quarterly Forecasts'!$K$5)/400),  (('Quarterly Forecasts'!$O$26-'Quarterly Forecasts'!$K$26)/400)))</f>
        <v>106.91525923964549</v>
      </c>
      <c r="K41" s="157">
        <f>$I70*(K75/J75)*(($I41/$I70)+ IF($B$2 = "A3", (('Quarterly Forecasts'!$O$5-'Quarterly Forecasts'!$K$5)/400),  (('Quarterly Forecasts'!$O$26-'Quarterly Forecasts'!$K$26)/400)))</f>
        <v>107.3776635</v>
      </c>
      <c r="L41" s="157">
        <f>$I70*(L75/K75)*(($I41/$I70)+ IF($B$2 = "A3", (('Quarterly Forecasts'!$O$5-'Quarterly Forecasts'!$K$5)/400),  (('Quarterly Forecasts'!$O$26-'Quarterly Forecasts'!$K$26)/400)))</f>
        <v>107.3776635</v>
      </c>
      <c r="M41" s="157">
        <f>$I70*(M75/L75)*(($I41/$I70)+ IF($B$2 = "A3", (('Quarterly Forecasts'!$O$5-'Quarterly Forecasts'!$K$5)/400),  (('Quarterly Forecasts'!$O$26-'Quarterly Forecasts'!$K$26)/400)))</f>
        <v>107.3776635</v>
      </c>
    </row>
    <row r="42" spans="1:13" hidden="1" x14ac:dyDescent="0.25">
      <c r="A42" s="222" t="str">
        <f>B9&amp;B42</f>
        <v>ApacheOther, net</v>
      </c>
      <c r="B42" s="75" t="s">
        <v>508</v>
      </c>
      <c r="C42" s="82" t="s">
        <v>509</v>
      </c>
      <c r="D42" s="108"/>
      <c r="E42" s="83">
        <f>(462-430)/4</f>
        <v>8</v>
      </c>
      <c r="F42" s="50">
        <f>E42</f>
        <v>8</v>
      </c>
      <c r="G42" s="50">
        <f t="shared" ref="G42:M42" si="14">F42</f>
        <v>8</v>
      </c>
      <c r="H42" s="50">
        <f t="shared" si="14"/>
        <v>8</v>
      </c>
      <c r="I42" s="50">
        <f t="shared" si="14"/>
        <v>8</v>
      </c>
      <c r="J42" s="50">
        <f t="shared" si="14"/>
        <v>8</v>
      </c>
      <c r="K42" s="50">
        <f t="shared" si="14"/>
        <v>8</v>
      </c>
      <c r="L42" s="50">
        <f t="shared" si="14"/>
        <v>8</v>
      </c>
      <c r="M42" s="50">
        <f t="shared" si="14"/>
        <v>8</v>
      </c>
    </row>
    <row r="43" spans="1:13" x14ac:dyDescent="0.25">
      <c r="A43" s="222" t="str">
        <f>B9&amp;B43</f>
        <v>ApacheTotal Other (Income) Expense</v>
      </c>
      <c r="B43" s="315" t="s">
        <v>518</v>
      </c>
      <c r="C43" s="84"/>
      <c r="D43" s="110"/>
      <c r="E43" s="63">
        <f>SUM(E40:E42)</f>
        <v>115.5</v>
      </c>
      <c r="F43" s="62">
        <f t="shared" ref="F43:M43" si="15">SUM(F40:F42)</f>
        <v>123.87378089375466</v>
      </c>
      <c r="G43" s="62">
        <f t="shared" si="15"/>
        <v>124.65059909999999</v>
      </c>
      <c r="H43" s="62">
        <f t="shared" si="15"/>
        <v>124.65059909999999</v>
      </c>
      <c r="I43" s="62">
        <f t="shared" si="15"/>
        <v>124.65059909999999</v>
      </c>
      <c r="J43" s="62">
        <f t="shared" si="15"/>
        <v>114.91525923964549</v>
      </c>
      <c r="K43" s="62">
        <f t="shared" si="15"/>
        <v>115.3776635</v>
      </c>
      <c r="L43" s="62">
        <f t="shared" si="15"/>
        <v>115.3776635</v>
      </c>
      <c r="M43" s="62">
        <f t="shared" si="15"/>
        <v>115.3776635</v>
      </c>
    </row>
    <row r="44" spans="1:13" hidden="1" x14ac:dyDescent="0.25">
      <c r="A44" s="222" t="str">
        <f>B9&amp;B44</f>
        <v>ApacheIncome (loss) from continuing operations before income taxes</v>
      </c>
      <c r="B44" s="314" t="s">
        <v>476</v>
      </c>
      <c r="C44" s="72"/>
      <c r="D44" s="112"/>
      <c r="E44" s="63">
        <f>(E26-E38-E43)</f>
        <v>-752</v>
      </c>
      <c r="F44" s="62">
        <f>F26-F38-F43</f>
        <v>-1015.9294567756783</v>
      </c>
      <c r="G44" s="62">
        <f>G26-G38-G43</f>
        <v>-1605.552351120898</v>
      </c>
      <c r="H44" s="62">
        <f t="shared" ref="H44:M44" si="16">H26-H38-H43</f>
        <v>-1563.1607402753766</v>
      </c>
      <c r="I44" s="62">
        <f t="shared" si="16"/>
        <v>-1520.769129429855</v>
      </c>
      <c r="J44" s="62">
        <f t="shared" si="16"/>
        <v>-1420.4901585675573</v>
      </c>
      <c r="K44" s="62">
        <f t="shared" si="16"/>
        <v>-1383.1512281216387</v>
      </c>
      <c r="L44" s="62">
        <f t="shared" si="16"/>
        <v>-1345.3498934153654</v>
      </c>
      <c r="M44" s="62">
        <f t="shared" si="16"/>
        <v>-1345.3498934153654</v>
      </c>
    </row>
    <row r="45" spans="1:13" hidden="1" x14ac:dyDescent="0.25">
      <c r="A45" s="222" t="str">
        <f>B9&amp;B45</f>
        <v>ApacheIncome tax (benefit) expense</v>
      </c>
      <c r="B45" s="70" t="s">
        <v>477</v>
      </c>
      <c r="C45" s="73" t="s">
        <v>525</v>
      </c>
      <c r="D45" s="109">
        <f>E45/E44</f>
        <v>-0.22406914893617022</v>
      </c>
      <c r="E45" s="83">
        <f>(660+14)/4</f>
        <v>168.5</v>
      </c>
      <c r="F45" s="50">
        <f>$D45*F44</f>
        <v>227.63844875891198</v>
      </c>
      <c r="G45" s="50">
        <f t="shared" ref="G45:M45" si="17">$D45*G44</f>
        <v>359.75474888812676</v>
      </c>
      <c r="H45" s="50">
        <f t="shared" si="17"/>
        <v>350.25609672393745</v>
      </c>
      <c r="I45" s="50">
        <f t="shared" si="17"/>
        <v>340.75744455974808</v>
      </c>
      <c r="J45" s="50">
        <f t="shared" si="17"/>
        <v>318.28802090243806</v>
      </c>
      <c r="K45" s="50">
        <f t="shared" si="17"/>
        <v>309.92151853523421</v>
      </c>
      <c r="L45" s="50">
        <f t="shared" si="17"/>
        <v>301.45140563894824</v>
      </c>
      <c r="M45" s="50">
        <f t="shared" si="17"/>
        <v>301.45140563894824</v>
      </c>
    </row>
    <row r="46" spans="1:13" x14ac:dyDescent="0.25">
      <c r="A46" s="222" t="str">
        <f>B9&amp;B46</f>
        <v>ApacheNet (loss) Income</v>
      </c>
      <c r="B46" s="79" t="s">
        <v>478</v>
      </c>
      <c r="C46" s="310"/>
      <c r="D46" s="123"/>
      <c r="E46" s="63">
        <f>(E44-E45)</f>
        <v>-920.5</v>
      </c>
      <c r="F46" s="62">
        <f>F44-F45</f>
        <v>-1243.5679055345904</v>
      </c>
      <c r="G46" s="62">
        <f t="shared" ref="G46:M46" si="18">G44-G45</f>
        <v>-1965.3071000090249</v>
      </c>
      <c r="H46" s="62">
        <f t="shared" si="18"/>
        <v>-1913.416836999314</v>
      </c>
      <c r="I46" s="62">
        <f t="shared" si="18"/>
        <v>-1861.5265739896031</v>
      </c>
      <c r="J46" s="62">
        <f t="shared" si="18"/>
        <v>-1738.7781794699954</v>
      </c>
      <c r="K46" s="62">
        <f t="shared" si="18"/>
        <v>-1693.0727466568728</v>
      </c>
      <c r="L46" s="62">
        <f t="shared" si="18"/>
        <v>-1646.8012990543136</v>
      </c>
      <c r="M46" s="62">
        <f t="shared" si="18"/>
        <v>-1646.8012990543136</v>
      </c>
    </row>
    <row r="48" spans="1:13" hidden="1" x14ac:dyDescent="0.25">
      <c r="A48" s="222" t="str">
        <f>B9&amp;B48</f>
        <v>ApacheCurrent Assets</v>
      </c>
      <c r="B48" s="64" t="s">
        <v>479</v>
      </c>
      <c r="C48" s="64"/>
      <c r="D48" s="111"/>
      <c r="E48" s="83"/>
      <c r="F48" s="50"/>
      <c r="G48" s="50"/>
      <c r="H48" s="50"/>
      <c r="I48" s="50"/>
      <c r="J48" s="50"/>
      <c r="K48" s="50"/>
      <c r="L48" s="50"/>
      <c r="M48" s="50"/>
    </row>
    <row r="49" spans="1:13" hidden="1" x14ac:dyDescent="0.25">
      <c r="A49" s="222" t="str">
        <f>B9&amp;B49</f>
        <v>ApacheCash and cash equivalents</v>
      </c>
      <c r="B49" s="70" t="s">
        <v>480</v>
      </c>
      <c r="C49" s="82" t="s">
        <v>538</v>
      </c>
      <c r="D49" s="140">
        <v>2406</v>
      </c>
      <c r="E49" s="83">
        <v>247</v>
      </c>
      <c r="F49" s="50">
        <f>F46+E49</f>
        <v>-996.56790553459041</v>
      </c>
      <c r="G49" s="50">
        <f t="shared" ref="G49:M49" si="19">G46+F49</f>
        <v>-2961.8750055436153</v>
      </c>
      <c r="H49" s="50">
        <f t="shared" si="19"/>
        <v>-4875.2918425429289</v>
      </c>
      <c r="I49" s="50">
        <f t="shared" si="19"/>
        <v>-6736.818416532532</v>
      </c>
      <c r="J49" s="50">
        <f t="shared" si="19"/>
        <v>-8475.5965960025278</v>
      </c>
      <c r="K49" s="50">
        <f>K46+J49</f>
        <v>-10168.669342659401</v>
      </c>
      <c r="L49" s="50">
        <f t="shared" si="19"/>
        <v>-11815.470641713715</v>
      </c>
      <c r="M49" s="50">
        <f t="shared" si="19"/>
        <v>-13462.271940768029</v>
      </c>
    </row>
    <row r="50" spans="1:13" hidden="1" x14ac:dyDescent="0.25">
      <c r="A50" s="222" t="str">
        <f>B9&amp;B50</f>
        <v>ApacheAccounts receivable, net of allowance</v>
      </c>
      <c r="B50" s="70" t="s">
        <v>481</v>
      </c>
      <c r="C50" s="82"/>
      <c r="D50" s="108"/>
      <c r="E50" s="83"/>
      <c r="F50" s="50"/>
      <c r="G50" s="50"/>
      <c r="H50" s="50"/>
      <c r="I50" s="50"/>
      <c r="J50" s="50"/>
      <c r="K50" s="50"/>
      <c r="L50" s="50"/>
      <c r="M50" s="50"/>
    </row>
    <row r="51" spans="1:13" hidden="1" x14ac:dyDescent="0.25">
      <c r="A51" s="222" t="str">
        <f>B9&amp;B51</f>
        <v>ApacheOil and gas sales</v>
      </c>
      <c r="B51" s="75" t="s">
        <v>482</v>
      </c>
      <c r="C51" s="82" t="s">
        <v>539</v>
      </c>
      <c r="D51" s="133">
        <f>E51/$E$26</f>
        <v>0.66261113710809549</v>
      </c>
      <c r="E51" s="83">
        <v>1062</v>
      </c>
      <c r="F51" s="50">
        <f>$D51*F$26</f>
        <v>759.42991270404445</v>
      </c>
      <c r="G51" s="50">
        <f t="shared" ref="G51:M55" si="20">$D51*G$26</f>
        <v>350.05333590280765</v>
      </c>
      <c r="H51" s="50">
        <f t="shared" si="20"/>
        <v>379.38853006775923</v>
      </c>
      <c r="I51" s="50">
        <f t="shared" si="20"/>
        <v>408.72372423271099</v>
      </c>
      <c r="J51" s="50">
        <f t="shared" si="20"/>
        <v>391.99997620352303</v>
      </c>
      <c r="K51" s="50">
        <f t="shared" si="20"/>
        <v>418.17884434074688</v>
      </c>
      <c r="L51" s="50">
        <f t="shared" si="20"/>
        <v>444.35771247797078</v>
      </c>
      <c r="M51" s="50">
        <f t="shared" si="20"/>
        <v>444.35771247797078</v>
      </c>
    </row>
    <row r="52" spans="1:13" hidden="1" x14ac:dyDescent="0.25">
      <c r="A52" s="222" t="str">
        <f>B9&amp;B52</f>
        <v>ApacheOther receivable</v>
      </c>
      <c r="B52" s="75" t="s">
        <v>569</v>
      </c>
      <c r="C52" s="82" t="s">
        <v>539</v>
      </c>
      <c r="D52" s="133">
        <f t="shared" ref="D52:D55" si="21">E52/$E$26</f>
        <v>0</v>
      </c>
      <c r="E52" s="83">
        <v>0</v>
      </c>
      <c r="F52" s="50">
        <f t="shared" ref="F52:F55" si="22">$D52*F$26</f>
        <v>0</v>
      </c>
      <c r="G52" s="50">
        <f t="shared" si="20"/>
        <v>0</v>
      </c>
      <c r="H52" s="50">
        <f t="shared" si="20"/>
        <v>0</v>
      </c>
      <c r="I52" s="50">
        <f t="shared" si="20"/>
        <v>0</v>
      </c>
      <c r="J52" s="50">
        <f t="shared" si="20"/>
        <v>0</v>
      </c>
      <c r="K52" s="50">
        <f t="shared" si="20"/>
        <v>0</v>
      </c>
      <c r="L52" s="50">
        <f t="shared" si="20"/>
        <v>0</v>
      </c>
      <c r="M52" s="50">
        <f t="shared" si="20"/>
        <v>0</v>
      </c>
    </row>
    <row r="53" spans="1:13" hidden="1" x14ac:dyDescent="0.25">
      <c r="A53" s="222" t="str">
        <f>B9&amp;B53</f>
        <v>ApacheInventory</v>
      </c>
      <c r="B53" s="70" t="s">
        <v>484</v>
      </c>
      <c r="C53" s="82" t="s">
        <v>539</v>
      </c>
      <c r="D53" s="133">
        <f t="shared" si="21"/>
        <v>0</v>
      </c>
      <c r="E53" s="83">
        <v>0</v>
      </c>
      <c r="F53" s="50">
        <f t="shared" si="22"/>
        <v>0</v>
      </c>
      <c r="G53" s="50">
        <f t="shared" si="20"/>
        <v>0</v>
      </c>
      <c r="H53" s="50">
        <f t="shared" si="20"/>
        <v>0</v>
      </c>
      <c r="I53" s="50">
        <f t="shared" si="20"/>
        <v>0</v>
      </c>
      <c r="J53" s="50">
        <f t="shared" si="20"/>
        <v>0</v>
      </c>
      <c r="K53" s="50">
        <f t="shared" si="20"/>
        <v>0</v>
      </c>
      <c r="L53" s="50">
        <f t="shared" si="20"/>
        <v>0</v>
      </c>
      <c r="M53" s="50">
        <f t="shared" si="20"/>
        <v>0</v>
      </c>
    </row>
    <row r="54" spans="1:13" hidden="1" x14ac:dyDescent="0.25">
      <c r="A54" s="222" t="str">
        <f>B9&amp;B54</f>
        <v>ApacheDerivative instruments current assets</v>
      </c>
      <c r="B54" s="70" t="s">
        <v>813</v>
      </c>
      <c r="C54" s="107" t="s">
        <v>507</v>
      </c>
      <c r="D54" s="133">
        <f t="shared" si="21"/>
        <v>0</v>
      </c>
      <c r="E54" s="83">
        <v>0</v>
      </c>
      <c r="F54" s="138"/>
      <c r="G54" s="138"/>
      <c r="H54" s="138"/>
      <c r="I54" s="138"/>
      <c r="J54" s="138"/>
      <c r="K54" s="138"/>
      <c r="L54" s="138"/>
      <c r="M54" s="138"/>
    </row>
    <row r="55" spans="1:13" hidden="1" x14ac:dyDescent="0.25">
      <c r="A55" s="222" t="str">
        <f>B9&amp;B55</f>
        <v>ApachePrepaid expenses</v>
      </c>
      <c r="B55" s="70" t="s">
        <v>486</v>
      </c>
      <c r="C55" s="82" t="s">
        <v>509</v>
      </c>
      <c r="D55" s="133">
        <f t="shared" si="21"/>
        <v>0</v>
      </c>
      <c r="E55" s="83">
        <v>0</v>
      </c>
      <c r="F55" s="50">
        <f t="shared" si="22"/>
        <v>0</v>
      </c>
      <c r="G55" s="50">
        <f t="shared" si="20"/>
        <v>0</v>
      </c>
      <c r="H55" s="50">
        <f t="shared" si="20"/>
        <v>0</v>
      </c>
      <c r="I55" s="50">
        <f t="shared" si="20"/>
        <v>0</v>
      </c>
      <c r="J55" s="50">
        <f t="shared" si="20"/>
        <v>0</v>
      </c>
      <c r="K55" s="50">
        <f t="shared" si="20"/>
        <v>0</v>
      </c>
      <c r="L55" s="50">
        <f t="shared" si="20"/>
        <v>0</v>
      </c>
      <c r="M55" s="50">
        <f t="shared" si="20"/>
        <v>0</v>
      </c>
    </row>
    <row r="56" spans="1:13" hidden="1" x14ac:dyDescent="0.25">
      <c r="A56" s="222" t="str">
        <f>B9&amp;B56</f>
        <v>ApacheOther current assets</v>
      </c>
      <c r="B56" s="70" t="s">
        <v>568</v>
      </c>
      <c r="C56" s="82" t="s">
        <v>509</v>
      </c>
      <c r="D56" s="108"/>
      <c r="E56" s="83">
        <v>652</v>
      </c>
      <c r="F56" s="50">
        <f>E56</f>
        <v>652</v>
      </c>
      <c r="G56" s="50">
        <f t="shared" ref="G56:M56" si="23">F56</f>
        <v>652</v>
      </c>
      <c r="H56" s="50">
        <f t="shared" si="23"/>
        <v>652</v>
      </c>
      <c r="I56" s="50">
        <f t="shared" si="23"/>
        <v>652</v>
      </c>
      <c r="J56" s="50">
        <f t="shared" si="23"/>
        <v>652</v>
      </c>
      <c r="K56" s="50">
        <f t="shared" si="23"/>
        <v>652</v>
      </c>
      <c r="L56" s="50">
        <f t="shared" si="23"/>
        <v>652</v>
      </c>
      <c r="M56" s="50">
        <f t="shared" si="23"/>
        <v>652</v>
      </c>
    </row>
    <row r="57" spans="1:13" x14ac:dyDescent="0.25">
      <c r="A57" s="222" t="str">
        <f>B9&amp;B57</f>
        <v>ApacheTotal current assets</v>
      </c>
      <c r="B57" s="79" t="s">
        <v>487</v>
      </c>
      <c r="C57" s="311"/>
      <c r="D57" s="123"/>
      <c r="E57" s="63">
        <f>SUM(E49:E56)</f>
        <v>1961</v>
      </c>
      <c r="F57" s="62">
        <f>SUM(F49:F56)</f>
        <v>414.86200716945405</v>
      </c>
      <c r="G57" s="62">
        <f t="shared" ref="G57:M57" si="24">SUM(G49:G56)</f>
        <v>-1959.8216696408076</v>
      </c>
      <c r="H57" s="62">
        <f t="shared" si="24"/>
        <v>-3843.9033124751695</v>
      </c>
      <c r="I57" s="62">
        <f t="shared" si="24"/>
        <v>-5676.094692299821</v>
      </c>
      <c r="J57" s="62">
        <f t="shared" si="24"/>
        <v>-7431.5966197990047</v>
      </c>
      <c r="K57" s="62">
        <f t="shared" si="24"/>
        <v>-9098.4904983186534</v>
      </c>
      <c r="L57" s="62">
        <f t="shared" si="24"/>
        <v>-10719.112929235744</v>
      </c>
      <c r="M57" s="62">
        <f t="shared" si="24"/>
        <v>-12365.914228290058</v>
      </c>
    </row>
    <row r="58" spans="1:13" hidden="1" x14ac:dyDescent="0.25">
      <c r="A58" s="222" t="str">
        <f>B9&amp;B58</f>
        <v>ApacheProperty and equipment, net</v>
      </c>
      <c r="B58" s="311" t="s">
        <v>488</v>
      </c>
      <c r="C58" s="53" t="s">
        <v>509</v>
      </c>
      <c r="D58" s="123"/>
      <c r="E58" s="83">
        <f>(14158)</f>
        <v>14158</v>
      </c>
      <c r="F58" s="50">
        <f>E58</f>
        <v>14158</v>
      </c>
      <c r="G58" s="50">
        <f t="shared" ref="G58:M58" si="25">F58</f>
        <v>14158</v>
      </c>
      <c r="H58" s="50">
        <f t="shared" si="25"/>
        <v>14158</v>
      </c>
      <c r="I58" s="50">
        <f t="shared" si="25"/>
        <v>14158</v>
      </c>
      <c r="J58" s="50">
        <f t="shared" si="25"/>
        <v>14158</v>
      </c>
      <c r="K58" s="50">
        <f t="shared" si="25"/>
        <v>14158</v>
      </c>
      <c r="L58" s="50">
        <f t="shared" si="25"/>
        <v>14158</v>
      </c>
      <c r="M58" s="50">
        <f t="shared" si="25"/>
        <v>14158</v>
      </c>
    </row>
    <row r="59" spans="1:13" hidden="1" x14ac:dyDescent="0.25">
      <c r="A59" s="222" t="str">
        <f>B9&amp;B59</f>
        <v>ApacheDerivative instruments total assets</v>
      </c>
      <c r="B59" s="313" t="s">
        <v>814</v>
      </c>
      <c r="C59" s="312" t="s">
        <v>507</v>
      </c>
      <c r="D59" s="122"/>
      <c r="E59" s="83">
        <v>0</v>
      </c>
      <c r="F59" s="138"/>
      <c r="G59" s="138"/>
      <c r="H59" s="138"/>
      <c r="I59" s="138"/>
      <c r="J59" s="138"/>
      <c r="K59" s="138"/>
      <c r="L59" s="138"/>
      <c r="M59" s="138"/>
    </row>
    <row r="60" spans="1:13" hidden="1" x14ac:dyDescent="0.25">
      <c r="A60" s="222" t="str">
        <f>B9&amp;B60</f>
        <v>ApacheDeferred income taxes assets</v>
      </c>
      <c r="B60" s="313" t="s">
        <v>815</v>
      </c>
      <c r="C60" s="53" t="s">
        <v>509</v>
      </c>
      <c r="D60" s="122"/>
      <c r="E60" s="83">
        <f>730</f>
        <v>730</v>
      </c>
      <c r="F60" s="50">
        <f>E60</f>
        <v>730</v>
      </c>
      <c r="G60" s="50">
        <f t="shared" ref="G60:M62" si="26">F60</f>
        <v>730</v>
      </c>
      <c r="H60" s="50">
        <f t="shared" si="26"/>
        <v>730</v>
      </c>
      <c r="I60" s="50">
        <f t="shared" si="26"/>
        <v>730</v>
      </c>
      <c r="J60" s="50">
        <f t="shared" si="26"/>
        <v>730</v>
      </c>
      <c r="K60" s="50">
        <f t="shared" si="26"/>
        <v>730</v>
      </c>
      <c r="L60" s="50">
        <f t="shared" si="26"/>
        <v>730</v>
      </c>
      <c r="M60" s="50">
        <f t="shared" si="26"/>
        <v>730</v>
      </c>
    </row>
    <row r="61" spans="1:13" hidden="1" x14ac:dyDescent="0.25">
      <c r="A61" s="222" t="str">
        <f>B9&amp;B61</f>
        <v>ApacheGoodwill</v>
      </c>
      <c r="B61" s="313" t="s">
        <v>490</v>
      </c>
      <c r="C61" s="53" t="s">
        <v>509</v>
      </c>
      <c r="D61" s="122"/>
      <c r="E61" s="83">
        <v>0</v>
      </c>
      <c r="F61" s="50">
        <f>E61</f>
        <v>0</v>
      </c>
      <c r="G61" s="50">
        <f t="shared" si="26"/>
        <v>0</v>
      </c>
      <c r="H61" s="50">
        <f t="shared" si="26"/>
        <v>0</v>
      </c>
      <c r="I61" s="50">
        <f t="shared" si="26"/>
        <v>0</v>
      </c>
      <c r="J61" s="50">
        <f t="shared" si="26"/>
        <v>0</v>
      </c>
      <c r="K61" s="50">
        <f t="shared" si="26"/>
        <v>0</v>
      </c>
      <c r="L61" s="50">
        <f t="shared" si="26"/>
        <v>0</v>
      </c>
      <c r="M61" s="50">
        <f t="shared" si="26"/>
        <v>0</v>
      </c>
    </row>
    <row r="62" spans="1:13" hidden="1" x14ac:dyDescent="0.25">
      <c r="A62" s="222" t="str">
        <f>B9&amp;B62</f>
        <v>ApacheOther assets</v>
      </c>
      <c r="B62" s="313" t="s">
        <v>491</v>
      </c>
      <c r="C62" s="53" t="s">
        <v>509</v>
      </c>
      <c r="D62" s="122"/>
      <c r="E62" s="83">
        <f>1258</f>
        <v>1258</v>
      </c>
      <c r="F62" s="50">
        <f>E62</f>
        <v>1258</v>
      </c>
      <c r="G62" s="50">
        <f t="shared" si="26"/>
        <v>1258</v>
      </c>
      <c r="H62" s="50">
        <f t="shared" si="26"/>
        <v>1258</v>
      </c>
      <c r="I62" s="50">
        <f t="shared" si="26"/>
        <v>1258</v>
      </c>
      <c r="J62" s="50">
        <f t="shared" si="26"/>
        <v>1258</v>
      </c>
      <c r="K62" s="50">
        <f t="shared" si="26"/>
        <v>1258</v>
      </c>
      <c r="L62" s="50">
        <f t="shared" si="26"/>
        <v>1258</v>
      </c>
      <c r="M62" s="50">
        <f t="shared" si="26"/>
        <v>1258</v>
      </c>
    </row>
    <row r="63" spans="1:13" x14ac:dyDescent="0.25">
      <c r="A63" s="222" t="str">
        <f>B9&amp;B63</f>
        <v>ApacheTotal assets</v>
      </c>
      <c r="B63" s="79" t="s">
        <v>492</v>
      </c>
      <c r="C63" s="311"/>
      <c r="D63" s="123"/>
      <c r="E63" s="63">
        <f t="shared" ref="E63:M63" si="27">SUM(E57:E62)</f>
        <v>18107</v>
      </c>
      <c r="F63" s="62">
        <f t="shared" si="27"/>
        <v>16560.862007169453</v>
      </c>
      <c r="G63" s="62">
        <f t="shared" si="27"/>
        <v>14186.178330359193</v>
      </c>
      <c r="H63" s="62">
        <f t="shared" si="27"/>
        <v>12302.09668752483</v>
      </c>
      <c r="I63" s="62">
        <f t="shared" si="27"/>
        <v>10469.905307700179</v>
      </c>
      <c r="J63" s="62">
        <f t="shared" si="27"/>
        <v>8714.4033802009944</v>
      </c>
      <c r="K63" s="62">
        <f t="shared" si="27"/>
        <v>7047.5095016813466</v>
      </c>
      <c r="L63" s="62">
        <f t="shared" si="27"/>
        <v>5426.8870707642564</v>
      </c>
      <c r="M63" s="62">
        <f t="shared" si="27"/>
        <v>3780.0857717099425</v>
      </c>
    </row>
    <row r="64" spans="1:13" hidden="1" x14ac:dyDescent="0.25">
      <c r="A64" s="222" t="str">
        <f>B9&amp;B64</f>
        <v>ApacheCurrent liabilities</v>
      </c>
      <c r="B64" s="88" t="s">
        <v>498</v>
      </c>
      <c r="C64" s="72"/>
      <c r="D64" s="112"/>
      <c r="E64" s="83"/>
      <c r="F64" s="50"/>
      <c r="G64" s="50"/>
      <c r="H64" s="50"/>
      <c r="I64" s="50"/>
      <c r="J64" s="50"/>
      <c r="K64" s="50"/>
      <c r="L64" s="50"/>
      <c r="M64" s="50"/>
    </row>
    <row r="65" spans="1:13" hidden="1" x14ac:dyDescent="0.25">
      <c r="A65" s="222" t="str">
        <f>B9&amp;B65</f>
        <v>ApacheAccounts payable</v>
      </c>
      <c r="B65" s="70" t="s">
        <v>493</v>
      </c>
      <c r="C65" s="82" t="s">
        <v>539</v>
      </c>
      <c r="D65" s="108">
        <f>E65/E21</f>
        <v>1.6075558982266768E-2</v>
      </c>
      <c r="E65" s="83">
        <f>695</f>
        <v>695</v>
      </c>
      <c r="F65" s="50">
        <f t="shared" ref="F65:M65" si="28">$D65*F21</f>
        <v>607.84896997042006</v>
      </c>
      <c r="G65" s="50">
        <f t="shared" si="28"/>
        <v>607.84896997042006</v>
      </c>
      <c r="H65" s="50">
        <f t="shared" si="28"/>
        <v>607.84896997042006</v>
      </c>
      <c r="I65" s="50">
        <f t="shared" si="28"/>
        <v>607.84896997042006</v>
      </c>
      <c r="J65" s="50">
        <f t="shared" si="28"/>
        <v>551.86725690512185</v>
      </c>
      <c r="K65" s="50">
        <f t="shared" si="28"/>
        <v>551.86725690512185</v>
      </c>
      <c r="L65" s="50">
        <f t="shared" si="28"/>
        <v>551.86725690512185</v>
      </c>
      <c r="M65" s="50">
        <f t="shared" si="28"/>
        <v>551.86725690512185</v>
      </c>
    </row>
    <row r="66" spans="1:13" hidden="1" x14ac:dyDescent="0.25">
      <c r="A66" s="222" t="str">
        <f>B9&amp;B66</f>
        <v>ApacheAccrued liabilities</v>
      </c>
      <c r="B66" s="70" t="s">
        <v>510</v>
      </c>
      <c r="C66" s="82" t="s">
        <v>507</v>
      </c>
      <c r="D66" s="108"/>
      <c r="E66" s="83">
        <f>(11)</f>
        <v>11</v>
      </c>
      <c r="F66" s="50">
        <f>E66</f>
        <v>11</v>
      </c>
      <c r="G66" s="50">
        <f t="shared" ref="G66:M66" si="29">F66</f>
        <v>11</v>
      </c>
      <c r="H66" s="50">
        <f t="shared" si="29"/>
        <v>11</v>
      </c>
      <c r="I66" s="50">
        <f t="shared" si="29"/>
        <v>11</v>
      </c>
      <c r="J66" s="50">
        <f t="shared" si="29"/>
        <v>11</v>
      </c>
      <c r="K66" s="50">
        <f t="shared" si="29"/>
        <v>11</v>
      </c>
      <c r="L66" s="50">
        <f t="shared" si="29"/>
        <v>11</v>
      </c>
      <c r="M66" s="50">
        <f t="shared" si="29"/>
        <v>11</v>
      </c>
    </row>
    <row r="67" spans="1:13" hidden="1" x14ac:dyDescent="0.25">
      <c r="A67" s="222" t="str">
        <f>B9&amp;B67</f>
        <v>ApacheDerivative instruments current liabilities</v>
      </c>
      <c r="B67" s="70" t="s">
        <v>812</v>
      </c>
      <c r="C67" s="107" t="s">
        <v>507</v>
      </c>
      <c r="D67" s="108"/>
      <c r="E67" s="83">
        <v>0</v>
      </c>
      <c r="F67" s="138"/>
      <c r="G67" s="138"/>
      <c r="H67" s="138"/>
      <c r="I67" s="138"/>
      <c r="J67" s="138"/>
      <c r="K67" s="138"/>
      <c r="L67" s="138"/>
      <c r="M67" s="138"/>
    </row>
    <row r="68" spans="1:13" hidden="1" x14ac:dyDescent="0.25">
      <c r="A68" s="222" t="str">
        <f>B9&amp;B68</f>
        <v>ApacheOther current liabilities</v>
      </c>
      <c r="B68" s="70" t="s">
        <v>494</v>
      </c>
      <c r="C68" s="82" t="s">
        <v>509</v>
      </c>
      <c r="D68" s="108"/>
      <c r="E68" s="83">
        <v>1149</v>
      </c>
      <c r="F68" s="50">
        <f>E68</f>
        <v>1149</v>
      </c>
      <c r="G68" s="50">
        <f t="shared" ref="G68:M68" si="30">F68</f>
        <v>1149</v>
      </c>
      <c r="H68" s="50">
        <f t="shared" si="30"/>
        <v>1149</v>
      </c>
      <c r="I68" s="50">
        <f t="shared" si="30"/>
        <v>1149</v>
      </c>
      <c r="J68" s="50">
        <f t="shared" si="30"/>
        <v>1149</v>
      </c>
      <c r="K68" s="50">
        <f t="shared" si="30"/>
        <v>1149</v>
      </c>
      <c r="L68" s="50">
        <f t="shared" si="30"/>
        <v>1149</v>
      </c>
      <c r="M68" s="50">
        <f t="shared" si="30"/>
        <v>1149</v>
      </c>
    </row>
    <row r="69" spans="1:13" x14ac:dyDescent="0.25">
      <c r="A69" s="222" t="str">
        <f>B9&amp;B69</f>
        <v>ApacheTotal current liabilities</v>
      </c>
      <c r="B69" s="76" t="s">
        <v>497</v>
      </c>
      <c r="C69" s="87"/>
      <c r="D69" s="111"/>
      <c r="E69" s="63">
        <f>SUM(E65:E68)</f>
        <v>1855</v>
      </c>
      <c r="F69" s="62">
        <f t="shared" ref="F69:M69" si="31">SUM(F65:F68)</f>
        <v>1767.8489699704201</v>
      </c>
      <c r="G69" s="62">
        <f>SUM(G65:G68)</f>
        <v>1767.8489699704201</v>
      </c>
      <c r="H69" s="62">
        <f t="shared" si="31"/>
        <v>1767.8489699704201</v>
      </c>
      <c r="I69" s="62">
        <f t="shared" si="31"/>
        <v>1767.8489699704201</v>
      </c>
      <c r="J69" s="62">
        <f t="shared" si="31"/>
        <v>1711.8672569051218</v>
      </c>
      <c r="K69" s="62">
        <f t="shared" si="31"/>
        <v>1711.8672569051218</v>
      </c>
      <c r="L69" s="62">
        <f t="shared" si="31"/>
        <v>1711.8672569051218</v>
      </c>
      <c r="M69" s="62">
        <f t="shared" si="31"/>
        <v>1711.8672569051218</v>
      </c>
    </row>
    <row r="70" spans="1:13" hidden="1" x14ac:dyDescent="0.25">
      <c r="A70" s="222" t="str">
        <f>B9&amp;B70</f>
        <v>ApacheLong-term debt, net</v>
      </c>
      <c r="B70" s="82" t="s">
        <v>511</v>
      </c>
      <c r="C70" s="73" t="s">
        <v>509</v>
      </c>
      <c r="D70" s="108"/>
      <c r="E70" s="83">
        <v>8555</v>
      </c>
      <c r="F70" s="50">
        <f t="shared" ref="F70:M71" si="32">E70</f>
        <v>8555</v>
      </c>
      <c r="G70" s="50">
        <f t="shared" si="32"/>
        <v>8555</v>
      </c>
      <c r="H70" s="50">
        <f t="shared" si="32"/>
        <v>8555</v>
      </c>
      <c r="I70" s="50">
        <f t="shared" si="32"/>
        <v>8555</v>
      </c>
      <c r="J70" s="50">
        <f t="shared" si="32"/>
        <v>8555</v>
      </c>
      <c r="K70" s="50">
        <f t="shared" si="32"/>
        <v>8555</v>
      </c>
      <c r="L70" s="50">
        <f t="shared" si="32"/>
        <v>8555</v>
      </c>
      <c r="M70" s="50">
        <f t="shared" si="32"/>
        <v>8555</v>
      </c>
    </row>
    <row r="71" spans="1:13" hidden="1" x14ac:dyDescent="0.25">
      <c r="A71" s="222" t="str">
        <f>B9&amp;B71</f>
        <v>ApacheAsset retirement obligations</v>
      </c>
      <c r="B71" s="82" t="s">
        <v>495</v>
      </c>
      <c r="C71" s="73" t="s">
        <v>509</v>
      </c>
      <c r="D71" s="108"/>
      <c r="E71" s="83">
        <v>1811</v>
      </c>
      <c r="F71" s="50">
        <f>E71</f>
        <v>1811</v>
      </c>
      <c r="G71" s="50">
        <f t="shared" si="32"/>
        <v>1811</v>
      </c>
      <c r="H71" s="50">
        <f t="shared" si="32"/>
        <v>1811</v>
      </c>
      <c r="I71" s="50">
        <f t="shared" si="32"/>
        <v>1811</v>
      </c>
      <c r="J71" s="50">
        <f t="shared" si="32"/>
        <v>1811</v>
      </c>
      <c r="K71" s="50">
        <f t="shared" si="32"/>
        <v>1811</v>
      </c>
      <c r="L71" s="50">
        <f t="shared" si="32"/>
        <v>1811</v>
      </c>
      <c r="M71" s="50">
        <f t="shared" si="32"/>
        <v>1811</v>
      </c>
    </row>
    <row r="72" spans="1:13" hidden="1" x14ac:dyDescent="0.25">
      <c r="A72" s="222" t="str">
        <f>B9&amp;B72</f>
        <v>ApacheDerivative instruments liabilities</v>
      </c>
      <c r="B72" s="82" t="s">
        <v>811</v>
      </c>
      <c r="C72" s="95" t="s">
        <v>507</v>
      </c>
      <c r="D72" s="108"/>
      <c r="E72" s="83">
        <v>0</v>
      </c>
      <c r="F72" s="138"/>
      <c r="G72" s="138"/>
      <c r="H72" s="138"/>
      <c r="I72" s="138"/>
      <c r="J72" s="138"/>
      <c r="K72" s="138"/>
      <c r="L72" s="138"/>
      <c r="M72" s="138"/>
    </row>
    <row r="73" spans="1:13" hidden="1" x14ac:dyDescent="0.25">
      <c r="A73" s="222" t="str">
        <f>B9&amp;B73</f>
        <v>ApacheDeferred income taxes liabilities</v>
      </c>
      <c r="B73" s="82" t="s">
        <v>810</v>
      </c>
      <c r="C73" s="73" t="s">
        <v>509</v>
      </c>
      <c r="D73" s="108"/>
      <c r="E73" s="83">
        <v>346</v>
      </c>
      <c r="F73" s="50">
        <f>E73</f>
        <v>346</v>
      </c>
      <c r="G73" s="50">
        <f t="shared" ref="G73:M74" si="33">F73</f>
        <v>346</v>
      </c>
      <c r="H73" s="50">
        <f t="shared" si="33"/>
        <v>346</v>
      </c>
      <c r="I73" s="50">
        <f t="shared" si="33"/>
        <v>346</v>
      </c>
      <c r="J73" s="50">
        <f t="shared" si="33"/>
        <v>346</v>
      </c>
      <c r="K73" s="50">
        <f t="shared" si="33"/>
        <v>346</v>
      </c>
      <c r="L73" s="50">
        <f t="shared" si="33"/>
        <v>346</v>
      </c>
      <c r="M73" s="50">
        <f t="shared" si="33"/>
        <v>346</v>
      </c>
    </row>
    <row r="74" spans="1:13" hidden="1" x14ac:dyDescent="0.25">
      <c r="A74" s="222" t="str">
        <f>B9&amp;B74</f>
        <v>ApacheOther long-term liabilities</v>
      </c>
      <c r="B74" s="82" t="s">
        <v>496</v>
      </c>
      <c r="C74" s="73" t="s">
        <v>509</v>
      </c>
      <c r="D74" s="108"/>
      <c r="E74" s="83">
        <v>520</v>
      </c>
      <c r="F74" s="50">
        <f>E74</f>
        <v>520</v>
      </c>
      <c r="G74" s="50">
        <f t="shared" si="33"/>
        <v>520</v>
      </c>
      <c r="H74" s="50">
        <f t="shared" si="33"/>
        <v>520</v>
      </c>
      <c r="I74" s="50">
        <f t="shared" si="33"/>
        <v>520</v>
      </c>
      <c r="J74" s="50">
        <f t="shared" si="33"/>
        <v>520</v>
      </c>
      <c r="K74" s="50">
        <f t="shared" si="33"/>
        <v>520</v>
      </c>
      <c r="L74" s="50">
        <f t="shared" si="33"/>
        <v>520</v>
      </c>
      <c r="M74" s="50">
        <f t="shared" si="33"/>
        <v>520</v>
      </c>
    </row>
    <row r="75" spans="1:13" x14ac:dyDescent="0.25">
      <c r="A75" s="222" t="str">
        <f>B9&amp;B75</f>
        <v>ApacheTotal liabilities</v>
      </c>
      <c r="B75" s="79" t="s">
        <v>499</v>
      </c>
      <c r="C75" s="79"/>
      <c r="D75" s="123"/>
      <c r="E75" s="63">
        <f>SUM(E69:E74)</f>
        <v>13087</v>
      </c>
      <c r="F75" s="62">
        <f t="shared" ref="F75:M75" si="34">SUM(F69:F74)</f>
        <v>12999.848969970421</v>
      </c>
      <c r="G75" s="62">
        <f t="shared" si="34"/>
        <v>12999.848969970421</v>
      </c>
      <c r="H75" s="62">
        <f t="shared" si="34"/>
        <v>12999.848969970421</v>
      </c>
      <c r="I75" s="62">
        <f t="shared" si="34"/>
        <v>12999.848969970421</v>
      </c>
      <c r="J75" s="62">
        <f t="shared" si="34"/>
        <v>12943.867256905121</v>
      </c>
      <c r="K75" s="62">
        <f t="shared" si="34"/>
        <v>12943.867256905121</v>
      </c>
      <c r="L75" s="62">
        <f t="shared" si="34"/>
        <v>12943.867256905121</v>
      </c>
      <c r="M75" s="62">
        <f t="shared" si="34"/>
        <v>12943.867256905121</v>
      </c>
    </row>
    <row r="76" spans="1:13" x14ac:dyDescent="0.25">
      <c r="B76" s="49"/>
    </row>
    <row r="77" spans="1:13" x14ac:dyDescent="0.25">
      <c r="A77" s="222" t="str">
        <f>B9&amp;B77</f>
        <v>ApacheNet (loss) Income cashflow</v>
      </c>
      <c r="B77" s="317" t="s">
        <v>572</v>
      </c>
      <c r="C77" s="135" t="s">
        <v>540</v>
      </c>
      <c r="D77" s="117"/>
      <c r="E77" s="83">
        <f>Apache!E80/1000</f>
        <v>-920.5</v>
      </c>
      <c r="F77" s="157">
        <f>Apache!F80/1000</f>
        <v>-1243.5679055345897</v>
      </c>
      <c r="G77" s="157">
        <f>Apache!G80/1000</f>
        <v>-1965.3071000090251</v>
      </c>
      <c r="H77" s="157">
        <f>Apache!H80/1000</f>
        <v>-1913.4168369993142</v>
      </c>
      <c r="I77" s="157">
        <f>Apache!I80/1000</f>
        <v>-1861.5265739896031</v>
      </c>
      <c r="J77" s="157">
        <f>Apache!J80/1000</f>
        <v>-1738.7781794699947</v>
      </c>
      <c r="K77" s="157">
        <f>Apache!K80/1000</f>
        <v>-1693.0727466568728</v>
      </c>
      <c r="L77" s="157">
        <f>Apache!L80/1000</f>
        <v>-1646.8012990543139</v>
      </c>
      <c r="M77" s="157">
        <f>Apache!M80/1000</f>
        <v>-1646.8012990543139</v>
      </c>
    </row>
    <row r="78" spans="1:13" x14ac:dyDescent="0.25">
      <c r="A78" s="222" t="str">
        <f>B9&amp;B78</f>
        <v>ApacheChange in Net working capital</v>
      </c>
      <c r="B78" s="68" t="s">
        <v>500</v>
      </c>
      <c r="C78" s="136" t="s">
        <v>565</v>
      </c>
      <c r="D78" s="118"/>
      <c r="E78" s="83">
        <f>Apache!E81/1000</f>
        <v>-0.75</v>
      </c>
      <c r="F78" s="157">
        <f>Apache!F81/1000</f>
        <v>-1458.9869628009651</v>
      </c>
      <c r="G78" s="157">
        <f>Apache!G81/1000</f>
        <v>-2374.6836768102617</v>
      </c>
      <c r="H78" s="157">
        <f>Apache!H81/1000</f>
        <v>-1884.0816428343621</v>
      </c>
      <c r="I78" s="157">
        <f>Apache!I81/1000</f>
        <v>-1832.1913798246514</v>
      </c>
      <c r="J78" s="157">
        <f>Apache!J81/1000</f>
        <v>-1699.5202144338843</v>
      </c>
      <c r="K78" s="157">
        <f>Apache!K81/1000</f>
        <v>-1666.8938785196488</v>
      </c>
      <c r="L78" s="157">
        <f>Apache!L81/1000</f>
        <v>-1620.6224309170898</v>
      </c>
      <c r="M78" s="157">
        <f>Apache!M81/1000</f>
        <v>-1646.8012990543134</v>
      </c>
    </row>
    <row r="79" spans="1:13" x14ac:dyDescent="0.25">
      <c r="A79" s="222" t="str">
        <f>B9&amp;B79</f>
        <v>ApacheDD&amp;A cashflow</v>
      </c>
      <c r="B79" s="68" t="s">
        <v>816</v>
      </c>
      <c r="C79" s="136" t="s">
        <v>566</v>
      </c>
      <c r="D79" s="118"/>
      <c r="E79" s="83">
        <f>Apache!E82/1000</f>
        <v>670</v>
      </c>
      <c r="F79" s="157">
        <f>Apache!F82/1000</f>
        <v>585.98389910817468</v>
      </c>
      <c r="G79" s="157">
        <f>Apache!G82/1000</f>
        <v>585.98389910817468</v>
      </c>
      <c r="H79" s="157">
        <f>Apache!H82/1000</f>
        <v>585.98389910817468</v>
      </c>
      <c r="I79" s="157">
        <f>Apache!I82/1000</f>
        <v>585.98389910817468</v>
      </c>
      <c r="J79" s="157">
        <f>Apache!J82/1000</f>
        <v>532.01591672867858</v>
      </c>
      <c r="K79" s="157">
        <f>Apache!K82/1000</f>
        <v>532.01591672867858</v>
      </c>
      <c r="L79" s="157">
        <f>Apache!L82/1000</f>
        <v>532.01591672867858</v>
      </c>
      <c r="M79" s="157">
        <f>Apache!M82/1000</f>
        <v>532.01591672867858</v>
      </c>
    </row>
    <row r="80" spans="1:13" x14ac:dyDescent="0.25">
      <c r="A80" s="222" t="str">
        <f>B9&amp;B80</f>
        <v>ApacheImpairment cashflow</v>
      </c>
      <c r="B80" s="68" t="s">
        <v>571</v>
      </c>
      <c r="C80" s="136" t="s">
        <v>566</v>
      </c>
      <c r="D80" s="118"/>
      <c r="E80" s="83">
        <f>Apache!E83/1000</f>
        <v>737.25</v>
      </c>
      <c r="F80" s="157">
        <f>Apache!F83/1000</f>
        <v>737.25</v>
      </c>
      <c r="G80" s="157">
        <f>Apache!G83/1000</f>
        <v>737.25</v>
      </c>
      <c r="H80" s="157">
        <f>Apache!H83/1000</f>
        <v>737.25</v>
      </c>
      <c r="I80" s="157">
        <f>Apache!I83/1000</f>
        <v>737.25</v>
      </c>
      <c r="J80" s="157">
        <f>Apache!J83/1000</f>
        <v>737.25</v>
      </c>
      <c r="K80" s="157">
        <f>Apache!K83/1000</f>
        <v>737.25</v>
      </c>
      <c r="L80" s="157">
        <f>Apache!L83/1000</f>
        <v>737.25</v>
      </c>
      <c r="M80" s="157">
        <f>Apache!M83/1000</f>
        <v>737.25</v>
      </c>
    </row>
    <row r="81" spans="1:13" x14ac:dyDescent="0.25">
      <c r="A81" s="222" t="str">
        <f>B9&amp;B81</f>
        <v>ApacheOther non-cash items</v>
      </c>
      <c r="B81" s="68" t="s">
        <v>501</v>
      </c>
      <c r="C81" s="136" t="s">
        <v>880</v>
      </c>
      <c r="D81" s="149"/>
      <c r="E81" s="83">
        <f>Apache!E84/1000</f>
        <v>61.75</v>
      </c>
      <c r="F81" s="157">
        <f>Apache!F84/1000</f>
        <v>61.75</v>
      </c>
      <c r="G81" s="157">
        <f>Apache!G84/1000</f>
        <v>61.75</v>
      </c>
      <c r="H81" s="157">
        <f>Apache!H84/1000</f>
        <v>61.75</v>
      </c>
      <c r="I81" s="157">
        <f>Apache!I84/1000</f>
        <v>61.75</v>
      </c>
      <c r="J81" s="157">
        <f>Apache!J84/1000</f>
        <v>61.75</v>
      </c>
      <c r="K81" s="157">
        <f>Apache!K84/1000</f>
        <v>61.75</v>
      </c>
      <c r="L81" s="157">
        <f>Apache!L84/1000</f>
        <v>61.75</v>
      </c>
      <c r="M81" s="157">
        <f>Apache!M84/1000</f>
        <v>61.75</v>
      </c>
    </row>
    <row r="82" spans="1:13" x14ac:dyDescent="0.25">
      <c r="A82" s="222" t="str">
        <f>B9&amp;B82</f>
        <v>ApacheDry hole cashflow</v>
      </c>
      <c r="B82" s="68" t="s">
        <v>817</v>
      </c>
      <c r="C82" s="136" t="s">
        <v>567</v>
      </c>
      <c r="D82" s="118"/>
      <c r="E82" s="83">
        <f>Apache!E85/1000</f>
        <v>169</v>
      </c>
      <c r="F82" s="157">
        <f>Apache!F85/1000</f>
        <v>147.80787902877842</v>
      </c>
      <c r="G82" s="157">
        <f>Apache!G85/1000</f>
        <v>147.80787902877842</v>
      </c>
      <c r="H82" s="157">
        <f>Apache!H85/1000</f>
        <v>147.80787902877842</v>
      </c>
      <c r="I82" s="157">
        <f>Apache!I85/1000</f>
        <v>147.80787902877842</v>
      </c>
      <c r="J82" s="157">
        <f>Apache!J85/1000</f>
        <v>134.19505959275625</v>
      </c>
      <c r="K82" s="157">
        <f>Apache!K85/1000</f>
        <v>134.19505959275625</v>
      </c>
      <c r="L82" s="157">
        <f>Apache!L85/1000</f>
        <v>134.19505959275625</v>
      </c>
      <c r="M82" s="157">
        <f>Apache!M85/1000</f>
        <v>134.19505959275625</v>
      </c>
    </row>
    <row r="83" spans="1:13" x14ac:dyDescent="0.25">
      <c r="A83" s="222" t="str">
        <f>B9&amp;B83</f>
        <v>Apachemarket to market contracts</v>
      </c>
      <c r="B83" s="68" t="s">
        <v>562</v>
      </c>
      <c r="C83" s="158" t="s">
        <v>507</v>
      </c>
      <c r="D83" s="118"/>
      <c r="E83" s="83">
        <f>Apache!E86/1000</f>
        <v>0</v>
      </c>
      <c r="F83" s="157">
        <f>Apache!F86/1000</f>
        <v>0</v>
      </c>
      <c r="G83" s="157">
        <f>Apache!G86/1000</f>
        <v>0</v>
      </c>
      <c r="H83" s="157">
        <f>Apache!H86/1000</f>
        <v>0</v>
      </c>
      <c r="I83" s="157">
        <f>Apache!I86/1000</f>
        <v>0</v>
      </c>
      <c r="J83" s="157">
        <f>Apache!J86/1000</f>
        <v>0</v>
      </c>
      <c r="K83" s="157">
        <f>Apache!K86/1000</f>
        <v>0</v>
      </c>
      <c r="L83" s="157">
        <f>Apache!L86/1000</f>
        <v>0</v>
      </c>
      <c r="M83" s="157">
        <f>Apache!M86/1000</f>
        <v>0</v>
      </c>
    </row>
    <row r="84" spans="1:13" x14ac:dyDescent="0.25">
      <c r="A84" s="222" t="str">
        <f>B9&amp;B84</f>
        <v>ApacheCash flow from operations</v>
      </c>
      <c r="B84" s="142" t="s">
        <v>502</v>
      </c>
      <c r="C84" s="143" t="s">
        <v>540</v>
      </c>
      <c r="D84" s="118"/>
      <c r="E84" s="63">
        <f>Apache!E87/1000</f>
        <v>716.75</v>
      </c>
      <c r="F84" s="215">
        <f>Apache!F87/1000</f>
        <v>-1169.7630901986015</v>
      </c>
      <c r="G84" s="215">
        <f>Apache!G87/1000</f>
        <v>-2807.1989986823337</v>
      </c>
      <c r="H84" s="215">
        <f>Apache!H87/1000</f>
        <v>-2264.706701696723</v>
      </c>
      <c r="I84" s="215">
        <f>Apache!I87/1000</f>
        <v>-2160.9261756773012</v>
      </c>
      <c r="J84" s="215">
        <f>Apache!J87/1000</f>
        <v>-1973.0874175824442</v>
      </c>
      <c r="K84" s="215">
        <f>Apache!K87/1000</f>
        <v>-1894.7556488550867</v>
      </c>
      <c r="L84" s="215">
        <f>Apache!L87/1000</f>
        <v>-1802.2127536499688</v>
      </c>
      <c r="M84" s="215">
        <f>Apache!M87/1000</f>
        <v>-1828.3916217871924</v>
      </c>
    </row>
    <row r="85" spans="1:13" x14ac:dyDescent="0.25">
      <c r="A85" s="222" t="str">
        <f>B9&amp;B85</f>
        <v>ApacheCapex</v>
      </c>
      <c r="B85" s="68" t="s">
        <v>277</v>
      </c>
      <c r="C85" s="73" t="s">
        <v>534</v>
      </c>
      <c r="D85" s="118"/>
      <c r="E85" s="83">
        <f>Apache!E88/1000</f>
        <v>484.69525617749997</v>
      </c>
      <c r="F85" s="157">
        <f>Apache!F88/1000</f>
        <v>145.49827368750005</v>
      </c>
      <c r="G85" s="157">
        <f>Apache!G88/1000</f>
        <v>145.49827368750005</v>
      </c>
      <c r="H85" s="157">
        <f>Apache!H88/1000</f>
        <v>145.49827368750005</v>
      </c>
      <c r="I85" s="157">
        <f>Apache!I88/1000</f>
        <v>145.49827368750005</v>
      </c>
      <c r="J85" s="157">
        <f>Apache!J88/1000</f>
        <v>112.95483352500001</v>
      </c>
      <c r="K85" s="157">
        <f>Apache!K88/1000</f>
        <v>112.95483352500001</v>
      </c>
      <c r="L85" s="157">
        <f>Apache!L88/1000</f>
        <v>112.95483352500001</v>
      </c>
      <c r="M85" s="157">
        <f>Apache!M88/1000</f>
        <v>112.95483352500001</v>
      </c>
    </row>
    <row r="86" spans="1:13" x14ac:dyDescent="0.25">
      <c r="A86" s="222" t="str">
        <f>B9&amp;B86</f>
        <v>ApacheExploration Capex</v>
      </c>
      <c r="B86" s="68" t="s">
        <v>278</v>
      </c>
      <c r="C86" s="73" t="s">
        <v>534</v>
      </c>
      <c r="D86" s="118"/>
      <c r="E86" s="83">
        <f>Apache!E89/1000</f>
        <v>79.246056282499978</v>
      </c>
      <c r="F86" s="157">
        <f>Apache!F89/1000</f>
        <v>90.837702745000001</v>
      </c>
      <c r="G86" s="157">
        <f>Apache!G89/1000</f>
        <v>90.837702745000001</v>
      </c>
      <c r="H86" s="157">
        <f>Apache!H89/1000</f>
        <v>90.837702745000001</v>
      </c>
      <c r="I86" s="157">
        <f>Apache!I89/1000</f>
        <v>90.837702745000001</v>
      </c>
      <c r="J86" s="157">
        <f>Apache!J89/1000</f>
        <v>18.765890692500001</v>
      </c>
      <c r="K86" s="157">
        <f>Apache!K89/1000</f>
        <v>18.765890692500001</v>
      </c>
      <c r="L86" s="157">
        <f>Apache!L89/1000</f>
        <v>18.765890692500001</v>
      </c>
      <c r="M86" s="157">
        <f>Apache!M89/1000</f>
        <v>18.765890692500001</v>
      </c>
    </row>
    <row r="87" spans="1:13" s="150" customFormat="1" ht="11" thickBot="1" x14ac:dyDescent="0.3">
      <c r="A87" s="223" t="str">
        <f>B9&amp;B87</f>
        <v>ApacheFree Cash Flow (FCF)</v>
      </c>
      <c r="B87" s="69" t="s">
        <v>458</v>
      </c>
      <c r="C87" s="69" t="s">
        <v>512</v>
      </c>
      <c r="D87" s="152"/>
      <c r="E87" s="86">
        <f>Apache!E90/1000</f>
        <v>1280.6913124599998</v>
      </c>
      <c r="F87" s="153">
        <f>Apache!F90/1000</f>
        <v>-933.42711376610157</v>
      </c>
      <c r="G87" s="153">
        <f>Apache!G90/1000</f>
        <v>-2570.8630222498336</v>
      </c>
      <c r="H87" s="153">
        <f>Apache!H90/1000</f>
        <v>-2028.3707252642232</v>
      </c>
      <c r="I87" s="153">
        <f>Apache!I90/1000</f>
        <v>-1924.5901992448014</v>
      </c>
      <c r="J87" s="153">
        <f>Apache!J90/1000</f>
        <v>-1841.3666933649442</v>
      </c>
      <c r="K87" s="153">
        <f>Apache!K90/1000</f>
        <v>-1763.0349246375868</v>
      </c>
      <c r="L87" s="153">
        <f>Apache!L90/1000</f>
        <v>-1670.4920294324691</v>
      </c>
      <c r="M87" s="153">
        <f>Apache!M90/1000</f>
        <v>-1696.6708975696927</v>
      </c>
    </row>
    <row r="88" spans="1:13" ht="11" thickTop="1" x14ac:dyDescent="0.25">
      <c r="I88" s="154"/>
      <c r="M88" s="154"/>
    </row>
    <row r="89" spans="1:13" x14ac:dyDescent="0.25">
      <c r="A89" s="222" t="str">
        <f>B9&amp;B89</f>
        <v>ApacheEBITDA</v>
      </c>
      <c r="B89" s="80" t="s">
        <v>428</v>
      </c>
      <c r="C89" s="144" t="s">
        <v>540</v>
      </c>
      <c r="D89" s="117"/>
      <c r="E89" s="83">
        <f>Apache!E92/1000</f>
        <v>33.5</v>
      </c>
      <c r="F89" s="157">
        <f>Apache!F92/1000</f>
        <v>-306.07177677374847</v>
      </c>
      <c r="G89" s="157">
        <f>Apache!G92/1000</f>
        <v>-894.91785291272356</v>
      </c>
      <c r="H89" s="157">
        <f>Apache!H92/1000</f>
        <v>-852.52624206720202</v>
      </c>
      <c r="I89" s="157">
        <f>Apache!I92/1000</f>
        <v>-810.13463122168048</v>
      </c>
      <c r="J89" s="157">
        <f>Apache!J92/1000</f>
        <v>-773.55898259923276</v>
      </c>
      <c r="K89" s="157">
        <f>Apache!K92/1000</f>
        <v>-735.75764789295988</v>
      </c>
      <c r="L89" s="157">
        <f>Apache!L92/1000</f>
        <v>-697.956313186687</v>
      </c>
      <c r="M89" s="157">
        <f>Apache!M92/1000</f>
        <v>-697.956313186687</v>
      </c>
    </row>
    <row r="90" spans="1:13" x14ac:dyDescent="0.25">
      <c r="A90" s="222" t="str">
        <f>B9&amp;B90</f>
        <v>ApacheExploration capex</v>
      </c>
      <c r="B90" s="68" t="s">
        <v>519</v>
      </c>
      <c r="C90" s="68" t="s">
        <v>534</v>
      </c>
      <c r="D90" s="118"/>
      <c r="E90" s="83">
        <f>Apache!E93/1000</f>
        <v>79.246056282499978</v>
      </c>
      <c r="F90" s="157">
        <f>Apache!F93/1000</f>
        <v>90.837702745000001</v>
      </c>
      <c r="G90" s="157">
        <f>Apache!G93/1000</f>
        <v>90.837702745000001</v>
      </c>
      <c r="H90" s="157">
        <f>Apache!H93/1000</f>
        <v>90.837702745000001</v>
      </c>
      <c r="I90" s="157">
        <f>Apache!I93/1000</f>
        <v>90.837702745000001</v>
      </c>
      <c r="J90" s="157">
        <f>Apache!J93/1000</f>
        <v>18.765890692500001</v>
      </c>
      <c r="K90" s="157">
        <f>Apache!K93/1000</f>
        <v>18.765890692500001</v>
      </c>
      <c r="L90" s="157">
        <f>Apache!L93/1000</f>
        <v>18.765890692500001</v>
      </c>
      <c r="M90" s="157">
        <f>Apache!M93/1000</f>
        <v>18.765890692500001</v>
      </c>
    </row>
    <row r="91" spans="1:13" x14ac:dyDescent="0.25">
      <c r="A91" s="222" t="str">
        <f>B9&amp;B91</f>
        <v>ApacheEBITDAX</v>
      </c>
      <c r="B91" s="90" t="s">
        <v>459</v>
      </c>
      <c r="C91" s="90" t="s">
        <v>512</v>
      </c>
      <c r="D91" s="125"/>
      <c r="E91" s="63">
        <f>SUM(E89:E90)</f>
        <v>112.74605628249998</v>
      </c>
      <c r="F91" s="62">
        <f t="shared" ref="F91:M91" si="35">SUM(F89:F90)</f>
        <v>-215.23407402874847</v>
      </c>
      <c r="G91" s="62">
        <f t="shared" si="35"/>
        <v>-804.08015016772356</v>
      </c>
      <c r="H91" s="62">
        <f t="shared" si="35"/>
        <v>-761.68853932220202</v>
      </c>
      <c r="I91" s="62">
        <f t="shared" si="35"/>
        <v>-719.29692847668048</v>
      </c>
      <c r="J91" s="62">
        <f t="shared" si="35"/>
        <v>-754.7930919067328</v>
      </c>
      <c r="K91" s="62">
        <f t="shared" si="35"/>
        <v>-716.99175720045992</v>
      </c>
      <c r="L91" s="62">
        <f t="shared" si="35"/>
        <v>-679.19042249418703</v>
      </c>
      <c r="M91" s="62">
        <f t="shared" si="35"/>
        <v>-679.19042249418703</v>
      </c>
    </row>
    <row r="92" spans="1:13" s="49" customFormat="1" x14ac:dyDescent="0.25">
      <c r="A92" s="224"/>
      <c r="D92" s="124"/>
    </row>
    <row r="93" spans="1:13" x14ac:dyDescent="0.25">
      <c r="A93" s="222" t="str">
        <f>B9&amp;B93</f>
        <v>ApacheCash dividends paid</v>
      </c>
      <c r="B93" s="91" t="s">
        <v>521</v>
      </c>
      <c r="C93" s="53" t="s">
        <v>546</v>
      </c>
      <c r="D93" s="122"/>
      <c r="E93" s="83">
        <f>-376/4</f>
        <v>-94</v>
      </c>
      <c r="F93" s="50">
        <f>E93*(1-INDEX(Assumptions!$A$2:$K$596,MATCH($B9&amp;"Dividend reduction",Assumptions!$A$2:$A$596,0),MATCH(F$2,Assumptions!$A$2:$K$2,0)))</f>
        <v>-94</v>
      </c>
      <c r="G93" s="50">
        <f>F93*(1-INDEX(Assumptions!$A$2:$K$596,MATCH($B9&amp;"Dividend reduction",Assumptions!$A$2:$A$596,0),MATCH(G$2,Assumptions!$A$2:$K$2,0)))</f>
        <v>-94</v>
      </c>
      <c r="H93" s="50">
        <f>G93*(1-INDEX(Assumptions!$A$2:$K$596,MATCH($B9&amp;"Dividend reduction",Assumptions!$A$2:$A$596,0),MATCH(H$2,Assumptions!$A$2:$K$2,0)))</f>
        <v>-94</v>
      </c>
      <c r="I93" s="50">
        <f>H93*(1-INDEX(Assumptions!$A$2:$K$596,MATCH($B9&amp;"Dividend reduction",Assumptions!$A$2:$A$596,0),MATCH(I$2,Assumptions!$A$2:$K$2,0)))</f>
        <v>-94</v>
      </c>
      <c r="J93" s="50">
        <f>I93*(1-INDEX(Assumptions!$A$2:$K$596,MATCH($B9&amp;"Dividend reduction",Assumptions!$A$2:$A$596,0),MATCH(J$2,Assumptions!$A$2:$K$2,0)))</f>
        <v>-94</v>
      </c>
      <c r="K93" s="50">
        <f>J93*(1-INDEX(Assumptions!$A$2:$K$596,MATCH($B9&amp;"Dividend reduction",Assumptions!$A$2:$A$596,0),MATCH(K$2,Assumptions!$A$2:$K$2,0)))</f>
        <v>-94</v>
      </c>
      <c r="L93" s="50">
        <f>K93*(1-INDEX(Assumptions!$A$2:$K$596,MATCH($B9&amp;"Dividend reduction",Assumptions!$A$2:$A$596,0),MATCH(L$2,Assumptions!$A$2:$K$2,0)))</f>
        <v>-94</v>
      </c>
      <c r="M93" s="50">
        <f>L93*(1-INDEX(Assumptions!$A$2:$K$596,MATCH($B9&amp;"Dividend reduction",Assumptions!$A$2:$A$596,0),MATCH(M$2,Assumptions!$A$2:$K$2,0)))</f>
        <v>-94</v>
      </c>
    </row>
    <row r="95" spans="1:13" x14ac:dyDescent="0.25">
      <c r="E95" s="2" t="s">
        <v>550</v>
      </c>
    </row>
    <row r="96" spans="1:13" x14ac:dyDescent="0.25">
      <c r="E96" s="2" t="s">
        <v>552</v>
      </c>
    </row>
    <row r="97" spans="5:5" x14ac:dyDescent="0.25">
      <c r="E97" s="2" t="s">
        <v>551</v>
      </c>
    </row>
    <row r="98" spans="5:5" x14ac:dyDescent="0.25">
      <c r="E98" s="2" t="s">
        <v>553</v>
      </c>
    </row>
    <row r="99" spans="5:5" x14ac:dyDescent="0.25">
      <c r="E99" s="2" t="s">
        <v>560</v>
      </c>
    </row>
    <row r="101" spans="5:5" x14ac:dyDescent="0.25">
      <c r="E101" s="2" t="s">
        <v>563</v>
      </c>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EF0BC-4B90-4B4F-B1E7-E79013136C0A}">
  <sheetPr>
    <tabColor rgb="FF532476"/>
  </sheetPr>
  <dimension ref="A1"/>
  <sheetViews>
    <sheetView showGridLines="0" workbookViewId="0">
      <selection activeCell="D10" sqref="D10"/>
    </sheetView>
  </sheetViews>
  <sheetFormatPr defaultColWidth="8.81640625" defaultRowHeight="14.5" x14ac:dyDescent="0.35"/>
  <cols>
    <col min="1" max="16384" width="8.81640625" style="51"/>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E5CA7-CC5B-48A2-9890-81FC0420E245}">
  <sheetPr>
    <tabColor rgb="FFFF0000"/>
  </sheetPr>
  <dimension ref="A1:R103"/>
  <sheetViews>
    <sheetView showGridLines="0" zoomScale="103" zoomScaleNormal="130" workbookViewId="0">
      <pane xSplit="2" ySplit="2" topLeftCell="F94" activePane="bottomRight" state="frozen"/>
      <selection activeCell="I95" sqref="I95"/>
      <selection pane="topRight" activeCell="I95" sqref="I95"/>
      <selection pane="bottomLeft" activeCell="I95" sqref="I95"/>
      <selection pane="bottomRight" activeCell="I96" sqref="I96"/>
    </sheetView>
  </sheetViews>
  <sheetFormatPr defaultColWidth="8.81640625" defaultRowHeight="10.5" customHeight="1" x14ac:dyDescent="0.25"/>
  <cols>
    <col min="1" max="1" width="9.6328125" style="331" customWidth="1"/>
    <col min="2" max="2" width="28.6328125" style="331" customWidth="1"/>
    <col min="3" max="3" width="35.453125" style="331" customWidth="1"/>
    <col min="4" max="4" width="9" style="113" bestFit="1" customWidth="1"/>
    <col min="5" max="5" width="10.453125" style="331" bestFit="1" customWidth="1"/>
    <col min="6" max="6" width="12.1796875" style="331" customWidth="1"/>
    <col min="7" max="13" width="10.453125" style="331" customWidth="1"/>
    <col min="14" max="15" width="8.81640625" style="331" customWidth="1"/>
    <col min="16" max="16" width="40.90625" style="331" customWidth="1"/>
    <col min="17" max="17" width="20.7265625" style="304" customWidth="1"/>
    <col min="18" max="18" width="11.08984375" style="404" customWidth="1"/>
    <col min="19" max="16384" width="8.81640625" style="331"/>
  </cols>
  <sheetData>
    <row r="1" spans="1:18" ht="10.5" customHeight="1" x14ac:dyDescent="0.25">
      <c r="E1" s="331" t="str">
        <f>LEFT(E2,4)</f>
        <v>2019</v>
      </c>
      <c r="F1" s="331" t="str">
        <f t="shared" ref="F1:M1" si="0">LEFT(F2,4)</f>
        <v>2020</v>
      </c>
      <c r="G1" s="331" t="str">
        <f t="shared" si="0"/>
        <v>2020</v>
      </c>
      <c r="H1" s="331" t="str">
        <f t="shared" si="0"/>
        <v>2020</v>
      </c>
      <c r="I1" s="331" t="str">
        <f t="shared" si="0"/>
        <v>2020</v>
      </c>
      <c r="J1" s="331" t="str">
        <f t="shared" si="0"/>
        <v>2021</v>
      </c>
      <c r="K1" s="331" t="str">
        <f t="shared" si="0"/>
        <v>2021</v>
      </c>
      <c r="L1" s="331" t="str">
        <f t="shared" si="0"/>
        <v>2021</v>
      </c>
      <c r="M1" s="331" t="str">
        <f t="shared" si="0"/>
        <v>2021</v>
      </c>
      <c r="P1" s="402" t="s">
        <v>949</v>
      </c>
      <c r="Q1" s="403" t="s">
        <v>231</v>
      </c>
    </row>
    <row r="2" spans="1:18" ht="10.5" customHeight="1" x14ac:dyDescent="0.25">
      <c r="B2" s="331" t="s">
        <v>440</v>
      </c>
      <c r="C2" s="331" t="s">
        <v>517</v>
      </c>
      <c r="D2" s="113" t="s">
        <v>524</v>
      </c>
      <c r="E2" s="344" t="s">
        <v>413</v>
      </c>
      <c r="F2" s="344" t="s">
        <v>414</v>
      </c>
      <c r="G2" s="344" t="s">
        <v>415</v>
      </c>
      <c r="H2" s="344" t="s">
        <v>416</v>
      </c>
      <c r="I2" s="344" t="s">
        <v>417</v>
      </c>
      <c r="J2" s="344" t="s">
        <v>418</v>
      </c>
      <c r="K2" s="344" t="s">
        <v>419</v>
      </c>
      <c r="L2" s="344" t="s">
        <v>420</v>
      </c>
      <c r="M2" s="344" t="s">
        <v>421</v>
      </c>
      <c r="P2" s="339"/>
      <c r="Q2" s="336"/>
    </row>
    <row r="3" spans="1:18" ht="10.5" customHeight="1" x14ac:dyDescent="0.25">
      <c r="B3" s="332" t="s">
        <v>522</v>
      </c>
      <c r="C3" s="332"/>
      <c r="D3" s="111"/>
      <c r="E3" s="333"/>
      <c r="F3" s="334"/>
      <c r="G3" s="334"/>
      <c r="H3" s="334"/>
      <c r="I3" s="334"/>
      <c r="J3" s="334"/>
      <c r="K3" s="334"/>
      <c r="L3" s="334"/>
      <c r="M3" s="334"/>
      <c r="P3" s="335" t="s">
        <v>523</v>
      </c>
      <c r="Q3" s="336"/>
      <c r="R3" s="405"/>
    </row>
    <row r="4" spans="1:18" ht="10.5" customHeight="1" x14ac:dyDescent="0.25">
      <c r="A4" s="331" t="str">
        <f>$B$9&amp;$B$3&amp;B4</f>
        <v>Devon EnergyMarket PricesOil</v>
      </c>
      <c r="B4" s="82" t="s">
        <v>396</v>
      </c>
      <c r="C4" s="82"/>
      <c r="D4" s="108"/>
      <c r="E4" s="337">
        <f>INDEX('Quarterly Forecasts'!$B$4:$O$500,MATCH(($B$2&amp;$B4),'Quarterly Forecasts'!$B$4:$B$500,0),MATCH(E$2,'Quarterly Forecasts'!$B$4:$O$4,0))</f>
        <v>64.358329999999995</v>
      </c>
      <c r="F4" s="338">
        <f>INDEX('Quarterly Forecasts'!$B$4:$O$500,MATCH($B$2&amp;$B4,'Quarterly Forecasts'!$B$4:$B$500,0),MATCH(F$2,'Quarterly Forecasts'!$B$4:$O$4,0))</f>
        <v>50.81859</v>
      </c>
      <c r="G4" s="338">
        <f>INDEX('Quarterly Forecasts'!$B$4:$O$500,MATCH($B$2&amp;$B4,'Quarterly Forecasts'!$B$4:$B$500,0),MATCH(G$2,'Quarterly Forecasts'!$B$4:$O$4,0))</f>
        <v>15</v>
      </c>
      <c r="H4" s="338">
        <f>INDEX('Quarterly Forecasts'!$B$4:$O$500,MATCH($B$2&amp;$B4,'Quarterly Forecasts'!$B$4:$B$500,0),MATCH(H$2,'Quarterly Forecasts'!$B$4:$O$4,0))</f>
        <v>17</v>
      </c>
      <c r="I4" s="338">
        <f>INDEX('Quarterly Forecasts'!$B$4:$O$500,MATCH($B$2&amp;$B4,'Quarterly Forecasts'!$B$4:$B$500,0),MATCH(I$2,'Quarterly Forecasts'!$B$4:$O$4,0))</f>
        <v>19</v>
      </c>
      <c r="J4" s="338">
        <f>INDEX('Quarterly Forecasts'!$B$4:$O$500,MATCH($B$2&amp;$B4,'Quarterly Forecasts'!$B$4:$B$500,0),MATCH(J$2,'Quarterly Forecasts'!$B$4:$O$4,0))</f>
        <v>21</v>
      </c>
      <c r="K4" s="338">
        <f>INDEX('Quarterly Forecasts'!$B$4:$O$500,MATCH($B$2&amp;$B4,'Quarterly Forecasts'!$B$4:$B$500,0),MATCH(K$2,'Quarterly Forecasts'!$B$4:$O$4,0))</f>
        <v>23</v>
      </c>
      <c r="L4" s="338">
        <f>INDEX('Quarterly Forecasts'!$B$4:$O$500,MATCH($B$2&amp;$B4,'Quarterly Forecasts'!$B$4:$B$500,0),MATCH(L$2,'Quarterly Forecasts'!$B$4:$O$4,0))</f>
        <v>25</v>
      </c>
      <c r="M4" s="338">
        <f>INDEX('Quarterly Forecasts'!$B$4:$O$500,MATCH($B$2&amp;$B4,'Quarterly Forecasts'!$B$4:$B$500,0),MATCH(M$2,'Quarterly Forecasts'!$B$4:$O$4,0))</f>
        <v>25</v>
      </c>
      <c r="P4" s="339" t="s">
        <v>396</v>
      </c>
      <c r="Q4" s="340">
        <v>54.73</v>
      </c>
      <c r="R4" s="406"/>
    </row>
    <row r="5" spans="1:18" ht="10.5" customHeight="1" x14ac:dyDescent="0.25">
      <c r="A5" s="331" t="str">
        <f t="shared" ref="A5:A7" si="1">$B$9&amp;$B$3&amp;B5</f>
        <v>Devon EnergyMarket PricesGas</v>
      </c>
      <c r="B5" s="82" t="s">
        <v>26</v>
      </c>
      <c r="C5" s="82"/>
      <c r="D5" s="108"/>
      <c r="E5" s="337">
        <f>INDEX('Quarterly Forecasts'!$B$4:$O$500,MATCH($B2&amp;$B5,'Quarterly Forecasts'!$B$4:$B$500,0),MATCH(E$2,'Quarterly Forecasts'!$B$4:$O$4,0))</f>
        <v>15.15714</v>
      </c>
      <c r="F5" s="338">
        <f>INDEX('Quarterly Forecasts'!$B$4:$O$500,MATCH($B$2&amp;$B5,'Quarterly Forecasts'!$B$4:$B$500,0),MATCH(F$2,'Quarterly Forecasts'!$B$4:$O$4,0))</f>
        <v>11.20355</v>
      </c>
      <c r="G5" s="338">
        <f>INDEX('Quarterly Forecasts'!$B$4:$O$500,MATCH($B$2&amp;$B5,'Quarterly Forecasts'!$B$4:$B$500,0),MATCH(G$2,'Quarterly Forecasts'!$B$4:$O$4,0))</f>
        <v>12.325800000000001</v>
      </c>
      <c r="H5" s="338">
        <f>INDEX('Quarterly Forecasts'!$B$4:$O$500,MATCH($B$2&amp;$B5,'Quarterly Forecasts'!$B$4:$B$500,0),MATCH(H$2,'Quarterly Forecasts'!$B$4:$O$4,0))</f>
        <v>12.545400000000001</v>
      </c>
      <c r="I5" s="338">
        <f>INDEX('Quarterly Forecasts'!$B$4:$O$500,MATCH($B$2&amp;$B5,'Quarterly Forecasts'!$B$4:$B$500,0),MATCH(I$2,'Quarterly Forecasts'!$B$4:$O$4,0))</f>
        <v>12.765000000000001</v>
      </c>
      <c r="J5" s="338">
        <f>INDEX('Quarterly Forecasts'!$B$4:$O$500,MATCH($B$2&amp;$B5,'Quarterly Forecasts'!$B$4:$B$500,0),MATCH(J$2,'Quarterly Forecasts'!$B$4:$O$4,0))</f>
        <v>12.9846</v>
      </c>
      <c r="K5" s="338">
        <f>INDEX('Quarterly Forecasts'!$B$4:$O$500,MATCH($B$2&amp;$B5,'Quarterly Forecasts'!$B$4:$B$500,0),MATCH(K$2,'Quarterly Forecasts'!$B$4:$O$4,0))</f>
        <v>13.2042</v>
      </c>
      <c r="L5" s="338">
        <f>INDEX('Quarterly Forecasts'!$B$4:$O$500,MATCH($B$2&amp;$B5,'Quarterly Forecasts'!$B$4:$B$500,0),MATCH(L$2,'Quarterly Forecasts'!$B$4:$O$4,0))</f>
        <v>13.423800000000002</v>
      </c>
      <c r="M5" s="338">
        <f>INDEX('Quarterly Forecasts'!$B$4:$O$500,MATCH($B$2&amp;$B5,'Quarterly Forecasts'!$B$4:$B$500,0),MATCH(M$2,'Quarterly Forecasts'!$B$4:$O$4,0))</f>
        <v>13.423800000000002</v>
      </c>
      <c r="P5" s="339" t="s">
        <v>26</v>
      </c>
      <c r="Q5" s="340">
        <v>10.74</v>
      </c>
      <c r="R5" s="406"/>
    </row>
    <row r="6" spans="1:18" ht="10.5" customHeight="1" x14ac:dyDescent="0.25">
      <c r="A6" s="331" t="str">
        <f t="shared" si="1"/>
        <v>Devon EnergyMarket PricesNGL</v>
      </c>
      <c r="B6" s="82" t="s">
        <v>25</v>
      </c>
      <c r="C6" s="82"/>
      <c r="D6" s="108"/>
      <c r="E6" s="337">
        <f>INDEX('Quarterly Forecasts'!$B$4:$O$500,MATCH($B2&amp;$B6,'Quarterly Forecasts'!$B$4:$B$500,0),MATCH(E$2,'Quarterly Forecasts'!$B$4:$O$4,0))</f>
        <v>20.616230000000002</v>
      </c>
      <c r="F6" s="338">
        <f>INDEX('Quarterly Forecasts'!$B$4:$O$500,MATCH($B$2&amp;$B6,'Quarterly Forecasts'!$B$4:$B$500,0),MATCH(F$2,'Quarterly Forecasts'!$B$4:$O$4,0))</f>
        <v>17.26445</v>
      </c>
      <c r="G6" s="338">
        <f>INDEX('Quarterly Forecasts'!$B$4:$O$500,MATCH($B$2&amp;$B6,'Quarterly Forecasts'!$B$4:$B$500,0),MATCH(G$2,'Quarterly Forecasts'!$B$4:$O$4,0))</f>
        <v>6.2672575000000004</v>
      </c>
      <c r="H6" s="338">
        <f>INDEX('Quarterly Forecasts'!$B$4:$O$500,MATCH($B$2&amp;$B6,'Quarterly Forecasts'!$B$4:$B$500,0),MATCH(H$2,'Quarterly Forecasts'!$B$4:$O$4,0))</f>
        <v>7.1405915000000002</v>
      </c>
      <c r="I6" s="338">
        <f>INDEX('Quarterly Forecasts'!$B$4:$O$500,MATCH($B$2&amp;$B6,'Quarterly Forecasts'!$B$4:$B$500,0),MATCH(I$2,'Quarterly Forecasts'!$B$4:$O$4,0))</f>
        <v>8.0139254999999991</v>
      </c>
      <c r="J6" s="338">
        <f>INDEX('Quarterly Forecasts'!$B$4:$O$500,MATCH($B$2&amp;$B6,'Quarterly Forecasts'!$B$4:$B$500,0),MATCH(J$2,'Quarterly Forecasts'!$B$4:$O$4,0))</f>
        <v>8.8872595000000008</v>
      </c>
      <c r="K6" s="338">
        <f>INDEX('Quarterly Forecasts'!$B$4:$O$500,MATCH($B$2&amp;$B6,'Quarterly Forecasts'!$B$4:$B$500,0),MATCH(K$2,'Quarterly Forecasts'!$B$4:$O$4,0))</f>
        <v>9.7605935000000006</v>
      </c>
      <c r="L6" s="338">
        <f>INDEX('Quarterly Forecasts'!$B$4:$O$500,MATCH($B$2&amp;$B6,'Quarterly Forecasts'!$B$4:$B$500,0),MATCH(L$2,'Quarterly Forecasts'!$B$4:$O$4,0))</f>
        <v>10.6339275</v>
      </c>
      <c r="M6" s="338">
        <f>INDEX('Quarterly Forecasts'!$B$4:$O$500,MATCH($B$2&amp;$B6,'Quarterly Forecasts'!$B$4:$B$500,0),MATCH(M$2,'Quarterly Forecasts'!$B$4:$O$4,0))</f>
        <v>10.6339275</v>
      </c>
      <c r="P6" s="339" t="s">
        <v>25</v>
      </c>
      <c r="Q6" s="340">
        <v>15.21</v>
      </c>
      <c r="R6" s="406"/>
    </row>
    <row r="7" spans="1:18" ht="10.5" customHeight="1" x14ac:dyDescent="0.25">
      <c r="A7" s="331" t="str">
        <f t="shared" si="1"/>
        <v>Devon EnergyMarket PricesCondensate</v>
      </c>
      <c r="B7" s="341" t="s">
        <v>24</v>
      </c>
      <c r="C7" s="341"/>
      <c r="D7" s="114"/>
      <c r="E7" s="337">
        <f>INDEX('Quarterly Forecasts'!$B$4:$O$500,MATCH($B2&amp;$B7,'Quarterly Forecasts'!$B$4:$B$500,0),MATCH(E$2,'Quarterly Forecasts'!$B$4:$O$4,0))</f>
        <v>38.614997999999993</v>
      </c>
      <c r="F7" s="338">
        <f>INDEX('Quarterly Forecasts'!$B$4:$O$500,MATCH($B$2&amp;$B7,'Quarterly Forecasts'!$B$4:$B$500,0),MATCH(F$2,'Quarterly Forecasts'!$B$4:$O$4,0))</f>
        <v>30.491153999999998</v>
      </c>
      <c r="G7" s="338">
        <f>INDEX('Quarterly Forecasts'!$B$4:$O$500,MATCH($B$2&amp;$B7,'Quarterly Forecasts'!$B$4:$B$500,0),MATCH(G$2,'Quarterly Forecasts'!$B$4:$O$4,0))</f>
        <v>9</v>
      </c>
      <c r="H7" s="338">
        <f>INDEX('Quarterly Forecasts'!$B$4:$O$500,MATCH($B$2&amp;$B7,'Quarterly Forecasts'!$B$4:$B$500,0),MATCH(H$2,'Quarterly Forecasts'!$B$4:$O$4,0))</f>
        <v>10.199999999999999</v>
      </c>
      <c r="I7" s="338">
        <f>INDEX('Quarterly Forecasts'!$B$4:$O$500,MATCH($B$2&amp;$B7,'Quarterly Forecasts'!$B$4:$B$500,0),MATCH(I$2,'Quarterly Forecasts'!$B$4:$O$4,0))</f>
        <v>11.4</v>
      </c>
      <c r="J7" s="338">
        <f>INDEX('Quarterly Forecasts'!$B$4:$O$500,MATCH($B$2&amp;$B7,'Quarterly Forecasts'!$B$4:$B$500,0),MATCH(J$2,'Quarterly Forecasts'!$B$4:$O$4,0))</f>
        <v>12.6</v>
      </c>
      <c r="K7" s="338">
        <f>INDEX('Quarterly Forecasts'!$B$4:$O$500,MATCH($B$2&amp;$B7,'Quarterly Forecasts'!$B$4:$B$500,0),MATCH(K$2,'Quarterly Forecasts'!$B$4:$O$4,0))</f>
        <v>13.799999999999999</v>
      </c>
      <c r="L7" s="338">
        <f>INDEX('Quarterly Forecasts'!$B$4:$O$500,MATCH($B$2&amp;$B7,'Quarterly Forecasts'!$B$4:$B$500,0),MATCH(L$2,'Quarterly Forecasts'!$B$4:$O$4,0))</f>
        <v>15</v>
      </c>
      <c r="M7" s="338">
        <f>INDEX('Quarterly Forecasts'!$B$4:$O$500,MATCH($B$2&amp;$B7,'Quarterly Forecasts'!$B$4:$B$500,0),MATCH(M$2,'Quarterly Forecasts'!$B$4:$O$4,0))</f>
        <v>15</v>
      </c>
      <c r="P7" s="339" t="s">
        <v>24</v>
      </c>
      <c r="Q7" s="340">
        <v>32.837999999999994</v>
      </c>
      <c r="R7" s="406"/>
    </row>
    <row r="8" spans="1:18" ht="10.5" customHeight="1" x14ac:dyDescent="0.25">
      <c r="E8" s="342"/>
      <c r="P8" s="339"/>
      <c r="Q8" s="340"/>
      <c r="R8" s="406"/>
    </row>
    <row r="9" spans="1:18" ht="10.5" customHeight="1" x14ac:dyDescent="0.25">
      <c r="B9" s="343" t="s">
        <v>231</v>
      </c>
      <c r="C9" s="343"/>
      <c r="D9" s="115"/>
      <c r="E9" s="344"/>
      <c r="F9" s="344"/>
      <c r="G9" s="344"/>
      <c r="H9" s="344"/>
      <c r="I9" s="344"/>
      <c r="J9" s="344"/>
      <c r="K9" s="344"/>
      <c r="L9" s="344"/>
      <c r="M9" s="344"/>
      <c r="P9" s="335" t="s">
        <v>472</v>
      </c>
      <c r="Q9" s="345"/>
      <c r="R9" s="406"/>
    </row>
    <row r="10" spans="1:18" ht="10.5" customHeight="1" x14ac:dyDescent="0.35">
      <c r="B10" s="332" t="s">
        <v>523</v>
      </c>
      <c r="C10" s="332"/>
      <c r="D10" s="111"/>
      <c r="E10" s="333"/>
      <c r="F10" s="334"/>
      <c r="G10" s="334"/>
      <c r="H10" s="334"/>
      <c r="I10" s="334"/>
      <c r="J10" s="334"/>
      <c r="K10" s="334"/>
      <c r="L10" s="334"/>
      <c r="M10" s="334"/>
      <c r="P10" s="339" t="s">
        <v>461</v>
      </c>
      <c r="Q10" s="330">
        <v>838.75</v>
      </c>
      <c r="R10" s="328"/>
    </row>
    <row r="11" spans="1:18" ht="10.5" customHeight="1" x14ac:dyDescent="0.35">
      <c r="A11" s="331" t="str">
        <f>B9&amp;B10&amp;B11</f>
        <v>Devon EnergyRealized pricesOil</v>
      </c>
      <c r="B11" s="82" t="s">
        <v>396</v>
      </c>
      <c r="C11" s="132" t="s">
        <v>542</v>
      </c>
      <c r="D11" s="108"/>
      <c r="E11" s="337">
        <f>IF(VLOOKUP($B11, P:Q, 2,0) = "-", 0, VLOOKUP($B11, P:Q, 2,0))</f>
        <v>54.73</v>
      </c>
      <c r="F11" s="338">
        <f>F4*($E11/$E4)</f>
        <v>43.215873231949928</v>
      </c>
      <c r="G11" s="338">
        <f>G4*($E11/$E4)</f>
        <v>12.755924524455498</v>
      </c>
      <c r="H11" s="338">
        <f t="shared" ref="H11:M14" si="2">H4*($E11/$E4)</f>
        <v>14.456714461049565</v>
      </c>
      <c r="I11" s="338">
        <f t="shared" si="2"/>
        <v>16.157504397643631</v>
      </c>
      <c r="J11" s="338">
        <f t="shared" si="2"/>
        <v>17.858294334237698</v>
      </c>
      <c r="K11" s="338">
        <f t="shared" si="2"/>
        <v>19.559084270831764</v>
      </c>
      <c r="L11" s="338">
        <f t="shared" si="2"/>
        <v>21.259874207425831</v>
      </c>
      <c r="M11" s="338">
        <f t="shared" si="2"/>
        <v>21.259874207425831</v>
      </c>
      <c r="P11" s="339" t="s">
        <v>462</v>
      </c>
      <c r="Q11" s="330">
        <v>716.25</v>
      </c>
      <c r="R11" s="328"/>
    </row>
    <row r="12" spans="1:18" ht="10.5" customHeight="1" x14ac:dyDescent="0.25">
      <c r="A12" s="331" t="str">
        <f>B9&amp;B10&amp;B12</f>
        <v>Devon EnergyRealized pricesGas</v>
      </c>
      <c r="B12" s="82" t="s">
        <v>26</v>
      </c>
      <c r="C12" s="132" t="s">
        <v>542</v>
      </c>
      <c r="D12" s="108"/>
      <c r="E12" s="337">
        <f>IF(VLOOKUP($B12, P:Q, 2,0) = "-", 0, VLOOKUP($B12, P:Q, 2,0))</f>
        <v>10.74</v>
      </c>
      <c r="F12" s="338">
        <f>F5*($E12/$E5)</f>
        <v>7.9385772645762991</v>
      </c>
      <c r="G12" s="338">
        <f t="shared" ref="G12:M12" si="3">G5*($E12/$E5)</f>
        <v>8.7337777443501885</v>
      </c>
      <c r="H12" s="338">
        <f t="shared" si="3"/>
        <v>8.8893812421076817</v>
      </c>
      <c r="I12" s="338">
        <f t="shared" si="3"/>
        <v>9.044984739865173</v>
      </c>
      <c r="J12" s="338">
        <f t="shared" si="3"/>
        <v>9.2005882376226662</v>
      </c>
      <c r="K12" s="338">
        <f t="shared" si="3"/>
        <v>9.3561917353801576</v>
      </c>
      <c r="L12" s="338">
        <f t="shared" si="3"/>
        <v>9.5117952331376525</v>
      </c>
      <c r="M12" s="338">
        <f t="shared" si="3"/>
        <v>9.5117952331376525</v>
      </c>
      <c r="P12" s="346" t="s">
        <v>395</v>
      </c>
      <c r="Q12" s="347">
        <v>1555</v>
      </c>
      <c r="R12" s="407"/>
    </row>
    <row r="13" spans="1:18" ht="10.5" customHeight="1" x14ac:dyDescent="0.25">
      <c r="A13" s="331" t="str">
        <f>B9&amp;B10&amp;B13</f>
        <v>Devon EnergyRealized pricesNGL</v>
      </c>
      <c r="B13" s="82" t="s">
        <v>25</v>
      </c>
      <c r="C13" s="132" t="s">
        <v>542</v>
      </c>
      <c r="D13" s="108"/>
      <c r="E13" s="337">
        <f>IF(VLOOKUP($B13, P:Q, 2,0) = "-", 0, VLOOKUP($B13, P:Q, 2,0))</f>
        <v>15.21</v>
      </c>
      <c r="F13" s="338">
        <f>F6*($E13/$E6)</f>
        <v>12.737163123422663</v>
      </c>
      <c r="G13" s="338">
        <f t="shared" ref="G13:M13" si="4">G6*($E13/$E6)</f>
        <v>4.6237836197500712</v>
      </c>
      <c r="H13" s="338">
        <f t="shared" si="4"/>
        <v>5.26810171961605</v>
      </c>
      <c r="I13" s="338">
        <f t="shared" si="4"/>
        <v>5.9124198194820288</v>
      </c>
      <c r="J13" s="338">
        <f t="shared" si="4"/>
        <v>6.5567379193480093</v>
      </c>
      <c r="K13" s="338">
        <f t="shared" si="4"/>
        <v>7.201056019213989</v>
      </c>
      <c r="L13" s="338">
        <f t="shared" si="4"/>
        <v>7.8453741190799686</v>
      </c>
      <c r="M13" s="338">
        <f t="shared" si="4"/>
        <v>7.8453741190799686</v>
      </c>
      <c r="P13" s="339"/>
      <c r="Q13" s="340"/>
      <c r="R13" s="406"/>
    </row>
    <row r="14" spans="1:18" ht="10.5" customHeight="1" x14ac:dyDescent="0.25">
      <c r="A14" s="331" t="str">
        <f>B9&amp;B10&amp;B14</f>
        <v>Devon EnergyRealized pricesCondensate</v>
      </c>
      <c r="B14" s="82" t="s">
        <v>24</v>
      </c>
      <c r="C14" s="132" t="s">
        <v>543</v>
      </c>
      <c r="D14" s="108"/>
      <c r="E14" s="337">
        <f>IF(VLOOKUP($B14, P:Q, 2,0) = "-", 0, VLOOKUP($B14, P:Q, 2,0))</f>
        <v>32.837999999999994</v>
      </c>
      <c r="F14" s="338">
        <f>F7*($E14/$E7)</f>
        <v>25.929523939169954</v>
      </c>
      <c r="G14" s="338">
        <f>G7*($E14/$E7)</f>
        <v>7.653554714673299</v>
      </c>
      <c r="H14" s="338">
        <f t="shared" si="2"/>
        <v>8.6740286766297388</v>
      </c>
      <c r="I14" s="338">
        <f t="shared" si="2"/>
        <v>9.6945026385861794</v>
      </c>
      <c r="J14" s="338">
        <f t="shared" si="2"/>
        <v>10.714976600542618</v>
      </c>
      <c r="K14" s="338">
        <f t="shared" si="2"/>
        <v>11.735450562499057</v>
      </c>
      <c r="L14" s="338">
        <f t="shared" si="2"/>
        <v>12.755924524455498</v>
      </c>
      <c r="M14" s="338">
        <f t="shared" si="2"/>
        <v>12.755924524455498</v>
      </c>
      <c r="P14" s="335" t="s">
        <v>473</v>
      </c>
      <c r="Q14" s="340"/>
      <c r="R14" s="406"/>
    </row>
    <row r="15" spans="1:18" ht="10.5" customHeight="1" x14ac:dyDescent="0.25">
      <c r="A15" s="331" t="str">
        <f>B9&amp;B10&amp;B15</f>
        <v>Devon EnergyRealized pricesAverage realized price</v>
      </c>
      <c r="B15" s="348" t="s">
        <v>527</v>
      </c>
      <c r="C15" s="349" t="s">
        <v>541</v>
      </c>
      <c r="D15" s="114"/>
      <c r="E15" s="337">
        <f>E29/E24</f>
        <v>40.461261812105469</v>
      </c>
      <c r="F15" s="350">
        <f>F29/F24</f>
        <v>37.611055076576243</v>
      </c>
      <c r="G15" s="350">
        <f t="shared" ref="G15:M15" si="5">G29/G24</f>
        <v>16.132583231040027</v>
      </c>
      <c r="H15" s="350">
        <f t="shared" si="5"/>
        <v>17.565243425491751</v>
      </c>
      <c r="I15" s="350">
        <f t="shared" si="5"/>
        <v>18.997903619943479</v>
      </c>
      <c r="J15" s="350">
        <f t="shared" si="5"/>
        <v>20.528711775816195</v>
      </c>
      <c r="K15" s="350">
        <f t="shared" si="5"/>
        <v>21.972603980806113</v>
      </c>
      <c r="L15" s="350">
        <f t="shared" si="5"/>
        <v>23.416496185796035</v>
      </c>
      <c r="M15" s="350">
        <f t="shared" si="5"/>
        <v>23.416496185796035</v>
      </c>
      <c r="P15" s="339" t="s">
        <v>463</v>
      </c>
      <c r="Q15" s="340">
        <v>0</v>
      </c>
      <c r="R15" s="406"/>
    </row>
    <row r="16" spans="1:18" ht="10.5" customHeight="1" x14ac:dyDescent="0.25">
      <c r="B16" s="343"/>
      <c r="C16" s="343"/>
      <c r="D16" s="115"/>
      <c r="E16" s="351"/>
      <c r="F16" s="351"/>
      <c r="G16" s="351"/>
      <c r="H16" s="351"/>
      <c r="I16" s="351"/>
      <c r="J16" s="351"/>
      <c r="K16" s="351"/>
      <c r="L16" s="351"/>
      <c r="M16" s="351"/>
      <c r="P16" s="339" t="s">
        <v>464</v>
      </c>
      <c r="Q16" s="340">
        <v>374.25</v>
      </c>
      <c r="R16" s="406"/>
    </row>
    <row r="17" spans="1:18" ht="10.5" customHeight="1" x14ac:dyDescent="0.25">
      <c r="A17" s="331" t="str">
        <f>B9&amp;B17</f>
        <v>Devon EnergyNetback price, BOE</v>
      </c>
      <c r="B17" s="352" t="s">
        <v>503</v>
      </c>
      <c r="C17" s="353" t="s">
        <v>535</v>
      </c>
      <c r="D17" s="122"/>
      <c r="E17" s="337">
        <f>E15-(E43/E24)-(E36/E24)-(E37/E24)-(E38/E24)</f>
        <v>29.038436130102706</v>
      </c>
      <c r="F17" s="337">
        <f>F15-(F43/F24)-(F36/F24)-(F37/F24)-(F38/F24)</f>
        <v>26.496281260256382</v>
      </c>
      <c r="G17" s="337">
        <f t="shared" ref="G17:M17" si="6">G15-(G43/G24)-(G36/G24)-(G37/G24)-(G38/G24)</f>
        <v>5.8327426021839557</v>
      </c>
      <c r="H17" s="337">
        <f t="shared" si="6"/>
        <v>7.2198994316252874</v>
      </c>
      <c r="I17" s="337">
        <f t="shared" si="6"/>
        <v>8.6070562610666244</v>
      </c>
      <c r="J17" s="337">
        <f t="shared" si="6"/>
        <v>10.092361051928947</v>
      </c>
      <c r="K17" s="337">
        <f t="shared" si="6"/>
        <v>11.490749891908473</v>
      </c>
      <c r="L17" s="337">
        <f t="shared" si="6"/>
        <v>12.889138731888005</v>
      </c>
      <c r="M17" s="337">
        <f t="shared" si="6"/>
        <v>12.889138731888005</v>
      </c>
      <c r="P17" s="339" t="s">
        <v>465</v>
      </c>
      <c r="Q17" s="340">
        <v>-12</v>
      </c>
      <c r="R17" s="406"/>
    </row>
    <row r="18" spans="1:18" ht="10.5" customHeight="1" x14ac:dyDescent="0.25">
      <c r="B18" s="343"/>
      <c r="C18" s="343"/>
      <c r="D18" s="115"/>
      <c r="E18" s="351"/>
      <c r="F18" s="351"/>
      <c r="G18" s="351"/>
      <c r="H18" s="351"/>
      <c r="I18" s="351"/>
      <c r="J18" s="351"/>
      <c r="K18" s="351"/>
      <c r="L18" s="351"/>
      <c r="M18" s="351"/>
      <c r="P18" s="339" t="s">
        <v>505</v>
      </c>
      <c r="Q18" s="340">
        <v>0</v>
      </c>
      <c r="R18" s="406"/>
    </row>
    <row r="19" spans="1:18" ht="10.5" customHeight="1" x14ac:dyDescent="0.25">
      <c r="B19" s="332" t="s">
        <v>532</v>
      </c>
      <c r="C19" s="332"/>
      <c r="D19" s="111"/>
      <c r="E19" s="333"/>
      <c r="F19" s="334"/>
      <c r="G19" s="334"/>
      <c r="H19" s="334"/>
      <c r="I19" s="334"/>
      <c r="J19" s="334"/>
      <c r="K19" s="334"/>
      <c r="L19" s="334"/>
      <c r="M19" s="334"/>
      <c r="P19" s="339" t="s">
        <v>467</v>
      </c>
      <c r="Q19" s="340">
        <v>0</v>
      </c>
      <c r="R19" s="406"/>
    </row>
    <row r="20" spans="1:18" ht="10.5" customHeight="1" x14ac:dyDescent="0.25">
      <c r="A20" s="331" t="str">
        <f>B9&amp;B19&amp;B20</f>
        <v>Devon EnergyProduction, BOE/QOil</v>
      </c>
      <c r="B20" s="82" t="s">
        <v>396</v>
      </c>
      <c r="C20" s="132" t="s">
        <v>564</v>
      </c>
      <c r="D20" s="108"/>
      <c r="E20" s="354">
        <f>IF($B$2="A3",SUMIFS('$33'!$H$9:$H$2139,'$33'!$A$9:$A$2139,$B$9,'$33'!$G$9:$G$2139,$B20)*365/4, SUMIFS('$22'!$H$9:$H$2140,'$22'!$A$9:$A$2140,Devon_A1!$B$9,'$22'!$G$9:$G$2140, $B20)*365/4)</f>
        <v>9071.1152902612503</v>
      </c>
      <c r="F20" s="355">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9809.0993106637507</v>
      </c>
      <c r="G20" s="355">
        <f>F20*(1-INDEX(Assumptions!$A$2:$K$596,MATCH($B9&amp;"Oil production reduction",Assumptions!$A$2:$A$596,0),MATCH(G$2,Assumptions!$A$2:$K$2,0)))</f>
        <v>9809.0993106637507</v>
      </c>
      <c r="H20" s="355">
        <f>G20*(1-INDEX(Assumptions!$A$2:$K$596,MATCH($B9&amp;"Oil production reduction",Assumptions!$A$2:$A$596,0),MATCH(H$2,Assumptions!$A$2:$K$2,0)))</f>
        <v>9809.0993106637507</v>
      </c>
      <c r="I20" s="355">
        <f>H20*(1-INDEX(Assumptions!$A$2:$K$596,MATCH($B9&amp;"Oil production reduction",Assumptions!$A$2:$A$596,0),MATCH(I$2,Assumptions!$A$2:$K$2,0)))</f>
        <v>9809.0993106637507</v>
      </c>
      <c r="J20" s="355">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8700.1272881449986</v>
      </c>
      <c r="K20" s="355">
        <f>J20*(1-INDEX(Assumptions!$A$2:$K$596,MATCH($B9&amp;"Oil production reduction",Assumptions!$A$2:$A$596,0),MATCH(K$2,Assumptions!$A$2:$K$2,0)))</f>
        <v>8700.1272881449986</v>
      </c>
      <c r="L20" s="355">
        <f>K20*(1-INDEX(Assumptions!$A$2:$K$596,MATCH($B9&amp;"Oil production reduction",Assumptions!$A$2:$A$596,0),MATCH(L$2,Assumptions!$A$2:$K$2,0)))</f>
        <v>8700.1272881449986</v>
      </c>
      <c r="M20" s="355">
        <f>L20*(1-INDEX(Assumptions!$A$2:$K$596,MATCH($B9&amp;"Oil production reduction",Assumptions!$A$2:$A$596,0),MATCH(M$2,Assumptions!$A$2:$K$2,0)))</f>
        <v>8700.1272881449986</v>
      </c>
      <c r="N20" s="331">
        <f>(11+26+55)/4*1000</f>
        <v>23000</v>
      </c>
      <c r="P20" s="339" t="s">
        <v>468</v>
      </c>
      <c r="Q20" s="340">
        <v>0</v>
      </c>
      <c r="R20" s="406"/>
    </row>
    <row r="21" spans="1:18" ht="10.5" customHeight="1" x14ac:dyDescent="0.25">
      <c r="A21" s="331" t="str">
        <f>B9&amp;B19&amp;B21</f>
        <v>Devon EnergyProduction, BOE/QGas</v>
      </c>
      <c r="B21" s="82" t="s">
        <v>26</v>
      </c>
      <c r="C21" s="132" t="s">
        <v>564</v>
      </c>
      <c r="D21" s="108"/>
      <c r="E21" s="354">
        <f>IF($B$2="A3",SUMIFS('$33'!$H$9:$H$2139,'$33'!$A$9:$A$2139,$B$9,'$33'!$G$9:$G$2139,$B21)*365/4, SUMIFS('$22'!$H$9:$H$2140,'$22'!$A$9:$A$2140,Devon_A1!$B$9,'$22'!$G$9:$G$2140, $B21)*365/4)</f>
        <v>15364.823042631249</v>
      </c>
      <c r="F21" s="355">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14165.468418194001</v>
      </c>
      <c r="G21" s="355">
        <f>F21*(1-INDEX(Assumptions!$A$2:$K$596,MATCH($B9&amp;"Gas production reduction",Assumptions!$A$2:$A$596,0),MATCH(G$2,Assumptions!$A$2:$K$2,0)))</f>
        <v>14165.468418194001</v>
      </c>
      <c r="H21" s="355">
        <f>G21*(1-INDEX(Assumptions!$A$2:$K$596,MATCH($B9&amp;"Gas production reduction",Assumptions!$A$2:$A$596,0),MATCH(H$2,Assumptions!$A$2:$K$2,0)))</f>
        <v>14165.468418194001</v>
      </c>
      <c r="I21" s="355">
        <f>H21*(1-INDEX(Assumptions!$A$2:$K$596,MATCH($B9&amp;"Gas production reduction",Assumptions!$A$2:$A$596,0),MATCH(I$2,Assumptions!$A$2:$K$2,0)))</f>
        <v>14165.468418194001</v>
      </c>
      <c r="J21" s="355">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12278.111818522499</v>
      </c>
      <c r="K21" s="355">
        <f>J21*(1-INDEX(Assumptions!$A$2:$K$596,MATCH($B9&amp;"Gas production reduction",Assumptions!$A$2:$A$596,0),MATCH(K$2,Assumptions!$A$2:$K$2,0)))</f>
        <v>12278.111818522499</v>
      </c>
      <c r="L21" s="355">
        <f>K21*(1-INDEX(Assumptions!$A$2:$K$596,MATCH($B9&amp;"Gas production reduction",Assumptions!$A$2:$A$596,0),MATCH(L$2,Assumptions!$A$2:$K$2,0)))</f>
        <v>12278.111818522499</v>
      </c>
      <c r="M21" s="355">
        <f>L21*(1-INDEX(Assumptions!$A$2:$K$596,MATCH($B9&amp;"Gas production reduction",Assumptions!$A$2:$A$596,0),MATCH(M$2,Assumptions!$A$2:$K$2,0)))</f>
        <v>12278.111818522499</v>
      </c>
      <c r="N21" s="331">
        <f>(219+114+65)*1000/4/6</f>
        <v>16583.333333333332</v>
      </c>
      <c r="P21" s="339" t="s">
        <v>469</v>
      </c>
      <c r="Q21" s="340">
        <v>320.25</v>
      </c>
      <c r="R21" s="406"/>
    </row>
    <row r="22" spans="1:18" ht="10.5" customHeight="1" x14ac:dyDescent="0.25">
      <c r="A22" s="331" t="str">
        <f>B9&amp;B19&amp;B22</f>
        <v>Devon EnergyProduction, BOE/QNGL</v>
      </c>
      <c r="B22" s="82" t="s">
        <v>25</v>
      </c>
      <c r="C22" s="132" t="s">
        <v>564</v>
      </c>
      <c r="D22" s="108"/>
      <c r="E22" s="354">
        <f>IF($B$2="A3",SUMIFS('$33'!$H$9:$H$2139,'$33'!$A$9:$A$2139,$B$9,'$33'!$G$9:$G$2139,$B22)*365/4, SUMIFS('$22'!$H$9:$H$2140,'$22'!$A$9:$A$2140,Devon_A1!$B$9,'$22'!$G$9:$G$2140, $B22)*365/4)</f>
        <v>9751.4996094812504</v>
      </c>
      <c r="F22" s="355">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9033.6126809136276</v>
      </c>
      <c r="G22" s="355">
        <f>F22*(1-INDEX(Assumptions!$A$2:$K$596,MATCH($B9&amp;"NGL production reduction",Assumptions!$A$2:$A$596,0),MATCH(G$2,Assumptions!$A$2:$K$2,0)))</f>
        <v>9033.6126809136276</v>
      </c>
      <c r="H22" s="355">
        <f>G22*(1-INDEX(Assumptions!$A$2:$K$596,MATCH($B9&amp;"NGL production reduction",Assumptions!$A$2:$A$596,0),MATCH(H$2,Assumptions!$A$2:$K$2,0)))</f>
        <v>9033.6126809136276</v>
      </c>
      <c r="I22" s="355">
        <f>H22*(1-INDEX(Assumptions!$A$2:$K$596,MATCH($B9&amp;"NGL production reduction",Assumptions!$A$2:$A$596,0),MATCH(I$2,Assumptions!$A$2:$K$2,0)))</f>
        <v>9033.6126809136276</v>
      </c>
      <c r="J22" s="355">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7759.8048451387485</v>
      </c>
      <c r="K22" s="355">
        <f>J22*(1-INDEX(Assumptions!$A$2:$K$596,MATCH($B9&amp;"NGL production reduction",Assumptions!$A$2:$A$596,0),MATCH(K$2,Assumptions!$A$2:$K$2,0)))</f>
        <v>7759.8048451387485</v>
      </c>
      <c r="L22" s="355">
        <f>K22*(1-INDEX(Assumptions!$A$2:$K$596,MATCH($B9&amp;"NGL production reduction",Assumptions!$A$2:$A$596,0),MATCH(L$2,Assumptions!$A$2:$K$2,0)))</f>
        <v>7759.8048451387485</v>
      </c>
      <c r="M22" s="355">
        <f>L22*(1-INDEX(Assumptions!$A$2:$K$596,MATCH($B9&amp;"NGL production reduction",Assumptions!$A$2:$A$596,0),MATCH(M$2,Assumptions!$A$2:$K$2,0)))</f>
        <v>7759.8048451387485</v>
      </c>
      <c r="N22" s="331">
        <f>(13+10+28)*1000/4</f>
        <v>12750</v>
      </c>
      <c r="P22" s="339" t="s">
        <v>470</v>
      </c>
      <c r="Q22" s="340">
        <v>118.75</v>
      </c>
      <c r="R22" s="406"/>
    </row>
    <row r="23" spans="1:18" ht="10.5" customHeight="1" x14ac:dyDescent="0.25">
      <c r="A23" s="331" t="str">
        <f>B9&amp;B19&amp;B23</f>
        <v>Devon EnergyProduction, BOE/QCondensate</v>
      </c>
      <c r="B23" s="82" t="s">
        <v>24</v>
      </c>
      <c r="C23" s="132" t="s">
        <v>564</v>
      </c>
      <c r="D23" s="108"/>
      <c r="E23" s="354">
        <f>IF($B$2="A3",SUMIFS('$33'!$H$9:$H$2139,'$33'!$A$9:$A$2139,$B$9,'$33'!$G$9:$G$2139,$B23)*365/4, SUMIFS('$22'!$H$9:$H$2140,'$22'!$A$9:$A$2140,Devon_A1!$B$9,'$22'!$G$9:$G$2140, $B23)*365/4)</f>
        <v>4244.3837645500007</v>
      </c>
      <c r="F23" s="355">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3227.5640206624994</v>
      </c>
      <c r="G23" s="355">
        <f>F23*(1-INDEX(Assumptions!$A$2:$K$596,MATCH($B9&amp;"Condensate production reduction",Assumptions!$A$2:$A$596,0),MATCH(G$2,Assumptions!$A$2:$K$2,0)))</f>
        <v>3227.5640206624994</v>
      </c>
      <c r="H23" s="355">
        <f>G23*(1-INDEX(Assumptions!$A$2:$K$596,MATCH($B9&amp;"Condensate production reduction",Assumptions!$A$2:$A$596,0),MATCH(H$2,Assumptions!$A$2:$K$2,0)))</f>
        <v>3227.5640206624994</v>
      </c>
      <c r="I23" s="355">
        <f>H23*(1-INDEX(Assumptions!$A$2:$K$596,MATCH($B9&amp;"Condensate production reduction",Assumptions!$A$2:$A$596,0),MATCH(I$2,Assumptions!$A$2:$K$2,0)))</f>
        <v>3227.5640206624994</v>
      </c>
      <c r="J23" s="355">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2790.6192210624999</v>
      </c>
      <c r="K23" s="355">
        <f>J23*(1-INDEX(Assumptions!$A$2:$K$596,MATCH($B9&amp;"Condensate production reduction",Assumptions!$A$2:$A$596,0),MATCH(K$2,Assumptions!$A$2:$K$2,0)))</f>
        <v>2790.6192210624999</v>
      </c>
      <c r="L23" s="355">
        <f>K23*(1-INDEX(Assumptions!$A$2:$K$596,MATCH($B9&amp;"Condensate production reduction",Assumptions!$A$2:$A$596,0),MATCH(L$2,Assumptions!$A$2:$K$2,0)))</f>
        <v>2790.6192210624999</v>
      </c>
      <c r="M23" s="355">
        <f>L23*(1-INDEX(Assumptions!$A$2:$K$596,MATCH($B9&amp;"Condensate production reduction",Assumptions!$A$2:$A$596,0),MATCH(M$2,Assumptions!$A$2:$K$2,0)))</f>
        <v>2790.6192210624999</v>
      </c>
      <c r="P23" s="356" t="s">
        <v>561</v>
      </c>
      <c r="Q23" s="345">
        <v>14.5</v>
      </c>
      <c r="R23" s="406"/>
    </row>
    <row r="24" spans="1:18" ht="10.5" customHeight="1" x14ac:dyDescent="0.25">
      <c r="A24" s="331" t="str">
        <f>B9&amp;B19&amp;B24</f>
        <v>Devon EnergyProduction, BOE/QTotal production</v>
      </c>
      <c r="B24" s="348" t="s">
        <v>397</v>
      </c>
      <c r="C24" s="357"/>
      <c r="D24" s="114"/>
      <c r="E24" s="358">
        <f>SUM(E20:E23)</f>
        <v>38431.821706923751</v>
      </c>
      <c r="F24" s="359">
        <f>SUM(F20:F23)</f>
        <v>36235.744430433871</v>
      </c>
      <c r="G24" s="359">
        <f t="shared" ref="G24:M24" si="7">SUM(G20:G23)</f>
        <v>36235.744430433871</v>
      </c>
      <c r="H24" s="359">
        <f t="shared" si="7"/>
        <v>36235.744430433871</v>
      </c>
      <c r="I24" s="359">
        <f t="shared" si="7"/>
        <v>36235.744430433871</v>
      </c>
      <c r="J24" s="359">
        <f t="shared" si="7"/>
        <v>31528.663172868746</v>
      </c>
      <c r="K24" s="359">
        <f t="shared" si="7"/>
        <v>31528.663172868746</v>
      </c>
      <c r="L24" s="359">
        <f t="shared" si="7"/>
        <v>31528.663172868746</v>
      </c>
      <c r="M24" s="359">
        <f t="shared" si="7"/>
        <v>31528.663172868746</v>
      </c>
      <c r="P24" s="360" t="s">
        <v>910</v>
      </c>
      <c r="Q24" s="361">
        <v>1</v>
      </c>
      <c r="R24" s="406"/>
    </row>
    <row r="25" spans="1:18" ht="10.5" customHeight="1" x14ac:dyDescent="0.25">
      <c r="B25" s="343"/>
      <c r="C25" s="343"/>
      <c r="D25" s="115"/>
      <c r="E25" s="344"/>
      <c r="F25" s="344"/>
      <c r="G25" s="344"/>
      <c r="H25" s="344"/>
      <c r="I25" s="362"/>
      <c r="J25" s="362"/>
      <c r="K25" s="362"/>
      <c r="L25" s="362"/>
      <c r="M25" s="362"/>
      <c r="P25" s="360" t="s">
        <v>911</v>
      </c>
      <c r="Q25" s="361">
        <v>-2.5</v>
      </c>
      <c r="R25" s="406"/>
    </row>
    <row r="26" spans="1:18" ht="10.5" customHeight="1" x14ac:dyDescent="0.25">
      <c r="A26" s="331" t="str">
        <f>B9&amp;B26</f>
        <v>Devon EnergyRevenues</v>
      </c>
      <c r="B26" s="332" t="s">
        <v>472</v>
      </c>
      <c r="C26" s="332"/>
      <c r="D26" s="111"/>
      <c r="E26" s="353"/>
      <c r="F26" s="363">
        <f>F29/SUM($F$29:$I$29)</f>
        <v>0.41648094248441048</v>
      </c>
      <c r="G26" s="363">
        <f t="shared" ref="G26:I26" si="8">G29/SUM($F$29:$I$29)</f>
        <v>0.1786419831906341</v>
      </c>
      <c r="H26" s="363">
        <f t="shared" si="8"/>
        <v>0.19450635250519652</v>
      </c>
      <c r="I26" s="363">
        <f t="shared" si="8"/>
        <v>0.21037072181975894</v>
      </c>
      <c r="J26" s="363">
        <f>J29/SUM($J$29:$M$29)</f>
        <v>0.22979650490327838</v>
      </c>
      <c r="K26" s="363">
        <f t="shared" ref="K26:M26" si="9">K29/SUM($J$29:$M$29)</f>
        <v>0.24595930098065563</v>
      </c>
      <c r="L26" s="363">
        <f t="shared" si="9"/>
        <v>0.26212209705803302</v>
      </c>
      <c r="M26" s="363">
        <f t="shared" si="9"/>
        <v>0.26212209705803302</v>
      </c>
      <c r="P26" s="360" t="s">
        <v>912</v>
      </c>
      <c r="Q26" s="361">
        <v>703</v>
      </c>
      <c r="R26" s="406"/>
    </row>
    <row r="27" spans="1:18" ht="10.5" customHeight="1" x14ac:dyDescent="0.25">
      <c r="A27" s="331" t="str">
        <f>B9&amp;B27</f>
        <v>Devon EnergySales Revenue</v>
      </c>
      <c r="B27" s="82" t="s">
        <v>461</v>
      </c>
      <c r="C27" s="82" t="s">
        <v>536</v>
      </c>
      <c r="D27" s="108"/>
      <c r="E27" s="364">
        <f>IF(VLOOKUP($B27, P:Q, 2,0) = "-", 0, VLOOKUP($B27, P:Q, 2,0))*1000</f>
        <v>838750</v>
      </c>
      <c r="F27" s="365">
        <f>SUMPRODUCT(F11:F14,F20:F23)</f>
        <v>735114.25470558892</v>
      </c>
      <c r="G27" s="365">
        <f>SUMPRODUCT(G11:G14,G20:G23)</f>
        <v>315313.99143725983</v>
      </c>
      <c r="H27" s="365">
        <f t="shared" ref="H27:M27" si="10">SUMPRODUCT(H11:H14,H20:H23)</f>
        <v>343315.57046625781</v>
      </c>
      <c r="I27" s="365">
        <f t="shared" si="10"/>
        <v>371317.14949525578</v>
      </c>
      <c r="J27" s="365">
        <f t="shared" si="10"/>
        <v>349115.7113643114</v>
      </c>
      <c r="K27" s="365">
        <f t="shared" si="10"/>
        <v>373670.85441387555</v>
      </c>
      <c r="L27" s="365">
        <f t="shared" si="10"/>
        <v>398225.99746343982</v>
      </c>
      <c r="M27" s="365">
        <f t="shared" si="10"/>
        <v>398225.99746343982</v>
      </c>
      <c r="N27" s="456">
        <f>SUMPRODUCT(E11:E14,N20:N23)</f>
        <v>1630822.5</v>
      </c>
      <c r="P27" s="360" t="s">
        <v>913</v>
      </c>
      <c r="Q27" s="361"/>
      <c r="R27" s="406"/>
    </row>
    <row r="28" spans="1:18" ht="10.5" customHeight="1" x14ac:dyDescent="0.25">
      <c r="A28" s="331" t="str">
        <f>B9&amp;B28</f>
        <v>Devon EnergyOther Revenue</v>
      </c>
      <c r="B28" s="82" t="s">
        <v>462</v>
      </c>
      <c r="C28" s="82" t="s">
        <v>533</v>
      </c>
      <c r="D28" s="204">
        <f>$E28/$E27</f>
        <v>0.85394932935916545</v>
      </c>
      <c r="E28" s="364">
        <f>IF(VLOOKUP($B28, P:Q, 2,0) = "-", 0, VLOOKUP($B28, P:Q, 2,0))*1000</f>
        <v>716250</v>
      </c>
      <c r="F28" s="365">
        <f>F27*$D28</f>
        <v>627750.32480820036</v>
      </c>
      <c r="G28" s="365">
        <f>G27*$D28</f>
        <v>269262.17152540968</v>
      </c>
      <c r="H28" s="365">
        <f t="shared" ref="H28:L28" si="11">H27*$D28</f>
        <v>293174.10115822015</v>
      </c>
      <c r="I28" s="365">
        <f t="shared" si="11"/>
        <v>317086.03079103067</v>
      </c>
      <c r="J28" s="365">
        <f t="shared" si="11"/>
        <v>298127.12758830172</v>
      </c>
      <c r="K28" s="365">
        <f t="shared" si="11"/>
        <v>319095.97552779538</v>
      </c>
      <c r="L28" s="365">
        <f t="shared" si="11"/>
        <v>340064.82346728916</v>
      </c>
      <c r="M28" s="365">
        <f>M27*$D28</f>
        <v>340064.82346728916</v>
      </c>
      <c r="P28" s="360" t="s">
        <v>914</v>
      </c>
      <c r="Q28" s="361"/>
      <c r="R28" s="406"/>
    </row>
    <row r="29" spans="1:18" ht="10.5" customHeight="1" x14ac:dyDescent="0.25">
      <c r="A29" s="331" t="str">
        <f>B9&amp;B29</f>
        <v>Devon EnergyTotal Revenue</v>
      </c>
      <c r="B29" s="85" t="s">
        <v>395</v>
      </c>
      <c r="C29" s="85"/>
      <c r="D29" s="366">
        <f>SUMPRODUCT(E11:E14,E20:E23)*(1+D28)</f>
        <v>1759727.4019498427</v>
      </c>
      <c r="E29" s="366">
        <f>SUM(E27:E28)</f>
        <v>1555000</v>
      </c>
      <c r="F29" s="367">
        <f t="shared" ref="F29:M29" si="12">SUM(F27:F28)</f>
        <v>1362864.5795137892</v>
      </c>
      <c r="G29" s="367">
        <f t="shared" si="12"/>
        <v>584576.16296266951</v>
      </c>
      <c r="H29" s="367">
        <f t="shared" si="12"/>
        <v>636489.67162447795</v>
      </c>
      <c r="I29" s="367">
        <f t="shared" si="12"/>
        <v>688403.1802862864</v>
      </c>
      <c r="J29" s="367">
        <f t="shared" si="12"/>
        <v>647242.83895261306</v>
      </c>
      <c r="K29" s="367">
        <f t="shared" si="12"/>
        <v>692766.82994167088</v>
      </c>
      <c r="L29" s="367">
        <f t="shared" si="12"/>
        <v>738290.82093072892</v>
      </c>
      <c r="M29" s="367">
        <f t="shared" si="12"/>
        <v>738290.82093072892</v>
      </c>
      <c r="P29" s="360" t="s">
        <v>915</v>
      </c>
      <c r="Q29" s="361"/>
      <c r="R29" s="406"/>
    </row>
    <row r="30" spans="1:18" ht="10.5" customHeight="1" x14ac:dyDescent="0.25">
      <c r="A30" s="331" t="str">
        <f>B9&amp;B30</f>
        <v>Devon EnergyCosts and Expenses</v>
      </c>
      <c r="B30" s="368" t="s">
        <v>473</v>
      </c>
      <c r="C30" s="368"/>
      <c r="D30" s="112"/>
      <c r="E30" s="364"/>
      <c r="F30" s="369"/>
      <c r="G30" s="365"/>
      <c r="H30" s="365"/>
      <c r="I30" s="365"/>
      <c r="J30" s="365"/>
      <c r="K30" s="365"/>
      <c r="L30" s="365"/>
      <c r="M30" s="365"/>
      <c r="P30" s="360" t="s">
        <v>916</v>
      </c>
      <c r="Q30" s="361" t="s">
        <v>899</v>
      </c>
      <c r="R30" s="406"/>
    </row>
    <row r="31" spans="1:18" ht="10.5" customHeight="1" x14ac:dyDescent="0.25">
      <c r="A31" s="331" t="str">
        <f>B9&amp;B31</f>
        <v>Devon EnergyImpairment</v>
      </c>
      <c r="B31" s="82" t="s">
        <v>463</v>
      </c>
      <c r="C31" s="82" t="s">
        <v>537</v>
      </c>
      <c r="D31" s="108"/>
      <c r="E31" s="364">
        <f t="shared" ref="E31:E40" si="13">IF(VLOOKUP($B31, P:Q, 2,0) = "-", 0, VLOOKUP($B31, P:Q, 2,0))*1000</f>
        <v>0</v>
      </c>
      <c r="F31" s="370">
        <f>E31</f>
        <v>0</v>
      </c>
      <c r="G31" s="370">
        <f t="shared" ref="G31:M31" si="14">F31</f>
        <v>0</v>
      </c>
      <c r="H31" s="370">
        <f t="shared" si="14"/>
        <v>0</v>
      </c>
      <c r="I31" s="370">
        <f t="shared" si="14"/>
        <v>0</v>
      </c>
      <c r="J31" s="370">
        <f t="shared" si="14"/>
        <v>0</v>
      </c>
      <c r="K31" s="370">
        <f t="shared" si="14"/>
        <v>0</v>
      </c>
      <c r="L31" s="370">
        <f t="shared" si="14"/>
        <v>0</v>
      </c>
      <c r="M31" s="370">
        <f t="shared" si="14"/>
        <v>0</v>
      </c>
      <c r="P31" s="339" t="s">
        <v>471</v>
      </c>
      <c r="Q31" s="340">
        <v>701.5</v>
      </c>
      <c r="R31" s="406"/>
    </row>
    <row r="32" spans="1:18" ht="10.5" customHeight="1" x14ac:dyDescent="0.25">
      <c r="A32" s="331" t="str">
        <f>B9&amp;B32</f>
        <v>Devon EnergyDD&amp;A</v>
      </c>
      <c r="B32" s="82" t="s">
        <v>464</v>
      </c>
      <c r="C32" s="106" t="s">
        <v>545</v>
      </c>
      <c r="D32" s="108">
        <f>E32/$E$24</f>
        <v>9.7380239441675069</v>
      </c>
      <c r="E32" s="364">
        <f t="shared" si="13"/>
        <v>374250</v>
      </c>
      <c r="F32" s="371">
        <f>$D32*F24</f>
        <v>352864.54689829942</v>
      </c>
      <c r="G32" s="371">
        <f t="shared" ref="G32:M32" si="15">$D32*G24</f>
        <v>352864.54689829942</v>
      </c>
      <c r="H32" s="371">
        <f t="shared" si="15"/>
        <v>352864.54689829942</v>
      </c>
      <c r="I32" s="371">
        <f t="shared" si="15"/>
        <v>352864.54689829942</v>
      </c>
      <c r="J32" s="371">
        <f t="shared" si="15"/>
        <v>307026.87690498814</v>
      </c>
      <c r="K32" s="371">
        <f t="shared" si="15"/>
        <v>307026.87690498814</v>
      </c>
      <c r="L32" s="371">
        <f t="shared" si="15"/>
        <v>307026.87690498814</v>
      </c>
      <c r="M32" s="371">
        <f t="shared" si="15"/>
        <v>307026.87690498814</v>
      </c>
      <c r="P32" s="346" t="s">
        <v>474</v>
      </c>
      <c r="Q32" s="347">
        <v>1517.25</v>
      </c>
      <c r="R32" s="407"/>
    </row>
    <row r="33" spans="1:18" ht="10.5" customHeight="1" x14ac:dyDescent="0.25">
      <c r="A33" s="331" t="str">
        <f>B9&amp;B33</f>
        <v>Devon EnergyAsset retirement obligation</v>
      </c>
      <c r="B33" s="82" t="s">
        <v>465</v>
      </c>
      <c r="C33" s="106" t="s">
        <v>545</v>
      </c>
      <c r="D33" s="108">
        <f t="shared" ref="D33:D40" si="16">E33/$E$24</f>
        <v>-0.31224124871078174</v>
      </c>
      <c r="E33" s="364">
        <f t="shared" si="13"/>
        <v>-12000</v>
      </c>
      <c r="F33" s="371">
        <f>$D33*F24</f>
        <v>-11314.294088923427</v>
      </c>
      <c r="G33" s="371">
        <f>$D33*G24</f>
        <v>-11314.294088923427</v>
      </c>
      <c r="H33" s="371">
        <f t="shared" ref="H33:M33" si="17">$D33*H24</f>
        <v>-11314.294088923427</v>
      </c>
      <c r="I33" s="371">
        <f t="shared" si="17"/>
        <v>-11314.294088923427</v>
      </c>
      <c r="J33" s="371">
        <f t="shared" si="17"/>
        <v>-9844.5491592781746</v>
      </c>
      <c r="K33" s="371">
        <f t="shared" si="17"/>
        <v>-9844.5491592781746</v>
      </c>
      <c r="L33" s="371">
        <f t="shared" si="17"/>
        <v>-9844.5491592781746</v>
      </c>
      <c r="M33" s="371">
        <f t="shared" si="17"/>
        <v>-9844.5491592781746</v>
      </c>
      <c r="P33" s="339"/>
      <c r="Q33" s="340"/>
      <c r="R33" s="406"/>
    </row>
    <row r="34" spans="1:18" ht="10.5" customHeight="1" x14ac:dyDescent="0.25">
      <c r="A34" s="331" t="str">
        <f>B9&amp;B34</f>
        <v>Devon EnergyNon-cash compensation</v>
      </c>
      <c r="B34" s="82" t="s">
        <v>505</v>
      </c>
      <c r="C34" s="106" t="s">
        <v>878</v>
      </c>
      <c r="D34" s="108">
        <f t="shared" si="16"/>
        <v>0</v>
      </c>
      <c r="E34" s="364">
        <f t="shared" si="13"/>
        <v>0</v>
      </c>
      <c r="F34" s="370">
        <f>$E34*((F$4*0.0266+11.643)*F$24)/(($E$4*0.0266+11.643)*$E$24)</f>
        <v>0</v>
      </c>
      <c r="G34" s="370">
        <f t="shared" ref="G34:M34" si="18">$E34*((G$4*0.0266+11.643)*G$24)/(($E$4*0.0266+11.643)*$E$24)</f>
        <v>0</v>
      </c>
      <c r="H34" s="370">
        <f t="shared" si="18"/>
        <v>0</v>
      </c>
      <c r="I34" s="370">
        <f t="shared" si="18"/>
        <v>0</v>
      </c>
      <c r="J34" s="370">
        <f t="shared" si="18"/>
        <v>0</v>
      </c>
      <c r="K34" s="370">
        <f t="shared" si="18"/>
        <v>0</v>
      </c>
      <c r="L34" s="370">
        <f t="shared" si="18"/>
        <v>0</v>
      </c>
      <c r="M34" s="370">
        <f t="shared" si="18"/>
        <v>0</v>
      </c>
      <c r="P34" s="335" t="s">
        <v>506</v>
      </c>
      <c r="Q34" s="340"/>
      <c r="R34" s="406"/>
    </row>
    <row r="35" spans="1:18" ht="10.5" customHeight="1" x14ac:dyDescent="0.25">
      <c r="A35" s="331" t="str">
        <f>B9&amp;B35</f>
        <v>Devon EnergyTaxes other than income</v>
      </c>
      <c r="B35" s="82" t="s">
        <v>467</v>
      </c>
      <c r="C35" s="106" t="s">
        <v>545</v>
      </c>
      <c r="D35" s="108">
        <f t="shared" si="16"/>
        <v>0</v>
      </c>
      <c r="E35" s="364">
        <f t="shared" si="13"/>
        <v>0</v>
      </c>
      <c r="F35" s="370">
        <f>$D35*F24</f>
        <v>0</v>
      </c>
      <c r="G35" s="370">
        <f t="shared" ref="G35:M35" si="19">$D35*G24</f>
        <v>0</v>
      </c>
      <c r="H35" s="370">
        <f t="shared" si="19"/>
        <v>0</v>
      </c>
      <c r="I35" s="370">
        <f t="shared" si="19"/>
        <v>0</v>
      </c>
      <c r="J35" s="370">
        <f t="shared" si="19"/>
        <v>0</v>
      </c>
      <c r="K35" s="370">
        <f t="shared" si="19"/>
        <v>0</v>
      </c>
      <c r="L35" s="370">
        <f t="shared" si="19"/>
        <v>0</v>
      </c>
      <c r="M35" s="370">
        <f t="shared" si="19"/>
        <v>0</v>
      </c>
      <c r="P35" s="339" t="s">
        <v>466</v>
      </c>
      <c r="Q35" s="410">
        <v>0</v>
      </c>
      <c r="R35" s="406"/>
    </row>
    <row r="36" spans="1:18" ht="10.5" customHeight="1" x14ac:dyDescent="0.25">
      <c r="A36" s="331" t="str">
        <f>B9&amp;B36</f>
        <v>Devon EnergyLease operating expenses</v>
      </c>
      <c r="B36" s="82" t="s">
        <v>468</v>
      </c>
      <c r="C36" s="106" t="s">
        <v>878</v>
      </c>
      <c r="D36" s="108">
        <f t="shared" si="16"/>
        <v>0</v>
      </c>
      <c r="E36" s="364">
        <f t="shared" si="13"/>
        <v>0</v>
      </c>
      <c r="F36" s="370">
        <f>$E36*((F$4*0.0266+11.643)*F$24)/(($E$4*0.0266+11.643)*$E$24)</f>
        <v>0</v>
      </c>
      <c r="G36" s="370">
        <f t="shared" ref="G36:M38" si="20">$E36*((G$4*0.0266+11.643)*G$24)/(($E$4*0.0266+11.643)*$E$24)</f>
        <v>0</v>
      </c>
      <c r="H36" s="370">
        <f t="shared" si="20"/>
        <v>0</v>
      </c>
      <c r="I36" s="370">
        <f t="shared" si="20"/>
        <v>0</v>
      </c>
      <c r="J36" s="370">
        <f t="shared" si="20"/>
        <v>0</v>
      </c>
      <c r="K36" s="370">
        <f t="shared" si="20"/>
        <v>0</v>
      </c>
      <c r="L36" s="370">
        <f t="shared" si="20"/>
        <v>0</v>
      </c>
      <c r="M36" s="370">
        <f t="shared" si="20"/>
        <v>0</v>
      </c>
      <c r="P36" s="339" t="s">
        <v>475</v>
      </c>
      <c r="Q36" s="410">
        <f>260/4</f>
        <v>65</v>
      </c>
      <c r="R36" s="406"/>
    </row>
    <row r="37" spans="1:18" ht="10.5" customHeight="1" x14ac:dyDescent="0.25">
      <c r="A37" s="331" t="str">
        <f>B9&amp;B37</f>
        <v>Devon EnergyTransportation, Processing, and Other Operating</v>
      </c>
      <c r="B37" s="82" t="s">
        <v>469</v>
      </c>
      <c r="C37" s="106" t="s">
        <v>878</v>
      </c>
      <c r="D37" s="108">
        <f t="shared" si="16"/>
        <v>8.332938324968989</v>
      </c>
      <c r="E37" s="364">
        <f t="shared" si="13"/>
        <v>320250</v>
      </c>
      <c r="F37" s="370">
        <f>$E37*((F$4*0.0266+11.643)*F$24)/(($E$4*0.0266+11.643)*$E$24)</f>
        <v>293807.20072239375</v>
      </c>
      <c r="G37" s="370">
        <f t="shared" si="20"/>
        <v>272265.31039323978</v>
      </c>
      <c r="H37" s="370">
        <f t="shared" si="20"/>
        <v>273468.14335395402</v>
      </c>
      <c r="I37" s="370">
        <f t="shared" si="20"/>
        <v>274670.97631466819</v>
      </c>
      <c r="J37" s="370">
        <f t="shared" si="20"/>
        <v>240037.35945202492</v>
      </c>
      <c r="K37" s="370">
        <f t="shared" si="20"/>
        <v>241083.94248399185</v>
      </c>
      <c r="L37" s="370">
        <f t="shared" si="20"/>
        <v>242130.52551595875</v>
      </c>
      <c r="M37" s="370">
        <f t="shared" si="20"/>
        <v>242130.52551595875</v>
      </c>
      <c r="P37" s="339" t="s">
        <v>508</v>
      </c>
      <c r="Q37" s="410">
        <f>SUM(Q40:Q42)</f>
        <v>68.5</v>
      </c>
      <c r="R37" s="406"/>
    </row>
    <row r="38" spans="1:18" ht="10.5" customHeight="1" x14ac:dyDescent="0.25">
      <c r="A38" s="331" t="str">
        <f>B9&amp;B38</f>
        <v>Devon EnergySG&amp;A</v>
      </c>
      <c r="B38" s="82" t="s">
        <v>470</v>
      </c>
      <c r="C38" s="106" t="s">
        <v>878</v>
      </c>
      <c r="D38" s="108">
        <f t="shared" si="16"/>
        <v>3.0898873570337777</v>
      </c>
      <c r="E38" s="364">
        <f t="shared" si="13"/>
        <v>118750</v>
      </c>
      <c r="F38" s="370">
        <f>$E38*((F$4*0.0266+11.643)*F$24)/(($E$4*0.0266+11.643)*$E$24)</f>
        <v>108944.90268785093</v>
      </c>
      <c r="G38" s="370">
        <f t="shared" si="20"/>
        <v>100957.08230818805</v>
      </c>
      <c r="H38" s="370">
        <f t="shared" si="20"/>
        <v>101403.09765271519</v>
      </c>
      <c r="I38" s="370">
        <f t="shared" si="20"/>
        <v>101849.11299724231</v>
      </c>
      <c r="J38" s="370">
        <f t="shared" si="20"/>
        <v>89006.827275341013</v>
      </c>
      <c r="K38" s="370">
        <f t="shared" si="20"/>
        <v>89394.904512018838</v>
      </c>
      <c r="L38" s="370">
        <f t="shared" si="20"/>
        <v>89782.981748696649</v>
      </c>
      <c r="M38" s="370">
        <f t="shared" si="20"/>
        <v>89782.981748696649</v>
      </c>
      <c r="P38" s="346" t="s">
        <v>518</v>
      </c>
      <c r="Q38" s="410">
        <v>0</v>
      </c>
      <c r="R38" s="407"/>
    </row>
    <row r="39" spans="1:18" ht="10.5" customHeight="1" x14ac:dyDescent="0.25">
      <c r="A39" s="331" t="str">
        <f>B9&amp;B39</f>
        <v>Devon EnergyExploratory and dirt well, dry hole</v>
      </c>
      <c r="B39" s="82" t="s">
        <v>561</v>
      </c>
      <c r="C39" s="106" t="s">
        <v>545</v>
      </c>
      <c r="D39" s="108">
        <f t="shared" si="16"/>
        <v>0.37729150885886131</v>
      </c>
      <c r="E39" s="364">
        <f t="shared" si="13"/>
        <v>14500</v>
      </c>
      <c r="F39" s="372">
        <f>$D39*F24</f>
        <v>13671.438690782476</v>
      </c>
      <c r="G39" s="372">
        <f t="shared" ref="G39:M39" si="21">$D39*G24</f>
        <v>13671.438690782476</v>
      </c>
      <c r="H39" s="372">
        <f t="shared" si="21"/>
        <v>13671.438690782476</v>
      </c>
      <c r="I39" s="372">
        <f t="shared" si="21"/>
        <v>13671.438690782476</v>
      </c>
      <c r="J39" s="372">
        <f t="shared" si="21"/>
        <v>11895.496900794464</v>
      </c>
      <c r="K39" s="372">
        <f t="shared" si="21"/>
        <v>11895.496900794464</v>
      </c>
      <c r="L39" s="372">
        <f t="shared" si="21"/>
        <v>11895.496900794464</v>
      </c>
      <c r="M39" s="372">
        <f t="shared" si="21"/>
        <v>11895.496900794464</v>
      </c>
      <c r="P39" s="339" t="s">
        <v>477</v>
      </c>
      <c r="Q39" s="410">
        <f>-30/4</f>
        <v>-7.5</v>
      </c>
      <c r="R39" s="406"/>
    </row>
    <row r="40" spans="1:18" ht="10.5" customHeight="1" x14ac:dyDescent="0.25">
      <c r="A40" s="331" t="str">
        <f>B9&amp;B40</f>
        <v>Devon EnergyOther Expenses (benefits)</v>
      </c>
      <c r="B40" s="82" t="s">
        <v>471</v>
      </c>
      <c r="C40" s="106" t="s">
        <v>545</v>
      </c>
      <c r="D40" s="108">
        <f t="shared" si="16"/>
        <v>18.253102997551117</v>
      </c>
      <c r="E40" s="364">
        <f t="shared" si="13"/>
        <v>701500</v>
      </c>
      <c r="F40" s="372">
        <f t="shared" ref="F40:M40" si="22">$D40*F24</f>
        <v>661414.77528164873</v>
      </c>
      <c r="G40" s="372">
        <f t="shared" si="22"/>
        <v>661414.77528164873</v>
      </c>
      <c r="H40" s="372">
        <f t="shared" si="22"/>
        <v>661414.77528164873</v>
      </c>
      <c r="I40" s="372">
        <f t="shared" si="22"/>
        <v>661414.77528164873</v>
      </c>
      <c r="J40" s="372">
        <f t="shared" si="22"/>
        <v>575495.93626947002</v>
      </c>
      <c r="K40" s="372">
        <f t="shared" si="22"/>
        <v>575495.93626947002</v>
      </c>
      <c r="L40" s="372">
        <f t="shared" si="22"/>
        <v>575495.93626947002</v>
      </c>
      <c r="M40" s="372">
        <f t="shared" si="22"/>
        <v>575495.93626947002</v>
      </c>
      <c r="P40" s="360" t="s">
        <v>918</v>
      </c>
      <c r="Q40" s="411">
        <v>0</v>
      </c>
      <c r="R40" s="406"/>
    </row>
    <row r="41" spans="1:18" ht="10.5" customHeight="1" x14ac:dyDescent="0.25">
      <c r="A41" s="331" t="str">
        <f>B9&amp;B41</f>
        <v>Devon EnergyTotal Costs and Expenses</v>
      </c>
      <c r="B41" s="85" t="s">
        <v>474</v>
      </c>
      <c r="C41" s="85"/>
      <c r="D41" s="110"/>
      <c r="E41" s="366">
        <f t="shared" ref="E41:M41" si="23">SUM(E31:E40)</f>
        <v>1517250</v>
      </c>
      <c r="F41" s="373">
        <f t="shared" si="23"/>
        <v>1419388.5701920521</v>
      </c>
      <c r="G41" s="373">
        <f t="shared" si="23"/>
        <v>1389858.859483235</v>
      </c>
      <c r="H41" s="373">
        <f t="shared" si="23"/>
        <v>1391507.7077884763</v>
      </c>
      <c r="I41" s="373">
        <f t="shared" si="23"/>
        <v>1393156.5560937179</v>
      </c>
      <c r="J41" s="373">
        <f t="shared" si="23"/>
        <v>1213617.9476433403</v>
      </c>
      <c r="K41" s="373">
        <f t="shared" si="23"/>
        <v>1215052.6079119854</v>
      </c>
      <c r="L41" s="373">
        <f t="shared" si="23"/>
        <v>1216487.2681806297</v>
      </c>
      <c r="M41" s="373">
        <f t="shared" si="23"/>
        <v>1216487.2681806297</v>
      </c>
      <c r="P41" s="360" t="s">
        <v>919</v>
      </c>
      <c r="Q41" s="411">
        <v>0</v>
      </c>
      <c r="R41" s="406"/>
    </row>
    <row r="42" spans="1:18" ht="10.5" customHeight="1" x14ac:dyDescent="0.25">
      <c r="A42" s="331" t="str">
        <f>B9&amp;B42</f>
        <v>Devon EnergyOther (Income) Expense</v>
      </c>
      <c r="B42" s="368" t="s">
        <v>506</v>
      </c>
      <c r="C42" s="368"/>
      <c r="D42" s="112"/>
      <c r="E42" s="364"/>
      <c r="F42" s="372"/>
      <c r="G42" s="372"/>
      <c r="H42" s="372"/>
      <c r="I42" s="372"/>
      <c r="J42" s="372"/>
      <c r="K42" s="372"/>
      <c r="L42" s="372"/>
      <c r="M42" s="372"/>
      <c r="P42" s="360" t="s">
        <v>920</v>
      </c>
      <c r="Q42" s="411">
        <f>274/4</f>
        <v>68.5</v>
      </c>
      <c r="R42" s="406"/>
    </row>
    <row r="43" spans="1:18" ht="10.5" customHeight="1" x14ac:dyDescent="0.25">
      <c r="A43" s="331" t="str">
        <f>B9&amp;B43</f>
        <v>Devon EnergyLoss (gain) on derivative instruments, net</v>
      </c>
      <c r="B43" s="82" t="s">
        <v>466</v>
      </c>
      <c r="C43" s="107" t="s">
        <v>879</v>
      </c>
      <c r="D43" s="108"/>
      <c r="E43" s="364">
        <f>IF(VLOOKUP($B43, P:Q, 2,0) = "-", 0, VLOOKUP($B43, P:Q, 2,0))*1000</f>
        <v>0</v>
      </c>
      <c r="F43" s="372">
        <f>E43</f>
        <v>0</v>
      </c>
      <c r="G43" s="372">
        <f t="shared" ref="G43:M43" si="24">F43</f>
        <v>0</v>
      </c>
      <c r="H43" s="372">
        <f t="shared" si="24"/>
        <v>0</v>
      </c>
      <c r="I43" s="372">
        <f t="shared" si="24"/>
        <v>0</v>
      </c>
      <c r="J43" s="372">
        <f t="shared" si="24"/>
        <v>0</v>
      </c>
      <c r="K43" s="372">
        <f t="shared" si="24"/>
        <v>0</v>
      </c>
      <c r="L43" s="372">
        <f t="shared" si="24"/>
        <v>0</v>
      </c>
      <c r="M43" s="372">
        <f t="shared" si="24"/>
        <v>0</v>
      </c>
      <c r="P43" s="346" t="s">
        <v>478</v>
      </c>
      <c r="Q43" s="412">
        <f>(Q12-Q32-Q35-Q36-Q37-Q39)</f>
        <v>-88.25</v>
      </c>
      <c r="R43" s="407"/>
    </row>
    <row r="44" spans="1:18" ht="10.5" customHeight="1" x14ac:dyDescent="0.25">
      <c r="A44" s="331" t="str">
        <f>B9&amp;B44</f>
        <v>Devon EnergyInterest expense, net</v>
      </c>
      <c r="B44" s="82" t="s">
        <v>475</v>
      </c>
      <c r="C44" s="82" t="s">
        <v>526</v>
      </c>
      <c r="D44" s="108"/>
      <c r="E44" s="364">
        <f>IF(VLOOKUP($B44, P:Q, 2,0) = "-", 0, VLOOKUP($B44, P:Q, 2,0))*1000</f>
        <v>65000</v>
      </c>
      <c r="F44" s="372">
        <f>$E73*(F78/E78)*(($E44/$E73)+IF($B$2="A3",(('Quarterly Forecasts'!$K$5-'Quarterly Forecasts'!$G$5)/400),(('Quarterly Forecasts'!$K$26-'Quarterly Forecasts'!$G$26)/400)))</f>
        <v>79428.403529391959</v>
      </c>
      <c r="G44" s="372">
        <f>$E73*(G78/F78)*(($E44/$E73)+IF($B$2="A3",(('Quarterly Forecasts'!$K$5-'Quarterly Forecasts'!$G$5)/400),(('Quarterly Forecasts'!$K$26-'Quarterly Forecasts'!$G$26)/400)))</f>
        <v>79678.330489999993</v>
      </c>
      <c r="H44" s="372">
        <f>$E73*(H78/G78)*(($E44/$E73)+IF($B$2="A3",(('Quarterly Forecasts'!$K$5-'Quarterly Forecasts'!$G$5)/400),(('Quarterly Forecasts'!$K$26-'Quarterly Forecasts'!$G$26)/400)))</f>
        <v>79678.330489999993</v>
      </c>
      <c r="I44" s="372">
        <f>$E73*(I78/H78)*(($E44/$E73)+IF($B$2="A3",(('Quarterly Forecasts'!$K$5-'Quarterly Forecasts'!$G$5)/400),(('Quarterly Forecasts'!$K$26-'Quarterly Forecasts'!$G$26)/400)))</f>
        <v>79678.330489999993</v>
      </c>
      <c r="J44" s="372">
        <f>$I73*(J78/I78)*(($I44/$I73)+ IF($B$2 = "A3", (('Quarterly Forecasts'!$O$5-'Quarterly Forecasts'!$K$5)/400),  (('Quarterly Forecasts'!$O$26-'Quarterly Forecasts'!$K$26)/400)))</f>
        <v>62422.474673816745</v>
      </c>
      <c r="K44" s="372">
        <f>$I73*(K78/J78)*(($I44/$I73)+ IF($B$2 = "A3", (('Quarterly Forecasts'!$O$5-'Quarterly Forecasts'!$K$5)/400),  (('Quarterly Forecasts'!$O$26-'Quarterly Forecasts'!$K$26)/400)))</f>
        <v>62846.333565000001</v>
      </c>
      <c r="L44" s="372">
        <f>$I73*(L78/K78)*(($I44/$I73)+ IF($B$2 = "A3", (('Quarterly Forecasts'!$O$5-'Quarterly Forecasts'!$K$5)/400),  (('Quarterly Forecasts'!$O$26-'Quarterly Forecasts'!$K$26)/400)))</f>
        <v>62846.333565000001</v>
      </c>
      <c r="M44" s="372">
        <f>$I73*(M78/L78)*(($I44/$I73)+ IF($B$2 = "A3", (('Quarterly Forecasts'!$O$5-'Quarterly Forecasts'!$K$5)/400),  (('Quarterly Forecasts'!$O$26-'Quarterly Forecasts'!$K$26)/400)))</f>
        <v>62846.333565000001</v>
      </c>
      <c r="N44" s="374"/>
      <c r="P44" s="339"/>
      <c r="Q44" s="340"/>
      <c r="R44" s="406"/>
    </row>
    <row r="45" spans="1:18" ht="10.5" customHeight="1" x14ac:dyDescent="0.25">
      <c r="A45" s="331" t="str">
        <f>B9&amp;B45</f>
        <v>Devon EnergyOther, net</v>
      </c>
      <c r="B45" s="82" t="s">
        <v>508</v>
      </c>
      <c r="C45" s="82" t="s">
        <v>509</v>
      </c>
      <c r="D45" s="108"/>
      <c r="E45" s="364">
        <f>IF(VLOOKUP($B45, P:Q, 2,0) = "-", 0, VLOOKUP($B45, P:Q, 2,0))*1000</f>
        <v>68500</v>
      </c>
      <c r="F45" s="372">
        <f>E45</f>
        <v>68500</v>
      </c>
      <c r="G45" s="372">
        <f t="shared" ref="G45:M45" si="25">F45</f>
        <v>68500</v>
      </c>
      <c r="H45" s="372">
        <f t="shared" si="25"/>
        <v>68500</v>
      </c>
      <c r="I45" s="372">
        <f t="shared" si="25"/>
        <v>68500</v>
      </c>
      <c r="J45" s="372">
        <f t="shared" si="25"/>
        <v>68500</v>
      </c>
      <c r="K45" s="372">
        <f t="shared" si="25"/>
        <v>68500</v>
      </c>
      <c r="L45" s="372">
        <f t="shared" si="25"/>
        <v>68500</v>
      </c>
      <c r="M45" s="372">
        <f t="shared" si="25"/>
        <v>68500</v>
      </c>
      <c r="P45" s="335" t="s">
        <v>479</v>
      </c>
      <c r="Q45" s="340"/>
      <c r="R45" s="406"/>
    </row>
    <row r="46" spans="1:18" ht="10.5" customHeight="1" x14ac:dyDescent="0.25">
      <c r="A46" s="331" t="str">
        <f>B9&amp;B46</f>
        <v>Devon EnergyTotal Other (Income) Expense</v>
      </c>
      <c r="B46" s="85" t="s">
        <v>518</v>
      </c>
      <c r="C46" s="85"/>
      <c r="D46" s="110"/>
      <c r="E46" s="366">
        <f>SUM(E43:E45)</f>
        <v>133500</v>
      </c>
      <c r="F46" s="367">
        <f>SUM(F43:F45)</f>
        <v>147928.40352939197</v>
      </c>
      <c r="G46" s="367">
        <f t="shared" ref="G46:L46" si="26">SUM(G43:G45)</f>
        <v>148178.33048999999</v>
      </c>
      <c r="H46" s="367">
        <f t="shared" si="26"/>
        <v>148178.33048999999</v>
      </c>
      <c r="I46" s="367">
        <f t="shared" si="26"/>
        <v>148178.33048999999</v>
      </c>
      <c r="J46" s="367">
        <f t="shared" si="26"/>
        <v>130922.47467381675</v>
      </c>
      <c r="K46" s="367">
        <f t="shared" si="26"/>
        <v>131346.33356500001</v>
      </c>
      <c r="L46" s="367">
        <f t="shared" si="26"/>
        <v>131346.33356500001</v>
      </c>
      <c r="M46" s="367">
        <f>SUM(M43:M45)</f>
        <v>131346.33356500001</v>
      </c>
      <c r="P46" s="339" t="s">
        <v>480</v>
      </c>
      <c r="Q46" s="340">
        <v>1464</v>
      </c>
      <c r="R46" s="406"/>
    </row>
    <row r="47" spans="1:18" ht="10.5" customHeight="1" x14ac:dyDescent="0.25">
      <c r="A47" s="331" t="str">
        <f>B9&amp;B47</f>
        <v>Devon EnergyIncome (loss) from continuing operations before income taxes</v>
      </c>
      <c r="B47" s="368" t="s">
        <v>476</v>
      </c>
      <c r="C47" s="368"/>
      <c r="D47" s="112"/>
      <c r="E47" s="366">
        <f>E29-E41-E46</f>
        <v>-95750</v>
      </c>
      <c r="F47" s="367">
        <f>F29-F41-F46</f>
        <v>-204452.39420765487</v>
      </c>
      <c r="G47" s="367">
        <f t="shared" ref="G47:M47" si="27">G29-G41-G46</f>
        <v>-953461.02701056551</v>
      </c>
      <c r="H47" s="367">
        <f t="shared" si="27"/>
        <v>-903196.36665399827</v>
      </c>
      <c r="I47" s="367">
        <f t="shared" si="27"/>
        <v>-852931.70629743149</v>
      </c>
      <c r="J47" s="367">
        <f t="shared" si="27"/>
        <v>-697297.58336454397</v>
      </c>
      <c r="K47" s="367">
        <f t="shared" si="27"/>
        <v>-653632.11153531447</v>
      </c>
      <c r="L47" s="367">
        <f t="shared" si="27"/>
        <v>-609542.78081490076</v>
      </c>
      <c r="M47" s="367">
        <f t="shared" si="27"/>
        <v>-609542.78081490076</v>
      </c>
      <c r="P47" s="339" t="s">
        <v>481</v>
      </c>
      <c r="Q47" s="340">
        <v>0</v>
      </c>
      <c r="R47" s="406"/>
    </row>
    <row r="48" spans="1:18" ht="10.5" customHeight="1" x14ac:dyDescent="0.25">
      <c r="A48" s="331" t="str">
        <f>B9&amp;B48</f>
        <v>Devon EnergyIncome tax (benefit) expense</v>
      </c>
      <c r="B48" s="132" t="s">
        <v>477</v>
      </c>
      <c r="C48" s="132" t="s">
        <v>525</v>
      </c>
      <c r="D48" s="109">
        <f>ABS(E48/E47)</f>
        <v>7.8328981723237601E-2</v>
      </c>
      <c r="E48" s="364">
        <f>IF(VLOOKUP($B48, P:Q, 2,0) = "-", 0, VLOOKUP($B48, P:Q, 2,0))*1000</f>
        <v>-7500</v>
      </c>
      <c r="F48" s="365">
        <f>$D48*F47</f>
        <v>-16014.547849163568</v>
      </c>
      <c r="G48" s="365">
        <f t="shared" ref="G48:M48" si="28">$D48*G47</f>
        <v>-74683.631358529936</v>
      </c>
      <c r="H48" s="365">
        <f t="shared" si="28"/>
        <v>-70746.451696135642</v>
      </c>
      <c r="I48" s="365">
        <f t="shared" si="28"/>
        <v>-66809.272033741378</v>
      </c>
      <c r="J48" s="365">
        <f t="shared" si="28"/>
        <v>-54618.60966301911</v>
      </c>
      <c r="K48" s="365">
        <f t="shared" si="28"/>
        <v>-51198.337718170849</v>
      </c>
      <c r="L48" s="365">
        <f t="shared" si="28"/>
        <v>-47744.865337981784</v>
      </c>
      <c r="M48" s="365">
        <f t="shared" si="28"/>
        <v>-47744.865337981784</v>
      </c>
      <c r="P48" s="339" t="s">
        <v>482</v>
      </c>
      <c r="Q48" s="340">
        <v>832</v>
      </c>
      <c r="R48" s="406"/>
    </row>
    <row r="49" spans="1:18" ht="10.5" customHeight="1" thickBot="1" x14ac:dyDescent="0.3">
      <c r="A49" s="331" t="str">
        <f>B9&amp;B49</f>
        <v>Devon EnergyNet (loss) Income</v>
      </c>
      <c r="B49" s="375" t="s">
        <v>478</v>
      </c>
      <c r="C49" s="375"/>
      <c r="D49" s="116"/>
      <c r="E49" s="376">
        <f>(E47-E48)</f>
        <v>-88250</v>
      </c>
      <c r="F49" s="377">
        <f>F47-F48</f>
        <v>-188437.84635849131</v>
      </c>
      <c r="G49" s="377">
        <f t="shared" ref="G49:M49" si="29">G47-G48</f>
        <v>-878777.3956520356</v>
      </c>
      <c r="H49" s="377">
        <f t="shared" si="29"/>
        <v>-832449.91495786258</v>
      </c>
      <c r="I49" s="377">
        <f t="shared" si="29"/>
        <v>-786122.43426369014</v>
      </c>
      <c r="J49" s="377">
        <f t="shared" si="29"/>
        <v>-642678.9737015249</v>
      </c>
      <c r="K49" s="377">
        <f t="shared" si="29"/>
        <v>-602433.77381714364</v>
      </c>
      <c r="L49" s="377">
        <f t="shared" si="29"/>
        <v>-561797.91547691892</v>
      </c>
      <c r="M49" s="377">
        <f t="shared" si="29"/>
        <v>-561797.91547691892</v>
      </c>
      <c r="P49" s="339" t="s">
        <v>569</v>
      </c>
      <c r="Q49" s="340">
        <v>0</v>
      </c>
      <c r="R49" s="406"/>
    </row>
    <row r="50" spans="1:18" ht="10.5" customHeight="1" thickTop="1" x14ac:dyDescent="0.25">
      <c r="P50" s="339" t="s">
        <v>484</v>
      </c>
      <c r="Q50" s="340">
        <v>0</v>
      </c>
      <c r="R50" s="406"/>
    </row>
    <row r="51" spans="1:18" ht="10.5" customHeight="1" x14ac:dyDescent="0.25">
      <c r="A51" s="331" t="str">
        <f>B9&amp;B51</f>
        <v>Devon EnergyCurrent Assets</v>
      </c>
      <c r="B51" s="332" t="s">
        <v>479</v>
      </c>
      <c r="C51" s="332"/>
      <c r="D51" s="111"/>
      <c r="E51" s="364"/>
      <c r="F51" s="365"/>
      <c r="G51" s="365"/>
      <c r="H51" s="365"/>
      <c r="I51" s="365"/>
      <c r="J51" s="365"/>
      <c r="K51" s="365"/>
      <c r="L51" s="365"/>
      <c r="M51" s="365"/>
      <c r="P51" s="339" t="s">
        <v>813</v>
      </c>
      <c r="Q51" s="340">
        <v>0</v>
      </c>
      <c r="R51" s="406"/>
    </row>
    <row r="52" spans="1:18" ht="10.5" customHeight="1" x14ac:dyDescent="0.25">
      <c r="A52" s="331" t="str">
        <f>B9&amp;B52</f>
        <v>Devon EnergyCash and cash equivalents</v>
      </c>
      <c r="B52" s="82" t="s">
        <v>480</v>
      </c>
      <c r="C52" s="82" t="s">
        <v>538</v>
      </c>
      <c r="D52" s="140">
        <v>2406</v>
      </c>
      <c r="E52" s="364">
        <f>IF(VLOOKUP($B52, P:Q, 2,0) = "-", 0, VLOOKUP($B52, P:Q, 2,0))*1000</f>
        <v>1464000</v>
      </c>
      <c r="F52" s="365">
        <f>F49+E52</f>
        <v>1275562.1536415087</v>
      </c>
      <c r="G52" s="365">
        <f>G49+F52</f>
        <v>396784.75798947306</v>
      </c>
      <c r="H52" s="365">
        <f t="shared" ref="H52:M52" si="30">H49+G52</f>
        <v>-435665.15696838952</v>
      </c>
      <c r="I52" s="365">
        <f t="shared" si="30"/>
        <v>-1221787.5912320795</v>
      </c>
      <c r="J52" s="365">
        <f t="shared" si="30"/>
        <v>-1864466.5649336046</v>
      </c>
      <c r="K52" s="365">
        <f t="shared" si="30"/>
        <v>-2466900.338750748</v>
      </c>
      <c r="L52" s="365">
        <f t="shared" si="30"/>
        <v>-3028698.2542276671</v>
      </c>
      <c r="M52" s="365">
        <f t="shared" si="30"/>
        <v>-3590496.1697045863</v>
      </c>
      <c r="P52" s="339" t="s">
        <v>486</v>
      </c>
      <c r="Q52" s="340">
        <v>0</v>
      </c>
      <c r="R52" s="406"/>
    </row>
    <row r="53" spans="1:18" ht="10.5" customHeight="1" x14ac:dyDescent="0.25">
      <c r="A53" s="331" t="str">
        <f>B9&amp;B53</f>
        <v>Devon EnergyAccounts receivable, net of allowance</v>
      </c>
      <c r="B53" s="82" t="s">
        <v>481</v>
      </c>
      <c r="C53" s="82"/>
      <c r="D53" s="108"/>
      <c r="E53" s="364"/>
      <c r="F53" s="365"/>
      <c r="G53" s="365"/>
      <c r="H53" s="365"/>
      <c r="I53" s="365"/>
      <c r="J53" s="365"/>
      <c r="K53" s="365"/>
      <c r="L53" s="365"/>
      <c r="M53" s="365"/>
      <c r="P53" s="339" t="s">
        <v>568</v>
      </c>
      <c r="Q53" s="340">
        <v>1555</v>
      </c>
      <c r="R53" s="406"/>
    </row>
    <row r="54" spans="1:18" ht="10.5" customHeight="1" x14ac:dyDescent="0.25">
      <c r="A54" s="331" t="str">
        <f>B9&amp;B54</f>
        <v>Devon EnergyOil and gas sales</v>
      </c>
      <c r="B54" s="82" t="s">
        <v>482</v>
      </c>
      <c r="C54" s="82" t="s">
        <v>539</v>
      </c>
      <c r="D54" s="133">
        <f>E54/E29</f>
        <v>0.53504823151125402</v>
      </c>
      <c r="E54" s="364">
        <f t="shared" ref="E54:E59" si="31">IF(VLOOKUP($B54, P:Q, 2,0) = "-", 0, VLOOKUP($B54, P:Q, 2,0))*1000</f>
        <v>832000</v>
      </c>
      <c r="F54" s="365">
        <f>$D54*F29</f>
        <v>729198.28305818175</v>
      </c>
      <c r="G54" s="365">
        <f>$D54*G29</f>
        <v>312776.44217681093</v>
      </c>
      <c r="H54" s="365">
        <f t="shared" ref="H54:M54" si="32">$D54*H29</f>
        <v>340552.67317785573</v>
      </c>
      <c r="I54" s="365">
        <f t="shared" si="32"/>
        <v>368328.90417890053</v>
      </c>
      <c r="J54" s="365">
        <f t="shared" si="32"/>
        <v>346306.136339919</v>
      </c>
      <c r="K54" s="365">
        <f t="shared" si="32"/>
        <v>370663.66720994865</v>
      </c>
      <c r="L54" s="365">
        <f t="shared" si="32"/>
        <v>395021.19807997847</v>
      </c>
      <c r="M54" s="365">
        <f t="shared" si="32"/>
        <v>395021.19807997847</v>
      </c>
      <c r="P54" s="360" t="s">
        <v>927</v>
      </c>
      <c r="Q54" s="361">
        <v>380</v>
      </c>
      <c r="R54" s="406"/>
    </row>
    <row r="55" spans="1:18" ht="10.5" customHeight="1" x14ac:dyDescent="0.25">
      <c r="A55" s="331" t="str">
        <f>B9&amp;B55</f>
        <v>Devon EnergyOther receivable</v>
      </c>
      <c r="B55" s="82" t="s">
        <v>569</v>
      </c>
      <c r="C55" s="82" t="s">
        <v>539</v>
      </c>
      <c r="D55" s="133">
        <f>E55/E29</f>
        <v>0</v>
      </c>
      <c r="E55" s="364">
        <f t="shared" si="31"/>
        <v>0</v>
      </c>
      <c r="F55" s="365">
        <f t="shared" ref="F55:M55" si="33">$D55*F29</f>
        <v>0</v>
      </c>
      <c r="G55" s="365">
        <f>$D55*G29</f>
        <v>0</v>
      </c>
      <c r="H55" s="365">
        <f t="shared" si="33"/>
        <v>0</v>
      </c>
      <c r="I55" s="365">
        <f t="shared" si="33"/>
        <v>0</v>
      </c>
      <c r="J55" s="365">
        <f t="shared" si="33"/>
        <v>0</v>
      </c>
      <c r="K55" s="365">
        <f t="shared" si="33"/>
        <v>0</v>
      </c>
      <c r="L55" s="365">
        <f t="shared" si="33"/>
        <v>0</v>
      </c>
      <c r="M55" s="365">
        <f t="shared" si="33"/>
        <v>0</v>
      </c>
      <c r="P55" s="360" t="s">
        <v>928</v>
      </c>
      <c r="Q55" s="361">
        <v>896</v>
      </c>
      <c r="R55" s="406"/>
    </row>
    <row r="56" spans="1:18" ht="10.5" customHeight="1" x14ac:dyDescent="0.25">
      <c r="A56" s="331" t="str">
        <f>B9&amp;B56</f>
        <v>Devon EnergyInventory</v>
      </c>
      <c r="B56" s="82" t="s">
        <v>484</v>
      </c>
      <c r="C56" s="82" t="s">
        <v>539</v>
      </c>
      <c r="D56" s="133">
        <f>E56/E29</f>
        <v>0</v>
      </c>
      <c r="E56" s="364">
        <f t="shared" si="31"/>
        <v>0</v>
      </c>
      <c r="F56" s="365">
        <f t="shared" ref="F56:M56" si="34">$D56*F29</f>
        <v>0</v>
      </c>
      <c r="G56" s="365">
        <f t="shared" si="34"/>
        <v>0</v>
      </c>
      <c r="H56" s="365">
        <f t="shared" si="34"/>
        <v>0</v>
      </c>
      <c r="I56" s="365">
        <f t="shared" si="34"/>
        <v>0</v>
      </c>
      <c r="J56" s="365">
        <f t="shared" si="34"/>
        <v>0</v>
      </c>
      <c r="K56" s="365">
        <f t="shared" si="34"/>
        <v>0</v>
      </c>
      <c r="L56" s="365">
        <f t="shared" si="34"/>
        <v>0</v>
      </c>
      <c r="M56" s="365">
        <f t="shared" si="34"/>
        <v>0</v>
      </c>
      <c r="P56" s="346" t="s">
        <v>487</v>
      </c>
      <c r="Q56" s="347">
        <v>3851</v>
      </c>
      <c r="R56" s="407"/>
    </row>
    <row r="57" spans="1:18" ht="10.5" customHeight="1" x14ac:dyDescent="0.25">
      <c r="A57" s="331" t="str">
        <f>B9&amp;B57</f>
        <v>Devon EnergyDerivative instruments current assets</v>
      </c>
      <c r="B57" s="82" t="s">
        <v>813</v>
      </c>
      <c r="C57" s="107" t="s">
        <v>507</v>
      </c>
      <c r="D57" s="108"/>
      <c r="E57" s="364">
        <f t="shared" si="31"/>
        <v>0</v>
      </c>
      <c r="F57" s="378"/>
      <c r="G57" s="378"/>
      <c r="H57" s="378"/>
      <c r="I57" s="378"/>
      <c r="J57" s="378"/>
      <c r="K57" s="378"/>
      <c r="L57" s="378"/>
      <c r="M57" s="378"/>
      <c r="P57" s="339" t="s">
        <v>488</v>
      </c>
      <c r="Q57" s="340">
        <v>8593</v>
      </c>
      <c r="R57" s="406"/>
    </row>
    <row r="58" spans="1:18" ht="10.5" customHeight="1" x14ac:dyDescent="0.25">
      <c r="A58" s="331" t="str">
        <f>B9&amp;B58</f>
        <v>Devon EnergyPrepaid expenses</v>
      </c>
      <c r="B58" s="82" t="s">
        <v>486</v>
      </c>
      <c r="C58" s="82" t="s">
        <v>509</v>
      </c>
      <c r="D58" s="108"/>
      <c r="E58" s="364">
        <f t="shared" si="31"/>
        <v>0</v>
      </c>
      <c r="F58" s="365">
        <f>E58</f>
        <v>0</v>
      </c>
      <c r="G58" s="365">
        <f t="shared" ref="G58:M59" si="35">F58</f>
        <v>0</v>
      </c>
      <c r="H58" s="365">
        <f t="shared" si="35"/>
        <v>0</v>
      </c>
      <c r="I58" s="365">
        <f t="shared" si="35"/>
        <v>0</v>
      </c>
      <c r="J58" s="365">
        <f t="shared" si="35"/>
        <v>0</v>
      </c>
      <c r="K58" s="365">
        <f t="shared" si="35"/>
        <v>0</v>
      </c>
      <c r="L58" s="365">
        <f t="shared" si="35"/>
        <v>0</v>
      </c>
      <c r="M58" s="365">
        <f t="shared" si="35"/>
        <v>0</v>
      </c>
      <c r="P58" s="339" t="s">
        <v>814</v>
      </c>
      <c r="Q58" s="340">
        <v>0</v>
      </c>
      <c r="R58" s="406"/>
    </row>
    <row r="59" spans="1:18" ht="10.5" customHeight="1" x14ac:dyDescent="0.25">
      <c r="A59" s="331" t="str">
        <f>B9&amp;B59</f>
        <v>Devon EnergyOther current assets</v>
      </c>
      <c r="B59" s="82" t="s">
        <v>568</v>
      </c>
      <c r="C59" s="82" t="s">
        <v>509</v>
      </c>
      <c r="D59" s="108"/>
      <c r="E59" s="364">
        <f t="shared" si="31"/>
        <v>1555000</v>
      </c>
      <c r="F59" s="365">
        <f>E59</f>
        <v>1555000</v>
      </c>
      <c r="G59" s="365">
        <f t="shared" si="35"/>
        <v>1555000</v>
      </c>
      <c r="H59" s="365">
        <f t="shared" si="35"/>
        <v>1555000</v>
      </c>
      <c r="I59" s="365">
        <f t="shared" si="35"/>
        <v>1555000</v>
      </c>
      <c r="J59" s="365">
        <f t="shared" si="35"/>
        <v>1555000</v>
      </c>
      <c r="K59" s="365">
        <f t="shared" si="35"/>
        <v>1555000</v>
      </c>
      <c r="L59" s="365">
        <f t="shared" si="35"/>
        <v>1555000</v>
      </c>
      <c r="M59" s="365">
        <f t="shared" si="35"/>
        <v>1555000</v>
      </c>
      <c r="P59" s="339" t="s">
        <v>815</v>
      </c>
      <c r="Q59" s="340">
        <v>0</v>
      </c>
      <c r="R59" s="406"/>
    </row>
    <row r="60" spans="1:18" ht="10.5" customHeight="1" x14ac:dyDescent="0.25">
      <c r="A60" s="331" t="str">
        <f>B9&amp;B60</f>
        <v>Devon EnergyTotal current assets</v>
      </c>
      <c r="B60" s="87" t="s">
        <v>487</v>
      </c>
      <c r="C60" s="87"/>
      <c r="D60" s="111"/>
      <c r="E60" s="366">
        <f>SUM(E52:E59)</f>
        <v>3851000</v>
      </c>
      <c r="F60" s="367">
        <f>SUM(F52:F59)</f>
        <v>3559760.4366996903</v>
      </c>
      <c r="G60" s="367">
        <f t="shared" ref="G60:M60" si="36">SUM(G52:G59)</f>
        <v>2264561.2001662841</v>
      </c>
      <c r="H60" s="367">
        <f t="shared" si="36"/>
        <v>1459887.5162094662</v>
      </c>
      <c r="I60" s="367">
        <f t="shared" si="36"/>
        <v>701541.31294682098</v>
      </c>
      <c r="J60" s="367">
        <f t="shared" si="36"/>
        <v>36839.571406314382</v>
      </c>
      <c r="K60" s="367">
        <f t="shared" si="36"/>
        <v>-541236.67154079932</v>
      </c>
      <c r="L60" s="367">
        <f t="shared" si="36"/>
        <v>-1078677.0561476885</v>
      </c>
      <c r="M60" s="367">
        <f t="shared" si="36"/>
        <v>-1640474.9716246077</v>
      </c>
      <c r="P60" s="339" t="s">
        <v>490</v>
      </c>
      <c r="Q60" s="340">
        <v>753</v>
      </c>
      <c r="R60" s="406"/>
    </row>
    <row r="61" spans="1:18" ht="10.5" customHeight="1" x14ac:dyDescent="0.25">
      <c r="A61" s="331" t="str">
        <f>B9&amp;B61</f>
        <v>Devon EnergyProperty and equipment, net</v>
      </c>
      <c r="B61" s="368" t="s">
        <v>488</v>
      </c>
      <c r="C61" s="132" t="s">
        <v>509</v>
      </c>
      <c r="D61" s="112"/>
      <c r="E61" s="364">
        <f>IF(VLOOKUP($B61, P:Q, 2,0) = "-", 0, VLOOKUP($B61, P:Q, 2,0))*1000</f>
        <v>8593000</v>
      </c>
      <c r="F61" s="365">
        <f>E61</f>
        <v>8593000</v>
      </c>
      <c r="G61" s="365">
        <f t="shared" ref="G61:M61" si="37">F61</f>
        <v>8593000</v>
      </c>
      <c r="H61" s="365">
        <f t="shared" si="37"/>
        <v>8593000</v>
      </c>
      <c r="I61" s="365">
        <f t="shared" si="37"/>
        <v>8593000</v>
      </c>
      <c r="J61" s="365">
        <f t="shared" si="37"/>
        <v>8593000</v>
      </c>
      <c r="K61" s="365">
        <f t="shared" si="37"/>
        <v>8593000</v>
      </c>
      <c r="L61" s="365">
        <f t="shared" si="37"/>
        <v>8593000</v>
      </c>
      <c r="M61" s="365">
        <f t="shared" si="37"/>
        <v>8593000</v>
      </c>
      <c r="P61" s="339" t="s">
        <v>491</v>
      </c>
      <c r="Q61" s="340">
        <v>520</v>
      </c>
      <c r="R61" s="406"/>
    </row>
    <row r="62" spans="1:18" ht="10.5" customHeight="1" x14ac:dyDescent="0.25">
      <c r="A62" s="331" t="str">
        <f>B9&amp;B62</f>
        <v>Devon EnergyDerivative instruments total assets</v>
      </c>
      <c r="B62" s="132" t="s">
        <v>814</v>
      </c>
      <c r="C62" s="379" t="s">
        <v>507</v>
      </c>
      <c r="D62" s="108"/>
      <c r="E62" s="364">
        <f>IF(VLOOKUP($B62, P:Q, 2,0) = "-", 0, VLOOKUP($B62, P:Q, 2,0))*1000</f>
        <v>0</v>
      </c>
      <c r="F62" s="378"/>
      <c r="G62" s="378"/>
      <c r="H62" s="378"/>
      <c r="I62" s="378"/>
      <c r="J62" s="378"/>
      <c r="K62" s="378"/>
      <c r="L62" s="378"/>
      <c r="M62" s="378"/>
      <c r="P62" s="360" t="s">
        <v>929</v>
      </c>
      <c r="Q62" s="361">
        <v>243</v>
      </c>
      <c r="R62" s="406"/>
    </row>
    <row r="63" spans="1:18" ht="10.5" customHeight="1" x14ac:dyDescent="0.25">
      <c r="A63" s="331" t="str">
        <f>B9&amp;B63</f>
        <v>Devon EnergyDeferred income taxes assets</v>
      </c>
      <c r="B63" s="132" t="s">
        <v>815</v>
      </c>
      <c r="C63" s="132" t="s">
        <v>509</v>
      </c>
      <c r="D63" s="108"/>
      <c r="E63" s="364">
        <f>IF(VLOOKUP($B63, P:Q, 2,0) = "-", 0, VLOOKUP($B63, P:Q, 2,0))*1000</f>
        <v>0</v>
      </c>
      <c r="F63" s="365">
        <f>E63</f>
        <v>0</v>
      </c>
      <c r="G63" s="365">
        <f t="shared" ref="G63:M65" si="38">F63</f>
        <v>0</v>
      </c>
      <c r="H63" s="365">
        <f t="shared" si="38"/>
        <v>0</v>
      </c>
      <c r="I63" s="365">
        <f t="shared" si="38"/>
        <v>0</v>
      </c>
      <c r="J63" s="365">
        <f t="shared" si="38"/>
        <v>0</v>
      </c>
      <c r="K63" s="365">
        <f t="shared" si="38"/>
        <v>0</v>
      </c>
      <c r="L63" s="365">
        <f t="shared" si="38"/>
        <v>0</v>
      </c>
      <c r="M63" s="365">
        <f t="shared" si="38"/>
        <v>0</v>
      </c>
      <c r="P63" s="360" t="s">
        <v>930</v>
      </c>
      <c r="Q63" s="361">
        <v>81</v>
      </c>
      <c r="R63" s="406"/>
    </row>
    <row r="64" spans="1:18" ht="10.5" customHeight="1" x14ac:dyDescent="0.25">
      <c r="A64" s="331" t="str">
        <f>B9&amp;B64</f>
        <v>Devon EnergyGoodwill</v>
      </c>
      <c r="B64" s="132" t="s">
        <v>490</v>
      </c>
      <c r="C64" s="132" t="s">
        <v>509</v>
      </c>
      <c r="D64" s="108"/>
      <c r="E64" s="364">
        <f>IF(VLOOKUP($B64, P:Q, 2,0) = "-", 0, VLOOKUP($B64, P:Q, 2,0))*1000</f>
        <v>753000</v>
      </c>
      <c r="F64" s="365">
        <f>E64</f>
        <v>753000</v>
      </c>
      <c r="G64" s="365">
        <f t="shared" si="38"/>
        <v>753000</v>
      </c>
      <c r="H64" s="365">
        <f t="shared" si="38"/>
        <v>753000</v>
      </c>
      <c r="I64" s="365">
        <f t="shared" si="38"/>
        <v>753000</v>
      </c>
      <c r="J64" s="365">
        <f t="shared" si="38"/>
        <v>753000</v>
      </c>
      <c r="K64" s="365">
        <f t="shared" si="38"/>
        <v>753000</v>
      </c>
      <c r="L64" s="365">
        <f t="shared" si="38"/>
        <v>753000</v>
      </c>
      <c r="M64" s="365">
        <f t="shared" si="38"/>
        <v>753000</v>
      </c>
      <c r="P64" s="346" t="s">
        <v>492</v>
      </c>
      <c r="Q64" s="347">
        <v>13717</v>
      </c>
      <c r="R64" s="407"/>
    </row>
    <row r="65" spans="1:18" ht="10.5" customHeight="1" x14ac:dyDescent="0.25">
      <c r="A65" s="331" t="str">
        <f>B9&amp;B65</f>
        <v>Devon EnergyOther assets</v>
      </c>
      <c r="B65" s="357" t="s">
        <v>491</v>
      </c>
      <c r="C65" s="357" t="s">
        <v>509</v>
      </c>
      <c r="D65" s="114"/>
      <c r="E65" s="364">
        <f>IF(VLOOKUP($B65, P:Q, 2,0) = "-", 0, VLOOKUP($B65, P:Q, 2,0))*1000</f>
        <v>520000</v>
      </c>
      <c r="F65" s="365">
        <f>E65</f>
        <v>520000</v>
      </c>
      <c r="G65" s="365">
        <f t="shared" si="38"/>
        <v>520000</v>
      </c>
      <c r="H65" s="365">
        <f t="shared" si="38"/>
        <v>520000</v>
      </c>
      <c r="I65" s="365">
        <f t="shared" si="38"/>
        <v>520000</v>
      </c>
      <c r="J65" s="365">
        <f t="shared" si="38"/>
        <v>520000</v>
      </c>
      <c r="K65" s="365">
        <f t="shared" si="38"/>
        <v>520000</v>
      </c>
      <c r="L65" s="365">
        <f t="shared" si="38"/>
        <v>520000</v>
      </c>
      <c r="M65" s="365">
        <f t="shared" si="38"/>
        <v>520000</v>
      </c>
      <c r="P65" s="339"/>
      <c r="Q65" s="340"/>
      <c r="R65" s="406"/>
    </row>
    <row r="66" spans="1:18" ht="10.5" customHeight="1" x14ac:dyDescent="0.25">
      <c r="A66" s="331" t="str">
        <f>B9&amp;B66</f>
        <v>Devon EnergyTotal assets</v>
      </c>
      <c r="B66" s="88" t="s">
        <v>492</v>
      </c>
      <c r="C66" s="88"/>
      <c r="D66" s="112"/>
      <c r="E66" s="366">
        <f>SUM(E60:E65)</f>
        <v>13717000</v>
      </c>
      <c r="F66" s="367">
        <f>SUM(F60:F65)</f>
        <v>13425760.43669969</v>
      </c>
      <c r="G66" s="367">
        <f t="shared" ref="G66:M66" si="39">SUM(G60:G65)</f>
        <v>12130561.200166285</v>
      </c>
      <c r="H66" s="367">
        <f t="shared" si="39"/>
        <v>11325887.516209466</v>
      </c>
      <c r="I66" s="367">
        <f t="shared" si="39"/>
        <v>10567541.312946821</v>
      </c>
      <c r="J66" s="367">
        <f t="shared" si="39"/>
        <v>9902839.5714063141</v>
      </c>
      <c r="K66" s="367">
        <f t="shared" si="39"/>
        <v>9324763.3284591995</v>
      </c>
      <c r="L66" s="367">
        <f t="shared" si="39"/>
        <v>8787322.943852311</v>
      </c>
      <c r="M66" s="367">
        <f t="shared" si="39"/>
        <v>8225525.0283753928</v>
      </c>
      <c r="P66" s="335" t="s">
        <v>498</v>
      </c>
      <c r="Q66" s="340"/>
      <c r="R66" s="406"/>
    </row>
    <row r="67" spans="1:18" ht="10.5" customHeight="1" x14ac:dyDescent="0.25">
      <c r="A67" s="331" t="str">
        <f>B9&amp;B67</f>
        <v>Devon EnergyCurrent liabilities</v>
      </c>
      <c r="B67" s="368" t="s">
        <v>498</v>
      </c>
      <c r="C67" s="368"/>
      <c r="D67" s="112"/>
      <c r="E67" s="364"/>
      <c r="F67" s="365"/>
      <c r="G67" s="365"/>
      <c r="H67" s="365"/>
      <c r="I67" s="365"/>
      <c r="J67" s="365"/>
      <c r="K67" s="365"/>
      <c r="L67" s="365"/>
      <c r="M67" s="365"/>
      <c r="P67" s="339" t="s">
        <v>493</v>
      </c>
      <c r="Q67" s="340">
        <v>428</v>
      </c>
      <c r="R67" s="406"/>
    </row>
    <row r="68" spans="1:18" ht="10.5" customHeight="1" x14ac:dyDescent="0.25">
      <c r="A68" s="331" t="str">
        <f>B9&amp;B68</f>
        <v>Devon EnergyAccounts payable</v>
      </c>
      <c r="B68" s="82" t="s">
        <v>493</v>
      </c>
      <c r="C68" s="82" t="s">
        <v>539</v>
      </c>
      <c r="D68" s="108">
        <f>E68/E24</f>
        <v>11.136604537351216</v>
      </c>
      <c r="E68" s="364">
        <f>IF(VLOOKUP($B68, P:Q, 2,0) = "-", 0, VLOOKUP($B68, P:Q, 2,0))*1000</f>
        <v>428000</v>
      </c>
      <c r="F68" s="365">
        <f>$D68*F24</f>
        <v>403543.15583826893</v>
      </c>
      <c r="G68" s="365">
        <f t="shared" ref="G68:M68" si="40">$D68*G24</f>
        <v>403543.15583826893</v>
      </c>
      <c r="H68" s="365">
        <f t="shared" si="40"/>
        <v>403543.15583826893</v>
      </c>
      <c r="I68" s="365">
        <f t="shared" si="40"/>
        <v>403543.15583826893</v>
      </c>
      <c r="J68" s="365">
        <f t="shared" si="40"/>
        <v>351122.2533475883</v>
      </c>
      <c r="K68" s="365">
        <f t="shared" si="40"/>
        <v>351122.2533475883</v>
      </c>
      <c r="L68" s="365">
        <f t="shared" si="40"/>
        <v>351122.2533475883</v>
      </c>
      <c r="M68" s="365">
        <f t="shared" si="40"/>
        <v>351122.2533475883</v>
      </c>
      <c r="P68" s="339" t="s">
        <v>510</v>
      </c>
      <c r="Q68" s="340">
        <v>0</v>
      </c>
      <c r="R68" s="406"/>
    </row>
    <row r="69" spans="1:18" ht="10.5" customHeight="1" x14ac:dyDescent="0.25">
      <c r="A69" s="331" t="str">
        <f>B9&amp;B69</f>
        <v>Devon EnergyAccrued liabilities</v>
      </c>
      <c r="B69" s="82" t="s">
        <v>510</v>
      </c>
      <c r="C69" s="82" t="s">
        <v>507</v>
      </c>
      <c r="D69" s="108"/>
      <c r="E69" s="364">
        <f>IF(VLOOKUP($B69, P:Q, 2,0) = "-", 0, VLOOKUP($B69, P:Q, 2,0))*1000</f>
        <v>0</v>
      </c>
      <c r="F69" s="365">
        <f>E69</f>
        <v>0</v>
      </c>
      <c r="G69" s="365">
        <f t="shared" ref="G69:M69" si="41">F69</f>
        <v>0</v>
      </c>
      <c r="H69" s="365">
        <f t="shared" si="41"/>
        <v>0</v>
      </c>
      <c r="I69" s="365">
        <f t="shared" si="41"/>
        <v>0</v>
      </c>
      <c r="J69" s="365">
        <f t="shared" si="41"/>
        <v>0</v>
      </c>
      <c r="K69" s="365">
        <f t="shared" si="41"/>
        <v>0</v>
      </c>
      <c r="L69" s="365">
        <f t="shared" si="41"/>
        <v>0</v>
      </c>
      <c r="M69" s="365">
        <f t="shared" si="41"/>
        <v>0</v>
      </c>
      <c r="P69" s="339" t="s">
        <v>812</v>
      </c>
      <c r="Q69" s="340">
        <v>0</v>
      </c>
      <c r="R69" s="406"/>
    </row>
    <row r="70" spans="1:18" ht="10.5" customHeight="1" x14ac:dyDescent="0.25">
      <c r="A70" s="331" t="str">
        <f>B9&amp;B70</f>
        <v>Devon EnergyDerivative instruments current liabilities</v>
      </c>
      <c r="B70" s="82" t="s">
        <v>812</v>
      </c>
      <c r="C70" s="107" t="s">
        <v>507</v>
      </c>
      <c r="D70" s="108"/>
      <c r="E70" s="364">
        <f>IF(VLOOKUP($B70, P:Q, 2,0) = "-", 0, VLOOKUP($B70, P:Q, 2,0))*1000</f>
        <v>0</v>
      </c>
      <c r="F70" s="378"/>
      <c r="G70" s="378"/>
      <c r="H70" s="378"/>
      <c r="I70" s="378"/>
      <c r="J70" s="378"/>
      <c r="K70" s="378"/>
      <c r="L70" s="378"/>
      <c r="M70" s="378"/>
      <c r="P70" s="339" t="s">
        <v>494</v>
      </c>
      <c r="Q70" s="340">
        <v>1499</v>
      </c>
      <c r="R70" s="406"/>
    </row>
    <row r="71" spans="1:18" ht="10.5" customHeight="1" x14ac:dyDescent="0.25">
      <c r="A71" s="331" t="str">
        <f>B9&amp;B71</f>
        <v>Devon EnergyOther current liabilities</v>
      </c>
      <c r="B71" s="82" t="s">
        <v>494</v>
      </c>
      <c r="C71" s="82" t="s">
        <v>509</v>
      </c>
      <c r="D71" s="108"/>
      <c r="E71" s="364">
        <f>IF(VLOOKUP($B71, P:Q, 2,0) = "-", 0, VLOOKUP($B71, P:Q, 2,0))*1000</f>
        <v>1499000</v>
      </c>
      <c r="F71" s="365">
        <f>E71</f>
        <v>1499000</v>
      </c>
      <c r="G71" s="365">
        <f t="shared" ref="G71:M71" si="42">F71</f>
        <v>1499000</v>
      </c>
      <c r="H71" s="365">
        <f t="shared" si="42"/>
        <v>1499000</v>
      </c>
      <c r="I71" s="365">
        <f t="shared" si="42"/>
        <v>1499000</v>
      </c>
      <c r="J71" s="365">
        <f t="shared" si="42"/>
        <v>1499000</v>
      </c>
      <c r="K71" s="365">
        <f t="shared" si="42"/>
        <v>1499000</v>
      </c>
      <c r="L71" s="365">
        <f t="shared" si="42"/>
        <v>1499000</v>
      </c>
      <c r="M71" s="365">
        <f t="shared" si="42"/>
        <v>1499000</v>
      </c>
      <c r="P71" s="360" t="s">
        <v>931</v>
      </c>
      <c r="Q71" s="361">
        <v>0</v>
      </c>
      <c r="R71" s="406"/>
    </row>
    <row r="72" spans="1:18" ht="10.5" customHeight="1" x14ac:dyDescent="0.25">
      <c r="A72" s="331" t="str">
        <f>B9&amp;B72</f>
        <v>Devon EnergyTotal current liabilities</v>
      </c>
      <c r="B72" s="87" t="s">
        <v>497</v>
      </c>
      <c r="C72" s="87"/>
      <c r="D72" s="111"/>
      <c r="E72" s="366">
        <f>SUM(E68:E71)</f>
        <v>1927000</v>
      </c>
      <c r="F72" s="367">
        <f>SUM(F68:F71)</f>
        <v>1902543.1558382688</v>
      </c>
      <c r="G72" s="367">
        <f>SUM(G68:G71)</f>
        <v>1902543.1558382688</v>
      </c>
      <c r="H72" s="367">
        <f t="shared" ref="H72:M72" si="43">SUM(H68:H71)</f>
        <v>1902543.1558382688</v>
      </c>
      <c r="I72" s="367">
        <f t="shared" si="43"/>
        <v>1902543.1558382688</v>
      </c>
      <c r="J72" s="367">
        <f t="shared" si="43"/>
        <v>1850122.2533475882</v>
      </c>
      <c r="K72" s="367">
        <f t="shared" si="43"/>
        <v>1850122.2533475882</v>
      </c>
      <c r="L72" s="367">
        <f t="shared" si="43"/>
        <v>1850122.2533475882</v>
      </c>
      <c r="M72" s="367">
        <f t="shared" si="43"/>
        <v>1850122.2533475882</v>
      </c>
      <c r="P72" s="360" t="s">
        <v>932</v>
      </c>
      <c r="Q72" s="361">
        <v>730</v>
      </c>
      <c r="R72" s="406"/>
    </row>
    <row r="73" spans="1:18" ht="10.5" customHeight="1" x14ac:dyDescent="0.25">
      <c r="A73" s="331" t="str">
        <f>B9&amp;B73</f>
        <v>Devon EnergyLong-term debt, net</v>
      </c>
      <c r="B73" s="132" t="s">
        <v>511</v>
      </c>
      <c r="C73" s="132" t="s">
        <v>509</v>
      </c>
      <c r="D73" s="108"/>
      <c r="E73" s="364">
        <f>IF(VLOOKUP($B73, P:Q, 2,0) = "-", 0, VLOOKUP($B73, P:Q, 2,0))*1000</f>
        <v>4294000</v>
      </c>
      <c r="F73" s="365">
        <f t="shared" ref="F73:M74" si="44">E73</f>
        <v>4294000</v>
      </c>
      <c r="G73" s="365">
        <f t="shared" si="44"/>
        <v>4294000</v>
      </c>
      <c r="H73" s="365">
        <f t="shared" si="44"/>
        <v>4294000</v>
      </c>
      <c r="I73" s="365">
        <f t="shared" si="44"/>
        <v>4294000</v>
      </c>
      <c r="J73" s="365">
        <f t="shared" si="44"/>
        <v>4294000</v>
      </c>
      <c r="K73" s="365">
        <f t="shared" si="44"/>
        <v>4294000</v>
      </c>
      <c r="L73" s="365">
        <f t="shared" si="44"/>
        <v>4294000</v>
      </c>
      <c r="M73" s="365">
        <f t="shared" si="44"/>
        <v>4294000</v>
      </c>
      <c r="P73" s="360" t="s">
        <v>933</v>
      </c>
      <c r="Q73" s="361">
        <v>459</v>
      </c>
      <c r="R73" s="406"/>
    </row>
    <row r="74" spans="1:18" ht="10.5" customHeight="1" x14ac:dyDescent="0.25">
      <c r="A74" s="331" t="str">
        <f>B9&amp;B74</f>
        <v>Devon EnergyAsset retirement obligations</v>
      </c>
      <c r="B74" s="132" t="s">
        <v>495</v>
      </c>
      <c r="C74" s="132" t="s">
        <v>509</v>
      </c>
      <c r="D74" s="108"/>
      <c r="E74" s="364">
        <f>IF(VLOOKUP($B74, P:Q, 2,0) = "-", 0, VLOOKUP($B74, P:Q, 2,0))*1000</f>
        <v>380000</v>
      </c>
      <c r="F74" s="365">
        <f>E74</f>
        <v>380000</v>
      </c>
      <c r="G74" s="365">
        <f t="shared" si="44"/>
        <v>380000</v>
      </c>
      <c r="H74" s="365">
        <f t="shared" si="44"/>
        <v>380000</v>
      </c>
      <c r="I74" s="365">
        <f t="shared" si="44"/>
        <v>380000</v>
      </c>
      <c r="J74" s="365">
        <f t="shared" si="44"/>
        <v>380000</v>
      </c>
      <c r="K74" s="365">
        <f t="shared" si="44"/>
        <v>380000</v>
      </c>
      <c r="L74" s="365">
        <f t="shared" si="44"/>
        <v>380000</v>
      </c>
      <c r="M74" s="365">
        <f t="shared" si="44"/>
        <v>380000</v>
      </c>
      <c r="P74" s="346" t="s">
        <v>497</v>
      </c>
      <c r="Q74" s="347">
        <v>1927</v>
      </c>
      <c r="R74" s="407"/>
    </row>
    <row r="75" spans="1:18" ht="10.5" customHeight="1" x14ac:dyDescent="0.25">
      <c r="A75" s="331" t="str">
        <f>B9&amp;B75</f>
        <v>Devon EnergyDerivative instruments liabilities</v>
      </c>
      <c r="B75" s="132" t="s">
        <v>811</v>
      </c>
      <c r="C75" s="379" t="s">
        <v>507</v>
      </c>
      <c r="D75" s="108"/>
      <c r="E75" s="364">
        <f>IF(VLOOKUP($B75, P:Q, 2,0) = "-", 0, VLOOKUP($B75, P:Q, 2,0))*1000</f>
        <v>0</v>
      </c>
      <c r="F75" s="378"/>
      <c r="G75" s="378"/>
      <c r="H75" s="378"/>
      <c r="I75" s="378"/>
      <c r="J75" s="378"/>
      <c r="K75" s="378"/>
      <c r="L75" s="378"/>
      <c r="M75" s="378"/>
      <c r="P75" s="339" t="s">
        <v>511</v>
      </c>
      <c r="Q75" s="340">
        <v>4294</v>
      </c>
      <c r="R75" s="406"/>
    </row>
    <row r="76" spans="1:18" ht="10.5" customHeight="1" x14ac:dyDescent="0.25">
      <c r="A76" s="331" t="str">
        <f>B9&amp;B76</f>
        <v>Devon EnergyDeferred income taxes liabilities</v>
      </c>
      <c r="B76" s="132" t="s">
        <v>810</v>
      </c>
      <c r="C76" s="132" t="s">
        <v>509</v>
      </c>
      <c r="D76" s="108"/>
      <c r="E76" s="364">
        <f>IF(VLOOKUP($B76, P:Q, 2,0) = "-", 0, VLOOKUP($B76, P:Q, 2,0))*1000</f>
        <v>341000</v>
      </c>
      <c r="F76" s="365">
        <f>E76</f>
        <v>341000</v>
      </c>
      <c r="G76" s="365">
        <f t="shared" ref="G76:M77" si="45">F76</f>
        <v>341000</v>
      </c>
      <c r="H76" s="365">
        <f t="shared" si="45"/>
        <v>341000</v>
      </c>
      <c r="I76" s="365">
        <f t="shared" si="45"/>
        <v>341000</v>
      </c>
      <c r="J76" s="365">
        <f t="shared" si="45"/>
        <v>341000</v>
      </c>
      <c r="K76" s="365">
        <f t="shared" si="45"/>
        <v>341000</v>
      </c>
      <c r="L76" s="365">
        <f t="shared" si="45"/>
        <v>341000</v>
      </c>
      <c r="M76" s="365">
        <f t="shared" si="45"/>
        <v>341000</v>
      </c>
      <c r="P76" s="339" t="s">
        <v>495</v>
      </c>
      <c r="Q76" s="340">
        <v>380</v>
      </c>
      <c r="R76" s="406"/>
    </row>
    <row r="77" spans="1:18" ht="10.5" customHeight="1" x14ac:dyDescent="0.25">
      <c r="A77" s="331" t="str">
        <f>B9&amp;B77</f>
        <v>Devon EnergyOther long-term liabilities</v>
      </c>
      <c r="B77" s="132" t="s">
        <v>496</v>
      </c>
      <c r="C77" s="132" t="s">
        <v>509</v>
      </c>
      <c r="D77" s="108"/>
      <c r="E77" s="364">
        <f>IF(VLOOKUP($B77, P:Q, 2,0) = "-", 0, VLOOKUP($B77, P:Q, 2,0))*1000</f>
        <v>855000</v>
      </c>
      <c r="F77" s="365">
        <f>E77</f>
        <v>855000</v>
      </c>
      <c r="G77" s="365">
        <f t="shared" si="45"/>
        <v>855000</v>
      </c>
      <c r="H77" s="365">
        <f t="shared" si="45"/>
        <v>855000</v>
      </c>
      <c r="I77" s="365">
        <f t="shared" si="45"/>
        <v>855000</v>
      </c>
      <c r="J77" s="365">
        <f t="shared" si="45"/>
        <v>855000</v>
      </c>
      <c r="K77" s="365">
        <f t="shared" si="45"/>
        <v>855000</v>
      </c>
      <c r="L77" s="365">
        <f t="shared" si="45"/>
        <v>855000</v>
      </c>
      <c r="M77" s="365">
        <f t="shared" si="45"/>
        <v>855000</v>
      </c>
      <c r="P77" s="339" t="s">
        <v>811</v>
      </c>
      <c r="Q77" s="340">
        <v>0</v>
      </c>
      <c r="R77" s="406"/>
    </row>
    <row r="78" spans="1:18" ht="10.5" customHeight="1" thickBot="1" x14ac:dyDescent="0.3">
      <c r="A78" s="331" t="str">
        <f>B9&amp;B78</f>
        <v>Devon EnergyTotal liabilities</v>
      </c>
      <c r="B78" s="311" t="s">
        <v>499</v>
      </c>
      <c r="C78" s="311"/>
      <c r="D78" s="123"/>
      <c r="E78" s="376">
        <f>SUM(E72:E77)</f>
        <v>7797000</v>
      </c>
      <c r="F78" s="377">
        <f t="shared" ref="F78:M78" si="46">SUM(F72:F77)</f>
        <v>7772543.1558382688</v>
      </c>
      <c r="G78" s="377">
        <f t="shared" si="46"/>
        <v>7772543.1558382688</v>
      </c>
      <c r="H78" s="377">
        <f t="shared" si="46"/>
        <v>7772543.1558382688</v>
      </c>
      <c r="I78" s="377">
        <f t="shared" si="46"/>
        <v>7772543.1558382688</v>
      </c>
      <c r="J78" s="377">
        <f t="shared" si="46"/>
        <v>7720122.2533475887</v>
      </c>
      <c r="K78" s="377">
        <f t="shared" si="46"/>
        <v>7720122.2533475887</v>
      </c>
      <c r="L78" s="377">
        <f t="shared" si="46"/>
        <v>7720122.2533475887</v>
      </c>
      <c r="M78" s="377">
        <f t="shared" si="46"/>
        <v>7720122.2533475887</v>
      </c>
      <c r="P78" s="339" t="s">
        <v>810</v>
      </c>
      <c r="Q78" s="340">
        <v>341</v>
      </c>
      <c r="R78" s="406"/>
    </row>
    <row r="79" spans="1:18" ht="10.5" customHeight="1" thickTop="1" x14ac:dyDescent="0.25">
      <c r="P79" s="339" t="s">
        <v>496</v>
      </c>
      <c r="Q79" s="340">
        <v>855</v>
      </c>
      <c r="R79" s="406"/>
    </row>
    <row r="80" spans="1:18" ht="10.5" customHeight="1" x14ac:dyDescent="0.25">
      <c r="A80" s="331" t="str">
        <f>B9&amp;B80</f>
        <v>Devon EnergyNet (loss) Income cashflow</v>
      </c>
      <c r="B80" s="380" t="s">
        <v>572</v>
      </c>
      <c r="C80" s="381" t="s">
        <v>540</v>
      </c>
      <c r="D80" s="117"/>
      <c r="E80" s="364">
        <f>E49</f>
        <v>-88250</v>
      </c>
      <c r="F80" s="365">
        <f t="shared" ref="F80:M80" si="47">F49</f>
        <v>-188437.84635849131</v>
      </c>
      <c r="G80" s="365">
        <f t="shared" si="47"/>
        <v>-878777.3956520356</v>
      </c>
      <c r="H80" s="365">
        <f t="shared" si="47"/>
        <v>-832449.91495786258</v>
      </c>
      <c r="I80" s="365">
        <f t="shared" si="47"/>
        <v>-786122.43426369014</v>
      </c>
      <c r="J80" s="365">
        <f t="shared" si="47"/>
        <v>-642678.9737015249</v>
      </c>
      <c r="K80" s="365">
        <f t="shared" si="47"/>
        <v>-602433.77381714364</v>
      </c>
      <c r="L80" s="365">
        <f t="shared" si="47"/>
        <v>-561797.91547691892</v>
      </c>
      <c r="M80" s="365">
        <f t="shared" si="47"/>
        <v>-561797.91547691892</v>
      </c>
      <c r="P80" s="360" t="s">
        <v>934</v>
      </c>
      <c r="Q80" s="361">
        <v>0</v>
      </c>
      <c r="R80" s="406"/>
    </row>
    <row r="81" spans="1:18" ht="10.5" customHeight="1" x14ac:dyDescent="0.25">
      <c r="A81" s="331" t="str">
        <f>B9&amp;B81</f>
        <v>Devon EnergyChange in Net working capital</v>
      </c>
      <c r="B81" s="382" t="s">
        <v>500</v>
      </c>
      <c r="C81" s="383" t="s">
        <v>565</v>
      </c>
      <c r="D81" s="118"/>
      <c r="E81" s="364">
        <f t="shared" ref="E81:E87" si="48">IF(VLOOKUP($B81, P:Q, 2,0) = "-", 0, VLOOKUP($B81, P:Q, 2,0))*1000</f>
        <v>-20500</v>
      </c>
      <c r="F81" s="365">
        <f>(F60-F72)-(E60-E72)</f>
        <v>-266782.71913857851</v>
      </c>
      <c r="G81" s="365">
        <f t="shared" ref="G81:M81" si="49">(G60-G72)-(F60-F72)</f>
        <v>-1295199.2365334062</v>
      </c>
      <c r="H81" s="365">
        <f t="shared" si="49"/>
        <v>-804673.68395681796</v>
      </c>
      <c r="I81" s="365">
        <f t="shared" si="49"/>
        <v>-758346.20326264505</v>
      </c>
      <c r="J81" s="365">
        <f t="shared" si="49"/>
        <v>-612280.83904982614</v>
      </c>
      <c r="K81" s="365">
        <f t="shared" si="49"/>
        <v>-578076.24294711347</v>
      </c>
      <c r="L81" s="365">
        <f t="shared" si="49"/>
        <v>-537440.38460688945</v>
      </c>
      <c r="M81" s="365">
        <f t="shared" si="49"/>
        <v>-561797.91547691915</v>
      </c>
      <c r="P81" s="360" t="s">
        <v>935</v>
      </c>
      <c r="Q81" s="361">
        <v>244</v>
      </c>
      <c r="R81" s="406"/>
    </row>
    <row r="82" spans="1:18" ht="10.5" customHeight="1" x14ac:dyDescent="0.25">
      <c r="A82" s="331" t="str">
        <f>B9&amp;B82</f>
        <v>Devon EnergyDD&amp;A cashflow</v>
      </c>
      <c r="B82" s="382" t="s">
        <v>816</v>
      </c>
      <c r="C82" s="383" t="s">
        <v>566</v>
      </c>
      <c r="D82" s="118"/>
      <c r="E82" s="364">
        <f t="shared" si="48"/>
        <v>374250</v>
      </c>
      <c r="F82" s="365">
        <f>$E$82*F$32/$E$32</f>
        <v>352864.54689829942</v>
      </c>
      <c r="G82" s="365">
        <f t="shared" ref="G82:M82" si="50">$E$82*G$32/$E$32</f>
        <v>352864.54689829942</v>
      </c>
      <c r="H82" s="365">
        <f t="shared" si="50"/>
        <v>352864.54689829942</v>
      </c>
      <c r="I82" s="365">
        <f t="shared" si="50"/>
        <v>352864.54689829942</v>
      </c>
      <c r="J82" s="365">
        <f t="shared" si="50"/>
        <v>307026.87690498814</v>
      </c>
      <c r="K82" s="365">
        <f t="shared" si="50"/>
        <v>307026.87690498814</v>
      </c>
      <c r="L82" s="365">
        <f t="shared" si="50"/>
        <v>307026.87690498814</v>
      </c>
      <c r="M82" s="365">
        <f t="shared" si="50"/>
        <v>307026.87690498814</v>
      </c>
      <c r="P82" s="360" t="s">
        <v>936</v>
      </c>
      <c r="Q82" s="361">
        <v>185</v>
      </c>
      <c r="R82" s="406"/>
    </row>
    <row r="83" spans="1:18" ht="10.5" customHeight="1" x14ac:dyDescent="0.25">
      <c r="A83" s="331" t="str">
        <f>B9&amp;B83</f>
        <v>Devon EnergyImpairment cashflow</v>
      </c>
      <c r="B83" s="382" t="s">
        <v>571</v>
      </c>
      <c r="C83" s="383" t="s">
        <v>566</v>
      </c>
      <c r="D83" s="118"/>
      <c r="E83" s="364">
        <f t="shared" si="48"/>
        <v>0</v>
      </c>
      <c r="F83" s="365">
        <f>IF(E83=0, 0, $E$83*F$31/$E$31)</f>
        <v>0</v>
      </c>
      <c r="G83" s="365">
        <f t="shared" ref="G83:M83" si="51">IF(F83=0, 0, $E$83*G$31/$E$31)</f>
        <v>0</v>
      </c>
      <c r="H83" s="365">
        <f t="shared" si="51"/>
        <v>0</v>
      </c>
      <c r="I83" s="365">
        <f t="shared" si="51"/>
        <v>0</v>
      </c>
      <c r="J83" s="365">
        <f t="shared" si="51"/>
        <v>0</v>
      </c>
      <c r="K83" s="365">
        <f t="shared" si="51"/>
        <v>0</v>
      </c>
      <c r="L83" s="365">
        <f t="shared" si="51"/>
        <v>0</v>
      </c>
      <c r="M83" s="365">
        <f t="shared" si="51"/>
        <v>0</v>
      </c>
      <c r="P83" s="346" t="s">
        <v>499</v>
      </c>
      <c r="Q83" s="347">
        <v>7797</v>
      </c>
      <c r="R83" s="407"/>
    </row>
    <row r="84" spans="1:18" ht="10.5" customHeight="1" x14ac:dyDescent="0.25">
      <c r="A84" s="331" t="str">
        <f>B9&amp;B84</f>
        <v>Devon EnergyOther non-cash items</v>
      </c>
      <c r="B84" s="382" t="s">
        <v>501</v>
      </c>
      <c r="C84" s="383" t="s">
        <v>880</v>
      </c>
      <c r="D84" s="118"/>
      <c r="E84" s="364">
        <f t="shared" si="48"/>
        <v>245250</v>
      </c>
      <c r="F84" s="372">
        <f>$E$84+F34-$E$34</f>
        <v>245250</v>
      </c>
      <c r="G84" s="372">
        <f t="shared" ref="G84:M84" si="52">$E$84+G34-$E$34</f>
        <v>245250</v>
      </c>
      <c r="H84" s="372">
        <f t="shared" si="52"/>
        <v>245250</v>
      </c>
      <c r="I84" s="372">
        <f t="shared" si="52"/>
        <v>245250</v>
      </c>
      <c r="J84" s="372">
        <f t="shared" si="52"/>
        <v>245250</v>
      </c>
      <c r="K84" s="372">
        <f t="shared" si="52"/>
        <v>245250</v>
      </c>
      <c r="L84" s="372">
        <f t="shared" si="52"/>
        <v>245250</v>
      </c>
      <c r="M84" s="372">
        <f t="shared" si="52"/>
        <v>245250</v>
      </c>
      <c r="P84" s="384"/>
      <c r="Q84" s="345"/>
      <c r="R84" s="406"/>
    </row>
    <row r="85" spans="1:18" ht="10.5" customHeight="1" x14ac:dyDescent="0.25">
      <c r="A85" s="331" t="str">
        <f>B9&amp;B85</f>
        <v>Devon EnergyDry hole cashflow</v>
      </c>
      <c r="B85" s="382" t="s">
        <v>817</v>
      </c>
      <c r="C85" s="383" t="s">
        <v>567</v>
      </c>
      <c r="D85" s="118"/>
      <c r="E85" s="364">
        <f t="shared" si="48"/>
        <v>0</v>
      </c>
      <c r="F85" s="365">
        <f>IF($E$85&gt;0, $E$85*F39/$E$39,0)</f>
        <v>0</v>
      </c>
      <c r="G85" s="365">
        <f t="shared" ref="G85:M85" si="53">IF($E$85&gt;0, $E$85*G39/$E$39,0)</f>
        <v>0</v>
      </c>
      <c r="H85" s="365">
        <f t="shared" si="53"/>
        <v>0</v>
      </c>
      <c r="I85" s="365">
        <f t="shared" si="53"/>
        <v>0</v>
      </c>
      <c r="J85" s="365">
        <f t="shared" si="53"/>
        <v>0</v>
      </c>
      <c r="K85" s="365">
        <f t="shared" si="53"/>
        <v>0</v>
      </c>
      <c r="L85" s="365">
        <f t="shared" si="53"/>
        <v>0</v>
      </c>
      <c r="M85" s="365">
        <f t="shared" si="53"/>
        <v>0</v>
      </c>
      <c r="P85" s="385" t="s">
        <v>458</v>
      </c>
      <c r="Q85" s="340"/>
      <c r="R85" s="406"/>
    </row>
    <row r="86" spans="1:18" ht="10.5" customHeight="1" x14ac:dyDescent="0.25">
      <c r="A86" s="331" t="str">
        <f>B9&amp;B86</f>
        <v>Devon Energymarket to market contracts</v>
      </c>
      <c r="B86" s="382" t="s">
        <v>562</v>
      </c>
      <c r="C86" s="386" t="s">
        <v>507</v>
      </c>
      <c r="D86" s="118"/>
      <c r="E86" s="364">
        <f t="shared" si="48"/>
        <v>0</v>
      </c>
      <c r="F86" s="365">
        <f>E86</f>
        <v>0</v>
      </c>
      <c r="G86" s="365">
        <f t="shared" ref="G86:M86" si="54">F86</f>
        <v>0</v>
      </c>
      <c r="H86" s="365">
        <f t="shared" si="54"/>
        <v>0</v>
      </c>
      <c r="I86" s="365">
        <f t="shared" si="54"/>
        <v>0</v>
      </c>
      <c r="J86" s="365">
        <f t="shared" si="54"/>
        <v>0</v>
      </c>
      <c r="K86" s="365">
        <f t="shared" si="54"/>
        <v>0</v>
      </c>
      <c r="L86" s="365">
        <f t="shared" si="54"/>
        <v>0</v>
      </c>
      <c r="M86" s="365">
        <f t="shared" si="54"/>
        <v>0</v>
      </c>
      <c r="P86" s="346" t="s">
        <v>572</v>
      </c>
      <c r="Q86" s="347">
        <v>-88.25</v>
      </c>
      <c r="R86" s="407"/>
    </row>
    <row r="87" spans="1:18" ht="10.5" customHeight="1" x14ac:dyDescent="0.25">
      <c r="A87" s="331" t="str">
        <f>B9&amp;B87</f>
        <v>Devon EnergyCash flow from operations</v>
      </c>
      <c r="B87" s="387" t="s">
        <v>502</v>
      </c>
      <c r="C87" s="388" t="s">
        <v>540</v>
      </c>
      <c r="D87" s="118" t="str">
        <f>IF(SUM(E80:E86) = E87, "same", "wrong")</f>
        <v>same</v>
      </c>
      <c r="E87" s="364">
        <f t="shared" si="48"/>
        <v>510750</v>
      </c>
      <c r="F87" s="367">
        <f>SUM(F80:F86)</f>
        <v>142893.98140122957</v>
      </c>
      <c r="G87" s="367">
        <f t="shared" ref="G87:K87" si="55">SUM(G80:G86)</f>
        <v>-1575862.0852871425</v>
      </c>
      <c r="H87" s="367">
        <f>SUM(H80:H86)</f>
        <v>-1039009.0520163812</v>
      </c>
      <c r="I87" s="367">
        <f t="shared" si="55"/>
        <v>-946354.09062803583</v>
      </c>
      <c r="J87" s="367">
        <f t="shared" si="55"/>
        <v>-702682.93584636273</v>
      </c>
      <c r="K87" s="367">
        <f t="shared" si="55"/>
        <v>-628233.13985926891</v>
      </c>
      <c r="L87" s="367">
        <f>SUM(L80:L86)</f>
        <v>-546961.42317882017</v>
      </c>
      <c r="M87" s="367">
        <f>SUM(M80:M86)</f>
        <v>-571318.95404884988</v>
      </c>
      <c r="P87" s="339" t="s">
        <v>500</v>
      </c>
      <c r="Q87" s="340">
        <v>-20.5</v>
      </c>
      <c r="R87" s="406"/>
    </row>
    <row r="88" spans="1:18" ht="10.5" customHeight="1" x14ac:dyDescent="0.25">
      <c r="A88" s="331" t="str">
        <f>B9&amp;B88</f>
        <v>Devon EnergyCapex</v>
      </c>
      <c r="B88" s="382" t="s">
        <v>277</v>
      </c>
      <c r="C88" s="132" t="s">
        <v>534</v>
      </c>
      <c r="D88" s="118"/>
      <c r="E88" s="364">
        <f>IF($B$2="A3",SUMIFS('$33Econ'!$H$8:$H$8001,'$33Econ'!$A$8:$A$8001,$B$9,'$33Econ'!$G$8:$G$8001,$B88)*1000/4,SUMIFS('$22Econ'!$H$8:$H$8001,'$22Econ'!$A$8:$A$8001,$B$9,'$22Econ'!$G$8:$G$8001,$B88)*1000/4)</f>
        <v>381853.24125000002</v>
      </c>
      <c r="F88" s="365">
        <f>IF($B$2="A3",SUMIFS('$33Econ'!$I$8:$I$8001,'$33Econ'!$A$8:$A$8001,$B$9,'$33Econ'!$G$8:$G$8001,$B88)*1000/4,SUMIFS('$22Econ'!$I$8:$I$8001,'$22Econ'!$A$8:$A$8001,$B$9,'$22Econ'!$G$8:$G$8001,$B88)*1000/4)</f>
        <v>84046.664250000002</v>
      </c>
      <c r="G88" s="365">
        <f>IF($B$2="A3",SUMIFS('$33Econ'!$I$8:$I$8001,'$33Econ'!$A$8:$A$8001,$B$9,'$33Econ'!$G$8:$G$8001,$B88)*1000/4,SUMIFS('$22Econ'!$I$8:$I$8001,'$22Econ'!$A$8:$A$8001,$B$9,'$22Econ'!$G$8:$G$8001,$B88)*1000/4)</f>
        <v>84046.664250000002</v>
      </c>
      <c r="H88" s="365">
        <f>IF($B$2="A3",SUMIFS('$33Econ'!$I$8:$I$8001,'$33Econ'!$A$8:$A$8001,$B$9,'$33Econ'!$G$8:$G$8001,$B88)*1000/4,SUMIFS('$22Econ'!$I$8:$I$8001,'$22Econ'!$A$8:$A$8001,$B$9,'$22Econ'!$G$8:$G$8001,$B88)*1000/4)</f>
        <v>84046.664250000002</v>
      </c>
      <c r="I88" s="365">
        <f>IF($B$2="A3",SUMIFS('$33Econ'!$I$8:$I$8001,'$33Econ'!$A$8:$A$8001,$B$9,'$33Econ'!$G$8:$G$8001,$B88)*1000/4,SUMIFS('$22Econ'!$I$8:$I$8001,'$22Econ'!$A$8:$A$8001,$B$9,'$22Econ'!$G$8:$G$8001,$B88)*1000/4)</f>
        <v>84046.664250000002</v>
      </c>
      <c r="J88" s="365">
        <f>IF($B$2="A3",SUMIFS('$33Econ'!$J$8:$J$8001,'$33Econ'!$A$8:$A$8001,$B$9,'$33Econ'!$G$8:$G$8001,$B88)*1000/4,SUMIFS('$22Econ'!$J$8:$J$8001,'$22Econ'!$A$8:$A$8001,$B$9,'$22Econ'!$G$8:$G$8001,$B88)*1000/4)</f>
        <v>16762.151099999995</v>
      </c>
      <c r="K88" s="365">
        <f t="shared" ref="K88:M88" si="56">J88</f>
        <v>16762.151099999995</v>
      </c>
      <c r="L88" s="365">
        <f t="shared" si="56"/>
        <v>16762.151099999995</v>
      </c>
      <c r="M88" s="365">
        <f t="shared" si="56"/>
        <v>16762.151099999995</v>
      </c>
      <c r="P88" s="389" t="s">
        <v>816</v>
      </c>
      <c r="Q88" s="390">
        <v>374.25</v>
      </c>
      <c r="R88" s="407"/>
    </row>
    <row r="89" spans="1:18" ht="10.5" customHeight="1" x14ac:dyDescent="0.25">
      <c r="A89" s="331" t="str">
        <f>B9&amp;B89</f>
        <v>Devon EnergyExploration Capex</v>
      </c>
      <c r="B89" s="382" t="s">
        <v>278</v>
      </c>
      <c r="C89" s="132" t="s">
        <v>534</v>
      </c>
      <c r="D89" s="118"/>
      <c r="E89" s="364">
        <f>IF($B$2="A3",SUMIFS('$33Econ'!$H$8:$H$8001,'$33Econ'!$A$8:$A$8001,$B$9,'$33Econ'!$G$8:$G$8001,$B89)*1000/4,SUMIFS('$22Econ'!$H$8:$H$8001,'$22Econ'!$A$8:$A$8001,$B$9,'$22Econ'!$G$8:$G$8001,$B89)*1000/4)</f>
        <v>75191.0352155</v>
      </c>
      <c r="F89" s="391">
        <f>(1-INDEX(Assumptions!$A$2:$K$596,MATCH($B9&amp;"Capex reduction",Assumptions!$A$2:$A$596,0),MATCH(F$2,Assumptions!$A$2:$K$2,0))) *IF($B$2="A3",SUMIFS('$33Econ'!$I$8:$I$8001,'$33Econ'!$A$8:$A$8001,$B$9,'$33Econ'!$G$8:$G$8001,$B89)*1000/4,SUMIFS('$22Econ'!$I$8:$I$8001,'$22Econ'!$A$8:$A$8001,$B$9,'$22Econ'!$G$8:$G$8001,$B89)*1000/4)</f>
        <v>40364.340677500011</v>
      </c>
      <c r="G89" s="391">
        <f>(1-INDEX(Assumptions!$A$2:$K$596,MATCH($B9&amp;"Capex reduction",Assumptions!$A$2:$A$596,0),MATCH(G$2,Assumptions!$A$2:$K$2,0))) *IF($B$2="A3",SUMIFS('$33Econ'!$I$8:$I$8001,'$33Econ'!$A$8:$A$8001,$B$9,'$33Econ'!$G$8:$G$8001,$B89)*1000/4,SUMIFS('$22Econ'!$I$8:$I$8001,'$22Econ'!$A$8:$A$8001,$B$9,'$22Econ'!$G$8:$G$8001,$B89)*1000/4)</f>
        <v>40364.340677500011</v>
      </c>
      <c r="H89" s="391">
        <f>(1-INDEX(Assumptions!$A$2:$K$596,MATCH($B9&amp;"Capex reduction",Assumptions!$A$2:$A$596,0),MATCH(H$2,Assumptions!$A$2:$K$2,0))) *IF($B$2="A3",SUMIFS('$33Econ'!$I$8:$I$8001,'$33Econ'!$A$8:$A$8001,$B$9,'$33Econ'!$G$8:$G$8001,$B89)*1000/4,SUMIFS('$22Econ'!$I$8:$I$8001,'$22Econ'!$A$8:$A$8001,$B$9,'$22Econ'!$G$8:$G$8001,$B89)*1000/4)</f>
        <v>40364.340677500011</v>
      </c>
      <c r="I89" s="391">
        <f>(1-INDEX(Assumptions!$A$2:$K$596,MATCH($B9&amp;"Capex reduction",Assumptions!$A$2:$A$596,0),MATCH(I$2,Assumptions!$A$2:$K$2,0))) *IF($B$2="A3",SUMIFS('$33Econ'!$I$8:$I$8001,'$33Econ'!$A$8:$A$8001,$B$9,'$33Econ'!$G$8:$G$8001,$B89)*1000/4,SUMIFS('$22Econ'!$I$8:$I$8001,'$22Econ'!$A$8:$A$8001,$B$9,'$22Econ'!$G$8:$G$8001,$B89)*1000/4)</f>
        <v>40364.340677500011</v>
      </c>
      <c r="J89" s="391">
        <f>(1-INDEX(Assumptions!$A$2:$K$596,MATCH($B9&amp;"Capex reduction",Assumptions!$A$2:$A$596,0),MATCH(J$2,Assumptions!$A$2:$K$2,0))) *IF($B$2="A3",SUMIFS('$33Econ'!$J$8:$J$8001,'$33Econ'!$A$8:$A$8001,$B$9,'$33Econ'!$G$8:$G$8001,$B89)*1000/4,SUMIFS('$22Econ'!$J$8:$J$8001,'$22Econ'!$A$8:$A$8001,$B$9,'$22Econ'!$G$8:$G$8001,$B89)*1000/4)</f>
        <v>20442.603849500003</v>
      </c>
      <c r="K89" s="391">
        <f>(1-INDEX(Assumptions!$A$2:$K$596,MATCH($B9&amp;"Capex reduction",Assumptions!$A$2:$A$596,0),MATCH(K$2,Assumptions!$A$2:$K$2,0))) *IF($B$2="A3",SUMIFS('$33Econ'!$J$8:$J$8001,'$33Econ'!$A$8:$A$8001,$B$9,'$33Econ'!$G$8:$G$8001,$B89)*1000/4,SUMIFS('$22Econ'!$J$8:$J$8001,'$22Econ'!$A$8:$A$8001,$B$9,'$22Econ'!$G$8:$G$8001,$B89)*1000/4)</f>
        <v>20442.603849500003</v>
      </c>
      <c r="L89" s="391">
        <f>(1-INDEX(Assumptions!$A$2:$K$596,MATCH($B9&amp;"Capex reduction",Assumptions!$A$2:$A$596,0),MATCH(L$2,Assumptions!$A$2:$K$2,0))) *IF($B$2="A3",SUMIFS('$33Econ'!$J$8:$J$8001,'$33Econ'!$A$8:$A$8001,$B$9,'$33Econ'!$G$8:$G$8001,$B89)*1000/4,SUMIFS('$22Econ'!$J$8:$J$8001,'$22Econ'!$A$8:$A$8001,$B$9,'$22Econ'!$G$8:$G$8001,$B89)*1000/4)</f>
        <v>20442.603849500003</v>
      </c>
      <c r="M89" s="391">
        <f>(1-INDEX(Assumptions!$A$2:$K$596,MATCH($B9&amp;"Capex reduction",Assumptions!$A$2:$A$596,0),MATCH(M$2,Assumptions!$A$2:$K$2,0))) *IF($B$2="A3",SUMIFS('$33Econ'!$J$8:$J$8001,'$33Econ'!$A$8:$A$8001,$B$9,'$33Econ'!$G$8:$G$8001,$B89)*1000/4,SUMIFS('$22Econ'!$J$8:$J$8001,'$22Econ'!$A$8:$A$8001,$B$9,'$22Econ'!$G$8:$G$8001,$B89)*1000/4)</f>
        <v>20442.603849500003</v>
      </c>
      <c r="P89" s="389" t="s">
        <v>571</v>
      </c>
      <c r="Q89" s="390">
        <v>0</v>
      </c>
      <c r="R89" s="407"/>
    </row>
    <row r="90" spans="1:18" ht="10.5" customHeight="1" thickBot="1" x14ac:dyDescent="0.3">
      <c r="A90" s="331" t="str">
        <f>B9&amp;B90</f>
        <v>Devon EnergyFree Cash Flow (FCF)</v>
      </c>
      <c r="B90" s="392" t="s">
        <v>458</v>
      </c>
      <c r="C90" s="392" t="s">
        <v>512</v>
      </c>
      <c r="D90" s="119"/>
      <c r="E90" s="376">
        <f>SUM(E87:E89)</f>
        <v>967794.27646550001</v>
      </c>
      <c r="F90" s="377">
        <f>SUM(F87:F89)</f>
        <v>267304.9863287296</v>
      </c>
      <c r="G90" s="377">
        <f t="shared" ref="G90:K90" si="57">SUM(G87:G89)</f>
        <v>-1451451.0803596426</v>
      </c>
      <c r="H90" s="377">
        <f t="shared" si="57"/>
        <v>-914598.04708888114</v>
      </c>
      <c r="I90" s="377">
        <f t="shared" si="57"/>
        <v>-821943.0857005358</v>
      </c>
      <c r="J90" s="377">
        <f t="shared" si="57"/>
        <v>-665478.18089686276</v>
      </c>
      <c r="K90" s="377">
        <f t="shared" si="57"/>
        <v>-591028.38490976894</v>
      </c>
      <c r="L90" s="377">
        <f>SUM(L87:L89)</f>
        <v>-509756.66822932014</v>
      </c>
      <c r="M90" s="377">
        <f>SUM(M87:M89)</f>
        <v>-534114.19909934991</v>
      </c>
      <c r="P90" s="339" t="s">
        <v>501</v>
      </c>
      <c r="Q90" s="340">
        <v>245.25</v>
      </c>
      <c r="R90" s="406"/>
    </row>
    <row r="91" spans="1:18" ht="10.5" customHeight="1" thickTop="1" x14ac:dyDescent="0.25">
      <c r="I91" s="374"/>
      <c r="M91" s="374"/>
      <c r="P91" s="360" t="s">
        <v>817</v>
      </c>
      <c r="Q91" s="361">
        <v>0</v>
      </c>
      <c r="R91" s="406"/>
    </row>
    <row r="92" spans="1:18" ht="10.5" customHeight="1" x14ac:dyDescent="0.25">
      <c r="A92" s="331" t="str">
        <f>B9&amp;B92</f>
        <v>Devon EnergyEBITDA</v>
      </c>
      <c r="B92" s="380" t="s">
        <v>428</v>
      </c>
      <c r="C92" s="393" t="s">
        <v>540</v>
      </c>
      <c r="D92" s="117"/>
      <c r="E92" s="364">
        <f>(E29-E41)+E32</f>
        <v>412000</v>
      </c>
      <c r="F92" s="365">
        <f>(F29-F41)+F32</f>
        <v>296340.55622003652</v>
      </c>
      <c r="G92" s="365">
        <f t="shared" ref="G92:M92" si="58">(G29-G41)+G32</f>
        <v>-452418.14962226612</v>
      </c>
      <c r="H92" s="365">
        <f t="shared" si="58"/>
        <v>-402153.48926569888</v>
      </c>
      <c r="I92" s="365">
        <f t="shared" si="58"/>
        <v>-351888.82890913211</v>
      </c>
      <c r="J92" s="365">
        <f t="shared" si="58"/>
        <v>-259348.23178573913</v>
      </c>
      <c r="K92" s="365">
        <f t="shared" si="58"/>
        <v>-215258.90106532635</v>
      </c>
      <c r="L92" s="365">
        <f t="shared" si="58"/>
        <v>-171169.57034491264</v>
      </c>
      <c r="M92" s="365">
        <f t="shared" si="58"/>
        <v>-171169.57034491264</v>
      </c>
      <c r="P92" s="360" t="s">
        <v>562</v>
      </c>
      <c r="Q92" s="361">
        <v>0</v>
      </c>
      <c r="R92" s="406"/>
    </row>
    <row r="93" spans="1:18" ht="10.5" customHeight="1" x14ac:dyDescent="0.25">
      <c r="A93" s="331" t="str">
        <f>B9&amp;B93</f>
        <v>Devon EnergyExploration capex</v>
      </c>
      <c r="B93" s="382" t="s">
        <v>519</v>
      </c>
      <c r="C93" s="382" t="s">
        <v>534</v>
      </c>
      <c r="D93" s="118"/>
      <c r="E93" s="364">
        <f>E89</f>
        <v>75191.0352155</v>
      </c>
      <c r="F93" s="372">
        <f t="shared" ref="F93:M93" si="59">F89</f>
        <v>40364.340677500011</v>
      </c>
      <c r="G93" s="372">
        <f t="shared" si="59"/>
        <v>40364.340677500011</v>
      </c>
      <c r="H93" s="372">
        <f t="shared" si="59"/>
        <v>40364.340677500011</v>
      </c>
      <c r="I93" s="372">
        <f t="shared" si="59"/>
        <v>40364.340677500011</v>
      </c>
      <c r="J93" s="372">
        <f t="shared" si="59"/>
        <v>20442.603849500003</v>
      </c>
      <c r="K93" s="372">
        <f t="shared" si="59"/>
        <v>20442.603849500003</v>
      </c>
      <c r="L93" s="372">
        <f t="shared" si="59"/>
        <v>20442.603849500003</v>
      </c>
      <c r="M93" s="372">
        <f t="shared" si="59"/>
        <v>20442.603849500003</v>
      </c>
      <c r="P93" s="339" t="s">
        <v>502</v>
      </c>
      <c r="Q93" s="340">
        <v>510.75</v>
      </c>
      <c r="R93" s="406"/>
    </row>
    <row r="94" spans="1:18" ht="10.5" customHeight="1" x14ac:dyDescent="0.25">
      <c r="A94" s="331" t="str">
        <f>B9&amp;B94</f>
        <v>Devon EnergyEBITDAX</v>
      </c>
      <c r="B94" s="394" t="s">
        <v>459</v>
      </c>
      <c r="C94" s="394" t="s">
        <v>512</v>
      </c>
      <c r="D94" s="125"/>
      <c r="E94" s="366">
        <f>SUM(E92:E93)</f>
        <v>487191.03521549999</v>
      </c>
      <c r="F94" s="367">
        <f t="shared" ref="F94:M94" si="60">SUM(F92:F93)</f>
        <v>336704.89689753653</v>
      </c>
      <c r="G94" s="367">
        <f t="shared" si="60"/>
        <v>-412053.80894476612</v>
      </c>
      <c r="H94" s="367">
        <f t="shared" si="60"/>
        <v>-361789.14858819888</v>
      </c>
      <c r="I94" s="367">
        <f t="shared" si="60"/>
        <v>-311524.4882316321</v>
      </c>
      <c r="J94" s="367">
        <f t="shared" si="60"/>
        <v>-238905.62793623912</v>
      </c>
      <c r="K94" s="367">
        <f t="shared" si="60"/>
        <v>-194816.29721582634</v>
      </c>
      <c r="L94" s="367">
        <f t="shared" si="60"/>
        <v>-150726.96649541263</v>
      </c>
      <c r="M94" s="367">
        <f t="shared" si="60"/>
        <v>-150726.96649541263</v>
      </c>
      <c r="P94" s="339" t="s">
        <v>277</v>
      </c>
      <c r="Q94" s="340">
        <f>E88/1000</f>
        <v>381.85324125</v>
      </c>
      <c r="R94" s="406"/>
    </row>
    <row r="95" spans="1:18" ht="10.5" customHeight="1" x14ac:dyDescent="0.25">
      <c r="A95" s="353" t="str">
        <f>B9&amp;B95</f>
        <v>Devon EnergyDebt/EBITDAX</v>
      </c>
      <c r="B95" s="395" t="s">
        <v>947</v>
      </c>
      <c r="C95" s="395" t="s">
        <v>512</v>
      </c>
      <c r="D95" s="123"/>
      <c r="E95" s="358">
        <f>(E73+E68)/(E94*4)</f>
        <v>2.4230741427288938</v>
      </c>
      <c r="F95" s="359"/>
      <c r="G95" s="359"/>
      <c r="H95" s="359"/>
      <c r="I95" s="359">
        <f>(AVERAGE(F73:I73)+AVERAGE(F68:I68))/SUM(F92:I92)</f>
        <v>-5.1614552061588688</v>
      </c>
      <c r="J95" s="359"/>
      <c r="K95" s="359"/>
      <c r="L95" s="359"/>
      <c r="M95" s="359">
        <f>(AVERAGE(J73:M73)+AVERAGE(J68:M68))/SUM(J92:M92)</f>
        <v>-5.6859580657785882</v>
      </c>
      <c r="P95" s="339" t="s">
        <v>278</v>
      </c>
      <c r="Q95" s="340">
        <f>E89/1000</f>
        <v>75.191035215499994</v>
      </c>
      <c r="R95" s="406"/>
    </row>
    <row r="96" spans="1:18" s="396" customFormat="1" ht="10.5" customHeight="1" x14ac:dyDescent="0.25">
      <c r="D96" s="124"/>
      <c r="P96" s="389" t="s">
        <v>458</v>
      </c>
      <c r="Q96" s="390">
        <f>SUM(Q93:Q95)</f>
        <v>967.79427646549993</v>
      </c>
      <c r="R96" s="407"/>
    </row>
    <row r="97" spans="1:18" ht="10.5" customHeight="1" x14ac:dyDescent="0.25">
      <c r="A97" s="331" t="str">
        <f>B9&amp;B97</f>
        <v>Devon EnergyCash dividends paid</v>
      </c>
      <c r="B97" s="352" t="s">
        <v>521</v>
      </c>
      <c r="C97" s="353" t="s">
        <v>546</v>
      </c>
      <c r="D97" s="122"/>
      <c r="E97" s="364">
        <f>IF(VLOOKUP($B97, P:Q, 2,0) = "-", 0, VLOOKUP($B97, P:Q, 2,0))*1000</f>
        <v>-35000</v>
      </c>
      <c r="F97" s="365">
        <f>E97*(1-INDEX(Assumptions!$A$2:$K$596,MATCH($B9&amp;"Dividend reduction",Assumptions!$A$2:$A$596,0),MATCH(F$2,Assumptions!$A$2:$K$2,0)))</f>
        <v>-35000</v>
      </c>
      <c r="G97" s="365">
        <f>F97*(1-INDEX(Assumptions!$A$2:$K$596,MATCH($B9&amp;"Dividend reduction",Assumptions!$A$2:$A$596,0),MATCH(G$2,Assumptions!$A$2:$K$2,0)))</f>
        <v>-35000</v>
      </c>
      <c r="H97" s="365">
        <f>G97*(1-INDEX(Assumptions!$A$2:$K$596,MATCH($B9&amp;"Dividend reduction",Assumptions!$A$2:$A$596,0),MATCH(H$2,Assumptions!$A$2:$K$2,0)))</f>
        <v>-35000</v>
      </c>
      <c r="I97" s="365">
        <f>H97*(1-INDEX(Assumptions!$A$2:$K$596,MATCH($B9&amp;"Dividend reduction",Assumptions!$A$2:$A$596,0),MATCH(I$2,Assumptions!$A$2:$K$2,0)))</f>
        <v>-35000</v>
      </c>
      <c r="J97" s="365">
        <f>I97*(1-INDEX(Assumptions!$A$2:$K$596,MATCH($B9&amp;"Dividend reduction",Assumptions!$A$2:$A$596,0),MATCH(J$2,Assumptions!$A$2:$K$2,0)))</f>
        <v>-35000</v>
      </c>
      <c r="K97" s="365">
        <f>J97*(1-INDEX(Assumptions!$A$2:$K$596,MATCH($B9&amp;"Dividend reduction",Assumptions!$A$2:$A$596,0),MATCH(K$2,Assumptions!$A$2:$K$2,0)))</f>
        <v>-35000</v>
      </c>
      <c r="L97" s="365">
        <f>K97*(1-INDEX(Assumptions!$A$2:$K$596,MATCH($B9&amp;"Dividend reduction",Assumptions!$A$2:$A$596,0),MATCH(L$2,Assumptions!$A$2:$K$2,0)))</f>
        <v>-35000</v>
      </c>
      <c r="M97" s="365">
        <f>L97*(1-INDEX(Assumptions!$A$2:$K$596,MATCH($B9&amp;"Dividend reduction",Assumptions!$A$2:$A$596,0),MATCH(M$2,Assumptions!$A$2:$K$2,0)))</f>
        <v>-35000</v>
      </c>
      <c r="P97" s="339"/>
      <c r="Q97" s="340"/>
      <c r="R97" s="406"/>
    </row>
    <row r="98" spans="1:18" ht="10.5" customHeight="1" x14ac:dyDescent="0.25">
      <c r="P98" s="389" t="s">
        <v>428</v>
      </c>
      <c r="Q98" s="390">
        <v>0</v>
      </c>
      <c r="R98" s="407"/>
    </row>
    <row r="99" spans="1:18" ht="10.5" customHeight="1" x14ac:dyDescent="0.25">
      <c r="A99" s="331" t="str">
        <f>B9&amp;B99</f>
        <v>Devon EnergyOhlson's O-Score</v>
      </c>
      <c r="B99" s="380" t="s">
        <v>427</v>
      </c>
      <c r="C99" s="380" t="s">
        <v>512</v>
      </c>
      <c r="D99" s="117"/>
      <c r="E99" s="130"/>
      <c r="F99" s="130"/>
      <c r="G99" s="130"/>
      <c r="H99" s="130"/>
      <c r="I99" s="334">
        <f>-1.32-0.407*(LN($I66*1000/(36.32+2.11*'Quarterly Forecasts'!$K$15)))+6.03*($I78/$I66)-1.43*(($I60-$I72)/$I66)+0.0757*($I72/$I60)-2.37*(SUM($F49:$I49)/$I66)-1.83*(SUM($F92:$I92)/$I78)+0.285*(IF(AND(SUM($F49:$I49)&lt;0,($E49*4)&lt;0),1,0))-0.521*((SUM($F49:$I49)-($E49*4))/(ABS(SUM($F49:$I49))+ABS($E49*4)))-1.72*(IF($I78&gt;$I66,1,0))</f>
        <v>-1.8210843624943092</v>
      </c>
      <c r="J99" s="130"/>
      <c r="K99" s="130"/>
      <c r="L99" s="130"/>
      <c r="M99" s="334">
        <f>-1.32-0.407*(LN($M66*1000/(36.32+2.11*'Quarterly Forecasts'!$K$15)))+6.03*($M78/$M66)-1.43*(($M60-$M72)/$M66)+0.0757*($M72/$M60)-2.37*(SUM($J49:$M49)/$M66)-1.83*(SUM($J92:$M92)/$M78)+0.285*(IF(AND(SUM($J49:$M49)&lt;0,(SUM($F49:$I49))&lt;0),1,0))-0.521*((SUM($J49:$M49)-(SUM($F49:$I49)))/(ABS(SUM($J49:$M49))+ABS(SUM($F49:$I49))))-1.72*(IF($M78&gt;$M66,1,0))</f>
        <v>-0.71422457714493071</v>
      </c>
      <c r="P99" s="389" t="s">
        <v>519</v>
      </c>
      <c r="Q99" s="390">
        <v>0</v>
      </c>
      <c r="R99" s="407"/>
    </row>
    <row r="100" spans="1:18" ht="10.5" customHeight="1" thickBot="1" x14ac:dyDescent="0.3">
      <c r="A100" s="331" t="str">
        <f>B9&amp;B100</f>
        <v>Devon EnergyProbability of default (PD)</v>
      </c>
      <c r="B100" s="397" t="s">
        <v>504</v>
      </c>
      <c r="C100" s="398" t="s">
        <v>512</v>
      </c>
      <c r="D100" s="110"/>
      <c r="E100" s="131"/>
      <c r="F100" s="131"/>
      <c r="G100" s="131"/>
      <c r="H100" s="131"/>
      <c r="I100" s="399">
        <f>EXP(I99)/(1+EXP(I99))</f>
        <v>0.13930380892921124</v>
      </c>
      <c r="J100" s="131"/>
      <c r="K100" s="131"/>
      <c r="L100" s="131"/>
      <c r="M100" s="399">
        <f>EXP(M99)/(1+EXP(M99))</f>
        <v>0.32866603596038774</v>
      </c>
      <c r="P100" s="389" t="s">
        <v>459</v>
      </c>
      <c r="Q100" s="390">
        <v>2443</v>
      </c>
      <c r="R100" s="407"/>
    </row>
    <row r="101" spans="1:18" ht="10.5" customHeight="1" thickTop="1" x14ac:dyDescent="0.25">
      <c r="P101" s="339"/>
      <c r="Q101" s="340"/>
      <c r="R101" s="406"/>
    </row>
    <row r="102" spans="1:18" ht="10.5" customHeight="1" thickBot="1" x14ac:dyDescent="0.3">
      <c r="P102" s="401" t="s">
        <v>521</v>
      </c>
      <c r="Q102" s="304">
        <v>-35</v>
      </c>
      <c r="R102" s="406"/>
    </row>
    <row r="103" spans="1:18" ht="10.5" customHeight="1" thickBot="1" x14ac:dyDescent="0.3">
      <c r="Q103" s="400"/>
    </row>
  </sheetData>
  <conditionalFormatting sqref="D8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EE4DE-0F53-4C4C-B1E1-979C65DD7647}">
  <sheetPr>
    <tabColor rgb="FFFF0000"/>
  </sheetPr>
  <dimension ref="A1:R103"/>
  <sheetViews>
    <sheetView showGridLines="0" zoomScale="103" zoomScaleNormal="130" workbookViewId="0">
      <pane xSplit="2" ySplit="2" topLeftCell="G88" activePane="bottomRight" state="frozen"/>
      <selection activeCell="I95" sqref="I95"/>
      <selection pane="topRight" activeCell="I95" sqref="I95"/>
      <selection pane="bottomLeft" activeCell="I95" sqref="I95"/>
      <selection pane="bottomRight" activeCell="F11" sqref="F11"/>
    </sheetView>
  </sheetViews>
  <sheetFormatPr defaultColWidth="8.81640625" defaultRowHeight="10.5" customHeight="1" x14ac:dyDescent="0.25"/>
  <cols>
    <col min="1" max="1" width="9.6328125" style="331" customWidth="1"/>
    <col min="2" max="2" width="28.6328125" style="331" customWidth="1"/>
    <col min="3" max="3" width="35.453125" style="331" customWidth="1"/>
    <col min="4" max="4" width="9" style="113" bestFit="1" customWidth="1"/>
    <col min="5" max="5" width="10.453125" style="331" bestFit="1" customWidth="1"/>
    <col min="6" max="6" width="12.1796875" style="331" customWidth="1"/>
    <col min="7" max="13" width="10.453125" style="331" customWidth="1"/>
    <col min="14" max="15" width="8.81640625" style="331" customWidth="1"/>
    <col min="16" max="16" width="40.90625" style="331" customWidth="1"/>
    <col min="17" max="17" width="20.7265625" style="304" customWidth="1"/>
    <col min="18" max="18" width="11.08984375" style="404" customWidth="1"/>
    <col min="19" max="16384" width="8.81640625" style="331"/>
  </cols>
  <sheetData>
    <row r="1" spans="1:18" ht="10.5" customHeight="1" x14ac:dyDescent="0.25">
      <c r="E1" s="331" t="str">
        <f>LEFT(E2,4)</f>
        <v>2019</v>
      </c>
      <c r="F1" s="331" t="str">
        <f t="shared" ref="F1:M1" si="0">LEFT(F2,4)</f>
        <v>2020</v>
      </c>
      <c r="G1" s="331" t="str">
        <f t="shared" si="0"/>
        <v>2020</v>
      </c>
      <c r="H1" s="331" t="str">
        <f t="shared" si="0"/>
        <v>2020</v>
      </c>
      <c r="I1" s="331" t="str">
        <f t="shared" si="0"/>
        <v>2020</v>
      </c>
      <c r="J1" s="331" t="str">
        <f t="shared" si="0"/>
        <v>2021</v>
      </c>
      <c r="K1" s="331" t="str">
        <f t="shared" si="0"/>
        <v>2021</v>
      </c>
      <c r="L1" s="331" t="str">
        <f t="shared" si="0"/>
        <v>2021</v>
      </c>
      <c r="M1" s="331" t="str">
        <f t="shared" si="0"/>
        <v>2021</v>
      </c>
      <c r="P1" s="402" t="s">
        <v>949</v>
      </c>
      <c r="Q1" s="403" t="s">
        <v>231</v>
      </c>
    </row>
    <row r="2" spans="1:18" ht="10.5" customHeight="1" x14ac:dyDescent="0.25">
      <c r="B2" s="331" t="s">
        <v>439</v>
      </c>
      <c r="C2" s="331" t="s">
        <v>517</v>
      </c>
      <c r="D2" s="113" t="s">
        <v>524</v>
      </c>
      <c r="E2" s="344" t="s">
        <v>413</v>
      </c>
      <c r="F2" s="344" t="s">
        <v>414</v>
      </c>
      <c r="G2" s="344" t="s">
        <v>415</v>
      </c>
      <c r="H2" s="344" t="s">
        <v>416</v>
      </c>
      <c r="I2" s="344" t="s">
        <v>417</v>
      </c>
      <c r="J2" s="344" t="s">
        <v>418</v>
      </c>
      <c r="K2" s="344" t="s">
        <v>419</v>
      </c>
      <c r="L2" s="344" t="s">
        <v>420</v>
      </c>
      <c r="M2" s="344" t="s">
        <v>421</v>
      </c>
      <c r="P2" s="339"/>
      <c r="Q2" s="336"/>
    </row>
    <row r="3" spans="1:18" ht="10.5" customHeight="1" x14ac:dyDescent="0.25">
      <c r="B3" s="332" t="s">
        <v>522</v>
      </c>
      <c r="C3" s="332"/>
      <c r="D3" s="111"/>
      <c r="E3" s="333"/>
      <c r="F3" s="334"/>
      <c r="G3" s="334"/>
      <c r="H3" s="334"/>
      <c r="I3" s="334"/>
      <c r="J3" s="334"/>
      <c r="K3" s="334"/>
      <c r="L3" s="334"/>
      <c r="M3" s="334"/>
      <c r="P3" s="335" t="s">
        <v>523</v>
      </c>
      <c r="Q3" s="336"/>
      <c r="R3" s="405"/>
    </row>
    <row r="4" spans="1:18" ht="10.5" customHeight="1" x14ac:dyDescent="0.25">
      <c r="A4" s="331" t="str">
        <f>$B$9&amp;$B$3&amp;B4</f>
        <v>Devon EnergyMarket PricesOil</v>
      </c>
      <c r="B4" s="82" t="s">
        <v>396</v>
      </c>
      <c r="C4" s="82"/>
      <c r="D4" s="108"/>
      <c r="E4" s="337">
        <f>INDEX('Quarterly Forecasts'!$B$4:$O$500,MATCH(($B$2&amp;$B4),'Quarterly Forecasts'!$B$4:$B$500,0),MATCH(E$2,'Quarterly Forecasts'!$B$4:$O$4,0))</f>
        <v>64.358329999999995</v>
      </c>
      <c r="F4" s="338">
        <f>INDEX('Quarterly Forecasts'!$B$4:$O$500,MATCH($B$2&amp;$B4,'Quarterly Forecasts'!$B$4:$B$500,0),MATCH(F$2,'Quarterly Forecasts'!$B$4:$O$4,0))</f>
        <v>50.81859</v>
      </c>
      <c r="G4" s="338">
        <f>INDEX('Quarterly Forecasts'!$B$4:$O$500,MATCH($B$2&amp;$B4,'Quarterly Forecasts'!$B$4:$B$500,0),MATCH(G$2,'Quarterly Forecasts'!$B$4:$O$4,0))</f>
        <v>20</v>
      </c>
      <c r="H4" s="338">
        <f>INDEX('Quarterly Forecasts'!$B$4:$O$500,MATCH($B$2&amp;$B4,'Quarterly Forecasts'!$B$4:$B$500,0),MATCH(H$2,'Quarterly Forecasts'!$B$4:$O$4,0))</f>
        <v>22</v>
      </c>
      <c r="I4" s="338">
        <f>INDEX('Quarterly Forecasts'!$B$4:$O$500,MATCH($B$2&amp;$B4,'Quarterly Forecasts'!$B$4:$B$500,0),MATCH(I$2,'Quarterly Forecasts'!$B$4:$O$4,0))</f>
        <v>24</v>
      </c>
      <c r="J4" s="338">
        <f>INDEX('Quarterly Forecasts'!$B$4:$O$500,MATCH($B$2&amp;$B4,'Quarterly Forecasts'!$B$4:$B$500,0),MATCH(J$2,'Quarterly Forecasts'!$B$4:$O$4,0))</f>
        <v>26</v>
      </c>
      <c r="K4" s="338">
        <f>INDEX('Quarterly Forecasts'!$B$4:$O$500,MATCH($B$2&amp;$B4,'Quarterly Forecasts'!$B$4:$B$500,0),MATCH(K$2,'Quarterly Forecasts'!$B$4:$O$4,0))</f>
        <v>28</v>
      </c>
      <c r="L4" s="338">
        <f>INDEX('Quarterly Forecasts'!$B$4:$O$500,MATCH($B$2&amp;$B4,'Quarterly Forecasts'!$B$4:$B$500,0),MATCH(L$2,'Quarterly Forecasts'!$B$4:$O$4,0))</f>
        <v>30</v>
      </c>
      <c r="M4" s="338">
        <f>INDEX('Quarterly Forecasts'!$B$4:$O$500,MATCH($B$2&amp;$B4,'Quarterly Forecasts'!$B$4:$B$500,0),MATCH(M$2,'Quarterly Forecasts'!$B$4:$O$4,0))</f>
        <v>30</v>
      </c>
      <c r="P4" s="339" t="s">
        <v>396</v>
      </c>
      <c r="Q4" s="340">
        <v>54.73</v>
      </c>
      <c r="R4" s="406"/>
    </row>
    <row r="5" spans="1:18" ht="10.5" customHeight="1" x14ac:dyDescent="0.25">
      <c r="A5" s="331" t="str">
        <f t="shared" ref="A5:A7" si="1">$B$9&amp;$B$3&amp;B5</f>
        <v>Devon EnergyMarket PricesGas</v>
      </c>
      <c r="B5" s="82" t="s">
        <v>26</v>
      </c>
      <c r="C5" s="82"/>
      <c r="D5" s="108"/>
      <c r="E5" s="337">
        <f>INDEX('Quarterly Forecasts'!$B$4:$O$500,MATCH($B2&amp;$B5,'Quarterly Forecasts'!$B$4:$B$500,0),MATCH(E$2,'Quarterly Forecasts'!$B$4:$O$4,0))</f>
        <v>15.15714</v>
      </c>
      <c r="F5" s="338">
        <f>INDEX('Quarterly Forecasts'!$B$4:$O$500,MATCH($B$2&amp;$B5,'Quarterly Forecasts'!$B$4:$B$500,0),MATCH(F$2,'Quarterly Forecasts'!$B$4:$O$4,0))</f>
        <v>11.20355</v>
      </c>
      <c r="G5" s="338">
        <f>INDEX('Quarterly Forecasts'!$B$4:$O$500,MATCH($B$2&amp;$B5,'Quarterly Forecasts'!$B$4:$B$500,0),MATCH(G$2,'Quarterly Forecasts'!$B$4:$O$4,0))</f>
        <v>12.8748</v>
      </c>
      <c r="H5" s="338">
        <f>INDEX('Quarterly Forecasts'!$B$4:$O$500,MATCH($B$2&amp;$B5,'Quarterly Forecasts'!$B$4:$B$500,0),MATCH(H$2,'Quarterly Forecasts'!$B$4:$O$4,0))</f>
        <v>13.0944</v>
      </c>
      <c r="I5" s="338">
        <f>INDEX('Quarterly Forecasts'!$B$4:$O$500,MATCH($B$2&amp;$B5,'Quarterly Forecasts'!$B$4:$B$500,0),MATCH(I$2,'Quarterly Forecasts'!$B$4:$O$4,0))</f>
        <v>13.314000000000002</v>
      </c>
      <c r="J5" s="338">
        <f>INDEX('Quarterly Forecasts'!$B$4:$O$500,MATCH($B$2&amp;$B5,'Quarterly Forecasts'!$B$4:$B$500,0),MATCH(J$2,'Quarterly Forecasts'!$B$4:$O$4,0))</f>
        <v>13.533600000000002</v>
      </c>
      <c r="K5" s="338">
        <f>INDEX('Quarterly Forecasts'!$B$4:$O$500,MATCH($B$2&amp;$B5,'Quarterly Forecasts'!$B$4:$B$500,0),MATCH(K$2,'Quarterly Forecasts'!$B$4:$O$4,0))</f>
        <v>13.753200000000001</v>
      </c>
      <c r="L5" s="338">
        <f>INDEX('Quarterly Forecasts'!$B$4:$O$500,MATCH($B$2&amp;$B5,'Quarterly Forecasts'!$B$4:$B$500,0),MATCH(L$2,'Quarterly Forecasts'!$B$4:$O$4,0))</f>
        <v>13.972800000000001</v>
      </c>
      <c r="M5" s="338">
        <f>INDEX('Quarterly Forecasts'!$B$4:$O$500,MATCH($B$2&amp;$B5,'Quarterly Forecasts'!$B$4:$B$500,0),MATCH(M$2,'Quarterly Forecasts'!$B$4:$O$4,0))</f>
        <v>13.972800000000001</v>
      </c>
      <c r="P5" s="339" t="s">
        <v>26</v>
      </c>
      <c r="Q5" s="340">
        <v>10.74</v>
      </c>
      <c r="R5" s="406"/>
    </row>
    <row r="6" spans="1:18" ht="10.5" customHeight="1" x14ac:dyDescent="0.25">
      <c r="A6" s="331" t="str">
        <f t="shared" si="1"/>
        <v>Devon EnergyMarket PricesNGL</v>
      </c>
      <c r="B6" s="82" t="s">
        <v>25</v>
      </c>
      <c r="C6" s="82"/>
      <c r="D6" s="108"/>
      <c r="E6" s="337">
        <f>INDEX('Quarterly Forecasts'!$B$4:$O$500,MATCH($B2&amp;$B6,'Quarterly Forecasts'!$B$4:$B$500,0),MATCH(E$2,'Quarterly Forecasts'!$B$4:$O$4,0))</f>
        <v>20.616230000000002</v>
      </c>
      <c r="F6" s="338">
        <f>INDEX('Quarterly Forecasts'!$B$4:$O$500,MATCH($B$2&amp;$B6,'Quarterly Forecasts'!$B$4:$B$500,0),MATCH(F$2,'Quarterly Forecasts'!$B$4:$O$4,0))</f>
        <v>17.26445</v>
      </c>
      <c r="G6" s="338">
        <f>INDEX('Quarterly Forecasts'!$B$4:$O$500,MATCH($B$2&amp;$B6,'Quarterly Forecasts'!$B$4:$B$500,0),MATCH(G$2,'Quarterly Forecasts'!$B$4:$O$4,0))</f>
        <v>8.4505925000000008</v>
      </c>
      <c r="H6" s="338">
        <f>INDEX('Quarterly Forecasts'!$B$4:$O$500,MATCH($B$2&amp;$B6,'Quarterly Forecasts'!$B$4:$B$500,0),MATCH(H$2,'Quarterly Forecasts'!$B$4:$O$4,0))</f>
        <v>9.3239265000000007</v>
      </c>
      <c r="I6" s="338">
        <f>INDEX('Quarterly Forecasts'!$B$4:$O$500,MATCH($B$2&amp;$B6,'Quarterly Forecasts'!$B$4:$B$500,0),MATCH(I$2,'Quarterly Forecasts'!$B$4:$O$4,0))</f>
        <v>10.197260500000001</v>
      </c>
      <c r="J6" s="338">
        <f>INDEX('Quarterly Forecasts'!$B$4:$O$500,MATCH($B$2&amp;$B6,'Quarterly Forecasts'!$B$4:$B$500,0),MATCH(J$2,'Quarterly Forecasts'!$B$4:$O$4,0))</f>
        <v>11.0705945</v>
      </c>
      <c r="K6" s="338">
        <f>INDEX('Quarterly Forecasts'!$B$4:$O$500,MATCH($B$2&amp;$B6,'Quarterly Forecasts'!$B$4:$B$500,0),MATCH(K$2,'Quarterly Forecasts'!$B$4:$O$4,0))</f>
        <v>11.9439285</v>
      </c>
      <c r="L6" s="338">
        <f>INDEX('Quarterly Forecasts'!$B$4:$O$500,MATCH($B$2&amp;$B6,'Quarterly Forecasts'!$B$4:$B$500,0),MATCH(L$2,'Quarterly Forecasts'!$B$4:$O$4,0))</f>
        <v>12.8172625</v>
      </c>
      <c r="M6" s="338">
        <f>INDEX('Quarterly Forecasts'!$B$4:$O$500,MATCH($B$2&amp;$B6,'Quarterly Forecasts'!$B$4:$B$500,0),MATCH(M$2,'Quarterly Forecasts'!$B$4:$O$4,0))</f>
        <v>12.8172625</v>
      </c>
      <c r="P6" s="339" t="s">
        <v>25</v>
      </c>
      <c r="Q6" s="340">
        <v>15.21</v>
      </c>
      <c r="R6" s="406"/>
    </row>
    <row r="7" spans="1:18" ht="10.5" customHeight="1" x14ac:dyDescent="0.25">
      <c r="A7" s="331" t="str">
        <f t="shared" si="1"/>
        <v>Devon EnergyMarket PricesCondensate</v>
      </c>
      <c r="B7" s="341" t="s">
        <v>24</v>
      </c>
      <c r="C7" s="341"/>
      <c r="D7" s="114"/>
      <c r="E7" s="337">
        <f>INDEX('Quarterly Forecasts'!$B$4:$O$500,MATCH($B2&amp;$B7,'Quarterly Forecasts'!$B$4:$B$500,0),MATCH(E$2,'Quarterly Forecasts'!$B$4:$O$4,0))</f>
        <v>38.614997999999993</v>
      </c>
      <c r="F7" s="338">
        <f>INDEX('Quarterly Forecasts'!$B$4:$O$500,MATCH($B$2&amp;$B7,'Quarterly Forecasts'!$B$4:$B$500,0),MATCH(F$2,'Quarterly Forecasts'!$B$4:$O$4,0))</f>
        <v>30.491153999999998</v>
      </c>
      <c r="G7" s="338">
        <f>INDEX('Quarterly Forecasts'!$B$4:$O$500,MATCH($B$2&amp;$B7,'Quarterly Forecasts'!$B$4:$B$500,0),MATCH(G$2,'Quarterly Forecasts'!$B$4:$O$4,0))</f>
        <v>12</v>
      </c>
      <c r="H7" s="338">
        <f>INDEX('Quarterly Forecasts'!$B$4:$O$500,MATCH($B$2&amp;$B7,'Quarterly Forecasts'!$B$4:$B$500,0),MATCH(H$2,'Quarterly Forecasts'!$B$4:$O$4,0))</f>
        <v>13.2</v>
      </c>
      <c r="I7" s="338">
        <f>INDEX('Quarterly Forecasts'!$B$4:$O$500,MATCH($B$2&amp;$B7,'Quarterly Forecasts'!$B$4:$B$500,0),MATCH(I$2,'Quarterly Forecasts'!$B$4:$O$4,0))</f>
        <v>14.399999999999999</v>
      </c>
      <c r="J7" s="338">
        <f>INDEX('Quarterly Forecasts'!$B$4:$O$500,MATCH($B$2&amp;$B7,'Quarterly Forecasts'!$B$4:$B$500,0),MATCH(J$2,'Quarterly Forecasts'!$B$4:$O$4,0))</f>
        <v>15.6</v>
      </c>
      <c r="K7" s="338">
        <f>INDEX('Quarterly Forecasts'!$B$4:$O$500,MATCH($B$2&amp;$B7,'Quarterly Forecasts'!$B$4:$B$500,0),MATCH(K$2,'Quarterly Forecasts'!$B$4:$O$4,0))</f>
        <v>16.8</v>
      </c>
      <c r="L7" s="338">
        <f>INDEX('Quarterly Forecasts'!$B$4:$O$500,MATCH($B$2&amp;$B7,'Quarterly Forecasts'!$B$4:$B$500,0),MATCH(L$2,'Quarterly Forecasts'!$B$4:$O$4,0))</f>
        <v>18</v>
      </c>
      <c r="M7" s="338">
        <f>INDEX('Quarterly Forecasts'!$B$4:$O$500,MATCH($B$2&amp;$B7,'Quarterly Forecasts'!$B$4:$B$500,0),MATCH(M$2,'Quarterly Forecasts'!$B$4:$O$4,0))</f>
        <v>18</v>
      </c>
      <c r="P7" s="339" t="s">
        <v>24</v>
      </c>
      <c r="Q7" s="340">
        <v>32.837999999999994</v>
      </c>
      <c r="R7" s="406"/>
    </row>
    <row r="8" spans="1:18" ht="10.5" customHeight="1" x14ac:dyDescent="0.25">
      <c r="E8" s="342"/>
      <c r="P8" s="339"/>
      <c r="Q8" s="340"/>
      <c r="R8" s="406"/>
    </row>
    <row r="9" spans="1:18" ht="10.5" customHeight="1" x14ac:dyDescent="0.25">
      <c r="B9" s="343" t="s">
        <v>231</v>
      </c>
      <c r="C9" s="343"/>
      <c r="D9" s="115"/>
      <c r="E9" s="344"/>
      <c r="F9" s="344"/>
      <c r="G9" s="344"/>
      <c r="H9" s="344"/>
      <c r="I9" s="344"/>
      <c r="J9" s="344"/>
      <c r="K9" s="344"/>
      <c r="L9" s="344"/>
      <c r="M9" s="344"/>
      <c r="P9" s="335" t="s">
        <v>472</v>
      </c>
      <c r="Q9" s="345"/>
      <c r="R9" s="406"/>
    </row>
    <row r="10" spans="1:18" ht="10.5" customHeight="1" x14ac:dyDescent="0.35">
      <c r="B10" s="332" t="s">
        <v>523</v>
      </c>
      <c r="C10" s="332"/>
      <c r="D10" s="111"/>
      <c r="E10" s="333"/>
      <c r="F10" s="334"/>
      <c r="G10" s="334"/>
      <c r="H10" s="334"/>
      <c r="I10" s="334"/>
      <c r="J10" s="334"/>
      <c r="K10" s="334"/>
      <c r="L10" s="334"/>
      <c r="M10" s="334"/>
      <c r="P10" s="339" t="s">
        <v>461</v>
      </c>
      <c r="Q10" s="330">
        <v>838.75</v>
      </c>
      <c r="R10" s="328"/>
    </row>
    <row r="11" spans="1:18" ht="10.5" customHeight="1" x14ac:dyDescent="0.35">
      <c r="A11" s="331" t="str">
        <f>B9&amp;B10&amp;B11</f>
        <v>Devon EnergyRealized pricesOil</v>
      </c>
      <c r="B11" s="82" t="s">
        <v>396</v>
      </c>
      <c r="C11" s="132" t="s">
        <v>542</v>
      </c>
      <c r="D11" s="108"/>
      <c r="E11" s="337">
        <f>IF(VLOOKUP($B11, P:Q, 2,0) = "-", 0, VLOOKUP($B11, P:Q, 2,0))</f>
        <v>54.73</v>
      </c>
      <c r="F11" s="338">
        <f>F4*($E11/$E4)</f>
        <v>43.215873231949928</v>
      </c>
      <c r="G11" s="338">
        <f>G4*($E11/$E4)</f>
        <v>17.007899365940663</v>
      </c>
      <c r="H11" s="338">
        <f t="shared" ref="G11:M14" si="2">H4*($E11/$E4)</f>
        <v>18.708689302534729</v>
      </c>
      <c r="I11" s="338">
        <f t="shared" si="2"/>
        <v>20.409479239128796</v>
      </c>
      <c r="J11" s="338">
        <f t="shared" si="2"/>
        <v>22.110269175722863</v>
      </c>
      <c r="K11" s="338">
        <f t="shared" si="2"/>
        <v>23.811059112316929</v>
      </c>
      <c r="L11" s="338">
        <f t="shared" si="2"/>
        <v>25.511849048910996</v>
      </c>
      <c r="M11" s="338">
        <f t="shared" si="2"/>
        <v>25.511849048910996</v>
      </c>
      <c r="P11" s="339" t="s">
        <v>462</v>
      </c>
      <c r="Q11" s="330">
        <v>716.25</v>
      </c>
      <c r="R11" s="328"/>
    </row>
    <row r="12" spans="1:18" ht="10.5" customHeight="1" x14ac:dyDescent="0.25">
      <c r="A12" s="331" t="str">
        <f>B9&amp;B10&amp;B12</f>
        <v>Devon EnergyRealized pricesGas</v>
      </c>
      <c r="B12" s="82" t="s">
        <v>26</v>
      </c>
      <c r="C12" s="132" t="s">
        <v>542</v>
      </c>
      <c r="D12" s="108"/>
      <c r="E12" s="337">
        <f>IF(VLOOKUP($B12, P:Q, 2,0) = "-", 0, VLOOKUP($B12, P:Q, 2,0))</f>
        <v>10.74</v>
      </c>
      <c r="F12" s="338">
        <f>F5*($E12/$E5)</f>
        <v>7.9385772645762991</v>
      </c>
      <c r="G12" s="338">
        <f t="shared" ref="G12:M12" si="3">G5*($E12/$E5)</f>
        <v>9.1227864887439196</v>
      </c>
      <c r="H12" s="338">
        <f t="shared" si="3"/>
        <v>9.2783899865014128</v>
      </c>
      <c r="I12" s="338">
        <f t="shared" si="3"/>
        <v>9.4339934842589059</v>
      </c>
      <c r="J12" s="338">
        <f t="shared" si="3"/>
        <v>9.5895969820163973</v>
      </c>
      <c r="K12" s="338">
        <f t="shared" si="3"/>
        <v>9.7452004797738905</v>
      </c>
      <c r="L12" s="338">
        <f t="shared" si="3"/>
        <v>9.9008039775313836</v>
      </c>
      <c r="M12" s="338">
        <f t="shared" si="3"/>
        <v>9.9008039775313836</v>
      </c>
      <c r="P12" s="346" t="s">
        <v>395</v>
      </c>
      <c r="Q12" s="347">
        <v>1555</v>
      </c>
      <c r="R12" s="407"/>
    </row>
    <row r="13" spans="1:18" ht="10.5" customHeight="1" x14ac:dyDescent="0.25">
      <c r="A13" s="331" t="str">
        <f>B9&amp;B10&amp;B13</f>
        <v>Devon EnergyRealized pricesNGL</v>
      </c>
      <c r="B13" s="82" t="s">
        <v>25</v>
      </c>
      <c r="C13" s="132" t="s">
        <v>542</v>
      </c>
      <c r="D13" s="108"/>
      <c r="E13" s="337">
        <f>IF(VLOOKUP($B13, P:Q, 2,0) = "-", 0, VLOOKUP($B13, P:Q, 2,0))</f>
        <v>15.21</v>
      </c>
      <c r="F13" s="338">
        <f>F6*($E13/$E6)</f>
        <v>12.737163123422663</v>
      </c>
      <c r="G13" s="338">
        <f t="shared" ref="G13:M13" si="4">G6*($E13/$E6)</f>
        <v>6.2345788694150199</v>
      </c>
      <c r="H13" s="338">
        <f t="shared" si="4"/>
        <v>6.8788969692809996</v>
      </c>
      <c r="I13" s="338">
        <f t="shared" si="4"/>
        <v>7.5232150691469784</v>
      </c>
      <c r="J13" s="338">
        <f t="shared" si="4"/>
        <v>8.1675331690129571</v>
      </c>
      <c r="K13" s="338">
        <f t="shared" si="4"/>
        <v>8.8118512688789377</v>
      </c>
      <c r="L13" s="338">
        <f t="shared" si="4"/>
        <v>9.4561693687449164</v>
      </c>
      <c r="M13" s="338">
        <f t="shared" si="4"/>
        <v>9.4561693687449164</v>
      </c>
      <c r="P13" s="339"/>
      <c r="Q13" s="340"/>
      <c r="R13" s="406"/>
    </row>
    <row r="14" spans="1:18" ht="10.5" customHeight="1" x14ac:dyDescent="0.25">
      <c r="A14" s="331" t="str">
        <f>B9&amp;B10&amp;B14</f>
        <v>Devon EnergyRealized pricesCondensate</v>
      </c>
      <c r="B14" s="82" t="s">
        <v>24</v>
      </c>
      <c r="C14" s="132" t="s">
        <v>543</v>
      </c>
      <c r="D14" s="108"/>
      <c r="E14" s="337">
        <f>IF(VLOOKUP($B14, P:Q, 2,0) = "-", 0, VLOOKUP($B14, P:Q, 2,0))</f>
        <v>32.837999999999994</v>
      </c>
      <c r="F14" s="338">
        <f>F7*($E14/$E7)</f>
        <v>25.929523939169954</v>
      </c>
      <c r="G14" s="338">
        <f t="shared" si="2"/>
        <v>10.204739619564398</v>
      </c>
      <c r="H14" s="338">
        <f t="shared" si="2"/>
        <v>11.225213581520837</v>
      </c>
      <c r="I14" s="338">
        <f t="shared" si="2"/>
        <v>12.245687543477278</v>
      </c>
      <c r="J14" s="338">
        <f t="shared" si="2"/>
        <v>13.266161505433718</v>
      </c>
      <c r="K14" s="338">
        <f t="shared" si="2"/>
        <v>14.286635467390159</v>
      </c>
      <c r="L14" s="338">
        <f t="shared" si="2"/>
        <v>15.307109429346598</v>
      </c>
      <c r="M14" s="338">
        <f t="shared" si="2"/>
        <v>15.307109429346598</v>
      </c>
      <c r="P14" s="335" t="s">
        <v>473</v>
      </c>
      <c r="Q14" s="340"/>
      <c r="R14" s="406"/>
    </row>
    <row r="15" spans="1:18" ht="10.5" customHeight="1" x14ac:dyDescent="0.25">
      <c r="A15" s="331" t="str">
        <f>B9&amp;B10&amp;B15</f>
        <v>Devon EnergyRealized pricesAverage realized price</v>
      </c>
      <c r="B15" s="348" t="s">
        <v>527</v>
      </c>
      <c r="C15" s="349" t="s">
        <v>541</v>
      </c>
      <c r="D15" s="114"/>
      <c r="E15" s="337">
        <f>E29/E24</f>
        <v>40.461261918741577</v>
      </c>
      <c r="F15" s="350">
        <f>F29/F24</f>
        <v>37.602031403420831</v>
      </c>
      <c r="G15" s="350">
        <f t="shared" ref="G15:M15" si="5">G29/G24</f>
        <v>19.711314501215725</v>
      </c>
      <c r="H15" s="350">
        <f t="shared" si="5"/>
        <v>21.143626476916118</v>
      </c>
      <c r="I15" s="350">
        <f t="shared" si="5"/>
        <v>22.575938452616516</v>
      </c>
      <c r="J15" s="350">
        <f t="shared" si="5"/>
        <v>24.42605750387651</v>
      </c>
      <c r="K15" s="350">
        <f t="shared" si="5"/>
        <v>25.900287375453175</v>
      </c>
      <c r="L15" s="350">
        <f t="shared" si="5"/>
        <v>27.374517247029829</v>
      </c>
      <c r="M15" s="350">
        <f t="shared" si="5"/>
        <v>27.374517247029829</v>
      </c>
      <c r="P15" s="339" t="s">
        <v>463</v>
      </c>
      <c r="Q15" s="340">
        <v>0</v>
      </c>
      <c r="R15" s="406"/>
    </row>
    <row r="16" spans="1:18" ht="10.5" customHeight="1" x14ac:dyDescent="0.25">
      <c r="B16" s="343"/>
      <c r="C16" s="343"/>
      <c r="D16" s="115"/>
      <c r="E16" s="351"/>
      <c r="F16" s="351"/>
      <c r="G16" s="351"/>
      <c r="H16" s="351"/>
      <c r="I16" s="351"/>
      <c r="J16" s="351"/>
      <c r="K16" s="351"/>
      <c r="L16" s="351"/>
      <c r="M16" s="351"/>
      <c r="P16" s="339" t="s">
        <v>464</v>
      </c>
      <c r="Q16" s="340">
        <v>374.25</v>
      </c>
      <c r="R16" s="406"/>
    </row>
    <row r="17" spans="1:18" ht="10.5" customHeight="1" x14ac:dyDescent="0.25">
      <c r="A17" s="331" t="str">
        <f>B9&amp;B17</f>
        <v>Devon EnergyNetback price, BOE</v>
      </c>
      <c r="B17" s="352" t="s">
        <v>503</v>
      </c>
      <c r="C17" s="353" t="s">
        <v>535</v>
      </c>
      <c r="D17" s="122"/>
      <c r="E17" s="337">
        <f>E15-(E43/E24)-(E36/E24)-(E37/E24)-(E38/E24)</f>
        <v>29.038436206633826</v>
      </c>
      <c r="F17" s="337">
        <f>F15-(F43/F24)-(F36/F24)-(F37/F24)-(F38/F24)</f>
        <v>26.487257557807858</v>
      </c>
      <c r="G17" s="337">
        <f t="shared" ref="G17:M17" si="6">G15-(G43/G24)-(G36/G24)-(G37/G24)-(G38/G24)</f>
        <v>9.2977154323885181</v>
      </c>
      <c r="H17" s="337">
        <f t="shared" si="6"/>
        <v>10.684524042958593</v>
      </c>
      <c r="I17" s="337">
        <f t="shared" si="6"/>
        <v>12.071332653528673</v>
      </c>
      <c r="J17" s="337">
        <f t="shared" si="6"/>
        <v>13.875948339658354</v>
      </c>
      <c r="K17" s="337">
        <f t="shared" si="6"/>
        <v>15.304674846104701</v>
      </c>
      <c r="L17" s="337">
        <f t="shared" si="6"/>
        <v>16.733401352551038</v>
      </c>
      <c r="M17" s="337">
        <f t="shared" si="6"/>
        <v>16.733401352551038</v>
      </c>
      <c r="P17" s="339" t="s">
        <v>465</v>
      </c>
      <c r="Q17" s="340">
        <v>-12</v>
      </c>
      <c r="R17" s="406"/>
    </row>
    <row r="18" spans="1:18" ht="10.5" customHeight="1" x14ac:dyDescent="0.25">
      <c r="B18" s="343"/>
      <c r="C18" s="343"/>
      <c r="D18" s="115"/>
      <c r="E18" s="351"/>
      <c r="F18" s="351"/>
      <c r="G18" s="351"/>
      <c r="H18" s="351"/>
      <c r="I18" s="351"/>
      <c r="J18" s="351"/>
      <c r="K18" s="351"/>
      <c r="L18" s="351"/>
      <c r="M18" s="351"/>
      <c r="P18" s="339" t="s">
        <v>505</v>
      </c>
      <c r="Q18" s="340">
        <v>0</v>
      </c>
      <c r="R18" s="406"/>
    </row>
    <row r="19" spans="1:18" ht="10.5" customHeight="1" x14ac:dyDescent="0.25">
      <c r="B19" s="332" t="s">
        <v>532</v>
      </c>
      <c r="C19" s="332"/>
      <c r="D19" s="111"/>
      <c r="E19" s="333"/>
      <c r="F19" s="334"/>
      <c r="G19" s="334"/>
      <c r="H19" s="334"/>
      <c r="I19" s="334"/>
      <c r="J19" s="334"/>
      <c r="K19" s="334"/>
      <c r="L19" s="334"/>
      <c r="M19" s="334"/>
      <c r="P19" s="339" t="s">
        <v>467</v>
      </c>
      <c r="Q19" s="340">
        <v>0</v>
      </c>
      <c r="R19" s="406"/>
    </row>
    <row r="20" spans="1:18" ht="10.5" customHeight="1" x14ac:dyDescent="0.25">
      <c r="A20" s="331" t="str">
        <f>B9&amp;B19&amp;B20</f>
        <v>Devon EnergyProduction, BOE/QOil</v>
      </c>
      <c r="B20" s="82" t="s">
        <v>396</v>
      </c>
      <c r="C20" s="132" t="s">
        <v>564</v>
      </c>
      <c r="D20" s="108"/>
      <c r="E20" s="354">
        <f>IF($B$2="A3",SUMIFS('$33'!$H$9:$H$2139,'$33'!$A$9:$A$2139,$B$9,'$33'!$G$9:$G$2139,$B20)*365/4, SUMIFS('$22'!$H$9:$H$2140,'$22'!$A$9:$A$2140,Devon!$B$9,'$22'!$G$9:$G$2140, $B20)*365/4)</f>
        <v>9071.1151898862518</v>
      </c>
      <c r="F20" s="355">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10016.796538163748</v>
      </c>
      <c r="G20" s="355">
        <f>F20*(1-INDEX(Assumptions!$A$2:$K$596,MATCH($B9&amp;"Oil production reduction",Assumptions!$A$2:$A$596,0),MATCH(G$2,Assumptions!$A$2:$K$2,0)))</f>
        <v>10016.796538163748</v>
      </c>
      <c r="H20" s="355">
        <f>G20*(1-INDEX(Assumptions!$A$2:$K$596,MATCH($B9&amp;"Oil production reduction",Assumptions!$A$2:$A$596,0),MATCH(H$2,Assumptions!$A$2:$K$2,0)))</f>
        <v>10016.796538163748</v>
      </c>
      <c r="I20" s="355">
        <f>H20*(1-INDEX(Assumptions!$A$2:$K$596,MATCH($B9&amp;"Oil production reduction",Assumptions!$A$2:$A$596,0),MATCH(I$2,Assumptions!$A$2:$K$2,0)))</f>
        <v>10016.796538163748</v>
      </c>
      <c r="J20" s="355">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10251.371982139999</v>
      </c>
      <c r="K20" s="355">
        <f>J20*(1-INDEX(Assumptions!$A$2:$K$596,MATCH($B9&amp;"Oil production reduction",Assumptions!$A$2:$A$596,0),MATCH(K$2,Assumptions!$A$2:$K$2,0)))</f>
        <v>10251.371982139999</v>
      </c>
      <c r="L20" s="355">
        <f>K20*(1-INDEX(Assumptions!$A$2:$K$596,MATCH($B9&amp;"Oil production reduction",Assumptions!$A$2:$A$596,0),MATCH(L$2,Assumptions!$A$2:$K$2,0)))</f>
        <v>10251.371982139999</v>
      </c>
      <c r="M20" s="355">
        <f>L20*(1-INDEX(Assumptions!$A$2:$K$596,MATCH($B9&amp;"Oil production reduction",Assumptions!$A$2:$A$596,0),MATCH(M$2,Assumptions!$A$2:$K$2,0)))</f>
        <v>10251.371982139999</v>
      </c>
      <c r="P20" s="339" t="s">
        <v>468</v>
      </c>
      <c r="Q20" s="340">
        <v>0</v>
      </c>
      <c r="R20" s="406"/>
    </row>
    <row r="21" spans="1:18" ht="10.5" customHeight="1" x14ac:dyDescent="0.25">
      <c r="A21" s="331" t="str">
        <f>B9&amp;B19&amp;B21</f>
        <v>Devon EnergyProduction, BOE/QGas</v>
      </c>
      <c r="B21" s="82" t="s">
        <v>26</v>
      </c>
      <c r="C21" s="132" t="s">
        <v>564</v>
      </c>
      <c r="D21" s="108"/>
      <c r="E21" s="354">
        <f>IF($B$2="A3",SUMIFS('$33'!$H$9:$H$2139,'$33'!$A$9:$A$2139,$B$9,'$33'!$G$9:$G$2139,$B21)*365/4, SUMIFS('$22'!$H$9:$H$2140,'$22'!$A$9:$A$2140,Devon!$B$9,'$22'!$G$9:$G$2140, $B21)*365/4)</f>
        <v>15364.823032593751</v>
      </c>
      <c r="F21" s="355">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14476.730143444001</v>
      </c>
      <c r="G21" s="355">
        <f>F21*(1-INDEX(Assumptions!$A$2:$K$596,MATCH($B9&amp;"Gas production reduction",Assumptions!$A$2:$A$596,0),MATCH(G$2,Assumptions!$A$2:$K$2,0)))</f>
        <v>14476.730143444001</v>
      </c>
      <c r="H21" s="355">
        <f>G21*(1-INDEX(Assumptions!$A$2:$K$596,MATCH($B9&amp;"Gas production reduction",Assumptions!$A$2:$A$596,0),MATCH(H$2,Assumptions!$A$2:$K$2,0)))</f>
        <v>14476.730143444001</v>
      </c>
      <c r="I21" s="355">
        <f>H21*(1-INDEX(Assumptions!$A$2:$K$596,MATCH($B9&amp;"Gas production reduction",Assumptions!$A$2:$A$596,0),MATCH(I$2,Assumptions!$A$2:$K$2,0)))</f>
        <v>14476.730143444001</v>
      </c>
      <c r="J21" s="355">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13532.230297301252</v>
      </c>
      <c r="K21" s="355">
        <f>J21*(1-INDEX(Assumptions!$A$2:$K$596,MATCH($B9&amp;"Gas production reduction",Assumptions!$A$2:$A$596,0),MATCH(K$2,Assumptions!$A$2:$K$2,0)))</f>
        <v>13532.230297301252</v>
      </c>
      <c r="L21" s="355">
        <f>K21*(1-INDEX(Assumptions!$A$2:$K$596,MATCH($B9&amp;"Gas production reduction",Assumptions!$A$2:$A$596,0),MATCH(L$2,Assumptions!$A$2:$K$2,0)))</f>
        <v>13532.230297301252</v>
      </c>
      <c r="M21" s="355">
        <f>L21*(1-INDEX(Assumptions!$A$2:$K$596,MATCH($B9&amp;"Gas production reduction",Assumptions!$A$2:$A$596,0),MATCH(M$2,Assumptions!$A$2:$K$2,0)))</f>
        <v>13532.230297301252</v>
      </c>
      <c r="P21" s="339" t="s">
        <v>469</v>
      </c>
      <c r="Q21" s="340">
        <v>320.25</v>
      </c>
      <c r="R21" s="406"/>
    </row>
    <row r="22" spans="1:18" ht="10.5" customHeight="1" x14ac:dyDescent="0.25">
      <c r="A22" s="331" t="str">
        <f>B9&amp;B19&amp;B22</f>
        <v>Devon EnergyProduction, BOE/QNGL</v>
      </c>
      <c r="B22" s="82" t="s">
        <v>25</v>
      </c>
      <c r="C22" s="132" t="s">
        <v>564</v>
      </c>
      <c r="D22" s="108"/>
      <c r="E22" s="354">
        <f>IF($B$2="A3",SUMIFS('$33'!$H$9:$H$2139,'$33'!$A$9:$A$2139,$B$9,'$33'!$G$9:$G$2139,$B22)*365/4, SUMIFS('$22'!$H$9:$H$2140,'$22'!$A$9:$A$2140,Devon!$B$9,'$22'!$G$9:$G$2140, $B22)*365/4)</f>
        <v>9751.499618606249</v>
      </c>
      <c r="F22" s="355">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9233.7915197886268</v>
      </c>
      <c r="G22" s="355">
        <f>F22*(1-INDEX(Assumptions!$A$2:$K$596,MATCH($B9&amp;"NGL production reduction",Assumptions!$A$2:$A$596,0),MATCH(G$2,Assumptions!$A$2:$K$2,0)))</f>
        <v>9233.7915197886268</v>
      </c>
      <c r="H22" s="355">
        <f>G22*(1-INDEX(Assumptions!$A$2:$K$596,MATCH($B9&amp;"NGL production reduction",Assumptions!$A$2:$A$596,0),MATCH(H$2,Assumptions!$A$2:$K$2,0)))</f>
        <v>9233.7915197886268</v>
      </c>
      <c r="I22" s="355">
        <f>H22*(1-INDEX(Assumptions!$A$2:$K$596,MATCH($B9&amp;"NGL production reduction",Assumptions!$A$2:$A$596,0),MATCH(I$2,Assumptions!$A$2:$K$2,0)))</f>
        <v>9233.7915197886268</v>
      </c>
      <c r="J22" s="355">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8656.8831095975002</v>
      </c>
      <c r="K22" s="355">
        <f>J22*(1-INDEX(Assumptions!$A$2:$K$596,MATCH($B9&amp;"NGL production reduction",Assumptions!$A$2:$A$596,0),MATCH(K$2,Assumptions!$A$2:$K$2,0)))</f>
        <v>8656.8831095975002</v>
      </c>
      <c r="L22" s="355">
        <f>K22*(1-INDEX(Assumptions!$A$2:$K$596,MATCH($B9&amp;"NGL production reduction",Assumptions!$A$2:$A$596,0),MATCH(L$2,Assumptions!$A$2:$K$2,0)))</f>
        <v>8656.8831095975002</v>
      </c>
      <c r="M22" s="355">
        <f>L22*(1-INDEX(Assumptions!$A$2:$K$596,MATCH($B9&amp;"NGL production reduction",Assumptions!$A$2:$A$596,0),MATCH(M$2,Assumptions!$A$2:$K$2,0)))</f>
        <v>8656.8831095975002</v>
      </c>
      <c r="P22" s="339" t="s">
        <v>470</v>
      </c>
      <c r="Q22" s="340">
        <v>118.75</v>
      </c>
      <c r="R22" s="406"/>
    </row>
    <row r="23" spans="1:18" ht="10.5" customHeight="1" x14ac:dyDescent="0.25">
      <c r="A23" s="331" t="str">
        <f>B9&amp;B19&amp;B23</f>
        <v>Devon EnergyProduction, BOE/QCondensate</v>
      </c>
      <c r="B23" s="82" t="s">
        <v>24</v>
      </c>
      <c r="C23" s="132" t="s">
        <v>564</v>
      </c>
      <c r="D23" s="108"/>
      <c r="E23" s="354">
        <f>IF($B$2="A3",SUMIFS('$33'!$H$9:$H$2139,'$33'!$A$9:$A$2139,$B$9,'$33'!$G$9:$G$2139,$B23)*365/4, SUMIFS('$22'!$H$9:$H$2140,'$22'!$A$9:$A$2140,Devon!$B$9,'$22'!$G$9:$G$2140, $B23)*365/4)</f>
        <v>4244.3837645500007</v>
      </c>
      <c r="F23" s="355">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3300.6543590750002</v>
      </c>
      <c r="G23" s="355">
        <f>F23*(1-INDEX(Assumptions!$A$2:$K$596,MATCH($B9&amp;"Condensate production reduction",Assumptions!$A$2:$A$596,0),MATCH(G$2,Assumptions!$A$2:$K$2,0)))</f>
        <v>3300.6543590750002</v>
      </c>
      <c r="H23" s="355">
        <f>G23*(1-INDEX(Assumptions!$A$2:$K$596,MATCH($B9&amp;"Condensate production reduction",Assumptions!$A$2:$A$596,0),MATCH(H$2,Assumptions!$A$2:$K$2,0)))</f>
        <v>3300.6543590750002</v>
      </c>
      <c r="I23" s="355">
        <f>H23*(1-INDEX(Assumptions!$A$2:$K$596,MATCH($B9&amp;"Condensate production reduction",Assumptions!$A$2:$A$596,0),MATCH(I$2,Assumptions!$A$2:$K$2,0)))</f>
        <v>3300.6543590750002</v>
      </c>
      <c r="J23" s="355">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3006.1579242374996</v>
      </c>
      <c r="K23" s="355">
        <f>J23*(1-INDEX(Assumptions!$A$2:$K$596,MATCH($B9&amp;"Condensate production reduction",Assumptions!$A$2:$A$596,0),MATCH(K$2,Assumptions!$A$2:$K$2,0)))</f>
        <v>3006.1579242374996</v>
      </c>
      <c r="L23" s="355">
        <f>K23*(1-INDEX(Assumptions!$A$2:$K$596,MATCH($B9&amp;"Condensate production reduction",Assumptions!$A$2:$A$596,0),MATCH(L$2,Assumptions!$A$2:$K$2,0)))</f>
        <v>3006.1579242374996</v>
      </c>
      <c r="M23" s="355">
        <f>L23*(1-INDEX(Assumptions!$A$2:$K$596,MATCH($B9&amp;"Condensate production reduction",Assumptions!$A$2:$A$596,0),MATCH(M$2,Assumptions!$A$2:$K$2,0)))</f>
        <v>3006.1579242374996</v>
      </c>
      <c r="P23" s="356" t="s">
        <v>561</v>
      </c>
      <c r="Q23" s="345">
        <v>14.5</v>
      </c>
      <c r="R23" s="406"/>
    </row>
    <row r="24" spans="1:18" ht="10.5" customHeight="1" x14ac:dyDescent="0.25">
      <c r="A24" s="331" t="str">
        <f>B9&amp;B19&amp;B24</f>
        <v>Devon EnergyProduction, BOE/QTotal production</v>
      </c>
      <c r="B24" s="348" t="s">
        <v>397</v>
      </c>
      <c r="C24" s="357"/>
      <c r="D24" s="114"/>
      <c r="E24" s="358">
        <f>SUM(E20:E23)</f>
        <v>38431.821605636258</v>
      </c>
      <c r="F24" s="359">
        <f>SUM(F20:F23)</f>
        <v>37027.972560471375</v>
      </c>
      <c r="G24" s="359">
        <f t="shared" ref="G24:M24" si="7">SUM(G20:G23)</f>
        <v>37027.972560471375</v>
      </c>
      <c r="H24" s="359">
        <f t="shared" si="7"/>
        <v>37027.972560471375</v>
      </c>
      <c r="I24" s="359">
        <f t="shared" si="7"/>
        <v>37027.972560471375</v>
      </c>
      <c r="J24" s="359">
        <f t="shared" si="7"/>
        <v>35446.643313276247</v>
      </c>
      <c r="K24" s="359">
        <f t="shared" si="7"/>
        <v>35446.643313276247</v>
      </c>
      <c r="L24" s="359">
        <f t="shared" si="7"/>
        <v>35446.643313276247</v>
      </c>
      <c r="M24" s="359">
        <f t="shared" si="7"/>
        <v>35446.643313276247</v>
      </c>
      <c r="P24" s="360" t="s">
        <v>910</v>
      </c>
      <c r="Q24" s="361">
        <v>1</v>
      </c>
      <c r="R24" s="406"/>
    </row>
    <row r="25" spans="1:18" ht="10.5" customHeight="1" x14ac:dyDescent="0.25">
      <c r="B25" s="343"/>
      <c r="C25" s="343"/>
      <c r="D25" s="115"/>
      <c r="E25" s="344"/>
      <c r="F25" s="344"/>
      <c r="G25" s="344"/>
      <c r="H25" s="344"/>
      <c r="I25" s="362"/>
      <c r="J25" s="362"/>
      <c r="K25" s="362"/>
      <c r="L25" s="362"/>
      <c r="M25" s="362"/>
      <c r="P25" s="360" t="s">
        <v>911</v>
      </c>
      <c r="Q25" s="361">
        <v>-2.5</v>
      </c>
      <c r="R25" s="406"/>
    </row>
    <row r="26" spans="1:18" ht="10.5" customHeight="1" x14ac:dyDescent="0.25">
      <c r="A26" s="331" t="str">
        <f>B9&amp;B26</f>
        <v>Devon EnergyRevenues</v>
      </c>
      <c r="B26" s="332" t="s">
        <v>472</v>
      </c>
      <c r="C26" s="332"/>
      <c r="D26" s="111"/>
      <c r="E26" s="353"/>
      <c r="F26" s="363">
        <f>F29/SUM($F$29:$I$29)</f>
        <v>0.37217606711479478</v>
      </c>
      <c r="G26" s="363">
        <f t="shared" ref="G26:I26" si="8">G29/SUM($F$29:$I$29)</f>
        <v>0.19509795707627364</v>
      </c>
      <c r="H26" s="363">
        <f t="shared" si="8"/>
        <v>0.2092746442950684</v>
      </c>
      <c r="I26" s="363">
        <f t="shared" si="8"/>
        <v>0.22345133151386315</v>
      </c>
      <c r="J26" s="363">
        <f>J29/SUM($J$29:$M$29)</f>
        <v>0.23246223472653463</v>
      </c>
      <c r="K26" s="363">
        <f t="shared" ref="K26:M26" si="9">K29/SUM($J$29:$M$29)</f>
        <v>0.24649244694530695</v>
      </c>
      <c r="L26" s="363">
        <f t="shared" si="9"/>
        <v>0.26052265916407918</v>
      </c>
      <c r="M26" s="363">
        <f t="shared" si="9"/>
        <v>0.26052265916407918</v>
      </c>
      <c r="P26" s="360" t="s">
        <v>912</v>
      </c>
      <c r="Q26" s="361">
        <v>703</v>
      </c>
      <c r="R26" s="406"/>
    </row>
    <row r="27" spans="1:18" ht="10.5" customHeight="1" x14ac:dyDescent="0.25">
      <c r="A27" s="331" t="str">
        <f>B9&amp;B27</f>
        <v>Devon EnergySales Revenue</v>
      </c>
      <c r="B27" s="82" t="s">
        <v>461</v>
      </c>
      <c r="C27" s="82" t="s">
        <v>536</v>
      </c>
      <c r="D27" s="108"/>
      <c r="E27" s="364">
        <f>IF(VLOOKUP($B27, P:Q, 2,0) = "-", 0, VLOOKUP($B27, P:Q, 2,0))*1000</f>
        <v>838750</v>
      </c>
      <c r="F27" s="365">
        <f>SUMPRODUCT(F11:F14,F20:F23)</f>
        <v>751005.95521945576</v>
      </c>
      <c r="G27" s="365">
        <f>SUMPRODUCT(G11:G14,G20:G23)</f>
        <v>393683.90544639295</v>
      </c>
      <c r="H27" s="365">
        <f t="shared" ref="H27:M27" si="10">SUMPRODUCT(H11:H14,H20:H23)</f>
        <v>422290.7328792662</v>
      </c>
      <c r="I27" s="365">
        <f t="shared" si="10"/>
        <v>450897.56031213951</v>
      </c>
      <c r="J27" s="365">
        <f t="shared" si="10"/>
        <v>467014.78523620957</v>
      </c>
      <c r="K27" s="365">
        <f t="shared" si="10"/>
        <v>495201.37026958691</v>
      </c>
      <c r="L27" s="365">
        <f t="shared" si="10"/>
        <v>523387.95530296408</v>
      </c>
      <c r="M27" s="365">
        <f t="shared" si="10"/>
        <v>523387.95530296408</v>
      </c>
      <c r="P27" s="360" t="s">
        <v>913</v>
      </c>
      <c r="Q27" s="361"/>
      <c r="R27" s="406"/>
    </row>
    <row r="28" spans="1:18" ht="10.5" customHeight="1" x14ac:dyDescent="0.25">
      <c r="A28" s="331" t="str">
        <f>B9&amp;B28</f>
        <v>Devon EnergyOther Revenue</v>
      </c>
      <c r="B28" s="82" t="s">
        <v>462</v>
      </c>
      <c r="C28" s="82" t="s">
        <v>533</v>
      </c>
      <c r="D28" s="204">
        <f>$E28/$E27</f>
        <v>0.85394932935916545</v>
      </c>
      <c r="E28" s="364">
        <f>IF(VLOOKUP($B28, P:Q, 2,0) = "-", 0, VLOOKUP($B28, P:Q, 2,0))*1000</f>
        <v>716250</v>
      </c>
      <c r="F28" s="365">
        <f>F27*$D28</f>
        <v>641321.03180439374</v>
      </c>
      <c r="G28" s="365">
        <f>G27*$D28</f>
        <v>336186.10703544435</v>
      </c>
      <c r="H28" s="365">
        <f t="shared" ref="H28:L28" si="11">H27*$D28</f>
        <v>360614.88813683984</v>
      </c>
      <c r="I28" s="365">
        <f t="shared" si="11"/>
        <v>385043.66923823539</v>
      </c>
      <c r="J28" s="365">
        <f t="shared" si="11"/>
        <v>398806.96265327587</v>
      </c>
      <c r="K28" s="365">
        <f t="shared" si="11"/>
        <v>422876.87803945353</v>
      </c>
      <c r="L28" s="365">
        <f t="shared" si="11"/>
        <v>446946.79342563107</v>
      </c>
      <c r="M28" s="365">
        <f>M27*$D28</f>
        <v>446946.79342563107</v>
      </c>
      <c r="P28" s="360" t="s">
        <v>914</v>
      </c>
      <c r="Q28" s="361"/>
      <c r="R28" s="406"/>
    </row>
    <row r="29" spans="1:18" ht="10.5" customHeight="1" x14ac:dyDescent="0.25">
      <c r="A29" s="331" t="str">
        <f>B9&amp;B29</f>
        <v>Devon EnergyTotal Revenue</v>
      </c>
      <c r="B29" s="85" t="s">
        <v>395</v>
      </c>
      <c r="C29" s="85"/>
      <c r="D29" s="366">
        <f>SUMPRODUCT(E11:E14,E20:E23)*(1+D28)</f>
        <v>1759727.3918225793</v>
      </c>
      <c r="E29" s="366">
        <f>SUM(E27:E28)</f>
        <v>1555000</v>
      </c>
      <c r="F29" s="367">
        <f t="shared" ref="F29:M29" si="12">SUM(F27:F28)</f>
        <v>1392326.9870238495</v>
      </c>
      <c r="G29" s="367">
        <f t="shared" si="12"/>
        <v>729870.0124818373</v>
      </c>
      <c r="H29" s="367">
        <f t="shared" si="12"/>
        <v>782905.6210161061</v>
      </c>
      <c r="I29" s="367">
        <f t="shared" si="12"/>
        <v>835941.2295503749</v>
      </c>
      <c r="J29" s="367">
        <f t="shared" si="12"/>
        <v>865821.74788948544</v>
      </c>
      <c r="K29" s="367">
        <f t="shared" si="12"/>
        <v>918078.24830904044</v>
      </c>
      <c r="L29" s="367">
        <f t="shared" si="12"/>
        <v>970334.74872859521</v>
      </c>
      <c r="M29" s="367">
        <f t="shared" si="12"/>
        <v>970334.74872859521</v>
      </c>
      <c r="P29" s="360" t="s">
        <v>915</v>
      </c>
      <c r="Q29" s="361"/>
      <c r="R29" s="406"/>
    </row>
    <row r="30" spans="1:18" ht="10.5" customHeight="1" x14ac:dyDescent="0.25">
      <c r="A30" s="331" t="str">
        <f>B9&amp;B30</f>
        <v>Devon EnergyCosts and Expenses</v>
      </c>
      <c r="B30" s="368" t="s">
        <v>473</v>
      </c>
      <c r="C30" s="368"/>
      <c r="D30" s="112"/>
      <c r="E30" s="364"/>
      <c r="F30" s="369"/>
      <c r="G30" s="365"/>
      <c r="H30" s="365"/>
      <c r="I30" s="365"/>
      <c r="J30" s="365"/>
      <c r="K30" s="365"/>
      <c r="L30" s="365"/>
      <c r="M30" s="365"/>
      <c r="P30" s="360" t="s">
        <v>916</v>
      </c>
      <c r="Q30" s="361" t="s">
        <v>899</v>
      </c>
      <c r="R30" s="406"/>
    </row>
    <row r="31" spans="1:18" ht="10.5" customHeight="1" x14ac:dyDescent="0.25">
      <c r="A31" s="331" t="str">
        <f>B9&amp;B31</f>
        <v>Devon EnergyImpairment</v>
      </c>
      <c r="B31" s="82" t="s">
        <v>463</v>
      </c>
      <c r="C31" s="82" t="s">
        <v>537</v>
      </c>
      <c r="D31" s="108"/>
      <c r="E31" s="364">
        <f t="shared" ref="E31:E40" si="13">IF(VLOOKUP($B31, P:Q, 2,0) = "-", 0, VLOOKUP($B31, P:Q, 2,0))*1000</f>
        <v>0</v>
      </c>
      <c r="F31" s="370">
        <f>E31</f>
        <v>0</v>
      </c>
      <c r="G31" s="370">
        <f t="shared" ref="G31:M31" si="14">F31</f>
        <v>0</v>
      </c>
      <c r="H31" s="370">
        <f t="shared" si="14"/>
        <v>0</v>
      </c>
      <c r="I31" s="370">
        <f t="shared" si="14"/>
        <v>0</v>
      </c>
      <c r="J31" s="370">
        <f t="shared" si="14"/>
        <v>0</v>
      </c>
      <c r="K31" s="370">
        <f t="shared" si="14"/>
        <v>0</v>
      </c>
      <c r="L31" s="370">
        <f t="shared" si="14"/>
        <v>0</v>
      </c>
      <c r="M31" s="370">
        <f t="shared" si="14"/>
        <v>0</v>
      </c>
      <c r="P31" s="339" t="s">
        <v>471</v>
      </c>
      <c r="Q31" s="340">
        <v>701.5</v>
      </c>
      <c r="R31" s="406"/>
    </row>
    <row r="32" spans="1:18" ht="10.5" customHeight="1" x14ac:dyDescent="0.25">
      <c r="A32" s="331" t="str">
        <f>B9&amp;B32</f>
        <v>Devon EnergyDD&amp;A</v>
      </c>
      <c r="B32" s="82" t="s">
        <v>464</v>
      </c>
      <c r="C32" s="106" t="s">
        <v>545</v>
      </c>
      <c r="D32" s="108">
        <f>E32/$E$24</f>
        <v>9.7380239698321756</v>
      </c>
      <c r="E32" s="364">
        <f t="shared" si="13"/>
        <v>374250</v>
      </c>
      <c r="F32" s="371">
        <f>$D32*F24</f>
        <v>360579.28434815834</v>
      </c>
      <c r="G32" s="371">
        <f t="shared" ref="G32:M32" si="15">$D32*G24</f>
        <v>360579.28434815834</v>
      </c>
      <c r="H32" s="371">
        <f t="shared" si="15"/>
        <v>360579.28434815834</v>
      </c>
      <c r="I32" s="371">
        <f t="shared" si="15"/>
        <v>360579.28434815834</v>
      </c>
      <c r="J32" s="371">
        <f t="shared" si="15"/>
        <v>345180.26223477552</v>
      </c>
      <c r="K32" s="371">
        <f t="shared" si="15"/>
        <v>345180.26223477552</v>
      </c>
      <c r="L32" s="371">
        <f t="shared" si="15"/>
        <v>345180.26223477552</v>
      </c>
      <c r="M32" s="371">
        <f t="shared" si="15"/>
        <v>345180.26223477552</v>
      </c>
      <c r="P32" s="346" t="s">
        <v>474</v>
      </c>
      <c r="Q32" s="347">
        <v>1517.25</v>
      </c>
      <c r="R32" s="407"/>
    </row>
    <row r="33" spans="1:18" ht="10.5" customHeight="1" x14ac:dyDescent="0.25">
      <c r="A33" s="331" t="str">
        <f>B9&amp;B33</f>
        <v>Devon EnergyAsset retirement obligation</v>
      </c>
      <c r="B33" s="82" t="s">
        <v>465</v>
      </c>
      <c r="C33" s="106" t="s">
        <v>545</v>
      </c>
      <c r="D33" s="108">
        <f t="shared" ref="D33:D40" si="16">E33/$E$24</f>
        <v>-0.31224124953369703</v>
      </c>
      <c r="E33" s="364">
        <f t="shared" si="13"/>
        <v>-12000</v>
      </c>
      <c r="F33" s="371">
        <f>$D33*F24</f>
        <v>-11561.66041998103</v>
      </c>
      <c r="G33" s="371">
        <f>$D33*G24</f>
        <v>-11561.66041998103</v>
      </c>
      <c r="H33" s="371">
        <f t="shared" ref="H33:M33" si="17">$D33*H24</f>
        <v>-11561.66041998103</v>
      </c>
      <c r="I33" s="371">
        <f t="shared" si="17"/>
        <v>-11561.66041998103</v>
      </c>
      <c r="J33" s="371">
        <f t="shared" si="17"/>
        <v>-11067.904199912642</v>
      </c>
      <c r="K33" s="371">
        <f t="shared" si="17"/>
        <v>-11067.904199912642</v>
      </c>
      <c r="L33" s="371">
        <f t="shared" si="17"/>
        <v>-11067.904199912642</v>
      </c>
      <c r="M33" s="371">
        <f t="shared" si="17"/>
        <v>-11067.904199912642</v>
      </c>
      <c r="P33" s="339"/>
      <c r="Q33" s="340"/>
      <c r="R33" s="406"/>
    </row>
    <row r="34" spans="1:18" ht="10.5" customHeight="1" x14ac:dyDescent="0.25">
      <c r="A34" s="331" t="str">
        <f>B9&amp;B34</f>
        <v>Devon EnergyNon-cash compensation</v>
      </c>
      <c r="B34" s="82" t="s">
        <v>505</v>
      </c>
      <c r="C34" s="106" t="s">
        <v>878</v>
      </c>
      <c r="D34" s="108">
        <f t="shared" si="16"/>
        <v>0</v>
      </c>
      <c r="E34" s="364">
        <f t="shared" si="13"/>
        <v>0</v>
      </c>
      <c r="F34" s="370">
        <f>$E34*((F$4*0.0266+11.643)*F$24)/(($E$4*0.0266+11.643)*$E$24)</f>
        <v>0</v>
      </c>
      <c r="G34" s="370">
        <f t="shared" ref="G34:M34" si="18">$E34*((G$4*0.0266+11.643)*G$24)/(($E$4*0.0266+11.643)*$E$24)</f>
        <v>0</v>
      </c>
      <c r="H34" s="370">
        <f t="shared" si="18"/>
        <v>0</v>
      </c>
      <c r="I34" s="370">
        <f t="shared" si="18"/>
        <v>0</v>
      </c>
      <c r="J34" s="370">
        <f t="shared" si="18"/>
        <v>0</v>
      </c>
      <c r="K34" s="370">
        <f t="shared" si="18"/>
        <v>0</v>
      </c>
      <c r="L34" s="370">
        <f t="shared" si="18"/>
        <v>0</v>
      </c>
      <c r="M34" s="370">
        <f t="shared" si="18"/>
        <v>0</v>
      </c>
      <c r="P34" s="335" t="s">
        <v>506</v>
      </c>
      <c r="Q34" s="340"/>
      <c r="R34" s="406"/>
    </row>
    <row r="35" spans="1:18" ht="10.5" customHeight="1" x14ac:dyDescent="0.25">
      <c r="A35" s="331" t="str">
        <f>B9&amp;B35</f>
        <v>Devon EnergyTaxes other than income</v>
      </c>
      <c r="B35" s="82" t="s">
        <v>467</v>
      </c>
      <c r="C35" s="106" t="s">
        <v>545</v>
      </c>
      <c r="D35" s="108">
        <f t="shared" si="16"/>
        <v>0</v>
      </c>
      <c r="E35" s="364">
        <f t="shared" si="13"/>
        <v>0</v>
      </c>
      <c r="F35" s="370">
        <f>$D35*F24</f>
        <v>0</v>
      </c>
      <c r="G35" s="370">
        <f t="shared" ref="G35:M35" si="19">$D35*G24</f>
        <v>0</v>
      </c>
      <c r="H35" s="370">
        <f t="shared" si="19"/>
        <v>0</v>
      </c>
      <c r="I35" s="370">
        <f t="shared" si="19"/>
        <v>0</v>
      </c>
      <c r="J35" s="370">
        <f t="shared" si="19"/>
        <v>0</v>
      </c>
      <c r="K35" s="370">
        <f t="shared" si="19"/>
        <v>0</v>
      </c>
      <c r="L35" s="370">
        <f t="shared" si="19"/>
        <v>0</v>
      </c>
      <c r="M35" s="370">
        <f t="shared" si="19"/>
        <v>0</v>
      </c>
      <c r="P35" s="339" t="s">
        <v>466</v>
      </c>
      <c r="Q35" s="410">
        <v>0</v>
      </c>
      <c r="R35" s="406"/>
    </row>
    <row r="36" spans="1:18" ht="10.5" customHeight="1" x14ac:dyDescent="0.25">
      <c r="A36" s="331" t="str">
        <f>B9&amp;B36</f>
        <v>Devon EnergyLease operating expenses</v>
      </c>
      <c r="B36" s="82" t="s">
        <v>468</v>
      </c>
      <c r="C36" s="106" t="s">
        <v>878</v>
      </c>
      <c r="D36" s="108">
        <f t="shared" si="16"/>
        <v>0</v>
      </c>
      <c r="E36" s="364">
        <f t="shared" si="13"/>
        <v>0</v>
      </c>
      <c r="F36" s="370">
        <f>$E36*((F$4*0.0266+11.643)*F$24)/(($E$4*0.0266+11.643)*$E$24)</f>
        <v>0</v>
      </c>
      <c r="G36" s="370">
        <f t="shared" ref="G36:M38" si="20">$E36*((G$4*0.0266+11.643)*G$24)/(($E$4*0.0266+11.643)*$E$24)</f>
        <v>0</v>
      </c>
      <c r="H36" s="370">
        <f t="shared" si="20"/>
        <v>0</v>
      </c>
      <c r="I36" s="370">
        <f t="shared" si="20"/>
        <v>0</v>
      </c>
      <c r="J36" s="370">
        <f t="shared" si="20"/>
        <v>0</v>
      </c>
      <c r="K36" s="370">
        <f t="shared" si="20"/>
        <v>0</v>
      </c>
      <c r="L36" s="370">
        <f t="shared" si="20"/>
        <v>0</v>
      </c>
      <c r="M36" s="370">
        <f t="shared" si="20"/>
        <v>0</v>
      </c>
      <c r="P36" s="339" t="s">
        <v>475</v>
      </c>
      <c r="Q36" s="410">
        <f>260/4</f>
        <v>65</v>
      </c>
      <c r="R36" s="406"/>
    </row>
    <row r="37" spans="1:18" ht="10.5" customHeight="1" x14ac:dyDescent="0.25">
      <c r="A37" s="331" t="str">
        <f>B9&amp;B37</f>
        <v>Devon EnergyTransportation, Processing, and Other Operating</v>
      </c>
      <c r="B37" s="82" t="s">
        <v>469</v>
      </c>
      <c r="C37" s="106" t="s">
        <v>878</v>
      </c>
      <c r="D37" s="108">
        <f t="shared" si="16"/>
        <v>8.3329383469305398</v>
      </c>
      <c r="E37" s="364">
        <f t="shared" si="13"/>
        <v>320250</v>
      </c>
      <c r="F37" s="370">
        <f>$E37*((F$4*0.0266+11.643)*F$24)/(($E$4*0.0266+11.643)*$E$24)</f>
        <v>300230.75739414</v>
      </c>
      <c r="G37" s="370">
        <f t="shared" si="20"/>
        <v>281290.71981675393</v>
      </c>
      <c r="H37" s="370">
        <f t="shared" si="20"/>
        <v>282519.85051854048</v>
      </c>
      <c r="I37" s="370">
        <f t="shared" si="20"/>
        <v>283748.98122032708</v>
      </c>
      <c r="J37" s="370">
        <f t="shared" si="20"/>
        <v>272807.73930835712</v>
      </c>
      <c r="K37" s="370">
        <f t="shared" si="20"/>
        <v>273984.37833444675</v>
      </c>
      <c r="L37" s="370">
        <f t="shared" si="20"/>
        <v>275161.01736053638</v>
      </c>
      <c r="M37" s="370">
        <f t="shared" si="20"/>
        <v>275161.01736053638</v>
      </c>
      <c r="P37" s="339" t="s">
        <v>508</v>
      </c>
      <c r="Q37" s="410">
        <f>SUM(Q40:Q42)</f>
        <v>68.5</v>
      </c>
      <c r="R37" s="406"/>
    </row>
    <row r="38" spans="1:18" ht="10.5" customHeight="1" x14ac:dyDescent="0.25">
      <c r="A38" s="331" t="str">
        <f>B9&amp;B38</f>
        <v>Devon EnergySG&amp;A</v>
      </c>
      <c r="B38" s="82" t="s">
        <v>470</v>
      </c>
      <c r="C38" s="106" t="s">
        <v>878</v>
      </c>
      <c r="D38" s="108">
        <f t="shared" si="16"/>
        <v>3.0898873651772103</v>
      </c>
      <c r="E38" s="364">
        <f t="shared" si="13"/>
        <v>118750</v>
      </c>
      <c r="F38" s="370">
        <f>$E38*((F$4*0.0266+11.643)*F$24)/(($E$4*0.0266+11.643)*$E$24)</f>
        <v>111326.78357706207</v>
      </c>
      <c r="G38" s="370">
        <f t="shared" si="20"/>
        <v>104303.74075953015</v>
      </c>
      <c r="H38" s="370">
        <f t="shared" si="20"/>
        <v>104759.50741319808</v>
      </c>
      <c r="I38" s="370">
        <f t="shared" si="20"/>
        <v>105215.27406686601</v>
      </c>
      <c r="J38" s="370">
        <f t="shared" si="20"/>
        <v>101158.21715181082</v>
      </c>
      <c r="K38" s="370">
        <f t="shared" si="20"/>
        <v>101594.51967904935</v>
      </c>
      <c r="L38" s="370">
        <f t="shared" si="20"/>
        <v>102030.82220628788</v>
      </c>
      <c r="M38" s="370">
        <f t="shared" si="20"/>
        <v>102030.82220628788</v>
      </c>
      <c r="P38" s="346" t="s">
        <v>518</v>
      </c>
      <c r="Q38" s="410">
        <v>0</v>
      </c>
      <c r="R38" s="407"/>
    </row>
    <row r="39" spans="1:18" ht="10.5" customHeight="1" x14ac:dyDescent="0.25">
      <c r="A39" s="331" t="str">
        <f>B9&amp;B39</f>
        <v>Devon EnergyExploratory and dirt well, dry hole</v>
      </c>
      <c r="B39" s="82" t="s">
        <v>561</v>
      </c>
      <c r="C39" s="106" t="s">
        <v>545</v>
      </c>
      <c r="D39" s="108">
        <f t="shared" si="16"/>
        <v>0.37729150985321724</v>
      </c>
      <c r="E39" s="364">
        <f t="shared" si="13"/>
        <v>14500</v>
      </c>
      <c r="F39" s="372">
        <f>$D39*F24</f>
        <v>13970.339674143743</v>
      </c>
      <c r="G39" s="372">
        <f t="shared" ref="G39:M39" si="21">$D39*G24</f>
        <v>13970.339674143743</v>
      </c>
      <c r="H39" s="372">
        <f t="shared" si="21"/>
        <v>13970.339674143743</v>
      </c>
      <c r="I39" s="372">
        <f t="shared" si="21"/>
        <v>13970.339674143743</v>
      </c>
      <c r="J39" s="372">
        <f t="shared" si="21"/>
        <v>13373.717574894443</v>
      </c>
      <c r="K39" s="372">
        <f t="shared" si="21"/>
        <v>13373.717574894443</v>
      </c>
      <c r="L39" s="372">
        <f t="shared" si="21"/>
        <v>13373.717574894443</v>
      </c>
      <c r="M39" s="372">
        <f t="shared" si="21"/>
        <v>13373.717574894443</v>
      </c>
      <c r="P39" s="339" t="s">
        <v>477</v>
      </c>
      <c r="Q39" s="410">
        <f>-30/4</f>
        <v>-7.5</v>
      </c>
      <c r="R39" s="406"/>
    </row>
    <row r="40" spans="1:18" ht="10.5" customHeight="1" x14ac:dyDescent="0.25">
      <c r="A40" s="331" t="str">
        <f>B9&amp;B40</f>
        <v>Devon EnergyOther Expenses (benefits)</v>
      </c>
      <c r="B40" s="82" t="s">
        <v>471</v>
      </c>
      <c r="C40" s="106" t="s">
        <v>545</v>
      </c>
      <c r="D40" s="108">
        <f t="shared" si="16"/>
        <v>18.253103045657372</v>
      </c>
      <c r="E40" s="364">
        <f t="shared" si="13"/>
        <v>701500</v>
      </c>
      <c r="F40" s="372">
        <f t="shared" ref="F40:M40" si="22">$D40*F24</f>
        <v>675875.39871805767</v>
      </c>
      <c r="G40" s="372">
        <f t="shared" si="22"/>
        <v>675875.39871805767</v>
      </c>
      <c r="H40" s="372">
        <f t="shared" si="22"/>
        <v>675875.39871805767</v>
      </c>
      <c r="I40" s="372">
        <f t="shared" si="22"/>
        <v>675875.39871805767</v>
      </c>
      <c r="J40" s="372">
        <f t="shared" si="22"/>
        <v>647011.23301989317</v>
      </c>
      <c r="K40" s="372">
        <f t="shared" si="22"/>
        <v>647011.23301989317</v>
      </c>
      <c r="L40" s="372">
        <f t="shared" si="22"/>
        <v>647011.23301989317</v>
      </c>
      <c r="M40" s="372">
        <f t="shared" si="22"/>
        <v>647011.23301989317</v>
      </c>
      <c r="P40" s="360" t="s">
        <v>918</v>
      </c>
      <c r="Q40" s="411">
        <v>0</v>
      </c>
      <c r="R40" s="406"/>
    </row>
    <row r="41" spans="1:18" ht="10.5" customHeight="1" x14ac:dyDescent="0.25">
      <c r="A41" s="331" t="str">
        <f>B9&amp;B41</f>
        <v>Devon EnergyTotal Costs and Expenses</v>
      </c>
      <c r="B41" s="85" t="s">
        <v>474</v>
      </c>
      <c r="C41" s="85"/>
      <c r="D41" s="110"/>
      <c r="E41" s="366">
        <f t="shared" ref="E41:M41" si="23">SUM(E31:E40)</f>
        <v>1517250</v>
      </c>
      <c r="F41" s="373">
        <f t="shared" si="23"/>
        <v>1450420.9032915807</v>
      </c>
      <c r="G41" s="373">
        <f t="shared" si="23"/>
        <v>1424457.8228966626</v>
      </c>
      <c r="H41" s="373">
        <f t="shared" si="23"/>
        <v>1426142.7202521171</v>
      </c>
      <c r="I41" s="373">
        <f t="shared" si="23"/>
        <v>1427827.6176075717</v>
      </c>
      <c r="J41" s="373">
        <f t="shared" si="23"/>
        <v>1368463.2650898183</v>
      </c>
      <c r="K41" s="373">
        <f t="shared" si="23"/>
        <v>1370076.2066431467</v>
      </c>
      <c r="L41" s="373">
        <f t="shared" si="23"/>
        <v>1371689.1481964746</v>
      </c>
      <c r="M41" s="373">
        <f t="shared" si="23"/>
        <v>1371689.1481964746</v>
      </c>
      <c r="P41" s="360" t="s">
        <v>919</v>
      </c>
      <c r="Q41" s="411">
        <v>0</v>
      </c>
      <c r="R41" s="406"/>
    </row>
    <row r="42" spans="1:18" ht="10.5" customHeight="1" x14ac:dyDescent="0.25">
      <c r="A42" s="331" t="str">
        <f>B9&amp;B42</f>
        <v>Devon EnergyOther (Income) Expense</v>
      </c>
      <c r="B42" s="368" t="s">
        <v>506</v>
      </c>
      <c r="C42" s="368"/>
      <c r="D42" s="112"/>
      <c r="E42" s="364"/>
      <c r="F42" s="372"/>
      <c r="G42" s="372"/>
      <c r="H42" s="372"/>
      <c r="I42" s="372"/>
      <c r="J42" s="372"/>
      <c r="K42" s="372"/>
      <c r="L42" s="372"/>
      <c r="M42" s="372"/>
      <c r="P42" s="360" t="s">
        <v>920</v>
      </c>
      <c r="Q42" s="411">
        <f>274/4</f>
        <v>68.5</v>
      </c>
      <c r="R42" s="406"/>
    </row>
    <row r="43" spans="1:18" ht="10.5" customHeight="1" x14ac:dyDescent="0.25">
      <c r="A43" s="331" t="str">
        <f>B9&amp;B43</f>
        <v>Devon EnergyLoss (gain) on derivative instruments, net</v>
      </c>
      <c r="B43" s="82" t="s">
        <v>466</v>
      </c>
      <c r="C43" s="107" t="s">
        <v>879</v>
      </c>
      <c r="D43" s="108"/>
      <c r="E43" s="364">
        <f>IF(VLOOKUP($B43, P:Q, 2,0) = "-", 0, VLOOKUP($B43, P:Q, 2,0))*1000</f>
        <v>0</v>
      </c>
      <c r="F43" s="372">
        <f>E43</f>
        <v>0</v>
      </c>
      <c r="G43" s="372">
        <f t="shared" ref="G43:M43" si="24">F43</f>
        <v>0</v>
      </c>
      <c r="H43" s="372">
        <f t="shared" si="24"/>
        <v>0</v>
      </c>
      <c r="I43" s="372">
        <f t="shared" si="24"/>
        <v>0</v>
      </c>
      <c r="J43" s="372">
        <f t="shared" si="24"/>
        <v>0</v>
      </c>
      <c r="K43" s="372">
        <f t="shared" si="24"/>
        <v>0</v>
      </c>
      <c r="L43" s="372">
        <f t="shared" si="24"/>
        <v>0</v>
      </c>
      <c r="M43" s="372">
        <f t="shared" si="24"/>
        <v>0</v>
      </c>
      <c r="P43" s="346" t="s">
        <v>478</v>
      </c>
      <c r="Q43" s="412">
        <f>(Q12-Q32-Q35-Q36-Q37-Q39)</f>
        <v>-88.25</v>
      </c>
      <c r="R43" s="407"/>
    </row>
    <row r="44" spans="1:18" ht="10.5" customHeight="1" x14ac:dyDescent="0.25">
      <c r="A44" s="331" t="str">
        <f>B9&amp;B44</f>
        <v>Devon EnergyInterest expense, net</v>
      </c>
      <c r="B44" s="82" t="s">
        <v>475</v>
      </c>
      <c r="C44" s="82" t="s">
        <v>526</v>
      </c>
      <c r="D44" s="108"/>
      <c r="E44" s="364">
        <f>IF(VLOOKUP($B44, P:Q, 2,0) = "-", 0, VLOOKUP($B44, P:Q, 2,0))*1000</f>
        <v>65000</v>
      </c>
      <c r="F44" s="372">
        <f>$E73*(F78/E78)*(($E44/$E73)+IF($B$2="A3",(('Quarterly Forecasts'!$K$5-'Quarterly Forecasts'!$G$5)/400),(('Quarterly Forecasts'!$K$26-'Quarterly Forecasts'!$G$26)/400)))</f>
        <v>69453.404362331523</v>
      </c>
      <c r="G44" s="372">
        <f>$E73*(G78/F78)*(($E44/$E73)+IF($B$2="A3",(('Quarterly Forecasts'!$K$5-'Quarterly Forecasts'!$G$5)/400),(('Quarterly Forecasts'!$K$26-'Quarterly Forecasts'!$G$26)/400)))</f>
        <v>69592.948279999997</v>
      </c>
      <c r="H44" s="372">
        <f>$E73*(H78/G78)*(($E44/$E73)+IF($B$2="A3",(('Quarterly Forecasts'!$K$5-'Quarterly Forecasts'!$G$5)/400),(('Quarterly Forecasts'!$K$26-'Quarterly Forecasts'!$G$26)/400)))</f>
        <v>69592.948279999997</v>
      </c>
      <c r="I44" s="372">
        <f>$E73*(I78/H78)*(($E44/$E73)+IF($B$2="A3",(('Quarterly Forecasts'!$K$5-'Quarterly Forecasts'!$G$5)/400),(('Quarterly Forecasts'!$K$26-'Quarterly Forecasts'!$G$26)/400)))</f>
        <v>69592.948279999997</v>
      </c>
      <c r="J44" s="372">
        <f>$I73*(J78/I78)*(($I44/$I73)+ IF($B$2 = "A3", (('Quarterly Forecasts'!$O$5-'Quarterly Forecasts'!$K$5)/400),  (('Quarterly Forecasts'!$O$26-'Quarterly Forecasts'!$K$26)/400)))</f>
        <v>64791.628011469023</v>
      </c>
      <c r="K44" s="372">
        <f>$I73*(K78/J78)*(($I44/$I73)+ IF($B$2 = "A3", (('Quarterly Forecasts'!$O$5-'Quarterly Forecasts'!$K$5)/400),  (('Quarterly Forecasts'!$O$26-'Quarterly Forecasts'!$K$26)/400)))</f>
        <v>64938.595799999988</v>
      </c>
      <c r="L44" s="372">
        <f>$I73*(L78/K78)*(($I44/$I73)+ IF($B$2 = "A3", (('Quarterly Forecasts'!$O$5-'Quarterly Forecasts'!$K$5)/400),  (('Quarterly Forecasts'!$O$26-'Quarterly Forecasts'!$K$26)/400)))</f>
        <v>64938.595799999988</v>
      </c>
      <c r="M44" s="372">
        <f>$I73*(M78/L78)*(($I44/$I73)+ IF($B$2 = "A3", (('Quarterly Forecasts'!$O$5-'Quarterly Forecasts'!$K$5)/400),  (('Quarterly Forecasts'!$O$26-'Quarterly Forecasts'!$K$26)/400)))</f>
        <v>64938.595799999988</v>
      </c>
      <c r="N44" s="374"/>
      <c r="P44" s="339"/>
      <c r="Q44" s="340"/>
      <c r="R44" s="406"/>
    </row>
    <row r="45" spans="1:18" ht="10.5" customHeight="1" x14ac:dyDescent="0.25">
      <c r="A45" s="331" t="str">
        <f>B9&amp;B45</f>
        <v>Devon EnergyOther, net</v>
      </c>
      <c r="B45" s="82" t="s">
        <v>508</v>
      </c>
      <c r="C45" s="82" t="s">
        <v>509</v>
      </c>
      <c r="D45" s="108"/>
      <c r="E45" s="364">
        <f>IF(VLOOKUP($B45, P:Q, 2,0) = "-", 0, VLOOKUP($B45, P:Q, 2,0))*1000</f>
        <v>68500</v>
      </c>
      <c r="F45" s="372">
        <f>E45</f>
        <v>68500</v>
      </c>
      <c r="G45" s="372">
        <f t="shared" ref="G45:M45" si="25">F45</f>
        <v>68500</v>
      </c>
      <c r="H45" s="372">
        <f t="shared" si="25"/>
        <v>68500</v>
      </c>
      <c r="I45" s="372">
        <f t="shared" si="25"/>
        <v>68500</v>
      </c>
      <c r="J45" s="372">
        <f t="shared" si="25"/>
        <v>68500</v>
      </c>
      <c r="K45" s="372">
        <f t="shared" si="25"/>
        <v>68500</v>
      </c>
      <c r="L45" s="372">
        <f t="shared" si="25"/>
        <v>68500</v>
      </c>
      <c r="M45" s="372">
        <f t="shared" si="25"/>
        <v>68500</v>
      </c>
      <c r="P45" s="335" t="s">
        <v>479</v>
      </c>
      <c r="Q45" s="340"/>
      <c r="R45" s="406"/>
    </row>
    <row r="46" spans="1:18" ht="10.5" customHeight="1" x14ac:dyDescent="0.25">
      <c r="A46" s="331" t="str">
        <f>B9&amp;B46</f>
        <v>Devon EnergyTotal Other (Income) Expense</v>
      </c>
      <c r="B46" s="85" t="s">
        <v>518</v>
      </c>
      <c r="C46" s="85"/>
      <c r="D46" s="110"/>
      <c r="E46" s="366">
        <f>SUM(E43:E45)</f>
        <v>133500</v>
      </c>
      <c r="F46" s="367">
        <f>SUM(F43:F45)</f>
        <v>137953.40436233152</v>
      </c>
      <c r="G46" s="367">
        <f t="shared" ref="G46:L46" si="26">SUM(G43:G45)</f>
        <v>138092.94828000001</v>
      </c>
      <c r="H46" s="367">
        <f t="shared" si="26"/>
        <v>138092.94828000001</v>
      </c>
      <c r="I46" s="367">
        <f t="shared" si="26"/>
        <v>138092.94828000001</v>
      </c>
      <c r="J46" s="367">
        <f t="shared" si="26"/>
        <v>133291.62801146903</v>
      </c>
      <c r="K46" s="367">
        <f t="shared" si="26"/>
        <v>133438.59579999998</v>
      </c>
      <c r="L46" s="367">
        <f t="shared" si="26"/>
        <v>133438.59579999998</v>
      </c>
      <c r="M46" s="367">
        <f>SUM(M43:M45)</f>
        <v>133438.59579999998</v>
      </c>
      <c r="P46" s="339" t="s">
        <v>480</v>
      </c>
      <c r="Q46" s="340">
        <v>1464</v>
      </c>
      <c r="R46" s="406"/>
    </row>
    <row r="47" spans="1:18" ht="10.5" customHeight="1" x14ac:dyDescent="0.25">
      <c r="A47" s="331" t="str">
        <f>B9&amp;B47</f>
        <v>Devon EnergyIncome (loss) from continuing operations before income taxes</v>
      </c>
      <c r="B47" s="368" t="s">
        <v>476</v>
      </c>
      <c r="C47" s="368"/>
      <c r="D47" s="112"/>
      <c r="E47" s="366">
        <f>E29-E41-E46</f>
        <v>-95750</v>
      </c>
      <c r="F47" s="367">
        <f>F29-F41-F46</f>
        <v>-196047.32063006275</v>
      </c>
      <c r="G47" s="367">
        <f t="shared" ref="G47:M47" si="27">G29-G41-G46</f>
        <v>-832680.75869482534</v>
      </c>
      <c r="H47" s="367">
        <f t="shared" si="27"/>
        <v>-781330.04751601105</v>
      </c>
      <c r="I47" s="367">
        <f t="shared" si="27"/>
        <v>-729979.33633719676</v>
      </c>
      <c r="J47" s="367">
        <f t="shared" si="27"/>
        <v>-635933.14521180186</v>
      </c>
      <c r="K47" s="367">
        <f t="shared" si="27"/>
        <v>-585436.55413410626</v>
      </c>
      <c r="L47" s="367">
        <f t="shared" si="27"/>
        <v>-534792.99526787945</v>
      </c>
      <c r="M47" s="367">
        <f t="shared" si="27"/>
        <v>-534792.99526787945</v>
      </c>
      <c r="P47" s="339" t="s">
        <v>481</v>
      </c>
      <c r="Q47" s="340">
        <v>0</v>
      </c>
      <c r="R47" s="406"/>
    </row>
    <row r="48" spans="1:18" ht="10.5" customHeight="1" x14ac:dyDescent="0.25">
      <c r="A48" s="331" t="str">
        <f>B9&amp;B48</f>
        <v>Devon EnergyIncome tax (benefit) expense</v>
      </c>
      <c r="B48" s="132" t="s">
        <v>477</v>
      </c>
      <c r="C48" s="132" t="s">
        <v>525</v>
      </c>
      <c r="D48" s="109">
        <f>ABS(E48/E47)</f>
        <v>7.8328981723237601E-2</v>
      </c>
      <c r="E48" s="364">
        <f>IF(VLOOKUP($B48, P:Q, 2,0) = "-", 0, VLOOKUP($B48, P:Q, 2,0))*1000</f>
        <v>-7500</v>
      </c>
      <c r="F48" s="365">
        <f>$D48*F47</f>
        <v>-15356.186994521888</v>
      </c>
      <c r="G48" s="365">
        <f t="shared" ref="G48:M48" si="28">$D48*G47</f>
        <v>-65223.035929098594</v>
      </c>
      <c r="H48" s="365">
        <f t="shared" si="28"/>
        <v>-61200.787011697998</v>
      </c>
      <c r="I48" s="365">
        <f t="shared" si="28"/>
        <v>-57178.538094297401</v>
      </c>
      <c r="J48" s="365">
        <f t="shared" si="28"/>
        <v>-49811.99570849623</v>
      </c>
      <c r="K48" s="365">
        <f t="shared" si="28"/>
        <v>-45856.649148885612</v>
      </c>
      <c r="L48" s="365">
        <f t="shared" si="28"/>
        <v>-41889.790752053224</v>
      </c>
      <c r="M48" s="365">
        <f t="shared" si="28"/>
        <v>-41889.790752053224</v>
      </c>
      <c r="P48" s="339" t="s">
        <v>482</v>
      </c>
      <c r="Q48" s="340">
        <v>832</v>
      </c>
      <c r="R48" s="406"/>
    </row>
    <row r="49" spans="1:18" ht="10.5" customHeight="1" thickBot="1" x14ac:dyDescent="0.3">
      <c r="A49" s="331" t="str">
        <f>B9&amp;B49</f>
        <v>Devon EnergyNet (loss) Income</v>
      </c>
      <c r="B49" s="375" t="s">
        <v>478</v>
      </c>
      <c r="C49" s="375"/>
      <c r="D49" s="116"/>
      <c r="E49" s="376">
        <f>(E47-E48)</f>
        <v>-88250</v>
      </c>
      <c r="F49" s="377">
        <f>F47-F48</f>
        <v>-180691.13363554087</v>
      </c>
      <c r="G49" s="377">
        <f t="shared" ref="G49:M49" si="29">G47-G48</f>
        <v>-767457.72276572674</v>
      </c>
      <c r="H49" s="377">
        <f t="shared" si="29"/>
        <v>-720129.26050431305</v>
      </c>
      <c r="I49" s="377">
        <f t="shared" si="29"/>
        <v>-672800.79824289936</v>
      </c>
      <c r="J49" s="377">
        <f t="shared" si="29"/>
        <v>-586121.14950330567</v>
      </c>
      <c r="K49" s="377">
        <f t="shared" si="29"/>
        <v>-539579.90498522064</v>
      </c>
      <c r="L49" s="377">
        <f t="shared" si="29"/>
        <v>-492903.20451582625</v>
      </c>
      <c r="M49" s="377">
        <f t="shared" si="29"/>
        <v>-492903.20451582625</v>
      </c>
      <c r="P49" s="339" t="s">
        <v>569</v>
      </c>
      <c r="Q49" s="340">
        <v>0</v>
      </c>
      <c r="R49" s="406"/>
    </row>
    <row r="50" spans="1:18" ht="10.5" customHeight="1" thickTop="1" x14ac:dyDescent="0.25">
      <c r="P50" s="339" t="s">
        <v>484</v>
      </c>
      <c r="Q50" s="340">
        <v>0</v>
      </c>
      <c r="R50" s="406"/>
    </row>
    <row r="51" spans="1:18" ht="10.5" customHeight="1" x14ac:dyDescent="0.25">
      <c r="A51" s="331" t="str">
        <f>B9&amp;B51</f>
        <v>Devon EnergyCurrent Assets</v>
      </c>
      <c r="B51" s="332" t="s">
        <v>479</v>
      </c>
      <c r="C51" s="332"/>
      <c r="D51" s="111"/>
      <c r="E51" s="364"/>
      <c r="F51" s="365"/>
      <c r="G51" s="365"/>
      <c r="H51" s="365"/>
      <c r="I51" s="365"/>
      <c r="J51" s="365"/>
      <c r="K51" s="365"/>
      <c r="L51" s="365"/>
      <c r="M51" s="365"/>
      <c r="P51" s="339" t="s">
        <v>813</v>
      </c>
      <c r="Q51" s="340">
        <v>0</v>
      </c>
      <c r="R51" s="406"/>
    </row>
    <row r="52" spans="1:18" ht="10.5" customHeight="1" x14ac:dyDescent="0.25">
      <c r="A52" s="331" t="str">
        <f>B9&amp;B52</f>
        <v>Devon EnergyCash and cash equivalents</v>
      </c>
      <c r="B52" s="82" t="s">
        <v>480</v>
      </c>
      <c r="C52" s="82" t="s">
        <v>538</v>
      </c>
      <c r="D52" s="140">
        <v>2406</v>
      </c>
      <c r="E52" s="364">
        <f>IF(VLOOKUP($B52, P:Q, 2,0) = "-", 0, VLOOKUP($B52, P:Q, 2,0))*1000</f>
        <v>1464000</v>
      </c>
      <c r="F52" s="365">
        <f>F49+E52</f>
        <v>1283308.866364459</v>
      </c>
      <c r="G52" s="365">
        <f>G49+F52</f>
        <v>515851.14359873231</v>
      </c>
      <c r="H52" s="365">
        <f t="shared" ref="H52:M52" si="30">H49+G52</f>
        <v>-204278.11690558074</v>
      </c>
      <c r="I52" s="365">
        <f t="shared" si="30"/>
        <v>-877078.9151484801</v>
      </c>
      <c r="J52" s="365">
        <f t="shared" si="30"/>
        <v>-1463200.0646517859</v>
      </c>
      <c r="K52" s="365">
        <f t="shared" si="30"/>
        <v>-2002779.9696370065</v>
      </c>
      <c r="L52" s="365">
        <f t="shared" si="30"/>
        <v>-2495683.1741528329</v>
      </c>
      <c r="M52" s="365">
        <f t="shared" si="30"/>
        <v>-2988586.3786686594</v>
      </c>
      <c r="P52" s="339" t="s">
        <v>486</v>
      </c>
      <c r="Q52" s="340">
        <v>0</v>
      </c>
      <c r="R52" s="406"/>
    </row>
    <row r="53" spans="1:18" ht="10.5" customHeight="1" x14ac:dyDescent="0.25">
      <c r="A53" s="331" t="str">
        <f>B9&amp;B53</f>
        <v>Devon EnergyAccounts receivable, net of allowance</v>
      </c>
      <c r="B53" s="82" t="s">
        <v>481</v>
      </c>
      <c r="C53" s="82"/>
      <c r="D53" s="108"/>
      <c r="E53" s="364"/>
      <c r="F53" s="365"/>
      <c r="G53" s="365"/>
      <c r="H53" s="365"/>
      <c r="I53" s="365"/>
      <c r="J53" s="365"/>
      <c r="K53" s="365"/>
      <c r="L53" s="365"/>
      <c r="M53" s="365"/>
      <c r="P53" s="339" t="s">
        <v>568</v>
      </c>
      <c r="Q53" s="340">
        <v>1555</v>
      </c>
      <c r="R53" s="406"/>
    </row>
    <row r="54" spans="1:18" ht="10.5" customHeight="1" x14ac:dyDescent="0.25">
      <c r="A54" s="331" t="str">
        <f>B9&amp;B54</f>
        <v>Devon EnergyOil and gas sales</v>
      </c>
      <c r="B54" s="82" t="s">
        <v>482</v>
      </c>
      <c r="C54" s="82" t="s">
        <v>539</v>
      </c>
      <c r="D54" s="133">
        <f>E54/E29</f>
        <v>0.53504823151125402</v>
      </c>
      <c r="E54" s="364">
        <f t="shared" ref="E54:E59" si="31">IF(VLOOKUP($B54, P:Q, 2,0) = "-", 0, VLOOKUP($B54, P:Q, 2,0))*1000</f>
        <v>832000</v>
      </c>
      <c r="F54" s="365">
        <f>$D54*F29</f>
        <v>744962.09209250344</v>
      </c>
      <c r="G54" s="365">
        <f>$D54*G29</f>
        <v>390515.65941150393</v>
      </c>
      <c r="H54" s="365">
        <f t="shared" ref="H54:M54" si="32">$D54*H29</f>
        <v>418892.26796488767</v>
      </c>
      <c r="I54" s="365">
        <f t="shared" si="32"/>
        <v>447268.87651827134</v>
      </c>
      <c r="J54" s="365">
        <f t="shared" si="32"/>
        <v>463256.39501225203</v>
      </c>
      <c r="K54" s="365">
        <f t="shared" si="32"/>
        <v>491216.14314670203</v>
      </c>
      <c r="L54" s="365">
        <f t="shared" si="32"/>
        <v>519175.89128115191</v>
      </c>
      <c r="M54" s="365">
        <f t="shared" si="32"/>
        <v>519175.89128115191</v>
      </c>
      <c r="P54" s="360" t="s">
        <v>927</v>
      </c>
      <c r="Q54" s="361">
        <v>380</v>
      </c>
      <c r="R54" s="406"/>
    </row>
    <row r="55" spans="1:18" ht="10.5" customHeight="1" x14ac:dyDescent="0.25">
      <c r="A55" s="331" t="str">
        <f>B9&amp;B55</f>
        <v>Devon EnergyOther receivable</v>
      </c>
      <c r="B55" s="82" t="s">
        <v>569</v>
      </c>
      <c r="C55" s="82" t="s">
        <v>539</v>
      </c>
      <c r="D55" s="133">
        <f>E55/E29</f>
        <v>0</v>
      </c>
      <c r="E55" s="364">
        <f t="shared" si="31"/>
        <v>0</v>
      </c>
      <c r="F55" s="365">
        <f t="shared" ref="F55:M55" si="33">$D55*F29</f>
        <v>0</v>
      </c>
      <c r="G55" s="365">
        <f>$D55*G29</f>
        <v>0</v>
      </c>
      <c r="H55" s="365">
        <f t="shared" si="33"/>
        <v>0</v>
      </c>
      <c r="I55" s="365">
        <f t="shared" si="33"/>
        <v>0</v>
      </c>
      <c r="J55" s="365">
        <f t="shared" si="33"/>
        <v>0</v>
      </c>
      <c r="K55" s="365">
        <f t="shared" si="33"/>
        <v>0</v>
      </c>
      <c r="L55" s="365">
        <f t="shared" si="33"/>
        <v>0</v>
      </c>
      <c r="M55" s="365">
        <f t="shared" si="33"/>
        <v>0</v>
      </c>
      <c r="P55" s="360" t="s">
        <v>928</v>
      </c>
      <c r="Q55" s="361">
        <v>896</v>
      </c>
      <c r="R55" s="406"/>
    </row>
    <row r="56" spans="1:18" ht="10.5" customHeight="1" x14ac:dyDescent="0.25">
      <c r="A56" s="331" t="str">
        <f>B9&amp;B56</f>
        <v>Devon EnergyInventory</v>
      </c>
      <c r="B56" s="82" t="s">
        <v>484</v>
      </c>
      <c r="C56" s="82" t="s">
        <v>539</v>
      </c>
      <c r="D56" s="133">
        <f>E56/E29</f>
        <v>0</v>
      </c>
      <c r="E56" s="364">
        <f t="shared" si="31"/>
        <v>0</v>
      </c>
      <c r="F56" s="365">
        <f t="shared" ref="F56:M56" si="34">$D56*F29</f>
        <v>0</v>
      </c>
      <c r="G56" s="365">
        <f t="shared" si="34"/>
        <v>0</v>
      </c>
      <c r="H56" s="365">
        <f t="shared" si="34"/>
        <v>0</v>
      </c>
      <c r="I56" s="365">
        <f t="shared" si="34"/>
        <v>0</v>
      </c>
      <c r="J56" s="365">
        <f t="shared" si="34"/>
        <v>0</v>
      </c>
      <c r="K56" s="365">
        <f t="shared" si="34"/>
        <v>0</v>
      </c>
      <c r="L56" s="365">
        <f t="shared" si="34"/>
        <v>0</v>
      </c>
      <c r="M56" s="365">
        <f t="shared" si="34"/>
        <v>0</v>
      </c>
      <c r="P56" s="346" t="s">
        <v>487</v>
      </c>
      <c r="Q56" s="347">
        <v>3851</v>
      </c>
      <c r="R56" s="407"/>
    </row>
    <row r="57" spans="1:18" ht="10.5" customHeight="1" x14ac:dyDescent="0.25">
      <c r="A57" s="331" t="str">
        <f>B9&amp;B57</f>
        <v>Devon EnergyDerivative instruments current assets</v>
      </c>
      <c r="B57" s="82" t="s">
        <v>813</v>
      </c>
      <c r="C57" s="107" t="s">
        <v>507</v>
      </c>
      <c r="D57" s="108"/>
      <c r="E57" s="364">
        <f t="shared" si="31"/>
        <v>0</v>
      </c>
      <c r="F57" s="378"/>
      <c r="G57" s="378"/>
      <c r="H57" s="378"/>
      <c r="I57" s="378"/>
      <c r="J57" s="378"/>
      <c r="K57" s="378"/>
      <c r="L57" s="378"/>
      <c r="M57" s="378"/>
      <c r="P57" s="339" t="s">
        <v>488</v>
      </c>
      <c r="Q57" s="340">
        <v>8593</v>
      </c>
      <c r="R57" s="406"/>
    </row>
    <row r="58" spans="1:18" ht="10.5" customHeight="1" x14ac:dyDescent="0.25">
      <c r="A58" s="331" t="str">
        <f>B9&amp;B58</f>
        <v>Devon EnergyPrepaid expenses</v>
      </c>
      <c r="B58" s="82" t="s">
        <v>486</v>
      </c>
      <c r="C58" s="82" t="s">
        <v>509</v>
      </c>
      <c r="D58" s="108"/>
      <c r="E58" s="364">
        <f t="shared" si="31"/>
        <v>0</v>
      </c>
      <c r="F58" s="365">
        <f>E58</f>
        <v>0</v>
      </c>
      <c r="G58" s="365">
        <f t="shared" ref="G58:M59" si="35">F58</f>
        <v>0</v>
      </c>
      <c r="H58" s="365">
        <f t="shared" si="35"/>
        <v>0</v>
      </c>
      <c r="I58" s="365">
        <f t="shared" si="35"/>
        <v>0</v>
      </c>
      <c r="J58" s="365">
        <f t="shared" si="35"/>
        <v>0</v>
      </c>
      <c r="K58" s="365">
        <f t="shared" si="35"/>
        <v>0</v>
      </c>
      <c r="L58" s="365">
        <f t="shared" si="35"/>
        <v>0</v>
      </c>
      <c r="M58" s="365">
        <f t="shared" si="35"/>
        <v>0</v>
      </c>
      <c r="P58" s="339" t="s">
        <v>814</v>
      </c>
      <c r="Q58" s="340">
        <v>0</v>
      </c>
      <c r="R58" s="406"/>
    </row>
    <row r="59" spans="1:18" ht="10.5" customHeight="1" x14ac:dyDescent="0.25">
      <c r="A59" s="331" t="str">
        <f>B9&amp;B59</f>
        <v>Devon EnergyOther current assets</v>
      </c>
      <c r="B59" s="82" t="s">
        <v>568</v>
      </c>
      <c r="C59" s="82" t="s">
        <v>509</v>
      </c>
      <c r="D59" s="108"/>
      <c r="E59" s="364">
        <f t="shared" si="31"/>
        <v>1555000</v>
      </c>
      <c r="F59" s="365">
        <f>E59</f>
        <v>1555000</v>
      </c>
      <c r="G59" s="365">
        <f t="shared" si="35"/>
        <v>1555000</v>
      </c>
      <c r="H59" s="365">
        <f t="shared" si="35"/>
        <v>1555000</v>
      </c>
      <c r="I59" s="365">
        <f t="shared" si="35"/>
        <v>1555000</v>
      </c>
      <c r="J59" s="365">
        <f t="shared" si="35"/>
        <v>1555000</v>
      </c>
      <c r="K59" s="365">
        <f t="shared" si="35"/>
        <v>1555000</v>
      </c>
      <c r="L59" s="365">
        <f t="shared" si="35"/>
        <v>1555000</v>
      </c>
      <c r="M59" s="365">
        <f t="shared" si="35"/>
        <v>1555000</v>
      </c>
      <c r="P59" s="339" t="s">
        <v>815</v>
      </c>
      <c r="Q59" s="340">
        <v>0</v>
      </c>
      <c r="R59" s="406"/>
    </row>
    <row r="60" spans="1:18" ht="10.5" customHeight="1" x14ac:dyDescent="0.25">
      <c r="A60" s="331" t="str">
        <f>B9&amp;B60</f>
        <v>Devon EnergyTotal current assets</v>
      </c>
      <c r="B60" s="87" t="s">
        <v>487</v>
      </c>
      <c r="C60" s="87"/>
      <c r="D60" s="111"/>
      <c r="E60" s="366">
        <f>SUM(E52:E59)</f>
        <v>3851000</v>
      </c>
      <c r="F60" s="367">
        <f>SUM(F52:F59)</f>
        <v>3583270.9584569624</v>
      </c>
      <c r="G60" s="367">
        <f t="shared" ref="G60:M60" si="36">SUM(G52:G59)</f>
        <v>2461366.8030102365</v>
      </c>
      <c r="H60" s="367">
        <f t="shared" si="36"/>
        <v>1769614.1510593069</v>
      </c>
      <c r="I60" s="367">
        <f t="shared" si="36"/>
        <v>1125189.9613697913</v>
      </c>
      <c r="J60" s="367">
        <f t="shared" si="36"/>
        <v>555056.33036046615</v>
      </c>
      <c r="K60" s="367">
        <f t="shared" si="36"/>
        <v>43436.173509695567</v>
      </c>
      <c r="L60" s="367">
        <f t="shared" si="36"/>
        <v>-421507.28287168103</v>
      </c>
      <c r="M60" s="367">
        <f t="shared" si="36"/>
        <v>-914410.48738750722</v>
      </c>
      <c r="P60" s="339" t="s">
        <v>490</v>
      </c>
      <c r="Q60" s="340">
        <v>753</v>
      </c>
      <c r="R60" s="406"/>
    </row>
    <row r="61" spans="1:18" ht="10.5" customHeight="1" x14ac:dyDescent="0.25">
      <c r="A61" s="331" t="str">
        <f>B9&amp;B61</f>
        <v>Devon EnergyProperty and equipment, net</v>
      </c>
      <c r="B61" s="368" t="s">
        <v>488</v>
      </c>
      <c r="C61" s="132" t="s">
        <v>509</v>
      </c>
      <c r="D61" s="112"/>
      <c r="E61" s="364">
        <f>IF(VLOOKUP($B61, P:Q, 2,0) = "-", 0, VLOOKUP($B61, P:Q, 2,0))*1000</f>
        <v>8593000</v>
      </c>
      <c r="F61" s="365">
        <f>E61</f>
        <v>8593000</v>
      </c>
      <c r="G61" s="365">
        <f t="shared" ref="G61:M61" si="37">F61</f>
        <v>8593000</v>
      </c>
      <c r="H61" s="365">
        <f t="shared" si="37"/>
        <v>8593000</v>
      </c>
      <c r="I61" s="365">
        <f t="shared" si="37"/>
        <v>8593000</v>
      </c>
      <c r="J61" s="365">
        <f t="shared" si="37"/>
        <v>8593000</v>
      </c>
      <c r="K61" s="365">
        <f t="shared" si="37"/>
        <v>8593000</v>
      </c>
      <c r="L61" s="365">
        <f t="shared" si="37"/>
        <v>8593000</v>
      </c>
      <c r="M61" s="365">
        <f t="shared" si="37"/>
        <v>8593000</v>
      </c>
      <c r="P61" s="339" t="s">
        <v>491</v>
      </c>
      <c r="Q61" s="340">
        <v>520</v>
      </c>
      <c r="R61" s="406"/>
    </row>
    <row r="62" spans="1:18" ht="10.5" customHeight="1" x14ac:dyDescent="0.25">
      <c r="A62" s="331" t="str">
        <f>B9&amp;B62</f>
        <v>Devon EnergyDerivative instruments total assets</v>
      </c>
      <c r="B62" s="132" t="s">
        <v>814</v>
      </c>
      <c r="C62" s="379" t="s">
        <v>507</v>
      </c>
      <c r="D62" s="108"/>
      <c r="E62" s="364">
        <f>IF(VLOOKUP($B62, P:Q, 2,0) = "-", 0, VLOOKUP($B62, P:Q, 2,0))*1000</f>
        <v>0</v>
      </c>
      <c r="F62" s="378"/>
      <c r="G62" s="378"/>
      <c r="H62" s="378"/>
      <c r="I62" s="378"/>
      <c r="J62" s="378"/>
      <c r="K62" s="378"/>
      <c r="L62" s="378"/>
      <c r="M62" s="378"/>
      <c r="P62" s="360" t="s">
        <v>929</v>
      </c>
      <c r="Q62" s="361">
        <v>243</v>
      </c>
      <c r="R62" s="406"/>
    </row>
    <row r="63" spans="1:18" ht="10.5" customHeight="1" x14ac:dyDescent="0.25">
      <c r="A63" s="331" t="str">
        <f>B9&amp;B63</f>
        <v>Devon EnergyDeferred income taxes assets</v>
      </c>
      <c r="B63" s="132" t="s">
        <v>815</v>
      </c>
      <c r="C63" s="132" t="s">
        <v>509</v>
      </c>
      <c r="D63" s="108"/>
      <c r="E63" s="364">
        <f>IF(VLOOKUP($B63, P:Q, 2,0) = "-", 0, VLOOKUP($B63, P:Q, 2,0))*1000</f>
        <v>0</v>
      </c>
      <c r="F63" s="365">
        <f>E63</f>
        <v>0</v>
      </c>
      <c r="G63" s="365">
        <f t="shared" ref="G63:M65" si="38">F63</f>
        <v>0</v>
      </c>
      <c r="H63" s="365">
        <f t="shared" si="38"/>
        <v>0</v>
      </c>
      <c r="I63" s="365">
        <f t="shared" si="38"/>
        <v>0</v>
      </c>
      <c r="J63" s="365">
        <f t="shared" si="38"/>
        <v>0</v>
      </c>
      <c r="K63" s="365">
        <f t="shared" si="38"/>
        <v>0</v>
      </c>
      <c r="L63" s="365">
        <f t="shared" si="38"/>
        <v>0</v>
      </c>
      <c r="M63" s="365">
        <f t="shared" si="38"/>
        <v>0</v>
      </c>
      <c r="P63" s="360" t="s">
        <v>930</v>
      </c>
      <c r="Q63" s="361">
        <v>81</v>
      </c>
      <c r="R63" s="406"/>
    </row>
    <row r="64" spans="1:18" ht="10.5" customHeight="1" x14ac:dyDescent="0.25">
      <c r="A64" s="331" t="str">
        <f>B9&amp;B64</f>
        <v>Devon EnergyGoodwill</v>
      </c>
      <c r="B64" s="132" t="s">
        <v>490</v>
      </c>
      <c r="C64" s="132" t="s">
        <v>509</v>
      </c>
      <c r="D64" s="108"/>
      <c r="E64" s="364">
        <f>IF(VLOOKUP($B64, P:Q, 2,0) = "-", 0, VLOOKUP($B64, P:Q, 2,0))*1000</f>
        <v>753000</v>
      </c>
      <c r="F64" s="365">
        <f>E64</f>
        <v>753000</v>
      </c>
      <c r="G64" s="365">
        <f t="shared" si="38"/>
        <v>753000</v>
      </c>
      <c r="H64" s="365">
        <f t="shared" si="38"/>
        <v>753000</v>
      </c>
      <c r="I64" s="365">
        <f t="shared" si="38"/>
        <v>753000</v>
      </c>
      <c r="J64" s="365">
        <f t="shared" si="38"/>
        <v>753000</v>
      </c>
      <c r="K64" s="365">
        <f t="shared" si="38"/>
        <v>753000</v>
      </c>
      <c r="L64" s="365">
        <f t="shared" si="38"/>
        <v>753000</v>
      </c>
      <c r="M64" s="365">
        <f t="shared" si="38"/>
        <v>753000</v>
      </c>
      <c r="P64" s="346" t="s">
        <v>492</v>
      </c>
      <c r="Q64" s="347">
        <v>13717</v>
      </c>
      <c r="R64" s="407"/>
    </row>
    <row r="65" spans="1:18" ht="10.5" customHeight="1" x14ac:dyDescent="0.25">
      <c r="A65" s="331" t="str">
        <f>B9&amp;B65</f>
        <v>Devon EnergyOther assets</v>
      </c>
      <c r="B65" s="357" t="s">
        <v>491</v>
      </c>
      <c r="C65" s="357" t="s">
        <v>509</v>
      </c>
      <c r="D65" s="114"/>
      <c r="E65" s="364">
        <f>IF(VLOOKUP($B65, P:Q, 2,0) = "-", 0, VLOOKUP($B65, P:Q, 2,0))*1000</f>
        <v>520000</v>
      </c>
      <c r="F65" s="365">
        <f>E65</f>
        <v>520000</v>
      </c>
      <c r="G65" s="365">
        <f t="shared" si="38"/>
        <v>520000</v>
      </c>
      <c r="H65" s="365">
        <f t="shared" si="38"/>
        <v>520000</v>
      </c>
      <c r="I65" s="365">
        <f t="shared" si="38"/>
        <v>520000</v>
      </c>
      <c r="J65" s="365">
        <f t="shared" si="38"/>
        <v>520000</v>
      </c>
      <c r="K65" s="365">
        <f t="shared" si="38"/>
        <v>520000</v>
      </c>
      <c r="L65" s="365">
        <f t="shared" si="38"/>
        <v>520000</v>
      </c>
      <c r="M65" s="365">
        <f t="shared" si="38"/>
        <v>520000</v>
      </c>
      <c r="P65" s="339"/>
      <c r="Q65" s="340"/>
      <c r="R65" s="406"/>
    </row>
    <row r="66" spans="1:18" ht="10.5" customHeight="1" x14ac:dyDescent="0.25">
      <c r="A66" s="331" t="str">
        <f>B9&amp;B66</f>
        <v>Devon EnergyTotal assets</v>
      </c>
      <c r="B66" s="88" t="s">
        <v>492</v>
      </c>
      <c r="C66" s="88"/>
      <c r="D66" s="112"/>
      <c r="E66" s="366">
        <f>SUM(E60:E65)</f>
        <v>13717000</v>
      </c>
      <c r="F66" s="367">
        <f>SUM(F60:F65)</f>
        <v>13449270.958456963</v>
      </c>
      <c r="G66" s="367">
        <f t="shared" ref="G66:M66" si="39">SUM(G60:G65)</f>
        <v>12327366.803010236</v>
      </c>
      <c r="H66" s="367">
        <f t="shared" si="39"/>
        <v>11635614.151059307</v>
      </c>
      <c r="I66" s="367">
        <f t="shared" si="39"/>
        <v>10991189.961369792</v>
      </c>
      <c r="J66" s="367">
        <f t="shared" si="39"/>
        <v>10421056.330360467</v>
      </c>
      <c r="K66" s="367">
        <f t="shared" si="39"/>
        <v>9909436.1735096946</v>
      </c>
      <c r="L66" s="367">
        <f t="shared" si="39"/>
        <v>9444492.7171283178</v>
      </c>
      <c r="M66" s="367">
        <f t="shared" si="39"/>
        <v>8951589.5126124918</v>
      </c>
      <c r="P66" s="335" t="s">
        <v>498</v>
      </c>
      <c r="Q66" s="340"/>
      <c r="R66" s="406"/>
    </row>
    <row r="67" spans="1:18" ht="10.5" customHeight="1" x14ac:dyDescent="0.25">
      <c r="A67" s="331" t="str">
        <f>B9&amp;B67</f>
        <v>Devon EnergyCurrent liabilities</v>
      </c>
      <c r="B67" s="368" t="s">
        <v>498</v>
      </c>
      <c r="C67" s="368"/>
      <c r="D67" s="112"/>
      <c r="E67" s="364"/>
      <c r="F67" s="365"/>
      <c r="G67" s="365"/>
      <c r="H67" s="365"/>
      <c r="I67" s="365"/>
      <c r="J67" s="365"/>
      <c r="K67" s="365"/>
      <c r="L67" s="365"/>
      <c r="M67" s="365"/>
      <c r="P67" s="339" t="s">
        <v>493</v>
      </c>
      <c r="Q67" s="340">
        <v>428</v>
      </c>
      <c r="R67" s="406"/>
    </row>
    <row r="68" spans="1:18" ht="10.5" customHeight="1" x14ac:dyDescent="0.25">
      <c r="A68" s="331" t="str">
        <f>B9&amp;B68</f>
        <v>Devon EnergyAccounts payable</v>
      </c>
      <c r="B68" s="82" t="s">
        <v>493</v>
      </c>
      <c r="C68" s="82" t="s">
        <v>539</v>
      </c>
      <c r="D68" s="108">
        <f>E68/E24</f>
        <v>11.136604566701861</v>
      </c>
      <c r="E68" s="364">
        <f>IF(VLOOKUP($B68, P:Q, 2,0) = "-", 0, VLOOKUP($B68, P:Q, 2,0))*1000</f>
        <v>428000</v>
      </c>
      <c r="F68" s="365">
        <f>$D68*F24</f>
        <v>412365.88831265672</v>
      </c>
      <c r="G68" s="365">
        <f t="shared" ref="G68:M68" si="40">$D68*G24</f>
        <v>412365.88831265672</v>
      </c>
      <c r="H68" s="365">
        <f t="shared" si="40"/>
        <v>412365.88831265672</v>
      </c>
      <c r="I68" s="365">
        <f t="shared" si="40"/>
        <v>412365.88831265672</v>
      </c>
      <c r="J68" s="365">
        <f t="shared" si="40"/>
        <v>394755.24979688425</v>
      </c>
      <c r="K68" s="365">
        <f t="shared" si="40"/>
        <v>394755.24979688425</v>
      </c>
      <c r="L68" s="365">
        <f t="shared" si="40"/>
        <v>394755.24979688425</v>
      </c>
      <c r="M68" s="365">
        <f t="shared" si="40"/>
        <v>394755.24979688425</v>
      </c>
      <c r="P68" s="339" t="s">
        <v>510</v>
      </c>
      <c r="Q68" s="340">
        <v>0</v>
      </c>
      <c r="R68" s="406"/>
    </row>
    <row r="69" spans="1:18" ht="10.5" customHeight="1" x14ac:dyDescent="0.25">
      <c r="A69" s="331" t="str">
        <f>B9&amp;B69</f>
        <v>Devon EnergyAccrued liabilities</v>
      </c>
      <c r="B69" s="82" t="s">
        <v>510</v>
      </c>
      <c r="C69" s="82" t="s">
        <v>507</v>
      </c>
      <c r="D69" s="108"/>
      <c r="E69" s="364">
        <f>IF(VLOOKUP($B69, P:Q, 2,0) = "-", 0, VLOOKUP($B69, P:Q, 2,0))*1000</f>
        <v>0</v>
      </c>
      <c r="F69" s="365">
        <f>E69</f>
        <v>0</v>
      </c>
      <c r="G69" s="365">
        <f t="shared" ref="G69:M69" si="41">F69</f>
        <v>0</v>
      </c>
      <c r="H69" s="365">
        <f t="shared" si="41"/>
        <v>0</v>
      </c>
      <c r="I69" s="365">
        <f t="shared" si="41"/>
        <v>0</v>
      </c>
      <c r="J69" s="365">
        <f t="shared" si="41"/>
        <v>0</v>
      </c>
      <c r="K69" s="365">
        <f t="shared" si="41"/>
        <v>0</v>
      </c>
      <c r="L69" s="365">
        <f t="shared" si="41"/>
        <v>0</v>
      </c>
      <c r="M69" s="365">
        <f t="shared" si="41"/>
        <v>0</v>
      </c>
      <c r="P69" s="339" t="s">
        <v>812</v>
      </c>
      <c r="Q69" s="340">
        <v>0</v>
      </c>
      <c r="R69" s="406"/>
    </row>
    <row r="70" spans="1:18" ht="10.5" customHeight="1" x14ac:dyDescent="0.25">
      <c r="A70" s="331" t="str">
        <f>B9&amp;B70</f>
        <v>Devon EnergyDerivative instruments current liabilities</v>
      </c>
      <c r="B70" s="82" t="s">
        <v>812</v>
      </c>
      <c r="C70" s="107" t="s">
        <v>507</v>
      </c>
      <c r="D70" s="108"/>
      <c r="E70" s="364">
        <f>IF(VLOOKUP($B70, P:Q, 2,0) = "-", 0, VLOOKUP($B70, P:Q, 2,0))*1000</f>
        <v>0</v>
      </c>
      <c r="F70" s="378"/>
      <c r="G70" s="378"/>
      <c r="H70" s="378"/>
      <c r="I70" s="378"/>
      <c r="J70" s="378"/>
      <c r="K70" s="378"/>
      <c r="L70" s="378"/>
      <c r="M70" s="378"/>
      <c r="P70" s="339" t="s">
        <v>494</v>
      </c>
      <c r="Q70" s="340">
        <v>1499</v>
      </c>
      <c r="R70" s="406"/>
    </row>
    <row r="71" spans="1:18" ht="10.5" customHeight="1" x14ac:dyDescent="0.25">
      <c r="A71" s="331" t="str">
        <f>B9&amp;B71</f>
        <v>Devon EnergyOther current liabilities</v>
      </c>
      <c r="B71" s="82" t="s">
        <v>494</v>
      </c>
      <c r="C71" s="82" t="s">
        <v>509</v>
      </c>
      <c r="D71" s="108"/>
      <c r="E71" s="364">
        <f>IF(VLOOKUP($B71, P:Q, 2,0) = "-", 0, VLOOKUP($B71, P:Q, 2,0))*1000</f>
        <v>1499000</v>
      </c>
      <c r="F71" s="365">
        <f>E71</f>
        <v>1499000</v>
      </c>
      <c r="G71" s="365">
        <f t="shared" ref="G71:M71" si="42">F71</f>
        <v>1499000</v>
      </c>
      <c r="H71" s="365">
        <f t="shared" si="42"/>
        <v>1499000</v>
      </c>
      <c r="I71" s="365">
        <f t="shared" si="42"/>
        <v>1499000</v>
      </c>
      <c r="J71" s="365">
        <f t="shared" si="42"/>
        <v>1499000</v>
      </c>
      <c r="K71" s="365">
        <f t="shared" si="42"/>
        <v>1499000</v>
      </c>
      <c r="L71" s="365">
        <f t="shared" si="42"/>
        <v>1499000</v>
      </c>
      <c r="M71" s="365">
        <f t="shared" si="42"/>
        <v>1499000</v>
      </c>
      <c r="P71" s="360" t="s">
        <v>931</v>
      </c>
      <c r="Q71" s="361">
        <v>0</v>
      </c>
      <c r="R71" s="406"/>
    </row>
    <row r="72" spans="1:18" ht="10.5" customHeight="1" x14ac:dyDescent="0.25">
      <c r="A72" s="331" t="str">
        <f>B9&amp;B72</f>
        <v>Devon EnergyTotal current liabilities</v>
      </c>
      <c r="B72" s="87" t="s">
        <v>497</v>
      </c>
      <c r="C72" s="87"/>
      <c r="D72" s="111"/>
      <c r="E72" s="366">
        <f>SUM(E68:E71)</f>
        <v>1927000</v>
      </c>
      <c r="F72" s="367">
        <f>SUM(F68:F71)</f>
        <v>1911365.8883126567</v>
      </c>
      <c r="G72" s="367">
        <f>SUM(G68:G71)</f>
        <v>1911365.8883126567</v>
      </c>
      <c r="H72" s="367">
        <f t="shared" ref="H72:M72" si="43">SUM(H68:H71)</f>
        <v>1911365.8883126567</v>
      </c>
      <c r="I72" s="367">
        <f t="shared" si="43"/>
        <v>1911365.8883126567</v>
      </c>
      <c r="J72" s="367">
        <f t="shared" si="43"/>
        <v>1893755.2497968841</v>
      </c>
      <c r="K72" s="367">
        <f t="shared" si="43"/>
        <v>1893755.2497968841</v>
      </c>
      <c r="L72" s="367">
        <f t="shared" si="43"/>
        <v>1893755.2497968841</v>
      </c>
      <c r="M72" s="367">
        <f t="shared" si="43"/>
        <v>1893755.2497968841</v>
      </c>
      <c r="P72" s="360" t="s">
        <v>932</v>
      </c>
      <c r="Q72" s="361">
        <v>730</v>
      </c>
      <c r="R72" s="406"/>
    </row>
    <row r="73" spans="1:18" ht="10.5" customHeight="1" x14ac:dyDescent="0.25">
      <c r="A73" s="331" t="str">
        <f>B9&amp;B73</f>
        <v>Devon EnergyLong-term debt, net</v>
      </c>
      <c r="B73" s="132" t="s">
        <v>511</v>
      </c>
      <c r="C73" s="132" t="s">
        <v>509</v>
      </c>
      <c r="D73" s="108"/>
      <c r="E73" s="364">
        <f>IF(VLOOKUP($B73, P:Q, 2,0) = "-", 0, VLOOKUP($B73, P:Q, 2,0))*1000</f>
        <v>4294000</v>
      </c>
      <c r="F73" s="365">
        <f t="shared" ref="F73:M74" si="44">E73</f>
        <v>4294000</v>
      </c>
      <c r="G73" s="365">
        <f t="shared" si="44"/>
        <v>4294000</v>
      </c>
      <c r="H73" s="365">
        <f t="shared" si="44"/>
        <v>4294000</v>
      </c>
      <c r="I73" s="365">
        <f t="shared" si="44"/>
        <v>4294000</v>
      </c>
      <c r="J73" s="365">
        <f t="shared" si="44"/>
        <v>4294000</v>
      </c>
      <c r="K73" s="365">
        <f t="shared" si="44"/>
        <v>4294000</v>
      </c>
      <c r="L73" s="365">
        <f t="shared" si="44"/>
        <v>4294000</v>
      </c>
      <c r="M73" s="365">
        <f t="shared" si="44"/>
        <v>4294000</v>
      </c>
      <c r="P73" s="360" t="s">
        <v>933</v>
      </c>
      <c r="Q73" s="361">
        <v>459</v>
      </c>
      <c r="R73" s="406"/>
    </row>
    <row r="74" spans="1:18" ht="10.5" customHeight="1" x14ac:dyDescent="0.25">
      <c r="A74" s="331" t="str">
        <f>B9&amp;B74</f>
        <v>Devon EnergyAsset retirement obligations</v>
      </c>
      <c r="B74" s="132" t="s">
        <v>495</v>
      </c>
      <c r="C74" s="132" t="s">
        <v>509</v>
      </c>
      <c r="D74" s="108"/>
      <c r="E74" s="364">
        <f>IF(VLOOKUP($B74, P:Q, 2,0) = "-", 0, VLOOKUP($B74, P:Q, 2,0))*1000</f>
        <v>380000</v>
      </c>
      <c r="F74" s="365">
        <f>E74</f>
        <v>380000</v>
      </c>
      <c r="G74" s="365">
        <f t="shared" si="44"/>
        <v>380000</v>
      </c>
      <c r="H74" s="365">
        <f t="shared" si="44"/>
        <v>380000</v>
      </c>
      <c r="I74" s="365">
        <f t="shared" si="44"/>
        <v>380000</v>
      </c>
      <c r="J74" s="365">
        <f t="shared" si="44"/>
        <v>380000</v>
      </c>
      <c r="K74" s="365">
        <f t="shared" si="44"/>
        <v>380000</v>
      </c>
      <c r="L74" s="365">
        <f t="shared" si="44"/>
        <v>380000</v>
      </c>
      <c r="M74" s="365">
        <f t="shared" si="44"/>
        <v>380000</v>
      </c>
      <c r="P74" s="346" t="s">
        <v>497</v>
      </c>
      <c r="Q74" s="347">
        <v>1927</v>
      </c>
      <c r="R74" s="407"/>
    </row>
    <row r="75" spans="1:18" ht="10.5" customHeight="1" x14ac:dyDescent="0.25">
      <c r="A75" s="331" t="str">
        <f>B9&amp;B75</f>
        <v>Devon EnergyDerivative instruments liabilities</v>
      </c>
      <c r="B75" s="132" t="s">
        <v>811</v>
      </c>
      <c r="C75" s="379" t="s">
        <v>507</v>
      </c>
      <c r="D75" s="108"/>
      <c r="E75" s="364">
        <f>IF(VLOOKUP($B75, P:Q, 2,0) = "-", 0, VLOOKUP($B75, P:Q, 2,0))*1000</f>
        <v>0</v>
      </c>
      <c r="F75" s="378"/>
      <c r="G75" s="378"/>
      <c r="H75" s="378"/>
      <c r="I75" s="378"/>
      <c r="J75" s="378"/>
      <c r="K75" s="378"/>
      <c r="L75" s="378"/>
      <c r="M75" s="378"/>
      <c r="P75" s="339" t="s">
        <v>511</v>
      </c>
      <c r="Q75" s="340">
        <v>4294</v>
      </c>
      <c r="R75" s="406"/>
    </row>
    <row r="76" spans="1:18" ht="10.5" customHeight="1" x14ac:dyDescent="0.25">
      <c r="A76" s="331" t="str">
        <f>B9&amp;B76</f>
        <v>Devon EnergyDeferred income taxes liabilities</v>
      </c>
      <c r="B76" s="132" t="s">
        <v>810</v>
      </c>
      <c r="C76" s="132" t="s">
        <v>509</v>
      </c>
      <c r="D76" s="108"/>
      <c r="E76" s="364">
        <f>IF(VLOOKUP($B76, P:Q, 2,0) = "-", 0, VLOOKUP($B76, P:Q, 2,0))*1000</f>
        <v>341000</v>
      </c>
      <c r="F76" s="365">
        <f>E76</f>
        <v>341000</v>
      </c>
      <c r="G76" s="365">
        <f t="shared" ref="G76:M77" si="45">F76</f>
        <v>341000</v>
      </c>
      <c r="H76" s="365">
        <f t="shared" si="45"/>
        <v>341000</v>
      </c>
      <c r="I76" s="365">
        <f t="shared" si="45"/>
        <v>341000</v>
      </c>
      <c r="J76" s="365">
        <f t="shared" si="45"/>
        <v>341000</v>
      </c>
      <c r="K76" s="365">
        <f t="shared" si="45"/>
        <v>341000</v>
      </c>
      <c r="L76" s="365">
        <f t="shared" si="45"/>
        <v>341000</v>
      </c>
      <c r="M76" s="365">
        <f t="shared" si="45"/>
        <v>341000</v>
      </c>
      <c r="P76" s="339" t="s">
        <v>495</v>
      </c>
      <c r="Q76" s="340">
        <v>380</v>
      </c>
      <c r="R76" s="406"/>
    </row>
    <row r="77" spans="1:18" ht="10.5" customHeight="1" x14ac:dyDescent="0.25">
      <c r="A77" s="331" t="str">
        <f>B9&amp;B77</f>
        <v>Devon EnergyOther long-term liabilities</v>
      </c>
      <c r="B77" s="132" t="s">
        <v>496</v>
      </c>
      <c r="C77" s="132" t="s">
        <v>509</v>
      </c>
      <c r="D77" s="108"/>
      <c r="E77" s="364">
        <f>IF(VLOOKUP($B77, P:Q, 2,0) = "-", 0, VLOOKUP($B77, P:Q, 2,0))*1000</f>
        <v>855000</v>
      </c>
      <c r="F77" s="365">
        <f>E77</f>
        <v>855000</v>
      </c>
      <c r="G77" s="365">
        <f t="shared" si="45"/>
        <v>855000</v>
      </c>
      <c r="H77" s="365">
        <f t="shared" si="45"/>
        <v>855000</v>
      </c>
      <c r="I77" s="365">
        <f t="shared" si="45"/>
        <v>855000</v>
      </c>
      <c r="J77" s="365">
        <f t="shared" si="45"/>
        <v>855000</v>
      </c>
      <c r="K77" s="365">
        <f t="shared" si="45"/>
        <v>855000</v>
      </c>
      <c r="L77" s="365">
        <f t="shared" si="45"/>
        <v>855000</v>
      </c>
      <c r="M77" s="365">
        <f t="shared" si="45"/>
        <v>855000</v>
      </c>
      <c r="P77" s="339" t="s">
        <v>811</v>
      </c>
      <c r="Q77" s="340">
        <v>0</v>
      </c>
      <c r="R77" s="406"/>
    </row>
    <row r="78" spans="1:18" ht="10.5" customHeight="1" thickBot="1" x14ac:dyDescent="0.3">
      <c r="A78" s="331" t="str">
        <f>B9&amp;B78</f>
        <v>Devon EnergyTotal liabilities</v>
      </c>
      <c r="B78" s="311" t="s">
        <v>499</v>
      </c>
      <c r="C78" s="311"/>
      <c r="D78" s="123"/>
      <c r="E78" s="376">
        <f>SUM(E72:E77)</f>
        <v>7797000</v>
      </c>
      <c r="F78" s="377">
        <f t="shared" ref="F78:M78" si="46">SUM(F72:F77)</f>
        <v>7781365.8883126564</v>
      </c>
      <c r="G78" s="377">
        <f t="shared" si="46"/>
        <v>7781365.8883126564</v>
      </c>
      <c r="H78" s="377">
        <f t="shared" si="46"/>
        <v>7781365.8883126564</v>
      </c>
      <c r="I78" s="377">
        <f t="shared" si="46"/>
        <v>7781365.8883126564</v>
      </c>
      <c r="J78" s="377">
        <f t="shared" si="46"/>
        <v>7763755.2497968841</v>
      </c>
      <c r="K78" s="377">
        <f t="shared" si="46"/>
        <v>7763755.2497968841</v>
      </c>
      <c r="L78" s="377">
        <f t="shared" si="46"/>
        <v>7763755.2497968841</v>
      </c>
      <c r="M78" s="377">
        <f t="shared" si="46"/>
        <v>7763755.2497968841</v>
      </c>
      <c r="P78" s="339" t="s">
        <v>810</v>
      </c>
      <c r="Q78" s="340">
        <v>341</v>
      </c>
      <c r="R78" s="406"/>
    </row>
    <row r="79" spans="1:18" ht="10.5" customHeight="1" thickTop="1" x14ac:dyDescent="0.25">
      <c r="P79" s="339" t="s">
        <v>496</v>
      </c>
      <c r="Q79" s="340">
        <v>855</v>
      </c>
      <c r="R79" s="406"/>
    </row>
    <row r="80" spans="1:18" ht="10.5" customHeight="1" x14ac:dyDescent="0.25">
      <c r="A80" s="331" t="str">
        <f>B9&amp;B80</f>
        <v>Devon EnergyNet (loss) Income cashflow</v>
      </c>
      <c r="B80" s="380" t="s">
        <v>572</v>
      </c>
      <c r="C80" s="381" t="s">
        <v>540</v>
      </c>
      <c r="D80" s="117"/>
      <c r="E80" s="364">
        <f>E49</f>
        <v>-88250</v>
      </c>
      <c r="F80" s="365">
        <f t="shared" ref="F80:M80" si="47">F49</f>
        <v>-180691.13363554087</v>
      </c>
      <c r="G80" s="365">
        <f t="shared" si="47"/>
        <v>-767457.72276572674</v>
      </c>
      <c r="H80" s="365">
        <f t="shared" si="47"/>
        <v>-720129.26050431305</v>
      </c>
      <c r="I80" s="365">
        <f t="shared" si="47"/>
        <v>-672800.79824289936</v>
      </c>
      <c r="J80" s="365">
        <f t="shared" si="47"/>
        <v>-586121.14950330567</v>
      </c>
      <c r="K80" s="365">
        <f t="shared" si="47"/>
        <v>-539579.90498522064</v>
      </c>
      <c r="L80" s="365">
        <f t="shared" si="47"/>
        <v>-492903.20451582625</v>
      </c>
      <c r="M80" s="365">
        <f t="shared" si="47"/>
        <v>-492903.20451582625</v>
      </c>
      <c r="P80" s="360" t="s">
        <v>934</v>
      </c>
      <c r="Q80" s="361">
        <v>0</v>
      </c>
      <c r="R80" s="406"/>
    </row>
    <row r="81" spans="1:18" ht="10.5" customHeight="1" x14ac:dyDescent="0.25">
      <c r="A81" s="331" t="str">
        <f>B9&amp;B81</f>
        <v>Devon EnergyChange in Net working capital</v>
      </c>
      <c r="B81" s="382" t="s">
        <v>500</v>
      </c>
      <c r="C81" s="383" t="s">
        <v>565</v>
      </c>
      <c r="D81" s="118"/>
      <c r="E81" s="364">
        <f t="shared" ref="E81:E87" si="48">IF(VLOOKUP($B81, P:Q, 2,0) = "-", 0, VLOOKUP($B81, P:Q, 2,0))*1000</f>
        <v>-20500</v>
      </c>
      <c r="F81" s="365">
        <f>(F60-F72)-(E60-E72)</f>
        <v>-252094.9298556943</v>
      </c>
      <c r="G81" s="365">
        <f t="shared" ref="G81:M81" si="49">(G60-G72)-(F60-F72)</f>
        <v>-1121904.1554467259</v>
      </c>
      <c r="H81" s="365">
        <f t="shared" si="49"/>
        <v>-691752.65195092955</v>
      </c>
      <c r="I81" s="365">
        <f t="shared" si="49"/>
        <v>-644424.18968951562</v>
      </c>
      <c r="J81" s="365">
        <f t="shared" si="49"/>
        <v>-552522.99249355262</v>
      </c>
      <c r="K81" s="365">
        <f t="shared" si="49"/>
        <v>-511620.15685077058</v>
      </c>
      <c r="L81" s="365">
        <f t="shared" si="49"/>
        <v>-464943.45638137683</v>
      </c>
      <c r="M81" s="365">
        <f t="shared" si="49"/>
        <v>-492903.20451582596</v>
      </c>
      <c r="P81" s="360" t="s">
        <v>935</v>
      </c>
      <c r="Q81" s="361">
        <v>244</v>
      </c>
      <c r="R81" s="406"/>
    </row>
    <row r="82" spans="1:18" ht="10.5" customHeight="1" x14ac:dyDescent="0.25">
      <c r="A82" s="331" t="str">
        <f>B9&amp;B82</f>
        <v>Devon EnergyDD&amp;A cashflow</v>
      </c>
      <c r="B82" s="382" t="s">
        <v>816</v>
      </c>
      <c r="C82" s="383" t="s">
        <v>566</v>
      </c>
      <c r="D82" s="118"/>
      <c r="E82" s="364">
        <f t="shared" si="48"/>
        <v>374250</v>
      </c>
      <c r="F82" s="365">
        <f>$E$82*F$32/$E$32</f>
        <v>360579.28434815834</v>
      </c>
      <c r="G82" s="365">
        <f t="shared" ref="G82:M82" si="50">$E$82*G$32/$E$32</f>
        <v>360579.28434815834</v>
      </c>
      <c r="H82" s="365">
        <f t="shared" si="50"/>
        <v>360579.28434815834</v>
      </c>
      <c r="I82" s="365">
        <f t="shared" si="50"/>
        <v>360579.28434815834</v>
      </c>
      <c r="J82" s="365">
        <f t="shared" si="50"/>
        <v>345180.26223477552</v>
      </c>
      <c r="K82" s="365">
        <f t="shared" si="50"/>
        <v>345180.26223477552</v>
      </c>
      <c r="L82" s="365">
        <f t="shared" si="50"/>
        <v>345180.26223477552</v>
      </c>
      <c r="M82" s="365">
        <f t="shared" si="50"/>
        <v>345180.26223477552</v>
      </c>
      <c r="P82" s="360" t="s">
        <v>936</v>
      </c>
      <c r="Q82" s="361">
        <v>185</v>
      </c>
      <c r="R82" s="406"/>
    </row>
    <row r="83" spans="1:18" ht="10.5" customHeight="1" x14ac:dyDescent="0.25">
      <c r="A83" s="331" t="str">
        <f>B9&amp;B83</f>
        <v>Devon EnergyImpairment cashflow</v>
      </c>
      <c r="B83" s="382" t="s">
        <v>571</v>
      </c>
      <c r="C83" s="383" t="s">
        <v>566</v>
      </c>
      <c r="D83" s="118"/>
      <c r="E83" s="364">
        <f t="shared" si="48"/>
        <v>0</v>
      </c>
      <c r="F83" s="365">
        <f>IF(E83=0, 0, $E$83*F$31/$E$31)</f>
        <v>0</v>
      </c>
      <c r="G83" s="365">
        <f t="shared" ref="G83:M83" si="51">IF(F83=0, 0, $E$83*G$31/$E$31)</f>
        <v>0</v>
      </c>
      <c r="H83" s="365">
        <f t="shared" si="51"/>
        <v>0</v>
      </c>
      <c r="I83" s="365">
        <f t="shared" si="51"/>
        <v>0</v>
      </c>
      <c r="J83" s="365">
        <f t="shared" si="51"/>
        <v>0</v>
      </c>
      <c r="K83" s="365">
        <f t="shared" si="51"/>
        <v>0</v>
      </c>
      <c r="L83" s="365">
        <f t="shared" si="51"/>
        <v>0</v>
      </c>
      <c r="M83" s="365">
        <f t="shared" si="51"/>
        <v>0</v>
      </c>
      <c r="P83" s="346" t="s">
        <v>499</v>
      </c>
      <c r="Q83" s="347">
        <v>7797</v>
      </c>
      <c r="R83" s="407"/>
    </row>
    <row r="84" spans="1:18" ht="10.5" customHeight="1" x14ac:dyDescent="0.25">
      <c r="A84" s="331" t="str">
        <f>B9&amp;B84</f>
        <v>Devon EnergyOther non-cash items</v>
      </c>
      <c r="B84" s="382" t="s">
        <v>501</v>
      </c>
      <c r="C84" s="383" t="s">
        <v>880</v>
      </c>
      <c r="D84" s="118"/>
      <c r="E84" s="364">
        <f t="shared" si="48"/>
        <v>245250</v>
      </c>
      <c r="F84" s="372">
        <f>$E$84+F34-$E$34</f>
        <v>245250</v>
      </c>
      <c r="G84" s="372">
        <f t="shared" ref="G84:M84" si="52">$E$84+G34-$E$34</f>
        <v>245250</v>
      </c>
      <c r="H84" s="372">
        <f t="shared" si="52"/>
        <v>245250</v>
      </c>
      <c r="I84" s="372">
        <f t="shared" si="52"/>
        <v>245250</v>
      </c>
      <c r="J84" s="372">
        <f t="shared" si="52"/>
        <v>245250</v>
      </c>
      <c r="K84" s="372">
        <f t="shared" si="52"/>
        <v>245250</v>
      </c>
      <c r="L84" s="372">
        <f t="shared" si="52"/>
        <v>245250</v>
      </c>
      <c r="M84" s="372">
        <f t="shared" si="52"/>
        <v>245250</v>
      </c>
      <c r="P84" s="384"/>
      <c r="Q84" s="345"/>
      <c r="R84" s="406"/>
    </row>
    <row r="85" spans="1:18" ht="10.5" customHeight="1" x14ac:dyDescent="0.25">
      <c r="A85" s="331" t="str">
        <f>B9&amp;B85</f>
        <v>Devon EnergyDry hole cashflow</v>
      </c>
      <c r="B85" s="382" t="s">
        <v>817</v>
      </c>
      <c r="C85" s="383" t="s">
        <v>567</v>
      </c>
      <c r="D85" s="118"/>
      <c r="E85" s="364">
        <f t="shared" si="48"/>
        <v>0</v>
      </c>
      <c r="F85" s="365">
        <f>IF($E$85&gt;0, $E$85*F39/$E$39,0)</f>
        <v>0</v>
      </c>
      <c r="G85" s="365">
        <f t="shared" ref="G85:M85" si="53">IF($E$85&gt;0, $E$85*G39/$E$39,0)</f>
        <v>0</v>
      </c>
      <c r="H85" s="365">
        <f t="shared" si="53"/>
        <v>0</v>
      </c>
      <c r="I85" s="365">
        <f t="shared" si="53"/>
        <v>0</v>
      </c>
      <c r="J85" s="365">
        <f t="shared" si="53"/>
        <v>0</v>
      </c>
      <c r="K85" s="365">
        <f t="shared" si="53"/>
        <v>0</v>
      </c>
      <c r="L85" s="365">
        <f t="shared" si="53"/>
        <v>0</v>
      </c>
      <c r="M85" s="365">
        <f t="shared" si="53"/>
        <v>0</v>
      </c>
      <c r="P85" s="385" t="s">
        <v>458</v>
      </c>
      <c r="Q85" s="340"/>
      <c r="R85" s="406"/>
    </row>
    <row r="86" spans="1:18" ht="10.5" customHeight="1" x14ac:dyDescent="0.25">
      <c r="A86" s="331" t="str">
        <f>B9&amp;B86</f>
        <v>Devon Energymarket to market contracts</v>
      </c>
      <c r="B86" s="382" t="s">
        <v>562</v>
      </c>
      <c r="C86" s="386" t="s">
        <v>507</v>
      </c>
      <c r="D86" s="118"/>
      <c r="E86" s="364">
        <f t="shared" si="48"/>
        <v>0</v>
      </c>
      <c r="F86" s="365">
        <f>E86</f>
        <v>0</v>
      </c>
      <c r="G86" s="365">
        <f t="shared" ref="G86:M86" si="54">F86</f>
        <v>0</v>
      </c>
      <c r="H86" s="365">
        <f t="shared" si="54"/>
        <v>0</v>
      </c>
      <c r="I86" s="365">
        <f t="shared" si="54"/>
        <v>0</v>
      </c>
      <c r="J86" s="365">
        <f t="shared" si="54"/>
        <v>0</v>
      </c>
      <c r="K86" s="365">
        <f t="shared" si="54"/>
        <v>0</v>
      </c>
      <c r="L86" s="365">
        <f t="shared" si="54"/>
        <v>0</v>
      </c>
      <c r="M86" s="365">
        <f t="shared" si="54"/>
        <v>0</v>
      </c>
      <c r="P86" s="346" t="s">
        <v>572</v>
      </c>
      <c r="Q86" s="347">
        <v>-88.25</v>
      </c>
      <c r="R86" s="407"/>
    </row>
    <row r="87" spans="1:18" ht="10.5" customHeight="1" x14ac:dyDescent="0.25">
      <c r="A87" s="331" t="str">
        <f>B9&amp;B87</f>
        <v>Devon EnergyCash flow from operations</v>
      </c>
      <c r="B87" s="387" t="s">
        <v>502</v>
      </c>
      <c r="C87" s="388" t="s">
        <v>540</v>
      </c>
      <c r="D87" s="118" t="str">
        <f>IF(SUM(E80:E86) = E87, "same", "wrong")</f>
        <v>same</v>
      </c>
      <c r="E87" s="364">
        <f t="shared" si="48"/>
        <v>510750</v>
      </c>
      <c r="F87" s="367">
        <f>SUM(F80:F86)</f>
        <v>173043.2208569232</v>
      </c>
      <c r="G87" s="367">
        <f t="shared" ref="G87:M87" si="55">SUM(G80:G86)</f>
        <v>-1283532.5938642942</v>
      </c>
      <c r="H87" s="367">
        <f>SUM(H80:H86)</f>
        <v>-806052.62810708419</v>
      </c>
      <c r="I87" s="367">
        <f t="shared" si="55"/>
        <v>-711395.70358425658</v>
      </c>
      <c r="J87" s="367">
        <f t="shared" si="55"/>
        <v>-548213.87976208259</v>
      </c>
      <c r="K87" s="367">
        <f t="shared" si="55"/>
        <v>-460769.79960121564</v>
      </c>
      <c r="L87" s="367">
        <f t="shared" si="55"/>
        <v>-367416.39866242744</v>
      </c>
      <c r="M87" s="367">
        <f t="shared" si="55"/>
        <v>-395376.14679687656</v>
      </c>
      <c r="P87" s="339" t="s">
        <v>500</v>
      </c>
      <c r="Q87" s="340">
        <v>-20.5</v>
      </c>
      <c r="R87" s="406"/>
    </row>
    <row r="88" spans="1:18" ht="10.5" customHeight="1" x14ac:dyDescent="0.25">
      <c r="A88" s="331" t="str">
        <f>B9&amp;B88</f>
        <v>Devon EnergyCapex</v>
      </c>
      <c r="B88" s="382" t="s">
        <v>277</v>
      </c>
      <c r="C88" s="132" t="s">
        <v>534</v>
      </c>
      <c r="D88" s="118"/>
      <c r="E88" s="364">
        <f>IF($B$2="A3",SUMIFS('$33Econ'!$H$8:$H$8001,'$33Econ'!$A$8:$A$8001,$B$9,'$33Econ'!$G$8:$G$8001,$B88)*1000/4,SUMIFS('$22Econ'!$H$8:$H$8001,'$22Econ'!$A$8:$A$8001,$B$9,'$22Econ'!$G$8:$G$8001,$B88)*1000/4)</f>
        <v>381853.24099999998</v>
      </c>
      <c r="F88" s="365">
        <f>IF($B$2="A3",SUMIFS('$33Econ'!$I$8:$I$8001,'$33Econ'!$A$8:$A$8001,$B$9,'$33Econ'!$G$8:$G$8001,$B88)*1000/4,SUMIFS('$22Econ'!$I$8:$I$8001,'$22Econ'!$A$8:$A$8001,$B$9,'$22Econ'!$G$8:$G$8001,$B88)*1000/4)</f>
        <v>139099.46575</v>
      </c>
      <c r="G88" s="365">
        <f>IF($B$2="A3",SUMIFS('$33Econ'!$I$8:$I$8001,'$33Econ'!$A$8:$A$8001,$B$9,'$33Econ'!$G$8:$G$8001,$B88)*1000/4,SUMIFS('$22Econ'!$I$8:$I$8001,'$22Econ'!$A$8:$A$8001,$B$9,'$22Econ'!$G$8:$G$8001,$B88)*1000/4)</f>
        <v>139099.46575</v>
      </c>
      <c r="H88" s="365">
        <f>IF($B$2="A3",SUMIFS('$33Econ'!$I$8:$I$8001,'$33Econ'!$A$8:$A$8001,$B$9,'$33Econ'!$G$8:$G$8001,$B88)*1000/4,SUMIFS('$22Econ'!$I$8:$I$8001,'$22Econ'!$A$8:$A$8001,$B$9,'$22Econ'!$G$8:$G$8001,$B88)*1000/4)</f>
        <v>139099.46575</v>
      </c>
      <c r="I88" s="365">
        <f>IF($B$2="A3",SUMIFS('$33Econ'!$I$8:$I$8001,'$33Econ'!$A$8:$A$8001,$B$9,'$33Econ'!$G$8:$G$8001,$B88)*1000/4,SUMIFS('$22Econ'!$I$8:$I$8001,'$22Econ'!$A$8:$A$8001,$B$9,'$22Econ'!$G$8:$G$8001,$B88)*1000/4)</f>
        <v>139099.46575</v>
      </c>
      <c r="J88" s="365">
        <f>IF($B$2="A3",SUMIFS('$33Econ'!$J$8:$J$8001,'$33Econ'!$A$8:$A$8001,$B$9,'$33Econ'!$G$8:$G$8001,$B88)*1000/4,SUMIFS('$22Econ'!$J$8:$J$8001,'$22Econ'!$A$8:$A$8001,$B$9,'$22Econ'!$G$8:$G$8001,$B88)*1000/4)</f>
        <v>57701.881750000015</v>
      </c>
      <c r="K88" s="365">
        <f t="shared" ref="K88:M88" si="56">J88</f>
        <v>57701.881750000015</v>
      </c>
      <c r="L88" s="365">
        <f t="shared" si="56"/>
        <v>57701.881750000015</v>
      </c>
      <c r="M88" s="365">
        <f t="shared" si="56"/>
        <v>57701.881750000015</v>
      </c>
      <c r="P88" s="389" t="s">
        <v>816</v>
      </c>
      <c r="Q88" s="390">
        <v>374.25</v>
      </c>
      <c r="R88" s="407"/>
    </row>
    <row r="89" spans="1:18" ht="10.5" customHeight="1" x14ac:dyDescent="0.25">
      <c r="A89" s="331" t="str">
        <f>B9&amp;B89</f>
        <v>Devon EnergyExploration Capex</v>
      </c>
      <c r="B89" s="382" t="s">
        <v>278</v>
      </c>
      <c r="C89" s="132" t="s">
        <v>534</v>
      </c>
      <c r="D89" s="118"/>
      <c r="E89" s="364">
        <f>IF($B$2="A3",SUMIFS('$33Econ'!$H$8:$H$8001,'$33Econ'!$A$8:$A$8001,$B$9,'$33Econ'!$G$8:$G$8001,$B89)*1000/4,SUMIFS('$22Econ'!$H$8:$H$8001,'$22Econ'!$A$8:$A$8001,$B$9,'$22Econ'!$G$8:$G$8001,$B89)*1000/4)</f>
        <v>75191.0352155</v>
      </c>
      <c r="F89" s="391">
        <f>(1-INDEX(Assumptions!$A$2:$K$596,MATCH($B9&amp;"Capex reduction",Assumptions!$A$2:$A$596,0),MATCH(F$2,Assumptions!$A$2:$K$2,0))) *IF($B$2="A3",SUMIFS('$33Econ'!$I$8:$I$8001,'$33Econ'!$A$8:$A$8001,$B$9,'$33Econ'!$G$8:$G$8001,$B89)*1000/4,SUMIFS('$22Econ'!$I$8:$I$8001,'$22Econ'!$A$8:$A$8001,$B$9,'$22Econ'!$G$8:$G$8001,$B89)*1000/4)</f>
        <v>43060.862427500011</v>
      </c>
      <c r="G89" s="391">
        <f>(1-INDEX(Assumptions!$A$2:$K$596,MATCH($B9&amp;"Capex reduction",Assumptions!$A$2:$A$596,0),MATCH(G$2,Assumptions!$A$2:$K$2,0))) *IF($B$2="A3",SUMIFS('$33Econ'!$I$8:$I$8001,'$33Econ'!$A$8:$A$8001,$B$9,'$33Econ'!$G$8:$G$8001,$B89)*1000/4,SUMIFS('$22Econ'!$I$8:$I$8001,'$22Econ'!$A$8:$A$8001,$B$9,'$22Econ'!$G$8:$G$8001,$B89)*1000/4)</f>
        <v>43060.862427500011</v>
      </c>
      <c r="H89" s="391">
        <f>(1-INDEX(Assumptions!$A$2:$K$596,MATCH($B9&amp;"Capex reduction",Assumptions!$A$2:$A$596,0),MATCH(H$2,Assumptions!$A$2:$K$2,0))) *IF($B$2="A3",SUMIFS('$33Econ'!$I$8:$I$8001,'$33Econ'!$A$8:$A$8001,$B$9,'$33Econ'!$G$8:$G$8001,$B89)*1000/4,SUMIFS('$22Econ'!$I$8:$I$8001,'$22Econ'!$A$8:$A$8001,$B$9,'$22Econ'!$G$8:$G$8001,$B89)*1000/4)</f>
        <v>43060.862427500011</v>
      </c>
      <c r="I89" s="391">
        <f>(1-INDEX(Assumptions!$A$2:$K$596,MATCH($B9&amp;"Capex reduction",Assumptions!$A$2:$A$596,0),MATCH(I$2,Assumptions!$A$2:$K$2,0))) *IF($B$2="A3",SUMIFS('$33Econ'!$I$8:$I$8001,'$33Econ'!$A$8:$A$8001,$B$9,'$33Econ'!$G$8:$G$8001,$B89)*1000/4,SUMIFS('$22Econ'!$I$8:$I$8001,'$22Econ'!$A$8:$A$8001,$B$9,'$22Econ'!$G$8:$G$8001,$B89)*1000/4)</f>
        <v>43060.862427500011</v>
      </c>
      <c r="J89" s="391">
        <f>(1-INDEX(Assumptions!$A$2:$K$596,MATCH($B9&amp;"Capex reduction",Assumptions!$A$2:$A$596,0),MATCH(J$2,Assumptions!$A$2:$K$2,0))) *IF($B$2="A3",SUMIFS('$33Econ'!$J$8:$J$8001,'$33Econ'!$A$8:$A$8001,$B$9,'$33Econ'!$G$8:$G$8001,$B89)*1000/4,SUMIFS('$22Econ'!$J$8:$J$8001,'$22Econ'!$A$8:$A$8001,$B$9,'$22Econ'!$G$8:$G$8001,$B89)*1000/4)</f>
        <v>35205.446974499995</v>
      </c>
      <c r="K89" s="391">
        <f>(1-INDEX(Assumptions!$A$2:$K$596,MATCH($B9&amp;"Capex reduction",Assumptions!$A$2:$A$596,0),MATCH(K$2,Assumptions!$A$2:$K$2,0))) *IF($B$2="A3",SUMIFS('$33Econ'!$J$8:$J$8001,'$33Econ'!$A$8:$A$8001,$B$9,'$33Econ'!$G$8:$G$8001,$B89)*1000/4,SUMIFS('$22Econ'!$J$8:$J$8001,'$22Econ'!$A$8:$A$8001,$B$9,'$22Econ'!$G$8:$G$8001,$B89)*1000/4)</f>
        <v>35205.446974499995</v>
      </c>
      <c r="L89" s="391">
        <f>(1-INDEX(Assumptions!$A$2:$K$596,MATCH($B9&amp;"Capex reduction",Assumptions!$A$2:$A$596,0),MATCH(L$2,Assumptions!$A$2:$K$2,0))) *IF($B$2="A3",SUMIFS('$33Econ'!$J$8:$J$8001,'$33Econ'!$A$8:$A$8001,$B$9,'$33Econ'!$G$8:$G$8001,$B89)*1000/4,SUMIFS('$22Econ'!$J$8:$J$8001,'$22Econ'!$A$8:$A$8001,$B$9,'$22Econ'!$G$8:$G$8001,$B89)*1000/4)</f>
        <v>35205.446974499995</v>
      </c>
      <c r="M89" s="391">
        <f>(1-INDEX(Assumptions!$A$2:$K$596,MATCH($B9&amp;"Capex reduction",Assumptions!$A$2:$A$596,0),MATCH(M$2,Assumptions!$A$2:$K$2,0))) *IF($B$2="A3",SUMIFS('$33Econ'!$J$8:$J$8001,'$33Econ'!$A$8:$A$8001,$B$9,'$33Econ'!$G$8:$G$8001,$B89)*1000/4,SUMIFS('$22Econ'!$J$8:$J$8001,'$22Econ'!$A$8:$A$8001,$B$9,'$22Econ'!$G$8:$G$8001,$B89)*1000/4)</f>
        <v>35205.446974499995</v>
      </c>
      <c r="P89" s="389" t="s">
        <v>571</v>
      </c>
      <c r="Q89" s="390">
        <v>0</v>
      </c>
      <c r="R89" s="407"/>
    </row>
    <row r="90" spans="1:18" ht="10.5" customHeight="1" thickBot="1" x14ac:dyDescent="0.3">
      <c r="A90" s="331" t="str">
        <f>B9&amp;B90</f>
        <v>Devon EnergyFree Cash Flow (FCF)</v>
      </c>
      <c r="B90" s="392" t="s">
        <v>458</v>
      </c>
      <c r="C90" s="392" t="s">
        <v>512</v>
      </c>
      <c r="D90" s="119"/>
      <c r="E90" s="376">
        <f>SUM(E87:E89)</f>
        <v>967794.27621549997</v>
      </c>
      <c r="F90" s="377">
        <f>SUM(F87:F89)</f>
        <v>355203.54903442325</v>
      </c>
      <c r="G90" s="377">
        <f t="shared" ref="G90:M90" si="57">SUM(G87:G89)</f>
        <v>-1101372.2656867942</v>
      </c>
      <c r="H90" s="377">
        <f t="shared" si="57"/>
        <v>-623892.29992958426</v>
      </c>
      <c r="I90" s="377">
        <f t="shared" si="57"/>
        <v>-529235.37540675665</v>
      </c>
      <c r="J90" s="377">
        <f t="shared" si="57"/>
        <v>-455306.55103758257</v>
      </c>
      <c r="K90" s="377">
        <f t="shared" si="57"/>
        <v>-367862.47087671561</v>
      </c>
      <c r="L90" s="377">
        <f t="shared" si="57"/>
        <v>-274509.06993792742</v>
      </c>
      <c r="M90" s="377">
        <f t="shared" si="57"/>
        <v>-302468.81807237654</v>
      </c>
      <c r="P90" s="339" t="s">
        <v>501</v>
      </c>
      <c r="Q90" s="340">
        <v>245.25</v>
      </c>
      <c r="R90" s="406"/>
    </row>
    <row r="91" spans="1:18" ht="10.5" customHeight="1" thickTop="1" x14ac:dyDescent="0.25">
      <c r="I91" s="374"/>
      <c r="M91" s="374"/>
      <c r="P91" s="360" t="s">
        <v>817</v>
      </c>
      <c r="Q91" s="361">
        <v>0</v>
      </c>
      <c r="R91" s="406"/>
    </row>
    <row r="92" spans="1:18" ht="10.5" customHeight="1" x14ac:dyDescent="0.25">
      <c r="A92" s="331" t="str">
        <f>B9&amp;B92</f>
        <v>Devon EnergyEBITDA</v>
      </c>
      <c r="B92" s="380" t="s">
        <v>428</v>
      </c>
      <c r="C92" s="393" t="s">
        <v>540</v>
      </c>
      <c r="D92" s="117"/>
      <c r="E92" s="364">
        <f>(E29-E41)+E32</f>
        <v>412000</v>
      </c>
      <c r="F92" s="365">
        <f>(F29-F41)+F32</f>
        <v>302485.36808042711</v>
      </c>
      <c r="G92" s="365">
        <f t="shared" ref="G92:M92" si="58">(G29-G41)+G32</f>
        <v>-334008.52606666699</v>
      </c>
      <c r="H92" s="365">
        <f t="shared" si="58"/>
        <v>-282657.8148878527</v>
      </c>
      <c r="I92" s="365">
        <f t="shared" si="58"/>
        <v>-231307.10370903841</v>
      </c>
      <c r="J92" s="365">
        <f t="shared" si="58"/>
        <v>-157461.25496555731</v>
      </c>
      <c r="K92" s="365">
        <f t="shared" si="58"/>
        <v>-106817.69609933073</v>
      </c>
      <c r="L92" s="365">
        <f t="shared" si="58"/>
        <v>-56174.137233103917</v>
      </c>
      <c r="M92" s="365">
        <f t="shared" si="58"/>
        <v>-56174.137233103917</v>
      </c>
      <c r="P92" s="360" t="s">
        <v>562</v>
      </c>
      <c r="Q92" s="361">
        <v>0</v>
      </c>
      <c r="R92" s="406"/>
    </row>
    <row r="93" spans="1:18" ht="10.5" customHeight="1" x14ac:dyDescent="0.25">
      <c r="A93" s="331" t="str">
        <f>B9&amp;B93</f>
        <v>Devon EnergyExploration capex</v>
      </c>
      <c r="B93" s="382" t="s">
        <v>519</v>
      </c>
      <c r="C93" s="382" t="s">
        <v>534</v>
      </c>
      <c r="D93" s="118"/>
      <c r="E93" s="364">
        <f>E89</f>
        <v>75191.0352155</v>
      </c>
      <c r="F93" s="372">
        <f t="shared" ref="F93:M93" si="59">F89</f>
        <v>43060.862427500011</v>
      </c>
      <c r="G93" s="372">
        <f t="shared" si="59"/>
        <v>43060.862427500011</v>
      </c>
      <c r="H93" s="372">
        <f t="shared" si="59"/>
        <v>43060.862427500011</v>
      </c>
      <c r="I93" s="372">
        <f t="shared" si="59"/>
        <v>43060.862427500011</v>
      </c>
      <c r="J93" s="372">
        <f t="shared" si="59"/>
        <v>35205.446974499995</v>
      </c>
      <c r="K93" s="372">
        <f t="shared" si="59"/>
        <v>35205.446974499995</v>
      </c>
      <c r="L93" s="372">
        <f t="shared" si="59"/>
        <v>35205.446974499995</v>
      </c>
      <c r="M93" s="372">
        <f t="shared" si="59"/>
        <v>35205.446974499995</v>
      </c>
      <c r="P93" s="339" t="s">
        <v>502</v>
      </c>
      <c r="Q93" s="340">
        <v>510.75</v>
      </c>
      <c r="R93" s="406"/>
    </row>
    <row r="94" spans="1:18" ht="10.5" customHeight="1" x14ac:dyDescent="0.25">
      <c r="A94" s="331" t="str">
        <f>B9&amp;B94</f>
        <v>Devon EnergyEBITDAX</v>
      </c>
      <c r="B94" s="394" t="s">
        <v>459</v>
      </c>
      <c r="C94" s="394" t="s">
        <v>512</v>
      </c>
      <c r="D94" s="125"/>
      <c r="E94" s="366">
        <f>SUM(E92:E93)</f>
        <v>487191.03521549999</v>
      </c>
      <c r="F94" s="367">
        <f t="shared" ref="F94:M94" si="60">SUM(F92:F93)</f>
        <v>345546.23050792713</v>
      </c>
      <c r="G94" s="367">
        <f t="shared" si="60"/>
        <v>-290947.66363916697</v>
      </c>
      <c r="H94" s="367">
        <f t="shared" si="60"/>
        <v>-239596.95246035268</v>
      </c>
      <c r="I94" s="367">
        <f t="shared" si="60"/>
        <v>-188246.24128153839</v>
      </c>
      <c r="J94" s="367">
        <f t="shared" si="60"/>
        <v>-122255.80799105731</v>
      </c>
      <c r="K94" s="367">
        <f t="shared" si="60"/>
        <v>-71612.249124830734</v>
      </c>
      <c r="L94" s="367">
        <f t="shared" si="60"/>
        <v>-20968.690258603921</v>
      </c>
      <c r="M94" s="367">
        <f t="shared" si="60"/>
        <v>-20968.690258603921</v>
      </c>
      <c r="P94" s="339" t="s">
        <v>277</v>
      </c>
      <c r="Q94" s="340">
        <f>E88/1000</f>
        <v>381.85324099999997</v>
      </c>
      <c r="R94" s="406"/>
    </row>
    <row r="95" spans="1:18" ht="10.5" customHeight="1" x14ac:dyDescent="0.25">
      <c r="A95" s="353" t="str">
        <f>B9&amp;B95</f>
        <v>Devon EnergyDebt/EBITDAX</v>
      </c>
      <c r="B95" s="395" t="s">
        <v>947</v>
      </c>
      <c r="C95" s="395" t="s">
        <v>512</v>
      </c>
      <c r="D95" s="123"/>
      <c r="E95" s="358">
        <f>(E73+E68)/(E94*4)</f>
        <v>2.4230741427288938</v>
      </c>
      <c r="F95" s="359"/>
      <c r="G95" s="359"/>
      <c r="H95" s="359"/>
      <c r="I95" s="359">
        <f>(AVERAGE(F73:I73)+AVERAGE(F68:I68))/SUM(F92:I92)</f>
        <v>-8.6278070783741843</v>
      </c>
      <c r="J95" s="359"/>
      <c r="K95" s="359"/>
      <c r="L95" s="359"/>
      <c r="M95" s="359">
        <f>(AVERAGE(J73:M73)+AVERAGE(J68:M68))/SUM(J92:M92)</f>
        <v>-12.449326368228155</v>
      </c>
      <c r="P95" s="339" t="s">
        <v>278</v>
      </c>
      <c r="Q95" s="340">
        <f>E89/1000</f>
        <v>75.191035215499994</v>
      </c>
      <c r="R95" s="406"/>
    </row>
    <row r="96" spans="1:18" s="396" customFormat="1" ht="10.5" customHeight="1" x14ac:dyDescent="0.25">
      <c r="D96" s="124"/>
      <c r="P96" s="389" t="s">
        <v>458</v>
      </c>
      <c r="Q96" s="390">
        <f>SUM(Q93:Q95)</f>
        <v>967.79427621550008</v>
      </c>
      <c r="R96" s="407"/>
    </row>
    <row r="97" spans="1:18" ht="10.5" customHeight="1" x14ac:dyDescent="0.25">
      <c r="A97" s="331" t="str">
        <f>B9&amp;B97</f>
        <v>Devon EnergyCash dividends paid</v>
      </c>
      <c r="B97" s="352" t="s">
        <v>521</v>
      </c>
      <c r="C97" s="353" t="s">
        <v>546</v>
      </c>
      <c r="D97" s="122"/>
      <c r="E97" s="364">
        <f>IF(VLOOKUP($B97, P:Q, 2,0) = "-", 0, VLOOKUP($B97, P:Q, 2,0))*1000</f>
        <v>-35000</v>
      </c>
      <c r="F97" s="365">
        <f>E97*(1-INDEX(Assumptions!$A$2:$K$596,MATCH($B9&amp;"Dividend reduction",Assumptions!$A$2:$A$596,0),MATCH(F$2,Assumptions!$A$2:$K$2,0)))</f>
        <v>-35000</v>
      </c>
      <c r="G97" s="365">
        <f>F97*(1-INDEX(Assumptions!$A$2:$K$596,MATCH($B9&amp;"Dividend reduction",Assumptions!$A$2:$A$596,0),MATCH(G$2,Assumptions!$A$2:$K$2,0)))</f>
        <v>-35000</v>
      </c>
      <c r="H97" s="365">
        <f>G97*(1-INDEX(Assumptions!$A$2:$K$596,MATCH($B9&amp;"Dividend reduction",Assumptions!$A$2:$A$596,0),MATCH(H$2,Assumptions!$A$2:$K$2,0)))</f>
        <v>-35000</v>
      </c>
      <c r="I97" s="365">
        <f>H97*(1-INDEX(Assumptions!$A$2:$K$596,MATCH($B9&amp;"Dividend reduction",Assumptions!$A$2:$A$596,0),MATCH(I$2,Assumptions!$A$2:$K$2,0)))</f>
        <v>-35000</v>
      </c>
      <c r="J97" s="365">
        <f>I97*(1-INDEX(Assumptions!$A$2:$K$596,MATCH($B9&amp;"Dividend reduction",Assumptions!$A$2:$A$596,0),MATCH(J$2,Assumptions!$A$2:$K$2,0)))</f>
        <v>-35000</v>
      </c>
      <c r="K97" s="365">
        <f>J97*(1-INDEX(Assumptions!$A$2:$K$596,MATCH($B9&amp;"Dividend reduction",Assumptions!$A$2:$A$596,0),MATCH(K$2,Assumptions!$A$2:$K$2,0)))</f>
        <v>-35000</v>
      </c>
      <c r="L97" s="365">
        <f>K97*(1-INDEX(Assumptions!$A$2:$K$596,MATCH($B9&amp;"Dividend reduction",Assumptions!$A$2:$A$596,0),MATCH(L$2,Assumptions!$A$2:$K$2,0)))</f>
        <v>-35000</v>
      </c>
      <c r="M97" s="365">
        <f>L97*(1-INDEX(Assumptions!$A$2:$K$596,MATCH($B9&amp;"Dividend reduction",Assumptions!$A$2:$A$596,0),MATCH(M$2,Assumptions!$A$2:$K$2,0)))</f>
        <v>-35000</v>
      </c>
      <c r="P97" s="339"/>
      <c r="Q97" s="340"/>
      <c r="R97" s="406"/>
    </row>
    <row r="98" spans="1:18" ht="10.5" customHeight="1" x14ac:dyDescent="0.25">
      <c r="P98" s="389" t="s">
        <v>428</v>
      </c>
      <c r="Q98" s="390">
        <v>0</v>
      </c>
      <c r="R98" s="407"/>
    </row>
    <row r="99" spans="1:18" ht="10.5" customHeight="1" x14ac:dyDescent="0.25">
      <c r="A99" s="331" t="str">
        <f>B9&amp;B99</f>
        <v>Devon EnergyOhlson's O-Score</v>
      </c>
      <c r="B99" s="380" t="s">
        <v>427</v>
      </c>
      <c r="C99" s="380" t="s">
        <v>512</v>
      </c>
      <c r="D99" s="117"/>
      <c r="E99" s="130"/>
      <c r="F99" s="130"/>
      <c r="G99" s="130"/>
      <c r="H99" s="130"/>
      <c r="I99" s="334">
        <f>-1.32-0.407*(LN($I66*1000/(36.32+2.11*'Quarterly Forecasts'!$K$15)))+6.03*($I78/$I66)-1.43*(($I60-$I72)/$I66)+0.0757*($I72/$I60)-2.37*(SUM($F49:$I49)/$I66)-1.83*(SUM($F92:$I92)/$I78)+0.285*(IF(AND(SUM($F49:$I49)&lt;0,($E49*4)&lt;0),1,0))-0.521*((SUM($F49:$I49)-($E49*4))/(ABS(SUM($F49:$I49))+ABS($E49*4)))-1.72*(IF($I78&gt;$I66,1,0))</f>
        <v>-2.3391578887258619</v>
      </c>
      <c r="J99" s="130"/>
      <c r="K99" s="130"/>
      <c r="L99" s="130"/>
      <c r="M99" s="334">
        <f>-1.32-0.407*(LN($M66*1000/(36.32+2.11*'Quarterly Forecasts'!$K$15)))+6.03*($M78/$M66)-1.43*(($M60-$M72)/$M66)+0.0757*($M72/$M60)-2.37*(SUM($J49:$M49)/$M66)-1.83*(SUM($J92:$M92)/$M78)+0.285*(IF(AND(SUM($J49:$M49)&lt;0,(SUM($F49:$I49))&lt;0),1,0))-0.521*((SUM($J49:$M49)-(SUM($F49:$I49)))/(ABS(SUM($J49:$M49))+ABS(SUM($F49:$I49))))-1.72*(IF($M78&gt;$M66,1,0))</f>
        <v>-1.6304497057465506</v>
      </c>
      <c r="P99" s="389" t="s">
        <v>519</v>
      </c>
      <c r="Q99" s="390">
        <v>0</v>
      </c>
      <c r="R99" s="407"/>
    </row>
    <row r="100" spans="1:18" ht="10.5" customHeight="1" thickBot="1" x14ac:dyDescent="0.3">
      <c r="A100" s="331" t="str">
        <f>B9&amp;B100</f>
        <v>Devon EnergyProbability of default (PD)</v>
      </c>
      <c r="B100" s="397" t="s">
        <v>504</v>
      </c>
      <c r="C100" s="398" t="s">
        <v>512</v>
      </c>
      <c r="D100" s="110"/>
      <c r="E100" s="131"/>
      <c r="F100" s="131"/>
      <c r="G100" s="131"/>
      <c r="H100" s="131"/>
      <c r="I100" s="399">
        <f>EXP(I99)/(1+EXP(I99))</f>
        <v>8.793142829419888E-2</v>
      </c>
      <c r="J100" s="131"/>
      <c r="K100" s="131"/>
      <c r="L100" s="131"/>
      <c r="M100" s="399">
        <f>EXP(M99)/(1+EXP(M99))</f>
        <v>0.16376876535778914</v>
      </c>
      <c r="P100" s="389" t="s">
        <v>459</v>
      </c>
      <c r="Q100" s="390">
        <v>2443</v>
      </c>
      <c r="R100" s="407"/>
    </row>
    <row r="101" spans="1:18" ht="10.5" customHeight="1" thickTop="1" x14ac:dyDescent="0.25">
      <c r="P101" s="339"/>
      <c r="Q101" s="340"/>
      <c r="R101" s="406"/>
    </row>
    <row r="102" spans="1:18" ht="10.5" customHeight="1" thickBot="1" x14ac:dyDescent="0.3">
      <c r="P102" s="401" t="s">
        <v>521</v>
      </c>
      <c r="Q102" s="304">
        <v>-35</v>
      </c>
      <c r="R102" s="406"/>
    </row>
    <row r="103" spans="1:18" ht="10.5" customHeight="1" thickBot="1" x14ac:dyDescent="0.3">
      <c r="Q103" s="400"/>
    </row>
  </sheetData>
  <conditionalFormatting sqref="D8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0FFF4-FAC1-41AF-A574-7C57DB2264C4}">
  <dimension ref="A1:R103"/>
  <sheetViews>
    <sheetView showGridLines="0" zoomScale="103" zoomScaleNormal="130" workbookViewId="0">
      <pane xSplit="2" ySplit="2" topLeftCell="E3" activePane="bottomRight" state="frozen"/>
      <selection activeCell="I95" sqref="I95"/>
      <selection pane="topRight" activeCell="I95" sqref="I95"/>
      <selection pane="bottomLeft" activeCell="I95" sqref="I95"/>
      <selection pane="bottomRight" activeCell="I95" sqref="I95"/>
    </sheetView>
  </sheetViews>
  <sheetFormatPr defaultColWidth="8.81640625" defaultRowHeight="10.5" customHeight="1" x14ac:dyDescent="0.25"/>
  <cols>
    <col min="1" max="1" width="9.6328125" style="331" customWidth="1"/>
    <col min="2" max="2" width="28.6328125" style="331" customWidth="1"/>
    <col min="3" max="3" width="35.453125" style="331" customWidth="1"/>
    <col min="4" max="4" width="9" style="113" bestFit="1" customWidth="1"/>
    <col min="5" max="5" width="10.453125" style="331" bestFit="1" customWidth="1"/>
    <col min="6" max="6" width="12.1796875" style="331" customWidth="1"/>
    <col min="7" max="13" width="10.453125" style="331" customWidth="1"/>
    <col min="14" max="15" width="8.81640625" style="331" customWidth="1"/>
    <col min="16" max="16" width="40.90625" style="331" customWidth="1"/>
    <col min="17" max="17" width="20.7265625" style="304" customWidth="1"/>
    <col min="18" max="18" width="11.08984375" style="404" customWidth="1"/>
    <col min="19" max="16384" width="8.81640625" style="331"/>
  </cols>
  <sheetData>
    <row r="1" spans="1:18" ht="10.5" customHeight="1" x14ac:dyDescent="0.25">
      <c r="E1" s="331" t="str">
        <f>LEFT(E2,4)</f>
        <v>2019</v>
      </c>
      <c r="F1" s="331" t="str">
        <f t="shared" ref="F1:M1" si="0">LEFT(F2,4)</f>
        <v>2020</v>
      </c>
      <c r="G1" s="331" t="str">
        <f t="shared" si="0"/>
        <v>2020</v>
      </c>
      <c r="H1" s="331" t="str">
        <f t="shared" si="0"/>
        <v>2020</v>
      </c>
      <c r="I1" s="331" t="str">
        <f t="shared" si="0"/>
        <v>2020</v>
      </c>
      <c r="J1" s="331" t="str">
        <f t="shared" si="0"/>
        <v>2021</v>
      </c>
      <c r="K1" s="331" t="str">
        <f t="shared" si="0"/>
        <v>2021</v>
      </c>
      <c r="L1" s="331" t="str">
        <f t="shared" si="0"/>
        <v>2021</v>
      </c>
      <c r="M1" s="331" t="str">
        <f t="shared" si="0"/>
        <v>2021</v>
      </c>
      <c r="P1" s="402" t="s">
        <v>949</v>
      </c>
      <c r="Q1" s="403" t="s">
        <v>270</v>
      </c>
    </row>
    <row r="2" spans="1:18" ht="10.5" customHeight="1" x14ac:dyDescent="0.25">
      <c r="B2" s="331" t="s">
        <v>440</v>
      </c>
      <c r="C2" s="331" t="s">
        <v>517</v>
      </c>
      <c r="D2" s="113" t="s">
        <v>524</v>
      </c>
      <c r="E2" s="344" t="s">
        <v>413</v>
      </c>
      <c r="F2" s="344" t="s">
        <v>414</v>
      </c>
      <c r="G2" s="344" t="s">
        <v>415</v>
      </c>
      <c r="H2" s="344" t="s">
        <v>416</v>
      </c>
      <c r="I2" s="344" t="s">
        <v>417</v>
      </c>
      <c r="J2" s="344" t="s">
        <v>418</v>
      </c>
      <c r="K2" s="344" t="s">
        <v>419</v>
      </c>
      <c r="L2" s="344" t="s">
        <v>420</v>
      </c>
      <c r="M2" s="344" t="s">
        <v>421</v>
      </c>
      <c r="P2" s="339"/>
      <c r="Q2" s="336"/>
    </row>
    <row r="3" spans="1:18" ht="10.5" customHeight="1" x14ac:dyDescent="0.25">
      <c r="B3" s="332" t="s">
        <v>522</v>
      </c>
      <c r="C3" s="332"/>
      <c r="D3" s="111"/>
      <c r="E3" s="333"/>
      <c r="F3" s="334"/>
      <c r="G3" s="334"/>
      <c r="H3" s="334"/>
      <c r="I3" s="334"/>
      <c r="J3" s="334"/>
      <c r="K3" s="334"/>
      <c r="L3" s="334"/>
      <c r="M3" s="334"/>
      <c r="P3" s="335" t="s">
        <v>523</v>
      </c>
      <c r="Q3" s="336"/>
      <c r="R3" s="405"/>
    </row>
    <row r="4" spans="1:18" ht="10.5" customHeight="1" x14ac:dyDescent="0.25">
      <c r="A4" s="331" t="str">
        <f>$B$9&amp;$B$3&amp;B4</f>
        <v>Concho ResourcesMarket PricesOil</v>
      </c>
      <c r="B4" s="82" t="s">
        <v>396</v>
      </c>
      <c r="C4" s="82"/>
      <c r="D4" s="108"/>
      <c r="E4" s="337">
        <f>INDEX('Quarterly Forecasts'!$B$4:$O$500,MATCH(($B$2&amp;$B4),'Quarterly Forecasts'!$B$4:$B$500,0),MATCH(E$2,'Quarterly Forecasts'!$B$4:$O$4,0))</f>
        <v>64.358329999999995</v>
      </c>
      <c r="F4" s="338">
        <f>INDEX('Quarterly Forecasts'!$B$4:$O$500,MATCH($B$2&amp;$B4,'Quarterly Forecasts'!$B$4:$B$500,0),MATCH(F$2,'Quarterly Forecasts'!$B$4:$O$4,0))</f>
        <v>50.81859</v>
      </c>
      <c r="G4" s="338">
        <f>INDEX('Quarterly Forecasts'!$B$4:$O$500,MATCH($B$2&amp;$B4,'Quarterly Forecasts'!$B$4:$B$500,0),MATCH(G$2,'Quarterly Forecasts'!$B$4:$O$4,0))</f>
        <v>15</v>
      </c>
      <c r="H4" s="338">
        <f>INDEX('Quarterly Forecasts'!$B$4:$O$500,MATCH($B$2&amp;$B4,'Quarterly Forecasts'!$B$4:$B$500,0),MATCH(H$2,'Quarterly Forecasts'!$B$4:$O$4,0))</f>
        <v>17</v>
      </c>
      <c r="I4" s="338">
        <f>INDEX('Quarterly Forecasts'!$B$4:$O$500,MATCH($B$2&amp;$B4,'Quarterly Forecasts'!$B$4:$B$500,0),MATCH(I$2,'Quarterly Forecasts'!$B$4:$O$4,0))</f>
        <v>19</v>
      </c>
      <c r="J4" s="338">
        <f>INDEX('Quarterly Forecasts'!$B$4:$O$500,MATCH($B$2&amp;$B4,'Quarterly Forecasts'!$B$4:$B$500,0),MATCH(J$2,'Quarterly Forecasts'!$B$4:$O$4,0))</f>
        <v>21</v>
      </c>
      <c r="K4" s="338">
        <f>INDEX('Quarterly Forecasts'!$B$4:$O$500,MATCH($B$2&amp;$B4,'Quarterly Forecasts'!$B$4:$B$500,0),MATCH(K$2,'Quarterly Forecasts'!$B$4:$O$4,0))</f>
        <v>23</v>
      </c>
      <c r="L4" s="338">
        <f>INDEX('Quarterly Forecasts'!$B$4:$O$500,MATCH($B$2&amp;$B4,'Quarterly Forecasts'!$B$4:$B$500,0),MATCH(L$2,'Quarterly Forecasts'!$B$4:$O$4,0))</f>
        <v>25</v>
      </c>
      <c r="M4" s="338">
        <f>INDEX('Quarterly Forecasts'!$B$4:$O$500,MATCH($B$2&amp;$B4,'Quarterly Forecasts'!$B$4:$B$500,0),MATCH(M$2,'Quarterly Forecasts'!$B$4:$O$4,0))</f>
        <v>25</v>
      </c>
      <c r="P4" s="339" t="s">
        <v>396</v>
      </c>
      <c r="Q4" s="340">
        <v>54.03</v>
      </c>
      <c r="R4" s="406"/>
    </row>
    <row r="5" spans="1:18" ht="10.5" customHeight="1" x14ac:dyDescent="0.25">
      <c r="A5" s="331" t="str">
        <f t="shared" ref="A5:A7" si="1">$B$9&amp;$B$3&amp;B5</f>
        <v>Concho ResourcesMarket PricesGas</v>
      </c>
      <c r="B5" s="82" t="s">
        <v>26</v>
      </c>
      <c r="C5" s="82"/>
      <c r="D5" s="108"/>
      <c r="E5" s="337">
        <f>INDEX('Quarterly Forecasts'!$B$4:$O$500,MATCH($B2&amp;$B5,'Quarterly Forecasts'!$B$4:$B$500,0),MATCH(E$2,'Quarterly Forecasts'!$B$4:$O$4,0))</f>
        <v>15.15714</v>
      </c>
      <c r="F5" s="338">
        <f>INDEX('Quarterly Forecasts'!$B$4:$O$500,MATCH($B$2&amp;$B5,'Quarterly Forecasts'!$B$4:$B$500,0),MATCH(F$2,'Quarterly Forecasts'!$B$4:$O$4,0))</f>
        <v>11.20355</v>
      </c>
      <c r="G5" s="338">
        <f>INDEX('Quarterly Forecasts'!$B$4:$O$500,MATCH($B$2&amp;$B5,'Quarterly Forecasts'!$B$4:$B$500,0),MATCH(G$2,'Quarterly Forecasts'!$B$4:$O$4,0))</f>
        <v>12.325800000000001</v>
      </c>
      <c r="H5" s="338">
        <f>INDEX('Quarterly Forecasts'!$B$4:$O$500,MATCH($B$2&amp;$B5,'Quarterly Forecasts'!$B$4:$B$500,0),MATCH(H$2,'Quarterly Forecasts'!$B$4:$O$4,0))</f>
        <v>12.545400000000001</v>
      </c>
      <c r="I5" s="338">
        <f>INDEX('Quarterly Forecasts'!$B$4:$O$500,MATCH($B$2&amp;$B5,'Quarterly Forecasts'!$B$4:$B$500,0),MATCH(I$2,'Quarterly Forecasts'!$B$4:$O$4,0))</f>
        <v>12.765000000000001</v>
      </c>
      <c r="J5" s="338">
        <f>INDEX('Quarterly Forecasts'!$B$4:$O$500,MATCH($B$2&amp;$B5,'Quarterly Forecasts'!$B$4:$B$500,0),MATCH(J$2,'Quarterly Forecasts'!$B$4:$O$4,0))</f>
        <v>12.9846</v>
      </c>
      <c r="K5" s="338">
        <f>INDEX('Quarterly Forecasts'!$B$4:$O$500,MATCH($B$2&amp;$B5,'Quarterly Forecasts'!$B$4:$B$500,0),MATCH(K$2,'Quarterly Forecasts'!$B$4:$O$4,0))</f>
        <v>13.2042</v>
      </c>
      <c r="L5" s="338">
        <f>INDEX('Quarterly Forecasts'!$B$4:$O$500,MATCH($B$2&amp;$B5,'Quarterly Forecasts'!$B$4:$B$500,0),MATCH(L$2,'Quarterly Forecasts'!$B$4:$O$4,0))</f>
        <v>13.423800000000002</v>
      </c>
      <c r="M5" s="338">
        <f>INDEX('Quarterly Forecasts'!$B$4:$O$500,MATCH($B$2&amp;$B5,'Quarterly Forecasts'!$B$4:$B$500,0),MATCH(M$2,'Quarterly Forecasts'!$B$4:$O$4,0))</f>
        <v>13.423800000000002</v>
      </c>
      <c r="P5" s="339" t="s">
        <v>26</v>
      </c>
      <c r="Q5" s="340">
        <f>1.74*6</f>
        <v>10.44</v>
      </c>
      <c r="R5" s="406"/>
    </row>
    <row r="6" spans="1:18" ht="10.5" customHeight="1" x14ac:dyDescent="0.25">
      <c r="A6" s="331" t="str">
        <f t="shared" si="1"/>
        <v>Concho ResourcesMarket PricesNGL</v>
      </c>
      <c r="B6" s="82" t="s">
        <v>25</v>
      </c>
      <c r="C6" s="82"/>
      <c r="D6" s="108"/>
      <c r="E6" s="337">
        <f>INDEX('Quarterly Forecasts'!$B$4:$O$500,MATCH($B2&amp;$B6,'Quarterly Forecasts'!$B$4:$B$500,0),MATCH(E$2,'Quarterly Forecasts'!$B$4:$O$4,0))</f>
        <v>20.616230000000002</v>
      </c>
      <c r="F6" s="338">
        <f>INDEX('Quarterly Forecasts'!$B$4:$O$500,MATCH($B$2&amp;$B6,'Quarterly Forecasts'!$B$4:$B$500,0),MATCH(F$2,'Quarterly Forecasts'!$B$4:$O$4,0))</f>
        <v>17.26445</v>
      </c>
      <c r="G6" s="338">
        <f>INDEX('Quarterly Forecasts'!$B$4:$O$500,MATCH($B$2&amp;$B6,'Quarterly Forecasts'!$B$4:$B$500,0),MATCH(G$2,'Quarterly Forecasts'!$B$4:$O$4,0))</f>
        <v>6.2672575000000004</v>
      </c>
      <c r="H6" s="338">
        <f>INDEX('Quarterly Forecasts'!$B$4:$O$500,MATCH($B$2&amp;$B6,'Quarterly Forecasts'!$B$4:$B$500,0),MATCH(H$2,'Quarterly Forecasts'!$B$4:$O$4,0))</f>
        <v>7.1405915000000002</v>
      </c>
      <c r="I6" s="338">
        <f>INDEX('Quarterly Forecasts'!$B$4:$O$500,MATCH($B$2&amp;$B6,'Quarterly Forecasts'!$B$4:$B$500,0),MATCH(I$2,'Quarterly Forecasts'!$B$4:$O$4,0))</f>
        <v>8.0139254999999991</v>
      </c>
      <c r="J6" s="338">
        <f>INDEX('Quarterly Forecasts'!$B$4:$O$500,MATCH($B$2&amp;$B6,'Quarterly Forecasts'!$B$4:$B$500,0),MATCH(J$2,'Quarterly Forecasts'!$B$4:$O$4,0))</f>
        <v>8.8872595000000008</v>
      </c>
      <c r="K6" s="338">
        <f>INDEX('Quarterly Forecasts'!$B$4:$O$500,MATCH($B$2&amp;$B6,'Quarterly Forecasts'!$B$4:$B$500,0),MATCH(K$2,'Quarterly Forecasts'!$B$4:$O$4,0))</f>
        <v>9.7605935000000006</v>
      </c>
      <c r="L6" s="338">
        <f>INDEX('Quarterly Forecasts'!$B$4:$O$500,MATCH($B$2&amp;$B6,'Quarterly Forecasts'!$B$4:$B$500,0),MATCH(L$2,'Quarterly Forecasts'!$B$4:$O$4,0))</f>
        <v>10.6339275</v>
      </c>
      <c r="M6" s="338">
        <f>INDEX('Quarterly Forecasts'!$B$4:$O$500,MATCH($B$2&amp;$B6,'Quarterly Forecasts'!$B$4:$B$500,0),MATCH(M$2,'Quarterly Forecasts'!$B$4:$O$4,0))</f>
        <v>10.6339275</v>
      </c>
      <c r="P6" s="339" t="s">
        <v>25</v>
      </c>
      <c r="Q6" s="340" t="s">
        <v>899</v>
      </c>
      <c r="R6" s="406"/>
    </row>
    <row r="7" spans="1:18" ht="10.5" customHeight="1" x14ac:dyDescent="0.25">
      <c r="A7" s="331" t="str">
        <f t="shared" si="1"/>
        <v>Concho ResourcesMarket PricesCondensate</v>
      </c>
      <c r="B7" s="341" t="s">
        <v>24</v>
      </c>
      <c r="C7" s="341"/>
      <c r="D7" s="114"/>
      <c r="E7" s="337">
        <f>INDEX('Quarterly Forecasts'!$B$4:$O$500,MATCH($B2&amp;$B7,'Quarterly Forecasts'!$B$4:$B$500,0),MATCH(E$2,'Quarterly Forecasts'!$B$4:$O$4,0))</f>
        <v>38.614997999999993</v>
      </c>
      <c r="F7" s="338">
        <f>INDEX('Quarterly Forecasts'!$B$4:$O$500,MATCH($B$2&amp;$B7,'Quarterly Forecasts'!$B$4:$B$500,0),MATCH(F$2,'Quarterly Forecasts'!$B$4:$O$4,0))</f>
        <v>30.491153999999998</v>
      </c>
      <c r="G7" s="338">
        <f>INDEX('Quarterly Forecasts'!$B$4:$O$500,MATCH($B$2&amp;$B7,'Quarterly Forecasts'!$B$4:$B$500,0),MATCH(G$2,'Quarterly Forecasts'!$B$4:$O$4,0))</f>
        <v>9</v>
      </c>
      <c r="H7" s="338">
        <f>INDEX('Quarterly Forecasts'!$B$4:$O$500,MATCH($B$2&amp;$B7,'Quarterly Forecasts'!$B$4:$B$500,0),MATCH(H$2,'Quarterly Forecasts'!$B$4:$O$4,0))</f>
        <v>10.199999999999999</v>
      </c>
      <c r="I7" s="338">
        <f>INDEX('Quarterly Forecasts'!$B$4:$O$500,MATCH($B$2&amp;$B7,'Quarterly Forecasts'!$B$4:$B$500,0),MATCH(I$2,'Quarterly Forecasts'!$B$4:$O$4,0))</f>
        <v>11.4</v>
      </c>
      <c r="J7" s="338">
        <f>INDEX('Quarterly Forecasts'!$B$4:$O$500,MATCH($B$2&amp;$B7,'Quarterly Forecasts'!$B$4:$B$500,0),MATCH(J$2,'Quarterly Forecasts'!$B$4:$O$4,0))</f>
        <v>12.6</v>
      </c>
      <c r="K7" s="338">
        <f>INDEX('Quarterly Forecasts'!$B$4:$O$500,MATCH($B$2&amp;$B7,'Quarterly Forecasts'!$B$4:$B$500,0),MATCH(K$2,'Quarterly Forecasts'!$B$4:$O$4,0))</f>
        <v>13.799999999999999</v>
      </c>
      <c r="L7" s="338">
        <f>INDEX('Quarterly Forecasts'!$B$4:$O$500,MATCH($B$2&amp;$B7,'Quarterly Forecasts'!$B$4:$B$500,0),MATCH(L$2,'Quarterly Forecasts'!$B$4:$O$4,0))</f>
        <v>15</v>
      </c>
      <c r="M7" s="338">
        <f>INDEX('Quarterly Forecasts'!$B$4:$O$500,MATCH($B$2&amp;$B7,'Quarterly Forecasts'!$B$4:$B$500,0),MATCH(M$2,'Quarterly Forecasts'!$B$4:$O$4,0))</f>
        <v>15</v>
      </c>
      <c r="P7" s="339" t="s">
        <v>24</v>
      </c>
      <c r="Q7" s="340">
        <f>0.6*Q4</f>
        <v>32.417999999999999</v>
      </c>
      <c r="R7" s="406"/>
    </row>
    <row r="8" spans="1:18" ht="10.5" customHeight="1" x14ac:dyDescent="0.25">
      <c r="E8" s="342"/>
      <c r="P8" s="339"/>
      <c r="Q8" s="340"/>
      <c r="R8" s="406"/>
    </row>
    <row r="9" spans="1:18" ht="10.5" customHeight="1" x14ac:dyDescent="0.25">
      <c r="B9" s="343" t="s">
        <v>270</v>
      </c>
      <c r="C9" s="343"/>
      <c r="D9" s="115"/>
      <c r="E9" s="344"/>
      <c r="F9" s="344"/>
      <c r="G9" s="344"/>
      <c r="H9" s="344"/>
      <c r="I9" s="344"/>
      <c r="J9" s="344"/>
      <c r="K9" s="344"/>
      <c r="L9" s="344"/>
      <c r="M9" s="344"/>
      <c r="P9" s="335" t="s">
        <v>472</v>
      </c>
      <c r="Q9" s="345"/>
      <c r="R9" s="406"/>
    </row>
    <row r="10" spans="1:18" ht="10.5" customHeight="1" x14ac:dyDescent="0.35">
      <c r="B10" s="332" t="s">
        <v>523</v>
      </c>
      <c r="C10" s="332"/>
      <c r="D10" s="111"/>
      <c r="E10" s="333"/>
      <c r="F10" s="334"/>
      <c r="G10" s="334"/>
      <c r="H10" s="334"/>
      <c r="I10" s="334"/>
      <c r="J10" s="334"/>
      <c r="K10" s="334"/>
      <c r="L10" s="334"/>
      <c r="M10" s="334"/>
      <c r="P10" s="339" t="s">
        <v>461</v>
      </c>
      <c r="Q10" s="330">
        <f>(4126+466)/4</f>
        <v>1148</v>
      </c>
      <c r="R10" s="328"/>
    </row>
    <row r="11" spans="1:18" ht="10.5" customHeight="1" x14ac:dyDescent="0.35">
      <c r="A11" s="331" t="str">
        <f>B9&amp;B10&amp;B11</f>
        <v>Concho ResourcesRealized pricesOil</v>
      </c>
      <c r="B11" s="82" t="s">
        <v>396</v>
      </c>
      <c r="C11" s="132" t="s">
        <v>542</v>
      </c>
      <c r="D11" s="108"/>
      <c r="E11" s="337">
        <f>IF(VLOOKUP($B11, P:Q, 2,0) = "-", 0, VLOOKUP($B11, P:Q, 2,0))</f>
        <v>54.03</v>
      </c>
      <c r="F11" s="338">
        <f>F4*($E11/$E4)</f>
        <v>42.663139607569065</v>
      </c>
      <c r="G11" s="338">
        <f>G4*($E11/$E4)</f>
        <v>12.592775480656506</v>
      </c>
      <c r="H11" s="338">
        <f t="shared" ref="G11:M14" si="2">H4*($E11/$E4)</f>
        <v>14.271812211410708</v>
      </c>
      <c r="I11" s="338">
        <f t="shared" si="2"/>
        <v>15.950848942164908</v>
      </c>
      <c r="J11" s="338">
        <f t="shared" si="2"/>
        <v>17.629885672919109</v>
      </c>
      <c r="K11" s="338">
        <f t="shared" si="2"/>
        <v>19.308922403673311</v>
      </c>
      <c r="L11" s="338">
        <f t="shared" si="2"/>
        <v>20.987959134427513</v>
      </c>
      <c r="M11" s="338">
        <f t="shared" si="2"/>
        <v>20.987959134427513</v>
      </c>
      <c r="P11" s="339" t="s">
        <v>462</v>
      </c>
      <c r="Q11" s="330" t="s">
        <v>899</v>
      </c>
      <c r="R11" s="328"/>
    </row>
    <row r="12" spans="1:18" ht="10.5" customHeight="1" x14ac:dyDescent="0.25">
      <c r="A12" s="331" t="str">
        <f>B9&amp;B10&amp;B12</f>
        <v>Concho ResourcesRealized pricesGas</v>
      </c>
      <c r="B12" s="82" t="s">
        <v>26</v>
      </c>
      <c r="C12" s="132" t="s">
        <v>542</v>
      </c>
      <c r="D12" s="108"/>
      <c r="E12" s="337">
        <f>IF(VLOOKUP($B12, P:Q, 2,0) = "-", 0, VLOOKUP($B12, P:Q, 2,0))</f>
        <v>10.44</v>
      </c>
      <c r="F12" s="338">
        <f>F5*($E12/$E5)</f>
        <v>7.7168292962920439</v>
      </c>
      <c r="G12" s="338">
        <f t="shared" si="2"/>
        <v>8.4898174721616346</v>
      </c>
      <c r="H12" s="338">
        <f t="shared" si="2"/>
        <v>8.6410745035013203</v>
      </c>
      <c r="I12" s="338">
        <f t="shared" si="2"/>
        <v>8.7923315348410043</v>
      </c>
      <c r="J12" s="338">
        <f t="shared" si="2"/>
        <v>8.94358856618069</v>
      </c>
      <c r="K12" s="338">
        <f t="shared" si="2"/>
        <v>9.0948455975203757</v>
      </c>
      <c r="L12" s="338">
        <f t="shared" si="2"/>
        <v>9.2461026288600614</v>
      </c>
      <c r="M12" s="338">
        <f t="shared" si="2"/>
        <v>9.2461026288600614</v>
      </c>
      <c r="P12" s="346" t="s">
        <v>395</v>
      </c>
      <c r="Q12" s="347">
        <f t="shared" ref="Q12" si="3">SUM(Q10:Q11)</f>
        <v>1148</v>
      </c>
      <c r="R12" s="407"/>
    </row>
    <row r="13" spans="1:18" ht="10.5" customHeight="1" x14ac:dyDescent="0.25">
      <c r="A13" s="331" t="str">
        <f>B9&amp;B10&amp;B13</f>
        <v>Concho ResourcesRealized pricesNGL</v>
      </c>
      <c r="B13" s="82" t="s">
        <v>25</v>
      </c>
      <c r="C13" s="132" t="s">
        <v>542</v>
      </c>
      <c r="D13" s="108"/>
      <c r="E13" s="337">
        <f>IF(VLOOKUP($B13, P:Q, 2,0) = "-", 0, VLOOKUP($B13, P:Q, 2,0))</f>
        <v>0</v>
      </c>
      <c r="F13" s="338">
        <f>0</f>
        <v>0</v>
      </c>
      <c r="G13" s="338">
        <f>0</f>
        <v>0</v>
      </c>
      <c r="H13" s="338">
        <f>0</f>
        <v>0</v>
      </c>
      <c r="I13" s="338">
        <f>0</f>
        <v>0</v>
      </c>
      <c r="J13" s="338">
        <f>0</f>
        <v>0</v>
      </c>
      <c r="K13" s="338">
        <f>0</f>
        <v>0</v>
      </c>
      <c r="L13" s="338">
        <f>0</f>
        <v>0</v>
      </c>
      <c r="M13" s="338">
        <f>0</f>
        <v>0</v>
      </c>
      <c r="P13" s="339"/>
      <c r="Q13" s="340"/>
      <c r="R13" s="406"/>
    </row>
    <row r="14" spans="1:18" ht="10.5" customHeight="1" x14ac:dyDescent="0.25">
      <c r="A14" s="331" t="str">
        <f>B9&amp;B10&amp;B14</f>
        <v>Concho ResourcesRealized pricesCondensate</v>
      </c>
      <c r="B14" s="82" t="s">
        <v>24</v>
      </c>
      <c r="C14" s="132" t="s">
        <v>543</v>
      </c>
      <c r="D14" s="108"/>
      <c r="E14" s="337">
        <f>IF(VLOOKUP($B14, P:Q, 2,0) = "-", 0, VLOOKUP($B14, P:Q, 2,0))</f>
        <v>32.417999999999999</v>
      </c>
      <c r="F14" s="338">
        <f>F7*($E14/$E7)</f>
        <v>25.597883764541436</v>
      </c>
      <c r="G14" s="338">
        <f t="shared" si="2"/>
        <v>7.5556652883939037</v>
      </c>
      <c r="H14" s="338">
        <f t="shared" si="2"/>
        <v>8.5630873268464232</v>
      </c>
      <c r="I14" s="338">
        <f t="shared" si="2"/>
        <v>9.5705093652989461</v>
      </c>
      <c r="J14" s="338">
        <f t="shared" si="2"/>
        <v>10.577931403751466</v>
      </c>
      <c r="K14" s="338">
        <f t="shared" si="2"/>
        <v>11.585353442203985</v>
      </c>
      <c r="L14" s="338">
        <f t="shared" si="2"/>
        <v>12.592775480656506</v>
      </c>
      <c r="M14" s="338">
        <f t="shared" si="2"/>
        <v>12.592775480656506</v>
      </c>
      <c r="P14" s="335" t="s">
        <v>473</v>
      </c>
      <c r="Q14" s="340"/>
      <c r="R14" s="406"/>
    </row>
    <row r="15" spans="1:18" ht="10.5" customHeight="1" x14ac:dyDescent="0.25">
      <c r="A15" s="331" t="str">
        <f>B9&amp;B10&amp;B15</f>
        <v>Concho ResourcesRealized pricesAverage realized price</v>
      </c>
      <c r="B15" s="348" t="s">
        <v>527</v>
      </c>
      <c r="C15" s="349" t="s">
        <v>541</v>
      </c>
      <c r="D15" s="114"/>
      <c r="E15" s="337">
        <f>E29/E24</f>
        <v>39.993107907762877</v>
      </c>
      <c r="F15" s="350">
        <f>F29/F24</f>
        <v>30.273494467282145</v>
      </c>
      <c r="G15" s="350">
        <f t="shared" ref="G15:M15" si="4">G29/G24</f>
        <v>11.079228464113337</v>
      </c>
      <c r="H15" s="350">
        <f t="shared" si="4"/>
        <v>12.218061439806755</v>
      </c>
      <c r="I15" s="350">
        <f t="shared" si="4"/>
        <v>13.356894415500172</v>
      </c>
      <c r="J15" s="350">
        <f t="shared" si="4"/>
        <v>14.51813539821959</v>
      </c>
      <c r="K15" s="350">
        <f t="shared" si="4"/>
        <v>15.661295244453687</v>
      </c>
      <c r="L15" s="350">
        <f t="shared" si="4"/>
        <v>16.804455090687789</v>
      </c>
      <c r="M15" s="350">
        <f t="shared" si="4"/>
        <v>16.804455090687789</v>
      </c>
      <c r="P15" s="339" t="s">
        <v>463</v>
      </c>
      <c r="Q15" s="340">
        <f>((890+282)/4)</f>
        <v>293</v>
      </c>
      <c r="R15" s="406"/>
    </row>
    <row r="16" spans="1:18" ht="10.5" customHeight="1" x14ac:dyDescent="0.25">
      <c r="B16" s="343"/>
      <c r="C16" s="343"/>
      <c r="D16" s="115"/>
      <c r="E16" s="351"/>
      <c r="F16" s="351"/>
      <c r="G16" s="351"/>
      <c r="H16" s="351"/>
      <c r="I16" s="351"/>
      <c r="J16" s="351"/>
      <c r="K16" s="351"/>
      <c r="L16" s="351"/>
      <c r="M16" s="351"/>
      <c r="P16" s="339" t="s">
        <v>464</v>
      </c>
      <c r="Q16" s="340">
        <f>1964/4</f>
        <v>491</v>
      </c>
      <c r="R16" s="406"/>
    </row>
    <row r="17" spans="1:18" ht="10.5" customHeight="1" x14ac:dyDescent="0.25">
      <c r="A17" s="331" t="str">
        <f>B9&amp;B17</f>
        <v>Concho ResourcesNetback price, BOE</v>
      </c>
      <c r="B17" s="352" t="s">
        <v>503</v>
      </c>
      <c r="C17" s="353" t="s">
        <v>535</v>
      </c>
      <c r="D17" s="122"/>
      <c r="E17" s="337">
        <f>E15-(E43/E24)-(E36/E24)-(E37/E24)-(E38/E24)</f>
        <v>36.152306386133212</v>
      </c>
      <c r="F17" s="337">
        <f>F15-(F43/F24)-(F36/F24)-(F37/F24)-(F38/F24)</f>
        <v>26.536272051855587</v>
      </c>
      <c r="G17" s="337">
        <f t="shared" ref="G17:M17" si="5">G15-(G43/G24)-(G36/G24)-(G37/G24)-(G38/G24)</f>
        <v>7.6160185140410306</v>
      </c>
      <c r="H17" s="337">
        <f t="shared" si="5"/>
        <v>8.7395514756716821</v>
      </c>
      <c r="I17" s="337">
        <f t="shared" si="5"/>
        <v>9.8630844373023319</v>
      </c>
      <c r="J17" s="337">
        <f t="shared" si="5"/>
        <v>11.009025405958981</v>
      </c>
      <c r="K17" s="337">
        <f t="shared" si="5"/>
        <v>12.13688523813031</v>
      </c>
      <c r="L17" s="337">
        <f t="shared" si="5"/>
        <v>13.264745070301645</v>
      </c>
      <c r="M17" s="337">
        <f t="shared" si="5"/>
        <v>13.264745070301645</v>
      </c>
      <c r="P17" s="339" t="s">
        <v>465</v>
      </c>
      <c r="Q17" s="340">
        <v>2.5</v>
      </c>
      <c r="R17" s="406"/>
    </row>
    <row r="18" spans="1:18" ht="10.5" customHeight="1" x14ac:dyDescent="0.25">
      <c r="B18" s="343"/>
      <c r="C18" s="343"/>
      <c r="D18" s="115"/>
      <c r="E18" s="351"/>
      <c r="F18" s="351"/>
      <c r="G18" s="351"/>
      <c r="H18" s="351"/>
      <c r="I18" s="351"/>
      <c r="J18" s="351"/>
      <c r="K18" s="351"/>
      <c r="L18" s="351"/>
      <c r="M18" s="351"/>
      <c r="P18" s="339" t="s">
        <v>505</v>
      </c>
      <c r="Q18" s="340">
        <v>0</v>
      </c>
      <c r="R18" s="406"/>
    </row>
    <row r="19" spans="1:18" ht="10.5" customHeight="1" x14ac:dyDescent="0.25">
      <c r="B19" s="332" t="s">
        <v>532</v>
      </c>
      <c r="C19" s="332"/>
      <c r="D19" s="111"/>
      <c r="E19" s="333"/>
      <c r="F19" s="334"/>
      <c r="G19" s="334"/>
      <c r="H19" s="334"/>
      <c r="I19" s="334"/>
      <c r="J19" s="334"/>
      <c r="K19" s="334"/>
      <c r="L19" s="334"/>
      <c r="M19" s="334"/>
      <c r="P19" s="339" t="s">
        <v>467</v>
      </c>
      <c r="Q19" s="340">
        <f>349/4</f>
        <v>87.25</v>
      </c>
      <c r="R19" s="406"/>
    </row>
    <row r="20" spans="1:18" ht="10.5" customHeight="1" x14ac:dyDescent="0.25">
      <c r="A20" s="331" t="str">
        <f>B9&amp;B19&amp;B20</f>
        <v>Concho ResourcesProduction, BOE/QOil</v>
      </c>
      <c r="B20" s="82" t="s">
        <v>396</v>
      </c>
      <c r="C20" s="132" t="s">
        <v>564</v>
      </c>
      <c r="D20" s="108"/>
      <c r="E20" s="354">
        <f>IF($B$2="A3",SUMIFS('$33'!$H$9:$H$2139,'$33'!$A$9:$A$2139,$B$9,'$33'!$G$9:$G$2139,$B20)*365/4, SUMIFS('$22'!$H$9:$H$2140,'$22'!$A$9:$A$2140,Concho_A1!$B$9,'$22'!$G$9:$G$2140, $B20)*365/4)</f>
        <v>18250.001095</v>
      </c>
      <c r="F20" s="355">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17750.759022499999</v>
      </c>
      <c r="G20" s="355">
        <f>F20*(1-INDEX(Assumptions!$A$2:$K$596,MATCH($B9&amp;"Oil production reduction",Assumptions!$A$2:$A$596,0),MATCH(G$2,Assumptions!$A$2:$K$2,0)))</f>
        <v>17750.759022499999</v>
      </c>
      <c r="H20" s="355">
        <f>G20*(1-INDEX(Assumptions!$A$2:$K$596,MATCH($B9&amp;"Oil production reduction",Assumptions!$A$2:$A$596,0),MATCH(H$2,Assumptions!$A$2:$K$2,0)))</f>
        <v>17750.759022499999</v>
      </c>
      <c r="I20" s="355">
        <f>H20*(1-INDEX(Assumptions!$A$2:$K$596,MATCH($B9&amp;"Oil production reduction",Assumptions!$A$2:$A$596,0),MATCH(I$2,Assumptions!$A$2:$K$2,0)))</f>
        <v>17750.759022499999</v>
      </c>
      <c r="J20" s="355">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16700.907241250006</v>
      </c>
      <c r="K20" s="355">
        <f>J20*(1-INDEX(Assumptions!$A$2:$K$596,MATCH($B9&amp;"Oil production reduction",Assumptions!$A$2:$A$596,0),MATCH(K$2,Assumptions!$A$2:$K$2,0)))</f>
        <v>16700.907241250006</v>
      </c>
      <c r="L20" s="355">
        <f>K20*(1-INDEX(Assumptions!$A$2:$K$596,MATCH($B9&amp;"Oil production reduction",Assumptions!$A$2:$A$596,0),MATCH(L$2,Assumptions!$A$2:$K$2,0)))</f>
        <v>16700.907241250006</v>
      </c>
      <c r="M20" s="355">
        <f>L20*(1-INDEX(Assumptions!$A$2:$K$596,MATCH($B9&amp;"Oil production reduction",Assumptions!$A$2:$A$596,0),MATCH(M$2,Assumptions!$A$2:$K$2,0)))</f>
        <v>16700.907241250006</v>
      </c>
      <c r="P20" s="339" t="s">
        <v>468</v>
      </c>
      <c r="Q20" s="340" t="s">
        <v>899</v>
      </c>
      <c r="R20" s="406"/>
    </row>
    <row r="21" spans="1:18" ht="10.5" customHeight="1" x14ac:dyDescent="0.25">
      <c r="A21" s="331" t="str">
        <f>B9&amp;B19&amp;B21</f>
        <v>Concho ResourcesProduction, BOE/QGas</v>
      </c>
      <c r="B21" s="82" t="s">
        <v>26</v>
      </c>
      <c r="C21" s="132" t="s">
        <v>564</v>
      </c>
      <c r="D21" s="108"/>
      <c r="E21" s="354">
        <f>IF($B$2="A3",SUMIFS('$33'!$H$9:$H$2139,'$33'!$A$9:$A$2139,$B$9,'$33'!$G$9:$G$2139,$B21)*365/4, SUMIFS('$22'!$H$9:$H$2140,'$22'!$A$9:$A$2140,Concho_A1!$B$9,'$22'!$G$9:$G$2140, $B21)*365/4)</f>
        <v>10250.188328750002</v>
      </c>
      <c r="F21" s="355">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9463.9726712499996</v>
      </c>
      <c r="G21" s="355">
        <f>F21*(1-INDEX(Assumptions!$A$2:$K$596,MATCH($B9&amp;"Gas production reduction",Assumptions!$A$2:$A$596,0),MATCH(G$2,Assumptions!$A$2:$K$2,0)))</f>
        <v>9463.9726712499996</v>
      </c>
      <c r="H21" s="355">
        <f>G21*(1-INDEX(Assumptions!$A$2:$K$596,MATCH($B9&amp;"Gas production reduction",Assumptions!$A$2:$A$596,0),MATCH(H$2,Assumptions!$A$2:$K$2,0)))</f>
        <v>9463.9726712499996</v>
      </c>
      <c r="I21" s="355">
        <f>H21*(1-INDEX(Assumptions!$A$2:$K$596,MATCH($B9&amp;"Gas production reduction",Assumptions!$A$2:$A$596,0),MATCH(I$2,Assumptions!$A$2:$K$2,0)))</f>
        <v>9463.9726712499996</v>
      </c>
      <c r="J21" s="355">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8784.650275</v>
      </c>
      <c r="K21" s="355">
        <f>J21*(1-INDEX(Assumptions!$A$2:$K$596,MATCH($B9&amp;"Gas production reduction",Assumptions!$A$2:$A$596,0),MATCH(K$2,Assumptions!$A$2:$K$2,0)))</f>
        <v>8784.650275</v>
      </c>
      <c r="L21" s="355">
        <f>K21*(1-INDEX(Assumptions!$A$2:$K$596,MATCH($B9&amp;"Gas production reduction",Assumptions!$A$2:$A$596,0),MATCH(L$2,Assumptions!$A$2:$K$2,0)))</f>
        <v>8784.650275</v>
      </c>
      <c r="M21" s="355">
        <f>L21*(1-INDEX(Assumptions!$A$2:$K$596,MATCH($B9&amp;"Gas production reduction",Assumptions!$A$2:$A$596,0),MATCH(M$2,Assumptions!$A$2:$K$2,0)))</f>
        <v>8784.650275</v>
      </c>
      <c r="P21" s="339" t="s">
        <v>469</v>
      </c>
      <c r="Q21" s="340">
        <v>28.75</v>
      </c>
      <c r="R21" s="406"/>
    </row>
    <row r="22" spans="1:18" ht="10.5" customHeight="1" x14ac:dyDescent="0.25">
      <c r="A22" s="331" t="str">
        <f>B9&amp;B19&amp;B22</f>
        <v>Concho ResourcesProduction, BOE/QNGL</v>
      </c>
      <c r="B22" s="82" t="s">
        <v>25</v>
      </c>
      <c r="C22" s="132" t="s">
        <v>564</v>
      </c>
      <c r="D22" s="108"/>
      <c r="E22" s="354">
        <f>IF($B$2="A3",SUMIFS('$33'!$H$9:$H$2139,'$33'!$A$9:$A$2139,$B$9,'$33'!$G$9:$G$2139,$B22)*365/4, SUMIFS('$22'!$H$9:$H$2140,'$22'!$A$9:$A$2140,Concho_A1!$B$9,'$22'!$G$9:$G$2140, $B22)*365/4)</f>
        <v>204.75650462499999</v>
      </c>
      <c r="F22" s="355">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213.05576512500002</v>
      </c>
      <c r="G22" s="355">
        <f>F22*(1-INDEX(Assumptions!$A$2:$K$596,MATCH($B9&amp;"NGL production reduction",Assumptions!$A$2:$A$596,0),MATCH(G$2,Assumptions!$A$2:$K$2,0)))</f>
        <v>213.05576512500002</v>
      </c>
      <c r="H22" s="355">
        <f>G22*(1-INDEX(Assumptions!$A$2:$K$596,MATCH($B9&amp;"NGL production reduction",Assumptions!$A$2:$A$596,0),MATCH(H$2,Assumptions!$A$2:$K$2,0)))</f>
        <v>213.05576512500002</v>
      </c>
      <c r="I22" s="355">
        <f>H22*(1-INDEX(Assumptions!$A$2:$K$596,MATCH($B9&amp;"NGL production reduction",Assumptions!$A$2:$A$596,0),MATCH(I$2,Assumptions!$A$2:$K$2,0)))</f>
        <v>213.05576512500002</v>
      </c>
      <c r="J22" s="355">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206.54224887500001</v>
      </c>
      <c r="K22" s="355">
        <f>J22*(1-INDEX(Assumptions!$A$2:$K$596,MATCH($B9&amp;"NGL production reduction",Assumptions!$A$2:$A$596,0),MATCH(K$2,Assumptions!$A$2:$K$2,0)))</f>
        <v>206.54224887500001</v>
      </c>
      <c r="L22" s="355">
        <f>K22*(1-INDEX(Assumptions!$A$2:$K$596,MATCH($B9&amp;"NGL production reduction",Assumptions!$A$2:$A$596,0),MATCH(L$2,Assumptions!$A$2:$K$2,0)))</f>
        <v>206.54224887500001</v>
      </c>
      <c r="M22" s="355">
        <f>L22*(1-INDEX(Assumptions!$A$2:$K$596,MATCH($B9&amp;"NGL production reduction",Assumptions!$A$2:$A$596,0),MATCH(M$2,Assumptions!$A$2:$K$2,0)))</f>
        <v>206.54224887500001</v>
      </c>
      <c r="P22" s="339" t="s">
        <v>470</v>
      </c>
      <c r="Q22" s="340">
        <f>326/4</f>
        <v>81.5</v>
      </c>
      <c r="R22" s="406"/>
    </row>
    <row r="23" spans="1:18" ht="10.5" customHeight="1" x14ac:dyDescent="0.25">
      <c r="A23" s="331" t="str">
        <f>B9&amp;B19&amp;B23</f>
        <v>Concho ResourcesProduction, BOE/QCondensate</v>
      </c>
      <c r="B23" s="82" t="s">
        <v>24</v>
      </c>
      <c r="C23" s="132" t="s">
        <v>564</v>
      </c>
      <c r="D23" s="108"/>
      <c r="E23" s="354">
        <f>IF($B$2="A3",SUMIFS('$33'!$H$9:$H$2139,'$33'!$A$9:$A$2139,$B$9,'$33'!$G$9:$G$2139,$B23)*365/4, SUMIFS('$22'!$H$9:$H$2140,'$22'!$A$9:$A$2140,Concho_A1!$B$9,'$22'!$G$9:$G$2140, $B23)*365/4)</f>
        <v>0</v>
      </c>
      <c r="F23" s="355">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0</v>
      </c>
      <c r="G23" s="355">
        <f>F23*(1-INDEX(Assumptions!$A$2:$K$596,MATCH($B9&amp;"Condensate production reduction",Assumptions!$A$2:$A$596,0),MATCH(G$2,Assumptions!$A$2:$K$2,0)))</f>
        <v>0</v>
      </c>
      <c r="H23" s="355">
        <f>G23*(1-INDEX(Assumptions!$A$2:$K$596,MATCH($B9&amp;"Condensate production reduction",Assumptions!$A$2:$A$596,0),MATCH(H$2,Assumptions!$A$2:$K$2,0)))</f>
        <v>0</v>
      </c>
      <c r="I23" s="355">
        <f>H23*(1-INDEX(Assumptions!$A$2:$K$596,MATCH($B9&amp;"Condensate production reduction",Assumptions!$A$2:$A$596,0),MATCH(I$2,Assumptions!$A$2:$K$2,0)))</f>
        <v>0</v>
      </c>
      <c r="J23" s="355">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0</v>
      </c>
      <c r="K23" s="355">
        <f>J23*(1-INDEX(Assumptions!$A$2:$K$596,MATCH($B9&amp;"Condensate production reduction",Assumptions!$A$2:$A$596,0),MATCH(K$2,Assumptions!$A$2:$K$2,0)))</f>
        <v>0</v>
      </c>
      <c r="L23" s="355">
        <f>K23*(1-INDEX(Assumptions!$A$2:$K$596,MATCH($B9&amp;"Condensate production reduction",Assumptions!$A$2:$A$596,0),MATCH(L$2,Assumptions!$A$2:$K$2,0)))</f>
        <v>0</v>
      </c>
      <c r="M23" s="355">
        <f>L23*(1-INDEX(Assumptions!$A$2:$K$596,MATCH($B9&amp;"Condensate production reduction",Assumptions!$A$2:$A$596,0),MATCH(M$2,Assumptions!$A$2:$K$2,0)))</f>
        <v>0</v>
      </c>
      <c r="P23" s="356" t="s">
        <v>561</v>
      </c>
      <c r="Q23" s="345">
        <v>50.25</v>
      </c>
      <c r="R23" s="406"/>
    </row>
    <row r="24" spans="1:18" ht="10.5" customHeight="1" x14ac:dyDescent="0.25">
      <c r="A24" s="331" t="str">
        <f>B9&amp;B19&amp;B24</f>
        <v>Concho ResourcesProduction, BOE/QTotal production</v>
      </c>
      <c r="B24" s="348" t="s">
        <v>397</v>
      </c>
      <c r="C24" s="357"/>
      <c r="D24" s="114"/>
      <c r="E24" s="358">
        <f>SUM(E20:E23)</f>
        <v>28704.945928375</v>
      </c>
      <c r="F24" s="359">
        <f>SUM(F20:F23)</f>
        <v>27427.787458874998</v>
      </c>
      <c r="G24" s="359">
        <f t="shared" ref="G24:M24" si="6">SUM(G20:G23)</f>
        <v>27427.787458874998</v>
      </c>
      <c r="H24" s="359">
        <f t="shared" si="6"/>
        <v>27427.787458874998</v>
      </c>
      <c r="I24" s="359">
        <f t="shared" si="6"/>
        <v>27427.787458874998</v>
      </c>
      <c r="J24" s="359">
        <f t="shared" si="6"/>
        <v>25692.099765125007</v>
      </c>
      <c r="K24" s="359">
        <f t="shared" si="6"/>
        <v>25692.099765125007</v>
      </c>
      <c r="L24" s="359">
        <f t="shared" si="6"/>
        <v>25692.099765125007</v>
      </c>
      <c r="M24" s="359">
        <f t="shared" si="6"/>
        <v>25692.099765125007</v>
      </c>
      <c r="P24" s="360" t="s">
        <v>910</v>
      </c>
      <c r="Q24" s="361">
        <v>0.25</v>
      </c>
      <c r="R24" s="406"/>
    </row>
    <row r="25" spans="1:18" ht="10.5" customHeight="1" x14ac:dyDescent="0.25">
      <c r="B25" s="343"/>
      <c r="C25" s="343"/>
      <c r="D25" s="115"/>
      <c r="E25" s="344"/>
      <c r="F25" s="344"/>
      <c r="G25" s="344"/>
      <c r="H25" s="344"/>
      <c r="I25" s="362"/>
      <c r="J25" s="362"/>
      <c r="K25" s="362"/>
      <c r="L25" s="362"/>
      <c r="M25" s="362"/>
      <c r="P25" s="360" t="s">
        <v>911</v>
      </c>
      <c r="Q25" s="361">
        <v>0</v>
      </c>
      <c r="R25" s="406"/>
    </row>
    <row r="26" spans="1:18" ht="10.5" customHeight="1" x14ac:dyDescent="0.25">
      <c r="A26" s="331" t="str">
        <f>B9&amp;B26</f>
        <v>Concho ResourcesRevenues</v>
      </c>
      <c r="B26" s="332" t="s">
        <v>472</v>
      </c>
      <c r="C26" s="332"/>
      <c r="D26" s="111"/>
      <c r="E26" s="353"/>
      <c r="F26" s="363">
        <f>F29/SUM($F$29:$I$29)</f>
        <v>0.45233145712050399</v>
      </c>
      <c r="G26" s="363">
        <f t="shared" ref="G26:I26" si="7">G29/SUM($F$29:$I$29)</f>
        <v>0.16554030656617699</v>
      </c>
      <c r="H26" s="363">
        <f t="shared" si="7"/>
        <v>0.182556180959832</v>
      </c>
      <c r="I26" s="363">
        <f t="shared" si="7"/>
        <v>0.19957205535348702</v>
      </c>
      <c r="J26" s="363">
        <f>J29/SUM($J$29:$M$29)</f>
        <v>0.22759857382504775</v>
      </c>
      <c r="K26" s="363">
        <f t="shared" ref="K26:M26" si="8">K29/SUM($J$29:$M$29)</f>
        <v>0.24551971476500956</v>
      </c>
      <c r="L26" s="363">
        <f t="shared" si="8"/>
        <v>0.26344085570497139</v>
      </c>
      <c r="M26" s="363">
        <f t="shared" si="8"/>
        <v>0.26344085570497139</v>
      </c>
      <c r="P26" s="360" t="s">
        <v>912</v>
      </c>
      <c r="Q26" s="361">
        <v>0</v>
      </c>
      <c r="R26" s="406"/>
    </row>
    <row r="27" spans="1:18" ht="10.5" customHeight="1" x14ac:dyDescent="0.25">
      <c r="A27" s="331" t="str">
        <f>B9&amp;B27</f>
        <v>Concho ResourcesSales Revenue</v>
      </c>
      <c r="B27" s="82" t="s">
        <v>461</v>
      </c>
      <c r="C27" s="82" t="s">
        <v>536</v>
      </c>
      <c r="D27" s="108"/>
      <c r="E27" s="364">
        <f>IF(VLOOKUP($B27, P:Q, 2,0) = "-", 0, VLOOKUP($B27, P:Q, 2,0))*1000</f>
        <v>1148000</v>
      </c>
      <c r="F27" s="365">
        <f>SUMPRODUCT(F11:F14,F20:F23)</f>
        <v>830334.97188604285</v>
      </c>
      <c r="G27" s="365">
        <f>SUMPRODUCT(G11:G14,G20:G23)</f>
        <v>303878.7235220187</v>
      </c>
      <c r="H27" s="365">
        <f t="shared" ref="H27:M27" si="9">SUMPRODUCT(H11:H14,H20:H23)</f>
        <v>335114.39233049593</v>
      </c>
      <c r="I27" s="365">
        <f t="shared" si="9"/>
        <v>366350.06113897311</v>
      </c>
      <c r="J27" s="365">
        <f t="shared" si="9"/>
        <v>373001.38305465056</v>
      </c>
      <c r="K27" s="365">
        <f t="shared" si="9"/>
        <v>402371.55987158197</v>
      </c>
      <c r="L27" s="365">
        <f t="shared" si="9"/>
        <v>431741.73668851343</v>
      </c>
      <c r="M27" s="365">
        <f t="shared" si="9"/>
        <v>431741.73668851343</v>
      </c>
      <c r="P27" s="360" t="s">
        <v>913</v>
      </c>
      <c r="Q27" s="361">
        <v>-42.5</v>
      </c>
      <c r="R27" s="406"/>
    </row>
    <row r="28" spans="1:18" ht="10.5" customHeight="1" x14ac:dyDescent="0.25">
      <c r="A28" s="331" t="str">
        <f>B9&amp;B28</f>
        <v>Concho ResourcesOther Revenue</v>
      </c>
      <c r="B28" s="82" t="s">
        <v>462</v>
      </c>
      <c r="C28" s="82" t="s">
        <v>533</v>
      </c>
      <c r="D28" s="204">
        <f>$E28/$E27</f>
        <v>0</v>
      </c>
      <c r="E28" s="364">
        <f>IF(VLOOKUP($B28, P:Q, 2,0) = "-", 0, VLOOKUP($B28, P:Q, 2,0))*1000</f>
        <v>0</v>
      </c>
      <c r="F28" s="365">
        <f>F27*$D28</f>
        <v>0</v>
      </c>
      <c r="G28" s="365">
        <f>G27*$D28</f>
        <v>0</v>
      </c>
      <c r="H28" s="365">
        <f t="shared" ref="H28:L28" si="10">H27*$D28</f>
        <v>0</v>
      </c>
      <c r="I28" s="365">
        <f t="shared" si="10"/>
        <v>0</v>
      </c>
      <c r="J28" s="365">
        <f t="shared" si="10"/>
        <v>0</v>
      </c>
      <c r="K28" s="365">
        <f t="shared" si="10"/>
        <v>0</v>
      </c>
      <c r="L28" s="365">
        <f t="shared" si="10"/>
        <v>0</v>
      </c>
      <c r="M28" s="365">
        <f>M27*$D28</f>
        <v>0</v>
      </c>
      <c r="P28" s="360" t="s">
        <v>914</v>
      </c>
      <c r="Q28" s="361">
        <v>179</v>
      </c>
      <c r="R28" s="406"/>
    </row>
    <row r="29" spans="1:18" ht="10.5" customHeight="1" x14ac:dyDescent="0.25">
      <c r="A29" s="331" t="str">
        <f>B9&amp;B29</f>
        <v>Concho ResourcesTotal Revenue</v>
      </c>
      <c r="B29" s="85" t="s">
        <v>395</v>
      </c>
      <c r="C29" s="85"/>
      <c r="D29" s="366">
        <f>SUMPRODUCT(E11:E14,E20:E23)</f>
        <v>1093059.525315</v>
      </c>
      <c r="E29" s="366">
        <f>SUM(E27:E28)</f>
        <v>1148000</v>
      </c>
      <c r="F29" s="367">
        <f t="shared" ref="F29:M29" si="11">SUM(F27:F28)</f>
        <v>830334.97188604285</v>
      </c>
      <c r="G29" s="367">
        <f t="shared" si="11"/>
        <v>303878.7235220187</v>
      </c>
      <c r="H29" s="367">
        <f t="shared" si="11"/>
        <v>335114.39233049593</v>
      </c>
      <c r="I29" s="367">
        <f t="shared" si="11"/>
        <v>366350.06113897311</v>
      </c>
      <c r="J29" s="367">
        <f t="shared" si="11"/>
        <v>373001.38305465056</v>
      </c>
      <c r="K29" s="367">
        <f t="shared" si="11"/>
        <v>402371.55987158197</v>
      </c>
      <c r="L29" s="367">
        <f t="shared" si="11"/>
        <v>431741.73668851343</v>
      </c>
      <c r="M29" s="367">
        <f t="shared" si="11"/>
        <v>431741.73668851343</v>
      </c>
      <c r="P29" s="360" t="s">
        <v>915</v>
      </c>
      <c r="Q29" s="361">
        <v>223.75</v>
      </c>
      <c r="R29" s="406"/>
    </row>
    <row r="30" spans="1:18" ht="10.5" customHeight="1" x14ac:dyDescent="0.25">
      <c r="A30" s="331" t="str">
        <f>B9&amp;B30</f>
        <v>Concho ResourcesCosts and Expenses</v>
      </c>
      <c r="B30" s="368" t="s">
        <v>473</v>
      </c>
      <c r="C30" s="368"/>
      <c r="D30" s="112"/>
      <c r="E30" s="364"/>
      <c r="F30" s="369"/>
      <c r="G30" s="365"/>
      <c r="H30" s="365"/>
      <c r="I30" s="365"/>
      <c r="J30" s="365"/>
      <c r="K30" s="365"/>
      <c r="L30" s="365"/>
      <c r="M30" s="365"/>
      <c r="P30" s="360" t="s">
        <v>916</v>
      </c>
      <c r="Q30" s="361">
        <v>0</v>
      </c>
      <c r="R30" s="406"/>
    </row>
    <row r="31" spans="1:18" ht="10.5" customHeight="1" x14ac:dyDescent="0.25">
      <c r="A31" s="331" t="str">
        <f>B9&amp;B31</f>
        <v>Concho ResourcesImpairment</v>
      </c>
      <c r="B31" s="82" t="s">
        <v>463</v>
      </c>
      <c r="C31" s="82" t="s">
        <v>537</v>
      </c>
      <c r="D31" s="108"/>
      <c r="E31" s="364">
        <f t="shared" ref="E31:E40" si="12">IF(VLOOKUP($B31, P:Q, 2,0) = "-", 0, VLOOKUP($B31, P:Q, 2,0))*1000</f>
        <v>293000</v>
      </c>
      <c r="F31" s="370">
        <f>E31</f>
        <v>293000</v>
      </c>
      <c r="G31" s="370">
        <f t="shared" ref="G31:M31" si="13">F31</f>
        <v>293000</v>
      </c>
      <c r="H31" s="370">
        <f t="shared" si="13"/>
        <v>293000</v>
      </c>
      <c r="I31" s="370">
        <f t="shared" si="13"/>
        <v>293000</v>
      </c>
      <c r="J31" s="370">
        <f t="shared" si="13"/>
        <v>293000</v>
      </c>
      <c r="K31" s="370">
        <f t="shared" si="13"/>
        <v>293000</v>
      </c>
      <c r="L31" s="370">
        <f t="shared" si="13"/>
        <v>293000</v>
      </c>
      <c r="M31" s="370">
        <f t="shared" si="13"/>
        <v>293000</v>
      </c>
      <c r="P31" s="339" t="s">
        <v>471</v>
      </c>
      <c r="Q31" s="340">
        <f t="shared" ref="Q31" si="14">SUM(Q24:Q30)</f>
        <v>360.5</v>
      </c>
      <c r="R31" s="406"/>
    </row>
    <row r="32" spans="1:18" ht="10.5" customHeight="1" x14ac:dyDescent="0.25">
      <c r="A32" s="331" t="str">
        <f>B9&amp;B32</f>
        <v>Concho ResourcesDD&amp;A</v>
      </c>
      <c r="B32" s="82" t="s">
        <v>464</v>
      </c>
      <c r="C32" s="106" t="s">
        <v>545</v>
      </c>
      <c r="D32" s="108">
        <f>E32/$E$24</f>
        <v>17.105066187030985</v>
      </c>
      <c r="E32" s="364">
        <f t="shared" si="12"/>
        <v>491000</v>
      </c>
      <c r="F32" s="371">
        <f>$D32*F24</f>
        <v>469154.11984787526</v>
      </c>
      <c r="G32" s="371">
        <f t="shared" ref="G32:M32" si="15">$D32*G24</f>
        <v>469154.11984787526</v>
      </c>
      <c r="H32" s="371">
        <f t="shared" si="15"/>
        <v>469154.11984787526</v>
      </c>
      <c r="I32" s="371">
        <f t="shared" si="15"/>
        <v>469154.11984787526</v>
      </c>
      <c r="J32" s="371">
        <f t="shared" si="15"/>
        <v>439465.06696626649</v>
      </c>
      <c r="K32" s="371">
        <f t="shared" si="15"/>
        <v>439465.06696626649</v>
      </c>
      <c r="L32" s="371">
        <f t="shared" si="15"/>
        <v>439465.06696626649</v>
      </c>
      <c r="M32" s="371">
        <f t="shared" si="15"/>
        <v>439465.06696626649</v>
      </c>
      <c r="P32" s="346" t="s">
        <v>474</v>
      </c>
      <c r="Q32" s="347">
        <f t="shared" ref="Q32" si="16">SUM(Q31,Q15:Q23)</f>
        <v>1394.75</v>
      </c>
      <c r="R32" s="407"/>
    </row>
    <row r="33" spans="1:18" ht="10.5" customHeight="1" x14ac:dyDescent="0.25">
      <c r="A33" s="331" t="str">
        <f>B9&amp;B33</f>
        <v>Concho ResourcesAsset retirement obligation</v>
      </c>
      <c r="B33" s="82" t="s">
        <v>465</v>
      </c>
      <c r="C33" s="106" t="s">
        <v>545</v>
      </c>
      <c r="D33" s="108">
        <f t="shared" ref="D33:D40" si="17">E33/$E$24</f>
        <v>8.7093005025616024E-2</v>
      </c>
      <c r="E33" s="364">
        <f t="shared" si="12"/>
        <v>2500</v>
      </c>
      <c r="F33" s="371">
        <f>$D33*F24</f>
        <v>2388.7684309973283</v>
      </c>
      <c r="G33" s="371">
        <f>$D33*G24</f>
        <v>2388.7684309973283</v>
      </c>
      <c r="H33" s="371">
        <f t="shared" ref="H33:M33" si="18">$D33*H24</f>
        <v>2388.7684309973283</v>
      </c>
      <c r="I33" s="371">
        <f t="shared" si="18"/>
        <v>2388.7684309973283</v>
      </c>
      <c r="J33" s="371">
        <f t="shared" si="18"/>
        <v>2237.6021739626603</v>
      </c>
      <c r="K33" s="371">
        <f t="shared" si="18"/>
        <v>2237.6021739626603</v>
      </c>
      <c r="L33" s="371">
        <f t="shared" si="18"/>
        <v>2237.6021739626603</v>
      </c>
      <c r="M33" s="371">
        <f t="shared" si="18"/>
        <v>2237.6021739626603</v>
      </c>
      <c r="P33" s="339"/>
      <c r="Q33" s="340"/>
      <c r="R33" s="406"/>
    </row>
    <row r="34" spans="1:18" ht="10.5" customHeight="1" x14ac:dyDescent="0.25">
      <c r="A34" s="331" t="str">
        <f>B9&amp;B34</f>
        <v>Concho ResourcesNon-cash compensation</v>
      </c>
      <c r="B34" s="82" t="s">
        <v>505</v>
      </c>
      <c r="C34" s="106" t="s">
        <v>878</v>
      </c>
      <c r="D34" s="108">
        <f t="shared" si="17"/>
        <v>0</v>
      </c>
      <c r="E34" s="364">
        <f t="shared" si="12"/>
        <v>0</v>
      </c>
      <c r="F34" s="370">
        <f>$E34*((F$4*0.0266+11.643)*F$24)/(($E$4*0.0266+11.643)*$E$24)</f>
        <v>0</v>
      </c>
      <c r="G34" s="370">
        <f t="shared" ref="G34:M34" si="19">$E34*((G$4*0.0266+11.643)*G$24)/(($E$4*0.0266+11.643)*$E$24)</f>
        <v>0</v>
      </c>
      <c r="H34" s="370">
        <f t="shared" si="19"/>
        <v>0</v>
      </c>
      <c r="I34" s="370">
        <f t="shared" si="19"/>
        <v>0</v>
      </c>
      <c r="J34" s="370">
        <f t="shared" si="19"/>
        <v>0</v>
      </c>
      <c r="K34" s="370">
        <f t="shared" si="19"/>
        <v>0</v>
      </c>
      <c r="L34" s="370">
        <f t="shared" si="19"/>
        <v>0</v>
      </c>
      <c r="M34" s="370">
        <f t="shared" si="19"/>
        <v>0</v>
      </c>
      <c r="P34" s="335" t="s">
        <v>506</v>
      </c>
      <c r="Q34" s="340"/>
      <c r="R34" s="406"/>
    </row>
    <row r="35" spans="1:18" ht="10.5" customHeight="1" x14ac:dyDescent="0.25">
      <c r="A35" s="331" t="str">
        <f>B9&amp;B35</f>
        <v>Concho ResourcesTaxes other than income</v>
      </c>
      <c r="B35" s="82" t="s">
        <v>467</v>
      </c>
      <c r="C35" s="106" t="s">
        <v>545</v>
      </c>
      <c r="D35" s="108">
        <f t="shared" si="17"/>
        <v>3.039545875393999</v>
      </c>
      <c r="E35" s="364">
        <f t="shared" si="12"/>
        <v>87250</v>
      </c>
      <c r="F35" s="370">
        <f>$D35*F24</f>
        <v>83368.018241806756</v>
      </c>
      <c r="G35" s="370">
        <f t="shared" ref="G35:M35" si="20">$D35*G24</f>
        <v>83368.018241806756</v>
      </c>
      <c r="H35" s="370">
        <f t="shared" si="20"/>
        <v>83368.018241806756</v>
      </c>
      <c r="I35" s="370">
        <f t="shared" si="20"/>
        <v>83368.018241806756</v>
      </c>
      <c r="J35" s="370">
        <f t="shared" si="20"/>
        <v>78092.315871296843</v>
      </c>
      <c r="K35" s="370">
        <f t="shared" si="20"/>
        <v>78092.315871296843</v>
      </c>
      <c r="L35" s="370">
        <f t="shared" si="20"/>
        <v>78092.315871296843</v>
      </c>
      <c r="M35" s="370">
        <f t="shared" si="20"/>
        <v>78092.315871296843</v>
      </c>
      <c r="P35" s="339" t="s">
        <v>466</v>
      </c>
      <c r="Q35" s="340" t="s">
        <v>899</v>
      </c>
      <c r="R35" s="406"/>
    </row>
    <row r="36" spans="1:18" ht="10.5" customHeight="1" x14ac:dyDescent="0.25">
      <c r="A36" s="331" t="str">
        <f>B9&amp;B36</f>
        <v>Concho ResourcesLease operating expenses</v>
      </c>
      <c r="B36" s="82" t="s">
        <v>468</v>
      </c>
      <c r="C36" s="106" t="s">
        <v>878</v>
      </c>
      <c r="D36" s="108">
        <f t="shared" si="17"/>
        <v>0</v>
      </c>
      <c r="E36" s="364">
        <f t="shared" si="12"/>
        <v>0</v>
      </c>
      <c r="F36" s="370">
        <f>$E36*((F$4*0.0266+11.643)*F$24)/(($E$4*0.0266+11.643)*$E$24)</f>
        <v>0</v>
      </c>
      <c r="G36" s="370">
        <f t="shared" ref="G36:M38" si="21">$E36*((G$4*0.0266+11.643)*G$24)/(($E$4*0.0266+11.643)*$E$24)</f>
        <v>0</v>
      </c>
      <c r="H36" s="370">
        <f t="shared" si="21"/>
        <v>0</v>
      </c>
      <c r="I36" s="370">
        <f t="shared" si="21"/>
        <v>0</v>
      </c>
      <c r="J36" s="370">
        <f t="shared" si="21"/>
        <v>0</v>
      </c>
      <c r="K36" s="370">
        <f t="shared" si="21"/>
        <v>0</v>
      </c>
      <c r="L36" s="370">
        <f t="shared" si="21"/>
        <v>0</v>
      </c>
      <c r="M36" s="370">
        <f t="shared" si="21"/>
        <v>0</v>
      </c>
      <c r="P36" s="339" t="s">
        <v>475</v>
      </c>
      <c r="Q36" s="340">
        <f>185/4</f>
        <v>46.25</v>
      </c>
      <c r="R36" s="406"/>
    </row>
    <row r="37" spans="1:18" ht="10.5" customHeight="1" x14ac:dyDescent="0.25">
      <c r="A37" s="331" t="str">
        <f>B9&amp;B37</f>
        <v>Concho ResourcesTransportation, Processing, and Other Operating</v>
      </c>
      <c r="B37" s="82" t="s">
        <v>469</v>
      </c>
      <c r="C37" s="106" t="s">
        <v>878</v>
      </c>
      <c r="D37" s="108">
        <f t="shared" si="17"/>
        <v>1.0015695577945842</v>
      </c>
      <c r="E37" s="364">
        <f t="shared" si="12"/>
        <v>28750</v>
      </c>
      <c r="F37" s="370">
        <f>$E37*((F$4*0.0266+11.643)*F$24)/(($E$4*0.0266+11.643)*$E$24)</f>
        <v>26730.000773558408</v>
      </c>
      <c r="G37" s="370">
        <f t="shared" si="21"/>
        <v>24770.161995793867</v>
      </c>
      <c r="H37" s="370">
        <f t="shared" si="21"/>
        <v>24879.593370829261</v>
      </c>
      <c r="I37" s="370">
        <f t="shared" si="21"/>
        <v>24989.024745864659</v>
      </c>
      <c r="J37" s="370">
        <f t="shared" si="21"/>
        <v>23510.173380759661</v>
      </c>
      <c r="K37" s="370">
        <f t="shared" si="21"/>
        <v>23612.679709753927</v>
      </c>
      <c r="L37" s="370">
        <f t="shared" si="21"/>
        <v>23715.186038748187</v>
      </c>
      <c r="M37" s="370">
        <f t="shared" si="21"/>
        <v>23715.186038748187</v>
      </c>
      <c r="P37" s="339" t="s">
        <v>508</v>
      </c>
      <c r="Q37" s="340">
        <f>-313/4</f>
        <v>-78.25</v>
      </c>
      <c r="R37" s="406"/>
    </row>
    <row r="38" spans="1:18" ht="10.5" customHeight="1" x14ac:dyDescent="0.25">
      <c r="A38" s="331" t="str">
        <f>B9&amp;B38</f>
        <v>Concho ResourcesSG&amp;A</v>
      </c>
      <c r="B38" s="82" t="s">
        <v>470</v>
      </c>
      <c r="C38" s="106" t="s">
        <v>878</v>
      </c>
      <c r="D38" s="108">
        <f t="shared" si="17"/>
        <v>2.8392319638350823</v>
      </c>
      <c r="E38" s="364">
        <f t="shared" si="12"/>
        <v>81500</v>
      </c>
      <c r="F38" s="370">
        <f>$E38*((F$4*0.0266+11.643)*F$24)/(($E$4*0.0266+11.643)*$E$24)</f>
        <v>75773.741323304697</v>
      </c>
      <c r="G38" s="370">
        <f t="shared" si="21"/>
        <v>70218.024440250432</v>
      </c>
      <c r="H38" s="370">
        <f t="shared" si="21"/>
        <v>70528.238599046439</v>
      </c>
      <c r="I38" s="370">
        <f t="shared" si="21"/>
        <v>70838.452757842417</v>
      </c>
      <c r="J38" s="370">
        <f t="shared" si="21"/>
        <v>66646.230627196957</v>
      </c>
      <c r="K38" s="370">
        <f t="shared" si="21"/>
        <v>66936.81378591113</v>
      </c>
      <c r="L38" s="370">
        <f t="shared" si="21"/>
        <v>67227.396944625289</v>
      </c>
      <c r="M38" s="370">
        <f t="shared" si="21"/>
        <v>67227.396944625289</v>
      </c>
      <c r="P38" s="346" t="s">
        <v>518</v>
      </c>
      <c r="Q38" s="347">
        <f t="shared" ref="Q38" si="22">SUM(Q35:Q37)</f>
        <v>-32</v>
      </c>
      <c r="R38" s="407"/>
    </row>
    <row r="39" spans="1:18" ht="10.5" customHeight="1" x14ac:dyDescent="0.25">
      <c r="A39" s="331" t="str">
        <f>B9&amp;B39</f>
        <v>Concho ResourcesExploratory and dirt well, dry hole</v>
      </c>
      <c r="B39" s="82" t="s">
        <v>561</v>
      </c>
      <c r="C39" s="106" t="s">
        <v>545</v>
      </c>
      <c r="D39" s="108">
        <f t="shared" si="17"/>
        <v>1.750569401014882</v>
      </c>
      <c r="E39" s="364">
        <f t="shared" si="12"/>
        <v>50250</v>
      </c>
      <c r="F39" s="372">
        <f>$D39*F24</f>
        <v>48014.245463046296</v>
      </c>
      <c r="G39" s="372">
        <f t="shared" ref="G39:M39" si="23">$D39*G24</f>
        <v>48014.245463046296</v>
      </c>
      <c r="H39" s="372">
        <f t="shared" si="23"/>
        <v>48014.245463046296</v>
      </c>
      <c r="I39" s="372">
        <f t="shared" si="23"/>
        <v>48014.245463046296</v>
      </c>
      <c r="J39" s="372">
        <f t="shared" si="23"/>
        <v>44975.803696649476</v>
      </c>
      <c r="K39" s="372">
        <f t="shared" si="23"/>
        <v>44975.803696649476</v>
      </c>
      <c r="L39" s="372">
        <f t="shared" si="23"/>
        <v>44975.803696649476</v>
      </c>
      <c r="M39" s="372">
        <f t="shared" si="23"/>
        <v>44975.803696649476</v>
      </c>
      <c r="P39" s="339" t="s">
        <v>477</v>
      </c>
      <c r="Q39" s="340">
        <f>-154/4</f>
        <v>-38.5</v>
      </c>
      <c r="R39" s="406"/>
    </row>
    <row r="40" spans="1:18" ht="10.5" customHeight="1" x14ac:dyDescent="0.25">
      <c r="A40" s="331" t="str">
        <f>B9&amp;B40</f>
        <v>Concho ResourcesOther Expenses (benefits)</v>
      </c>
      <c r="B40" s="82" t="s">
        <v>471</v>
      </c>
      <c r="C40" s="106" t="s">
        <v>545</v>
      </c>
      <c r="D40" s="108">
        <f t="shared" si="17"/>
        <v>12.55881132469383</v>
      </c>
      <c r="E40" s="364">
        <f t="shared" si="12"/>
        <v>360500</v>
      </c>
      <c r="F40" s="372">
        <f t="shared" ref="F40:M40" si="24">$D40*F24</f>
        <v>344460.40774981474</v>
      </c>
      <c r="G40" s="372">
        <f t="shared" si="24"/>
        <v>344460.40774981474</v>
      </c>
      <c r="H40" s="372">
        <f t="shared" si="24"/>
        <v>344460.40774981474</v>
      </c>
      <c r="I40" s="372">
        <f t="shared" si="24"/>
        <v>344460.40774981474</v>
      </c>
      <c r="J40" s="372">
        <f t="shared" si="24"/>
        <v>322662.23348541564</v>
      </c>
      <c r="K40" s="372">
        <f t="shared" si="24"/>
        <v>322662.23348541564</v>
      </c>
      <c r="L40" s="372">
        <f t="shared" si="24"/>
        <v>322662.23348541564</v>
      </c>
      <c r="M40" s="372">
        <f t="shared" si="24"/>
        <v>322662.23348541564</v>
      </c>
      <c r="P40" s="360" t="s">
        <v>918</v>
      </c>
      <c r="Q40" s="361" t="s">
        <v>899</v>
      </c>
      <c r="R40" s="406"/>
    </row>
    <row r="41" spans="1:18" ht="10.5" customHeight="1" x14ac:dyDescent="0.25">
      <c r="A41" s="331" t="str">
        <f>B9&amp;B41</f>
        <v>Concho ResourcesTotal Costs and Expenses</v>
      </c>
      <c r="B41" s="85" t="s">
        <v>474</v>
      </c>
      <c r="C41" s="85"/>
      <c r="D41" s="110"/>
      <c r="E41" s="366">
        <f t="shared" ref="E41:M41" si="25">SUM(E31:E40)</f>
        <v>1394750</v>
      </c>
      <c r="F41" s="373">
        <f t="shared" si="25"/>
        <v>1342889.3018304035</v>
      </c>
      <c r="G41" s="373">
        <f t="shared" si="25"/>
        <v>1335373.7461695848</v>
      </c>
      <c r="H41" s="373">
        <f t="shared" si="25"/>
        <v>1335793.3917034161</v>
      </c>
      <c r="I41" s="373">
        <f t="shared" si="25"/>
        <v>1336213.0372372475</v>
      </c>
      <c r="J41" s="373">
        <f t="shared" si="25"/>
        <v>1270589.4262015477</v>
      </c>
      <c r="K41" s="373">
        <f t="shared" si="25"/>
        <v>1270982.5156892561</v>
      </c>
      <c r="L41" s="373">
        <f t="shared" si="25"/>
        <v>1271375.6051769645</v>
      </c>
      <c r="M41" s="373">
        <f t="shared" si="25"/>
        <v>1271375.6051769645</v>
      </c>
      <c r="P41" s="360" t="s">
        <v>919</v>
      </c>
      <c r="Q41" s="361" t="s">
        <v>899</v>
      </c>
      <c r="R41" s="406"/>
    </row>
    <row r="42" spans="1:18" ht="10.5" customHeight="1" x14ac:dyDescent="0.25">
      <c r="A42" s="331" t="str">
        <f>B9&amp;B42</f>
        <v>Concho ResourcesOther (Income) Expense</v>
      </c>
      <c r="B42" s="368" t="s">
        <v>506</v>
      </c>
      <c r="C42" s="368"/>
      <c r="D42" s="112"/>
      <c r="E42" s="364"/>
      <c r="F42" s="372"/>
      <c r="G42" s="372"/>
      <c r="H42" s="372"/>
      <c r="I42" s="372"/>
      <c r="J42" s="372"/>
      <c r="K42" s="372"/>
      <c r="L42" s="372"/>
      <c r="M42" s="372"/>
      <c r="P42" s="360" t="s">
        <v>920</v>
      </c>
      <c r="Q42" s="361" t="s">
        <v>899</v>
      </c>
      <c r="R42" s="406"/>
    </row>
    <row r="43" spans="1:18" ht="10.5" customHeight="1" x14ac:dyDescent="0.25">
      <c r="A43" s="331" t="str">
        <f>B9&amp;B43</f>
        <v>Concho ResourcesLoss (gain) on derivative instruments, net</v>
      </c>
      <c r="B43" s="82" t="s">
        <v>466</v>
      </c>
      <c r="C43" s="107" t="s">
        <v>879</v>
      </c>
      <c r="D43" s="108"/>
      <c r="E43" s="364">
        <f>IF(VLOOKUP($B43, P:Q, 2,0) = "-", 0, VLOOKUP($B43, P:Q, 2,0))*1000</f>
        <v>0</v>
      </c>
      <c r="F43" s="372">
        <f>E43</f>
        <v>0</v>
      </c>
      <c r="G43" s="372">
        <f t="shared" ref="G43:M43" si="26">F43</f>
        <v>0</v>
      </c>
      <c r="H43" s="372">
        <f t="shared" si="26"/>
        <v>0</v>
      </c>
      <c r="I43" s="372">
        <f t="shared" si="26"/>
        <v>0</v>
      </c>
      <c r="J43" s="372">
        <f t="shared" si="26"/>
        <v>0</v>
      </c>
      <c r="K43" s="372">
        <f t="shared" si="26"/>
        <v>0</v>
      </c>
      <c r="L43" s="372">
        <f t="shared" si="26"/>
        <v>0</v>
      </c>
      <c r="M43" s="372">
        <f t="shared" si="26"/>
        <v>0</v>
      </c>
      <c r="P43" s="346" t="s">
        <v>478</v>
      </c>
      <c r="Q43" s="347">
        <f>Q12-Q32-Q38-Q39</f>
        <v>-176.25</v>
      </c>
      <c r="R43" s="407"/>
    </row>
    <row r="44" spans="1:18" ht="10.5" customHeight="1" x14ac:dyDescent="0.25">
      <c r="A44" s="331" t="str">
        <f>B9&amp;B44</f>
        <v>Concho ResourcesInterest expense, net</v>
      </c>
      <c r="B44" s="82" t="s">
        <v>475</v>
      </c>
      <c r="C44" s="82" t="s">
        <v>526</v>
      </c>
      <c r="D44" s="108"/>
      <c r="E44" s="364">
        <f>IF(VLOOKUP($B44, P:Q, 2,0) = "-", 0, VLOOKUP($B44, P:Q, 2,0))*1000</f>
        <v>46250</v>
      </c>
      <c r="F44" s="372">
        <f>$E73*(F78/E78)*(($E44/$E73)+IF($B$2="A3",(('Quarterly Forecasts'!$K$5-'Quarterly Forecasts'!$G$5)/400),(('Quarterly Forecasts'!$K$26-'Quarterly Forecasts'!$G$26)/400)))</f>
        <v>58725.843655524295</v>
      </c>
      <c r="G44" s="372">
        <f>$E73*(G78/F78)*(($E44/$E73)+IF($B$2="A3",(('Quarterly Forecasts'!$K$5-'Quarterly Forecasts'!$G$5)/400),(('Quarterly Forecasts'!$K$26-'Quarterly Forecasts'!$G$26)/400)))</f>
        <v>59769.514924999996</v>
      </c>
      <c r="H44" s="372">
        <f>$E73*(H78/G78)*(($E44/$E73)+IF($B$2="A3",(('Quarterly Forecasts'!$K$5-'Quarterly Forecasts'!$G$5)/400),(('Quarterly Forecasts'!$K$26-'Quarterly Forecasts'!$G$26)/400)))</f>
        <v>59769.514924999996</v>
      </c>
      <c r="I44" s="372">
        <f>$E73*(I78/H78)*(($E44/$E73)+IF($B$2="A3",(('Quarterly Forecasts'!$K$5-'Quarterly Forecasts'!$G$5)/400),(('Quarterly Forecasts'!$K$26-'Quarterly Forecasts'!$G$26)/400)))</f>
        <v>59769.514924999996</v>
      </c>
      <c r="J44" s="372">
        <f>$I73*(J78/I78)*(($I44/$I73)+ IF($B$2 = "A3", (('Quarterly Forecasts'!$O$5-'Quarterly Forecasts'!$K$5)/400),  (('Quarterly Forecasts'!$O$26-'Quarterly Forecasts'!$K$26)/400)))</f>
        <v>44245.585381007375</v>
      </c>
      <c r="K44" s="372">
        <f>$I73*(K78/J78)*(($I44/$I73)+ IF($B$2 = "A3", (('Quarterly Forecasts'!$O$5-'Quarterly Forecasts'!$K$5)/400),  (('Quarterly Forecasts'!$O$26-'Quarterly Forecasts'!$K$26)/400)))</f>
        <v>44266.359862499994</v>
      </c>
      <c r="L44" s="372">
        <f>$I73*(L78/K78)*(($I44/$I73)+ IF($B$2 = "A3", (('Quarterly Forecasts'!$O$5-'Quarterly Forecasts'!$K$5)/400),  (('Quarterly Forecasts'!$O$26-'Quarterly Forecasts'!$K$26)/400)))</f>
        <v>44266.359862499994</v>
      </c>
      <c r="M44" s="372">
        <f>$I73*(M78/L78)*(($I44/$I73)+ IF($B$2 = "A3", (('Quarterly Forecasts'!$O$5-'Quarterly Forecasts'!$K$5)/400),  (('Quarterly Forecasts'!$O$26-'Quarterly Forecasts'!$K$26)/400)))</f>
        <v>44266.359862499994</v>
      </c>
      <c r="N44" s="374"/>
      <c r="P44" s="339"/>
      <c r="Q44" s="340"/>
      <c r="R44" s="406"/>
    </row>
    <row r="45" spans="1:18" ht="10.5" customHeight="1" x14ac:dyDescent="0.25">
      <c r="A45" s="331" t="str">
        <f>B9&amp;B45</f>
        <v>Concho ResourcesOther, net</v>
      </c>
      <c r="B45" s="82" t="s">
        <v>508</v>
      </c>
      <c r="C45" s="82" t="s">
        <v>509</v>
      </c>
      <c r="D45" s="108"/>
      <c r="E45" s="364">
        <f>IF(VLOOKUP($B45, P:Q, 2,0) = "-", 0, VLOOKUP($B45, P:Q, 2,0))*1000</f>
        <v>-78250</v>
      </c>
      <c r="F45" s="372">
        <f>E45</f>
        <v>-78250</v>
      </c>
      <c r="G45" s="372">
        <f t="shared" ref="G45:M45" si="27">F45</f>
        <v>-78250</v>
      </c>
      <c r="H45" s="372">
        <f t="shared" si="27"/>
        <v>-78250</v>
      </c>
      <c r="I45" s="372">
        <f t="shared" si="27"/>
        <v>-78250</v>
      </c>
      <c r="J45" s="372">
        <f t="shared" si="27"/>
        <v>-78250</v>
      </c>
      <c r="K45" s="372">
        <f t="shared" si="27"/>
        <v>-78250</v>
      </c>
      <c r="L45" s="372">
        <f t="shared" si="27"/>
        <v>-78250</v>
      </c>
      <c r="M45" s="372">
        <f t="shared" si="27"/>
        <v>-78250</v>
      </c>
      <c r="P45" s="335" t="s">
        <v>479</v>
      </c>
      <c r="Q45" s="340"/>
      <c r="R45" s="406"/>
    </row>
    <row r="46" spans="1:18" ht="10.5" customHeight="1" x14ac:dyDescent="0.25">
      <c r="A46" s="331" t="str">
        <f>B9&amp;B46</f>
        <v>Concho ResourcesTotal Other (Income) Expense</v>
      </c>
      <c r="B46" s="85" t="s">
        <v>518</v>
      </c>
      <c r="C46" s="85"/>
      <c r="D46" s="110"/>
      <c r="E46" s="366">
        <f>SUM(E43:E45)</f>
        <v>-32000</v>
      </c>
      <c r="F46" s="367">
        <f>SUM(F43:F45)</f>
        <v>-19524.156344475705</v>
      </c>
      <c r="G46" s="367">
        <f t="shared" ref="G46:L46" si="28">SUM(G43:G45)</f>
        <v>-18480.485075000004</v>
      </c>
      <c r="H46" s="367">
        <f t="shared" si="28"/>
        <v>-18480.485075000004</v>
      </c>
      <c r="I46" s="367">
        <f t="shared" si="28"/>
        <v>-18480.485075000004</v>
      </c>
      <c r="J46" s="367">
        <f t="shared" si="28"/>
        <v>-34004.414618992625</v>
      </c>
      <c r="K46" s="367">
        <f t="shared" si="28"/>
        <v>-33983.640137500006</v>
      </c>
      <c r="L46" s="367">
        <f t="shared" si="28"/>
        <v>-33983.640137500006</v>
      </c>
      <c r="M46" s="367">
        <f>SUM(M43:M45)</f>
        <v>-33983.640137500006</v>
      </c>
      <c r="P46" s="339" t="s">
        <v>480</v>
      </c>
      <c r="Q46" s="340">
        <f>70</f>
        <v>70</v>
      </c>
      <c r="R46" s="406"/>
    </row>
    <row r="47" spans="1:18" ht="10.5" customHeight="1" x14ac:dyDescent="0.25">
      <c r="A47" s="331" t="str">
        <f>B9&amp;B47</f>
        <v>Concho ResourcesIncome (loss) from continuing operations before income taxes</v>
      </c>
      <c r="B47" s="368" t="s">
        <v>476</v>
      </c>
      <c r="C47" s="368"/>
      <c r="D47" s="112"/>
      <c r="E47" s="366">
        <f>E29-E41-E46</f>
        <v>-214750</v>
      </c>
      <c r="F47" s="367">
        <f>F29-F41-F46</f>
        <v>-493030.17359988496</v>
      </c>
      <c r="G47" s="367">
        <f t="shared" ref="G47:M47" si="29">G29-G41-G46</f>
        <v>-1013014.5375725662</v>
      </c>
      <c r="H47" s="367">
        <f t="shared" si="29"/>
        <v>-982198.51429792028</v>
      </c>
      <c r="I47" s="367">
        <f t="shared" si="29"/>
        <v>-951382.49102327437</v>
      </c>
      <c r="J47" s="367">
        <f t="shared" si="29"/>
        <v>-863583.62852790451</v>
      </c>
      <c r="K47" s="367">
        <f t="shared" si="29"/>
        <v>-834627.31568017416</v>
      </c>
      <c r="L47" s="367">
        <f t="shared" si="29"/>
        <v>-805650.2283509511</v>
      </c>
      <c r="M47" s="367">
        <f t="shared" si="29"/>
        <v>-805650.2283509511</v>
      </c>
      <c r="P47" s="339" t="s">
        <v>481</v>
      </c>
      <c r="Q47" s="340" t="s">
        <v>899</v>
      </c>
      <c r="R47" s="406"/>
    </row>
    <row r="48" spans="1:18" ht="10.5" customHeight="1" x14ac:dyDescent="0.25">
      <c r="A48" s="331" t="str">
        <f>B9&amp;B48</f>
        <v>Concho ResourcesIncome tax (benefit) expense</v>
      </c>
      <c r="B48" s="132" t="s">
        <v>477</v>
      </c>
      <c r="C48" s="132" t="s">
        <v>525</v>
      </c>
      <c r="D48" s="109">
        <f>ABS(E48/E47)</f>
        <v>0.17927823050058206</v>
      </c>
      <c r="E48" s="364">
        <f>IF(VLOOKUP($B48, P:Q, 2,0) = "-", 0, VLOOKUP($B48, P:Q, 2,0))*1000</f>
        <v>-38500</v>
      </c>
      <c r="F48" s="365">
        <f>$D48*F47</f>
        <v>-88389.577106382159</v>
      </c>
      <c r="G48" s="365">
        <f t="shared" ref="G48:M48" si="30">$D48*G47</f>
        <v>-181611.45376737506</v>
      </c>
      <c r="H48" s="365">
        <f t="shared" si="30"/>
        <v>-176086.81164363181</v>
      </c>
      <c r="I48" s="365">
        <f t="shared" si="30"/>
        <v>-170562.16951988853</v>
      </c>
      <c r="J48" s="365">
        <f t="shared" si="30"/>
        <v>-154821.7448117547</v>
      </c>
      <c r="K48" s="365">
        <f t="shared" si="30"/>
        <v>-149630.50828259232</v>
      </c>
      <c r="L48" s="365">
        <f t="shared" si="30"/>
        <v>-144435.54734114837</v>
      </c>
      <c r="M48" s="365">
        <f t="shared" si="30"/>
        <v>-144435.54734114837</v>
      </c>
      <c r="P48" s="339" t="s">
        <v>482</v>
      </c>
      <c r="Q48" s="340">
        <f>584</f>
        <v>584</v>
      </c>
      <c r="R48" s="406"/>
    </row>
    <row r="49" spans="1:18" ht="10.5" customHeight="1" thickBot="1" x14ac:dyDescent="0.3">
      <c r="A49" s="331" t="str">
        <f>B9&amp;B49</f>
        <v>Concho ResourcesNet (loss) Income</v>
      </c>
      <c r="B49" s="375" t="s">
        <v>478</v>
      </c>
      <c r="C49" s="375"/>
      <c r="D49" s="116"/>
      <c r="E49" s="376">
        <f>(E47-E48)</f>
        <v>-176250</v>
      </c>
      <c r="F49" s="377">
        <f>F47-F48</f>
        <v>-404640.59649350279</v>
      </c>
      <c r="G49" s="377">
        <f t="shared" ref="G49:M49" si="31">G47-G48</f>
        <v>-831403.0838051911</v>
      </c>
      <c r="H49" s="377">
        <f t="shared" si="31"/>
        <v>-806111.7026542885</v>
      </c>
      <c r="I49" s="377">
        <f t="shared" si="31"/>
        <v>-780820.3215033859</v>
      </c>
      <c r="J49" s="377">
        <f t="shared" si="31"/>
        <v>-708761.88371614984</v>
      </c>
      <c r="K49" s="377">
        <f t="shared" si="31"/>
        <v>-684996.80739758187</v>
      </c>
      <c r="L49" s="377">
        <f t="shared" si="31"/>
        <v>-661214.68100980273</v>
      </c>
      <c r="M49" s="377">
        <f t="shared" si="31"/>
        <v>-661214.68100980273</v>
      </c>
      <c r="P49" s="339" t="s">
        <v>569</v>
      </c>
      <c r="Q49" s="340">
        <f>304</f>
        <v>304</v>
      </c>
      <c r="R49" s="406"/>
    </row>
    <row r="50" spans="1:18" ht="10.5" customHeight="1" thickTop="1" x14ac:dyDescent="0.25">
      <c r="P50" s="339" t="s">
        <v>484</v>
      </c>
      <c r="Q50" s="340">
        <f>30</f>
        <v>30</v>
      </c>
      <c r="R50" s="406"/>
    </row>
    <row r="51" spans="1:18" ht="10.5" customHeight="1" x14ac:dyDescent="0.25">
      <c r="A51" s="331" t="str">
        <f>B9&amp;B51</f>
        <v>Concho ResourcesCurrent Assets</v>
      </c>
      <c r="B51" s="332" t="s">
        <v>479</v>
      </c>
      <c r="C51" s="332"/>
      <c r="D51" s="111"/>
      <c r="E51" s="364"/>
      <c r="F51" s="365"/>
      <c r="G51" s="365"/>
      <c r="H51" s="365"/>
      <c r="I51" s="365"/>
      <c r="J51" s="365"/>
      <c r="K51" s="365"/>
      <c r="L51" s="365"/>
      <c r="M51" s="365"/>
      <c r="P51" s="339" t="s">
        <v>813</v>
      </c>
      <c r="Q51" s="340">
        <v>6</v>
      </c>
      <c r="R51" s="406"/>
    </row>
    <row r="52" spans="1:18" ht="10.5" customHeight="1" x14ac:dyDescent="0.25">
      <c r="A52" s="331" t="str">
        <f>B9&amp;B52</f>
        <v>Concho ResourcesCash and cash equivalents</v>
      </c>
      <c r="B52" s="82" t="s">
        <v>480</v>
      </c>
      <c r="C52" s="82" t="s">
        <v>538</v>
      </c>
      <c r="D52" s="140">
        <v>2406</v>
      </c>
      <c r="E52" s="364">
        <f>IF(VLOOKUP($B52, P:Q, 2,0) = "-", 0, VLOOKUP($B52, P:Q, 2,0))*1000</f>
        <v>70000</v>
      </c>
      <c r="F52" s="365">
        <f>F49+E52</f>
        <v>-334640.59649350279</v>
      </c>
      <c r="G52" s="365">
        <f>G49+F52</f>
        <v>-1166043.6802986939</v>
      </c>
      <c r="H52" s="365">
        <f t="shared" ref="H52:M52" si="32">H49+G52</f>
        <v>-1972155.3829529826</v>
      </c>
      <c r="I52" s="365">
        <f t="shared" si="32"/>
        <v>-2752975.7044563685</v>
      </c>
      <c r="J52" s="365">
        <f t="shared" si="32"/>
        <v>-3461737.5881725182</v>
      </c>
      <c r="K52" s="365">
        <f t="shared" si="32"/>
        <v>-4146734.3955701003</v>
      </c>
      <c r="L52" s="365">
        <f t="shared" si="32"/>
        <v>-4807949.0765799033</v>
      </c>
      <c r="M52" s="365">
        <f t="shared" si="32"/>
        <v>-5469163.7575897062</v>
      </c>
      <c r="P52" s="339" t="s">
        <v>486</v>
      </c>
      <c r="Q52" s="340" t="s">
        <v>899</v>
      </c>
      <c r="R52" s="406"/>
    </row>
    <row r="53" spans="1:18" ht="10.5" customHeight="1" x14ac:dyDescent="0.25">
      <c r="A53" s="331" t="str">
        <f>B9&amp;B53</f>
        <v>Concho ResourcesAccounts receivable, net of allowance</v>
      </c>
      <c r="B53" s="82" t="s">
        <v>481</v>
      </c>
      <c r="C53" s="82"/>
      <c r="D53" s="108"/>
      <c r="E53" s="364"/>
      <c r="F53" s="365"/>
      <c r="G53" s="365"/>
      <c r="H53" s="365"/>
      <c r="I53" s="365"/>
      <c r="J53" s="365"/>
      <c r="K53" s="365"/>
      <c r="L53" s="365"/>
      <c r="M53" s="365"/>
      <c r="P53" s="339" t="s">
        <v>568</v>
      </c>
      <c r="Q53" s="340">
        <f>61</f>
        <v>61</v>
      </c>
      <c r="R53" s="406"/>
    </row>
    <row r="54" spans="1:18" ht="10.5" customHeight="1" x14ac:dyDescent="0.25">
      <c r="A54" s="331" t="str">
        <f>B9&amp;B54</f>
        <v>Concho ResourcesOil and gas sales</v>
      </c>
      <c r="B54" s="82" t="s">
        <v>482</v>
      </c>
      <c r="C54" s="82" t="s">
        <v>539</v>
      </c>
      <c r="D54" s="133">
        <f>E54/E29</f>
        <v>0.50871080139372826</v>
      </c>
      <c r="E54" s="364">
        <f t="shared" ref="E54:E59" si="33">IF(VLOOKUP($B54, P:Q, 2,0) = "-", 0, VLOOKUP($B54, P:Q, 2,0))*1000</f>
        <v>584000</v>
      </c>
      <c r="F54" s="365">
        <f>$D54*F29</f>
        <v>422400.3689733877</v>
      </c>
      <c r="G54" s="365">
        <f>$D54*G29</f>
        <v>154586.38896938931</v>
      </c>
      <c r="H54" s="365">
        <f t="shared" ref="H54:M54" si="34">$D54*H29</f>
        <v>170476.31108101885</v>
      </c>
      <c r="I54" s="365">
        <f t="shared" si="34"/>
        <v>186366.23319264836</v>
      </c>
      <c r="J54" s="365">
        <f t="shared" si="34"/>
        <v>189749.8324947003</v>
      </c>
      <c r="K54" s="365">
        <f t="shared" si="34"/>
        <v>204690.75868031697</v>
      </c>
      <c r="L54" s="365">
        <f t="shared" si="34"/>
        <v>219631.68486593367</v>
      </c>
      <c r="M54" s="365">
        <f t="shared" si="34"/>
        <v>219631.68486593367</v>
      </c>
      <c r="P54" s="360" t="s">
        <v>927</v>
      </c>
      <c r="Q54" s="361" t="s">
        <v>899</v>
      </c>
      <c r="R54" s="406"/>
    </row>
    <row r="55" spans="1:18" ht="10.5" customHeight="1" x14ac:dyDescent="0.25">
      <c r="A55" s="331" t="str">
        <f>B9&amp;B55</f>
        <v>Concho ResourcesOther receivable</v>
      </c>
      <c r="B55" s="82" t="s">
        <v>569</v>
      </c>
      <c r="C55" s="82" t="s">
        <v>539</v>
      </c>
      <c r="D55" s="133">
        <f>E55/E29</f>
        <v>0.26480836236933797</v>
      </c>
      <c r="E55" s="364">
        <f t="shared" si="33"/>
        <v>304000</v>
      </c>
      <c r="F55" s="365">
        <f t="shared" ref="F55:M55" si="35">$D55*F29</f>
        <v>219879.6441231333</v>
      </c>
      <c r="G55" s="365">
        <f>$D55*G29</f>
        <v>80469.627134750597</v>
      </c>
      <c r="H55" s="365">
        <f t="shared" si="35"/>
        <v>88741.093439434466</v>
      </c>
      <c r="I55" s="365">
        <f t="shared" si="35"/>
        <v>97012.559744118305</v>
      </c>
      <c r="J55" s="365">
        <f t="shared" si="35"/>
        <v>98773.885408200149</v>
      </c>
      <c r="K55" s="365">
        <f t="shared" si="35"/>
        <v>106551.35383358964</v>
      </c>
      <c r="L55" s="365">
        <f t="shared" si="35"/>
        <v>114328.82225897915</v>
      </c>
      <c r="M55" s="365">
        <f t="shared" si="35"/>
        <v>114328.82225897915</v>
      </c>
      <c r="P55" s="360" t="s">
        <v>928</v>
      </c>
      <c r="Q55" s="361" t="s">
        <v>899</v>
      </c>
      <c r="R55" s="406"/>
    </row>
    <row r="56" spans="1:18" ht="10.5" customHeight="1" x14ac:dyDescent="0.25">
      <c r="A56" s="331" t="str">
        <f>B9&amp;B56</f>
        <v>Concho ResourcesInventory</v>
      </c>
      <c r="B56" s="82" t="s">
        <v>484</v>
      </c>
      <c r="C56" s="82" t="s">
        <v>539</v>
      </c>
      <c r="D56" s="133">
        <f>E56/E29</f>
        <v>2.6132404181184669E-2</v>
      </c>
      <c r="E56" s="364">
        <f t="shared" si="33"/>
        <v>30000</v>
      </c>
      <c r="F56" s="365">
        <f t="shared" ref="F56:M56" si="36">$D56*F29</f>
        <v>21698.649091098679</v>
      </c>
      <c r="G56" s="365">
        <f t="shared" si="36"/>
        <v>7941.0816251398619</v>
      </c>
      <c r="H56" s="365">
        <f t="shared" si="36"/>
        <v>8757.3447473126107</v>
      </c>
      <c r="I56" s="365">
        <f t="shared" si="36"/>
        <v>9573.6078694853604</v>
      </c>
      <c r="J56" s="365">
        <f t="shared" si="36"/>
        <v>9747.4229021250158</v>
      </c>
      <c r="K56" s="365">
        <f t="shared" si="36"/>
        <v>10514.936233577926</v>
      </c>
      <c r="L56" s="365">
        <f t="shared" si="36"/>
        <v>11282.449565030838</v>
      </c>
      <c r="M56" s="365">
        <f t="shared" si="36"/>
        <v>11282.449565030838</v>
      </c>
      <c r="P56" s="346" t="s">
        <v>487</v>
      </c>
      <c r="Q56" s="347">
        <f t="shared" ref="Q56" si="37">SUM(Q46:Q55)</f>
        <v>1055</v>
      </c>
      <c r="R56" s="407"/>
    </row>
    <row r="57" spans="1:18" ht="10.5" customHeight="1" x14ac:dyDescent="0.25">
      <c r="A57" s="331" t="str">
        <f>B9&amp;B57</f>
        <v>Concho ResourcesDerivative instruments current assets</v>
      </c>
      <c r="B57" s="82" t="s">
        <v>813</v>
      </c>
      <c r="C57" s="107" t="s">
        <v>507</v>
      </c>
      <c r="D57" s="108"/>
      <c r="E57" s="364">
        <f t="shared" si="33"/>
        <v>6000</v>
      </c>
      <c r="F57" s="378"/>
      <c r="G57" s="378"/>
      <c r="H57" s="378"/>
      <c r="I57" s="378"/>
      <c r="J57" s="378"/>
      <c r="K57" s="378"/>
      <c r="L57" s="378"/>
      <c r="M57" s="378"/>
      <c r="P57" s="339" t="s">
        <v>488</v>
      </c>
      <c r="Q57" s="340">
        <v>21327</v>
      </c>
      <c r="R57" s="406"/>
    </row>
    <row r="58" spans="1:18" ht="10.5" customHeight="1" x14ac:dyDescent="0.25">
      <c r="A58" s="331" t="str">
        <f>B9&amp;B58</f>
        <v>Concho ResourcesPrepaid expenses</v>
      </c>
      <c r="B58" s="82" t="s">
        <v>486</v>
      </c>
      <c r="C58" s="82" t="s">
        <v>509</v>
      </c>
      <c r="D58" s="108"/>
      <c r="E58" s="364">
        <f t="shared" si="33"/>
        <v>0</v>
      </c>
      <c r="F58" s="365">
        <f>E58</f>
        <v>0</v>
      </c>
      <c r="G58" s="365">
        <f t="shared" ref="G58:M59" si="38">F58</f>
        <v>0</v>
      </c>
      <c r="H58" s="365">
        <f t="shared" si="38"/>
        <v>0</v>
      </c>
      <c r="I58" s="365">
        <f t="shared" si="38"/>
        <v>0</v>
      </c>
      <c r="J58" s="365">
        <f t="shared" si="38"/>
        <v>0</v>
      </c>
      <c r="K58" s="365">
        <f t="shared" si="38"/>
        <v>0</v>
      </c>
      <c r="L58" s="365">
        <f t="shared" si="38"/>
        <v>0</v>
      </c>
      <c r="M58" s="365">
        <f t="shared" si="38"/>
        <v>0</v>
      </c>
      <c r="P58" s="339" t="s">
        <v>814</v>
      </c>
      <c r="Q58" s="340">
        <v>11</v>
      </c>
      <c r="R58" s="406"/>
    </row>
    <row r="59" spans="1:18" ht="10.5" customHeight="1" x14ac:dyDescent="0.25">
      <c r="A59" s="331" t="str">
        <f>B9&amp;B59</f>
        <v>Concho ResourcesOther current assets</v>
      </c>
      <c r="B59" s="82" t="s">
        <v>568</v>
      </c>
      <c r="C59" s="82" t="s">
        <v>509</v>
      </c>
      <c r="D59" s="108"/>
      <c r="E59" s="364">
        <f t="shared" si="33"/>
        <v>61000</v>
      </c>
      <c r="F59" s="365">
        <f>E59</f>
        <v>61000</v>
      </c>
      <c r="G59" s="365">
        <f t="shared" si="38"/>
        <v>61000</v>
      </c>
      <c r="H59" s="365">
        <f t="shared" si="38"/>
        <v>61000</v>
      </c>
      <c r="I59" s="365">
        <f t="shared" si="38"/>
        <v>61000</v>
      </c>
      <c r="J59" s="365">
        <f t="shared" si="38"/>
        <v>61000</v>
      </c>
      <c r="K59" s="365">
        <f t="shared" si="38"/>
        <v>61000</v>
      </c>
      <c r="L59" s="365">
        <f t="shared" si="38"/>
        <v>61000</v>
      </c>
      <c r="M59" s="365">
        <f t="shared" si="38"/>
        <v>61000</v>
      </c>
      <c r="P59" s="339" t="s">
        <v>815</v>
      </c>
      <c r="Q59" s="340" t="s">
        <v>899</v>
      </c>
      <c r="R59" s="406"/>
    </row>
    <row r="60" spans="1:18" ht="10.5" customHeight="1" x14ac:dyDescent="0.25">
      <c r="A60" s="331" t="str">
        <f>B9&amp;B60</f>
        <v>Concho ResourcesTotal current assets</v>
      </c>
      <c r="B60" s="87" t="s">
        <v>487</v>
      </c>
      <c r="C60" s="87"/>
      <c r="D60" s="111"/>
      <c r="E60" s="366">
        <f>SUM(E52:E59)</f>
        <v>1055000</v>
      </c>
      <c r="F60" s="367">
        <f>SUM(F52:F59)</f>
        <v>390338.06569411687</v>
      </c>
      <c r="G60" s="367">
        <f t="shared" ref="G60:M60" si="39">SUM(G52:G59)</f>
        <v>-862046.58256941428</v>
      </c>
      <c r="H60" s="367">
        <f t="shared" si="39"/>
        <v>-1643180.6336852168</v>
      </c>
      <c r="I60" s="367">
        <f t="shared" si="39"/>
        <v>-2399023.3036501165</v>
      </c>
      <c r="J60" s="367">
        <f t="shared" si="39"/>
        <v>-3102466.4473674926</v>
      </c>
      <c r="K60" s="367">
        <f t="shared" si="39"/>
        <v>-3763977.3468226157</v>
      </c>
      <c r="L60" s="367">
        <f t="shared" si="39"/>
        <v>-4401706.1198899597</v>
      </c>
      <c r="M60" s="367">
        <f t="shared" si="39"/>
        <v>-5062920.8008997627</v>
      </c>
      <c r="P60" s="339" t="s">
        <v>490</v>
      </c>
      <c r="Q60" s="340">
        <v>1917</v>
      </c>
      <c r="R60" s="406"/>
    </row>
    <row r="61" spans="1:18" ht="10.5" customHeight="1" x14ac:dyDescent="0.25">
      <c r="A61" s="331" t="str">
        <f>B9&amp;B61</f>
        <v>Concho ResourcesProperty and equipment, net</v>
      </c>
      <c r="B61" s="368" t="s">
        <v>488</v>
      </c>
      <c r="C61" s="132" t="s">
        <v>509</v>
      </c>
      <c r="D61" s="112"/>
      <c r="E61" s="364">
        <f>IF(VLOOKUP($B61, P:Q, 2,0) = "-", 0, VLOOKUP($B61, P:Q, 2,0))*1000</f>
        <v>21327000</v>
      </c>
      <c r="F61" s="365">
        <f>E61</f>
        <v>21327000</v>
      </c>
      <c r="G61" s="365">
        <f t="shared" ref="G61:M61" si="40">F61</f>
        <v>21327000</v>
      </c>
      <c r="H61" s="365">
        <f t="shared" si="40"/>
        <v>21327000</v>
      </c>
      <c r="I61" s="365">
        <f t="shared" si="40"/>
        <v>21327000</v>
      </c>
      <c r="J61" s="365">
        <f t="shared" si="40"/>
        <v>21327000</v>
      </c>
      <c r="K61" s="365">
        <f t="shared" si="40"/>
        <v>21327000</v>
      </c>
      <c r="L61" s="365">
        <f t="shared" si="40"/>
        <v>21327000</v>
      </c>
      <c r="M61" s="365">
        <f t="shared" si="40"/>
        <v>21327000</v>
      </c>
      <c r="P61" s="339" t="s">
        <v>491</v>
      </c>
      <c r="Q61" s="340">
        <f>398+17+7</f>
        <v>422</v>
      </c>
      <c r="R61" s="406"/>
    </row>
    <row r="62" spans="1:18" ht="10.5" customHeight="1" x14ac:dyDescent="0.25">
      <c r="A62" s="331" t="str">
        <f>B9&amp;B62</f>
        <v>Concho ResourcesDerivative instruments total assets</v>
      </c>
      <c r="B62" s="132" t="s">
        <v>814</v>
      </c>
      <c r="C62" s="379" t="s">
        <v>507</v>
      </c>
      <c r="D62" s="108"/>
      <c r="E62" s="364">
        <f>IF(VLOOKUP($B62, P:Q, 2,0) = "-", 0, VLOOKUP($B62, P:Q, 2,0))*1000</f>
        <v>11000</v>
      </c>
      <c r="F62" s="378"/>
      <c r="G62" s="378"/>
      <c r="H62" s="378"/>
      <c r="I62" s="378"/>
      <c r="J62" s="378"/>
      <c r="K62" s="378"/>
      <c r="L62" s="378"/>
      <c r="M62" s="378"/>
      <c r="P62" s="360" t="s">
        <v>929</v>
      </c>
      <c r="Q62" s="361" t="s">
        <v>899</v>
      </c>
      <c r="R62" s="406"/>
    </row>
    <row r="63" spans="1:18" ht="10.5" customHeight="1" x14ac:dyDescent="0.25">
      <c r="A63" s="331" t="str">
        <f>B9&amp;B63</f>
        <v>Concho ResourcesDeferred income taxes assets</v>
      </c>
      <c r="B63" s="132" t="s">
        <v>815</v>
      </c>
      <c r="C63" s="132" t="s">
        <v>509</v>
      </c>
      <c r="D63" s="108"/>
      <c r="E63" s="364">
        <f>IF(VLOOKUP($B63, P:Q, 2,0) = "-", 0, VLOOKUP($B63, P:Q, 2,0))*1000</f>
        <v>0</v>
      </c>
      <c r="F63" s="365">
        <f>E63</f>
        <v>0</v>
      </c>
      <c r="G63" s="365">
        <f t="shared" ref="G63:M65" si="41">F63</f>
        <v>0</v>
      </c>
      <c r="H63" s="365">
        <f t="shared" si="41"/>
        <v>0</v>
      </c>
      <c r="I63" s="365">
        <f t="shared" si="41"/>
        <v>0</v>
      </c>
      <c r="J63" s="365">
        <f t="shared" si="41"/>
        <v>0</v>
      </c>
      <c r="K63" s="365">
        <f t="shared" si="41"/>
        <v>0</v>
      </c>
      <c r="L63" s="365">
        <f t="shared" si="41"/>
        <v>0</v>
      </c>
      <c r="M63" s="365">
        <f t="shared" si="41"/>
        <v>0</v>
      </c>
      <c r="P63" s="360" t="s">
        <v>930</v>
      </c>
      <c r="Q63" s="361" t="s">
        <v>899</v>
      </c>
      <c r="R63" s="406"/>
    </row>
    <row r="64" spans="1:18" ht="10.5" customHeight="1" x14ac:dyDescent="0.25">
      <c r="A64" s="331" t="str">
        <f>B9&amp;B64</f>
        <v>Concho ResourcesGoodwill</v>
      </c>
      <c r="B64" s="132" t="s">
        <v>490</v>
      </c>
      <c r="C64" s="132" t="s">
        <v>509</v>
      </c>
      <c r="D64" s="108"/>
      <c r="E64" s="364">
        <f>IF(VLOOKUP($B64, P:Q, 2,0) = "-", 0, VLOOKUP($B64, P:Q, 2,0))*1000</f>
        <v>1917000</v>
      </c>
      <c r="F64" s="365">
        <f>E64</f>
        <v>1917000</v>
      </c>
      <c r="G64" s="365">
        <f t="shared" si="41"/>
        <v>1917000</v>
      </c>
      <c r="H64" s="365">
        <f t="shared" si="41"/>
        <v>1917000</v>
      </c>
      <c r="I64" s="365">
        <f t="shared" si="41"/>
        <v>1917000</v>
      </c>
      <c r="J64" s="365">
        <f t="shared" si="41"/>
        <v>1917000</v>
      </c>
      <c r="K64" s="365">
        <f t="shared" si="41"/>
        <v>1917000</v>
      </c>
      <c r="L64" s="365">
        <f t="shared" si="41"/>
        <v>1917000</v>
      </c>
      <c r="M64" s="365">
        <f t="shared" si="41"/>
        <v>1917000</v>
      </c>
      <c r="P64" s="346" t="s">
        <v>492</v>
      </c>
      <c r="Q64" s="347">
        <f>SUM(Q56:Q63)</f>
        <v>24732</v>
      </c>
      <c r="R64" s="407"/>
    </row>
    <row r="65" spans="1:18" ht="10.5" customHeight="1" x14ac:dyDescent="0.25">
      <c r="A65" s="331" t="str">
        <f>B9&amp;B65</f>
        <v>Concho ResourcesOther assets</v>
      </c>
      <c r="B65" s="357" t="s">
        <v>491</v>
      </c>
      <c r="C65" s="357" t="s">
        <v>509</v>
      </c>
      <c r="D65" s="114"/>
      <c r="E65" s="364">
        <f>IF(VLOOKUP($B65, P:Q, 2,0) = "-", 0, VLOOKUP($B65, P:Q, 2,0))*1000</f>
        <v>422000</v>
      </c>
      <c r="F65" s="365">
        <f>E65</f>
        <v>422000</v>
      </c>
      <c r="G65" s="365">
        <f t="shared" si="41"/>
        <v>422000</v>
      </c>
      <c r="H65" s="365">
        <f t="shared" si="41"/>
        <v>422000</v>
      </c>
      <c r="I65" s="365">
        <f t="shared" si="41"/>
        <v>422000</v>
      </c>
      <c r="J65" s="365">
        <f t="shared" si="41"/>
        <v>422000</v>
      </c>
      <c r="K65" s="365">
        <f t="shared" si="41"/>
        <v>422000</v>
      </c>
      <c r="L65" s="365">
        <f t="shared" si="41"/>
        <v>422000</v>
      </c>
      <c r="M65" s="365">
        <f t="shared" si="41"/>
        <v>422000</v>
      </c>
      <c r="P65" s="339"/>
      <c r="Q65" s="340"/>
      <c r="R65" s="406"/>
    </row>
    <row r="66" spans="1:18" ht="10.5" customHeight="1" x14ac:dyDescent="0.25">
      <c r="A66" s="331" t="str">
        <f>B9&amp;B66</f>
        <v>Concho ResourcesTotal assets</v>
      </c>
      <c r="B66" s="88" t="s">
        <v>492</v>
      </c>
      <c r="C66" s="88"/>
      <c r="D66" s="112"/>
      <c r="E66" s="366">
        <f>SUM(E60:E65)</f>
        <v>24732000</v>
      </c>
      <c r="F66" s="367">
        <f>SUM(F60:F65)</f>
        <v>24056338.065694116</v>
      </c>
      <c r="G66" s="367">
        <f t="shared" ref="G66:M66" si="42">SUM(G60:G65)</f>
        <v>22803953.417430587</v>
      </c>
      <c r="H66" s="367">
        <f t="shared" si="42"/>
        <v>22022819.366314784</v>
      </c>
      <c r="I66" s="367">
        <f t="shared" si="42"/>
        <v>21266976.696349882</v>
      </c>
      <c r="J66" s="367">
        <f t="shared" si="42"/>
        <v>20563533.552632507</v>
      </c>
      <c r="K66" s="367">
        <f t="shared" si="42"/>
        <v>19902022.653177384</v>
      </c>
      <c r="L66" s="367">
        <f t="shared" si="42"/>
        <v>19264293.88011004</v>
      </c>
      <c r="M66" s="367">
        <f t="shared" si="42"/>
        <v>18603079.199100237</v>
      </c>
      <c r="P66" s="335" t="s">
        <v>498</v>
      </c>
      <c r="Q66" s="340"/>
      <c r="R66" s="406"/>
    </row>
    <row r="67" spans="1:18" ht="10.5" customHeight="1" x14ac:dyDescent="0.25">
      <c r="A67" s="331" t="str">
        <f>B9&amp;B67</f>
        <v>Concho ResourcesCurrent liabilities</v>
      </c>
      <c r="B67" s="368" t="s">
        <v>498</v>
      </c>
      <c r="C67" s="368"/>
      <c r="D67" s="112"/>
      <c r="E67" s="364"/>
      <c r="F67" s="365"/>
      <c r="G67" s="365"/>
      <c r="H67" s="365"/>
      <c r="I67" s="365"/>
      <c r="J67" s="365"/>
      <c r="K67" s="365"/>
      <c r="L67" s="365"/>
      <c r="M67" s="365"/>
      <c r="P67" s="339" t="s">
        <v>493</v>
      </c>
      <c r="Q67" s="340">
        <v>53</v>
      </c>
      <c r="R67" s="406"/>
    </row>
    <row r="68" spans="1:18" ht="10.5" customHeight="1" x14ac:dyDescent="0.25">
      <c r="A68" s="331" t="str">
        <f>B9&amp;B68</f>
        <v>Concho ResourcesAccounts payable</v>
      </c>
      <c r="B68" s="82" t="s">
        <v>493</v>
      </c>
      <c r="C68" s="82" t="s">
        <v>539</v>
      </c>
      <c r="D68" s="108">
        <f>E68/E24</f>
        <v>1.8463717065430596</v>
      </c>
      <c r="E68" s="364">
        <f>IF(VLOOKUP($B68, P:Q, 2,0) = "-", 0, VLOOKUP($B68, P:Q, 2,0))*1000</f>
        <v>53000</v>
      </c>
      <c r="F68" s="365">
        <f>$D68*F24</f>
        <v>50641.89073714336</v>
      </c>
      <c r="G68" s="365">
        <f t="shared" ref="G68:M68" si="43">$D68*G24</f>
        <v>50641.89073714336</v>
      </c>
      <c r="H68" s="365">
        <f t="shared" si="43"/>
        <v>50641.89073714336</v>
      </c>
      <c r="I68" s="365">
        <f t="shared" si="43"/>
        <v>50641.89073714336</v>
      </c>
      <c r="J68" s="365">
        <f t="shared" si="43"/>
        <v>47437.166088008402</v>
      </c>
      <c r="K68" s="365">
        <f t="shared" si="43"/>
        <v>47437.166088008402</v>
      </c>
      <c r="L68" s="365">
        <f t="shared" si="43"/>
        <v>47437.166088008402</v>
      </c>
      <c r="M68" s="365">
        <f t="shared" si="43"/>
        <v>47437.166088008402</v>
      </c>
      <c r="P68" s="339" t="s">
        <v>510</v>
      </c>
      <c r="Q68" s="340">
        <v>386</v>
      </c>
      <c r="R68" s="406"/>
    </row>
    <row r="69" spans="1:18" ht="10.5" customHeight="1" x14ac:dyDescent="0.25">
      <c r="A69" s="331" t="str">
        <f>B9&amp;B69</f>
        <v>Concho ResourcesAccrued liabilities</v>
      </c>
      <c r="B69" s="82" t="s">
        <v>510</v>
      </c>
      <c r="C69" s="82" t="s">
        <v>507</v>
      </c>
      <c r="D69" s="108"/>
      <c r="E69" s="364">
        <f>IF(VLOOKUP($B69, P:Q, 2,0) = "-", 0, VLOOKUP($B69, P:Q, 2,0))*1000</f>
        <v>386000</v>
      </c>
      <c r="F69" s="365">
        <f>E69</f>
        <v>386000</v>
      </c>
      <c r="G69" s="365">
        <f t="shared" ref="G69:M69" si="44">F69</f>
        <v>386000</v>
      </c>
      <c r="H69" s="365">
        <f t="shared" si="44"/>
        <v>386000</v>
      </c>
      <c r="I69" s="365">
        <f t="shared" si="44"/>
        <v>386000</v>
      </c>
      <c r="J69" s="365">
        <f t="shared" si="44"/>
        <v>386000</v>
      </c>
      <c r="K69" s="365">
        <f t="shared" si="44"/>
        <v>386000</v>
      </c>
      <c r="L69" s="365">
        <f t="shared" si="44"/>
        <v>386000</v>
      </c>
      <c r="M69" s="365">
        <f t="shared" si="44"/>
        <v>386000</v>
      </c>
      <c r="P69" s="339" t="s">
        <v>812</v>
      </c>
      <c r="Q69" s="340">
        <v>112</v>
      </c>
      <c r="R69" s="406"/>
    </row>
    <row r="70" spans="1:18" ht="10.5" customHeight="1" x14ac:dyDescent="0.25">
      <c r="A70" s="331" t="str">
        <f>B9&amp;B70</f>
        <v>Concho ResourcesDerivative instruments current liabilities</v>
      </c>
      <c r="B70" s="82" t="s">
        <v>812</v>
      </c>
      <c r="C70" s="107" t="s">
        <v>507</v>
      </c>
      <c r="D70" s="108"/>
      <c r="E70" s="364">
        <f>IF(VLOOKUP($B70, P:Q, 2,0) = "-", 0, VLOOKUP($B70, P:Q, 2,0))*1000</f>
        <v>112000</v>
      </c>
      <c r="F70" s="378"/>
      <c r="G70" s="378"/>
      <c r="H70" s="378"/>
      <c r="I70" s="378"/>
      <c r="J70" s="378"/>
      <c r="K70" s="378"/>
      <c r="L70" s="378"/>
      <c r="M70" s="378"/>
      <c r="P70" s="339" t="s">
        <v>494</v>
      </c>
      <c r="Q70" s="340">
        <f>363+268</f>
        <v>631</v>
      </c>
      <c r="R70" s="406"/>
    </row>
    <row r="71" spans="1:18" ht="10.5" customHeight="1" x14ac:dyDescent="0.25">
      <c r="A71" s="331" t="str">
        <f>B9&amp;B71</f>
        <v>Concho ResourcesOther current liabilities</v>
      </c>
      <c r="B71" s="82" t="s">
        <v>494</v>
      </c>
      <c r="C71" s="82" t="s">
        <v>509</v>
      </c>
      <c r="D71" s="108"/>
      <c r="E71" s="364">
        <f>IF(VLOOKUP($B71, P:Q, 2,0) = "-", 0, VLOOKUP($B71, P:Q, 2,0))*1000</f>
        <v>631000</v>
      </c>
      <c r="F71" s="365">
        <f>E71</f>
        <v>631000</v>
      </c>
      <c r="G71" s="365">
        <f t="shared" ref="G71:M71" si="45">F71</f>
        <v>631000</v>
      </c>
      <c r="H71" s="365">
        <f t="shared" si="45"/>
        <v>631000</v>
      </c>
      <c r="I71" s="365">
        <f t="shared" si="45"/>
        <v>631000</v>
      </c>
      <c r="J71" s="365">
        <f t="shared" si="45"/>
        <v>631000</v>
      </c>
      <c r="K71" s="365">
        <f t="shared" si="45"/>
        <v>631000</v>
      </c>
      <c r="L71" s="365">
        <f t="shared" si="45"/>
        <v>631000</v>
      </c>
      <c r="M71" s="365">
        <f t="shared" si="45"/>
        <v>631000</v>
      </c>
      <c r="P71" s="360" t="s">
        <v>931</v>
      </c>
      <c r="Q71" s="361" t="s">
        <v>899</v>
      </c>
      <c r="R71" s="406"/>
    </row>
    <row r="72" spans="1:18" ht="10.5" customHeight="1" x14ac:dyDescent="0.25">
      <c r="A72" s="331" t="str">
        <f>B9&amp;B72</f>
        <v>Concho ResourcesTotal current liabilities</v>
      </c>
      <c r="B72" s="87" t="s">
        <v>497</v>
      </c>
      <c r="C72" s="87"/>
      <c r="D72" s="111"/>
      <c r="E72" s="366">
        <f>SUM(E68:E71)</f>
        <v>1182000</v>
      </c>
      <c r="F72" s="367">
        <f>SUM(F68:F71)</f>
        <v>1067641.8907371433</v>
      </c>
      <c r="G72" s="367">
        <f>SUM(G68:G71)</f>
        <v>1067641.8907371433</v>
      </c>
      <c r="H72" s="367">
        <f t="shared" ref="H72:M72" si="46">SUM(H68:H71)</f>
        <v>1067641.8907371433</v>
      </c>
      <c r="I72" s="367">
        <f t="shared" si="46"/>
        <v>1067641.8907371433</v>
      </c>
      <c r="J72" s="367">
        <f t="shared" si="46"/>
        <v>1064437.1660880083</v>
      </c>
      <c r="K72" s="367">
        <f t="shared" si="46"/>
        <v>1064437.1660880083</v>
      </c>
      <c r="L72" s="367">
        <f t="shared" si="46"/>
        <v>1064437.1660880083</v>
      </c>
      <c r="M72" s="367">
        <f t="shared" si="46"/>
        <v>1064437.1660880083</v>
      </c>
      <c r="P72" s="360" t="s">
        <v>932</v>
      </c>
      <c r="Q72" s="361" t="s">
        <v>899</v>
      </c>
      <c r="R72" s="406"/>
    </row>
    <row r="73" spans="1:18" ht="10.5" customHeight="1" x14ac:dyDescent="0.25">
      <c r="A73" s="331" t="str">
        <f>B9&amp;B73</f>
        <v>Concho ResourcesLong-term debt, net</v>
      </c>
      <c r="B73" s="132" t="s">
        <v>511</v>
      </c>
      <c r="C73" s="132" t="s">
        <v>509</v>
      </c>
      <c r="D73" s="108"/>
      <c r="E73" s="364">
        <f>IF(VLOOKUP($B73, P:Q, 2,0) = "-", 0, VLOOKUP($B73, P:Q, 2,0))*1000</f>
        <v>3955000</v>
      </c>
      <c r="F73" s="365">
        <f t="shared" ref="F73:M74" si="47">E73</f>
        <v>3955000</v>
      </c>
      <c r="G73" s="365">
        <f t="shared" si="47"/>
        <v>3955000</v>
      </c>
      <c r="H73" s="365">
        <f t="shared" si="47"/>
        <v>3955000</v>
      </c>
      <c r="I73" s="365">
        <f t="shared" si="47"/>
        <v>3955000</v>
      </c>
      <c r="J73" s="365">
        <f t="shared" si="47"/>
        <v>3955000</v>
      </c>
      <c r="K73" s="365">
        <f t="shared" si="47"/>
        <v>3955000</v>
      </c>
      <c r="L73" s="365">
        <f t="shared" si="47"/>
        <v>3955000</v>
      </c>
      <c r="M73" s="365">
        <f t="shared" si="47"/>
        <v>3955000</v>
      </c>
      <c r="P73" s="360" t="s">
        <v>933</v>
      </c>
      <c r="Q73" s="361" t="s">
        <v>899</v>
      </c>
      <c r="R73" s="406"/>
    </row>
    <row r="74" spans="1:18" ht="10.5" customHeight="1" x14ac:dyDescent="0.25">
      <c r="A74" s="331" t="str">
        <f>B9&amp;B74</f>
        <v>Concho ResourcesAsset retirement obligations</v>
      </c>
      <c r="B74" s="132" t="s">
        <v>495</v>
      </c>
      <c r="C74" s="132" t="s">
        <v>509</v>
      </c>
      <c r="D74" s="108"/>
      <c r="E74" s="364">
        <f>IF(VLOOKUP($B74, P:Q, 2,0) = "-", 0, VLOOKUP($B74, P:Q, 2,0))*1000</f>
        <v>152000</v>
      </c>
      <c r="F74" s="365">
        <f>E74</f>
        <v>152000</v>
      </c>
      <c r="G74" s="365">
        <f t="shared" si="47"/>
        <v>152000</v>
      </c>
      <c r="H74" s="365">
        <f t="shared" si="47"/>
        <v>152000</v>
      </c>
      <c r="I74" s="365">
        <f t="shared" si="47"/>
        <v>152000</v>
      </c>
      <c r="J74" s="365">
        <f t="shared" si="47"/>
        <v>152000</v>
      </c>
      <c r="K74" s="365">
        <f t="shared" si="47"/>
        <v>152000</v>
      </c>
      <c r="L74" s="365">
        <f t="shared" si="47"/>
        <v>152000</v>
      </c>
      <c r="M74" s="365">
        <f t="shared" si="47"/>
        <v>152000</v>
      </c>
      <c r="P74" s="346" t="s">
        <v>497</v>
      </c>
      <c r="Q74" s="347">
        <f t="shared" ref="Q74" si="48">SUM(Q67:Q73)</f>
        <v>1182</v>
      </c>
      <c r="R74" s="407"/>
    </row>
    <row r="75" spans="1:18" ht="10.5" customHeight="1" x14ac:dyDescent="0.25">
      <c r="A75" s="331" t="str">
        <f>B9&amp;B75</f>
        <v>Concho ResourcesDerivative instruments liabilities</v>
      </c>
      <c r="B75" s="132" t="s">
        <v>811</v>
      </c>
      <c r="C75" s="379" t="s">
        <v>507</v>
      </c>
      <c r="D75" s="108"/>
      <c r="E75" s="364">
        <f>IF(VLOOKUP($B75, P:Q, 2,0) = "-", 0, VLOOKUP($B75, P:Q, 2,0))*1000</f>
        <v>7000</v>
      </c>
      <c r="F75" s="378"/>
      <c r="G75" s="378"/>
      <c r="H75" s="378"/>
      <c r="I75" s="378"/>
      <c r="J75" s="378"/>
      <c r="K75" s="378"/>
      <c r="L75" s="378"/>
      <c r="M75" s="378"/>
      <c r="P75" s="339" t="s">
        <v>511</v>
      </c>
      <c r="Q75" s="340">
        <v>3955</v>
      </c>
      <c r="R75" s="406"/>
    </row>
    <row r="76" spans="1:18" ht="10.5" customHeight="1" x14ac:dyDescent="0.25">
      <c r="A76" s="331" t="str">
        <f>B9&amp;B76</f>
        <v>Concho ResourcesDeferred income taxes liabilities</v>
      </c>
      <c r="B76" s="132" t="s">
        <v>810</v>
      </c>
      <c r="C76" s="132" t="s">
        <v>509</v>
      </c>
      <c r="D76" s="108"/>
      <c r="E76" s="364">
        <f>IF(VLOOKUP($B76, P:Q, 2,0) = "-", 0, VLOOKUP($B76, P:Q, 2,0))*1000</f>
        <v>1654000</v>
      </c>
      <c r="F76" s="365">
        <f>E76</f>
        <v>1654000</v>
      </c>
      <c r="G76" s="365">
        <f t="shared" ref="G76:M77" si="49">F76</f>
        <v>1654000</v>
      </c>
      <c r="H76" s="365">
        <f t="shared" si="49"/>
        <v>1654000</v>
      </c>
      <c r="I76" s="365">
        <f t="shared" si="49"/>
        <v>1654000</v>
      </c>
      <c r="J76" s="365">
        <f t="shared" si="49"/>
        <v>1654000</v>
      </c>
      <c r="K76" s="365">
        <f t="shared" si="49"/>
        <v>1654000</v>
      </c>
      <c r="L76" s="365">
        <f t="shared" si="49"/>
        <v>1654000</v>
      </c>
      <c r="M76" s="365">
        <f t="shared" si="49"/>
        <v>1654000</v>
      </c>
      <c r="P76" s="339" t="s">
        <v>495</v>
      </c>
      <c r="Q76" s="340">
        <v>152</v>
      </c>
      <c r="R76" s="406"/>
    </row>
    <row r="77" spans="1:18" ht="10.5" customHeight="1" x14ac:dyDescent="0.25">
      <c r="A77" s="331" t="str">
        <f>B9&amp;B77</f>
        <v>Concho ResourcesOther long-term liabilities</v>
      </c>
      <c r="B77" s="132" t="s">
        <v>496</v>
      </c>
      <c r="C77" s="132" t="s">
        <v>509</v>
      </c>
      <c r="D77" s="108"/>
      <c r="E77" s="364">
        <f>IF(VLOOKUP($B77, P:Q, 2,0) = "-", 0, VLOOKUP($B77, P:Q, 2,0))*1000</f>
        <v>0</v>
      </c>
      <c r="F77" s="365">
        <f>E77</f>
        <v>0</v>
      </c>
      <c r="G77" s="365">
        <f t="shared" si="49"/>
        <v>0</v>
      </c>
      <c r="H77" s="365">
        <f t="shared" si="49"/>
        <v>0</v>
      </c>
      <c r="I77" s="365">
        <f t="shared" si="49"/>
        <v>0</v>
      </c>
      <c r="J77" s="365">
        <f t="shared" si="49"/>
        <v>0</v>
      </c>
      <c r="K77" s="365">
        <f t="shared" si="49"/>
        <v>0</v>
      </c>
      <c r="L77" s="365">
        <f t="shared" si="49"/>
        <v>0</v>
      </c>
      <c r="M77" s="365">
        <f t="shared" si="49"/>
        <v>0</v>
      </c>
      <c r="P77" s="339" t="s">
        <v>811</v>
      </c>
      <c r="Q77" s="340">
        <v>7</v>
      </c>
      <c r="R77" s="406"/>
    </row>
    <row r="78" spans="1:18" ht="10.5" customHeight="1" thickBot="1" x14ac:dyDescent="0.3">
      <c r="A78" s="331" t="str">
        <f>B9&amp;B78</f>
        <v>Concho ResourcesTotal liabilities</v>
      </c>
      <c r="B78" s="311" t="s">
        <v>499</v>
      </c>
      <c r="C78" s="311"/>
      <c r="D78" s="123"/>
      <c r="E78" s="376">
        <f>SUM(E72:E77)</f>
        <v>6950000</v>
      </c>
      <c r="F78" s="377">
        <f t="shared" ref="F78:M78" si="50">SUM(F72:F77)</f>
        <v>6828641.8907371433</v>
      </c>
      <c r="G78" s="377">
        <f t="shared" si="50"/>
        <v>6828641.8907371433</v>
      </c>
      <c r="H78" s="377">
        <f t="shared" si="50"/>
        <v>6828641.8907371433</v>
      </c>
      <c r="I78" s="377">
        <f t="shared" si="50"/>
        <v>6828641.8907371433</v>
      </c>
      <c r="J78" s="377">
        <f t="shared" si="50"/>
        <v>6825437.1660880083</v>
      </c>
      <c r="K78" s="377">
        <f t="shared" si="50"/>
        <v>6825437.1660880083</v>
      </c>
      <c r="L78" s="377">
        <f t="shared" si="50"/>
        <v>6825437.1660880083</v>
      </c>
      <c r="M78" s="377">
        <f t="shared" si="50"/>
        <v>6825437.1660880083</v>
      </c>
      <c r="P78" s="339" t="s">
        <v>810</v>
      </c>
      <c r="Q78" s="340">
        <v>1654</v>
      </c>
      <c r="R78" s="406"/>
    </row>
    <row r="79" spans="1:18" ht="10.5" customHeight="1" thickTop="1" x14ac:dyDescent="0.25">
      <c r="P79" s="339" t="s">
        <v>496</v>
      </c>
      <c r="Q79" s="340" t="s">
        <v>899</v>
      </c>
      <c r="R79" s="406"/>
    </row>
    <row r="80" spans="1:18" ht="10.5" customHeight="1" x14ac:dyDescent="0.25">
      <c r="A80" s="331" t="str">
        <f>B9&amp;B80</f>
        <v>Concho ResourcesNet (loss) Income cashflow</v>
      </c>
      <c r="B80" s="380" t="s">
        <v>572</v>
      </c>
      <c r="C80" s="381" t="s">
        <v>540</v>
      </c>
      <c r="D80" s="117"/>
      <c r="E80" s="364">
        <f>E49</f>
        <v>-176250</v>
      </c>
      <c r="F80" s="365">
        <f t="shared" ref="F80:M80" si="51">F49</f>
        <v>-404640.59649350279</v>
      </c>
      <c r="G80" s="365">
        <f t="shared" si="51"/>
        <v>-831403.0838051911</v>
      </c>
      <c r="H80" s="365">
        <f t="shared" si="51"/>
        <v>-806111.7026542885</v>
      </c>
      <c r="I80" s="365">
        <f t="shared" si="51"/>
        <v>-780820.3215033859</v>
      </c>
      <c r="J80" s="365">
        <f t="shared" si="51"/>
        <v>-708761.88371614984</v>
      </c>
      <c r="K80" s="365">
        <f t="shared" si="51"/>
        <v>-684996.80739758187</v>
      </c>
      <c r="L80" s="365">
        <f t="shared" si="51"/>
        <v>-661214.68100980273</v>
      </c>
      <c r="M80" s="365">
        <f t="shared" si="51"/>
        <v>-661214.68100980273</v>
      </c>
      <c r="P80" s="360" t="s">
        <v>934</v>
      </c>
      <c r="Q80" s="361" t="s">
        <v>899</v>
      </c>
      <c r="R80" s="406"/>
    </row>
    <row r="81" spans="1:18" ht="10.5" customHeight="1" x14ac:dyDescent="0.25">
      <c r="A81" s="331" t="str">
        <f>B9&amp;B81</f>
        <v>Concho ResourcesChange in Net working capital</v>
      </c>
      <c r="B81" s="382" t="s">
        <v>500</v>
      </c>
      <c r="C81" s="383" t="s">
        <v>565</v>
      </c>
      <c r="D81" s="118"/>
      <c r="E81" s="364">
        <f t="shared" ref="E81:E87" si="52">IF(VLOOKUP($B81, P:Q, 2,0) = "-", 0, VLOOKUP($B81, P:Q, 2,0))*1000</f>
        <v>-10000</v>
      </c>
      <c r="F81" s="365">
        <f>(F60-F72)-(E60-E72)</f>
        <v>-550303.82504302647</v>
      </c>
      <c r="G81" s="365">
        <f t="shared" ref="G81:M81" si="53">(G60-G72)-(F60-F72)</f>
        <v>-1252384.6482635313</v>
      </c>
      <c r="H81" s="365">
        <f t="shared" si="53"/>
        <v>-781134.05111580249</v>
      </c>
      <c r="I81" s="365">
        <f t="shared" si="53"/>
        <v>-755842.66996489977</v>
      </c>
      <c r="J81" s="365">
        <f t="shared" si="53"/>
        <v>-700238.41906824103</v>
      </c>
      <c r="K81" s="365">
        <f t="shared" si="53"/>
        <v>-661510.89945512312</v>
      </c>
      <c r="L81" s="365">
        <f t="shared" si="53"/>
        <v>-637728.77306734398</v>
      </c>
      <c r="M81" s="365">
        <f t="shared" si="53"/>
        <v>-661214.68100980297</v>
      </c>
      <c r="P81" s="360" t="s">
        <v>935</v>
      </c>
      <c r="Q81" s="361" t="s">
        <v>899</v>
      </c>
      <c r="R81" s="406"/>
    </row>
    <row r="82" spans="1:18" ht="10.5" customHeight="1" x14ac:dyDescent="0.25">
      <c r="A82" s="331" t="str">
        <f>B9&amp;B82</f>
        <v>Concho ResourcesDD&amp;A cashflow</v>
      </c>
      <c r="B82" s="382" t="s">
        <v>816</v>
      </c>
      <c r="C82" s="383" t="s">
        <v>566</v>
      </c>
      <c r="D82" s="118"/>
      <c r="E82" s="364">
        <f t="shared" si="52"/>
        <v>491000</v>
      </c>
      <c r="F82" s="365">
        <f>$E$82*F$32/$E$32</f>
        <v>469154.11984787526</v>
      </c>
      <c r="G82" s="365">
        <f t="shared" ref="G82:M82" si="54">$E$82*G$32/$E$32</f>
        <v>469154.11984787526</v>
      </c>
      <c r="H82" s="365">
        <f t="shared" si="54"/>
        <v>469154.11984787526</v>
      </c>
      <c r="I82" s="365">
        <f t="shared" si="54"/>
        <v>469154.11984787526</v>
      </c>
      <c r="J82" s="365">
        <f t="shared" si="54"/>
        <v>439465.06696626649</v>
      </c>
      <c r="K82" s="365">
        <f t="shared" si="54"/>
        <v>439465.06696626649</v>
      </c>
      <c r="L82" s="365">
        <f t="shared" si="54"/>
        <v>439465.06696626649</v>
      </c>
      <c r="M82" s="365">
        <f t="shared" si="54"/>
        <v>439465.06696626649</v>
      </c>
      <c r="P82" s="360" t="s">
        <v>936</v>
      </c>
      <c r="Q82" s="361" t="s">
        <v>899</v>
      </c>
      <c r="R82" s="406"/>
    </row>
    <row r="83" spans="1:18" ht="10.5" customHeight="1" x14ac:dyDescent="0.25">
      <c r="A83" s="331" t="str">
        <f>B9&amp;B83</f>
        <v>Concho ResourcesImpairment cashflow</v>
      </c>
      <c r="B83" s="382" t="s">
        <v>571</v>
      </c>
      <c r="C83" s="383" t="s">
        <v>566</v>
      </c>
      <c r="D83" s="118"/>
      <c r="E83" s="364">
        <f t="shared" si="52"/>
        <v>293000</v>
      </c>
      <c r="F83" s="365">
        <f>$E$83*F$31/$E$31</f>
        <v>293000</v>
      </c>
      <c r="G83" s="365">
        <f t="shared" ref="G83:M83" si="55">$E$83*G$31/$E$31</f>
        <v>293000</v>
      </c>
      <c r="H83" s="365">
        <f t="shared" si="55"/>
        <v>293000</v>
      </c>
      <c r="I83" s="365">
        <f t="shared" si="55"/>
        <v>293000</v>
      </c>
      <c r="J83" s="365">
        <f t="shared" si="55"/>
        <v>293000</v>
      </c>
      <c r="K83" s="365">
        <f t="shared" si="55"/>
        <v>293000</v>
      </c>
      <c r="L83" s="365">
        <f t="shared" si="55"/>
        <v>293000</v>
      </c>
      <c r="M83" s="365">
        <f t="shared" si="55"/>
        <v>293000</v>
      </c>
      <c r="P83" s="346" t="s">
        <v>499</v>
      </c>
      <c r="Q83" s="347">
        <f t="shared" ref="Q83" si="56">SUM(Q74:Q82)</f>
        <v>6950</v>
      </c>
      <c r="R83" s="407"/>
    </row>
    <row r="84" spans="1:18" ht="10.5" customHeight="1" x14ac:dyDescent="0.25">
      <c r="A84" s="331" t="str">
        <f>B9&amp;B84</f>
        <v>Concho ResourcesOther non-cash items</v>
      </c>
      <c r="B84" s="382" t="s">
        <v>501</v>
      </c>
      <c r="C84" s="383" t="s">
        <v>880</v>
      </c>
      <c r="D84" s="118"/>
      <c r="E84" s="364">
        <f t="shared" si="52"/>
        <v>111250</v>
      </c>
      <c r="F84" s="372">
        <f>$E$84+F34-$E$34</f>
        <v>111250</v>
      </c>
      <c r="G84" s="372">
        <f t="shared" ref="G84:M84" si="57">$E$84+G34-$E$34</f>
        <v>111250</v>
      </c>
      <c r="H84" s="372">
        <f t="shared" si="57"/>
        <v>111250</v>
      </c>
      <c r="I84" s="372">
        <f t="shared" si="57"/>
        <v>111250</v>
      </c>
      <c r="J84" s="372">
        <f t="shared" si="57"/>
        <v>111250</v>
      </c>
      <c r="K84" s="372">
        <f t="shared" si="57"/>
        <v>111250</v>
      </c>
      <c r="L84" s="372">
        <f t="shared" si="57"/>
        <v>111250</v>
      </c>
      <c r="M84" s="372">
        <f t="shared" si="57"/>
        <v>111250</v>
      </c>
      <c r="P84" s="384"/>
      <c r="Q84" s="345"/>
      <c r="R84" s="406"/>
    </row>
    <row r="85" spans="1:18" ht="10.5" customHeight="1" x14ac:dyDescent="0.25">
      <c r="A85" s="331" t="str">
        <f>B9&amp;B85</f>
        <v>Concho ResourcesDry hole cashflow</v>
      </c>
      <c r="B85" s="382" t="s">
        <v>817</v>
      </c>
      <c r="C85" s="383" t="s">
        <v>567</v>
      </c>
      <c r="D85" s="118"/>
      <c r="E85" s="364">
        <f t="shared" si="52"/>
        <v>0</v>
      </c>
      <c r="F85" s="365">
        <f>IF($E$85&gt;0, $E$85*F39/$E$39,0)</f>
        <v>0</v>
      </c>
      <c r="G85" s="365">
        <f t="shared" ref="G85:M85" si="58">IF($E$85&gt;0, $E$85*G39/$E$39,0)</f>
        <v>0</v>
      </c>
      <c r="H85" s="365">
        <f t="shared" si="58"/>
        <v>0</v>
      </c>
      <c r="I85" s="365">
        <f t="shared" si="58"/>
        <v>0</v>
      </c>
      <c r="J85" s="365">
        <f t="shared" si="58"/>
        <v>0</v>
      </c>
      <c r="K85" s="365">
        <f t="shared" si="58"/>
        <v>0</v>
      </c>
      <c r="L85" s="365">
        <f t="shared" si="58"/>
        <v>0</v>
      </c>
      <c r="M85" s="365">
        <f t="shared" si="58"/>
        <v>0</v>
      </c>
      <c r="P85" s="385" t="s">
        <v>458</v>
      </c>
      <c r="Q85" s="340"/>
      <c r="R85" s="406"/>
    </row>
    <row r="86" spans="1:18" ht="10.5" customHeight="1" x14ac:dyDescent="0.25">
      <c r="A86" s="331" t="str">
        <f>B9&amp;B86</f>
        <v>Concho Resourcesmarket to market contracts</v>
      </c>
      <c r="B86" s="382" t="s">
        <v>562</v>
      </c>
      <c r="C86" s="386" t="s">
        <v>507</v>
      </c>
      <c r="D86" s="118"/>
      <c r="E86" s="364">
        <f t="shared" si="52"/>
        <v>0</v>
      </c>
      <c r="F86" s="365">
        <f>E86</f>
        <v>0</v>
      </c>
      <c r="G86" s="365">
        <f t="shared" ref="G86:M86" si="59">F86</f>
        <v>0</v>
      </c>
      <c r="H86" s="365">
        <f t="shared" si="59"/>
        <v>0</v>
      </c>
      <c r="I86" s="365">
        <f t="shared" si="59"/>
        <v>0</v>
      </c>
      <c r="J86" s="365">
        <f t="shared" si="59"/>
        <v>0</v>
      </c>
      <c r="K86" s="365">
        <f t="shared" si="59"/>
        <v>0</v>
      </c>
      <c r="L86" s="365">
        <f t="shared" si="59"/>
        <v>0</v>
      </c>
      <c r="M86" s="365">
        <f t="shared" si="59"/>
        <v>0</v>
      </c>
      <c r="P86" s="346" t="s">
        <v>572</v>
      </c>
      <c r="Q86" s="347">
        <f t="shared" ref="Q86" si="60">Q43</f>
        <v>-176.25</v>
      </c>
      <c r="R86" s="407"/>
    </row>
    <row r="87" spans="1:18" ht="10.5" customHeight="1" x14ac:dyDescent="0.25">
      <c r="A87" s="331" t="str">
        <f>B9&amp;B87</f>
        <v>Concho ResourcesCash flow from operations</v>
      </c>
      <c r="B87" s="387" t="s">
        <v>502</v>
      </c>
      <c r="C87" s="388" t="s">
        <v>540</v>
      </c>
      <c r="D87" s="118" t="str">
        <f>IF(SUM(E80:E86) = E87, "same", "wrong")</f>
        <v>same</v>
      </c>
      <c r="E87" s="364">
        <f t="shared" si="52"/>
        <v>709000</v>
      </c>
      <c r="F87" s="367">
        <f>SUM(F80:F86)</f>
        <v>-81540.301688653941</v>
      </c>
      <c r="G87" s="367">
        <f t="shared" ref="G87:M87" si="61">SUM(G80:G86)</f>
        <v>-1210383.612220847</v>
      </c>
      <c r="H87" s="367">
        <f>SUM(H80:H86)</f>
        <v>-713841.63392221578</v>
      </c>
      <c r="I87" s="367">
        <f t="shared" si="61"/>
        <v>-663258.87162041035</v>
      </c>
      <c r="J87" s="367">
        <f t="shared" si="61"/>
        <v>-565285.23581812426</v>
      </c>
      <c r="K87" s="367">
        <f t="shared" si="61"/>
        <v>-502792.6398864385</v>
      </c>
      <c r="L87" s="367">
        <f t="shared" si="61"/>
        <v>-455228.38711088023</v>
      </c>
      <c r="M87" s="367">
        <f t="shared" si="61"/>
        <v>-478714.29505333921</v>
      </c>
      <c r="P87" s="339" t="s">
        <v>500</v>
      </c>
      <c r="Q87" s="340">
        <f>(-90-2+1+3+28+20)/4</f>
        <v>-10</v>
      </c>
      <c r="R87" s="406"/>
    </row>
    <row r="88" spans="1:18" ht="10.5" customHeight="1" x14ac:dyDescent="0.25">
      <c r="A88" s="331" t="str">
        <f>B9&amp;B88</f>
        <v>Concho ResourcesCapex</v>
      </c>
      <c r="B88" s="382" t="s">
        <v>277</v>
      </c>
      <c r="C88" s="132" t="s">
        <v>534</v>
      </c>
      <c r="D88" s="118"/>
      <c r="E88" s="364">
        <f>IF($B$2="A3",SUMIFS('$33Econ'!$H$8:$H$8001,'$33Econ'!$A$8:$A$8001,$B$9,'$33Econ'!$G$8:$G$8001,$B88)*1000/4,SUMIFS('$22Econ'!$H$8:$H$8001,'$22Econ'!$A$8:$A$8001,$B$9,'$22Econ'!$G$8:$G$8001,$B88)*1000/4)</f>
        <v>608273.62075</v>
      </c>
      <c r="F88" s="365">
        <f>IF($B$2="A3",SUMIFS('$33Econ'!$I$8:$I$8001,'$33Econ'!$A$8:$A$8001,$B$9,'$33Econ'!$G$8:$G$8001,$B88)*1000/4,SUMIFS('$22Econ'!$I$8:$I$8001,'$22Econ'!$A$8:$A$8001,$B$9,'$22Econ'!$G$8:$G$8001,$B88)*1000/4)</f>
        <v>87004.517300000021</v>
      </c>
      <c r="G88" s="365">
        <f>IF($B$2="A3",SUMIFS('$33Econ'!$I$8:$I$8001,'$33Econ'!$A$8:$A$8001,$B$9,'$33Econ'!$G$8:$G$8001,$B88)*1000/4,SUMIFS('$22Econ'!$I$8:$I$8001,'$22Econ'!$A$8:$A$8001,$B$9,'$22Econ'!$G$8:$G$8001,$B88)*1000/4)</f>
        <v>87004.517300000021</v>
      </c>
      <c r="H88" s="365">
        <f>IF($B$2="A3",SUMIFS('$33Econ'!$I$8:$I$8001,'$33Econ'!$A$8:$A$8001,$B$9,'$33Econ'!$G$8:$G$8001,$B88)*1000/4,SUMIFS('$22Econ'!$I$8:$I$8001,'$22Econ'!$A$8:$A$8001,$B$9,'$22Econ'!$G$8:$G$8001,$B88)*1000/4)</f>
        <v>87004.517300000021</v>
      </c>
      <c r="I88" s="365">
        <f>IF($B$2="A3",SUMIFS('$33Econ'!$I$8:$I$8001,'$33Econ'!$A$8:$A$8001,$B$9,'$33Econ'!$G$8:$G$8001,$B88)*1000/4,SUMIFS('$22Econ'!$I$8:$I$8001,'$22Econ'!$A$8:$A$8001,$B$9,'$22Econ'!$G$8:$G$8001,$B88)*1000/4)</f>
        <v>87004.517300000021</v>
      </c>
      <c r="J88" s="365">
        <f>IF($B$2="A3",SUMIFS('$33Econ'!$J$8:$J$8001,'$33Econ'!$A$8:$A$8001,$B$9,'$33Econ'!$G$8:$G$8001,$B88)*1000/4,SUMIFS('$22Econ'!$J$8:$J$8001,'$22Econ'!$A$8:$A$8001,$B$9,'$22Econ'!$G$8:$G$8001,$B88)*1000/4)</f>
        <v>13795.803250000001</v>
      </c>
      <c r="K88" s="365">
        <f t="shared" ref="K88:M88" si="62">J88</f>
        <v>13795.803250000001</v>
      </c>
      <c r="L88" s="365">
        <f t="shared" si="62"/>
        <v>13795.803250000001</v>
      </c>
      <c r="M88" s="365">
        <f t="shared" si="62"/>
        <v>13795.803250000001</v>
      </c>
      <c r="P88" s="389" t="s">
        <v>816</v>
      </c>
      <c r="Q88" s="390">
        <f t="shared" ref="Q88" si="63">Q16</f>
        <v>491</v>
      </c>
      <c r="R88" s="407"/>
    </row>
    <row r="89" spans="1:18" ht="10.5" customHeight="1" x14ac:dyDescent="0.25">
      <c r="A89" s="331" t="str">
        <f>B9&amp;B89</f>
        <v>Concho ResourcesExploration Capex</v>
      </c>
      <c r="B89" s="382" t="s">
        <v>278</v>
      </c>
      <c r="C89" s="132" t="s">
        <v>534</v>
      </c>
      <c r="D89" s="118"/>
      <c r="E89" s="364">
        <f>IF($B$2="A3",SUMIFS('$33Econ'!$H$8:$H$8001,'$33Econ'!$A$8:$A$8001,$B$9,'$33Econ'!$G$8:$G$8001,$B89)*1000/4,SUMIFS('$22Econ'!$H$8:$H$8001,'$22Econ'!$A$8:$A$8001,$B$9,'$22Econ'!$G$8:$G$8001,$B89)*1000/4)</f>
        <v>128128.62000000001</v>
      </c>
      <c r="F89" s="391">
        <f>(1-INDEX(Assumptions!$A$2:$K$596,MATCH($B9&amp;"Capex reduction",Assumptions!$A$2:$A$596,0),MATCH(F$2,Assumptions!$A$2:$K$2,0))) *IF($B$2="A3",SUMIFS('$33Econ'!$I$8:$I$8001,'$33Econ'!$A$8:$A$8001,$B$9,'$33Econ'!$G$8:$G$8001,$B89)*1000/4,SUMIFS('$22Econ'!$I$8:$I$8001,'$22Econ'!$A$8:$A$8001,$B$9,'$22Econ'!$G$8:$G$8001,$B89)*1000/4)</f>
        <v>77432.235000000001</v>
      </c>
      <c r="G89" s="391">
        <f>(1-INDEX(Assumptions!$A$2:$K$596,MATCH($B9&amp;"Capex reduction",Assumptions!$A$2:$A$596,0),MATCH(G$2,Assumptions!$A$2:$K$2,0))) *IF($B$2="A3",SUMIFS('$33Econ'!$I$8:$I$8001,'$33Econ'!$A$8:$A$8001,$B$9,'$33Econ'!$G$8:$G$8001,$B89)*1000/4,SUMIFS('$22Econ'!$I$8:$I$8001,'$22Econ'!$A$8:$A$8001,$B$9,'$22Econ'!$G$8:$G$8001,$B89)*1000/4)</f>
        <v>77432.235000000001</v>
      </c>
      <c r="H89" s="391">
        <f>(1-INDEX(Assumptions!$A$2:$K$596,MATCH($B9&amp;"Capex reduction",Assumptions!$A$2:$A$596,0),MATCH(H$2,Assumptions!$A$2:$K$2,0))) *IF($B$2="A3",SUMIFS('$33Econ'!$I$8:$I$8001,'$33Econ'!$A$8:$A$8001,$B$9,'$33Econ'!$G$8:$G$8001,$B89)*1000/4,SUMIFS('$22Econ'!$I$8:$I$8001,'$22Econ'!$A$8:$A$8001,$B$9,'$22Econ'!$G$8:$G$8001,$B89)*1000/4)</f>
        <v>77432.235000000001</v>
      </c>
      <c r="I89" s="391">
        <f>(1-INDEX(Assumptions!$A$2:$K$596,MATCH($B9&amp;"Capex reduction",Assumptions!$A$2:$A$596,0),MATCH(I$2,Assumptions!$A$2:$K$2,0))) *IF($B$2="A3",SUMIFS('$33Econ'!$I$8:$I$8001,'$33Econ'!$A$8:$A$8001,$B$9,'$33Econ'!$G$8:$G$8001,$B89)*1000/4,SUMIFS('$22Econ'!$I$8:$I$8001,'$22Econ'!$A$8:$A$8001,$B$9,'$22Econ'!$G$8:$G$8001,$B89)*1000/4)</f>
        <v>77432.235000000001</v>
      </c>
      <c r="J89" s="391">
        <f>(1-INDEX(Assumptions!$A$2:$K$596,MATCH($B9&amp;"Capex reduction",Assumptions!$A$2:$A$596,0),MATCH(J$2,Assumptions!$A$2:$K$2,0))) *IF($B$2="A3",SUMIFS('$33Econ'!$J$8:$J$8001,'$33Econ'!$A$8:$A$8001,$B$9,'$33Econ'!$G$8:$G$8001,$B89)*1000/4,SUMIFS('$22Econ'!$J$8:$J$8001,'$22Econ'!$A$8:$A$8001,$B$9,'$22Econ'!$G$8:$G$8001,$B89)*1000/4)</f>
        <v>33930.782500000001</v>
      </c>
      <c r="K89" s="391">
        <f>(1-INDEX(Assumptions!$A$2:$K$596,MATCH($B9&amp;"Capex reduction",Assumptions!$A$2:$A$596,0),MATCH(K$2,Assumptions!$A$2:$K$2,0))) *IF($B$2="A3",SUMIFS('$33Econ'!$J$8:$J$8001,'$33Econ'!$A$8:$A$8001,$B$9,'$33Econ'!$G$8:$G$8001,$B89)*1000/4,SUMIFS('$22Econ'!$J$8:$J$8001,'$22Econ'!$A$8:$A$8001,$B$9,'$22Econ'!$G$8:$G$8001,$B89)*1000/4)</f>
        <v>33930.782500000001</v>
      </c>
      <c r="L89" s="391">
        <f>(1-INDEX(Assumptions!$A$2:$K$596,MATCH($B9&amp;"Capex reduction",Assumptions!$A$2:$A$596,0),MATCH(L$2,Assumptions!$A$2:$K$2,0))) *IF($B$2="A3",SUMIFS('$33Econ'!$J$8:$J$8001,'$33Econ'!$A$8:$A$8001,$B$9,'$33Econ'!$G$8:$G$8001,$B89)*1000/4,SUMIFS('$22Econ'!$J$8:$J$8001,'$22Econ'!$A$8:$A$8001,$B$9,'$22Econ'!$G$8:$G$8001,$B89)*1000/4)</f>
        <v>33930.782500000001</v>
      </c>
      <c r="M89" s="391">
        <f>(1-INDEX(Assumptions!$A$2:$K$596,MATCH($B9&amp;"Capex reduction",Assumptions!$A$2:$A$596,0),MATCH(M$2,Assumptions!$A$2:$K$2,0))) *IF($B$2="A3",SUMIFS('$33Econ'!$J$8:$J$8001,'$33Econ'!$A$8:$A$8001,$B$9,'$33Econ'!$G$8:$G$8001,$B89)*1000/4,SUMIFS('$22Econ'!$J$8:$J$8001,'$22Econ'!$A$8:$A$8001,$B$9,'$22Econ'!$G$8:$G$8001,$B89)*1000/4)</f>
        <v>33930.782500000001</v>
      </c>
      <c r="P89" s="389" t="s">
        <v>571</v>
      </c>
      <c r="Q89" s="390">
        <f t="shared" ref="Q89" si="64">Q15</f>
        <v>293</v>
      </c>
      <c r="R89" s="407"/>
    </row>
    <row r="90" spans="1:18" ht="10.5" customHeight="1" thickBot="1" x14ac:dyDescent="0.3">
      <c r="A90" s="331" t="str">
        <f>B9&amp;B90</f>
        <v>Concho ResourcesFree Cash Flow (FCF)</v>
      </c>
      <c r="B90" s="392" t="s">
        <v>458</v>
      </c>
      <c r="C90" s="392" t="s">
        <v>512</v>
      </c>
      <c r="D90" s="119"/>
      <c r="E90" s="376">
        <f>SUM(E87:E89)</f>
        <v>1445402.2407500001</v>
      </c>
      <c r="F90" s="377">
        <f>SUM(F87:F89)</f>
        <v>82896.450611346081</v>
      </c>
      <c r="G90" s="377">
        <f t="shared" ref="G90:M90" si="65">SUM(G87:G89)</f>
        <v>-1045946.8599208471</v>
      </c>
      <c r="H90" s="377">
        <f t="shared" si="65"/>
        <v>-549404.88162221573</v>
      </c>
      <c r="I90" s="377">
        <f t="shared" si="65"/>
        <v>-498822.1193204103</v>
      </c>
      <c r="J90" s="377">
        <f t="shared" si="65"/>
        <v>-517558.65006812429</v>
      </c>
      <c r="K90" s="377">
        <f t="shared" si="65"/>
        <v>-455066.05413643853</v>
      </c>
      <c r="L90" s="377">
        <f t="shared" si="65"/>
        <v>-407501.80136088026</v>
      </c>
      <c r="M90" s="377">
        <f t="shared" si="65"/>
        <v>-430987.70930333924</v>
      </c>
      <c r="P90" s="339" t="s">
        <v>501</v>
      </c>
      <c r="Q90" s="340">
        <f>(10+166+85-154-459+895-98)/4</f>
        <v>111.25</v>
      </c>
      <c r="R90" s="406"/>
    </row>
    <row r="91" spans="1:18" ht="10.5" customHeight="1" thickTop="1" x14ac:dyDescent="0.25">
      <c r="I91" s="374"/>
      <c r="M91" s="374"/>
      <c r="P91" s="360" t="s">
        <v>817</v>
      </c>
      <c r="Q91" s="361" t="s">
        <v>899</v>
      </c>
      <c r="R91" s="406"/>
    </row>
    <row r="92" spans="1:18" ht="10.5" customHeight="1" x14ac:dyDescent="0.25">
      <c r="A92" s="331" t="str">
        <f>B9&amp;B92</f>
        <v>Concho ResourcesEBITDA</v>
      </c>
      <c r="B92" s="380" t="s">
        <v>428</v>
      </c>
      <c r="C92" s="393" t="s">
        <v>540</v>
      </c>
      <c r="D92" s="117"/>
      <c r="E92" s="364">
        <f>(E29-E41)+E32</f>
        <v>244250</v>
      </c>
      <c r="F92" s="365">
        <f>(F29-F41)+F32</f>
        <v>-43400.210096485389</v>
      </c>
      <c r="G92" s="365">
        <f t="shared" ref="G92:M92" si="66">(G29-G41)+G32</f>
        <v>-562340.90279969084</v>
      </c>
      <c r="H92" s="365">
        <f t="shared" si="66"/>
        <v>-531524.87952504493</v>
      </c>
      <c r="I92" s="365">
        <f t="shared" si="66"/>
        <v>-500708.85625039908</v>
      </c>
      <c r="J92" s="365">
        <f t="shared" si="66"/>
        <v>-458122.97618063062</v>
      </c>
      <c r="K92" s="365">
        <f t="shared" si="66"/>
        <v>-429145.88885140768</v>
      </c>
      <c r="L92" s="365">
        <f t="shared" si="66"/>
        <v>-400168.80152218463</v>
      </c>
      <c r="M92" s="365">
        <f t="shared" si="66"/>
        <v>-400168.80152218463</v>
      </c>
      <c r="P92" s="360" t="s">
        <v>562</v>
      </c>
      <c r="Q92" s="361" t="s">
        <v>899</v>
      </c>
      <c r="R92" s="406"/>
    </row>
    <row r="93" spans="1:18" ht="10.5" customHeight="1" x14ac:dyDescent="0.25">
      <c r="A93" s="331" t="str">
        <f>B9&amp;B93</f>
        <v>Concho ResourcesExploration capex</v>
      </c>
      <c r="B93" s="382" t="s">
        <v>519</v>
      </c>
      <c r="C93" s="382" t="s">
        <v>534</v>
      </c>
      <c r="D93" s="118"/>
      <c r="E93" s="364">
        <f>E89</f>
        <v>128128.62000000001</v>
      </c>
      <c r="F93" s="372">
        <f t="shared" ref="F93:M93" si="67">F89</f>
        <v>77432.235000000001</v>
      </c>
      <c r="G93" s="372">
        <f t="shared" si="67"/>
        <v>77432.235000000001</v>
      </c>
      <c r="H93" s="372">
        <f t="shared" si="67"/>
        <v>77432.235000000001</v>
      </c>
      <c r="I93" s="372">
        <f t="shared" si="67"/>
        <v>77432.235000000001</v>
      </c>
      <c r="J93" s="372">
        <f t="shared" si="67"/>
        <v>33930.782500000001</v>
      </c>
      <c r="K93" s="372">
        <f t="shared" si="67"/>
        <v>33930.782500000001</v>
      </c>
      <c r="L93" s="372">
        <f t="shared" si="67"/>
        <v>33930.782500000001</v>
      </c>
      <c r="M93" s="372">
        <f t="shared" si="67"/>
        <v>33930.782500000001</v>
      </c>
      <c r="P93" s="339" t="s">
        <v>502</v>
      </c>
      <c r="Q93" s="340">
        <f>SUM(Q86:Q90)</f>
        <v>709</v>
      </c>
      <c r="R93" s="406"/>
    </row>
    <row r="94" spans="1:18" ht="10.5" customHeight="1" x14ac:dyDescent="0.25">
      <c r="A94" s="331" t="str">
        <f>B9&amp;B94</f>
        <v>Concho ResourcesEBITDAX</v>
      </c>
      <c r="B94" s="394" t="s">
        <v>459</v>
      </c>
      <c r="C94" s="394" t="s">
        <v>512</v>
      </c>
      <c r="D94" s="125"/>
      <c r="E94" s="366">
        <f>SUM(E92:E93)</f>
        <v>372378.62</v>
      </c>
      <c r="F94" s="367">
        <f t="shared" ref="F94:M94" si="68">SUM(F92:F93)</f>
        <v>34032.024903514612</v>
      </c>
      <c r="G94" s="367">
        <f t="shared" si="68"/>
        <v>-484908.66779969085</v>
      </c>
      <c r="H94" s="367">
        <f t="shared" si="68"/>
        <v>-454092.64452504495</v>
      </c>
      <c r="I94" s="367">
        <f t="shared" si="68"/>
        <v>-423276.6212503991</v>
      </c>
      <c r="J94" s="367">
        <f t="shared" si="68"/>
        <v>-424192.19368063065</v>
      </c>
      <c r="K94" s="367">
        <f t="shared" si="68"/>
        <v>-395215.10635140771</v>
      </c>
      <c r="L94" s="367">
        <f t="shared" si="68"/>
        <v>-366238.01902218466</v>
      </c>
      <c r="M94" s="367">
        <f t="shared" si="68"/>
        <v>-366238.01902218466</v>
      </c>
      <c r="P94" s="339" t="s">
        <v>277</v>
      </c>
      <c r="Q94" s="340" t="s">
        <v>899</v>
      </c>
      <c r="R94" s="406"/>
    </row>
    <row r="95" spans="1:18" ht="10.5" customHeight="1" x14ac:dyDescent="0.25">
      <c r="A95" s="353" t="str">
        <f>B9&amp;B95</f>
        <v>Concho ResourcesDebt/EBITDAX</v>
      </c>
      <c r="B95" s="395" t="s">
        <v>947</v>
      </c>
      <c r="C95" s="395" t="s">
        <v>512</v>
      </c>
      <c r="D95" s="123"/>
      <c r="E95" s="358">
        <f>(E73+E68)/(E94*4)</f>
        <v>2.6908096925650566</v>
      </c>
      <c r="F95" s="359"/>
      <c r="G95" s="359"/>
      <c r="H95" s="359"/>
      <c r="I95" s="359">
        <f>(AVERAGE(F73:I73)+AVERAGE(F68:I68))/SUM(F92:I92)</f>
        <v>-2.4454843699130517</v>
      </c>
      <c r="J95" s="359"/>
      <c r="K95" s="359"/>
      <c r="L95" s="359"/>
      <c r="M95" s="359">
        <f>(AVERAGE(J73:M73)+AVERAGE(J68:M68))/SUM(J92:M92)</f>
        <v>-2.3716649833951666</v>
      </c>
      <c r="Q95" s="340" t="s">
        <v>899</v>
      </c>
      <c r="R95" s="406"/>
    </row>
    <row r="96" spans="1:18" s="396" customFormat="1" ht="10.5" customHeight="1" x14ac:dyDescent="0.25">
      <c r="D96" s="124"/>
      <c r="P96" s="339" t="s">
        <v>278</v>
      </c>
      <c r="Q96" s="390">
        <f t="shared" ref="Q96" si="69">SUM(Q93:Q95)</f>
        <v>709</v>
      </c>
      <c r="R96" s="407"/>
    </row>
    <row r="97" spans="1:18" ht="10.5" customHeight="1" x14ac:dyDescent="0.25">
      <c r="A97" s="331" t="str">
        <f>B9&amp;B97</f>
        <v>Concho ResourcesCash dividends paid</v>
      </c>
      <c r="B97" s="352" t="s">
        <v>521</v>
      </c>
      <c r="C97" s="353" t="s">
        <v>546</v>
      </c>
      <c r="D97" s="122"/>
      <c r="E97" s="364">
        <f>IF(VLOOKUP($B97, P:Q, 2,0) = "-", 0, VLOOKUP($B97, P:Q, 2,0))*1000</f>
        <v>-25000</v>
      </c>
      <c r="F97" s="365">
        <f>E97*(1-INDEX(Assumptions!$A$2:$K$596,MATCH($B9&amp;"Dividend reduction",Assumptions!$A$2:$A$596,0),MATCH(F$2,Assumptions!$A$2:$K$2,0)))</f>
        <v>-25000</v>
      </c>
      <c r="G97" s="365">
        <f>F97*(1-INDEX(Assumptions!$A$2:$K$596,MATCH($B9&amp;"Dividend reduction",Assumptions!$A$2:$A$596,0),MATCH(G$2,Assumptions!$A$2:$K$2,0)))</f>
        <v>-25000</v>
      </c>
      <c r="H97" s="365">
        <f>G97*(1-INDEX(Assumptions!$A$2:$K$596,MATCH($B9&amp;"Dividend reduction",Assumptions!$A$2:$A$596,0),MATCH(H$2,Assumptions!$A$2:$K$2,0)))</f>
        <v>-25000</v>
      </c>
      <c r="I97" s="365">
        <f>H97*(1-INDEX(Assumptions!$A$2:$K$596,MATCH($B9&amp;"Dividend reduction",Assumptions!$A$2:$A$596,0),MATCH(I$2,Assumptions!$A$2:$K$2,0)))</f>
        <v>-25000</v>
      </c>
      <c r="J97" s="365">
        <f>I97*(1-INDEX(Assumptions!$A$2:$K$596,MATCH($B9&amp;"Dividend reduction",Assumptions!$A$2:$A$596,0),MATCH(J$2,Assumptions!$A$2:$K$2,0)))</f>
        <v>-25000</v>
      </c>
      <c r="K97" s="365">
        <f>J97*(1-INDEX(Assumptions!$A$2:$K$596,MATCH($B9&amp;"Dividend reduction",Assumptions!$A$2:$A$596,0),MATCH(K$2,Assumptions!$A$2:$K$2,0)))</f>
        <v>-25000</v>
      </c>
      <c r="L97" s="365">
        <f>K97*(1-INDEX(Assumptions!$A$2:$K$596,MATCH($B9&amp;"Dividend reduction",Assumptions!$A$2:$A$596,0),MATCH(L$2,Assumptions!$A$2:$K$2,0)))</f>
        <v>-25000</v>
      </c>
      <c r="M97" s="365">
        <f>L97*(1-INDEX(Assumptions!$A$2:$K$596,MATCH($B9&amp;"Dividend reduction",Assumptions!$A$2:$A$596,0),MATCH(M$2,Assumptions!$A$2:$K$2,0)))</f>
        <v>-25000</v>
      </c>
      <c r="P97" s="389" t="s">
        <v>458</v>
      </c>
      <c r="Q97" s="340"/>
      <c r="R97" s="406"/>
    </row>
    <row r="98" spans="1:18" ht="10.5" customHeight="1" x14ac:dyDescent="0.25">
      <c r="P98" s="339"/>
      <c r="Q98" s="390" t="s">
        <v>899</v>
      </c>
      <c r="R98" s="407"/>
    </row>
    <row r="99" spans="1:18" ht="10.5" customHeight="1" x14ac:dyDescent="0.25">
      <c r="A99" s="331" t="str">
        <f>B9&amp;B99</f>
        <v>Concho ResourcesOhlson's O-Score</v>
      </c>
      <c r="B99" s="380" t="s">
        <v>427</v>
      </c>
      <c r="C99" s="380" t="s">
        <v>512</v>
      </c>
      <c r="D99" s="117"/>
      <c r="E99" s="130"/>
      <c r="F99" s="130"/>
      <c r="G99" s="130"/>
      <c r="H99" s="130"/>
      <c r="I99" s="334">
        <f>-1.32-0.407*(LN($I66*1000/(36.32+2.11*'Quarterly Forecasts'!$K$15)))+6.03*($I78/$I66)-1.43*(($I60-$I72)/$I66)+0.0757*($I72/$I60)-2.37*(SUM($F49:$I49)/$I66)-1.83*(SUM($F92:$I92)/$I78)+0.285*(IF(AND(SUM($F49:$I49)&lt;0,($E49*4)&lt;0),1,0))-0.521*((SUM($F49:$I49)-($E49*4))/(ABS(SUM($F49:$I49))+ABS($E49*4)))-1.72*(IF($I78&gt;$I66,1,0))</f>
        <v>-4.9233375117538767</v>
      </c>
      <c r="J99" s="130"/>
      <c r="K99" s="130"/>
      <c r="L99" s="130"/>
      <c r="M99" s="334">
        <f>-1.32-0.407*(LN($M66*1000/(36.32+2.11*'Quarterly Forecasts'!$K$15)))+6.03*($M78/$M66)-1.43*(($M60-$M72)/$M66)+0.0757*($M72/$M60)-2.37*(SUM($J49:$M49)/$M66)-1.83*(SUM($J92:$M92)/$M78)+0.285*(IF(AND(SUM($J49:$M49)&lt;0,(SUM($F49:$I49))&lt;0),1,0))-0.521*((SUM($J49:$M49)-(SUM($F49:$I49)))/(ABS(SUM($J49:$M49))+ABS(SUM($F49:$I49))))-1.72*(IF($M78&gt;$M66,1,0))</f>
        <v>-4.6148388901202422</v>
      </c>
      <c r="P99" s="389" t="s">
        <v>428</v>
      </c>
      <c r="Q99" s="390" t="str">
        <f t="shared" ref="Q99" si="70">Q95</f>
        <v>-</v>
      </c>
      <c r="R99" s="407"/>
    </row>
    <row r="100" spans="1:18" ht="10.5" customHeight="1" thickBot="1" x14ac:dyDescent="0.3">
      <c r="A100" s="331" t="str">
        <f>B9&amp;B100</f>
        <v>Concho ResourcesProbability of default (PD)</v>
      </c>
      <c r="B100" s="397" t="s">
        <v>504</v>
      </c>
      <c r="C100" s="398" t="s">
        <v>512</v>
      </c>
      <c r="D100" s="110"/>
      <c r="E100" s="131"/>
      <c r="F100" s="131"/>
      <c r="G100" s="131"/>
      <c r="H100" s="131"/>
      <c r="I100" s="399">
        <f>EXP(I99)/(1+EXP(I99))</f>
        <v>7.2222698742071094E-3</v>
      </c>
      <c r="J100" s="131"/>
      <c r="K100" s="131"/>
      <c r="L100" s="131"/>
      <c r="M100" s="399">
        <f>EXP(M99)/(1+EXP(M99))</f>
        <v>9.806655923296631E-3</v>
      </c>
      <c r="P100" s="389" t="s">
        <v>519</v>
      </c>
      <c r="Q100" s="390">
        <v>770.5</v>
      </c>
      <c r="R100" s="407"/>
    </row>
    <row r="101" spans="1:18" ht="10.5" customHeight="1" thickTop="1" x14ac:dyDescent="0.25">
      <c r="P101" s="389" t="s">
        <v>459</v>
      </c>
      <c r="Q101" s="340"/>
      <c r="R101" s="406"/>
    </row>
    <row r="102" spans="1:18" ht="10.5" customHeight="1" x14ac:dyDescent="0.25">
      <c r="P102" s="339"/>
      <c r="R102" s="406"/>
    </row>
    <row r="103" spans="1:18" ht="10.5" customHeight="1" thickBot="1" x14ac:dyDescent="0.3">
      <c r="P103" s="401" t="s">
        <v>521</v>
      </c>
      <c r="Q103" s="400">
        <f>-100/4</f>
        <v>-25</v>
      </c>
    </row>
  </sheetData>
  <conditionalFormatting sqref="D8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E3F2E-7FEC-4DEB-8260-15D6D7698698}">
  <dimension ref="A1:R103"/>
  <sheetViews>
    <sheetView showGridLines="0" zoomScale="103" zoomScaleNormal="130" workbookViewId="0">
      <pane xSplit="2" ySplit="2" topLeftCell="E3" activePane="bottomRight" state="frozen"/>
      <selection activeCell="I95" sqref="I95"/>
      <selection pane="topRight" activeCell="I95" sqref="I95"/>
      <selection pane="bottomLeft" activeCell="I95" sqref="I95"/>
      <selection pane="bottomRight" activeCell="I95" sqref="I95"/>
    </sheetView>
  </sheetViews>
  <sheetFormatPr defaultColWidth="8.81640625" defaultRowHeight="10.5" customHeight="1" x14ac:dyDescent="0.25"/>
  <cols>
    <col min="1" max="1" width="9.6328125" style="331" customWidth="1"/>
    <col min="2" max="2" width="28.6328125" style="331" customWidth="1"/>
    <col min="3" max="3" width="35.453125" style="331" customWidth="1"/>
    <col min="4" max="4" width="9" style="113" bestFit="1" customWidth="1"/>
    <col min="5" max="5" width="10.453125" style="331" bestFit="1" customWidth="1"/>
    <col min="6" max="6" width="12.1796875" style="331" customWidth="1"/>
    <col min="7" max="13" width="10.453125" style="331" customWidth="1"/>
    <col min="14" max="15" width="8.81640625" style="331" customWidth="1"/>
    <col min="16" max="16" width="40.90625" style="331" customWidth="1"/>
    <col min="17" max="17" width="20.7265625" style="304" customWidth="1"/>
    <col min="18" max="18" width="11.08984375" style="404" customWidth="1"/>
    <col min="19" max="16384" width="8.81640625" style="331"/>
  </cols>
  <sheetData>
    <row r="1" spans="1:18" ht="10.5" customHeight="1" x14ac:dyDescent="0.25">
      <c r="E1" s="331" t="str">
        <f>LEFT(E2,4)</f>
        <v>2019</v>
      </c>
      <c r="F1" s="331" t="str">
        <f t="shared" ref="F1:M1" si="0">LEFT(F2,4)</f>
        <v>2020</v>
      </c>
      <c r="G1" s="331" t="str">
        <f t="shared" si="0"/>
        <v>2020</v>
      </c>
      <c r="H1" s="331" t="str">
        <f t="shared" si="0"/>
        <v>2020</v>
      </c>
      <c r="I1" s="331" t="str">
        <f t="shared" si="0"/>
        <v>2020</v>
      </c>
      <c r="J1" s="331" t="str">
        <f t="shared" si="0"/>
        <v>2021</v>
      </c>
      <c r="K1" s="331" t="str">
        <f t="shared" si="0"/>
        <v>2021</v>
      </c>
      <c r="L1" s="331" t="str">
        <f t="shared" si="0"/>
        <v>2021</v>
      </c>
      <c r="M1" s="331" t="str">
        <f t="shared" si="0"/>
        <v>2021</v>
      </c>
      <c r="P1" s="402" t="s">
        <v>949</v>
      </c>
      <c r="Q1" s="403" t="s">
        <v>270</v>
      </c>
    </row>
    <row r="2" spans="1:18" ht="10.5" customHeight="1" x14ac:dyDescent="0.25">
      <c r="B2" s="331" t="s">
        <v>439</v>
      </c>
      <c r="C2" s="331" t="s">
        <v>517</v>
      </c>
      <c r="D2" s="113" t="s">
        <v>524</v>
      </c>
      <c r="E2" s="344" t="s">
        <v>413</v>
      </c>
      <c r="F2" s="344" t="s">
        <v>414</v>
      </c>
      <c r="G2" s="344" t="s">
        <v>415</v>
      </c>
      <c r="H2" s="344" t="s">
        <v>416</v>
      </c>
      <c r="I2" s="344" t="s">
        <v>417</v>
      </c>
      <c r="J2" s="344" t="s">
        <v>418</v>
      </c>
      <c r="K2" s="344" t="s">
        <v>419</v>
      </c>
      <c r="L2" s="344" t="s">
        <v>420</v>
      </c>
      <c r="M2" s="344" t="s">
        <v>421</v>
      </c>
      <c r="P2" s="339"/>
      <c r="Q2" s="336"/>
    </row>
    <row r="3" spans="1:18" ht="10.5" customHeight="1" x14ac:dyDescent="0.25">
      <c r="B3" s="332" t="s">
        <v>522</v>
      </c>
      <c r="C3" s="332"/>
      <c r="D3" s="111"/>
      <c r="E3" s="333"/>
      <c r="F3" s="334"/>
      <c r="G3" s="334"/>
      <c r="H3" s="334"/>
      <c r="I3" s="334"/>
      <c r="J3" s="334"/>
      <c r="K3" s="334"/>
      <c r="L3" s="334"/>
      <c r="M3" s="334"/>
      <c r="P3" s="335" t="s">
        <v>523</v>
      </c>
      <c r="Q3" s="336"/>
      <c r="R3" s="405"/>
    </row>
    <row r="4" spans="1:18" ht="10.5" customHeight="1" x14ac:dyDescent="0.25">
      <c r="A4" s="331" t="str">
        <f>$B$9&amp;$B$3&amp;B4</f>
        <v>Concho ResourcesMarket PricesOil</v>
      </c>
      <c r="B4" s="82" t="s">
        <v>396</v>
      </c>
      <c r="C4" s="82"/>
      <c r="D4" s="108"/>
      <c r="E4" s="337">
        <f>INDEX('Quarterly Forecasts'!$B$4:$O$500,MATCH(($B$2&amp;$B4),'Quarterly Forecasts'!$B$4:$B$500,0),MATCH(E$2,'Quarterly Forecasts'!$B$4:$O$4,0))</f>
        <v>64.358329999999995</v>
      </c>
      <c r="F4" s="338">
        <f>INDEX('Quarterly Forecasts'!$B$4:$O$500,MATCH($B$2&amp;$B4,'Quarterly Forecasts'!$B$4:$B$500,0),MATCH(F$2,'Quarterly Forecasts'!$B$4:$O$4,0))</f>
        <v>50.81859</v>
      </c>
      <c r="G4" s="338">
        <f>INDEX('Quarterly Forecasts'!$B$4:$O$500,MATCH($B$2&amp;$B4,'Quarterly Forecasts'!$B$4:$B$500,0),MATCH(G$2,'Quarterly Forecasts'!$B$4:$O$4,0))</f>
        <v>20</v>
      </c>
      <c r="H4" s="338">
        <f>INDEX('Quarterly Forecasts'!$B$4:$O$500,MATCH($B$2&amp;$B4,'Quarterly Forecasts'!$B$4:$B$500,0),MATCH(H$2,'Quarterly Forecasts'!$B$4:$O$4,0))</f>
        <v>22</v>
      </c>
      <c r="I4" s="338">
        <f>INDEX('Quarterly Forecasts'!$B$4:$O$500,MATCH($B$2&amp;$B4,'Quarterly Forecasts'!$B$4:$B$500,0),MATCH(I$2,'Quarterly Forecasts'!$B$4:$O$4,0))</f>
        <v>24</v>
      </c>
      <c r="J4" s="338">
        <f>INDEX('Quarterly Forecasts'!$B$4:$O$500,MATCH($B$2&amp;$B4,'Quarterly Forecasts'!$B$4:$B$500,0),MATCH(J$2,'Quarterly Forecasts'!$B$4:$O$4,0))</f>
        <v>26</v>
      </c>
      <c r="K4" s="338">
        <f>INDEX('Quarterly Forecasts'!$B$4:$O$500,MATCH($B$2&amp;$B4,'Quarterly Forecasts'!$B$4:$B$500,0),MATCH(K$2,'Quarterly Forecasts'!$B$4:$O$4,0))</f>
        <v>28</v>
      </c>
      <c r="L4" s="338">
        <f>INDEX('Quarterly Forecasts'!$B$4:$O$500,MATCH($B$2&amp;$B4,'Quarterly Forecasts'!$B$4:$B$500,0),MATCH(L$2,'Quarterly Forecasts'!$B$4:$O$4,0))</f>
        <v>30</v>
      </c>
      <c r="M4" s="338">
        <f>INDEX('Quarterly Forecasts'!$B$4:$O$500,MATCH($B$2&amp;$B4,'Quarterly Forecasts'!$B$4:$B$500,0),MATCH(M$2,'Quarterly Forecasts'!$B$4:$O$4,0))</f>
        <v>30</v>
      </c>
      <c r="P4" s="339" t="s">
        <v>396</v>
      </c>
      <c r="Q4" s="340">
        <v>54.03</v>
      </c>
      <c r="R4" s="406"/>
    </row>
    <row r="5" spans="1:18" ht="10.5" customHeight="1" x14ac:dyDescent="0.25">
      <c r="A5" s="331" t="str">
        <f t="shared" ref="A5:A7" si="1">$B$9&amp;$B$3&amp;B5</f>
        <v>Concho ResourcesMarket PricesGas</v>
      </c>
      <c r="B5" s="82" t="s">
        <v>26</v>
      </c>
      <c r="C5" s="82"/>
      <c r="D5" s="108"/>
      <c r="E5" s="337">
        <f>INDEX('Quarterly Forecasts'!$B$4:$O$500,MATCH($B2&amp;$B5,'Quarterly Forecasts'!$B$4:$B$500,0),MATCH(E$2,'Quarterly Forecasts'!$B$4:$O$4,0))</f>
        <v>15.15714</v>
      </c>
      <c r="F5" s="338">
        <f>INDEX('Quarterly Forecasts'!$B$4:$O$500,MATCH($B$2&amp;$B5,'Quarterly Forecasts'!$B$4:$B$500,0),MATCH(F$2,'Quarterly Forecasts'!$B$4:$O$4,0))</f>
        <v>11.20355</v>
      </c>
      <c r="G5" s="338">
        <f>INDEX('Quarterly Forecasts'!$B$4:$O$500,MATCH($B$2&amp;$B5,'Quarterly Forecasts'!$B$4:$B$500,0),MATCH(G$2,'Quarterly Forecasts'!$B$4:$O$4,0))</f>
        <v>12.8748</v>
      </c>
      <c r="H5" s="338">
        <f>INDEX('Quarterly Forecasts'!$B$4:$O$500,MATCH($B$2&amp;$B5,'Quarterly Forecasts'!$B$4:$B$500,0),MATCH(H$2,'Quarterly Forecasts'!$B$4:$O$4,0))</f>
        <v>13.0944</v>
      </c>
      <c r="I5" s="338">
        <f>INDEX('Quarterly Forecasts'!$B$4:$O$500,MATCH($B$2&amp;$B5,'Quarterly Forecasts'!$B$4:$B$500,0),MATCH(I$2,'Quarterly Forecasts'!$B$4:$O$4,0))</f>
        <v>13.314000000000002</v>
      </c>
      <c r="J5" s="338">
        <f>INDEX('Quarterly Forecasts'!$B$4:$O$500,MATCH($B$2&amp;$B5,'Quarterly Forecasts'!$B$4:$B$500,0),MATCH(J$2,'Quarterly Forecasts'!$B$4:$O$4,0))</f>
        <v>13.533600000000002</v>
      </c>
      <c r="K5" s="338">
        <f>INDEX('Quarterly Forecasts'!$B$4:$O$500,MATCH($B$2&amp;$B5,'Quarterly Forecasts'!$B$4:$B$500,0),MATCH(K$2,'Quarterly Forecasts'!$B$4:$O$4,0))</f>
        <v>13.753200000000001</v>
      </c>
      <c r="L5" s="338">
        <f>INDEX('Quarterly Forecasts'!$B$4:$O$500,MATCH($B$2&amp;$B5,'Quarterly Forecasts'!$B$4:$B$500,0),MATCH(L$2,'Quarterly Forecasts'!$B$4:$O$4,0))</f>
        <v>13.972800000000001</v>
      </c>
      <c r="M5" s="338">
        <f>INDEX('Quarterly Forecasts'!$B$4:$O$500,MATCH($B$2&amp;$B5,'Quarterly Forecasts'!$B$4:$B$500,0),MATCH(M$2,'Quarterly Forecasts'!$B$4:$O$4,0))</f>
        <v>13.972800000000001</v>
      </c>
      <c r="P5" s="339" t="s">
        <v>26</v>
      </c>
      <c r="Q5" s="340">
        <f>1.74*6</f>
        <v>10.44</v>
      </c>
      <c r="R5" s="406"/>
    </row>
    <row r="6" spans="1:18" ht="10.5" customHeight="1" x14ac:dyDescent="0.25">
      <c r="A6" s="331" t="str">
        <f t="shared" si="1"/>
        <v>Concho ResourcesMarket PricesNGL</v>
      </c>
      <c r="B6" s="82" t="s">
        <v>25</v>
      </c>
      <c r="C6" s="82"/>
      <c r="D6" s="108"/>
      <c r="E6" s="337">
        <f>INDEX('Quarterly Forecasts'!$B$4:$O$500,MATCH($B2&amp;$B6,'Quarterly Forecasts'!$B$4:$B$500,0),MATCH(E$2,'Quarterly Forecasts'!$B$4:$O$4,0))</f>
        <v>20.616230000000002</v>
      </c>
      <c r="F6" s="338">
        <f>INDEX('Quarterly Forecasts'!$B$4:$O$500,MATCH($B$2&amp;$B6,'Quarterly Forecasts'!$B$4:$B$500,0),MATCH(F$2,'Quarterly Forecasts'!$B$4:$O$4,0))</f>
        <v>17.26445</v>
      </c>
      <c r="G6" s="338">
        <f>INDEX('Quarterly Forecasts'!$B$4:$O$500,MATCH($B$2&amp;$B6,'Quarterly Forecasts'!$B$4:$B$500,0),MATCH(G$2,'Quarterly Forecasts'!$B$4:$O$4,0))</f>
        <v>8.4505925000000008</v>
      </c>
      <c r="H6" s="338">
        <f>INDEX('Quarterly Forecasts'!$B$4:$O$500,MATCH($B$2&amp;$B6,'Quarterly Forecasts'!$B$4:$B$500,0),MATCH(H$2,'Quarterly Forecasts'!$B$4:$O$4,0))</f>
        <v>9.3239265000000007</v>
      </c>
      <c r="I6" s="338">
        <f>INDEX('Quarterly Forecasts'!$B$4:$O$500,MATCH($B$2&amp;$B6,'Quarterly Forecasts'!$B$4:$B$500,0),MATCH(I$2,'Quarterly Forecasts'!$B$4:$O$4,0))</f>
        <v>10.197260500000001</v>
      </c>
      <c r="J6" s="338">
        <f>INDEX('Quarterly Forecasts'!$B$4:$O$500,MATCH($B$2&amp;$B6,'Quarterly Forecasts'!$B$4:$B$500,0),MATCH(J$2,'Quarterly Forecasts'!$B$4:$O$4,0))</f>
        <v>11.0705945</v>
      </c>
      <c r="K6" s="338">
        <f>INDEX('Quarterly Forecasts'!$B$4:$O$500,MATCH($B$2&amp;$B6,'Quarterly Forecasts'!$B$4:$B$500,0),MATCH(K$2,'Quarterly Forecasts'!$B$4:$O$4,0))</f>
        <v>11.9439285</v>
      </c>
      <c r="L6" s="338">
        <f>INDEX('Quarterly Forecasts'!$B$4:$O$500,MATCH($B$2&amp;$B6,'Quarterly Forecasts'!$B$4:$B$500,0),MATCH(L$2,'Quarterly Forecasts'!$B$4:$O$4,0))</f>
        <v>12.8172625</v>
      </c>
      <c r="M6" s="338">
        <f>INDEX('Quarterly Forecasts'!$B$4:$O$500,MATCH($B$2&amp;$B6,'Quarterly Forecasts'!$B$4:$B$500,0),MATCH(M$2,'Quarterly Forecasts'!$B$4:$O$4,0))</f>
        <v>12.8172625</v>
      </c>
      <c r="P6" s="339" t="s">
        <v>25</v>
      </c>
      <c r="Q6" s="340" t="s">
        <v>899</v>
      </c>
      <c r="R6" s="406"/>
    </row>
    <row r="7" spans="1:18" ht="10.5" customHeight="1" x14ac:dyDescent="0.25">
      <c r="A7" s="331" t="str">
        <f t="shared" si="1"/>
        <v>Concho ResourcesMarket PricesCondensate</v>
      </c>
      <c r="B7" s="341" t="s">
        <v>24</v>
      </c>
      <c r="C7" s="341"/>
      <c r="D7" s="114"/>
      <c r="E7" s="337">
        <f>INDEX('Quarterly Forecasts'!$B$4:$O$500,MATCH($B2&amp;$B7,'Quarterly Forecasts'!$B$4:$B$500,0),MATCH(E$2,'Quarterly Forecasts'!$B$4:$O$4,0))</f>
        <v>38.614997999999993</v>
      </c>
      <c r="F7" s="338">
        <f>INDEX('Quarterly Forecasts'!$B$4:$O$500,MATCH($B$2&amp;$B7,'Quarterly Forecasts'!$B$4:$B$500,0),MATCH(F$2,'Quarterly Forecasts'!$B$4:$O$4,0))</f>
        <v>30.491153999999998</v>
      </c>
      <c r="G7" s="338">
        <f>INDEX('Quarterly Forecasts'!$B$4:$O$500,MATCH($B$2&amp;$B7,'Quarterly Forecasts'!$B$4:$B$500,0),MATCH(G$2,'Quarterly Forecasts'!$B$4:$O$4,0))</f>
        <v>12</v>
      </c>
      <c r="H7" s="338">
        <f>INDEX('Quarterly Forecasts'!$B$4:$O$500,MATCH($B$2&amp;$B7,'Quarterly Forecasts'!$B$4:$B$500,0),MATCH(H$2,'Quarterly Forecasts'!$B$4:$O$4,0))</f>
        <v>13.2</v>
      </c>
      <c r="I7" s="338">
        <f>INDEX('Quarterly Forecasts'!$B$4:$O$500,MATCH($B$2&amp;$B7,'Quarterly Forecasts'!$B$4:$B$500,0),MATCH(I$2,'Quarterly Forecasts'!$B$4:$O$4,0))</f>
        <v>14.399999999999999</v>
      </c>
      <c r="J7" s="338">
        <f>INDEX('Quarterly Forecasts'!$B$4:$O$500,MATCH($B$2&amp;$B7,'Quarterly Forecasts'!$B$4:$B$500,0),MATCH(J$2,'Quarterly Forecasts'!$B$4:$O$4,0))</f>
        <v>15.6</v>
      </c>
      <c r="K7" s="338">
        <f>INDEX('Quarterly Forecasts'!$B$4:$O$500,MATCH($B$2&amp;$B7,'Quarterly Forecasts'!$B$4:$B$500,0),MATCH(K$2,'Quarterly Forecasts'!$B$4:$O$4,0))</f>
        <v>16.8</v>
      </c>
      <c r="L7" s="338">
        <f>INDEX('Quarterly Forecasts'!$B$4:$O$500,MATCH($B$2&amp;$B7,'Quarterly Forecasts'!$B$4:$B$500,0),MATCH(L$2,'Quarterly Forecasts'!$B$4:$O$4,0))</f>
        <v>18</v>
      </c>
      <c r="M7" s="338">
        <f>INDEX('Quarterly Forecasts'!$B$4:$O$500,MATCH($B$2&amp;$B7,'Quarterly Forecasts'!$B$4:$B$500,0),MATCH(M$2,'Quarterly Forecasts'!$B$4:$O$4,0))</f>
        <v>18</v>
      </c>
      <c r="P7" s="339" t="s">
        <v>24</v>
      </c>
      <c r="Q7" s="340">
        <f>0.6*Q4</f>
        <v>32.417999999999999</v>
      </c>
      <c r="R7" s="406"/>
    </row>
    <row r="8" spans="1:18" ht="10.5" customHeight="1" x14ac:dyDescent="0.25">
      <c r="E8" s="342"/>
      <c r="P8" s="339"/>
      <c r="Q8" s="340"/>
      <c r="R8" s="406"/>
    </row>
    <row r="9" spans="1:18" ht="10.5" customHeight="1" x14ac:dyDescent="0.25">
      <c r="B9" s="343" t="s">
        <v>270</v>
      </c>
      <c r="C9" s="343"/>
      <c r="D9" s="115"/>
      <c r="E9" s="344"/>
      <c r="F9" s="344"/>
      <c r="G9" s="344"/>
      <c r="H9" s="344"/>
      <c r="I9" s="344"/>
      <c r="J9" s="344"/>
      <c r="K9" s="344"/>
      <c r="L9" s="344"/>
      <c r="M9" s="344"/>
      <c r="P9" s="335" t="s">
        <v>472</v>
      </c>
      <c r="Q9" s="345"/>
      <c r="R9" s="406"/>
    </row>
    <row r="10" spans="1:18" ht="10.5" customHeight="1" x14ac:dyDescent="0.35">
      <c r="B10" s="332" t="s">
        <v>523</v>
      </c>
      <c r="C10" s="332"/>
      <c r="D10" s="111"/>
      <c r="E10" s="333"/>
      <c r="F10" s="334"/>
      <c r="G10" s="334"/>
      <c r="H10" s="334"/>
      <c r="I10" s="334"/>
      <c r="J10" s="334"/>
      <c r="K10" s="334"/>
      <c r="L10" s="334"/>
      <c r="M10" s="334"/>
      <c r="P10" s="339" t="s">
        <v>461</v>
      </c>
      <c r="Q10" s="330">
        <f>(4126+466)/4</f>
        <v>1148</v>
      </c>
      <c r="R10" s="328"/>
    </row>
    <row r="11" spans="1:18" ht="10.5" customHeight="1" x14ac:dyDescent="0.35">
      <c r="A11" s="331" t="str">
        <f>B9&amp;B10&amp;B11</f>
        <v>Concho ResourcesRealized pricesOil</v>
      </c>
      <c r="B11" s="82" t="s">
        <v>396</v>
      </c>
      <c r="C11" s="132" t="s">
        <v>542</v>
      </c>
      <c r="D11" s="108"/>
      <c r="E11" s="337">
        <f>IF(VLOOKUP($B11, P:Q, 2,0) = "-", 0, VLOOKUP($B11, P:Q, 2,0))</f>
        <v>54.03</v>
      </c>
      <c r="F11" s="338">
        <f>F4*($E11/$E4)</f>
        <v>42.663139607569065</v>
      </c>
      <c r="G11" s="338">
        <f>G4*($E11/$E4)</f>
        <v>16.790367307542009</v>
      </c>
      <c r="H11" s="338">
        <f t="shared" ref="G11:M14" si="2">H4*($E11/$E4)</f>
        <v>18.469404038296211</v>
      </c>
      <c r="I11" s="338">
        <f t="shared" si="2"/>
        <v>20.14844076905041</v>
      </c>
      <c r="J11" s="338">
        <f t="shared" si="2"/>
        <v>21.827477499804612</v>
      </c>
      <c r="K11" s="338">
        <f t="shared" si="2"/>
        <v>23.506514230558814</v>
      </c>
      <c r="L11" s="338">
        <f t="shared" si="2"/>
        <v>25.185550961313012</v>
      </c>
      <c r="M11" s="338">
        <f t="shared" si="2"/>
        <v>25.185550961313012</v>
      </c>
      <c r="P11" s="339" t="s">
        <v>462</v>
      </c>
      <c r="Q11" s="330" t="s">
        <v>899</v>
      </c>
      <c r="R11" s="328"/>
    </row>
    <row r="12" spans="1:18" ht="10.5" customHeight="1" x14ac:dyDescent="0.25">
      <c r="A12" s="331" t="str">
        <f>B9&amp;B10&amp;B12</f>
        <v>Concho ResourcesRealized pricesGas</v>
      </c>
      <c r="B12" s="82" t="s">
        <v>26</v>
      </c>
      <c r="C12" s="132" t="s">
        <v>542</v>
      </c>
      <c r="D12" s="108"/>
      <c r="E12" s="337">
        <f>IF(VLOOKUP($B12, P:Q, 2,0) = "-", 0, VLOOKUP($B12, P:Q, 2,0))</f>
        <v>10.44</v>
      </c>
      <c r="F12" s="338">
        <f>F5*($E12/$E5)</f>
        <v>7.7168292962920439</v>
      </c>
      <c r="G12" s="338">
        <f t="shared" si="2"/>
        <v>8.8679600505108471</v>
      </c>
      <c r="H12" s="338">
        <f t="shared" si="2"/>
        <v>9.0192170818505328</v>
      </c>
      <c r="I12" s="338">
        <f t="shared" si="2"/>
        <v>9.1704741131902203</v>
      </c>
      <c r="J12" s="338">
        <f t="shared" si="2"/>
        <v>9.3217311445299043</v>
      </c>
      <c r="K12" s="338">
        <f t="shared" si="2"/>
        <v>9.47298817586959</v>
      </c>
      <c r="L12" s="338">
        <f t="shared" si="2"/>
        <v>9.6242452072092757</v>
      </c>
      <c r="M12" s="338">
        <f t="shared" si="2"/>
        <v>9.6242452072092757</v>
      </c>
      <c r="P12" s="346" t="s">
        <v>395</v>
      </c>
      <c r="Q12" s="347">
        <f t="shared" ref="Q12" si="3">SUM(Q10:Q11)</f>
        <v>1148</v>
      </c>
      <c r="R12" s="407"/>
    </row>
    <row r="13" spans="1:18" ht="10.5" customHeight="1" x14ac:dyDescent="0.25">
      <c r="A13" s="331" t="str">
        <f>B9&amp;B10&amp;B13</f>
        <v>Concho ResourcesRealized pricesNGL</v>
      </c>
      <c r="B13" s="82" t="s">
        <v>25</v>
      </c>
      <c r="C13" s="132" t="s">
        <v>542</v>
      </c>
      <c r="D13" s="108"/>
      <c r="E13" s="337">
        <f>IF(VLOOKUP($B13, P:Q, 2,0) = "-", 0, VLOOKUP($B13, P:Q, 2,0))</f>
        <v>0</v>
      </c>
      <c r="F13" s="338">
        <f>0</f>
        <v>0</v>
      </c>
      <c r="G13" s="338">
        <f>0</f>
        <v>0</v>
      </c>
      <c r="H13" s="338">
        <f>0</f>
        <v>0</v>
      </c>
      <c r="I13" s="338">
        <f>0</f>
        <v>0</v>
      </c>
      <c r="J13" s="338">
        <f>0</f>
        <v>0</v>
      </c>
      <c r="K13" s="338">
        <f>0</f>
        <v>0</v>
      </c>
      <c r="L13" s="338">
        <f>0</f>
        <v>0</v>
      </c>
      <c r="M13" s="338">
        <f>0</f>
        <v>0</v>
      </c>
      <c r="P13" s="339"/>
      <c r="Q13" s="340"/>
      <c r="R13" s="406"/>
    </row>
    <row r="14" spans="1:18" ht="10.5" customHeight="1" x14ac:dyDescent="0.25">
      <c r="A14" s="331" t="str">
        <f>B9&amp;B10&amp;B14</f>
        <v>Concho ResourcesRealized pricesCondensate</v>
      </c>
      <c r="B14" s="82" t="s">
        <v>24</v>
      </c>
      <c r="C14" s="132" t="s">
        <v>543</v>
      </c>
      <c r="D14" s="108"/>
      <c r="E14" s="337">
        <f>IF(VLOOKUP($B14, P:Q, 2,0) = "-", 0, VLOOKUP($B14, P:Q, 2,0))</f>
        <v>32.417999999999999</v>
      </c>
      <c r="F14" s="338">
        <f>F7*($E14/$E7)</f>
        <v>25.597883764541436</v>
      </c>
      <c r="G14" s="338">
        <f t="shared" si="2"/>
        <v>10.074220384525205</v>
      </c>
      <c r="H14" s="338">
        <f t="shared" si="2"/>
        <v>11.081642422977726</v>
      </c>
      <c r="I14" s="338">
        <f t="shared" si="2"/>
        <v>12.089064461430246</v>
      </c>
      <c r="J14" s="338">
        <f t="shared" si="2"/>
        <v>13.096486499882767</v>
      </c>
      <c r="K14" s="338">
        <f t="shared" si="2"/>
        <v>14.103908538335288</v>
      </c>
      <c r="L14" s="338">
        <f t="shared" si="2"/>
        <v>15.111330576787807</v>
      </c>
      <c r="M14" s="338">
        <f t="shared" si="2"/>
        <v>15.111330576787807</v>
      </c>
      <c r="P14" s="335" t="s">
        <v>473</v>
      </c>
      <c r="Q14" s="340"/>
      <c r="R14" s="406"/>
    </row>
    <row r="15" spans="1:18" ht="10.5" customHeight="1" x14ac:dyDescent="0.25">
      <c r="A15" s="331" t="str">
        <f>B9&amp;B10&amp;B15</f>
        <v>Concho ResourcesRealized pricesAverage realized price</v>
      </c>
      <c r="B15" s="348" t="s">
        <v>527</v>
      </c>
      <c r="C15" s="349" t="s">
        <v>541</v>
      </c>
      <c r="D15" s="114"/>
      <c r="E15" s="337">
        <f>E29/E24</f>
        <v>39.993109318948974</v>
      </c>
      <c r="F15" s="350">
        <f>F29/F24</f>
        <v>30.285986369319073</v>
      </c>
      <c r="G15" s="350">
        <f t="shared" ref="G15:M15" si="4">G29/G24</f>
        <v>13.929187884285025</v>
      </c>
      <c r="H15" s="350">
        <f t="shared" si="4"/>
        <v>15.06856580235862</v>
      </c>
      <c r="I15" s="350">
        <f t="shared" si="4"/>
        <v>16.207943720432212</v>
      </c>
      <c r="J15" s="350">
        <f t="shared" si="4"/>
        <v>17.391064441146096</v>
      </c>
      <c r="K15" s="350">
        <f t="shared" si="4"/>
        <v>18.536102940256953</v>
      </c>
      <c r="L15" s="350">
        <f t="shared" si="4"/>
        <v>19.68114143936781</v>
      </c>
      <c r="M15" s="350">
        <f t="shared" si="4"/>
        <v>19.68114143936781</v>
      </c>
      <c r="P15" s="339" t="s">
        <v>463</v>
      </c>
      <c r="Q15" s="340">
        <f>((890+282)/4)</f>
        <v>293</v>
      </c>
      <c r="R15" s="406"/>
    </row>
    <row r="16" spans="1:18" ht="10.5" customHeight="1" x14ac:dyDescent="0.25">
      <c r="B16" s="343"/>
      <c r="C16" s="343"/>
      <c r="D16" s="115"/>
      <c r="E16" s="351"/>
      <c r="F16" s="351"/>
      <c r="G16" s="351"/>
      <c r="H16" s="351"/>
      <c r="I16" s="351"/>
      <c r="J16" s="351"/>
      <c r="K16" s="351"/>
      <c r="L16" s="351"/>
      <c r="M16" s="351"/>
      <c r="P16" s="339" t="s">
        <v>464</v>
      </c>
      <c r="Q16" s="340">
        <f>1964/4</f>
        <v>491</v>
      </c>
      <c r="R16" s="406"/>
    </row>
    <row r="17" spans="1:18" ht="10.5" customHeight="1" x14ac:dyDescent="0.25">
      <c r="A17" s="331" t="str">
        <f>B9&amp;B17</f>
        <v>Concho ResourcesNetback price, BOE</v>
      </c>
      <c r="B17" s="352" t="s">
        <v>503</v>
      </c>
      <c r="C17" s="353" t="s">
        <v>535</v>
      </c>
      <c r="D17" s="122"/>
      <c r="E17" s="337">
        <f>E15-(E43/E24)-(E36/E24)-(E37/E24)-(E38/E24)</f>
        <v>36.152307661793813</v>
      </c>
      <c r="F17" s="337">
        <f>F15-(F43/F24)-(F36/F24)-(F37/F24)-(F38/F24)</f>
        <v>26.548763822021886</v>
      </c>
      <c r="G17" s="337">
        <f t="shared" ref="G17:M17" si="5">G15-(G43/G24)-(G36/G24)-(G37/G24)-(G38/G24)</f>
        <v>10.42772777550422</v>
      </c>
      <c r="H17" s="337">
        <f t="shared" si="5"/>
        <v>11.551805678975176</v>
      </c>
      <c r="I17" s="337">
        <f t="shared" si="5"/>
        <v>12.675883582446129</v>
      </c>
      <c r="J17" s="337">
        <f t="shared" si="5"/>
        <v>13.843704288557372</v>
      </c>
      <c r="K17" s="337">
        <f t="shared" si="5"/>
        <v>14.973442773065589</v>
      </c>
      <c r="L17" s="337">
        <f t="shared" si="5"/>
        <v>16.103181257573805</v>
      </c>
      <c r="M17" s="337">
        <f t="shared" si="5"/>
        <v>16.103181257573805</v>
      </c>
      <c r="P17" s="339" t="s">
        <v>465</v>
      </c>
      <c r="Q17" s="340">
        <v>2.5</v>
      </c>
      <c r="R17" s="406"/>
    </row>
    <row r="18" spans="1:18" ht="10.5" customHeight="1" x14ac:dyDescent="0.25">
      <c r="B18" s="343"/>
      <c r="C18" s="343"/>
      <c r="D18" s="115"/>
      <c r="E18" s="351"/>
      <c r="F18" s="351"/>
      <c r="G18" s="351"/>
      <c r="H18" s="351"/>
      <c r="I18" s="351"/>
      <c r="J18" s="351"/>
      <c r="K18" s="351"/>
      <c r="L18" s="351"/>
      <c r="M18" s="351"/>
      <c r="P18" s="339" t="s">
        <v>505</v>
      </c>
      <c r="Q18" s="340">
        <v>0</v>
      </c>
      <c r="R18" s="406"/>
    </row>
    <row r="19" spans="1:18" ht="10.5" customHeight="1" x14ac:dyDescent="0.25">
      <c r="B19" s="332" t="s">
        <v>532</v>
      </c>
      <c r="C19" s="332"/>
      <c r="D19" s="111"/>
      <c r="E19" s="333"/>
      <c r="F19" s="334"/>
      <c r="G19" s="334"/>
      <c r="H19" s="334"/>
      <c r="I19" s="334"/>
      <c r="J19" s="334"/>
      <c r="K19" s="334"/>
      <c r="L19" s="334"/>
      <c r="M19" s="334"/>
      <c r="P19" s="339" t="s">
        <v>467</v>
      </c>
      <c r="Q19" s="340">
        <f>349/4</f>
        <v>87.25</v>
      </c>
      <c r="R19" s="406"/>
    </row>
    <row r="20" spans="1:18" ht="10.5" customHeight="1" x14ac:dyDescent="0.25">
      <c r="A20" s="331" t="str">
        <f>B9&amp;B19&amp;B20</f>
        <v>Concho ResourcesProduction, BOE/QOil</v>
      </c>
      <c r="B20" s="82" t="s">
        <v>396</v>
      </c>
      <c r="C20" s="132" t="s">
        <v>564</v>
      </c>
      <c r="D20" s="108"/>
      <c r="E20" s="354">
        <f>IF($B$2="A3",SUMIFS('$33'!$H$9:$H$2139,'$33'!$A$9:$A$2139,$B$9,'$33'!$G$9:$G$2139,$B20)*365/4, SUMIFS('$22'!$H$9:$H$2140,'$22'!$A$9:$A$2140,Concho!$B$9,'$22'!$G$9:$G$2140, $B20)*365/4)</f>
        <v>18250.0001825</v>
      </c>
      <c r="F20" s="355">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18291.456334999999</v>
      </c>
      <c r="G20" s="355">
        <f>F20*(1-INDEX(Assumptions!$A$2:$K$596,MATCH($B9&amp;"Oil production reduction",Assumptions!$A$2:$A$596,0),MATCH(G$2,Assumptions!$A$2:$K$2,0)))</f>
        <v>18291.456334999999</v>
      </c>
      <c r="H20" s="355">
        <f>G20*(1-INDEX(Assumptions!$A$2:$K$596,MATCH($B9&amp;"Oil production reduction",Assumptions!$A$2:$A$596,0),MATCH(H$2,Assumptions!$A$2:$K$2,0)))</f>
        <v>18291.456334999999</v>
      </c>
      <c r="I20" s="355">
        <f>H20*(1-INDEX(Assumptions!$A$2:$K$596,MATCH($B9&amp;"Oil production reduction",Assumptions!$A$2:$A$596,0),MATCH(I$2,Assumptions!$A$2:$K$2,0)))</f>
        <v>18291.456334999999</v>
      </c>
      <c r="J20" s="355">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18136.930482500004</v>
      </c>
      <c r="K20" s="355">
        <f>J20*(1-INDEX(Assumptions!$A$2:$K$596,MATCH($B9&amp;"Oil production reduction",Assumptions!$A$2:$A$596,0),MATCH(K$2,Assumptions!$A$2:$K$2,0)))</f>
        <v>18136.930482500004</v>
      </c>
      <c r="L20" s="355">
        <f>K20*(1-INDEX(Assumptions!$A$2:$K$596,MATCH($B9&amp;"Oil production reduction",Assumptions!$A$2:$A$596,0),MATCH(L$2,Assumptions!$A$2:$K$2,0)))</f>
        <v>18136.930482500004</v>
      </c>
      <c r="M20" s="355">
        <f>L20*(1-INDEX(Assumptions!$A$2:$K$596,MATCH($B9&amp;"Oil production reduction",Assumptions!$A$2:$A$596,0),MATCH(M$2,Assumptions!$A$2:$K$2,0)))</f>
        <v>18136.930482500004</v>
      </c>
      <c r="P20" s="339" t="s">
        <v>468</v>
      </c>
      <c r="Q20" s="340" t="s">
        <v>899</v>
      </c>
      <c r="R20" s="406"/>
    </row>
    <row r="21" spans="1:18" ht="10.5" customHeight="1" x14ac:dyDescent="0.25">
      <c r="A21" s="331" t="str">
        <f>B9&amp;B19&amp;B21</f>
        <v>Concho ResourcesProduction, BOE/QGas</v>
      </c>
      <c r="B21" s="82" t="s">
        <v>26</v>
      </c>
      <c r="C21" s="132" t="s">
        <v>564</v>
      </c>
      <c r="D21" s="108"/>
      <c r="E21" s="354">
        <f>IF($B$2="A3",SUMIFS('$33'!$H$9:$H$2139,'$33'!$A$9:$A$2139,$B$9,'$33'!$G$9:$G$2139,$B21)*365/4, SUMIFS('$22'!$H$9:$H$2140,'$22'!$A$9:$A$2140,Concho!$B$9,'$22'!$G$9:$G$2140, $B21)*365/4)</f>
        <v>10250.1882375</v>
      </c>
      <c r="F21" s="355">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9737.0084575000001</v>
      </c>
      <c r="G21" s="355">
        <f>F21*(1-INDEX(Assumptions!$A$2:$K$596,MATCH($B9&amp;"Gas production reduction",Assumptions!$A$2:$A$596,0),MATCH(G$2,Assumptions!$A$2:$K$2,0)))</f>
        <v>9737.0084575000001</v>
      </c>
      <c r="H21" s="355">
        <f>G21*(1-INDEX(Assumptions!$A$2:$K$596,MATCH($B9&amp;"Gas production reduction",Assumptions!$A$2:$A$596,0),MATCH(H$2,Assumptions!$A$2:$K$2,0)))</f>
        <v>9737.0084575000001</v>
      </c>
      <c r="I21" s="355">
        <f>H21*(1-INDEX(Assumptions!$A$2:$K$596,MATCH($B9&amp;"Gas production reduction",Assumptions!$A$2:$A$596,0),MATCH(I$2,Assumptions!$A$2:$K$2,0)))</f>
        <v>9737.0084575000001</v>
      </c>
      <c r="J21" s="355">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9486.3581212499994</v>
      </c>
      <c r="K21" s="355">
        <f>J21*(1-INDEX(Assumptions!$A$2:$K$596,MATCH($B9&amp;"Gas production reduction",Assumptions!$A$2:$A$596,0),MATCH(K$2,Assumptions!$A$2:$K$2,0)))</f>
        <v>9486.3581212499994</v>
      </c>
      <c r="L21" s="355">
        <f>K21*(1-INDEX(Assumptions!$A$2:$K$596,MATCH($B9&amp;"Gas production reduction",Assumptions!$A$2:$A$596,0),MATCH(L$2,Assumptions!$A$2:$K$2,0)))</f>
        <v>9486.3581212499994</v>
      </c>
      <c r="M21" s="355">
        <f>L21*(1-INDEX(Assumptions!$A$2:$K$596,MATCH($B9&amp;"Gas production reduction",Assumptions!$A$2:$A$596,0),MATCH(M$2,Assumptions!$A$2:$K$2,0)))</f>
        <v>9486.3581212499994</v>
      </c>
      <c r="P21" s="339" t="s">
        <v>469</v>
      </c>
      <c r="Q21" s="340">
        <v>28.75</v>
      </c>
      <c r="R21" s="406"/>
    </row>
    <row r="22" spans="1:18" ht="10.5" customHeight="1" x14ac:dyDescent="0.25">
      <c r="A22" s="331" t="str">
        <f>B9&amp;B19&amp;B22</f>
        <v>Concho ResourcesProduction, BOE/QNGL</v>
      </c>
      <c r="B22" s="82" t="s">
        <v>25</v>
      </c>
      <c r="C22" s="132" t="s">
        <v>564</v>
      </c>
      <c r="D22" s="108"/>
      <c r="E22" s="354">
        <f>IF($B$2="A3",SUMIFS('$33'!$H$9:$H$2139,'$33'!$A$9:$A$2139,$B$9,'$33'!$G$9:$G$2139,$B22)*365/4, SUMIFS('$22'!$H$9:$H$2140,'$22'!$A$9:$A$2140,Concho!$B$9,'$22'!$G$9:$G$2140, $B22)*365/4)</f>
        <v>204.7564955</v>
      </c>
      <c r="F22" s="355">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219.24611037499997</v>
      </c>
      <c r="G22" s="355">
        <f>F22*(1-INDEX(Assumptions!$A$2:$K$596,MATCH($B9&amp;"NGL production reduction",Assumptions!$A$2:$A$596,0),MATCH(G$2,Assumptions!$A$2:$K$2,0)))</f>
        <v>219.24611037499997</v>
      </c>
      <c r="H22" s="355">
        <f>G22*(1-INDEX(Assumptions!$A$2:$K$596,MATCH($B9&amp;"NGL production reduction",Assumptions!$A$2:$A$596,0),MATCH(H$2,Assumptions!$A$2:$K$2,0)))</f>
        <v>219.24611037499997</v>
      </c>
      <c r="I22" s="355">
        <f>H22*(1-INDEX(Assumptions!$A$2:$K$596,MATCH($B9&amp;"NGL production reduction",Assumptions!$A$2:$A$596,0),MATCH(I$2,Assumptions!$A$2:$K$2,0)))</f>
        <v>219.24611037499997</v>
      </c>
      <c r="J22" s="355">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225.0770675</v>
      </c>
      <c r="K22" s="355">
        <f>J22*(1-INDEX(Assumptions!$A$2:$K$596,MATCH($B9&amp;"NGL production reduction",Assumptions!$A$2:$A$596,0),MATCH(K$2,Assumptions!$A$2:$K$2,0)))</f>
        <v>225.0770675</v>
      </c>
      <c r="L22" s="355">
        <f>K22*(1-INDEX(Assumptions!$A$2:$K$596,MATCH($B9&amp;"NGL production reduction",Assumptions!$A$2:$A$596,0),MATCH(L$2,Assumptions!$A$2:$K$2,0)))</f>
        <v>225.0770675</v>
      </c>
      <c r="M22" s="355">
        <f>L22*(1-INDEX(Assumptions!$A$2:$K$596,MATCH($B9&amp;"NGL production reduction",Assumptions!$A$2:$A$596,0),MATCH(M$2,Assumptions!$A$2:$K$2,0)))</f>
        <v>225.0770675</v>
      </c>
      <c r="P22" s="339" t="s">
        <v>470</v>
      </c>
      <c r="Q22" s="340">
        <f>326/4</f>
        <v>81.5</v>
      </c>
      <c r="R22" s="406"/>
    </row>
    <row r="23" spans="1:18" ht="10.5" customHeight="1" x14ac:dyDescent="0.25">
      <c r="A23" s="331" t="str">
        <f>B9&amp;B19&amp;B23</f>
        <v>Concho ResourcesProduction, BOE/QCondensate</v>
      </c>
      <c r="B23" s="82" t="s">
        <v>24</v>
      </c>
      <c r="C23" s="132" t="s">
        <v>564</v>
      </c>
      <c r="D23" s="108"/>
      <c r="E23" s="354">
        <f>IF($B$2="A3",SUMIFS('$33'!$H$9:$H$2139,'$33'!$A$9:$A$2139,$B$9,'$33'!$G$9:$G$2139,$B23)*365/4, SUMIFS('$22'!$H$9:$H$2140,'$22'!$A$9:$A$2140,Concho!$B$9,'$22'!$G$9:$G$2140, $B23)*365/4)</f>
        <v>0</v>
      </c>
      <c r="F23" s="355">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0</v>
      </c>
      <c r="G23" s="355">
        <f>F23*(1-INDEX(Assumptions!$A$2:$K$596,MATCH($B9&amp;"Condensate production reduction",Assumptions!$A$2:$A$596,0),MATCH(G$2,Assumptions!$A$2:$K$2,0)))</f>
        <v>0</v>
      </c>
      <c r="H23" s="355">
        <f>G23*(1-INDEX(Assumptions!$A$2:$K$596,MATCH($B9&amp;"Condensate production reduction",Assumptions!$A$2:$A$596,0),MATCH(H$2,Assumptions!$A$2:$K$2,0)))</f>
        <v>0</v>
      </c>
      <c r="I23" s="355">
        <f>H23*(1-INDEX(Assumptions!$A$2:$K$596,MATCH($B9&amp;"Condensate production reduction",Assumptions!$A$2:$A$596,0),MATCH(I$2,Assumptions!$A$2:$K$2,0)))</f>
        <v>0</v>
      </c>
      <c r="J23" s="355">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0</v>
      </c>
      <c r="K23" s="355">
        <f>J23*(1-INDEX(Assumptions!$A$2:$K$596,MATCH($B9&amp;"Condensate production reduction",Assumptions!$A$2:$A$596,0),MATCH(K$2,Assumptions!$A$2:$K$2,0)))</f>
        <v>0</v>
      </c>
      <c r="L23" s="355">
        <f>K23*(1-INDEX(Assumptions!$A$2:$K$596,MATCH($B9&amp;"Condensate production reduction",Assumptions!$A$2:$A$596,0),MATCH(L$2,Assumptions!$A$2:$K$2,0)))</f>
        <v>0</v>
      </c>
      <c r="M23" s="355">
        <f>L23*(1-INDEX(Assumptions!$A$2:$K$596,MATCH($B9&amp;"Condensate production reduction",Assumptions!$A$2:$A$596,0),MATCH(M$2,Assumptions!$A$2:$K$2,0)))</f>
        <v>0</v>
      </c>
      <c r="P23" s="356" t="s">
        <v>561</v>
      </c>
      <c r="Q23" s="345">
        <v>50.25</v>
      </c>
      <c r="R23" s="406"/>
    </row>
    <row r="24" spans="1:18" ht="10.5" customHeight="1" x14ac:dyDescent="0.25">
      <c r="A24" s="331" t="str">
        <f>B9&amp;B19&amp;B24</f>
        <v>Concho ResourcesProduction, BOE/QTotal production</v>
      </c>
      <c r="B24" s="348" t="s">
        <v>397</v>
      </c>
      <c r="C24" s="357"/>
      <c r="D24" s="114"/>
      <c r="E24" s="358">
        <f>SUM(E20:E23)</f>
        <v>28704.9449155</v>
      </c>
      <c r="F24" s="359">
        <f>SUM(F20:F23)</f>
        <v>28247.710902874998</v>
      </c>
      <c r="G24" s="359">
        <f t="shared" ref="G24:M24" si="6">SUM(G20:G23)</f>
        <v>28247.710902874998</v>
      </c>
      <c r="H24" s="359">
        <f t="shared" si="6"/>
        <v>28247.710902874998</v>
      </c>
      <c r="I24" s="359">
        <f t="shared" si="6"/>
        <v>28247.710902874998</v>
      </c>
      <c r="J24" s="359">
        <f t="shared" si="6"/>
        <v>27848.365671250001</v>
      </c>
      <c r="K24" s="359">
        <f t="shared" si="6"/>
        <v>27848.365671250001</v>
      </c>
      <c r="L24" s="359">
        <f t="shared" si="6"/>
        <v>27848.365671250001</v>
      </c>
      <c r="M24" s="359">
        <f t="shared" si="6"/>
        <v>27848.365671250001</v>
      </c>
      <c r="P24" s="360" t="s">
        <v>910</v>
      </c>
      <c r="Q24" s="361">
        <v>0.25</v>
      </c>
      <c r="R24" s="406"/>
    </row>
    <row r="25" spans="1:18" ht="10.5" customHeight="1" x14ac:dyDescent="0.25">
      <c r="B25" s="343"/>
      <c r="C25" s="343"/>
      <c r="D25" s="115"/>
      <c r="E25" s="344"/>
      <c r="F25" s="344"/>
      <c r="G25" s="344"/>
      <c r="H25" s="344"/>
      <c r="I25" s="362"/>
      <c r="J25" s="362"/>
      <c r="K25" s="362"/>
      <c r="L25" s="362"/>
      <c r="M25" s="362"/>
      <c r="P25" s="360" t="s">
        <v>911</v>
      </c>
      <c r="Q25" s="361">
        <v>0</v>
      </c>
      <c r="R25" s="406"/>
    </row>
    <row r="26" spans="1:18" ht="10.5" customHeight="1" x14ac:dyDescent="0.25">
      <c r="A26" s="331" t="str">
        <f>B9&amp;B26</f>
        <v>Concho ResourcesRevenues</v>
      </c>
      <c r="B26" s="332" t="s">
        <v>472</v>
      </c>
      <c r="C26" s="332"/>
      <c r="D26" s="111"/>
      <c r="E26" s="353"/>
      <c r="F26" s="363">
        <f>F29/SUM($F$29:$I$29)</f>
        <v>0.40118308208657322</v>
      </c>
      <c r="G26" s="363">
        <f t="shared" ref="G26:I26" si="7">G29/SUM($F$29:$I$29)</f>
        <v>0.18451287860452339</v>
      </c>
      <c r="H26" s="363">
        <f t="shared" si="7"/>
        <v>0.19960563930447561</v>
      </c>
      <c r="I26" s="363">
        <f t="shared" si="7"/>
        <v>0.21469840000442783</v>
      </c>
      <c r="J26" s="363">
        <f>J29/SUM($J$29:$M$29)</f>
        <v>0.23098939334869389</v>
      </c>
      <c r="K26" s="363">
        <f t="shared" ref="K26:M26" si="8">K29/SUM($J$29:$M$29)</f>
        <v>0.2461978786697388</v>
      </c>
      <c r="L26" s="363">
        <f t="shared" si="8"/>
        <v>0.26140636399078365</v>
      </c>
      <c r="M26" s="363">
        <f t="shared" si="8"/>
        <v>0.26140636399078365</v>
      </c>
      <c r="P26" s="360" t="s">
        <v>912</v>
      </c>
      <c r="Q26" s="361">
        <v>0</v>
      </c>
      <c r="R26" s="406"/>
    </row>
    <row r="27" spans="1:18" ht="10.5" customHeight="1" x14ac:dyDescent="0.25">
      <c r="A27" s="331" t="str">
        <f>B9&amp;B27</f>
        <v>Concho ResourcesSales Revenue</v>
      </c>
      <c r="B27" s="82" t="s">
        <v>461</v>
      </c>
      <c r="C27" s="82" t="s">
        <v>536</v>
      </c>
      <c r="D27" s="108"/>
      <c r="E27" s="364">
        <f>IF(VLOOKUP($B27, P:Q, 2,0) = "-", 0, VLOOKUP($B27, P:Q, 2,0))*1000</f>
        <v>1148000</v>
      </c>
      <c r="F27" s="365">
        <f>SUMPRODUCT(F11:F14,F20:F23)</f>
        <v>855509.78736893798</v>
      </c>
      <c r="G27" s="365">
        <f>SUMPRODUCT(G11:G14,G20:G23)</f>
        <v>393467.67246711242</v>
      </c>
      <c r="H27" s="365">
        <f t="shared" ref="H27:M27" si="9">SUMPRODUCT(H11:H14,H20:H23)</f>
        <v>425652.49050597491</v>
      </c>
      <c r="I27" s="365">
        <f t="shared" si="9"/>
        <v>457837.30854483735</v>
      </c>
      <c r="J27" s="365">
        <f t="shared" si="9"/>
        <v>484312.7219693095</v>
      </c>
      <c r="K27" s="365">
        <f t="shared" si="9"/>
        <v>516200.17280020798</v>
      </c>
      <c r="L27" s="365">
        <f t="shared" si="9"/>
        <v>548087.62363110634</v>
      </c>
      <c r="M27" s="365">
        <f t="shared" si="9"/>
        <v>548087.62363110634</v>
      </c>
      <c r="P27" s="360" t="s">
        <v>913</v>
      </c>
      <c r="Q27" s="361">
        <v>-42.5</v>
      </c>
      <c r="R27" s="406"/>
    </row>
    <row r="28" spans="1:18" ht="10.5" customHeight="1" x14ac:dyDescent="0.25">
      <c r="A28" s="331" t="str">
        <f>B9&amp;B28</f>
        <v>Concho ResourcesOther Revenue</v>
      </c>
      <c r="B28" s="82" t="s">
        <v>462</v>
      </c>
      <c r="C28" s="82" t="s">
        <v>533</v>
      </c>
      <c r="D28" s="204">
        <f>$E28/$E27</f>
        <v>0</v>
      </c>
      <c r="E28" s="364">
        <f>IF(VLOOKUP($B28, P:Q, 2,0) = "-", 0, VLOOKUP($B28, P:Q, 2,0))*1000</f>
        <v>0</v>
      </c>
      <c r="F28" s="365">
        <f>F27*$D28</f>
        <v>0</v>
      </c>
      <c r="G28" s="365">
        <f>G27*$D28</f>
        <v>0</v>
      </c>
      <c r="H28" s="365">
        <f t="shared" ref="H28:L28" si="10">H27*$D28</f>
        <v>0</v>
      </c>
      <c r="I28" s="365">
        <f t="shared" si="10"/>
        <v>0</v>
      </c>
      <c r="J28" s="365">
        <f t="shared" si="10"/>
        <v>0</v>
      </c>
      <c r="K28" s="365">
        <f t="shared" si="10"/>
        <v>0</v>
      </c>
      <c r="L28" s="365">
        <f t="shared" si="10"/>
        <v>0</v>
      </c>
      <c r="M28" s="365">
        <f>M27*$D28</f>
        <v>0</v>
      </c>
      <c r="P28" s="360" t="s">
        <v>914</v>
      </c>
      <c r="Q28" s="361">
        <v>179</v>
      </c>
      <c r="R28" s="406"/>
    </row>
    <row r="29" spans="1:18" ht="10.5" customHeight="1" x14ac:dyDescent="0.25">
      <c r="A29" s="331" t="str">
        <f>B9&amp;B29</f>
        <v>Concho ResourcesTotal Revenue</v>
      </c>
      <c r="B29" s="85" t="s">
        <v>395</v>
      </c>
      <c r="C29" s="85"/>
      <c r="D29" s="366">
        <f>SUMPRODUCT(E11:E14,E20:E23)</f>
        <v>1093059.4750599749</v>
      </c>
      <c r="E29" s="366">
        <f>SUM(E27:E28)</f>
        <v>1148000</v>
      </c>
      <c r="F29" s="367">
        <f t="shared" ref="F29:M29" si="11">SUM(F27:F28)</f>
        <v>855509.78736893798</v>
      </c>
      <c r="G29" s="367">
        <f t="shared" si="11"/>
        <v>393467.67246711242</v>
      </c>
      <c r="H29" s="367">
        <f t="shared" si="11"/>
        <v>425652.49050597491</v>
      </c>
      <c r="I29" s="367">
        <f t="shared" si="11"/>
        <v>457837.30854483735</v>
      </c>
      <c r="J29" s="367">
        <f t="shared" si="11"/>
        <v>484312.7219693095</v>
      </c>
      <c r="K29" s="367">
        <f t="shared" si="11"/>
        <v>516200.17280020798</v>
      </c>
      <c r="L29" s="367">
        <f t="shared" si="11"/>
        <v>548087.62363110634</v>
      </c>
      <c r="M29" s="367">
        <f t="shared" si="11"/>
        <v>548087.62363110634</v>
      </c>
      <c r="P29" s="360" t="s">
        <v>915</v>
      </c>
      <c r="Q29" s="361">
        <v>223.75</v>
      </c>
      <c r="R29" s="406"/>
    </row>
    <row r="30" spans="1:18" ht="10.5" customHeight="1" x14ac:dyDescent="0.25">
      <c r="A30" s="331" t="str">
        <f>B9&amp;B30</f>
        <v>Concho ResourcesCosts and Expenses</v>
      </c>
      <c r="B30" s="368" t="s">
        <v>473</v>
      </c>
      <c r="C30" s="368"/>
      <c r="D30" s="112"/>
      <c r="E30" s="364"/>
      <c r="F30" s="369"/>
      <c r="G30" s="365"/>
      <c r="H30" s="365"/>
      <c r="I30" s="365"/>
      <c r="J30" s="365"/>
      <c r="K30" s="365"/>
      <c r="L30" s="365"/>
      <c r="M30" s="365"/>
      <c r="P30" s="360" t="s">
        <v>916</v>
      </c>
      <c r="Q30" s="361">
        <v>0</v>
      </c>
      <c r="R30" s="406"/>
    </row>
    <row r="31" spans="1:18" ht="10.5" customHeight="1" x14ac:dyDescent="0.25">
      <c r="A31" s="331" t="str">
        <f>B9&amp;B31</f>
        <v>Concho ResourcesImpairment</v>
      </c>
      <c r="B31" s="82" t="s">
        <v>463</v>
      </c>
      <c r="C31" s="82" t="s">
        <v>537</v>
      </c>
      <c r="D31" s="108"/>
      <c r="E31" s="364">
        <f t="shared" ref="E31:E40" si="12">IF(VLOOKUP($B31, P:Q, 2,0) = "-", 0, VLOOKUP($B31, P:Q, 2,0))*1000</f>
        <v>293000</v>
      </c>
      <c r="F31" s="370">
        <f>E31</f>
        <v>293000</v>
      </c>
      <c r="G31" s="370">
        <f t="shared" ref="G31:M31" si="13">F31</f>
        <v>293000</v>
      </c>
      <c r="H31" s="370">
        <f t="shared" si="13"/>
        <v>293000</v>
      </c>
      <c r="I31" s="370">
        <f t="shared" si="13"/>
        <v>293000</v>
      </c>
      <c r="J31" s="370">
        <f t="shared" si="13"/>
        <v>293000</v>
      </c>
      <c r="K31" s="370">
        <f t="shared" si="13"/>
        <v>293000</v>
      </c>
      <c r="L31" s="370">
        <f t="shared" si="13"/>
        <v>293000</v>
      </c>
      <c r="M31" s="370">
        <f t="shared" si="13"/>
        <v>293000</v>
      </c>
      <c r="P31" s="339" t="s">
        <v>471</v>
      </c>
      <c r="Q31" s="340">
        <f t="shared" ref="Q31" si="14">SUM(Q24:Q30)</f>
        <v>360.5</v>
      </c>
      <c r="R31" s="406"/>
    </row>
    <row r="32" spans="1:18" ht="10.5" customHeight="1" x14ac:dyDescent="0.25">
      <c r="A32" s="331" t="str">
        <f>B9&amp;B32</f>
        <v>Concho ResourcesDD&amp;A</v>
      </c>
      <c r="B32" s="82" t="s">
        <v>464</v>
      </c>
      <c r="C32" s="106" t="s">
        <v>545</v>
      </c>
      <c r="D32" s="108">
        <f>E32/$E$24</f>
        <v>17.105066790595771</v>
      </c>
      <c r="E32" s="364">
        <f t="shared" si="12"/>
        <v>491000</v>
      </c>
      <c r="F32" s="371">
        <f>$D32*F24</f>
        <v>483178.98167511722</v>
      </c>
      <c r="G32" s="371">
        <f t="shared" ref="G32:M32" si="15">$D32*G24</f>
        <v>483178.98167511722</v>
      </c>
      <c r="H32" s="371">
        <f t="shared" si="15"/>
        <v>483178.98167511722</v>
      </c>
      <c r="I32" s="371">
        <f t="shared" si="15"/>
        <v>483178.98167511722</v>
      </c>
      <c r="J32" s="371">
        <f t="shared" si="15"/>
        <v>476348.15481566568</v>
      </c>
      <c r="K32" s="371">
        <f t="shared" si="15"/>
        <v>476348.15481566568</v>
      </c>
      <c r="L32" s="371">
        <f t="shared" si="15"/>
        <v>476348.15481566568</v>
      </c>
      <c r="M32" s="371">
        <f t="shared" si="15"/>
        <v>476348.15481566568</v>
      </c>
      <c r="P32" s="346" t="s">
        <v>474</v>
      </c>
      <c r="Q32" s="347">
        <f t="shared" ref="Q32" si="16">SUM(Q31,Q15:Q23)</f>
        <v>1394.75</v>
      </c>
      <c r="R32" s="407"/>
    </row>
    <row r="33" spans="1:18" ht="10.5" customHeight="1" x14ac:dyDescent="0.25">
      <c r="A33" s="331" t="str">
        <f>B9&amp;B33</f>
        <v>Concho ResourcesAsset retirement obligation</v>
      </c>
      <c r="B33" s="82" t="s">
        <v>465</v>
      </c>
      <c r="C33" s="106" t="s">
        <v>545</v>
      </c>
      <c r="D33" s="108">
        <f t="shared" ref="D33:D40" si="17">E33/$E$24</f>
        <v>8.7093008098756475E-2</v>
      </c>
      <c r="E33" s="364">
        <f t="shared" si="12"/>
        <v>2500</v>
      </c>
      <c r="F33" s="371">
        <f>$D33*F24</f>
        <v>2460.1781144354236</v>
      </c>
      <c r="G33" s="371">
        <f>$D33*G24</f>
        <v>2460.1781144354236</v>
      </c>
      <c r="H33" s="371">
        <f t="shared" ref="H33:M33" si="18">$D33*H24</f>
        <v>2460.1781144354236</v>
      </c>
      <c r="I33" s="371">
        <f t="shared" si="18"/>
        <v>2460.1781144354236</v>
      </c>
      <c r="J33" s="371">
        <f t="shared" si="18"/>
        <v>2425.3979369433082</v>
      </c>
      <c r="K33" s="371">
        <f t="shared" si="18"/>
        <v>2425.3979369433082</v>
      </c>
      <c r="L33" s="371">
        <f t="shared" si="18"/>
        <v>2425.3979369433082</v>
      </c>
      <c r="M33" s="371">
        <f t="shared" si="18"/>
        <v>2425.3979369433082</v>
      </c>
      <c r="P33" s="339"/>
      <c r="Q33" s="340"/>
      <c r="R33" s="406"/>
    </row>
    <row r="34" spans="1:18" ht="10.5" customHeight="1" x14ac:dyDescent="0.25">
      <c r="A34" s="331" t="str">
        <f>B9&amp;B34</f>
        <v>Concho ResourcesNon-cash compensation</v>
      </c>
      <c r="B34" s="82" t="s">
        <v>505</v>
      </c>
      <c r="C34" s="106" t="s">
        <v>878</v>
      </c>
      <c r="D34" s="108">
        <f t="shared" si="17"/>
        <v>0</v>
      </c>
      <c r="E34" s="364">
        <f t="shared" si="12"/>
        <v>0</v>
      </c>
      <c r="F34" s="370">
        <f>$E34*((F$4*0.0266+11.643)*F$24)/(($E$4*0.0266+11.643)*$E$24)</f>
        <v>0</v>
      </c>
      <c r="G34" s="370">
        <f t="shared" ref="G34:M34" si="19">$E34*((G$4*0.0266+11.643)*G$24)/(($E$4*0.0266+11.643)*$E$24)</f>
        <v>0</v>
      </c>
      <c r="H34" s="370">
        <f t="shared" si="19"/>
        <v>0</v>
      </c>
      <c r="I34" s="370">
        <f t="shared" si="19"/>
        <v>0</v>
      </c>
      <c r="J34" s="370">
        <f t="shared" si="19"/>
        <v>0</v>
      </c>
      <c r="K34" s="370">
        <f t="shared" si="19"/>
        <v>0</v>
      </c>
      <c r="L34" s="370">
        <f t="shared" si="19"/>
        <v>0</v>
      </c>
      <c r="M34" s="370">
        <f t="shared" si="19"/>
        <v>0</v>
      </c>
      <c r="P34" s="335" t="s">
        <v>506</v>
      </c>
      <c r="Q34" s="340"/>
      <c r="R34" s="406"/>
    </row>
    <row r="35" spans="1:18" ht="10.5" customHeight="1" x14ac:dyDescent="0.25">
      <c r="A35" s="331" t="str">
        <f>B9&amp;B35</f>
        <v>Concho ResourcesTaxes other than income</v>
      </c>
      <c r="B35" s="82" t="s">
        <v>467</v>
      </c>
      <c r="C35" s="106" t="s">
        <v>545</v>
      </c>
      <c r="D35" s="108">
        <f t="shared" si="17"/>
        <v>3.0395459826466009</v>
      </c>
      <c r="E35" s="364">
        <f t="shared" si="12"/>
        <v>87250</v>
      </c>
      <c r="F35" s="370">
        <f>$D35*F24</f>
        <v>85860.216193796296</v>
      </c>
      <c r="G35" s="370">
        <f t="shared" ref="G35:M35" si="20">$D35*G24</f>
        <v>85860.216193796296</v>
      </c>
      <c r="H35" s="370">
        <f t="shared" si="20"/>
        <v>85860.216193796296</v>
      </c>
      <c r="I35" s="370">
        <f t="shared" si="20"/>
        <v>85860.216193796296</v>
      </c>
      <c r="J35" s="370">
        <f t="shared" si="20"/>
        <v>84646.38799932145</v>
      </c>
      <c r="K35" s="370">
        <f t="shared" si="20"/>
        <v>84646.38799932145</v>
      </c>
      <c r="L35" s="370">
        <f t="shared" si="20"/>
        <v>84646.38799932145</v>
      </c>
      <c r="M35" s="370">
        <f t="shared" si="20"/>
        <v>84646.38799932145</v>
      </c>
      <c r="P35" s="339" t="s">
        <v>466</v>
      </c>
      <c r="Q35" s="340" t="s">
        <v>899</v>
      </c>
      <c r="R35" s="406"/>
    </row>
    <row r="36" spans="1:18" ht="10.5" customHeight="1" x14ac:dyDescent="0.25">
      <c r="A36" s="331" t="str">
        <f>B9&amp;B36</f>
        <v>Concho ResourcesLease operating expenses</v>
      </c>
      <c r="B36" s="82" t="s">
        <v>468</v>
      </c>
      <c r="C36" s="106" t="s">
        <v>878</v>
      </c>
      <c r="D36" s="108">
        <f t="shared" si="17"/>
        <v>0</v>
      </c>
      <c r="E36" s="364">
        <f t="shared" si="12"/>
        <v>0</v>
      </c>
      <c r="F36" s="370">
        <f>$E36*((F$4*0.0266+11.643)*F$24)/(($E$4*0.0266+11.643)*$E$24)</f>
        <v>0</v>
      </c>
      <c r="G36" s="370">
        <f t="shared" ref="G36:M38" si="21">$E36*((G$4*0.0266+11.643)*G$24)/(($E$4*0.0266+11.643)*$E$24)</f>
        <v>0</v>
      </c>
      <c r="H36" s="370">
        <f t="shared" si="21"/>
        <v>0</v>
      </c>
      <c r="I36" s="370">
        <f t="shared" si="21"/>
        <v>0</v>
      </c>
      <c r="J36" s="370">
        <f t="shared" si="21"/>
        <v>0</v>
      </c>
      <c r="K36" s="370">
        <f t="shared" si="21"/>
        <v>0</v>
      </c>
      <c r="L36" s="370">
        <f t="shared" si="21"/>
        <v>0</v>
      </c>
      <c r="M36" s="370">
        <f t="shared" si="21"/>
        <v>0</v>
      </c>
      <c r="P36" s="339" t="s">
        <v>475</v>
      </c>
      <c r="Q36" s="340">
        <f>185/4</f>
        <v>46.25</v>
      </c>
      <c r="R36" s="406"/>
    </row>
    <row r="37" spans="1:18" ht="10.5" customHeight="1" x14ac:dyDescent="0.25">
      <c r="A37" s="331" t="str">
        <f>B9&amp;B37</f>
        <v>Concho ResourcesTransportation, Processing, and Other Operating</v>
      </c>
      <c r="B37" s="82" t="s">
        <v>469</v>
      </c>
      <c r="C37" s="106" t="s">
        <v>878</v>
      </c>
      <c r="D37" s="108">
        <f t="shared" si="17"/>
        <v>1.0015695931356994</v>
      </c>
      <c r="E37" s="364">
        <f t="shared" si="12"/>
        <v>28750</v>
      </c>
      <c r="F37" s="370">
        <f>$E37*((F$4*0.0266+11.643)*F$24)/(($E$4*0.0266+11.643)*$E$24)</f>
        <v>27529.065625877687</v>
      </c>
      <c r="G37" s="370">
        <f t="shared" si="21"/>
        <v>25792.396332065266</v>
      </c>
      <c r="H37" s="370">
        <f t="shared" si="21"/>
        <v>25905.099041294488</v>
      </c>
      <c r="I37" s="370">
        <f t="shared" si="21"/>
        <v>26017.801750523722</v>
      </c>
      <c r="J37" s="370">
        <f t="shared" si="21"/>
        <v>25761.090725952101</v>
      </c>
      <c r="K37" s="370">
        <f t="shared" si="21"/>
        <v>25872.20012768549</v>
      </c>
      <c r="L37" s="370">
        <f t="shared" si="21"/>
        <v>25983.309529418882</v>
      </c>
      <c r="M37" s="370">
        <f t="shared" si="21"/>
        <v>25983.309529418882</v>
      </c>
      <c r="P37" s="339" t="s">
        <v>508</v>
      </c>
      <c r="Q37" s="340">
        <f>-313/4</f>
        <v>-78.25</v>
      </c>
      <c r="R37" s="406"/>
    </row>
    <row r="38" spans="1:18" ht="10.5" customHeight="1" x14ac:dyDescent="0.25">
      <c r="A38" s="331" t="str">
        <f>B9&amp;B38</f>
        <v>Concho ResourcesSG&amp;A</v>
      </c>
      <c r="B38" s="82" t="s">
        <v>470</v>
      </c>
      <c r="C38" s="106" t="s">
        <v>878</v>
      </c>
      <c r="D38" s="108">
        <f t="shared" si="17"/>
        <v>2.8392320640194613</v>
      </c>
      <c r="E38" s="364">
        <f t="shared" si="12"/>
        <v>81500</v>
      </c>
      <c r="F38" s="370">
        <f>$E38*((F$4*0.0266+11.643)*F$24)/(($E$4*0.0266+11.643)*$E$24)</f>
        <v>78038.916469879361</v>
      </c>
      <c r="G38" s="370">
        <f t="shared" si="21"/>
        <v>73115.836558724142</v>
      </c>
      <c r="H38" s="370">
        <f t="shared" si="21"/>
        <v>73435.324238800036</v>
      </c>
      <c r="I38" s="370">
        <f t="shared" si="21"/>
        <v>73754.811918875945</v>
      </c>
      <c r="J38" s="370">
        <f t="shared" si="21"/>
        <v>73027.091970959867</v>
      </c>
      <c r="K38" s="370">
        <f t="shared" si="21"/>
        <v>73342.062970656261</v>
      </c>
      <c r="L38" s="370">
        <f t="shared" si="21"/>
        <v>73657.033970352655</v>
      </c>
      <c r="M38" s="370">
        <f t="shared" si="21"/>
        <v>73657.033970352655</v>
      </c>
      <c r="P38" s="346" t="s">
        <v>518</v>
      </c>
      <c r="Q38" s="347">
        <f t="shared" ref="Q38" si="22">SUM(Q35:Q37)</f>
        <v>-32</v>
      </c>
      <c r="R38" s="407"/>
    </row>
    <row r="39" spans="1:18" ht="10.5" customHeight="1" x14ac:dyDescent="0.25">
      <c r="A39" s="331" t="str">
        <f>B9&amp;B39</f>
        <v>Concho ResourcesExploratory and dirt well, dry hole</v>
      </c>
      <c r="B39" s="82" t="s">
        <v>561</v>
      </c>
      <c r="C39" s="106" t="s">
        <v>545</v>
      </c>
      <c r="D39" s="108">
        <f t="shared" si="17"/>
        <v>1.750569462785005</v>
      </c>
      <c r="E39" s="364">
        <f t="shared" si="12"/>
        <v>50250</v>
      </c>
      <c r="F39" s="372">
        <f>$D39*F24</f>
        <v>49449.580100152016</v>
      </c>
      <c r="G39" s="372">
        <f t="shared" ref="G39:M39" si="23">$D39*G24</f>
        <v>49449.580100152016</v>
      </c>
      <c r="H39" s="372">
        <f t="shared" si="23"/>
        <v>49449.580100152016</v>
      </c>
      <c r="I39" s="372">
        <f t="shared" si="23"/>
        <v>49449.580100152016</v>
      </c>
      <c r="J39" s="372">
        <f t="shared" si="23"/>
        <v>48750.498532560494</v>
      </c>
      <c r="K39" s="372">
        <f t="shared" si="23"/>
        <v>48750.498532560494</v>
      </c>
      <c r="L39" s="372">
        <f t="shared" si="23"/>
        <v>48750.498532560494</v>
      </c>
      <c r="M39" s="372">
        <f t="shared" si="23"/>
        <v>48750.498532560494</v>
      </c>
      <c r="P39" s="339" t="s">
        <v>477</v>
      </c>
      <c r="Q39" s="340">
        <f>-154/4</f>
        <v>-38.5</v>
      </c>
      <c r="R39" s="406"/>
    </row>
    <row r="40" spans="1:18" ht="10.5" customHeight="1" x14ac:dyDescent="0.25">
      <c r="A40" s="331" t="str">
        <f>B9&amp;B40</f>
        <v>Concho ResourcesOther Expenses (benefits)</v>
      </c>
      <c r="B40" s="82" t="s">
        <v>471</v>
      </c>
      <c r="C40" s="106" t="s">
        <v>545</v>
      </c>
      <c r="D40" s="108">
        <f t="shared" si="17"/>
        <v>12.558811767840684</v>
      </c>
      <c r="E40" s="364">
        <f t="shared" si="12"/>
        <v>360500</v>
      </c>
      <c r="F40" s="372">
        <f t="shared" ref="F40:M40" si="24">$D40*F24</f>
        <v>354757.68410158809</v>
      </c>
      <c r="G40" s="372">
        <f t="shared" si="24"/>
        <v>354757.68410158809</v>
      </c>
      <c r="H40" s="372">
        <f t="shared" si="24"/>
        <v>354757.68410158809</v>
      </c>
      <c r="I40" s="372">
        <f t="shared" si="24"/>
        <v>354757.68410158809</v>
      </c>
      <c r="J40" s="372">
        <f t="shared" si="24"/>
        <v>349742.38250722503</v>
      </c>
      <c r="K40" s="372">
        <f t="shared" si="24"/>
        <v>349742.38250722503</v>
      </c>
      <c r="L40" s="372">
        <f t="shared" si="24"/>
        <v>349742.38250722503</v>
      </c>
      <c r="M40" s="372">
        <f t="shared" si="24"/>
        <v>349742.38250722503</v>
      </c>
      <c r="P40" s="360" t="s">
        <v>918</v>
      </c>
      <c r="Q40" s="361" t="s">
        <v>899</v>
      </c>
      <c r="R40" s="406"/>
    </row>
    <row r="41" spans="1:18" ht="10.5" customHeight="1" x14ac:dyDescent="0.25">
      <c r="A41" s="331" t="str">
        <f>B9&amp;B41</f>
        <v>Concho ResourcesTotal Costs and Expenses</v>
      </c>
      <c r="B41" s="85" t="s">
        <v>474</v>
      </c>
      <c r="C41" s="85"/>
      <c r="D41" s="110"/>
      <c r="E41" s="366">
        <f t="shared" ref="E41:M41" si="25">SUM(E31:E40)</f>
        <v>1394750</v>
      </c>
      <c r="F41" s="373">
        <f t="shared" si="25"/>
        <v>1374274.6222808461</v>
      </c>
      <c r="G41" s="373">
        <f t="shared" si="25"/>
        <v>1367614.8730758785</v>
      </c>
      <c r="H41" s="373">
        <f t="shared" si="25"/>
        <v>1368047.0634651836</v>
      </c>
      <c r="I41" s="373">
        <f t="shared" si="25"/>
        <v>1368479.2538544887</v>
      </c>
      <c r="J41" s="373">
        <f t="shared" si="25"/>
        <v>1353701.0044886279</v>
      </c>
      <c r="K41" s="373">
        <f t="shared" si="25"/>
        <v>1354127.0848900578</v>
      </c>
      <c r="L41" s="373">
        <f t="shared" si="25"/>
        <v>1354553.1652914875</v>
      </c>
      <c r="M41" s="373">
        <f t="shared" si="25"/>
        <v>1354553.1652914875</v>
      </c>
      <c r="P41" s="360" t="s">
        <v>919</v>
      </c>
      <c r="Q41" s="361" t="s">
        <v>899</v>
      </c>
      <c r="R41" s="406"/>
    </row>
    <row r="42" spans="1:18" ht="10.5" customHeight="1" x14ac:dyDescent="0.25">
      <c r="A42" s="331" t="str">
        <f>B9&amp;B42</f>
        <v>Concho ResourcesOther (Income) Expense</v>
      </c>
      <c r="B42" s="368" t="s">
        <v>506</v>
      </c>
      <c r="C42" s="368"/>
      <c r="D42" s="112"/>
      <c r="E42" s="364"/>
      <c r="F42" s="372"/>
      <c r="G42" s="372"/>
      <c r="H42" s="372"/>
      <c r="I42" s="372"/>
      <c r="J42" s="372"/>
      <c r="K42" s="372"/>
      <c r="L42" s="372"/>
      <c r="M42" s="372"/>
      <c r="P42" s="360" t="s">
        <v>920</v>
      </c>
      <c r="Q42" s="361" t="s">
        <v>899</v>
      </c>
      <c r="R42" s="406"/>
    </row>
    <row r="43" spans="1:18" ht="10.5" customHeight="1" x14ac:dyDescent="0.25">
      <c r="A43" s="331" t="str">
        <f>B9&amp;B43</f>
        <v>Concho ResourcesLoss (gain) on derivative instruments, net</v>
      </c>
      <c r="B43" s="82" t="s">
        <v>466</v>
      </c>
      <c r="C43" s="107" t="s">
        <v>879</v>
      </c>
      <c r="D43" s="108"/>
      <c r="E43" s="364">
        <f>IF(VLOOKUP($B43, P:Q, 2,0) = "-", 0, VLOOKUP($B43, P:Q, 2,0))*1000</f>
        <v>0</v>
      </c>
      <c r="F43" s="372">
        <f>E43</f>
        <v>0</v>
      </c>
      <c r="G43" s="372">
        <f t="shared" ref="G43:M43" si="26">F43</f>
        <v>0</v>
      </c>
      <c r="H43" s="372">
        <f t="shared" si="26"/>
        <v>0</v>
      </c>
      <c r="I43" s="372">
        <f t="shared" si="26"/>
        <v>0</v>
      </c>
      <c r="J43" s="372">
        <f t="shared" si="26"/>
        <v>0</v>
      </c>
      <c r="K43" s="372">
        <f t="shared" si="26"/>
        <v>0</v>
      </c>
      <c r="L43" s="372">
        <f t="shared" si="26"/>
        <v>0</v>
      </c>
      <c r="M43" s="372">
        <f t="shared" si="26"/>
        <v>0</v>
      </c>
      <c r="P43" s="346" t="s">
        <v>478</v>
      </c>
      <c r="Q43" s="347">
        <f>Q12-Q32-Q38-Q39</f>
        <v>-176.25</v>
      </c>
      <c r="R43" s="407"/>
    </row>
    <row r="44" spans="1:18" ht="10.5" customHeight="1" x14ac:dyDescent="0.25">
      <c r="A44" s="331" t="str">
        <f>B9&amp;B44</f>
        <v>Concho ResourcesInterest expense, net</v>
      </c>
      <c r="B44" s="82" t="s">
        <v>475</v>
      </c>
      <c r="C44" s="82" t="s">
        <v>526</v>
      </c>
      <c r="D44" s="108"/>
      <c r="E44" s="364">
        <f>IF(VLOOKUP($B44, P:Q, 2,0) = "-", 0, VLOOKUP($B44, P:Q, 2,0))*1000</f>
        <v>46250</v>
      </c>
      <c r="F44" s="372">
        <f>$E73*(F78/E78)*(($E44/$E73)+IF($B$2="A3",(('Quarterly Forecasts'!$K$5-'Quarterly Forecasts'!$G$5)/400),(('Quarterly Forecasts'!$K$26-'Quarterly Forecasts'!$G$26)/400)))</f>
        <v>49609.875441850927</v>
      </c>
      <c r="G44" s="372">
        <f>$E73*(G78/F78)*(($E44/$E73)+IF($B$2="A3",(('Quarterly Forecasts'!$K$5-'Quarterly Forecasts'!$G$5)/400),(('Quarterly Forecasts'!$K$26-'Quarterly Forecasts'!$G$26)/400)))</f>
        <v>50480.347099999999</v>
      </c>
      <c r="H44" s="372">
        <f>$E73*(H78/G78)*(($E44/$E73)+IF($B$2="A3",(('Quarterly Forecasts'!$K$5-'Quarterly Forecasts'!$G$5)/400),(('Quarterly Forecasts'!$K$26-'Quarterly Forecasts'!$G$26)/400)))</f>
        <v>50480.347099999999</v>
      </c>
      <c r="I44" s="372">
        <f>$E73*(I78/H78)*(($E44/$E73)+IF($B$2="A3",(('Quarterly Forecasts'!$K$5-'Quarterly Forecasts'!$G$5)/400),(('Quarterly Forecasts'!$K$26-'Quarterly Forecasts'!$G$26)/400)))</f>
        <v>50480.347099999999</v>
      </c>
      <c r="J44" s="372">
        <f>$I73*(J78/I78)*(($I44/$I73)+ IF($B$2 = "A3", (('Quarterly Forecasts'!$O$5-'Quarterly Forecasts'!$K$5)/400),  (('Quarterly Forecasts'!$O$26-'Quarterly Forecasts'!$K$26)/400)))</f>
        <v>46188.456752436461</v>
      </c>
      <c r="K44" s="372">
        <f>$I73*(K78/J78)*(($I44/$I73)+ IF($B$2 = "A3", (('Quarterly Forecasts'!$O$5-'Quarterly Forecasts'!$K$5)/400),  (('Quarterly Forecasts'!$O$26-'Quarterly Forecasts'!$K$26)/400)))</f>
        <v>46193.443500000001</v>
      </c>
      <c r="L44" s="372">
        <f>$I73*(L78/K78)*(($I44/$I73)+ IF($B$2 = "A3", (('Quarterly Forecasts'!$O$5-'Quarterly Forecasts'!$K$5)/400),  (('Quarterly Forecasts'!$O$26-'Quarterly Forecasts'!$K$26)/400)))</f>
        <v>46193.443500000001</v>
      </c>
      <c r="M44" s="372">
        <f>$I73*(M78/L78)*(($I44/$I73)+ IF($B$2 = "A3", (('Quarterly Forecasts'!$O$5-'Quarterly Forecasts'!$K$5)/400),  (('Quarterly Forecasts'!$O$26-'Quarterly Forecasts'!$K$26)/400)))</f>
        <v>46193.443500000001</v>
      </c>
      <c r="N44" s="374"/>
      <c r="P44" s="339"/>
      <c r="Q44" s="340"/>
      <c r="R44" s="406"/>
    </row>
    <row r="45" spans="1:18" ht="10.5" customHeight="1" x14ac:dyDescent="0.25">
      <c r="A45" s="331" t="str">
        <f>B9&amp;B45</f>
        <v>Concho ResourcesOther, net</v>
      </c>
      <c r="B45" s="82" t="s">
        <v>508</v>
      </c>
      <c r="C45" s="82" t="s">
        <v>509</v>
      </c>
      <c r="D45" s="108"/>
      <c r="E45" s="364">
        <f>IF(VLOOKUP($B45, P:Q, 2,0) = "-", 0, VLOOKUP($B45, P:Q, 2,0))*1000</f>
        <v>-78250</v>
      </c>
      <c r="F45" s="372">
        <f>E45</f>
        <v>-78250</v>
      </c>
      <c r="G45" s="372">
        <f t="shared" ref="G45:M45" si="27">F45</f>
        <v>-78250</v>
      </c>
      <c r="H45" s="372">
        <f t="shared" si="27"/>
        <v>-78250</v>
      </c>
      <c r="I45" s="372">
        <f t="shared" si="27"/>
        <v>-78250</v>
      </c>
      <c r="J45" s="372">
        <f t="shared" si="27"/>
        <v>-78250</v>
      </c>
      <c r="K45" s="372">
        <f t="shared" si="27"/>
        <v>-78250</v>
      </c>
      <c r="L45" s="372">
        <f t="shared" si="27"/>
        <v>-78250</v>
      </c>
      <c r="M45" s="372">
        <f t="shared" si="27"/>
        <v>-78250</v>
      </c>
      <c r="P45" s="335" t="s">
        <v>479</v>
      </c>
      <c r="Q45" s="340"/>
      <c r="R45" s="406"/>
    </row>
    <row r="46" spans="1:18" ht="10.5" customHeight="1" x14ac:dyDescent="0.25">
      <c r="A46" s="331" t="str">
        <f>B9&amp;B46</f>
        <v>Concho ResourcesTotal Other (Income) Expense</v>
      </c>
      <c r="B46" s="85" t="s">
        <v>518</v>
      </c>
      <c r="C46" s="85"/>
      <c r="D46" s="110"/>
      <c r="E46" s="366">
        <f>SUM(E43:E45)</f>
        <v>-32000</v>
      </c>
      <c r="F46" s="367">
        <f>SUM(F43:F45)</f>
        <v>-28640.124558149073</v>
      </c>
      <c r="G46" s="367">
        <f t="shared" ref="G46:L46" si="28">SUM(G43:G45)</f>
        <v>-27769.652900000001</v>
      </c>
      <c r="H46" s="367">
        <f t="shared" si="28"/>
        <v>-27769.652900000001</v>
      </c>
      <c r="I46" s="367">
        <f t="shared" si="28"/>
        <v>-27769.652900000001</v>
      </c>
      <c r="J46" s="367">
        <f t="shared" si="28"/>
        <v>-32061.543247563539</v>
      </c>
      <c r="K46" s="367">
        <f t="shared" si="28"/>
        <v>-32056.556499999999</v>
      </c>
      <c r="L46" s="367">
        <f t="shared" si="28"/>
        <v>-32056.556499999999</v>
      </c>
      <c r="M46" s="367">
        <f>SUM(M43:M45)</f>
        <v>-32056.556499999999</v>
      </c>
      <c r="P46" s="339" t="s">
        <v>480</v>
      </c>
      <c r="Q46" s="340">
        <f>70</f>
        <v>70</v>
      </c>
      <c r="R46" s="406"/>
    </row>
    <row r="47" spans="1:18" ht="10.5" customHeight="1" x14ac:dyDescent="0.25">
      <c r="A47" s="331" t="str">
        <f>B9&amp;B47</f>
        <v>Concho ResourcesIncome (loss) from continuing operations before income taxes</v>
      </c>
      <c r="B47" s="368" t="s">
        <v>476</v>
      </c>
      <c r="C47" s="368"/>
      <c r="D47" s="112"/>
      <c r="E47" s="366">
        <f>E29-E41-E46</f>
        <v>-214750</v>
      </c>
      <c r="F47" s="367">
        <f>F29-F41-F46</f>
        <v>-490124.71035375906</v>
      </c>
      <c r="G47" s="367">
        <f t="shared" ref="G47:M47" si="29">G29-G41-G46</f>
        <v>-946377.54770876607</v>
      </c>
      <c r="H47" s="367">
        <f t="shared" si="29"/>
        <v>-914624.92005920864</v>
      </c>
      <c r="I47" s="367">
        <f t="shared" si="29"/>
        <v>-882872.29240965133</v>
      </c>
      <c r="J47" s="367">
        <f t="shared" si="29"/>
        <v>-837326.73927175486</v>
      </c>
      <c r="K47" s="367">
        <f t="shared" si="29"/>
        <v>-805870.35558984987</v>
      </c>
      <c r="L47" s="367">
        <f t="shared" si="29"/>
        <v>-774408.98516038118</v>
      </c>
      <c r="M47" s="367">
        <f t="shared" si="29"/>
        <v>-774408.98516038118</v>
      </c>
      <c r="P47" s="339" t="s">
        <v>481</v>
      </c>
      <c r="Q47" s="340" t="s">
        <v>899</v>
      </c>
      <c r="R47" s="406"/>
    </row>
    <row r="48" spans="1:18" ht="10.5" customHeight="1" x14ac:dyDescent="0.25">
      <c r="A48" s="331" t="str">
        <f>B9&amp;B48</f>
        <v>Concho ResourcesIncome tax (benefit) expense</v>
      </c>
      <c r="B48" s="132" t="s">
        <v>477</v>
      </c>
      <c r="C48" s="132" t="s">
        <v>525</v>
      </c>
      <c r="D48" s="109">
        <f>ABS(E48/E47)</f>
        <v>0.17927823050058206</v>
      </c>
      <c r="E48" s="364">
        <f>IF(VLOOKUP($B48, P:Q, 2,0) = "-", 0, VLOOKUP($B48, P:Q, 2,0))*1000</f>
        <v>-38500</v>
      </c>
      <c r="F48" s="365">
        <f>$D48*F47</f>
        <v>-87868.690796832234</v>
      </c>
      <c r="G48" s="365">
        <f t="shared" ref="G48:M48" si="30">$D48*G47</f>
        <v>-169664.89213870777</v>
      </c>
      <c r="H48" s="365">
        <f t="shared" si="30"/>
        <v>-163972.33723995124</v>
      </c>
      <c r="I48" s="365">
        <f t="shared" si="30"/>
        <v>-158279.78234119475</v>
      </c>
      <c r="J48" s="365">
        <f t="shared" si="30"/>
        <v>-150114.45616746246</v>
      </c>
      <c r="K48" s="365">
        <f t="shared" si="30"/>
        <v>-144475.01136302314</v>
      </c>
      <c r="L48" s="365">
        <f t="shared" si="30"/>
        <v>-138834.67254330465</v>
      </c>
      <c r="M48" s="365">
        <f t="shared" si="30"/>
        <v>-138834.67254330465</v>
      </c>
      <c r="P48" s="339" t="s">
        <v>482</v>
      </c>
      <c r="Q48" s="340">
        <f>584</f>
        <v>584</v>
      </c>
      <c r="R48" s="406"/>
    </row>
    <row r="49" spans="1:18" ht="10.5" customHeight="1" thickBot="1" x14ac:dyDescent="0.3">
      <c r="A49" s="331" t="str">
        <f>B9&amp;B49</f>
        <v>Concho ResourcesNet (loss) Income</v>
      </c>
      <c r="B49" s="375" t="s">
        <v>478</v>
      </c>
      <c r="C49" s="375"/>
      <c r="D49" s="116"/>
      <c r="E49" s="376">
        <f>(E47-E48)</f>
        <v>-176250</v>
      </c>
      <c r="F49" s="377">
        <f>F47-F48</f>
        <v>-402256.0195569268</v>
      </c>
      <c r="G49" s="377">
        <f t="shared" ref="G49:M49" si="31">G47-G48</f>
        <v>-776712.65557005827</v>
      </c>
      <c r="H49" s="377">
        <f t="shared" si="31"/>
        <v>-750652.5828192574</v>
      </c>
      <c r="I49" s="377">
        <f t="shared" si="31"/>
        <v>-724592.51006845664</v>
      </c>
      <c r="J49" s="377">
        <f t="shared" si="31"/>
        <v>-687212.28310429235</v>
      </c>
      <c r="K49" s="377">
        <f t="shared" si="31"/>
        <v>-661395.34422682668</v>
      </c>
      <c r="L49" s="377">
        <f t="shared" si="31"/>
        <v>-635574.31261707656</v>
      </c>
      <c r="M49" s="377">
        <f t="shared" si="31"/>
        <v>-635574.31261707656</v>
      </c>
      <c r="P49" s="339" t="s">
        <v>569</v>
      </c>
      <c r="Q49" s="340">
        <f>304</f>
        <v>304</v>
      </c>
      <c r="R49" s="406"/>
    </row>
    <row r="50" spans="1:18" ht="10.5" customHeight="1" thickTop="1" x14ac:dyDescent="0.25">
      <c r="P50" s="339" t="s">
        <v>484</v>
      </c>
      <c r="Q50" s="340">
        <f>30</f>
        <v>30</v>
      </c>
      <c r="R50" s="406"/>
    </row>
    <row r="51" spans="1:18" ht="10.5" customHeight="1" x14ac:dyDescent="0.25">
      <c r="A51" s="331" t="str">
        <f>B9&amp;B51</f>
        <v>Concho ResourcesCurrent Assets</v>
      </c>
      <c r="B51" s="332" t="s">
        <v>479</v>
      </c>
      <c r="C51" s="332"/>
      <c r="D51" s="111"/>
      <c r="E51" s="364"/>
      <c r="F51" s="365"/>
      <c r="G51" s="365"/>
      <c r="H51" s="365"/>
      <c r="I51" s="365"/>
      <c r="J51" s="365"/>
      <c r="K51" s="365"/>
      <c r="L51" s="365"/>
      <c r="M51" s="365"/>
      <c r="P51" s="339" t="s">
        <v>813</v>
      </c>
      <c r="Q51" s="340">
        <v>6</v>
      </c>
      <c r="R51" s="406"/>
    </row>
    <row r="52" spans="1:18" ht="10.5" customHeight="1" x14ac:dyDescent="0.25">
      <c r="A52" s="331" t="str">
        <f>B9&amp;B52</f>
        <v>Concho ResourcesCash and cash equivalents</v>
      </c>
      <c r="B52" s="82" t="s">
        <v>480</v>
      </c>
      <c r="C52" s="82" t="s">
        <v>538</v>
      </c>
      <c r="D52" s="140">
        <v>2406</v>
      </c>
      <c r="E52" s="364">
        <f>IF(VLOOKUP($B52, P:Q, 2,0) = "-", 0, VLOOKUP($B52, P:Q, 2,0))*1000</f>
        <v>70000</v>
      </c>
      <c r="F52" s="365">
        <f>F49+E52</f>
        <v>-332256.0195569268</v>
      </c>
      <c r="G52" s="365">
        <f>G49+F52</f>
        <v>-1108968.6751269852</v>
      </c>
      <c r="H52" s="365">
        <f t="shared" ref="H52:M52" si="32">H49+G52</f>
        <v>-1859621.2579462426</v>
      </c>
      <c r="I52" s="365">
        <f t="shared" si="32"/>
        <v>-2584213.7680146992</v>
      </c>
      <c r="J52" s="365">
        <f t="shared" si="32"/>
        <v>-3271426.0511189913</v>
      </c>
      <c r="K52" s="365">
        <f t="shared" si="32"/>
        <v>-3932821.3953458183</v>
      </c>
      <c r="L52" s="365">
        <f t="shared" si="32"/>
        <v>-4568395.7079628948</v>
      </c>
      <c r="M52" s="365">
        <f t="shared" si="32"/>
        <v>-5203970.0205799714</v>
      </c>
      <c r="P52" s="339" t="s">
        <v>486</v>
      </c>
      <c r="Q52" s="340" t="s">
        <v>899</v>
      </c>
      <c r="R52" s="406"/>
    </row>
    <row r="53" spans="1:18" ht="10.5" customHeight="1" x14ac:dyDescent="0.25">
      <c r="A53" s="331" t="str">
        <f>B9&amp;B53</f>
        <v>Concho ResourcesAccounts receivable, net of allowance</v>
      </c>
      <c r="B53" s="82" t="s">
        <v>481</v>
      </c>
      <c r="C53" s="82"/>
      <c r="D53" s="108"/>
      <c r="E53" s="364"/>
      <c r="F53" s="365"/>
      <c r="G53" s="365"/>
      <c r="H53" s="365"/>
      <c r="I53" s="365"/>
      <c r="J53" s="365"/>
      <c r="K53" s="365"/>
      <c r="L53" s="365"/>
      <c r="M53" s="365"/>
      <c r="P53" s="339" t="s">
        <v>568</v>
      </c>
      <c r="Q53" s="340">
        <f>61</f>
        <v>61</v>
      </c>
      <c r="R53" s="406"/>
    </row>
    <row r="54" spans="1:18" ht="10.5" customHeight="1" x14ac:dyDescent="0.25">
      <c r="A54" s="331" t="str">
        <f>B9&amp;B54</f>
        <v>Concho ResourcesOil and gas sales</v>
      </c>
      <c r="B54" s="82" t="s">
        <v>482</v>
      </c>
      <c r="C54" s="82" t="s">
        <v>539</v>
      </c>
      <c r="D54" s="133">
        <f>E54/E29</f>
        <v>0.50871080139372826</v>
      </c>
      <c r="E54" s="364">
        <f t="shared" ref="E54:E59" si="33">IF(VLOOKUP($B54, P:Q, 2,0) = "-", 0, VLOOKUP($B54, P:Q, 2,0))*1000</f>
        <v>584000</v>
      </c>
      <c r="F54" s="365">
        <f>$D54*F29</f>
        <v>435207.0695326305</v>
      </c>
      <c r="G54" s="365">
        <f>$D54*G29</f>
        <v>200161.25498326976</v>
      </c>
      <c r="H54" s="365">
        <f t="shared" ref="H54:M54" si="34">$D54*H29</f>
        <v>216534.01956053081</v>
      </c>
      <c r="I54" s="365">
        <f t="shared" si="34"/>
        <v>232906.78413779184</v>
      </c>
      <c r="J54" s="365">
        <f t="shared" si="34"/>
        <v>246375.11291818533</v>
      </c>
      <c r="K54" s="365">
        <f t="shared" si="34"/>
        <v>262596.60358477483</v>
      </c>
      <c r="L54" s="365">
        <f t="shared" si="34"/>
        <v>278818.09425136424</v>
      </c>
      <c r="M54" s="365">
        <f t="shared" si="34"/>
        <v>278818.09425136424</v>
      </c>
      <c r="P54" s="360" t="s">
        <v>927</v>
      </c>
      <c r="Q54" s="361" t="s">
        <v>899</v>
      </c>
      <c r="R54" s="406"/>
    </row>
    <row r="55" spans="1:18" ht="10.5" customHeight="1" x14ac:dyDescent="0.25">
      <c r="A55" s="331" t="str">
        <f>B9&amp;B55</f>
        <v>Concho ResourcesOther receivable</v>
      </c>
      <c r="B55" s="82" t="s">
        <v>569</v>
      </c>
      <c r="C55" s="82" t="s">
        <v>539</v>
      </c>
      <c r="D55" s="133">
        <f>E55/E29</f>
        <v>0.26480836236933797</v>
      </c>
      <c r="E55" s="364">
        <f t="shared" si="33"/>
        <v>304000</v>
      </c>
      <c r="F55" s="365">
        <f>$D55*F29</f>
        <v>226546.14578410902</v>
      </c>
      <c r="G55" s="365">
        <f>$D55*G29</f>
        <v>104193.52999129109</v>
      </c>
      <c r="H55" s="365">
        <f t="shared" ref="H55:M55" si="35">$D55*H29</f>
        <v>112716.33894931739</v>
      </c>
      <c r="I55" s="365">
        <f t="shared" si="35"/>
        <v>121239.14790734368</v>
      </c>
      <c r="J55" s="365">
        <f t="shared" si="35"/>
        <v>128250.05877932934</v>
      </c>
      <c r="K55" s="365">
        <f t="shared" si="35"/>
        <v>136694.12241399236</v>
      </c>
      <c r="L55" s="365">
        <f t="shared" si="35"/>
        <v>145138.18604865533</v>
      </c>
      <c r="M55" s="365">
        <f t="shared" si="35"/>
        <v>145138.18604865533</v>
      </c>
      <c r="P55" s="360" t="s">
        <v>928</v>
      </c>
      <c r="Q55" s="361" t="s">
        <v>899</v>
      </c>
      <c r="R55" s="406"/>
    </row>
    <row r="56" spans="1:18" ht="10.5" customHeight="1" x14ac:dyDescent="0.25">
      <c r="A56" s="331" t="str">
        <f>B9&amp;B56</f>
        <v>Concho ResourcesInventory</v>
      </c>
      <c r="B56" s="82" t="s">
        <v>484</v>
      </c>
      <c r="C56" s="82" t="s">
        <v>539</v>
      </c>
      <c r="D56" s="133">
        <f>E56/E29</f>
        <v>2.6132404181184669E-2</v>
      </c>
      <c r="E56" s="364">
        <f t="shared" si="33"/>
        <v>30000</v>
      </c>
      <c r="F56" s="365">
        <f>$D56*F29</f>
        <v>22356.527544484441</v>
      </c>
      <c r="G56" s="365">
        <f t="shared" ref="G56:M56" si="36">$D56*G29</f>
        <v>10282.256249140568</v>
      </c>
      <c r="H56" s="365">
        <f t="shared" si="36"/>
        <v>11123.322922630006</v>
      </c>
      <c r="I56" s="365">
        <f t="shared" si="36"/>
        <v>11964.389596119443</v>
      </c>
      <c r="J56" s="365">
        <f t="shared" si="36"/>
        <v>12656.255800591713</v>
      </c>
      <c r="K56" s="365">
        <f t="shared" si="36"/>
        <v>13489.551554012403</v>
      </c>
      <c r="L56" s="365">
        <f t="shared" si="36"/>
        <v>14322.847307433092</v>
      </c>
      <c r="M56" s="365">
        <f t="shared" si="36"/>
        <v>14322.847307433092</v>
      </c>
      <c r="P56" s="346" t="s">
        <v>487</v>
      </c>
      <c r="Q56" s="347">
        <f t="shared" ref="Q56" si="37">SUM(Q46:Q55)</f>
        <v>1055</v>
      </c>
      <c r="R56" s="407"/>
    </row>
    <row r="57" spans="1:18" ht="10.5" customHeight="1" x14ac:dyDescent="0.25">
      <c r="A57" s="331" t="str">
        <f>B9&amp;B57</f>
        <v>Concho ResourcesDerivative instruments current assets</v>
      </c>
      <c r="B57" s="82" t="s">
        <v>813</v>
      </c>
      <c r="C57" s="107" t="s">
        <v>507</v>
      </c>
      <c r="D57" s="108"/>
      <c r="E57" s="364">
        <f t="shared" si="33"/>
        <v>6000</v>
      </c>
      <c r="F57" s="378"/>
      <c r="G57" s="378"/>
      <c r="H57" s="378"/>
      <c r="I57" s="378"/>
      <c r="J57" s="378"/>
      <c r="K57" s="378"/>
      <c r="L57" s="378"/>
      <c r="M57" s="378"/>
      <c r="P57" s="339" t="s">
        <v>488</v>
      </c>
      <c r="Q57" s="340">
        <v>21327</v>
      </c>
      <c r="R57" s="406"/>
    </row>
    <row r="58" spans="1:18" ht="10.5" customHeight="1" x14ac:dyDescent="0.25">
      <c r="A58" s="331" t="str">
        <f>B9&amp;B58</f>
        <v>Concho ResourcesPrepaid expenses</v>
      </c>
      <c r="B58" s="82" t="s">
        <v>486</v>
      </c>
      <c r="C58" s="82" t="s">
        <v>509</v>
      </c>
      <c r="D58" s="108"/>
      <c r="E58" s="364">
        <f t="shared" si="33"/>
        <v>0</v>
      </c>
      <c r="F58" s="365">
        <f>E58</f>
        <v>0</v>
      </c>
      <c r="G58" s="365">
        <f t="shared" ref="G58:M59" si="38">F58</f>
        <v>0</v>
      </c>
      <c r="H58" s="365">
        <f t="shared" si="38"/>
        <v>0</v>
      </c>
      <c r="I58" s="365">
        <f t="shared" si="38"/>
        <v>0</v>
      </c>
      <c r="J58" s="365">
        <f t="shared" si="38"/>
        <v>0</v>
      </c>
      <c r="K58" s="365">
        <f t="shared" si="38"/>
        <v>0</v>
      </c>
      <c r="L58" s="365">
        <f t="shared" si="38"/>
        <v>0</v>
      </c>
      <c r="M58" s="365">
        <f t="shared" si="38"/>
        <v>0</v>
      </c>
      <c r="P58" s="339" t="s">
        <v>814</v>
      </c>
      <c r="Q58" s="340">
        <v>11</v>
      </c>
      <c r="R58" s="406"/>
    </row>
    <row r="59" spans="1:18" ht="10.5" customHeight="1" x14ac:dyDescent="0.25">
      <c r="A59" s="331" t="str">
        <f>B9&amp;B59</f>
        <v>Concho ResourcesOther current assets</v>
      </c>
      <c r="B59" s="82" t="s">
        <v>568</v>
      </c>
      <c r="C59" s="82" t="s">
        <v>509</v>
      </c>
      <c r="D59" s="108"/>
      <c r="E59" s="364">
        <f t="shared" si="33"/>
        <v>61000</v>
      </c>
      <c r="F59" s="365">
        <f>E59</f>
        <v>61000</v>
      </c>
      <c r="G59" s="365">
        <f t="shared" si="38"/>
        <v>61000</v>
      </c>
      <c r="H59" s="365">
        <f t="shared" si="38"/>
        <v>61000</v>
      </c>
      <c r="I59" s="365">
        <f t="shared" si="38"/>
        <v>61000</v>
      </c>
      <c r="J59" s="365">
        <f t="shared" si="38"/>
        <v>61000</v>
      </c>
      <c r="K59" s="365">
        <f t="shared" si="38"/>
        <v>61000</v>
      </c>
      <c r="L59" s="365">
        <f t="shared" si="38"/>
        <v>61000</v>
      </c>
      <c r="M59" s="365">
        <f t="shared" si="38"/>
        <v>61000</v>
      </c>
      <c r="P59" s="339" t="s">
        <v>815</v>
      </c>
      <c r="Q59" s="340" t="s">
        <v>899</v>
      </c>
      <c r="R59" s="406"/>
    </row>
    <row r="60" spans="1:18" ht="10.5" customHeight="1" x14ac:dyDescent="0.25">
      <c r="A60" s="331" t="str">
        <f>B9&amp;B60</f>
        <v>Concho ResourcesTotal current assets</v>
      </c>
      <c r="B60" s="87" t="s">
        <v>487</v>
      </c>
      <c r="C60" s="87"/>
      <c r="D60" s="111"/>
      <c r="E60" s="366">
        <f>SUM(E52:E59)</f>
        <v>1055000</v>
      </c>
      <c r="F60" s="367">
        <f>SUM(F52:F59)</f>
        <v>412853.72330429713</v>
      </c>
      <c r="G60" s="367">
        <f t="shared" ref="G60:M60" si="39">SUM(G52:G59)</f>
        <v>-733331.63390328374</v>
      </c>
      <c r="H60" s="367">
        <f t="shared" si="39"/>
        <v>-1458247.5765137644</v>
      </c>
      <c r="I60" s="367">
        <f t="shared" si="39"/>
        <v>-2157103.4463734441</v>
      </c>
      <c r="J60" s="367">
        <f t="shared" si="39"/>
        <v>-2823144.6236208845</v>
      </c>
      <c r="K60" s="367">
        <f t="shared" si="39"/>
        <v>-3459041.1177930385</v>
      </c>
      <c r="L60" s="367">
        <f t="shared" si="39"/>
        <v>-4069116.5803554421</v>
      </c>
      <c r="M60" s="367">
        <f t="shared" si="39"/>
        <v>-4704690.8929725178</v>
      </c>
      <c r="P60" s="339" t="s">
        <v>490</v>
      </c>
      <c r="Q60" s="340">
        <v>1917</v>
      </c>
      <c r="R60" s="406"/>
    </row>
    <row r="61" spans="1:18" ht="10.5" customHeight="1" x14ac:dyDescent="0.25">
      <c r="A61" s="331" t="str">
        <f>B9&amp;B61</f>
        <v>Concho ResourcesProperty and equipment, net</v>
      </c>
      <c r="B61" s="368" t="s">
        <v>488</v>
      </c>
      <c r="C61" s="132" t="s">
        <v>509</v>
      </c>
      <c r="D61" s="112"/>
      <c r="E61" s="364">
        <f>IF(VLOOKUP($B61, P:Q, 2,0) = "-", 0, VLOOKUP($B61, P:Q, 2,0))*1000</f>
        <v>21327000</v>
      </c>
      <c r="F61" s="365">
        <f>E61</f>
        <v>21327000</v>
      </c>
      <c r="G61" s="365">
        <f t="shared" ref="G61:M61" si="40">F61</f>
        <v>21327000</v>
      </c>
      <c r="H61" s="365">
        <f t="shared" si="40"/>
        <v>21327000</v>
      </c>
      <c r="I61" s="365">
        <f t="shared" si="40"/>
        <v>21327000</v>
      </c>
      <c r="J61" s="365">
        <f t="shared" si="40"/>
        <v>21327000</v>
      </c>
      <c r="K61" s="365">
        <f t="shared" si="40"/>
        <v>21327000</v>
      </c>
      <c r="L61" s="365">
        <f t="shared" si="40"/>
        <v>21327000</v>
      </c>
      <c r="M61" s="365">
        <f t="shared" si="40"/>
        <v>21327000</v>
      </c>
      <c r="P61" s="339" t="s">
        <v>491</v>
      </c>
      <c r="Q61" s="340">
        <f>398+17+7</f>
        <v>422</v>
      </c>
      <c r="R61" s="406"/>
    </row>
    <row r="62" spans="1:18" ht="10.5" customHeight="1" x14ac:dyDescent="0.25">
      <c r="A62" s="331" t="str">
        <f>B9&amp;B62</f>
        <v>Concho ResourcesDerivative instruments total assets</v>
      </c>
      <c r="B62" s="132" t="s">
        <v>814</v>
      </c>
      <c r="C62" s="379" t="s">
        <v>507</v>
      </c>
      <c r="D62" s="108"/>
      <c r="E62" s="364">
        <f>IF(VLOOKUP($B62, P:Q, 2,0) = "-", 0, VLOOKUP($B62, P:Q, 2,0))*1000</f>
        <v>11000</v>
      </c>
      <c r="F62" s="378"/>
      <c r="G62" s="378"/>
      <c r="H62" s="378"/>
      <c r="I62" s="378"/>
      <c r="J62" s="378"/>
      <c r="K62" s="378"/>
      <c r="L62" s="378"/>
      <c r="M62" s="378"/>
      <c r="P62" s="360" t="s">
        <v>929</v>
      </c>
      <c r="Q62" s="361" t="s">
        <v>899</v>
      </c>
      <c r="R62" s="406"/>
    </row>
    <row r="63" spans="1:18" ht="10.5" customHeight="1" x14ac:dyDescent="0.25">
      <c r="A63" s="331" t="str">
        <f>B9&amp;B63</f>
        <v>Concho ResourcesDeferred income taxes assets</v>
      </c>
      <c r="B63" s="132" t="s">
        <v>815</v>
      </c>
      <c r="C63" s="132" t="s">
        <v>509</v>
      </c>
      <c r="D63" s="108"/>
      <c r="E63" s="364">
        <f>IF(VLOOKUP($B63, P:Q, 2,0) = "-", 0, VLOOKUP($B63, P:Q, 2,0))*1000</f>
        <v>0</v>
      </c>
      <c r="F63" s="365">
        <f>E63</f>
        <v>0</v>
      </c>
      <c r="G63" s="365">
        <f t="shared" ref="G63:M65" si="41">F63</f>
        <v>0</v>
      </c>
      <c r="H63" s="365">
        <f t="shared" si="41"/>
        <v>0</v>
      </c>
      <c r="I63" s="365">
        <f t="shared" si="41"/>
        <v>0</v>
      </c>
      <c r="J63" s="365">
        <f t="shared" si="41"/>
        <v>0</v>
      </c>
      <c r="K63" s="365">
        <f t="shared" si="41"/>
        <v>0</v>
      </c>
      <c r="L63" s="365">
        <f t="shared" si="41"/>
        <v>0</v>
      </c>
      <c r="M63" s="365">
        <f t="shared" si="41"/>
        <v>0</v>
      </c>
      <c r="P63" s="360" t="s">
        <v>930</v>
      </c>
      <c r="Q63" s="361" t="s">
        <v>899</v>
      </c>
      <c r="R63" s="406"/>
    </row>
    <row r="64" spans="1:18" ht="10.5" customHeight="1" x14ac:dyDescent="0.25">
      <c r="A64" s="331" t="str">
        <f>B9&amp;B64</f>
        <v>Concho ResourcesGoodwill</v>
      </c>
      <c r="B64" s="132" t="s">
        <v>490</v>
      </c>
      <c r="C64" s="132" t="s">
        <v>509</v>
      </c>
      <c r="D64" s="108"/>
      <c r="E64" s="364">
        <f>IF(VLOOKUP($B64, P:Q, 2,0) = "-", 0, VLOOKUP($B64, P:Q, 2,0))*1000</f>
        <v>1917000</v>
      </c>
      <c r="F64" s="365">
        <f>E64</f>
        <v>1917000</v>
      </c>
      <c r="G64" s="365">
        <f t="shared" si="41"/>
        <v>1917000</v>
      </c>
      <c r="H64" s="365">
        <f t="shared" si="41"/>
        <v>1917000</v>
      </c>
      <c r="I64" s="365">
        <f t="shared" si="41"/>
        <v>1917000</v>
      </c>
      <c r="J64" s="365">
        <f t="shared" si="41"/>
        <v>1917000</v>
      </c>
      <c r="K64" s="365">
        <f t="shared" si="41"/>
        <v>1917000</v>
      </c>
      <c r="L64" s="365">
        <f t="shared" si="41"/>
        <v>1917000</v>
      </c>
      <c r="M64" s="365">
        <f t="shared" si="41"/>
        <v>1917000</v>
      </c>
      <c r="P64" s="346" t="s">
        <v>492</v>
      </c>
      <c r="Q64" s="347">
        <f>SUM(Q56:Q63)</f>
        <v>24732</v>
      </c>
      <c r="R64" s="407"/>
    </row>
    <row r="65" spans="1:18" ht="10.5" customHeight="1" x14ac:dyDescent="0.25">
      <c r="A65" s="331" t="str">
        <f>B9&amp;B65</f>
        <v>Concho ResourcesOther assets</v>
      </c>
      <c r="B65" s="357" t="s">
        <v>491</v>
      </c>
      <c r="C65" s="357" t="s">
        <v>509</v>
      </c>
      <c r="D65" s="114"/>
      <c r="E65" s="364">
        <f>IF(VLOOKUP($B65, P:Q, 2,0) = "-", 0, VLOOKUP($B65, P:Q, 2,0))*1000</f>
        <v>422000</v>
      </c>
      <c r="F65" s="365">
        <f>E65</f>
        <v>422000</v>
      </c>
      <c r="G65" s="365">
        <f t="shared" si="41"/>
        <v>422000</v>
      </c>
      <c r="H65" s="365">
        <f t="shared" si="41"/>
        <v>422000</v>
      </c>
      <c r="I65" s="365">
        <f t="shared" si="41"/>
        <v>422000</v>
      </c>
      <c r="J65" s="365">
        <f t="shared" si="41"/>
        <v>422000</v>
      </c>
      <c r="K65" s="365">
        <f t="shared" si="41"/>
        <v>422000</v>
      </c>
      <c r="L65" s="365">
        <f t="shared" si="41"/>
        <v>422000</v>
      </c>
      <c r="M65" s="365">
        <f t="shared" si="41"/>
        <v>422000</v>
      </c>
      <c r="P65" s="339"/>
      <c r="Q65" s="340"/>
      <c r="R65" s="406"/>
    </row>
    <row r="66" spans="1:18" ht="10.5" customHeight="1" x14ac:dyDescent="0.25">
      <c r="A66" s="331" t="str">
        <f>B9&amp;B66</f>
        <v>Concho ResourcesTotal assets</v>
      </c>
      <c r="B66" s="88" t="s">
        <v>492</v>
      </c>
      <c r="C66" s="88"/>
      <c r="D66" s="112"/>
      <c r="E66" s="366">
        <f>SUM(E60:E65)</f>
        <v>24732000</v>
      </c>
      <c r="F66" s="367">
        <f>SUM(F60:F65)</f>
        <v>24078853.723304298</v>
      </c>
      <c r="G66" s="367">
        <f t="shared" ref="G66:M66" si="42">SUM(G60:G65)</f>
        <v>22932668.366096716</v>
      </c>
      <c r="H66" s="367">
        <f t="shared" si="42"/>
        <v>22207752.423486236</v>
      </c>
      <c r="I66" s="367">
        <f t="shared" si="42"/>
        <v>21508896.553626556</v>
      </c>
      <c r="J66" s="367">
        <f t="shared" si="42"/>
        <v>20842855.376379117</v>
      </c>
      <c r="K66" s="367">
        <f t="shared" si="42"/>
        <v>20206958.882206962</v>
      </c>
      <c r="L66" s="367">
        <f t="shared" si="42"/>
        <v>19596883.419644557</v>
      </c>
      <c r="M66" s="367">
        <f t="shared" si="42"/>
        <v>18961309.107027482</v>
      </c>
      <c r="P66" s="335" t="s">
        <v>498</v>
      </c>
      <c r="Q66" s="340"/>
      <c r="R66" s="406"/>
    </row>
    <row r="67" spans="1:18" ht="10.5" customHeight="1" x14ac:dyDescent="0.25">
      <c r="A67" s="331" t="str">
        <f>B9&amp;B67</f>
        <v>Concho ResourcesCurrent liabilities</v>
      </c>
      <c r="B67" s="368" t="s">
        <v>498</v>
      </c>
      <c r="C67" s="368"/>
      <c r="D67" s="112"/>
      <c r="E67" s="364"/>
      <c r="F67" s="365"/>
      <c r="G67" s="365"/>
      <c r="H67" s="365"/>
      <c r="I67" s="365"/>
      <c r="J67" s="365"/>
      <c r="K67" s="365"/>
      <c r="L67" s="365"/>
      <c r="M67" s="365"/>
      <c r="P67" s="339" t="s">
        <v>493</v>
      </c>
      <c r="Q67" s="340">
        <v>53</v>
      </c>
      <c r="R67" s="406"/>
    </row>
    <row r="68" spans="1:18" ht="10.5" customHeight="1" x14ac:dyDescent="0.25">
      <c r="A68" s="331" t="str">
        <f>B9&amp;B68</f>
        <v>Concho ResourcesAccounts payable</v>
      </c>
      <c r="B68" s="82" t="s">
        <v>493</v>
      </c>
      <c r="C68" s="82" t="s">
        <v>539</v>
      </c>
      <c r="D68" s="108">
        <f>E68/E24</f>
        <v>1.8463717716936372</v>
      </c>
      <c r="E68" s="364">
        <f>IF(VLOOKUP($B68, P:Q, 2,0) = "-", 0, VLOOKUP($B68, P:Q, 2,0))*1000</f>
        <v>53000</v>
      </c>
      <c r="F68" s="365">
        <f>$D68*F24</f>
        <v>52155.776026030981</v>
      </c>
      <c r="G68" s="365">
        <f t="shared" ref="G68:M68" si="43">$D68*G24</f>
        <v>52155.776026030981</v>
      </c>
      <c r="H68" s="365">
        <f t="shared" si="43"/>
        <v>52155.776026030981</v>
      </c>
      <c r="I68" s="365">
        <f t="shared" si="43"/>
        <v>52155.776026030981</v>
      </c>
      <c r="J68" s="365">
        <f t="shared" si="43"/>
        <v>51418.436263198135</v>
      </c>
      <c r="K68" s="365">
        <f t="shared" si="43"/>
        <v>51418.436263198135</v>
      </c>
      <c r="L68" s="365">
        <f t="shared" si="43"/>
        <v>51418.436263198135</v>
      </c>
      <c r="M68" s="365">
        <f t="shared" si="43"/>
        <v>51418.436263198135</v>
      </c>
      <c r="P68" s="339" t="s">
        <v>510</v>
      </c>
      <c r="Q68" s="340">
        <v>386</v>
      </c>
      <c r="R68" s="406"/>
    </row>
    <row r="69" spans="1:18" ht="10.5" customHeight="1" x14ac:dyDescent="0.25">
      <c r="A69" s="331" t="str">
        <f>B9&amp;B69</f>
        <v>Concho ResourcesAccrued liabilities</v>
      </c>
      <c r="B69" s="82" t="s">
        <v>510</v>
      </c>
      <c r="C69" s="82" t="s">
        <v>507</v>
      </c>
      <c r="D69" s="108"/>
      <c r="E69" s="364">
        <f>IF(VLOOKUP($B69, P:Q, 2,0) = "-", 0, VLOOKUP($B69, P:Q, 2,0))*1000</f>
        <v>386000</v>
      </c>
      <c r="F69" s="365">
        <f>E69</f>
        <v>386000</v>
      </c>
      <c r="G69" s="365">
        <f t="shared" ref="G69:M69" si="44">F69</f>
        <v>386000</v>
      </c>
      <c r="H69" s="365">
        <f t="shared" si="44"/>
        <v>386000</v>
      </c>
      <c r="I69" s="365">
        <f t="shared" si="44"/>
        <v>386000</v>
      </c>
      <c r="J69" s="365">
        <f t="shared" si="44"/>
        <v>386000</v>
      </c>
      <c r="K69" s="365">
        <f t="shared" si="44"/>
        <v>386000</v>
      </c>
      <c r="L69" s="365">
        <f t="shared" si="44"/>
        <v>386000</v>
      </c>
      <c r="M69" s="365">
        <f t="shared" si="44"/>
        <v>386000</v>
      </c>
      <c r="P69" s="339" t="s">
        <v>812</v>
      </c>
      <c r="Q69" s="340">
        <v>112</v>
      </c>
      <c r="R69" s="406"/>
    </row>
    <row r="70" spans="1:18" ht="10.5" customHeight="1" x14ac:dyDescent="0.25">
      <c r="A70" s="331" t="str">
        <f>B9&amp;B70</f>
        <v>Concho ResourcesDerivative instruments current liabilities</v>
      </c>
      <c r="B70" s="82" t="s">
        <v>812</v>
      </c>
      <c r="C70" s="107" t="s">
        <v>507</v>
      </c>
      <c r="D70" s="108"/>
      <c r="E70" s="364">
        <f>IF(VLOOKUP($B70, P:Q, 2,0) = "-", 0, VLOOKUP($B70, P:Q, 2,0))*1000</f>
        <v>112000</v>
      </c>
      <c r="F70" s="378"/>
      <c r="G70" s="378"/>
      <c r="H70" s="378"/>
      <c r="I70" s="378"/>
      <c r="J70" s="378"/>
      <c r="K70" s="378"/>
      <c r="L70" s="378"/>
      <c r="M70" s="378"/>
      <c r="P70" s="339" t="s">
        <v>494</v>
      </c>
      <c r="Q70" s="340">
        <f>363+268</f>
        <v>631</v>
      </c>
      <c r="R70" s="406"/>
    </row>
    <row r="71" spans="1:18" ht="10.5" customHeight="1" x14ac:dyDescent="0.25">
      <c r="A71" s="331" t="str">
        <f>B9&amp;B71</f>
        <v>Concho ResourcesOther current liabilities</v>
      </c>
      <c r="B71" s="82" t="s">
        <v>494</v>
      </c>
      <c r="C71" s="82" t="s">
        <v>509</v>
      </c>
      <c r="D71" s="108"/>
      <c r="E71" s="364">
        <f>IF(VLOOKUP($B71, P:Q, 2,0) = "-", 0, VLOOKUP($B71, P:Q, 2,0))*1000</f>
        <v>631000</v>
      </c>
      <c r="F71" s="365">
        <f>E71</f>
        <v>631000</v>
      </c>
      <c r="G71" s="365">
        <f t="shared" ref="G71:M71" si="45">F71</f>
        <v>631000</v>
      </c>
      <c r="H71" s="365">
        <f t="shared" si="45"/>
        <v>631000</v>
      </c>
      <c r="I71" s="365">
        <f t="shared" si="45"/>
        <v>631000</v>
      </c>
      <c r="J71" s="365">
        <f t="shared" si="45"/>
        <v>631000</v>
      </c>
      <c r="K71" s="365">
        <f t="shared" si="45"/>
        <v>631000</v>
      </c>
      <c r="L71" s="365">
        <f t="shared" si="45"/>
        <v>631000</v>
      </c>
      <c r="M71" s="365">
        <f t="shared" si="45"/>
        <v>631000</v>
      </c>
      <c r="P71" s="360" t="s">
        <v>931</v>
      </c>
      <c r="Q71" s="361" t="s">
        <v>899</v>
      </c>
      <c r="R71" s="406"/>
    </row>
    <row r="72" spans="1:18" ht="10.5" customHeight="1" x14ac:dyDescent="0.25">
      <c r="A72" s="331" t="str">
        <f>B9&amp;B72</f>
        <v>Concho ResourcesTotal current liabilities</v>
      </c>
      <c r="B72" s="87" t="s">
        <v>497</v>
      </c>
      <c r="C72" s="87"/>
      <c r="D72" s="111"/>
      <c r="E72" s="366">
        <f>SUM(E68:E71)</f>
        <v>1182000</v>
      </c>
      <c r="F72" s="367">
        <f>SUM(F68:F71)</f>
        <v>1069155.776026031</v>
      </c>
      <c r="G72" s="367">
        <f>SUM(G68:G71)</f>
        <v>1069155.776026031</v>
      </c>
      <c r="H72" s="367">
        <f t="shared" ref="H72:M72" si="46">SUM(H68:H71)</f>
        <v>1069155.776026031</v>
      </c>
      <c r="I72" s="367">
        <f t="shared" si="46"/>
        <v>1069155.776026031</v>
      </c>
      <c r="J72" s="367">
        <f t="shared" si="46"/>
        <v>1068418.436263198</v>
      </c>
      <c r="K72" s="367">
        <f t="shared" si="46"/>
        <v>1068418.436263198</v>
      </c>
      <c r="L72" s="367">
        <f t="shared" si="46"/>
        <v>1068418.436263198</v>
      </c>
      <c r="M72" s="367">
        <f t="shared" si="46"/>
        <v>1068418.436263198</v>
      </c>
      <c r="P72" s="360" t="s">
        <v>932</v>
      </c>
      <c r="Q72" s="361" t="s">
        <v>899</v>
      </c>
      <c r="R72" s="406"/>
    </row>
    <row r="73" spans="1:18" ht="10.5" customHeight="1" x14ac:dyDescent="0.25">
      <c r="A73" s="331" t="str">
        <f>B9&amp;B73</f>
        <v>Concho ResourcesLong-term debt, net</v>
      </c>
      <c r="B73" s="132" t="s">
        <v>511</v>
      </c>
      <c r="C73" s="132" t="s">
        <v>509</v>
      </c>
      <c r="D73" s="108"/>
      <c r="E73" s="364">
        <f>IF(VLOOKUP($B73, P:Q, 2,0) = "-", 0, VLOOKUP($B73, P:Q, 2,0))*1000</f>
        <v>3955000</v>
      </c>
      <c r="F73" s="365">
        <f t="shared" ref="F73:M74" si="47">E73</f>
        <v>3955000</v>
      </c>
      <c r="G73" s="365">
        <f t="shared" si="47"/>
        <v>3955000</v>
      </c>
      <c r="H73" s="365">
        <f t="shared" si="47"/>
        <v>3955000</v>
      </c>
      <c r="I73" s="365">
        <f t="shared" si="47"/>
        <v>3955000</v>
      </c>
      <c r="J73" s="365">
        <f t="shared" si="47"/>
        <v>3955000</v>
      </c>
      <c r="K73" s="365">
        <f t="shared" si="47"/>
        <v>3955000</v>
      </c>
      <c r="L73" s="365">
        <f t="shared" si="47"/>
        <v>3955000</v>
      </c>
      <c r="M73" s="365">
        <f t="shared" si="47"/>
        <v>3955000</v>
      </c>
      <c r="P73" s="360" t="s">
        <v>933</v>
      </c>
      <c r="Q73" s="361" t="s">
        <v>899</v>
      </c>
      <c r="R73" s="406"/>
    </row>
    <row r="74" spans="1:18" ht="10.5" customHeight="1" x14ac:dyDescent="0.25">
      <c r="A74" s="331" t="str">
        <f>B9&amp;B74</f>
        <v>Concho ResourcesAsset retirement obligations</v>
      </c>
      <c r="B74" s="132" t="s">
        <v>495</v>
      </c>
      <c r="C74" s="132" t="s">
        <v>509</v>
      </c>
      <c r="D74" s="108"/>
      <c r="E74" s="364">
        <f>IF(VLOOKUP($B74, P:Q, 2,0) = "-", 0, VLOOKUP($B74, P:Q, 2,0))*1000</f>
        <v>152000</v>
      </c>
      <c r="F74" s="365">
        <f>E74</f>
        <v>152000</v>
      </c>
      <c r="G74" s="365">
        <f t="shared" si="47"/>
        <v>152000</v>
      </c>
      <c r="H74" s="365">
        <f t="shared" si="47"/>
        <v>152000</v>
      </c>
      <c r="I74" s="365">
        <f t="shared" si="47"/>
        <v>152000</v>
      </c>
      <c r="J74" s="365">
        <f t="shared" si="47"/>
        <v>152000</v>
      </c>
      <c r="K74" s="365">
        <f t="shared" si="47"/>
        <v>152000</v>
      </c>
      <c r="L74" s="365">
        <f t="shared" si="47"/>
        <v>152000</v>
      </c>
      <c r="M74" s="365">
        <f t="shared" si="47"/>
        <v>152000</v>
      </c>
      <c r="P74" s="346" t="s">
        <v>497</v>
      </c>
      <c r="Q74" s="347">
        <f t="shared" ref="Q74" si="48">SUM(Q67:Q73)</f>
        <v>1182</v>
      </c>
      <c r="R74" s="407"/>
    </row>
    <row r="75" spans="1:18" ht="10.5" customHeight="1" x14ac:dyDescent="0.25">
      <c r="A75" s="331" t="str">
        <f>B9&amp;B75</f>
        <v>Concho ResourcesDerivative instruments liabilities</v>
      </c>
      <c r="B75" s="132" t="s">
        <v>811</v>
      </c>
      <c r="C75" s="379" t="s">
        <v>507</v>
      </c>
      <c r="D75" s="108"/>
      <c r="E75" s="364">
        <f>IF(VLOOKUP($B75, P:Q, 2,0) = "-", 0, VLOOKUP($B75, P:Q, 2,0))*1000</f>
        <v>7000</v>
      </c>
      <c r="F75" s="378"/>
      <c r="G75" s="378"/>
      <c r="H75" s="378"/>
      <c r="I75" s="378"/>
      <c r="J75" s="378"/>
      <c r="K75" s="378"/>
      <c r="L75" s="378"/>
      <c r="M75" s="378"/>
      <c r="P75" s="339" t="s">
        <v>511</v>
      </c>
      <c r="Q75" s="340">
        <v>3955</v>
      </c>
      <c r="R75" s="406"/>
    </row>
    <row r="76" spans="1:18" ht="10.5" customHeight="1" x14ac:dyDescent="0.25">
      <c r="A76" s="331" t="str">
        <f>B9&amp;B76</f>
        <v>Concho ResourcesDeferred income taxes liabilities</v>
      </c>
      <c r="B76" s="132" t="s">
        <v>810</v>
      </c>
      <c r="C76" s="132" t="s">
        <v>509</v>
      </c>
      <c r="D76" s="108"/>
      <c r="E76" s="364">
        <f>IF(VLOOKUP($B76, P:Q, 2,0) = "-", 0, VLOOKUP($B76, P:Q, 2,0))*1000</f>
        <v>1654000</v>
      </c>
      <c r="F76" s="365">
        <f>E76</f>
        <v>1654000</v>
      </c>
      <c r="G76" s="365">
        <f t="shared" ref="G76:M77" si="49">F76</f>
        <v>1654000</v>
      </c>
      <c r="H76" s="365">
        <f t="shared" si="49"/>
        <v>1654000</v>
      </c>
      <c r="I76" s="365">
        <f t="shared" si="49"/>
        <v>1654000</v>
      </c>
      <c r="J76" s="365">
        <f t="shared" si="49"/>
        <v>1654000</v>
      </c>
      <c r="K76" s="365">
        <f t="shared" si="49"/>
        <v>1654000</v>
      </c>
      <c r="L76" s="365">
        <f t="shared" si="49"/>
        <v>1654000</v>
      </c>
      <c r="M76" s="365">
        <f t="shared" si="49"/>
        <v>1654000</v>
      </c>
      <c r="P76" s="339" t="s">
        <v>495</v>
      </c>
      <c r="Q76" s="340">
        <v>152</v>
      </c>
      <c r="R76" s="406"/>
    </row>
    <row r="77" spans="1:18" ht="10.5" customHeight="1" x14ac:dyDescent="0.25">
      <c r="A77" s="331" t="str">
        <f>B9&amp;B77</f>
        <v>Concho ResourcesOther long-term liabilities</v>
      </c>
      <c r="B77" s="132" t="s">
        <v>496</v>
      </c>
      <c r="C77" s="132" t="s">
        <v>509</v>
      </c>
      <c r="D77" s="108"/>
      <c r="E77" s="364">
        <f>IF(VLOOKUP($B77, P:Q, 2,0) = "-", 0, VLOOKUP($B77, P:Q, 2,0))*1000</f>
        <v>0</v>
      </c>
      <c r="F77" s="365">
        <f>E77</f>
        <v>0</v>
      </c>
      <c r="G77" s="365">
        <f t="shared" si="49"/>
        <v>0</v>
      </c>
      <c r="H77" s="365">
        <f t="shared" si="49"/>
        <v>0</v>
      </c>
      <c r="I77" s="365">
        <f t="shared" si="49"/>
        <v>0</v>
      </c>
      <c r="J77" s="365">
        <f t="shared" si="49"/>
        <v>0</v>
      </c>
      <c r="K77" s="365">
        <f t="shared" si="49"/>
        <v>0</v>
      </c>
      <c r="L77" s="365">
        <f t="shared" si="49"/>
        <v>0</v>
      </c>
      <c r="M77" s="365">
        <f t="shared" si="49"/>
        <v>0</v>
      </c>
      <c r="P77" s="339" t="s">
        <v>811</v>
      </c>
      <c r="Q77" s="340">
        <v>7</v>
      </c>
      <c r="R77" s="406"/>
    </row>
    <row r="78" spans="1:18" ht="10.5" customHeight="1" thickBot="1" x14ac:dyDescent="0.3">
      <c r="A78" s="331" t="str">
        <f>B9&amp;B78</f>
        <v>Concho ResourcesTotal liabilities</v>
      </c>
      <c r="B78" s="311" t="s">
        <v>499</v>
      </c>
      <c r="C78" s="311"/>
      <c r="D78" s="123"/>
      <c r="E78" s="376">
        <f>SUM(E72:E77)</f>
        <v>6950000</v>
      </c>
      <c r="F78" s="377">
        <f t="shared" ref="F78:M78" si="50">SUM(F72:F77)</f>
        <v>6830155.776026031</v>
      </c>
      <c r="G78" s="377">
        <f t="shared" si="50"/>
        <v>6830155.776026031</v>
      </c>
      <c r="H78" s="377">
        <f t="shared" si="50"/>
        <v>6830155.776026031</v>
      </c>
      <c r="I78" s="377">
        <f t="shared" si="50"/>
        <v>6830155.776026031</v>
      </c>
      <c r="J78" s="377">
        <f t="shared" si="50"/>
        <v>6829418.436263198</v>
      </c>
      <c r="K78" s="377">
        <f t="shared" si="50"/>
        <v>6829418.436263198</v>
      </c>
      <c r="L78" s="377">
        <f t="shared" si="50"/>
        <v>6829418.436263198</v>
      </c>
      <c r="M78" s="377">
        <f t="shared" si="50"/>
        <v>6829418.436263198</v>
      </c>
      <c r="P78" s="339" t="s">
        <v>810</v>
      </c>
      <c r="Q78" s="340">
        <v>1654</v>
      </c>
      <c r="R78" s="406"/>
    </row>
    <row r="79" spans="1:18" ht="10.5" customHeight="1" thickTop="1" x14ac:dyDescent="0.25">
      <c r="P79" s="339" t="s">
        <v>496</v>
      </c>
      <c r="Q79" s="340" t="s">
        <v>899</v>
      </c>
      <c r="R79" s="406"/>
    </row>
    <row r="80" spans="1:18" ht="10.5" customHeight="1" x14ac:dyDescent="0.25">
      <c r="A80" s="331" t="str">
        <f>B9&amp;B80</f>
        <v>Concho ResourcesNet (loss) Income cashflow</v>
      </c>
      <c r="B80" s="380" t="s">
        <v>572</v>
      </c>
      <c r="C80" s="381" t="s">
        <v>540</v>
      </c>
      <c r="D80" s="117"/>
      <c r="E80" s="364">
        <f>E49</f>
        <v>-176250</v>
      </c>
      <c r="F80" s="365">
        <f t="shared" ref="F80:M80" si="51">F49</f>
        <v>-402256.0195569268</v>
      </c>
      <c r="G80" s="365">
        <f t="shared" si="51"/>
        <v>-776712.65557005827</v>
      </c>
      <c r="H80" s="365">
        <f t="shared" si="51"/>
        <v>-750652.5828192574</v>
      </c>
      <c r="I80" s="365">
        <f t="shared" si="51"/>
        <v>-724592.51006845664</v>
      </c>
      <c r="J80" s="365">
        <f t="shared" si="51"/>
        <v>-687212.28310429235</v>
      </c>
      <c r="K80" s="365">
        <f t="shared" si="51"/>
        <v>-661395.34422682668</v>
      </c>
      <c r="L80" s="365">
        <f t="shared" si="51"/>
        <v>-635574.31261707656</v>
      </c>
      <c r="M80" s="365">
        <f t="shared" si="51"/>
        <v>-635574.31261707656</v>
      </c>
      <c r="P80" s="360" t="s">
        <v>934</v>
      </c>
      <c r="Q80" s="361" t="s">
        <v>899</v>
      </c>
      <c r="R80" s="406"/>
    </row>
    <row r="81" spans="1:18" ht="10.5" customHeight="1" x14ac:dyDescent="0.25">
      <c r="A81" s="331" t="str">
        <f>B9&amp;B81</f>
        <v>Concho ResourcesChange in Net working capital</v>
      </c>
      <c r="B81" s="382" t="s">
        <v>500</v>
      </c>
      <c r="C81" s="383" t="s">
        <v>565</v>
      </c>
      <c r="D81" s="118"/>
      <c r="E81" s="364">
        <f t="shared" ref="E81:E87" si="52">IF(VLOOKUP($B81, P:Q, 2,0) = "-", 0, VLOOKUP($B81, P:Q, 2,0))*1000</f>
        <v>-10000</v>
      </c>
      <c r="F81" s="365">
        <f>(F60-F72)-(E60-E72)</f>
        <v>-529302.05272173393</v>
      </c>
      <c r="G81" s="365">
        <f t="shared" ref="G81:M81" si="53">(G60-G72)-(F60-F72)</f>
        <v>-1146185.3572075807</v>
      </c>
      <c r="H81" s="365">
        <f t="shared" si="53"/>
        <v>-724915.94261048082</v>
      </c>
      <c r="I81" s="365">
        <f t="shared" si="53"/>
        <v>-698855.8698596796</v>
      </c>
      <c r="J81" s="365">
        <f t="shared" si="53"/>
        <v>-665303.83748460747</v>
      </c>
      <c r="K81" s="365">
        <f t="shared" si="53"/>
        <v>-635896.49417215399</v>
      </c>
      <c r="L81" s="365">
        <f t="shared" si="53"/>
        <v>-610075.46256240364</v>
      </c>
      <c r="M81" s="365">
        <f t="shared" si="53"/>
        <v>-635574.31261707563</v>
      </c>
      <c r="P81" s="360" t="s">
        <v>935</v>
      </c>
      <c r="Q81" s="361" t="s">
        <v>899</v>
      </c>
      <c r="R81" s="406"/>
    </row>
    <row r="82" spans="1:18" ht="10.5" customHeight="1" x14ac:dyDescent="0.25">
      <c r="A82" s="331" t="str">
        <f>B9&amp;B82</f>
        <v>Concho ResourcesDD&amp;A cashflow</v>
      </c>
      <c r="B82" s="382" t="s">
        <v>816</v>
      </c>
      <c r="C82" s="383" t="s">
        <v>566</v>
      </c>
      <c r="D82" s="118"/>
      <c r="E82" s="364">
        <f t="shared" si="52"/>
        <v>491000</v>
      </c>
      <c r="F82" s="365">
        <f>$E$82*F$32/$E$32</f>
        <v>483178.98167511722</v>
      </c>
      <c r="G82" s="365">
        <f t="shared" ref="G82:M82" si="54">$E$82*G$32/$E$32</f>
        <v>483178.98167511722</v>
      </c>
      <c r="H82" s="365">
        <f t="shared" si="54"/>
        <v>483178.98167511722</v>
      </c>
      <c r="I82" s="365">
        <f t="shared" si="54"/>
        <v>483178.98167511722</v>
      </c>
      <c r="J82" s="365">
        <f t="shared" si="54"/>
        <v>476348.15481566568</v>
      </c>
      <c r="K82" s="365">
        <f t="shared" si="54"/>
        <v>476348.15481566568</v>
      </c>
      <c r="L82" s="365">
        <f t="shared" si="54"/>
        <v>476348.15481566568</v>
      </c>
      <c r="M82" s="365">
        <f t="shared" si="54"/>
        <v>476348.15481566568</v>
      </c>
      <c r="P82" s="360" t="s">
        <v>936</v>
      </c>
      <c r="Q82" s="361" t="s">
        <v>899</v>
      </c>
      <c r="R82" s="406"/>
    </row>
    <row r="83" spans="1:18" ht="10.5" customHeight="1" x14ac:dyDescent="0.25">
      <c r="A83" s="331" t="str">
        <f>B9&amp;B83</f>
        <v>Concho ResourcesImpairment cashflow</v>
      </c>
      <c r="B83" s="382" t="s">
        <v>571</v>
      </c>
      <c r="C83" s="383" t="s">
        <v>566</v>
      </c>
      <c r="D83" s="118"/>
      <c r="E83" s="364">
        <f t="shared" si="52"/>
        <v>293000</v>
      </c>
      <c r="F83" s="365">
        <f>$E$83*F$31/$E$31</f>
        <v>293000</v>
      </c>
      <c r="G83" s="365">
        <f t="shared" ref="G83:M83" si="55">$E$83*G$31/$E$31</f>
        <v>293000</v>
      </c>
      <c r="H83" s="365">
        <f t="shared" si="55"/>
        <v>293000</v>
      </c>
      <c r="I83" s="365">
        <f t="shared" si="55"/>
        <v>293000</v>
      </c>
      <c r="J83" s="365">
        <f t="shared" si="55"/>
        <v>293000</v>
      </c>
      <c r="K83" s="365">
        <f t="shared" si="55"/>
        <v>293000</v>
      </c>
      <c r="L83" s="365">
        <f t="shared" si="55"/>
        <v>293000</v>
      </c>
      <c r="M83" s="365">
        <f t="shared" si="55"/>
        <v>293000</v>
      </c>
      <c r="P83" s="346" t="s">
        <v>499</v>
      </c>
      <c r="Q83" s="347">
        <f t="shared" ref="Q83" si="56">SUM(Q74:Q82)</f>
        <v>6950</v>
      </c>
      <c r="R83" s="407"/>
    </row>
    <row r="84" spans="1:18" ht="10.5" customHeight="1" x14ac:dyDescent="0.25">
      <c r="A84" s="331" t="str">
        <f>B9&amp;B84</f>
        <v>Concho ResourcesOther non-cash items</v>
      </c>
      <c r="B84" s="382" t="s">
        <v>501</v>
      </c>
      <c r="C84" s="383" t="s">
        <v>880</v>
      </c>
      <c r="D84" s="118"/>
      <c r="E84" s="364">
        <f t="shared" si="52"/>
        <v>111250</v>
      </c>
      <c r="F84" s="372">
        <f>$E$84+F34-$E$34</f>
        <v>111250</v>
      </c>
      <c r="G84" s="372">
        <f t="shared" ref="G84:M84" si="57">$E$84+G34-$E$34</f>
        <v>111250</v>
      </c>
      <c r="H84" s="372">
        <f t="shared" si="57"/>
        <v>111250</v>
      </c>
      <c r="I84" s="372">
        <f t="shared" si="57"/>
        <v>111250</v>
      </c>
      <c r="J84" s="372">
        <f t="shared" si="57"/>
        <v>111250</v>
      </c>
      <c r="K84" s="372">
        <f t="shared" si="57"/>
        <v>111250</v>
      </c>
      <c r="L84" s="372">
        <f t="shared" si="57"/>
        <v>111250</v>
      </c>
      <c r="M84" s="372">
        <f t="shared" si="57"/>
        <v>111250</v>
      </c>
      <c r="P84" s="384"/>
      <c r="Q84" s="345"/>
      <c r="R84" s="406"/>
    </row>
    <row r="85" spans="1:18" ht="10.5" customHeight="1" x14ac:dyDescent="0.25">
      <c r="A85" s="331" t="str">
        <f>B9&amp;B85</f>
        <v>Concho ResourcesDry hole cashflow</v>
      </c>
      <c r="B85" s="382" t="s">
        <v>817</v>
      </c>
      <c r="C85" s="383" t="s">
        <v>567</v>
      </c>
      <c r="D85" s="118"/>
      <c r="E85" s="364">
        <f t="shared" si="52"/>
        <v>0</v>
      </c>
      <c r="F85" s="365">
        <f>IF($E$85&gt;0, $E$85*F39/$E$39,0)</f>
        <v>0</v>
      </c>
      <c r="G85" s="365">
        <f t="shared" ref="G85:M85" si="58">IF($E$85&gt;0, $E$85*G39/$E$39,0)</f>
        <v>0</v>
      </c>
      <c r="H85" s="365">
        <f t="shared" si="58"/>
        <v>0</v>
      </c>
      <c r="I85" s="365">
        <f t="shared" si="58"/>
        <v>0</v>
      </c>
      <c r="J85" s="365">
        <f t="shared" si="58"/>
        <v>0</v>
      </c>
      <c r="K85" s="365">
        <f t="shared" si="58"/>
        <v>0</v>
      </c>
      <c r="L85" s="365">
        <f t="shared" si="58"/>
        <v>0</v>
      </c>
      <c r="M85" s="365">
        <f t="shared" si="58"/>
        <v>0</v>
      </c>
      <c r="P85" s="385" t="s">
        <v>458</v>
      </c>
      <c r="Q85" s="340"/>
      <c r="R85" s="406"/>
    </row>
    <row r="86" spans="1:18" ht="10.5" customHeight="1" x14ac:dyDescent="0.25">
      <c r="A86" s="331" t="str">
        <f>B9&amp;B86</f>
        <v>Concho Resourcesmarket to market contracts</v>
      </c>
      <c r="B86" s="382" t="s">
        <v>562</v>
      </c>
      <c r="C86" s="386" t="s">
        <v>507</v>
      </c>
      <c r="D86" s="118"/>
      <c r="E86" s="364">
        <f t="shared" si="52"/>
        <v>0</v>
      </c>
      <c r="F86" s="365">
        <f>E86</f>
        <v>0</v>
      </c>
      <c r="G86" s="365">
        <f t="shared" ref="G86:M86" si="59">F86</f>
        <v>0</v>
      </c>
      <c r="H86" s="365">
        <f t="shared" si="59"/>
        <v>0</v>
      </c>
      <c r="I86" s="365">
        <f t="shared" si="59"/>
        <v>0</v>
      </c>
      <c r="J86" s="365">
        <f t="shared" si="59"/>
        <v>0</v>
      </c>
      <c r="K86" s="365">
        <f t="shared" si="59"/>
        <v>0</v>
      </c>
      <c r="L86" s="365">
        <f t="shared" si="59"/>
        <v>0</v>
      </c>
      <c r="M86" s="365">
        <f t="shared" si="59"/>
        <v>0</v>
      </c>
      <c r="P86" s="346" t="s">
        <v>572</v>
      </c>
      <c r="Q86" s="347">
        <f t="shared" ref="Q86" si="60">Q43</f>
        <v>-176.25</v>
      </c>
      <c r="R86" s="407"/>
    </row>
    <row r="87" spans="1:18" ht="10.5" customHeight="1" x14ac:dyDescent="0.25">
      <c r="A87" s="331" t="str">
        <f>B9&amp;B87</f>
        <v>Concho ResourcesCash flow from operations</v>
      </c>
      <c r="B87" s="387" t="s">
        <v>502</v>
      </c>
      <c r="C87" s="388" t="s">
        <v>540</v>
      </c>
      <c r="D87" s="118" t="str">
        <f>IF(SUM(E80:E86) = E87, "same", "wrong")</f>
        <v>same</v>
      </c>
      <c r="E87" s="364">
        <f t="shared" si="52"/>
        <v>709000</v>
      </c>
      <c r="F87" s="367">
        <f>SUM(F80:F86)</f>
        <v>-44129.090603543504</v>
      </c>
      <c r="G87" s="367">
        <f t="shared" ref="G87:M87" si="61">SUM(G80:G86)</f>
        <v>-1035469.0311025218</v>
      </c>
      <c r="H87" s="367">
        <f>SUM(H80:H86)</f>
        <v>-588139.54375462094</v>
      </c>
      <c r="I87" s="367">
        <f t="shared" si="61"/>
        <v>-536019.39825301897</v>
      </c>
      <c r="J87" s="367">
        <f t="shared" si="61"/>
        <v>-471917.96577323414</v>
      </c>
      <c r="K87" s="367">
        <f t="shared" si="61"/>
        <v>-416693.683583315</v>
      </c>
      <c r="L87" s="367">
        <f t="shared" si="61"/>
        <v>-365051.62036381452</v>
      </c>
      <c r="M87" s="367">
        <f t="shared" si="61"/>
        <v>-390550.47041848651</v>
      </c>
      <c r="P87" s="339" t="s">
        <v>500</v>
      </c>
      <c r="Q87" s="340">
        <f>(-90-2+1+3+28+20)/4</f>
        <v>-10</v>
      </c>
      <c r="R87" s="406"/>
    </row>
    <row r="88" spans="1:18" ht="10.5" customHeight="1" x14ac:dyDescent="0.25">
      <c r="A88" s="331" t="str">
        <f>B9&amp;B88</f>
        <v>Concho ResourcesCapex</v>
      </c>
      <c r="B88" s="382" t="s">
        <v>277</v>
      </c>
      <c r="C88" s="132" t="s">
        <v>534</v>
      </c>
      <c r="D88" s="118"/>
      <c r="E88" s="364">
        <f>IF($B$2="A3",SUMIFS('$33Econ'!$H$8:$H$8001,'$33Econ'!$A$8:$A$8001,$B$9,'$33Econ'!$G$8:$G$8001,$B88)*1000/4,SUMIFS('$22Econ'!$H$8:$H$8001,'$22Econ'!$A$8:$A$8001,$B$9,'$22Econ'!$G$8:$G$8001,$B88)*1000/4)</f>
        <v>608273.62075</v>
      </c>
      <c r="F88" s="365">
        <f>IF($B$2="A3",SUMIFS('$33Econ'!$I$8:$I$8001,'$33Econ'!$A$8:$A$8001,$B$9,'$33Econ'!$G$8:$G$8001,$B88)*1000/4,SUMIFS('$22Econ'!$I$8:$I$8001,'$22Econ'!$A$8:$A$8001,$B$9,'$22Econ'!$G$8:$G$8001,$B88)*1000/4)</f>
        <v>184213.12870000003</v>
      </c>
      <c r="G88" s="365">
        <f>IF($B$2="A3",SUMIFS('$33Econ'!$I$8:$I$8001,'$33Econ'!$A$8:$A$8001,$B$9,'$33Econ'!$G$8:$G$8001,$B88)*1000/4,SUMIFS('$22Econ'!$I$8:$I$8001,'$22Econ'!$A$8:$A$8001,$B$9,'$22Econ'!$G$8:$G$8001,$B88)*1000/4)</f>
        <v>184213.12870000003</v>
      </c>
      <c r="H88" s="365">
        <f>IF($B$2="A3",SUMIFS('$33Econ'!$I$8:$I$8001,'$33Econ'!$A$8:$A$8001,$B$9,'$33Econ'!$G$8:$G$8001,$B88)*1000/4,SUMIFS('$22Econ'!$I$8:$I$8001,'$22Econ'!$A$8:$A$8001,$B$9,'$22Econ'!$G$8:$G$8001,$B88)*1000/4)</f>
        <v>184213.12870000003</v>
      </c>
      <c r="I88" s="365">
        <f>IF($B$2="A3",SUMIFS('$33Econ'!$I$8:$I$8001,'$33Econ'!$A$8:$A$8001,$B$9,'$33Econ'!$G$8:$G$8001,$B88)*1000/4,SUMIFS('$22Econ'!$I$8:$I$8001,'$22Econ'!$A$8:$A$8001,$B$9,'$22Econ'!$G$8:$G$8001,$B88)*1000/4)</f>
        <v>184213.12870000003</v>
      </c>
      <c r="J88" s="365">
        <f>IF($B$2="A3",SUMIFS('$33Econ'!$J$8:$J$8001,'$33Econ'!$A$8:$A$8001,$B$9,'$33Econ'!$G$8:$G$8001,$B88)*1000/4,SUMIFS('$22Econ'!$J$8:$J$8001,'$22Econ'!$A$8:$A$8001,$B$9,'$22Econ'!$G$8:$G$8001,$B88)*1000/4)</f>
        <v>68539.685000000012</v>
      </c>
      <c r="K88" s="365">
        <f t="shared" ref="K88:M88" si="62">J88</f>
        <v>68539.685000000012</v>
      </c>
      <c r="L88" s="365">
        <f t="shared" si="62"/>
        <v>68539.685000000012</v>
      </c>
      <c r="M88" s="365">
        <f t="shared" si="62"/>
        <v>68539.685000000012</v>
      </c>
      <c r="P88" s="389" t="s">
        <v>816</v>
      </c>
      <c r="Q88" s="390">
        <f t="shared" ref="Q88" si="63">Q16</f>
        <v>491</v>
      </c>
      <c r="R88" s="407"/>
    </row>
    <row r="89" spans="1:18" ht="10.5" customHeight="1" x14ac:dyDescent="0.25">
      <c r="A89" s="331" t="str">
        <f>B9&amp;B89</f>
        <v>Concho ResourcesExploration Capex</v>
      </c>
      <c r="B89" s="382" t="s">
        <v>278</v>
      </c>
      <c r="C89" s="132" t="s">
        <v>534</v>
      </c>
      <c r="D89" s="118"/>
      <c r="E89" s="364">
        <f>IF($B$2="A3",SUMIFS('$33Econ'!$H$8:$H$8001,'$33Econ'!$A$8:$A$8001,$B$9,'$33Econ'!$G$8:$G$8001,$B89)*1000/4,SUMIFS('$22Econ'!$H$8:$H$8001,'$22Econ'!$A$8:$A$8001,$B$9,'$22Econ'!$G$8:$G$8001,$B89)*1000/4)</f>
        <v>128128.62000000001</v>
      </c>
      <c r="F89" s="391">
        <f>(1-INDEX(Assumptions!$A$2:$K$596,MATCH($B9&amp;"Capex reduction",Assumptions!$A$2:$A$596,0),MATCH(F$2,Assumptions!$A$2:$K$2,0))) *IF($B$2="A3",SUMIFS('$33Econ'!$I$8:$I$8001,'$33Econ'!$A$8:$A$8001,$B$9,'$33Econ'!$G$8:$G$8001,$B89)*1000/4,SUMIFS('$22Econ'!$I$8:$I$8001,'$22Econ'!$A$8:$A$8001,$B$9,'$22Econ'!$G$8:$G$8001,$B89)*1000/4)</f>
        <v>77432.232499999998</v>
      </c>
      <c r="G89" s="391">
        <f>(1-INDEX(Assumptions!$A$2:$K$596,MATCH($B9&amp;"Capex reduction",Assumptions!$A$2:$A$596,0),MATCH(G$2,Assumptions!$A$2:$K$2,0))) *IF($B$2="A3",SUMIFS('$33Econ'!$I$8:$I$8001,'$33Econ'!$A$8:$A$8001,$B$9,'$33Econ'!$G$8:$G$8001,$B89)*1000/4,SUMIFS('$22Econ'!$I$8:$I$8001,'$22Econ'!$A$8:$A$8001,$B$9,'$22Econ'!$G$8:$G$8001,$B89)*1000/4)</f>
        <v>77432.232499999998</v>
      </c>
      <c r="H89" s="391">
        <f>(1-INDEX(Assumptions!$A$2:$K$596,MATCH($B9&amp;"Capex reduction",Assumptions!$A$2:$A$596,0),MATCH(H$2,Assumptions!$A$2:$K$2,0))) *IF($B$2="A3",SUMIFS('$33Econ'!$I$8:$I$8001,'$33Econ'!$A$8:$A$8001,$B$9,'$33Econ'!$G$8:$G$8001,$B89)*1000/4,SUMIFS('$22Econ'!$I$8:$I$8001,'$22Econ'!$A$8:$A$8001,$B$9,'$22Econ'!$G$8:$G$8001,$B89)*1000/4)</f>
        <v>77432.232499999998</v>
      </c>
      <c r="I89" s="391">
        <f>(1-INDEX(Assumptions!$A$2:$K$596,MATCH($B9&amp;"Capex reduction",Assumptions!$A$2:$A$596,0),MATCH(I$2,Assumptions!$A$2:$K$2,0))) *IF($B$2="A3",SUMIFS('$33Econ'!$I$8:$I$8001,'$33Econ'!$A$8:$A$8001,$B$9,'$33Econ'!$G$8:$G$8001,$B89)*1000/4,SUMIFS('$22Econ'!$I$8:$I$8001,'$22Econ'!$A$8:$A$8001,$B$9,'$22Econ'!$G$8:$G$8001,$B89)*1000/4)</f>
        <v>77432.232499999998</v>
      </c>
      <c r="J89" s="391">
        <f>(1-INDEX(Assumptions!$A$2:$K$596,MATCH($B9&amp;"Capex reduction",Assumptions!$A$2:$A$596,0),MATCH(J$2,Assumptions!$A$2:$K$2,0))) *IF($B$2="A3",SUMIFS('$33Econ'!$J$8:$J$8001,'$33Econ'!$A$8:$A$8001,$B$9,'$33Econ'!$G$8:$G$8001,$B89)*1000/4,SUMIFS('$22Econ'!$J$8:$J$8001,'$22Econ'!$A$8:$A$8001,$B$9,'$22Econ'!$G$8:$G$8001,$B89)*1000/4)</f>
        <v>53120.252500000002</v>
      </c>
      <c r="K89" s="391">
        <f>(1-INDEX(Assumptions!$A$2:$K$596,MATCH($B9&amp;"Capex reduction",Assumptions!$A$2:$A$596,0),MATCH(K$2,Assumptions!$A$2:$K$2,0))) *IF($B$2="A3",SUMIFS('$33Econ'!$J$8:$J$8001,'$33Econ'!$A$8:$A$8001,$B$9,'$33Econ'!$G$8:$G$8001,$B89)*1000/4,SUMIFS('$22Econ'!$J$8:$J$8001,'$22Econ'!$A$8:$A$8001,$B$9,'$22Econ'!$G$8:$G$8001,$B89)*1000/4)</f>
        <v>53120.252500000002</v>
      </c>
      <c r="L89" s="391">
        <f>(1-INDEX(Assumptions!$A$2:$K$596,MATCH($B9&amp;"Capex reduction",Assumptions!$A$2:$A$596,0),MATCH(L$2,Assumptions!$A$2:$K$2,0))) *IF($B$2="A3",SUMIFS('$33Econ'!$J$8:$J$8001,'$33Econ'!$A$8:$A$8001,$B$9,'$33Econ'!$G$8:$G$8001,$B89)*1000/4,SUMIFS('$22Econ'!$J$8:$J$8001,'$22Econ'!$A$8:$A$8001,$B$9,'$22Econ'!$G$8:$G$8001,$B89)*1000/4)</f>
        <v>53120.252500000002</v>
      </c>
      <c r="M89" s="391">
        <f>(1-INDEX(Assumptions!$A$2:$K$596,MATCH($B9&amp;"Capex reduction",Assumptions!$A$2:$A$596,0),MATCH(M$2,Assumptions!$A$2:$K$2,0))) *IF($B$2="A3",SUMIFS('$33Econ'!$J$8:$J$8001,'$33Econ'!$A$8:$A$8001,$B$9,'$33Econ'!$G$8:$G$8001,$B89)*1000/4,SUMIFS('$22Econ'!$J$8:$J$8001,'$22Econ'!$A$8:$A$8001,$B$9,'$22Econ'!$G$8:$G$8001,$B89)*1000/4)</f>
        <v>53120.252500000002</v>
      </c>
      <c r="P89" s="389" t="s">
        <v>571</v>
      </c>
      <c r="Q89" s="390">
        <f t="shared" ref="Q89" si="64">Q15</f>
        <v>293</v>
      </c>
      <c r="R89" s="407"/>
    </row>
    <row r="90" spans="1:18" ht="10.5" customHeight="1" thickBot="1" x14ac:dyDescent="0.3">
      <c r="A90" s="331" t="str">
        <f>B9&amp;B90</f>
        <v>Concho ResourcesFree Cash Flow (FCF)</v>
      </c>
      <c r="B90" s="392" t="s">
        <v>458</v>
      </c>
      <c r="C90" s="392" t="s">
        <v>512</v>
      </c>
      <c r="D90" s="119"/>
      <c r="E90" s="376">
        <f>SUM(E87:E89)</f>
        <v>1445402.2407500001</v>
      </c>
      <c r="F90" s="377">
        <f>SUM(F87:F89)</f>
        <v>217516.27059645654</v>
      </c>
      <c r="G90" s="377">
        <f t="shared" ref="G90:M90" si="65">SUM(G87:G89)</f>
        <v>-773823.66990252177</v>
      </c>
      <c r="H90" s="377">
        <f t="shared" si="65"/>
        <v>-326494.18255462096</v>
      </c>
      <c r="I90" s="377">
        <f t="shared" si="65"/>
        <v>-274374.03705301898</v>
      </c>
      <c r="J90" s="377">
        <f t="shared" si="65"/>
        <v>-350258.02827323414</v>
      </c>
      <c r="K90" s="377">
        <f t="shared" si="65"/>
        <v>-295033.746083315</v>
      </c>
      <c r="L90" s="377">
        <f t="shared" si="65"/>
        <v>-243391.68286381452</v>
      </c>
      <c r="M90" s="377">
        <f t="shared" si="65"/>
        <v>-268890.53291848651</v>
      </c>
      <c r="P90" s="339" t="s">
        <v>501</v>
      </c>
      <c r="Q90" s="340">
        <f>(10+166+85-154-459+895-98)/4</f>
        <v>111.25</v>
      </c>
      <c r="R90" s="406"/>
    </row>
    <row r="91" spans="1:18" ht="10.5" customHeight="1" thickTop="1" x14ac:dyDescent="0.25">
      <c r="I91" s="374"/>
      <c r="M91" s="374"/>
      <c r="P91" s="360" t="s">
        <v>817</v>
      </c>
      <c r="Q91" s="361" t="s">
        <v>899</v>
      </c>
      <c r="R91" s="406"/>
    </row>
    <row r="92" spans="1:18" ht="10.5" customHeight="1" x14ac:dyDescent="0.25">
      <c r="A92" s="331" t="str">
        <f>B9&amp;B92</f>
        <v>Concho ResourcesEBITDA</v>
      </c>
      <c r="B92" s="380" t="s">
        <v>428</v>
      </c>
      <c r="C92" s="393" t="s">
        <v>540</v>
      </c>
      <c r="D92" s="117"/>
      <c r="E92" s="364">
        <f>(E29-E41)+E32</f>
        <v>244250</v>
      </c>
      <c r="F92" s="365">
        <f>(F29-F41)+F32</f>
        <v>-35585.853236790921</v>
      </c>
      <c r="G92" s="365">
        <f t="shared" ref="G92:M92" si="66">(G29-G41)+G32</f>
        <v>-490968.21893364884</v>
      </c>
      <c r="H92" s="365">
        <f t="shared" si="66"/>
        <v>-459215.59128409141</v>
      </c>
      <c r="I92" s="365">
        <f t="shared" si="66"/>
        <v>-427462.9636345341</v>
      </c>
      <c r="J92" s="365">
        <f t="shared" si="66"/>
        <v>-393040.12770365272</v>
      </c>
      <c r="K92" s="365">
        <f t="shared" si="66"/>
        <v>-361578.75727418414</v>
      </c>
      <c r="L92" s="365">
        <f t="shared" si="66"/>
        <v>-330117.38684471545</v>
      </c>
      <c r="M92" s="365">
        <f t="shared" si="66"/>
        <v>-330117.38684471545</v>
      </c>
      <c r="P92" s="360" t="s">
        <v>562</v>
      </c>
      <c r="Q92" s="361" t="s">
        <v>899</v>
      </c>
      <c r="R92" s="406"/>
    </row>
    <row r="93" spans="1:18" ht="10.5" customHeight="1" x14ac:dyDescent="0.25">
      <c r="A93" s="331" t="str">
        <f>B9&amp;B93</f>
        <v>Concho ResourcesExploration capex</v>
      </c>
      <c r="B93" s="382" t="s">
        <v>519</v>
      </c>
      <c r="C93" s="382" t="s">
        <v>534</v>
      </c>
      <c r="D93" s="118"/>
      <c r="E93" s="364">
        <f>E89</f>
        <v>128128.62000000001</v>
      </c>
      <c r="F93" s="372">
        <f t="shared" ref="F93:M93" si="67">F89</f>
        <v>77432.232499999998</v>
      </c>
      <c r="G93" s="372">
        <f t="shared" si="67"/>
        <v>77432.232499999998</v>
      </c>
      <c r="H93" s="372">
        <f t="shared" si="67"/>
        <v>77432.232499999998</v>
      </c>
      <c r="I93" s="372">
        <f t="shared" si="67"/>
        <v>77432.232499999998</v>
      </c>
      <c r="J93" s="372">
        <f t="shared" si="67"/>
        <v>53120.252500000002</v>
      </c>
      <c r="K93" s="372">
        <f t="shared" si="67"/>
        <v>53120.252500000002</v>
      </c>
      <c r="L93" s="372">
        <f t="shared" si="67"/>
        <v>53120.252500000002</v>
      </c>
      <c r="M93" s="372">
        <f t="shared" si="67"/>
        <v>53120.252500000002</v>
      </c>
      <c r="P93" s="339" t="s">
        <v>502</v>
      </c>
      <c r="Q93" s="340">
        <f>SUM(Q86:Q90)</f>
        <v>709</v>
      </c>
      <c r="R93" s="406"/>
    </row>
    <row r="94" spans="1:18" ht="10.5" customHeight="1" x14ac:dyDescent="0.25">
      <c r="A94" s="331" t="str">
        <f>B9&amp;B94</f>
        <v>Concho ResourcesEBITDAX</v>
      </c>
      <c r="B94" s="394" t="s">
        <v>459</v>
      </c>
      <c r="C94" s="394" t="s">
        <v>512</v>
      </c>
      <c r="D94" s="125"/>
      <c r="E94" s="366">
        <f>SUM(E92:E93)</f>
        <v>372378.62</v>
      </c>
      <c r="F94" s="367">
        <f t="shared" ref="F94:M94" si="68">SUM(F92:F93)</f>
        <v>41846.379263209077</v>
      </c>
      <c r="G94" s="367">
        <f t="shared" si="68"/>
        <v>-413535.98643364885</v>
      </c>
      <c r="H94" s="367">
        <f t="shared" si="68"/>
        <v>-381783.35878409143</v>
      </c>
      <c r="I94" s="367">
        <f t="shared" si="68"/>
        <v>-350030.73113453411</v>
      </c>
      <c r="J94" s="367">
        <f t="shared" si="68"/>
        <v>-339919.87520365271</v>
      </c>
      <c r="K94" s="367">
        <f t="shared" si="68"/>
        <v>-308458.50477418414</v>
      </c>
      <c r="L94" s="367">
        <f t="shared" si="68"/>
        <v>-276997.13434471545</v>
      </c>
      <c r="M94" s="367">
        <f t="shared" si="68"/>
        <v>-276997.13434471545</v>
      </c>
      <c r="P94" s="339" t="s">
        <v>277</v>
      </c>
      <c r="Q94" s="340" t="s">
        <v>899</v>
      </c>
      <c r="R94" s="406"/>
    </row>
    <row r="95" spans="1:18" ht="10.5" customHeight="1" x14ac:dyDescent="0.25">
      <c r="A95" s="353" t="str">
        <f>B9&amp;B95</f>
        <v>Concho ResourcesDebt/EBITDAX</v>
      </c>
      <c r="B95" s="395" t="s">
        <v>947</v>
      </c>
      <c r="C95" s="395" t="s">
        <v>512</v>
      </c>
      <c r="D95" s="123"/>
      <c r="E95" s="358">
        <f>(E73+E68)/(E94*4)</f>
        <v>2.6908096925650566</v>
      </c>
      <c r="F95" s="359"/>
      <c r="G95" s="359"/>
      <c r="H95" s="359"/>
      <c r="I95" s="359">
        <f>(AVERAGE(F73:I73)+AVERAGE(F68:I68))/SUM(F92:I92)</f>
        <v>-2.8354537669285573</v>
      </c>
      <c r="J95" s="359"/>
      <c r="K95" s="359"/>
      <c r="L95" s="359"/>
      <c r="M95" s="359">
        <f>(AVERAGE(J73:M73)+AVERAGE(J68:M68))/SUM(J92:M92)</f>
        <v>-2.831683977858936</v>
      </c>
      <c r="Q95" s="340" t="s">
        <v>899</v>
      </c>
      <c r="R95" s="406"/>
    </row>
    <row r="96" spans="1:18" s="396" customFormat="1" ht="10.5" customHeight="1" x14ac:dyDescent="0.25">
      <c r="D96" s="124"/>
      <c r="P96" s="339" t="s">
        <v>278</v>
      </c>
      <c r="Q96" s="390">
        <f t="shared" ref="Q96" si="69">SUM(Q93:Q95)</f>
        <v>709</v>
      </c>
      <c r="R96" s="407"/>
    </row>
    <row r="97" spans="1:18" ht="10.5" customHeight="1" x14ac:dyDescent="0.25">
      <c r="A97" s="331" t="str">
        <f>B9&amp;B97</f>
        <v>Concho ResourcesCash dividends paid</v>
      </c>
      <c r="B97" s="352" t="s">
        <v>521</v>
      </c>
      <c r="C97" s="353" t="s">
        <v>546</v>
      </c>
      <c r="D97" s="122"/>
      <c r="E97" s="364">
        <f>IF(VLOOKUP($B97, P:Q, 2,0) = "-", 0, VLOOKUP($B97, P:Q, 2,0))*1000</f>
        <v>-25000</v>
      </c>
      <c r="F97" s="365">
        <f>E97*(1-INDEX(Assumptions!$A$2:$K$596,MATCH($B9&amp;"Dividend reduction",Assumptions!$A$2:$A$596,0),MATCH(F$2,Assumptions!$A$2:$K$2,0)))</f>
        <v>-25000</v>
      </c>
      <c r="G97" s="365">
        <f>F97*(1-INDEX(Assumptions!$A$2:$K$596,MATCH($B9&amp;"Dividend reduction",Assumptions!$A$2:$A$596,0),MATCH(G$2,Assumptions!$A$2:$K$2,0)))</f>
        <v>-25000</v>
      </c>
      <c r="H97" s="365">
        <f>G97*(1-INDEX(Assumptions!$A$2:$K$596,MATCH($B9&amp;"Dividend reduction",Assumptions!$A$2:$A$596,0),MATCH(H$2,Assumptions!$A$2:$K$2,0)))</f>
        <v>-25000</v>
      </c>
      <c r="I97" s="365">
        <f>H97*(1-INDEX(Assumptions!$A$2:$K$596,MATCH($B9&amp;"Dividend reduction",Assumptions!$A$2:$A$596,0),MATCH(I$2,Assumptions!$A$2:$K$2,0)))</f>
        <v>-25000</v>
      </c>
      <c r="J97" s="365">
        <f>I97*(1-INDEX(Assumptions!$A$2:$K$596,MATCH($B9&amp;"Dividend reduction",Assumptions!$A$2:$A$596,0),MATCH(J$2,Assumptions!$A$2:$K$2,0)))</f>
        <v>-25000</v>
      </c>
      <c r="K97" s="365">
        <f>J97*(1-INDEX(Assumptions!$A$2:$K$596,MATCH($B9&amp;"Dividend reduction",Assumptions!$A$2:$A$596,0),MATCH(K$2,Assumptions!$A$2:$K$2,0)))</f>
        <v>-25000</v>
      </c>
      <c r="L97" s="365">
        <f>K97*(1-INDEX(Assumptions!$A$2:$K$596,MATCH($B9&amp;"Dividend reduction",Assumptions!$A$2:$A$596,0),MATCH(L$2,Assumptions!$A$2:$K$2,0)))</f>
        <v>-25000</v>
      </c>
      <c r="M97" s="365">
        <f>L97*(1-INDEX(Assumptions!$A$2:$K$596,MATCH($B9&amp;"Dividend reduction",Assumptions!$A$2:$A$596,0),MATCH(M$2,Assumptions!$A$2:$K$2,0)))</f>
        <v>-25000</v>
      </c>
      <c r="P97" s="389" t="s">
        <v>458</v>
      </c>
      <c r="Q97" s="340"/>
      <c r="R97" s="406"/>
    </row>
    <row r="98" spans="1:18" ht="10.5" customHeight="1" x14ac:dyDescent="0.25">
      <c r="P98" s="339"/>
      <c r="Q98" s="390" t="s">
        <v>899</v>
      </c>
      <c r="R98" s="407"/>
    </row>
    <row r="99" spans="1:18" ht="10.5" customHeight="1" x14ac:dyDescent="0.25">
      <c r="A99" s="331" t="str">
        <f>B9&amp;B99</f>
        <v>Concho ResourcesOhlson's O-Score</v>
      </c>
      <c r="B99" s="380" t="s">
        <v>427</v>
      </c>
      <c r="C99" s="380" t="s">
        <v>512</v>
      </c>
      <c r="D99" s="117"/>
      <c r="E99" s="130"/>
      <c r="F99" s="130"/>
      <c r="G99" s="130"/>
      <c r="H99" s="130"/>
      <c r="I99" s="334">
        <f>-1.32-0.407*(LN($I66*1000/(36.32+2.11*'Quarterly Forecasts'!$K$15)))+6.03*($I78/$I66)-1.43*(($I60-$I72)/$I66)+0.0757*($I72/$I60)-2.37*(SUM($F49:$I49)/$I66)-1.83*(SUM($F92:$I92)/$I78)+0.285*(IF(AND(SUM($F49:$I49)&lt;0,($E49*4)&lt;0),1,0))-0.521*((SUM($F49:$I49)-($E49*4))/(ABS(SUM($F49:$I49))+ABS($E49*4)))-1.72*(IF($I78&gt;$I66,1,0))</f>
        <v>-5.0646370746713449</v>
      </c>
      <c r="J99" s="130"/>
      <c r="K99" s="130"/>
      <c r="L99" s="130"/>
      <c r="M99" s="334">
        <f>-1.32-0.407*(LN($M66*1000/(36.32+2.11*'Quarterly Forecasts'!$K$15)))+6.03*($M78/$M66)-1.43*(($M60-$M72)/$M66)+0.0757*($M72/$M60)-2.37*(SUM($J49:$M49)/$M66)-1.83*(SUM($J92:$M92)/$M78)+0.285*(IF(AND(SUM($J49:$M49)&lt;0,(SUM($F49:$I49))&lt;0),1,0))-0.521*((SUM($J49:$M49)-(SUM($F49:$I49)))/(ABS(SUM($J49:$M49))+ABS(SUM($F49:$I49))))-1.72*(IF($M78&gt;$M66,1,0))</f>
        <v>-4.7853251330386053</v>
      </c>
      <c r="P99" s="389" t="s">
        <v>428</v>
      </c>
      <c r="Q99" s="390" t="str">
        <f t="shared" ref="Q99" si="70">Q95</f>
        <v>-</v>
      </c>
      <c r="R99" s="407"/>
    </row>
    <row r="100" spans="1:18" ht="10.5" customHeight="1" thickBot="1" x14ac:dyDescent="0.3">
      <c r="A100" s="331" t="str">
        <f>B9&amp;B100</f>
        <v>Concho ResourcesProbability of default (PD)</v>
      </c>
      <c r="B100" s="397" t="s">
        <v>504</v>
      </c>
      <c r="C100" s="398" t="s">
        <v>512</v>
      </c>
      <c r="D100" s="110"/>
      <c r="E100" s="131"/>
      <c r="F100" s="131"/>
      <c r="G100" s="131"/>
      <c r="H100" s="131"/>
      <c r="I100" s="399">
        <f>EXP(I99)/(1+EXP(I99))</f>
        <v>6.2765587787489488E-3</v>
      </c>
      <c r="J100" s="131"/>
      <c r="K100" s="131"/>
      <c r="L100" s="131"/>
      <c r="M100" s="399">
        <f>EXP(M99)/(1+EXP(M99))</f>
        <v>8.2822396256527209E-3</v>
      </c>
      <c r="P100" s="389" t="s">
        <v>519</v>
      </c>
      <c r="Q100" s="390">
        <v>770.5</v>
      </c>
      <c r="R100" s="407"/>
    </row>
    <row r="101" spans="1:18" ht="10.5" customHeight="1" thickTop="1" x14ac:dyDescent="0.25">
      <c r="P101" s="389" t="s">
        <v>459</v>
      </c>
      <c r="Q101" s="340"/>
      <c r="R101" s="406"/>
    </row>
    <row r="102" spans="1:18" ht="10.5" customHeight="1" x14ac:dyDescent="0.25">
      <c r="P102" s="339"/>
      <c r="R102" s="406"/>
    </row>
    <row r="103" spans="1:18" ht="10.5" customHeight="1" thickBot="1" x14ac:dyDescent="0.3">
      <c r="P103" s="401" t="s">
        <v>521</v>
      </c>
      <c r="Q103" s="400">
        <f>-100/4</f>
        <v>-25</v>
      </c>
    </row>
  </sheetData>
  <conditionalFormatting sqref="D8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6E62F-7988-4FB3-A0D5-82336F240AF7}">
  <dimension ref="A1:R103"/>
  <sheetViews>
    <sheetView showGridLines="0" zoomScale="103" zoomScaleNormal="130" workbookViewId="0">
      <pane xSplit="2" ySplit="2" topLeftCell="E89" activePane="bottomRight" state="frozen"/>
      <selection activeCell="I95" sqref="I95"/>
      <selection pane="topRight" activeCell="I95" sqref="I95"/>
      <selection pane="bottomLeft" activeCell="I95" sqref="I95"/>
      <selection pane="bottomRight" activeCell="I95" sqref="I95"/>
    </sheetView>
  </sheetViews>
  <sheetFormatPr defaultColWidth="8.81640625" defaultRowHeight="11" customHeight="1" x14ac:dyDescent="0.25"/>
  <cols>
    <col min="1" max="1" width="9.6328125" style="2" customWidth="1"/>
    <col min="2" max="2" width="28.6328125" style="2" customWidth="1"/>
    <col min="3" max="3" width="35.453125" style="2" customWidth="1"/>
    <col min="4" max="4" width="9" style="113" bestFit="1" customWidth="1"/>
    <col min="5" max="5" width="10.453125" style="2" bestFit="1" customWidth="1"/>
    <col min="6" max="6" width="12.1796875" style="2" customWidth="1"/>
    <col min="7" max="13" width="10.453125" style="2" customWidth="1"/>
    <col min="14" max="15" width="8.81640625" style="2" customWidth="1"/>
    <col min="16" max="16" width="40.90625" style="2" customWidth="1"/>
    <col min="17" max="17" width="20.7265625" style="304" customWidth="1"/>
    <col min="18" max="18" width="11.08984375" style="8" customWidth="1"/>
    <col min="19" max="16384" width="8.81640625" style="2"/>
  </cols>
  <sheetData>
    <row r="1" spans="1:18" ht="11" customHeight="1" x14ac:dyDescent="0.25">
      <c r="E1" s="2" t="str">
        <f>LEFT(E2,4)</f>
        <v>2019</v>
      </c>
      <c r="F1" s="2" t="str">
        <f t="shared" ref="F1:M1" si="0">LEFT(F2,4)</f>
        <v>2020</v>
      </c>
      <c r="G1" s="2" t="str">
        <f t="shared" si="0"/>
        <v>2020</v>
      </c>
      <c r="H1" s="2" t="str">
        <f t="shared" si="0"/>
        <v>2020</v>
      </c>
      <c r="I1" s="2" t="str">
        <f t="shared" si="0"/>
        <v>2020</v>
      </c>
      <c r="J1" s="2" t="str">
        <f t="shared" si="0"/>
        <v>2021</v>
      </c>
      <c r="K1" s="2" t="str">
        <f t="shared" si="0"/>
        <v>2021</v>
      </c>
      <c r="L1" s="2" t="str">
        <f t="shared" si="0"/>
        <v>2021</v>
      </c>
      <c r="M1" s="2" t="str">
        <f t="shared" si="0"/>
        <v>2021</v>
      </c>
      <c r="P1" s="286" t="e">
        <f>#REF!</f>
        <v>#REF!</v>
      </c>
      <c r="Q1" s="287" t="s">
        <v>268</v>
      </c>
    </row>
    <row r="2" spans="1:18" ht="11" customHeight="1" x14ac:dyDescent="0.25">
      <c r="B2" s="2" t="s">
        <v>440</v>
      </c>
      <c r="C2" s="2" t="s">
        <v>517</v>
      </c>
      <c r="D2" s="113" t="s">
        <v>524</v>
      </c>
      <c r="E2" s="67" t="s">
        <v>413</v>
      </c>
      <c r="F2" s="67" t="s">
        <v>414</v>
      </c>
      <c r="G2" s="67" t="s">
        <v>415</v>
      </c>
      <c r="H2" s="67" t="s">
        <v>416</v>
      </c>
      <c r="I2" s="67" t="s">
        <v>417</v>
      </c>
      <c r="J2" s="67" t="s">
        <v>418</v>
      </c>
      <c r="K2" s="67" t="s">
        <v>419</v>
      </c>
      <c r="L2" s="67" t="s">
        <v>420</v>
      </c>
      <c r="M2" s="67" t="s">
        <v>421</v>
      </c>
      <c r="P2" s="288"/>
      <c r="Q2" s="289"/>
    </row>
    <row r="3" spans="1:18" ht="11" customHeight="1" x14ac:dyDescent="0.25">
      <c r="B3" s="64" t="s">
        <v>522</v>
      </c>
      <c r="C3" s="64"/>
      <c r="D3" s="111"/>
      <c r="E3" s="103"/>
      <c r="F3" s="99"/>
      <c r="G3" s="99"/>
      <c r="H3" s="99"/>
      <c r="I3" s="99"/>
      <c r="J3" s="99"/>
      <c r="K3" s="99"/>
      <c r="L3" s="99"/>
      <c r="M3" s="99"/>
      <c r="P3" s="290" t="s">
        <v>523</v>
      </c>
      <c r="Q3" s="289"/>
      <c r="R3" s="326"/>
    </row>
    <row r="4" spans="1:18" ht="11" customHeight="1" x14ac:dyDescent="0.25">
      <c r="A4" s="2" t="str">
        <f>$B$9&amp;$B$3&amp;B4</f>
        <v>Continental ResourcesMarket PricesOil</v>
      </c>
      <c r="B4" s="70" t="s">
        <v>396</v>
      </c>
      <c r="C4" s="70"/>
      <c r="D4" s="108"/>
      <c r="E4" s="89">
        <f>INDEX('Quarterly Forecasts'!$B$4:$O$500,MATCH(($B$2&amp;$B4),'Quarterly Forecasts'!$B$4:$B$500,0),MATCH(E$2,'Quarterly Forecasts'!$B$4:$O$4,0))</f>
        <v>64.358329999999995</v>
      </c>
      <c r="F4" s="134">
        <f>INDEX('Quarterly Forecasts'!$B$4:$O$500,MATCH($B$2&amp;$B4,'Quarterly Forecasts'!$B$4:$B$500,0),MATCH(F$2,'Quarterly Forecasts'!$B$4:$O$4,0))</f>
        <v>50.81859</v>
      </c>
      <c r="G4" s="134">
        <f>INDEX('Quarterly Forecasts'!$B$4:$O$500,MATCH($B$2&amp;$B4,'Quarterly Forecasts'!$B$4:$B$500,0),MATCH(G$2,'Quarterly Forecasts'!$B$4:$O$4,0))</f>
        <v>15</v>
      </c>
      <c r="H4" s="134">
        <f>INDEX('Quarterly Forecasts'!$B$4:$O$500,MATCH($B$2&amp;$B4,'Quarterly Forecasts'!$B$4:$B$500,0),MATCH(H$2,'Quarterly Forecasts'!$B$4:$O$4,0))</f>
        <v>17</v>
      </c>
      <c r="I4" s="134">
        <f>INDEX('Quarterly Forecasts'!$B$4:$O$500,MATCH($B$2&amp;$B4,'Quarterly Forecasts'!$B$4:$B$500,0),MATCH(I$2,'Quarterly Forecasts'!$B$4:$O$4,0))</f>
        <v>19</v>
      </c>
      <c r="J4" s="134">
        <f>INDEX('Quarterly Forecasts'!$B$4:$O$500,MATCH($B$2&amp;$B4,'Quarterly Forecasts'!$B$4:$B$500,0),MATCH(J$2,'Quarterly Forecasts'!$B$4:$O$4,0))</f>
        <v>21</v>
      </c>
      <c r="K4" s="134">
        <f>INDEX('Quarterly Forecasts'!$B$4:$O$500,MATCH($B$2&amp;$B4,'Quarterly Forecasts'!$B$4:$B$500,0),MATCH(K$2,'Quarterly Forecasts'!$B$4:$O$4,0))</f>
        <v>23</v>
      </c>
      <c r="L4" s="134">
        <f>INDEX('Quarterly Forecasts'!$B$4:$O$500,MATCH($B$2&amp;$B4,'Quarterly Forecasts'!$B$4:$B$500,0),MATCH(L$2,'Quarterly Forecasts'!$B$4:$O$4,0))</f>
        <v>25</v>
      </c>
      <c r="M4" s="134">
        <f>INDEX('Quarterly Forecasts'!$B$4:$O$500,MATCH($B$2&amp;$B4,'Quarterly Forecasts'!$B$4:$B$500,0),MATCH(M$2,'Quarterly Forecasts'!$B$4:$O$4,0))</f>
        <v>25</v>
      </c>
      <c r="P4" s="339" t="s">
        <v>396</v>
      </c>
      <c r="Q4" s="291">
        <v>52.07</v>
      </c>
      <c r="R4" s="327"/>
    </row>
    <row r="5" spans="1:18" ht="11" customHeight="1" x14ac:dyDescent="0.25">
      <c r="A5" s="2" t="str">
        <f t="shared" ref="A5:A7" si="1">$B$9&amp;$B$3&amp;B5</f>
        <v>Continental ResourcesMarket PricesGas</v>
      </c>
      <c r="B5" s="70" t="s">
        <v>26</v>
      </c>
      <c r="C5" s="70"/>
      <c r="D5" s="108"/>
      <c r="E5" s="89">
        <f>INDEX('Quarterly Forecasts'!$B$4:$O$500,MATCH($B2&amp;$B5,'Quarterly Forecasts'!$B$4:$B$500,0),MATCH(E$2,'Quarterly Forecasts'!$B$4:$O$4,0))</f>
        <v>15.15714</v>
      </c>
      <c r="F5" s="134">
        <f>INDEX('Quarterly Forecasts'!$B$4:$O$500,MATCH($B$2&amp;$B5,'Quarterly Forecasts'!$B$4:$B$500,0),MATCH(F$2,'Quarterly Forecasts'!$B$4:$O$4,0))</f>
        <v>11.20355</v>
      </c>
      <c r="G5" s="134">
        <f>INDEX('Quarterly Forecasts'!$B$4:$O$500,MATCH($B$2&amp;$B5,'Quarterly Forecasts'!$B$4:$B$500,0),MATCH(G$2,'Quarterly Forecasts'!$B$4:$O$4,0))</f>
        <v>12.325800000000001</v>
      </c>
      <c r="H5" s="134">
        <f>INDEX('Quarterly Forecasts'!$B$4:$O$500,MATCH($B$2&amp;$B5,'Quarterly Forecasts'!$B$4:$B$500,0),MATCH(H$2,'Quarterly Forecasts'!$B$4:$O$4,0))</f>
        <v>12.545400000000001</v>
      </c>
      <c r="I5" s="134">
        <f>INDEX('Quarterly Forecasts'!$B$4:$O$500,MATCH($B$2&amp;$B5,'Quarterly Forecasts'!$B$4:$B$500,0),MATCH(I$2,'Quarterly Forecasts'!$B$4:$O$4,0))</f>
        <v>12.765000000000001</v>
      </c>
      <c r="J5" s="134">
        <f>INDEX('Quarterly Forecasts'!$B$4:$O$500,MATCH($B$2&amp;$B5,'Quarterly Forecasts'!$B$4:$B$500,0),MATCH(J$2,'Quarterly Forecasts'!$B$4:$O$4,0))</f>
        <v>12.9846</v>
      </c>
      <c r="K5" s="134">
        <f>INDEX('Quarterly Forecasts'!$B$4:$O$500,MATCH($B$2&amp;$B5,'Quarterly Forecasts'!$B$4:$B$500,0),MATCH(K$2,'Quarterly Forecasts'!$B$4:$O$4,0))</f>
        <v>13.2042</v>
      </c>
      <c r="L5" s="134">
        <f>INDEX('Quarterly Forecasts'!$B$4:$O$500,MATCH($B$2&amp;$B5,'Quarterly Forecasts'!$B$4:$B$500,0),MATCH(L$2,'Quarterly Forecasts'!$B$4:$O$4,0))</f>
        <v>13.423800000000002</v>
      </c>
      <c r="M5" s="134">
        <f>INDEX('Quarterly Forecasts'!$B$4:$O$500,MATCH($B$2&amp;$B5,'Quarterly Forecasts'!$B$4:$B$500,0),MATCH(M$2,'Quarterly Forecasts'!$B$4:$O$4,0))</f>
        <v>13.423800000000002</v>
      </c>
      <c r="P5" s="288" t="s">
        <v>26</v>
      </c>
      <c r="Q5" s="291">
        <v>12.299999999999999</v>
      </c>
      <c r="R5" s="327"/>
    </row>
    <row r="6" spans="1:18" ht="11" customHeight="1" x14ac:dyDescent="0.25">
      <c r="A6" s="2" t="str">
        <f t="shared" si="1"/>
        <v>Continental ResourcesMarket PricesNGL</v>
      </c>
      <c r="B6" s="70" t="s">
        <v>25</v>
      </c>
      <c r="C6" s="70"/>
      <c r="D6" s="108"/>
      <c r="E6" s="89">
        <f>INDEX('Quarterly Forecasts'!$B$4:$O$500,MATCH($B2&amp;$B6,'Quarterly Forecasts'!$B$4:$B$500,0),MATCH(E$2,'Quarterly Forecasts'!$B$4:$O$4,0))</f>
        <v>20.616230000000002</v>
      </c>
      <c r="F6" s="134">
        <f>INDEX('Quarterly Forecasts'!$B$4:$O$500,MATCH($B$2&amp;$B6,'Quarterly Forecasts'!$B$4:$B$500,0),MATCH(F$2,'Quarterly Forecasts'!$B$4:$O$4,0))</f>
        <v>17.26445</v>
      </c>
      <c r="G6" s="134">
        <f>INDEX('Quarterly Forecasts'!$B$4:$O$500,MATCH($B$2&amp;$B6,'Quarterly Forecasts'!$B$4:$B$500,0),MATCH(G$2,'Quarterly Forecasts'!$B$4:$O$4,0))</f>
        <v>6.2672575000000004</v>
      </c>
      <c r="H6" s="134">
        <f>INDEX('Quarterly Forecasts'!$B$4:$O$500,MATCH($B$2&amp;$B6,'Quarterly Forecasts'!$B$4:$B$500,0),MATCH(H$2,'Quarterly Forecasts'!$B$4:$O$4,0))</f>
        <v>7.1405915000000002</v>
      </c>
      <c r="I6" s="134">
        <f>INDEX('Quarterly Forecasts'!$B$4:$O$500,MATCH($B$2&amp;$B6,'Quarterly Forecasts'!$B$4:$B$500,0),MATCH(I$2,'Quarterly Forecasts'!$B$4:$O$4,0))</f>
        <v>8.0139254999999991</v>
      </c>
      <c r="J6" s="134">
        <f>INDEX('Quarterly Forecasts'!$B$4:$O$500,MATCH($B$2&amp;$B6,'Quarterly Forecasts'!$B$4:$B$500,0),MATCH(J$2,'Quarterly Forecasts'!$B$4:$O$4,0))</f>
        <v>8.8872595000000008</v>
      </c>
      <c r="K6" s="134">
        <f>INDEX('Quarterly Forecasts'!$B$4:$O$500,MATCH($B$2&amp;$B6,'Quarterly Forecasts'!$B$4:$B$500,0),MATCH(K$2,'Quarterly Forecasts'!$B$4:$O$4,0))</f>
        <v>9.7605935000000006</v>
      </c>
      <c r="L6" s="134">
        <f>INDEX('Quarterly Forecasts'!$B$4:$O$500,MATCH($B$2&amp;$B6,'Quarterly Forecasts'!$B$4:$B$500,0),MATCH(L$2,'Quarterly Forecasts'!$B$4:$O$4,0))</f>
        <v>10.6339275</v>
      </c>
      <c r="M6" s="134">
        <f>INDEX('Quarterly Forecasts'!$B$4:$O$500,MATCH($B$2&amp;$B6,'Quarterly Forecasts'!$B$4:$B$500,0),MATCH(M$2,'Quarterly Forecasts'!$B$4:$O$4,0))</f>
        <v>10.6339275</v>
      </c>
      <c r="P6" s="288" t="s">
        <v>25</v>
      </c>
      <c r="Q6" s="291" t="s">
        <v>899</v>
      </c>
      <c r="R6" s="327"/>
    </row>
    <row r="7" spans="1:18" ht="11" customHeight="1" x14ac:dyDescent="0.25">
      <c r="A7" s="2" t="str">
        <f t="shared" si="1"/>
        <v>Continental ResourcesMarket PricesCondensate</v>
      </c>
      <c r="B7" s="71" t="s">
        <v>24</v>
      </c>
      <c r="C7" s="71"/>
      <c r="D7" s="114"/>
      <c r="E7" s="89">
        <f>INDEX('Quarterly Forecasts'!$B$4:$O$500,MATCH($B2&amp;$B7,'Quarterly Forecasts'!$B$4:$B$500,0),MATCH(E$2,'Quarterly Forecasts'!$B$4:$O$4,0))</f>
        <v>38.614997999999993</v>
      </c>
      <c r="F7" s="134">
        <f>INDEX('Quarterly Forecasts'!$B$4:$O$500,MATCH($B$2&amp;$B7,'Quarterly Forecasts'!$B$4:$B$500,0),MATCH(F$2,'Quarterly Forecasts'!$B$4:$O$4,0))</f>
        <v>30.491153999999998</v>
      </c>
      <c r="G7" s="134">
        <f>INDEX('Quarterly Forecasts'!$B$4:$O$500,MATCH($B$2&amp;$B7,'Quarterly Forecasts'!$B$4:$B$500,0),MATCH(G$2,'Quarterly Forecasts'!$B$4:$O$4,0))</f>
        <v>9</v>
      </c>
      <c r="H7" s="134">
        <f>INDEX('Quarterly Forecasts'!$B$4:$O$500,MATCH($B$2&amp;$B7,'Quarterly Forecasts'!$B$4:$B$500,0),MATCH(H$2,'Quarterly Forecasts'!$B$4:$O$4,0))</f>
        <v>10.199999999999999</v>
      </c>
      <c r="I7" s="134">
        <f>INDEX('Quarterly Forecasts'!$B$4:$O$500,MATCH($B$2&amp;$B7,'Quarterly Forecasts'!$B$4:$B$500,0),MATCH(I$2,'Quarterly Forecasts'!$B$4:$O$4,0))</f>
        <v>11.4</v>
      </c>
      <c r="J7" s="134">
        <f>INDEX('Quarterly Forecasts'!$B$4:$O$500,MATCH($B$2&amp;$B7,'Quarterly Forecasts'!$B$4:$B$500,0),MATCH(J$2,'Quarterly Forecasts'!$B$4:$O$4,0))</f>
        <v>12.6</v>
      </c>
      <c r="K7" s="134">
        <f>INDEX('Quarterly Forecasts'!$B$4:$O$500,MATCH($B$2&amp;$B7,'Quarterly Forecasts'!$B$4:$B$500,0),MATCH(K$2,'Quarterly Forecasts'!$B$4:$O$4,0))</f>
        <v>13.799999999999999</v>
      </c>
      <c r="L7" s="134">
        <f>INDEX('Quarterly Forecasts'!$B$4:$O$500,MATCH($B$2&amp;$B7,'Quarterly Forecasts'!$B$4:$B$500,0),MATCH(L$2,'Quarterly Forecasts'!$B$4:$O$4,0))</f>
        <v>15</v>
      </c>
      <c r="M7" s="134">
        <f>INDEX('Quarterly Forecasts'!$B$4:$O$500,MATCH($B$2&amp;$B7,'Quarterly Forecasts'!$B$4:$B$500,0),MATCH(M$2,'Quarterly Forecasts'!$B$4:$O$4,0))</f>
        <v>15</v>
      </c>
      <c r="P7" s="288" t="s">
        <v>24</v>
      </c>
      <c r="Q7" s="291">
        <v>31.241999999999997</v>
      </c>
      <c r="R7" s="327"/>
    </row>
    <row r="8" spans="1:18" ht="11" customHeight="1" x14ac:dyDescent="0.25">
      <c r="E8" s="187"/>
      <c r="P8" s="288"/>
      <c r="Q8" s="291"/>
      <c r="R8" s="327"/>
    </row>
    <row r="9" spans="1:18" ht="11" customHeight="1" x14ac:dyDescent="0.25">
      <c r="B9" s="31" t="s">
        <v>268</v>
      </c>
      <c r="C9" s="31"/>
      <c r="D9" s="115"/>
      <c r="E9" s="67"/>
      <c r="F9" s="67"/>
      <c r="G9" s="67"/>
      <c r="H9" s="67"/>
      <c r="I9" s="67"/>
      <c r="J9" s="67"/>
      <c r="K9" s="67"/>
      <c r="L9" s="67"/>
      <c r="M9" s="67"/>
      <c r="P9" s="290" t="s">
        <v>472</v>
      </c>
      <c r="Q9" s="295"/>
      <c r="R9" s="327"/>
    </row>
    <row r="10" spans="1:18" ht="11" customHeight="1" x14ac:dyDescent="0.35">
      <c r="B10" s="64" t="s">
        <v>523</v>
      </c>
      <c r="C10" s="64"/>
      <c r="D10" s="111"/>
      <c r="E10" s="103"/>
      <c r="F10" s="99"/>
      <c r="G10" s="99"/>
      <c r="H10" s="99"/>
      <c r="I10" s="99"/>
      <c r="J10" s="99"/>
      <c r="K10" s="99"/>
      <c r="L10" s="99"/>
      <c r="M10" s="99"/>
      <c r="P10" s="288" t="s">
        <v>461</v>
      </c>
      <c r="Q10" s="330">
        <f>4514389/4/1000</f>
        <v>1128.59725</v>
      </c>
      <c r="R10" s="328"/>
    </row>
    <row r="11" spans="1:18" ht="11" customHeight="1" x14ac:dyDescent="0.35">
      <c r="A11" s="2" t="str">
        <f>B9&amp;B10&amp;B11</f>
        <v>Continental ResourcesRealized pricesOil</v>
      </c>
      <c r="B11" s="70" t="s">
        <v>396</v>
      </c>
      <c r="C11" s="132" t="s">
        <v>542</v>
      </c>
      <c r="D11" s="108"/>
      <c r="E11" s="89">
        <f>IF(VLOOKUP($B11, P:Q, 2,0) = "-", 0, VLOOKUP($B11, P:Q, 2,0))</f>
        <v>52.07</v>
      </c>
      <c r="F11" s="134">
        <f>F4*($E11/$E4)</f>
        <v>41.115485459302633</v>
      </c>
      <c r="G11" s="134">
        <f>G4*($E11/$E4)</f>
        <v>12.135958158019328</v>
      </c>
      <c r="H11" s="134">
        <f t="shared" ref="G11:M14" si="2">H4*($E11/$E4)</f>
        <v>13.754085912421907</v>
      </c>
      <c r="I11" s="134">
        <f t="shared" si="2"/>
        <v>15.372213666824482</v>
      </c>
      <c r="J11" s="134">
        <f t="shared" si="2"/>
        <v>16.990341421227061</v>
      </c>
      <c r="K11" s="134">
        <f t="shared" si="2"/>
        <v>18.608469175629637</v>
      </c>
      <c r="L11" s="134">
        <f t="shared" si="2"/>
        <v>20.226596930032215</v>
      </c>
      <c r="M11" s="134">
        <f t="shared" si="2"/>
        <v>20.226596930032215</v>
      </c>
      <c r="P11" s="288" t="s">
        <v>462</v>
      </c>
      <c r="Q11" s="330">
        <f>(49083+68475)/4/1000</f>
        <v>29.389500000000002</v>
      </c>
      <c r="R11" s="328"/>
    </row>
    <row r="12" spans="1:18" ht="11" customHeight="1" x14ac:dyDescent="0.25">
      <c r="A12" s="2" t="str">
        <f>B9&amp;B10&amp;B12</f>
        <v>Continental ResourcesRealized pricesGas</v>
      </c>
      <c r="B12" s="70" t="s">
        <v>26</v>
      </c>
      <c r="C12" s="132" t="s">
        <v>542</v>
      </c>
      <c r="D12" s="108"/>
      <c r="E12" s="89">
        <f>IF(VLOOKUP($B12, P:Q, 2,0) = "-", 0, VLOOKUP($B12, P:Q, 2,0))</f>
        <v>12.299999999999999</v>
      </c>
      <c r="F12" s="134">
        <f>F5*($E12/$E5)</f>
        <v>9.0916666996544198</v>
      </c>
      <c r="G12" s="134">
        <f t="shared" si="2"/>
        <v>10.002371159730663</v>
      </c>
      <c r="H12" s="134">
        <f t="shared" si="2"/>
        <v>10.18057628286075</v>
      </c>
      <c r="I12" s="134">
        <f t="shared" si="2"/>
        <v>10.35878140599084</v>
      </c>
      <c r="J12" s="134">
        <f t="shared" si="2"/>
        <v>10.536986529120929</v>
      </c>
      <c r="K12" s="134">
        <f t="shared" si="2"/>
        <v>10.715191652251018</v>
      </c>
      <c r="L12" s="134">
        <f t="shared" si="2"/>
        <v>10.893396775381108</v>
      </c>
      <c r="M12" s="134">
        <f t="shared" si="2"/>
        <v>10.893396775381108</v>
      </c>
      <c r="P12" s="292" t="s">
        <v>395</v>
      </c>
      <c r="Q12" s="293">
        <f t="shared" ref="Q12" si="3">SUM(Q10:Q11)</f>
        <v>1157.98675</v>
      </c>
      <c r="R12" s="329"/>
    </row>
    <row r="13" spans="1:18" ht="11" customHeight="1" x14ac:dyDescent="0.25">
      <c r="A13" s="2" t="str">
        <f>B9&amp;B10&amp;B13</f>
        <v>Continental ResourcesRealized pricesNGL</v>
      </c>
      <c r="B13" s="70" t="s">
        <v>25</v>
      </c>
      <c r="C13" s="132" t="s">
        <v>542</v>
      </c>
      <c r="D13" s="108"/>
      <c r="E13" s="89">
        <f>IF(VLOOKUP($B13, P:Q, 2,0) = "-", 0, VLOOKUP($B13, P:Q, 2,0))</f>
        <v>0</v>
      </c>
      <c r="F13" s="134">
        <f>0</f>
        <v>0</v>
      </c>
      <c r="G13" s="134">
        <f>0</f>
        <v>0</v>
      </c>
      <c r="H13" s="134">
        <f>0</f>
        <v>0</v>
      </c>
      <c r="I13" s="134">
        <f>0</f>
        <v>0</v>
      </c>
      <c r="J13" s="134">
        <f>0</f>
        <v>0</v>
      </c>
      <c r="K13" s="134">
        <f>0</f>
        <v>0</v>
      </c>
      <c r="L13" s="134">
        <f>0</f>
        <v>0</v>
      </c>
      <c r="M13" s="134">
        <f>0</f>
        <v>0</v>
      </c>
      <c r="P13" s="288"/>
      <c r="Q13" s="291"/>
      <c r="R13" s="327"/>
    </row>
    <row r="14" spans="1:18" ht="11" customHeight="1" x14ac:dyDescent="0.25">
      <c r="A14" s="2" t="str">
        <f>B9&amp;B10&amp;B14</f>
        <v>Continental ResourcesRealized pricesCondensate</v>
      </c>
      <c r="B14" s="70" t="s">
        <v>24</v>
      </c>
      <c r="C14" s="132" t="s">
        <v>543</v>
      </c>
      <c r="D14" s="108"/>
      <c r="E14" s="89">
        <f>IF(VLOOKUP($B14, P:Q, 2,0) = "-", 0, VLOOKUP($B14, P:Q, 2,0))</f>
        <v>31.241999999999997</v>
      </c>
      <c r="F14" s="134">
        <f>F7*($E14/$E7)</f>
        <v>24.669291275581578</v>
      </c>
      <c r="G14" s="134">
        <f t="shared" si="2"/>
        <v>7.2815748948115973</v>
      </c>
      <c r="H14" s="134">
        <f t="shared" si="2"/>
        <v>8.252451547453143</v>
      </c>
      <c r="I14" s="134">
        <f t="shared" si="2"/>
        <v>9.2233282000946897</v>
      </c>
      <c r="J14" s="134">
        <f t="shared" si="2"/>
        <v>10.194204852736236</v>
      </c>
      <c r="K14" s="134">
        <f t="shared" si="2"/>
        <v>11.165081505377781</v>
      </c>
      <c r="L14" s="134">
        <f t="shared" si="2"/>
        <v>12.135958158019328</v>
      </c>
      <c r="M14" s="134">
        <f t="shared" si="2"/>
        <v>12.135958158019328</v>
      </c>
      <c r="P14" s="290" t="s">
        <v>473</v>
      </c>
      <c r="Q14" s="291"/>
      <c r="R14" s="327"/>
    </row>
    <row r="15" spans="1:18" ht="11" customHeight="1" x14ac:dyDescent="0.25">
      <c r="A15" s="2" t="str">
        <f>B9&amp;B10&amp;B15</f>
        <v>Continental ResourcesRealized pricesAverage realized price</v>
      </c>
      <c r="B15" s="97" t="s">
        <v>527</v>
      </c>
      <c r="C15" s="137" t="s">
        <v>541</v>
      </c>
      <c r="D15" s="114"/>
      <c r="E15" s="89">
        <f>E29/E24</f>
        <v>33.179650163883743</v>
      </c>
      <c r="F15" s="12">
        <f>F29/F24</f>
        <v>23.536240223987932</v>
      </c>
      <c r="G15" s="12">
        <f t="shared" ref="G15:M15" si="4">G29/G24</f>
        <v>8.8067216438585678</v>
      </c>
      <c r="H15" s="12">
        <f t="shared" si="4"/>
        <v>9.6873720294863332</v>
      </c>
      <c r="I15" s="12">
        <f t="shared" si="4"/>
        <v>10.568022415114099</v>
      </c>
      <c r="J15" s="12">
        <f t="shared" si="4"/>
        <v>11.625447973237641</v>
      </c>
      <c r="K15" s="12">
        <f t="shared" si="4"/>
        <v>12.529748358956537</v>
      </c>
      <c r="L15" s="12">
        <f t="shared" si="4"/>
        <v>13.434048744675438</v>
      </c>
      <c r="M15" s="12">
        <f t="shared" si="4"/>
        <v>13.434048744675438</v>
      </c>
      <c r="P15" s="288" t="s">
        <v>463</v>
      </c>
      <c r="Q15" s="291">
        <f>86.202/4</f>
        <v>21.5505</v>
      </c>
      <c r="R15" s="327"/>
    </row>
    <row r="16" spans="1:18" ht="11" customHeight="1" x14ac:dyDescent="0.25">
      <c r="B16" s="31"/>
      <c r="C16" s="31"/>
      <c r="D16" s="115"/>
      <c r="E16" s="100"/>
      <c r="F16" s="100"/>
      <c r="G16" s="100"/>
      <c r="H16" s="100"/>
      <c r="I16" s="100"/>
      <c r="J16" s="100"/>
      <c r="K16" s="100"/>
      <c r="L16" s="100"/>
      <c r="M16" s="100"/>
      <c r="P16" s="288" t="s">
        <v>464</v>
      </c>
      <c r="Q16" s="291">
        <f>2017.383/4</f>
        <v>504.34575000000001</v>
      </c>
      <c r="R16" s="327"/>
    </row>
    <row r="17" spans="1:18" ht="11" customHeight="1" x14ac:dyDescent="0.25">
      <c r="A17" s="2" t="str">
        <f>B9&amp;B17</f>
        <v>Continental ResourcesNetback price, BOE</v>
      </c>
      <c r="B17" s="91" t="s">
        <v>503</v>
      </c>
      <c r="C17" s="53" t="s">
        <v>535</v>
      </c>
      <c r="D17" s="122"/>
      <c r="E17" s="89">
        <f>E15-(E43/E24)-(E36/E24)-(E37/E24)-(E38/E24)</f>
        <v>26.741134145284303</v>
      </c>
      <c r="F17" s="89">
        <f>F15-(F43/F24)-(F36/F24)-(F37/F24)-(F38/F24)</f>
        <v>17.271358726913558</v>
      </c>
      <c r="G17" s="89">
        <f t="shared" ref="G17:M17" si="5">G15-(G43/G24)-(G36/G24)-(G37/G24)-(G38/G24)</f>
        <v>3.0011801146382777</v>
      </c>
      <c r="H17" s="89">
        <f t="shared" si="5"/>
        <v>3.8561823679496068</v>
      </c>
      <c r="I17" s="89">
        <f t="shared" si="5"/>
        <v>4.7111846212609372</v>
      </c>
      <c r="J17" s="89">
        <f t="shared" si="5"/>
        <v>5.7429620470680423</v>
      </c>
      <c r="K17" s="89">
        <f t="shared" si="5"/>
        <v>6.6216143004705028</v>
      </c>
      <c r="L17" s="89">
        <f t="shared" si="5"/>
        <v>7.5002665538729687</v>
      </c>
      <c r="M17" s="89">
        <f t="shared" si="5"/>
        <v>7.5002665538729687</v>
      </c>
      <c r="P17" s="288" t="s">
        <v>465</v>
      </c>
      <c r="Q17" s="291" t="s">
        <v>899</v>
      </c>
      <c r="R17" s="327"/>
    </row>
    <row r="18" spans="1:18" ht="11" customHeight="1" x14ac:dyDescent="0.25">
      <c r="B18" s="31"/>
      <c r="C18" s="31"/>
      <c r="D18" s="115"/>
      <c r="E18" s="100"/>
      <c r="F18" s="100"/>
      <c r="G18" s="100"/>
      <c r="H18" s="100"/>
      <c r="I18" s="100"/>
      <c r="J18" s="100"/>
      <c r="K18" s="100"/>
      <c r="L18" s="100"/>
      <c r="M18" s="100"/>
      <c r="P18" s="288" t="s">
        <v>505</v>
      </c>
      <c r="Q18" s="291" t="s">
        <v>899</v>
      </c>
      <c r="R18" s="327"/>
    </row>
    <row r="19" spans="1:18" ht="11" customHeight="1" x14ac:dyDescent="0.25">
      <c r="B19" s="64" t="s">
        <v>532</v>
      </c>
      <c r="C19" s="64"/>
      <c r="D19" s="111"/>
      <c r="E19" s="103"/>
      <c r="F19" s="99"/>
      <c r="G19" s="99"/>
      <c r="H19" s="99"/>
      <c r="I19" s="99"/>
      <c r="J19" s="99"/>
      <c r="K19" s="99"/>
      <c r="L19" s="99"/>
      <c r="M19" s="99"/>
      <c r="P19" s="288" t="s">
        <v>467</v>
      </c>
      <c r="Q19" s="291">
        <f>357.988/4</f>
        <v>89.497</v>
      </c>
      <c r="R19" s="327"/>
    </row>
    <row r="20" spans="1:18" ht="11" customHeight="1" x14ac:dyDescent="0.25">
      <c r="A20" s="2" t="str">
        <f>B9&amp;B19&amp;B20</f>
        <v>Continental ResourcesProduction, BOE/QOil</v>
      </c>
      <c r="B20" s="70" t="s">
        <v>396</v>
      </c>
      <c r="C20" s="73" t="s">
        <v>564</v>
      </c>
      <c r="D20" s="108"/>
      <c r="E20" s="105">
        <f>IF($B$2="A3",SUMIFS('$33'!$H$9:$H$2139,'$33'!$A$9:$A$2139,$B$9,'$33'!$G$9:$G$2139,$B20)*365/4, SUMIFS('$22'!$H$9:$H$2140,'$22'!$A$9:$A$2140,Continental_A1!$B$9,'$22'!$G$9:$G$2140, $B20)*365/4)</f>
        <v>16845.193031223873</v>
      </c>
      <c r="F20" s="66">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15806.977270512501</v>
      </c>
      <c r="G20" s="66">
        <f>F20*(1-INDEX(Assumptions!$A$2:$K$596,MATCH($B9&amp;"Oil production reduction",Assumptions!$A$2:$A$596,0),MATCH(G$2,Assumptions!$A$2:$K$2,0)))</f>
        <v>15806.977270512501</v>
      </c>
      <c r="H20" s="66">
        <f>G20*(1-INDEX(Assumptions!$A$2:$K$596,MATCH($B9&amp;"Oil production reduction",Assumptions!$A$2:$A$596,0),MATCH(H$2,Assumptions!$A$2:$K$2,0)))</f>
        <v>15806.977270512501</v>
      </c>
      <c r="I20" s="66">
        <f>H20*(1-INDEX(Assumptions!$A$2:$K$596,MATCH($B9&amp;"Oil production reduction",Assumptions!$A$2:$A$596,0),MATCH(I$2,Assumptions!$A$2:$K$2,0)))</f>
        <v>15806.977270512501</v>
      </c>
      <c r="J20" s="66">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16347.962553412499</v>
      </c>
      <c r="K20" s="66">
        <f>J20*(1-INDEX(Assumptions!$A$2:$K$596,MATCH($B9&amp;"Oil production reduction",Assumptions!$A$2:$A$596,0),MATCH(K$2,Assumptions!$A$2:$K$2,0)))</f>
        <v>16347.962553412499</v>
      </c>
      <c r="L20" s="66">
        <f>K20*(1-INDEX(Assumptions!$A$2:$K$596,MATCH($B9&amp;"Oil production reduction",Assumptions!$A$2:$A$596,0),MATCH(L$2,Assumptions!$A$2:$K$2,0)))</f>
        <v>16347.962553412499</v>
      </c>
      <c r="M20" s="66">
        <f>L20*(1-INDEX(Assumptions!$A$2:$K$596,MATCH($B9&amp;"Oil production reduction",Assumptions!$A$2:$A$596,0),MATCH(M$2,Assumptions!$A$2:$K$2,0)))</f>
        <v>16347.962553412499</v>
      </c>
      <c r="P20" s="288" t="s">
        <v>468</v>
      </c>
      <c r="Q20" s="291" t="s">
        <v>899</v>
      </c>
      <c r="R20" s="327"/>
    </row>
    <row r="21" spans="1:18" ht="11" customHeight="1" x14ac:dyDescent="0.25">
      <c r="A21" s="2" t="str">
        <f>B9&amp;B19&amp;B21</f>
        <v>Continental ResourcesProduction, BOE/QGas</v>
      </c>
      <c r="B21" s="70" t="s">
        <v>26</v>
      </c>
      <c r="C21" s="73" t="s">
        <v>564</v>
      </c>
      <c r="D21" s="108"/>
      <c r="E21" s="105">
        <f>IF($B$2="A3",SUMIFS('$33'!$H$9:$H$2139,'$33'!$A$9:$A$2139,$B$9,'$33'!$G$9:$G$2139,$B21)*365/4, SUMIFS('$22'!$H$9:$H$2140,'$22'!$A$9:$A$2140,Continental_A1!$B$9,'$22'!$G$9:$G$2140, $B21)*365/4)</f>
        <v>8697.9459822624995</v>
      </c>
      <c r="F21" s="66">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8185.4875919125006</v>
      </c>
      <c r="G21" s="66">
        <f>F21*(1-INDEX(Assumptions!$A$2:$K$596,MATCH($B9&amp;"Gas production reduction",Assumptions!$A$2:$A$596,0),MATCH(G$2,Assumptions!$A$2:$K$2,0)))</f>
        <v>8185.4875919125006</v>
      </c>
      <c r="H21" s="66">
        <f>G21*(1-INDEX(Assumptions!$A$2:$K$596,MATCH($B9&amp;"Gas production reduction",Assumptions!$A$2:$A$596,0),MATCH(H$2,Assumptions!$A$2:$K$2,0)))</f>
        <v>8185.4875919125006</v>
      </c>
      <c r="I21" s="66">
        <f>H21*(1-INDEX(Assumptions!$A$2:$K$596,MATCH($B9&amp;"Gas production reduction",Assumptions!$A$2:$A$596,0),MATCH(I$2,Assumptions!$A$2:$K$2,0)))</f>
        <v>8185.4875919125006</v>
      </c>
      <c r="J21" s="66">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7906.5766205749997</v>
      </c>
      <c r="K21" s="66">
        <f>J21*(1-INDEX(Assumptions!$A$2:$K$596,MATCH($B9&amp;"Gas production reduction",Assumptions!$A$2:$A$596,0),MATCH(K$2,Assumptions!$A$2:$K$2,0)))</f>
        <v>7906.5766205749997</v>
      </c>
      <c r="L21" s="66">
        <f>K21*(1-INDEX(Assumptions!$A$2:$K$596,MATCH($B9&amp;"Gas production reduction",Assumptions!$A$2:$A$596,0),MATCH(L$2,Assumptions!$A$2:$K$2,0)))</f>
        <v>7906.5766205749997</v>
      </c>
      <c r="M21" s="66">
        <f>L21*(1-INDEX(Assumptions!$A$2:$K$596,MATCH($B9&amp;"Gas production reduction",Assumptions!$A$2:$A$596,0),MATCH(M$2,Assumptions!$A$2:$K$2,0)))</f>
        <v>7906.5766205749997</v>
      </c>
      <c r="P21" s="288" t="s">
        <v>469</v>
      </c>
      <c r="Q21" s="291">
        <f>(225.649+444.649+33.23)/4</f>
        <v>175.88200000000001</v>
      </c>
      <c r="R21" s="327"/>
    </row>
    <row r="22" spans="1:18" ht="11" customHeight="1" x14ac:dyDescent="0.25">
      <c r="A22" s="2" t="str">
        <f>B9&amp;B19&amp;B22</f>
        <v>Continental ResourcesProduction, BOE/QNGL</v>
      </c>
      <c r="B22" s="70" t="s">
        <v>25</v>
      </c>
      <c r="C22" s="73" t="s">
        <v>564</v>
      </c>
      <c r="D22" s="108"/>
      <c r="E22" s="105">
        <f>IF($B$2="A3",SUMIFS('$33'!$H$9:$H$2139,'$33'!$A$9:$A$2139,$B$9,'$33'!$G$9:$G$2139,$B22)*365/4, SUMIFS('$22'!$H$9:$H$2140,'$22'!$A$9:$A$2140,Continental_A1!$B$9,'$22'!$G$9:$G$2140, $B22)*365/4)</f>
        <v>8183.9499263912494</v>
      </c>
      <c r="F22" s="66">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7687.7715005720001</v>
      </c>
      <c r="G22" s="66">
        <f>F22*(1-INDEX(Assumptions!$A$2:$K$596,MATCH($B9&amp;"NGL production reduction",Assumptions!$A$2:$A$596,0),MATCH(G$2,Assumptions!$A$2:$K$2,0)))</f>
        <v>7687.7715005720001</v>
      </c>
      <c r="H22" s="66">
        <f>G22*(1-INDEX(Assumptions!$A$2:$K$596,MATCH($B9&amp;"NGL production reduction",Assumptions!$A$2:$A$596,0),MATCH(H$2,Assumptions!$A$2:$K$2,0)))</f>
        <v>7687.7715005720001</v>
      </c>
      <c r="I22" s="66">
        <f>H22*(1-INDEX(Assumptions!$A$2:$K$596,MATCH($B9&amp;"NGL production reduction",Assumptions!$A$2:$A$596,0),MATCH(I$2,Assumptions!$A$2:$K$2,0)))</f>
        <v>7687.7715005720001</v>
      </c>
      <c r="J22" s="66">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7486.4148399393771</v>
      </c>
      <c r="K22" s="66">
        <f>J22*(1-INDEX(Assumptions!$A$2:$K$596,MATCH($B9&amp;"NGL production reduction",Assumptions!$A$2:$A$596,0),MATCH(K$2,Assumptions!$A$2:$K$2,0)))</f>
        <v>7486.4148399393771</v>
      </c>
      <c r="L22" s="66">
        <f>K22*(1-INDEX(Assumptions!$A$2:$K$596,MATCH($B9&amp;"NGL production reduction",Assumptions!$A$2:$A$596,0),MATCH(L$2,Assumptions!$A$2:$K$2,0)))</f>
        <v>7486.4148399393771</v>
      </c>
      <c r="M22" s="66">
        <f>L22*(1-INDEX(Assumptions!$A$2:$K$596,MATCH($B9&amp;"NGL production reduction",Assumptions!$A$2:$A$596,0),MATCH(M$2,Assumptions!$A$2:$K$2,0)))</f>
        <v>7486.4148399393771</v>
      </c>
      <c r="P22" s="288" t="s">
        <v>470</v>
      </c>
      <c r="Q22" s="291">
        <f>195.302/4</f>
        <v>48.825499999999998</v>
      </c>
      <c r="R22" s="327"/>
    </row>
    <row r="23" spans="1:18" ht="11" customHeight="1" x14ac:dyDescent="0.25">
      <c r="A23" s="2" t="str">
        <f>B9&amp;B19&amp;B23</f>
        <v>Continental ResourcesProduction, BOE/QCondensate</v>
      </c>
      <c r="B23" s="70" t="s">
        <v>24</v>
      </c>
      <c r="C23" s="73" t="s">
        <v>564</v>
      </c>
      <c r="D23" s="108"/>
      <c r="E23" s="105">
        <f>IF($B$2="A3",SUMIFS('$33'!$H$9:$H$2139,'$33'!$A$9:$A$2139,$B$9,'$33'!$G$9:$G$2139,$B23)*365/4, SUMIFS('$22'!$H$9:$H$2140,'$22'!$A$9:$A$2140,Continental_A1!$B$9,'$22'!$G$9:$G$2140, $B23)*365/4)</f>
        <v>1173.4221951215</v>
      </c>
      <c r="F23" s="66">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1374.4440091249999</v>
      </c>
      <c r="G23" s="66">
        <f>F23*(1-INDEX(Assumptions!$A$2:$K$596,MATCH($B9&amp;"Condensate production reduction",Assumptions!$A$2:$A$596,0),MATCH(G$2,Assumptions!$A$2:$K$2,0)))</f>
        <v>1374.4440091249999</v>
      </c>
      <c r="H23" s="66">
        <f>G23*(1-INDEX(Assumptions!$A$2:$K$596,MATCH($B9&amp;"Condensate production reduction",Assumptions!$A$2:$A$596,0),MATCH(H$2,Assumptions!$A$2:$K$2,0)))</f>
        <v>1374.4440091249999</v>
      </c>
      <c r="I23" s="66">
        <f>H23*(1-INDEX(Assumptions!$A$2:$K$596,MATCH($B9&amp;"Condensate production reduction",Assumptions!$A$2:$A$596,0),MATCH(I$2,Assumptions!$A$2:$K$2,0)))</f>
        <v>1374.4440091249999</v>
      </c>
      <c r="J23" s="66">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1259.79978125</v>
      </c>
      <c r="K23" s="66">
        <f>J23*(1-INDEX(Assumptions!$A$2:$K$596,MATCH($B9&amp;"Condensate production reduction",Assumptions!$A$2:$A$596,0),MATCH(K$2,Assumptions!$A$2:$K$2,0)))</f>
        <v>1259.79978125</v>
      </c>
      <c r="L23" s="66">
        <f>K23*(1-INDEX(Assumptions!$A$2:$K$596,MATCH($B9&amp;"Condensate production reduction",Assumptions!$A$2:$A$596,0),MATCH(L$2,Assumptions!$A$2:$K$2,0)))</f>
        <v>1259.79978125</v>
      </c>
      <c r="M23" s="66">
        <f>L23*(1-INDEX(Assumptions!$A$2:$K$596,MATCH($B9&amp;"Condensate production reduction",Assumptions!$A$2:$A$596,0),MATCH(M$2,Assumptions!$A$2:$K$2,0)))</f>
        <v>1259.79978125</v>
      </c>
      <c r="P23" s="294" t="s">
        <v>561</v>
      </c>
      <c r="Q23" s="295">
        <f>14.667/4</f>
        <v>3.66675</v>
      </c>
      <c r="R23" s="327"/>
    </row>
    <row r="24" spans="1:18" ht="11" customHeight="1" x14ac:dyDescent="0.25">
      <c r="A24" s="2" t="str">
        <f>B9&amp;B19&amp;B24</f>
        <v>Continental ResourcesProduction, BOE/QTotal production</v>
      </c>
      <c r="B24" s="97" t="s">
        <v>397</v>
      </c>
      <c r="C24" s="77"/>
      <c r="D24" s="114"/>
      <c r="E24" s="120">
        <f>SUM(E20:E23)</f>
        <v>34900.51113499912</v>
      </c>
      <c r="F24" s="121">
        <f>SUM(F20:F23)</f>
        <v>33054.680372122006</v>
      </c>
      <c r="G24" s="121">
        <f t="shared" ref="G24:M24" si="6">SUM(G20:G23)</f>
        <v>33054.680372122006</v>
      </c>
      <c r="H24" s="121">
        <f t="shared" si="6"/>
        <v>33054.680372122006</v>
      </c>
      <c r="I24" s="121">
        <f t="shared" si="6"/>
        <v>33054.680372122006</v>
      </c>
      <c r="J24" s="121">
        <f t="shared" si="6"/>
        <v>33000.753795176875</v>
      </c>
      <c r="K24" s="121">
        <f t="shared" si="6"/>
        <v>33000.753795176875</v>
      </c>
      <c r="L24" s="121">
        <f t="shared" si="6"/>
        <v>33000.753795176875</v>
      </c>
      <c r="M24" s="121">
        <f t="shared" si="6"/>
        <v>33000.753795176875</v>
      </c>
      <c r="P24" s="296" t="s">
        <v>910</v>
      </c>
      <c r="Q24" s="297">
        <v>0</v>
      </c>
      <c r="R24" s="327"/>
    </row>
    <row r="25" spans="1:18" ht="11" customHeight="1" x14ac:dyDescent="0.25">
      <c r="B25" s="31"/>
      <c r="C25" s="31"/>
      <c r="D25" s="115"/>
      <c r="E25" s="67"/>
      <c r="F25" s="67"/>
      <c r="G25" s="67"/>
      <c r="H25" s="67"/>
      <c r="I25" s="203"/>
      <c r="J25" s="203"/>
      <c r="K25" s="203"/>
      <c r="L25" s="203"/>
      <c r="M25" s="203"/>
      <c r="P25" s="296" t="s">
        <v>911</v>
      </c>
      <c r="Q25" s="297">
        <v>0</v>
      </c>
      <c r="R25" s="327"/>
    </row>
    <row r="26" spans="1:18" ht="11" customHeight="1" x14ac:dyDescent="0.25">
      <c r="A26" s="2" t="str">
        <f>B9&amp;B26</f>
        <v>Continental ResourcesRevenues</v>
      </c>
      <c r="B26" s="64" t="s">
        <v>472</v>
      </c>
      <c r="C26" s="64"/>
      <c r="D26" s="111"/>
      <c r="E26" s="53"/>
      <c r="F26" s="202">
        <f>F29/SUM($F$29:$I$29)</f>
        <v>0.44747102141703793</v>
      </c>
      <c r="G26" s="202">
        <f t="shared" ref="G26:I26" si="7">G29/SUM($F$29:$I$29)</f>
        <v>0.16743340022917286</v>
      </c>
      <c r="H26" s="202">
        <f t="shared" si="7"/>
        <v>0.18417632619432067</v>
      </c>
      <c r="I26" s="202">
        <f t="shared" si="7"/>
        <v>0.20091925215946854</v>
      </c>
      <c r="J26" s="202">
        <f>J29/SUM($J$29:$M$29)</f>
        <v>0.22784589356182819</v>
      </c>
      <c r="K26" s="202">
        <f t="shared" ref="K26:M26" si="8">K29/SUM($J$29:$M$29)</f>
        <v>0.24556917871236558</v>
      </c>
      <c r="L26" s="202">
        <f t="shared" si="8"/>
        <v>0.26329246386290311</v>
      </c>
      <c r="M26" s="202">
        <f t="shared" si="8"/>
        <v>0.26329246386290311</v>
      </c>
      <c r="P26" s="296" t="s">
        <v>912</v>
      </c>
      <c r="Q26" s="297">
        <v>0</v>
      </c>
      <c r="R26" s="327"/>
    </row>
    <row r="27" spans="1:18" ht="11" customHeight="1" x14ac:dyDescent="0.25">
      <c r="A27" s="2" t="str">
        <f>B9&amp;B27</f>
        <v>Continental ResourcesSales Revenue</v>
      </c>
      <c r="B27" s="70" t="s">
        <v>461</v>
      </c>
      <c r="C27" s="82" t="s">
        <v>536</v>
      </c>
      <c r="D27" s="108"/>
      <c r="E27" s="83">
        <f>IF(VLOOKUP($B27, P:Q, 2,0) = "-", 0, VLOOKUP($B27, P:Q, 2,0))*1000</f>
        <v>1128597.25</v>
      </c>
      <c r="F27" s="50">
        <f>SUMPRODUCT(F11:F14,F20:F23)</f>
        <v>758237.82868419192</v>
      </c>
      <c r="G27" s="50">
        <f>SUMPRODUCT(G11:G14,G20:G23)</f>
        <v>283715.21676854987</v>
      </c>
      <c r="H27" s="50">
        <f t="shared" ref="H27:M27" si="9">SUMPRODUCT(H11:H14,H20:H23)</f>
        <v>312086.03682619589</v>
      </c>
      <c r="I27" s="50">
        <f t="shared" si="9"/>
        <v>340456.85688384197</v>
      </c>
      <c r="J27" s="50">
        <f t="shared" si="9"/>
        <v>373911.61370986939</v>
      </c>
      <c r="K27" s="50">
        <f t="shared" si="9"/>
        <v>402996.80830030568</v>
      </c>
      <c r="L27" s="50">
        <f t="shared" si="9"/>
        <v>432082.00289074215</v>
      </c>
      <c r="M27" s="50">
        <f t="shared" si="9"/>
        <v>432082.00289074215</v>
      </c>
      <c r="P27" s="296" t="s">
        <v>913</v>
      </c>
      <c r="Q27" s="297">
        <v>0</v>
      </c>
      <c r="R27" s="327"/>
    </row>
    <row r="28" spans="1:18" ht="11" customHeight="1" x14ac:dyDescent="0.25">
      <c r="A28" s="2" t="str">
        <f>B9&amp;B28</f>
        <v>Continental ResourcesOther Revenue</v>
      </c>
      <c r="B28" s="70" t="s">
        <v>462</v>
      </c>
      <c r="C28" s="82" t="s">
        <v>533</v>
      </c>
      <c r="D28" s="204">
        <f>$E28/$E27</f>
        <v>2.6040733308538542E-2</v>
      </c>
      <c r="E28" s="83">
        <f>IF(VLOOKUP($B28, P:Q, 2,0) = "-", 0, VLOOKUP($B28, P:Q, 2,0))*1000</f>
        <v>29389.5</v>
      </c>
      <c r="F28" s="50">
        <f>F27*$D28</f>
        <v>19745.069081210378</v>
      </c>
      <c r="G28" s="50">
        <f>G27*$D28</f>
        <v>7388.1522954440097</v>
      </c>
      <c r="H28" s="50">
        <f t="shared" ref="H28:L28" si="10">H27*$D28</f>
        <v>8126.9492543097058</v>
      </c>
      <c r="I28" s="50">
        <f t="shared" si="10"/>
        <v>8865.7462131754037</v>
      </c>
      <c r="J28" s="50">
        <f t="shared" si="10"/>
        <v>9736.9326135839929</v>
      </c>
      <c r="K28" s="50">
        <f t="shared" si="10"/>
        <v>10494.332409140492</v>
      </c>
      <c r="L28" s="50">
        <f t="shared" si="10"/>
        <v>11251.732204696995</v>
      </c>
      <c r="M28" s="50">
        <f>M27*$D28</f>
        <v>11251.732204696995</v>
      </c>
      <c r="P28" s="296" t="s">
        <v>914</v>
      </c>
      <c r="Q28" s="297">
        <v>0</v>
      </c>
      <c r="R28" s="327"/>
    </row>
    <row r="29" spans="1:18" ht="11" customHeight="1" x14ac:dyDescent="0.25">
      <c r="A29" s="2" t="str">
        <f>B9&amp;B29</f>
        <v>Continental ResourcesTotal Revenue</v>
      </c>
      <c r="B29" s="84" t="s">
        <v>395</v>
      </c>
      <c r="C29" s="85"/>
      <c r="D29" s="63">
        <f>SUMPRODUCT(E11:E14,E20:E23)</f>
        <v>1020773.9929376418</v>
      </c>
      <c r="E29" s="63">
        <f>SUM(E27:E28)</f>
        <v>1157986.75</v>
      </c>
      <c r="F29" s="62">
        <f t="shared" ref="F29:M29" si="11">SUM(F27:F28)</f>
        <v>777982.89776540233</v>
      </c>
      <c r="G29" s="62">
        <f t="shared" si="11"/>
        <v>291103.36906399386</v>
      </c>
      <c r="H29" s="62">
        <f t="shared" si="11"/>
        <v>320212.98608050559</v>
      </c>
      <c r="I29" s="62">
        <f t="shared" si="11"/>
        <v>349322.60309701739</v>
      </c>
      <c r="J29" s="62">
        <f t="shared" si="11"/>
        <v>383648.54632345337</v>
      </c>
      <c r="K29" s="62">
        <f t="shared" si="11"/>
        <v>413491.14070944616</v>
      </c>
      <c r="L29" s="62">
        <f t="shared" si="11"/>
        <v>443333.73509543913</v>
      </c>
      <c r="M29" s="62">
        <f t="shared" si="11"/>
        <v>443333.73509543913</v>
      </c>
      <c r="P29" s="296" t="s">
        <v>915</v>
      </c>
      <c r="Q29" s="297">
        <v>0</v>
      </c>
      <c r="R29" s="327"/>
    </row>
    <row r="30" spans="1:18" ht="11" customHeight="1" x14ac:dyDescent="0.25">
      <c r="A30" s="2" t="str">
        <f>B9&amp;B30</f>
        <v>Continental ResourcesCosts and Expenses</v>
      </c>
      <c r="B30" s="72" t="s">
        <v>473</v>
      </c>
      <c r="C30" s="72"/>
      <c r="D30" s="112"/>
      <c r="E30" s="83"/>
      <c r="F30" s="199"/>
      <c r="G30" s="50"/>
      <c r="H30" s="50"/>
      <c r="I30" s="50"/>
      <c r="J30" s="50"/>
      <c r="K30" s="50"/>
      <c r="L30" s="50"/>
      <c r="M30" s="50"/>
      <c r="P30" s="296" t="s">
        <v>916</v>
      </c>
      <c r="Q30" s="297">
        <f>-535/4/1000</f>
        <v>-0.13375000000000001</v>
      </c>
      <c r="R30" s="327"/>
    </row>
    <row r="31" spans="1:18" ht="11" customHeight="1" x14ac:dyDescent="0.25">
      <c r="A31" s="2" t="str">
        <f>B9&amp;B31</f>
        <v>Continental ResourcesImpairment</v>
      </c>
      <c r="B31" s="70" t="s">
        <v>463</v>
      </c>
      <c r="C31" s="82" t="s">
        <v>537</v>
      </c>
      <c r="D31" s="108"/>
      <c r="E31" s="83">
        <f t="shared" ref="E31:E40" si="12">IF(VLOOKUP($B31, P:Q, 2,0) = "-", 0, VLOOKUP($B31, P:Q, 2,0))*1000</f>
        <v>21550.5</v>
      </c>
      <c r="F31" s="207">
        <f>E31</f>
        <v>21550.5</v>
      </c>
      <c r="G31" s="207">
        <f t="shared" ref="G31:M31" si="13">F31</f>
        <v>21550.5</v>
      </c>
      <c r="H31" s="207">
        <f t="shared" si="13"/>
        <v>21550.5</v>
      </c>
      <c r="I31" s="207">
        <f t="shared" si="13"/>
        <v>21550.5</v>
      </c>
      <c r="J31" s="207">
        <f t="shared" si="13"/>
        <v>21550.5</v>
      </c>
      <c r="K31" s="207">
        <f t="shared" si="13"/>
        <v>21550.5</v>
      </c>
      <c r="L31" s="207">
        <f t="shared" si="13"/>
        <v>21550.5</v>
      </c>
      <c r="M31" s="207">
        <f t="shared" si="13"/>
        <v>21550.5</v>
      </c>
      <c r="P31" s="288" t="s">
        <v>471</v>
      </c>
      <c r="Q31" s="291">
        <f t="shared" ref="Q31" si="14">SUM(Q24:Q30)</f>
        <v>-0.13375000000000001</v>
      </c>
      <c r="R31" s="327"/>
    </row>
    <row r="32" spans="1:18" ht="11" customHeight="1" x14ac:dyDescent="0.25">
      <c r="A32" s="2" t="str">
        <f>B9&amp;B32</f>
        <v>Continental ResourcesDD&amp;A</v>
      </c>
      <c r="B32" s="70" t="s">
        <v>464</v>
      </c>
      <c r="C32" s="106" t="s">
        <v>545</v>
      </c>
      <c r="D32" s="108">
        <f>E32/$E$24</f>
        <v>14.450955977381925</v>
      </c>
      <c r="E32" s="83">
        <f t="shared" si="12"/>
        <v>504345.75</v>
      </c>
      <c r="F32" s="205">
        <f>$D32*F24</f>
        <v>477671.73090396548</v>
      </c>
      <c r="G32" s="205">
        <f t="shared" ref="G32:M32" si="15">$D32*G24</f>
        <v>477671.73090396548</v>
      </c>
      <c r="H32" s="205">
        <f t="shared" si="15"/>
        <v>477671.73090396548</v>
      </c>
      <c r="I32" s="205">
        <f t="shared" si="15"/>
        <v>477671.73090396548</v>
      </c>
      <c r="J32" s="205">
        <f t="shared" si="15"/>
        <v>476892.4403145205</v>
      </c>
      <c r="K32" s="205">
        <f t="shared" si="15"/>
        <v>476892.4403145205</v>
      </c>
      <c r="L32" s="205">
        <f t="shared" si="15"/>
        <v>476892.4403145205</v>
      </c>
      <c r="M32" s="205">
        <f t="shared" si="15"/>
        <v>476892.4403145205</v>
      </c>
      <c r="P32" s="292" t="s">
        <v>474</v>
      </c>
      <c r="Q32" s="293">
        <f t="shared" ref="Q32" si="16">SUM(Q31,Q15:Q23)</f>
        <v>843.63374999999996</v>
      </c>
      <c r="R32" s="329"/>
    </row>
    <row r="33" spans="1:18" ht="11" customHeight="1" x14ac:dyDescent="0.25">
      <c r="A33" s="2" t="str">
        <f>B9&amp;B33</f>
        <v>Continental ResourcesAsset retirement obligation</v>
      </c>
      <c r="B33" s="70" t="s">
        <v>465</v>
      </c>
      <c r="C33" s="106" t="s">
        <v>545</v>
      </c>
      <c r="D33" s="108">
        <f t="shared" ref="D33:D40" si="17">E33/$E$24</f>
        <v>0</v>
      </c>
      <c r="E33" s="83">
        <f t="shared" si="12"/>
        <v>0</v>
      </c>
      <c r="F33" s="205">
        <f>$D33*F24</f>
        <v>0</v>
      </c>
      <c r="G33" s="205">
        <f>$D33*G24</f>
        <v>0</v>
      </c>
      <c r="H33" s="205">
        <f t="shared" ref="H33:M33" si="18">$D33*H24</f>
        <v>0</v>
      </c>
      <c r="I33" s="205">
        <f t="shared" si="18"/>
        <v>0</v>
      </c>
      <c r="J33" s="205">
        <f t="shared" si="18"/>
        <v>0</v>
      </c>
      <c r="K33" s="205">
        <f t="shared" si="18"/>
        <v>0</v>
      </c>
      <c r="L33" s="205">
        <f t="shared" si="18"/>
        <v>0</v>
      </c>
      <c r="M33" s="205">
        <f t="shared" si="18"/>
        <v>0</v>
      </c>
      <c r="P33" s="288"/>
      <c r="Q33" s="291"/>
      <c r="R33" s="327"/>
    </row>
    <row r="34" spans="1:18" ht="11" customHeight="1" x14ac:dyDescent="0.25">
      <c r="A34" s="2" t="str">
        <f>B9&amp;B34</f>
        <v>Continental ResourcesNon-cash compensation</v>
      </c>
      <c r="B34" s="70" t="s">
        <v>505</v>
      </c>
      <c r="C34" s="106" t="s">
        <v>878</v>
      </c>
      <c r="D34" s="108">
        <f t="shared" si="17"/>
        <v>0</v>
      </c>
      <c r="E34" s="83">
        <f t="shared" si="12"/>
        <v>0</v>
      </c>
      <c r="F34" s="207">
        <f>$E34*((F$4*0.0266+11.643)*F$24)/(($E$4*0.0266+11.643)*$E$24)</f>
        <v>0</v>
      </c>
      <c r="G34" s="207">
        <f t="shared" ref="G34:M34" si="19">$E34*((G$4*0.0266+11.643)*G$24)/(($E$4*0.0266+11.643)*$E$24)</f>
        <v>0</v>
      </c>
      <c r="H34" s="207">
        <f t="shared" si="19"/>
        <v>0</v>
      </c>
      <c r="I34" s="207">
        <f t="shared" si="19"/>
        <v>0</v>
      </c>
      <c r="J34" s="207">
        <f t="shared" si="19"/>
        <v>0</v>
      </c>
      <c r="K34" s="207">
        <f t="shared" si="19"/>
        <v>0</v>
      </c>
      <c r="L34" s="207">
        <f t="shared" si="19"/>
        <v>0</v>
      </c>
      <c r="M34" s="207">
        <f t="shared" si="19"/>
        <v>0</v>
      </c>
      <c r="P34" s="290" t="s">
        <v>506</v>
      </c>
      <c r="Q34" s="291"/>
      <c r="R34" s="327"/>
    </row>
    <row r="35" spans="1:18" ht="11" customHeight="1" x14ac:dyDescent="0.25">
      <c r="A35" s="2" t="str">
        <f>B9&amp;B35</f>
        <v>Continental ResourcesTaxes other than income</v>
      </c>
      <c r="B35" s="70" t="s">
        <v>467</v>
      </c>
      <c r="C35" s="106" t="s">
        <v>545</v>
      </c>
      <c r="D35" s="108">
        <f t="shared" si="17"/>
        <v>2.5643463975016152</v>
      </c>
      <c r="E35" s="83">
        <f t="shared" si="12"/>
        <v>89497</v>
      </c>
      <c r="F35" s="207">
        <f>$D35*F24</f>
        <v>84763.650532818414</v>
      </c>
      <c r="G35" s="207">
        <f t="shared" ref="G35:M35" si="20">$D35*G24</f>
        <v>84763.650532818414</v>
      </c>
      <c r="H35" s="207">
        <f t="shared" si="20"/>
        <v>84763.650532818414</v>
      </c>
      <c r="I35" s="207">
        <f t="shared" si="20"/>
        <v>84763.650532818414</v>
      </c>
      <c r="J35" s="207">
        <f t="shared" si="20"/>
        <v>84625.364109499569</v>
      </c>
      <c r="K35" s="207">
        <f t="shared" si="20"/>
        <v>84625.364109499569</v>
      </c>
      <c r="L35" s="207">
        <f t="shared" si="20"/>
        <v>84625.364109499569</v>
      </c>
      <c r="M35" s="207">
        <f t="shared" si="20"/>
        <v>84625.364109499569</v>
      </c>
      <c r="P35" s="288" t="s">
        <v>466</v>
      </c>
      <c r="Q35" s="291" t="s">
        <v>899</v>
      </c>
      <c r="R35" s="327"/>
    </row>
    <row r="36" spans="1:18" ht="11" customHeight="1" x14ac:dyDescent="0.25">
      <c r="A36" s="2" t="str">
        <f>B9&amp;B36</f>
        <v>Continental ResourcesLease operating expenses</v>
      </c>
      <c r="B36" s="70" t="s">
        <v>468</v>
      </c>
      <c r="C36" s="106" t="s">
        <v>878</v>
      </c>
      <c r="D36" s="108">
        <f t="shared" si="17"/>
        <v>0</v>
      </c>
      <c r="E36" s="83">
        <f t="shared" si="12"/>
        <v>0</v>
      </c>
      <c r="F36" s="207">
        <f>$E36*((F$4*0.0266+11.643)*F$24)/(($E$4*0.0266+11.643)*$E$24)</f>
        <v>0</v>
      </c>
      <c r="G36" s="207">
        <f t="shared" ref="G36:M38" si="21">$E36*((G$4*0.0266+11.643)*G$24)/(($E$4*0.0266+11.643)*$E$24)</f>
        <v>0</v>
      </c>
      <c r="H36" s="207">
        <f t="shared" si="21"/>
        <v>0</v>
      </c>
      <c r="I36" s="207">
        <f t="shared" si="21"/>
        <v>0</v>
      </c>
      <c r="J36" s="207">
        <f t="shared" si="21"/>
        <v>0</v>
      </c>
      <c r="K36" s="207">
        <f t="shared" si="21"/>
        <v>0</v>
      </c>
      <c r="L36" s="207">
        <f t="shared" si="21"/>
        <v>0</v>
      </c>
      <c r="M36" s="207">
        <f t="shared" si="21"/>
        <v>0</v>
      </c>
      <c r="P36" s="288" t="s">
        <v>475</v>
      </c>
      <c r="Q36" s="291">
        <f>269.379/4</f>
        <v>67.344750000000005</v>
      </c>
      <c r="R36" s="327"/>
    </row>
    <row r="37" spans="1:18" ht="11" customHeight="1" x14ac:dyDescent="0.25">
      <c r="A37" s="2" t="str">
        <f>B9&amp;B37</f>
        <v>Continental ResourcesTransportation, Processing, and Other Operating</v>
      </c>
      <c r="B37" s="70" t="s">
        <v>469</v>
      </c>
      <c r="C37" s="106" t="s">
        <v>878</v>
      </c>
      <c r="D37" s="108">
        <f t="shared" si="17"/>
        <v>5.0395250464862409</v>
      </c>
      <c r="E37" s="83">
        <f t="shared" si="12"/>
        <v>175882</v>
      </c>
      <c r="F37" s="207">
        <f>$E37*((F$4*0.0266+11.643)*F$24)/(($E$4*0.0266+11.643)*$E$24)</f>
        <v>162087.54709450676</v>
      </c>
      <c r="G37" s="207">
        <f t="shared" si="21"/>
        <v>150203.31772692708</v>
      </c>
      <c r="H37" s="207">
        <f t="shared" si="21"/>
        <v>150866.89657621065</v>
      </c>
      <c r="I37" s="207">
        <f t="shared" si="21"/>
        <v>151530.47542549419</v>
      </c>
      <c r="J37" s="207">
        <f t="shared" si="21"/>
        <v>151945.7595012073</v>
      </c>
      <c r="K37" s="207">
        <f t="shared" si="21"/>
        <v>152608.25576444031</v>
      </c>
      <c r="L37" s="207">
        <f t="shared" si="21"/>
        <v>153270.75202767336</v>
      </c>
      <c r="M37" s="207">
        <f t="shared" si="21"/>
        <v>153270.75202767336</v>
      </c>
      <c r="P37" s="288" t="s">
        <v>508</v>
      </c>
      <c r="Q37" s="291">
        <f>-(3.713-(4.584))/4</f>
        <v>0.21774999999999989</v>
      </c>
      <c r="R37" s="327"/>
    </row>
    <row r="38" spans="1:18" ht="11" customHeight="1" x14ac:dyDescent="0.25">
      <c r="A38" s="2" t="str">
        <f>B9&amp;B38</f>
        <v>Continental ResourcesSG&amp;A</v>
      </c>
      <c r="B38" s="70" t="s">
        <v>470</v>
      </c>
      <c r="C38" s="106" t="s">
        <v>878</v>
      </c>
      <c r="D38" s="108">
        <f t="shared" si="17"/>
        <v>1.3989909721132006</v>
      </c>
      <c r="E38" s="83">
        <f t="shared" si="12"/>
        <v>48825.5</v>
      </c>
      <c r="F38" s="207">
        <f>$E38*((F$4*0.0266+11.643)*F$24)/(($E$4*0.0266+11.643)*$E$24)</f>
        <v>44996.108360507838</v>
      </c>
      <c r="G38" s="207">
        <f t="shared" si="21"/>
        <v>41697.001908530023</v>
      </c>
      <c r="H38" s="207">
        <f t="shared" si="21"/>
        <v>41881.213875108151</v>
      </c>
      <c r="I38" s="207">
        <f t="shared" si="21"/>
        <v>42065.425841686279</v>
      </c>
      <c r="J38" s="207">
        <f t="shared" si="21"/>
        <v>42180.710251908647</v>
      </c>
      <c r="K38" s="207">
        <f t="shared" si="21"/>
        <v>42364.621688556428</v>
      </c>
      <c r="L38" s="207">
        <f t="shared" si="21"/>
        <v>42548.533125204194</v>
      </c>
      <c r="M38" s="207">
        <f t="shared" si="21"/>
        <v>42548.533125204194</v>
      </c>
      <c r="P38" s="292" t="s">
        <v>518</v>
      </c>
      <c r="Q38" s="293">
        <f t="shared" ref="Q38" si="22">SUM(Q35:Q37)</f>
        <v>67.5625</v>
      </c>
      <c r="R38" s="329"/>
    </row>
    <row r="39" spans="1:18" ht="11" customHeight="1" x14ac:dyDescent="0.25">
      <c r="A39" s="2" t="str">
        <f>B9&amp;B39</f>
        <v>Continental ResourcesExploratory and dirt well, dry hole</v>
      </c>
      <c r="B39" s="70" t="s">
        <v>561</v>
      </c>
      <c r="C39" s="106" t="s">
        <v>545</v>
      </c>
      <c r="D39" s="108">
        <f t="shared" si="17"/>
        <v>0.10506293119366066</v>
      </c>
      <c r="E39" s="83">
        <f t="shared" si="12"/>
        <v>3666.75</v>
      </c>
      <c r="F39" s="157">
        <f>$D39*F24</f>
        <v>3472.8216095646999</v>
      </c>
      <c r="G39" s="157">
        <f t="shared" ref="G39:M39" si="23">$D39*G24</f>
        <v>3472.8216095646999</v>
      </c>
      <c r="H39" s="157">
        <f t="shared" si="23"/>
        <v>3472.8216095646999</v>
      </c>
      <c r="I39" s="157">
        <f t="shared" si="23"/>
        <v>3472.8216095646999</v>
      </c>
      <c r="J39" s="157">
        <f t="shared" si="23"/>
        <v>3467.1559253216037</v>
      </c>
      <c r="K39" s="157">
        <f t="shared" si="23"/>
        <v>3467.1559253216037</v>
      </c>
      <c r="L39" s="157">
        <f t="shared" si="23"/>
        <v>3467.1559253216037</v>
      </c>
      <c r="M39" s="157">
        <f t="shared" si="23"/>
        <v>3467.1559253216037</v>
      </c>
      <c r="P39" s="288" t="s">
        <v>477</v>
      </c>
      <c r="Q39" s="291">
        <f>Q40+Q41</f>
        <v>53.172249999999998</v>
      </c>
      <c r="R39" s="327"/>
    </row>
    <row r="40" spans="1:18" ht="11" customHeight="1" x14ac:dyDescent="0.25">
      <c r="A40" s="2" t="str">
        <f>B9&amp;B40</f>
        <v>Continental ResourcesOther Expenses (benefits)</v>
      </c>
      <c r="B40" s="70" t="s">
        <v>471</v>
      </c>
      <c r="C40" s="106" t="s">
        <v>545</v>
      </c>
      <c r="D40" s="108">
        <f t="shared" si="17"/>
        <v>-3.832322096448384E-3</v>
      </c>
      <c r="E40" s="83">
        <f t="shared" si="12"/>
        <v>-133.75</v>
      </c>
      <c r="F40" s="157">
        <f t="shared" ref="F40:M40" si="24">$D40*F24</f>
        <v>-126.67618198112186</v>
      </c>
      <c r="G40" s="157">
        <f t="shared" si="24"/>
        <v>-126.67618198112186</v>
      </c>
      <c r="H40" s="157">
        <f t="shared" si="24"/>
        <v>-126.67618198112186</v>
      </c>
      <c r="I40" s="157">
        <f t="shared" si="24"/>
        <v>-126.67618198112186</v>
      </c>
      <c r="J40" s="157">
        <f t="shared" si="24"/>
        <v>-126.46951796870921</v>
      </c>
      <c r="K40" s="157">
        <f t="shared" si="24"/>
        <v>-126.46951796870921</v>
      </c>
      <c r="L40" s="157">
        <f t="shared" si="24"/>
        <v>-126.46951796870921</v>
      </c>
      <c r="M40" s="157">
        <f t="shared" si="24"/>
        <v>-126.46951796870921</v>
      </c>
      <c r="P40" s="296" t="s">
        <v>918</v>
      </c>
      <c r="Q40" s="297">
        <f>212.689/4</f>
        <v>53.172249999999998</v>
      </c>
      <c r="R40" s="327"/>
    </row>
    <row r="41" spans="1:18" ht="11" customHeight="1" x14ac:dyDescent="0.25">
      <c r="A41" s="2" t="str">
        <f>B9&amp;B41</f>
        <v>Continental ResourcesTotal Costs and Expenses</v>
      </c>
      <c r="B41" s="84" t="s">
        <v>474</v>
      </c>
      <c r="C41" s="85"/>
      <c r="D41" s="110"/>
      <c r="E41" s="63">
        <f t="shared" ref="E41:M41" si="25">SUM(E31:E40)</f>
        <v>843633.75</v>
      </c>
      <c r="F41" s="215">
        <f t="shared" si="25"/>
        <v>794415.68231938221</v>
      </c>
      <c r="G41" s="215">
        <f t="shared" si="25"/>
        <v>779232.34649982466</v>
      </c>
      <c r="H41" s="215">
        <f t="shared" si="25"/>
        <v>780080.13731568633</v>
      </c>
      <c r="I41" s="215">
        <f t="shared" si="25"/>
        <v>780927.92813154811</v>
      </c>
      <c r="J41" s="215">
        <f t="shared" si="25"/>
        <v>780535.46058448893</v>
      </c>
      <c r="K41" s="215">
        <f t="shared" si="25"/>
        <v>781381.8682843697</v>
      </c>
      <c r="L41" s="215">
        <f t="shared" si="25"/>
        <v>782228.27598425047</v>
      </c>
      <c r="M41" s="215">
        <f t="shared" si="25"/>
        <v>782228.27598425047</v>
      </c>
      <c r="P41" s="296" t="s">
        <v>919</v>
      </c>
      <c r="Q41" s="297">
        <v>0</v>
      </c>
      <c r="R41" s="327"/>
    </row>
    <row r="42" spans="1:18" ht="11" customHeight="1" x14ac:dyDescent="0.25">
      <c r="A42" s="2" t="str">
        <f>B9&amp;B42</f>
        <v>Continental ResourcesOther (Income) Expense</v>
      </c>
      <c r="B42" s="72" t="s">
        <v>506</v>
      </c>
      <c r="C42" s="72"/>
      <c r="D42" s="112"/>
      <c r="E42" s="83"/>
      <c r="F42" s="157"/>
      <c r="G42" s="157"/>
      <c r="H42" s="157"/>
      <c r="I42" s="157"/>
      <c r="J42" s="157"/>
      <c r="K42" s="157"/>
      <c r="L42" s="157"/>
      <c r="M42" s="157"/>
      <c r="P42" s="296" t="s">
        <v>920</v>
      </c>
      <c r="Q42" s="297" t="s">
        <v>899</v>
      </c>
      <c r="R42" s="327"/>
    </row>
    <row r="43" spans="1:18" ht="11" customHeight="1" x14ac:dyDescent="0.25">
      <c r="A43" s="2" t="str">
        <f>B9&amp;B43</f>
        <v>Continental ResourcesLoss (gain) on derivative instruments, net</v>
      </c>
      <c r="B43" s="70" t="s">
        <v>466</v>
      </c>
      <c r="C43" s="107" t="s">
        <v>879</v>
      </c>
      <c r="D43" s="108"/>
      <c r="E43" s="83">
        <f>IF(VLOOKUP($B43, P:Q, 2,0) = "-", 0, VLOOKUP($B43, P:Q, 2,0))*1000</f>
        <v>0</v>
      </c>
      <c r="F43" s="157">
        <f>E43</f>
        <v>0</v>
      </c>
      <c r="G43" s="157">
        <f t="shared" ref="G43:M43" si="26">F43</f>
        <v>0</v>
      </c>
      <c r="H43" s="157">
        <f t="shared" si="26"/>
        <v>0</v>
      </c>
      <c r="I43" s="157">
        <f t="shared" si="26"/>
        <v>0</v>
      </c>
      <c r="J43" s="157">
        <f t="shared" si="26"/>
        <v>0</v>
      </c>
      <c r="K43" s="157">
        <f t="shared" si="26"/>
        <v>0</v>
      </c>
      <c r="L43" s="157">
        <f t="shared" si="26"/>
        <v>0</v>
      </c>
      <c r="M43" s="157">
        <f t="shared" si="26"/>
        <v>0</v>
      </c>
      <c r="P43" s="292" t="s">
        <v>478</v>
      </c>
      <c r="Q43" s="293">
        <f>Q12-Q32-Q38-Q39</f>
        <v>193.61825000000007</v>
      </c>
      <c r="R43" s="329"/>
    </row>
    <row r="44" spans="1:18" ht="11" customHeight="1" x14ac:dyDescent="0.25">
      <c r="A44" s="2" t="str">
        <f>B9&amp;B44</f>
        <v>Continental ResourcesInterest expense, net</v>
      </c>
      <c r="B44" s="70" t="s">
        <v>475</v>
      </c>
      <c r="C44" s="82" t="s">
        <v>526</v>
      </c>
      <c r="D44" s="108"/>
      <c r="E44" s="83">
        <f>IF(VLOOKUP($B44, P:Q, 2,0) = "-", 0, VLOOKUP($B44, P:Q, 2,0))*1000</f>
        <v>67344.75</v>
      </c>
      <c r="F44" s="157">
        <f>$E73*(F78/E78)*(($E44/$E73)+IF($B$2="A3",(('Quarterly Forecasts'!$K$5-'Quarterly Forecasts'!$G$5)/400),(('Quarterly Forecasts'!$K$26-'Quarterly Forecasts'!$G$26)/400)))</f>
        <v>85213.942996471756</v>
      </c>
      <c r="G44" s="157">
        <f>$E73*(G78/F78)*(($E44/$E73)+IF($B$2="A3",(('Quarterly Forecasts'!$K$5-'Quarterly Forecasts'!$G$5)/400),(('Quarterly Forecasts'!$K$26-'Quarterly Forecasts'!$G$26)/400)))</f>
        <v>85544.235588465002</v>
      </c>
      <c r="H44" s="157">
        <f>$E73*(H78/G78)*(($E44/$E73)+IF($B$2="A3",(('Quarterly Forecasts'!$K$5-'Quarterly Forecasts'!$G$5)/400),(('Quarterly Forecasts'!$K$26-'Quarterly Forecasts'!$G$26)/400)))</f>
        <v>85544.235588465002</v>
      </c>
      <c r="I44" s="157">
        <f>$E73*(I78/H78)*(($E44/$E73)+IF($B$2="A3",(('Quarterly Forecasts'!$K$5-'Quarterly Forecasts'!$G$5)/400),(('Quarterly Forecasts'!$K$26-'Quarterly Forecasts'!$G$26)/400)))</f>
        <v>85544.235588465002</v>
      </c>
      <c r="J44" s="157">
        <f>$I73*(J78/I78)*(($I44/$I73)+ IF($B$2 = "A3", (('Quarterly Forecasts'!$O$5-'Quarterly Forecasts'!$K$5)/400),  (('Quarterly Forecasts'!$O$26-'Quarterly Forecasts'!$K$26)/400)))</f>
        <v>64667.121145269346</v>
      </c>
      <c r="K44" s="157">
        <f>$I73*(K78/J78)*(($I44/$I73)+ IF($B$2 = "A3", (('Quarterly Forecasts'!$O$5-'Quarterly Forecasts'!$K$5)/400),  (('Quarterly Forecasts'!$O$26-'Quarterly Forecasts'!$K$26)/400)))</f>
        <v>64674.444867352497</v>
      </c>
      <c r="L44" s="157">
        <f>$I73*(L78/K78)*(($I44/$I73)+ IF($B$2 = "A3", (('Quarterly Forecasts'!$O$5-'Quarterly Forecasts'!$K$5)/400),  (('Quarterly Forecasts'!$O$26-'Quarterly Forecasts'!$K$26)/400)))</f>
        <v>64674.444867352497</v>
      </c>
      <c r="M44" s="157">
        <f>$I73*(M78/L78)*(($I44/$I73)+ IF($B$2 = "A3", (('Quarterly Forecasts'!$O$5-'Quarterly Forecasts'!$K$5)/400),  (('Quarterly Forecasts'!$O$26-'Quarterly Forecasts'!$K$26)/400)))</f>
        <v>64674.444867352497</v>
      </c>
      <c r="N44" s="154"/>
      <c r="P44" s="288"/>
      <c r="Q44" s="291"/>
      <c r="R44" s="327"/>
    </row>
    <row r="45" spans="1:18" ht="11" customHeight="1" x14ac:dyDescent="0.25">
      <c r="A45" s="2" t="str">
        <f>B9&amp;B45</f>
        <v>Continental ResourcesOther, net</v>
      </c>
      <c r="B45" s="70" t="s">
        <v>508</v>
      </c>
      <c r="C45" s="82" t="s">
        <v>509</v>
      </c>
      <c r="D45" s="108"/>
      <c r="E45" s="83">
        <f>IF(VLOOKUP($B45, P:Q, 2,0) = "-", 0, VLOOKUP($B45, P:Q, 2,0))*1000</f>
        <v>217.74999999999989</v>
      </c>
      <c r="F45" s="157">
        <f>E45</f>
        <v>217.74999999999989</v>
      </c>
      <c r="G45" s="157">
        <f t="shared" ref="G45:M45" si="27">F45</f>
        <v>217.74999999999989</v>
      </c>
      <c r="H45" s="157">
        <f t="shared" si="27"/>
        <v>217.74999999999989</v>
      </c>
      <c r="I45" s="157">
        <f t="shared" si="27"/>
        <v>217.74999999999989</v>
      </c>
      <c r="J45" s="157">
        <f t="shared" si="27"/>
        <v>217.74999999999989</v>
      </c>
      <c r="K45" s="157">
        <f t="shared" si="27"/>
        <v>217.74999999999989</v>
      </c>
      <c r="L45" s="157">
        <f t="shared" si="27"/>
        <v>217.74999999999989</v>
      </c>
      <c r="M45" s="157">
        <f t="shared" si="27"/>
        <v>217.74999999999989</v>
      </c>
      <c r="P45" s="290" t="s">
        <v>479</v>
      </c>
      <c r="Q45" s="291"/>
      <c r="R45" s="327"/>
    </row>
    <row r="46" spans="1:18" ht="11" customHeight="1" x14ac:dyDescent="0.25">
      <c r="A46" s="2" t="str">
        <f>B9&amp;B46</f>
        <v>Continental ResourcesTotal Other (Income) Expense</v>
      </c>
      <c r="B46" s="84" t="s">
        <v>518</v>
      </c>
      <c r="C46" s="84"/>
      <c r="D46" s="110"/>
      <c r="E46" s="63">
        <f>SUM(E43:E45)</f>
        <v>67562.5</v>
      </c>
      <c r="F46" s="62">
        <f>SUM(F43:F45)</f>
        <v>85431.692996471756</v>
      </c>
      <c r="G46" s="62">
        <f t="shared" ref="G46:L46" si="28">SUM(G43:G45)</f>
        <v>85761.985588465002</v>
      </c>
      <c r="H46" s="62">
        <f t="shared" si="28"/>
        <v>85761.985588465002</v>
      </c>
      <c r="I46" s="62">
        <f t="shared" si="28"/>
        <v>85761.985588465002</v>
      </c>
      <c r="J46" s="62">
        <f t="shared" si="28"/>
        <v>64884.871145269346</v>
      </c>
      <c r="K46" s="62">
        <f t="shared" si="28"/>
        <v>64892.194867352497</v>
      </c>
      <c r="L46" s="62">
        <f t="shared" si="28"/>
        <v>64892.194867352497</v>
      </c>
      <c r="M46" s="62">
        <f>SUM(M43:M45)</f>
        <v>64892.194867352497</v>
      </c>
      <c r="P46" s="288" t="s">
        <v>480</v>
      </c>
      <c r="Q46" s="291">
        <f>39.4</f>
        <v>39.4</v>
      </c>
      <c r="R46" s="327"/>
    </row>
    <row r="47" spans="1:18" ht="11" customHeight="1" x14ac:dyDescent="0.25">
      <c r="A47" s="2" t="str">
        <f>B9&amp;B47</f>
        <v>Continental ResourcesIncome (loss) from continuing operations before income taxes</v>
      </c>
      <c r="B47" s="72" t="s">
        <v>476</v>
      </c>
      <c r="C47" s="72"/>
      <c r="D47" s="112"/>
      <c r="E47" s="63">
        <f>E29-E41-E46</f>
        <v>246790.5</v>
      </c>
      <c r="F47" s="62">
        <f>F29-F41-F46</f>
        <v>-101864.47755045163</v>
      </c>
      <c r="G47" s="62">
        <f t="shared" ref="G47:M47" si="29">G29-G41-G46</f>
        <v>-573890.96302429587</v>
      </c>
      <c r="H47" s="62">
        <f t="shared" si="29"/>
        <v>-545629.13682364579</v>
      </c>
      <c r="I47" s="62">
        <f t="shared" si="29"/>
        <v>-517367.31062299572</v>
      </c>
      <c r="J47" s="62">
        <f t="shared" si="29"/>
        <v>-461771.78540630493</v>
      </c>
      <c r="K47" s="62">
        <f t="shared" si="29"/>
        <v>-432782.92244227603</v>
      </c>
      <c r="L47" s="62">
        <f t="shared" si="29"/>
        <v>-403786.73575616383</v>
      </c>
      <c r="M47" s="62">
        <f t="shared" si="29"/>
        <v>-403786.73575616383</v>
      </c>
      <c r="P47" s="288" t="s">
        <v>481</v>
      </c>
      <c r="Q47" s="291" t="s">
        <v>899</v>
      </c>
      <c r="R47" s="327"/>
    </row>
    <row r="48" spans="1:18" ht="11" customHeight="1" x14ac:dyDescent="0.25">
      <c r="A48" s="2" t="str">
        <f>B9&amp;B48</f>
        <v>Continental ResourcesIncome tax (benefit) expense</v>
      </c>
      <c r="B48" s="73" t="s">
        <v>477</v>
      </c>
      <c r="C48" s="73" t="s">
        <v>525</v>
      </c>
      <c r="D48" s="109">
        <f>ABS(E48/E47)</f>
        <v>0.21545501143682597</v>
      </c>
      <c r="E48" s="83">
        <f>IF(VLOOKUP($B48, P:Q, 2,0) = "-", 0, VLOOKUP($B48, P:Q, 2,0))*1000</f>
        <v>53172.25</v>
      </c>
      <c r="F48" s="50">
        <f>($D48*F47)</f>
        <v>-21947.212175638859</v>
      </c>
      <c r="G48" s="50">
        <f t="shared" ref="G48:M48" si="30">($D48*G47)</f>
        <v>-123647.68400189074</v>
      </c>
      <c r="H48" s="50">
        <f t="shared" si="30"/>
        <v>-117558.53191460409</v>
      </c>
      <c r="I48" s="50">
        <f t="shared" si="30"/>
        <v>-111469.37982731743</v>
      </c>
      <c r="J48" s="50">
        <f t="shared" si="30"/>
        <v>-99491.045305918975</v>
      </c>
      <c r="K48" s="50">
        <f t="shared" si="30"/>
        <v>-93245.249504463543</v>
      </c>
      <c r="L48" s="50">
        <f t="shared" si="30"/>
        <v>-86997.875770382903</v>
      </c>
      <c r="M48" s="50">
        <f t="shared" si="30"/>
        <v>-86997.875770382903</v>
      </c>
      <c r="P48" s="288" t="s">
        <v>482</v>
      </c>
      <c r="Q48" s="291">
        <f>726.876</f>
        <v>726.87599999999998</v>
      </c>
      <c r="R48" s="327"/>
    </row>
    <row r="49" spans="1:18" ht="11" customHeight="1" thickBot="1" x14ac:dyDescent="0.3">
      <c r="A49" s="2" t="str">
        <f>B9&amp;B49</f>
        <v>Continental ResourcesNet (loss) Income</v>
      </c>
      <c r="B49" s="74" t="s">
        <v>478</v>
      </c>
      <c r="C49" s="74"/>
      <c r="D49" s="116"/>
      <c r="E49" s="86">
        <f>(E47-E48)</f>
        <v>193618.25</v>
      </c>
      <c r="F49" s="34">
        <f>F47-F48</f>
        <v>-79917.265374812763</v>
      </c>
      <c r="G49" s="34">
        <f t="shared" ref="G49:M49" si="31">G47-G48</f>
        <v>-450243.27902240516</v>
      </c>
      <c r="H49" s="34">
        <f t="shared" si="31"/>
        <v>-428070.60490904172</v>
      </c>
      <c r="I49" s="34">
        <f t="shared" si="31"/>
        <v>-405897.93079567829</v>
      </c>
      <c r="J49" s="34">
        <f t="shared" si="31"/>
        <v>-362280.74010038597</v>
      </c>
      <c r="K49" s="34">
        <f t="shared" si="31"/>
        <v>-339537.67293781252</v>
      </c>
      <c r="L49" s="34">
        <f t="shared" si="31"/>
        <v>-316788.8599857809</v>
      </c>
      <c r="M49" s="34">
        <f t="shared" si="31"/>
        <v>-316788.8599857809</v>
      </c>
      <c r="P49" s="288" t="s">
        <v>569</v>
      </c>
      <c r="Q49" s="291">
        <f>314.611</f>
        <v>314.61099999999999</v>
      </c>
      <c r="R49" s="327"/>
    </row>
    <row r="50" spans="1:18" ht="11" customHeight="1" thickTop="1" x14ac:dyDescent="0.25">
      <c r="P50" s="288" t="s">
        <v>484</v>
      </c>
      <c r="Q50" s="291">
        <f>109.536</f>
        <v>109.536</v>
      </c>
      <c r="R50" s="327"/>
    </row>
    <row r="51" spans="1:18" ht="11" customHeight="1" x14ac:dyDescent="0.25">
      <c r="A51" s="2" t="str">
        <f>B9&amp;B51</f>
        <v>Continental ResourcesCurrent Assets</v>
      </c>
      <c r="B51" s="64" t="s">
        <v>479</v>
      </c>
      <c r="C51" s="64"/>
      <c r="D51" s="111"/>
      <c r="E51" s="83"/>
      <c r="F51" s="50"/>
      <c r="G51" s="50"/>
      <c r="H51" s="50"/>
      <c r="I51" s="50"/>
      <c r="J51" s="50"/>
      <c r="K51" s="50"/>
      <c r="L51" s="50"/>
      <c r="M51" s="50"/>
      <c r="P51" s="288" t="s">
        <v>813</v>
      </c>
      <c r="Q51" s="291" t="s">
        <v>899</v>
      </c>
      <c r="R51" s="327"/>
    </row>
    <row r="52" spans="1:18" ht="11" customHeight="1" x14ac:dyDescent="0.25">
      <c r="A52" s="2" t="str">
        <f>B9&amp;B52</f>
        <v>Continental ResourcesCash and cash equivalents</v>
      </c>
      <c r="B52" s="70" t="s">
        <v>480</v>
      </c>
      <c r="C52" s="82" t="s">
        <v>538</v>
      </c>
      <c r="D52" s="140">
        <v>2406</v>
      </c>
      <c r="E52" s="83">
        <f>IF(VLOOKUP($B52, P:Q, 2,0) = "-", 0, VLOOKUP($B52, P:Q, 2,0))*1000</f>
        <v>39400</v>
      </c>
      <c r="F52" s="50">
        <f>F49+E52</f>
        <v>-40517.265374812763</v>
      </c>
      <c r="G52" s="50">
        <f>G49+F52</f>
        <v>-490760.54439721792</v>
      </c>
      <c r="H52" s="50">
        <f t="shared" ref="H52:M52" si="32">H49+G52</f>
        <v>-918831.14930625958</v>
      </c>
      <c r="I52" s="50">
        <f t="shared" si="32"/>
        <v>-1324729.080101938</v>
      </c>
      <c r="J52" s="50">
        <f t="shared" si="32"/>
        <v>-1687009.8202023241</v>
      </c>
      <c r="K52" s="50">
        <f t="shared" si="32"/>
        <v>-2026547.4931401366</v>
      </c>
      <c r="L52" s="50">
        <f t="shared" si="32"/>
        <v>-2343336.3531259177</v>
      </c>
      <c r="M52" s="50">
        <f t="shared" si="32"/>
        <v>-2660125.2131116986</v>
      </c>
      <c r="P52" s="288" t="s">
        <v>486</v>
      </c>
      <c r="Q52" s="291">
        <f>16.592</f>
        <v>16.591999999999999</v>
      </c>
      <c r="R52" s="327"/>
    </row>
    <row r="53" spans="1:18" ht="11" customHeight="1" x14ac:dyDescent="0.25">
      <c r="A53" s="2" t="str">
        <f>B9&amp;B53</f>
        <v>Continental ResourcesAccounts receivable, net of allowance</v>
      </c>
      <c r="B53" s="70" t="s">
        <v>481</v>
      </c>
      <c r="C53" s="82"/>
      <c r="D53" s="108"/>
      <c r="E53" s="83"/>
      <c r="F53" s="50"/>
      <c r="G53" s="50"/>
      <c r="H53" s="50"/>
      <c r="I53" s="50"/>
      <c r="J53" s="50"/>
      <c r="K53" s="50"/>
      <c r="L53" s="50"/>
      <c r="M53" s="50"/>
      <c r="P53" s="288" t="s">
        <v>568</v>
      </c>
      <c r="Q53" s="291" t="s">
        <v>899</v>
      </c>
      <c r="R53" s="327"/>
    </row>
    <row r="54" spans="1:18" ht="11" customHeight="1" x14ac:dyDescent="0.25">
      <c r="A54" s="2" t="str">
        <f>B9&amp;B54</f>
        <v>Continental ResourcesOil and gas sales</v>
      </c>
      <c r="B54" s="75" t="s">
        <v>482</v>
      </c>
      <c r="C54" s="82" t="s">
        <v>539</v>
      </c>
      <c r="D54" s="133">
        <f>E54/E29</f>
        <v>0.62770666417383447</v>
      </c>
      <c r="E54" s="83">
        <f t="shared" ref="E54:E59" si="33">IF(VLOOKUP($B54, P:Q, 2,0) = "-", 0, VLOOKUP($B54, P:Q, 2,0))*1000</f>
        <v>726876</v>
      </c>
      <c r="F54" s="50">
        <f>$D54*F29</f>
        <v>488345.04954061401</v>
      </c>
      <c r="G54" s="50">
        <f>$D54*G29</f>
        <v>182727.52472492418</v>
      </c>
      <c r="H54" s="50">
        <f t="shared" ref="H54:M54" si="34">$D54*H29</f>
        <v>200999.82531773666</v>
      </c>
      <c r="I54" s="50">
        <f t="shared" si="34"/>
        <v>219272.12591054916</v>
      </c>
      <c r="J54" s="50">
        <f t="shared" si="34"/>
        <v>240818.74922783571</v>
      </c>
      <c r="K54" s="50">
        <f t="shared" si="34"/>
        <v>259551.14460016007</v>
      </c>
      <c r="L54" s="50">
        <f t="shared" si="34"/>
        <v>278283.53997248452</v>
      </c>
      <c r="M54" s="50">
        <f t="shared" si="34"/>
        <v>278283.53997248452</v>
      </c>
      <c r="P54" s="296" t="s">
        <v>927</v>
      </c>
      <c r="Q54" s="297" t="s">
        <v>899</v>
      </c>
      <c r="R54" s="327"/>
    </row>
    <row r="55" spans="1:18" ht="11" customHeight="1" x14ac:dyDescent="0.25">
      <c r="A55" s="2" t="str">
        <f>B9&amp;B55</f>
        <v>Continental ResourcesOther receivable</v>
      </c>
      <c r="B55" s="75" t="s">
        <v>569</v>
      </c>
      <c r="C55" s="82" t="s">
        <v>539</v>
      </c>
      <c r="D55" s="133">
        <f>E55/E29</f>
        <v>0.271687910073237</v>
      </c>
      <c r="E55" s="83">
        <f t="shared" si="33"/>
        <v>314611</v>
      </c>
      <c r="F55" s="50">
        <f>$D55*F29</f>
        <v>211368.54756660297</v>
      </c>
      <c r="G55" s="50">
        <f>$D55*G29</f>
        <v>79089.265956274685</v>
      </c>
      <c r="H55" s="50">
        <f t="shared" ref="H55:M55" si="35">$D55*H29</f>
        <v>86997.996966523104</v>
      </c>
      <c r="I55" s="50">
        <f t="shared" si="35"/>
        <v>94906.727976771523</v>
      </c>
      <c r="J55" s="50">
        <f t="shared" si="35"/>
        <v>104232.6717532545</v>
      </c>
      <c r="K55" s="50">
        <f t="shared" si="35"/>
        <v>112340.54385314819</v>
      </c>
      <c r="L55" s="50">
        <f t="shared" si="35"/>
        <v>120448.41595304194</v>
      </c>
      <c r="M55" s="50">
        <f t="shared" si="35"/>
        <v>120448.41595304194</v>
      </c>
      <c r="P55" s="296" t="s">
        <v>928</v>
      </c>
      <c r="Q55" s="297" t="s">
        <v>899</v>
      </c>
      <c r="R55" s="327"/>
    </row>
    <row r="56" spans="1:18" ht="11" customHeight="1" x14ac:dyDescent="0.25">
      <c r="A56" s="2" t="str">
        <f>B9&amp;B56</f>
        <v>Continental ResourcesInventory</v>
      </c>
      <c r="B56" s="70" t="s">
        <v>484</v>
      </c>
      <c r="C56" s="82" t="s">
        <v>539</v>
      </c>
      <c r="D56" s="133">
        <f>E56/E29</f>
        <v>9.4591755907397046E-2</v>
      </c>
      <c r="E56" s="83">
        <f t="shared" si="33"/>
        <v>109536</v>
      </c>
      <c r="F56" s="50">
        <f>$D56*F29</f>
        <v>73590.768365554366</v>
      </c>
      <c r="G56" s="50">
        <f t="shared" ref="G56:M56" si="36">$D56*G29</f>
        <v>27535.978830322223</v>
      </c>
      <c r="H56" s="50">
        <f t="shared" si="36"/>
        <v>30289.508617705913</v>
      </c>
      <c r="I56" s="50">
        <f t="shared" si="36"/>
        <v>33043.03840508961</v>
      </c>
      <c r="J56" s="50">
        <f t="shared" si="36"/>
        <v>36289.989648055809</v>
      </c>
      <c r="K56" s="50">
        <f t="shared" si="36"/>
        <v>39112.8530518591</v>
      </c>
      <c r="L56" s="50">
        <f t="shared" si="36"/>
        <v>41935.716455662405</v>
      </c>
      <c r="M56" s="50">
        <f t="shared" si="36"/>
        <v>41935.716455662405</v>
      </c>
      <c r="P56" s="292" t="s">
        <v>487</v>
      </c>
      <c r="Q56" s="293">
        <f t="shared" ref="Q56" si="37">SUM(Q46:Q55)</f>
        <v>1207.0150000000001</v>
      </c>
      <c r="R56" s="329"/>
    </row>
    <row r="57" spans="1:18" ht="11" customHeight="1" x14ac:dyDescent="0.25">
      <c r="A57" s="2" t="str">
        <f>B9&amp;B57</f>
        <v>Continental ResourcesDerivative instruments current assets</v>
      </c>
      <c r="B57" s="70" t="s">
        <v>813</v>
      </c>
      <c r="C57" s="107" t="s">
        <v>507</v>
      </c>
      <c r="D57" s="108"/>
      <c r="E57" s="83">
        <f t="shared" si="33"/>
        <v>0</v>
      </c>
      <c r="F57" s="138"/>
      <c r="G57" s="138"/>
      <c r="H57" s="138"/>
      <c r="I57" s="138"/>
      <c r="J57" s="138"/>
      <c r="K57" s="138"/>
      <c r="L57" s="138"/>
      <c r="M57" s="138"/>
      <c r="P57" s="288" t="s">
        <v>488</v>
      </c>
      <c r="Q57" s="291">
        <f>14497.726</f>
        <v>14497.726000000001</v>
      </c>
      <c r="R57" s="327"/>
    </row>
    <row r="58" spans="1:18" ht="11" customHeight="1" x14ac:dyDescent="0.25">
      <c r="A58" s="2" t="str">
        <f>B9&amp;B58</f>
        <v>Continental ResourcesPrepaid expenses</v>
      </c>
      <c r="B58" s="70" t="s">
        <v>486</v>
      </c>
      <c r="C58" s="82" t="s">
        <v>509</v>
      </c>
      <c r="D58" s="108"/>
      <c r="E58" s="83">
        <f t="shared" si="33"/>
        <v>16592</v>
      </c>
      <c r="F58" s="50">
        <f>E58</f>
        <v>16592</v>
      </c>
      <c r="G58" s="50">
        <f t="shared" ref="G58:M59" si="38">F58</f>
        <v>16592</v>
      </c>
      <c r="H58" s="50">
        <f t="shared" si="38"/>
        <v>16592</v>
      </c>
      <c r="I58" s="50">
        <f t="shared" si="38"/>
        <v>16592</v>
      </c>
      <c r="J58" s="50">
        <f t="shared" si="38"/>
        <v>16592</v>
      </c>
      <c r="K58" s="50">
        <f t="shared" si="38"/>
        <v>16592</v>
      </c>
      <c r="L58" s="50">
        <f t="shared" si="38"/>
        <v>16592</v>
      </c>
      <c r="M58" s="50">
        <f t="shared" si="38"/>
        <v>16592</v>
      </c>
      <c r="P58" s="288" t="s">
        <v>814</v>
      </c>
      <c r="Q58" s="291" t="s">
        <v>899</v>
      </c>
      <c r="R58" s="327"/>
    </row>
    <row r="59" spans="1:18" ht="11" customHeight="1" x14ac:dyDescent="0.25">
      <c r="A59" s="2" t="str">
        <f>B9&amp;B59</f>
        <v>Continental ResourcesOther current assets</v>
      </c>
      <c r="B59" s="70" t="s">
        <v>568</v>
      </c>
      <c r="C59" s="82" t="s">
        <v>509</v>
      </c>
      <c r="D59" s="108"/>
      <c r="E59" s="83">
        <f t="shared" si="33"/>
        <v>0</v>
      </c>
      <c r="F59" s="50">
        <f>E59</f>
        <v>0</v>
      </c>
      <c r="G59" s="50">
        <f t="shared" si="38"/>
        <v>0</v>
      </c>
      <c r="H59" s="50">
        <f t="shared" si="38"/>
        <v>0</v>
      </c>
      <c r="I59" s="50">
        <f t="shared" si="38"/>
        <v>0</v>
      </c>
      <c r="J59" s="50">
        <f t="shared" si="38"/>
        <v>0</v>
      </c>
      <c r="K59" s="50">
        <f t="shared" si="38"/>
        <v>0</v>
      </c>
      <c r="L59" s="50">
        <f t="shared" si="38"/>
        <v>0</v>
      </c>
      <c r="M59" s="50">
        <f t="shared" si="38"/>
        <v>0</v>
      </c>
      <c r="P59" s="288" t="s">
        <v>815</v>
      </c>
      <c r="Q59" s="291" t="s">
        <v>899</v>
      </c>
      <c r="R59" s="327"/>
    </row>
    <row r="60" spans="1:18" ht="11" customHeight="1" x14ac:dyDescent="0.25">
      <c r="A60" s="2" t="str">
        <f>B9&amp;B60</f>
        <v>Continental ResourcesTotal current assets</v>
      </c>
      <c r="B60" s="76" t="s">
        <v>487</v>
      </c>
      <c r="C60" s="87"/>
      <c r="D60" s="111"/>
      <c r="E60" s="63">
        <f>SUM(E52:E59)</f>
        <v>1207015</v>
      </c>
      <c r="F60" s="62">
        <f>SUM(F52:F59)</f>
        <v>749379.10009795858</v>
      </c>
      <c r="G60" s="62">
        <f t="shared" ref="G60:M60" si="39">SUM(G52:G59)</f>
        <v>-184815.77488569682</v>
      </c>
      <c r="H60" s="62">
        <f t="shared" si="39"/>
        <v>-583951.81840429385</v>
      </c>
      <c r="I60" s="62">
        <f t="shared" si="39"/>
        <v>-960915.18780952762</v>
      </c>
      <c r="J60" s="62">
        <f t="shared" si="39"/>
        <v>-1289076.409573178</v>
      </c>
      <c r="K60" s="62">
        <f t="shared" si="39"/>
        <v>-1598950.9516349691</v>
      </c>
      <c r="L60" s="62">
        <f t="shared" si="39"/>
        <v>-1886076.6807447288</v>
      </c>
      <c r="M60" s="62">
        <f t="shared" si="39"/>
        <v>-2202865.5407305094</v>
      </c>
      <c r="P60" s="288" t="s">
        <v>490</v>
      </c>
      <c r="Q60" s="291" t="s">
        <v>899</v>
      </c>
      <c r="R60" s="327"/>
    </row>
    <row r="61" spans="1:18" ht="11" customHeight="1" x14ac:dyDescent="0.25">
      <c r="A61" s="2" t="str">
        <f>B9&amp;B61</f>
        <v>Continental ResourcesProperty and equipment, net</v>
      </c>
      <c r="B61" s="72" t="s">
        <v>488</v>
      </c>
      <c r="C61" s="73" t="s">
        <v>509</v>
      </c>
      <c r="D61" s="112"/>
      <c r="E61" s="83">
        <f>IF(VLOOKUP($B61, P:Q, 2,0) = "-", 0, VLOOKUP($B61, P:Q, 2,0))*1000</f>
        <v>14497726</v>
      </c>
      <c r="F61" s="50">
        <f>E61</f>
        <v>14497726</v>
      </c>
      <c r="G61" s="50">
        <f t="shared" ref="G61:M61" si="40">F61</f>
        <v>14497726</v>
      </c>
      <c r="H61" s="50">
        <f t="shared" si="40"/>
        <v>14497726</v>
      </c>
      <c r="I61" s="50">
        <f t="shared" si="40"/>
        <v>14497726</v>
      </c>
      <c r="J61" s="50">
        <f t="shared" si="40"/>
        <v>14497726</v>
      </c>
      <c r="K61" s="50">
        <f t="shared" si="40"/>
        <v>14497726</v>
      </c>
      <c r="L61" s="50">
        <f t="shared" si="40"/>
        <v>14497726</v>
      </c>
      <c r="M61" s="50">
        <f t="shared" si="40"/>
        <v>14497726</v>
      </c>
      <c r="P61" s="288" t="s">
        <v>491</v>
      </c>
      <c r="Q61" s="291">
        <f>14.038+Q62</f>
        <v>23.166</v>
      </c>
      <c r="R61" s="327"/>
    </row>
    <row r="62" spans="1:18" ht="11" customHeight="1" x14ac:dyDescent="0.25">
      <c r="A62" s="2" t="str">
        <f>B9&amp;B62</f>
        <v>Continental ResourcesDerivative instruments total assets</v>
      </c>
      <c r="B62" s="73" t="s">
        <v>814</v>
      </c>
      <c r="C62" s="95" t="s">
        <v>507</v>
      </c>
      <c r="D62" s="108"/>
      <c r="E62" s="83">
        <f>IF(VLOOKUP($B62, P:Q, 2,0) = "-", 0, VLOOKUP($B62, P:Q, 2,0))*1000</f>
        <v>0</v>
      </c>
      <c r="F62" s="138"/>
      <c r="G62" s="138"/>
      <c r="H62" s="138"/>
      <c r="I62" s="138"/>
      <c r="J62" s="138"/>
      <c r="K62" s="138"/>
      <c r="L62" s="138"/>
      <c r="M62" s="138"/>
      <c r="P62" s="296" t="s">
        <v>929</v>
      </c>
      <c r="Q62" s="297">
        <v>9.1280000000000001</v>
      </c>
      <c r="R62" s="327"/>
    </row>
    <row r="63" spans="1:18" ht="11" customHeight="1" x14ac:dyDescent="0.25">
      <c r="A63" s="2" t="str">
        <f>B9&amp;B63</f>
        <v>Continental ResourcesDeferred income taxes assets</v>
      </c>
      <c r="B63" s="73" t="s">
        <v>815</v>
      </c>
      <c r="C63" s="73" t="s">
        <v>509</v>
      </c>
      <c r="D63" s="108"/>
      <c r="E63" s="83">
        <f>IF(VLOOKUP($B63, P:Q, 2,0) = "-", 0, VLOOKUP($B63, P:Q, 2,0))*1000</f>
        <v>0</v>
      </c>
      <c r="F63" s="50">
        <f>E63</f>
        <v>0</v>
      </c>
      <c r="G63" s="50">
        <f t="shared" ref="G63:M65" si="41">F63</f>
        <v>0</v>
      </c>
      <c r="H63" s="50">
        <f t="shared" si="41"/>
        <v>0</v>
      </c>
      <c r="I63" s="50">
        <f t="shared" si="41"/>
        <v>0</v>
      </c>
      <c r="J63" s="50">
        <f t="shared" si="41"/>
        <v>0</v>
      </c>
      <c r="K63" s="50">
        <f t="shared" si="41"/>
        <v>0</v>
      </c>
      <c r="L63" s="50">
        <f t="shared" si="41"/>
        <v>0</v>
      </c>
      <c r="M63" s="50">
        <f t="shared" si="41"/>
        <v>0</v>
      </c>
      <c r="P63" s="296" t="s">
        <v>930</v>
      </c>
      <c r="Q63" s="297" t="s">
        <v>899</v>
      </c>
      <c r="R63" s="327"/>
    </row>
    <row r="64" spans="1:18" ht="11" customHeight="1" x14ac:dyDescent="0.25">
      <c r="A64" s="2" t="str">
        <f>B9&amp;B64</f>
        <v>Continental ResourcesGoodwill</v>
      </c>
      <c r="B64" s="73" t="s">
        <v>490</v>
      </c>
      <c r="C64" s="73" t="s">
        <v>509</v>
      </c>
      <c r="D64" s="108"/>
      <c r="E64" s="83">
        <f>IF(VLOOKUP($B64, P:Q, 2,0) = "-", 0, VLOOKUP($B64, P:Q, 2,0))*1000</f>
        <v>0</v>
      </c>
      <c r="F64" s="50">
        <f>E64</f>
        <v>0</v>
      </c>
      <c r="G64" s="50">
        <f t="shared" si="41"/>
        <v>0</v>
      </c>
      <c r="H64" s="50">
        <f t="shared" si="41"/>
        <v>0</v>
      </c>
      <c r="I64" s="50">
        <f t="shared" si="41"/>
        <v>0</v>
      </c>
      <c r="J64" s="50">
        <f t="shared" si="41"/>
        <v>0</v>
      </c>
      <c r="K64" s="50">
        <f t="shared" si="41"/>
        <v>0</v>
      </c>
      <c r="L64" s="50">
        <f t="shared" si="41"/>
        <v>0</v>
      </c>
      <c r="M64" s="50">
        <f t="shared" si="41"/>
        <v>0</v>
      </c>
      <c r="P64" s="292" t="s">
        <v>492</v>
      </c>
      <c r="Q64" s="293">
        <f>SUM(Q56:Q61)</f>
        <v>15727.906999999999</v>
      </c>
      <c r="R64" s="329"/>
    </row>
    <row r="65" spans="1:18" ht="11" customHeight="1" x14ac:dyDescent="0.25">
      <c r="A65" s="2" t="str">
        <f>B9&amp;B65</f>
        <v>Continental ResourcesOther assets</v>
      </c>
      <c r="B65" s="77" t="s">
        <v>491</v>
      </c>
      <c r="C65" s="77" t="s">
        <v>509</v>
      </c>
      <c r="D65" s="114"/>
      <c r="E65" s="83">
        <f>IF(VLOOKUP($B65, P:Q, 2,0) = "-", 0, VLOOKUP($B65, P:Q, 2,0))*1000</f>
        <v>23166</v>
      </c>
      <c r="F65" s="50">
        <f>E65</f>
        <v>23166</v>
      </c>
      <c r="G65" s="50">
        <f t="shared" si="41"/>
        <v>23166</v>
      </c>
      <c r="H65" s="50">
        <f t="shared" si="41"/>
        <v>23166</v>
      </c>
      <c r="I65" s="50">
        <f t="shared" si="41"/>
        <v>23166</v>
      </c>
      <c r="J65" s="50">
        <f t="shared" si="41"/>
        <v>23166</v>
      </c>
      <c r="K65" s="50">
        <f t="shared" si="41"/>
        <v>23166</v>
      </c>
      <c r="L65" s="50">
        <f t="shared" si="41"/>
        <v>23166</v>
      </c>
      <c r="M65" s="50">
        <f t="shared" si="41"/>
        <v>23166</v>
      </c>
      <c r="P65" s="288"/>
      <c r="Q65" s="291"/>
      <c r="R65" s="327"/>
    </row>
    <row r="66" spans="1:18" ht="11" customHeight="1" x14ac:dyDescent="0.25">
      <c r="A66" s="2" t="str">
        <f>B9&amp;B66</f>
        <v>Continental ResourcesTotal assets</v>
      </c>
      <c r="B66" s="78" t="s">
        <v>492</v>
      </c>
      <c r="C66" s="88"/>
      <c r="D66" s="112"/>
      <c r="E66" s="63">
        <f>SUM(E60:E65)</f>
        <v>15727907</v>
      </c>
      <c r="F66" s="62">
        <f>SUM(F60:F65)</f>
        <v>15270271.100097958</v>
      </c>
      <c r="G66" s="62">
        <f t="shared" ref="G66:M66" si="42">SUM(G60:G65)</f>
        <v>14336076.225114303</v>
      </c>
      <c r="H66" s="62">
        <f t="shared" si="42"/>
        <v>13936940.181595705</v>
      </c>
      <c r="I66" s="62">
        <f t="shared" si="42"/>
        <v>13559976.812190473</v>
      </c>
      <c r="J66" s="62">
        <f t="shared" si="42"/>
        <v>13231815.590426821</v>
      </c>
      <c r="K66" s="62">
        <f t="shared" si="42"/>
        <v>12921941.04836503</v>
      </c>
      <c r="L66" s="62">
        <f t="shared" si="42"/>
        <v>12634815.319255272</v>
      </c>
      <c r="M66" s="62">
        <f t="shared" si="42"/>
        <v>12318026.45926949</v>
      </c>
      <c r="P66" s="290" t="s">
        <v>498</v>
      </c>
      <c r="Q66" s="291"/>
      <c r="R66" s="327"/>
    </row>
    <row r="67" spans="1:18" ht="11" customHeight="1" x14ac:dyDescent="0.25">
      <c r="A67" s="2" t="str">
        <f>B9&amp;B67</f>
        <v>Continental ResourcesCurrent liabilities</v>
      </c>
      <c r="B67" s="72" t="s">
        <v>498</v>
      </c>
      <c r="C67" s="72"/>
      <c r="D67" s="112"/>
      <c r="E67" s="83"/>
      <c r="F67" s="50"/>
      <c r="G67" s="50"/>
      <c r="H67" s="50"/>
      <c r="I67" s="50"/>
      <c r="J67" s="50"/>
      <c r="K67" s="50"/>
      <c r="L67" s="50"/>
      <c r="M67" s="50"/>
      <c r="P67" s="288" t="s">
        <v>493</v>
      </c>
      <c r="Q67" s="291">
        <v>629.26400000000001</v>
      </c>
      <c r="R67" s="327"/>
    </row>
    <row r="68" spans="1:18" ht="11" customHeight="1" x14ac:dyDescent="0.25">
      <c r="A68" s="2" t="str">
        <f>B9&amp;B68</f>
        <v>Continental ResourcesAccounts payable</v>
      </c>
      <c r="B68" s="70" t="s">
        <v>493</v>
      </c>
      <c r="C68" s="82" t="s">
        <v>539</v>
      </c>
      <c r="D68" s="108">
        <f>E68/E24</f>
        <v>18.030223040743895</v>
      </c>
      <c r="E68" s="83">
        <f>IF(VLOOKUP($B68, P:Q, 2,0) = "-", 0, VLOOKUP($B68, P:Q, 2,0))*1000</f>
        <v>629264</v>
      </c>
      <c r="F68" s="50">
        <f>$D68*F24</f>
        <v>595983.25964985916</v>
      </c>
      <c r="G68" s="50">
        <f t="shared" ref="G68:M68" si="43">$D68*G24</f>
        <v>595983.25964985916</v>
      </c>
      <c r="H68" s="50">
        <f t="shared" si="43"/>
        <v>595983.25964985916</v>
      </c>
      <c r="I68" s="50">
        <f t="shared" si="43"/>
        <v>595983.25964985916</v>
      </c>
      <c r="J68" s="50">
        <f t="shared" si="43"/>
        <v>595010.95143971464</v>
      </c>
      <c r="K68" s="50">
        <f t="shared" si="43"/>
        <v>595010.95143971464</v>
      </c>
      <c r="L68" s="50">
        <f t="shared" si="43"/>
        <v>595010.95143971464</v>
      </c>
      <c r="M68" s="50">
        <f t="shared" si="43"/>
        <v>595010.95143971464</v>
      </c>
      <c r="P68" s="288" t="s">
        <v>510</v>
      </c>
      <c r="Q68" s="291">
        <v>230.36799999999999</v>
      </c>
      <c r="R68" s="327"/>
    </row>
    <row r="69" spans="1:18" ht="11" customHeight="1" x14ac:dyDescent="0.25">
      <c r="A69" s="2" t="str">
        <f>B9&amp;B69</f>
        <v>Continental ResourcesAccrued liabilities</v>
      </c>
      <c r="B69" s="70" t="s">
        <v>510</v>
      </c>
      <c r="C69" s="82" t="s">
        <v>507</v>
      </c>
      <c r="D69" s="108"/>
      <c r="E69" s="83">
        <f>IF(VLOOKUP($B69, P:Q, 2,0) = "-", 0, VLOOKUP($B69, P:Q, 2,0))*1000</f>
        <v>230368</v>
      </c>
      <c r="F69" s="50">
        <f>E69</f>
        <v>230368</v>
      </c>
      <c r="G69" s="50">
        <f t="shared" ref="G69:M69" si="44">F69</f>
        <v>230368</v>
      </c>
      <c r="H69" s="50">
        <f t="shared" si="44"/>
        <v>230368</v>
      </c>
      <c r="I69" s="50">
        <f t="shared" si="44"/>
        <v>230368</v>
      </c>
      <c r="J69" s="50">
        <f t="shared" si="44"/>
        <v>230368</v>
      </c>
      <c r="K69" s="50">
        <f t="shared" si="44"/>
        <v>230368</v>
      </c>
      <c r="L69" s="50">
        <f t="shared" si="44"/>
        <v>230368</v>
      </c>
      <c r="M69" s="50">
        <f t="shared" si="44"/>
        <v>230368</v>
      </c>
      <c r="P69" s="288" t="s">
        <v>812</v>
      </c>
      <c r="Q69" s="291" t="s">
        <v>899</v>
      </c>
      <c r="R69" s="327"/>
    </row>
    <row r="70" spans="1:18" ht="11" customHeight="1" x14ac:dyDescent="0.25">
      <c r="A70" s="2" t="str">
        <f>B9&amp;B70</f>
        <v>Continental ResourcesDerivative instruments current liabilities</v>
      </c>
      <c r="B70" s="70" t="s">
        <v>812</v>
      </c>
      <c r="C70" s="107" t="s">
        <v>507</v>
      </c>
      <c r="D70" s="108"/>
      <c r="E70" s="83">
        <f>IF(VLOOKUP($B70, P:Q, 2,0) = "-", 0, VLOOKUP($B70, P:Q, 2,0))*1000</f>
        <v>0</v>
      </c>
      <c r="F70" s="138"/>
      <c r="G70" s="138"/>
      <c r="H70" s="138"/>
      <c r="I70" s="138"/>
      <c r="J70" s="138"/>
      <c r="K70" s="138"/>
      <c r="L70" s="138"/>
      <c r="M70" s="138"/>
      <c r="P70" s="288" t="s">
        <v>494</v>
      </c>
      <c r="Q70" s="291">
        <f>SUM(Q71:Q73)</f>
        <v>476.39400000000001</v>
      </c>
      <c r="R70" s="327"/>
    </row>
    <row r="71" spans="1:18" ht="11" customHeight="1" x14ac:dyDescent="0.25">
      <c r="A71" s="2" t="str">
        <f>B9&amp;B71</f>
        <v>Continental ResourcesOther current liabilities</v>
      </c>
      <c r="B71" s="70" t="s">
        <v>494</v>
      </c>
      <c r="C71" s="82" t="s">
        <v>509</v>
      </c>
      <c r="D71" s="108"/>
      <c r="E71" s="83">
        <f>IF(VLOOKUP($B71, P:Q, 2,0) = "-", 0, VLOOKUP($B71, P:Q, 2,0))*1000</f>
        <v>476394</v>
      </c>
      <c r="F71" s="50">
        <f>E71</f>
        <v>476394</v>
      </c>
      <c r="G71" s="50">
        <f t="shared" ref="G71:M71" si="45">F71</f>
        <v>476394</v>
      </c>
      <c r="H71" s="50">
        <f t="shared" si="45"/>
        <v>476394</v>
      </c>
      <c r="I71" s="50">
        <f t="shared" si="45"/>
        <v>476394</v>
      </c>
      <c r="J71" s="50">
        <f t="shared" si="45"/>
        <v>476394</v>
      </c>
      <c r="K71" s="50">
        <f t="shared" si="45"/>
        <v>476394</v>
      </c>
      <c r="L71" s="50">
        <f t="shared" si="45"/>
        <v>476394</v>
      </c>
      <c r="M71" s="50">
        <f t="shared" si="45"/>
        <v>476394</v>
      </c>
      <c r="P71" s="296" t="s">
        <v>931</v>
      </c>
      <c r="Q71" s="297">
        <v>2.4350000000000001</v>
      </c>
      <c r="R71" s="327"/>
    </row>
    <row r="72" spans="1:18" ht="11" customHeight="1" x14ac:dyDescent="0.25">
      <c r="A72" s="2" t="str">
        <f>B9&amp;B72</f>
        <v>Continental ResourcesTotal current liabilities</v>
      </c>
      <c r="B72" s="76" t="s">
        <v>497</v>
      </c>
      <c r="C72" s="87"/>
      <c r="D72" s="111"/>
      <c r="E72" s="63">
        <f>SUM(E68:E71)</f>
        <v>1336026</v>
      </c>
      <c r="F72" s="62">
        <f>SUM(F68:F71)</f>
        <v>1302745.2596498593</v>
      </c>
      <c r="G72" s="62">
        <f>SUM(G68:G71)</f>
        <v>1302745.2596498593</v>
      </c>
      <c r="H72" s="62">
        <f t="shared" ref="H72:M72" si="46">SUM(H68:H71)</f>
        <v>1302745.2596498593</v>
      </c>
      <c r="I72" s="62">
        <f t="shared" si="46"/>
        <v>1302745.2596498593</v>
      </c>
      <c r="J72" s="62">
        <f t="shared" si="46"/>
        <v>1301772.9514397145</v>
      </c>
      <c r="K72" s="62">
        <f t="shared" si="46"/>
        <v>1301772.9514397145</v>
      </c>
      <c r="L72" s="62">
        <f t="shared" si="46"/>
        <v>1301772.9514397145</v>
      </c>
      <c r="M72" s="62">
        <f t="shared" si="46"/>
        <v>1301772.9514397145</v>
      </c>
      <c r="P72" s="296" t="s">
        <v>932</v>
      </c>
      <c r="Q72" s="297">
        <f>470.264+3.695</f>
        <v>473.959</v>
      </c>
      <c r="R72" s="327"/>
    </row>
    <row r="73" spans="1:18" ht="11" customHeight="1" x14ac:dyDescent="0.25">
      <c r="A73" s="2" t="str">
        <f>B9&amp;B73</f>
        <v>Continental ResourcesLong-term debt, net</v>
      </c>
      <c r="B73" s="73" t="s">
        <v>511</v>
      </c>
      <c r="C73" s="73" t="s">
        <v>509</v>
      </c>
      <c r="D73" s="108"/>
      <c r="E73" s="83">
        <f>IF(VLOOKUP($B73, P:Q, 2,0) = "-", 0, VLOOKUP($B73, P:Q, 2,0))*1000</f>
        <v>5324079</v>
      </c>
      <c r="F73" s="50">
        <f>E73</f>
        <v>5324079</v>
      </c>
      <c r="G73" s="50">
        <f t="shared" ref="G73:M74" si="47">F73</f>
        <v>5324079</v>
      </c>
      <c r="H73" s="50">
        <f t="shared" si="47"/>
        <v>5324079</v>
      </c>
      <c r="I73" s="50">
        <f t="shared" si="47"/>
        <v>5324079</v>
      </c>
      <c r="J73" s="50">
        <f t="shared" si="47"/>
        <v>5324079</v>
      </c>
      <c r="K73" s="50">
        <f t="shared" si="47"/>
        <v>5324079</v>
      </c>
      <c r="L73" s="50">
        <f t="shared" si="47"/>
        <v>5324079</v>
      </c>
      <c r="M73" s="50">
        <f t="shared" si="47"/>
        <v>5324079</v>
      </c>
      <c r="P73" s="296" t="s">
        <v>933</v>
      </c>
      <c r="Q73" s="297" t="s">
        <v>899</v>
      </c>
      <c r="R73" s="327"/>
    </row>
    <row r="74" spans="1:18" ht="11" customHeight="1" x14ac:dyDescent="0.25">
      <c r="A74" s="2" t="str">
        <f>B9&amp;B74</f>
        <v>Continental ResourcesAsset retirement obligations</v>
      </c>
      <c r="B74" s="73" t="s">
        <v>495</v>
      </c>
      <c r="C74" s="73" t="s">
        <v>509</v>
      </c>
      <c r="D74" s="108"/>
      <c r="E74" s="83">
        <f>IF(VLOOKUP($B74, P:Q, 2,0) = "-", 0, VLOOKUP($B74, P:Q, 2,0))*1000</f>
        <v>151774</v>
      </c>
      <c r="F74" s="50">
        <f>E74</f>
        <v>151774</v>
      </c>
      <c r="G74" s="50">
        <f t="shared" si="47"/>
        <v>151774</v>
      </c>
      <c r="H74" s="50">
        <f t="shared" si="47"/>
        <v>151774</v>
      </c>
      <c r="I74" s="50">
        <f t="shared" si="47"/>
        <v>151774</v>
      </c>
      <c r="J74" s="50">
        <f t="shared" si="47"/>
        <v>151774</v>
      </c>
      <c r="K74" s="50">
        <f t="shared" si="47"/>
        <v>151774</v>
      </c>
      <c r="L74" s="50">
        <f t="shared" si="47"/>
        <v>151774</v>
      </c>
      <c r="M74" s="50">
        <f t="shared" si="47"/>
        <v>151774</v>
      </c>
      <c r="P74" s="292" t="s">
        <v>497</v>
      </c>
      <c r="Q74" s="293">
        <f>SUM(Q67:Q70)</f>
        <v>1336.0260000000001</v>
      </c>
      <c r="R74" s="329"/>
    </row>
    <row r="75" spans="1:18" ht="11" customHeight="1" x14ac:dyDescent="0.25">
      <c r="A75" s="2" t="str">
        <f>B9&amp;B75</f>
        <v>Continental ResourcesDerivative instruments liabilities</v>
      </c>
      <c r="B75" s="73" t="s">
        <v>811</v>
      </c>
      <c r="C75" s="95" t="s">
        <v>507</v>
      </c>
      <c r="D75" s="108"/>
      <c r="E75" s="83">
        <f>IF(VLOOKUP($B75, P:Q, 2,0) = "-", 0, VLOOKUP($B75, P:Q, 2,0))*1000</f>
        <v>0</v>
      </c>
      <c r="F75" s="138"/>
      <c r="G75" s="138"/>
      <c r="H75" s="138"/>
      <c r="I75" s="138"/>
      <c r="J75" s="138"/>
      <c r="K75" s="138"/>
      <c r="L75" s="138"/>
      <c r="M75" s="138"/>
      <c r="P75" s="288" t="s">
        <v>511</v>
      </c>
      <c r="Q75" s="291">
        <v>5324.0789999999997</v>
      </c>
      <c r="R75" s="327"/>
    </row>
    <row r="76" spans="1:18" ht="11" customHeight="1" x14ac:dyDescent="0.25">
      <c r="A76" s="2" t="str">
        <f>B9&amp;B76</f>
        <v>Continental ResourcesDeferred income taxes liabilities</v>
      </c>
      <c r="B76" s="73" t="s">
        <v>810</v>
      </c>
      <c r="C76" s="73" t="s">
        <v>509</v>
      </c>
      <c r="D76" s="108"/>
      <c r="E76" s="83">
        <f>IF(VLOOKUP($B76, P:Q, 2,0) = "-", 0, VLOOKUP($B76, P:Q, 2,0))*1000</f>
        <v>1787125</v>
      </c>
      <c r="F76" s="50">
        <f>E76</f>
        <v>1787125</v>
      </c>
      <c r="G76" s="50">
        <f t="shared" ref="G76:M77" si="48">F76</f>
        <v>1787125</v>
      </c>
      <c r="H76" s="50">
        <f t="shared" si="48"/>
        <v>1787125</v>
      </c>
      <c r="I76" s="50">
        <f t="shared" si="48"/>
        <v>1787125</v>
      </c>
      <c r="J76" s="50">
        <f t="shared" si="48"/>
        <v>1787125</v>
      </c>
      <c r="K76" s="50">
        <f t="shared" si="48"/>
        <v>1787125</v>
      </c>
      <c r="L76" s="50">
        <f t="shared" si="48"/>
        <v>1787125</v>
      </c>
      <c r="M76" s="50">
        <f t="shared" si="48"/>
        <v>1787125</v>
      </c>
      <c r="P76" s="288" t="s">
        <v>495</v>
      </c>
      <c r="Q76" s="291">
        <v>151.774</v>
      </c>
      <c r="R76" s="327"/>
    </row>
    <row r="77" spans="1:18" ht="11" customHeight="1" x14ac:dyDescent="0.25">
      <c r="A77" s="2" t="str">
        <f>B9&amp;B77</f>
        <v>Continental ResourcesOther long-term liabilities</v>
      </c>
      <c r="B77" s="73" t="s">
        <v>496</v>
      </c>
      <c r="C77" s="73" t="s">
        <v>509</v>
      </c>
      <c r="D77" s="108"/>
      <c r="E77" s="83">
        <f>IF(VLOOKUP($B77, P:Q, 2,0) = "-", 0, VLOOKUP($B77, P:Q, 2,0))*1000</f>
        <v>20552</v>
      </c>
      <c r="F77" s="50">
        <f>E77</f>
        <v>20552</v>
      </c>
      <c r="G77" s="50">
        <f t="shared" si="48"/>
        <v>20552</v>
      </c>
      <c r="H77" s="50">
        <f t="shared" si="48"/>
        <v>20552</v>
      </c>
      <c r="I77" s="50">
        <f t="shared" si="48"/>
        <v>20552</v>
      </c>
      <c r="J77" s="50">
        <f t="shared" si="48"/>
        <v>20552</v>
      </c>
      <c r="K77" s="50">
        <f t="shared" si="48"/>
        <v>20552</v>
      </c>
      <c r="L77" s="50">
        <f t="shared" si="48"/>
        <v>20552</v>
      </c>
      <c r="M77" s="50">
        <f t="shared" si="48"/>
        <v>20552</v>
      </c>
      <c r="P77" s="288" t="s">
        <v>811</v>
      </c>
      <c r="Q77" s="291" t="s">
        <v>899</v>
      </c>
      <c r="R77" s="327"/>
    </row>
    <row r="78" spans="1:18" ht="11" customHeight="1" thickBot="1" x14ac:dyDescent="0.3">
      <c r="A78" s="2" t="str">
        <f>B9&amp;B78</f>
        <v>Continental ResourcesTotal liabilities</v>
      </c>
      <c r="B78" s="79" t="s">
        <v>499</v>
      </c>
      <c r="C78" s="79"/>
      <c r="D78" s="123"/>
      <c r="E78" s="86">
        <f>SUM(E72:E77)</f>
        <v>8619556</v>
      </c>
      <c r="F78" s="34">
        <f t="shared" ref="F78:M78" si="49">SUM(F72:F77)</f>
        <v>8586275.2596498597</v>
      </c>
      <c r="G78" s="34">
        <f t="shared" si="49"/>
        <v>8586275.2596498597</v>
      </c>
      <c r="H78" s="34">
        <f t="shared" si="49"/>
        <v>8586275.2596498597</v>
      </c>
      <c r="I78" s="34">
        <f t="shared" si="49"/>
        <v>8586275.2596498597</v>
      </c>
      <c r="J78" s="34">
        <f t="shared" si="49"/>
        <v>8585302.9514397141</v>
      </c>
      <c r="K78" s="34">
        <f t="shared" si="49"/>
        <v>8585302.9514397141</v>
      </c>
      <c r="L78" s="34">
        <f t="shared" si="49"/>
        <v>8585302.9514397141</v>
      </c>
      <c r="M78" s="34">
        <f t="shared" si="49"/>
        <v>8585302.9514397141</v>
      </c>
      <c r="P78" s="288" t="s">
        <v>810</v>
      </c>
      <c r="Q78" s="291">
        <v>1787.125</v>
      </c>
      <c r="R78" s="327"/>
    </row>
    <row r="79" spans="1:18" ht="11" customHeight="1" thickTop="1" x14ac:dyDescent="0.25">
      <c r="P79" s="288" t="s">
        <v>496</v>
      </c>
      <c r="Q79" s="291">
        <f>15.119+SUM(Q80:Q82)</f>
        <v>20.552</v>
      </c>
      <c r="R79" s="327"/>
    </row>
    <row r="80" spans="1:18" ht="11" customHeight="1" x14ac:dyDescent="0.25">
      <c r="A80" s="2" t="str">
        <f>B9&amp;B80</f>
        <v>Continental ResourcesNet (loss) Income cashflow</v>
      </c>
      <c r="B80" s="80" t="s">
        <v>572</v>
      </c>
      <c r="C80" s="135" t="s">
        <v>540</v>
      </c>
      <c r="D80" s="117"/>
      <c r="E80" s="83">
        <f>E49</f>
        <v>193618.25</v>
      </c>
      <c r="F80" s="50">
        <f t="shared" ref="F80:M80" si="50">F49</f>
        <v>-79917.265374812763</v>
      </c>
      <c r="G80" s="50">
        <f t="shared" si="50"/>
        <v>-450243.27902240516</v>
      </c>
      <c r="H80" s="50">
        <f t="shared" si="50"/>
        <v>-428070.60490904172</v>
      </c>
      <c r="I80" s="50">
        <f t="shared" si="50"/>
        <v>-405897.93079567829</v>
      </c>
      <c r="J80" s="50">
        <f t="shared" si="50"/>
        <v>-362280.74010038597</v>
      </c>
      <c r="K80" s="50">
        <f t="shared" si="50"/>
        <v>-339537.67293781252</v>
      </c>
      <c r="L80" s="50">
        <f t="shared" si="50"/>
        <v>-316788.8599857809</v>
      </c>
      <c r="M80" s="50">
        <f t="shared" si="50"/>
        <v>-316788.8599857809</v>
      </c>
      <c r="P80" s="296" t="s">
        <v>934</v>
      </c>
      <c r="Q80" s="297" t="s">
        <v>899</v>
      </c>
      <c r="R80" s="327"/>
    </row>
    <row r="81" spans="1:18" ht="11" customHeight="1" x14ac:dyDescent="0.25">
      <c r="A81" s="2" t="str">
        <f>B9&amp;B81</f>
        <v>Continental ResourcesChange in Net working capital</v>
      </c>
      <c r="B81" s="68" t="s">
        <v>500</v>
      </c>
      <c r="C81" s="136" t="s">
        <v>565</v>
      </c>
      <c r="D81" s="118"/>
      <c r="E81" s="83">
        <f t="shared" ref="E81:E87" si="51">IF(VLOOKUP($B81, P:Q, 2,0) = "-", 0, VLOOKUP($B81, P:Q, 2,0))*1000</f>
        <v>-14873.249999999998</v>
      </c>
      <c r="F81" s="50">
        <f>(F60-F72)-(E60-E72)</f>
        <v>-424355.1595519007</v>
      </c>
      <c r="G81" s="50">
        <f t="shared" ref="G81:M81" si="52">(G60-G72)-(F60-F72)</f>
        <v>-934194.87498365541</v>
      </c>
      <c r="H81" s="50">
        <f t="shared" si="52"/>
        <v>-399136.04351859703</v>
      </c>
      <c r="I81" s="50">
        <f t="shared" si="52"/>
        <v>-376963.36940523353</v>
      </c>
      <c r="J81" s="50">
        <f t="shared" si="52"/>
        <v>-327188.91355350614</v>
      </c>
      <c r="K81" s="50">
        <f t="shared" si="52"/>
        <v>-309874.54206179082</v>
      </c>
      <c r="L81" s="50">
        <f t="shared" si="52"/>
        <v>-287125.72910975944</v>
      </c>
      <c r="M81" s="50">
        <f t="shared" si="52"/>
        <v>-316788.8599857809</v>
      </c>
      <c r="P81" s="296" t="s">
        <v>935</v>
      </c>
      <c r="Q81" s="297">
        <v>5.4329999999999998</v>
      </c>
      <c r="R81" s="327"/>
    </row>
    <row r="82" spans="1:18" ht="11" customHeight="1" x14ac:dyDescent="0.25">
      <c r="A82" s="2" t="str">
        <f>B9&amp;B82</f>
        <v>Continental ResourcesDD&amp;A cashflow</v>
      </c>
      <c r="B82" s="68" t="s">
        <v>816</v>
      </c>
      <c r="C82" s="136" t="s">
        <v>566</v>
      </c>
      <c r="D82" s="118"/>
      <c r="E82" s="83">
        <f t="shared" si="51"/>
        <v>504926</v>
      </c>
      <c r="F82" s="365">
        <f>$E$82*F$32/$E$32</f>
        <v>478221.29243364435</v>
      </c>
      <c r="G82" s="365">
        <f t="shared" ref="G82:M82" si="53">$E$82*G$32/$E$32</f>
        <v>478221.29243364435</v>
      </c>
      <c r="H82" s="365">
        <f t="shared" si="53"/>
        <v>478221.29243364435</v>
      </c>
      <c r="I82" s="365">
        <f t="shared" si="53"/>
        <v>478221.29243364435</v>
      </c>
      <c r="J82" s="365">
        <f t="shared" si="53"/>
        <v>477441.10527004453</v>
      </c>
      <c r="K82" s="365">
        <f t="shared" si="53"/>
        <v>477441.10527004453</v>
      </c>
      <c r="L82" s="365">
        <f t="shared" si="53"/>
        <v>477441.10527004453</v>
      </c>
      <c r="M82" s="365">
        <f t="shared" si="53"/>
        <v>477441.10527004453</v>
      </c>
      <c r="P82" s="296" t="s">
        <v>936</v>
      </c>
      <c r="Q82" s="297" t="s">
        <v>899</v>
      </c>
      <c r="R82" s="327"/>
    </row>
    <row r="83" spans="1:18" ht="11" customHeight="1" x14ac:dyDescent="0.25">
      <c r="A83" s="2" t="str">
        <f>B9&amp;B83</f>
        <v>Continental ResourcesImpairment cashflow</v>
      </c>
      <c r="B83" s="68" t="s">
        <v>571</v>
      </c>
      <c r="C83" s="136" t="s">
        <v>566</v>
      </c>
      <c r="D83" s="118"/>
      <c r="E83" s="83">
        <f t="shared" si="51"/>
        <v>21550.5</v>
      </c>
      <c r="F83" s="50">
        <f>$E$83*F$31/$E$31</f>
        <v>21550.5</v>
      </c>
      <c r="G83" s="50">
        <f t="shared" ref="G83:M83" si="54">$E$83*G$31/$E$31</f>
        <v>21550.5</v>
      </c>
      <c r="H83" s="50">
        <f t="shared" si="54"/>
        <v>21550.5</v>
      </c>
      <c r="I83" s="50">
        <f t="shared" si="54"/>
        <v>21550.5</v>
      </c>
      <c r="J83" s="50">
        <f t="shared" si="54"/>
        <v>21550.5</v>
      </c>
      <c r="K83" s="50">
        <f t="shared" si="54"/>
        <v>21550.5</v>
      </c>
      <c r="L83" s="50">
        <f t="shared" si="54"/>
        <v>21550.5</v>
      </c>
      <c r="M83" s="50">
        <f t="shared" si="54"/>
        <v>21550.5</v>
      </c>
      <c r="P83" s="292" t="s">
        <v>499</v>
      </c>
      <c r="Q83" s="293">
        <f>SUM(Q74:Q79)</f>
        <v>8619.5560000000005</v>
      </c>
      <c r="R83" s="329"/>
    </row>
    <row r="84" spans="1:18" ht="11" customHeight="1" x14ac:dyDescent="0.25">
      <c r="A84" s="2" t="str">
        <f>B9&amp;B84</f>
        <v>Continental ResourcesOther non-cash items</v>
      </c>
      <c r="B84" s="68" t="s">
        <v>501</v>
      </c>
      <c r="C84" s="136" t="s">
        <v>880</v>
      </c>
      <c r="D84" s="118"/>
      <c r="E84" s="83">
        <f t="shared" si="51"/>
        <v>73700.499999999985</v>
      </c>
      <c r="F84" s="157">
        <f>$E$84+F34-$E$34</f>
        <v>73700.499999999985</v>
      </c>
      <c r="G84" s="157">
        <f t="shared" ref="G84:M84" si="55">$E$84+G34-$E$34</f>
        <v>73700.499999999985</v>
      </c>
      <c r="H84" s="157">
        <f t="shared" si="55"/>
        <v>73700.499999999985</v>
      </c>
      <c r="I84" s="157">
        <f t="shared" si="55"/>
        <v>73700.499999999985</v>
      </c>
      <c r="J84" s="157">
        <f t="shared" si="55"/>
        <v>73700.499999999985</v>
      </c>
      <c r="K84" s="157">
        <f t="shared" si="55"/>
        <v>73700.499999999985</v>
      </c>
      <c r="L84" s="157">
        <f t="shared" si="55"/>
        <v>73700.499999999985</v>
      </c>
      <c r="M84" s="157">
        <f t="shared" si="55"/>
        <v>73700.499999999985</v>
      </c>
      <c r="P84" s="298"/>
      <c r="Q84" s="295"/>
      <c r="R84" s="327"/>
    </row>
    <row r="85" spans="1:18" ht="11" customHeight="1" x14ac:dyDescent="0.25">
      <c r="A85" s="2" t="str">
        <f>B9&amp;B85</f>
        <v>Continental ResourcesDry hole cashflow</v>
      </c>
      <c r="B85" s="68" t="s">
        <v>817</v>
      </c>
      <c r="C85" s="136" t="s">
        <v>567</v>
      </c>
      <c r="D85" s="118"/>
      <c r="E85" s="83">
        <f t="shared" si="51"/>
        <v>0</v>
      </c>
      <c r="F85" s="50">
        <f>IF($E$85&gt;0, $E$85*F39/$E$39,0)</f>
        <v>0</v>
      </c>
      <c r="G85" s="50">
        <f t="shared" ref="G85:M85" si="56">IF($E$85&gt;0, $E$85*G39/$E$39,0)</f>
        <v>0</v>
      </c>
      <c r="H85" s="50">
        <f t="shared" si="56"/>
        <v>0</v>
      </c>
      <c r="I85" s="50">
        <f t="shared" si="56"/>
        <v>0</v>
      </c>
      <c r="J85" s="50">
        <f t="shared" si="56"/>
        <v>0</v>
      </c>
      <c r="K85" s="50">
        <f t="shared" si="56"/>
        <v>0</v>
      </c>
      <c r="L85" s="50">
        <f t="shared" si="56"/>
        <v>0</v>
      </c>
      <c r="M85" s="50">
        <f t="shared" si="56"/>
        <v>0</v>
      </c>
      <c r="P85" s="299" t="s">
        <v>458</v>
      </c>
      <c r="Q85" s="291"/>
      <c r="R85" s="327"/>
    </row>
    <row r="86" spans="1:18" ht="11" customHeight="1" x14ac:dyDescent="0.25">
      <c r="A86" s="2" t="str">
        <f>B9&amp;B86</f>
        <v>Continental Resourcesmarket to market contracts</v>
      </c>
      <c r="B86" s="68" t="s">
        <v>562</v>
      </c>
      <c r="C86" s="158" t="s">
        <v>507</v>
      </c>
      <c r="D86" s="118"/>
      <c r="E86" s="83">
        <f t="shared" si="51"/>
        <v>0</v>
      </c>
      <c r="F86" s="50">
        <f>E86</f>
        <v>0</v>
      </c>
      <c r="G86" s="50">
        <f t="shared" ref="G86:M86" si="57">F86</f>
        <v>0</v>
      </c>
      <c r="H86" s="50">
        <f t="shared" si="57"/>
        <v>0</v>
      </c>
      <c r="I86" s="50">
        <f t="shared" si="57"/>
        <v>0</v>
      </c>
      <c r="J86" s="50">
        <f t="shared" si="57"/>
        <v>0</v>
      </c>
      <c r="K86" s="50">
        <f t="shared" si="57"/>
        <v>0</v>
      </c>
      <c r="L86" s="50">
        <f t="shared" si="57"/>
        <v>0</v>
      </c>
      <c r="M86" s="50">
        <f t="shared" si="57"/>
        <v>0</v>
      </c>
      <c r="P86" s="292" t="s">
        <v>572</v>
      </c>
      <c r="Q86" s="293">
        <f>Q43</f>
        <v>193.61825000000007</v>
      </c>
      <c r="R86" s="329"/>
    </row>
    <row r="87" spans="1:18" ht="11" customHeight="1" x14ac:dyDescent="0.25">
      <c r="A87" s="2" t="str">
        <f>B9&amp;B87</f>
        <v>Continental ResourcesCash flow from operations</v>
      </c>
      <c r="B87" s="142" t="s">
        <v>502</v>
      </c>
      <c r="C87" s="143" t="s">
        <v>540</v>
      </c>
      <c r="D87" s="118" t="str">
        <f>IF(SUM(E80:E86) = E87, "same", "wrong")</f>
        <v>same</v>
      </c>
      <c r="E87" s="83">
        <f t="shared" si="51"/>
        <v>778922</v>
      </c>
      <c r="F87" s="62">
        <f>SUM(F80:F86)</f>
        <v>69199.867506930881</v>
      </c>
      <c r="G87" s="62">
        <f t="shared" ref="G87:M87" si="58">SUM(G80:G86)</f>
        <v>-810965.86157241627</v>
      </c>
      <c r="H87" s="62">
        <f>SUM(H80:H86)</f>
        <v>-253734.35599399434</v>
      </c>
      <c r="I87" s="62">
        <f t="shared" si="58"/>
        <v>-209389.00776726747</v>
      </c>
      <c r="J87" s="62">
        <f t="shared" si="58"/>
        <v>-116777.54838384759</v>
      </c>
      <c r="K87" s="62">
        <f t="shared" si="58"/>
        <v>-76720.109729558826</v>
      </c>
      <c r="L87" s="62">
        <f t="shared" si="58"/>
        <v>-31222.48382549583</v>
      </c>
      <c r="M87" s="62">
        <f t="shared" si="58"/>
        <v>-60885.61470151729</v>
      </c>
      <c r="P87" s="288" t="s">
        <v>500</v>
      </c>
      <c r="Q87" s="291">
        <f>(-33.619-21.204-4.459-36.359+69.195-36.467+3.42)/4</f>
        <v>-14.873249999999999</v>
      </c>
      <c r="R87" s="327"/>
    </row>
    <row r="88" spans="1:18" ht="11" customHeight="1" x14ac:dyDescent="0.25">
      <c r="A88" s="2" t="str">
        <f>B9&amp;B88</f>
        <v>Continental ResourcesCapex</v>
      </c>
      <c r="B88" s="68" t="s">
        <v>277</v>
      </c>
      <c r="C88" s="73" t="s">
        <v>534</v>
      </c>
      <c r="D88" s="118"/>
      <c r="E88" s="83">
        <f>IF($B$2="A3",SUMIFS('$33Econ'!$H$8:$H$8001,'$33Econ'!$A$8:$A$8001,$B$9,'$33Econ'!$G$8:$G$8001,$B88)*1000/4,SUMIFS('$22Econ'!$H$8:$H$8001,'$22Econ'!$A$8:$A$8001,$B$9,'$22Econ'!$G$8:$G$8001,$B88)*1000/4)</f>
        <v>561166.58750000002</v>
      </c>
      <c r="F88" s="50">
        <f>IF($B$2="A3",SUMIFS('$33Econ'!$I$8:$I$8001,'$33Econ'!$A$8:$A$8001,$B$9,'$33Econ'!$G$8:$G$8001,$B88)*1000/4,SUMIFS('$22Econ'!$I$8:$I$8001,'$22Econ'!$A$8:$A$8001,$B$9,'$22Econ'!$G$8:$G$8001,$B88)*1000/4)</f>
        <v>189859.39200000002</v>
      </c>
      <c r="G88" s="50">
        <f>IF($B$2="A3",SUMIFS('$33Econ'!$I$8:$I$8001,'$33Econ'!$A$8:$A$8001,$B$9,'$33Econ'!$G$8:$G$8001,$B88)*1000/4,SUMIFS('$22Econ'!$I$8:$I$8001,'$22Econ'!$A$8:$A$8001,$B$9,'$22Econ'!$G$8:$G$8001,$B88)*1000/4)</f>
        <v>189859.39200000002</v>
      </c>
      <c r="H88" s="50">
        <f>IF($B$2="A3",SUMIFS('$33Econ'!$I$8:$I$8001,'$33Econ'!$A$8:$A$8001,$B$9,'$33Econ'!$G$8:$G$8001,$B88)*1000/4,SUMIFS('$22Econ'!$I$8:$I$8001,'$22Econ'!$A$8:$A$8001,$B$9,'$22Econ'!$G$8:$G$8001,$B88)*1000/4)</f>
        <v>189859.39200000002</v>
      </c>
      <c r="I88" s="50">
        <f>IF($B$2="A3",SUMIFS('$33Econ'!$I$8:$I$8001,'$33Econ'!$A$8:$A$8001,$B$9,'$33Econ'!$G$8:$G$8001,$B88)*1000/4,SUMIFS('$22Econ'!$I$8:$I$8001,'$22Econ'!$A$8:$A$8001,$B$9,'$22Econ'!$G$8:$G$8001,$B88)*1000/4)</f>
        <v>189859.39200000002</v>
      </c>
      <c r="J88" s="50">
        <f>IF($B$2="A3",SUMIFS('$33Econ'!$J$8:$J$8001,'$33Econ'!$A$8:$A$8001,$B$9,'$33Econ'!$G$8:$G$8001,$B88)*1000/4,SUMIFS('$22Econ'!$J$8:$J$8001,'$22Econ'!$A$8:$A$8001,$B$9,'$22Econ'!$G$8:$G$8001,$B88)*1000/4)</f>
        <v>37952.762499999997</v>
      </c>
      <c r="K88" s="50">
        <f t="shared" ref="K88:M88" si="59">J88</f>
        <v>37952.762499999997</v>
      </c>
      <c r="L88" s="50">
        <f t="shared" si="59"/>
        <v>37952.762499999997</v>
      </c>
      <c r="M88" s="50">
        <f t="shared" si="59"/>
        <v>37952.762499999997</v>
      </c>
      <c r="P88" s="300" t="s">
        <v>816</v>
      </c>
      <c r="Q88" s="301">
        <f>2019.704/4</f>
        <v>504.92599999999999</v>
      </c>
      <c r="R88" s="329"/>
    </row>
    <row r="89" spans="1:18" ht="11" customHeight="1" x14ac:dyDescent="0.25">
      <c r="A89" s="2" t="str">
        <f>B9&amp;B89</f>
        <v>Continental ResourcesExploration Capex</v>
      </c>
      <c r="B89" s="68" t="s">
        <v>278</v>
      </c>
      <c r="C89" s="73" t="s">
        <v>534</v>
      </c>
      <c r="D89" s="118"/>
      <c r="E89" s="83">
        <f>IF($B$2="A3",SUMIFS('$33Econ'!$H$8:$H$8001,'$33Econ'!$A$8:$A$8001,$B$9,'$33Econ'!$G$8:$G$8001,$B89)*1000/4,SUMIFS('$22Econ'!$H$8:$H$8001,'$22Econ'!$A$8:$A$8001,$B$9,'$22Econ'!$G$8:$G$8001,$B89)*1000/4)</f>
        <v>48515.8675</v>
      </c>
      <c r="F89" s="33">
        <f>(1-INDEX(Assumptions!$A$2:$K$596,MATCH($B9&amp;"Capex reduction",Assumptions!$A$2:$A$596,0),MATCH(F$2,Assumptions!$A$2:$K$2,0))) *IF($B$2="A3",SUMIFS('$33Econ'!$I$8:$I$8001,'$33Econ'!$A$8:$A$8001,$B$9,'$33Econ'!$G$8:$G$8001,$B89)*1000/4,SUMIFS('$22Econ'!$I$8:$I$8001,'$22Econ'!$A$8:$A$8001,$B$9,'$22Econ'!$G$8:$G$8001,$B89)*1000/4)</f>
        <v>30332.127500000002</v>
      </c>
      <c r="G89" s="33">
        <f>(1-INDEX(Assumptions!$A$2:$K$596,MATCH($B9&amp;"Capex reduction",Assumptions!$A$2:$A$596,0),MATCH(G$2,Assumptions!$A$2:$K$2,0))) *IF($B$2="A3",SUMIFS('$33Econ'!$I$8:$I$8001,'$33Econ'!$A$8:$A$8001,$B$9,'$33Econ'!$G$8:$G$8001,$B89)*1000/4,SUMIFS('$22Econ'!$I$8:$I$8001,'$22Econ'!$A$8:$A$8001,$B$9,'$22Econ'!$G$8:$G$8001,$B89)*1000/4)</f>
        <v>30332.127500000002</v>
      </c>
      <c r="H89" s="33">
        <f>(1-INDEX(Assumptions!$A$2:$K$596,MATCH($B9&amp;"Capex reduction",Assumptions!$A$2:$A$596,0),MATCH(H$2,Assumptions!$A$2:$K$2,0))) *IF($B$2="A3",SUMIFS('$33Econ'!$I$8:$I$8001,'$33Econ'!$A$8:$A$8001,$B$9,'$33Econ'!$G$8:$G$8001,$B89)*1000/4,SUMIFS('$22Econ'!$I$8:$I$8001,'$22Econ'!$A$8:$A$8001,$B$9,'$22Econ'!$G$8:$G$8001,$B89)*1000/4)</f>
        <v>30332.127500000002</v>
      </c>
      <c r="I89" s="33">
        <f>(1-INDEX(Assumptions!$A$2:$K$596,MATCH($B9&amp;"Capex reduction",Assumptions!$A$2:$A$596,0),MATCH(I$2,Assumptions!$A$2:$K$2,0))) *IF($B$2="A3",SUMIFS('$33Econ'!$I$8:$I$8001,'$33Econ'!$A$8:$A$8001,$B$9,'$33Econ'!$G$8:$G$8001,$B89)*1000/4,SUMIFS('$22Econ'!$I$8:$I$8001,'$22Econ'!$A$8:$A$8001,$B$9,'$22Econ'!$G$8:$G$8001,$B89)*1000/4)</f>
        <v>30332.127500000002</v>
      </c>
      <c r="J89" s="33">
        <f>(1-INDEX(Assumptions!$A$2:$K$596,MATCH($B9&amp;"Capex reduction",Assumptions!$A$2:$A$596,0),MATCH(J$2,Assumptions!$A$2:$K$2,0))) *IF($B$2="A3",SUMIFS('$33Econ'!$J$8:$J$8001,'$33Econ'!$A$8:$A$8001,$B$9,'$33Econ'!$G$8:$G$8001,$B89)*1000/4,SUMIFS('$22Econ'!$J$8:$J$8001,'$22Econ'!$A$8:$A$8001,$B$9,'$22Econ'!$G$8:$G$8001,$B89)*1000/4)</f>
        <v>27724.644749999996</v>
      </c>
      <c r="K89" s="33">
        <f>(1-INDEX(Assumptions!$A$2:$K$596,MATCH($B9&amp;"Capex reduction",Assumptions!$A$2:$A$596,0),MATCH(K$2,Assumptions!$A$2:$K$2,0))) *IF($B$2="A3",SUMIFS('$33Econ'!$J$8:$J$8001,'$33Econ'!$A$8:$A$8001,$B$9,'$33Econ'!$G$8:$G$8001,$B89)*1000/4,SUMIFS('$22Econ'!$J$8:$J$8001,'$22Econ'!$A$8:$A$8001,$B$9,'$22Econ'!$G$8:$G$8001,$B89)*1000/4)</f>
        <v>27724.644749999996</v>
      </c>
      <c r="L89" s="33">
        <f>(1-INDEX(Assumptions!$A$2:$K$596,MATCH($B9&amp;"Capex reduction",Assumptions!$A$2:$A$596,0),MATCH(L$2,Assumptions!$A$2:$K$2,0))) *IF($B$2="A3",SUMIFS('$33Econ'!$J$8:$J$8001,'$33Econ'!$A$8:$A$8001,$B$9,'$33Econ'!$G$8:$G$8001,$B89)*1000/4,SUMIFS('$22Econ'!$J$8:$J$8001,'$22Econ'!$A$8:$A$8001,$B$9,'$22Econ'!$G$8:$G$8001,$B89)*1000/4)</f>
        <v>27724.644749999996</v>
      </c>
      <c r="M89" s="33">
        <f>(1-INDEX(Assumptions!$A$2:$K$596,MATCH($B9&amp;"Capex reduction",Assumptions!$A$2:$A$596,0),MATCH(M$2,Assumptions!$A$2:$K$2,0))) *IF($B$2="A3",SUMIFS('$33Econ'!$J$8:$J$8001,'$33Econ'!$A$8:$A$8001,$B$9,'$33Econ'!$G$8:$G$8001,$B89)*1000/4,SUMIFS('$22Econ'!$J$8:$J$8001,'$22Econ'!$A$8:$A$8001,$B$9,'$22Econ'!$G$8:$G$8001,$B89)*1000/4)</f>
        <v>27724.644749999996</v>
      </c>
      <c r="P89" s="300" t="s">
        <v>571</v>
      </c>
      <c r="Q89" s="301">
        <f t="shared" ref="Q89" si="60">Q15</f>
        <v>21.5505</v>
      </c>
      <c r="R89" s="329"/>
    </row>
    <row r="90" spans="1:18" ht="11" customHeight="1" thickBot="1" x14ac:dyDescent="0.3">
      <c r="A90" s="2" t="str">
        <f>B9&amp;B90</f>
        <v>Continental ResourcesFree Cash Flow (FCF)</v>
      </c>
      <c r="B90" s="69" t="s">
        <v>458</v>
      </c>
      <c r="C90" s="69" t="s">
        <v>512</v>
      </c>
      <c r="D90" s="119"/>
      <c r="E90" s="86">
        <f>SUM(E87:E89)</f>
        <v>1388604.4549999998</v>
      </c>
      <c r="F90" s="34">
        <f>SUM(F87:F89)</f>
        <v>289391.38700693089</v>
      </c>
      <c r="G90" s="34">
        <f t="shared" ref="G90:M90" si="61">SUM(G87:G89)</f>
        <v>-590774.34207241633</v>
      </c>
      <c r="H90" s="34">
        <f t="shared" si="61"/>
        <v>-33542.836493994313</v>
      </c>
      <c r="I90" s="34">
        <f t="shared" si="61"/>
        <v>10802.511732732557</v>
      </c>
      <c r="J90" s="34">
        <f t="shared" si="61"/>
        <v>-51100.141133847603</v>
      </c>
      <c r="K90" s="34">
        <f t="shared" si="61"/>
        <v>-11042.702479558833</v>
      </c>
      <c r="L90" s="34">
        <f t="shared" si="61"/>
        <v>34454.923424504159</v>
      </c>
      <c r="M90" s="34">
        <f t="shared" si="61"/>
        <v>4791.7925484827028</v>
      </c>
      <c r="P90" s="288" t="s">
        <v>501</v>
      </c>
      <c r="Q90" s="291">
        <f>(15.612+52.044+10.408+212.689-0.535+4.584)/4</f>
        <v>73.700499999999991</v>
      </c>
      <c r="R90" s="327"/>
    </row>
    <row r="91" spans="1:18" ht="11" customHeight="1" thickTop="1" x14ac:dyDescent="0.25">
      <c r="I91" s="154"/>
      <c r="M91" s="154"/>
      <c r="P91" s="296" t="s">
        <v>817</v>
      </c>
      <c r="Q91" s="297" t="s">
        <v>899</v>
      </c>
      <c r="R91" s="327"/>
    </row>
    <row r="92" spans="1:18" ht="11" customHeight="1" x14ac:dyDescent="0.25">
      <c r="A92" s="2" t="str">
        <f>B9&amp;B92</f>
        <v>Continental ResourcesEBITDA</v>
      </c>
      <c r="B92" s="80" t="s">
        <v>428</v>
      </c>
      <c r="C92" s="144" t="s">
        <v>540</v>
      </c>
      <c r="D92" s="117"/>
      <c r="E92" s="83">
        <f>(E29-E41)+E32</f>
        <v>818698.75</v>
      </c>
      <c r="F92" s="50">
        <f>(F29-F41)+F32</f>
        <v>461238.94634998561</v>
      </c>
      <c r="G92" s="50">
        <f t="shared" ref="G92:M92" si="62">(G29-G41)+G32</f>
        <v>-10457.246531865327</v>
      </c>
      <c r="H92" s="50">
        <f t="shared" si="62"/>
        <v>17804.579668784747</v>
      </c>
      <c r="I92" s="50">
        <f t="shared" si="62"/>
        <v>46066.405869434762</v>
      </c>
      <c r="J92" s="50">
        <f t="shared" si="62"/>
        <v>80005.526053484937</v>
      </c>
      <c r="K92" s="50">
        <f t="shared" si="62"/>
        <v>109001.71273959696</v>
      </c>
      <c r="L92" s="50">
        <f t="shared" si="62"/>
        <v>137997.89942570915</v>
      </c>
      <c r="M92" s="50">
        <f t="shared" si="62"/>
        <v>137997.89942570915</v>
      </c>
      <c r="P92" s="296" t="s">
        <v>562</v>
      </c>
      <c r="Q92" s="297" t="s">
        <v>899</v>
      </c>
      <c r="R92" s="327"/>
    </row>
    <row r="93" spans="1:18" ht="11" customHeight="1" x14ac:dyDescent="0.25">
      <c r="A93" s="2" t="str">
        <f>B9&amp;B93</f>
        <v>Continental ResourcesExploration capex</v>
      </c>
      <c r="B93" s="68" t="s">
        <v>519</v>
      </c>
      <c r="C93" s="68" t="s">
        <v>534</v>
      </c>
      <c r="D93" s="118"/>
      <c r="E93" s="83">
        <f>E89</f>
        <v>48515.8675</v>
      </c>
      <c r="F93" s="157">
        <f t="shared" ref="F93:M93" si="63">F89</f>
        <v>30332.127500000002</v>
      </c>
      <c r="G93" s="157">
        <f t="shared" si="63"/>
        <v>30332.127500000002</v>
      </c>
      <c r="H93" s="157">
        <f t="shared" si="63"/>
        <v>30332.127500000002</v>
      </c>
      <c r="I93" s="157">
        <f t="shared" si="63"/>
        <v>30332.127500000002</v>
      </c>
      <c r="J93" s="157">
        <f t="shared" si="63"/>
        <v>27724.644749999996</v>
      </c>
      <c r="K93" s="157">
        <f t="shared" si="63"/>
        <v>27724.644749999996</v>
      </c>
      <c r="L93" s="157">
        <f t="shared" si="63"/>
        <v>27724.644749999996</v>
      </c>
      <c r="M93" s="157">
        <f t="shared" si="63"/>
        <v>27724.644749999996</v>
      </c>
      <c r="P93" s="288" t="s">
        <v>502</v>
      </c>
      <c r="Q93" s="291">
        <f>3115.688/4</f>
        <v>778.92200000000003</v>
      </c>
      <c r="R93" s="327"/>
    </row>
    <row r="94" spans="1:18" ht="11" customHeight="1" x14ac:dyDescent="0.25">
      <c r="A94" s="2" t="str">
        <f>B9&amp;B94</f>
        <v>Continental ResourcesEBITDAX</v>
      </c>
      <c r="B94" s="90" t="s">
        <v>459</v>
      </c>
      <c r="C94" s="90" t="s">
        <v>512</v>
      </c>
      <c r="D94" s="125"/>
      <c r="E94" s="63">
        <f>SUM(E92:E93)</f>
        <v>867214.61750000005</v>
      </c>
      <c r="F94" s="62">
        <f t="shared" ref="F94:M94" si="64">SUM(F92:F93)</f>
        <v>491571.07384998561</v>
      </c>
      <c r="G94" s="62">
        <f t="shared" si="64"/>
        <v>19874.880968134676</v>
      </c>
      <c r="H94" s="62">
        <f t="shared" si="64"/>
        <v>48136.707168784749</v>
      </c>
      <c r="I94" s="62">
        <f t="shared" si="64"/>
        <v>76398.533369434765</v>
      </c>
      <c r="J94" s="62">
        <f t="shared" si="64"/>
        <v>107730.17080348493</v>
      </c>
      <c r="K94" s="62">
        <f t="shared" si="64"/>
        <v>136726.35748959697</v>
      </c>
      <c r="L94" s="62">
        <f t="shared" si="64"/>
        <v>165722.54417570916</v>
      </c>
      <c r="M94" s="62">
        <f t="shared" si="64"/>
        <v>165722.54417570916</v>
      </c>
      <c r="P94" s="288" t="s">
        <v>277</v>
      </c>
      <c r="Q94" s="291">
        <f>(51.558+25.983)/4</f>
        <v>19.385249999999999</v>
      </c>
      <c r="R94" s="327"/>
    </row>
    <row r="95" spans="1:18" ht="11" customHeight="1" x14ac:dyDescent="0.25">
      <c r="A95" s="53" t="str">
        <f>B9&amp;B95</f>
        <v>Continental ResourcesDebt/EBITDAX</v>
      </c>
      <c r="B95" s="310" t="s">
        <v>947</v>
      </c>
      <c r="C95" s="310" t="s">
        <v>512</v>
      </c>
      <c r="D95" s="123"/>
      <c r="E95" s="120">
        <f>(E73+E68)/(E94*4)</f>
        <v>1.7162253956126379</v>
      </c>
      <c r="F95" s="121"/>
      <c r="G95" s="121"/>
      <c r="H95" s="121"/>
      <c r="I95" s="121">
        <f>(AVERAGE(F73:I73)+AVERAGE(F68:I68))/SUM(F92:I92)</f>
        <v>11.503024132771937</v>
      </c>
      <c r="J95" s="121"/>
      <c r="K95" s="121"/>
      <c r="L95" s="121"/>
      <c r="M95" s="121">
        <f>(AVERAGE(J73:M73)+AVERAGE(J68:M68))/SUM(J92:M92)</f>
        <v>12.729142548021208</v>
      </c>
      <c r="Q95" s="291">
        <f>2783.149/4</f>
        <v>695.78724999999997</v>
      </c>
      <c r="R95" s="327"/>
    </row>
    <row r="96" spans="1:18" s="49" customFormat="1" ht="11" customHeight="1" x14ac:dyDescent="0.25">
      <c r="D96" s="124"/>
      <c r="P96" s="288" t="s">
        <v>278</v>
      </c>
      <c r="Q96" s="301">
        <f t="shared" ref="Q96" si="65">SUM(Q93:Q95)</f>
        <v>1494.0945000000002</v>
      </c>
      <c r="R96" s="329"/>
    </row>
    <row r="97" spans="1:18" ht="11" customHeight="1" x14ac:dyDescent="0.25">
      <c r="A97" s="2" t="str">
        <f>B9&amp;B97</f>
        <v>Continental ResourcesCash dividends paid</v>
      </c>
      <c r="B97" s="91" t="s">
        <v>521</v>
      </c>
      <c r="C97" s="53" t="s">
        <v>546</v>
      </c>
      <c r="D97" s="122"/>
      <c r="E97" s="408">
        <f>IF(VLOOKUP($B97, P:Q, 2,0) = "-", 0, VLOOKUP($B97, P:Q, 2,0))*1000</f>
        <v>-4595</v>
      </c>
      <c r="F97" s="409">
        <f>E97*(1-INDEX(Assumptions!$A$2:$K$596,MATCH($B9&amp;"Dividend reduction",Assumptions!$A$2:$A$596,0),MATCH(F$2,Assumptions!$A$2:$K$2,0)))</f>
        <v>-4595</v>
      </c>
      <c r="G97" s="409">
        <f>F97*(1-INDEX(Assumptions!$A$2:$K$596,MATCH($B9&amp;"Dividend reduction",Assumptions!$A$2:$A$596,0),MATCH(G$2,Assumptions!$A$2:$K$2,0)))</f>
        <v>-4595</v>
      </c>
      <c r="H97" s="409">
        <f>G97*(1-INDEX(Assumptions!$A$2:$K$596,MATCH($B9&amp;"Dividend reduction",Assumptions!$A$2:$A$596,0),MATCH(H$2,Assumptions!$A$2:$K$2,0)))</f>
        <v>-4595</v>
      </c>
      <c r="I97" s="409">
        <f>H97*(1-INDEX(Assumptions!$A$2:$K$596,MATCH($B9&amp;"Dividend reduction",Assumptions!$A$2:$A$596,0),MATCH(I$2,Assumptions!$A$2:$K$2,0)))</f>
        <v>-4595</v>
      </c>
      <c r="J97" s="409">
        <f>I97*(1-INDEX(Assumptions!$A$2:$K$596,MATCH($B9&amp;"Dividend reduction",Assumptions!$A$2:$A$596,0),MATCH(J$2,Assumptions!$A$2:$K$2,0)))</f>
        <v>-4595</v>
      </c>
      <c r="K97" s="409">
        <f>J97*(1-INDEX(Assumptions!$A$2:$K$596,MATCH($B9&amp;"Dividend reduction",Assumptions!$A$2:$A$596,0),MATCH(K$2,Assumptions!$A$2:$K$2,0)))</f>
        <v>-4595</v>
      </c>
      <c r="L97" s="409">
        <f>K97*(1-INDEX(Assumptions!$A$2:$K$596,MATCH($B9&amp;"Dividend reduction",Assumptions!$A$2:$A$596,0),MATCH(L$2,Assumptions!$A$2:$K$2,0)))</f>
        <v>-4595</v>
      </c>
      <c r="M97" s="409">
        <f>L97*(1-INDEX(Assumptions!$A$2:$K$596,MATCH($B9&amp;"Dividend reduction",Assumptions!$A$2:$A$596,0),MATCH(M$2,Assumptions!$A$2:$K$2,0)))</f>
        <v>-4595</v>
      </c>
      <c r="P97" s="300" t="s">
        <v>458</v>
      </c>
      <c r="Q97" s="291"/>
      <c r="R97" s="327"/>
    </row>
    <row r="98" spans="1:18" ht="11" customHeight="1" x14ac:dyDescent="0.25">
      <c r="P98" s="288"/>
      <c r="Q98" s="301" t="s">
        <v>899</v>
      </c>
      <c r="R98" s="329"/>
    </row>
    <row r="99" spans="1:18" ht="11" customHeight="1" x14ac:dyDescent="0.25">
      <c r="A99" s="2" t="str">
        <f>B9&amp;B99</f>
        <v>Continental ResourcesOhlson's O-Score</v>
      </c>
      <c r="B99" s="80" t="s">
        <v>427</v>
      </c>
      <c r="C99" s="80" t="s">
        <v>512</v>
      </c>
      <c r="D99" s="117"/>
      <c r="E99" s="130"/>
      <c r="F99" s="130"/>
      <c r="G99" s="130"/>
      <c r="H99" s="130"/>
      <c r="I99" s="99">
        <f>-1.32-0.407*(LN($I66*1000/(36.32+2.11*'Quarterly Forecasts'!$K$15)))+6.03*($I78/$I66)-1.43*(($I60-$I72)/$I66)+0.0757*($I72/$I60)-2.37*(SUM($F49:$I49)/$I66)-1.83*(SUM($F92:$I92)/$I78)+0.285*(IF(AND(SUM($F49:$I49)&lt;0,($E49*4)&lt;0),1,0))-0.521*((SUM($F49:$I49)-($E49*4))/(ABS(SUM($F49:$I49))+ABS($E49*4)))-1.72*(IF($I78&gt;$I66,1,0))</f>
        <v>-3.6230310759909852</v>
      </c>
      <c r="J99" s="130"/>
      <c r="K99" s="130"/>
      <c r="L99" s="130"/>
      <c r="M99" s="99">
        <f>-1.32-0.407*(LN($M66*1000/(36.32+2.11*'Quarterly Forecasts'!$K$15)))+6.03*($M78/$M66)-1.43*(($M60-$M72)/$M66)+0.0757*($M72/$M60)-2.37*(SUM($J49:$M49)/$M66)-1.83*(SUM($J92:$M92)/$M78)+0.285*(IF(AND(SUM($J49:$M49)&lt;0,(SUM($F49:$I49))&lt;0),1,0))-0.521*((SUM($J49:$M49)-(SUM($F49:$I49)))/(ABS(SUM($J49:$M49))+ABS(SUM($F49:$I49))))-1.72*(IF($M78&gt;$M66,1,0))</f>
        <v>-3.1858777812442058</v>
      </c>
      <c r="P99" s="300" t="s">
        <v>428</v>
      </c>
      <c r="Q99" s="301">
        <f t="shared" ref="Q99" si="66">Q95</f>
        <v>695.78724999999997</v>
      </c>
      <c r="R99" s="329"/>
    </row>
    <row r="100" spans="1:18" ht="11" customHeight="1" thickBot="1" x14ac:dyDescent="0.3">
      <c r="A100" s="2" t="str">
        <f>B9&amp;B100</f>
        <v>Continental ResourcesProbability of default (PD)</v>
      </c>
      <c r="B100" s="81" t="s">
        <v>504</v>
      </c>
      <c r="C100" s="98" t="s">
        <v>512</v>
      </c>
      <c r="D100" s="110"/>
      <c r="E100" s="131"/>
      <c r="F100" s="131"/>
      <c r="G100" s="131"/>
      <c r="H100" s="131"/>
      <c r="I100" s="126">
        <f>EXP(I99)/(1+EXP(I99))</f>
        <v>2.6007185122319035E-2</v>
      </c>
      <c r="J100" s="131"/>
      <c r="K100" s="131"/>
      <c r="L100" s="131"/>
      <c r="M100" s="126">
        <f>EXP(M99)/(1+EXP(M99))</f>
        <v>3.9700639217345797E-2</v>
      </c>
      <c r="P100" s="300" t="s">
        <v>519</v>
      </c>
      <c r="Q100" s="301" t="s">
        <v>899</v>
      </c>
      <c r="R100" s="329"/>
    </row>
    <row r="101" spans="1:18" ht="11" customHeight="1" thickTop="1" x14ac:dyDescent="0.25">
      <c r="P101" s="300" t="s">
        <v>459</v>
      </c>
      <c r="Q101" s="291"/>
      <c r="R101" s="327"/>
    </row>
    <row r="102" spans="1:18" ht="11" customHeight="1" thickBot="1" x14ac:dyDescent="0.3">
      <c r="P102" s="288"/>
      <c r="Q102" s="303"/>
      <c r="R102" s="327"/>
    </row>
    <row r="103" spans="1:18" ht="11" customHeight="1" thickBot="1" x14ac:dyDescent="0.3">
      <c r="P103" s="302" t="s">
        <v>521</v>
      </c>
      <c r="Q103" s="303">
        <f>-18.38/4</f>
        <v>-4.5949999999999998</v>
      </c>
    </row>
  </sheetData>
  <conditionalFormatting sqref="D8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837DF-8D73-4500-ACB0-00F1605312C4}">
  <dimension ref="A1:R103"/>
  <sheetViews>
    <sheetView showGridLines="0" zoomScale="103" zoomScaleNormal="130" workbookViewId="0">
      <pane xSplit="2" ySplit="2" topLeftCell="G89" activePane="bottomRight" state="frozen"/>
      <selection activeCell="I95" sqref="I95"/>
      <selection pane="topRight" activeCell="I95" sqref="I95"/>
      <selection pane="bottomLeft" activeCell="I95" sqref="I95"/>
      <selection pane="bottomRight" activeCell="I95" sqref="I95"/>
    </sheetView>
  </sheetViews>
  <sheetFormatPr defaultColWidth="8.81640625" defaultRowHeight="11" customHeight="1" x14ac:dyDescent="0.25"/>
  <cols>
    <col min="1" max="1" width="9.6328125" style="2" customWidth="1"/>
    <col min="2" max="2" width="28.6328125" style="2" customWidth="1"/>
    <col min="3" max="3" width="35.453125" style="2" customWidth="1"/>
    <col min="4" max="4" width="9" style="113" bestFit="1" customWidth="1"/>
    <col min="5" max="5" width="10.453125" style="2" bestFit="1" customWidth="1"/>
    <col min="6" max="6" width="12.1796875" style="2" customWidth="1"/>
    <col min="7" max="13" width="10.453125" style="2" customWidth="1"/>
    <col min="14" max="15" width="8.81640625" style="2" customWidth="1"/>
    <col min="16" max="16" width="40.90625" style="2" customWidth="1"/>
    <col min="17" max="17" width="20.7265625" style="304" customWidth="1"/>
    <col min="18" max="18" width="11.08984375" style="8" customWidth="1"/>
    <col min="19" max="16384" width="8.81640625" style="2"/>
  </cols>
  <sheetData>
    <row r="1" spans="1:18" ht="11" customHeight="1" x14ac:dyDescent="0.25">
      <c r="E1" s="2" t="str">
        <f>LEFT(E2,4)</f>
        <v>2019</v>
      </c>
      <c r="F1" s="2" t="str">
        <f t="shared" ref="F1:M1" si="0">LEFT(F2,4)</f>
        <v>2020</v>
      </c>
      <c r="G1" s="2" t="str">
        <f t="shared" si="0"/>
        <v>2020</v>
      </c>
      <c r="H1" s="2" t="str">
        <f t="shared" si="0"/>
        <v>2020</v>
      </c>
      <c r="I1" s="2" t="str">
        <f t="shared" si="0"/>
        <v>2020</v>
      </c>
      <c r="J1" s="2" t="str">
        <f t="shared" si="0"/>
        <v>2021</v>
      </c>
      <c r="K1" s="2" t="str">
        <f t="shared" si="0"/>
        <v>2021</v>
      </c>
      <c r="L1" s="2" t="str">
        <f t="shared" si="0"/>
        <v>2021</v>
      </c>
      <c r="M1" s="2" t="str">
        <f t="shared" si="0"/>
        <v>2021</v>
      </c>
      <c r="P1" s="286" t="e">
        <f>#REF!</f>
        <v>#REF!</v>
      </c>
      <c r="Q1" s="287" t="s">
        <v>268</v>
      </c>
    </row>
    <row r="2" spans="1:18" ht="11" customHeight="1" x14ac:dyDescent="0.25">
      <c r="B2" s="2" t="s">
        <v>439</v>
      </c>
      <c r="C2" s="2" t="s">
        <v>517</v>
      </c>
      <c r="D2" s="113" t="s">
        <v>524</v>
      </c>
      <c r="E2" s="67" t="s">
        <v>413</v>
      </c>
      <c r="F2" s="67" t="s">
        <v>414</v>
      </c>
      <c r="G2" s="67" t="s">
        <v>415</v>
      </c>
      <c r="H2" s="67" t="s">
        <v>416</v>
      </c>
      <c r="I2" s="67" t="s">
        <v>417</v>
      </c>
      <c r="J2" s="67" t="s">
        <v>418</v>
      </c>
      <c r="K2" s="67" t="s">
        <v>419</v>
      </c>
      <c r="L2" s="67" t="s">
        <v>420</v>
      </c>
      <c r="M2" s="67" t="s">
        <v>421</v>
      </c>
      <c r="P2" s="288"/>
      <c r="Q2" s="289"/>
    </row>
    <row r="3" spans="1:18" ht="11" customHeight="1" x14ac:dyDescent="0.25">
      <c r="B3" s="64" t="s">
        <v>522</v>
      </c>
      <c r="C3" s="64"/>
      <c r="D3" s="111"/>
      <c r="E3" s="103"/>
      <c r="F3" s="99"/>
      <c r="G3" s="99"/>
      <c r="H3" s="99"/>
      <c r="I3" s="99"/>
      <c r="J3" s="99"/>
      <c r="K3" s="99"/>
      <c r="L3" s="99"/>
      <c r="M3" s="99"/>
      <c r="P3" s="290" t="s">
        <v>523</v>
      </c>
      <c r="Q3" s="289"/>
      <c r="R3" s="326"/>
    </row>
    <row r="4" spans="1:18" ht="11" customHeight="1" x14ac:dyDescent="0.25">
      <c r="A4" s="2" t="str">
        <f>$B$9&amp;$B$3&amp;B4</f>
        <v>Continental ResourcesMarket PricesOil</v>
      </c>
      <c r="B4" s="70" t="s">
        <v>396</v>
      </c>
      <c r="C4" s="70"/>
      <c r="D4" s="108"/>
      <c r="E4" s="89">
        <f>INDEX('Quarterly Forecasts'!$B$4:$O$500,MATCH(($B$2&amp;$B4),'Quarterly Forecasts'!$B$4:$B$500,0),MATCH(E$2,'Quarterly Forecasts'!$B$4:$O$4,0))</f>
        <v>64.358329999999995</v>
      </c>
      <c r="F4" s="134">
        <f>INDEX('Quarterly Forecasts'!$B$4:$O$500,MATCH($B$2&amp;$B4,'Quarterly Forecasts'!$B$4:$B$500,0),MATCH(F$2,'Quarterly Forecasts'!$B$4:$O$4,0))</f>
        <v>50.81859</v>
      </c>
      <c r="G4" s="134">
        <f>INDEX('Quarterly Forecasts'!$B$4:$O$500,MATCH($B$2&amp;$B4,'Quarterly Forecasts'!$B$4:$B$500,0),MATCH(G$2,'Quarterly Forecasts'!$B$4:$O$4,0))</f>
        <v>20</v>
      </c>
      <c r="H4" s="134">
        <f>INDEX('Quarterly Forecasts'!$B$4:$O$500,MATCH($B$2&amp;$B4,'Quarterly Forecasts'!$B$4:$B$500,0),MATCH(H$2,'Quarterly Forecasts'!$B$4:$O$4,0))</f>
        <v>22</v>
      </c>
      <c r="I4" s="134">
        <f>INDEX('Quarterly Forecasts'!$B$4:$O$500,MATCH($B$2&amp;$B4,'Quarterly Forecasts'!$B$4:$B$500,0),MATCH(I$2,'Quarterly Forecasts'!$B$4:$O$4,0))</f>
        <v>24</v>
      </c>
      <c r="J4" s="134">
        <f>INDEX('Quarterly Forecasts'!$B$4:$O$500,MATCH($B$2&amp;$B4,'Quarterly Forecasts'!$B$4:$B$500,0),MATCH(J$2,'Quarterly Forecasts'!$B$4:$O$4,0))</f>
        <v>26</v>
      </c>
      <c r="K4" s="134">
        <f>INDEX('Quarterly Forecasts'!$B$4:$O$500,MATCH($B$2&amp;$B4,'Quarterly Forecasts'!$B$4:$B$500,0),MATCH(K$2,'Quarterly Forecasts'!$B$4:$O$4,0))</f>
        <v>28</v>
      </c>
      <c r="L4" s="134">
        <f>INDEX('Quarterly Forecasts'!$B$4:$O$500,MATCH($B$2&amp;$B4,'Quarterly Forecasts'!$B$4:$B$500,0),MATCH(L$2,'Quarterly Forecasts'!$B$4:$O$4,0))</f>
        <v>30</v>
      </c>
      <c r="M4" s="134">
        <f>INDEX('Quarterly Forecasts'!$B$4:$O$500,MATCH($B$2&amp;$B4,'Quarterly Forecasts'!$B$4:$B$500,0),MATCH(M$2,'Quarterly Forecasts'!$B$4:$O$4,0))</f>
        <v>30</v>
      </c>
      <c r="P4" s="339" t="s">
        <v>396</v>
      </c>
      <c r="Q4" s="291">
        <v>52.07</v>
      </c>
      <c r="R4" s="327"/>
    </row>
    <row r="5" spans="1:18" ht="11" customHeight="1" x14ac:dyDescent="0.25">
      <c r="A5" s="2" t="str">
        <f t="shared" ref="A5:A7" si="1">$B$9&amp;$B$3&amp;B5</f>
        <v>Continental ResourcesMarket PricesGas</v>
      </c>
      <c r="B5" s="70" t="s">
        <v>26</v>
      </c>
      <c r="C5" s="70"/>
      <c r="D5" s="108"/>
      <c r="E5" s="89">
        <f>INDEX('Quarterly Forecasts'!$B$4:$O$500,MATCH($B2&amp;$B5,'Quarterly Forecasts'!$B$4:$B$500,0),MATCH(E$2,'Quarterly Forecasts'!$B$4:$O$4,0))</f>
        <v>15.15714</v>
      </c>
      <c r="F5" s="134">
        <f>INDEX('Quarterly Forecasts'!$B$4:$O$500,MATCH($B$2&amp;$B5,'Quarterly Forecasts'!$B$4:$B$500,0),MATCH(F$2,'Quarterly Forecasts'!$B$4:$O$4,0))</f>
        <v>11.20355</v>
      </c>
      <c r="G5" s="134">
        <f>INDEX('Quarterly Forecasts'!$B$4:$O$500,MATCH($B$2&amp;$B5,'Quarterly Forecasts'!$B$4:$B$500,0),MATCH(G$2,'Quarterly Forecasts'!$B$4:$O$4,0))</f>
        <v>12.8748</v>
      </c>
      <c r="H5" s="134">
        <f>INDEX('Quarterly Forecasts'!$B$4:$O$500,MATCH($B$2&amp;$B5,'Quarterly Forecasts'!$B$4:$B$500,0),MATCH(H$2,'Quarterly Forecasts'!$B$4:$O$4,0))</f>
        <v>13.0944</v>
      </c>
      <c r="I5" s="134">
        <f>INDEX('Quarterly Forecasts'!$B$4:$O$500,MATCH($B$2&amp;$B5,'Quarterly Forecasts'!$B$4:$B$500,0),MATCH(I$2,'Quarterly Forecasts'!$B$4:$O$4,0))</f>
        <v>13.314000000000002</v>
      </c>
      <c r="J5" s="134">
        <f>INDEX('Quarterly Forecasts'!$B$4:$O$500,MATCH($B$2&amp;$B5,'Quarterly Forecasts'!$B$4:$B$500,0),MATCH(J$2,'Quarterly Forecasts'!$B$4:$O$4,0))</f>
        <v>13.533600000000002</v>
      </c>
      <c r="K5" s="134">
        <f>INDEX('Quarterly Forecasts'!$B$4:$O$500,MATCH($B$2&amp;$B5,'Quarterly Forecasts'!$B$4:$B$500,0),MATCH(K$2,'Quarterly Forecasts'!$B$4:$O$4,0))</f>
        <v>13.753200000000001</v>
      </c>
      <c r="L5" s="134">
        <f>INDEX('Quarterly Forecasts'!$B$4:$O$500,MATCH($B$2&amp;$B5,'Quarterly Forecasts'!$B$4:$B$500,0),MATCH(L$2,'Quarterly Forecasts'!$B$4:$O$4,0))</f>
        <v>13.972800000000001</v>
      </c>
      <c r="M5" s="134">
        <f>INDEX('Quarterly Forecasts'!$B$4:$O$500,MATCH($B$2&amp;$B5,'Quarterly Forecasts'!$B$4:$B$500,0),MATCH(M$2,'Quarterly Forecasts'!$B$4:$O$4,0))</f>
        <v>13.972800000000001</v>
      </c>
      <c r="P5" s="288" t="s">
        <v>26</v>
      </c>
      <c r="Q5" s="291">
        <v>12.299999999999999</v>
      </c>
      <c r="R5" s="327"/>
    </row>
    <row r="6" spans="1:18" ht="11" customHeight="1" x14ac:dyDescent="0.25">
      <c r="A6" s="2" t="str">
        <f t="shared" si="1"/>
        <v>Continental ResourcesMarket PricesNGL</v>
      </c>
      <c r="B6" s="70" t="s">
        <v>25</v>
      </c>
      <c r="C6" s="70"/>
      <c r="D6" s="108"/>
      <c r="E6" s="89">
        <f>INDEX('Quarterly Forecasts'!$B$4:$O$500,MATCH($B2&amp;$B6,'Quarterly Forecasts'!$B$4:$B$500,0),MATCH(E$2,'Quarterly Forecasts'!$B$4:$O$4,0))</f>
        <v>20.616230000000002</v>
      </c>
      <c r="F6" s="134">
        <f>INDEX('Quarterly Forecasts'!$B$4:$O$500,MATCH($B$2&amp;$B6,'Quarterly Forecasts'!$B$4:$B$500,0),MATCH(F$2,'Quarterly Forecasts'!$B$4:$O$4,0))</f>
        <v>17.26445</v>
      </c>
      <c r="G6" s="134">
        <f>INDEX('Quarterly Forecasts'!$B$4:$O$500,MATCH($B$2&amp;$B6,'Quarterly Forecasts'!$B$4:$B$500,0),MATCH(G$2,'Quarterly Forecasts'!$B$4:$O$4,0))</f>
        <v>8.4505925000000008</v>
      </c>
      <c r="H6" s="134">
        <f>INDEX('Quarterly Forecasts'!$B$4:$O$500,MATCH($B$2&amp;$B6,'Quarterly Forecasts'!$B$4:$B$500,0),MATCH(H$2,'Quarterly Forecasts'!$B$4:$O$4,0))</f>
        <v>9.3239265000000007</v>
      </c>
      <c r="I6" s="134">
        <f>INDEX('Quarterly Forecasts'!$B$4:$O$500,MATCH($B$2&amp;$B6,'Quarterly Forecasts'!$B$4:$B$500,0),MATCH(I$2,'Quarterly Forecasts'!$B$4:$O$4,0))</f>
        <v>10.197260500000001</v>
      </c>
      <c r="J6" s="134">
        <f>INDEX('Quarterly Forecasts'!$B$4:$O$500,MATCH($B$2&amp;$B6,'Quarterly Forecasts'!$B$4:$B$500,0),MATCH(J$2,'Quarterly Forecasts'!$B$4:$O$4,0))</f>
        <v>11.0705945</v>
      </c>
      <c r="K6" s="134">
        <f>INDEX('Quarterly Forecasts'!$B$4:$O$500,MATCH($B$2&amp;$B6,'Quarterly Forecasts'!$B$4:$B$500,0),MATCH(K$2,'Quarterly Forecasts'!$B$4:$O$4,0))</f>
        <v>11.9439285</v>
      </c>
      <c r="L6" s="134">
        <f>INDEX('Quarterly Forecasts'!$B$4:$O$500,MATCH($B$2&amp;$B6,'Quarterly Forecasts'!$B$4:$B$500,0),MATCH(L$2,'Quarterly Forecasts'!$B$4:$O$4,0))</f>
        <v>12.8172625</v>
      </c>
      <c r="M6" s="134">
        <f>INDEX('Quarterly Forecasts'!$B$4:$O$500,MATCH($B$2&amp;$B6,'Quarterly Forecasts'!$B$4:$B$500,0),MATCH(M$2,'Quarterly Forecasts'!$B$4:$O$4,0))</f>
        <v>12.8172625</v>
      </c>
      <c r="P6" s="288" t="s">
        <v>25</v>
      </c>
      <c r="Q6" s="291" t="s">
        <v>899</v>
      </c>
      <c r="R6" s="327"/>
    </row>
    <row r="7" spans="1:18" ht="11" customHeight="1" x14ac:dyDescent="0.25">
      <c r="A7" s="2" t="str">
        <f t="shared" si="1"/>
        <v>Continental ResourcesMarket PricesCondensate</v>
      </c>
      <c r="B7" s="71" t="s">
        <v>24</v>
      </c>
      <c r="C7" s="71"/>
      <c r="D7" s="114"/>
      <c r="E7" s="89">
        <f>INDEX('Quarterly Forecasts'!$B$4:$O$500,MATCH($B2&amp;$B7,'Quarterly Forecasts'!$B$4:$B$500,0),MATCH(E$2,'Quarterly Forecasts'!$B$4:$O$4,0))</f>
        <v>38.614997999999993</v>
      </c>
      <c r="F7" s="134">
        <f>INDEX('Quarterly Forecasts'!$B$4:$O$500,MATCH($B$2&amp;$B7,'Quarterly Forecasts'!$B$4:$B$500,0),MATCH(F$2,'Quarterly Forecasts'!$B$4:$O$4,0))</f>
        <v>30.491153999999998</v>
      </c>
      <c r="G7" s="134">
        <f>INDEX('Quarterly Forecasts'!$B$4:$O$500,MATCH($B$2&amp;$B7,'Quarterly Forecasts'!$B$4:$B$500,0),MATCH(G$2,'Quarterly Forecasts'!$B$4:$O$4,0))</f>
        <v>12</v>
      </c>
      <c r="H7" s="134">
        <f>INDEX('Quarterly Forecasts'!$B$4:$O$500,MATCH($B$2&amp;$B7,'Quarterly Forecasts'!$B$4:$B$500,0),MATCH(H$2,'Quarterly Forecasts'!$B$4:$O$4,0))</f>
        <v>13.2</v>
      </c>
      <c r="I7" s="134">
        <f>INDEX('Quarterly Forecasts'!$B$4:$O$500,MATCH($B$2&amp;$B7,'Quarterly Forecasts'!$B$4:$B$500,0),MATCH(I$2,'Quarterly Forecasts'!$B$4:$O$4,0))</f>
        <v>14.399999999999999</v>
      </c>
      <c r="J7" s="134">
        <f>INDEX('Quarterly Forecasts'!$B$4:$O$500,MATCH($B$2&amp;$B7,'Quarterly Forecasts'!$B$4:$B$500,0),MATCH(J$2,'Quarterly Forecasts'!$B$4:$O$4,0))</f>
        <v>15.6</v>
      </c>
      <c r="K7" s="134">
        <f>INDEX('Quarterly Forecasts'!$B$4:$O$500,MATCH($B$2&amp;$B7,'Quarterly Forecasts'!$B$4:$B$500,0),MATCH(K$2,'Quarterly Forecasts'!$B$4:$O$4,0))</f>
        <v>16.8</v>
      </c>
      <c r="L7" s="134">
        <f>INDEX('Quarterly Forecasts'!$B$4:$O$500,MATCH($B$2&amp;$B7,'Quarterly Forecasts'!$B$4:$B$500,0),MATCH(L$2,'Quarterly Forecasts'!$B$4:$O$4,0))</f>
        <v>18</v>
      </c>
      <c r="M7" s="134">
        <f>INDEX('Quarterly Forecasts'!$B$4:$O$500,MATCH($B$2&amp;$B7,'Quarterly Forecasts'!$B$4:$B$500,0),MATCH(M$2,'Quarterly Forecasts'!$B$4:$O$4,0))</f>
        <v>18</v>
      </c>
      <c r="P7" s="288" t="s">
        <v>24</v>
      </c>
      <c r="Q7" s="291">
        <v>31.241999999999997</v>
      </c>
      <c r="R7" s="327"/>
    </row>
    <row r="8" spans="1:18" ht="11" customHeight="1" x14ac:dyDescent="0.25">
      <c r="E8" s="187"/>
      <c r="P8" s="288"/>
      <c r="Q8" s="291"/>
      <c r="R8" s="327"/>
    </row>
    <row r="9" spans="1:18" ht="11" customHeight="1" x14ac:dyDescent="0.25">
      <c r="B9" s="31" t="s">
        <v>268</v>
      </c>
      <c r="C9" s="31"/>
      <c r="D9" s="115"/>
      <c r="E9" s="67"/>
      <c r="F9" s="67"/>
      <c r="G9" s="67"/>
      <c r="H9" s="67"/>
      <c r="I9" s="67"/>
      <c r="J9" s="67"/>
      <c r="K9" s="67"/>
      <c r="L9" s="67"/>
      <c r="M9" s="67"/>
      <c r="P9" s="290" t="s">
        <v>472</v>
      </c>
      <c r="Q9" s="295"/>
      <c r="R9" s="327"/>
    </row>
    <row r="10" spans="1:18" ht="11" customHeight="1" x14ac:dyDescent="0.35">
      <c r="B10" s="64" t="s">
        <v>523</v>
      </c>
      <c r="C10" s="64"/>
      <c r="D10" s="111"/>
      <c r="E10" s="103"/>
      <c r="F10" s="99"/>
      <c r="G10" s="99"/>
      <c r="H10" s="99"/>
      <c r="I10" s="99"/>
      <c r="J10" s="99"/>
      <c r="K10" s="99"/>
      <c r="L10" s="99"/>
      <c r="M10" s="99"/>
      <c r="P10" s="288" t="s">
        <v>461</v>
      </c>
      <c r="Q10" s="330">
        <f>4514389/4/1000</f>
        <v>1128.59725</v>
      </c>
      <c r="R10" s="328"/>
    </row>
    <row r="11" spans="1:18" ht="11" customHeight="1" x14ac:dyDescent="0.35">
      <c r="A11" s="2" t="str">
        <f>B9&amp;B10&amp;B11</f>
        <v>Continental ResourcesRealized pricesOil</v>
      </c>
      <c r="B11" s="70" t="s">
        <v>396</v>
      </c>
      <c r="C11" s="132" t="s">
        <v>542</v>
      </c>
      <c r="D11" s="108"/>
      <c r="E11" s="89">
        <f>IF(VLOOKUP($B11, P:Q, 2,0) = "-", 0, VLOOKUP($B11, P:Q, 2,0))</f>
        <v>52.07</v>
      </c>
      <c r="F11" s="134">
        <f>F4*($E11/$E4)</f>
        <v>41.115485459302633</v>
      </c>
      <c r="G11" s="134">
        <f>G4*($E11/$E4)</f>
        <v>16.181277544025772</v>
      </c>
      <c r="H11" s="134">
        <f t="shared" ref="G11:M14" si="2">H4*($E11/$E4)</f>
        <v>17.799405298428347</v>
      </c>
      <c r="I11" s="134">
        <f t="shared" si="2"/>
        <v>19.417533052830926</v>
      </c>
      <c r="J11" s="134">
        <f t="shared" si="2"/>
        <v>21.035660807233505</v>
      </c>
      <c r="K11" s="134">
        <f t="shared" si="2"/>
        <v>22.65378856163608</v>
      </c>
      <c r="L11" s="134">
        <f t="shared" si="2"/>
        <v>24.271916316038656</v>
      </c>
      <c r="M11" s="134">
        <f t="shared" si="2"/>
        <v>24.271916316038656</v>
      </c>
      <c r="P11" s="288" t="s">
        <v>462</v>
      </c>
      <c r="Q11" s="330">
        <f>(49083+68475)/4/1000</f>
        <v>29.389500000000002</v>
      </c>
      <c r="R11" s="328"/>
    </row>
    <row r="12" spans="1:18" ht="11" customHeight="1" x14ac:dyDescent="0.25">
      <c r="A12" s="2" t="str">
        <f>B9&amp;B10&amp;B12</f>
        <v>Continental ResourcesRealized pricesGas</v>
      </c>
      <c r="B12" s="70" t="s">
        <v>26</v>
      </c>
      <c r="C12" s="132" t="s">
        <v>542</v>
      </c>
      <c r="D12" s="108"/>
      <c r="E12" s="89">
        <f>IF(VLOOKUP($B12, P:Q, 2,0) = "-", 0, VLOOKUP($B12, P:Q, 2,0))</f>
        <v>12.299999999999999</v>
      </c>
      <c r="F12" s="134">
        <f>F5*($E12/$E5)</f>
        <v>9.0916666996544198</v>
      </c>
      <c r="G12" s="134">
        <f t="shared" si="2"/>
        <v>10.447883967555885</v>
      </c>
      <c r="H12" s="134">
        <f t="shared" si="2"/>
        <v>10.626089090685973</v>
      </c>
      <c r="I12" s="134">
        <f t="shared" si="2"/>
        <v>10.804294213816064</v>
      </c>
      <c r="J12" s="134">
        <f t="shared" si="2"/>
        <v>10.982499336946153</v>
      </c>
      <c r="K12" s="134">
        <f t="shared" si="2"/>
        <v>11.160704460076243</v>
      </c>
      <c r="L12" s="134">
        <f t="shared" si="2"/>
        <v>11.33890958320633</v>
      </c>
      <c r="M12" s="134">
        <f t="shared" si="2"/>
        <v>11.33890958320633</v>
      </c>
      <c r="P12" s="292" t="s">
        <v>395</v>
      </c>
      <c r="Q12" s="293">
        <f t="shared" ref="Q12" si="3">SUM(Q10:Q11)</f>
        <v>1157.98675</v>
      </c>
      <c r="R12" s="329"/>
    </row>
    <row r="13" spans="1:18" ht="11" customHeight="1" x14ac:dyDescent="0.25">
      <c r="A13" s="2" t="str">
        <f>B9&amp;B10&amp;B13</f>
        <v>Continental ResourcesRealized pricesNGL</v>
      </c>
      <c r="B13" s="70" t="s">
        <v>25</v>
      </c>
      <c r="C13" s="132" t="s">
        <v>542</v>
      </c>
      <c r="D13" s="108"/>
      <c r="E13" s="89">
        <f>IF(VLOOKUP($B13, P:Q, 2,0) = "-", 0, VLOOKUP($B13, P:Q, 2,0))</f>
        <v>0</v>
      </c>
      <c r="F13" s="134">
        <f>0</f>
        <v>0</v>
      </c>
      <c r="G13" s="134">
        <f>0</f>
        <v>0</v>
      </c>
      <c r="H13" s="134">
        <f>0</f>
        <v>0</v>
      </c>
      <c r="I13" s="134">
        <f>0</f>
        <v>0</v>
      </c>
      <c r="J13" s="134">
        <f>0</f>
        <v>0</v>
      </c>
      <c r="K13" s="134">
        <f>0</f>
        <v>0</v>
      </c>
      <c r="L13" s="134">
        <f>0</f>
        <v>0</v>
      </c>
      <c r="M13" s="134">
        <f>0</f>
        <v>0</v>
      </c>
      <c r="P13" s="288"/>
      <c r="Q13" s="291"/>
      <c r="R13" s="327"/>
    </row>
    <row r="14" spans="1:18" ht="11" customHeight="1" x14ac:dyDescent="0.25">
      <c r="A14" s="2" t="str">
        <f>B9&amp;B10&amp;B14</f>
        <v>Continental ResourcesRealized pricesCondensate</v>
      </c>
      <c r="B14" s="70" t="s">
        <v>24</v>
      </c>
      <c r="C14" s="132" t="s">
        <v>543</v>
      </c>
      <c r="D14" s="108"/>
      <c r="E14" s="89">
        <f>IF(VLOOKUP($B14, P:Q, 2,0) = "-", 0, VLOOKUP($B14, P:Q, 2,0))</f>
        <v>31.241999999999997</v>
      </c>
      <c r="F14" s="134">
        <f>F7*($E14/$E7)</f>
        <v>24.669291275581578</v>
      </c>
      <c r="G14" s="134">
        <f t="shared" si="2"/>
        <v>9.708766526415463</v>
      </c>
      <c r="H14" s="134">
        <f t="shared" si="2"/>
        <v>10.679643179057008</v>
      </c>
      <c r="I14" s="134">
        <f t="shared" si="2"/>
        <v>11.650519831698555</v>
      </c>
      <c r="J14" s="134">
        <f t="shared" si="2"/>
        <v>12.621396484340101</v>
      </c>
      <c r="K14" s="134">
        <f t="shared" si="2"/>
        <v>13.59227313698165</v>
      </c>
      <c r="L14" s="134">
        <f t="shared" si="2"/>
        <v>14.563149789623195</v>
      </c>
      <c r="M14" s="134">
        <f t="shared" si="2"/>
        <v>14.563149789623195</v>
      </c>
      <c r="P14" s="290" t="s">
        <v>473</v>
      </c>
      <c r="Q14" s="291"/>
      <c r="R14" s="327"/>
    </row>
    <row r="15" spans="1:18" ht="11" customHeight="1" x14ac:dyDescent="0.25">
      <c r="A15" s="2" t="str">
        <f>B9&amp;B10&amp;B15</f>
        <v>Continental ResourcesRealized pricesAverage realized price</v>
      </c>
      <c r="B15" s="97" t="s">
        <v>527</v>
      </c>
      <c r="C15" s="137" t="s">
        <v>541</v>
      </c>
      <c r="D15" s="114"/>
      <c r="E15" s="89">
        <f>E29/E24</f>
        <v>33.179650164751251</v>
      </c>
      <c r="F15" s="12">
        <f>F29/F24</f>
        <v>23.466621275888077</v>
      </c>
      <c r="G15" s="12">
        <f t="shared" ref="G15:M15" si="4">G29/G24</f>
        <v>10.986286767674885</v>
      </c>
      <c r="H15" s="12">
        <f t="shared" si="4"/>
        <v>11.864057691736422</v>
      </c>
      <c r="I15" s="12">
        <f t="shared" si="4"/>
        <v>12.741828615797962</v>
      </c>
      <c r="J15" s="12">
        <f t="shared" si="4"/>
        <v>13.892879352220026</v>
      </c>
      <c r="K15" s="12">
        <f t="shared" si="4"/>
        <v>14.798555976359527</v>
      </c>
      <c r="L15" s="12">
        <f t="shared" si="4"/>
        <v>15.704232600499024</v>
      </c>
      <c r="M15" s="12">
        <f t="shared" si="4"/>
        <v>15.704232600499024</v>
      </c>
      <c r="P15" s="288" t="s">
        <v>463</v>
      </c>
      <c r="Q15" s="291">
        <f>86.202/4</f>
        <v>21.5505</v>
      </c>
      <c r="R15" s="327"/>
    </row>
    <row r="16" spans="1:18" ht="11" customHeight="1" x14ac:dyDescent="0.25">
      <c r="B16" s="31"/>
      <c r="C16" s="31"/>
      <c r="D16" s="115"/>
      <c r="E16" s="100"/>
      <c r="F16" s="100"/>
      <c r="G16" s="100"/>
      <c r="H16" s="100"/>
      <c r="I16" s="100"/>
      <c r="J16" s="100"/>
      <c r="K16" s="100"/>
      <c r="L16" s="100"/>
      <c r="M16" s="100"/>
      <c r="P16" s="288" t="s">
        <v>464</v>
      </c>
      <c r="Q16" s="291">
        <f>2017.383/4</f>
        <v>504.34575000000001</v>
      </c>
      <c r="R16" s="327"/>
    </row>
    <row r="17" spans="1:18" ht="11" customHeight="1" x14ac:dyDescent="0.25">
      <c r="A17" s="2" t="str">
        <f>B9&amp;B17</f>
        <v>Continental ResourcesNetback price, BOE</v>
      </c>
      <c r="B17" s="91" t="s">
        <v>503</v>
      </c>
      <c r="C17" s="53" t="s">
        <v>535</v>
      </c>
      <c r="D17" s="122"/>
      <c r="E17" s="89">
        <f>E15-(E43/E24)-(E36/E24)-(E37/E24)-(E38/E24)</f>
        <v>26.741134145983469</v>
      </c>
      <c r="F17" s="89">
        <f>F15-(F43/F24)-(F36/F24)-(F37/F24)-(F38/F24)</f>
        <v>17.201739778649902</v>
      </c>
      <c r="G17" s="89">
        <f t="shared" ref="G17:M17" si="5">G15-(G43/G24)-(G36/G24)-(G37/G24)-(G38/G24)</f>
        <v>5.1166249075100385</v>
      </c>
      <c r="H17" s="89">
        <f t="shared" si="5"/>
        <v>5.968747699254469</v>
      </c>
      <c r="I17" s="89">
        <f t="shared" si="5"/>
        <v>6.8208704909989013</v>
      </c>
      <c r="J17" s="89">
        <f t="shared" si="5"/>
        <v>7.9462730951038605</v>
      </c>
      <c r="K17" s="89">
        <f t="shared" si="5"/>
        <v>8.8263015869262542</v>
      </c>
      <c r="L17" s="89">
        <f t="shared" si="5"/>
        <v>9.7063300787486462</v>
      </c>
      <c r="M17" s="89">
        <f t="shared" si="5"/>
        <v>9.7063300787486462</v>
      </c>
      <c r="P17" s="288" t="s">
        <v>465</v>
      </c>
      <c r="Q17" s="291" t="s">
        <v>899</v>
      </c>
      <c r="R17" s="327"/>
    </row>
    <row r="18" spans="1:18" ht="11" customHeight="1" x14ac:dyDescent="0.25">
      <c r="B18" s="31"/>
      <c r="C18" s="31"/>
      <c r="D18" s="115"/>
      <c r="E18" s="100"/>
      <c r="F18" s="100"/>
      <c r="G18" s="100"/>
      <c r="H18" s="100"/>
      <c r="I18" s="100"/>
      <c r="J18" s="100"/>
      <c r="K18" s="100"/>
      <c r="L18" s="100"/>
      <c r="M18" s="100"/>
      <c r="P18" s="288" t="s">
        <v>505</v>
      </c>
      <c r="Q18" s="291" t="s">
        <v>899</v>
      </c>
      <c r="R18" s="327"/>
    </row>
    <row r="19" spans="1:18" ht="11" customHeight="1" x14ac:dyDescent="0.25">
      <c r="B19" s="64" t="s">
        <v>532</v>
      </c>
      <c r="C19" s="64"/>
      <c r="D19" s="111"/>
      <c r="E19" s="103"/>
      <c r="F19" s="99"/>
      <c r="G19" s="99"/>
      <c r="H19" s="99"/>
      <c r="I19" s="99"/>
      <c r="J19" s="99"/>
      <c r="K19" s="99"/>
      <c r="L19" s="99"/>
      <c r="M19" s="99"/>
      <c r="P19" s="288" t="s">
        <v>467</v>
      </c>
      <c r="Q19" s="291">
        <f>357.988/4</f>
        <v>89.497</v>
      </c>
      <c r="R19" s="327"/>
    </row>
    <row r="20" spans="1:18" ht="11" customHeight="1" x14ac:dyDescent="0.25">
      <c r="A20" s="2" t="str">
        <f>B9&amp;B19&amp;B20</f>
        <v>Continental ResourcesProduction, BOE/QOil</v>
      </c>
      <c r="B20" s="70" t="s">
        <v>396</v>
      </c>
      <c r="C20" s="73" t="s">
        <v>564</v>
      </c>
      <c r="D20" s="108"/>
      <c r="E20" s="105">
        <f>IF($B$2="A3",SUMIFS('$33'!$H$9:$H$2139,'$33'!$A$9:$A$2139,$B$9,'$33'!$G$9:$G$2139,$B20)*365/4, SUMIFS('$22'!$H$9:$H$2140,'$22'!$A$9:$A$2140,Continental!$B$9,'$22'!$G$9:$G$2140, $B20)*365/4)</f>
        <v>16845.193031223873</v>
      </c>
      <c r="F20" s="66">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15869.698323012502</v>
      </c>
      <c r="G20" s="66">
        <f>F20*(1-INDEX(Assumptions!$A$2:$K$596,MATCH($B9&amp;"Oil production reduction",Assumptions!$A$2:$A$596,0),MATCH(G$2,Assumptions!$A$2:$K$2,0)))</f>
        <v>15869.698323012502</v>
      </c>
      <c r="H20" s="66">
        <f>G20*(1-INDEX(Assumptions!$A$2:$K$596,MATCH($B9&amp;"Oil production reduction",Assumptions!$A$2:$A$596,0),MATCH(H$2,Assumptions!$A$2:$K$2,0)))</f>
        <v>15869.698323012502</v>
      </c>
      <c r="I20" s="66">
        <f>H20*(1-INDEX(Assumptions!$A$2:$K$596,MATCH($B9&amp;"Oil production reduction",Assumptions!$A$2:$A$596,0),MATCH(I$2,Assumptions!$A$2:$K$2,0)))</f>
        <v>15869.698323012502</v>
      </c>
      <c r="J20" s="66">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17584.132782162502</v>
      </c>
      <c r="K20" s="66">
        <f>J20*(1-INDEX(Assumptions!$A$2:$K$596,MATCH($B9&amp;"Oil production reduction",Assumptions!$A$2:$A$596,0),MATCH(K$2,Assumptions!$A$2:$K$2,0)))</f>
        <v>17584.132782162502</v>
      </c>
      <c r="L20" s="66">
        <f>K20*(1-INDEX(Assumptions!$A$2:$K$596,MATCH($B9&amp;"Oil production reduction",Assumptions!$A$2:$A$596,0),MATCH(L$2,Assumptions!$A$2:$K$2,0)))</f>
        <v>17584.132782162502</v>
      </c>
      <c r="M20" s="66">
        <f>L20*(1-INDEX(Assumptions!$A$2:$K$596,MATCH($B9&amp;"Oil production reduction",Assumptions!$A$2:$A$596,0),MATCH(M$2,Assumptions!$A$2:$K$2,0)))</f>
        <v>17584.132782162502</v>
      </c>
      <c r="P20" s="288" t="s">
        <v>468</v>
      </c>
      <c r="Q20" s="291" t="s">
        <v>899</v>
      </c>
      <c r="R20" s="327"/>
    </row>
    <row r="21" spans="1:18" ht="11" customHeight="1" x14ac:dyDescent="0.25">
      <c r="A21" s="2" t="str">
        <f>B9&amp;B19&amp;B21</f>
        <v>Continental ResourcesProduction, BOE/QGas</v>
      </c>
      <c r="B21" s="70" t="s">
        <v>26</v>
      </c>
      <c r="C21" s="73" t="s">
        <v>564</v>
      </c>
      <c r="D21" s="108"/>
      <c r="E21" s="105">
        <f>IF($B$2="A3",SUMIFS('$33'!$H$9:$H$2139,'$33'!$A$9:$A$2139,$B$9,'$33'!$G$9:$G$2139,$B21)*365/4, SUMIFS('$22'!$H$9:$H$2140,'$22'!$A$9:$A$2140,Continental!$B$9,'$22'!$G$9:$G$2140, $B21)*365/4)</f>
        <v>8697.9459822624995</v>
      </c>
      <c r="F21" s="66">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8280.3908769124992</v>
      </c>
      <c r="G21" s="66">
        <f>F21*(1-INDEX(Assumptions!$A$2:$K$596,MATCH($B9&amp;"Gas production reduction",Assumptions!$A$2:$A$596,0),MATCH(G$2,Assumptions!$A$2:$K$2,0)))</f>
        <v>8280.3908769124992</v>
      </c>
      <c r="H21" s="66">
        <f>G21*(1-INDEX(Assumptions!$A$2:$K$596,MATCH($B9&amp;"Gas production reduction",Assumptions!$A$2:$A$596,0),MATCH(H$2,Assumptions!$A$2:$K$2,0)))</f>
        <v>8280.3908769124992</v>
      </c>
      <c r="I21" s="66">
        <f>H21*(1-INDEX(Assumptions!$A$2:$K$596,MATCH($B9&amp;"Gas production reduction",Assumptions!$A$2:$A$596,0),MATCH(I$2,Assumptions!$A$2:$K$2,0)))</f>
        <v>8280.3908769124992</v>
      </c>
      <c r="J21" s="66">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8440.6896606624996</v>
      </c>
      <c r="K21" s="66">
        <f>J21*(1-INDEX(Assumptions!$A$2:$K$596,MATCH($B9&amp;"Gas production reduction",Assumptions!$A$2:$A$596,0),MATCH(K$2,Assumptions!$A$2:$K$2,0)))</f>
        <v>8440.6896606624996</v>
      </c>
      <c r="L21" s="66">
        <f>K21*(1-INDEX(Assumptions!$A$2:$K$596,MATCH($B9&amp;"Gas production reduction",Assumptions!$A$2:$A$596,0),MATCH(L$2,Assumptions!$A$2:$K$2,0)))</f>
        <v>8440.6896606624996</v>
      </c>
      <c r="M21" s="66">
        <f>L21*(1-INDEX(Assumptions!$A$2:$K$596,MATCH($B9&amp;"Gas production reduction",Assumptions!$A$2:$A$596,0),MATCH(M$2,Assumptions!$A$2:$K$2,0)))</f>
        <v>8440.6896606624996</v>
      </c>
      <c r="P21" s="288" t="s">
        <v>469</v>
      </c>
      <c r="Q21" s="291">
        <f>(225.649+444.649+33.23)/4</f>
        <v>175.88200000000001</v>
      </c>
      <c r="R21" s="327"/>
    </row>
    <row r="22" spans="1:18" ht="11" customHeight="1" x14ac:dyDescent="0.25">
      <c r="A22" s="2" t="str">
        <f>B9&amp;B19&amp;B22</f>
        <v>Continental ResourcesProduction, BOE/QNGL</v>
      </c>
      <c r="B22" s="70" t="s">
        <v>25</v>
      </c>
      <c r="C22" s="73" t="s">
        <v>564</v>
      </c>
      <c r="D22" s="108"/>
      <c r="E22" s="105">
        <f>IF($B$2="A3",SUMIFS('$33'!$H$9:$H$2139,'$33'!$A$9:$A$2139,$B$9,'$33'!$G$9:$G$2139,$B22)*365/4, SUMIFS('$22'!$H$9:$H$2140,'$22'!$A$9:$A$2140,Continental!$B$9,'$22'!$G$9:$G$2140, $B22)*365/4)</f>
        <v>8183.9499254787479</v>
      </c>
      <c r="F22" s="66">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7781.0782117061244</v>
      </c>
      <c r="G22" s="66">
        <f>F22*(1-INDEX(Assumptions!$A$2:$K$596,MATCH($B9&amp;"NGL production reduction",Assumptions!$A$2:$A$596,0),MATCH(G$2,Assumptions!$A$2:$K$2,0)))</f>
        <v>7781.0782117061244</v>
      </c>
      <c r="H22" s="66">
        <f>G22*(1-INDEX(Assumptions!$A$2:$K$596,MATCH($B9&amp;"NGL production reduction",Assumptions!$A$2:$A$596,0),MATCH(H$2,Assumptions!$A$2:$K$2,0)))</f>
        <v>7781.0782117061244</v>
      </c>
      <c r="I22" s="66">
        <f>H22*(1-INDEX(Assumptions!$A$2:$K$596,MATCH($B9&amp;"NGL production reduction",Assumptions!$A$2:$A$596,0),MATCH(I$2,Assumptions!$A$2:$K$2,0)))</f>
        <v>7781.0782117061244</v>
      </c>
      <c r="J22" s="66">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8048.2792871893744</v>
      </c>
      <c r="K22" s="66">
        <f>J22*(1-INDEX(Assumptions!$A$2:$K$596,MATCH($B9&amp;"NGL production reduction",Assumptions!$A$2:$A$596,0),MATCH(K$2,Assumptions!$A$2:$K$2,0)))</f>
        <v>8048.2792871893744</v>
      </c>
      <c r="L22" s="66">
        <f>K22*(1-INDEX(Assumptions!$A$2:$K$596,MATCH($B9&amp;"NGL production reduction",Assumptions!$A$2:$A$596,0),MATCH(L$2,Assumptions!$A$2:$K$2,0)))</f>
        <v>8048.2792871893744</v>
      </c>
      <c r="M22" s="66">
        <f>L22*(1-INDEX(Assumptions!$A$2:$K$596,MATCH($B9&amp;"NGL production reduction",Assumptions!$A$2:$A$596,0),MATCH(M$2,Assumptions!$A$2:$K$2,0)))</f>
        <v>8048.2792871893744</v>
      </c>
      <c r="P22" s="288" t="s">
        <v>470</v>
      </c>
      <c r="Q22" s="291">
        <f>195.302/4</f>
        <v>48.825499999999998</v>
      </c>
      <c r="R22" s="327"/>
    </row>
    <row r="23" spans="1:18" ht="11" customHeight="1" x14ac:dyDescent="0.25">
      <c r="A23" s="2" t="str">
        <f>B9&amp;B19&amp;B23</f>
        <v>Continental ResourcesProduction, BOE/QCondensate</v>
      </c>
      <c r="B23" s="70" t="s">
        <v>24</v>
      </c>
      <c r="C23" s="73" t="s">
        <v>564</v>
      </c>
      <c r="D23" s="108"/>
      <c r="E23" s="105">
        <f>IF($B$2="A3",SUMIFS('$33'!$H$9:$H$2139,'$33'!$A$9:$A$2139,$B$9,'$33'!$G$9:$G$2139,$B23)*365/4, SUMIFS('$22'!$H$9:$H$2140,'$22'!$A$9:$A$2140,Continental!$B$9,'$22'!$G$9:$G$2140, $B23)*365/4)</f>
        <v>1173.4221951215</v>
      </c>
      <c r="F23" s="66">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1404.8023913750001</v>
      </c>
      <c r="G23" s="66">
        <f>F23*(1-INDEX(Assumptions!$A$2:$K$596,MATCH($B9&amp;"Condensate production reduction",Assumptions!$A$2:$A$596,0),MATCH(G$2,Assumptions!$A$2:$K$2,0)))</f>
        <v>1404.8023913750001</v>
      </c>
      <c r="H23" s="66">
        <f>G23*(1-INDEX(Assumptions!$A$2:$K$596,MATCH($B9&amp;"Condensate production reduction",Assumptions!$A$2:$A$596,0),MATCH(H$2,Assumptions!$A$2:$K$2,0)))</f>
        <v>1404.8023913750001</v>
      </c>
      <c r="I23" s="66">
        <f>H23*(1-INDEX(Assumptions!$A$2:$K$596,MATCH($B9&amp;"Condensate production reduction",Assumptions!$A$2:$A$596,0),MATCH(I$2,Assumptions!$A$2:$K$2,0)))</f>
        <v>1404.8023913750001</v>
      </c>
      <c r="J23" s="66">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1343.3314730000002</v>
      </c>
      <c r="K23" s="66">
        <f>J23*(1-INDEX(Assumptions!$A$2:$K$596,MATCH($B9&amp;"Condensate production reduction",Assumptions!$A$2:$A$596,0),MATCH(K$2,Assumptions!$A$2:$K$2,0)))</f>
        <v>1343.3314730000002</v>
      </c>
      <c r="L23" s="66">
        <f>K23*(1-INDEX(Assumptions!$A$2:$K$596,MATCH($B9&amp;"Condensate production reduction",Assumptions!$A$2:$A$596,0),MATCH(L$2,Assumptions!$A$2:$K$2,0)))</f>
        <v>1343.3314730000002</v>
      </c>
      <c r="M23" s="66">
        <f>L23*(1-INDEX(Assumptions!$A$2:$K$596,MATCH($B9&amp;"Condensate production reduction",Assumptions!$A$2:$A$596,0),MATCH(M$2,Assumptions!$A$2:$K$2,0)))</f>
        <v>1343.3314730000002</v>
      </c>
      <c r="P23" s="294" t="s">
        <v>561</v>
      </c>
      <c r="Q23" s="295">
        <f>14.667/4</f>
        <v>3.66675</v>
      </c>
      <c r="R23" s="327"/>
    </row>
    <row r="24" spans="1:18" ht="11" customHeight="1" x14ac:dyDescent="0.25">
      <c r="A24" s="2" t="str">
        <f>B9&amp;B19&amp;B24</f>
        <v>Continental ResourcesProduction, BOE/QTotal production</v>
      </c>
      <c r="B24" s="97" t="s">
        <v>397</v>
      </c>
      <c r="C24" s="77"/>
      <c r="D24" s="114"/>
      <c r="E24" s="120">
        <f>SUM(E20:E23)</f>
        <v>34900.511134086621</v>
      </c>
      <c r="F24" s="121">
        <f>SUM(F20:F23)</f>
        <v>33335.969803006126</v>
      </c>
      <c r="G24" s="121">
        <f t="shared" ref="G24:M24" si="6">SUM(G20:G23)</f>
        <v>33335.969803006126</v>
      </c>
      <c r="H24" s="121">
        <f t="shared" si="6"/>
        <v>33335.969803006126</v>
      </c>
      <c r="I24" s="121">
        <f t="shared" si="6"/>
        <v>33335.969803006126</v>
      </c>
      <c r="J24" s="121">
        <f t="shared" si="6"/>
        <v>35416.433203014378</v>
      </c>
      <c r="K24" s="121">
        <f t="shared" si="6"/>
        <v>35416.433203014378</v>
      </c>
      <c r="L24" s="121">
        <f t="shared" si="6"/>
        <v>35416.433203014378</v>
      </c>
      <c r="M24" s="121">
        <f t="shared" si="6"/>
        <v>35416.433203014378</v>
      </c>
      <c r="P24" s="296" t="s">
        <v>910</v>
      </c>
      <c r="Q24" s="297">
        <v>0</v>
      </c>
      <c r="R24" s="327"/>
    </row>
    <row r="25" spans="1:18" ht="11" customHeight="1" x14ac:dyDescent="0.25">
      <c r="B25" s="31"/>
      <c r="C25" s="31"/>
      <c r="D25" s="115"/>
      <c r="E25" s="67"/>
      <c r="F25" s="67"/>
      <c r="G25" s="67"/>
      <c r="H25" s="67"/>
      <c r="I25" s="203"/>
      <c r="J25" s="203"/>
      <c r="K25" s="203"/>
      <c r="L25" s="203"/>
      <c r="M25" s="203"/>
      <c r="P25" s="296" t="s">
        <v>911</v>
      </c>
      <c r="Q25" s="297">
        <v>0</v>
      </c>
      <c r="R25" s="327"/>
    </row>
    <row r="26" spans="1:18" ht="11" customHeight="1" x14ac:dyDescent="0.25">
      <c r="A26" s="2" t="str">
        <f>B9&amp;B26</f>
        <v>Continental ResourcesRevenues</v>
      </c>
      <c r="B26" s="64" t="s">
        <v>472</v>
      </c>
      <c r="C26" s="64"/>
      <c r="D26" s="111"/>
      <c r="E26" s="53"/>
      <c r="F26" s="202">
        <f>F29/SUM($F$29:$I$29)</f>
        <v>0.39734338524389562</v>
      </c>
      <c r="G26" s="202">
        <f t="shared" ref="G26:I26" si="7">G29/SUM($F$29:$I$29)</f>
        <v>0.18602287582036889</v>
      </c>
      <c r="H26" s="202">
        <f t="shared" si="7"/>
        <v>0.20088553825203478</v>
      </c>
      <c r="I26" s="202">
        <f t="shared" si="7"/>
        <v>0.21574820068370076</v>
      </c>
      <c r="J26" s="202">
        <f>J29/SUM($J$29:$M$29)</f>
        <v>0.23116310060085332</v>
      </c>
      <c r="K26" s="202">
        <f t="shared" ref="K26:M26" si="8">K29/SUM($J$29:$M$29)</f>
        <v>0.24623262012017069</v>
      </c>
      <c r="L26" s="202">
        <f t="shared" si="8"/>
        <v>0.26130213963948795</v>
      </c>
      <c r="M26" s="202">
        <f t="shared" si="8"/>
        <v>0.26130213963948795</v>
      </c>
      <c r="P26" s="296" t="s">
        <v>912</v>
      </c>
      <c r="Q26" s="297">
        <v>0</v>
      </c>
      <c r="R26" s="327"/>
    </row>
    <row r="27" spans="1:18" ht="11" customHeight="1" x14ac:dyDescent="0.25">
      <c r="A27" s="2" t="str">
        <f>B9&amp;B27</f>
        <v>Continental ResourcesSales Revenue</v>
      </c>
      <c r="B27" s="70" t="s">
        <v>461</v>
      </c>
      <c r="C27" s="82" t="s">
        <v>536</v>
      </c>
      <c r="D27" s="108"/>
      <c r="E27" s="83">
        <f>IF(VLOOKUP($B27, P:Q, 2,0) = "-", 0, VLOOKUP($B27, P:Q, 2,0))*1000</f>
        <v>1128597.25</v>
      </c>
      <c r="F27" s="50">
        <f>SUMPRODUCT(F11:F14,F20:F23)</f>
        <v>762428.38401655096</v>
      </c>
      <c r="G27" s="50">
        <f>SUMPRODUCT(G11:G14,G20:G23)</f>
        <v>356943.45462622575</v>
      </c>
      <c r="H27" s="50">
        <f t="shared" ref="H27:M27" si="9">SUMPRODUCT(H11:H14,H20:H23)</f>
        <v>385462.1518558347</v>
      </c>
      <c r="I27" s="50">
        <f t="shared" si="9"/>
        <v>413980.84908544383</v>
      </c>
      <c r="J27" s="50">
        <f t="shared" si="9"/>
        <v>479548.44052714529</v>
      </c>
      <c r="K27" s="50">
        <f t="shared" si="9"/>
        <v>510810.19712323818</v>
      </c>
      <c r="L27" s="50">
        <f t="shared" si="9"/>
        <v>542071.95371933095</v>
      </c>
      <c r="M27" s="50">
        <f t="shared" si="9"/>
        <v>542071.95371933095</v>
      </c>
      <c r="P27" s="296" t="s">
        <v>913</v>
      </c>
      <c r="Q27" s="297">
        <v>0</v>
      </c>
      <c r="R27" s="327"/>
    </row>
    <row r="28" spans="1:18" ht="11" customHeight="1" x14ac:dyDescent="0.25">
      <c r="A28" s="2" t="str">
        <f>B9&amp;B28</f>
        <v>Continental ResourcesOther Revenue</v>
      </c>
      <c r="B28" s="70" t="s">
        <v>462</v>
      </c>
      <c r="C28" s="82" t="s">
        <v>533</v>
      </c>
      <c r="D28" s="204">
        <f>$E28/$E27</f>
        <v>2.6040733308538542E-2</v>
      </c>
      <c r="E28" s="83">
        <f>IF(VLOOKUP($B28, P:Q, 2,0) = "-", 0, VLOOKUP($B28, P:Q, 2,0))*1000</f>
        <v>29389.5</v>
      </c>
      <c r="F28" s="50">
        <f>F27*$D28</f>
        <v>19854.194215035011</v>
      </c>
      <c r="G28" s="50">
        <f>G27*$D28</f>
        <v>9295.0693081499721</v>
      </c>
      <c r="H28" s="50">
        <f t="shared" ref="H28:L28" si="10">H27*$D28</f>
        <v>10037.717097013176</v>
      </c>
      <c r="I28" s="50">
        <f t="shared" si="10"/>
        <v>10780.364885876385</v>
      </c>
      <c r="J28" s="50">
        <f t="shared" si="10"/>
        <v>12487.793048292946</v>
      </c>
      <c r="K28" s="50">
        <f t="shared" si="10"/>
        <v>13301.872114568247</v>
      </c>
      <c r="L28" s="50">
        <f t="shared" si="10"/>
        <v>14115.951180843544</v>
      </c>
      <c r="M28" s="50">
        <f>M27*$D28</f>
        <v>14115.951180843544</v>
      </c>
      <c r="P28" s="296" t="s">
        <v>914</v>
      </c>
      <c r="Q28" s="297">
        <v>0</v>
      </c>
      <c r="R28" s="327"/>
    </row>
    <row r="29" spans="1:18" ht="11" customHeight="1" x14ac:dyDescent="0.25">
      <c r="A29" s="2" t="str">
        <f>B9&amp;B29</f>
        <v>Continental ResourcesTotal Revenue</v>
      </c>
      <c r="B29" s="84" t="s">
        <v>395</v>
      </c>
      <c r="C29" s="85"/>
      <c r="D29" s="63">
        <f>SUMPRODUCT(E11:E14,E20:E23)*(1+D28)</f>
        <v>1047355.696256023</v>
      </c>
      <c r="E29" s="63">
        <f>SUM(E27:E28)</f>
        <v>1157986.75</v>
      </c>
      <c r="F29" s="62">
        <f t="shared" ref="F29:M29" si="11">SUM(F27:F28)</f>
        <v>782282.57823158603</v>
      </c>
      <c r="G29" s="62">
        <f t="shared" si="11"/>
        <v>366238.52393437573</v>
      </c>
      <c r="H29" s="62">
        <f t="shared" si="11"/>
        <v>395499.8689528479</v>
      </c>
      <c r="I29" s="62">
        <f t="shared" si="11"/>
        <v>424761.21397132019</v>
      </c>
      <c r="J29" s="62">
        <f t="shared" si="11"/>
        <v>492036.23357543821</v>
      </c>
      <c r="K29" s="62">
        <f t="shared" si="11"/>
        <v>524112.06923780643</v>
      </c>
      <c r="L29" s="62">
        <f t="shared" si="11"/>
        <v>556187.90490017447</v>
      </c>
      <c r="M29" s="62">
        <f t="shared" si="11"/>
        <v>556187.90490017447</v>
      </c>
      <c r="P29" s="296" t="s">
        <v>915</v>
      </c>
      <c r="Q29" s="297">
        <v>0</v>
      </c>
      <c r="R29" s="327"/>
    </row>
    <row r="30" spans="1:18" ht="11" customHeight="1" x14ac:dyDescent="0.25">
      <c r="A30" s="2" t="str">
        <f>B9&amp;B30</f>
        <v>Continental ResourcesCosts and Expenses</v>
      </c>
      <c r="B30" s="72" t="s">
        <v>473</v>
      </c>
      <c r="C30" s="72"/>
      <c r="D30" s="112"/>
      <c r="E30" s="83"/>
      <c r="F30" s="199"/>
      <c r="G30" s="50"/>
      <c r="H30" s="50"/>
      <c r="I30" s="50"/>
      <c r="J30" s="50"/>
      <c r="K30" s="50"/>
      <c r="L30" s="50"/>
      <c r="M30" s="50"/>
      <c r="P30" s="296" t="s">
        <v>916</v>
      </c>
      <c r="Q30" s="297">
        <f>-535/4/1000</f>
        <v>-0.13375000000000001</v>
      </c>
      <c r="R30" s="327"/>
    </row>
    <row r="31" spans="1:18" ht="11" customHeight="1" x14ac:dyDescent="0.25">
      <c r="A31" s="2" t="str">
        <f>B9&amp;B31</f>
        <v>Continental ResourcesImpairment</v>
      </c>
      <c r="B31" s="70" t="s">
        <v>463</v>
      </c>
      <c r="C31" s="82" t="s">
        <v>537</v>
      </c>
      <c r="D31" s="108"/>
      <c r="E31" s="83">
        <f t="shared" ref="E31:E40" si="12">IF(VLOOKUP($B31, P:Q, 2,0) = "-", 0, VLOOKUP($B31, P:Q, 2,0))*1000</f>
        <v>21550.5</v>
      </c>
      <c r="F31" s="207">
        <f>E31</f>
        <v>21550.5</v>
      </c>
      <c r="G31" s="207">
        <f t="shared" ref="G31:M31" si="13">F31</f>
        <v>21550.5</v>
      </c>
      <c r="H31" s="207">
        <f t="shared" si="13"/>
        <v>21550.5</v>
      </c>
      <c r="I31" s="207">
        <f t="shared" si="13"/>
        <v>21550.5</v>
      </c>
      <c r="J31" s="207">
        <f t="shared" si="13"/>
        <v>21550.5</v>
      </c>
      <c r="K31" s="207">
        <f t="shared" si="13"/>
        <v>21550.5</v>
      </c>
      <c r="L31" s="207">
        <f t="shared" si="13"/>
        <v>21550.5</v>
      </c>
      <c r="M31" s="207">
        <f t="shared" si="13"/>
        <v>21550.5</v>
      </c>
      <c r="P31" s="288" t="s">
        <v>471</v>
      </c>
      <c r="Q31" s="291">
        <f t="shared" ref="Q31" si="14">SUM(Q24:Q30)</f>
        <v>-0.13375000000000001</v>
      </c>
      <c r="R31" s="327"/>
    </row>
    <row r="32" spans="1:18" ht="11" customHeight="1" x14ac:dyDescent="0.25">
      <c r="A32" s="2" t="str">
        <f>B9&amp;B32</f>
        <v>Continental ResourcesDD&amp;A</v>
      </c>
      <c r="B32" s="70" t="s">
        <v>464</v>
      </c>
      <c r="C32" s="106" t="s">
        <v>545</v>
      </c>
      <c r="D32" s="108">
        <f>E32/$E$24</f>
        <v>14.450955977759756</v>
      </c>
      <c r="E32" s="83">
        <f t="shared" si="12"/>
        <v>504345.75</v>
      </c>
      <c r="F32" s="205">
        <f>$D32*F24</f>
        <v>481736.63209917012</v>
      </c>
      <c r="G32" s="205">
        <f t="shared" ref="G32:M32" si="15">$D32*G24</f>
        <v>481736.63209917012</v>
      </c>
      <c r="H32" s="205">
        <f t="shared" si="15"/>
        <v>481736.63209917012</v>
      </c>
      <c r="I32" s="205">
        <f t="shared" si="15"/>
        <v>481736.63209917012</v>
      </c>
      <c r="J32" s="205">
        <f t="shared" si="15"/>
        <v>511801.31710602972</v>
      </c>
      <c r="K32" s="205">
        <f t="shared" si="15"/>
        <v>511801.31710602972</v>
      </c>
      <c r="L32" s="205">
        <f t="shared" si="15"/>
        <v>511801.31710602972</v>
      </c>
      <c r="M32" s="205">
        <f t="shared" si="15"/>
        <v>511801.31710602972</v>
      </c>
      <c r="P32" s="292" t="s">
        <v>474</v>
      </c>
      <c r="Q32" s="293">
        <f t="shared" ref="Q32" si="16">SUM(Q31,Q15:Q23)</f>
        <v>843.63374999999996</v>
      </c>
      <c r="R32" s="329"/>
    </row>
    <row r="33" spans="1:18" ht="11" customHeight="1" x14ac:dyDescent="0.25">
      <c r="A33" s="2" t="str">
        <f>B9&amp;B33</f>
        <v>Continental ResourcesAsset retirement obligation</v>
      </c>
      <c r="B33" s="70" t="s">
        <v>465</v>
      </c>
      <c r="C33" s="106" t="s">
        <v>545</v>
      </c>
      <c r="D33" s="108">
        <f t="shared" ref="D33:D40" si="17">E33/$E$24</f>
        <v>0</v>
      </c>
      <c r="E33" s="83">
        <f t="shared" si="12"/>
        <v>0</v>
      </c>
      <c r="F33" s="205">
        <f>$D33*F24</f>
        <v>0</v>
      </c>
      <c r="G33" s="205">
        <f>$D33*G24</f>
        <v>0</v>
      </c>
      <c r="H33" s="205">
        <f t="shared" ref="H33:M33" si="18">$D33*H24</f>
        <v>0</v>
      </c>
      <c r="I33" s="205">
        <f t="shared" si="18"/>
        <v>0</v>
      </c>
      <c r="J33" s="205">
        <f t="shared" si="18"/>
        <v>0</v>
      </c>
      <c r="K33" s="205">
        <f t="shared" si="18"/>
        <v>0</v>
      </c>
      <c r="L33" s="205">
        <f t="shared" si="18"/>
        <v>0</v>
      </c>
      <c r="M33" s="205">
        <f t="shared" si="18"/>
        <v>0</v>
      </c>
      <c r="P33" s="288"/>
      <c r="Q33" s="291"/>
      <c r="R33" s="327"/>
    </row>
    <row r="34" spans="1:18" ht="11" customHeight="1" x14ac:dyDescent="0.25">
      <c r="A34" s="2" t="str">
        <f>B9&amp;B34</f>
        <v>Continental ResourcesNon-cash compensation</v>
      </c>
      <c r="B34" s="70" t="s">
        <v>505</v>
      </c>
      <c r="C34" s="106" t="s">
        <v>878</v>
      </c>
      <c r="D34" s="108">
        <f t="shared" si="17"/>
        <v>0</v>
      </c>
      <c r="E34" s="83">
        <f t="shared" si="12"/>
        <v>0</v>
      </c>
      <c r="F34" s="207">
        <f>$E34*((F$4*0.0266+11.643)*F$24)/(($E$4*0.0266+11.643)*$E$24)</f>
        <v>0</v>
      </c>
      <c r="G34" s="207">
        <f t="shared" ref="G34:M34" si="19">$E34*((G$4*0.0266+11.643)*G$24)/(($E$4*0.0266+11.643)*$E$24)</f>
        <v>0</v>
      </c>
      <c r="H34" s="207">
        <f t="shared" si="19"/>
        <v>0</v>
      </c>
      <c r="I34" s="207">
        <f t="shared" si="19"/>
        <v>0</v>
      </c>
      <c r="J34" s="207">
        <f t="shared" si="19"/>
        <v>0</v>
      </c>
      <c r="K34" s="207">
        <f t="shared" si="19"/>
        <v>0</v>
      </c>
      <c r="L34" s="207">
        <f t="shared" si="19"/>
        <v>0</v>
      </c>
      <c r="M34" s="207">
        <f t="shared" si="19"/>
        <v>0</v>
      </c>
      <c r="P34" s="290" t="s">
        <v>506</v>
      </c>
      <c r="Q34" s="291"/>
      <c r="R34" s="327"/>
    </row>
    <row r="35" spans="1:18" ht="11" customHeight="1" x14ac:dyDescent="0.25">
      <c r="A35" s="2" t="str">
        <f>B9&amp;B35</f>
        <v>Continental ResourcesTaxes other than income</v>
      </c>
      <c r="B35" s="70" t="s">
        <v>467</v>
      </c>
      <c r="C35" s="106" t="s">
        <v>545</v>
      </c>
      <c r="D35" s="108">
        <f t="shared" si="17"/>
        <v>2.564346397568662</v>
      </c>
      <c r="E35" s="83">
        <f t="shared" si="12"/>
        <v>89497</v>
      </c>
      <c r="F35" s="207">
        <f>$D35*F24</f>
        <v>85484.97407379646</v>
      </c>
      <c r="G35" s="207">
        <f t="shared" ref="G35:M35" si="20">$D35*G24</f>
        <v>85484.97407379646</v>
      </c>
      <c r="H35" s="207">
        <f t="shared" si="20"/>
        <v>85484.97407379646</v>
      </c>
      <c r="I35" s="207">
        <f t="shared" si="20"/>
        <v>85484.97407379646</v>
      </c>
      <c r="J35" s="207">
        <f t="shared" si="20"/>
        <v>90820.002898881066</v>
      </c>
      <c r="K35" s="207">
        <f t="shared" si="20"/>
        <v>90820.002898881066</v>
      </c>
      <c r="L35" s="207">
        <f t="shared" si="20"/>
        <v>90820.002898881066</v>
      </c>
      <c r="M35" s="207">
        <f t="shared" si="20"/>
        <v>90820.002898881066</v>
      </c>
      <c r="P35" s="288" t="s">
        <v>466</v>
      </c>
      <c r="Q35" s="291" t="s">
        <v>899</v>
      </c>
      <c r="R35" s="327"/>
    </row>
    <row r="36" spans="1:18" ht="11" customHeight="1" x14ac:dyDescent="0.25">
      <c r="A36" s="2" t="str">
        <f>B9&amp;B36</f>
        <v>Continental ResourcesLease operating expenses</v>
      </c>
      <c r="B36" s="70" t="s">
        <v>468</v>
      </c>
      <c r="C36" s="106" t="s">
        <v>878</v>
      </c>
      <c r="D36" s="108">
        <f t="shared" si="17"/>
        <v>0</v>
      </c>
      <c r="E36" s="83">
        <f t="shared" si="12"/>
        <v>0</v>
      </c>
      <c r="F36" s="207">
        <f>$E36*((F$4*0.0266+11.643)*F$24)/(($E$4*0.0266+11.643)*$E$24)</f>
        <v>0</v>
      </c>
      <c r="G36" s="207">
        <f t="shared" ref="G36:M38" si="21">$E36*((G$4*0.0266+11.643)*G$24)/(($E$4*0.0266+11.643)*$E$24)</f>
        <v>0</v>
      </c>
      <c r="H36" s="207">
        <f t="shared" si="21"/>
        <v>0</v>
      </c>
      <c r="I36" s="207">
        <f t="shared" si="21"/>
        <v>0</v>
      </c>
      <c r="J36" s="207">
        <f t="shared" si="21"/>
        <v>0</v>
      </c>
      <c r="K36" s="207">
        <f t="shared" si="21"/>
        <v>0</v>
      </c>
      <c r="L36" s="207">
        <f t="shared" si="21"/>
        <v>0</v>
      </c>
      <c r="M36" s="207">
        <f t="shared" si="21"/>
        <v>0</v>
      </c>
      <c r="P36" s="288" t="s">
        <v>475</v>
      </c>
      <c r="Q36" s="291">
        <f>269.379/4</f>
        <v>67.344750000000005</v>
      </c>
      <c r="R36" s="327"/>
    </row>
    <row r="37" spans="1:18" ht="11" customHeight="1" x14ac:dyDescent="0.25">
      <c r="A37" s="2" t="str">
        <f>B9&amp;B37</f>
        <v>Continental ResourcesTransportation, Processing, and Other Operating</v>
      </c>
      <c r="B37" s="70" t="s">
        <v>469</v>
      </c>
      <c r="C37" s="106" t="s">
        <v>878</v>
      </c>
      <c r="D37" s="108">
        <f t="shared" si="17"/>
        <v>5.039525046618003</v>
      </c>
      <c r="E37" s="83">
        <f t="shared" si="12"/>
        <v>175882</v>
      </c>
      <c r="F37" s="207">
        <f>$E37*((F$4*0.0266+11.643)*F$24)/(($E$4*0.0266+11.643)*$E$24)</f>
        <v>163466.88319770337</v>
      </c>
      <c r="G37" s="207">
        <f t="shared" si="21"/>
        <v>153154.58562601186</v>
      </c>
      <c r="H37" s="207">
        <f t="shared" si="21"/>
        <v>153823.81141289513</v>
      </c>
      <c r="I37" s="207">
        <f t="shared" si="21"/>
        <v>154493.03719977845</v>
      </c>
      <c r="J37" s="207">
        <f t="shared" si="21"/>
        <v>164845.77935393096</v>
      </c>
      <c r="K37" s="207">
        <f t="shared" si="21"/>
        <v>165556.77083007363</v>
      </c>
      <c r="L37" s="207">
        <f t="shared" si="21"/>
        <v>166267.76230621626</v>
      </c>
      <c r="M37" s="207">
        <f t="shared" si="21"/>
        <v>166267.76230621626</v>
      </c>
      <c r="P37" s="288" t="s">
        <v>508</v>
      </c>
      <c r="Q37" s="291">
        <f>-(3.713-(4.584))/4</f>
        <v>0.21774999999999989</v>
      </c>
      <c r="R37" s="327"/>
    </row>
    <row r="38" spans="1:18" ht="11" customHeight="1" x14ac:dyDescent="0.25">
      <c r="A38" s="2" t="str">
        <f>B9&amp;B38</f>
        <v>Continental ResourcesSG&amp;A</v>
      </c>
      <c r="B38" s="70" t="s">
        <v>470</v>
      </c>
      <c r="C38" s="106" t="s">
        <v>878</v>
      </c>
      <c r="D38" s="108">
        <f t="shared" si="17"/>
        <v>1.3989909721497782</v>
      </c>
      <c r="E38" s="83">
        <f t="shared" si="12"/>
        <v>48825.5</v>
      </c>
      <c r="F38" s="207">
        <f>$E38*((F$4*0.0266+11.643)*F$24)/(($E$4*0.0266+11.643)*$E$24)</f>
        <v>45379.017213640196</v>
      </c>
      <c r="G38" s="207">
        <f t="shared" si="21"/>
        <v>42516.28489830024</v>
      </c>
      <c r="H38" s="207">
        <f t="shared" si="21"/>
        <v>42702.06447584353</v>
      </c>
      <c r="I38" s="207">
        <f t="shared" si="21"/>
        <v>42887.844053386827</v>
      </c>
      <c r="J38" s="207">
        <f t="shared" si="21"/>
        <v>45761.803935851058</v>
      </c>
      <c r="K38" s="207">
        <f t="shared" si="21"/>
        <v>45959.177824699284</v>
      </c>
      <c r="L38" s="207">
        <f t="shared" si="21"/>
        <v>46156.551713547502</v>
      </c>
      <c r="M38" s="207">
        <f t="shared" si="21"/>
        <v>46156.551713547502</v>
      </c>
      <c r="P38" s="292" t="s">
        <v>518</v>
      </c>
      <c r="Q38" s="293">
        <f t="shared" ref="Q38" si="22">SUM(Q35:Q37)</f>
        <v>67.5625</v>
      </c>
      <c r="R38" s="329"/>
    </row>
    <row r="39" spans="1:18" ht="11" customHeight="1" x14ac:dyDescent="0.25">
      <c r="A39" s="2" t="str">
        <f>B9&amp;B39</f>
        <v>Continental ResourcesExploratory and dirt well, dry hole</v>
      </c>
      <c r="B39" s="70" t="s">
        <v>561</v>
      </c>
      <c r="C39" s="106" t="s">
        <v>545</v>
      </c>
      <c r="D39" s="108">
        <f t="shared" si="17"/>
        <v>0.1050629311964076</v>
      </c>
      <c r="E39" s="83">
        <f t="shared" si="12"/>
        <v>3666.75</v>
      </c>
      <c r="F39" s="157">
        <f>$D39*F24</f>
        <v>3502.3747017787541</v>
      </c>
      <c r="G39" s="157">
        <f t="shared" ref="G39:M39" si="23">$D39*G24</f>
        <v>3502.3747017787541</v>
      </c>
      <c r="H39" s="157">
        <f t="shared" si="23"/>
        <v>3502.3747017787541</v>
      </c>
      <c r="I39" s="157">
        <f t="shared" si="23"/>
        <v>3502.3747017787541</v>
      </c>
      <c r="J39" s="157">
        <f t="shared" si="23"/>
        <v>3720.954284830465</v>
      </c>
      <c r="K39" s="157">
        <f t="shared" si="23"/>
        <v>3720.954284830465</v>
      </c>
      <c r="L39" s="157">
        <f t="shared" si="23"/>
        <v>3720.954284830465</v>
      </c>
      <c r="M39" s="157">
        <f t="shared" si="23"/>
        <v>3720.954284830465</v>
      </c>
      <c r="P39" s="288" t="s">
        <v>477</v>
      </c>
      <c r="Q39" s="291">
        <f>Q40+Q41</f>
        <v>53.172249999999998</v>
      </c>
      <c r="R39" s="327"/>
    </row>
    <row r="40" spans="1:18" ht="11" customHeight="1" x14ac:dyDescent="0.25">
      <c r="A40" s="2" t="str">
        <f>B9&amp;B40</f>
        <v>Continental ResourcesOther Expenses (benefits)</v>
      </c>
      <c r="B40" s="70" t="s">
        <v>471</v>
      </c>
      <c r="C40" s="106" t="s">
        <v>545</v>
      </c>
      <c r="D40" s="108">
        <f t="shared" si="17"/>
        <v>-3.8323220965485829E-3</v>
      </c>
      <c r="E40" s="83">
        <f t="shared" si="12"/>
        <v>-133.75</v>
      </c>
      <c r="F40" s="157">
        <f t="shared" ref="F40:M40" si="24">$D40*F24</f>
        <v>-127.75417368593669</v>
      </c>
      <c r="G40" s="157">
        <f t="shared" si="24"/>
        <v>-127.75417368593669</v>
      </c>
      <c r="H40" s="157">
        <f t="shared" si="24"/>
        <v>-127.75417368593669</v>
      </c>
      <c r="I40" s="157">
        <f t="shared" si="24"/>
        <v>-127.75417368593669</v>
      </c>
      <c r="J40" s="157">
        <f t="shared" si="24"/>
        <v>-135.72717954484889</v>
      </c>
      <c r="K40" s="157">
        <f t="shared" si="24"/>
        <v>-135.72717954484889</v>
      </c>
      <c r="L40" s="157">
        <f t="shared" si="24"/>
        <v>-135.72717954484889</v>
      </c>
      <c r="M40" s="157">
        <f t="shared" si="24"/>
        <v>-135.72717954484889</v>
      </c>
      <c r="P40" s="296" t="s">
        <v>918</v>
      </c>
      <c r="Q40" s="297">
        <f>212.689/4</f>
        <v>53.172249999999998</v>
      </c>
      <c r="R40" s="327"/>
    </row>
    <row r="41" spans="1:18" ht="11" customHeight="1" x14ac:dyDescent="0.25">
      <c r="A41" s="2" t="str">
        <f>B9&amp;B41</f>
        <v>Continental ResourcesTotal Costs and Expenses</v>
      </c>
      <c r="B41" s="84" t="s">
        <v>474</v>
      </c>
      <c r="C41" s="85"/>
      <c r="D41" s="110"/>
      <c r="E41" s="63">
        <f t="shared" ref="E41:M41" si="25">SUM(E31:E40)</f>
        <v>843633.75</v>
      </c>
      <c r="F41" s="215">
        <f t="shared" si="25"/>
        <v>800992.62711240293</v>
      </c>
      <c r="G41" s="215">
        <f t="shared" si="25"/>
        <v>787817.5972253714</v>
      </c>
      <c r="H41" s="215">
        <f t="shared" si="25"/>
        <v>788672.60258979804</v>
      </c>
      <c r="I41" s="215">
        <f t="shared" si="25"/>
        <v>789527.60795422469</v>
      </c>
      <c r="J41" s="215">
        <f t="shared" si="25"/>
        <v>838364.63039997849</v>
      </c>
      <c r="K41" s="215">
        <f t="shared" si="25"/>
        <v>839272.99576496938</v>
      </c>
      <c r="L41" s="215">
        <f t="shared" si="25"/>
        <v>840181.36112996028</v>
      </c>
      <c r="M41" s="215">
        <f t="shared" si="25"/>
        <v>840181.36112996028</v>
      </c>
      <c r="P41" s="296" t="s">
        <v>919</v>
      </c>
      <c r="Q41" s="297">
        <v>0</v>
      </c>
      <c r="R41" s="327"/>
    </row>
    <row r="42" spans="1:18" ht="11" customHeight="1" x14ac:dyDescent="0.25">
      <c r="A42" s="2" t="str">
        <f>B9&amp;B42</f>
        <v>Continental ResourcesOther (Income) Expense</v>
      </c>
      <c r="B42" s="72" t="s">
        <v>506</v>
      </c>
      <c r="C42" s="72"/>
      <c r="D42" s="112"/>
      <c r="E42" s="83"/>
      <c r="F42" s="157"/>
      <c r="G42" s="157"/>
      <c r="H42" s="157"/>
      <c r="I42" s="157"/>
      <c r="J42" s="157"/>
      <c r="K42" s="157"/>
      <c r="L42" s="157"/>
      <c r="M42" s="157"/>
      <c r="P42" s="296" t="s">
        <v>920</v>
      </c>
      <c r="Q42" s="297" t="s">
        <v>899</v>
      </c>
      <c r="R42" s="327"/>
    </row>
    <row r="43" spans="1:18" ht="11" customHeight="1" x14ac:dyDescent="0.25">
      <c r="A43" s="2" t="str">
        <f>B9&amp;B43</f>
        <v>Continental ResourcesLoss (gain) on derivative instruments, net</v>
      </c>
      <c r="B43" s="70" t="s">
        <v>466</v>
      </c>
      <c r="C43" s="107" t="s">
        <v>879</v>
      </c>
      <c r="D43" s="108"/>
      <c r="E43" s="83">
        <f>IF(VLOOKUP($B43, P:Q, 2,0) = "-", 0, VLOOKUP($B43, P:Q, 2,0))*1000</f>
        <v>0</v>
      </c>
      <c r="F43" s="157">
        <f>E43</f>
        <v>0</v>
      </c>
      <c r="G43" s="157">
        <f t="shared" ref="G43:M43" si="26">F43</f>
        <v>0</v>
      </c>
      <c r="H43" s="157">
        <f t="shared" si="26"/>
        <v>0</v>
      </c>
      <c r="I43" s="157">
        <f t="shared" si="26"/>
        <v>0</v>
      </c>
      <c r="J43" s="157">
        <f t="shared" si="26"/>
        <v>0</v>
      </c>
      <c r="K43" s="157">
        <f t="shared" si="26"/>
        <v>0</v>
      </c>
      <c r="L43" s="157">
        <f t="shared" si="26"/>
        <v>0</v>
      </c>
      <c r="M43" s="157">
        <f t="shared" si="26"/>
        <v>0</v>
      </c>
      <c r="P43" s="292" t="s">
        <v>478</v>
      </c>
      <c r="Q43" s="293">
        <f>Q12-Q32-Q38-Q39</f>
        <v>193.61825000000007</v>
      </c>
      <c r="R43" s="329"/>
    </row>
    <row r="44" spans="1:18" ht="11" customHeight="1" x14ac:dyDescent="0.25">
      <c r="A44" s="2" t="str">
        <f>B9&amp;B44</f>
        <v>Continental ResourcesInterest expense, net</v>
      </c>
      <c r="B44" s="70" t="s">
        <v>475</v>
      </c>
      <c r="C44" s="82" t="s">
        <v>526</v>
      </c>
      <c r="D44" s="108"/>
      <c r="E44" s="83">
        <f>IF(VLOOKUP($B44, P:Q, 2,0) = "-", 0, VLOOKUP($B44, P:Q, 2,0))*1000</f>
        <v>67344.75</v>
      </c>
      <c r="F44" s="157">
        <f>$E73*(F78/E78)*(($E44/$E73)+IF($B$2="A3",(('Quarterly Forecasts'!$K$5-'Quarterly Forecasts'!$G$5)/400),(('Quarterly Forecasts'!$K$26-'Quarterly Forecasts'!$G$26)/400)))</f>
        <v>72800.4566614957</v>
      </c>
      <c r="G44" s="157">
        <f>$E73*(G78/F78)*(($E44/$E73)+IF($B$2="A3",(('Quarterly Forecasts'!$K$5-'Quarterly Forecasts'!$G$5)/400),(('Quarterly Forecasts'!$K$26-'Quarterly Forecasts'!$G$26)/400)))</f>
        <v>73039.491379979998</v>
      </c>
      <c r="H44" s="157">
        <f>$E73*(H78/G78)*(($E44/$E73)+IF($B$2="A3",(('Quarterly Forecasts'!$K$5-'Quarterly Forecasts'!$G$5)/400),(('Quarterly Forecasts'!$K$26-'Quarterly Forecasts'!$G$26)/400)))</f>
        <v>73039.491379979998</v>
      </c>
      <c r="I44" s="157">
        <f>$E73*(I78/H78)*(($E44/$E73)+IF($B$2="A3",(('Quarterly Forecasts'!$K$5-'Quarterly Forecasts'!$G$5)/400),(('Quarterly Forecasts'!$K$26-'Quarterly Forecasts'!$G$26)/400)))</f>
        <v>73039.491379979998</v>
      </c>
      <c r="J44" s="157">
        <f>$I73*(J78/I78)*(($I44/$I73)+ IF($B$2 = "A3", (('Quarterly Forecasts'!$O$5-'Quarterly Forecasts'!$K$5)/400),  (('Quarterly Forecasts'!$O$26-'Quarterly Forecasts'!$K$26)/400)))</f>
        <v>67562.321394399696</v>
      </c>
      <c r="K44" s="157">
        <f>$I73*(K78/J78)*(($I44/$I73)+ IF($B$2 = "A3", (('Quarterly Forecasts'!$O$5-'Quarterly Forecasts'!$K$5)/400),  (('Quarterly Forecasts'!$O$26-'Quarterly Forecasts'!$K$26)/400)))</f>
        <v>67268.615670300002</v>
      </c>
      <c r="L44" s="157">
        <f>$I73*(L78/K78)*(($I44/$I73)+ IF($B$2 = "A3", (('Quarterly Forecasts'!$O$5-'Quarterly Forecasts'!$K$5)/400),  (('Quarterly Forecasts'!$O$26-'Quarterly Forecasts'!$K$26)/400)))</f>
        <v>67268.615670300002</v>
      </c>
      <c r="M44" s="157">
        <f>$I73*(M78/L78)*(($I44/$I73)+ IF($B$2 = "A3", (('Quarterly Forecasts'!$O$5-'Quarterly Forecasts'!$K$5)/400),  (('Quarterly Forecasts'!$O$26-'Quarterly Forecasts'!$K$26)/400)))</f>
        <v>67268.615670300002</v>
      </c>
      <c r="N44" s="154"/>
      <c r="P44" s="288"/>
      <c r="Q44" s="291"/>
      <c r="R44" s="327"/>
    </row>
    <row r="45" spans="1:18" ht="11" customHeight="1" x14ac:dyDescent="0.25">
      <c r="A45" s="2" t="str">
        <f>B9&amp;B45</f>
        <v>Continental ResourcesOther, net</v>
      </c>
      <c r="B45" s="70" t="s">
        <v>508</v>
      </c>
      <c r="C45" s="82" t="s">
        <v>509</v>
      </c>
      <c r="D45" s="108"/>
      <c r="E45" s="83">
        <f>IF(VLOOKUP($B45, P:Q, 2,0) = "-", 0, VLOOKUP($B45, P:Q, 2,0))*1000</f>
        <v>217.74999999999989</v>
      </c>
      <c r="F45" s="157">
        <f>E45</f>
        <v>217.74999999999989</v>
      </c>
      <c r="G45" s="157">
        <f t="shared" ref="G45:M45" si="27">F45</f>
        <v>217.74999999999989</v>
      </c>
      <c r="H45" s="157">
        <f t="shared" si="27"/>
        <v>217.74999999999989</v>
      </c>
      <c r="I45" s="157">
        <f t="shared" si="27"/>
        <v>217.74999999999989</v>
      </c>
      <c r="J45" s="157">
        <f t="shared" si="27"/>
        <v>217.74999999999989</v>
      </c>
      <c r="K45" s="157">
        <f t="shared" si="27"/>
        <v>217.74999999999989</v>
      </c>
      <c r="L45" s="157">
        <f t="shared" si="27"/>
        <v>217.74999999999989</v>
      </c>
      <c r="M45" s="157">
        <f t="shared" si="27"/>
        <v>217.74999999999989</v>
      </c>
      <c r="P45" s="290" t="s">
        <v>479</v>
      </c>
      <c r="Q45" s="291"/>
      <c r="R45" s="327"/>
    </row>
    <row r="46" spans="1:18" ht="11" customHeight="1" x14ac:dyDescent="0.25">
      <c r="A46" s="2" t="str">
        <f>B9&amp;B46</f>
        <v>Continental ResourcesTotal Other (Income) Expense</v>
      </c>
      <c r="B46" s="84" t="s">
        <v>518</v>
      </c>
      <c r="C46" s="84"/>
      <c r="D46" s="110"/>
      <c r="E46" s="63">
        <f>SUM(E43:E45)</f>
        <v>67562.5</v>
      </c>
      <c r="F46" s="62">
        <f>SUM(F43:F45)</f>
        <v>73018.2066614957</v>
      </c>
      <c r="G46" s="62">
        <f t="shared" ref="G46:L46" si="28">SUM(G43:G45)</f>
        <v>73257.241379979998</v>
      </c>
      <c r="H46" s="62">
        <f t="shared" si="28"/>
        <v>73257.241379979998</v>
      </c>
      <c r="I46" s="62">
        <f t="shared" si="28"/>
        <v>73257.241379979998</v>
      </c>
      <c r="J46" s="62">
        <f t="shared" si="28"/>
        <v>67780.071394399696</v>
      </c>
      <c r="K46" s="62">
        <f t="shared" si="28"/>
        <v>67486.365670300002</v>
      </c>
      <c r="L46" s="62">
        <f t="shared" si="28"/>
        <v>67486.365670300002</v>
      </c>
      <c r="M46" s="62">
        <f>SUM(M43:M45)</f>
        <v>67486.365670300002</v>
      </c>
      <c r="P46" s="288" t="s">
        <v>480</v>
      </c>
      <c r="Q46" s="291">
        <f>39.4</f>
        <v>39.4</v>
      </c>
      <c r="R46" s="327"/>
    </row>
    <row r="47" spans="1:18" ht="11" customHeight="1" x14ac:dyDescent="0.25">
      <c r="A47" s="2" t="str">
        <f>B9&amp;B47</f>
        <v>Continental ResourcesIncome (loss) from continuing operations before income taxes</v>
      </c>
      <c r="B47" s="72" t="s">
        <v>476</v>
      </c>
      <c r="C47" s="72"/>
      <c r="D47" s="112"/>
      <c r="E47" s="63">
        <f>E29-E41-E46</f>
        <v>246790.5</v>
      </c>
      <c r="F47" s="62">
        <f>F29-F41-F46</f>
        <v>-91728.255542312603</v>
      </c>
      <c r="G47" s="62">
        <f t="shared" ref="G47:M47" si="29">G29-G41-G46</f>
        <v>-494836.31467097567</v>
      </c>
      <c r="H47" s="62">
        <f t="shared" si="29"/>
        <v>-466429.97501693014</v>
      </c>
      <c r="I47" s="62">
        <f t="shared" si="29"/>
        <v>-438023.6353628845</v>
      </c>
      <c r="J47" s="62">
        <f t="shared" si="29"/>
        <v>-414108.46821893996</v>
      </c>
      <c r="K47" s="62">
        <f t="shared" si="29"/>
        <v>-382647.29219746299</v>
      </c>
      <c r="L47" s="62">
        <f t="shared" si="29"/>
        <v>-351479.82190008578</v>
      </c>
      <c r="M47" s="62">
        <f t="shared" si="29"/>
        <v>-351479.82190008578</v>
      </c>
      <c r="P47" s="288" t="s">
        <v>481</v>
      </c>
      <c r="Q47" s="291" t="s">
        <v>899</v>
      </c>
      <c r="R47" s="327"/>
    </row>
    <row r="48" spans="1:18" ht="11" customHeight="1" x14ac:dyDescent="0.25">
      <c r="A48" s="2" t="str">
        <f>B9&amp;B48</f>
        <v>Continental ResourcesIncome tax (benefit) expense</v>
      </c>
      <c r="B48" s="73" t="s">
        <v>477</v>
      </c>
      <c r="C48" s="73" t="s">
        <v>525</v>
      </c>
      <c r="D48" s="109">
        <f>ABS(E48/E47)</f>
        <v>0.21545501143682597</v>
      </c>
      <c r="E48" s="83">
        <f>IF(VLOOKUP($B48, P:Q, 2,0) = "-", 0, VLOOKUP($B48, P:Q, 2,0))*1000</f>
        <v>53172.25</v>
      </c>
      <c r="F48" s="50">
        <f>($D48*F47)</f>
        <v>-19763.312346949057</v>
      </c>
      <c r="G48" s="50">
        <f t="shared" ref="G48:M48" si="30">($D48*G47)</f>
        <v>-106614.96383679188</v>
      </c>
      <c r="H48" s="50">
        <f t="shared" si="30"/>
        <v>-100494.67560175114</v>
      </c>
      <c r="I48" s="50">
        <f t="shared" si="30"/>
        <v>-94374.387366710362</v>
      </c>
      <c r="J48" s="50">
        <f t="shared" si="30"/>
        <v>-89221.744756198197</v>
      </c>
      <c r="K48" s="50">
        <f t="shared" si="30"/>
        <v>-82443.276716674882</v>
      </c>
      <c r="L48" s="50">
        <f t="shared" si="30"/>
        <v>-75728.08904729654</v>
      </c>
      <c r="M48" s="50">
        <f t="shared" si="30"/>
        <v>-75728.08904729654</v>
      </c>
      <c r="P48" s="288" t="s">
        <v>482</v>
      </c>
      <c r="Q48" s="291">
        <f>726.876</f>
        <v>726.87599999999998</v>
      </c>
      <c r="R48" s="327"/>
    </row>
    <row r="49" spans="1:18" ht="11" customHeight="1" thickBot="1" x14ac:dyDescent="0.3">
      <c r="A49" s="2" t="str">
        <f>B9&amp;B49</f>
        <v>Continental ResourcesNet (loss) Income</v>
      </c>
      <c r="B49" s="74" t="s">
        <v>478</v>
      </c>
      <c r="C49" s="74"/>
      <c r="D49" s="116"/>
      <c r="E49" s="86">
        <f>(E47-E48)</f>
        <v>193618.25</v>
      </c>
      <c r="F49" s="34">
        <f>F47-F48</f>
        <v>-71964.94319536355</v>
      </c>
      <c r="G49" s="34">
        <f t="shared" ref="G49:M49" si="31">G47-G48</f>
        <v>-388221.3508341838</v>
      </c>
      <c r="H49" s="34">
        <f t="shared" si="31"/>
        <v>-365935.299415179</v>
      </c>
      <c r="I49" s="34">
        <f t="shared" si="31"/>
        <v>-343649.24799617415</v>
      </c>
      <c r="J49" s="34">
        <f t="shared" si="31"/>
        <v>-324886.72346274176</v>
      </c>
      <c r="K49" s="34">
        <f t="shared" si="31"/>
        <v>-300204.01548078808</v>
      </c>
      <c r="L49" s="34">
        <f t="shared" si="31"/>
        <v>-275751.73285278922</v>
      </c>
      <c r="M49" s="34">
        <f t="shared" si="31"/>
        <v>-275751.73285278922</v>
      </c>
      <c r="P49" s="288" t="s">
        <v>569</v>
      </c>
      <c r="Q49" s="291">
        <f>314.611</f>
        <v>314.61099999999999</v>
      </c>
      <c r="R49" s="327"/>
    </row>
    <row r="50" spans="1:18" ht="11" customHeight="1" thickTop="1" x14ac:dyDescent="0.25">
      <c r="P50" s="288" t="s">
        <v>484</v>
      </c>
      <c r="Q50" s="291">
        <f>109.536</f>
        <v>109.536</v>
      </c>
      <c r="R50" s="327"/>
    </row>
    <row r="51" spans="1:18" ht="11" customHeight="1" x14ac:dyDescent="0.25">
      <c r="A51" s="2" t="str">
        <f>B9&amp;B51</f>
        <v>Continental ResourcesCurrent Assets</v>
      </c>
      <c r="B51" s="64" t="s">
        <v>479</v>
      </c>
      <c r="C51" s="64"/>
      <c r="D51" s="111"/>
      <c r="E51" s="83"/>
      <c r="F51" s="50"/>
      <c r="G51" s="50"/>
      <c r="H51" s="50"/>
      <c r="I51" s="50"/>
      <c r="J51" s="50"/>
      <c r="K51" s="50"/>
      <c r="L51" s="50"/>
      <c r="M51" s="50"/>
      <c r="P51" s="288" t="s">
        <v>813</v>
      </c>
      <c r="Q51" s="291" t="s">
        <v>899</v>
      </c>
      <c r="R51" s="327"/>
    </row>
    <row r="52" spans="1:18" ht="11" customHeight="1" x14ac:dyDescent="0.25">
      <c r="A52" s="2" t="str">
        <f>B9&amp;B52</f>
        <v>Continental ResourcesCash and cash equivalents</v>
      </c>
      <c r="B52" s="70" t="s">
        <v>480</v>
      </c>
      <c r="C52" s="82" t="s">
        <v>538</v>
      </c>
      <c r="D52" s="140">
        <v>2406</v>
      </c>
      <c r="E52" s="83">
        <f>IF(VLOOKUP($B52, P:Q, 2,0) = "-", 0, VLOOKUP($B52, P:Q, 2,0))*1000</f>
        <v>39400</v>
      </c>
      <c r="F52" s="50">
        <f>F49+E52</f>
        <v>-32564.94319536355</v>
      </c>
      <c r="G52" s="50">
        <f>G49+F52</f>
        <v>-420786.29402954737</v>
      </c>
      <c r="H52" s="50">
        <f t="shared" ref="H52:M52" si="32">H49+G52</f>
        <v>-786721.59344472643</v>
      </c>
      <c r="I52" s="50">
        <f t="shared" si="32"/>
        <v>-1130370.8414409007</v>
      </c>
      <c r="J52" s="50">
        <f t="shared" si="32"/>
        <v>-1455257.5649036425</v>
      </c>
      <c r="K52" s="50">
        <f t="shared" si="32"/>
        <v>-1755461.5803844305</v>
      </c>
      <c r="L52" s="50">
        <f t="shared" si="32"/>
        <v>-2031213.3132372196</v>
      </c>
      <c r="M52" s="50">
        <f t="shared" si="32"/>
        <v>-2306965.0460900087</v>
      </c>
      <c r="P52" s="288" t="s">
        <v>486</v>
      </c>
      <c r="Q52" s="291">
        <f>16.592</f>
        <v>16.591999999999999</v>
      </c>
      <c r="R52" s="327"/>
    </row>
    <row r="53" spans="1:18" ht="11" customHeight="1" x14ac:dyDescent="0.25">
      <c r="A53" s="2" t="str">
        <f>B9&amp;B53</f>
        <v>Continental ResourcesAccounts receivable, net of allowance</v>
      </c>
      <c r="B53" s="70" t="s">
        <v>481</v>
      </c>
      <c r="C53" s="82"/>
      <c r="D53" s="108"/>
      <c r="E53" s="83"/>
      <c r="F53" s="50"/>
      <c r="G53" s="50"/>
      <c r="H53" s="50"/>
      <c r="I53" s="50"/>
      <c r="J53" s="50"/>
      <c r="K53" s="50"/>
      <c r="L53" s="50"/>
      <c r="M53" s="50"/>
      <c r="P53" s="288" t="s">
        <v>568</v>
      </c>
      <c r="Q53" s="291" t="s">
        <v>899</v>
      </c>
      <c r="R53" s="327"/>
    </row>
    <row r="54" spans="1:18" ht="11" customHeight="1" x14ac:dyDescent="0.25">
      <c r="A54" s="2" t="str">
        <f>B9&amp;B54</f>
        <v>Continental ResourcesOil and gas sales</v>
      </c>
      <c r="B54" s="75" t="s">
        <v>482</v>
      </c>
      <c r="C54" s="82" t="s">
        <v>539</v>
      </c>
      <c r="D54" s="133">
        <f>E54/E29</f>
        <v>0.62770666417383447</v>
      </c>
      <c r="E54" s="83">
        <f t="shared" ref="E54:E59" si="33">IF(VLOOKUP($B54, P:Q, 2,0) = "-", 0, VLOOKUP($B54, P:Q, 2,0))*1000</f>
        <v>726876</v>
      </c>
      <c r="F54" s="50">
        <f>$D54*F29</f>
        <v>491043.98762305558</v>
      </c>
      <c r="G54" s="50">
        <f>$D54*G29</f>
        <v>229890.36215079602</v>
      </c>
      <c r="H54" s="50">
        <f t="shared" ref="H54:M54" si="34">$D54*H29</f>
        <v>248257.90342158085</v>
      </c>
      <c r="I54" s="50">
        <f t="shared" si="34"/>
        <v>266625.44469236571</v>
      </c>
      <c r="J54" s="50">
        <f t="shared" si="34"/>
        <v>308854.42283029598</v>
      </c>
      <c r="K54" s="50">
        <f t="shared" si="34"/>
        <v>328988.63863450923</v>
      </c>
      <c r="L54" s="50">
        <f t="shared" si="34"/>
        <v>349122.85443872242</v>
      </c>
      <c r="M54" s="50">
        <f t="shared" si="34"/>
        <v>349122.85443872242</v>
      </c>
      <c r="P54" s="296" t="s">
        <v>927</v>
      </c>
      <c r="Q54" s="297" t="s">
        <v>899</v>
      </c>
      <c r="R54" s="327"/>
    </row>
    <row r="55" spans="1:18" ht="11" customHeight="1" x14ac:dyDescent="0.25">
      <c r="A55" s="2" t="str">
        <f>B9&amp;B55</f>
        <v>Continental ResourcesOther receivable</v>
      </c>
      <c r="B55" s="75" t="s">
        <v>569</v>
      </c>
      <c r="C55" s="82" t="s">
        <v>539</v>
      </c>
      <c r="D55" s="133">
        <f>E55/E29</f>
        <v>0.271687910073237</v>
      </c>
      <c r="E55" s="83">
        <f t="shared" si="33"/>
        <v>314611</v>
      </c>
      <c r="F55" s="50">
        <f t="shared" ref="F55:M55" si="35">$D55*F29</f>
        <v>212536.71876644314</v>
      </c>
      <c r="G55" s="50">
        <f>$D55*G29</f>
        <v>99502.579156037726</v>
      </c>
      <c r="H55" s="50">
        <f t="shared" si="35"/>
        <v>107452.53283003836</v>
      </c>
      <c r="I55" s="50">
        <f t="shared" si="35"/>
        <v>115402.48650403903</v>
      </c>
      <c r="J55" s="50">
        <f t="shared" si="35"/>
        <v>133680.2959804179</v>
      </c>
      <c r="K55" s="50">
        <f t="shared" si="35"/>
        <v>142394.91273537933</v>
      </c>
      <c r="L55" s="50">
        <f t="shared" si="35"/>
        <v>151109.5294903407</v>
      </c>
      <c r="M55" s="50">
        <f t="shared" si="35"/>
        <v>151109.5294903407</v>
      </c>
      <c r="P55" s="296" t="s">
        <v>928</v>
      </c>
      <c r="Q55" s="297" t="s">
        <v>899</v>
      </c>
      <c r="R55" s="327"/>
    </row>
    <row r="56" spans="1:18" ht="11" customHeight="1" x14ac:dyDescent="0.25">
      <c r="A56" s="2" t="str">
        <f>B9&amp;B56</f>
        <v>Continental ResourcesInventory</v>
      </c>
      <c r="B56" s="70" t="s">
        <v>484</v>
      </c>
      <c r="C56" s="82" t="s">
        <v>539</v>
      </c>
      <c r="D56" s="133">
        <f>E56/E29</f>
        <v>9.4591755907397046E-2</v>
      </c>
      <c r="E56" s="83">
        <f t="shared" si="33"/>
        <v>109536</v>
      </c>
      <c r="F56" s="50">
        <f t="shared" ref="F56:M56" si="36">$D56*F29</f>
        <v>73997.482690691424</v>
      </c>
      <c r="G56" s="50">
        <f t="shared" si="36"/>
        <v>34643.145059885857</v>
      </c>
      <c r="H56" s="50">
        <f t="shared" si="36"/>
        <v>37411.027065395305</v>
      </c>
      <c r="I56" s="50">
        <f t="shared" si="36"/>
        <v>40178.909070904767</v>
      </c>
      <c r="J56" s="50">
        <f t="shared" si="36"/>
        <v>46542.571303962846</v>
      </c>
      <c r="K56" s="50">
        <f t="shared" si="36"/>
        <v>49576.680921463369</v>
      </c>
      <c r="L56" s="50">
        <f t="shared" si="36"/>
        <v>52610.790538963862</v>
      </c>
      <c r="M56" s="50">
        <f t="shared" si="36"/>
        <v>52610.790538963862</v>
      </c>
      <c r="P56" s="292" t="s">
        <v>487</v>
      </c>
      <c r="Q56" s="293">
        <f t="shared" ref="Q56" si="37">SUM(Q46:Q55)</f>
        <v>1207.0150000000001</v>
      </c>
      <c r="R56" s="329"/>
    </row>
    <row r="57" spans="1:18" ht="11" customHeight="1" x14ac:dyDescent="0.25">
      <c r="A57" s="2" t="str">
        <f>B9&amp;B57</f>
        <v>Continental ResourcesDerivative instruments current assets</v>
      </c>
      <c r="B57" s="70" t="s">
        <v>813</v>
      </c>
      <c r="C57" s="107" t="s">
        <v>507</v>
      </c>
      <c r="D57" s="108"/>
      <c r="E57" s="83">
        <f t="shared" si="33"/>
        <v>0</v>
      </c>
      <c r="F57" s="138"/>
      <c r="G57" s="138"/>
      <c r="H57" s="138"/>
      <c r="I57" s="138"/>
      <c r="J57" s="138"/>
      <c r="K57" s="138"/>
      <c r="L57" s="138"/>
      <c r="M57" s="138"/>
      <c r="P57" s="288" t="s">
        <v>488</v>
      </c>
      <c r="Q57" s="291">
        <f>14497.726</f>
        <v>14497.726000000001</v>
      </c>
      <c r="R57" s="327"/>
    </row>
    <row r="58" spans="1:18" ht="11" customHeight="1" x14ac:dyDescent="0.25">
      <c r="A58" s="2" t="str">
        <f>B9&amp;B58</f>
        <v>Continental ResourcesPrepaid expenses</v>
      </c>
      <c r="B58" s="70" t="s">
        <v>486</v>
      </c>
      <c r="C58" s="82" t="s">
        <v>509</v>
      </c>
      <c r="D58" s="108"/>
      <c r="E58" s="83">
        <f t="shared" si="33"/>
        <v>16592</v>
      </c>
      <c r="F58" s="50">
        <f>E58</f>
        <v>16592</v>
      </c>
      <c r="G58" s="50">
        <f t="shared" ref="G58:M59" si="38">F58</f>
        <v>16592</v>
      </c>
      <c r="H58" s="50">
        <f t="shared" si="38"/>
        <v>16592</v>
      </c>
      <c r="I58" s="50">
        <f t="shared" si="38"/>
        <v>16592</v>
      </c>
      <c r="J58" s="50">
        <f t="shared" si="38"/>
        <v>16592</v>
      </c>
      <c r="K58" s="50">
        <f t="shared" si="38"/>
        <v>16592</v>
      </c>
      <c r="L58" s="50">
        <f t="shared" si="38"/>
        <v>16592</v>
      </c>
      <c r="M58" s="50">
        <f t="shared" si="38"/>
        <v>16592</v>
      </c>
      <c r="P58" s="288" t="s">
        <v>814</v>
      </c>
      <c r="Q58" s="291" t="s">
        <v>899</v>
      </c>
      <c r="R58" s="327"/>
    </row>
    <row r="59" spans="1:18" ht="11" customHeight="1" x14ac:dyDescent="0.25">
      <c r="A59" s="2" t="str">
        <f>B9&amp;B59</f>
        <v>Continental ResourcesOther current assets</v>
      </c>
      <c r="B59" s="70" t="s">
        <v>568</v>
      </c>
      <c r="C59" s="82" t="s">
        <v>509</v>
      </c>
      <c r="D59" s="108"/>
      <c r="E59" s="83">
        <f t="shared" si="33"/>
        <v>0</v>
      </c>
      <c r="F59" s="50">
        <f>E59</f>
        <v>0</v>
      </c>
      <c r="G59" s="50">
        <f t="shared" si="38"/>
        <v>0</v>
      </c>
      <c r="H59" s="50">
        <f t="shared" si="38"/>
        <v>0</v>
      </c>
      <c r="I59" s="50">
        <f t="shared" si="38"/>
        <v>0</v>
      </c>
      <c r="J59" s="50">
        <f t="shared" si="38"/>
        <v>0</v>
      </c>
      <c r="K59" s="50">
        <f t="shared" si="38"/>
        <v>0</v>
      </c>
      <c r="L59" s="50">
        <f t="shared" si="38"/>
        <v>0</v>
      </c>
      <c r="M59" s="50">
        <f t="shared" si="38"/>
        <v>0</v>
      </c>
      <c r="P59" s="288" t="s">
        <v>815</v>
      </c>
      <c r="Q59" s="291" t="s">
        <v>899</v>
      </c>
      <c r="R59" s="327"/>
    </row>
    <row r="60" spans="1:18" ht="11" customHeight="1" x14ac:dyDescent="0.25">
      <c r="A60" s="2" t="str">
        <f>B9&amp;B60</f>
        <v>Continental ResourcesTotal current assets</v>
      </c>
      <c r="B60" s="76" t="s">
        <v>487</v>
      </c>
      <c r="C60" s="87"/>
      <c r="D60" s="111"/>
      <c r="E60" s="63">
        <f>SUM(E52:E59)</f>
        <v>1207015</v>
      </c>
      <c r="F60" s="62">
        <f>SUM(F52:F59)</f>
        <v>761605.24588482664</v>
      </c>
      <c r="G60" s="62">
        <f t="shared" ref="G60:M60" si="39">SUM(G52:G59)</f>
        <v>-40158.207662827765</v>
      </c>
      <c r="H60" s="62">
        <f t="shared" si="39"/>
        <v>-377008.13012771198</v>
      </c>
      <c r="I60" s="62">
        <f t="shared" si="39"/>
        <v>-691572.00117359124</v>
      </c>
      <c r="J60" s="62">
        <f t="shared" si="39"/>
        <v>-949588.27478896582</v>
      </c>
      <c r="K60" s="62">
        <f t="shared" si="39"/>
        <v>-1217909.3480930787</v>
      </c>
      <c r="L60" s="62">
        <f t="shared" si="39"/>
        <v>-1461778.1387691926</v>
      </c>
      <c r="M60" s="62">
        <f t="shared" si="39"/>
        <v>-1737529.8716219817</v>
      </c>
      <c r="P60" s="288" t="s">
        <v>490</v>
      </c>
      <c r="Q60" s="291" t="s">
        <v>899</v>
      </c>
      <c r="R60" s="327"/>
    </row>
    <row r="61" spans="1:18" ht="11" customHeight="1" x14ac:dyDescent="0.25">
      <c r="A61" s="2" t="str">
        <f>B9&amp;B61</f>
        <v>Continental ResourcesProperty and equipment, net</v>
      </c>
      <c r="B61" s="72" t="s">
        <v>488</v>
      </c>
      <c r="C61" s="73" t="s">
        <v>509</v>
      </c>
      <c r="D61" s="112"/>
      <c r="E61" s="83">
        <f>IF(VLOOKUP($B61, P:Q, 2,0) = "-", 0, VLOOKUP($B61, P:Q, 2,0))*1000</f>
        <v>14497726</v>
      </c>
      <c r="F61" s="50">
        <f>E61</f>
        <v>14497726</v>
      </c>
      <c r="G61" s="50">
        <f t="shared" ref="G61:M61" si="40">F61</f>
        <v>14497726</v>
      </c>
      <c r="H61" s="50">
        <f t="shared" si="40"/>
        <v>14497726</v>
      </c>
      <c r="I61" s="50">
        <f t="shared" si="40"/>
        <v>14497726</v>
      </c>
      <c r="J61" s="50">
        <f t="shared" si="40"/>
        <v>14497726</v>
      </c>
      <c r="K61" s="50">
        <f t="shared" si="40"/>
        <v>14497726</v>
      </c>
      <c r="L61" s="50">
        <f t="shared" si="40"/>
        <v>14497726</v>
      </c>
      <c r="M61" s="50">
        <f t="shared" si="40"/>
        <v>14497726</v>
      </c>
      <c r="P61" s="288" t="s">
        <v>491</v>
      </c>
      <c r="Q61" s="291">
        <f>14.038+Q62</f>
        <v>23.166</v>
      </c>
      <c r="R61" s="327"/>
    </row>
    <row r="62" spans="1:18" ht="11" customHeight="1" x14ac:dyDescent="0.25">
      <c r="A62" s="2" t="str">
        <f>B9&amp;B62</f>
        <v>Continental ResourcesDerivative instruments total assets</v>
      </c>
      <c r="B62" s="73" t="s">
        <v>814</v>
      </c>
      <c r="C62" s="95" t="s">
        <v>507</v>
      </c>
      <c r="D62" s="108"/>
      <c r="E62" s="83">
        <f>IF(VLOOKUP($B62, P:Q, 2,0) = "-", 0, VLOOKUP($B62, P:Q, 2,0))*1000</f>
        <v>0</v>
      </c>
      <c r="F62" s="138"/>
      <c r="G62" s="138"/>
      <c r="H62" s="138"/>
      <c r="I62" s="138"/>
      <c r="J62" s="138"/>
      <c r="K62" s="138"/>
      <c r="L62" s="138"/>
      <c r="M62" s="138"/>
      <c r="P62" s="296" t="s">
        <v>929</v>
      </c>
      <c r="Q62" s="297">
        <v>9.1280000000000001</v>
      </c>
      <c r="R62" s="327"/>
    </row>
    <row r="63" spans="1:18" ht="11" customHeight="1" x14ac:dyDescent="0.25">
      <c r="A63" s="2" t="str">
        <f>B9&amp;B63</f>
        <v>Continental ResourcesDeferred income taxes assets</v>
      </c>
      <c r="B63" s="73" t="s">
        <v>815</v>
      </c>
      <c r="C63" s="73" t="s">
        <v>509</v>
      </c>
      <c r="D63" s="108"/>
      <c r="E63" s="83">
        <f>IF(VLOOKUP($B63, P:Q, 2,0) = "-", 0, VLOOKUP($B63, P:Q, 2,0))*1000</f>
        <v>0</v>
      </c>
      <c r="F63" s="50">
        <f>E63</f>
        <v>0</v>
      </c>
      <c r="G63" s="50">
        <f t="shared" ref="G63:M65" si="41">F63</f>
        <v>0</v>
      </c>
      <c r="H63" s="50">
        <f t="shared" si="41"/>
        <v>0</v>
      </c>
      <c r="I63" s="50">
        <f t="shared" si="41"/>
        <v>0</v>
      </c>
      <c r="J63" s="50">
        <f t="shared" si="41"/>
        <v>0</v>
      </c>
      <c r="K63" s="50">
        <f t="shared" si="41"/>
        <v>0</v>
      </c>
      <c r="L63" s="50">
        <f t="shared" si="41"/>
        <v>0</v>
      </c>
      <c r="M63" s="50">
        <f t="shared" si="41"/>
        <v>0</v>
      </c>
      <c r="P63" s="296" t="s">
        <v>930</v>
      </c>
      <c r="Q63" s="297" t="s">
        <v>899</v>
      </c>
      <c r="R63" s="327"/>
    </row>
    <row r="64" spans="1:18" ht="11" customHeight="1" x14ac:dyDescent="0.25">
      <c r="A64" s="2" t="str">
        <f>B9&amp;B64</f>
        <v>Continental ResourcesGoodwill</v>
      </c>
      <c r="B64" s="73" t="s">
        <v>490</v>
      </c>
      <c r="C64" s="73" t="s">
        <v>509</v>
      </c>
      <c r="D64" s="108"/>
      <c r="E64" s="83">
        <f>IF(VLOOKUP($B64, P:Q, 2,0) = "-", 0, VLOOKUP($B64, P:Q, 2,0))*1000</f>
        <v>0</v>
      </c>
      <c r="F64" s="50">
        <f>E64</f>
        <v>0</v>
      </c>
      <c r="G64" s="50">
        <f t="shared" si="41"/>
        <v>0</v>
      </c>
      <c r="H64" s="50">
        <f t="shared" si="41"/>
        <v>0</v>
      </c>
      <c r="I64" s="50">
        <f t="shared" si="41"/>
        <v>0</v>
      </c>
      <c r="J64" s="50">
        <f t="shared" si="41"/>
        <v>0</v>
      </c>
      <c r="K64" s="50">
        <f t="shared" si="41"/>
        <v>0</v>
      </c>
      <c r="L64" s="50">
        <f t="shared" si="41"/>
        <v>0</v>
      </c>
      <c r="M64" s="50">
        <f t="shared" si="41"/>
        <v>0</v>
      </c>
      <c r="P64" s="292" t="s">
        <v>492</v>
      </c>
      <c r="Q64" s="293">
        <f>SUM(Q56:Q61)</f>
        <v>15727.906999999999</v>
      </c>
      <c r="R64" s="329"/>
    </row>
    <row r="65" spans="1:18" ht="11" customHeight="1" x14ac:dyDescent="0.25">
      <c r="A65" s="2" t="str">
        <f>B9&amp;B65</f>
        <v>Continental ResourcesOther assets</v>
      </c>
      <c r="B65" s="77" t="s">
        <v>491</v>
      </c>
      <c r="C65" s="77" t="s">
        <v>509</v>
      </c>
      <c r="D65" s="114"/>
      <c r="E65" s="83">
        <f>IF(VLOOKUP($B65, P:Q, 2,0) = "-", 0, VLOOKUP($B65, P:Q, 2,0))*1000</f>
        <v>23166</v>
      </c>
      <c r="F65" s="50">
        <f>E65</f>
        <v>23166</v>
      </c>
      <c r="G65" s="50">
        <f t="shared" si="41"/>
        <v>23166</v>
      </c>
      <c r="H65" s="50">
        <f t="shared" si="41"/>
        <v>23166</v>
      </c>
      <c r="I65" s="50">
        <f t="shared" si="41"/>
        <v>23166</v>
      </c>
      <c r="J65" s="50">
        <f t="shared" si="41"/>
        <v>23166</v>
      </c>
      <c r="K65" s="50">
        <f t="shared" si="41"/>
        <v>23166</v>
      </c>
      <c r="L65" s="50">
        <f t="shared" si="41"/>
        <v>23166</v>
      </c>
      <c r="M65" s="50">
        <f t="shared" si="41"/>
        <v>23166</v>
      </c>
      <c r="P65" s="288"/>
      <c r="Q65" s="291"/>
      <c r="R65" s="327"/>
    </row>
    <row r="66" spans="1:18" ht="11" customHeight="1" x14ac:dyDescent="0.25">
      <c r="A66" s="2" t="str">
        <f>B9&amp;B66</f>
        <v>Continental ResourcesTotal assets</v>
      </c>
      <c r="B66" s="78" t="s">
        <v>492</v>
      </c>
      <c r="C66" s="88"/>
      <c r="D66" s="112"/>
      <c r="E66" s="63">
        <f>SUM(E60:E65)</f>
        <v>15727907</v>
      </c>
      <c r="F66" s="62">
        <f>SUM(F60:F65)</f>
        <v>15282497.245884826</v>
      </c>
      <c r="G66" s="62">
        <f t="shared" ref="G66:M66" si="42">SUM(G60:G65)</f>
        <v>14480733.792337172</v>
      </c>
      <c r="H66" s="62">
        <f t="shared" si="42"/>
        <v>14143883.869872289</v>
      </c>
      <c r="I66" s="62">
        <f t="shared" si="42"/>
        <v>13829319.998826409</v>
      </c>
      <c r="J66" s="62">
        <f t="shared" si="42"/>
        <v>13571303.725211034</v>
      </c>
      <c r="K66" s="62">
        <f t="shared" si="42"/>
        <v>13302982.651906921</v>
      </c>
      <c r="L66" s="62">
        <f t="shared" si="42"/>
        <v>13059113.861230807</v>
      </c>
      <c r="M66" s="62">
        <f t="shared" si="42"/>
        <v>12783362.128378019</v>
      </c>
      <c r="P66" s="290" t="s">
        <v>498</v>
      </c>
      <c r="Q66" s="291"/>
      <c r="R66" s="327"/>
    </row>
    <row r="67" spans="1:18" ht="11" customHeight="1" x14ac:dyDescent="0.25">
      <c r="A67" s="2" t="str">
        <f>B9&amp;B67</f>
        <v>Continental ResourcesCurrent liabilities</v>
      </c>
      <c r="B67" s="72" t="s">
        <v>498</v>
      </c>
      <c r="C67" s="72"/>
      <c r="D67" s="112"/>
      <c r="E67" s="83"/>
      <c r="F67" s="50"/>
      <c r="G67" s="50"/>
      <c r="H67" s="50"/>
      <c r="I67" s="50"/>
      <c r="J67" s="50"/>
      <c r="K67" s="50"/>
      <c r="L67" s="50"/>
      <c r="M67" s="50"/>
      <c r="P67" s="288" t="s">
        <v>493</v>
      </c>
      <c r="Q67" s="291">
        <v>629.26400000000001</v>
      </c>
      <c r="R67" s="327"/>
    </row>
    <row r="68" spans="1:18" ht="11" customHeight="1" x14ac:dyDescent="0.25">
      <c r="A68" s="2" t="str">
        <f>B9&amp;B68</f>
        <v>Continental ResourcesAccounts payable</v>
      </c>
      <c r="B68" s="70" t="s">
        <v>493</v>
      </c>
      <c r="C68" s="82" t="s">
        <v>539</v>
      </c>
      <c r="D68" s="108">
        <f>E68/E24</f>
        <v>18.030223041215308</v>
      </c>
      <c r="E68" s="83">
        <f>IF(VLOOKUP($B68, P:Q, 2,0) = "-", 0, VLOOKUP($B68, P:Q, 2,0))*1000</f>
        <v>629264</v>
      </c>
      <c r="F68" s="50">
        <f>$D68*F24</f>
        <v>601054.97084341873</v>
      </c>
      <c r="G68" s="50">
        <f t="shared" ref="G68:M68" si="43">$D68*G24</f>
        <v>601054.97084341873</v>
      </c>
      <c r="H68" s="50">
        <f t="shared" si="43"/>
        <v>601054.97084341873</v>
      </c>
      <c r="I68" s="50">
        <f t="shared" si="43"/>
        <v>601054.97084341873</v>
      </c>
      <c r="J68" s="50">
        <f t="shared" si="43"/>
        <v>638566.18997465272</v>
      </c>
      <c r="K68" s="50">
        <f t="shared" si="43"/>
        <v>638566.18997465272</v>
      </c>
      <c r="L68" s="50">
        <f t="shared" si="43"/>
        <v>638566.18997465272</v>
      </c>
      <c r="M68" s="50">
        <f t="shared" si="43"/>
        <v>638566.18997465272</v>
      </c>
      <c r="P68" s="288" t="s">
        <v>510</v>
      </c>
      <c r="Q68" s="291">
        <v>230.36799999999999</v>
      </c>
      <c r="R68" s="327"/>
    </row>
    <row r="69" spans="1:18" ht="11" customHeight="1" x14ac:dyDescent="0.25">
      <c r="A69" s="2" t="str">
        <f>B9&amp;B69</f>
        <v>Continental ResourcesAccrued liabilities</v>
      </c>
      <c r="B69" s="70" t="s">
        <v>510</v>
      </c>
      <c r="C69" s="82" t="s">
        <v>507</v>
      </c>
      <c r="D69" s="108"/>
      <c r="E69" s="83">
        <f>IF(VLOOKUP($B69, P:Q, 2,0) = "-", 0, VLOOKUP($B69, P:Q, 2,0))*1000</f>
        <v>230368</v>
      </c>
      <c r="F69" s="50">
        <f>E69</f>
        <v>230368</v>
      </c>
      <c r="G69" s="50">
        <f t="shared" ref="G69:M69" si="44">F69</f>
        <v>230368</v>
      </c>
      <c r="H69" s="50">
        <f t="shared" si="44"/>
        <v>230368</v>
      </c>
      <c r="I69" s="50">
        <f t="shared" si="44"/>
        <v>230368</v>
      </c>
      <c r="J69" s="50">
        <f t="shared" si="44"/>
        <v>230368</v>
      </c>
      <c r="K69" s="50">
        <f t="shared" si="44"/>
        <v>230368</v>
      </c>
      <c r="L69" s="50">
        <f t="shared" si="44"/>
        <v>230368</v>
      </c>
      <c r="M69" s="50">
        <f t="shared" si="44"/>
        <v>230368</v>
      </c>
      <c r="P69" s="288" t="s">
        <v>812</v>
      </c>
      <c r="Q69" s="291" t="s">
        <v>899</v>
      </c>
      <c r="R69" s="327"/>
    </row>
    <row r="70" spans="1:18" ht="11" customHeight="1" x14ac:dyDescent="0.25">
      <c r="A70" s="2" t="str">
        <f>B9&amp;B70</f>
        <v>Continental ResourcesDerivative instruments current liabilities</v>
      </c>
      <c r="B70" s="70" t="s">
        <v>812</v>
      </c>
      <c r="C70" s="107" t="s">
        <v>507</v>
      </c>
      <c r="D70" s="108"/>
      <c r="E70" s="83">
        <f>IF(VLOOKUP($B70, P:Q, 2,0) = "-", 0, VLOOKUP($B70, P:Q, 2,0))*1000</f>
        <v>0</v>
      </c>
      <c r="F70" s="138"/>
      <c r="G70" s="138"/>
      <c r="H70" s="138"/>
      <c r="I70" s="138"/>
      <c r="J70" s="138"/>
      <c r="K70" s="138"/>
      <c r="L70" s="138"/>
      <c r="M70" s="138"/>
      <c r="P70" s="288" t="s">
        <v>494</v>
      </c>
      <c r="Q70" s="291">
        <f>SUM(Q71:Q73)</f>
        <v>476.39400000000001</v>
      </c>
      <c r="R70" s="327"/>
    </row>
    <row r="71" spans="1:18" ht="11" customHeight="1" x14ac:dyDescent="0.25">
      <c r="A71" s="2" t="str">
        <f>B9&amp;B71</f>
        <v>Continental ResourcesOther current liabilities</v>
      </c>
      <c r="B71" s="70" t="s">
        <v>494</v>
      </c>
      <c r="C71" s="82" t="s">
        <v>509</v>
      </c>
      <c r="D71" s="108"/>
      <c r="E71" s="83">
        <f>IF(VLOOKUP($B71, P:Q, 2,0) = "-", 0, VLOOKUP($B71, P:Q, 2,0))*1000</f>
        <v>476394</v>
      </c>
      <c r="F71" s="50">
        <f>E71</f>
        <v>476394</v>
      </c>
      <c r="G71" s="50">
        <f t="shared" ref="G71:M71" si="45">F71</f>
        <v>476394</v>
      </c>
      <c r="H71" s="50">
        <f t="shared" si="45"/>
        <v>476394</v>
      </c>
      <c r="I71" s="50">
        <f t="shared" si="45"/>
        <v>476394</v>
      </c>
      <c r="J71" s="50">
        <f t="shared" si="45"/>
        <v>476394</v>
      </c>
      <c r="K71" s="50">
        <f t="shared" si="45"/>
        <v>476394</v>
      </c>
      <c r="L71" s="50">
        <f t="shared" si="45"/>
        <v>476394</v>
      </c>
      <c r="M71" s="50">
        <f t="shared" si="45"/>
        <v>476394</v>
      </c>
      <c r="P71" s="296" t="s">
        <v>931</v>
      </c>
      <c r="Q71" s="297">
        <v>2.4350000000000001</v>
      </c>
      <c r="R71" s="327"/>
    </row>
    <row r="72" spans="1:18" ht="11" customHeight="1" x14ac:dyDescent="0.25">
      <c r="A72" s="2" t="str">
        <f>B9&amp;B72</f>
        <v>Continental ResourcesTotal current liabilities</v>
      </c>
      <c r="B72" s="76" t="s">
        <v>497</v>
      </c>
      <c r="C72" s="87"/>
      <c r="D72" s="111"/>
      <c r="E72" s="63">
        <f>SUM(E68:E71)</f>
        <v>1336026</v>
      </c>
      <c r="F72" s="62">
        <f>SUM(F68:F71)</f>
        <v>1307816.9708434187</v>
      </c>
      <c r="G72" s="62">
        <f>SUM(G68:G71)</f>
        <v>1307816.9708434187</v>
      </c>
      <c r="H72" s="62">
        <f t="shared" ref="H72:M72" si="46">SUM(H68:H71)</f>
        <v>1307816.9708434187</v>
      </c>
      <c r="I72" s="62">
        <f t="shared" si="46"/>
        <v>1307816.9708434187</v>
      </c>
      <c r="J72" s="62">
        <f t="shared" si="46"/>
        <v>1345328.1899746526</v>
      </c>
      <c r="K72" s="62">
        <f t="shared" si="46"/>
        <v>1345328.1899746526</v>
      </c>
      <c r="L72" s="62">
        <f t="shared" si="46"/>
        <v>1345328.1899746526</v>
      </c>
      <c r="M72" s="62">
        <f t="shared" si="46"/>
        <v>1345328.1899746526</v>
      </c>
      <c r="P72" s="296" t="s">
        <v>932</v>
      </c>
      <c r="Q72" s="297">
        <f>470.264+3.695</f>
        <v>473.959</v>
      </c>
      <c r="R72" s="327"/>
    </row>
    <row r="73" spans="1:18" ht="11" customHeight="1" x14ac:dyDescent="0.25">
      <c r="A73" s="2" t="str">
        <f>B9&amp;B73</f>
        <v>Continental ResourcesLong-term debt, net</v>
      </c>
      <c r="B73" s="73" t="s">
        <v>511</v>
      </c>
      <c r="C73" s="73" t="s">
        <v>509</v>
      </c>
      <c r="D73" s="108"/>
      <c r="E73" s="83">
        <f>IF(VLOOKUP($B73, P:Q, 2,0) = "-", 0, VLOOKUP($B73, P:Q, 2,0))*1000</f>
        <v>5324079</v>
      </c>
      <c r="F73" s="50">
        <f t="shared" ref="F73:M74" si="47">E73</f>
        <v>5324079</v>
      </c>
      <c r="G73" s="50">
        <f t="shared" si="47"/>
        <v>5324079</v>
      </c>
      <c r="H73" s="50">
        <f t="shared" si="47"/>
        <v>5324079</v>
      </c>
      <c r="I73" s="50">
        <f t="shared" si="47"/>
        <v>5324079</v>
      </c>
      <c r="J73" s="50">
        <f t="shared" si="47"/>
        <v>5324079</v>
      </c>
      <c r="K73" s="50">
        <f t="shared" si="47"/>
        <v>5324079</v>
      </c>
      <c r="L73" s="50">
        <f t="shared" si="47"/>
        <v>5324079</v>
      </c>
      <c r="M73" s="50">
        <f t="shared" si="47"/>
        <v>5324079</v>
      </c>
      <c r="P73" s="296" t="s">
        <v>933</v>
      </c>
      <c r="Q73" s="297" t="s">
        <v>899</v>
      </c>
      <c r="R73" s="327"/>
    </row>
    <row r="74" spans="1:18" ht="11" customHeight="1" x14ac:dyDescent="0.25">
      <c r="A74" s="2" t="str">
        <f>B9&amp;B74</f>
        <v>Continental ResourcesAsset retirement obligations</v>
      </c>
      <c r="B74" s="73" t="s">
        <v>495</v>
      </c>
      <c r="C74" s="73" t="s">
        <v>509</v>
      </c>
      <c r="D74" s="108"/>
      <c r="E74" s="83">
        <f>IF(VLOOKUP($B74, P:Q, 2,0) = "-", 0, VLOOKUP($B74, P:Q, 2,0))*1000</f>
        <v>151774</v>
      </c>
      <c r="F74" s="50">
        <f>E74</f>
        <v>151774</v>
      </c>
      <c r="G74" s="50">
        <f t="shared" si="47"/>
        <v>151774</v>
      </c>
      <c r="H74" s="50">
        <f t="shared" si="47"/>
        <v>151774</v>
      </c>
      <c r="I74" s="50">
        <f t="shared" si="47"/>
        <v>151774</v>
      </c>
      <c r="J74" s="50">
        <f t="shared" si="47"/>
        <v>151774</v>
      </c>
      <c r="K74" s="50">
        <f t="shared" si="47"/>
        <v>151774</v>
      </c>
      <c r="L74" s="50">
        <f t="shared" si="47"/>
        <v>151774</v>
      </c>
      <c r="M74" s="50">
        <f t="shared" si="47"/>
        <v>151774</v>
      </c>
      <c r="P74" s="292" t="s">
        <v>497</v>
      </c>
      <c r="Q74" s="293">
        <f>SUM(Q67:Q70)</f>
        <v>1336.0260000000001</v>
      </c>
      <c r="R74" s="329"/>
    </row>
    <row r="75" spans="1:18" ht="11" customHeight="1" x14ac:dyDescent="0.25">
      <c r="A75" s="2" t="str">
        <f>B9&amp;B75</f>
        <v>Continental ResourcesDerivative instruments liabilities</v>
      </c>
      <c r="B75" s="73" t="s">
        <v>811</v>
      </c>
      <c r="C75" s="95" t="s">
        <v>507</v>
      </c>
      <c r="D75" s="108"/>
      <c r="E75" s="83">
        <f>IF(VLOOKUP($B75, P:Q, 2,0) = "-", 0, VLOOKUP($B75, P:Q, 2,0))*1000</f>
        <v>0</v>
      </c>
      <c r="F75" s="138"/>
      <c r="G75" s="138"/>
      <c r="H75" s="138"/>
      <c r="I75" s="138"/>
      <c r="J75" s="138"/>
      <c r="K75" s="138"/>
      <c r="L75" s="138"/>
      <c r="M75" s="138"/>
      <c r="P75" s="288" t="s">
        <v>511</v>
      </c>
      <c r="Q75" s="291">
        <v>5324.0789999999997</v>
      </c>
      <c r="R75" s="327"/>
    </row>
    <row r="76" spans="1:18" ht="11" customHeight="1" x14ac:dyDescent="0.25">
      <c r="A76" s="2" t="str">
        <f>B9&amp;B76</f>
        <v>Continental ResourcesDeferred income taxes liabilities</v>
      </c>
      <c r="B76" s="73" t="s">
        <v>810</v>
      </c>
      <c r="C76" s="73" t="s">
        <v>509</v>
      </c>
      <c r="D76" s="108"/>
      <c r="E76" s="83">
        <f>IF(VLOOKUP($B76, P:Q, 2,0) = "-", 0, VLOOKUP($B76, P:Q, 2,0))*1000</f>
        <v>1787125</v>
      </c>
      <c r="F76" s="50">
        <f>E76</f>
        <v>1787125</v>
      </c>
      <c r="G76" s="50">
        <f t="shared" ref="G76:M77" si="48">F76</f>
        <v>1787125</v>
      </c>
      <c r="H76" s="50">
        <f t="shared" si="48"/>
        <v>1787125</v>
      </c>
      <c r="I76" s="50">
        <f t="shared" si="48"/>
        <v>1787125</v>
      </c>
      <c r="J76" s="50">
        <f t="shared" si="48"/>
        <v>1787125</v>
      </c>
      <c r="K76" s="50">
        <f t="shared" si="48"/>
        <v>1787125</v>
      </c>
      <c r="L76" s="50">
        <f t="shared" si="48"/>
        <v>1787125</v>
      </c>
      <c r="M76" s="50">
        <f t="shared" si="48"/>
        <v>1787125</v>
      </c>
      <c r="P76" s="288" t="s">
        <v>495</v>
      </c>
      <c r="Q76" s="291">
        <v>151.774</v>
      </c>
      <c r="R76" s="327"/>
    </row>
    <row r="77" spans="1:18" ht="11" customHeight="1" x14ac:dyDescent="0.25">
      <c r="A77" s="2" t="str">
        <f>B9&amp;B77</f>
        <v>Continental ResourcesOther long-term liabilities</v>
      </c>
      <c r="B77" s="73" t="s">
        <v>496</v>
      </c>
      <c r="C77" s="73" t="s">
        <v>509</v>
      </c>
      <c r="D77" s="108"/>
      <c r="E77" s="83">
        <f>IF(VLOOKUP($B77, P:Q, 2,0) = "-", 0, VLOOKUP($B77, P:Q, 2,0))*1000</f>
        <v>20552</v>
      </c>
      <c r="F77" s="50">
        <f>E77</f>
        <v>20552</v>
      </c>
      <c r="G77" s="50">
        <f t="shared" si="48"/>
        <v>20552</v>
      </c>
      <c r="H77" s="50">
        <f t="shared" si="48"/>
        <v>20552</v>
      </c>
      <c r="I77" s="50">
        <f t="shared" si="48"/>
        <v>20552</v>
      </c>
      <c r="J77" s="50">
        <f t="shared" si="48"/>
        <v>20552</v>
      </c>
      <c r="K77" s="50">
        <f t="shared" si="48"/>
        <v>20552</v>
      </c>
      <c r="L77" s="50">
        <f t="shared" si="48"/>
        <v>20552</v>
      </c>
      <c r="M77" s="50">
        <f t="shared" si="48"/>
        <v>20552</v>
      </c>
      <c r="P77" s="288" t="s">
        <v>811</v>
      </c>
      <c r="Q77" s="291" t="s">
        <v>899</v>
      </c>
      <c r="R77" s="327"/>
    </row>
    <row r="78" spans="1:18" ht="11" customHeight="1" thickBot="1" x14ac:dyDescent="0.3">
      <c r="A78" s="2" t="str">
        <f>B9&amp;B78</f>
        <v>Continental ResourcesTotal liabilities</v>
      </c>
      <c r="B78" s="79" t="s">
        <v>499</v>
      </c>
      <c r="C78" s="79"/>
      <c r="D78" s="123"/>
      <c r="E78" s="86">
        <f>SUM(E72:E77)</f>
        <v>8619556</v>
      </c>
      <c r="F78" s="34">
        <f t="shared" ref="F78:M78" si="49">SUM(F72:F77)</f>
        <v>8591346.9708434194</v>
      </c>
      <c r="G78" s="34">
        <f t="shared" si="49"/>
        <v>8591346.9708434194</v>
      </c>
      <c r="H78" s="34">
        <f t="shared" si="49"/>
        <v>8591346.9708434194</v>
      </c>
      <c r="I78" s="34">
        <f t="shared" si="49"/>
        <v>8591346.9708434194</v>
      </c>
      <c r="J78" s="34">
        <f t="shared" si="49"/>
        <v>8628858.1899746526</v>
      </c>
      <c r="K78" s="34">
        <f t="shared" si="49"/>
        <v>8628858.1899746526</v>
      </c>
      <c r="L78" s="34">
        <f t="shared" si="49"/>
        <v>8628858.1899746526</v>
      </c>
      <c r="M78" s="34">
        <f t="shared" si="49"/>
        <v>8628858.1899746526</v>
      </c>
      <c r="P78" s="288" t="s">
        <v>810</v>
      </c>
      <c r="Q78" s="291">
        <v>1787.125</v>
      </c>
      <c r="R78" s="327"/>
    </row>
    <row r="79" spans="1:18" ht="11" customHeight="1" thickTop="1" x14ac:dyDescent="0.25">
      <c r="P79" s="288" t="s">
        <v>496</v>
      </c>
      <c r="Q79" s="291">
        <f>15.119+SUM(Q80:Q82)</f>
        <v>20.552</v>
      </c>
      <c r="R79" s="327"/>
    </row>
    <row r="80" spans="1:18" ht="11" customHeight="1" x14ac:dyDescent="0.25">
      <c r="A80" s="2" t="str">
        <f>B9&amp;B80</f>
        <v>Continental ResourcesNet (loss) Income cashflow</v>
      </c>
      <c r="B80" s="80" t="s">
        <v>572</v>
      </c>
      <c r="C80" s="135" t="s">
        <v>540</v>
      </c>
      <c r="D80" s="117"/>
      <c r="E80" s="83">
        <f>E49</f>
        <v>193618.25</v>
      </c>
      <c r="F80" s="50">
        <f t="shared" ref="F80:M80" si="50">F49</f>
        <v>-71964.94319536355</v>
      </c>
      <c r="G80" s="50">
        <f t="shared" si="50"/>
        <v>-388221.3508341838</v>
      </c>
      <c r="H80" s="50">
        <f t="shared" si="50"/>
        <v>-365935.299415179</v>
      </c>
      <c r="I80" s="50">
        <f t="shared" si="50"/>
        <v>-343649.24799617415</v>
      </c>
      <c r="J80" s="50">
        <f t="shared" si="50"/>
        <v>-324886.72346274176</v>
      </c>
      <c r="K80" s="50">
        <f t="shared" si="50"/>
        <v>-300204.01548078808</v>
      </c>
      <c r="L80" s="50">
        <f t="shared" si="50"/>
        <v>-275751.73285278922</v>
      </c>
      <c r="M80" s="50">
        <f t="shared" si="50"/>
        <v>-275751.73285278922</v>
      </c>
      <c r="P80" s="296" t="s">
        <v>934</v>
      </c>
      <c r="Q80" s="297" t="s">
        <v>899</v>
      </c>
      <c r="R80" s="327"/>
    </row>
    <row r="81" spans="1:18" ht="11" customHeight="1" x14ac:dyDescent="0.25">
      <c r="A81" s="2" t="str">
        <f>B9&amp;B81</f>
        <v>Continental ResourcesChange in Net working capital</v>
      </c>
      <c r="B81" s="68" t="s">
        <v>500</v>
      </c>
      <c r="C81" s="136" t="s">
        <v>565</v>
      </c>
      <c r="D81" s="118"/>
      <c r="E81" s="83">
        <f t="shared" ref="E81:E87" si="51">IF(VLOOKUP($B81, P:Q, 2,0) = "-", 0, VLOOKUP($B81, P:Q, 2,0))*1000</f>
        <v>-14873.249999999998</v>
      </c>
      <c r="F81" s="50">
        <f>(F60-F72)-(E60-E72)</f>
        <v>-417200.72495859209</v>
      </c>
      <c r="G81" s="50">
        <f t="shared" ref="G81:M81" si="52">(G60-G72)-(F60-F72)</f>
        <v>-801763.45354765444</v>
      </c>
      <c r="H81" s="50">
        <f t="shared" si="52"/>
        <v>-336849.92246488412</v>
      </c>
      <c r="I81" s="50">
        <f t="shared" si="52"/>
        <v>-314563.87104587932</v>
      </c>
      <c r="J81" s="50">
        <f t="shared" si="52"/>
        <v>-295527.49274660856</v>
      </c>
      <c r="K81" s="50">
        <f t="shared" si="52"/>
        <v>-268321.07330411253</v>
      </c>
      <c r="L81" s="50">
        <f t="shared" si="52"/>
        <v>-243868.79067611415</v>
      </c>
      <c r="M81" s="50">
        <f t="shared" si="52"/>
        <v>-275751.73285278911</v>
      </c>
      <c r="P81" s="296" t="s">
        <v>935</v>
      </c>
      <c r="Q81" s="297">
        <v>5.4329999999999998</v>
      </c>
      <c r="R81" s="327"/>
    </row>
    <row r="82" spans="1:18" ht="11" customHeight="1" x14ac:dyDescent="0.25">
      <c r="A82" s="2" t="str">
        <f>B9&amp;B82</f>
        <v>Continental ResourcesDD&amp;A cashflow</v>
      </c>
      <c r="B82" s="68" t="s">
        <v>816</v>
      </c>
      <c r="C82" s="136" t="s">
        <v>566</v>
      </c>
      <c r="D82" s="118"/>
      <c r="E82" s="83">
        <f t="shared" si="51"/>
        <v>504926</v>
      </c>
      <c r="F82" s="365">
        <f>$E$82*F$32/$E$32</f>
        <v>482290.8702994039</v>
      </c>
      <c r="G82" s="365">
        <f t="shared" ref="G82:M82" si="53">$E$82*G$32/$E$32</f>
        <v>482290.8702994039</v>
      </c>
      <c r="H82" s="365">
        <f t="shared" si="53"/>
        <v>482290.8702994039</v>
      </c>
      <c r="I82" s="365">
        <f t="shared" si="53"/>
        <v>482290.8702994039</v>
      </c>
      <c r="J82" s="365">
        <f t="shared" si="53"/>
        <v>512390.14473915793</v>
      </c>
      <c r="K82" s="365">
        <f t="shared" si="53"/>
        <v>512390.14473915793</v>
      </c>
      <c r="L82" s="365">
        <f t="shared" si="53"/>
        <v>512390.14473915793</v>
      </c>
      <c r="M82" s="365">
        <f t="shared" si="53"/>
        <v>512390.14473915793</v>
      </c>
      <c r="P82" s="296" t="s">
        <v>936</v>
      </c>
      <c r="Q82" s="297" t="s">
        <v>899</v>
      </c>
      <c r="R82" s="327"/>
    </row>
    <row r="83" spans="1:18" ht="11" customHeight="1" x14ac:dyDescent="0.25">
      <c r="A83" s="2" t="str">
        <f>B9&amp;B83</f>
        <v>Continental ResourcesImpairment cashflow</v>
      </c>
      <c r="B83" s="68" t="s">
        <v>571</v>
      </c>
      <c r="C83" s="136" t="s">
        <v>566</v>
      </c>
      <c r="D83" s="118"/>
      <c r="E83" s="83">
        <f t="shared" si="51"/>
        <v>21550.5</v>
      </c>
      <c r="F83" s="50">
        <f>$E$83*F$31/$E$31</f>
        <v>21550.5</v>
      </c>
      <c r="G83" s="50">
        <f t="shared" ref="G83:M83" si="54">$E$83*G$31/$E$31</f>
        <v>21550.5</v>
      </c>
      <c r="H83" s="50">
        <f t="shared" si="54"/>
        <v>21550.5</v>
      </c>
      <c r="I83" s="50">
        <f t="shared" si="54"/>
        <v>21550.5</v>
      </c>
      <c r="J83" s="50">
        <f t="shared" si="54"/>
        <v>21550.5</v>
      </c>
      <c r="K83" s="50">
        <f t="shared" si="54"/>
        <v>21550.5</v>
      </c>
      <c r="L83" s="50">
        <f t="shared" si="54"/>
        <v>21550.5</v>
      </c>
      <c r="M83" s="50">
        <f t="shared" si="54"/>
        <v>21550.5</v>
      </c>
      <c r="P83" s="292" t="s">
        <v>499</v>
      </c>
      <c r="Q83" s="293">
        <f>SUM(Q74:Q79)</f>
        <v>8619.5560000000005</v>
      </c>
      <c r="R83" s="329"/>
    </row>
    <row r="84" spans="1:18" ht="11" customHeight="1" x14ac:dyDescent="0.25">
      <c r="A84" s="2" t="str">
        <f>B9&amp;B84</f>
        <v>Continental ResourcesOther non-cash items</v>
      </c>
      <c r="B84" s="68" t="s">
        <v>501</v>
      </c>
      <c r="C84" s="136" t="s">
        <v>880</v>
      </c>
      <c r="D84" s="118"/>
      <c r="E84" s="83">
        <f t="shared" si="51"/>
        <v>73700.499999999985</v>
      </c>
      <c r="F84" s="157">
        <f>$E$84+F34-$E$34</f>
        <v>73700.499999999985</v>
      </c>
      <c r="G84" s="157">
        <f t="shared" ref="G84:M84" si="55">$E$84+G34-$E$34</f>
        <v>73700.499999999985</v>
      </c>
      <c r="H84" s="157">
        <f t="shared" si="55"/>
        <v>73700.499999999985</v>
      </c>
      <c r="I84" s="157">
        <f t="shared" si="55"/>
        <v>73700.499999999985</v>
      </c>
      <c r="J84" s="157">
        <f t="shared" si="55"/>
        <v>73700.499999999985</v>
      </c>
      <c r="K84" s="157">
        <f t="shared" si="55"/>
        <v>73700.499999999985</v>
      </c>
      <c r="L84" s="157">
        <f t="shared" si="55"/>
        <v>73700.499999999985</v>
      </c>
      <c r="M84" s="157">
        <f t="shared" si="55"/>
        <v>73700.499999999985</v>
      </c>
      <c r="P84" s="298"/>
      <c r="Q84" s="295"/>
      <c r="R84" s="327"/>
    </row>
    <row r="85" spans="1:18" ht="11" customHeight="1" x14ac:dyDescent="0.25">
      <c r="A85" s="2" t="str">
        <f>B9&amp;B85</f>
        <v>Continental ResourcesDry hole cashflow</v>
      </c>
      <c r="B85" s="68" t="s">
        <v>817</v>
      </c>
      <c r="C85" s="136" t="s">
        <v>567</v>
      </c>
      <c r="D85" s="118"/>
      <c r="E85" s="83">
        <f t="shared" si="51"/>
        <v>0</v>
      </c>
      <c r="F85" s="50">
        <f>IF($E$85&gt;0, $E$85*F39/$E$39,0)</f>
        <v>0</v>
      </c>
      <c r="G85" s="50">
        <f t="shared" ref="G85:M85" si="56">IF($E$85&gt;0, $E$85*G39/$E$39,0)</f>
        <v>0</v>
      </c>
      <c r="H85" s="50">
        <f t="shared" si="56"/>
        <v>0</v>
      </c>
      <c r="I85" s="50">
        <f t="shared" si="56"/>
        <v>0</v>
      </c>
      <c r="J85" s="50">
        <f t="shared" si="56"/>
        <v>0</v>
      </c>
      <c r="K85" s="50">
        <f t="shared" si="56"/>
        <v>0</v>
      </c>
      <c r="L85" s="50">
        <f t="shared" si="56"/>
        <v>0</v>
      </c>
      <c r="M85" s="50">
        <f t="shared" si="56"/>
        <v>0</v>
      </c>
      <c r="P85" s="299" t="s">
        <v>458</v>
      </c>
      <c r="Q85" s="291"/>
      <c r="R85" s="327"/>
    </row>
    <row r="86" spans="1:18" ht="11" customHeight="1" x14ac:dyDescent="0.25">
      <c r="A86" s="2" t="str">
        <f>B9&amp;B86</f>
        <v>Continental Resourcesmarket to market contracts</v>
      </c>
      <c r="B86" s="68" t="s">
        <v>562</v>
      </c>
      <c r="C86" s="158" t="s">
        <v>507</v>
      </c>
      <c r="D86" s="118"/>
      <c r="E86" s="83">
        <f t="shared" si="51"/>
        <v>0</v>
      </c>
      <c r="F86" s="50">
        <f>E86</f>
        <v>0</v>
      </c>
      <c r="G86" s="50">
        <f t="shared" ref="G86:M86" si="57">F86</f>
        <v>0</v>
      </c>
      <c r="H86" s="50">
        <f t="shared" si="57"/>
        <v>0</v>
      </c>
      <c r="I86" s="50">
        <f t="shared" si="57"/>
        <v>0</v>
      </c>
      <c r="J86" s="50">
        <f t="shared" si="57"/>
        <v>0</v>
      </c>
      <c r="K86" s="50">
        <f t="shared" si="57"/>
        <v>0</v>
      </c>
      <c r="L86" s="50">
        <f t="shared" si="57"/>
        <v>0</v>
      </c>
      <c r="M86" s="50">
        <f t="shared" si="57"/>
        <v>0</v>
      </c>
      <c r="P86" s="292" t="s">
        <v>572</v>
      </c>
      <c r="Q86" s="293">
        <f>Q43</f>
        <v>193.61825000000007</v>
      </c>
      <c r="R86" s="329"/>
    </row>
    <row r="87" spans="1:18" ht="11" customHeight="1" x14ac:dyDescent="0.25">
      <c r="A87" s="2" t="str">
        <f>B9&amp;B87</f>
        <v>Continental ResourcesCash flow from operations</v>
      </c>
      <c r="B87" s="142" t="s">
        <v>502</v>
      </c>
      <c r="C87" s="143" t="s">
        <v>540</v>
      </c>
      <c r="D87" s="118" t="str">
        <f>IF(SUM(E80:E86) = E87, "same", "wrong")</f>
        <v>same</v>
      </c>
      <c r="E87" s="83">
        <f t="shared" si="51"/>
        <v>778922</v>
      </c>
      <c r="F87" s="62">
        <f>SUM(F80:F86)</f>
        <v>88376.202145448231</v>
      </c>
      <c r="G87" s="62">
        <f t="shared" ref="G87:M87" si="58">SUM(G80:G86)</f>
        <v>-612442.9340824344</v>
      </c>
      <c r="H87" s="62">
        <f>SUM(H80:H86)</f>
        <v>-125243.35158065929</v>
      </c>
      <c r="I87" s="62">
        <f t="shared" si="58"/>
        <v>-80671.248742649579</v>
      </c>
      <c r="J87" s="62">
        <f t="shared" si="58"/>
        <v>-12773.071470192473</v>
      </c>
      <c r="K87" s="62">
        <f t="shared" si="58"/>
        <v>39116.055954257303</v>
      </c>
      <c r="L87" s="62">
        <f t="shared" si="58"/>
        <v>88020.62121025454</v>
      </c>
      <c r="M87" s="62">
        <f t="shared" si="58"/>
        <v>56137.679033579581</v>
      </c>
      <c r="P87" s="288" t="s">
        <v>500</v>
      </c>
      <c r="Q87" s="291">
        <f>(-33.619-21.204-4.459-36.359+69.195-36.467+3.42)/4</f>
        <v>-14.873249999999999</v>
      </c>
      <c r="R87" s="327"/>
    </row>
    <row r="88" spans="1:18" ht="11" customHeight="1" x14ac:dyDescent="0.25">
      <c r="A88" s="2" t="str">
        <f>B9&amp;B88</f>
        <v>Continental ResourcesCapex</v>
      </c>
      <c r="B88" s="68" t="s">
        <v>277</v>
      </c>
      <c r="C88" s="73" t="s">
        <v>534</v>
      </c>
      <c r="D88" s="118"/>
      <c r="E88" s="83">
        <f>IF($B$2="A3",SUMIFS('$33Econ'!$H$8:$H$8001,'$33Econ'!$A$8:$A$8001,$B$9,'$33Econ'!$G$8:$G$8001,$B88)*1000/4,SUMIFS('$22Econ'!$H$8:$H$8001,'$22Econ'!$A$8:$A$8001,$B$9,'$22Econ'!$G$8:$G$8001,$B88)*1000/4)</f>
        <v>561166.58750000002</v>
      </c>
      <c r="F88" s="50">
        <f>IF($B$2="A3",SUMIFS('$33Econ'!$I$8:$I$8001,'$33Econ'!$A$8:$A$8001,$B$9,'$33Econ'!$G$8:$G$8001,$B88)*1000/4,SUMIFS('$22Econ'!$I$8:$I$8001,'$22Econ'!$A$8:$A$8001,$B$9,'$22Econ'!$G$8:$G$8001,$B88)*1000/4)</f>
        <v>222131.92675000001</v>
      </c>
      <c r="G88" s="50">
        <f>IF($B$2="A3",SUMIFS('$33Econ'!$I$8:$I$8001,'$33Econ'!$A$8:$A$8001,$B$9,'$33Econ'!$G$8:$G$8001,$B88)*1000/4,SUMIFS('$22Econ'!$I$8:$I$8001,'$22Econ'!$A$8:$A$8001,$B$9,'$22Econ'!$G$8:$G$8001,$B88)*1000/4)</f>
        <v>222131.92675000001</v>
      </c>
      <c r="H88" s="50">
        <f>IF($B$2="A3",SUMIFS('$33Econ'!$I$8:$I$8001,'$33Econ'!$A$8:$A$8001,$B$9,'$33Econ'!$G$8:$G$8001,$B88)*1000/4,SUMIFS('$22Econ'!$I$8:$I$8001,'$22Econ'!$A$8:$A$8001,$B$9,'$22Econ'!$G$8:$G$8001,$B88)*1000/4)</f>
        <v>222131.92675000001</v>
      </c>
      <c r="I88" s="50">
        <f>IF($B$2="A3",SUMIFS('$33Econ'!$I$8:$I$8001,'$33Econ'!$A$8:$A$8001,$B$9,'$33Econ'!$G$8:$G$8001,$B88)*1000/4,SUMIFS('$22Econ'!$I$8:$I$8001,'$22Econ'!$A$8:$A$8001,$B$9,'$22Econ'!$G$8:$G$8001,$B88)*1000/4)</f>
        <v>222131.92675000001</v>
      </c>
      <c r="J88" s="50">
        <f>IF($B$2="A3",SUMIFS('$33Econ'!$J$8:$J$8001,'$33Econ'!$A$8:$A$8001,$B$9,'$33Econ'!$G$8:$G$8001,$B88)*1000/4,SUMIFS('$22Econ'!$J$8:$J$8001,'$22Econ'!$A$8:$A$8001,$B$9,'$22Econ'!$G$8:$G$8001,$B88)*1000/4)</f>
        <v>96733.610749999993</v>
      </c>
      <c r="K88" s="50">
        <f t="shared" ref="K88:M88" si="59">J88</f>
        <v>96733.610749999993</v>
      </c>
      <c r="L88" s="50">
        <f t="shared" si="59"/>
        <v>96733.610749999993</v>
      </c>
      <c r="M88" s="50">
        <f t="shared" si="59"/>
        <v>96733.610749999993</v>
      </c>
      <c r="P88" s="300" t="s">
        <v>816</v>
      </c>
      <c r="Q88" s="301">
        <f>2019.704/4</f>
        <v>504.92599999999999</v>
      </c>
      <c r="R88" s="329"/>
    </row>
    <row r="89" spans="1:18" ht="11" customHeight="1" x14ac:dyDescent="0.25">
      <c r="A89" s="2" t="str">
        <f>B9&amp;B89</f>
        <v>Continental ResourcesExploration Capex</v>
      </c>
      <c r="B89" s="68" t="s">
        <v>278</v>
      </c>
      <c r="C89" s="73" t="s">
        <v>534</v>
      </c>
      <c r="D89" s="118"/>
      <c r="E89" s="83">
        <f>IF($B$2="A3",SUMIFS('$33Econ'!$H$8:$H$8001,'$33Econ'!$A$8:$A$8001,$B$9,'$33Econ'!$G$8:$G$8001,$B89)*1000/4,SUMIFS('$22Econ'!$H$8:$H$8001,'$22Econ'!$A$8:$A$8001,$B$9,'$22Econ'!$G$8:$G$8001,$B89)*1000/4)</f>
        <v>48515.8675</v>
      </c>
      <c r="F89" s="33">
        <f>(1-INDEX(Assumptions!$A$2:$K$596,MATCH($B9&amp;"Capex reduction",Assumptions!$A$2:$A$596,0),MATCH(F$2,Assumptions!$A$2:$K$2,0))) *IF($B$2="A3",SUMIFS('$33Econ'!$I$8:$I$8001,'$33Econ'!$A$8:$A$8001,$B$9,'$33Econ'!$G$8:$G$8001,$B89)*1000/4,SUMIFS('$22Econ'!$I$8:$I$8001,'$22Econ'!$A$8:$A$8001,$B$9,'$22Econ'!$G$8:$G$8001,$B89)*1000/4)</f>
        <v>30332.127250000001</v>
      </c>
      <c r="G89" s="33">
        <f>(1-INDEX(Assumptions!$A$2:$K$596,MATCH($B9&amp;"Capex reduction",Assumptions!$A$2:$A$596,0),MATCH(G$2,Assumptions!$A$2:$K$2,0))) *IF($B$2="A3",SUMIFS('$33Econ'!$I$8:$I$8001,'$33Econ'!$A$8:$A$8001,$B$9,'$33Econ'!$G$8:$G$8001,$B89)*1000/4,SUMIFS('$22Econ'!$I$8:$I$8001,'$22Econ'!$A$8:$A$8001,$B$9,'$22Econ'!$G$8:$G$8001,$B89)*1000/4)</f>
        <v>30332.127250000001</v>
      </c>
      <c r="H89" s="33">
        <f>(1-INDEX(Assumptions!$A$2:$K$596,MATCH($B9&amp;"Capex reduction",Assumptions!$A$2:$A$596,0),MATCH(H$2,Assumptions!$A$2:$K$2,0))) *IF($B$2="A3",SUMIFS('$33Econ'!$I$8:$I$8001,'$33Econ'!$A$8:$A$8001,$B$9,'$33Econ'!$G$8:$G$8001,$B89)*1000/4,SUMIFS('$22Econ'!$I$8:$I$8001,'$22Econ'!$A$8:$A$8001,$B$9,'$22Econ'!$G$8:$G$8001,$B89)*1000/4)</f>
        <v>30332.127250000001</v>
      </c>
      <c r="I89" s="33">
        <f>(1-INDEX(Assumptions!$A$2:$K$596,MATCH($B9&amp;"Capex reduction",Assumptions!$A$2:$A$596,0),MATCH(I$2,Assumptions!$A$2:$K$2,0))) *IF($B$2="A3",SUMIFS('$33Econ'!$I$8:$I$8001,'$33Econ'!$A$8:$A$8001,$B$9,'$33Econ'!$G$8:$G$8001,$B89)*1000/4,SUMIFS('$22Econ'!$I$8:$I$8001,'$22Econ'!$A$8:$A$8001,$B$9,'$22Econ'!$G$8:$G$8001,$B89)*1000/4)</f>
        <v>30332.127250000001</v>
      </c>
      <c r="J89" s="33">
        <f>(1-INDEX(Assumptions!$A$2:$K$596,MATCH($B9&amp;"Capex reduction",Assumptions!$A$2:$A$596,0),MATCH(J$2,Assumptions!$A$2:$K$2,0))) *IF($B$2="A3",SUMIFS('$33Econ'!$J$8:$J$8001,'$33Econ'!$A$8:$A$8001,$B$9,'$33Econ'!$G$8:$G$8001,$B89)*1000/4,SUMIFS('$22Econ'!$J$8:$J$8001,'$22Econ'!$A$8:$A$8001,$B$9,'$22Econ'!$G$8:$G$8001,$B89)*1000/4)</f>
        <v>28057.822249999997</v>
      </c>
      <c r="K89" s="33">
        <f>(1-INDEX(Assumptions!$A$2:$K$596,MATCH($B9&amp;"Capex reduction",Assumptions!$A$2:$A$596,0),MATCH(K$2,Assumptions!$A$2:$K$2,0))) *IF($B$2="A3",SUMIFS('$33Econ'!$J$8:$J$8001,'$33Econ'!$A$8:$A$8001,$B$9,'$33Econ'!$G$8:$G$8001,$B89)*1000/4,SUMIFS('$22Econ'!$J$8:$J$8001,'$22Econ'!$A$8:$A$8001,$B$9,'$22Econ'!$G$8:$G$8001,$B89)*1000/4)</f>
        <v>28057.822249999997</v>
      </c>
      <c r="L89" s="33">
        <f>(1-INDEX(Assumptions!$A$2:$K$596,MATCH($B9&amp;"Capex reduction",Assumptions!$A$2:$A$596,0),MATCH(L$2,Assumptions!$A$2:$K$2,0))) *IF($B$2="A3",SUMIFS('$33Econ'!$J$8:$J$8001,'$33Econ'!$A$8:$A$8001,$B$9,'$33Econ'!$G$8:$G$8001,$B89)*1000/4,SUMIFS('$22Econ'!$J$8:$J$8001,'$22Econ'!$A$8:$A$8001,$B$9,'$22Econ'!$G$8:$G$8001,$B89)*1000/4)</f>
        <v>28057.822249999997</v>
      </c>
      <c r="M89" s="33">
        <f>(1-INDEX(Assumptions!$A$2:$K$596,MATCH($B9&amp;"Capex reduction",Assumptions!$A$2:$A$596,0),MATCH(M$2,Assumptions!$A$2:$K$2,0))) *IF($B$2="A3",SUMIFS('$33Econ'!$J$8:$J$8001,'$33Econ'!$A$8:$A$8001,$B$9,'$33Econ'!$G$8:$G$8001,$B89)*1000/4,SUMIFS('$22Econ'!$J$8:$J$8001,'$22Econ'!$A$8:$A$8001,$B$9,'$22Econ'!$G$8:$G$8001,$B89)*1000/4)</f>
        <v>28057.822249999997</v>
      </c>
      <c r="P89" s="300" t="s">
        <v>571</v>
      </c>
      <c r="Q89" s="301">
        <f t="shared" ref="Q89" si="60">Q15</f>
        <v>21.5505</v>
      </c>
      <c r="R89" s="329"/>
    </row>
    <row r="90" spans="1:18" ht="11" customHeight="1" thickBot="1" x14ac:dyDescent="0.3">
      <c r="A90" s="2" t="str">
        <f>B9&amp;B90</f>
        <v>Continental ResourcesFree Cash Flow (FCF)</v>
      </c>
      <c r="B90" s="69" t="s">
        <v>458</v>
      </c>
      <c r="C90" s="69" t="s">
        <v>512</v>
      </c>
      <c r="D90" s="119"/>
      <c r="E90" s="86">
        <f>SUM(E87:E89)</f>
        <v>1388604.4549999998</v>
      </c>
      <c r="F90" s="34">
        <f>SUM(F87:F89)</f>
        <v>340840.25614544825</v>
      </c>
      <c r="G90" s="34">
        <f t="shared" ref="G90:M90" si="61">SUM(G87:G89)</f>
        <v>-359978.88008243439</v>
      </c>
      <c r="H90" s="34">
        <f t="shared" si="61"/>
        <v>127220.70241934073</v>
      </c>
      <c r="I90" s="34">
        <f t="shared" si="61"/>
        <v>171792.80525735041</v>
      </c>
      <c r="J90" s="34">
        <f t="shared" si="61"/>
        <v>112018.36152980752</v>
      </c>
      <c r="K90" s="34">
        <f t="shared" si="61"/>
        <v>163907.48895425731</v>
      </c>
      <c r="L90" s="34">
        <f t="shared" si="61"/>
        <v>212812.05421025454</v>
      </c>
      <c r="M90" s="34">
        <f t="shared" si="61"/>
        <v>180929.11203357959</v>
      </c>
      <c r="P90" s="288" t="s">
        <v>501</v>
      </c>
      <c r="Q90" s="291">
        <f>(15.612+52.044+10.408+212.689-0.535+4.584)/4</f>
        <v>73.700499999999991</v>
      </c>
      <c r="R90" s="327"/>
    </row>
    <row r="91" spans="1:18" ht="11" customHeight="1" thickTop="1" x14ac:dyDescent="0.25">
      <c r="I91" s="154"/>
      <c r="M91" s="154"/>
      <c r="P91" s="296" t="s">
        <v>817</v>
      </c>
      <c r="Q91" s="297" t="s">
        <v>899</v>
      </c>
      <c r="R91" s="327"/>
    </row>
    <row r="92" spans="1:18" ht="11" customHeight="1" x14ac:dyDescent="0.25">
      <c r="A92" s="2" t="str">
        <f>B9&amp;B92</f>
        <v>Continental ResourcesEBITDA</v>
      </c>
      <c r="B92" s="80" t="s">
        <v>428</v>
      </c>
      <c r="C92" s="144" t="s">
        <v>540</v>
      </c>
      <c r="D92" s="117"/>
      <c r="E92" s="83">
        <f>(E29-E41)+E32</f>
        <v>818698.75</v>
      </c>
      <c r="F92" s="50">
        <f>(F29-F41)+F32</f>
        <v>463026.58321835322</v>
      </c>
      <c r="G92" s="50">
        <f t="shared" ref="G92:M92" si="62">(G29-G41)+G32</f>
        <v>60157.55880817445</v>
      </c>
      <c r="H92" s="50">
        <f t="shared" si="62"/>
        <v>88563.898462219979</v>
      </c>
      <c r="I92" s="50">
        <f t="shared" si="62"/>
        <v>116970.23811626562</v>
      </c>
      <c r="J92" s="50">
        <f t="shared" si="62"/>
        <v>165472.92028148944</v>
      </c>
      <c r="K92" s="50">
        <f t="shared" si="62"/>
        <v>196640.39057886676</v>
      </c>
      <c r="L92" s="50">
        <f t="shared" si="62"/>
        <v>227807.86087624391</v>
      </c>
      <c r="M92" s="50">
        <f t="shared" si="62"/>
        <v>227807.86087624391</v>
      </c>
      <c r="P92" s="296" t="s">
        <v>562</v>
      </c>
      <c r="Q92" s="297" t="s">
        <v>899</v>
      </c>
      <c r="R92" s="327"/>
    </row>
    <row r="93" spans="1:18" ht="11" customHeight="1" x14ac:dyDescent="0.25">
      <c r="A93" s="2" t="str">
        <f>B9&amp;B93</f>
        <v>Continental ResourcesExploration capex</v>
      </c>
      <c r="B93" s="68" t="s">
        <v>519</v>
      </c>
      <c r="C93" s="68" t="s">
        <v>534</v>
      </c>
      <c r="D93" s="118"/>
      <c r="E93" s="83">
        <f>E89</f>
        <v>48515.8675</v>
      </c>
      <c r="F93" s="157">
        <f t="shared" ref="F93:M93" si="63">F89</f>
        <v>30332.127250000001</v>
      </c>
      <c r="G93" s="157">
        <f t="shared" si="63"/>
        <v>30332.127250000001</v>
      </c>
      <c r="H93" s="157">
        <f t="shared" si="63"/>
        <v>30332.127250000001</v>
      </c>
      <c r="I93" s="157">
        <f t="shared" si="63"/>
        <v>30332.127250000001</v>
      </c>
      <c r="J93" s="157">
        <f t="shared" si="63"/>
        <v>28057.822249999997</v>
      </c>
      <c r="K93" s="157">
        <f t="shared" si="63"/>
        <v>28057.822249999997</v>
      </c>
      <c r="L93" s="157">
        <f t="shared" si="63"/>
        <v>28057.822249999997</v>
      </c>
      <c r="M93" s="157">
        <f t="shared" si="63"/>
        <v>28057.822249999997</v>
      </c>
      <c r="P93" s="288" t="s">
        <v>502</v>
      </c>
      <c r="Q93" s="291">
        <f>3115.688/4</f>
        <v>778.92200000000003</v>
      </c>
      <c r="R93" s="327"/>
    </row>
    <row r="94" spans="1:18" ht="11" customHeight="1" x14ac:dyDescent="0.25">
      <c r="A94" s="2" t="str">
        <f>B9&amp;B94</f>
        <v>Continental ResourcesEBITDAX</v>
      </c>
      <c r="B94" s="90" t="s">
        <v>459</v>
      </c>
      <c r="C94" s="90" t="s">
        <v>512</v>
      </c>
      <c r="D94" s="125"/>
      <c r="E94" s="63">
        <f>SUM(E92:E93)</f>
        <v>867214.61750000005</v>
      </c>
      <c r="F94" s="62">
        <f t="shared" ref="F94:M94" si="64">SUM(F92:F93)</f>
        <v>493358.71046835324</v>
      </c>
      <c r="G94" s="62">
        <f t="shared" si="64"/>
        <v>90489.686058174455</v>
      </c>
      <c r="H94" s="62">
        <f t="shared" si="64"/>
        <v>118896.02571221998</v>
      </c>
      <c r="I94" s="62">
        <f t="shared" si="64"/>
        <v>147302.36536626561</v>
      </c>
      <c r="J94" s="62">
        <f t="shared" si="64"/>
        <v>193530.74253148944</v>
      </c>
      <c r="K94" s="62">
        <f t="shared" si="64"/>
        <v>224698.21282886676</v>
      </c>
      <c r="L94" s="62">
        <f t="shared" si="64"/>
        <v>255865.68312624391</v>
      </c>
      <c r="M94" s="62">
        <f t="shared" si="64"/>
        <v>255865.68312624391</v>
      </c>
      <c r="P94" s="288" t="s">
        <v>277</v>
      </c>
      <c r="Q94" s="291">
        <f>(51.558+25.983)/4</f>
        <v>19.385249999999999</v>
      </c>
      <c r="R94" s="327"/>
    </row>
    <row r="95" spans="1:18" ht="11" customHeight="1" x14ac:dyDescent="0.25">
      <c r="A95" s="53" t="str">
        <f>B9&amp;B95</f>
        <v>Continental ResourcesDebt/EBITDAX</v>
      </c>
      <c r="B95" s="310" t="s">
        <v>947</v>
      </c>
      <c r="C95" s="310" t="s">
        <v>512</v>
      </c>
      <c r="D95" s="123"/>
      <c r="E95" s="120">
        <f>(E73+E68)/(E94*4)</f>
        <v>1.7162253956126379</v>
      </c>
      <c r="F95" s="121"/>
      <c r="G95" s="121"/>
      <c r="H95" s="121"/>
      <c r="I95" s="121">
        <f>(AVERAGE(F73:I73)+AVERAGE(F68:I68))/SUM(F92:I92)</f>
        <v>8.1308979681227616</v>
      </c>
      <c r="J95" s="121"/>
      <c r="K95" s="121"/>
      <c r="L95" s="121"/>
      <c r="M95" s="121">
        <f>(AVERAGE(J73:M73)+AVERAGE(J68:M68))/SUM(J92:M92)</f>
        <v>7.2917127216610433</v>
      </c>
      <c r="Q95" s="291">
        <f>2783.149/4</f>
        <v>695.78724999999997</v>
      </c>
      <c r="R95" s="327"/>
    </row>
    <row r="96" spans="1:18" s="49" customFormat="1" ht="11" customHeight="1" x14ac:dyDescent="0.25">
      <c r="D96" s="124"/>
      <c r="P96" s="288" t="s">
        <v>278</v>
      </c>
      <c r="Q96" s="301">
        <f t="shared" ref="Q96" si="65">SUM(Q93:Q95)</f>
        <v>1494.0945000000002</v>
      </c>
      <c r="R96" s="329"/>
    </row>
    <row r="97" spans="1:18" ht="11" customHeight="1" x14ac:dyDescent="0.25">
      <c r="A97" s="2" t="str">
        <f>B9&amp;B97</f>
        <v>Continental ResourcesCash dividends paid</v>
      </c>
      <c r="B97" s="91" t="s">
        <v>521</v>
      </c>
      <c r="C97" s="53" t="s">
        <v>546</v>
      </c>
      <c r="D97" s="122"/>
      <c r="E97" s="408">
        <f>IF(VLOOKUP($B97, P:Q, 2,0) = "-", 0, VLOOKUP($B97, P:Q, 2,0))*1000</f>
        <v>-4595</v>
      </c>
      <c r="F97" s="409">
        <f>E97*(1-INDEX(Assumptions!$A$2:$K$596,MATCH($B9&amp;"Dividend reduction",Assumptions!$A$2:$A$596,0),MATCH(F$2,Assumptions!$A$2:$K$2,0)))</f>
        <v>-4595</v>
      </c>
      <c r="G97" s="409">
        <f>F97*(1-INDEX(Assumptions!$A$2:$K$596,MATCH($B9&amp;"Dividend reduction",Assumptions!$A$2:$A$596,0),MATCH(G$2,Assumptions!$A$2:$K$2,0)))</f>
        <v>-4595</v>
      </c>
      <c r="H97" s="409">
        <f>G97*(1-INDEX(Assumptions!$A$2:$K$596,MATCH($B9&amp;"Dividend reduction",Assumptions!$A$2:$A$596,0),MATCH(H$2,Assumptions!$A$2:$K$2,0)))</f>
        <v>-4595</v>
      </c>
      <c r="I97" s="409">
        <f>H97*(1-INDEX(Assumptions!$A$2:$K$596,MATCH($B9&amp;"Dividend reduction",Assumptions!$A$2:$A$596,0),MATCH(I$2,Assumptions!$A$2:$K$2,0)))</f>
        <v>-4595</v>
      </c>
      <c r="J97" s="409">
        <f>I97*(1-INDEX(Assumptions!$A$2:$K$596,MATCH($B9&amp;"Dividend reduction",Assumptions!$A$2:$A$596,0),MATCH(J$2,Assumptions!$A$2:$K$2,0)))</f>
        <v>-4595</v>
      </c>
      <c r="K97" s="409">
        <f>J97*(1-INDEX(Assumptions!$A$2:$K$596,MATCH($B9&amp;"Dividend reduction",Assumptions!$A$2:$A$596,0),MATCH(K$2,Assumptions!$A$2:$K$2,0)))</f>
        <v>-4595</v>
      </c>
      <c r="L97" s="409">
        <f>K97*(1-INDEX(Assumptions!$A$2:$K$596,MATCH($B9&amp;"Dividend reduction",Assumptions!$A$2:$A$596,0),MATCH(L$2,Assumptions!$A$2:$K$2,0)))</f>
        <v>-4595</v>
      </c>
      <c r="M97" s="409">
        <f>L97*(1-INDEX(Assumptions!$A$2:$K$596,MATCH($B9&amp;"Dividend reduction",Assumptions!$A$2:$A$596,0),MATCH(M$2,Assumptions!$A$2:$K$2,0)))</f>
        <v>-4595</v>
      </c>
      <c r="P97" s="300" t="s">
        <v>458</v>
      </c>
      <c r="Q97" s="291"/>
      <c r="R97" s="327"/>
    </row>
    <row r="98" spans="1:18" ht="11" customHeight="1" x14ac:dyDescent="0.25">
      <c r="P98" s="288"/>
      <c r="Q98" s="301" t="s">
        <v>899</v>
      </c>
      <c r="R98" s="329"/>
    </row>
    <row r="99" spans="1:18" ht="11" customHeight="1" x14ac:dyDescent="0.25">
      <c r="A99" s="2" t="str">
        <f>B9&amp;B99</f>
        <v>Continental ResourcesOhlson's O-Score</v>
      </c>
      <c r="B99" s="80" t="s">
        <v>427</v>
      </c>
      <c r="C99" s="80" t="s">
        <v>512</v>
      </c>
      <c r="D99" s="117"/>
      <c r="E99" s="130"/>
      <c r="F99" s="130"/>
      <c r="G99" s="130"/>
      <c r="H99" s="130"/>
      <c r="I99" s="99">
        <f>-1.32-0.407*(LN($I66*1000/(36.32+2.11*'Quarterly Forecasts'!$K$15)))+6.03*($I78/$I66)-1.43*(($I60-$I72)/$I66)+0.0757*($I72/$I60)-2.37*(SUM($F49:$I49)/$I66)-1.83*(SUM($F92:$I92)/$I78)+0.285*(IF(AND(SUM($F49:$I49)&lt;0,($E49*4)&lt;0),1,0))-0.521*((SUM($F49:$I49)-($E49*4))/(ABS(SUM($F49:$I49))+ABS($E49*4)))-1.72*(IF($I78&gt;$I66,1,0))</f>
        <v>-3.8591751949711917</v>
      </c>
      <c r="J99" s="130"/>
      <c r="K99" s="130"/>
      <c r="L99" s="130"/>
      <c r="M99" s="99">
        <f>-1.32-0.407*(LN($M66*1000/(36.32+2.11*'Quarterly Forecasts'!$K$15)))+6.03*($M78/$M66)-1.43*(($M60-$M72)/$M66)+0.0757*($M72/$M60)-2.37*(SUM($J49:$M49)/$M66)-1.83*(SUM($J92:$M92)/$M78)+0.285*(IF(AND(SUM($J49:$M49)&lt;0,(SUM($F49:$I49))&lt;0),1,0))-0.521*((SUM($J49:$M49)-(SUM($F49:$I49)))/(ABS(SUM($J49:$M49))+ABS(SUM($F49:$I49))))-1.72*(IF($M78&gt;$M66,1,0))</f>
        <v>-3.5153204222428114</v>
      </c>
      <c r="P99" s="300" t="s">
        <v>428</v>
      </c>
      <c r="Q99" s="301">
        <f t="shared" ref="Q99" si="66">Q95</f>
        <v>695.78724999999997</v>
      </c>
      <c r="R99" s="329"/>
    </row>
    <row r="100" spans="1:18" ht="11" customHeight="1" thickBot="1" x14ac:dyDescent="0.3">
      <c r="A100" s="2" t="str">
        <f>B9&amp;B100</f>
        <v>Continental ResourcesProbability of default (PD)</v>
      </c>
      <c r="B100" s="81" t="s">
        <v>504</v>
      </c>
      <c r="C100" s="98" t="s">
        <v>512</v>
      </c>
      <c r="D100" s="110"/>
      <c r="E100" s="131"/>
      <c r="F100" s="131"/>
      <c r="G100" s="131"/>
      <c r="H100" s="131"/>
      <c r="I100" s="126">
        <f>EXP(I99)/(1+EXP(I99))</f>
        <v>2.0649971119184152E-2</v>
      </c>
      <c r="J100" s="131"/>
      <c r="K100" s="131"/>
      <c r="L100" s="131"/>
      <c r="M100" s="126">
        <f>EXP(M99)/(1+EXP(M99))</f>
        <v>2.8879447733396634E-2</v>
      </c>
      <c r="P100" s="300" t="s">
        <v>519</v>
      </c>
      <c r="Q100" s="301" t="s">
        <v>899</v>
      </c>
      <c r="R100" s="329"/>
    </row>
    <row r="101" spans="1:18" ht="11" customHeight="1" thickTop="1" x14ac:dyDescent="0.25">
      <c r="P101" s="300" t="s">
        <v>459</v>
      </c>
      <c r="Q101" s="291"/>
      <c r="R101" s="327"/>
    </row>
    <row r="102" spans="1:18" ht="11" customHeight="1" thickBot="1" x14ac:dyDescent="0.3">
      <c r="P102" s="288"/>
      <c r="Q102" s="303"/>
      <c r="R102" s="327"/>
    </row>
    <row r="103" spans="1:18" ht="11" customHeight="1" thickBot="1" x14ac:dyDescent="0.3">
      <c r="P103" s="302" t="s">
        <v>521</v>
      </c>
      <c r="Q103" s="303">
        <f>-18.38/4</f>
        <v>-4.5949999999999998</v>
      </c>
    </row>
  </sheetData>
  <conditionalFormatting sqref="D8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9A14F-CB71-4ABE-9A51-43CA9742714C}">
  <dimension ref="A1:M103"/>
  <sheetViews>
    <sheetView showGridLines="0" topLeftCell="B1" zoomScale="107" zoomScaleNormal="197" workbookViewId="0">
      <pane xSplit="1" ySplit="2" topLeftCell="E48" activePane="bottomRight" state="frozen"/>
      <selection activeCell="E96" sqref="E96"/>
      <selection pane="topRight" activeCell="E96" sqref="E96"/>
      <selection pane="bottomLeft" activeCell="E96" sqref="E96"/>
      <selection pane="bottomRight" activeCell="E54" sqref="E54"/>
    </sheetView>
  </sheetViews>
  <sheetFormatPr defaultColWidth="8.81640625" defaultRowHeight="10.5" x14ac:dyDescent="0.25"/>
  <cols>
    <col min="1" max="1" width="8.81640625" style="2" hidden="1" customWidth="1"/>
    <col min="2" max="2" width="39.81640625" style="2" bestFit="1" customWidth="1"/>
    <col min="3" max="3" width="44.36328125" style="2" customWidth="1"/>
    <col min="4" max="4" width="9.453125" style="113" bestFit="1" customWidth="1"/>
    <col min="5" max="5" width="10.453125" style="2" bestFit="1" customWidth="1"/>
    <col min="6" max="6" width="12.1796875" style="2" bestFit="1" customWidth="1"/>
    <col min="7" max="13" width="10.453125" style="2" bestFit="1" customWidth="1"/>
    <col min="14" max="16384" width="8.81640625" style="2"/>
  </cols>
  <sheetData>
    <row r="1" spans="1:13" x14ac:dyDescent="0.25">
      <c r="E1" s="2" t="str">
        <f>LEFT(E2,4)</f>
        <v>2019</v>
      </c>
      <c r="F1" s="2" t="str">
        <f t="shared" ref="F1:M1" si="0">LEFT(F2,4)</f>
        <v>2020</v>
      </c>
      <c r="G1" s="2" t="str">
        <f t="shared" si="0"/>
        <v>2020</v>
      </c>
      <c r="H1" s="2" t="str">
        <f t="shared" si="0"/>
        <v>2020</v>
      </c>
      <c r="I1" s="2" t="str">
        <f t="shared" si="0"/>
        <v>2020</v>
      </c>
      <c r="J1" s="2" t="str">
        <f t="shared" si="0"/>
        <v>2021</v>
      </c>
      <c r="K1" s="2" t="str">
        <f t="shared" si="0"/>
        <v>2021</v>
      </c>
      <c r="L1" s="2" t="str">
        <f t="shared" si="0"/>
        <v>2021</v>
      </c>
      <c r="M1" s="2" t="str">
        <f t="shared" si="0"/>
        <v>2021</v>
      </c>
    </row>
    <row r="2" spans="1:13" x14ac:dyDescent="0.25">
      <c r="B2" s="2" t="s">
        <v>439</v>
      </c>
      <c r="C2" s="2" t="s">
        <v>517</v>
      </c>
      <c r="D2" s="113" t="s">
        <v>524</v>
      </c>
      <c r="E2" s="67" t="s">
        <v>413</v>
      </c>
      <c r="F2" s="67" t="s">
        <v>414</v>
      </c>
      <c r="G2" s="67" t="s">
        <v>415</v>
      </c>
      <c r="H2" s="67" t="s">
        <v>416</v>
      </c>
      <c r="I2" s="67" t="s">
        <v>417</v>
      </c>
      <c r="J2" s="67" t="s">
        <v>418</v>
      </c>
      <c r="K2" s="67" t="s">
        <v>419</v>
      </c>
      <c r="L2" s="67" t="s">
        <v>420</v>
      </c>
      <c r="M2" s="67" t="s">
        <v>421</v>
      </c>
    </row>
    <row r="3" spans="1:13" x14ac:dyDescent="0.25">
      <c r="B3" s="64" t="s">
        <v>522</v>
      </c>
      <c r="C3" s="64"/>
      <c r="D3" s="111"/>
      <c r="E3" s="103"/>
      <c r="F3" s="99"/>
      <c r="G3" s="99"/>
      <c r="H3" s="99"/>
      <c r="I3" s="99"/>
      <c r="J3" s="99"/>
      <c r="K3" s="99"/>
      <c r="L3" s="99"/>
      <c r="M3" s="99"/>
    </row>
    <row r="4" spans="1:13" x14ac:dyDescent="0.25">
      <c r="A4" s="2" t="s">
        <v>439</v>
      </c>
      <c r="B4" s="70" t="s">
        <v>396</v>
      </c>
      <c r="C4" s="70"/>
      <c r="D4" s="108"/>
      <c r="E4" s="89">
        <f>INDEX('[16]Quarterly Forecasts'!$B$4:$O$500,MATCH($A4&amp;$B4,'[16]Quarterly Forecasts'!$B$4:$B$500,0),MATCH(E$2,'[16]Quarterly Forecasts'!$B$4:$O$4,0))</f>
        <v>57.03</v>
      </c>
      <c r="F4" s="134">
        <f>INDEX('[16]Quarterly Forecasts'!$B$4:$O$500,MATCH($A4&amp;$B4,'[16]Quarterly Forecasts'!$B$4:$B$500,0),MATCH(F$2,'[16]Quarterly Forecasts'!$B$4:$O$4,0))</f>
        <v>50.81859</v>
      </c>
      <c r="G4" s="134">
        <f>INDEX('[16]Quarterly Forecasts'!$B$4:$O$500,MATCH($A4&amp;$B4,'[16]Quarterly Forecasts'!$B$4:$B$500,0),MATCH(G$2,'[16]Quarterly Forecasts'!$B$4:$O$4,0))</f>
        <v>20</v>
      </c>
      <c r="H4" s="134">
        <f>INDEX('[16]Quarterly Forecasts'!$B$4:$O$500,MATCH($A4&amp;$B4,'[16]Quarterly Forecasts'!$B$4:$B$500,0),MATCH(H$2,'[16]Quarterly Forecasts'!$B$4:$O$4,0))</f>
        <v>22</v>
      </c>
      <c r="I4" s="134">
        <f>INDEX('[16]Quarterly Forecasts'!$B$4:$O$500,MATCH($A4&amp;$B4,'[16]Quarterly Forecasts'!$B$4:$B$500,0),MATCH(I$2,'[16]Quarterly Forecasts'!$B$4:$O$4,0))</f>
        <v>24</v>
      </c>
      <c r="J4" s="134">
        <f>INDEX('[16]Quarterly Forecasts'!$B$4:$O$500,MATCH($A4&amp;$B4,'[16]Quarterly Forecasts'!$B$4:$B$500,0),MATCH(J$2,'[16]Quarterly Forecasts'!$B$4:$O$4,0))</f>
        <v>26</v>
      </c>
      <c r="K4" s="134">
        <f>INDEX('[16]Quarterly Forecasts'!$B$4:$O$500,MATCH($A4&amp;$B4,'[16]Quarterly Forecasts'!$B$4:$B$500,0),MATCH(K$2,'[16]Quarterly Forecasts'!$B$4:$O$4,0))</f>
        <v>28</v>
      </c>
      <c r="L4" s="134">
        <f>INDEX('[16]Quarterly Forecasts'!$B$4:$O$500,MATCH($A4&amp;$B4,'[16]Quarterly Forecasts'!$B$4:$B$500,0),MATCH(L$2,'[16]Quarterly Forecasts'!$B$4:$O$4,0))</f>
        <v>30</v>
      </c>
      <c r="M4" s="134">
        <f>INDEX('[16]Quarterly Forecasts'!$B$4:$O$500,MATCH($A4&amp;$B4,'[16]Quarterly Forecasts'!$B$4:$B$500,0),MATCH(M$2,'[16]Quarterly Forecasts'!$B$4:$O$4,0))</f>
        <v>30</v>
      </c>
    </row>
    <row r="5" spans="1:13" x14ac:dyDescent="0.25">
      <c r="A5" s="2" t="s">
        <v>439</v>
      </c>
      <c r="B5" s="70" t="s">
        <v>26</v>
      </c>
      <c r="C5" s="70"/>
      <c r="D5" s="108"/>
      <c r="E5" s="89">
        <f>INDEX('[16]Quarterly Forecasts'!$B$4:$O$500,MATCH($A5&amp;$B5,'[16]Quarterly Forecasts'!$B$4:$B$500,0),MATCH(E$2,'[16]Quarterly Forecasts'!$B$4:$O$4,0))</f>
        <v>15.78</v>
      </c>
      <c r="F5" s="134">
        <f>INDEX('[16]Quarterly Forecasts'!$B$4:$O$500,MATCH($A5&amp;$B5,'[16]Quarterly Forecasts'!$B$4:$B$500,0),MATCH(F$2,'[16]Quarterly Forecasts'!$B$4:$O$4,0))</f>
        <v>11.20355</v>
      </c>
      <c r="G5" s="134">
        <f>INDEX('[16]Quarterly Forecasts'!$B$4:$O$500,MATCH($A5&amp;$B5,'[16]Quarterly Forecasts'!$B$4:$B$500,0),MATCH(G$2,'[16]Quarterly Forecasts'!$B$4:$O$4,0))</f>
        <v>12.8748</v>
      </c>
      <c r="H5" s="134">
        <f>INDEX('[16]Quarterly Forecasts'!$B$4:$O$500,MATCH($A5&amp;$B5,'[16]Quarterly Forecasts'!$B$4:$B$500,0),MATCH(H$2,'[16]Quarterly Forecasts'!$B$4:$O$4,0))</f>
        <v>13.0944</v>
      </c>
      <c r="I5" s="134">
        <f>INDEX('[16]Quarterly Forecasts'!$B$4:$O$500,MATCH($A5&amp;$B5,'[16]Quarterly Forecasts'!$B$4:$B$500,0),MATCH(I$2,'[16]Quarterly Forecasts'!$B$4:$O$4,0))</f>
        <v>13.314000000000002</v>
      </c>
      <c r="J5" s="134">
        <f>INDEX('[16]Quarterly Forecasts'!$B$4:$O$500,MATCH($A5&amp;$B5,'[16]Quarterly Forecasts'!$B$4:$B$500,0),MATCH(J$2,'[16]Quarterly Forecasts'!$B$4:$O$4,0))</f>
        <v>13.533600000000002</v>
      </c>
      <c r="K5" s="134">
        <f>INDEX('[16]Quarterly Forecasts'!$B$4:$O$500,MATCH($A5&amp;$B5,'[16]Quarterly Forecasts'!$B$4:$B$500,0),MATCH(K$2,'[16]Quarterly Forecasts'!$B$4:$O$4,0))</f>
        <v>13.753200000000001</v>
      </c>
      <c r="L5" s="134">
        <f>INDEX('[16]Quarterly Forecasts'!$B$4:$O$500,MATCH($A5&amp;$B5,'[16]Quarterly Forecasts'!$B$4:$B$500,0),MATCH(L$2,'[16]Quarterly Forecasts'!$B$4:$O$4,0))</f>
        <v>13.972800000000001</v>
      </c>
      <c r="M5" s="134">
        <f>INDEX('[16]Quarterly Forecasts'!$B$4:$O$500,MATCH($A5&amp;$B5,'[16]Quarterly Forecasts'!$B$4:$B$500,0),MATCH(M$2,'[16]Quarterly Forecasts'!$B$4:$O$4,0))</f>
        <v>13.972800000000001</v>
      </c>
    </row>
    <row r="6" spans="1:13" x14ac:dyDescent="0.25">
      <c r="A6" s="2" t="s">
        <v>439</v>
      </c>
      <c r="B6" s="70" t="s">
        <v>25</v>
      </c>
      <c r="C6" s="70"/>
      <c r="D6" s="108"/>
      <c r="E6" s="89">
        <f>INDEX('[16]Quarterly Forecasts'!$B$4:$O$500,MATCH($A6&amp;$B6,'[16]Quarterly Forecasts'!$B$4:$B$500,0),MATCH(E$2,'[16]Quarterly Forecasts'!$B$4:$O$4,0))</f>
        <v>31.928999999999998</v>
      </c>
      <c r="F6" s="134">
        <f>INDEX('[16]Quarterly Forecasts'!$B$4:$O$500,MATCH($A6&amp;$B6,'[16]Quarterly Forecasts'!$B$4:$B$500,0),MATCH(F$2,'[16]Quarterly Forecasts'!$B$4:$O$4,0))</f>
        <v>17.26445</v>
      </c>
      <c r="G6" s="134">
        <f>INDEX('[16]Quarterly Forecasts'!$B$4:$O$500,MATCH($A6&amp;$B6,'[16]Quarterly Forecasts'!$B$4:$B$500,0),MATCH(G$2,'[16]Quarterly Forecasts'!$B$4:$O$4,0))</f>
        <v>8.4505925000000008</v>
      </c>
      <c r="H6" s="134">
        <f>INDEX('[16]Quarterly Forecasts'!$B$4:$O$500,MATCH($A6&amp;$B6,'[16]Quarterly Forecasts'!$B$4:$B$500,0),MATCH(H$2,'[16]Quarterly Forecasts'!$B$4:$O$4,0))</f>
        <v>9.3239265000000007</v>
      </c>
      <c r="I6" s="134">
        <f>INDEX('[16]Quarterly Forecasts'!$B$4:$O$500,MATCH($A6&amp;$B6,'[16]Quarterly Forecasts'!$B$4:$B$500,0),MATCH(I$2,'[16]Quarterly Forecasts'!$B$4:$O$4,0))</f>
        <v>10.197260500000001</v>
      </c>
      <c r="J6" s="134">
        <f>INDEX('[16]Quarterly Forecasts'!$B$4:$O$500,MATCH($A6&amp;$B6,'[16]Quarterly Forecasts'!$B$4:$B$500,0),MATCH(J$2,'[16]Quarterly Forecasts'!$B$4:$O$4,0))</f>
        <v>11.0705945</v>
      </c>
      <c r="K6" s="134">
        <f>INDEX('[16]Quarterly Forecasts'!$B$4:$O$500,MATCH($A6&amp;$B6,'[16]Quarterly Forecasts'!$B$4:$B$500,0),MATCH(K$2,'[16]Quarterly Forecasts'!$B$4:$O$4,0))</f>
        <v>11.9439285</v>
      </c>
      <c r="L6" s="134">
        <f>INDEX('[16]Quarterly Forecasts'!$B$4:$O$500,MATCH($A6&amp;$B6,'[16]Quarterly Forecasts'!$B$4:$B$500,0),MATCH(L$2,'[16]Quarterly Forecasts'!$B$4:$O$4,0))</f>
        <v>12.8172625</v>
      </c>
      <c r="M6" s="134">
        <f>INDEX('[16]Quarterly Forecasts'!$B$4:$O$500,MATCH($A6&amp;$B6,'[16]Quarterly Forecasts'!$B$4:$B$500,0),MATCH(M$2,'[16]Quarterly Forecasts'!$B$4:$O$4,0))</f>
        <v>12.8172625</v>
      </c>
    </row>
    <row r="7" spans="1:13" x14ac:dyDescent="0.25">
      <c r="A7" s="2" t="s">
        <v>439</v>
      </c>
      <c r="B7" s="71" t="s">
        <v>24</v>
      </c>
      <c r="C7" s="71"/>
      <c r="D7" s="114"/>
      <c r="E7" s="89">
        <f>INDEX('[16]Quarterly Forecasts'!$B$4:$O$500,MATCH($A7&amp;$B7,'[16]Quarterly Forecasts'!$B$4:$B$500,0),MATCH(E$2,'[16]Quarterly Forecasts'!$B$4:$O$4,0))</f>
        <v>34.217999999999996</v>
      </c>
      <c r="F7" s="134">
        <f>INDEX('[16]Quarterly Forecasts'!$B$4:$O$500,MATCH($A7&amp;$B7,'[16]Quarterly Forecasts'!$B$4:$B$500,0),MATCH(F$2,'[16]Quarterly Forecasts'!$B$4:$O$4,0))</f>
        <v>30.491153999999998</v>
      </c>
      <c r="G7" s="134">
        <f>INDEX('[16]Quarterly Forecasts'!$B$4:$O$500,MATCH($A7&amp;$B7,'[16]Quarterly Forecasts'!$B$4:$B$500,0),MATCH(G$2,'[16]Quarterly Forecasts'!$B$4:$O$4,0))</f>
        <v>12</v>
      </c>
      <c r="H7" s="134">
        <f>INDEX('[16]Quarterly Forecasts'!$B$4:$O$500,MATCH($A7&amp;$B7,'[16]Quarterly Forecasts'!$B$4:$B$500,0),MATCH(H$2,'[16]Quarterly Forecasts'!$B$4:$O$4,0))</f>
        <v>13.2</v>
      </c>
      <c r="I7" s="134">
        <f>INDEX('[16]Quarterly Forecasts'!$B$4:$O$500,MATCH($A7&amp;$B7,'[16]Quarterly Forecasts'!$B$4:$B$500,0),MATCH(I$2,'[16]Quarterly Forecasts'!$B$4:$O$4,0))</f>
        <v>14.399999999999999</v>
      </c>
      <c r="J7" s="134">
        <f>INDEX('[16]Quarterly Forecasts'!$B$4:$O$500,MATCH($A7&amp;$B7,'[16]Quarterly Forecasts'!$B$4:$B$500,0),MATCH(J$2,'[16]Quarterly Forecasts'!$B$4:$O$4,0))</f>
        <v>15.6</v>
      </c>
      <c r="K7" s="134">
        <f>INDEX('[16]Quarterly Forecasts'!$B$4:$O$500,MATCH($A7&amp;$B7,'[16]Quarterly Forecasts'!$B$4:$B$500,0),MATCH(K$2,'[16]Quarterly Forecasts'!$B$4:$O$4,0))</f>
        <v>16.8</v>
      </c>
      <c r="L7" s="134">
        <f>INDEX('[16]Quarterly Forecasts'!$B$4:$O$500,MATCH($A7&amp;$B7,'[16]Quarterly Forecasts'!$B$4:$B$500,0),MATCH(L$2,'[16]Quarterly Forecasts'!$B$4:$O$4,0))</f>
        <v>18</v>
      </c>
      <c r="M7" s="134">
        <f>INDEX('[16]Quarterly Forecasts'!$B$4:$O$500,MATCH($A7&amp;$B7,'[16]Quarterly Forecasts'!$B$4:$B$500,0),MATCH(M$2,'[16]Quarterly Forecasts'!$B$4:$O$4,0))</f>
        <v>18</v>
      </c>
    </row>
    <row r="9" spans="1:13" x14ac:dyDescent="0.25">
      <c r="B9" s="31" t="s">
        <v>231</v>
      </c>
      <c r="C9" s="31"/>
      <c r="D9" s="115"/>
      <c r="E9" s="67"/>
      <c r="F9" s="67"/>
      <c r="G9" s="67"/>
      <c r="H9" s="67"/>
      <c r="I9" s="67"/>
      <c r="J9" s="67"/>
      <c r="K9" s="67"/>
      <c r="L9" s="67"/>
      <c r="M9" s="67"/>
    </row>
    <row r="10" spans="1:13" x14ac:dyDescent="0.25">
      <c r="B10" s="64" t="s">
        <v>547</v>
      </c>
      <c r="C10" s="64"/>
      <c r="D10" s="111"/>
      <c r="E10" s="103"/>
      <c r="F10" s="99"/>
      <c r="G10" s="99"/>
      <c r="H10" s="99"/>
      <c r="I10" s="99"/>
      <c r="J10" s="99"/>
      <c r="K10" s="99"/>
      <c r="L10" s="99"/>
      <c r="M10" s="99"/>
    </row>
    <row r="11" spans="1:13" x14ac:dyDescent="0.25">
      <c r="A11" s="2" t="str">
        <f>B9&amp;B10&amp;B11</f>
        <v>Devon EnergyRealized prices / $BBL - can hedgeOil</v>
      </c>
      <c r="B11" s="70" t="s">
        <v>396</v>
      </c>
      <c r="C11" s="132" t="s">
        <v>542</v>
      </c>
      <c r="D11" s="108"/>
      <c r="E11" s="89">
        <v>54.73</v>
      </c>
      <c r="F11" s="134">
        <f t="shared" ref="F11:M14" si="1">F4*($E11/$E4)</f>
        <v>48.769093997895837</v>
      </c>
      <c r="G11" s="134">
        <f>G4*($E11/$E4)</f>
        <v>19.193406978783095</v>
      </c>
      <c r="H11" s="134">
        <f t="shared" si="1"/>
        <v>21.112747676661403</v>
      </c>
      <c r="I11" s="134">
        <f t="shared" si="1"/>
        <v>23.032088374539711</v>
      </c>
      <c r="J11" s="134">
        <f t="shared" si="1"/>
        <v>24.951429072418023</v>
      </c>
      <c r="K11" s="134">
        <f t="shared" si="1"/>
        <v>26.870769770296331</v>
      </c>
      <c r="L11" s="134">
        <f t="shared" si="1"/>
        <v>28.790110468174642</v>
      </c>
      <c r="M11" s="134">
        <f t="shared" si="1"/>
        <v>28.790110468174642</v>
      </c>
    </row>
    <row r="12" spans="1:13" x14ac:dyDescent="0.25">
      <c r="A12" s="2" t="str">
        <f>B9&amp;B10&amp;B12</f>
        <v>Devon EnergyRealized prices / $BBL - can hedgeGas</v>
      </c>
      <c r="B12" s="70" t="s">
        <v>26</v>
      </c>
      <c r="C12" s="132" t="s">
        <v>542</v>
      </c>
      <c r="D12" s="108"/>
      <c r="E12" s="89">
        <f>1.79*6</f>
        <v>10.74</v>
      </c>
      <c r="F12" s="134">
        <f>F5*($E12/$E5)</f>
        <v>7.6252298479087459</v>
      </c>
      <c r="G12" s="134">
        <f t="shared" si="1"/>
        <v>8.7626965779467696</v>
      </c>
      <c r="H12" s="134">
        <f t="shared" si="1"/>
        <v>8.9121581749049437</v>
      </c>
      <c r="I12" s="134">
        <f t="shared" si="1"/>
        <v>9.0616197718631195</v>
      </c>
      <c r="J12" s="134">
        <f t="shared" si="1"/>
        <v>9.2110813688212954</v>
      </c>
      <c r="K12" s="134">
        <f t="shared" si="1"/>
        <v>9.3605429657794694</v>
      </c>
      <c r="L12" s="134">
        <f t="shared" si="1"/>
        <v>9.5100045627376435</v>
      </c>
      <c r="M12" s="134">
        <f t="shared" si="1"/>
        <v>9.5100045627376435</v>
      </c>
    </row>
    <row r="13" spans="1:13" x14ac:dyDescent="0.25">
      <c r="A13" s="2" t="str">
        <f>B9&amp;B10&amp;B13</f>
        <v>Devon EnergyRealized prices / $BBL - can hedgeNGL</v>
      </c>
      <c r="B13" s="70" t="s">
        <v>25</v>
      </c>
      <c r="C13" s="132" t="s">
        <v>542</v>
      </c>
      <c r="D13" s="108"/>
      <c r="E13" s="89">
        <v>15.21</v>
      </c>
      <c r="F13" s="134">
        <f>F6*($E13/$E6)</f>
        <v>8.2242564596448382</v>
      </c>
      <c r="G13" s="134">
        <f t="shared" si="1"/>
        <v>4.0256040566569586</v>
      </c>
      <c r="H13" s="134">
        <f t="shared" si="1"/>
        <v>4.4416336892793389</v>
      </c>
      <c r="I13" s="134">
        <f t="shared" si="1"/>
        <v>4.85766332190172</v>
      </c>
      <c r="J13" s="134">
        <f t="shared" si="1"/>
        <v>5.2736929545241011</v>
      </c>
      <c r="K13" s="134">
        <f t="shared" si="1"/>
        <v>5.6897225871464823</v>
      </c>
      <c r="L13" s="134">
        <f t="shared" si="1"/>
        <v>6.1057522197688625</v>
      </c>
      <c r="M13" s="134">
        <f t="shared" si="1"/>
        <v>6.1057522197688625</v>
      </c>
    </row>
    <row r="14" spans="1:13" x14ac:dyDescent="0.25">
      <c r="A14" s="2" t="str">
        <f>B9&amp;B10&amp;B14</f>
        <v>Devon EnergyRealized prices / $BBL - can hedgeCondensate</v>
      </c>
      <c r="B14" s="70" t="s">
        <v>24</v>
      </c>
      <c r="C14" s="132" t="s">
        <v>543</v>
      </c>
      <c r="D14" s="108"/>
      <c r="E14" s="104">
        <f>E11*0.6</f>
        <v>32.837999999999994</v>
      </c>
      <c r="F14" s="134">
        <f>F7*($E14/$E7)</f>
        <v>29.261456398737501</v>
      </c>
      <c r="G14" s="134">
        <f t="shared" si="1"/>
        <v>11.516044187269856</v>
      </c>
      <c r="H14" s="134">
        <f t="shared" si="1"/>
        <v>12.667648605996842</v>
      </c>
      <c r="I14" s="134">
        <f t="shared" si="1"/>
        <v>13.819253024723826</v>
      </c>
      <c r="J14" s="134">
        <f t="shared" si="1"/>
        <v>14.970857443450813</v>
      </c>
      <c r="K14" s="134">
        <f t="shared" si="1"/>
        <v>16.122461862177801</v>
      </c>
      <c r="L14" s="134">
        <f t="shared" si="1"/>
        <v>17.274066280904783</v>
      </c>
      <c r="M14" s="134">
        <f t="shared" si="1"/>
        <v>17.274066280904783</v>
      </c>
    </row>
    <row r="15" spans="1:13" x14ac:dyDescent="0.25">
      <c r="A15" s="2" t="str">
        <f>B9&amp;B10&amp;B15</f>
        <v>Devon EnergyRealized prices / $BBL - can hedgeAverage realized price</v>
      </c>
      <c r="B15" s="97" t="s">
        <v>527</v>
      </c>
      <c r="C15" s="137" t="s">
        <v>541</v>
      </c>
      <c r="D15" s="114"/>
      <c r="E15" s="89">
        <v>22.84</v>
      </c>
      <c r="F15" s="12" t="e">
        <f>F29/F24</f>
        <v>#VALUE!</v>
      </c>
      <c r="G15" s="12" t="e">
        <f t="shared" ref="G15:M15" si="2">G29/G24</f>
        <v>#VALUE!</v>
      </c>
      <c r="H15" s="12" t="e">
        <f t="shared" si="2"/>
        <v>#VALUE!</v>
      </c>
      <c r="I15" s="12" t="e">
        <f t="shared" si="2"/>
        <v>#VALUE!</v>
      </c>
      <c r="J15" s="12" t="e">
        <f t="shared" si="2"/>
        <v>#VALUE!</v>
      </c>
      <c r="K15" s="12" t="e">
        <f t="shared" si="2"/>
        <v>#VALUE!</v>
      </c>
      <c r="L15" s="12" t="e">
        <f t="shared" si="2"/>
        <v>#VALUE!</v>
      </c>
      <c r="M15" s="12" t="e">
        <f t="shared" si="2"/>
        <v>#VALUE!</v>
      </c>
    </row>
    <row r="16" spans="1:13" x14ac:dyDescent="0.25">
      <c r="B16" s="31"/>
      <c r="C16" s="31"/>
      <c r="D16" s="115"/>
      <c r="E16" s="100"/>
      <c r="F16" s="100"/>
      <c r="G16" s="100"/>
      <c r="H16" s="100"/>
      <c r="I16" s="100"/>
      <c r="J16" s="100"/>
      <c r="K16" s="100"/>
      <c r="L16" s="100"/>
      <c r="M16" s="100"/>
    </row>
    <row r="17" spans="1:13" x14ac:dyDescent="0.25">
      <c r="A17" s="2" t="str">
        <f>B9&amp;B17</f>
        <v>Devon EnergyNetback price, BOE</v>
      </c>
      <c r="B17" s="91" t="s">
        <v>503</v>
      </c>
      <c r="C17" s="53" t="s">
        <v>535</v>
      </c>
      <c r="D17" s="122"/>
      <c r="E17" s="89" t="e">
        <f>E15-(E43/E24)-(E36/E24)-(E37/E24)-(E38/E24)</f>
        <v>#VALUE!</v>
      </c>
      <c r="F17" s="89" t="e">
        <f t="shared" ref="F17:M17" si="3">F15-(F43/F24)-(F36/F24)-(F37/F24)-(F38/F24)</f>
        <v>#VALUE!</v>
      </c>
      <c r="G17" s="89" t="e">
        <f t="shared" si="3"/>
        <v>#VALUE!</v>
      </c>
      <c r="H17" s="89" t="e">
        <f t="shared" si="3"/>
        <v>#VALUE!</v>
      </c>
      <c r="I17" s="89" t="e">
        <f t="shared" si="3"/>
        <v>#VALUE!</v>
      </c>
      <c r="J17" s="89" t="e">
        <f t="shared" si="3"/>
        <v>#VALUE!</v>
      </c>
      <c r="K17" s="89" t="e">
        <f t="shared" si="3"/>
        <v>#VALUE!</v>
      </c>
      <c r="L17" s="89" t="e">
        <f t="shared" si="3"/>
        <v>#VALUE!</v>
      </c>
      <c r="M17" s="89" t="e">
        <f t="shared" si="3"/>
        <v>#VALUE!</v>
      </c>
    </row>
    <row r="18" spans="1:13" x14ac:dyDescent="0.25">
      <c r="B18" s="31"/>
      <c r="C18" s="31"/>
      <c r="D18" s="115"/>
      <c r="E18" s="100"/>
      <c r="F18" s="100"/>
      <c r="G18" s="100"/>
      <c r="H18" s="100"/>
      <c r="I18" s="100"/>
      <c r="J18" s="100"/>
      <c r="K18" s="100"/>
      <c r="L18" s="100"/>
      <c r="M18" s="100"/>
    </row>
    <row r="19" spans="1:13" x14ac:dyDescent="0.25">
      <c r="B19" s="64" t="s">
        <v>532</v>
      </c>
      <c r="C19" s="64"/>
      <c r="D19" s="111"/>
      <c r="E19" s="103"/>
      <c r="F19" s="99"/>
      <c r="G19" s="99"/>
      <c r="H19" s="99"/>
      <c r="I19" s="99"/>
      <c r="J19" s="99"/>
      <c r="K19" s="99"/>
      <c r="L19" s="99"/>
      <c r="M19" s="99"/>
    </row>
    <row r="20" spans="1:13" x14ac:dyDescent="0.25">
      <c r="A20" s="2" t="str">
        <f>B9&amp;B19&amp;B20</f>
        <v>Devon EnergyProduction, BOE/QOil</v>
      </c>
      <c r="B20" s="70" t="s">
        <v>396</v>
      </c>
      <c r="C20" s="73" t="s">
        <v>544</v>
      </c>
      <c r="D20" s="108"/>
      <c r="E20" s="105" t="e">
        <f>SUMIFS([16]Production!$K$3:$K$1000,[16]Production!$B$3:$B$1000,$B9)*365/4</f>
        <v>#VALUE!</v>
      </c>
      <c r="F20" s="66" t="e">
        <f>(SUMIFS([16]Production!$O$3:$O$1000,[16]Production!$B$3:$B$1000,$B9)*365/4)*(1-INDEX([16]Assumptions!$A$2:$K$596,MATCH($B9&amp;"Oil production reduction",[16]Assumptions!$A$2:$A$596,0),MATCH(F$2,[16]Assumptions!$A$2:$K$2,0)))</f>
        <v>#VALUE!</v>
      </c>
      <c r="G20" s="66" t="e">
        <f>F20*(1-INDEX([16]Assumptions!$A$2:$K$596,MATCH($B9&amp;"Oil production reduction",[16]Assumptions!$A$2:$A$596,0),MATCH(G$2,[16]Assumptions!$A$2:$K$2,0)))</f>
        <v>#VALUE!</v>
      </c>
      <c r="H20" s="66" t="e">
        <f>G20*(1-INDEX([16]Assumptions!$A$2:$K$596,MATCH($B9&amp;"Oil production reduction",[16]Assumptions!$A$2:$A$596,0),MATCH(H$2,[16]Assumptions!$A$2:$K$2,0)))</f>
        <v>#VALUE!</v>
      </c>
      <c r="I20" s="66" t="e">
        <f>H20*(1-INDEX([16]Assumptions!$A$2:$K$596,MATCH($B9&amp;"Oil production reduction",[16]Assumptions!$A$2:$A$596,0),MATCH(I$2,[16]Assumptions!$A$2:$K$2,0)))</f>
        <v>#VALUE!</v>
      </c>
      <c r="J20" s="66" t="e">
        <f>I20*(1-INDEX([16]Assumptions!$A$2:$K$596,MATCH($B9&amp;"Oil production reduction",[16]Assumptions!$A$2:$A$596,0),MATCH(J$2,[16]Assumptions!$A$2:$K$2,0)))</f>
        <v>#VALUE!</v>
      </c>
      <c r="K20" s="66" t="e">
        <f>J20*(1-INDEX([16]Assumptions!$A$2:$K$596,MATCH($B9&amp;"Oil production reduction",[16]Assumptions!$A$2:$A$596,0),MATCH(K$2,[16]Assumptions!$A$2:$K$2,0)))</f>
        <v>#VALUE!</v>
      </c>
      <c r="L20" s="66" t="e">
        <f>K20*(1-INDEX([16]Assumptions!$A$2:$K$596,MATCH($B9&amp;"Oil production reduction",[16]Assumptions!$A$2:$A$596,0),MATCH(L$2,[16]Assumptions!$A$2:$K$2,0)))</f>
        <v>#VALUE!</v>
      </c>
      <c r="M20" s="66" t="e">
        <f>L20*(1-INDEX([16]Assumptions!$A$2:$K$596,MATCH($B9&amp;"Oil production reduction",[16]Assumptions!$A$2:$A$596,0),MATCH(M$2,[16]Assumptions!$A$2:$K$2,0)))</f>
        <v>#VALUE!</v>
      </c>
    </row>
    <row r="21" spans="1:13" x14ac:dyDescent="0.25">
      <c r="A21" s="2" t="str">
        <f>B9&amp;B19&amp;B21</f>
        <v>Devon EnergyProduction, BOE/QGas</v>
      </c>
      <c r="B21" s="70" t="s">
        <v>26</v>
      </c>
      <c r="C21" s="73" t="s">
        <v>544</v>
      </c>
      <c r="D21" s="108"/>
      <c r="E21" s="105" t="e">
        <f>SUMIFS([16]Production!$N$3:$N$1000,[16]Production!$B$3:$B$1000,$B9)*365/4</f>
        <v>#VALUE!</v>
      </c>
      <c r="F21" s="66" t="e">
        <f>(SUMIFS([16]Production!$R$3:$R$1000,[16]Production!$B$3:$B$1000,$B9)*365/4)*(1-INDEX([16]Assumptions!$A$2:$K$596,MATCH($B9&amp;"Gas production reduction",[16]Assumptions!$A$2:$A$596,0),MATCH(F$2,[16]Assumptions!$A$2:$K$2,0)))</f>
        <v>#VALUE!</v>
      </c>
      <c r="G21" s="66" t="e">
        <f>F21*(1-INDEX([16]Assumptions!$A$2:$K$596,MATCH($B9&amp;"Gas production reduction",[16]Assumptions!$A$2:$A$596,0),MATCH(G$2,[16]Assumptions!$A$2:$K$2,0)))</f>
        <v>#VALUE!</v>
      </c>
      <c r="H21" s="66" t="e">
        <f>G21*(1-INDEX([16]Assumptions!$A$2:$K$596,MATCH($B9&amp;"Gas production reduction",[16]Assumptions!$A$2:$A$596,0),MATCH(H$2,[16]Assumptions!$A$2:$K$2,0)))</f>
        <v>#VALUE!</v>
      </c>
      <c r="I21" s="66" t="e">
        <f>H21*(1-INDEX([16]Assumptions!$A$2:$K$596,MATCH($B9&amp;"Gas production reduction",[16]Assumptions!$A$2:$A$596,0),MATCH(I$2,[16]Assumptions!$A$2:$K$2,0)))</f>
        <v>#VALUE!</v>
      </c>
      <c r="J21" s="66" t="e">
        <f>I21*(1-INDEX([16]Assumptions!$A$2:$K$596,MATCH($B9&amp;"Gas production reduction",[16]Assumptions!$A$2:$A$596,0),MATCH(J$2,[16]Assumptions!$A$2:$K$2,0)))</f>
        <v>#VALUE!</v>
      </c>
      <c r="K21" s="66" t="e">
        <f>J21*(1-INDEX([16]Assumptions!$A$2:$K$596,MATCH($B9&amp;"Gas production reduction",[16]Assumptions!$A$2:$A$596,0),MATCH(K$2,[16]Assumptions!$A$2:$K$2,0)))</f>
        <v>#VALUE!</v>
      </c>
      <c r="L21" s="66" t="e">
        <f>K21*(1-INDEX([16]Assumptions!$A$2:$K$596,MATCH($B9&amp;"Gas production reduction",[16]Assumptions!$A$2:$A$596,0),MATCH(L$2,[16]Assumptions!$A$2:$K$2,0)))</f>
        <v>#VALUE!</v>
      </c>
      <c r="M21" s="66" t="e">
        <f>L21*(1-INDEX([16]Assumptions!$A$2:$K$596,MATCH($B9&amp;"Gas production reduction",[16]Assumptions!$A$2:$A$596,0),MATCH(M$2,[16]Assumptions!$A$2:$K$2,0)))</f>
        <v>#VALUE!</v>
      </c>
    </row>
    <row r="22" spans="1:13" x14ac:dyDescent="0.25">
      <c r="A22" s="2" t="str">
        <f>B9&amp;B19&amp;B22</f>
        <v>Devon EnergyProduction, BOE/QNGL</v>
      </c>
      <c r="B22" s="70" t="s">
        <v>25</v>
      </c>
      <c r="C22" s="73" t="s">
        <v>544</v>
      </c>
      <c r="D22" s="108"/>
      <c r="E22" s="105" t="e">
        <f>SUMIFS([16]Production!$M$3:$M$1000,[16]Production!$B$3:$B$1000,$B9)*365/4</f>
        <v>#VALUE!</v>
      </c>
      <c r="F22" s="66" t="e">
        <f>(SUMIFS([16]Production!$Q$3:$Q$1000,[16]Production!$B$3:$B$1000,$B9)*365/4)*(1-INDEX([16]Assumptions!$A$2:$K$596,MATCH($B9&amp;"NGL production reduction",[16]Assumptions!$A$2:$A$596,0),MATCH(F$2,[16]Assumptions!$A$2:$K$2,0)))</f>
        <v>#VALUE!</v>
      </c>
      <c r="G22" s="66" t="e">
        <f>F22*(1-INDEX([16]Assumptions!$A$2:$K$596,MATCH($B9&amp;"NGL production reduction",[16]Assumptions!$A$2:$A$596,0),MATCH(G$2,[16]Assumptions!$A$2:$K$2,0)))</f>
        <v>#VALUE!</v>
      </c>
      <c r="H22" s="66" t="e">
        <f>G22*(1-INDEX([16]Assumptions!$A$2:$K$596,MATCH($B9&amp;"NGL production reduction",[16]Assumptions!$A$2:$A$596,0),MATCH(H$2,[16]Assumptions!$A$2:$K$2,0)))</f>
        <v>#VALUE!</v>
      </c>
      <c r="I22" s="66" t="e">
        <f>H22*(1-INDEX([16]Assumptions!$A$2:$K$596,MATCH($B9&amp;"NGL production reduction",[16]Assumptions!$A$2:$A$596,0),MATCH(I$2,[16]Assumptions!$A$2:$K$2,0)))</f>
        <v>#VALUE!</v>
      </c>
      <c r="J22" s="66" t="e">
        <f>I22*(1-INDEX([16]Assumptions!$A$2:$K$596,MATCH($B9&amp;"NGL production reduction",[16]Assumptions!$A$2:$A$596,0),MATCH(J$2,[16]Assumptions!$A$2:$K$2,0)))</f>
        <v>#VALUE!</v>
      </c>
      <c r="K22" s="66" t="e">
        <f>J22*(1-INDEX([16]Assumptions!$A$2:$K$596,MATCH($B9&amp;"NGL production reduction",[16]Assumptions!$A$2:$A$596,0),MATCH(K$2,[16]Assumptions!$A$2:$K$2,0)))</f>
        <v>#VALUE!</v>
      </c>
      <c r="L22" s="66" t="e">
        <f>K22*(1-INDEX([16]Assumptions!$A$2:$K$596,MATCH($B9&amp;"NGL production reduction",[16]Assumptions!$A$2:$A$596,0),MATCH(L$2,[16]Assumptions!$A$2:$K$2,0)))</f>
        <v>#VALUE!</v>
      </c>
      <c r="M22" s="66" t="e">
        <f>L22*(1-INDEX([16]Assumptions!$A$2:$K$596,MATCH($B9&amp;"NGL production reduction",[16]Assumptions!$A$2:$A$596,0),MATCH(M$2,[16]Assumptions!$A$2:$K$2,0)))</f>
        <v>#VALUE!</v>
      </c>
    </row>
    <row r="23" spans="1:13" x14ac:dyDescent="0.25">
      <c r="A23" s="2" t="str">
        <f>B9&amp;B19&amp;B23</f>
        <v>Devon EnergyProduction, BOE/QCondensate</v>
      </c>
      <c r="B23" s="70" t="s">
        <v>24</v>
      </c>
      <c r="C23" s="73" t="s">
        <v>544</v>
      </c>
      <c r="D23" s="108"/>
      <c r="E23" s="105" t="e">
        <f>SUMIFS([16]Production!$L$3:$L$1000,[16]Production!$B$3:$B$1000,$B9)*365/4</f>
        <v>#VALUE!</v>
      </c>
      <c r="F23" s="66" t="e">
        <f>(SUMIFS([16]Production!$P$3:$P$1000,[16]Production!$B$3:$B$1000,$B9)*365/4)*(1-INDEX([16]Assumptions!$A$2:$K$596,MATCH($B9&amp;"Condensate production reduction",[16]Assumptions!$A$2:$A$596,0),MATCH(F$2,[16]Assumptions!$A$2:$K$2,0)))</f>
        <v>#VALUE!</v>
      </c>
      <c r="G23" s="66" t="e">
        <f>F23*(1-INDEX([16]Assumptions!$A$2:$K$596,MATCH($B9&amp;"Condensate production reduction",[16]Assumptions!$A$2:$A$596,0),MATCH(G$2,[16]Assumptions!$A$2:$K$2,0)))</f>
        <v>#VALUE!</v>
      </c>
      <c r="H23" s="66" t="e">
        <f>G23*(1-INDEX([16]Assumptions!$A$2:$K$596,MATCH($B9&amp;"Condensate production reduction",[16]Assumptions!$A$2:$A$596,0),MATCH(H$2,[16]Assumptions!$A$2:$K$2,0)))</f>
        <v>#VALUE!</v>
      </c>
      <c r="I23" s="66" t="e">
        <f>H23*(1-INDEX([16]Assumptions!$A$2:$K$596,MATCH($B9&amp;"Condensate production reduction",[16]Assumptions!$A$2:$A$596,0),MATCH(I$2,[16]Assumptions!$A$2:$K$2,0)))</f>
        <v>#VALUE!</v>
      </c>
      <c r="J23" s="66" t="e">
        <f>I23*(1-INDEX([16]Assumptions!$A$2:$K$596,MATCH($B9&amp;"Condensate production reduction",[16]Assumptions!$A$2:$A$596,0),MATCH(J$2,[16]Assumptions!$A$2:$K$2,0)))</f>
        <v>#VALUE!</v>
      </c>
      <c r="K23" s="66" t="e">
        <f>J23*(1-INDEX([16]Assumptions!$A$2:$K$596,MATCH($B9&amp;"Condensate production reduction",[16]Assumptions!$A$2:$A$596,0),MATCH(K$2,[16]Assumptions!$A$2:$K$2,0)))</f>
        <v>#VALUE!</v>
      </c>
      <c r="L23" s="66" t="e">
        <f>K23*(1-INDEX([16]Assumptions!$A$2:$K$596,MATCH($B9&amp;"Condensate production reduction",[16]Assumptions!$A$2:$A$596,0),MATCH(L$2,[16]Assumptions!$A$2:$K$2,0)))</f>
        <v>#VALUE!</v>
      </c>
      <c r="M23" s="66" t="e">
        <f>L23*(1-INDEX([16]Assumptions!$A$2:$K$596,MATCH($B9&amp;"Condensate production reduction",[16]Assumptions!$A$2:$A$596,0),MATCH(M$2,[16]Assumptions!$A$2:$K$2,0)))</f>
        <v>#VALUE!</v>
      </c>
    </row>
    <row r="24" spans="1:13" x14ac:dyDescent="0.25">
      <c r="A24" s="2" t="str">
        <f>B9&amp;B19&amp;B24</f>
        <v>Devon EnergyProduction, BOE/QTotal production</v>
      </c>
      <c r="B24" s="97" t="s">
        <v>397</v>
      </c>
      <c r="C24" s="77"/>
      <c r="D24" s="114"/>
      <c r="E24" s="120" t="e">
        <f>SUM(E20:E23)</f>
        <v>#VALUE!</v>
      </c>
      <c r="F24" s="121" t="e">
        <f>SUM(F20:F23)</f>
        <v>#VALUE!</v>
      </c>
      <c r="G24" s="121" t="e">
        <f t="shared" ref="G24:M24" si="4">SUM(G20:G23)</f>
        <v>#VALUE!</v>
      </c>
      <c r="H24" s="121" t="e">
        <f t="shared" si="4"/>
        <v>#VALUE!</v>
      </c>
      <c r="I24" s="121" t="e">
        <f t="shared" si="4"/>
        <v>#VALUE!</v>
      </c>
      <c r="J24" s="121" t="e">
        <f t="shared" si="4"/>
        <v>#VALUE!</v>
      </c>
      <c r="K24" s="121" t="e">
        <f t="shared" si="4"/>
        <v>#VALUE!</v>
      </c>
      <c r="L24" s="121" t="e">
        <f t="shared" si="4"/>
        <v>#VALUE!</v>
      </c>
      <c r="M24" s="121" t="e">
        <f t="shared" si="4"/>
        <v>#VALUE!</v>
      </c>
    </row>
    <row r="25" spans="1:13" x14ac:dyDescent="0.25">
      <c r="B25" s="31"/>
      <c r="C25" s="31"/>
      <c r="D25" s="115"/>
      <c r="E25" s="67"/>
      <c r="F25" s="67"/>
      <c r="G25" s="67"/>
      <c r="H25" s="67"/>
      <c r="I25" s="67"/>
      <c r="J25" s="67"/>
      <c r="K25" s="67"/>
      <c r="L25" s="67"/>
      <c r="M25" s="67"/>
    </row>
    <row r="26" spans="1:13" x14ac:dyDescent="0.25">
      <c r="A26" s="2" t="str">
        <f>B9&amp;B26</f>
        <v>Devon EnergyRevenues</v>
      </c>
      <c r="B26" s="64" t="s">
        <v>472</v>
      </c>
      <c r="C26" s="64"/>
      <c r="D26" s="111"/>
      <c r="E26" s="63"/>
      <c r="F26" s="62"/>
      <c r="G26" s="62"/>
      <c r="H26" s="62"/>
      <c r="I26" s="62"/>
      <c r="J26" s="62"/>
      <c r="K26" s="62"/>
      <c r="L26" s="62"/>
      <c r="M26" s="62"/>
    </row>
    <row r="27" spans="1:13" x14ac:dyDescent="0.25">
      <c r="A27" s="2" t="str">
        <f>B9&amp;B27</f>
        <v>Devon EnergySales Revenue</v>
      </c>
      <c r="B27" s="70" t="s">
        <v>461</v>
      </c>
      <c r="C27" s="82" t="s">
        <v>536</v>
      </c>
      <c r="D27" s="108"/>
      <c r="E27" s="145">
        <f>2865000/4</f>
        <v>716250</v>
      </c>
      <c r="F27" s="50" t="e">
        <f>SUMPRODUCT(F11:F14,F20:F23)</f>
        <v>#VALUE!</v>
      </c>
      <c r="G27" s="50" t="e">
        <f t="shared" ref="G27:M27" si="5">SUMPRODUCT(G11:G14,G20:G23)</f>
        <v>#VALUE!</v>
      </c>
      <c r="H27" s="50" t="e">
        <f t="shared" si="5"/>
        <v>#VALUE!</v>
      </c>
      <c r="I27" s="50" t="e">
        <f t="shared" si="5"/>
        <v>#VALUE!</v>
      </c>
      <c r="J27" s="50" t="e">
        <f t="shared" si="5"/>
        <v>#VALUE!</v>
      </c>
      <c r="K27" s="50" t="e">
        <f t="shared" si="5"/>
        <v>#VALUE!</v>
      </c>
      <c r="L27" s="50" t="e">
        <f t="shared" si="5"/>
        <v>#VALUE!</v>
      </c>
      <c r="M27" s="50" t="e">
        <f t="shared" si="5"/>
        <v>#VALUE!</v>
      </c>
    </row>
    <row r="28" spans="1:13" x14ac:dyDescent="0.25">
      <c r="A28" s="2" t="str">
        <f>B9&amp;B28</f>
        <v>Devon EnergyOther Revenue</v>
      </c>
      <c r="B28" s="70" t="s">
        <v>462</v>
      </c>
      <c r="C28" s="82" t="s">
        <v>533</v>
      </c>
      <c r="D28" s="139">
        <f>$E28/$E27</f>
        <v>1.1710296684118673</v>
      </c>
      <c r="E28" s="145">
        <f>3355000/4</f>
        <v>838750</v>
      </c>
      <c r="F28" s="50" t="e">
        <f>F27*$D28</f>
        <v>#VALUE!</v>
      </c>
      <c r="G28" s="50" t="e">
        <f t="shared" ref="G28:M28" si="6">G27*$D28</f>
        <v>#VALUE!</v>
      </c>
      <c r="H28" s="50" t="e">
        <f t="shared" si="6"/>
        <v>#VALUE!</v>
      </c>
      <c r="I28" s="50" t="e">
        <f t="shared" si="6"/>
        <v>#VALUE!</v>
      </c>
      <c r="J28" s="50" t="e">
        <f t="shared" si="6"/>
        <v>#VALUE!</v>
      </c>
      <c r="K28" s="50" t="e">
        <f t="shared" si="6"/>
        <v>#VALUE!</v>
      </c>
      <c r="L28" s="50" t="e">
        <f t="shared" si="6"/>
        <v>#VALUE!</v>
      </c>
      <c r="M28" s="50" t="e">
        <f t="shared" si="6"/>
        <v>#VALUE!</v>
      </c>
    </row>
    <row r="29" spans="1:13" x14ac:dyDescent="0.25">
      <c r="A29" s="2" t="str">
        <f>B9&amp;B29</f>
        <v>Devon EnergyTotal Revenue</v>
      </c>
      <c r="B29" s="84" t="s">
        <v>395</v>
      </c>
      <c r="C29" s="85"/>
      <c r="D29" s="110"/>
      <c r="E29" s="63">
        <f>SUM(E27:E28)</f>
        <v>1555000</v>
      </c>
      <c r="F29" s="62" t="e">
        <f t="shared" ref="F29:M29" si="7">SUM(F27:F28)</f>
        <v>#VALUE!</v>
      </c>
      <c r="G29" s="62" t="e">
        <f t="shared" si="7"/>
        <v>#VALUE!</v>
      </c>
      <c r="H29" s="62" t="e">
        <f t="shared" si="7"/>
        <v>#VALUE!</v>
      </c>
      <c r="I29" s="62" t="e">
        <f t="shared" si="7"/>
        <v>#VALUE!</v>
      </c>
      <c r="J29" s="62" t="e">
        <f t="shared" si="7"/>
        <v>#VALUE!</v>
      </c>
      <c r="K29" s="62" t="e">
        <f t="shared" si="7"/>
        <v>#VALUE!</v>
      </c>
      <c r="L29" s="62" t="e">
        <f t="shared" si="7"/>
        <v>#VALUE!</v>
      </c>
      <c r="M29" s="62" t="e">
        <f t="shared" si="7"/>
        <v>#VALUE!</v>
      </c>
    </row>
    <row r="30" spans="1:13" x14ac:dyDescent="0.25">
      <c r="A30" s="2" t="str">
        <f>B9&amp;B30</f>
        <v>Devon EnergyCosts and Expenses</v>
      </c>
      <c r="B30" s="72" t="s">
        <v>473</v>
      </c>
      <c r="C30" s="72"/>
      <c r="D30" s="112"/>
      <c r="E30" s="83"/>
      <c r="F30" s="50"/>
      <c r="G30" s="50"/>
      <c r="H30" s="50"/>
      <c r="I30" s="50"/>
      <c r="J30" s="50"/>
      <c r="K30" s="50"/>
      <c r="L30" s="50"/>
      <c r="M30" s="50"/>
    </row>
    <row r="31" spans="1:13" x14ac:dyDescent="0.25">
      <c r="A31" s="2" t="str">
        <f>B9&amp;B31</f>
        <v>Devon EnergyImpairment</v>
      </c>
      <c r="B31" s="70" t="s">
        <v>463</v>
      </c>
      <c r="C31" s="82" t="s">
        <v>537</v>
      </c>
      <c r="D31" s="108"/>
      <c r="E31" s="83"/>
      <c r="F31" s="83">
        <f>E31</f>
        <v>0</v>
      </c>
      <c r="G31" s="83">
        <f t="shared" ref="G31:M31" si="8">F31</f>
        <v>0</v>
      </c>
      <c r="H31" s="83">
        <f t="shared" si="8"/>
        <v>0</v>
      </c>
      <c r="I31" s="83">
        <f t="shared" si="8"/>
        <v>0</v>
      </c>
      <c r="J31" s="83">
        <f t="shared" si="8"/>
        <v>0</v>
      </c>
      <c r="K31" s="83">
        <f t="shared" si="8"/>
        <v>0</v>
      </c>
      <c r="L31" s="83">
        <f t="shared" si="8"/>
        <v>0</v>
      </c>
      <c r="M31" s="83">
        <f t="shared" si="8"/>
        <v>0</v>
      </c>
    </row>
    <row r="32" spans="1:13" x14ac:dyDescent="0.25">
      <c r="A32" s="2" t="str">
        <f>B9&amp;B32</f>
        <v>Devon EnergyDD&amp;A</v>
      </c>
      <c r="B32" s="70" t="s">
        <v>464</v>
      </c>
      <c r="C32" s="106" t="s">
        <v>545</v>
      </c>
      <c r="D32" s="108" t="e">
        <f>E32/E24</f>
        <v>#VALUE!</v>
      </c>
      <c r="E32" s="83">
        <f>1497000/4</f>
        <v>374250</v>
      </c>
      <c r="F32" s="50" t="e">
        <f>$D32*F24</f>
        <v>#VALUE!</v>
      </c>
      <c r="G32" s="50" t="e">
        <f t="shared" ref="G32:M32" si="9">$D32*G24</f>
        <v>#VALUE!</v>
      </c>
      <c r="H32" s="50" t="e">
        <f t="shared" si="9"/>
        <v>#VALUE!</v>
      </c>
      <c r="I32" s="50" t="e">
        <f t="shared" si="9"/>
        <v>#VALUE!</v>
      </c>
      <c r="J32" s="50" t="e">
        <f t="shared" si="9"/>
        <v>#VALUE!</v>
      </c>
      <c r="K32" s="50" t="e">
        <f t="shared" si="9"/>
        <v>#VALUE!</v>
      </c>
      <c r="L32" s="50" t="e">
        <f t="shared" si="9"/>
        <v>#VALUE!</v>
      </c>
      <c r="M32" s="50" t="e">
        <f t="shared" si="9"/>
        <v>#VALUE!</v>
      </c>
    </row>
    <row r="33" spans="1:13" x14ac:dyDescent="0.25">
      <c r="A33" s="2" t="str">
        <f>B9&amp;B33</f>
        <v>Devon EnergyAsset retirement obligation</v>
      </c>
      <c r="B33" s="70" t="s">
        <v>465</v>
      </c>
      <c r="C33" s="106" t="s">
        <v>545</v>
      </c>
      <c r="D33" s="108" t="e">
        <f>E33/E24</f>
        <v>#VALUE!</v>
      </c>
      <c r="E33" s="83">
        <f>-48*1000/4</f>
        <v>-12000</v>
      </c>
      <c r="F33" s="50" t="e">
        <f>$D33*F24</f>
        <v>#VALUE!</v>
      </c>
      <c r="G33" s="50" t="e">
        <f t="shared" ref="G33:M33" si="10">$D33*G24</f>
        <v>#VALUE!</v>
      </c>
      <c r="H33" s="50" t="e">
        <f t="shared" si="10"/>
        <v>#VALUE!</v>
      </c>
      <c r="I33" s="50" t="e">
        <f t="shared" si="10"/>
        <v>#VALUE!</v>
      </c>
      <c r="J33" s="50" t="e">
        <f t="shared" si="10"/>
        <v>#VALUE!</v>
      </c>
      <c r="K33" s="50" t="e">
        <f t="shared" si="10"/>
        <v>#VALUE!</v>
      </c>
      <c r="L33" s="50" t="e">
        <f t="shared" si="10"/>
        <v>#VALUE!</v>
      </c>
      <c r="M33" s="50" t="e">
        <f t="shared" si="10"/>
        <v>#VALUE!</v>
      </c>
    </row>
    <row r="34" spans="1:13" x14ac:dyDescent="0.25">
      <c r="A34" s="2" t="str">
        <f>B9&amp;B34</f>
        <v>Devon EnergyNon-cash compensation</v>
      </c>
      <c r="B34" s="70" t="s">
        <v>505</v>
      </c>
      <c r="C34" s="106" t="s">
        <v>545</v>
      </c>
      <c r="D34" s="108" t="e">
        <f>E34/E24</f>
        <v>#VALUE!</v>
      </c>
      <c r="E34" s="83">
        <v>0</v>
      </c>
      <c r="F34" s="50" t="e">
        <f>$D34*F24</f>
        <v>#VALUE!</v>
      </c>
      <c r="G34" s="50" t="e">
        <f t="shared" ref="G34:M34" si="11">$D34*G24</f>
        <v>#VALUE!</v>
      </c>
      <c r="H34" s="50" t="e">
        <f t="shared" si="11"/>
        <v>#VALUE!</v>
      </c>
      <c r="I34" s="50" t="e">
        <f t="shared" si="11"/>
        <v>#VALUE!</v>
      </c>
      <c r="J34" s="50" t="e">
        <f t="shared" si="11"/>
        <v>#VALUE!</v>
      </c>
      <c r="K34" s="50" t="e">
        <f t="shared" si="11"/>
        <v>#VALUE!</v>
      </c>
      <c r="L34" s="50" t="e">
        <f t="shared" si="11"/>
        <v>#VALUE!</v>
      </c>
      <c r="M34" s="50" t="e">
        <f t="shared" si="11"/>
        <v>#VALUE!</v>
      </c>
    </row>
    <row r="35" spans="1:13" x14ac:dyDescent="0.25">
      <c r="A35" s="2" t="str">
        <f>B9&amp;B35</f>
        <v>Devon EnergyTaxes other than income</v>
      </c>
      <c r="B35" s="70" t="s">
        <v>467</v>
      </c>
      <c r="C35" s="106" t="s">
        <v>545</v>
      </c>
      <c r="D35" s="108" t="e">
        <f>E35/E24</f>
        <v>#VALUE!</v>
      </c>
      <c r="E35" s="83">
        <v>0</v>
      </c>
      <c r="F35" s="50" t="e">
        <f>$D35*F24</f>
        <v>#VALUE!</v>
      </c>
      <c r="G35" s="50" t="e">
        <f t="shared" ref="G35:M35" si="12">$D35*G24</f>
        <v>#VALUE!</v>
      </c>
      <c r="H35" s="50" t="e">
        <f t="shared" si="12"/>
        <v>#VALUE!</v>
      </c>
      <c r="I35" s="50" t="e">
        <f t="shared" si="12"/>
        <v>#VALUE!</v>
      </c>
      <c r="J35" s="50" t="e">
        <f t="shared" si="12"/>
        <v>#VALUE!</v>
      </c>
      <c r="K35" s="50" t="e">
        <f t="shared" si="12"/>
        <v>#VALUE!</v>
      </c>
      <c r="L35" s="50" t="e">
        <f t="shared" si="12"/>
        <v>#VALUE!</v>
      </c>
      <c r="M35" s="50" t="e">
        <f t="shared" si="12"/>
        <v>#VALUE!</v>
      </c>
    </row>
    <row r="36" spans="1:13" x14ac:dyDescent="0.25">
      <c r="A36" s="2" t="str">
        <f>B9&amp;B36</f>
        <v>Devon EnergyLease operating expenses</v>
      </c>
      <c r="B36" s="70" t="s">
        <v>468</v>
      </c>
      <c r="C36" s="106" t="s">
        <v>545</v>
      </c>
      <c r="D36" s="108" t="e">
        <f>E36/E24</f>
        <v>#VALUE!</v>
      </c>
      <c r="E36" s="83">
        <v>0</v>
      </c>
      <c r="F36" s="50" t="e">
        <f>$D36*F24</f>
        <v>#VALUE!</v>
      </c>
      <c r="G36" s="50" t="e">
        <f t="shared" ref="G36:M36" si="13">$D36*G24</f>
        <v>#VALUE!</v>
      </c>
      <c r="H36" s="50" t="e">
        <f t="shared" si="13"/>
        <v>#VALUE!</v>
      </c>
      <c r="I36" s="50" t="e">
        <f t="shared" si="13"/>
        <v>#VALUE!</v>
      </c>
      <c r="J36" s="50" t="e">
        <f t="shared" si="13"/>
        <v>#VALUE!</v>
      </c>
      <c r="K36" s="50" t="e">
        <f t="shared" si="13"/>
        <v>#VALUE!</v>
      </c>
      <c r="L36" s="50" t="e">
        <f t="shared" si="13"/>
        <v>#VALUE!</v>
      </c>
      <c r="M36" s="50" t="e">
        <f t="shared" si="13"/>
        <v>#VALUE!</v>
      </c>
    </row>
    <row r="37" spans="1:13" x14ac:dyDescent="0.25">
      <c r="A37" s="2" t="str">
        <f>B9&amp;B37</f>
        <v>Devon EnergyTransportation, Processing, and Other Operating</v>
      </c>
      <c r="B37" s="70" t="s">
        <v>469</v>
      </c>
      <c r="C37" s="106" t="s">
        <v>545</v>
      </c>
      <c r="D37" s="108" t="e">
        <f>E37/E24</f>
        <v>#VALUE!</v>
      </c>
      <c r="E37" s="83">
        <f>(1197000)/4</f>
        <v>299250</v>
      </c>
      <c r="F37" s="50" t="e">
        <f>$D37*F24</f>
        <v>#VALUE!</v>
      </c>
      <c r="G37" s="50" t="e">
        <f t="shared" ref="G37:M37" si="14">$D37*G24</f>
        <v>#VALUE!</v>
      </c>
      <c r="H37" s="50" t="e">
        <f t="shared" si="14"/>
        <v>#VALUE!</v>
      </c>
      <c r="I37" s="50" t="e">
        <f t="shared" si="14"/>
        <v>#VALUE!</v>
      </c>
      <c r="J37" s="50" t="e">
        <f t="shared" si="14"/>
        <v>#VALUE!</v>
      </c>
      <c r="K37" s="50" t="e">
        <f t="shared" si="14"/>
        <v>#VALUE!</v>
      </c>
      <c r="L37" s="50" t="e">
        <f t="shared" si="14"/>
        <v>#VALUE!</v>
      </c>
      <c r="M37" s="50" t="e">
        <f t="shared" si="14"/>
        <v>#VALUE!</v>
      </c>
    </row>
    <row r="38" spans="1:13" x14ac:dyDescent="0.25">
      <c r="A38" s="2" t="str">
        <f>B9&amp;B38</f>
        <v>Devon EnergySG&amp;A</v>
      </c>
      <c r="B38" s="70" t="s">
        <v>470</v>
      </c>
      <c r="C38" s="106" t="s">
        <v>545</v>
      </c>
      <c r="D38" s="108" t="e">
        <f>E38/E24</f>
        <v>#VALUE!</v>
      </c>
      <c r="E38" s="83">
        <f>(475000)/4</f>
        <v>118750</v>
      </c>
      <c r="F38" s="50" t="e">
        <f t="shared" ref="F38:M38" si="15">$D38*F24</f>
        <v>#VALUE!</v>
      </c>
      <c r="G38" s="50" t="e">
        <f t="shared" si="15"/>
        <v>#VALUE!</v>
      </c>
      <c r="H38" s="50" t="e">
        <f t="shared" si="15"/>
        <v>#VALUE!</v>
      </c>
      <c r="I38" s="50" t="e">
        <f t="shared" si="15"/>
        <v>#VALUE!</v>
      </c>
      <c r="J38" s="50" t="e">
        <f t="shared" si="15"/>
        <v>#VALUE!</v>
      </c>
      <c r="K38" s="50" t="e">
        <f t="shared" si="15"/>
        <v>#VALUE!</v>
      </c>
      <c r="L38" s="50" t="e">
        <f t="shared" si="15"/>
        <v>#VALUE!</v>
      </c>
      <c r="M38" s="50" t="e">
        <f t="shared" si="15"/>
        <v>#VALUE!</v>
      </c>
    </row>
    <row r="39" spans="1:13" x14ac:dyDescent="0.25">
      <c r="B39" s="70" t="s">
        <v>549</v>
      </c>
      <c r="C39" s="106" t="s">
        <v>545</v>
      </c>
      <c r="D39" s="106" t="e">
        <f>E39/E24</f>
        <v>#VALUE!</v>
      </c>
      <c r="E39" s="83">
        <f>58*1000/4</f>
        <v>14500</v>
      </c>
      <c r="F39" s="50" t="e">
        <f t="shared" ref="F39:M39" si="16">$D39*F$24</f>
        <v>#VALUE!</v>
      </c>
      <c r="G39" s="50" t="e">
        <f t="shared" si="16"/>
        <v>#VALUE!</v>
      </c>
      <c r="H39" s="50" t="e">
        <f t="shared" si="16"/>
        <v>#VALUE!</v>
      </c>
      <c r="I39" s="50" t="e">
        <f t="shared" si="16"/>
        <v>#VALUE!</v>
      </c>
      <c r="J39" s="50" t="e">
        <f t="shared" si="16"/>
        <v>#VALUE!</v>
      </c>
      <c r="K39" s="50" t="e">
        <f t="shared" si="16"/>
        <v>#VALUE!</v>
      </c>
      <c r="L39" s="50" t="e">
        <f t="shared" si="16"/>
        <v>#VALUE!</v>
      </c>
      <c r="M39" s="50" t="e">
        <f t="shared" si="16"/>
        <v>#VALUE!</v>
      </c>
    </row>
    <row r="40" spans="1:13" x14ac:dyDescent="0.25">
      <c r="A40" s="2" t="str">
        <f>B9&amp;B40</f>
        <v>Devon EnergyOther Expenses (benefits)</v>
      </c>
      <c r="B40" s="70" t="s">
        <v>471</v>
      </c>
      <c r="C40" s="106" t="s">
        <v>545</v>
      </c>
      <c r="D40" s="108" t="e">
        <f>E40/E24</f>
        <v>#VALUE!</v>
      </c>
      <c r="E40" s="146">
        <f>(2812+4+84+250)*1000/4</f>
        <v>787500</v>
      </c>
      <c r="F40" s="50" t="e">
        <f t="shared" ref="F40:M40" si="17">$D40*F24</f>
        <v>#VALUE!</v>
      </c>
      <c r="G40" s="50" t="e">
        <f t="shared" si="17"/>
        <v>#VALUE!</v>
      </c>
      <c r="H40" s="50" t="e">
        <f t="shared" si="17"/>
        <v>#VALUE!</v>
      </c>
      <c r="I40" s="50" t="e">
        <f t="shared" si="17"/>
        <v>#VALUE!</v>
      </c>
      <c r="J40" s="50" t="e">
        <f t="shared" si="17"/>
        <v>#VALUE!</v>
      </c>
      <c r="K40" s="50" t="e">
        <f t="shared" si="17"/>
        <v>#VALUE!</v>
      </c>
      <c r="L40" s="50" t="e">
        <f t="shared" si="17"/>
        <v>#VALUE!</v>
      </c>
      <c r="M40" s="50" t="e">
        <f t="shared" si="17"/>
        <v>#VALUE!</v>
      </c>
    </row>
    <row r="41" spans="1:13" x14ac:dyDescent="0.25">
      <c r="A41" s="2" t="str">
        <f>B9&amp;B41</f>
        <v>Devon EnergyTotal Costs and Expenses</v>
      </c>
      <c r="B41" s="84" t="s">
        <v>474</v>
      </c>
      <c r="C41" s="85"/>
      <c r="D41" s="110"/>
      <c r="E41" s="63">
        <f>SUM(E31:E40)</f>
        <v>1582250</v>
      </c>
      <c r="F41" s="62" t="e">
        <f t="shared" ref="F41:M41" si="18">SUM(F31:F40)</f>
        <v>#VALUE!</v>
      </c>
      <c r="G41" s="62" t="e">
        <f t="shared" si="18"/>
        <v>#VALUE!</v>
      </c>
      <c r="H41" s="62" t="e">
        <f t="shared" si="18"/>
        <v>#VALUE!</v>
      </c>
      <c r="I41" s="62" t="e">
        <f t="shared" si="18"/>
        <v>#VALUE!</v>
      </c>
      <c r="J41" s="62" t="e">
        <f t="shared" si="18"/>
        <v>#VALUE!</v>
      </c>
      <c r="K41" s="62" t="e">
        <f t="shared" si="18"/>
        <v>#VALUE!</v>
      </c>
      <c r="L41" s="62" t="e">
        <f t="shared" si="18"/>
        <v>#VALUE!</v>
      </c>
      <c r="M41" s="62" t="e">
        <f t="shared" si="18"/>
        <v>#VALUE!</v>
      </c>
    </row>
    <row r="42" spans="1:13" x14ac:dyDescent="0.25">
      <c r="A42" s="2" t="str">
        <f>B9&amp;B42</f>
        <v>Devon EnergyOther (Income) Expense</v>
      </c>
      <c r="B42" s="72" t="s">
        <v>506</v>
      </c>
      <c r="C42" s="72"/>
      <c r="D42" s="112"/>
      <c r="E42" s="83"/>
      <c r="F42" s="50"/>
      <c r="G42" s="50"/>
      <c r="H42" s="50"/>
      <c r="I42" s="50"/>
      <c r="J42" s="50"/>
      <c r="K42" s="50"/>
      <c r="L42" s="50"/>
      <c r="M42" s="50"/>
    </row>
    <row r="43" spans="1:13" x14ac:dyDescent="0.25">
      <c r="A43" s="2" t="str">
        <f>B9&amp;B43</f>
        <v>Devon EnergyLoss (gain) on derivative instruments, net</v>
      </c>
      <c r="B43" s="70" t="s">
        <v>466</v>
      </c>
      <c r="C43" s="107" t="s">
        <v>507</v>
      </c>
      <c r="D43" s="108"/>
      <c r="E43" s="83">
        <v>0</v>
      </c>
      <c r="F43" s="138">
        <f>E43</f>
        <v>0</v>
      </c>
      <c r="G43" s="138">
        <f t="shared" ref="G43:M43" si="19">F43</f>
        <v>0</v>
      </c>
      <c r="H43" s="138">
        <f t="shared" si="19"/>
        <v>0</v>
      </c>
      <c r="I43" s="138">
        <f t="shared" si="19"/>
        <v>0</v>
      </c>
      <c r="J43" s="138">
        <f t="shared" si="19"/>
        <v>0</v>
      </c>
      <c r="K43" s="138">
        <f t="shared" si="19"/>
        <v>0</v>
      </c>
      <c r="L43" s="138">
        <f t="shared" si="19"/>
        <v>0</v>
      </c>
      <c r="M43" s="138">
        <f t="shared" si="19"/>
        <v>0</v>
      </c>
    </row>
    <row r="44" spans="1:13" x14ac:dyDescent="0.25">
      <c r="A44" s="2" t="str">
        <f>B9&amp;B44</f>
        <v>Devon EnergyInterest expense, net</v>
      </c>
      <c r="B44" s="70" t="s">
        <v>475</v>
      </c>
      <c r="C44" s="82" t="s">
        <v>526</v>
      </c>
      <c r="D44" s="108"/>
      <c r="E44" s="83">
        <v>0</v>
      </c>
      <c r="F44" s="50" t="e">
        <f>$E75*(F80/E80)*(($E44/$E75)+(('[16]Quarterly Forecasts'!$K$5-'[16]Quarterly Forecasts'!$G$5)/400))</f>
        <v>#VALUE!</v>
      </c>
      <c r="G44" s="50" t="e">
        <f>$E75*(G80/F80)*(($E44/$E75)+(('[16]Quarterly Forecasts'!$K$5-'[16]Quarterly Forecasts'!$G$5)/400))</f>
        <v>#VALUE!</v>
      </c>
      <c r="H44" s="50" t="e">
        <f>$E75*(H80/G80)*(($E44/$E75)+(('[16]Quarterly Forecasts'!$K$5-'[16]Quarterly Forecasts'!$G$5)/400))</f>
        <v>#VALUE!</v>
      </c>
      <c r="I44" s="50" t="e">
        <f>$E75*(I80/H80)*(($E44/$E75)+(('[16]Quarterly Forecasts'!$K$5-'[16]Quarterly Forecasts'!$G$5)/400))</f>
        <v>#VALUE!</v>
      </c>
      <c r="J44" s="50" t="e">
        <f>$E75*(J80/I80)*(($E44/$E75)+(('[16]Quarterly Forecasts'!$K$5-'[16]Quarterly Forecasts'!$G$5)/400))</f>
        <v>#VALUE!</v>
      </c>
      <c r="K44" s="50" t="e">
        <f>$E75*(K80/J80)*(($E44/$E75)+(('[16]Quarterly Forecasts'!$K$5-'[16]Quarterly Forecasts'!$G$5)/400))</f>
        <v>#VALUE!</v>
      </c>
      <c r="L44" s="50" t="e">
        <f>$E75*(L80/K80)*(($E44/$E75)+(('[16]Quarterly Forecasts'!$K$5-'[16]Quarterly Forecasts'!$G$5)/400))</f>
        <v>#VALUE!</v>
      </c>
      <c r="M44" s="50" t="e">
        <f>$E75*(M80/L80)*(($E44/$E75)+(('[16]Quarterly Forecasts'!$K$5-'[16]Quarterly Forecasts'!$G$5)/400))</f>
        <v>#VALUE!</v>
      </c>
    </row>
    <row r="45" spans="1:13" x14ac:dyDescent="0.25">
      <c r="A45" s="2" t="str">
        <f>B9&amp;B45</f>
        <v>Devon EnergyOther, net</v>
      </c>
      <c r="B45" s="70" t="s">
        <v>508</v>
      </c>
      <c r="C45" s="82" t="s">
        <v>509</v>
      </c>
      <c r="D45" s="108"/>
      <c r="E45" s="83">
        <v>0</v>
      </c>
      <c r="F45" s="50">
        <f>E45</f>
        <v>0</v>
      </c>
      <c r="G45" s="50">
        <f t="shared" ref="G45:M45" si="20">F45</f>
        <v>0</v>
      </c>
      <c r="H45" s="50">
        <f t="shared" si="20"/>
        <v>0</v>
      </c>
      <c r="I45" s="50">
        <f t="shared" si="20"/>
        <v>0</v>
      </c>
      <c r="J45" s="50">
        <f t="shared" si="20"/>
        <v>0</v>
      </c>
      <c r="K45" s="50">
        <f t="shared" si="20"/>
        <v>0</v>
      </c>
      <c r="L45" s="50">
        <f t="shared" si="20"/>
        <v>0</v>
      </c>
      <c r="M45" s="50">
        <f t="shared" si="20"/>
        <v>0</v>
      </c>
    </row>
    <row r="46" spans="1:13" x14ac:dyDescent="0.25">
      <c r="A46" s="2" t="str">
        <f>B9&amp;B46</f>
        <v>Devon EnergyTotal Other (Income) Expense</v>
      </c>
      <c r="B46" s="84" t="s">
        <v>518</v>
      </c>
      <c r="C46" s="84"/>
      <c r="D46" s="110"/>
      <c r="E46" s="63">
        <v>0</v>
      </c>
      <c r="F46" s="62" t="e">
        <f t="shared" ref="F46:M46" si="21">SUM(F43:F45)</f>
        <v>#VALUE!</v>
      </c>
      <c r="G46" s="62" t="e">
        <f t="shared" si="21"/>
        <v>#VALUE!</v>
      </c>
      <c r="H46" s="62" t="e">
        <f t="shared" si="21"/>
        <v>#VALUE!</v>
      </c>
      <c r="I46" s="62" t="e">
        <f t="shared" si="21"/>
        <v>#VALUE!</v>
      </c>
      <c r="J46" s="62" t="e">
        <f t="shared" si="21"/>
        <v>#VALUE!</v>
      </c>
      <c r="K46" s="62" t="e">
        <f t="shared" si="21"/>
        <v>#VALUE!</v>
      </c>
      <c r="L46" s="62" t="e">
        <f t="shared" si="21"/>
        <v>#VALUE!</v>
      </c>
      <c r="M46" s="62" t="e">
        <f t="shared" si="21"/>
        <v>#VALUE!</v>
      </c>
    </row>
    <row r="47" spans="1:13" x14ac:dyDescent="0.25">
      <c r="A47" s="2" t="str">
        <f>B9&amp;B47</f>
        <v>Devon EnergyIncome (loss) from continuing operations before income taxes</v>
      </c>
      <c r="B47" s="72" t="s">
        <v>476</v>
      </c>
      <c r="C47" s="72"/>
      <c r="D47" s="112"/>
      <c r="E47" s="63">
        <f>(E29-E41-E46)</f>
        <v>-27250</v>
      </c>
      <c r="F47" s="62" t="e">
        <f>F29-F41-F46</f>
        <v>#VALUE!</v>
      </c>
      <c r="G47" s="62" t="e">
        <f>G29-G41-G46</f>
        <v>#VALUE!</v>
      </c>
      <c r="H47" s="62" t="e">
        <f t="shared" ref="H47:M47" si="22">H29-H41-H46</f>
        <v>#VALUE!</v>
      </c>
      <c r="I47" s="62" t="e">
        <f t="shared" si="22"/>
        <v>#VALUE!</v>
      </c>
      <c r="J47" s="62" t="e">
        <f t="shared" si="22"/>
        <v>#VALUE!</v>
      </c>
      <c r="K47" s="62" t="e">
        <f t="shared" si="22"/>
        <v>#VALUE!</v>
      </c>
      <c r="L47" s="62" t="e">
        <f t="shared" si="22"/>
        <v>#VALUE!</v>
      </c>
      <c r="M47" s="62" t="e">
        <f t="shared" si="22"/>
        <v>#VALUE!</v>
      </c>
    </row>
    <row r="48" spans="1:13" x14ac:dyDescent="0.25">
      <c r="A48" s="2" t="str">
        <f>B8&amp;B48</f>
        <v>Income tax (benefit) expense</v>
      </c>
      <c r="B48" s="73" t="s">
        <v>477</v>
      </c>
      <c r="C48" s="73" t="s">
        <v>525</v>
      </c>
      <c r="D48" s="109">
        <f>E48/$E$47</f>
        <v>0.27522935779816515</v>
      </c>
      <c r="E48" s="83">
        <f>-30000/4</f>
        <v>-7500</v>
      </c>
      <c r="F48" s="50" t="e">
        <f>$D48*F$47</f>
        <v>#VALUE!</v>
      </c>
      <c r="G48" s="50" t="e">
        <f t="shared" ref="G48:M49" si="23">$D48*G$47</f>
        <v>#VALUE!</v>
      </c>
      <c r="H48" s="50" t="e">
        <f t="shared" si="23"/>
        <v>#VALUE!</v>
      </c>
      <c r="I48" s="50" t="e">
        <f t="shared" si="23"/>
        <v>#VALUE!</v>
      </c>
      <c r="J48" s="50" t="e">
        <f t="shared" si="23"/>
        <v>#VALUE!</v>
      </c>
      <c r="K48" s="50" t="e">
        <f t="shared" si="23"/>
        <v>#VALUE!</v>
      </c>
      <c r="L48" s="50" t="e">
        <f t="shared" si="23"/>
        <v>#VALUE!</v>
      </c>
      <c r="M48" s="50" t="e">
        <f t="shared" si="23"/>
        <v>#VALUE!</v>
      </c>
    </row>
    <row r="49" spans="1:13" x14ac:dyDescent="0.25">
      <c r="A49" s="2" t="str">
        <f>B9&amp;B49</f>
        <v>Devon EnergyIncome (loss) from discontinued operations, net of income taxes</v>
      </c>
      <c r="B49" s="73" t="s">
        <v>555</v>
      </c>
      <c r="C49" s="73" t="s">
        <v>525</v>
      </c>
      <c r="D49" s="109">
        <f>E49/$E$47</f>
        <v>-2.5137614678899083</v>
      </c>
      <c r="E49" s="83">
        <f>274000/4</f>
        <v>68500</v>
      </c>
      <c r="F49" s="50" t="e">
        <f>$D49*F$47</f>
        <v>#VALUE!</v>
      </c>
      <c r="G49" s="50" t="e">
        <f t="shared" si="23"/>
        <v>#VALUE!</v>
      </c>
      <c r="H49" s="50" t="e">
        <f t="shared" si="23"/>
        <v>#VALUE!</v>
      </c>
      <c r="I49" s="50" t="e">
        <f t="shared" si="23"/>
        <v>#VALUE!</v>
      </c>
      <c r="J49" s="50" t="e">
        <f t="shared" si="23"/>
        <v>#VALUE!</v>
      </c>
      <c r="K49" s="50" t="e">
        <f t="shared" si="23"/>
        <v>#VALUE!</v>
      </c>
      <c r="L49" s="50" t="e">
        <f t="shared" si="23"/>
        <v>#VALUE!</v>
      </c>
      <c r="M49" s="50" t="e">
        <f t="shared" si="23"/>
        <v>#VALUE!</v>
      </c>
    </row>
    <row r="50" spans="1:13" ht="11" thickBot="1" x14ac:dyDescent="0.3">
      <c r="A50" s="2" t="str">
        <f>B9&amp;B50</f>
        <v>Devon EnergyNet (loss) Income</v>
      </c>
      <c r="B50" s="74" t="s">
        <v>478</v>
      </c>
      <c r="C50" s="74"/>
      <c r="D50" s="116"/>
      <c r="E50" s="86">
        <f>(E47-E48-E49)</f>
        <v>-88250</v>
      </c>
      <c r="F50" s="34" t="e">
        <f t="shared" ref="F50:M50" si="24">F47-F49</f>
        <v>#VALUE!</v>
      </c>
      <c r="G50" s="34" t="e">
        <f t="shared" si="24"/>
        <v>#VALUE!</v>
      </c>
      <c r="H50" s="34" t="e">
        <f t="shared" si="24"/>
        <v>#VALUE!</v>
      </c>
      <c r="I50" s="34" t="e">
        <f t="shared" si="24"/>
        <v>#VALUE!</v>
      </c>
      <c r="J50" s="34" t="e">
        <f t="shared" si="24"/>
        <v>#VALUE!</v>
      </c>
      <c r="K50" s="34" t="e">
        <f t="shared" si="24"/>
        <v>#VALUE!</v>
      </c>
      <c r="L50" s="34" t="e">
        <f t="shared" si="24"/>
        <v>#VALUE!</v>
      </c>
      <c r="M50" s="34" t="e">
        <f t="shared" si="24"/>
        <v>#VALUE!</v>
      </c>
    </row>
    <row r="51" spans="1:13" ht="11" thickTop="1" x14ac:dyDescent="0.25"/>
    <row r="52" spans="1:13" x14ac:dyDescent="0.25">
      <c r="A52" s="2" t="str">
        <f>B9&amp;B52</f>
        <v>Devon EnergyCurrent Assets</v>
      </c>
      <c r="B52" s="64" t="s">
        <v>479</v>
      </c>
      <c r="C52" s="64"/>
      <c r="D52" s="111"/>
      <c r="E52" s="83"/>
      <c r="F52" s="50"/>
      <c r="G52" s="50"/>
      <c r="H52" s="50"/>
      <c r="I52" s="50"/>
      <c r="J52" s="50"/>
      <c r="K52" s="50"/>
      <c r="L52" s="50"/>
      <c r="M52" s="50"/>
    </row>
    <row r="53" spans="1:13" x14ac:dyDescent="0.25">
      <c r="A53" s="2" t="str">
        <f>B9&amp;B53</f>
        <v>Devon EnergyCash and cash equivalents</v>
      </c>
      <c r="B53" s="70" t="s">
        <v>480</v>
      </c>
      <c r="C53" s="82" t="s">
        <v>538</v>
      </c>
      <c r="D53" s="140">
        <v>2406</v>
      </c>
      <c r="E53" s="83">
        <f>1464000</f>
        <v>1464000</v>
      </c>
      <c r="F53" s="50" t="e">
        <f t="shared" ref="F53:M53" si="25">F50+E53</f>
        <v>#VALUE!</v>
      </c>
      <c r="G53" s="50" t="e">
        <f t="shared" si="25"/>
        <v>#VALUE!</v>
      </c>
      <c r="H53" s="50" t="e">
        <f t="shared" si="25"/>
        <v>#VALUE!</v>
      </c>
      <c r="I53" s="50" t="e">
        <f t="shared" si="25"/>
        <v>#VALUE!</v>
      </c>
      <c r="J53" s="50" t="e">
        <f t="shared" si="25"/>
        <v>#VALUE!</v>
      </c>
      <c r="K53" s="50" t="e">
        <f t="shared" si="25"/>
        <v>#VALUE!</v>
      </c>
      <c r="L53" s="50" t="e">
        <f t="shared" si="25"/>
        <v>#VALUE!</v>
      </c>
      <c r="M53" s="50" t="e">
        <f t="shared" si="25"/>
        <v>#VALUE!</v>
      </c>
    </row>
    <row r="54" spans="1:13" x14ac:dyDescent="0.25">
      <c r="B54" s="70" t="s">
        <v>556</v>
      </c>
      <c r="C54" s="82"/>
      <c r="D54" s="140">
        <f>E54/E29</f>
        <v>0.8205787781350482</v>
      </c>
      <c r="E54" s="83">
        <f>380000+896000</f>
        <v>1276000</v>
      </c>
      <c r="F54" s="50"/>
      <c r="G54" s="50"/>
      <c r="H54" s="50"/>
      <c r="I54" s="50"/>
      <c r="J54" s="50"/>
      <c r="K54" s="50"/>
      <c r="L54" s="50"/>
      <c r="M54" s="50"/>
    </row>
    <row r="55" spans="1:13" x14ac:dyDescent="0.25">
      <c r="A55" s="2" t="str">
        <f>B9&amp;B55</f>
        <v>Devon EnergyAccounts receivable, net of allowance</v>
      </c>
      <c r="B55" s="70" t="s">
        <v>481</v>
      </c>
      <c r="C55" s="82"/>
      <c r="D55" s="108"/>
      <c r="E55" s="83"/>
      <c r="F55" s="50"/>
      <c r="G55" s="50"/>
      <c r="H55" s="50"/>
      <c r="I55" s="50"/>
      <c r="J55" s="50"/>
      <c r="K55" s="50"/>
      <c r="L55" s="50"/>
      <c r="M55" s="50"/>
    </row>
    <row r="56" spans="1:13" x14ac:dyDescent="0.25">
      <c r="A56" s="2" t="str">
        <f>B9&amp;B56</f>
        <v>Devon EnergyOil and gas sales</v>
      </c>
      <c r="B56" s="75" t="s">
        <v>482</v>
      </c>
      <c r="C56" s="82" t="s">
        <v>539</v>
      </c>
      <c r="D56" s="133">
        <f>E56/E29</f>
        <v>0.53504823151125402</v>
      </c>
      <c r="E56" s="83">
        <v>832000</v>
      </c>
      <c r="F56" s="50" t="e">
        <f t="shared" ref="F56:M56" si="26">$D56*F29</f>
        <v>#VALUE!</v>
      </c>
      <c r="G56" s="50" t="e">
        <f t="shared" si="26"/>
        <v>#VALUE!</v>
      </c>
      <c r="H56" s="50" t="e">
        <f t="shared" si="26"/>
        <v>#VALUE!</v>
      </c>
      <c r="I56" s="50" t="e">
        <f t="shared" si="26"/>
        <v>#VALUE!</v>
      </c>
      <c r="J56" s="50" t="e">
        <f t="shared" si="26"/>
        <v>#VALUE!</v>
      </c>
      <c r="K56" s="50" t="e">
        <f t="shared" si="26"/>
        <v>#VALUE!</v>
      </c>
      <c r="L56" s="50" t="e">
        <f t="shared" si="26"/>
        <v>#VALUE!</v>
      </c>
      <c r="M56" s="50" t="e">
        <f t="shared" si="26"/>
        <v>#VALUE!</v>
      </c>
    </row>
    <row r="57" spans="1:13" x14ac:dyDescent="0.25">
      <c r="A57" s="2" t="str">
        <f>B9&amp;B57</f>
        <v>Devon EnergyOther</v>
      </c>
      <c r="B57" s="75" t="s">
        <v>483</v>
      </c>
      <c r="C57" s="82" t="s">
        <v>539</v>
      </c>
      <c r="D57" s="133">
        <f>E57/E29</f>
        <v>0</v>
      </c>
      <c r="E57" s="83">
        <v>0</v>
      </c>
      <c r="F57" s="50" t="e">
        <f t="shared" ref="F57:M57" si="27">$D57*F29</f>
        <v>#VALUE!</v>
      </c>
      <c r="G57" s="50" t="e">
        <f t="shared" si="27"/>
        <v>#VALUE!</v>
      </c>
      <c r="H57" s="50" t="e">
        <f t="shared" si="27"/>
        <v>#VALUE!</v>
      </c>
      <c r="I57" s="50" t="e">
        <f t="shared" si="27"/>
        <v>#VALUE!</v>
      </c>
      <c r="J57" s="50" t="e">
        <f t="shared" si="27"/>
        <v>#VALUE!</v>
      </c>
      <c r="K57" s="50" t="e">
        <f t="shared" si="27"/>
        <v>#VALUE!</v>
      </c>
      <c r="L57" s="50" t="e">
        <f t="shared" si="27"/>
        <v>#VALUE!</v>
      </c>
      <c r="M57" s="50" t="e">
        <f t="shared" si="27"/>
        <v>#VALUE!</v>
      </c>
    </row>
    <row r="58" spans="1:13" x14ac:dyDescent="0.25">
      <c r="A58" s="2" t="str">
        <f>B9&amp;B58</f>
        <v>Devon EnergyInventory</v>
      </c>
      <c r="B58" s="70" t="s">
        <v>484</v>
      </c>
      <c r="C58" s="82" t="s">
        <v>539</v>
      </c>
      <c r="D58" s="133">
        <f>E58/E29</f>
        <v>0</v>
      </c>
      <c r="E58" s="83">
        <v>0</v>
      </c>
      <c r="F58" s="50" t="e">
        <f t="shared" ref="F58:M58" si="28">$D58*F29</f>
        <v>#VALUE!</v>
      </c>
      <c r="G58" s="50" t="e">
        <f t="shared" si="28"/>
        <v>#VALUE!</v>
      </c>
      <c r="H58" s="50" t="e">
        <f t="shared" si="28"/>
        <v>#VALUE!</v>
      </c>
      <c r="I58" s="50" t="e">
        <f t="shared" si="28"/>
        <v>#VALUE!</v>
      </c>
      <c r="J58" s="50" t="e">
        <f t="shared" si="28"/>
        <v>#VALUE!</v>
      </c>
      <c r="K58" s="50" t="e">
        <f t="shared" si="28"/>
        <v>#VALUE!</v>
      </c>
      <c r="L58" s="50" t="e">
        <f t="shared" si="28"/>
        <v>#VALUE!</v>
      </c>
      <c r="M58" s="50" t="e">
        <f t="shared" si="28"/>
        <v>#VALUE!</v>
      </c>
    </row>
    <row r="59" spans="1:13" x14ac:dyDescent="0.25">
      <c r="A59" s="2" t="str">
        <f>B9&amp;B59</f>
        <v>Devon EnergyDerivative instruments</v>
      </c>
      <c r="B59" s="70" t="s">
        <v>485</v>
      </c>
      <c r="C59" s="107" t="s">
        <v>507</v>
      </c>
      <c r="D59" s="108"/>
      <c r="E59" s="83">
        <v>0</v>
      </c>
      <c r="F59" s="138"/>
      <c r="G59" s="138"/>
      <c r="H59" s="138"/>
      <c r="I59" s="138"/>
      <c r="J59" s="138"/>
      <c r="K59" s="138"/>
      <c r="L59" s="138"/>
      <c r="M59" s="138"/>
    </row>
    <row r="60" spans="1:13" x14ac:dyDescent="0.25">
      <c r="A60" s="2" t="str">
        <f>B9&amp;B60</f>
        <v>Devon EnergyPrepaid expenses</v>
      </c>
      <c r="B60" s="70" t="s">
        <v>486</v>
      </c>
      <c r="C60" s="82" t="s">
        <v>509</v>
      </c>
      <c r="D60" s="108"/>
      <c r="E60" s="83">
        <v>0</v>
      </c>
      <c r="F60" s="50">
        <f>E60</f>
        <v>0</v>
      </c>
      <c r="G60" s="50">
        <f t="shared" ref="G60:M61" si="29">F60</f>
        <v>0</v>
      </c>
      <c r="H60" s="50">
        <f t="shared" si="29"/>
        <v>0</v>
      </c>
      <c r="I60" s="50">
        <f t="shared" si="29"/>
        <v>0</v>
      </c>
      <c r="J60" s="50">
        <f t="shared" si="29"/>
        <v>0</v>
      </c>
      <c r="K60" s="50">
        <f t="shared" si="29"/>
        <v>0</v>
      </c>
      <c r="L60" s="50">
        <f t="shared" si="29"/>
        <v>0</v>
      </c>
      <c r="M60" s="50">
        <f t="shared" si="29"/>
        <v>0</v>
      </c>
    </row>
    <row r="61" spans="1:13" x14ac:dyDescent="0.25">
      <c r="A61" s="2" t="str">
        <f>B9&amp;B61</f>
        <v>Devon EnergyOther</v>
      </c>
      <c r="B61" s="70" t="s">
        <v>483</v>
      </c>
      <c r="C61" s="82" t="s">
        <v>509</v>
      </c>
      <c r="D61" s="108"/>
      <c r="E61" s="83">
        <f>279000</f>
        <v>279000</v>
      </c>
      <c r="F61" s="50">
        <f>E61</f>
        <v>279000</v>
      </c>
      <c r="G61" s="50">
        <f t="shared" si="29"/>
        <v>279000</v>
      </c>
      <c r="H61" s="50">
        <f t="shared" si="29"/>
        <v>279000</v>
      </c>
      <c r="I61" s="50">
        <f t="shared" si="29"/>
        <v>279000</v>
      </c>
      <c r="J61" s="50">
        <f t="shared" si="29"/>
        <v>279000</v>
      </c>
      <c r="K61" s="50">
        <f t="shared" si="29"/>
        <v>279000</v>
      </c>
      <c r="L61" s="50">
        <f t="shared" si="29"/>
        <v>279000</v>
      </c>
      <c r="M61" s="50">
        <f t="shared" si="29"/>
        <v>279000</v>
      </c>
    </row>
    <row r="62" spans="1:13" x14ac:dyDescent="0.25">
      <c r="A62" s="2" t="str">
        <f>B9&amp;B62</f>
        <v>Devon EnergyTotal current assets</v>
      </c>
      <c r="B62" s="76" t="s">
        <v>487</v>
      </c>
      <c r="C62" s="87"/>
      <c r="D62" s="111"/>
      <c r="E62" s="63">
        <f>SUM(E53:E61)</f>
        <v>3851000</v>
      </c>
      <c r="F62" s="62" t="e">
        <f t="shared" ref="F62:M62" si="30">SUM(F53:F61)</f>
        <v>#VALUE!</v>
      </c>
      <c r="G62" s="62" t="e">
        <f t="shared" si="30"/>
        <v>#VALUE!</v>
      </c>
      <c r="H62" s="62" t="e">
        <f t="shared" si="30"/>
        <v>#VALUE!</v>
      </c>
      <c r="I62" s="62" t="e">
        <f t="shared" si="30"/>
        <v>#VALUE!</v>
      </c>
      <c r="J62" s="62" t="e">
        <f t="shared" si="30"/>
        <v>#VALUE!</v>
      </c>
      <c r="K62" s="62" t="e">
        <f t="shared" si="30"/>
        <v>#VALUE!</v>
      </c>
      <c r="L62" s="62" t="e">
        <f t="shared" si="30"/>
        <v>#VALUE!</v>
      </c>
      <c r="M62" s="62" t="e">
        <f t="shared" si="30"/>
        <v>#VALUE!</v>
      </c>
    </row>
    <row r="63" spans="1:13" x14ac:dyDescent="0.25">
      <c r="A63" s="2" t="str">
        <f>B9&amp;B63</f>
        <v>Devon EnergyProperty and equipment, net</v>
      </c>
      <c r="B63" s="72" t="s">
        <v>488</v>
      </c>
      <c r="C63" s="73" t="s">
        <v>509</v>
      </c>
      <c r="D63" s="112"/>
      <c r="E63" s="83">
        <f>8593000</f>
        <v>8593000</v>
      </c>
      <c r="F63" s="50">
        <f>E63</f>
        <v>8593000</v>
      </c>
      <c r="G63" s="50">
        <f t="shared" ref="G63:M63" si="31">F63</f>
        <v>8593000</v>
      </c>
      <c r="H63" s="50">
        <f t="shared" si="31"/>
        <v>8593000</v>
      </c>
      <c r="I63" s="50">
        <f t="shared" si="31"/>
        <v>8593000</v>
      </c>
      <c r="J63" s="50">
        <f t="shared" si="31"/>
        <v>8593000</v>
      </c>
      <c r="K63" s="50">
        <f t="shared" si="31"/>
        <v>8593000</v>
      </c>
      <c r="L63" s="50">
        <f t="shared" si="31"/>
        <v>8593000</v>
      </c>
      <c r="M63" s="50">
        <f t="shared" si="31"/>
        <v>8593000</v>
      </c>
    </row>
    <row r="64" spans="1:13" x14ac:dyDescent="0.25">
      <c r="A64" s="2" t="str">
        <f>B9&amp;B64</f>
        <v>Devon EnergyDerivative instruments</v>
      </c>
      <c r="B64" s="73" t="s">
        <v>485</v>
      </c>
      <c r="C64" s="95" t="s">
        <v>507</v>
      </c>
      <c r="D64" s="108"/>
      <c r="E64" s="83">
        <v>0</v>
      </c>
      <c r="F64" s="50"/>
      <c r="G64" s="50"/>
      <c r="H64" s="50"/>
      <c r="I64" s="50"/>
      <c r="J64" s="50"/>
      <c r="K64" s="50"/>
      <c r="L64" s="50"/>
      <c r="M64" s="50"/>
    </row>
    <row r="65" spans="1:13" x14ac:dyDescent="0.25">
      <c r="A65" s="2" t="str">
        <f>B9&amp;B65</f>
        <v>Devon EnergyDeferred income taxes</v>
      </c>
      <c r="B65" s="73" t="s">
        <v>489</v>
      </c>
      <c r="C65" s="73" t="s">
        <v>509</v>
      </c>
      <c r="D65" s="108"/>
      <c r="E65" s="83"/>
      <c r="F65" s="50">
        <f>E65</f>
        <v>0</v>
      </c>
      <c r="G65" s="50">
        <f t="shared" ref="G65:M67" si="32">F65</f>
        <v>0</v>
      </c>
      <c r="H65" s="50">
        <f t="shared" si="32"/>
        <v>0</v>
      </c>
      <c r="I65" s="50">
        <f t="shared" si="32"/>
        <v>0</v>
      </c>
      <c r="J65" s="50">
        <f t="shared" si="32"/>
        <v>0</v>
      </c>
      <c r="K65" s="50">
        <f t="shared" si="32"/>
        <v>0</v>
      </c>
      <c r="L65" s="50">
        <f t="shared" si="32"/>
        <v>0</v>
      </c>
      <c r="M65" s="50">
        <f t="shared" si="32"/>
        <v>0</v>
      </c>
    </row>
    <row r="66" spans="1:13" x14ac:dyDescent="0.25">
      <c r="A66" s="2" t="str">
        <f>B9&amp;B66</f>
        <v>Devon EnergyGoodwill</v>
      </c>
      <c r="B66" s="73" t="s">
        <v>490</v>
      </c>
      <c r="C66" s="73" t="s">
        <v>509</v>
      </c>
      <c r="D66" s="108"/>
      <c r="E66" s="83">
        <v>753000</v>
      </c>
      <c r="F66" s="50">
        <f>E66</f>
        <v>753000</v>
      </c>
      <c r="G66" s="50">
        <f t="shared" si="32"/>
        <v>753000</v>
      </c>
      <c r="H66" s="50">
        <f t="shared" si="32"/>
        <v>753000</v>
      </c>
      <c r="I66" s="50">
        <f t="shared" si="32"/>
        <v>753000</v>
      </c>
      <c r="J66" s="50">
        <f t="shared" si="32"/>
        <v>753000</v>
      </c>
      <c r="K66" s="50">
        <f t="shared" si="32"/>
        <v>753000</v>
      </c>
      <c r="L66" s="50">
        <f t="shared" si="32"/>
        <v>753000</v>
      </c>
      <c r="M66" s="50">
        <f t="shared" si="32"/>
        <v>753000</v>
      </c>
    </row>
    <row r="67" spans="1:13" x14ac:dyDescent="0.25">
      <c r="A67" s="2" t="str">
        <f>B9&amp;B67</f>
        <v>Devon EnergyOther assets</v>
      </c>
      <c r="B67" s="77" t="s">
        <v>491</v>
      </c>
      <c r="C67" s="77" t="s">
        <v>509</v>
      </c>
      <c r="D67" s="114"/>
      <c r="E67" s="145">
        <f>196000+81000+243000</f>
        <v>520000</v>
      </c>
      <c r="F67" s="50">
        <f>E67</f>
        <v>520000</v>
      </c>
      <c r="G67" s="50">
        <f t="shared" si="32"/>
        <v>520000</v>
      </c>
      <c r="H67" s="50">
        <f t="shared" si="32"/>
        <v>520000</v>
      </c>
      <c r="I67" s="50">
        <f t="shared" si="32"/>
        <v>520000</v>
      </c>
      <c r="J67" s="50">
        <f t="shared" si="32"/>
        <v>520000</v>
      </c>
      <c r="K67" s="50">
        <f t="shared" si="32"/>
        <v>520000</v>
      </c>
      <c r="L67" s="50">
        <f t="shared" si="32"/>
        <v>520000</v>
      </c>
      <c r="M67" s="50">
        <f t="shared" si="32"/>
        <v>520000</v>
      </c>
    </row>
    <row r="68" spans="1:13" x14ac:dyDescent="0.25">
      <c r="A68" s="2" t="str">
        <f>B9&amp;B68</f>
        <v>Devon EnergyTotal assets</v>
      </c>
      <c r="B68" s="78" t="s">
        <v>492</v>
      </c>
      <c r="C68" s="88"/>
      <c r="D68" s="112"/>
      <c r="E68" s="63">
        <f>SUM(E62:E67)</f>
        <v>13717000</v>
      </c>
      <c r="F68" s="62" t="e">
        <f t="shared" ref="F68:M68" si="33">SUM(F62:F67)</f>
        <v>#VALUE!</v>
      </c>
      <c r="G68" s="62" t="e">
        <f t="shared" si="33"/>
        <v>#VALUE!</v>
      </c>
      <c r="H68" s="62" t="e">
        <f t="shared" si="33"/>
        <v>#VALUE!</v>
      </c>
      <c r="I68" s="62" t="e">
        <f t="shared" si="33"/>
        <v>#VALUE!</v>
      </c>
      <c r="J68" s="62" t="e">
        <f t="shared" si="33"/>
        <v>#VALUE!</v>
      </c>
      <c r="K68" s="62" t="e">
        <f t="shared" si="33"/>
        <v>#VALUE!</v>
      </c>
      <c r="L68" s="62" t="e">
        <f t="shared" si="33"/>
        <v>#VALUE!</v>
      </c>
      <c r="M68" s="62" t="e">
        <f t="shared" si="33"/>
        <v>#VALUE!</v>
      </c>
    </row>
    <row r="69" spans="1:13" x14ac:dyDescent="0.25">
      <c r="A69" s="2" t="str">
        <f>B9&amp;B69</f>
        <v>Devon EnergyCurrent liabilities</v>
      </c>
      <c r="B69" s="72" t="s">
        <v>498</v>
      </c>
      <c r="C69" s="72"/>
      <c r="D69" s="112"/>
      <c r="E69" s="83"/>
      <c r="F69" s="50"/>
      <c r="G69" s="50"/>
      <c r="H69" s="50"/>
      <c r="I69" s="50"/>
      <c r="J69" s="50"/>
      <c r="K69" s="50"/>
      <c r="L69" s="50"/>
      <c r="M69" s="50"/>
    </row>
    <row r="70" spans="1:13" x14ac:dyDescent="0.25">
      <c r="A70" s="2" t="str">
        <f>B9&amp;B70</f>
        <v>Devon EnergyAccounts payable</v>
      </c>
      <c r="B70" s="70" t="s">
        <v>493</v>
      </c>
      <c r="C70" s="82" t="s">
        <v>539</v>
      </c>
      <c r="D70" s="108" t="e">
        <f>E70/E24</f>
        <v>#VALUE!</v>
      </c>
      <c r="E70" s="83">
        <f>428000+730000</f>
        <v>1158000</v>
      </c>
      <c r="F70" s="50" t="e">
        <f t="shared" ref="F70:M70" si="34">$D70*F24</f>
        <v>#VALUE!</v>
      </c>
      <c r="G70" s="50" t="e">
        <f t="shared" si="34"/>
        <v>#VALUE!</v>
      </c>
      <c r="H70" s="50" t="e">
        <f t="shared" si="34"/>
        <v>#VALUE!</v>
      </c>
      <c r="I70" s="50" t="e">
        <f t="shared" si="34"/>
        <v>#VALUE!</v>
      </c>
      <c r="J70" s="50" t="e">
        <f t="shared" si="34"/>
        <v>#VALUE!</v>
      </c>
      <c r="K70" s="50" t="e">
        <f t="shared" si="34"/>
        <v>#VALUE!</v>
      </c>
      <c r="L70" s="50" t="e">
        <f t="shared" si="34"/>
        <v>#VALUE!</v>
      </c>
      <c r="M70" s="50" t="e">
        <f t="shared" si="34"/>
        <v>#VALUE!</v>
      </c>
    </row>
    <row r="71" spans="1:13" x14ac:dyDescent="0.25">
      <c r="A71" s="2" t="str">
        <f>B9&amp;B71</f>
        <v>Devon EnergyAccrued liabilities</v>
      </c>
      <c r="B71" s="70" t="s">
        <v>510</v>
      </c>
      <c r="C71" s="82" t="s">
        <v>507</v>
      </c>
      <c r="D71" s="108"/>
      <c r="E71" s="83">
        <v>0</v>
      </c>
      <c r="F71" s="50">
        <f>E71</f>
        <v>0</v>
      </c>
      <c r="G71" s="50">
        <f t="shared" ref="G71:M71" si="35">F71</f>
        <v>0</v>
      </c>
      <c r="H71" s="50">
        <f t="shared" si="35"/>
        <v>0</v>
      </c>
      <c r="I71" s="50">
        <f t="shared" si="35"/>
        <v>0</v>
      </c>
      <c r="J71" s="50">
        <f t="shared" si="35"/>
        <v>0</v>
      </c>
      <c r="K71" s="50">
        <f t="shared" si="35"/>
        <v>0</v>
      </c>
      <c r="L71" s="50">
        <f t="shared" si="35"/>
        <v>0</v>
      </c>
      <c r="M71" s="50">
        <f t="shared" si="35"/>
        <v>0</v>
      </c>
    </row>
    <row r="72" spans="1:13" x14ac:dyDescent="0.25">
      <c r="A72" s="2" t="str">
        <f>B9&amp;B72</f>
        <v>Devon EnergyDerivative instruments</v>
      </c>
      <c r="B72" s="70" t="s">
        <v>485</v>
      </c>
      <c r="C72" s="107" t="s">
        <v>507</v>
      </c>
      <c r="D72" s="108"/>
      <c r="E72" s="83">
        <v>0</v>
      </c>
      <c r="F72" s="138">
        <v>0</v>
      </c>
      <c r="G72" s="138">
        <v>0</v>
      </c>
      <c r="H72" s="138">
        <v>0</v>
      </c>
      <c r="I72" s="138">
        <v>0</v>
      </c>
      <c r="J72" s="138">
        <v>0</v>
      </c>
      <c r="K72" s="138">
        <v>0</v>
      </c>
      <c r="L72" s="138">
        <v>0</v>
      </c>
      <c r="M72" s="138">
        <v>0</v>
      </c>
    </row>
    <row r="73" spans="1:13" x14ac:dyDescent="0.25">
      <c r="A73" s="2" t="str">
        <f>B9&amp;B73</f>
        <v>Devon EnergyOther current liabilities</v>
      </c>
      <c r="B73" s="70" t="s">
        <v>494</v>
      </c>
      <c r="C73" s="82" t="s">
        <v>509</v>
      </c>
      <c r="D73" s="108"/>
      <c r="E73" s="83">
        <f>459000+310000</f>
        <v>769000</v>
      </c>
      <c r="F73" s="50">
        <f>E73</f>
        <v>769000</v>
      </c>
      <c r="G73" s="50">
        <f t="shared" ref="G73:M73" si="36">F73</f>
        <v>769000</v>
      </c>
      <c r="H73" s="50">
        <f t="shared" si="36"/>
        <v>769000</v>
      </c>
      <c r="I73" s="50">
        <f t="shared" si="36"/>
        <v>769000</v>
      </c>
      <c r="J73" s="50">
        <f t="shared" si="36"/>
        <v>769000</v>
      </c>
      <c r="K73" s="50">
        <f t="shared" si="36"/>
        <v>769000</v>
      </c>
      <c r="L73" s="50">
        <f t="shared" si="36"/>
        <v>769000</v>
      </c>
      <c r="M73" s="50">
        <f t="shared" si="36"/>
        <v>769000</v>
      </c>
    </row>
    <row r="74" spans="1:13" x14ac:dyDescent="0.25">
      <c r="A74" s="2" t="str">
        <f>B9&amp;B74</f>
        <v>Devon EnergyTotal current liabilities</v>
      </c>
      <c r="B74" s="76" t="s">
        <v>497</v>
      </c>
      <c r="C74" s="87"/>
      <c r="D74" s="111"/>
      <c r="E74" s="63">
        <f>SUM(E70:E73)</f>
        <v>1927000</v>
      </c>
      <c r="F74" s="62" t="e">
        <f t="shared" ref="F74:M74" si="37">SUM(F70:F73)</f>
        <v>#VALUE!</v>
      </c>
      <c r="G74" s="62" t="e">
        <f>SUM(G70:G73)</f>
        <v>#VALUE!</v>
      </c>
      <c r="H74" s="62" t="e">
        <f t="shared" si="37"/>
        <v>#VALUE!</v>
      </c>
      <c r="I74" s="62" t="e">
        <f t="shared" si="37"/>
        <v>#VALUE!</v>
      </c>
      <c r="J74" s="62" t="e">
        <f t="shared" si="37"/>
        <v>#VALUE!</v>
      </c>
      <c r="K74" s="62" t="e">
        <f t="shared" si="37"/>
        <v>#VALUE!</v>
      </c>
      <c r="L74" s="62" t="e">
        <f t="shared" si="37"/>
        <v>#VALUE!</v>
      </c>
      <c r="M74" s="62" t="e">
        <f t="shared" si="37"/>
        <v>#VALUE!</v>
      </c>
    </row>
    <row r="75" spans="1:13" x14ac:dyDescent="0.25">
      <c r="A75" s="2" t="str">
        <f>B9&amp;B75</f>
        <v>Devon EnergyLong-term debt, net</v>
      </c>
      <c r="B75" s="73" t="s">
        <v>511</v>
      </c>
      <c r="C75" s="73" t="s">
        <v>509</v>
      </c>
      <c r="D75" s="108"/>
      <c r="E75" s="83">
        <v>4294000</v>
      </c>
      <c r="F75" s="50">
        <f t="shared" ref="F75:M76" si="38">E75</f>
        <v>4294000</v>
      </c>
      <c r="G75" s="50">
        <f t="shared" si="38"/>
        <v>4294000</v>
      </c>
      <c r="H75" s="50">
        <f t="shared" si="38"/>
        <v>4294000</v>
      </c>
      <c r="I75" s="50">
        <f t="shared" si="38"/>
        <v>4294000</v>
      </c>
      <c r="J75" s="50">
        <f t="shared" si="38"/>
        <v>4294000</v>
      </c>
      <c r="K75" s="50">
        <f t="shared" si="38"/>
        <v>4294000</v>
      </c>
      <c r="L75" s="50">
        <f t="shared" si="38"/>
        <v>4294000</v>
      </c>
      <c r="M75" s="50">
        <f t="shared" si="38"/>
        <v>4294000</v>
      </c>
    </row>
    <row r="76" spans="1:13" x14ac:dyDescent="0.25">
      <c r="A76" s="2" t="str">
        <f>B9&amp;B76</f>
        <v>Devon EnergyAsset retirement obligations</v>
      </c>
      <c r="B76" s="73" t="s">
        <v>495</v>
      </c>
      <c r="C76" s="73" t="s">
        <v>509</v>
      </c>
      <c r="D76" s="108"/>
      <c r="E76" s="83">
        <v>380000</v>
      </c>
      <c r="F76" s="50">
        <f>E76</f>
        <v>380000</v>
      </c>
      <c r="G76" s="50">
        <f t="shared" si="38"/>
        <v>380000</v>
      </c>
      <c r="H76" s="50">
        <f t="shared" si="38"/>
        <v>380000</v>
      </c>
      <c r="I76" s="50">
        <f t="shared" si="38"/>
        <v>380000</v>
      </c>
      <c r="J76" s="50">
        <f t="shared" si="38"/>
        <v>380000</v>
      </c>
      <c r="K76" s="50">
        <f t="shared" si="38"/>
        <v>380000</v>
      </c>
      <c r="L76" s="50">
        <f t="shared" si="38"/>
        <v>380000</v>
      </c>
      <c r="M76" s="50">
        <f t="shared" si="38"/>
        <v>380000</v>
      </c>
    </row>
    <row r="77" spans="1:13" x14ac:dyDescent="0.25">
      <c r="A77" s="2" t="str">
        <f>B9&amp;B77</f>
        <v>Devon EnergyDerivative instruments</v>
      </c>
      <c r="B77" s="73" t="s">
        <v>485</v>
      </c>
      <c r="C77" s="95" t="s">
        <v>507</v>
      </c>
      <c r="D77" s="108"/>
      <c r="E77" s="83">
        <v>0</v>
      </c>
      <c r="F77" s="138"/>
      <c r="G77" s="138"/>
      <c r="H77" s="138"/>
      <c r="I77" s="138"/>
      <c r="J77" s="138"/>
      <c r="K77" s="138"/>
      <c r="L77" s="138"/>
      <c r="M77" s="138"/>
    </row>
    <row r="78" spans="1:13" x14ac:dyDescent="0.25">
      <c r="A78" s="2" t="str">
        <f>B9&amp;B78</f>
        <v>Devon EnergyDeferred income taxes</v>
      </c>
      <c r="B78" s="73" t="s">
        <v>489</v>
      </c>
      <c r="C78" s="73" t="s">
        <v>509</v>
      </c>
      <c r="D78" s="108"/>
      <c r="E78" s="83">
        <v>341000</v>
      </c>
      <c r="F78" s="50">
        <f>E78</f>
        <v>341000</v>
      </c>
      <c r="G78" s="50">
        <f t="shared" ref="G78:M79" si="39">F78</f>
        <v>341000</v>
      </c>
      <c r="H78" s="50">
        <f t="shared" si="39"/>
        <v>341000</v>
      </c>
      <c r="I78" s="50">
        <f t="shared" si="39"/>
        <v>341000</v>
      </c>
      <c r="J78" s="50">
        <f t="shared" si="39"/>
        <v>341000</v>
      </c>
      <c r="K78" s="50">
        <f t="shared" si="39"/>
        <v>341000</v>
      </c>
      <c r="L78" s="50">
        <f t="shared" si="39"/>
        <v>341000</v>
      </c>
      <c r="M78" s="50">
        <f t="shared" si="39"/>
        <v>341000</v>
      </c>
    </row>
    <row r="79" spans="1:13" x14ac:dyDescent="0.25">
      <c r="A79" s="2" t="str">
        <f>B9&amp;B79</f>
        <v>Devon EnergyOther long-term liabilities</v>
      </c>
      <c r="B79" s="73" t="s">
        <v>496</v>
      </c>
      <c r="C79" s="73" t="s">
        <v>509</v>
      </c>
      <c r="D79" s="108"/>
      <c r="E79" s="83">
        <f>244000+426000+185000</f>
        <v>855000</v>
      </c>
      <c r="F79" s="50">
        <f>E79</f>
        <v>855000</v>
      </c>
      <c r="G79" s="50">
        <f t="shared" si="39"/>
        <v>855000</v>
      </c>
      <c r="H79" s="50">
        <f t="shared" si="39"/>
        <v>855000</v>
      </c>
      <c r="I79" s="50">
        <f t="shared" si="39"/>
        <v>855000</v>
      </c>
      <c r="J79" s="50">
        <f t="shared" si="39"/>
        <v>855000</v>
      </c>
      <c r="K79" s="50">
        <f t="shared" si="39"/>
        <v>855000</v>
      </c>
      <c r="L79" s="50">
        <f t="shared" si="39"/>
        <v>855000</v>
      </c>
      <c r="M79" s="50">
        <f t="shared" si="39"/>
        <v>855000</v>
      </c>
    </row>
    <row r="80" spans="1:13" ht="11" thickBot="1" x14ac:dyDescent="0.3">
      <c r="A80" s="2" t="str">
        <f>B9&amp;B80</f>
        <v>Devon EnergyTotal liabilities</v>
      </c>
      <c r="B80" s="79" t="s">
        <v>499</v>
      </c>
      <c r="C80" s="79"/>
      <c r="D80" s="123"/>
      <c r="E80" s="86">
        <f>SUM(E74:E79)</f>
        <v>7797000</v>
      </c>
      <c r="F80" s="34" t="e">
        <f t="shared" ref="F80:M80" si="40">SUM(F74:F79)</f>
        <v>#VALUE!</v>
      </c>
      <c r="G80" s="34" t="e">
        <f t="shared" si="40"/>
        <v>#VALUE!</v>
      </c>
      <c r="H80" s="34" t="e">
        <f t="shared" si="40"/>
        <v>#VALUE!</v>
      </c>
      <c r="I80" s="34" t="e">
        <f t="shared" si="40"/>
        <v>#VALUE!</v>
      </c>
      <c r="J80" s="34" t="e">
        <f t="shared" si="40"/>
        <v>#VALUE!</v>
      </c>
      <c r="K80" s="34" t="e">
        <f t="shared" si="40"/>
        <v>#VALUE!</v>
      </c>
      <c r="L80" s="34" t="e">
        <f t="shared" si="40"/>
        <v>#VALUE!</v>
      </c>
      <c r="M80" s="34" t="e">
        <f t="shared" si="40"/>
        <v>#VALUE!</v>
      </c>
    </row>
    <row r="81" spans="1:13" ht="11" thickTop="1" x14ac:dyDescent="0.25">
      <c r="E81" s="154"/>
    </row>
    <row r="82" spans="1:13" x14ac:dyDescent="0.25">
      <c r="A82" s="2" t="str">
        <f>B9&amp;B82</f>
        <v>Devon EnergyNet (loss) Income</v>
      </c>
      <c r="B82" s="80" t="s">
        <v>478</v>
      </c>
      <c r="C82" s="135" t="s">
        <v>540</v>
      </c>
      <c r="D82" s="117"/>
      <c r="E82" s="83">
        <f>E50</f>
        <v>-88250</v>
      </c>
      <c r="F82" s="50" t="e">
        <f t="shared" ref="F82:M82" si="41">F50</f>
        <v>#VALUE!</v>
      </c>
      <c r="G82" s="50" t="e">
        <f t="shared" si="41"/>
        <v>#VALUE!</v>
      </c>
      <c r="H82" s="50" t="e">
        <f t="shared" si="41"/>
        <v>#VALUE!</v>
      </c>
      <c r="I82" s="50" t="e">
        <f t="shared" si="41"/>
        <v>#VALUE!</v>
      </c>
      <c r="J82" s="50" t="e">
        <f t="shared" si="41"/>
        <v>#VALUE!</v>
      </c>
      <c r="K82" s="50" t="e">
        <f t="shared" si="41"/>
        <v>#VALUE!</v>
      </c>
      <c r="L82" s="50" t="e">
        <f t="shared" si="41"/>
        <v>#VALUE!</v>
      </c>
      <c r="M82" s="50" t="e">
        <f t="shared" si="41"/>
        <v>#VALUE!</v>
      </c>
    </row>
    <row r="83" spans="1:13" x14ac:dyDescent="0.25">
      <c r="A83" s="2" t="str">
        <f>B9&amp;B83</f>
        <v>Devon EnergyDD&amp;A</v>
      </c>
      <c r="B83" s="68" t="s">
        <v>464</v>
      </c>
      <c r="C83" s="136" t="s">
        <v>540</v>
      </c>
      <c r="D83" s="118"/>
      <c r="E83" s="83">
        <f t="shared" ref="E83:M83" si="42">E32</f>
        <v>374250</v>
      </c>
      <c r="F83" s="50" t="e">
        <f t="shared" si="42"/>
        <v>#VALUE!</v>
      </c>
      <c r="G83" s="50" t="e">
        <f t="shared" si="42"/>
        <v>#VALUE!</v>
      </c>
      <c r="H83" s="50" t="e">
        <f t="shared" si="42"/>
        <v>#VALUE!</v>
      </c>
      <c r="I83" s="50" t="e">
        <f t="shared" si="42"/>
        <v>#VALUE!</v>
      </c>
      <c r="J83" s="50" t="e">
        <f t="shared" si="42"/>
        <v>#VALUE!</v>
      </c>
      <c r="K83" s="50" t="e">
        <f t="shared" si="42"/>
        <v>#VALUE!</v>
      </c>
      <c r="L83" s="50" t="e">
        <f t="shared" si="42"/>
        <v>#VALUE!</v>
      </c>
      <c r="M83" s="50" t="e">
        <f t="shared" si="42"/>
        <v>#VALUE!</v>
      </c>
    </row>
    <row r="84" spans="1:13" x14ac:dyDescent="0.25">
      <c r="A84" s="2" t="str">
        <f>B9&amp;B84</f>
        <v>Devon EnergyChange in Net working capital</v>
      </c>
      <c r="B84" s="68" t="s">
        <v>500</v>
      </c>
      <c r="C84" s="136" t="s">
        <v>540</v>
      </c>
      <c r="D84" s="118"/>
      <c r="E84" s="83">
        <f>-82000/4</f>
        <v>-20500</v>
      </c>
      <c r="F84" s="50" t="e">
        <f>(F62-F74)-(E62-E74)</f>
        <v>#VALUE!</v>
      </c>
      <c r="G84" s="50" t="e">
        <f t="shared" ref="G84:M84" si="43">(G62-G74)-(F62-F74)</f>
        <v>#VALUE!</v>
      </c>
      <c r="H84" s="50" t="e">
        <f t="shared" si="43"/>
        <v>#VALUE!</v>
      </c>
      <c r="I84" s="50" t="e">
        <f t="shared" si="43"/>
        <v>#VALUE!</v>
      </c>
      <c r="J84" s="50" t="e">
        <f t="shared" si="43"/>
        <v>#VALUE!</v>
      </c>
      <c r="K84" s="50" t="e">
        <f t="shared" si="43"/>
        <v>#VALUE!</v>
      </c>
      <c r="L84" s="50" t="e">
        <f t="shared" si="43"/>
        <v>#VALUE!</v>
      </c>
      <c r="M84" s="50" t="e">
        <f t="shared" si="43"/>
        <v>#VALUE!</v>
      </c>
    </row>
    <row r="85" spans="1:13" x14ac:dyDescent="0.25">
      <c r="A85" s="2" t="str">
        <f>B9&amp;B85</f>
        <v>Devon EnergyOther non-cash items</v>
      </c>
      <c r="B85" s="68" t="s">
        <v>501</v>
      </c>
      <c r="C85" s="136" t="s">
        <v>540</v>
      </c>
      <c r="D85" s="149"/>
      <c r="E85" s="83">
        <f>(274+18+33+454+166-48-25+115-6)*1000/4</f>
        <v>245250</v>
      </c>
      <c r="F85" s="147" t="e">
        <f>F31+F33+F34+F43+F37+F39</f>
        <v>#VALUE!</v>
      </c>
      <c r="G85" s="147" t="e">
        <f t="shared" ref="G85:M85" si="44">G31+G33+G34+G43+G37+G39</f>
        <v>#VALUE!</v>
      </c>
      <c r="H85" s="147" t="e">
        <f t="shared" si="44"/>
        <v>#VALUE!</v>
      </c>
      <c r="I85" s="147" t="e">
        <f t="shared" si="44"/>
        <v>#VALUE!</v>
      </c>
      <c r="J85" s="147" t="e">
        <f t="shared" si="44"/>
        <v>#VALUE!</v>
      </c>
      <c r="K85" s="147" t="e">
        <f t="shared" si="44"/>
        <v>#VALUE!</v>
      </c>
      <c r="L85" s="147" t="e">
        <f t="shared" si="44"/>
        <v>#VALUE!</v>
      </c>
      <c r="M85" s="147" t="e">
        <f t="shared" si="44"/>
        <v>#VALUE!</v>
      </c>
    </row>
    <row r="86" spans="1:13" x14ac:dyDescent="0.25">
      <c r="A86" s="2" t="str">
        <f>B9&amp;B86</f>
        <v>Devon EnergyCash flow from operations</v>
      </c>
      <c r="B86" s="142" t="s">
        <v>502</v>
      </c>
      <c r="C86" s="143" t="s">
        <v>540</v>
      </c>
      <c r="D86" s="118"/>
      <c r="E86" s="63">
        <f>2043*1000/4</f>
        <v>510750</v>
      </c>
      <c r="F86" s="62" t="e">
        <f>SUM(F82:F85)</f>
        <v>#VALUE!</v>
      </c>
      <c r="G86" s="62" t="e">
        <f>SUM(G82:G85)</f>
        <v>#VALUE!</v>
      </c>
      <c r="H86" s="62" t="e">
        <f t="shared" ref="H86:M86" si="45">SUM(H82:H85)</f>
        <v>#VALUE!</v>
      </c>
      <c r="I86" s="62" t="e">
        <f t="shared" si="45"/>
        <v>#VALUE!</v>
      </c>
      <c r="J86" s="62" t="e">
        <f t="shared" si="45"/>
        <v>#VALUE!</v>
      </c>
      <c r="K86" s="62" t="e">
        <f t="shared" si="45"/>
        <v>#VALUE!</v>
      </c>
      <c r="L86" s="62" t="e">
        <f t="shared" si="45"/>
        <v>#VALUE!</v>
      </c>
      <c r="M86" s="62" t="e">
        <f t="shared" si="45"/>
        <v>#VALUE!</v>
      </c>
    </row>
    <row r="87" spans="1:13" x14ac:dyDescent="0.25">
      <c r="A87" s="2" t="str">
        <f>B9&amp;B87</f>
        <v>Devon EnergyMaintenance capex</v>
      </c>
      <c r="B87" s="68" t="s">
        <v>520</v>
      </c>
      <c r="C87" s="73" t="s">
        <v>534</v>
      </c>
      <c r="D87" s="118"/>
      <c r="E87" s="83" t="e">
        <f>SUMIFS([16]EconomicsOLD!$N$2:$N$2000,[16]EconomicsOLD!$B$2:$B$2000,$B9)*1000/4</f>
        <v>#VALUE!</v>
      </c>
      <c r="F87" s="50" t="e">
        <f>(SUMIFS([16]EconomicsOLD!$S$2:$S$2000,[16]EconomicsOLD!$B$2:$B$2000,$B9)*1000/4)</f>
        <v>#VALUE!</v>
      </c>
      <c r="G87" s="50" t="e">
        <f t="shared" ref="G87:M87" si="46">F87</f>
        <v>#VALUE!</v>
      </c>
      <c r="H87" s="50" t="e">
        <f t="shared" si="46"/>
        <v>#VALUE!</v>
      </c>
      <c r="I87" s="50" t="e">
        <f t="shared" si="46"/>
        <v>#VALUE!</v>
      </c>
      <c r="J87" s="50" t="e">
        <f t="shared" si="46"/>
        <v>#VALUE!</v>
      </c>
      <c r="K87" s="50" t="e">
        <f t="shared" si="46"/>
        <v>#VALUE!</v>
      </c>
      <c r="L87" s="50" t="e">
        <f t="shared" si="46"/>
        <v>#VALUE!</v>
      </c>
      <c r="M87" s="50" t="e">
        <f t="shared" si="46"/>
        <v>#VALUE!</v>
      </c>
    </row>
    <row r="88" spans="1:13" x14ac:dyDescent="0.25">
      <c r="A88" s="2" t="str">
        <f>B9&amp;B88</f>
        <v>Devon EnergyExploration capex</v>
      </c>
      <c r="B88" s="68" t="s">
        <v>519</v>
      </c>
      <c r="C88" s="73" t="s">
        <v>534</v>
      </c>
      <c r="D88" s="118"/>
      <c r="E88" s="96" t="e">
        <f>SUMIFS([16]EconomicsOLD!$O$2:$O$2000,[16]EconomicsOLD!$B$2:$B$2000,$B9)*1000/4</f>
        <v>#VALUE!</v>
      </c>
      <c r="F88" s="33" t="e">
        <f>(SUMIFS([16]EconomicsOLD!$T$2:$T$2000,[16]EconomicsOLD!$B$2:$B$2000,$B9)*1000/4)*(1-INDEX([16]Assumptions!$A$2:$K$596,MATCH($B9&amp;"Capex reduction",[16]Assumptions!$A$2:$A$596,0),MATCH(F$2,[16]Assumptions!$A$2:$K$2,0)))</f>
        <v>#VALUE!</v>
      </c>
      <c r="G88" s="33" t="e">
        <f>(SUMIFS([16]EconomicsOLD!$T$2:$T$2000,[16]EconomicsOLD!$B$2:$B$2000,$B9)*1000/4)*(1-INDEX([16]Assumptions!$A$2:$K$596,MATCH($B9&amp;"Capex reduction",[16]Assumptions!$A$2:$A$596,0),MATCH(G$2,[16]Assumptions!$A$2:$K$2,0)))</f>
        <v>#VALUE!</v>
      </c>
      <c r="H88" s="33" t="e">
        <f>(SUMIFS([16]EconomicsOLD!$T$2:$T$2000,[16]EconomicsOLD!$B$2:$B$2000,$B9)*1000/4)*(1-INDEX([16]Assumptions!$A$2:$K$596,MATCH($B9&amp;"Capex reduction",[16]Assumptions!$A$2:$A$596,0),MATCH(H$2,[16]Assumptions!$A$2:$K$2,0)))</f>
        <v>#VALUE!</v>
      </c>
      <c r="I88" s="33" t="e">
        <f>(SUMIFS([16]EconomicsOLD!$T$2:$T$2000,[16]EconomicsOLD!$B$2:$B$2000,$B9)*1000/4)*(1-INDEX([16]Assumptions!$A$2:$K$596,MATCH($B9&amp;"Capex reduction",[16]Assumptions!$A$2:$A$596,0),MATCH(I$2,[16]Assumptions!$A$2:$K$2,0)))</f>
        <v>#VALUE!</v>
      </c>
      <c r="J88" s="33" t="e">
        <f>(SUMIFS([16]EconomicsOLD!$T$2:$T$2000,[16]EconomicsOLD!$B$2:$B$2000,$B9)*1000/4)*(1-INDEX([16]Assumptions!$A$2:$K$596,MATCH($B9&amp;"Capex reduction",[16]Assumptions!$A$2:$A$596,0),MATCH(J$2,[16]Assumptions!$A$2:$K$2,0)))</f>
        <v>#VALUE!</v>
      </c>
      <c r="K88" s="33" t="e">
        <f>(SUMIFS([16]EconomicsOLD!$T$2:$T$2000,[16]EconomicsOLD!$B$2:$B$2000,$B9)*1000/4)*(1-INDEX([16]Assumptions!$A$2:$K$596,MATCH($B9&amp;"Capex reduction",[16]Assumptions!$A$2:$A$596,0),MATCH(K$2,[16]Assumptions!$A$2:$K$2,0)))</f>
        <v>#VALUE!</v>
      </c>
      <c r="L88" s="33" t="e">
        <f>(SUMIFS([16]EconomicsOLD!$T$2:$T$2000,[16]EconomicsOLD!$B$2:$B$2000,$B9)*1000/4)*(1-INDEX([16]Assumptions!$A$2:$K$596,MATCH($B9&amp;"Capex reduction",[16]Assumptions!$A$2:$A$596,0),MATCH(L$2,[16]Assumptions!$A$2:$K$2,0)))</f>
        <v>#VALUE!</v>
      </c>
      <c r="M88" s="33" t="e">
        <f>(SUMIFS([16]EconomicsOLD!$T$2:$T$2000,[16]EconomicsOLD!$B$2:$B$2000,$B9)*1000/4)*(1-INDEX([16]Assumptions!$A$2:$K$596,MATCH($B9&amp;"Capex reduction",[16]Assumptions!$A$2:$A$596,0),MATCH(M$2,[16]Assumptions!$A$2:$K$2,0)))</f>
        <v>#VALUE!</v>
      </c>
    </row>
    <row r="89" spans="1:13" s="150" customFormat="1" ht="11" thickBot="1" x14ac:dyDescent="0.3">
      <c r="A89" s="150" t="str">
        <f>B9&amp;B89</f>
        <v>Devon EnergyFree Cash Flow (FCF)</v>
      </c>
      <c r="B89" s="151" t="s">
        <v>458</v>
      </c>
      <c r="C89" s="151" t="s">
        <v>512</v>
      </c>
      <c r="D89" s="152"/>
      <c r="E89" s="86" t="e">
        <f>SUM(E86:E87)</f>
        <v>#VALUE!</v>
      </c>
      <c r="F89" s="153" t="e">
        <f>SUM(F86:F88)</f>
        <v>#VALUE!</v>
      </c>
      <c r="G89" s="153" t="e">
        <f t="shared" ref="G89:M89" si="47">SUM(G86:G88)</f>
        <v>#VALUE!</v>
      </c>
      <c r="H89" s="153" t="e">
        <f t="shared" si="47"/>
        <v>#VALUE!</v>
      </c>
      <c r="I89" s="153" t="e">
        <f t="shared" si="47"/>
        <v>#VALUE!</v>
      </c>
      <c r="J89" s="153" t="e">
        <f t="shared" si="47"/>
        <v>#VALUE!</v>
      </c>
      <c r="K89" s="153" t="e">
        <f t="shared" si="47"/>
        <v>#VALUE!</v>
      </c>
      <c r="L89" s="153" t="e">
        <f t="shared" si="47"/>
        <v>#VALUE!</v>
      </c>
      <c r="M89" s="153" t="e">
        <f t="shared" si="47"/>
        <v>#VALUE!</v>
      </c>
    </row>
    <row r="90" spans="1:13" ht="11" thickTop="1" x14ac:dyDescent="0.25"/>
    <row r="91" spans="1:13" x14ac:dyDescent="0.25">
      <c r="A91" s="2" t="str">
        <f>B9&amp;B91</f>
        <v>Devon EnergyEBITDA</v>
      </c>
      <c r="B91" s="80" t="s">
        <v>428</v>
      </c>
      <c r="C91" s="144" t="s">
        <v>540</v>
      </c>
      <c r="D91" s="117"/>
      <c r="E91" s="83">
        <f t="shared" ref="E91:M91" si="48">(E29-E41)+E32</f>
        <v>347000</v>
      </c>
      <c r="F91" s="50" t="e">
        <f t="shared" si="48"/>
        <v>#VALUE!</v>
      </c>
      <c r="G91" s="50" t="e">
        <f t="shared" si="48"/>
        <v>#VALUE!</v>
      </c>
      <c r="H91" s="50" t="e">
        <f t="shared" si="48"/>
        <v>#VALUE!</v>
      </c>
      <c r="I91" s="50" t="e">
        <f t="shared" si="48"/>
        <v>#VALUE!</v>
      </c>
      <c r="J91" s="50" t="e">
        <f t="shared" si="48"/>
        <v>#VALUE!</v>
      </c>
      <c r="K91" s="50" t="e">
        <f t="shared" si="48"/>
        <v>#VALUE!</v>
      </c>
      <c r="L91" s="50" t="e">
        <f t="shared" si="48"/>
        <v>#VALUE!</v>
      </c>
      <c r="M91" s="50" t="e">
        <f t="shared" si="48"/>
        <v>#VALUE!</v>
      </c>
    </row>
    <row r="92" spans="1:13" x14ac:dyDescent="0.25">
      <c r="A92" s="2" t="str">
        <f>B9&amp;B92</f>
        <v>Devon EnergyExploration capex</v>
      </c>
      <c r="B92" s="68" t="s">
        <v>519</v>
      </c>
      <c r="C92" s="68" t="s">
        <v>534</v>
      </c>
      <c r="D92" s="118"/>
      <c r="E92" s="83" t="e">
        <f>SUMIFS([16]EconomicsOLD!$O$2:$O$2000,[16]EconomicsOLD!$B$2:$B$2000,$B9)*1000/4</f>
        <v>#VALUE!</v>
      </c>
      <c r="F92" s="50" t="e">
        <f>(SUMIFS([16]EconomicsOLD!$T$2:$T$2000,[16]EconomicsOLD!$B$2:$B$2000,$B9)*1000/4)*(1-INDEX([16]Assumptions!$A$2:$K$596,MATCH($B9&amp;"Capex reduction",[16]Assumptions!$A$2:$A$596,0),MATCH(F$2,[16]Assumptions!$A$2:$K$2,0)))</f>
        <v>#VALUE!</v>
      </c>
      <c r="G92" s="50" t="e">
        <f>(SUMIFS([16]EconomicsOLD!$T$2:$T$2000,[16]EconomicsOLD!$B$2:$B$2000,$B9)*1000/4)*(1-INDEX([16]Assumptions!$A$2:$K$596,MATCH($B9&amp;"Capex reduction",[16]Assumptions!$A$2:$A$596,0),MATCH(G$2,[16]Assumptions!$A$2:$K$2,0)))</f>
        <v>#VALUE!</v>
      </c>
      <c r="H92" s="50" t="e">
        <f>(SUMIFS([16]EconomicsOLD!$T$2:$T$2000,[16]EconomicsOLD!$B$2:$B$2000,$B9)*1000/4)*(1-INDEX([16]Assumptions!$A$2:$K$596,MATCH($B9&amp;"Capex reduction",[16]Assumptions!$A$2:$A$596,0),MATCH(H$2,[16]Assumptions!$A$2:$K$2,0)))</f>
        <v>#VALUE!</v>
      </c>
      <c r="I92" s="50" t="e">
        <f>(SUMIFS([16]EconomicsOLD!$T$2:$T$2000,[16]EconomicsOLD!$B$2:$B$2000,$B9)*1000/4)*(1-INDEX([16]Assumptions!$A$2:$K$596,MATCH($B9&amp;"Capex reduction",[16]Assumptions!$A$2:$A$596,0),MATCH(I$2,[16]Assumptions!$A$2:$K$2,0)))</f>
        <v>#VALUE!</v>
      </c>
      <c r="J92" s="50" t="e">
        <f>(SUMIFS([16]EconomicsOLD!$T$2:$T$2000,[16]EconomicsOLD!$B$2:$B$2000,$B9)*1000/4)*(1-INDEX([16]Assumptions!$A$2:$K$596,MATCH($B9&amp;"Capex reduction",[16]Assumptions!$A$2:$A$596,0),MATCH(J$2,[16]Assumptions!$A$2:$K$2,0)))</f>
        <v>#VALUE!</v>
      </c>
      <c r="K92" s="50" t="e">
        <f>(SUMIFS([16]EconomicsOLD!$T$2:$T$2000,[16]EconomicsOLD!$B$2:$B$2000,$B9)*1000/4)*(1-INDEX([16]Assumptions!$A$2:$K$596,MATCH($B9&amp;"Capex reduction",[16]Assumptions!$A$2:$A$596,0),MATCH(K$2,[16]Assumptions!$A$2:$K$2,0)))</f>
        <v>#VALUE!</v>
      </c>
      <c r="L92" s="50" t="e">
        <f>(SUMIFS([16]EconomicsOLD!$T$2:$T$2000,[16]EconomicsOLD!$B$2:$B$2000,$B9)*1000/4)*(1-INDEX([16]Assumptions!$A$2:$K$596,MATCH($B9&amp;"Capex reduction",[16]Assumptions!$A$2:$A$596,0),MATCH(L$2,[16]Assumptions!$A$2:$K$2,0)))</f>
        <v>#VALUE!</v>
      </c>
      <c r="M92" s="50" t="e">
        <f>(SUMIFS([16]EconomicsOLD!$T$2:$T$2000,[16]EconomicsOLD!$B$2:$B$2000,$B9)*1000/4)*(1-INDEX([16]Assumptions!$A$2:$K$596,MATCH($B9&amp;"Capex reduction",[16]Assumptions!$A$2:$A$596,0),MATCH(M$2,[16]Assumptions!$A$2:$K$2,0)))</f>
        <v>#VALUE!</v>
      </c>
    </row>
    <row r="93" spans="1:13" x14ac:dyDescent="0.25">
      <c r="A93" s="2" t="str">
        <f>B9&amp;B93</f>
        <v>Devon EnergyEBITDAX</v>
      </c>
      <c r="B93" s="90" t="s">
        <v>459</v>
      </c>
      <c r="C93" s="90" t="s">
        <v>512</v>
      </c>
      <c r="D93" s="125"/>
      <c r="E93" s="63" t="e">
        <f>SUM(E91:E92)</f>
        <v>#VALUE!</v>
      </c>
      <c r="F93" s="62" t="e">
        <f t="shared" ref="F93:M93" si="49">SUM(F91:F92)</f>
        <v>#VALUE!</v>
      </c>
      <c r="G93" s="62" t="e">
        <f t="shared" si="49"/>
        <v>#VALUE!</v>
      </c>
      <c r="H93" s="62" t="e">
        <f t="shared" si="49"/>
        <v>#VALUE!</v>
      </c>
      <c r="I93" s="62" t="e">
        <f t="shared" si="49"/>
        <v>#VALUE!</v>
      </c>
      <c r="J93" s="62" t="e">
        <f t="shared" si="49"/>
        <v>#VALUE!</v>
      </c>
      <c r="K93" s="62" t="e">
        <f t="shared" si="49"/>
        <v>#VALUE!</v>
      </c>
      <c r="L93" s="62" t="e">
        <f t="shared" si="49"/>
        <v>#VALUE!</v>
      </c>
      <c r="M93" s="62" t="e">
        <f t="shared" si="49"/>
        <v>#VALUE!</v>
      </c>
    </row>
    <row r="94" spans="1:13" s="49" customFormat="1" x14ac:dyDescent="0.25">
      <c r="D94" s="124"/>
    </row>
    <row r="95" spans="1:13" x14ac:dyDescent="0.25">
      <c r="A95" s="2" t="str">
        <f>B9&amp;B95</f>
        <v>Devon EnergyCash dividends paid</v>
      </c>
      <c r="B95" s="91" t="s">
        <v>521</v>
      </c>
      <c r="C95" s="53" t="s">
        <v>546</v>
      </c>
      <c r="D95" s="122"/>
      <c r="E95" s="83">
        <f>-140000/4</f>
        <v>-35000</v>
      </c>
      <c r="F95" s="50">
        <f>E95*(1-INDEX([16]Assumptions!$A$2:$K$596,MATCH($B9&amp;"Dividend reduction",[16]Assumptions!$A$2:$A$596,0),MATCH(F$2,[16]Assumptions!$A$2:$K$2,0)))</f>
        <v>-35000</v>
      </c>
      <c r="G95" s="50">
        <f>F95*(1-INDEX([16]Assumptions!$A$2:$K$596,MATCH($B9&amp;"Dividend reduction",[16]Assumptions!$A$2:$A$596,0),MATCH(G$2,[16]Assumptions!$A$2:$K$2,0)))</f>
        <v>-35000</v>
      </c>
      <c r="H95" s="50">
        <f>G95*(1-INDEX([16]Assumptions!$A$2:$K$596,MATCH($B9&amp;"Dividend reduction",[16]Assumptions!$A$2:$A$596,0),MATCH(H$2,[16]Assumptions!$A$2:$K$2,0)))</f>
        <v>-35000</v>
      </c>
      <c r="I95" s="50">
        <f>H95*(1-INDEX([16]Assumptions!$A$2:$K$596,MATCH($B9&amp;"Dividend reduction",[16]Assumptions!$A$2:$A$596,0),MATCH(I$2,[16]Assumptions!$A$2:$K$2,0)))</f>
        <v>-35000</v>
      </c>
      <c r="J95" s="50">
        <f>I95*(1-INDEX([16]Assumptions!$A$2:$K$596,MATCH($B9&amp;"Dividend reduction",[16]Assumptions!$A$2:$A$596,0),MATCH(J$2,[16]Assumptions!$A$2:$K$2,0)))</f>
        <v>-35000</v>
      </c>
      <c r="K95" s="50">
        <f>J95*(1-INDEX([16]Assumptions!$A$2:$K$596,MATCH($B9&amp;"Dividend reduction",[16]Assumptions!$A$2:$A$596,0),MATCH(K$2,[16]Assumptions!$A$2:$K$2,0)))</f>
        <v>-35000</v>
      </c>
      <c r="L95" s="50">
        <f>K95*(1-INDEX([16]Assumptions!$A$2:$K$596,MATCH($B9&amp;"Dividend reduction",[16]Assumptions!$A$2:$A$596,0),MATCH(L$2,[16]Assumptions!$A$2:$K$2,0)))</f>
        <v>-35000</v>
      </c>
      <c r="M95" s="50">
        <f>L95*(1-INDEX([16]Assumptions!$A$2:$K$596,MATCH($B9&amp;"Dividend reduction",[16]Assumptions!$A$2:$A$596,0),MATCH(M$2,[16]Assumptions!$A$2:$K$2,0)))</f>
        <v>-35000</v>
      </c>
    </row>
    <row r="97" spans="1:13" x14ac:dyDescent="0.25">
      <c r="A97" s="2" t="str">
        <f>B9&amp;B97</f>
        <v>Devon EnergyOhlson's O-Score</v>
      </c>
      <c r="B97" s="80" t="s">
        <v>427</v>
      </c>
      <c r="C97" s="80" t="s">
        <v>512</v>
      </c>
      <c r="D97" s="117"/>
      <c r="E97" s="130"/>
      <c r="F97" s="130"/>
      <c r="G97" s="130"/>
      <c r="H97" s="130"/>
      <c r="I97" s="99" t="e">
        <f>-1.32-0.407*(LN($I68*1000/(36.32+2.11*'[16]Quarterly Forecasts'!$K$15)))+6.03*($I80/$I68)-1.43*(($I62-$I74)/$I68)+0.0757*($I74/$I62)-2.37*(SUM($F50:$I50)/$I68)-1.83*(SUM($F91:$I91)/$I80)+0.285*(IF(AND(SUM($F50:$I50)&lt;0,($E50*4)&lt;0),1,0))-0.521*((SUM($F50:$I50)-($E50*4))/(ABS(SUM($F50:$I50))+ABS($E50*4)))-1.72*(IF($I80&gt;$I68,1,0))</f>
        <v>#VALUE!</v>
      </c>
      <c r="J97" s="130"/>
      <c r="K97" s="130"/>
      <c r="L97" s="130"/>
      <c r="M97" s="99" t="e">
        <f>-1.32-0.407*(LN($M68*1000/(36.32+2.11*'[16]Quarterly Forecasts'!$K$15)))+6.03*($M80/$M68)-1.43*(($M62-$M74)/$M68)+0.0757*($M74/$M62)-2.37*(SUM($J50:$M50)/$M68)-1.83*(SUM($J91:$M91)/$M80)+0.285*(IF(AND(SUM($J50:$M50)&lt;0,(SUM($F50:$I50))&lt;0),1,0))-0.521*((SUM($J50:$M50)-(SUM($F50:$I50)))/(ABS(SUM($J50:$M50))+ABS(SUM($F50:$I50))))-1.72*(IF($M80&gt;$M68,1,0))</f>
        <v>#VALUE!</v>
      </c>
    </row>
    <row r="98" spans="1:13" ht="11" thickBot="1" x14ac:dyDescent="0.3">
      <c r="A98" s="2" t="str">
        <f>B9&amp;B98</f>
        <v>Devon EnergyProbability of default (PD)</v>
      </c>
      <c r="B98" s="81" t="s">
        <v>504</v>
      </c>
      <c r="C98" s="98" t="s">
        <v>512</v>
      </c>
      <c r="D98" s="110"/>
      <c r="E98" s="131"/>
      <c r="F98" s="131"/>
      <c r="G98" s="131"/>
      <c r="H98" s="131"/>
      <c r="I98" s="126" t="e">
        <f>EXP(I97)/(1+EXP(I97))</f>
        <v>#VALUE!</v>
      </c>
      <c r="J98" s="131"/>
      <c r="K98" s="131"/>
      <c r="L98" s="131"/>
      <c r="M98" s="126" t="e">
        <f>EXP(M97)/(1+EXP(M97))</f>
        <v>#VALUE!</v>
      </c>
    </row>
    <row r="99" spans="1:13" ht="11" thickTop="1" x14ac:dyDescent="0.25"/>
    <row r="100" spans="1:13" x14ac:dyDescent="0.25">
      <c r="E100" s="2" t="s">
        <v>554</v>
      </c>
    </row>
    <row r="101" spans="1:13" x14ac:dyDescent="0.25">
      <c r="E101" s="2" t="s">
        <v>557</v>
      </c>
    </row>
    <row r="102" spans="1:13" x14ac:dyDescent="0.25">
      <c r="E102" s="2" t="s">
        <v>558</v>
      </c>
    </row>
    <row r="103" spans="1:13" x14ac:dyDescent="0.25">
      <c r="E103" s="2" t="s">
        <v>559</v>
      </c>
    </row>
  </sheetData>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294F0-7CBF-43F3-BE14-3EBE07CB8D35}">
  <sheetPr>
    <tabColor rgb="FFFF0000"/>
  </sheetPr>
  <dimension ref="A1:M108"/>
  <sheetViews>
    <sheetView showGridLines="0" zoomScale="98" zoomScaleNormal="197" workbookViewId="0">
      <pane xSplit="2" ySplit="2" topLeftCell="D83" activePane="bottomRight" state="frozen"/>
      <selection activeCell="I95" sqref="I95"/>
      <selection pane="topRight" activeCell="I95" sqref="I95"/>
      <selection pane="bottomLeft" activeCell="I95" sqref="I95"/>
      <selection pane="bottomRight" activeCell="I95" sqref="I95:M95"/>
    </sheetView>
  </sheetViews>
  <sheetFormatPr defaultColWidth="8.81640625" defaultRowHeight="10.5" x14ac:dyDescent="0.25"/>
  <cols>
    <col min="1" max="1" width="6.08984375" style="2" customWidth="1"/>
    <col min="2" max="2" width="39.81640625" style="2" bestFit="1" customWidth="1"/>
    <col min="3" max="3" width="44.36328125" style="2" customWidth="1"/>
    <col min="4" max="4" width="9.453125" style="113" bestFit="1" customWidth="1"/>
    <col min="5" max="5" width="10.453125" style="2" bestFit="1" customWidth="1"/>
    <col min="6" max="6" width="12.1796875" style="2" bestFit="1" customWidth="1"/>
    <col min="7" max="13" width="10.453125" style="2" bestFit="1" customWidth="1"/>
    <col min="14" max="16384" width="8.81640625" style="2"/>
  </cols>
  <sheetData>
    <row r="1" spans="1:13" x14ac:dyDescent="0.25">
      <c r="E1" s="2" t="str">
        <f>LEFT(E2,4)</f>
        <v>2019</v>
      </c>
      <c r="F1" s="2" t="str">
        <f t="shared" ref="F1:M1" si="0">LEFT(F2,4)</f>
        <v>2020</v>
      </c>
      <c r="G1" s="2" t="str">
        <f t="shared" si="0"/>
        <v>2020</v>
      </c>
      <c r="H1" s="2" t="str">
        <f t="shared" si="0"/>
        <v>2020</v>
      </c>
      <c r="I1" s="2" t="str">
        <f t="shared" si="0"/>
        <v>2020</v>
      </c>
      <c r="J1" s="2" t="str">
        <f t="shared" si="0"/>
        <v>2021</v>
      </c>
      <c r="K1" s="2" t="str">
        <f t="shared" si="0"/>
        <v>2021</v>
      </c>
      <c r="L1" s="2" t="str">
        <f t="shared" si="0"/>
        <v>2021</v>
      </c>
      <c r="M1" s="2" t="str">
        <f t="shared" si="0"/>
        <v>2021</v>
      </c>
    </row>
    <row r="2" spans="1:13" x14ac:dyDescent="0.25">
      <c r="B2" s="2" t="s">
        <v>440</v>
      </c>
      <c r="C2" s="2" t="s">
        <v>517</v>
      </c>
      <c r="D2" s="113" t="s">
        <v>524</v>
      </c>
      <c r="E2" s="67" t="s">
        <v>413</v>
      </c>
      <c r="F2" s="67" t="s">
        <v>414</v>
      </c>
      <c r="G2" s="67" t="s">
        <v>415</v>
      </c>
      <c r="H2" s="67" t="s">
        <v>416</v>
      </c>
      <c r="I2" s="67" t="s">
        <v>417</v>
      </c>
      <c r="J2" s="67" t="s">
        <v>418</v>
      </c>
      <c r="K2" s="67" t="s">
        <v>419</v>
      </c>
      <c r="L2" s="67" t="s">
        <v>420</v>
      </c>
      <c r="M2" s="67" t="s">
        <v>421</v>
      </c>
    </row>
    <row r="3" spans="1:13" x14ac:dyDescent="0.25">
      <c r="B3" s="64" t="s">
        <v>522</v>
      </c>
      <c r="C3" s="64"/>
      <c r="D3" s="111"/>
      <c r="E3" s="103"/>
      <c r="F3" s="99"/>
      <c r="G3" s="99"/>
      <c r="H3" s="99"/>
      <c r="I3" s="99"/>
      <c r="J3" s="99"/>
      <c r="K3" s="99"/>
      <c r="L3" s="99"/>
      <c r="M3" s="99"/>
    </row>
    <row r="4" spans="1:13" x14ac:dyDescent="0.25">
      <c r="A4" s="2" t="str">
        <f>$B$9&amp;$B$3&amp;B4</f>
        <v>ApacheMarket PricesOil</v>
      </c>
      <c r="B4" s="70" t="s">
        <v>396</v>
      </c>
      <c r="C4" s="70"/>
      <c r="D4" s="108"/>
      <c r="E4" s="89">
        <f>INDEX('Quarterly Forecasts'!$B$4:$O$500,MATCH(($B$2&amp;$B4),'Quarterly Forecasts'!$B$4:$B$500,0),MATCH(E$2,'Quarterly Forecasts'!$B$4:$O$4,0))</f>
        <v>64.358329999999995</v>
      </c>
      <c r="F4" s="134">
        <f>INDEX('Quarterly Forecasts'!$B$4:$O$500,MATCH($B$2&amp;$B4,'Quarterly Forecasts'!$B$4:$B$500,0),MATCH(F$2,'Quarterly Forecasts'!$B$4:$O$4,0))</f>
        <v>50.81859</v>
      </c>
      <c r="G4" s="134">
        <f>INDEX('Quarterly Forecasts'!$B$4:$O$500,MATCH($B$2&amp;$B4,'Quarterly Forecasts'!$B$4:$B$500,0),MATCH(G$2,'Quarterly Forecasts'!$B$4:$O$4,0))</f>
        <v>15</v>
      </c>
      <c r="H4" s="134">
        <f>INDEX('Quarterly Forecasts'!$B$4:$O$500,MATCH($B$2&amp;$B4,'Quarterly Forecasts'!$B$4:$B$500,0),MATCH(H$2,'Quarterly Forecasts'!$B$4:$O$4,0))</f>
        <v>17</v>
      </c>
      <c r="I4" s="134">
        <f>INDEX('Quarterly Forecasts'!$B$4:$O$500,MATCH($B$2&amp;$B4,'Quarterly Forecasts'!$B$4:$B$500,0),MATCH(I$2,'Quarterly Forecasts'!$B$4:$O$4,0))</f>
        <v>19</v>
      </c>
      <c r="J4" s="134">
        <f>INDEX('Quarterly Forecasts'!$B$4:$O$500,MATCH($B$2&amp;$B4,'Quarterly Forecasts'!$B$4:$B$500,0),MATCH(J$2,'Quarterly Forecasts'!$B$4:$O$4,0))</f>
        <v>21</v>
      </c>
      <c r="K4" s="134">
        <f>INDEX('Quarterly Forecasts'!$B$4:$O$500,MATCH($B$2&amp;$B4,'Quarterly Forecasts'!$B$4:$B$500,0),MATCH(K$2,'Quarterly Forecasts'!$B$4:$O$4,0))</f>
        <v>23</v>
      </c>
      <c r="L4" s="134">
        <f>INDEX('Quarterly Forecasts'!$B$4:$O$500,MATCH($B$2&amp;$B4,'Quarterly Forecasts'!$B$4:$B$500,0),MATCH(L$2,'Quarterly Forecasts'!$B$4:$O$4,0))</f>
        <v>25</v>
      </c>
      <c r="M4" s="134">
        <f>INDEX('Quarterly Forecasts'!$B$4:$O$500,MATCH($B$2&amp;$B4,'Quarterly Forecasts'!$B$4:$B$500,0),MATCH(M$2,'Quarterly Forecasts'!$B$4:$O$4,0))</f>
        <v>25</v>
      </c>
    </row>
    <row r="5" spans="1:13" x14ac:dyDescent="0.25">
      <c r="A5" s="2" t="str">
        <f t="shared" ref="A5:A7" si="1">$B$9&amp;$B$3&amp;B5</f>
        <v>ApacheMarket PricesGas</v>
      </c>
      <c r="B5" s="70" t="s">
        <v>26</v>
      </c>
      <c r="C5" s="70"/>
      <c r="D5" s="108"/>
      <c r="E5" s="89">
        <f>INDEX('Quarterly Forecasts'!$B$4:$O$500,MATCH($B2&amp;$B5,'Quarterly Forecasts'!$B$4:$B$500,0),MATCH(E$2,'Quarterly Forecasts'!$B$4:$O$4,0))</f>
        <v>15.15714</v>
      </c>
      <c r="F5" s="134">
        <f>INDEX('Quarterly Forecasts'!$B$4:$O$500,MATCH($B$2&amp;$B5,'Quarterly Forecasts'!$B$4:$B$500,0),MATCH(F$2,'Quarterly Forecasts'!$B$4:$O$4,0))</f>
        <v>11.20355</v>
      </c>
      <c r="G5" s="134">
        <f>INDEX('Quarterly Forecasts'!$B$4:$O$500,MATCH($B$2&amp;$B5,'Quarterly Forecasts'!$B$4:$B$500,0),MATCH(G$2,'Quarterly Forecasts'!$B$4:$O$4,0))</f>
        <v>12.325800000000001</v>
      </c>
      <c r="H5" s="134">
        <f>INDEX('Quarterly Forecasts'!$B$4:$O$500,MATCH($B$2&amp;$B5,'Quarterly Forecasts'!$B$4:$B$500,0),MATCH(H$2,'Quarterly Forecasts'!$B$4:$O$4,0))</f>
        <v>12.545400000000001</v>
      </c>
      <c r="I5" s="134">
        <f>INDEX('Quarterly Forecasts'!$B$4:$O$500,MATCH($B$2&amp;$B5,'Quarterly Forecasts'!$B$4:$B$500,0),MATCH(I$2,'Quarterly Forecasts'!$B$4:$O$4,0))</f>
        <v>12.765000000000001</v>
      </c>
      <c r="J5" s="134">
        <f>INDEX('Quarterly Forecasts'!$B$4:$O$500,MATCH($B$2&amp;$B5,'Quarterly Forecasts'!$B$4:$B$500,0),MATCH(J$2,'Quarterly Forecasts'!$B$4:$O$4,0))</f>
        <v>12.9846</v>
      </c>
      <c r="K5" s="134">
        <f>INDEX('Quarterly Forecasts'!$B$4:$O$500,MATCH($B$2&amp;$B5,'Quarterly Forecasts'!$B$4:$B$500,0),MATCH(K$2,'Quarterly Forecasts'!$B$4:$O$4,0))</f>
        <v>13.2042</v>
      </c>
      <c r="L5" s="134">
        <f>INDEX('Quarterly Forecasts'!$B$4:$O$500,MATCH($B$2&amp;$B5,'Quarterly Forecasts'!$B$4:$B$500,0),MATCH(L$2,'Quarterly Forecasts'!$B$4:$O$4,0))</f>
        <v>13.423800000000002</v>
      </c>
      <c r="M5" s="134">
        <f>INDEX('Quarterly Forecasts'!$B$4:$O$500,MATCH($B$2&amp;$B5,'Quarterly Forecasts'!$B$4:$B$500,0),MATCH(M$2,'Quarterly Forecasts'!$B$4:$O$4,0))</f>
        <v>13.423800000000002</v>
      </c>
    </row>
    <row r="6" spans="1:13" x14ac:dyDescent="0.25">
      <c r="A6" s="2" t="str">
        <f t="shared" si="1"/>
        <v>ApacheMarket PricesNGL</v>
      </c>
      <c r="B6" s="70" t="s">
        <v>25</v>
      </c>
      <c r="C6" s="70"/>
      <c r="D6" s="108"/>
      <c r="E6" s="89">
        <f>INDEX('Quarterly Forecasts'!$B$4:$O$500,MATCH($B2&amp;$B6,'Quarterly Forecasts'!$B$4:$B$500,0),MATCH(E$2,'Quarterly Forecasts'!$B$4:$O$4,0))</f>
        <v>20.616230000000002</v>
      </c>
      <c r="F6" s="134">
        <f>INDEX('Quarterly Forecasts'!$B$4:$O$500,MATCH($B$2&amp;$B6,'Quarterly Forecasts'!$B$4:$B$500,0),MATCH(F$2,'Quarterly Forecasts'!$B$4:$O$4,0))</f>
        <v>17.26445</v>
      </c>
      <c r="G6" s="134">
        <f>INDEX('Quarterly Forecasts'!$B$4:$O$500,MATCH($B$2&amp;$B6,'Quarterly Forecasts'!$B$4:$B$500,0),MATCH(G$2,'Quarterly Forecasts'!$B$4:$O$4,0))</f>
        <v>6.2672575000000004</v>
      </c>
      <c r="H6" s="134">
        <f>INDEX('Quarterly Forecasts'!$B$4:$O$500,MATCH($B$2&amp;$B6,'Quarterly Forecasts'!$B$4:$B$500,0),MATCH(H$2,'Quarterly Forecasts'!$B$4:$O$4,0))</f>
        <v>7.1405915000000002</v>
      </c>
      <c r="I6" s="134">
        <f>INDEX('Quarterly Forecasts'!$B$4:$O$500,MATCH($B$2&amp;$B6,'Quarterly Forecasts'!$B$4:$B$500,0),MATCH(I$2,'Quarterly Forecasts'!$B$4:$O$4,0))</f>
        <v>8.0139254999999991</v>
      </c>
      <c r="J6" s="134">
        <f>INDEX('Quarterly Forecasts'!$B$4:$O$500,MATCH($B$2&amp;$B6,'Quarterly Forecasts'!$B$4:$B$500,0),MATCH(J$2,'Quarterly Forecasts'!$B$4:$O$4,0))</f>
        <v>8.8872595000000008</v>
      </c>
      <c r="K6" s="134">
        <f>INDEX('Quarterly Forecasts'!$B$4:$O$500,MATCH($B$2&amp;$B6,'Quarterly Forecasts'!$B$4:$B$500,0),MATCH(K$2,'Quarterly Forecasts'!$B$4:$O$4,0))</f>
        <v>9.7605935000000006</v>
      </c>
      <c r="L6" s="134">
        <f>INDEX('Quarterly Forecasts'!$B$4:$O$500,MATCH($B$2&amp;$B6,'Quarterly Forecasts'!$B$4:$B$500,0),MATCH(L$2,'Quarterly Forecasts'!$B$4:$O$4,0))</f>
        <v>10.6339275</v>
      </c>
      <c r="M6" s="134">
        <f>INDEX('Quarterly Forecasts'!$B$4:$O$500,MATCH($B$2&amp;$B6,'Quarterly Forecasts'!$B$4:$B$500,0),MATCH(M$2,'Quarterly Forecasts'!$B$4:$O$4,0))</f>
        <v>10.6339275</v>
      </c>
    </row>
    <row r="7" spans="1:13" x14ac:dyDescent="0.25">
      <c r="A7" s="2" t="str">
        <f t="shared" si="1"/>
        <v>ApacheMarket PricesCondensate</v>
      </c>
      <c r="B7" s="71" t="s">
        <v>24</v>
      </c>
      <c r="C7" s="71"/>
      <c r="D7" s="114"/>
      <c r="E7" s="89">
        <f>INDEX('Quarterly Forecasts'!$B$4:$O$500,MATCH($B2&amp;$B7,'Quarterly Forecasts'!$B$4:$B$500,0),MATCH(E$2,'Quarterly Forecasts'!$B$4:$O$4,0))</f>
        <v>38.614997999999993</v>
      </c>
      <c r="F7" s="134">
        <f>INDEX('Quarterly Forecasts'!$B$4:$O$500,MATCH($B$2&amp;$B7,'Quarterly Forecasts'!$B$4:$B$500,0),MATCH(F$2,'Quarterly Forecasts'!$B$4:$O$4,0))</f>
        <v>30.491153999999998</v>
      </c>
      <c r="G7" s="134">
        <f>INDEX('Quarterly Forecasts'!$B$4:$O$500,MATCH($B$2&amp;$B7,'Quarterly Forecasts'!$B$4:$B$500,0),MATCH(G$2,'Quarterly Forecasts'!$B$4:$O$4,0))</f>
        <v>9</v>
      </c>
      <c r="H7" s="134">
        <f>INDEX('Quarterly Forecasts'!$B$4:$O$500,MATCH($B$2&amp;$B7,'Quarterly Forecasts'!$B$4:$B$500,0),MATCH(H$2,'Quarterly Forecasts'!$B$4:$O$4,0))</f>
        <v>10.199999999999999</v>
      </c>
      <c r="I7" s="134">
        <f>INDEX('Quarterly Forecasts'!$B$4:$O$500,MATCH($B$2&amp;$B7,'Quarterly Forecasts'!$B$4:$B$500,0),MATCH(I$2,'Quarterly Forecasts'!$B$4:$O$4,0))</f>
        <v>11.4</v>
      </c>
      <c r="J7" s="134">
        <f>INDEX('Quarterly Forecasts'!$B$4:$O$500,MATCH($B$2&amp;$B7,'Quarterly Forecasts'!$B$4:$B$500,0),MATCH(J$2,'Quarterly Forecasts'!$B$4:$O$4,0))</f>
        <v>12.6</v>
      </c>
      <c r="K7" s="134">
        <f>INDEX('Quarterly Forecasts'!$B$4:$O$500,MATCH($B$2&amp;$B7,'Quarterly Forecasts'!$B$4:$B$500,0),MATCH(K$2,'Quarterly Forecasts'!$B$4:$O$4,0))</f>
        <v>13.799999999999999</v>
      </c>
      <c r="L7" s="134">
        <f>INDEX('Quarterly Forecasts'!$B$4:$O$500,MATCH($B$2&amp;$B7,'Quarterly Forecasts'!$B$4:$B$500,0),MATCH(L$2,'Quarterly Forecasts'!$B$4:$O$4,0))</f>
        <v>15</v>
      </c>
      <c r="M7" s="134">
        <f>INDEX('Quarterly Forecasts'!$B$4:$O$500,MATCH($B$2&amp;$B7,'Quarterly Forecasts'!$B$4:$B$500,0),MATCH(M$2,'Quarterly Forecasts'!$B$4:$O$4,0))</f>
        <v>15</v>
      </c>
    </row>
    <row r="9" spans="1:13" x14ac:dyDescent="0.25">
      <c r="B9" s="31" t="s">
        <v>232</v>
      </c>
      <c r="C9" s="31"/>
      <c r="D9" s="115"/>
      <c r="E9" s="67"/>
      <c r="F9" s="67"/>
      <c r="G9" s="67"/>
      <c r="H9" s="67"/>
      <c r="I9" s="67"/>
      <c r="J9" s="67"/>
      <c r="K9" s="67"/>
      <c r="L9" s="67"/>
      <c r="M9" s="67"/>
    </row>
    <row r="10" spans="1:13" x14ac:dyDescent="0.25">
      <c r="B10" s="64" t="s">
        <v>523</v>
      </c>
      <c r="C10" s="64"/>
      <c r="D10" s="111"/>
      <c r="E10" s="103"/>
      <c r="F10" s="99"/>
      <c r="G10" s="99"/>
      <c r="H10" s="99"/>
      <c r="I10" s="99"/>
      <c r="J10" s="99"/>
      <c r="K10" s="99"/>
      <c r="L10" s="99"/>
      <c r="M10" s="99"/>
    </row>
    <row r="11" spans="1:13" x14ac:dyDescent="0.25">
      <c r="A11" s="2" t="str">
        <f>B9&amp;B10&amp;B11</f>
        <v>ApacheRealized pricesOil</v>
      </c>
      <c r="B11" s="70" t="s">
        <v>396</v>
      </c>
      <c r="C11" s="132" t="s">
        <v>542</v>
      </c>
      <c r="D11" s="108"/>
      <c r="E11" s="89">
        <v>60.05</v>
      </c>
      <c r="F11" s="134">
        <f>F4*($E11/$E4)</f>
        <v>47.416648777244532</v>
      </c>
      <c r="G11" s="134">
        <f>G4*($E11/$E4)</f>
        <v>13.99585725732784</v>
      </c>
      <c r="H11" s="134">
        <f t="shared" ref="G11:M14" si="2">H4*($E11/$E4)</f>
        <v>15.861971558304885</v>
      </c>
      <c r="I11" s="134">
        <f t="shared" si="2"/>
        <v>17.728085859281929</v>
      </c>
      <c r="J11" s="134">
        <f t="shared" si="2"/>
        <v>19.594200160258975</v>
      </c>
      <c r="K11" s="134">
        <f t="shared" si="2"/>
        <v>21.46031446123602</v>
      </c>
      <c r="L11" s="134">
        <f t="shared" si="2"/>
        <v>23.326428762213066</v>
      </c>
      <c r="M11" s="134">
        <f t="shared" si="2"/>
        <v>23.326428762213066</v>
      </c>
    </row>
    <row r="12" spans="1:13" x14ac:dyDescent="0.25">
      <c r="A12" s="2" t="str">
        <f>B9&amp;B10&amp;B12</f>
        <v>ApacheRealized pricesGas</v>
      </c>
      <c r="B12" s="70" t="s">
        <v>26</v>
      </c>
      <c r="C12" s="132" t="s">
        <v>542</v>
      </c>
      <c r="D12" s="108"/>
      <c r="E12" s="89">
        <f>1.9*6</f>
        <v>11.399999999999999</v>
      </c>
      <c r="F12" s="134">
        <f>F5*($E12/$E5)</f>
        <v>8.4264227948016561</v>
      </c>
      <c r="G12" s="134">
        <f t="shared" si="2"/>
        <v>9.2704903431650028</v>
      </c>
      <c r="H12" s="134">
        <f t="shared" si="2"/>
        <v>9.4356560670416698</v>
      </c>
      <c r="I12" s="134">
        <f t="shared" si="2"/>
        <v>9.6008217909183386</v>
      </c>
      <c r="J12" s="134">
        <f t="shared" si="2"/>
        <v>9.7659875147950057</v>
      </c>
      <c r="K12" s="134">
        <f t="shared" si="2"/>
        <v>9.9311532386716745</v>
      </c>
      <c r="L12" s="134">
        <f t="shared" si="2"/>
        <v>10.096318962548343</v>
      </c>
      <c r="M12" s="134">
        <f t="shared" si="2"/>
        <v>10.096318962548343</v>
      </c>
    </row>
    <row r="13" spans="1:13" x14ac:dyDescent="0.25">
      <c r="A13" s="2" t="str">
        <f>B9&amp;B10&amp;B13</f>
        <v>ApacheRealized pricesNGL</v>
      </c>
      <c r="B13" s="70" t="s">
        <v>25</v>
      </c>
      <c r="C13" s="132" t="s">
        <v>542</v>
      </c>
      <c r="D13" s="108"/>
      <c r="E13" s="89">
        <v>15.74</v>
      </c>
      <c r="F13" s="134">
        <f>F6*($E13/$E6)</f>
        <v>13.180995894981768</v>
      </c>
      <c r="G13" s="134">
        <f t="shared" si="2"/>
        <v>4.7849016551522752</v>
      </c>
      <c r="H13" s="134">
        <f t="shared" si="2"/>
        <v>5.4516713390372535</v>
      </c>
      <c r="I13" s="134">
        <f t="shared" si="2"/>
        <v>6.118441022922231</v>
      </c>
      <c r="J13" s="134">
        <f t="shared" si="2"/>
        <v>6.7852107068072094</v>
      </c>
      <c r="K13" s="134">
        <f t="shared" si="2"/>
        <v>7.4519803906921878</v>
      </c>
      <c r="L13" s="134">
        <f t="shared" si="2"/>
        <v>8.1187500745771661</v>
      </c>
      <c r="M13" s="134">
        <f t="shared" si="2"/>
        <v>8.1187500745771661</v>
      </c>
    </row>
    <row r="14" spans="1:13" x14ac:dyDescent="0.25">
      <c r="A14" s="2" t="str">
        <f>B9&amp;B10&amp;B14</f>
        <v>ApacheRealized pricesCondensate</v>
      </c>
      <c r="B14" s="70" t="s">
        <v>24</v>
      </c>
      <c r="C14" s="132" t="s">
        <v>543</v>
      </c>
      <c r="D14" s="108"/>
      <c r="E14" s="89">
        <f>E11*0.6</f>
        <v>36.029999999999994</v>
      </c>
      <c r="F14" s="134">
        <f>F7*($E14/$E7)</f>
        <v>28.449989266346719</v>
      </c>
      <c r="G14" s="134">
        <f t="shared" si="2"/>
        <v>8.3975143543967032</v>
      </c>
      <c r="H14" s="134">
        <f t="shared" si="2"/>
        <v>9.5171829349829302</v>
      </c>
      <c r="I14" s="134">
        <f t="shared" si="2"/>
        <v>10.636851515569159</v>
      </c>
      <c r="J14" s="134">
        <f t="shared" si="2"/>
        <v>11.756520096155386</v>
      </c>
      <c r="K14" s="134">
        <f t="shared" si="2"/>
        <v>12.876188676741611</v>
      </c>
      <c r="L14" s="134">
        <f t="shared" si="2"/>
        <v>13.99585725732784</v>
      </c>
      <c r="M14" s="134">
        <f t="shared" si="2"/>
        <v>13.99585725732784</v>
      </c>
    </row>
    <row r="15" spans="1:13" x14ac:dyDescent="0.25">
      <c r="A15" s="2" t="str">
        <f>B9&amp;B10&amp;B15</f>
        <v>ApacheRealized pricesAverage realized price</v>
      </c>
      <c r="B15" s="97" t="s">
        <v>527</v>
      </c>
      <c r="C15" s="137" t="s">
        <v>541</v>
      </c>
      <c r="D15" s="114"/>
      <c r="E15" s="89">
        <v>22.84</v>
      </c>
      <c r="F15" s="12">
        <f>F29/F24</f>
        <v>30.353367056759062</v>
      </c>
      <c r="G15" s="12">
        <f t="shared" ref="G15:M15" si="3">G29/G24</f>
        <v>11.053933653510661</v>
      </c>
      <c r="H15" s="12">
        <f t="shared" si="3"/>
        <v>12.22634386830928</v>
      </c>
      <c r="I15" s="12">
        <f t="shared" si="3"/>
        <v>13.398754083107898</v>
      </c>
      <c r="J15" s="12">
        <f t="shared" si="3"/>
        <v>14.358439722360441</v>
      </c>
      <c r="K15" s="12">
        <f t="shared" si="3"/>
        <v>15.509050786456511</v>
      </c>
      <c r="L15" s="12">
        <f t="shared" si="3"/>
        <v>16.659661850552588</v>
      </c>
      <c r="M15" s="12">
        <f t="shared" si="3"/>
        <v>16.659661850552588</v>
      </c>
    </row>
    <row r="16" spans="1:13" x14ac:dyDescent="0.25">
      <c r="B16" s="31"/>
      <c r="C16" s="31"/>
      <c r="D16" s="115"/>
      <c r="E16" s="100"/>
      <c r="F16" s="100"/>
      <c r="G16" s="100"/>
      <c r="H16" s="100"/>
      <c r="I16" s="100"/>
      <c r="J16" s="100"/>
      <c r="K16" s="100"/>
      <c r="L16" s="100"/>
      <c r="M16" s="100"/>
    </row>
    <row r="17" spans="1:13" x14ac:dyDescent="0.25">
      <c r="A17" s="2" t="str">
        <f>B9&amp;B17</f>
        <v>ApacheNetback price, BOE</v>
      </c>
      <c r="B17" s="91" t="s">
        <v>503</v>
      </c>
      <c r="C17" s="53" t="s">
        <v>535</v>
      </c>
      <c r="D17" s="122"/>
      <c r="E17" s="89">
        <f>E15-(E43/E24)-(E36/E24)-(E37/E24)-(E38/E24)</f>
        <v>10.355420200462607</v>
      </c>
      <c r="F17" s="89">
        <f t="shared" ref="F17:M17" si="4">F15-(F43/F24)-(F36/F24)-(F37/F24)-(F38/F24)</f>
        <v>18.205472610441582</v>
      </c>
      <c r="G17" s="89">
        <f t="shared" si="4"/>
        <v>-0.2032793893242395</v>
      </c>
      <c r="H17" s="89">
        <f t="shared" si="4"/>
        <v>0.91939791284534733</v>
      </c>
      <c r="I17" s="89">
        <f t="shared" si="4"/>
        <v>2.0420752150149313</v>
      </c>
      <c r="J17" s="89">
        <f t="shared" si="4"/>
        <v>2.9520279416384398</v>
      </c>
      <c r="K17" s="89">
        <f t="shared" si="4"/>
        <v>4.0529060931054781</v>
      </c>
      <c r="L17" s="89">
        <f t="shared" si="4"/>
        <v>5.1537842445725239</v>
      </c>
      <c r="M17" s="89">
        <f t="shared" si="4"/>
        <v>5.1537842445725239</v>
      </c>
    </row>
    <row r="18" spans="1:13" x14ac:dyDescent="0.25">
      <c r="B18" s="31"/>
      <c r="C18" s="31"/>
      <c r="D18" s="115"/>
      <c r="E18" s="100"/>
      <c r="F18" s="100"/>
      <c r="G18" s="100"/>
      <c r="H18" s="100"/>
      <c r="I18" s="100"/>
      <c r="J18" s="100"/>
      <c r="K18" s="100"/>
      <c r="L18" s="100"/>
      <c r="M18" s="100"/>
    </row>
    <row r="19" spans="1:13" x14ac:dyDescent="0.25">
      <c r="B19" s="64" t="s">
        <v>532</v>
      </c>
      <c r="C19" s="64"/>
      <c r="D19" s="111"/>
      <c r="E19" s="103"/>
      <c r="F19" s="99"/>
      <c r="G19" s="99"/>
      <c r="H19" s="99"/>
      <c r="I19" s="99"/>
      <c r="J19" s="99"/>
      <c r="K19" s="99"/>
      <c r="L19" s="99"/>
      <c r="M19" s="99"/>
    </row>
    <row r="20" spans="1:13" x14ac:dyDescent="0.25">
      <c r="A20" s="2" t="str">
        <f>B9&amp;B19&amp;B20</f>
        <v>ApacheProduction, BOE/QOil</v>
      </c>
      <c r="B20" s="70" t="s">
        <v>396</v>
      </c>
      <c r="C20" s="73" t="s">
        <v>564</v>
      </c>
      <c r="D20" s="108"/>
      <c r="E20" s="105">
        <f>87.4*1000/4</f>
        <v>21850</v>
      </c>
      <c r="F20" s="66">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19286.820166540001</v>
      </c>
      <c r="G20" s="66">
        <f>F20*(1-INDEX(Assumptions!$A$2:$K$596,MATCH($B9&amp;"Oil production reduction",Assumptions!$A$2:$A$596,0),MATCH(G$2,Assumptions!$A$2:$K$2,0)))</f>
        <v>19286.820166540001</v>
      </c>
      <c r="H20" s="66">
        <f>G20*(1-INDEX(Assumptions!$A$2:$K$596,MATCH($B9&amp;"Oil production reduction",Assumptions!$A$2:$A$596,0),MATCH(H$2,Assumptions!$A$2:$K$2,0)))</f>
        <v>19286.820166540001</v>
      </c>
      <c r="I20" s="66">
        <f>H20*(1-INDEX(Assumptions!$A$2:$K$596,MATCH($B9&amp;"Oil production reduction",Assumptions!$A$2:$A$596,0),MATCH(I$2,Assumptions!$A$2:$K$2,0)))</f>
        <v>19286.820166540001</v>
      </c>
      <c r="J20" s="66">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16730.982125445</v>
      </c>
      <c r="K20" s="66">
        <f>J20*(1-INDEX(Assumptions!$A$2:$K$596,MATCH($B9&amp;"Oil production reduction",Assumptions!$A$2:$A$596,0),MATCH(K$2,Assumptions!$A$2:$K$2,0)))</f>
        <v>16730.982125445</v>
      </c>
      <c r="L20" s="66">
        <f>K20*(1-INDEX(Assumptions!$A$2:$K$596,MATCH($B9&amp;"Oil production reduction",Assumptions!$A$2:$A$596,0),MATCH(L$2,Assumptions!$A$2:$K$2,0)))</f>
        <v>16730.982125445</v>
      </c>
      <c r="M20" s="66">
        <f>L20*(1-INDEX(Assumptions!$A$2:$K$596,MATCH($B9&amp;"Oil production reduction",Assumptions!$A$2:$A$596,0),MATCH(M$2,Assumptions!$A$2:$K$2,0)))</f>
        <v>16730.982125445</v>
      </c>
    </row>
    <row r="21" spans="1:13" x14ac:dyDescent="0.25">
      <c r="A21" s="2" t="str">
        <f>B9&amp;B19&amp;B21</f>
        <v>ApacheProduction, BOE/QGas</v>
      </c>
      <c r="B21" s="70" t="s">
        <v>26</v>
      </c>
      <c r="C21" s="73" t="s">
        <v>564</v>
      </c>
      <c r="D21" s="108"/>
      <c r="E21" s="105">
        <f>357.8*1000/4/6</f>
        <v>14908.333333333334</v>
      </c>
      <c r="F21" s="66">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10651.381453149999</v>
      </c>
      <c r="G21" s="66">
        <f>F21*(1-INDEX(Assumptions!$A$2:$K$596,MATCH($B9&amp;"Gas production reduction",Assumptions!$A$2:$A$596,0),MATCH(G$2,Assumptions!$A$2:$K$2,0)))</f>
        <v>10651.381453149999</v>
      </c>
      <c r="H21" s="66">
        <f>G21*(1-INDEX(Assumptions!$A$2:$K$596,MATCH($B9&amp;"Gas production reduction",Assumptions!$A$2:$A$596,0),MATCH(H$2,Assumptions!$A$2:$K$2,0)))</f>
        <v>10651.381453149999</v>
      </c>
      <c r="I21" s="66">
        <f>H21*(1-INDEX(Assumptions!$A$2:$K$596,MATCH($B9&amp;"Gas production reduction",Assumptions!$A$2:$A$596,0),MATCH(I$2,Assumptions!$A$2:$K$2,0)))</f>
        <v>10651.381453149999</v>
      </c>
      <c r="J21" s="66">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9656.1305493249947</v>
      </c>
      <c r="K21" s="66">
        <f>J21*(1-INDEX(Assumptions!$A$2:$K$596,MATCH($B9&amp;"Gas production reduction",Assumptions!$A$2:$A$596,0),MATCH(K$2,Assumptions!$A$2:$K$2,0)))</f>
        <v>9656.1305493249947</v>
      </c>
      <c r="L21" s="66">
        <f>K21*(1-INDEX(Assumptions!$A$2:$K$596,MATCH($B9&amp;"Gas production reduction",Assumptions!$A$2:$A$596,0),MATCH(L$2,Assumptions!$A$2:$K$2,0)))</f>
        <v>9656.1305493249947</v>
      </c>
      <c r="M21" s="66">
        <f>L21*(1-INDEX(Assumptions!$A$2:$K$596,MATCH($B9&amp;"Gas production reduction",Assumptions!$A$2:$A$596,0),MATCH(M$2,Assumptions!$A$2:$K$2,0)))</f>
        <v>9656.1305493249947</v>
      </c>
    </row>
    <row r="22" spans="1:13" x14ac:dyDescent="0.25">
      <c r="A22" s="2" t="str">
        <f>B9&amp;B19&amp;B22</f>
        <v>ApacheProduction, BOE/QNGL</v>
      </c>
      <c r="B22" s="70" t="s">
        <v>25</v>
      </c>
      <c r="C22" s="73" t="s">
        <v>564</v>
      </c>
      <c r="D22" s="108"/>
      <c r="E22" s="105">
        <f>25.9*1000/4</f>
        <v>6475</v>
      </c>
      <c r="F22" s="66">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6403.1724019375006</v>
      </c>
      <c r="G22" s="66">
        <f>F22*(1-INDEX(Assumptions!$A$2:$K$596,MATCH($B9&amp;"NGL production reduction",Assumptions!$A$2:$A$596,0),MATCH(G$2,Assumptions!$A$2:$K$2,0)))</f>
        <v>6403.1724019375006</v>
      </c>
      <c r="H22" s="66">
        <f>G22*(1-INDEX(Assumptions!$A$2:$K$596,MATCH($B9&amp;"NGL production reduction",Assumptions!$A$2:$A$596,0),MATCH(H$2,Assumptions!$A$2:$K$2,0)))</f>
        <v>6403.1724019375006</v>
      </c>
      <c r="I22" s="66">
        <f>H22*(1-INDEX(Assumptions!$A$2:$K$596,MATCH($B9&amp;"NGL production reduction",Assumptions!$A$2:$A$596,0),MATCH(I$2,Assumptions!$A$2:$K$2,0)))</f>
        <v>6403.1724019375006</v>
      </c>
      <c r="J22" s="66">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6195.5969582387488</v>
      </c>
      <c r="K22" s="66">
        <f>J22*(1-INDEX(Assumptions!$A$2:$K$596,MATCH($B9&amp;"NGL production reduction",Assumptions!$A$2:$A$596,0),MATCH(K$2,Assumptions!$A$2:$K$2,0)))</f>
        <v>6195.5969582387488</v>
      </c>
      <c r="L22" s="66">
        <f>K22*(1-INDEX(Assumptions!$A$2:$K$596,MATCH($B9&amp;"NGL production reduction",Assumptions!$A$2:$A$596,0),MATCH(L$2,Assumptions!$A$2:$K$2,0)))</f>
        <v>6195.5969582387488</v>
      </c>
      <c r="M22" s="66">
        <f>L22*(1-INDEX(Assumptions!$A$2:$K$596,MATCH($B9&amp;"NGL production reduction",Assumptions!$A$2:$A$596,0),MATCH(M$2,Assumptions!$A$2:$K$2,0)))</f>
        <v>6195.5969582387488</v>
      </c>
    </row>
    <row r="23" spans="1:13" x14ac:dyDescent="0.25">
      <c r="A23" s="2" t="str">
        <f>B9&amp;B19&amp;B23</f>
        <v>ApacheProduction, BOE/QCondensate</v>
      </c>
      <c r="B23" s="70" t="s">
        <v>24</v>
      </c>
      <c r="C23" s="73" t="s">
        <v>564</v>
      </c>
      <c r="D23" s="108"/>
      <c r="E23" s="105"/>
      <c r="F23" s="66">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1452.4547322275</v>
      </c>
      <c r="G23" s="66">
        <f>F23*(1-INDEX(Assumptions!$A$2:$K$596,MATCH($B9&amp;"Condensate production reduction",Assumptions!$A$2:$A$596,0),MATCH(G$2,Assumptions!$A$2:$K$2,0)))</f>
        <v>1452.4547322275</v>
      </c>
      <c r="H23" s="66">
        <f>G23*(1-INDEX(Assumptions!$A$2:$K$596,MATCH($B9&amp;"Condensate production reduction",Assumptions!$A$2:$A$596,0),MATCH(H$2,Assumptions!$A$2:$K$2,0)))</f>
        <v>1452.4547322275</v>
      </c>
      <c r="I23" s="66">
        <f>H23*(1-INDEX(Assumptions!$A$2:$K$596,MATCH($B9&amp;"Condensate production reduction",Assumptions!$A$2:$A$596,0),MATCH(I$2,Assumptions!$A$2:$K$2,0)))</f>
        <v>1452.4547322275</v>
      </c>
      <c r="J23" s="66">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1398.8505424174998</v>
      </c>
      <c r="K23" s="66">
        <f>J23*(1-INDEX(Assumptions!$A$2:$K$596,MATCH($B9&amp;"Condensate production reduction",Assumptions!$A$2:$A$596,0),MATCH(K$2,Assumptions!$A$2:$K$2,0)))</f>
        <v>1398.8505424174998</v>
      </c>
      <c r="L23" s="66">
        <f>K23*(1-INDEX(Assumptions!$A$2:$K$596,MATCH($B9&amp;"Condensate production reduction",Assumptions!$A$2:$A$596,0),MATCH(L$2,Assumptions!$A$2:$K$2,0)))</f>
        <v>1398.8505424174998</v>
      </c>
      <c r="M23" s="66">
        <f>L23*(1-INDEX(Assumptions!$A$2:$K$596,MATCH($B9&amp;"Condensate production reduction",Assumptions!$A$2:$A$596,0),MATCH(M$2,Assumptions!$A$2:$K$2,0)))</f>
        <v>1398.8505424174998</v>
      </c>
    </row>
    <row r="24" spans="1:13" x14ac:dyDescent="0.25">
      <c r="A24" s="2" t="str">
        <f>B9&amp;B19&amp;B24</f>
        <v>ApacheProduction, BOE/QTotal production</v>
      </c>
      <c r="B24" s="97" t="s">
        <v>397</v>
      </c>
      <c r="C24" s="77"/>
      <c r="D24" s="114"/>
      <c r="E24" s="120">
        <f>SUM(E20:E23)</f>
        <v>43233.333333333336</v>
      </c>
      <c r="F24" s="121">
        <f>SUM(F20:F23)</f>
        <v>37793.828753855007</v>
      </c>
      <c r="G24" s="121">
        <f t="shared" ref="G24:M24" si="5">SUM(G20:G23)</f>
        <v>37793.828753855007</v>
      </c>
      <c r="H24" s="121">
        <f t="shared" si="5"/>
        <v>37793.828753855007</v>
      </c>
      <c r="I24" s="121">
        <f t="shared" si="5"/>
        <v>37793.828753855007</v>
      </c>
      <c r="J24" s="121">
        <f t="shared" si="5"/>
        <v>33981.560175426246</v>
      </c>
      <c r="K24" s="121">
        <f t="shared" si="5"/>
        <v>33981.560175426246</v>
      </c>
      <c r="L24" s="121">
        <f t="shared" si="5"/>
        <v>33981.560175426246</v>
      </c>
      <c r="M24" s="121">
        <f t="shared" si="5"/>
        <v>33981.560175426246</v>
      </c>
    </row>
    <row r="25" spans="1:13" x14ac:dyDescent="0.25">
      <c r="B25" s="31"/>
      <c r="C25" s="31"/>
      <c r="D25" s="115"/>
      <c r="E25" s="67"/>
      <c r="F25" s="198"/>
      <c r="G25" s="198"/>
      <c r="H25" s="220"/>
      <c r="I25" s="201"/>
      <c r="J25" s="201"/>
      <c r="K25" s="201"/>
      <c r="L25" s="201"/>
      <c r="M25" s="201"/>
    </row>
    <row r="26" spans="1:13" x14ac:dyDescent="0.25">
      <c r="A26" s="2" t="str">
        <f>B9&amp;B26</f>
        <v>ApacheRevenues</v>
      </c>
      <c r="B26" s="64" t="s">
        <v>472</v>
      </c>
      <c r="C26" s="64"/>
      <c r="D26" s="111"/>
      <c r="E26" s="53"/>
      <c r="F26" s="200">
        <f>F29/SUM($F$29:$I$29)</f>
        <v>0.45281636436662176</v>
      </c>
      <c r="G26" s="200">
        <f t="shared" ref="G26:I26" si="6">G29/SUM($F$29:$I$29)</f>
        <v>0.16490434288798111</v>
      </c>
      <c r="H26" s="200">
        <f t="shared" si="6"/>
        <v>0.18239454521112611</v>
      </c>
      <c r="I26" s="200">
        <f t="shared" si="6"/>
        <v>0.1998847475342711</v>
      </c>
      <c r="J26" s="200">
        <f>J29/SUM($J$29:$M$29)</f>
        <v>0.22723791192665885</v>
      </c>
      <c r="K26" s="200">
        <f t="shared" ref="K26:M26" si="7">K29/SUM($J$29:$M$29)</f>
        <v>0.24544758238533174</v>
      </c>
      <c r="L26" s="200">
        <f t="shared" si="7"/>
        <v>0.26365725284400471</v>
      </c>
      <c r="M26" s="200">
        <f t="shared" si="7"/>
        <v>0.26365725284400471</v>
      </c>
    </row>
    <row r="27" spans="1:13" x14ac:dyDescent="0.25">
      <c r="A27" s="2" t="str">
        <f>B9&amp;B27</f>
        <v>ApacheSales Revenue</v>
      </c>
      <c r="B27" s="70" t="s">
        <v>461</v>
      </c>
      <c r="C27" s="82" t="s">
        <v>536</v>
      </c>
      <c r="D27" s="108"/>
      <c r="E27" s="83">
        <f>(5230+678+407)/4*1000</f>
        <v>1578750</v>
      </c>
      <c r="F27" s="50">
        <f>SUMPRODUCT(F11:F14,F20:F23)</f>
        <v>1129991.9320261804</v>
      </c>
      <c r="G27" s="50">
        <f>SUMPRODUCT(G11:G14,G20:G23)</f>
        <v>411514.67058868764</v>
      </c>
      <c r="H27" s="50">
        <f t="shared" ref="H27:M27" si="8">SUMPRODUCT(H11:H14,H20:H23)</f>
        <v>455161.03381653625</v>
      </c>
      <c r="I27" s="50">
        <f t="shared" si="8"/>
        <v>498807.39704438485</v>
      </c>
      <c r="J27" s="50">
        <f t="shared" si="8"/>
        <v>480615.90835917596</v>
      </c>
      <c r="K27" s="50">
        <f t="shared" si="8"/>
        <v>519129.9803914915</v>
      </c>
      <c r="L27" s="50">
        <f t="shared" si="8"/>
        <v>557644.05242380721</v>
      </c>
      <c r="M27" s="50">
        <f t="shared" si="8"/>
        <v>557644.05242380721</v>
      </c>
    </row>
    <row r="28" spans="1:13" x14ac:dyDescent="0.25">
      <c r="A28" s="2" t="str">
        <f>B9&amp;B28</f>
        <v>ApacheOther Revenue</v>
      </c>
      <c r="B28" s="70" t="s">
        <v>462</v>
      </c>
      <c r="C28" s="82" t="s">
        <v>533</v>
      </c>
      <c r="D28" s="139">
        <f>$E28/$E27</f>
        <v>1.5201900237529691E-2</v>
      </c>
      <c r="E28" s="83">
        <f>(43+53)/4*1000</f>
        <v>24000</v>
      </c>
      <c r="F28" s="50">
        <f>F27*$D28</f>
        <v>17178.024619875428</v>
      </c>
      <c r="G28" s="50">
        <f t="shared" ref="G28:M28" si="9">G27*$D28</f>
        <v>6255.804968569123</v>
      </c>
      <c r="H28" s="50">
        <f t="shared" si="9"/>
        <v>6919.3126280898623</v>
      </c>
      <c r="I28" s="50">
        <f t="shared" si="9"/>
        <v>7582.8202876106006</v>
      </c>
      <c r="J28" s="50">
        <f t="shared" si="9"/>
        <v>7306.2750914459057</v>
      </c>
      <c r="K28" s="50">
        <f t="shared" si="9"/>
        <v>7891.7621722221984</v>
      </c>
      <c r="L28" s="50">
        <f t="shared" si="9"/>
        <v>8477.2492529984938</v>
      </c>
      <c r="M28" s="50">
        <f t="shared" si="9"/>
        <v>8477.2492529984938</v>
      </c>
    </row>
    <row r="29" spans="1:13" x14ac:dyDescent="0.25">
      <c r="A29" s="2" t="str">
        <f>B9&amp;B29</f>
        <v>ApacheTotal Revenue</v>
      </c>
      <c r="B29" s="84" t="s">
        <v>395</v>
      </c>
      <c r="C29" s="85"/>
      <c r="D29" s="216">
        <f>SUMPRODUCT(E11:E14,E20:E23)*(1+D28)</f>
        <v>1608043.2627078383</v>
      </c>
      <c r="E29" s="63">
        <f>SUM(E27:E28)</f>
        <v>1602750</v>
      </c>
      <c r="F29" s="62">
        <f t="shared" ref="F29:M29" si="10">SUM(F27:F28)</f>
        <v>1147169.9566460559</v>
      </c>
      <c r="G29" s="62">
        <f t="shared" si="10"/>
        <v>417770.47555725678</v>
      </c>
      <c r="H29" s="62">
        <f t="shared" si="10"/>
        <v>462080.34644462611</v>
      </c>
      <c r="I29" s="62">
        <f t="shared" si="10"/>
        <v>506390.21733199543</v>
      </c>
      <c r="J29" s="62">
        <f t="shared" si="10"/>
        <v>487922.18345062184</v>
      </c>
      <c r="K29" s="62">
        <f t="shared" si="10"/>
        <v>527021.74256371369</v>
      </c>
      <c r="L29" s="62">
        <f t="shared" si="10"/>
        <v>566121.30167680571</v>
      </c>
      <c r="M29" s="62">
        <f t="shared" si="10"/>
        <v>566121.30167680571</v>
      </c>
    </row>
    <row r="30" spans="1:13" x14ac:dyDescent="0.25">
      <c r="A30" s="2" t="str">
        <f>B9&amp;B30</f>
        <v>ApacheCosts and Expenses</v>
      </c>
      <c r="B30" s="72" t="s">
        <v>473</v>
      </c>
      <c r="C30" s="72"/>
      <c r="D30" s="112"/>
      <c r="E30" s="83"/>
      <c r="F30" s="50"/>
      <c r="G30" s="50"/>
      <c r="H30" s="50"/>
      <c r="I30" s="50"/>
      <c r="J30" s="50"/>
      <c r="K30" s="50"/>
      <c r="L30" s="50"/>
      <c r="M30" s="50"/>
    </row>
    <row r="31" spans="1:13" x14ac:dyDescent="0.25">
      <c r="A31" s="2" t="str">
        <f>B9&amp;B31</f>
        <v>ApacheImpairment</v>
      </c>
      <c r="B31" s="70" t="s">
        <v>463</v>
      </c>
      <c r="C31" s="82" t="s">
        <v>537</v>
      </c>
      <c r="D31" s="108"/>
      <c r="E31" s="83">
        <f>2949/4*1000</f>
        <v>737250</v>
      </c>
      <c r="F31" s="157">
        <f>E31</f>
        <v>737250</v>
      </c>
      <c r="G31" s="157">
        <f t="shared" ref="G31:M31" si="11">F31</f>
        <v>737250</v>
      </c>
      <c r="H31" s="157">
        <f t="shared" si="11"/>
        <v>737250</v>
      </c>
      <c r="I31" s="157">
        <f t="shared" si="11"/>
        <v>737250</v>
      </c>
      <c r="J31" s="157">
        <f t="shared" si="11"/>
        <v>737250</v>
      </c>
      <c r="K31" s="157">
        <f t="shared" si="11"/>
        <v>737250</v>
      </c>
      <c r="L31" s="157">
        <f t="shared" si="11"/>
        <v>737250</v>
      </c>
      <c r="M31" s="157">
        <f t="shared" si="11"/>
        <v>737250</v>
      </c>
    </row>
    <row r="32" spans="1:13" x14ac:dyDescent="0.25">
      <c r="A32" s="2" t="str">
        <f>B9&amp;B32</f>
        <v>ApacheDD&amp;A</v>
      </c>
      <c r="B32" s="70" t="s">
        <v>464</v>
      </c>
      <c r="C32" s="106" t="s">
        <v>545</v>
      </c>
      <c r="D32" s="108">
        <f>E32/E24</f>
        <v>15.497301464919044</v>
      </c>
      <c r="E32" s="83">
        <f>2680*1000/4</f>
        <v>670000</v>
      </c>
      <c r="F32" s="50">
        <f>$D32*F$24</f>
        <v>585702.35771201667</v>
      </c>
      <c r="G32" s="50">
        <f t="shared" ref="G32:M32" si="12">$D32*G$24</f>
        <v>585702.35771201667</v>
      </c>
      <c r="H32" s="50">
        <f t="shared" si="12"/>
        <v>585702.35771201667</v>
      </c>
      <c r="I32" s="50">
        <f t="shared" si="12"/>
        <v>585702.35771201667</v>
      </c>
      <c r="J32" s="50">
        <f t="shared" si="12"/>
        <v>526622.4822868678</v>
      </c>
      <c r="K32" s="50">
        <f t="shared" si="12"/>
        <v>526622.4822868678</v>
      </c>
      <c r="L32" s="50">
        <f t="shared" si="12"/>
        <v>526622.4822868678</v>
      </c>
      <c r="M32" s="50">
        <f t="shared" si="12"/>
        <v>526622.4822868678</v>
      </c>
    </row>
    <row r="33" spans="1:13" x14ac:dyDescent="0.25">
      <c r="A33" s="2" t="str">
        <f>B9&amp;B33</f>
        <v>ApacheAsset retirement obligation</v>
      </c>
      <c r="B33" s="70" t="s">
        <v>465</v>
      </c>
      <c r="C33" s="106" t="s">
        <v>545</v>
      </c>
      <c r="D33" s="108">
        <f>E33/E24</f>
        <v>0.61873554356206628</v>
      </c>
      <c r="E33" s="83">
        <f>107*1000/4</f>
        <v>26750</v>
      </c>
      <c r="F33" s="50">
        <f t="shared" ref="F33:M40" si="13">$D33*F$24</f>
        <v>23384.385177308126</v>
      </c>
      <c r="G33" s="50">
        <f t="shared" si="13"/>
        <v>23384.385177308126</v>
      </c>
      <c r="H33" s="50">
        <f t="shared" si="13"/>
        <v>23384.385177308126</v>
      </c>
      <c r="I33" s="50">
        <f t="shared" si="13"/>
        <v>23384.385177308126</v>
      </c>
      <c r="J33" s="50">
        <f t="shared" si="13"/>
        <v>21025.599106229423</v>
      </c>
      <c r="K33" s="50">
        <f t="shared" si="13"/>
        <v>21025.599106229423</v>
      </c>
      <c r="L33" s="50">
        <f t="shared" si="13"/>
        <v>21025.599106229423</v>
      </c>
      <c r="M33" s="50">
        <f t="shared" si="13"/>
        <v>21025.599106229423</v>
      </c>
    </row>
    <row r="34" spans="1:13" x14ac:dyDescent="0.25">
      <c r="A34" s="2" t="str">
        <f>B9&amp;B34</f>
        <v>ApacheNon-cash compensation</v>
      </c>
      <c r="B34" s="70" t="s">
        <v>505</v>
      </c>
      <c r="C34" s="106" t="s">
        <v>878</v>
      </c>
      <c r="D34" s="108">
        <f>E34/E24</f>
        <v>0</v>
      </c>
      <c r="E34" s="83">
        <f>0/4</f>
        <v>0</v>
      </c>
      <c r="F34" s="50">
        <f>$E34*((F$4*0.0266+11.643)*F$24)/(($E$4*0.0266+11.643)*$E$24)</f>
        <v>0</v>
      </c>
      <c r="G34" s="50">
        <f t="shared" ref="G34:M34" si="14">$E34*((G$4*0.0266+11.643)*G$24)/(($E$4*0.0266+11.643)*$E$24)</f>
        <v>0</v>
      </c>
      <c r="H34" s="50">
        <f t="shared" si="14"/>
        <v>0</v>
      </c>
      <c r="I34" s="50">
        <f t="shared" si="14"/>
        <v>0</v>
      </c>
      <c r="J34" s="50">
        <f t="shared" si="14"/>
        <v>0</v>
      </c>
      <c r="K34" s="50">
        <f t="shared" si="14"/>
        <v>0</v>
      </c>
      <c r="L34" s="50">
        <f t="shared" si="14"/>
        <v>0</v>
      </c>
      <c r="M34" s="50">
        <f t="shared" si="14"/>
        <v>0</v>
      </c>
    </row>
    <row r="35" spans="1:13" x14ac:dyDescent="0.25">
      <c r="A35" s="2" t="str">
        <f>B9&amp;B35</f>
        <v>ApacheTaxes other than income</v>
      </c>
      <c r="B35" s="70" t="s">
        <v>467</v>
      </c>
      <c r="C35" s="106" t="s">
        <v>545</v>
      </c>
      <c r="D35" s="108">
        <f>E35/E24</f>
        <v>1.1969930609097919</v>
      </c>
      <c r="E35" s="83">
        <f>207*1000/4</f>
        <v>51750</v>
      </c>
      <c r="F35" s="50">
        <f>$D35*F24</f>
        <v>45238.950763577406</v>
      </c>
      <c r="G35" s="50">
        <f t="shared" ref="G35:M35" si="15">$D35*G24</f>
        <v>45238.950763577406</v>
      </c>
      <c r="H35" s="50">
        <f t="shared" si="15"/>
        <v>45238.950763577406</v>
      </c>
      <c r="I35" s="50">
        <f t="shared" si="15"/>
        <v>45238.950763577406</v>
      </c>
      <c r="J35" s="50">
        <f t="shared" si="15"/>
        <v>40675.691728873746</v>
      </c>
      <c r="K35" s="50">
        <f t="shared" si="15"/>
        <v>40675.691728873746</v>
      </c>
      <c r="L35" s="50">
        <f t="shared" si="15"/>
        <v>40675.691728873746</v>
      </c>
      <c r="M35" s="50">
        <f t="shared" si="15"/>
        <v>40675.691728873746</v>
      </c>
    </row>
    <row r="36" spans="1:13" x14ac:dyDescent="0.25">
      <c r="A36" s="2" t="str">
        <f>B9&amp;B36</f>
        <v>ApacheLease operating expenses</v>
      </c>
      <c r="B36" s="70" t="s">
        <v>468</v>
      </c>
      <c r="C36" s="106" t="s">
        <v>878</v>
      </c>
      <c r="D36" s="108">
        <f>E36/E24</f>
        <v>8.3673862760215876</v>
      </c>
      <c r="E36" s="83">
        <f>1447*1000/4</f>
        <v>361750</v>
      </c>
      <c r="F36" s="50">
        <f>$E36*((F$4*0.0266+11.643)*F$24)/(($E$4*0.0266+11.643)*$E$24)</f>
        <v>307707.29281499312</v>
      </c>
      <c r="G36" s="50">
        <f t="shared" ref="G36:M38" si="16">$E36*((G$4*0.0266+11.643)*G$24)/(($E$4*0.0266+11.643)*$E$24)</f>
        <v>285146.25027075497</v>
      </c>
      <c r="H36" s="50">
        <f t="shared" si="16"/>
        <v>286405.98955944489</v>
      </c>
      <c r="I36" s="50">
        <f t="shared" si="16"/>
        <v>287665.72884813481</v>
      </c>
      <c r="J36" s="50">
        <f t="shared" si="16"/>
        <v>259781.5173913347</v>
      </c>
      <c r="K36" s="50">
        <f t="shared" si="16"/>
        <v>260914.18660891426</v>
      </c>
      <c r="L36" s="50">
        <f t="shared" si="16"/>
        <v>262046.85582649382</v>
      </c>
      <c r="M36" s="50">
        <f t="shared" si="16"/>
        <v>262046.85582649382</v>
      </c>
    </row>
    <row r="37" spans="1:13" x14ac:dyDescent="0.25">
      <c r="A37" s="2" t="str">
        <f>B9&amp;B37</f>
        <v>ApacheTransportation, Processing, and Other Operating</v>
      </c>
      <c r="B37" s="70" t="s">
        <v>469</v>
      </c>
      <c r="C37" s="106" t="s">
        <v>878</v>
      </c>
      <c r="D37" s="108">
        <f>E37/E24</f>
        <v>1.76946800308404</v>
      </c>
      <c r="E37" s="83">
        <f>(306)*1000/4</f>
        <v>76500</v>
      </c>
      <c r="F37" s="50">
        <f>$E37*((F$4*0.0266+11.643)*F$24)/(($E$4*0.0266+11.643)*$E$24)</f>
        <v>65071.480028602564</v>
      </c>
      <c r="G37" s="50">
        <f t="shared" si="16"/>
        <v>60300.450990221841</v>
      </c>
      <c r="H37" s="50">
        <f t="shared" si="16"/>
        <v>60566.850591009075</v>
      </c>
      <c r="I37" s="50">
        <f t="shared" si="16"/>
        <v>60833.250191796295</v>
      </c>
      <c r="J37" s="50">
        <f t="shared" si="16"/>
        <v>54936.5199182781</v>
      </c>
      <c r="K37" s="50">
        <f t="shared" si="16"/>
        <v>55176.047755582418</v>
      </c>
      <c r="L37" s="50">
        <f t="shared" si="16"/>
        <v>55415.575592886729</v>
      </c>
      <c r="M37" s="50">
        <f t="shared" si="16"/>
        <v>55415.575592886729</v>
      </c>
    </row>
    <row r="38" spans="1:13" x14ac:dyDescent="0.25">
      <c r="A38" s="2" t="str">
        <f>B9&amp;B38</f>
        <v>ApacheSG&amp;A</v>
      </c>
      <c r="B38" s="70" t="s">
        <v>470</v>
      </c>
      <c r="C38" s="106" t="s">
        <v>878</v>
      </c>
      <c r="D38" s="108">
        <f>E38/E24</f>
        <v>2.3477255204317653</v>
      </c>
      <c r="E38" s="83">
        <f>406*1000/4</f>
        <v>101500</v>
      </c>
      <c r="F38" s="50">
        <f>$E38*((F$4*0.0266+11.643)*F$24)/(($E$4*0.0266+11.643)*$E$24)</f>
        <v>86336.669580433459</v>
      </c>
      <c r="G38" s="50">
        <f t="shared" si="16"/>
        <v>80006.480725588466</v>
      </c>
      <c r="H38" s="50">
        <f t="shared" si="16"/>
        <v>80359.939019443409</v>
      </c>
      <c r="I38" s="50">
        <f t="shared" si="16"/>
        <v>80713.397313298366</v>
      </c>
      <c r="J38" s="50">
        <f t="shared" si="16"/>
        <v>72889.631002682712</v>
      </c>
      <c r="K38" s="50">
        <f t="shared" si="16"/>
        <v>73207.435911001507</v>
      </c>
      <c r="L38" s="50">
        <f t="shared" si="16"/>
        <v>73525.240819320301</v>
      </c>
      <c r="M38" s="50">
        <f t="shared" si="16"/>
        <v>73525.240819320301</v>
      </c>
    </row>
    <row r="39" spans="1:13" s="65" customFormat="1" x14ac:dyDescent="0.25">
      <c r="A39" s="65" t="str">
        <f>B9&amp;B39</f>
        <v>ApacheExploratory and dirt well, dry hole</v>
      </c>
      <c r="B39" s="70" t="s">
        <v>561</v>
      </c>
      <c r="C39" s="106" t="s">
        <v>545</v>
      </c>
      <c r="D39" s="155">
        <f>E39/E24</f>
        <v>4.6549730146491903</v>
      </c>
      <c r="E39" s="148">
        <f>805*1000/4</f>
        <v>201250</v>
      </c>
      <c r="F39" s="156">
        <f t="shared" si="13"/>
        <v>175929.25296946769</v>
      </c>
      <c r="G39" s="156">
        <f t="shared" si="13"/>
        <v>175929.25296946769</v>
      </c>
      <c r="H39" s="156">
        <f t="shared" si="13"/>
        <v>175929.25296946769</v>
      </c>
      <c r="I39" s="156">
        <f t="shared" si="13"/>
        <v>175929.25296946769</v>
      </c>
      <c r="J39" s="156">
        <f t="shared" si="13"/>
        <v>158183.24561228679</v>
      </c>
      <c r="K39" s="156">
        <f t="shared" si="13"/>
        <v>158183.24561228679</v>
      </c>
      <c r="L39" s="156">
        <f t="shared" si="13"/>
        <v>158183.24561228679</v>
      </c>
      <c r="M39" s="156">
        <f t="shared" si="13"/>
        <v>158183.24561228679</v>
      </c>
    </row>
    <row r="40" spans="1:13" x14ac:dyDescent="0.25">
      <c r="A40" s="2" t="str">
        <f>B9&amp;B40</f>
        <v>ApacheOther Expenses (benefits)</v>
      </c>
      <c r="B40" s="70" t="s">
        <v>471</v>
      </c>
      <c r="C40" s="106" t="s">
        <v>545</v>
      </c>
      <c r="D40" s="108">
        <f>E40/E24</f>
        <v>0.28912875867386273</v>
      </c>
      <c r="E40" s="83">
        <f>(50)*1000/4</f>
        <v>12500</v>
      </c>
      <c r="F40" s="50">
        <f t="shared" si="13"/>
        <v>10927.282793134638</v>
      </c>
      <c r="G40" s="50">
        <f t="shared" si="13"/>
        <v>10927.282793134638</v>
      </c>
      <c r="H40" s="50">
        <f t="shared" si="13"/>
        <v>10927.282793134638</v>
      </c>
      <c r="I40" s="50">
        <f t="shared" si="13"/>
        <v>10927.282793134638</v>
      </c>
      <c r="J40" s="50">
        <f t="shared" si="13"/>
        <v>9825.0463113221595</v>
      </c>
      <c r="K40" s="50">
        <f t="shared" si="13"/>
        <v>9825.0463113221595</v>
      </c>
      <c r="L40" s="50">
        <f t="shared" si="13"/>
        <v>9825.0463113221595</v>
      </c>
      <c r="M40" s="50">
        <f t="shared" si="13"/>
        <v>9825.0463113221595</v>
      </c>
    </row>
    <row r="41" spans="1:13" x14ac:dyDescent="0.25">
      <c r="A41" s="2" t="str">
        <f>B9&amp;B41</f>
        <v>ApacheTotal Costs and Expenses</v>
      </c>
      <c r="B41" s="84" t="s">
        <v>474</v>
      </c>
      <c r="C41" s="85"/>
      <c r="D41" s="110"/>
      <c r="E41" s="63">
        <f>SUM(E31:E40)</f>
        <v>2239250</v>
      </c>
      <c r="F41" s="62">
        <f t="shared" ref="F41:M41" si="17">SUM(F31:F40)</f>
        <v>2037547.6718395338</v>
      </c>
      <c r="G41" s="62">
        <f t="shared" si="17"/>
        <v>2003885.4114020702</v>
      </c>
      <c r="H41" s="62">
        <f t="shared" si="17"/>
        <v>2005765.008585402</v>
      </c>
      <c r="I41" s="62">
        <f t="shared" si="17"/>
        <v>2007644.6057687344</v>
      </c>
      <c r="J41" s="62">
        <f t="shared" si="17"/>
        <v>1881189.7333578751</v>
      </c>
      <c r="K41" s="62">
        <f t="shared" si="17"/>
        <v>1882879.7353210778</v>
      </c>
      <c r="L41" s="62">
        <f t="shared" si="17"/>
        <v>1884569.7372842804</v>
      </c>
      <c r="M41" s="62">
        <f t="shared" si="17"/>
        <v>1884569.7372842804</v>
      </c>
    </row>
    <row r="42" spans="1:13" x14ac:dyDescent="0.25">
      <c r="A42" s="2" t="str">
        <f>B9&amp;B42</f>
        <v>ApacheOther (Income) Expense</v>
      </c>
      <c r="B42" s="72" t="s">
        <v>506</v>
      </c>
      <c r="C42" s="72"/>
      <c r="D42" s="112"/>
      <c r="E42" s="83"/>
      <c r="F42" s="50"/>
      <c r="G42" s="50"/>
      <c r="H42" s="50"/>
      <c r="I42" s="50"/>
      <c r="J42" s="50"/>
      <c r="K42" s="50"/>
      <c r="L42" s="50"/>
      <c r="M42" s="50"/>
    </row>
    <row r="43" spans="1:13" x14ac:dyDescent="0.25">
      <c r="A43" s="2" t="str">
        <f>B9&amp;B43</f>
        <v>ApacheLoss (gain) on derivative instruments, net</v>
      </c>
      <c r="B43" s="70" t="s">
        <v>466</v>
      </c>
      <c r="C43" s="107" t="s">
        <v>879</v>
      </c>
      <c r="D43" s="108"/>
      <c r="E43" s="83">
        <v>0</v>
      </c>
      <c r="F43" s="157">
        <f>E43</f>
        <v>0</v>
      </c>
      <c r="G43" s="157">
        <f t="shared" ref="G43:M43" si="18">F43</f>
        <v>0</v>
      </c>
      <c r="H43" s="157">
        <f t="shared" si="18"/>
        <v>0</v>
      </c>
      <c r="I43" s="157">
        <f t="shared" si="18"/>
        <v>0</v>
      </c>
      <c r="J43" s="157">
        <f t="shared" si="18"/>
        <v>0</v>
      </c>
      <c r="K43" s="157">
        <f t="shared" si="18"/>
        <v>0</v>
      </c>
      <c r="L43" s="157">
        <f t="shared" si="18"/>
        <v>0</v>
      </c>
      <c r="M43" s="157">
        <f t="shared" si="18"/>
        <v>0</v>
      </c>
    </row>
    <row r="44" spans="1:13" x14ac:dyDescent="0.25">
      <c r="A44" s="2" t="str">
        <f>B9&amp;B44</f>
        <v>ApacheInterest expense, net</v>
      </c>
      <c r="B44" s="70" t="s">
        <v>475</v>
      </c>
      <c r="C44" s="82" t="s">
        <v>526</v>
      </c>
      <c r="D44" s="108"/>
      <c r="E44" s="148">
        <f>430*1000/4</f>
        <v>107500</v>
      </c>
      <c r="F44" s="188">
        <f>$E73*(F78/E78)*(($E44/$E73)+IF($B$2="A3",(('Quarterly Forecasts'!$K$5-'Quarterly Forecasts'!$G$5)/400),(('Quarterly Forecasts'!$K$26-'Quarterly Forecasts'!$G$26)/400)))</f>
        <v>135830.17796350096</v>
      </c>
      <c r="G44" s="188">
        <f>$E73*(G78/F78)*(($E44/$E73)+IF($B$2="A3",(('Quarterly Forecasts'!$K$5-'Quarterly Forecasts'!$G$5)/400),(('Quarterly Forecasts'!$K$26-'Quarterly Forecasts'!$G$26)/400)))</f>
        <v>136743.85592499998</v>
      </c>
      <c r="H44" s="188">
        <f>$E73*(H78/G78)*(($E44/$E73)+IF($B$2="A3",(('Quarterly Forecasts'!$K$5-'Quarterly Forecasts'!$G$5)/400),(('Quarterly Forecasts'!$K$26-'Quarterly Forecasts'!$G$26)/400)))</f>
        <v>136743.85592499998</v>
      </c>
      <c r="I44" s="188">
        <f>$E73*(I78/H78)*(($E44/$E73)+IF($B$2="A3",(('Quarterly Forecasts'!$K$5-'Quarterly Forecasts'!$G$5)/400),(('Quarterly Forecasts'!$K$26-'Quarterly Forecasts'!$G$26)/400)))</f>
        <v>136743.85592499998</v>
      </c>
      <c r="J44" s="188">
        <f>$I73*(J78/I78)*(($I44/$I73)+ IF($B$2 = "A3", (('Quarterly Forecasts'!$O$5-'Quarterly Forecasts'!$K$5)/400),  (('Quarterly Forecasts'!$O$26-'Quarterly Forecasts'!$K$26)/400)))</f>
        <v>102722.65487942276</v>
      </c>
      <c r="K44" s="188">
        <f>$I73*(K78/J78)*(($I44/$I73)+ IF($B$2 = "A3", (('Quarterly Forecasts'!$O$5-'Quarterly Forecasts'!$K$5)/400),  (('Quarterly Forecasts'!$O$26-'Quarterly Forecasts'!$K$26)/400)))</f>
        <v>103209.21836249997</v>
      </c>
      <c r="L44" s="188">
        <f>$I73*(L78/K78)*(($I44/$I73)+ IF($B$2 = "A3", (('Quarterly Forecasts'!$O$5-'Quarterly Forecasts'!$K$5)/400),  (('Quarterly Forecasts'!$O$26-'Quarterly Forecasts'!$K$26)/400)))</f>
        <v>103209.21836249997</v>
      </c>
      <c r="M44" s="188">
        <f>$I73*(M78/L78)*(($I44/$I73)+ IF($B$2 = "A3", (('Quarterly Forecasts'!$O$5-'Quarterly Forecasts'!$K$5)/400),  (('Quarterly Forecasts'!$O$26-'Quarterly Forecasts'!$K$26)/400)))</f>
        <v>103209.21836249997</v>
      </c>
    </row>
    <row r="45" spans="1:13" x14ac:dyDescent="0.25">
      <c r="A45" s="2" t="str">
        <f>B9&amp;B45</f>
        <v>ApacheOther, net</v>
      </c>
      <c r="B45" s="70" t="s">
        <v>508</v>
      </c>
      <c r="C45" s="82" t="s">
        <v>509</v>
      </c>
      <c r="D45" s="108"/>
      <c r="E45" s="83">
        <f>(462-430)*1000/4</f>
        <v>8000</v>
      </c>
      <c r="F45" s="50">
        <f>E45</f>
        <v>8000</v>
      </c>
      <c r="G45" s="50">
        <f t="shared" ref="G45:M45" si="19">F45</f>
        <v>8000</v>
      </c>
      <c r="H45" s="50">
        <f t="shared" si="19"/>
        <v>8000</v>
      </c>
      <c r="I45" s="50">
        <f t="shared" si="19"/>
        <v>8000</v>
      </c>
      <c r="J45" s="50">
        <f t="shared" si="19"/>
        <v>8000</v>
      </c>
      <c r="K45" s="50">
        <f t="shared" si="19"/>
        <v>8000</v>
      </c>
      <c r="L45" s="50">
        <f t="shared" si="19"/>
        <v>8000</v>
      </c>
      <c r="M45" s="50">
        <f t="shared" si="19"/>
        <v>8000</v>
      </c>
    </row>
    <row r="46" spans="1:13" x14ac:dyDescent="0.25">
      <c r="A46" s="2" t="str">
        <f>B9&amp;B46</f>
        <v>ApacheTotal Other (Income) Expense</v>
      </c>
      <c r="B46" s="84" t="s">
        <v>518</v>
      </c>
      <c r="C46" s="84"/>
      <c r="D46" s="110"/>
      <c r="E46" s="63">
        <f>SUM(E43:E45)</f>
        <v>115500</v>
      </c>
      <c r="F46" s="62">
        <f t="shared" ref="F46:M46" si="20">SUM(F43:F45)</f>
        <v>143830.17796350096</v>
      </c>
      <c r="G46" s="62">
        <f t="shared" si="20"/>
        <v>144743.85592499998</v>
      </c>
      <c r="H46" s="62">
        <f t="shared" si="20"/>
        <v>144743.85592499998</v>
      </c>
      <c r="I46" s="62">
        <f t="shared" si="20"/>
        <v>144743.85592499998</v>
      </c>
      <c r="J46" s="62">
        <f t="shared" si="20"/>
        <v>110722.65487942276</v>
      </c>
      <c r="K46" s="62">
        <f t="shared" si="20"/>
        <v>111209.21836249997</v>
      </c>
      <c r="L46" s="62">
        <f t="shared" si="20"/>
        <v>111209.21836249997</v>
      </c>
      <c r="M46" s="62">
        <f t="shared" si="20"/>
        <v>111209.21836249997</v>
      </c>
    </row>
    <row r="47" spans="1:13" x14ac:dyDescent="0.25">
      <c r="A47" s="2" t="str">
        <f>B9&amp;B47</f>
        <v>ApacheIncome (loss) from continuing operations before income taxes</v>
      </c>
      <c r="B47" s="72" t="s">
        <v>476</v>
      </c>
      <c r="C47" s="72"/>
      <c r="D47" s="112"/>
      <c r="E47" s="63">
        <f>(E29-E41-E46)</f>
        <v>-752000</v>
      </c>
      <c r="F47" s="62">
        <f>F29-F41-F46</f>
        <v>-1034207.8931569789</v>
      </c>
      <c r="G47" s="62">
        <f>G29-G41-G46</f>
        <v>-1730858.7917698135</v>
      </c>
      <c r="H47" s="62">
        <f t="shared" ref="H47:M47" si="21">H29-H41-H46</f>
        <v>-1688428.518065776</v>
      </c>
      <c r="I47" s="62">
        <f t="shared" si="21"/>
        <v>-1645998.2443617389</v>
      </c>
      <c r="J47" s="62">
        <f t="shared" si="21"/>
        <v>-1503990.2047866762</v>
      </c>
      <c r="K47" s="62">
        <f t="shared" si="21"/>
        <v>-1467067.2111198641</v>
      </c>
      <c r="L47" s="62">
        <f t="shared" si="21"/>
        <v>-1429657.6539699747</v>
      </c>
      <c r="M47" s="62">
        <f t="shared" si="21"/>
        <v>-1429657.6539699747</v>
      </c>
    </row>
    <row r="48" spans="1:13" x14ac:dyDescent="0.25">
      <c r="A48" s="2" t="str">
        <f>B9&amp;B48</f>
        <v>ApacheIncome tax (benefit) expense</v>
      </c>
      <c r="B48" s="73" t="s">
        <v>477</v>
      </c>
      <c r="C48" s="73" t="s">
        <v>525</v>
      </c>
      <c r="D48" s="109">
        <f>-ABS(E48/E47)</f>
        <v>-0.22406914893617022</v>
      </c>
      <c r="E48" s="83">
        <f>(660+14)*1000/4</f>
        <v>168500</v>
      </c>
      <c r="F48" s="50">
        <f>$D48*F47</f>
        <v>231734.08244275392</v>
      </c>
      <c r="G48" s="50">
        <f t="shared" ref="G48:M48" si="22">$D48*G47</f>
        <v>387832.05640055001</v>
      </c>
      <c r="H48" s="50">
        <f t="shared" si="22"/>
        <v>378324.74108255754</v>
      </c>
      <c r="I48" s="50">
        <f t="shared" si="22"/>
        <v>368817.42576456518</v>
      </c>
      <c r="J48" s="50">
        <f t="shared" si="22"/>
        <v>336997.80519488693</v>
      </c>
      <c r="K48" s="50">
        <f t="shared" si="22"/>
        <v>328724.50142778869</v>
      </c>
      <c r="L48" s="50">
        <f t="shared" si="22"/>
        <v>320342.173795134</v>
      </c>
      <c r="M48" s="50">
        <f t="shared" si="22"/>
        <v>320342.173795134</v>
      </c>
    </row>
    <row r="49" spans="1:13" ht="11" thickBot="1" x14ac:dyDescent="0.3">
      <c r="A49" s="2" t="str">
        <f>B9&amp;B49</f>
        <v>ApacheNet (loss) Income</v>
      </c>
      <c r="B49" s="74" t="s">
        <v>478</v>
      </c>
      <c r="C49" s="74"/>
      <c r="D49" s="116"/>
      <c r="E49" s="86">
        <f>(E47-E48)</f>
        <v>-920500</v>
      </c>
      <c r="F49" s="34">
        <f t="shared" ref="F49:M49" si="23">F47-F48</f>
        <v>-1265941.9755997327</v>
      </c>
      <c r="G49" s="34">
        <f t="shared" si="23"/>
        <v>-2118690.8481703633</v>
      </c>
      <c r="H49" s="34">
        <f t="shared" si="23"/>
        <v>-2066753.2591483335</v>
      </c>
      <c r="I49" s="34">
        <f t="shared" si="23"/>
        <v>-2014815.670126304</v>
      </c>
      <c r="J49" s="34">
        <f t="shared" si="23"/>
        <v>-1840988.0099815631</v>
      </c>
      <c r="K49" s="34">
        <f t="shared" si="23"/>
        <v>-1795791.7125476529</v>
      </c>
      <c r="L49" s="34">
        <f t="shared" si="23"/>
        <v>-1749999.8277651088</v>
      </c>
      <c r="M49" s="34">
        <f t="shared" si="23"/>
        <v>-1749999.8277651088</v>
      </c>
    </row>
    <row r="50" spans="1:13" ht="11" thickTop="1" x14ac:dyDescent="0.25"/>
    <row r="51" spans="1:13" x14ac:dyDescent="0.25">
      <c r="A51" s="2" t="str">
        <f>B9&amp;B51</f>
        <v>ApacheCurrent Assets</v>
      </c>
      <c r="B51" s="64" t="s">
        <v>479</v>
      </c>
      <c r="C51" s="64"/>
      <c r="D51" s="111"/>
      <c r="E51" s="83"/>
      <c r="F51" s="50"/>
      <c r="G51" s="50"/>
      <c r="H51" s="50"/>
      <c r="I51" s="50"/>
      <c r="J51" s="50"/>
      <c r="K51" s="50"/>
      <c r="L51" s="50"/>
      <c r="M51" s="50"/>
    </row>
    <row r="52" spans="1:13" x14ac:dyDescent="0.25">
      <c r="A52" s="2" t="str">
        <f>B9&amp;B52</f>
        <v>ApacheCash and cash equivalents</v>
      </c>
      <c r="B52" s="70" t="s">
        <v>480</v>
      </c>
      <c r="C52" s="82" t="s">
        <v>538</v>
      </c>
      <c r="D52" s="140">
        <v>2406</v>
      </c>
      <c r="E52" s="83">
        <v>247000</v>
      </c>
      <c r="F52" s="50">
        <f>F49+E52</f>
        <v>-1018941.9755997327</v>
      </c>
      <c r="G52" s="50">
        <f>G49+F52</f>
        <v>-3137632.8237700961</v>
      </c>
      <c r="H52" s="50">
        <f t="shared" ref="H52:M52" si="24">H49+G52</f>
        <v>-5204386.0829184297</v>
      </c>
      <c r="I52" s="50">
        <f t="shared" si="24"/>
        <v>-7219201.7530447338</v>
      </c>
      <c r="J52" s="50">
        <f t="shared" si="24"/>
        <v>-9060189.7630262971</v>
      </c>
      <c r="K52" s="50">
        <f>K49+J52</f>
        <v>-10855981.47557395</v>
      </c>
      <c r="L52" s="50">
        <f t="shared" si="24"/>
        <v>-12605981.303339059</v>
      </c>
      <c r="M52" s="50">
        <f t="shared" si="24"/>
        <v>-14355981.131104168</v>
      </c>
    </row>
    <row r="53" spans="1:13" x14ac:dyDescent="0.25">
      <c r="A53" s="2" t="str">
        <f>B9&amp;B53</f>
        <v>ApacheAccounts receivable, net of allowance</v>
      </c>
      <c r="B53" s="70" t="s">
        <v>481</v>
      </c>
      <c r="C53" s="82"/>
      <c r="D53" s="108"/>
      <c r="E53" s="83"/>
      <c r="F53" s="50"/>
      <c r="G53" s="50"/>
      <c r="H53" s="50"/>
      <c r="I53" s="50"/>
      <c r="J53" s="50"/>
      <c r="K53" s="50"/>
      <c r="L53" s="50"/>
      <c r="M53" s="50"/>
    </row>
    <row r="54" spans="1:13" x14ac:dyDescent="0.25">
      <c r="A54" s="2" t="str">
        <f>B9&amp;B54</f>
        <v>ApacheOil and gas sales</v>
      </c>
      <c r="B54" s="75" t="s">
        <v>482</v>
      </c>
      <c r="C54" s="82" t="s">
        <v>539</v>
      </c>
      <c r="D54" s="133">
        <f>E54/$E$29</f>
        <v>0.66261113710809549</v>
      </c>
      <c r="E54" s="83">
        <v>1062000</v>
      </c>
      <c r="F54" s="50">
        <f>$D54*F$29</f>
        <v>760127.58942948771</v>
      </c>
      <c r="G54" s="50">
        <f t="shared" ref="G54:M58" si="25">$D54*G$29</f>
        <v>276819.36985918373</v>
      </c>
      <c r="H54" s="50">
        <f t="shared" si="25"/>
        <v>306179.58379297639</v>
      </c>
      <c r="I54" s="50">
        <f t="shared" si="25"/>
        <v>335539.79772676912</v>
      </c>
      <c r="J54" s="50">
        <f t="shared" si="25"/>
        <v>323302.67279648129</v>
      </c>
      <c r="K54" s="50">
        <f t="shared" si="25"/>
        <v>349210.47612083232</v>
      </c>
      <c r="L54" s="50">
        <f t="shared" si="25"/>
        <v>375118.27944518341</v>
      </c>
      <c r="M54" s="50">
        <f t="shared" si="25"/>
        <v>375118.27944518341</v>
      </c>
    </row>
    <row r="55" spans="1:13" x14ac:dyDescent="0.25">
      <c r="A55" s="2" t="str">
        <f>B9&amp;B55</f>
        <v>ApacheOther receivable</v>
      </c>
      <c r="B55" s="75" t="s">
        <v>569</v>
      </c>
      <c r="C55" s="82" t="s">
        <v>539</v>
      </c>
      <c r="D55" s="133">
        <f t="shared" ref="D55:D58" si="26">E55/$E$29</f>
        <v>0</v>
      </c>
      <c r="E55" s="83">
        <v>0</v>
      </c>
      <c r="F55" s="50">
        <f t="shared" ref="F55:F58" si="27">$D55*F$29</f>
        <v>0</v>
      </c>
      <c r="G55" s="50">
        <f t="shared" si="25"/>
        <v>0</v>
      </c>
      <c r="H55" s="50">
        <f t="shared" si="25"/>
        <v>0</v>
      </c>
      <c r="I55" s="50">
        <f t="shared" si="25"/>
        <v>0</v>
      </c>
      <c r="J55" s="50">
        <f t="shared" si="25"/>
        <v>0</v>
      </c>
      <c r="K55" s="50">
        <f t="shared" si="25"/>
        <v>0</v>
      </c>
      <c r="L55" s="50">
        <f t="shared" si="25"/>
        <v>0</v>
      </c>
      <c r="M55" s="50">
        <f t="shared" si="25"/>
        <v>0</v>
      </c>
    </row>
    <row r="56" spans="1:13" x14ac:dyDescent="0.25">
      <c r="A56" s="2" t="str">
        <f>B9&amp;B56</f>
        <v>ApacheInventory</v>
      </c>
      <c r="B56" s="70" t="s">
        <v>484</v>
      </c>
      <c r="C56" s="82" t="s">
        <v>539</v>
      </c>
      <c r="D56" s="133">
        <f t="shared" si="26"/>
        <v>0</v>
      </c>
      <c r="E56" s="83">
        <v>0</v>
      </c>
      <c r="F56" s="50">
        <f t="shared" si="27"/>
        <v>0</v>
      </c>
      <c r="G56" s="50">
        <f t="shared" si="25"/>
        <v>0</v>
      </c>
      <c r="H56" s="50">
        <f t="shared" si="25"/>
        <v>0</v>
      </c>
      <c r="I56" s="50">
        <f t="shared" si="25"/>
        <v>0</v>
      </c>
      <c r="J56" s="50">
        <f t="shared" si="25"/>
        <v>0</v>
      </c>
      <c r="K56" s="50">
        <f t="shared" si="25"/>
        <v>0</v>
      </c>
      <c r="L56" s="50">
        <f t="shared" si="25"/>
        <v>0</v>
      </c>
      <c r="M56" s="50">
        <f t="shared" si="25"/>
        <v>0</v>
      </c>
    </row>
    <row r="57" spans="1:13" x14ac:dyDescent="0.25">
      <c r="A57" s="2" t="str">
        <f>B9&amp;B57</f>
        <v>ApacheDerivative instruments current assets</v>
      </c>
      <c r="B57" s="70" t="s">
        <v>813</v>
      </c>
      <c r="C57" s="107" t="s">
        <v>507</v>
      </c>
      <c r="D57" s="133">
        <f t="shared" si="26"/>
        <v>0</v>
      </c>
      <c r="E57" s="83">
        <v>0</v>
      </c>
      <c r="F57" s="138"/>
      <c r="G57" s="138"/>
      <c r="H57" s="138"/>
      <c r="I57" s="138"/>
      <c r="J57" s="138"/>
      <c r="K57" s="138"/>
      <c r="L57" s="138"/>
      <c r="M57" s="138"/>
    </row>
    <row r="58" spans="1:13" x14ac:dyDescent="0.25">
      <c r="A58" s="2" t="str">
        <f>B9&amp;B58</f>
        <v>ApachePrepaid expenses</v>
      </c>
      <c r="B58" s="70" t="s">
        <v>486</v>
      </c>
      <c r="C58" s="82" t="s">
        <v>509</v>
      </c>
      <c r="D58" s="133">
        <f t="shared" si="26"/>
        <v>0</v>
      </c>
      <c r="E58" s="83">
        <v>0</v>
      </c>
      <c r="F58" s="50">
        <f t="shared" si="27"/>
        <v>0</v>
      </c>
      <c r="G58" s="50">
        <f t="shared" si="25"/>
        <v>0</v>
      </c>
      <c r="H58" s="50">
        <f t="shared" si="25"/>
        <v>0</v>
      </c>
      <c r="I58" s="50">
        <f t="shared" si="25"/>
        <v>0</v>
      </c>
      <c r="J58" s="50">
        <f t="shared" si="25"/>
        <v>0</v>
      </c>
      <c r="K58" s="50">
        <f t="shared" si="25"/>
        <v>0</v>
      </c>
      <c r="L58" s="50">
        <f t="shared" si="25"/>
        <v>0</v>
      </c>
      <c r="M58" s="50">
        <f t="shared" si="25"/>
        <v>0</v>
      </c>
    </row>
    <row r="59" spans="1:13" x14ac:dyDescent="0.25">
      <c r="A59" s="2" t="str">
        <f>B9&amp;B59</f>
        <v>ApacheOther current assets</v>
      </c>
      <c r="B59" s="70" t="s">
        <v>568</v>
      </c>
      <c r="C59" s="82" t="s">
        <v>509</v>
      </c>
      <c r="D59" s="108"/>
      <c r="E59" s="83">
        <v>652000</v>
      </c>
      <c r="F59" s="50">
        <f>E59</f>
        <v>652000</v>
      </c>
      <c r="G59" s="50">
        <f t="shared" ref="G59:M59" si="28">F59</f>
        <v>652000</v>
      </c>
      <c r="H59" s="50">
        <f t="shared" si="28"/>
        <v>652000</v>
      </c>
      <c r="I59" s="50">
        <f t="shared" si="28"/>
        <v>652000</v>
      </c>
      <c r="J59" s="50">
        <f t="shared" si="28"/>
        <v>652000</v>
      </c>
      <c r="K59" s="50">
        <f t="shared" si="28"/>
        <v>652000</v>
      </c>
      <c r="L59" s="50">
        <f t="shared" si="28"/>
        <v>652000</v>
      </c>
      <c r="M59" s="50">
        <f t="shared" si="28"/>
        <v>652000</v>
      </c>
    </row>
    <row r="60" spans="1:13" x14ac:dyDescent="0.25">
      <c r="A60" s="2" t="str">
        <f>B9&amp;B60</f>
        <v>ApacheTotal current assets</v>
      </c>
      <c r="B60" s="76" t="s">
        <v>487</v>
      </c>
      <c r="C60" s="87"/>
      <c r="D60" s="111"/>
      <c r="E60" s="63">
        <f>SUM(E52:E59)</f>
        <v>1961000</v>
      </c>
      <c r="F60" s="62">
        <f>SUM(F52:F59)</f>
        <v>393185.61382975499</v>
      </c>
      <c r="G60" s="62">
        <f t="shared" ref="G60:M60" si="29">SUM(G52:G59)</f>
        <v>-2208813.4539109124</v>
      </c>
      <c r="H60" s="62">
        <f t="shared" si="29"/>
        <v>-4246206.4991254536</v>
      </c>
      <c r="I60" s="62">
        <f t="shared" si="29"/>
        <v>-6231661.9553179648</v>
      </c>
      <c r="J60" s="62">
        <f t="shared" si="29"/>
        <v>-8084887.0902298167</v>
      </c>
      <c r="K60" s="62">
        <f t="shared" si="29"/>
        <v>-9854770.9994531181</v>
      </c>
      <c r="L60" s="62">
        <f t="shared" si="29"/>
        <v>-11578863.023893876</v>
      </c>
      <c r="M60" s="62">
        <f t="shared" si="29"/>
        <v>-13328862.851658985</v>
      </c>
    </row>
    <row r="61" spans="1:13" x14ac:dyDescent="0.25">
      <c r="A61" s="2" t="str">
        <f>B9&amp;B61</f>
        <v>ApacheProperty and equipment, net</v>
      </c>
      <c r="B61" s="72" t="s">
        <v>488</v>
      </c>
      <c r="C61" s="73" t="s">
        <v>509</v>
      </c>
      <c r="D61" s="112"/>
      <c r="E61" s="83">
        <f>(14158)*1000</f>
        <v>14158000</v>
      </c>
      <c r="F61" s="50">
        <f>E61</f>
        <v>14158000</v>
      </c>
      <c r="G61" s="50">
        <f t="shared" ref="G61:M61" si="30">F61</f>
        <v>14158000</v>
      </c>
      <c r="H61" s="50">
        <f t="shared" si="30"/>
        <v>14158000</v>
      </c>
      <c r="I61" s="50">
        <f t="shared" si="30"/>
        <v>14158000</v>
      </c>
      <c r="J61" s="50">
        <f t="shared" si="30"/>
        <v>14158000</v>
      </c>
      <c r="K61" s="50">
        <f t="shared" si="30"/>
        <v>14158000</v>
      </c>
      <c r="L61" s="50">
        <f t="shared" si="30"/>
        <v>14158000</v>
      </c>
      <c r="M61" s="50">
        <f t="shared" si="30"/>
        <v>14158000</v>
      </c>
    </row>
    <row r="62" spans="1:13" x14ac:dyDescent="0.25">
      <c r="A62" s="2" t="str">
        <f>B9&amp;B62</f>
        <v>ApacheDerivative instruments total assets</v>
      </c>
      <c r="B62" s="73" t="s">
        <v>814</v>
      </c>
      <c r="C62" s="95" t="s">
        <v>507</v>
      </c>
      <c r="D62" s="108"/>
      <c r="E62" s="83">
        <v>0</v>
      </c>
      <c r="F62" s="138"/>
      <c r="G62" s="138"/>
      <c r="H62" s="138"/>
      <c r="I62" s="138"/>
      <c r="J62" s="138"/>
      <c r="K62" s="138"/>
      <c r="L62" s="138"/>
      <c r="M62" s="138"/>
    </row>
    <row r="63" spans="1:13" x14ac:dyDescent="0.25">
      <c r="A63" s="2" t="str">
        <f>B9&amp;B63</f>
        <v>ApacheDeferred income taxes assets</v>
      </c>
      <c r="B63" s="73" t="s">
        <v>815</v>
      </c>
      <c r="C63" s="73" t="s">
        <v>509</v>
      </c>
      <c r="D63" s="108"/>
      <c r="E63" s="83">
        <f>730*1000</f>
        <v>730000</v>
      </c>
      <c r="F63" s="50">
        <f>E63</f>
        <v>730000</v>
      </c>
      <c r="G63" s="50">
        <f t="shared" ref="G63:M65" si="31">F63</f>
        <v>730000</v>
      </c>
      <c r="H63" s="50">
        <f t="shared" si="31"/>
        <v>730000</v>
      </c>
      <c r="I63" s="50">
        <f t="shared" si="31"/>
        <v>730000</v>
      </c>
      <c r="J63" s="50">
        <f t="shared" si="31"/>
        <v>730000</v>
      </c>
      <c r="K63" s="50">
        <f t="shared" si="31"/>
        <v>730000</v>
      </c>
      <c r="L63" s="50">
        <f t="shared" si="31"/>
        <v>730000</v>
      </c>
      <c r="M63" s="50">
        <f t="shared" si="31"/>
        <v>730000</v>
      </c>
    </row>
    <row r="64" spans="1:13" x14ac:dyDescent="0.25">
      <c r="A64" s="2" t="str">
        <f>B9&amp;B64</f>
        <v>ApacheGoodwill</v>
      </c>
      <c r="B64" s="73" t="s">
        <v>490</v>
      </c>
      <c r="C64" s="73" t="s">
        <v>509</v>
      </c>
      <c r="D64" s="108"/>
      <c r="E64" s="83">
        <v>0</v>
      </c>
      <c r="F64" s="50">
        <f>E64</f>
        <v>0</v>
      </c>
      <c r="G64" s="50">
        <f t="shared" si="31"/>
        <v>0</v>
      </c>
      <c r="H64" s="50">
        <f t="shared" si="31"/>
        <v>0</v>
      </c>
      <c r="I64" s="50">
        <f t="shared" si="31"/>
        <v>0</v>
      </c>
      <c r="J64" s="50">
        <f t="shared" si="31"/>
        <v>0</v>
      </c>
      <c r="K64" s="50">
        <f t="shared" si="31"/>
        <v>0</v>
      </c>
      <c r="L64" s="50">
        <f t="shared" si="31"/>
        <v>0</v>
      </c>
      <c r="M64" s="50">
        <f t="shared" si="31"/>
        <v>0</v>
      </c>
    </row>
    <row r="65" spans="1:13" x14ac:dyDescent="0.25">
      <c r="A65" s="2" t="str">
        <f>B9&amp;B65</f>
        <v>ApacheOther assets</v>
      </c>
      <c r="B65" s="77" t="s">
        <v>491</v>
      </c>
      <c r="C65" s="77" t="s">
        <v>509</v>
      </c>
      <c r="D65" s="114"/>
      <c r="E65" s="83">
        <f>1258*1000</f>
        <v>1258000</v>
      </c>
      <c r="F65" s="50">
        <f>E65</f>
        <v>1258000</v>
      </c>
      <c r="G65" s="50">
        <f t="shared" si="31"/>
        <v>1258000</v>
      </c>
      <c r="H65" s="50">
        <f t="shared" si="31"/>
        <v>1258000</v>
      </c>
      <c r="I65" s="50">
        <f t="shared" si="31"/>
        <v>1258000</v>
      </c>
      <c r="J65" s="50">
        <f t="shared" si="31"/>
        <v>1258000</v>
      </c>
      <c r="K65" s="50">
        <f t="shared" si="31"/>
        <v>1258000</v>
      </c>
      <c r="L65" s="50">
        <f t="shared" si="31"/>
        <v>1258000</v>
      </c>
      <c r="M65" s="50">
        <f t="shared" si="31"/>
        <v>1258000</v>
      </c>
    </row>
    <row r="66" spans="1:13" x14ac:dyDescent="0.25">
      <c r="A66" s="2" t="str">
        <f>B9&amp;B66</f>
        <v>ApacheTotal assets</v>
      </c>
      <c r="B66" s="78" t="s">
        <v>492</v>
      </c>
      <c r="C66" s="88"/>
      <c r="D66" s="112"/>
      <c r="E66" s="63">
        <f t="shared" ref="E66:M66" si="32">SUM(E60:E65)</f>
        <v>18107000</v>
      </c>
      <c r="F66" s="62">
        <f t="shared" si="32"/>
        <v>16539185.613829754</v>
      </c>
      <c r="G66" s="62">
        <f t="shared" si="32"/>
        <v>13937186.546089087</v>
      </c>
      <c r="H66" s="62">
        <f t="shared" si="32"/>
        <v>11899793.500874545</v>
      </c>
      <c r="I66" s="62">
        <f t="shared" si="32"/>
        <v>9914338.0446820352</v>
      </c>
      <c r="J66" s="62">
        <f t="shared" si="32"/>
        <v>8061112.9097701833</v>
      </c>
      <c r="K66" s="62">
        <f t="shared" si="32"/>
        <v>6291229.0005468819</v>
      </c>
      <c r="L66" s="62">
        <f t="shared" si="32"/>
        <v>4567136.976106124</v>
      </c>
      <c r="M66" s="62">
        <f t="shared" si="32"/>
        <v>2817137.148341015</v>
      </c>
    </row>
    <row r="67" spans="1:13" x14ac:dyDescent="0.25">
      <c r="A67" s="2" t="str">
        <f>B9&amp;B67</f>
        <v>ApacheCurrent liabilities</v>
      </c>
      <c r="B67" s="72" t="s">
        <v>498</v>
      </c>
      <c r="C67" s="72"/>
      <c r="D67" s="112"/>
      <c r="E67" s="83"/>
      <c r="F67" s="50"/>
      <c r="G67" s="50"/>
      <c r="H67" s="50"/>
      <c r="I67" s="50"/>
      <c r="J67" s="50"/>
      <c r="K67" s="50"/>
      <c r="L67" s="50"/>
      <c r="M67" s="50"/>
    </row>
    <row r="68" spans="1:13" x14ac:dyDescent="0.25">
      <c r="A68" s="2" t="str">
        <f>B9&amp;B68</f>
        <v>ApacheAccounts payable</v>
      </c>
      <c r="B68" s="70" t="s">
        <v>493</v>
      </c>
      <c r="C68" s="82" t="s">
        <v>539</v>
      </c>
      <c r="D68" s="108">
        <f>E68/E24</f>
        <v>16.07555898226677</v>
      </c>
      <c r="E68" s="83">
        <f>695000</f>
        <v>695000</v>
      </c>
      <c r="F68" s="50">
        <f>$D68*F24</f>
        <v>607556.92329828604</v>
      </c>
      <c r="G68" s="50">
        <f t="shared" ref="G68:M68" si="33">$D68*G24</f>
        <v>607556.92329828604</v>
      </c>
      <c r="H68" s="50">
        <f t="shared" si="33"/>
        <v>607556.92329828604</v>
      </c>
      <c r="I68" s="50">
        <f t="shared" si="33"/>
        <v>607556.92329828604</v>
      </c>
      <c r="J68" s="50">
        <f t="shared" si="33"/>
        <v>546272.57490951219</v>
      </c>
      <c r="K68" s="50">
        <f t="shared" si="33"/>
        <v>546272.57490951219</v>
      </c>
      <c r="L68" s="50">
        <f t="shared" si="33"/>
        <v>546272.57490951219</v>
      </c>
      <c r="M68" s="50">
        <f t="shared" si="33"/>
        <v>546272.57490951219</v>
      </c>
    </row>
    <row r="69" spans="1:13" x14ac:dyDescent="0.25">
      <c r="A69" s="2" t="str">
        <f>B9&amp;B69</f>
        <v>ApacheAccrued liabilities</v>
      </c>
      <c r="B69" s="70" t="s">
        <v>510</v>
      </c>
      <c r="C69" s="82" t="s">
        <v>507</v>
      </c>
      <c r="D69" s="108"/>
      <c r="E69" s="83">
        <f>(11)*1000</f>
        <v>11000</v>
      </c>
      <c r="F69" s="50">
        <f>E69</f>
        <v>11000</v>
      </c>
      <c r="G69" s="50">
        <f t="shared" ref="G69:M69" si="34">F69</f>
        <v>11000</v>
      </c>
      <c r="H69" s="50">
        <f t="shared" si="34"/>
        <v>11000</v>
      </c>
      <c r="I69" s="50">
        <f t="shared" si="34"/>
        <v>11000</v>
      </c>
      <c r="J69" s="50">
        <f t="shared" si="34"/>
        <v>11000</v>
      </c>
      <c r="K69" s="50">
        <f t="shared" si="34"/>
        <v>11000</v>
      </c>
      <c r="L69" s="50">
        <f t="shared" si="34"/>
        <v>11000</v>
      </c>
      <c r="M69" s="50">
        <f t="shared" si="34"/>
        <v>11000</v>
      </c>
    </row>
    <row r="70" spans="1:13" x14ac:dyDescent="0.25">
      <c r="A70" s="2" t="str">
        <f>B9&amp;B70</f>
        <v>ApacheDerivative instruments current liabilities</v>
      </c>
      <c r="B70" s="70" t="s">
        <v>812</v>
      </c>
      <c r="C70" s="107" t="s">
        <v>507</v>
      </c>
      <c r="D70" s="108"/>
      <c r="E70" s="83">
        <v>0</v>
      </c>
      <c r="F70" s="138"/>
      <c r="G70" s="138"/>
      <c r="H70" s="138"/>
      <c r="I70" s="138"/>
      <c r="J70" s="138"/>
      <c r="K70" s="138"/>
      <c r="L70" s="138"/>
      <c r="M70" s="138"/>
    </row>
    <row r="71" spans="1:13" x14ac:dyDescent="0.25">
      <c r="A71" s="2" t="str">
        <f>B9&amp;B71</f>
        <v>ApacheOther current liabilities</v>
      </c>
      <c r="B71" s="70" t="s">
        <v>494</v>
      </c>
      <c r="C71" s="82" t="s">
        <v>509</v>
      </c>
      <c r="D71" s="108"/>
      <c r="E71" s="83">
        <v>1149000</v>
      </c>
      <c r="F71" s="50">
        <f>E71</f>
        <v>1149000</v>
      </c>
      <c r="G71" s="50">
        <f t="shared" ref="G71:M71" si="35">F71</f>
        <v>1149000</v>
      </c>
      <c r="H71" s="50">
        <f t="shared" si="35"/>
        <v>1149000</v>
      </c>
      <c r="I71" s="50">
        <f t="shared" si="35"/>
        <v>1149000</v>
      </c>
      <c r="J71" s="50">
        <f t="shared" si="35"/>
        <v>1149000</v>
      </c>
      <c r="K71" s="50">
        <f t="shared" si="35"/>
        <v>1149000</v>
      </c>
      <c r="L71" s="50">
        <f t="shared" si="35"/>
        <v>1149000</v>
      </c>
      <c r="M71" s="50">
        <f t="shared" si="35"/>
        <v>1149000</v>
      </c>
    </row>
    <row r="72" spans="1:13" x14ac:dyDescent="0.25">
      <c r="A72" s="2" t="str">
        <f>B9&amp;B72</f>
        <v>ApacheTotal current liabilities</v>
      </c>
      <c r="B72" s="76" t="s">
        <v>497</v>
      </c>
      <c r="C72" s="87"/>
      <c r="D72" s="111"/>
      <c r="E72" s="63">
        <f>SUM(E68:E71)</f>
        <v>1855000</v>
      </c>
      <c r="F72" s="62">
        <f t="shared" ref="F72:M72" si="36">SUM(F68:F71)</f>
        <v>1767556.923298286</v>
      </c>
      <c r="G72" s="62">
        <f>SUM(G68:G71)</f>
        <v>1767556.923298286</v>
      </c>
      <c r="H72" s="62">
        <f t="shared" si="36"/>
        <v>1767556.923298286</v>
      </c>
      <c r="I72" s="62">
        <f t="shared" si="36"/>
        <v>1767556.923298286</v>
      </c>
      <c r="J72" s="62">
        <f t="shared" si="36"/>
        <v>1706272.5749095122</v>
      </c>
      <c r="K72" s="62">
        <f t="shared" si="36"/>
        <v>1706272.5749095122</v>
      </c>
      <c r="L72" s="62">
        <f t="shared" si="36"/>
        <v>1706272.5749095122</v>
      </c>
      <c r="M72" s="62">
        <f t="shared" si="36"/>
        <v>1706272.5749095122</v>
      </c>
    </row>
    <row r="73" spans="1:13" x14ac:dyDescent="0.25">
      <c r="A73" s="2" t="str">
        <f>B9&amp;B73</f>
        <v>ApacheLong-term debt, net</v>
      </c>
      <c r="B73" s="73" t="s">
        <v>511</v>
      </c>
      <c r="C73" s="73" t="s">
        <v>509</v>
      </c>
      <c r="D73" s="108"/>
      <c r="E73" s="83">
        <v>8555000</v>
      </c>
      <c r="F73" s="50">
        <f t="shared" ref="F73:M74" si="37">E73</f>
        <v>8555000</v>
      </c>
      <c r="G73" s="50">
        <f t="shared" si="37"/>
        <v>8555000</v>
      </c>
      <c r="H73" s="50">
        <f t="shared" si="37"/>
        <v>8555000</v>
      </c>
      <c r="I73" s="50">
        <f t="shared" si="37"/>
        <v>8555000</v>
      </c>
      <c r="J73" s="50">
        <f t="shared" si="37"/>
        <v>8555000</v>
      </c>
      <c r="K73" s="50">
        <f t="shared" si="37"/>
        <v>8555000</v>
      </c>
      <c r="L73" s="50">
        <f t="shared" si="37"/>
        <v>8555000</v>
      </c>
      <c r="M73" s="50">
        <f t="shared" si="37"/>
        <v>8555000</v>
      </c>
    </row>
    <row r="74" spans="1:13" x14ac:dyDescent="0.25">
      <c r="A74" s="2" t="str">
        <f>B9&amp;B74</f>
        <v>ApacheAsset retirement obligations</v>
      </c>
      <c r="B74" s="73" t="s">
        <v>495</v>
      </c>
      <c r="C74" s="73" t="s">
        <v>509</v>
      </c>
      <c r="D74" s="108"/>
      <c r="E74" s="83">
        <v>1811000</v>
      </c>
      <c r="F74" s="50">
        <f>E74</f>
        <v>1811000</v>
      </c>
      <c r="G74" s="50">
        <f t="shared" si="37"/>
        <v>1811000</v>
      </c>
      <c r="H74" s="50">
        <f t="shared" si="37"/>
        <v>1811000</v>
      </c>
      <c r="I74" s="50">
        <f t="shared" si="37"/>
        <v>1811000</v>
      </c>
      <c r="J74" s="50">
        <f t="shared" si="37"/>
        <v>1811000</v>
      </c>
      <c r="K74" s="50">
        <f t="shared" si="37"/>
        <v>1811000</v>
      </c>
      <c r="L74" s="50">
        <f t="shared" si="37"/>
        <v>1811000</v>
      </c>
      <c r="M74" s="50">
        <f t="shared" si="37"/>
        <v>1811000</v>
      </c>
    </row>
    <row r="75" spans="1:13" x14ac:dyDescent="0.25">
      <c r="A75" s="2" t="str">
        <f>B9&amp;B75</f>
        <v>ApacheDerivative instruments liabilities</v>
      </c>
      <c r="B75" s="73" t="s">
        <v>811</v>
      </c>
      <c r="C75" s="95" t="s">
        <v>507</v>
      </c>
      <c r="D75" s="108"/>
      <c r="E75" s="83">
        <v>0</v>
      </c>
      <c r="F75" s="138"/>
      <c r="G75" s="138"/>
      <c r="H75" s="138"/>
      <c r="I75" s="138"/>
      <c r="J75" s="138"/>
      <c r="K75" s="138"/>
      <c r="L75" s="138"/>
      <c r="M75" s="138"/>
    </row>
    <row r="76" spans="1:13" x14ac:dyDescent="0.25">
      <c r="A76" s="2" t="str">
        <f>B9&amp;B76</f>
        <v>ApacheDeferred income taxes liabilities</v>
      </c>
      <c r="B76" s="73" t="s">
        <v>810</v>
      </c>
      <c r="C76" s="73" t="s">
        <v>509</v>
      </c>
      <c r="D76" s="108"/>
      <c r="E76" s="83">
        <v>346000</v>
      </c>
      <c r="F76" s="50">
        <f>E76</f>
        <v>346000</v>
      </c>
      <c r="G76" s="50">
        <f t="shared" ref="G76:M77" si="38">F76</f>
        <v>346000</v>
      </c>
      <c r="H76" s="50">
        <f t="shared" si="38"/>
        <v>346000</v>
      </c>
      <c r="I76" s="50">
        <f t="shared" si="38"/>
        <v>346000</v>
      </c>
      <c r="J76" s="50">
        <f t="shared" si="38"/>
        <v>346000</v>
      </c>
      <c r="K76" s="50">
        <f t="shared" si="38"/>
        <v>346000</v>
      </c>
      <c r="L76" s="50">
        <f t="shared" si="38"/>
        <v>346000</v>
      </c>
      <c r="M76" s="50">
        <f t="shared" si="38"/>
        <v>346000</v>
      </c>
    </row>
    <row r="77" spans="1:13" x14ac:dyDescent="0.25">
      <c r="A77" s="2" t="str">
        <f>B9&amp;B77</f>
        <v>ApacheOther long-term liabilities</v>
      </c>
      <c r="B77" s="73" t="s">
        <v>496</v>
      </c>
      <c r="C77" s="73" t="s">
        <v>509</v>
      </c>
      <c r="D77" s="108"/>
      <c r="E77" s="83">
        <v>520000</v>
      </c>
      <c r="F77" s="50">
        <f>E77</f>
        <v>520000</v>
      </c>
      <c r="G77" s="50">
        <f t="shared" si="38"/>
        <v>520000</v>
      </c>
      <c r="H77" s="50">
        <f t="shared" si="38"/>
        <v>520000</v>
      </c>
      <c r="I77" s="50">
        <f t="shared" si="38"/>
        <v>520000</v>
      </c>
      <c r="J77" s="50">
        <f t="shared" si="38"/>
        <v>520000</v>
      </c>
      <c r="K77" s="50">
        <f t="shared" si="38"/>
        <v>520000</v>
      </c>
      <c r="L77" s="50">
        <f t="shared" si="38"/>
        <v>520000</v>
      </c>
      <c r="M77" s="50">
        <f t="shared" si="38"/>
        <v>520000</v>
      </c>
    </row>
    <row r="78" spans="1:13" ht="11" thickBot="1" x14ac:dyDescent="0.3">
      <c r="A78" s="2" t="str">
        <f>B9&amp;B78</f>
        <v>ApacheTotal liabilities</v>
      </c>
      <c r="B78" s="79" t="s">
        <v>499</v>
      </c>
      <c r="C78" s="79"/>
      <c r="D78" s="123"/>
      <c r="E78" s="86">
        <f>SUM(E72:E77)</f>
        <v>13087000</v>
      </c>
      <c r="F78" s="34">
        <f t="shared" ref="F78:M78" si="39">SUM(F72:F77)</f>
        <v>12999556.923298286</v>
      </c>
      <c r="G78" s="34">
        <f t="shared" si="39"/>
        <v>12999556.923298286</v>
      </c>
      <c r="H78" s="34">
        <f t="shared" si="39"/>
        <v>12999556.923298286</v>
      </c>
      <c r="I78" s="34">
        <f t="shared" si="39"/>
        <v>12999556.923298286</v>
      </c>
      <c r="J78" s="34">
        <f t="shared" si="39"/>
        <v>12938272.574909512</v>
      </c>
      <c r="K78" s="34">
        <f t="shared" si="39"/>
        <v>12938272.574909512</v>
      </c>
      <c r="L78" s="34">
        <f t="shared" si="39"/>
        <v>12938272.574909512</v>
      </c>
      <c r="M78" s="34">
        <f t="shared" si="39"/>
        <v>12938272.574909512</v>
      </c>
    </row>
    <row r="79" spans="1:13" ht="11" thickTop="1" x14ac:dyDescent="0.25"/>
    <row r="80" spans="1:13" x14ac:dyDescent="0.25">
      <c r="A80" s="2" t="str">
        <f>B9&amp;B80</f>
        <v>ApacheNet (loss) Income cashflow</v>
      </c>
      <c r="B80" s="80" t="s">
        <v>572</v>
      </c>
      <c r="C80" s="135" t="s">
        <v>540</v>
      </c>
      <c r="D80" s="117"/>
      <c r="E80" s="83">
        <f t="shared" ref="E80:M80" si="40">E49</f>
        <v>-920500</v>
      </c>
      <c r="F80" s="50">
        <f t="shared" si="40"/>
        <v>-1265941.9755997327</v>
      </c>
      <c r="G80" s="50">
        <f t="shared" si="40"/>
        <v>-2118690.8481703633</v>
      </c>
      <c r="H80" s="50">
        <f t="shared" si="40"/>
        <v>-2066753.2591483335</v>
      </c>
      <c r="I80" s="50">
        <f t="shared" si="40"/>
        <v>-2014815.670126304</v>
      </c>
      <c r="J80" s="50">
        <f t="shared" si="40"/>
        <v>-1840988.0099815631</v>
      </c>
      <c r="K80" s="50">
        <f t="shared" si="40"/>
        <v>-1795791.7125476529</v>
      </c>
      <c r="L80" s="50">
        <f t="shared" si="40"/>
        <v>-1749999.8277651088</v>
      </c>
      <c r="M80" s="50">
        <f t="shared" si="40"/>
        <v>-1749999.8277651088</v>
      </c>
    </row>
    <row r="81" spans="1:13" x14ac:dyDescent="0.25">
      <c r="A81" s="2" t="str">
        <f>B9&amp;B81</f>
        <v>ApacheChange in Net working capital</v>
      </c>
      <c r="B81" s="68" t="s">
        <v>500</v>
      </c>
      <c r="C81" s="136" t="s">
        <v>565</v>
      </c>
      <c r="D81" s="118"/>
      <c r="E81" s="145">
        <f>(133-41-21+51-5-84-36)*1000/4</f>
        <v>-750</v>
      </c>
      <c r="F81" s="145">
        <f>(F60-F72)-(E60-E72)</f>
        <v>-1480371.309468531</v>
      </c>
      <c r="G81" s="50">
        <f t="shared" ref="G81:M81" si="41">(G60-G72)-(F60-F72)</f>
        <v>-2601999.0677406676</v>
      </c>
      <c r="H81" s="50">
        <f t="shared" si="41"/>
        <v>-2037393.0452145413</v>
      </c>
      <c r="I81" s="50">
        <f t="shared" si="41"/>
        <v>-1985455.4561925111</v>
      </c>
      <c r="J81" s="50">
        <f t="shared" si="41"/>
        <v>-1791940.7865230776</v>
      </c>
      <c r="K81" s="50">
        <f t="shared" si="41"/>
        <v>-1769883.9092233013</v>
      </c>
      <c r="L81" s="50">
        <f t="shared" si="41"/>
        <v>-1724092.0244407579</v>
      </c>
      <c r="M81" s="50">
        <f t="shared" si="41"/>
        <v>-1749999.827765109</v>
      </c>
    </row>
    <row r="82" spans="1:13" x14ac:dyDescent="0.25">
      <c r="A82" s="2" t="str">
        <f>B9&amp;B82</f>
        <v>ApacheDD&amp;A cashflow</v>
      </c>
      <c r="B82" s="68" t="s">
        <v>816</v>
      </c>
      <c r="C82" s="136" t="s">
        <v>566</v>
      </c>
      <c r="D82" s="118"/>
      <c r="E82" s="83">
        <f t="shared" ref="E82" si="42">E32</f>
        <v>670000</v>
      </c>
      <c r="F82" s="50">
        <f>$E$82*F$32/$E$32</f>
        <v>585702.35771201667</v>
      </c>
      <c r="G82" s="50">
        <f t="shared" ref="G82:M82" si="43">$E$82*G$32/$E$32</f>
        <v>585702.35771201667</v>
      </c>
      <c r="H82" s="50">
        <f t="shared" si="43"/>
        <v>585702.35771201667</v>
      </c>
      <c r="I82" s="50">
        <f t="shared" si="43"/>
        <v>585702.35771201667</v>
      </c>
      <c r="J82" s="50">
        <f t="shared" si="43"/>
        <v>526622.4822868678</v>
      </c>
      <c r="K82" s="50">
        <f t="shared" si="43"/>
        <v>526622.4822868678</v>
      </c>
      <c r="L82" s="50">
        <f t="shared" si="43"/>
        <v>526622.4822868678</v>
      </c>
      <c r="M82" s="50">
        <f t="shared" si="43"/>
        <v>526622.4822868678</v>
      </c>
    </row>
    <row r="83" spans="1:13" x14ac:dyDescent="0.25">
      <c r="A83" s="2" t="str">
        <f>B9&amp;B83</f>
        <v>ApacheImpairment cashflow</v>
      </c>
      <c r="B83" s="68" t="s">
        <v>571</v>
      </c>
      <c r="C83" s="136" t="s">
        <v>566</v>
      </c>
      <c r="D83" s="118"/>
      <c r="E83" s="83">
        <f t="shared" ref="E83" si="44">E31</f>
        <v>737250</v>
      </c>
      <c r="F83" s="50">
        <f>$E$83*F$31/$E$31</f>
        <v>737250</v>
      </c>
      <c r="G83" s="50">
        <f t="shared" ref="G83:M83" si="45">$E$83*G$31/$E$31</f>
        <v>737250</v>
      </c>
      <c r="H83" s="50">
        <f t="shared" si="45"/>
        <v>737250</v>
      </c>
      <c r="I83" s="50">
        <f t="shared" si="45"/>
        <v>737250</v>
      </c>
      <c r="J83" s="50">
        <f t="shared" si="45"/>
        <v>737250</v>
      </c>
      <c r="K83" s="50">
        <f t="shared" si="45"/>
        <v>737250</v>
      </c>
      <c r="L83" s="50">
        <f t="shared" si="45"/>
        <v>737250</v>
      </c>
      <c r="M83" s="50">
        <f t="shared" si="45"/>
        <v>737250</v>
      </c>
    </row>
    <row r="84" spans="1:13" x14ac:dyDescent="0.25">
      <c r="A84" s="2" t="str">
        <f>B9&amp;B84</f>
        <v>ApacheOther non-cash items</v>
      </c>
      <c r="B84" s="68" t="s">
        <v>501</v>
      </c>
      <c r="C84" s="136" t="s">
        <v>880</v>
      </c>
      <c r="D84" s="149"/>
      <c r="E84" s="83">
        <f>(-43+107+14+75+94)*1000/4</f>
        <v>61750</v>
      </c>
      <c r="F84" s="50">
        <f>$E$84+F34-$E$34</f>
        <v>61750</v>
      </c>
      <c r="G84" s="50">
        <f t="shared" ref="G84:M84" si="46">$E$84+G34-$E$34</f>
        <v>61750</v>
      </c>
      <c r="H84" s="50">
        <f t="shared" si="46"/>
        <v>61750</v>
      </c>
      <c r="I84" s="50">
        <f t="shared" si="46"/>
        <v>61750</v>
      </c>
      <c r="J84" s="50">
        <f t="shared" si="46"/>
        <v>61750</v>
      </c>
      <c r="K84" s="50">
        <f t="shared" si="46"/>
        <v>61750</v>
      </c>
      <c r="L84" s="50">
        <f t="shared" si="46"/>
        <v>61750</v>
      </c>
      <c r="M84" s="50">
        <f t="shared" si="46"/>
        <v>61750</v>
      </c>
    </row>
    <row r="85" spans="1:13" x14ac:dyDescent="0.25">
      <c r="A85" s="2" t="str">
        <f>B9&amp;B85</f>
        <v>ApacheDry hole cashflow</v>
      </c>
      <c r="B85" s="68" t="s">
        <v>817</v>
      </c>
      <c r="C85" s="136" t="s">
        <v>567</v>
      </c>
      <c r="D85" s="118"/>
      <c r="E85" s="83">
        <f>676*1000/4</f>
        <v>169000</v>
      </c>
      <c r="F85" s="50">
        <f>IF($E$85&gt;0, $E$85*F39/$E$39,0)</f>
        <v>147736.86336318031</v>
      </c>
      <c r="G85" s="50">
        <f t="shared" ref="G85:M85" si="47">IF($E$85&gt;0, $E$85*G39/$E$39,0)</f>
        <v>147736.86336318031</v>
      </c>
      <c r="H85" s="50">
        <f t="shared" si="47"/>
        <v>147736.86336318031</v>
      </c>
      <c r="I85" s="50">
        <f t="shared" si="47"/>
        <v>147736.86336318031</v>
      </c>
      <c r="J85" s="50">
        <f t="shared" si="47"/>
        <v>132834.62612907562</v>
      </c>
      <c r="K85" s="50">
        <f t="shared" si="47"/>
        <v>132834.62612907562</v>
      </c>
      <c r="L85" s="50">
        <f t="shared" si="47"/>
        <v>132834.62612907562</v>
      </c>
      <c r="M85" s="50">
        <f t="shared" si="47"/>
        <v>132834.62612907562</v>
      </c>
    </row>
    <row r="86" spans="1:13" x14ac:dyDescent="0.25">
      <c r="A86" s="2" t="str">
        <f>B9&amp;B86</f>
        <v>Apachemarket to market contracts</v>
      </c>
      <c r="B86" s="68" t="s">
        <v>562</v>
      </c>
      <c r="C86" s="158" t="s">
        <v>507</v>
      </c>
      <c r="D86" s="118"/>
      <c r="E86" s="83">
        <v>0</v>
      </c>
      <c r="F86" s="50">
        <f>E86</f>
        <v>0</v>
      </c>
      <c r="G86" s="50">
        <f t="shared" ref="G86:M86" si="48">F86</f>
        <v>0</v>
      </c>
      <c r="H86" s="50">
        <f t="shared" si="48"/>
        <v>0</v>
      </c>
      <c r="I86" s="50">
        <f t="shared" si="48"/>
        <v>0</v>
      </c>
      <c r="J86" s="50">
        <f t="shared" si="48"/>
        <v>0</v>
      </c>
      <c r="K86" s="50">
        <f t="shared" si="48"/>
        <v>0</v>
      </c>
      <c r="L86" s="50">
        <f t="shared" si="48"/>
        <v>0</v>
      </c>
      <c r="M86" s="50">
        <f t="shared" si="48"/>
        <v>0</v>
      </c>
    </row>
    <row r="87" spans="1:13" x14ac:dyDescent="0.25">
      <c r="A87" s="2" t="str">
        <f>B9&amp;B87</f>
        <v>ApacheCash flow from operations</v>
      </c>
      <c r="B87" s="142" t="s">
        <v>502</v>
      </c>
      <c r="C87" s="143" t="s">
        <v>540</v>
      </c>
      <c r="D87" s="118"/>
      <c r="E87" s="63">
        <f>2867*1000/4</f>
        <v>716750</v>
      </c>
      <c r="F87" s="62">
        <f>SUM(F80:F86)</f>
        <v>-1213874.0639930665</v>
      </c>
      <c r="G87" s="62">
        <f t="shared" ref="G87:M87" si="49">SUM(G80:G86)</f>
        <v>-3188250.6948358342</v>
      </c>
      <c r="H87" s="62">
        <f>SUM(H80:H86)</f>
        <v>-2571707.0832876777</v>
      </c>
      <c r="I87" s="62">
        <f t="shared" si="49"/>
        <v>-2467831.9052436184</v>
      </c>
      <c r="J87" s="62">
        <f t="shared" si="49"/>
        <v>-2174471.6880886978</v>
      </c>
      <c r="K87" s="62">
        <f t="shared" si="49"/>
        <v>-2107218.5133550111</v>
      </c>
      <c r="L87" s="62">
        <f t="shared" si="49"/>
        <v>-2015634.7437899236</v>
      </c>
      <c r="M87" s="62">
        <f t="shared" si="49"/>
        <v>-2041542.5471142747</v>
      </c>
    </row>
    <row r="88" spans="1:13" x14ac:dyDescent="0.25">
      <c r="A88" s="2" t="str">
        <f>B9&amp;B88</f>
        <v>ApacheCapex</v>
      </c>
      <c r="B88" s="68" t="s">
        <v>277</v>
      </c>
      <c r="C88" s="73" t="s">
        <v>534</v>
      </c>
      <c r="D88" s="118"/>
      <c r="E88" s="83">
        <f>IF($B$2="A3",SUMIFS('$33Econ'!$H$8:$H$8001,'$33Econ'!$A$8:$A$8001,$B$9,'$33Econ'!$G$8:$G$8001,$B88)*1000/4,SUMIFS('$22Econ'!$H$8:$H$8001,'$22Econ'!$A$8:$A$8001,$B$9,'$22Econ'!$G$8:$G$8001,$B88)*1000/4)</f>
        <v>484695.25867749995</v>
      </c>
      <c r="F88" s="50">
        <f>IF($B$2="A3",SUMIFS('$33Econ'!$I$8:$I$8001,'$33Econ'!$A$8:$A$8001,$B$9,'$33Econ'!$G$8:$G$8001,$B88)*1000/4,SUMIFS('$22Econ'!$I$8:$I$8001,'$22Econ'!$A$8:$A$8001,$B$9,'$22Econ'!$G$8:$G$8001,$B88)*1000/4)</f>
        <v>120738.18333749998</v>
      </c>
      <c r="G88" s="50">
        <f>IF($B$2="A3",SUMIFS('$33Econ'!$I$8:$I$8001,'$33Econ'!$A$8:$A$8001,$B$9,'$33Econ'!$G$8:$G$8001,$B88)*1000/4,SUMIFS('$22Econ'!$I$8:$I$8001,'$22Econ'!$A$8:$A$8001,$B$9,'$22Econ'!$G$8:$G$8001,$B88)*1000/4)</f>
        <v>120738.18333749998</v>
      </c>
      <c r="H88" s="50">
        <f>IF($B$2="A3",SUMIFS('$33Econ'!$I$8:$I$8001,'$33Econ'!$A$8:$A$8001,$B$9,'$33Econ'!$G$8:$G$8001,$B88)*1000/4,SUMIFS('$22Econ'!$I$8:$I$8001,'$22Econ'!$A$8:$A$8001,$B$9,'$22Econ'!$G$8:$G$8001,$B88)*1000/4)</f>
        <v>120738.18333749998</v>
      </c>
      <c r="I88" s="50">
        <f>IF($B$2="A3",SUMIFS('$33Econ'!$I$8:$I$8001,'$33Econ'!$A$8:$A$8001,$B$9,'$33Econ'!$G$8:$G$8001,$B88)*1000/4,SUMIFS('$22Econ'!$I$8:$I$8001,'$22Econ'!$A$8:$A$8001,$B$9,'$22Econ'!$G$8:$G$8001,$B88)*1000/4)</f>
        <v>120738.18333749998</v>
      </c>
      <c r="J88" s="50">
        <f>IF($B$2="A3",SUMIFS('$33Econ'!$J$8:$J$8001,'$33Econ'!$A$8:$A$8001,$B$9,'$33Econ'!$G$8:$G$8001,$B88)*1000/4,SUMIFS('$22Econ'!$J$8:$J$8001,'$22Econ'!$A$8:$A$8001,$B$9,'$22Econ'!$G$8:$G$8001,$B88)*1000/4)</f>
        <v>86441.905177499997</v>
      </c>
      <c r="K88" s="50">
        <f t="shared" ref="K88:M88" si="50">J88</f>
        <v>86441.905177499997</v>
      </c>
      <c r="L88" s="50">
        <f t="shared" si="50"/>
        <v>86441.905177499997</v>
      </c>
      <c r="M88" s="50">
        <f t="shared" si="50"/>
        <v>86441.905177499997</v>
      </c>
    </row>
    <row r="89" spans="1:13" x14ac:dyDescent="0.25">
      <c r="A89" s="2" t="str">
        <f>B9&amp;B89</f>
        <v>ApacheExploration Capex</v>
      </c>
      <c r="B89" s="68" t="s">
        <v>278</v>
      </c>
      <c r="C89" s="73" t="s">
        <v>534</v>
      </c>
      <c r="D89" s="118"/>
      <c r="E89" s="96">
        <f>IF($B$2="A3",SUMIFS('$33Econ'!$H$8:$H$8001,'$33Econ'!$A$8:$A$8001,$B$9,'$33Econ'!$G$8:$G$8001,$B89)*1000/4,SUMIFS('$22Econ'!$H$8:$H$8001,'$22Econ'!$A$8:$A$8001,$B$9,'$22Econ'!$G$8:$G$8001,$B89)*1000/4)</f>
        <v>79246.053782499977</v>
      </c>
      <c r="F89" s="33">
        <f>(1-INDEX(Assumptions!$A$2:$K$596,MATCH($B9&amp;"Capex reduction",Assumptions!$A$2:$A$596,0),MATCH(F$2,Assumptions!$A$2:$K$2,0))) *IF($B$2="A3",SUMIFS('$33Econ'!$I$8:$I$8001,'$33Econ'!$A$8:$A$8001,$B$9,'$33Econ'!$G$8:$G$8001,$B89)*1000/4,SUMIFS('$22Econ'!$I$8:$I$8001,'$22Econ'!$A$8:$A$8001,$B$9,'$22Econ'!$G$8:$G$8001,$B89)*1000/4)</f>
        <v>90837.70422</v>
      </c>
      <c r="G89" s="33">
        <f>(1-INDEX(Assumptions!$A$2:$K$596,MATCH($B9&amp;"Capex reduction",Assumptions!$A$2:$A$596,0),MATCH(G$2,Assumptions!$A$2:$K$2,0))) *IF($B$2="A3",SUMIFS('$33Econ'!$I$8:$I$8001,'$33Econ'!$A$8:$A$8001,$B$9,'$33Econ'!$G$8:$G$8001,$B89)*1000/4,SUMIFS('$22Econ'!$I$8:$I$8001,'$22Econ'!$A$8:$A$8001,$B$9,'$22Econ'!$G$8:$G$8001,$B89)*1000/4)</f>
        <v>90837.70422</v>
      </c>
      <c r="H89" s="33">
        <f>(1-INDEX(Assumptions!$A$2:$K$596,MATCH($B9&amp;"Capex reduction",Assumptions!$A$2:$A$596,0),MATCH(H$2,Assumptions!$A$2:$K$2,0))) *IF($B$2="A3",SUMIFS('$33Econ'!$I$8:$I$8001,'$33Econ'!$A$8:$A$8001,$B$9,'$33Econ'!$G$8:$G$8001,$B89)*1000/4,SUMIFS('$22Econ'!$I$8:$I$8001,'$22Econ'!$A$8:$A$8001,$B$9,'$22Econ'!$G$8:$G$8001,$B89)*1000/4)</f>
        <v>90837.70422</v>
      </c>
      <c r="I89" s="33">
        <f>(1-INDEX(Assumptions!$A$2:$K$596,MATCH($B9&amp;"Capex reduction",Assumptions!$A$2:$A$596,0),MATCH(I$2,Assumptions!$A$2:$K$2,0))) *IF($B$2="A3",SUMIFS('$33Econ'!$I$8:$I$8001,'$33Econ'!$A$8:$A$8001,$B$9,'$33Econ'!$G$8:$G$8001,$B89)*1000/4,SUMIFS('$22Econ'!$I$8:$I$8001,'$22Econ'!$A$8:$A$8001,$B$9,'$22Econ'!$G$8:$G$8001,$B89)*1000/4)</f>
        <v>90837.70422</v>
      </c>
      <c r="J89" s="33">
        <f>(1-INDEX(Assumptions!$A$2:$K$596,MATCH($B9&amp;"Capex reduction",Assumptions!$A$2:$A$596,0),MATCH(J$2,Assumptions!$A$2:$K$2,0))) *IF($B$2="A3",SUMIFS('$33Econ'!$J$8:$J$8001,'$33Econ'!$A$8:$A$8001,$B$9,'$33Econ'!$G$8:$G$8001,$B89)*1000/4,SUMIFS('$22Econ'!$J$8:$J$8001,'$22Econ'!$A$8:$A$8001,$B$9,'$22Econ'!$G$8:$G$8001,$B89)*1000/4)</f>
        <v>16188.902927500003</v>
      </c>
      <c r="K89" s="33">
        <f>(1-INDEX(Assumptions!$A$2:$K$596,MATCH($B9&amp;"Capex reduction",Assumptions!$A$2:$A$596,0),MATCH(K$2,Assumptions!$A$2:$K$2,0))) *IF($B$2="A3",SUMIFS('$33Econ'!$J$8:$J$8001,'$33Econ'!$A$8:$A$8001,$B$9,'$33Econ'!$G$8:$G$8001,$B89)*1000/4,SUMIFS('$22Econ'!$J$8:$J$8001,'$22Econ'!$A$8:$A$8001,$B$9,'$22Econ'!$G$8:$G$8001,$B89)*1000/4)</f>
        <v>16188.902927500003</v>
      </c>
      <c r="L89" s="33">
        <f>(1-INDEX(Assumptions!$A$2:$K$596,MATCH($B9&amp;"Capex reduction",Assumptions!$A$2:$A$596,0),MATCH(L$2,Assumptions!$A$2:$K$2,0))) *IF($B$2="A3",SUMIFS('$33Econ'!$J$8:$J$8001,'$33Econ'!$A$8:$A$8001,$B$9,'$33Econ'!$G$8:$G$8001,$B89)*1000/4,SUMIFS('$22Econ'!$J$8:$J$8001,'$22Econ'!$A$8:$A$8001,$B$9,'$22Econ'!$G$8:$G$8001,$B89)*1000/4)</f>
        <v>16188.902927500003</v>
      </c>
      <c r="M89" s="33">
        <f>(1-INDEX(Assumptions!$A$2:$K$596,MATCH($B9&amp;"Capex reduction",Assumptions!$A$2:$A$596,0),MATCH(M$2,Assumptions!$A$2:$K$2,0))) *IF($B$2="A3",SUMIFS('$33Econ'!$J$8:$J$8001,'$33Econ'!$A$8:$A$8001,$B$9,'$33Econ'!$G$8:$G$8001,$B89)*1000/4,SUMIFS('$22Econ'!$J$8:$J$8001,'$22Econ'!$A$8:$A$8001,$B$9,'$22Econ'!$G$8:$G$8001,$B89)*1000/4)</f>
        <v>16188.902927500003</v>
      </c>
    </row>
    <row r="90" spans="1:13" s="150" customFormat="1" ht="11" thickBot="1" x14ac:dyDescent="0.3">
      <c r="A90" s="150" t="str">
        <f>B9&amp;B90</f>
        <v>ApacheFree Cash Flow (FCF)</v>
      </c>
      <c r="B90" s="69" t="s">
        <v>458</v>
      </c>
      <c r="C90" s="69" t="s">
        <v>512</v>
      </c>
      <c r="D90" s="152"/>
      <c r="E90" s="153">
        <f>SUM(E87:E89)</f>
        <v>1280691.3124599997</v>
      </c>
      <c r="F90" s="153">
        <f>SUM(F87:F89)</f>
        <v>-1002298.1764355665</v>
      </c>
      <c r="G90" s="153">
        <f t="shared" ref="G90:M90" si="51">SUM(G87:G89)</f>
        <v>-2976674.8072783342</v>
      </c>
      <c r="H90" s="153">
        <f t="shared" si="51"/>
        <v>-2360131.1957301777</v>
      </c>
      <c r="I90" s="153">
        <f t="shared" si="51"/>
        <v>-2256256.0176861184</v>
      </c>
      <c r="J90" s="153">
        <f t="shared" si="51"/>
        <v>-2071840.8799836978</v>
      </c>
      <c r="K90" s="153">
        <f t="shared" si="51"/>
        <v>-2004587.7052500111</v>
      </c>
      <c r="L90" s="153">
        <f t="shared" si="51"/>
        <v>-1913003.9356849235</v>
      </c>
      <c r="M90" s="153">
        <f t="shared" si="51"/>
        <v>-1938911.7390092746</v>
      </c>
    </row>
    <row r="91" spans="1:13" ht="11" thickTop="1" x14ac:dyDescent="0.25">
      <c r="I91" s="154"/>
      <c r="M91" s="154"/>
    </row>
    <row r="92" spans="1:13" x14ac:dyDescent="0.25">
      <c r="A92" s="2" t="str">
        <f>B9&amp;B92</f>
        <v>ApacheEBITDA</v>
      </c>
      <c r="B92" s="80" t="s">
        <v>428</v>
      </c>
      <c r="C92" s="144" t="s">
        <v>540</v>
      </c>
      <c r="D92" s="117"/>
      <c r="E92" s="83">
        <f>(E29-E41)+E32</f>
        <v>33500</v>
      </c>
      <c r="F92" s="50">
        <f>(F29-F41)+F32</f>
        <v>-304675.35748146125</v>
      </c>
      <c r="G92" s="50">
        <f t="shared" ref="F92:M92" si="52">(G29-G41)+G32</f>
        <v>-1000412.5781327968</v>
      </c>
      <c r="H92" s="50">
        <f t="shared" si="52"/>
        <v>-957982.30442875926</v>
      </c>
      <c r="I92" s="50">
        <f t="shared" si="52"/>
        <v>-915552.03072472219</v>
      </c>
      <c r="J92" s="50">
        <f t="shared" si="52"/>
        <v>-866645.06762038555</v>
      </c>
      <c r="K92" s="50">
        <f t="shared" si="52"/>
        <v>-829235.51047049637</v>
      </c>
      <c r="L92" s="50">
        <f t="shared" si="52"/>
        <v>-791825.95332060696</v>
      </c>
      <c r="M92" s="50">
        <f t="shared" si="52"/>
        <v>-791825.95332060696</v>
      </c>
    </row>
    <row r="93" spans="1:13" x14ac:dyDescent="0.25">
      <c r="A93" s="2" t="str">
        <f>B9&amp;B93</f>
        <v>ApacheExploration capex</v>
      </c>
      <c r="B93" s="68" t="s">
        <v>519</v>
      </c>
      <c r="C93" s="68" t="s">
        <v>534</v>
      </c>
      <c r="D93" s="118"/>
      <c r="E93" s="83">
        <f>E89</f>
        <v>79246.053782499977</v>
      </c>
      <c r="F93" s="157">
        <f t="shared" ref="F93:M93" si="53">F89</f>
        <v>90837.70422</v>
      </c>
      <c r="G93" s="157">
        <f t="shared" si="53"/>
        <v>90837.70422</v>
      </c>
      <c r="H93" s="157">
        <f t="shared" si="53"/>
        <v>90837.70422</v>
      </c>
      <c r="I93" s="157">
        <f t="shared" si="53"/>
        <v>90837.70422</v>
      </c>
      <c r="J93" s="157">
        <f t="shared" si="53"/>
        <v>16188.902927500003</v>
      </c>
      <c r="K93" s="157">
        <f t="shared" si="53"/>
        <v>16188.902927500003</v>
      </c>
      <c r="L93" s="157">
        <f t="shared" si="53"/>
        <v>16188.902927500003</v>
      </c>
      <c r="M93" s="157">
        <f t="shared" si="53"/>
        <v>16188.902927500003</v>
      </c>
    </row>
    <row r="94" spans="1:13" x14ac:dyDescent="0.25">
      <c r="A94" s="2" t="str">
        <f>B9&amp;B94</f>
        <v>ApacheEBITDAX</v>
      </c>
      <c r="B94" s="90" t="s">
        <v>459</v>
      </c>
      <c r="C94" s="90" t="s">
        <v>512</v>
      </c>
      <c r="D94" s="125"/>
      <c r="E94" s="63">
        <f>SUM(E92:E93)</f>
        <v>112746.05378249998</v>
      </c>
      <c r="F94" s="62">
        <f t="shared" ref="F94:M94" si="54">SUM(F92:F93)</f>
        <v>-213837.65326146124</v>
      </c>
      <c r="G94" s="62">
        <f t="shared" si="54"/>
        <v>-909574.87391279684</v>
      </c>
      <c r="H94" s="62">
        <f t="shared" si="54"/>
        <v>-867144.60020875931</v>
      </c>
      <c r="I94" s="62">
        <f t="shared" si="54"/>
        <v>-824714.32650472224</v>
      </c>
      <c r="J94" s="62">
        <f t="shared" si="54"/>
        <v>-850456.16469288559</v>
      </c>
      <c r="K94" s="62">
        <f t="shared" si="54"/>
        <v>-813046.60754299641</v>
      </c>
      <c r="L94" s="62">
        <f t="shared" si="54"/>
        <v>-775637.050393107</v>
      </c>
      <c r="M94" s="62">
        <f t="shared" si="54"/>
        <v>-775637.050393107</v>
      </c>
    </row>
    <row r="95" spans="1:13" x14ac:dyDescent="0.25">
      <c r="A95" s="53" t="str">
        <f>B9&amp;B95</f>
        <v>ApacheDebt/EBITDAX</v>
      </c>
      <c r="B95" s="310" t="s">
        <v>947</v>
      </c>
      <c r="C95" s="310" t="s">
        <v>512</v>
      </c>
      <c r="D95" s="123"/>
      <c r="E95" s="120">
        <f>(E73+E68)/(E94*4)</f>
        <v>20.51069569548817</v>
      </c>
      <c r="F95" s="121"/>
      <c r="G95" s="121"/>
      <c r="H95" s="121"/>
      <c r="I95" s="99">
        <f>(AVERAGE(F73:I73)+AVERAGE(F68:I68))/SUM(F92:I92)</f>
        <v>-2.8825560707737807</v>
      </c>
      <c r="J95" s="99"/>
      <c r="K95" s="99"/>
      <c r="L95" s="99"/>
      <c r="M95" s="99">
        <f>(AVERAGE(J73:M73)+AVERAGE(J68:M68))/SUM(J92:M92)</f>
        <v>-2.7751737838489476</v>
      </c>
    </row>
    <row r="96" spans="1:13" s="49" customFormat="1" x14ac:dyDescent="0.25">
      <c r="D96" s="124"/>
    </row>
    <row r="97" spans="1:13" x14ac:dyDescent="0.25">
      <c r="A97" s="2" t="str">
        <f>B9&amp;B97</f>
        <v>ApacheCash dividends paid</v>
      </c>
      <c r="B97" s="91" t="s">
        <v>521</v>
      </c>
      <c r="C97" s="53" t="s">
        <v>546</v>
      </c>
      <c r="D97" s="122"/>
      <c r="E97" s="83">
        <f>-376000/4</f>
        <v>-94000</v>
      </c>
      <c r="F97" s="50">
        <f>E97*(1-INDEX(Assumptions!$A$2:$K$596,MATCH($B9&amp;"Dividend reduction",Assumptions!$A$2:$A$596,0),MATCH(F$2,Assumptions!$A$2:$K$2,0)))</f>
        <v>-94000</v>
      </c>
      <c r="G97" s="50">
        <f>F97*(1-INDEX(Assumptions!$A$2:$K$596,MATCH($B9&amp;"Dividend reduction",Assumptions!$A$2:$A$596,0),MATCH(G$2,Assumptions!$A$2:$K$2,0)))</f>
        <v>-94000</v>
      </c>
      <c r="H97" s="50">
        <f>G97*(1-INDEX(Assumptions!$A$2:$K$596,MATCH($B9&amp;"Dividend reduction",Assumptions!$A$2:$A$596,0),MATCH(H$2,Assumptions!$A$2:$K$2,0)))</f>
        <v>-94000</v>
      </c>
      <c r="I97" s="50">
        <f>H97*(1-INDEX(Assumptions!$A$2:$K$596,MATCH($B9&amp;"Dividend reduction",Assumptions!$A$2:$A$596,0),MATCH(I$2,Assumptions!$A$2:$K$2,0)))</f>
        <v>-94000</v>
      </c>
      <c r="J97" s="50">
        <f>I97*(1-INDEX(Assumptions!$A$2:$K$596,MATCH($B9&amp;"Dividend reduction",Assumptions!$A$2:$A$596,0),MATCH(J$2,Assumptions!$A$2:$K$2,0)))</f>
        <v>-94000</v>
      </c>
      <c r="K97" s="50">
        <f>J97*(1-INDEX(Assumptions!$A$2:$K$596,MATCH($B9&amp;"Dividend reduction",Assumptions!$A$2:$A$596,0),MATCH(K$2,Assumptions!$A$2:$K$2,0)))</f>
        <v>-94000</v>
      </c>
      <c r="L97" s="50">
        <f>K97*(1-INDEX(Assumptions!$A$2:$K$596,MATCH($B9&amp;"Dividend reduction",Assumptions!$A$2:$A$596,0),MATCH(L$2,Assumptions!$A$2:$K$2,0)))</f>
        <v>-94000</v>
      </c>
      <c r="M97" s="50">
        <f>L97*(1-INDEX(Assumptions!$A$2:$K$596,MATCH($B9&amp;"Dividend reduction",Assumptions!$A$2:$A$596,0),MATCH(M$2,Assumptions!$A$2:$K$2,0)))</f>
        <v>-94000</v>
      </c>
    </row>
    <row r="99" spans="1:13" x14ac:dyDescent="0.25">
      <c r="A99" s="2" t="str">
        <f>B9&amp;B99</f>
        <v>ApacheOhlson's O-Score</v>
      </c>
      <c r="B99" s="80" t="s">
        <v>427</v>
      </c>
      <c r="C99" s="80" t="s">
        <v>512</v>
      </c>
      <c r="D99" s="117"/>
      <c r="E99" s="130"/>
      <c r="F99" s="130"/>
      <c r="G99" s="130"/>
      <c r="H99" s="130"/>
      <c r="I99" s="99">
        <f>-1.32-0.407*(LN($I66*1000/(36.32+2.11*'Quarterly Forecasts'!$K$15)))+6.03*($I78/$I66)-1.43*(($I60-$I72)/$I66)+0.0757*($I72/$I60)-2.37*(SUM($F49:$I49)/$I66)-1.83*(SUM($F92:$I92)/$I78)+0.285*(IF(AND(SUM($F49:$I49)&lt;0,($E49*4)&lt;0),1,0))-0.521*((SUM($F49:$I49)-($E49*4))/(ABS(SUM($F49:$I49))+ABS($E49*4)))-1.72*(IF($I78&gt;$I66,1,0))</f>
        <v>1.9132121391525565</v>
      </c>
      <c r="J99" s="130"/>
      <c r="K99" s="130"/>
      <c r="L99" s="130"/>
      <c r="M99" s="99">
        <f>-1.32-0.407*(LN($M66*1000/(36.32+2.11*'Quarterly Forecasts'!$K$15)))+6.03*($M78/$M66)-1.43*(($M60-$M72)/$M66)+0.0757*($M72/$M60)-2.37*(SUM($J49:$M49)/$M66)-1.83*(SUM($J92:$M92)/$M78)+0.285*(IF(AND(SUM($J49:$M49)&lt;0,(SUM($F49:$I49))&lt;0),1,0))-0.521*((SUM($J49:$M49)-(SUM($F49:$I49)))/(ABS(SUM($J49:$M49))+ABS(SUM($F49:$I49))))-1.72*(IF($M78&gt;$M66,1,0))</f>
        <v>32.749852562845255</v>
      </c>
    </row>
    <row r="100" spans="1:13" ht="11" thickBot="1" x14ac:dyDescent="0.3">
      <c r="A100" s="2" t="str">
        <f>B9&amp;B100</f>
        <v>ApacheProbability of default (PD)</v>
      </c>
      <c r="B100" s="81" t="s">
        <v>504</v>
      </c>
      <c r="C100" s="98" t="s">
        <v>512</v>
      </c>
      <c r="D100" s="110"/>
      <c r="E100" s="131"/>
      <c r="F100" s="131"/>
      <c r="G100" s="131"/>
      <c r="H100" s="131"/>
      <c r="I100" s="126">
        <f>EXP(I99)/(1+EXP(I99))</f>
        <v>0.8713795850920516</v>
      </c>
      <c r="J100" s="131"/>
      <c r="K100" s="131"/>
      <c r="L100" s="131"/>
      <c r="M100" s="126">
        <f>EXP(M99)/(1+EXP(M99))</f>
        <v>0.999999999999994</v>
      </c>
    </row>
    <row r="101" spans="1:13" ht="11" thickTop="1" x14ac:dyDescent="0.25"/>
    <row r="102" spans="1:13" x14ac:dyDescent="0.25">
      <c r="E102" s="2" t="s">
        <v>550</v>
      </c>
    </row>
    <row r="103" spans="1:13" x14ac:dyDescent="0.25">
      <c r="E103" s="2" t="s">
        <v>552</v>
      </c>
    </row>
    <row r="104" spans="1:13" x14ac:dyDescent="0.25">
      <c r="E104" s="2" t="s">
        <v>551</v>
      </c>
    </row>
    <row r="105" spans="1:13" x14ac:dyDescent="0.25">
      <c r="E105" s="2" t="s">
        <v>553</v>
      </c>
    </row>
    <row r="106" spans="1:13" x14ac:dyDescent="0.25">
      <c r="E106" s="2" t="s">
        <v>560</v>
      </c>
    </row>
    <row r="108" spans="1:13" x14ac:dyDescent="0.25">
      <c r="E108" s="2" t="s">
        <v>563</v>
      </c>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E7A5D-7221-4A03-9C8E-6F81AB0C8521}">
  <dimension ref="A1:M101"/>
  <sheetViews>
    <sheetView showGridLines="0" zoomScale="99" zoomScaleNormal="99" workbookViewId="0">
      <pane xSplit="2" ySplit="2" topLeftCell="D82" activePane="bottomRight" state="frozen"/>
      <selection activeCell="I95" sqref="I95"/>
      <selection pane="topRight" activeCell="I95" sqref="I95"/>
      <selection pane="bottomLeft" activeCell="I95" sqref="I95"/>
      <selection pane="bottomRight" activeCell="F104" sqref="F104"/>
    </sheetView>
  </sheetViews>
  <sheetFormatPr defaultColWidth="8.81640625" defaultRowHeight="10.5" x14ac:dyDescent="0.25"/>
  <cols>
    <col min="1" max="1" width="4.453125" style="2" customWidth="1"/>
    <col min="2" max="2" width="36" style="2" customWidth="1"/>
    <col min="3" max="3" width="44.36328125" style="2" customWidth="1"/>
    <col min="4" max="4" width="9.453125" style="113" bestFit="1" customWidth="1"/>
    <col min="5" max="5" width="10.453125" style="2" bestFit="1" customWidth="1"/>
    <col min="6" max="6" width="12.1796875" style="2" bestFit="1" customWidth="1"/>
    <col min="7" max="13" width="10.453125" style="2" bestFit="1" customWidth="1"/>
    <col min="14" max="16384" width="8.81640625" style="2"/>
  </cols>
  <sheetData>
    <row r="1" spans="1:13" x14ac:dyDescent="0.25">
      <c r="E1" s="2" t="str">
        <f>LEFT(E2,4)</f>
        <v>2019</v>
      </c>
      <c r="F1" s="2" t="str">
        <f t="shared" ref="F1:M1" si="0">LEFT(F2,4)</f>
        <v>2020</v>
      </c>
      <c r="G1" s="2" t="str">
        <f t="shared" si="0"/>
        <v>2020</v>
      </c>
      <c r="H1" s="2" t="str">
        <f t="shared" si="0"/>
        <v>2020</v>
      </c>
      <c r="I1" s="2" t="str">
        <f t="shared" si="0"/>
        <v>2020</v>
      </c>
      <c r="J1" s="2" t="str">
        <f t="shared" si="0"/>
        <v>2021</v>
      </c>
      <c r="K1" s="2" t="str">
        <f t="shared" si="0"/>
        <v>2021</v>
      </c>
      <c r="L1" s="2" t="str">
        <f t="shared" si="0"/>
        <v>2021</v>
      </c>
      <c r="M1" s="2" t="str">
        <f t="shared" si="0"/>
        <v>2021</v>
      </c>
    </row>
    <row r="2" spans="1:13" x14ac:dyDescent="0.25">
      <c r="B2" s="2" t="s">
        <v>440</v>
      </c>
      <c r="C2" s="2" t="s">
        <v>517</v>
      </c>
      <c r="D2" s="113" t="s">
        <v>524</v>
      </c>
      <c r="E2" s="67" t="s">
        <v>413</v>
      </c>
      <c r="F2" s="67" t="s">
        <v>414</v>
      </c>
      <c r="G2" s="67" t="s">
        <v>415</v>
      </c>
      <c r="H2" s="67" t="s">
        <v>416</v>
      </c>
      <c r="I2" s="67" t="s">
        <v>417</v>
      </c>
      <c r="J2" s="67" t="s">
        <v>418</v>
      </c>
      <c r="K2" s="67" t="s">
        <v>419</v>
      </c>
      <c r="L2" s="67" t="s">
        <v>420</v>
      </c>
      <c r="M2" s="67" t="s">
        <v>421</v>
      </c>
    </row>
    <row r="3" spans="1:13" x14ac:dyDescent="0.25">
      <c r="B3" s="64" t="s">
        <v>522</v>
      </c>
      <c r="C3" s="64"/>
      <c r="D3" s="111"/>
      <c r="E3" s="103"/>
      <c r="F3" s="99"/>
      <c r="G3" s="99"/>
      <c r="H3" s="99"/>
      <c r="I3" s="99"/>
      <c r="J3" s="99"/>
      <c r="K3" s="99"/>
      <c r="L3" s="99"/>
      <c r="M3" s="99"/>
    </row>
    <row r="4" spans="1:13" x14ac:dyDescent="0.25">
      <c r="A4" s="2" t="str">
        <f>$B$9&amp;$B$3&amp;B4</f>
        <v>EOG ResourcesMarket PricesOil</v>
      </c>
      <c r="B4" s="70" t="s">
        <v>396</v>
      </c>
      <c r="C4" s="70"/>
      <c r="D4" s="108"/>
      <c r="E4" s="89">
        <f>INDEX('Quarterly Forecasts'!$B$4:$O$500,MATCH(($B$2&amp;$B4),'Quarterly Forecasts'!$B$4:$B$500,0),MATCH(E$2,'Quarterly Forecasts'!$B$4:$O$4,0))</f>
        <v>64.358329999999995</v>
      </c>
      <c r="F4" s="134">
        <f>INDEX('Quarterly Forecasts'!$B$4:$O$500,MATCH($B$2&amp;$B4,'Quarterly Forecasts'!$B$4:$B$500,0),MATCH(F$2,'Quarterly Forecasts'!$B$4:$O$4,0))</f>
        <v>50.81859</v>
      </c>
      <c r="G4" s="134">
        <f>INDEX('Quarterly Forecasts'!$B$4:$O$500,MATCH($B$2&amp;$B4,'Quarterly Forecasts'!$B$4:$B$500,0),MATCH(G$2,'Quarterly Forecasts'!$B$4:$O$4,0))</f>
        <v>15</v>
      </c>
      <c r="H4" s="134">
        <f>INDEX('Quarterly Forecasts'!$B$4:$O$500,MATCH($B$2&amp;$B4,'Quarterly Forecasts'!$B$4:$B$500,0),MATCH(H$2,'Quarterly Forecasts'!$B$4:$O$4,0))</f>
        <v>17</v>
      </c>
      <c r="I4" s="134">
        <f>INDEX('Quarterly Forecasts'!$B$4:$O$500,MATCH($B$2&amp;$B4,'Quarterly Forecasts'!$B$4:$B$500,0),MATCH(I$2,'Quarterly Forecasts'!$B$4:$O$4,0))</f>
        <v>19</v>
      </c>
      <c r="J4" s="134">
        <f>INDEX('Quarterly Forecasts'!$B$4:$O$500,MATCH($B$2&amp;$B4,'Quarterly Forecasts'!$B$4:$B$500,0),MATCH(J$2,'Quarterly Forecasts'!$B$4:$O$4,0))</f>
        <v>21</v>
      </c>
      <c r="K4" s="134">
        <f>INDEX('Quarterly Forecasts'!$B$4:$O$500,MATCH($B$2&amp;$B4,'Quarterly Forecasts'!$B$4:$B$500,0),MATCH(K$2,'Quarterly Forecasts'!$B$4:$O$4,0))</f>
        <v>23</v>
      </c>
      <c r="L4" s="134">
        <f>INDEX('Quarterly Forecasts'!$B$4:$O$500,MATCH($B$2&amp;$B4,'Quarterly Forecasts'!$B$4:$B$500,0),MATCH(L$2,'Quarterly Forecasts'!$B$4:$O$4,0))</f>
        <v>25</v>
      </c>
      <c r="M4" s="134">
        <f>INDEX('Quarterly Forecasts'!$B$4:$O$500,MATCH($B$2&amp;$B4,'Quarterly Forecasts'!$B$4:$B$500,0),MATCH(M$2,'Quarterly Forecasts'!$B$4:$O$4,0))</f>
        <v>25</v>
      </c>
    </row>
    <row r="5" spans="1:13" x14ac:dyDescent="0.25">
      <c r="A5" s="2" t="str">
        <f t="shared" ref="A5:A7" si="1">$B$9&amp;$B$3&amp;B5</f>
        <v>EOG ResourcesMarket PricesGas</v>
      </c>
      <c r="B5" s="70" t="s">
        <v>26</v>
      </c>
      <c r="C5" s="70"/>
      <c r="D5" s="108"/>
      <c r="E5" s="89">
        <f>INDEX('Quarterly Forecasts'!$B$4:$O$500,MATCH($B2&amp;$B5,'Quarterly Forecasts'!$B$4:$B$500,0),MATCH(E$2,'Quarterly Forecasts'!$B$4:$O$4,0))</f>
        <v>15.15714</v>
      </c>
      <c r="F5" s="134">
        <f>INDEX('Quarterly Forecasts'!$B$4:$O$500,MATCH($B$2&amp;$B5,'Quarterly Forecasts'!$B$4:$B$500,0),MATCH(F$2,'Quarterly Forecasts'!$B$4:$O$4,0))</f>
        <v>11.20355</v>
      </c>
      <c r="G5" s="134">
        <f>INDEX('Quarterly Forecasts'!$B$4:$O$500,MATCH($B$2&amp;$B5,'Quarterly Forecasts'!$B$4:$B$500,0),MATCH(G$2,'Quarterly Forecasts'!$B$4:$O$4,0))</f>
        <v>12.325800000000001</v>
      </c>
      <c r="H5" s="134">
        <f>INDEX('Quarterly Forecasts'!$B$4:$O$500,MATCH($B$2&amp;$B5,'Quarterly Forecasts'!$B$4:$B$500,0),MATCH(H$2,'Quarterly Forecasts'!$B$4:$O$4,0))</f>
        <v>12.545400000000001</v>
      </c>
      <c r="I5" s="134">
        <f>INDEX('Quarterly Forecasts'!$B$4:$O$500,MATCH($B$2&amp;$B5,'Quarterly Forecasts'!$B$4:$B$500,0),MATCH(I$2,'Quarterly Forecasts'!$B$4:$O$4,0))</f>
        <v>12.765000000000001</v>
      </c>
      <c r="J5" s="134">
        <f>INDEX('Quarterly Forecasts'!$B$4:$O$500,MATCH($B$2&amp;$B5,'Quarterly Forecasts'!$B$4:$B$500,0),MATCH(J$2,'Quarterly Forecasts'!$B$4:$O$4,0))</f>
        <v>12.9846</v>
      </c>
      <c r="K5" s="134">
        <f>INDEX('Quarterly Forecasts'!$B$4:$O$500,MATCH($B$2&amp;$B5,'Quarterly Forecasts'!$B$4:$B$500,0),MATCH(K$2,'Quarterly Forecasts'!$B$4:$O$4,0))</f>
        <v>13.2042</v>
      </c>
      <c r="L5" s="134">
        <f>INDEX('Quarterly Forecasts'!$B$4:$O$500,MATCH($B$2&amp;$B5,'Quarterly Forecasts'!$B$4:$B$500,0),MATCH(L$2,'Quarterly Forecasts'!$B$4:$O$4,0))</f>
        <v>13.423800000000002</v>
      </c>
      <c r="M5" s="134">
        <f>INDEX('Quarterly Forecasts'!$B$4:$O$500,MATCH($B$2&amp;$B5,'Quarterly Forecasts'!$B$4:$B$500,0),MATCH(M$2,'Quarterly Forecasts'!$B$4:$O$4,0))</f>
        <v>13.423800000000002</v>
      </c>
    </row>
    <row r="6" spans="1:13" x14ac:dyDescent="0.25">
      <c r="A6" s="2" t="str">
        <f t="shared" si="1"/>
        <v>EOG ResourcesMarket PricesNGL</v>
      </c>
      <c r="B6" s="70" t="s">
        <v>25</v>
      </c>
      <c r="C6" s="70"/>
      <c r="D6" s="108"/>
      <c r="E6" s="89">
        <f>INDEX('Quarterly Forecasts'!$B$4:$O$500,MATCH($B2&amp;$B6,'Quarterly Forecasts'!$B$4:$B$500,0),MATCH(E$2,'Quarterly Forecasts'!$B$4:$O$4,0))</f>
        <v>20.616230000000002</v>
      </c>
      <c r="F6" s="134">
        <f>INDEX('Quarterly Forecasts'!$B$4:$O$500,MATCH($B$2&amp;$B6,'Quarterly Forecasts'!$B$4:$B$500,0),MATCH(F$2,'Quarterly Forecasts'!$B$4:$O$4,0))</f>
        <v>17.26445</v>
      </c>
      <c r="G6" s="134">
        <f>INDEX('Quarterly Forecasts'!$B$4:$O$500,MATCH($B$2&amp;$B6,'Quarterly Forecasts'!$B$4:$B$500,0),MATCH(G$2,'Quarterly Forecasts'!$B$4:$O$4,0))</f>
        <v>6.2672575000000004</v>
      </c>
      <c r="H6" s="134">
        <f>INDEX('Quarterly Forecasts'!$B$4:$O$500,MATCH($B$2&amp;$B6,'Quarterly Forecasts'!$B$4:$B$500,0),MATCH(H$2,'Quarterly Forecasts'!$B$4:$O$4,0))</f>
        <v>7.1405915000000002</v>
      </c>
      <c r="I6" s="134">
        <f>INDEX('Quarterly Forecasts'!$B$4:$O$500,MATCH($B$2&amp;$B6,'Quarterly Forecasts'!$B$4:$B$500,0),MATCH(I$2,'Quarterly Forecasts'!$B$4:$O$4,0))</f>
        <v>8.0139254999999991</v>
      </c>
      <c r="J6" s="134">
        <f>INDEX('Quarterly Forecasts'!$B$4:$O$500,MATCH($B$2&amp;$B6,'Quarterly Forecasts'!$B$4:$B$500,0),MATCH(J$2,'Quarterly Forecasts'!$B$4:$O$4,0))</f>
        <v>8.8872595000000008</v>
      </c>
      <c r="K6" s="134">
        <f>INDEX('Quarterly Forecasts'!$B$4:$O$500,MATCH($B$2&amp;$B6,'Quarterly Forecasts'!$B$4:$B$500,0),MATCH(K$2,'Quarterly Forecasts'!$B$4:$O$4,0))</f>
        <v>9.7605935000000006</v>
      </c>
      <c r="L6" s="134">
        <f>INDEX('Quarterly Forecasts'!$B$4:$O$500,MATCH($B$2&amp;$B6,'Quarterly Forecasts'!$B$4:$B$500,0),MATCH(L$2,'Quarterly Forecasts'!$B$4:$O$4,0))</f>
        <v>10.6339275</v>
      </c>
      <c r="M6" s="134">
        <f>INDEX('Quarterly Forecasts'!$B$4:$O$500,MATCH($B$2&amp;$B6,'Quarterly Forecasts'!$B$4:$B$500,0),MATCH(M$2,'Quarterly Forecasts'!$B$4:$O$4,0))</f>
        <v>10.6339275</v>
      </c>
    </row>
    <row r="7" spans="1:13" x14ac:dyDescent="0.25">
      <c r="A7" s="2" t="str">
        <f t="shared" si="1"/>
        <v>EOG ResourcesMarket PricesCondensate</v>
      </c>
      <c r="B7" s="71" t="s">
        <v>24</v>
      </c>
      <c r="C7" s="71"/>
      <c r="D7" s="114"/>
      <c r="E7" s="89">
        <f>INDEX('Quarterly Forecasts'!$B$4:$O$500,MATCH($B2&amp;$B7,'Quarterly Forecasts'!$B$4:$B$500,0),MATCH(E$2,'Quarterly Forecasts'!$B$4:$O$4,0))</f>
        <v>38.614997999999993</v>
      </c>
      <c r="F7" s="134">
        <f>INDEX('Quarterly Forecasts'!$B$4:$O$500,MATCH($B$2&amp;$B7,'Quarterly Forecasts'!$B$4:$B$500,0),MATCH(F$2,'Quarterly Forecasts'!$B$4:$O$4,0))</f>
        <v>30.491153999999998</v>
      </c>
      <c r="G7" s="134">
        <f>INDEX('Quarterly Forecasts'!$B$4:$O$500,MATCH($B$2&amp;$B7,'Quarterly Forecasts'!$B$4:$B$500,0),MATCH(G$2,'Quarterly Forecasts'!$B$4:$O$4,0))</f>
        <v>9</v>
      </c>
      <c r="H7" s="134">
        <f>INDEX('Quarterly Forecasts'!$B$4:$O$500,MATCH($B$2&amp;$B7,'Quarterly Forecasts'!$B$4:$B$500,0),MATCH(H$2,'Quarterly Forecasts'!$B$4:$O$4,0))</f>
        <v>10.199999999999999</v>
      </c>
      <c r="I7" s="134">
        <f>INDEX('Quarterly Forecasts'!$B$4:$O$500,MATCH($B$2&amp;$B7,'Quarterly Forecasts'!$B$4:$B$500,0),MATCH(I$2,'Quarterly Forecasts'!$B$4:$O$4,0))</f>
        <v>11.4</v>
      </c>
      <c r="J7" s="134">
        <f>INDEX('Quarterly Forecasts'!$B$4:$O$500,MATCH($B$2&amp;$B7,'Quarterly Forecasts'!$B$4:$B$500,0),MATCH(J$2,'Quarterly Forecasts'!$B$4:$O$4,0))</f>
        <v>12.6</v>
      </c>
      <c r="K7" s="134">
        <f>INDEX('Quarterly Forecasts'!$B$4:$O$500,MATCH($B$2&amp;$B7,'Quarterly Forecasts'!$B$4:$B$500,0),MATCH(K$2,'Quarterly Forecasts'!$B$4:$O$4,0))</f>
        <v>13.799999999999999</v>
      </c>
      <c r="L7" s="134">
        <f>INDEX('Quarterly Forecasts'!$B$4:$O$500,MATCH($B$2&amp;$B7,'Quarterly Forecasts'!$B$4:$B$500,0),MATCH(L$2,'Quarterly Forecasts'!$B$4:$O$4,0))</f>
        <v>15</v>
      </c>
      <c r="M7" s="134">
        <f>INDEX('Quarterly Forecasts'!$B$4:$O$500,MATCH($B$2&amp;$B7,'Quarterly Forecasts'!$B$4:$B$500,0),MATCH(M$2,'Quarterly Forecasts'!$B$4:$O$4,0))</f>
        <v>15</v>
      </c>
    </row>
    <row r="9" spans="1:13" x14ac:dyDescent="0.25">
      <c r="B9" s="31" t="s">
        <v>242</v>
      </c>
      <c r="C9" s="31"/>
      <c r="D9" s="115"/>
      <c r="E9" s="67"/>
      <c r="F9" s="67"/>
      <c r="G9" s="67"/>
      <c r="H9" s="67"/>
      <c r="I9" s="67"/>
      <c r="J9" s="67"/>
      <c r="K9" s="67"/>
      <c r="L9" s="67"/>
      <c r="M9" s="67"/>
    </row>
    <row r="10" spans="1:13" x14ac:dyDescent="0.25">
      <c r="B10" s="64" t="s">
        <v>523</v>
      </c>
      <c r="C10" s="64"/>
      <c r="D10" s="111"/>
      <c r="E10" s="103"/>
      <c r="F10" s="99"/>
      <c r="G10" s="99"/>
      <c r="H10" s="99"/>
      <c r="I10" s="99"/>
      <c r="J10" s="99"/>
      <c r="K10" s="99"/>
      <c r="L10" s="99"/>
      <c r="M10" s="99"/>
    </row>
    <row r="11" spans="1:13" x14ac:dyDescent="0.25">
      <c r="A11" s="2" t="str">
        <f>B9&amp;B10&amp;B11</f>
        <v>EOG ResourcesRealized pricesOil</v>
      </c>
      <c r="B11" s="70" t="s">
        <v>396</v>
      </c>
      <c r="C11" s="132" t="s">
        <v>542</v>
      </c>
      <c r="D11" s="108"/>
      <c r="E11" s="89">
        <v>57.72</v>
      </c>
      <c r="F11" s="134">
        <f>F4*($E11/$E4)</f>
        <v>45.57683542751964</v>
      </c>
      <c r="G11" s="134">
        <f>G4*($E11/$E4)</f>
        <v>13.452804011539767</v>
      </c>
      <c r="H11" s="134">
        <f t="shared" ref="G11:M14" si="2">H4*($E11/$E4)</f>
        <v>15.246511213078401</v>
      </c>
      <c r="I11" s="134">
        <f t="shared" si="2"/>
        <v>17.040218414617037</v>
      </c>
      <c r="J11" s="134">
        <f t="shared" si="2"/>
        <v>18.833925616155671</v>
      </c>
      <c r="K11" s="134">
        <f t="shared" si="2"/>
        <v>20.627632817694309</v>
      </c>
      <c r="L11" s="134">
        <f t="shared" si="2"/>
        <v>22.421340019232943</v>
      </c>
      <c r="M11" s="134">
        <f t="shared" si="2"/>
        <v>22.421340019232943</v>
      </c>
    </row>
    <row r="12" spans="1:13" x14ac:dyDescent="0.25">
      <c r="A12" s="2" t="str">
        <f>B9&amp;B10&amp;B12</f>
        <v>EOG ResourcesRealized pricesGas</v>
      </c>
      <c r="B12" s="70" t="s">
        <v>26</v>
      </c>
      <c r="C12" s="132" t="s">
        <v>542</v>
      </c>
      <c r="D12" s="108"/>
      <c r="E12" s="89">
        <f>2.38*6</f>
        <v>14.28</v>
      </c>
      <c r="F12" s="134">
        <f>F5*($E12/$E5)</f>
        <v>10.555203290330496</v>
      </c>
      <c r="G12" s="134">
        <f t="shared" si="2"/>
        <v>11.612508956175109</v>
      </c>
      <c r="H12" s="134">
        <f t="shared" si="2"/>
        <v>11.819400757662725</v>
      </c>
      <c r="I12" s="134">
        <f t="shared" si="2"/>
        <v>12.02629255915034</v>
      </c>
      <c r="J12" s="134">
        <f t="shared" si="2"/>
        <v>12.233184360637956</v>
      </c>
      <c r="K12" s="134">
        <f t="shared" si="2"/>
        <v>12.440076162125571</v>
      </c>
      <c r="L12" s="134">
        <f t="shared" si="2"/>
        <v>12.646967963613189</v>
      </c>
      <c r="M12" s="134">
        <f t="shared" si="2"/>
        <v>12.646967963613189</v>
      </c>
    </row>
    <row r="13" spans="1:13" x14ac:dyDescent="0.25">
      <c r="A13" s="2" t="str">
        <f>B9&amp;B10&amp;B13</f>
        <v>EOG ResourcesRealized pricesNGL</v>
      </c>
      <c r="B13" s="70" t="s">
        <v>25</v>
      </c>
      <c r="C13" s="132" t="s">
        <v>542</v>
      </c>
      <c r="D13" s="108"/>
      <c r="E13" s="89">
        <v>16.03</v>
      </c>
      <c r="F13" s="134">
        <f>F6*($E13/$E6)</f>
        <v>13.423847788853733</v>
      </c>
      <c r="G13" s="134">
        <f t="shared" si="2"/>
        <v>4.8730605801836706</v>
      </c>
      <c r="H13" s="134">
        <f t="shared" si="2"/>
        <v>5.5521150930601761</v>
      </c>
      <c r="I13" s="134">
        <f t="shared" si="2"/>
        <v>6.2311696059366808</v>
      </c>
      <c r="J13" s="134">
        <f t="shared" si="2"/>
        <v>6.9102241188131881</v>
      </c>
      <c r="K13" s="134">
        <f t="shared" si="2"/>
        <v>7.5892786316896936</v>
      </c>
      <c r="L13" s="134">
        <f t="shared" si="2"/>
        <v>8.2683331445661992</v>
      </c>
      <c r="M13" s="134">
        <f t="shared" si="2"/>
        <v>8.2683331445661992</v>
      </c>
    </row>
    <row r="14" spans="1:13" x14ac:dyDescent="0.25">
      <c r="A14" s="2" t="str">
        <f>B9&amp;B10&amp;B14</f>
        <v>EOG ResourcesRealized pricesCondensate</v>
      </c>
      <c r="B14" s="70" t="s">
        <v>24</v>
      </c>
      <c r="C14" s="132" t="s">
        <v>543</v>
      </c>
      <c r="D14" s="108"/>
      <c r="E14" s="104">
        <f>E11*0.6</f>
        <v>34.631999999999998</v>
      </c>
      <c r="F14" s="134">
        <f>F7*($E14/$E7)</f>
        <v>27.346101256511783</v>
      </c>
      <c r="G14" s="134">
        <f t="shared" si="2"/>
        <v>8.0716824069238591</v>
      </c>
      <c r="H14" s="134">
        <f t="shared" si="2"/>
        <v>9.1479067278470403</v>
      </c>
      <c r="I14" s="134">
        <f t="shared" si="2"/>
        <v>10.224131048770223</v>
      </c>
      <c r="J14" s="134">
        <f t="shared" si="2"/>
        <v>11.300355369693403</v>
      </c>
      <c r="K14" s="134">
        <f t="shared" si="2"/>
        <v>12.376579690616584</v>
      </c>
      <c r="L14" s="134">
        <f t="shared" si="2"/>
        <v>13.452804011539767</v>
      </c>
      <c r="M14" s="134">
        <f t="shared" si="2"/>
        <v>13.452804011539767</v>
      </c>
    </row>
    <row r="15" spans="1:13" x14ac:dyDescent="0.25">
      <c r="A15" s="2" t="str">
        <f>B9&amp;B10&amp;B15</f>
        <v>EOG ResourcesRealized pricesAverage realized price</v>
      </c>
      <c r="B15" s="97" t="s">
        <v>527</v>
      </c>
      <c r="C15" s="137" t="s">
        <v>541</v>
      </c>
      <c r="D15" s="114"/>
      <c r="E15" s="89">
        <f>AVERAGE(E11:E14)</f>
        <v>30.665500000000002</v>
      </c>
      <c r="F15" s="12">
        <f>F29/F24</f>
        <v>44.286359907546988</v>
      </c>
      <c r="G15" s="12">
        <f t="shared" ref="G15:M15" si="3">G29/G24</f>
        <v>16.907903338536688</v>
      </c>
      <c r="H15" s="12">
        <f t="shared" si="3"/>
        <v>18.602757856292762</v>
      </c>
      <c r="I15" s="12">
        <f t="shared" si="3"/>
        <v>20.297612374048832</v>
      </c>
      <c r="J15" s="12">
        <f t="shared" si="3"/>
        <v>21.922951332374218</v>
      </c>
      <c r="K15" s="12">
        <f t="shared" si="3"/>
        <v>23.601346902906094</v>
      </c>
      <c r="L15" s="12">
        <f t="shared" si="3"/>
        <v>25.279742473437977</v>
      </c>
      <c r="M15" s="12">
        <f t="shared" si="3"/>
        <v>25.279742473437977</v>
      </c>
    </row>
    <row r="16" spans="1:13" x14ac:dyDescent="0.25">
      <c r="B16" s="31"/>
      <c r="C16" s="31"/>
      <c r="D16" s="115"/>
      <c r="E16" s="100"/>
      <c r="F16" s="100"/>
      <c r="G16" s="100"/>
      <c r="H16" s="100"/>
      <c r="I16" s="100"/>
      <c r="J16" s="100"/>
      <c r="K16" s="100"/>
      <c r="L16" s="100"/>
      <c r="M16" s="100"/>
    </row>
    <row r="17" spans="1:13" x14ac:dyDescent="0.25">
      <c r="A17" s="2" t="str">
        <f>B9&amp;B17</f>
        <v>EOG ResourcesNetback price, BOE</v>
      </c>
      <c r="B17" s="91" t="s">
        <v>503</v>
      </c>
      <c r="C17" s="53" t="s">
        <v>535</v>
      </c>
      <c r="D17" s="122"/>
      <c r="E17" s="89">
        <f>E15-(E43/E24)-(E36/E24)-(E37/E24)-(E38/E24)</f>
        <v>20.864179267508447</v>
      </c>
      <c r="F17" s="89">
        <f t="shared" ref="F17:M17" si="4">F15-(F43/F24)-(F36/F24)-(F37/F24)-(F38/F24)</f>
        <v>34.768119897239529</v>
      </c>
      <c r="G17" s="89">
        <f t="shared" si="4"/>
        <v>8.132180688073106</v>
      </c>
      <c r="H17" s="89">
        <f t="shared" si="4"/>
        <v>9.7855753181092062</v>
      </c>
      <c r="I17" s="89">
        <f t="shared" si="4"/>
        <v>11.438969948145301</v>
      </c>
      <c r="J17" s="89">
        <f t="shared" si="4"/>
        <v>13.11612486251561</v>
      </c>
      <c r="K17" s="89">
        <f t="shared" si="4"/>
        <v>14.753060545327514</v>
      </c>
      <c r="L17" s="89">
        <f t="shared" si="4"/>
        <v>16.389996228139427</v>
      </c>
      <c r="M17" s="89">
        <f t="shared" si="4"/>
        <v>16.389996228139427</v>
      </c>
    </row>
    <row r="18" spans="1:13" x14ac:dyDescent="0.25">
      <c r="B18" s="31"/>
      <c r="C18" s="31"/>
      <c r="D18" s="115"/>
      <c r="E18" s="100"/>
      <c r="F18" s="100"/>
      <c r="G18" s="100"/>
      <c r="H18" s="100"/>
      <c r="I18" s="100"/>
      <c r="J18" s="100"/>
      <c r="K18" s="100"/>
      <c r="L18" s="100"/>
      <c r="M18" s="100"/>
    </row>
    <row r="19" spans="1:13" x14ac:dyDescent="0.25">
      <c r="B19" s="64" t="s">
        <v>532</v>
      </c>
      <c r="C19" s="64"/>
      <c r="D19" s="111"/>
      <c r="E19" s="103"/>
      <c r="F19" s="99"/>
      <c r="G19" s="99"/>
      <c r="H19" s="99"/>
      <c r="I19" s="99"/>
      <c r="J19" s="99"/>
      <c r="K19" s="99"/>
      <c r="L19" s="99"/>
      <c r="M19" s="99"/>
    </row>
    <row r="20" spans="1:13" x14ac:dyDescent="0.25">
      <c r="A20" s="2" t="str">
        <f>B9&amp;B19&amp;B20</f>
        <v>EOG ResourcesProduction, BOE/QOil</v>
      </c>
      <c r="B20" s="70" t="s">
        <v>396</v>
      </c>
      <c r="C20" s="73" t="s">
        <v>564</v>
      </c>
      <c r="D20" s="108"/>
      <c r="E20" s="105">
        <f>IF($B$2="A3",SUMIFS('$33'!$H$9:$H$2139,'$33'!$A$9:$A$2139,$B$9,'$33'!$G$9:$G$2139,$B20)*365/4, SUMIFS('$22'!$H$9:$H$2140,'$22'!$A$9:$A$2140,$B$9,'$22'!$G$9:$G$2140, $B20)*365/4)</f>
        <v>41307.023817163019</v>
      </c>
      <c r="F20" s="66">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39591.104326513741</v>
      </c>
      <c r="G20" s="66">
        <f>F20*(1-INDEX(Assumptions!$A$2:$K$596,MATCH($B9&amp;"Oil production reduction",Assumptions!$A$2:$A$596,0),MATCH(G$2,Assumptions!$A$2:$K$2,0)))</f>
        <v>39591.104326513741</v>
      </c>
      <c r="H20" s="66">
        <f>G20*(1-INDEX(Assumptions!$A$2:$K$596,MATCH($B9&amp;"Oil production reduction",Assumptions!$A$2:$A$596,0),MATCH(H$2,Assumptions!$A$2:$K$2,0)))</f>
        <v>39591.104326513741</v>
      </c>
      <c r="I20" s="66">
        <f>H20*(1-INDEX(Assumptions!$A$2:$K$596,MATCH($B9&amp;"Oil production reduction",Assumptions!$A$2:$A$596,0),MATCH(I$2,Assumptions!$A$2:$K$2,0)))</f>
        <v>39591.104326513741</v>
      </c>
      <c r="J20" s="66">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33878.244636901261</v>
      </c>
      <c r="K20" s="66">
        <f>J20*(1-INDEX(Assumptions!$A$2:$K$596,MATCH($B9&amp;"Oil production reduction",Assumptions!$A$2:$A$596,0),MATCH(K$2,Assumptions!$A$2:$K$2,0)))</f>
        <v>33878.244636901261</v>
      </c>
      <c r="L20" s="66">
        <f>K20*(1-INDEX(Assumptions!$A$2:$K$596,MATCH($B9&amp;"Oil production reduction",Assumptions!$A$2:$A$596,0),MATCH(L$2,Assumptions!$A$2:$K$2,0)))</f>
        <v>33878.244636901261</v>
      </c>
      <c r="M20" s="66">
        <f>L20*(1-INDEX(Assumptions!$A$2:$K$596,MATCH($B9&amp;"Oil production reduction",Assumptions!$A$2:$A$596,0),MATCH(M$2,Assumptions!$A$2:$K$2,0)))</f>
        <v>33878.244636901261</v>
      </c>
    </row>
    <row r="21" spans="1:13" x14ac:dyDescent="0.25">
      <c r="A21" s="2" t="str">
        <f>B9&amp;B19&amp;B21</f>
        <v>EOG ResourcesProduction, BOE/QGas</v>
      </c>
      <c r="B21" s="70" t="s">
        <v>26</v>
      </c>
      <c r="C21" s="73" t="s">
        <v>564</v>
      </c>
      <c r="D21" s="108"/>
      <c r="E21" s="105">
        <f>IF($B$2="A3",SUMIFS('$33'!$H$9:$H$2139,'$33'!$A$9:$A$2139,$B$9,'$33'!$G$9:$G$2139,$B21)*365/4, SUMIFS('$22'!$H$9:$H$2140,'$22'!$A$9:$A$2140,$B$9,'$22'!$G$9:$G$2140, $B21)*365/4)</f>
        <v>20745.75862617213</v>
      </c>
      <c r="F21" s="66">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21079.706993947122</v>
      </c>
      <c r="G21" s="66">
        <f>F21*(1-INDEX(Assumptions!$A$2:$K$596,MATCH($B9&amp;"Gas production reduction",Assumptions!$A$2:$A$596,0),MATCH(G$2,Assumptions!$A$2:$K$2,0)))</f>
        <v>21079.706993947122</v>
      </c>
      <c r="H21" s="66">
        <f>G21*(1-INDEX(Assumptions!$A$2:$K$596,MATCH($B9&amp;"Gas production reduction",Assumptions!$A$2:$A$596,0),MATCH(H$2,Assumptions!$A$2:$K$2,0)))</f>
        <v>21079.706993947122</v>
      </c>
      <c r="I21" s="66">
        <f>H21*(1-INDEX(Assumptions!$A$2:$K$596,MATCH($B9&amp;"Gas production reduction",Assumptions!$A$2:$A$596,0),MATCH(I$2,Assumptions!$A$2:$K$2,0)))</f>
        <v>21079.706993947122</v>
      </c>
      <c r="J21" s="66">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18723.170894009621</v>
      </c>
      <c r="K21" s="66">
        <f>J21*(1-INDEX(Assumptions!$A$2:$K$596,MATCH($B9&amp;"Gas production reduction",Assumptions!$A$2:$A$596,0),MATCH(K$2,Assumptions!$A$2:$K$2,0)))</f>
        <v>18723.170894009621</v>
      </c>
      <c r="L21" s="66">
        <f>K21*(1-INDEX(Assumptions!$A$2:$K$596,MATCH($B9&amp;"Gas production reduction",Assumptions!$A$2:$A$596,0),MATCH(L$2,Assumptions!$A$2:$K$2,0)))</f>
        <v>18723.170894009621</v>
      </c>
      <c r="M21" s="66">
        <f>L21*(1-INDEX(Assumptions!$A$2:$K$596,MATCH($B9&amp;"Gas production reduction",Assumptions!$A$2:$A$596,0),MATCH(M$2,Assumptions!$A$2:$K$2,0)))</f>
        <v>18723.170894009621</v>
      </c>
    </row>
    <row r="22" spans="1:13" x14ac:dyDescent="0.25">
      <c r="A22" s="2" t="str">
        <f>B9&amp;B19&amp;B22</f>
        <v>EOG ResourcesProduction, BOE/QNGL</v>
      </c>
      <c r="B22" s="70" t="s">
        <v>25</v>
      </c>
      <c r="C22" s="73" t="s">
        <v>564</v>
      </c>
      <c r="D22" s="108"/>
      <c r="E22" s="105">
        <f>IF($B$2="A3",SUMIFS('$33'!$H$9:$H$2139,'$33'!$A$9:$A$2139,$B$9,'$33'!$G$9:$G$2139,$B22)*365/4, SUMIFS('$22'!$H$9:$H$2140,'$22'!$A$9:$A$2140,$B$9,'$22'!$G$9:$G$2140, $B22)*365/4)</f>
        <v>12158.9736668475</v>
      </c>
      <c r="F22" s="66">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13265.464509794996</v>
      </c>
      <c r="G22" s="66">
        <f>F22*(1-INDEX(Assumptions!$A$2:$K$596,MATCH($B9&amp;"NGL production reduction",Assumptions!$A$2:$A$596,0),MATCH(G$2,Assumptions!$A$2:$K$2,0)))</f>
        <v>13265.464509794996</v>
      </c>
      <c r="H22" s="66">
        <f>G22*(1-INDEX(Assumptions!$A$2:$K$596,MATCH($B9&amp;"NGL production reduction",Assumptions!$A$2:$A$596,0),MATCH(H$2,Assumptions!$A$2:$K$2,0)))</f>
        <v>13265.464509794996</v>
      </c>
      <c r="I22" s="66">
        <f>H22*(1-INDEX(Assumptions!$A$2:$K$596,MATCH($B9&amp;"NGL production reduction",Assumptions!$A$2:$A$596,0),MATCH(I$2,Assumptions!$A$2:$K$2,0)))</f>
        <v>13265.464509794996</v>
      </c>
      <c r="J22" s="66">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11503.901057532625</v>
      </c>
      <c r="K22" s="66">
        <f>J22*(1-INDEX(Assumptions!$A$2:$K$596,MATCH($B9&amp;"NGL production reduction",Assumptions!$A$2:$A$596,0),MATCH(K$2,Assumptions!$A$2:$K$2,0)))</f>
        <v>11503.901057532625</v>
      </c>
      <c r="L22" s="66">
        <f>K22*(1-INDEX(Assumptions!$A$2:$K$596,MATCH($B9&amp;"NGL production reduction",Assumptions!$A$2:$A$596,0),MATCH(L$2,Assumptions!$A$2:$K$2,0)))</f>
        <v>11503.901057532625</v>
      </c>
      <c r="M22" s="66">
        <f>L22*(1-INDEX(Assumptions!$A$2:$K$596,MATCH($B9&amp;"NGL production reduction",Assumptions!$A$2:$A$596,0),MATCH(M$2,Assumptions!$A$2:$K$2,0)))</f>
        <v>11503.901057532625</v>
      </c>
    </row>
    <row r="23" spans="1:13" x14ac:dyDescent="0.25">
      <c r="A23" s="2" t="str">
        <f>B9&amp;B19&amp;B23</f>
        <v>EOG ResourcesProduction, BOE/QCondensate</v>
      </c>
      <c r="B23" s="70" t="s">
        <v>24</v>
      </c>
      <c r="C23" s="73" t="s">
        <v>564</v>
      </c>
      <c r="D23" s="108"/>
      <c r="E23" s="105">
        <f>IF($B$2="A3",SUMIFS('$33'!$H$9:$H$2139,'$33'!$A$9:$A$2139,$B$9,'$33'!$G$9:$G$2139,$B23)*365/4, SUMIFS('$22'!$H$9:$H$2140,'$22'!$A$9:$A$2140,$B$9,'$22'!$G$9:$G$2140, $B23)*365/4)</f>
        <v>102.64190613875</v>
      </c>
      <c r="F23" s="66">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84.865626316250001</v>
      </c>
      <c r="G23" s="66">
        <f>F23*(1-INDEX(Assumptions!$A$2:$K$596,MATCH($B9&amp;"Condensate production reduction",Assumptions!$A$2:$A$596,0),MATCH(G$2,Assumptions!$A$2:$K$2,0)))</f>
        <v>84.865626316250001</v>
      </c>
      <c r="H23" s="66">
        <f>G23*(1-INDEX(Assumptions!$A$2:$K$596,MATCH($B9&amp;"Condensate production reduction",Assumptions!$A$2:$A$596,0),MATCH(H$2,Assumptions!$A$2:$K$2,0)))</f>
        <v>84.865626316250001</v>
      </c>
      <c r="I23" s="66">
        <f>H23*(1-INDEX(Assumptions!$A$2:$K$596,MATCH($B9&amp;"Condensate production reduction",Assumptions!$A$2:$A$596,0),MATCH(I$2,Assumptions!$A$2:$K$2,0)))</f>
        <v>84.865626316250001</v>
      </c>
      <c r="J23" s="66">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82.467270993749992</v>
      </c>
      <c r="K23" s="66">
        <f>J23*(1-INDEX(Assumptions!$A$2:$K$596,MATCH($B9&amp;"Condensate production reduction",Assumptions!$A$2:$A$596,0),MATCH(K$2,Assumptions!$A$2:$K$2,0)))</f>
        <v>82.467270993749992</v>
      </c>
      <c r="L23" s="66">
        <f>K23*(1-INDEX(Assumptions!$A$2:$K$596,MATCH($B9&amp;"Condensate production reduction",Assumptions!$A$2:$A$596,0),MATCH(L$2,Assumptions!$A$2:$K$2,0)))</f>
        <v>82.467270993749992</v>
      </c>
      <c r="M23" s="66">
        <f>L23*(1-INDEX(Assumptions!$A$2:$K$596,MATCH($B9&amp;"Condensate production reduction",Assumptions!$A$2:$A$596,0),MATCH(M$2,Assumptions!$A$2:$K$2,0)))</f>
        <v>82.467270993749992</v>
      </c>
    </row>
    <row r="24" spans="1:13" x14ac:dyDescent="0.25">
      <c r="A24" s="2" t="str">
        <f>B9&amp;B19&amp;B24</f>
        <v>EOG ResourcesProduction, BOE/QTotal production</v>
      </c>
      <c r="B24" s="97" t="s">
        <v>397</v>
      </c>
      <c r="C24" s="77"/>
      <c r="D24" s="114"/>
      <c r="E24" s="120">
        <f>SUM(E20:E23)</f>
        <v>74314.3980163214</v>
      </c>
      <c r="F24" s="121">
        <f>SUM(F20:F23)</f>
        <v>74021.141456572121</v>
      </c>
      <c r="G24" s="121">
        <f t="shared" ref="G24:M24" si="5">SUM(G20:G23)</f>
        <v>74021.141456572121</v>
      </c>
      <c r="H24" s="121">
        <f t="shared" si="5"/>
        <v>74021.141456572121</v>
      </c>
      <c r="I24" s="121">
        <f t="shared" si="5"/>
        <v>74021.141456572121</v>
      </c>
      <c r="J24" s="121">
        <f t="shared" si="5"/>
        <v>64187.783859437259</v>
      </c>
      <c r="K24" s="121">
        <f t="shared" si="5"/>
        <v>64187.783859437259</v>
      </c>
      <c r="L24" s="121">
        <f t="shared" si="5"/>
        <v>64187.783859437259</v>
      </c>
      <c r="M24" s="121">
        <f t="shared" si="5"/>
        <v>64187.783859437259</v>
      </c>
    </row>
    <row r="25" spans="1:13" x14ac:dyDescent="0.25">
      <c r="B25" s="31"/>
      <c r="C25" s="31"/>
      <c r="D25" s="115"/>
      <c r="E25" s="67"/>
      <c r="F25" s="67"/>
      <c r="G25" s="67"/>
      <c r="H25" s="67"/>
      <c r="I25" s="197">
        <f>SUM($F$29:$I$29)</f>
        <v>7409119.0236022146</v>
      </c>
      <c r="J25" s="67"/>
      <c r="K25" s="67"/>
      <c r="L25" s="67"/>
      <c r="M25" s="197">
        <f>SUM($J$29:$M$29)</f>
        <v>6167405.1072932789</v>
      </c>
    </row>
    <row r="26" spans="1:13" x14ac:dyDescent="0.25">
      <c r="A26" s="2" t="str">
        <f>B9&amp;B26</f>
        <v>EOG ResourcesRevenues</v>
      </c>
      <c r="B26" s="64" t="s">
        <v>472</v>
      </c>
      <c r="C26" s="64"/>
      <c r="D26" s="111"/>
      <c r="E26" s="53"/>
      <c r="F26" s="202">
        <f>F29/$I$25</f>
        <v>0.44244489808714377</v>
      </c>
      <c r="G26" s="202">
        <f t="shared" ref="G26:I26" si="6">G29/$I$25</f>
        <v>0.16891917929365224</v>
      </c>
      <c r="H26" s="202">
        <f t="shared" si="6"/>
        <v>0.18585170063761872</v>
      </c>
      <c r="I26" s="202">
        <f t="shared" si="6"/>
        <v>0.20278422198158519</v>
      </c>
      <c r="J26" s="202">
        <f>J29/$M$25</f>
        <v>0.2281649473648695</v>
      </c>
      <c r="K26" s="202">
        <f t="shared" ref="K26:M26" si="7">K29/$M$25</f>
        <v>0.24563298947297391</v>
      </c>
      <c r="L26" s="202">
        <f t="shared" si="7"/>
        <v>0.26310103158107834</v>
      </c>
      <c r="M26" s="202">
        <f t="shared" si="7"/>
        <v>0.26310103158107834</v>
      </c>
    </row>
    <row r="27" spans="1:13" x14ac:dyDescent="0.25">
      <c r="A27" s="2" t="str">
        <f>B9&amp;B27</f>
        <v>EOG ResourcesSales Revenue</v>
      </c>
      <c r="B27" s="70" t="s">
        <v>461</v>
      </c>
      <c r="C27" s="82" t="s">
        <v>536</v>
      </c>
      <c r="D27" s="108"/>
      <c r="E27" s="83">
        <f>(9612532+784818+1184095)/4</f>
        <v>2895361.25</v>
      </c>
      <c r="F27" s="50">
        <f>SUMPRODUCT(F11:F14,F20:F23)</f>
        <v>2207332.1593433619</v>
      </c>
      <c r="G27" s="50">
        <f t="shared" ref="G27:M27" si="8">SUMPRODUCT(G11:G14,G20:G23)</f>
        <v>842728.07392916852</v>
      </c>
      <c r="H27" s="50">
        <f t="shared" si="8"/>
        <v>927203.44942314376</v>
      </c>
      <c r="I27" s="50">
        <f t="shared" si="8"/>
        <v>1011678.824917119</v>
      </c>
      <c r="J27" s="50">
        <f t="shared" si="8"/>
        <v>947530.78487627418</v>
      </c>
      <c r="K27" s="50">
        <f t="shared" si="8"/>
        <v>1020072.6360243197</v>
      </c>
      <c r="L27" s="50">
        <f t="shared" si="8"/>
        <v>1092614.4871723652</v>
      </c>
      <c r="M27" s="50">
        <f t="shared" si="8"/>
        <v>1092614.4871723652</v>
      </c>
    </row>
    <row r="28" spans="1:13" x14ac:dyDescent="0.25">
      <c r="A28" s="2" t="str">
        <f>B9&amp;B28</f>
        <v>EOG ResourcesOther Revenue</v>
      </c>
      <c r="B28" s="70" t="s">
        <v>462</v>
      </c>
      <c r="C28" s="82" t="s">
        <v>533</v>
      </c>
      <c r="D28" s="139">
        <f>$E28/$E27</f>
        <v>0.48510811906458995</v>
      </c>
      <c r="E28" s="83">
        <f>(5360282+123613+134358)/4</f>
        <v>1404563.25</v>
      </c>
      <c r="F28" s="50">
        <f>F27*$D28</f>
        <v>1070794.751969838</v>
      </c>
      <c r="G28" s="50">
        <f t="shared" ref="G28:M28" si="9">G27*$D28</f>
        <v>408814.23082670366</v>
      </c>
      <c r="H28" s="50">
        <f t="shared" si="9"/>
        <v>449793.92133986094</v>
      </c>
      <c r="I28" s="50">
        <f t="shared" si="9"/>
        <v>490773.61185301823</v>
      </c>
      <c r="J28" s="50">
        <f t="shared" si="9"/>
        <v>459654.876807124</v>
      </c>
      <c r="K28" s="50">
        <f t="shared" si="9"/>
        <v>494845.51777101582</v>
      </c>
      <c r="L28" s="50">
        <f t="shared" si="9"/>
        <v>530036.15873490763</v>
      </c>
      <c r="M28" s="50">
        <f t="shared" si="9"/>
        <v>530036.15873490763</v>
      </c>
    </row>
    <row r="29" spans="1:13" x14ac:dyDescent="0.25">
      <c r="A29" s="2" t="str">
        <f>B9&amp;B29</f>
        <v>EOG ResourcesTotal Revenue</v>
      </c>
      <c r="B29" s="84" t="s">
        <v>395</v>
      </c>
      <c r="C29" s="85"/>
      <c r="D29" s="63">
        <f>SUMPRODUCT(E11:E14,E20:E23)*(1+D28)</f>
        <v>4275557.7968694195</v>
      </c>
      <c r="E29" s="63">
        <f>SUM(E27:E28)</f>
        <v>4299924.5</v>
      </c>
      <c r="F29" s="62">
        <f t="shared" ref="F29:M29" si="10">SUM(F27:F28)</f>
        <v>3278126.9113131999</v>
      </c>
      <c r="G29" s="62">
        <f t="shared" si="10"/>
        <v>1251542.3047558721</v>
      </c>
      <c r="H29" s="62">
        <f t="shared" si="10"/>
        <v>1376997.3707630048</v>
      </c>
      <c r="I29" s="62">
        <f t="shared" si="10"/>
        <v>1502452.4367701372</v>
      </c>
      <c r="J29" s="62">
        <f t="shared" si="10"/>
        <v>1407185.6616833983</v>
      </c>
      <c r="K29" s="62">
        <f t="shared" si="10"/>
        <v>1514918.1537953354</v>
      </c>
      <c r="L29" s="62">
        <f t="shared" si="10"/>
        <v>1622650.6459072728</v>
      </c>
      <c r="M29" s="62">
        <f t="shared" si="10"/>
        <v>1622650.6459072728</v>
      </c>
    </row>
    <row r="30" spans="1:13" x14ac:dyDescent="0.25">
      <c r="A30" s="2" t="str">
        <f>B9&amp;B30</f>
        <v>EOG ResourcesCosts and Expenses</v>
      </c>
      <c r="B30" s="72" t="s">
        <v>473</v>
      </c>
      <c r="C30" s="72"/>
      <c r="D30" s="112"/>
      <c r="E30" s="83"/>
      <c r="F30" s="199"/>
      <c r="G30" s="50"/>
      <c r="H30" s="50"/>
      <c r="I30" s="50"/>
      <c r="J30" s="50"/>
      <c r="K30" s="50"/>
      <c r="L30" s="50"/>
      <c r="M30" s="50"/>
    </row>
    <row r="31" spans="1:13" x14ac:dyDescent="0.25">
      <c r="A31" s="2" t="str">
        <f>B9&amp;B31</f>
        <v>EOG ResourcesImpairment</v>
      </c>
      <c r="B31" s="70" t="s">
        <v>463</v>
      </c>
      <c r="C31" s="82" t="s">
        <v>537</v>
      </c>
      <c r="D31" s="108"/>
      <c r="E31" s="83">
        <f>517896/4</f>
        <v>129474</v>
      </c>
      <c r="F31" s="157">
        <f>E31</f>
        <v>129474</v>
      </c>
      <c r="G31" s="157">
        <f t="shared" ref="G31:M31" si="11">F31</f>
        <v>129474</v>
      </c>
      <c r="H31" s="157">
        <f t="shared" si="11"/>
        <v>129474</v>
      </c>
      <c r="I31" s="157">
        <f t="shared" si="11"/>
        <v>129474</v>
      </c>
      <c r="J31" s="157">
        <f t="shared" si="11"/>
        <v>129474</v>
      </c>
      <c r="K31" s="157">
        <f t="shared" si="11"/>
        <v>129474</v>
      </c>
      <c r="L31" s="157">
        <f t="shared" si="11"/>
        <v>129474</v>
      </c>
      <c r="M31" s="157">
        <f t="shared" si="11"/>
        <v>129474</v>
      </c>
    </row>
    <row r="32" spans="1:13" x14ac:dyDescent="0.25">
      <c r="A32" s="2" t="str">
        <f>B9&amp;B32</f>
        <v>EOG ResourcesDD&amp;A</v>
      </c>
      <c r="B32" s="70" t="s">
        <v>464</v>
      </c>
      <c r="C32" s="106" t="s">
        <v>545</v>
      </c>
      <c r="D32" s="108">
        <f>E32/E24</f>
        <v>12.614325420413371</v>
      </c>
      <c r="E32" s="83">
        <f>3749704/4</f>
        <v>937426</v>
      </c>
      <c r="F32" s="50">
        <f>$D32*F24</f>
        <v>933726.76632365165</v>
      </c>
      <c r="G32" s="50">
        <f t="shared" ref="G32:M32" si="12">$D32*G24</f>
        <v>933726.76632365165</v>
      </c>
      <c r="H32" s="50">
        <f t="shared" si="12"/>
        <v>933726.76632365165</v>
      </c>
      <c r="I32" s="50">
        <f t="shared" si="12"/>
        <v>933726.76632365165</v>
      </c>
      <c r="J32" s="50">
        <f t="shared" si="12"/>
        <v>809685.59361809853</v>
      </c>
      <c r="K32" s="50">
        <f t="shared" si="12"/>
        <v>809685.59361809853</v>
      </c>
      <c r="L32" s="50">
        <f t="shared" si="12"/>
        <v>809685.59361809853</v>
      </c>
      <c r="M32" s="50">
        <f t="shared" si="12"/>
        <v>809685.59361809853</v>
      </c>
    </row>
    <row r="33" spans="1:13" x14ac:dyDescent="0.25">
      <c r="A33" s="2" t="str">
        <f>B9&amp;B33</f>
        <v>EOG ResourcesAsset retirement obligation</v>
      </c>
      <c r="B33" s="70" t="s">
        <v>465</v>
      </c>
      <c r="C33" s="106" t="s">
        <v>545</v>
      </c>
      <c r="D33" s="108">
        <f>E33/E24</f>
        <v>0</v>
      </c>
      <c r="E33" s="83">
        <v>0</v>
      </c>
      <c r="F33" s="50">
        <f>$D33*F24</f>
        <v>0</v>
      </c>
      <c r="G33" s="50">
        <f t="shared" ref="G33:M33" si="13">$D33*G24</f>
        <v>0</v>
      </c>
      <c r="H33" s="50">
        <f t="shared" si="13"/>
        <v>0</v>
      </c>
      <c r="I33" s="50">
        <f t="shared" si="13"/>
        <v>0</v>
      </c>
      <c r="J33" s="50">
        <f t="shared" si="13"/>
        <v>0</v>
      </c>
      <c r="K33" s="50">
        <f t="shared" si="13"/>
        <v>0</v>
      </c>
      <c r="L33" s="50">
        <f t="shared" si="13"/>
        <v>0</v>
      </c>
      <c r="M33" s="50">
        <f t="shared" si="13"/>
        <v>0</v>
      </c>
    </row>
    <row r="34" spans="1:13" x14ac:dyDescent="0.25">
      <c r="A34" s="2" t="str">
        <f>B9&amp;B34</f>
        <v>EOG ResourcesNon-cash compensation</v>
      </c>
      <c r="B34" s="70" t="s">
        <v>505</v>
      </c>
      <c r="C34" s="106" t="s">
        <v>878</v>
      </c>
      <c r="D34" s="108">
        <f>E34/E24</f>
        <v>0</v>
      </c>
      <c r="E34" s="83">
        <f>0/4</f>
        <v>0</v>
      </c>
      <c r="F34" s="50">
        <f>$E34*((F$4*0.0266+11.643)*F$24)/(($E$4*0.0266+11.643)*$E$24)</f>
        <v>0</v>
      </c>
      <c r="G34" s="50">
        <f t="shared" ref="G34:M34" si="14">$E34*((G$4*0.0266+11.643)*G$24)/(($E$4*0.0266+11.643)*$E$24)</f>
        <v>0</v>
      </c>
      <c r="H34" s="50">
        <f t="shared" si="14"/>
        <v>0</v>
      </c>
      <c r="I34" s="50">
        <f t="shared" si="14"/>
        <v>0</v>
      </c>
      <c r="J34" s="50">
        <f t="shared" si="14"/>
        <v>0</v>
      </c>
      <c r="K34" s="50">
        <f t="shared" si="14"/>
        <v>0</v>
      </c>
      <c r="L34" s="50">
        <f t="shared" si="14"/>
        <v>0</v>
      </c>
      <c r="M34" s="50">
        <f t="shared" si="14"/>
        <v>0</v>
      </c>
    </row>
    <row r="35" spans="1:13" x14ac:dyDescent="0.25">
      <c r="A35" s="2" t="str">
        <f>B9&amp;B35</f>
        <v>EOG ResourcesTaxes other than income</v>
      </c>
      <c r="B35" s="70" t="s">
        <v>467</v>
      </c>
      <c r="C35" s="106" t="s">
        <v>545</v>
      </c>
      <c r="D35" s="108">
        <f>E35/E24</f>
        <v>2.6918202305301016</v>
      </c>
      <c r="E35" s="83">
        <f>800164/4</f>
        <v>200041</v>
      </c>
      <c r="F35" s="50">
        <f>$D35*F24</f>
        <v>199251.60605973122</v>
      </c>
      <c r="G35" s="50">
        <f t="shared" ref="G35:M35" si="15">$D35*G24</f>
        <v>199251.60605973122</v>
      </c>
      <c r="H35" s="50">
        <f t="shared" si="15"/>
        <v>199251.60605973122</v>
      </c>
      <c r="I35" s="50">
        <f t="shared" si="15"/>
        <v>199251.60605973122</v>
      </c>
      <c r="J35" s="50">
        <f t="shared" si="15"/>
        <v>172781.97514572673</v>
      </c>
      <c r="K35" s="50">
        <f t="shared" si="15"/>
        <v>172781.97514572673</v>
      </c>
      <c r="L35" s="50">
        <f t="shared" si="15"/>
        <v>172781.97514572673</v>
      </c>
      <c r="M35" s="50">
        <f t="shared" si="15"/>
        <v>172781.97514572673</v>
      </c>
    </row>
    <row r="36" spans="1:13" x14ac:dyDescent="0.25">
      <c r="A36" s="2" t="str">
        <f>B9&amp;B36</f>
        <v>EOG ResourcesLease operating expenses</v>
      </c>
      <c r="B36" s="70" t="s">
        <v>468</v>
      </c>
      <c r="C36" s="106" t="s">
        <v>878</v>
      </c>
      <c r="D36" s="108">
        <f>E36/E24</f>
        <v>4.5986815357764597</v>
      </c>
      <c r="E36" s="83">
        <f>1366993/4</f>
        <v>341748.25</v>
      </c>
      <c r="F36" s="50">
        <f>$E36*((F$4*0.0266+11.643)*F$24)/(($E$4*0.0266+11.643)*$E$24)</f>
        <v>331219.72567753162</v>
      </c>
      <c r="G36" s="50">
        <f t="shared" ref="G36:M38" si="16">$E36*((G$4*0.0266+11.643)*G$24)/(($E$4*0.0266+11.643)*$E$24)</f>
        <v>306934.75584747107</v>
      </c>
      <c r="H36" s="50">
        <f t="shared" si="16"/>
        <v>308290.75393840997</v>
      </c>
      <c r="I36" s="50">
        <f t="shared" si="16"/>
        <v>309646.75202934881</v>
      </c>
      <c r="J36" s="50">
        <f t="shared" si="16"/>
        <v>269687.50969780108</v>
      </c>
      <c r="K36" s="50">
        <f t="shared" si="16"/>
        <v>270863.36987318157</v>
      </c>
      <c r="L36" s="50">
        <f t="shared" si="16"/>
        <v>272039.23004856205</v>
      </c>
      <c r="M36" s="50">
        <f t="shared" si="16"/>
        <v>272039.23004856205</v>
      </c>
    </row>
    <row r="37" spans="1:13" x14ac:dyDescent="0.25">
      <c r="A37" s="2" t="str">
        <f>B9&amp;B37</f>
        <v>EOG ResourcesTransportation, Processing, and Other Operating</v>
      </c>
      <c r="B37" s="70" t="s">
        <v>469</v>
      </c>
      <c r="C37" s="106" t="s">
        <v>878</v>
      </c>
      <c r="D37" s="108">
        <f>E37/E24</f>
        <v>4.1627263122290037</v>
      </c>
      <c r="E37" s="83">
        <f>(758300+479102)/4</f>
        <v>309350.5</v>
      </c>
      <c r="F37" s="50">
        <f>$E37*((F$4*0.0266+11.643)*F$24)/(($E$4*0.0266+11.643)*$E$24)</f>
        <v>299820.08027314616</v>
      </c>
      <c r="G37" s="50">
        <f t="shared" si="16"/>
        <v>277837.32671284524</v>
      </c>
      <c r="H37" s="50">
        <f t="shared" si="16"/>
        <v>279064.77612167463</v>
      </c>
      <c r="I37" s="50">
        <f t="shared" si="16"/>
        <v>280292.22553050402</v>
      </c>
      <c r="J37" s="50">
        <f t="shared" si="16"/>
        <v>244121.12123110978</v>
      </c>
      <c r="K37" s="50">
        <f t="shared" si="16"/>
        <v>245185.50980715672</v>
      </c>
      <c r="L37" s="50">
        <f t="shared" si="16"/>
        <v>246249.89838320372</v>
      </c>
      <c r="M37" s="50">
        <f t="shared" si="16"/>
        <v>246249.89838320372</v>
      </c>
    </row>
    <row r="38" spans="1:13" x14ac:dyDescent="0.25">
      <c r="A38" s="2" t="str">
        <f>B9&amp;B38</f>
        <v>EOG ResourcesSG&amp;A</v>
      </c>
      <c r="B38" s="70" t="s">
        <v>470</v>
      </c>
      <c r="C38" s="106" t="s">
        <v>878</v>
      </c>
      <c r="D38" s="108">
        <f>E38/E24</f>
        <v>1.6463734251487696</v>
      </c>
      <c r="E38" s="83">
        <f>(489397)/4</f>
        <v>122349.25</v>
      </c>
      <c r="F38" s="50">
        <f>$E38*((F$4*0.0266+11.643)*F$24)/(($E$4*0.0266+11.643)*$E$24)</f>
        <v>118579.93426989527</v>
      </c>
      <c r="G38" s="50">
        <f t="shared" si="16"/>
        <v>109885.67513329242</v>
      </c>
      <c r="H38" s="50">
        <f t="shared" si="16"/>
        <v>110371.13584721796</v>
      </c>
      <c r="I38" s="50">
        <f t="shared" si="16"/>
        <v>110856.59656114349</v>
      </c>
      <c r="J38" s="50">
        <f t="shared" si="16"/>
        <v>96550.793005944259</v>
      </c>
      <c r="K38" s="50">
        <f t="shared" si="16"/>
        <v>96971.762566322897</v>
      </c>
      <c r="L38" s="50">
        <f t="shared" si="16"/>
        <v>97392.73212670155</v>
      </c>
      <c r="M38" s="50">
        <f t="shared" si="16"/>
        <v>97392.73212670155</v>
      </c>
    </row>
    <row r="39" spans="1:13" x14ac:dyDescent="0.25">
      <c r="A39" s="2" t="str">
        <f>B9&amp;B39</f>
        <v>EOG ResourcesExploratory and dirt well, dry hole</v>
      </c>
      <c r="B39" s="70" t="s">
        <v>561</v>
      </c>
      <c r="C39" s="106" t="s">
        <v>545</v>
      </c>
      <c r="D39" s="108">
        <f>E39/E24</f>
        <v>0.56476942719474321</v>
      </c>
      <c r="E39" s="83">
        <f>(28001+139881)/4</f>
        <v>41970.5</v>
      </c>
      <c r="F39" s="50">
        <f>$D39*F$24</f>
        <v>41804.877660729297</v>
      </c>
      <c r="G39" s="50">
        <f t="shared" ref="G39:M39" si="17">$D39*G$24</f>
        <v>41804.877660729297</v>
      </c>
      <c r="H39" s="50">
        <f t="shared" si="17"/>
        <v>41804.877660729297</v>
      </c>
      <c r="I39" s="50">
        <f t="shared" si="17"/>
        <v>41804.877660729297</v>
      </c>
      <c r="J39" s="50">
        <f t="shared" si="17"/>
        <v>36251.297923194361</v>
      </c>
      <c r="K39" s="50">
        <f t="shared" si="17"/>
        <v>36251.297923194361</v>
      </c>
      <c r="L39" s="50">
        <f t="shared" si="17"/>
        <v>36251.297923194361</v>
      </c>
      <c r="M39" s="50">
        <f t="shared" si="17"/>
        <v>36251.297923194361</v>
      </c>
    </row>
    <row r="40" spans="1:13" x14ac:dyDescent="0.25">
      <c r="A40" s="2" t="str">
        <f>B9&amp;B40</f>
        <v>EOG ResourcesOther Expenses (benefits)</v>
      </c>
      <c r="B40" s="70" t="s">
        <v>471</v>
      </c>
      <c r="C40" s="106" t="s">
        <v>545</v>
      </c>
      <c r="D40" s="108">
        <f>E40/E24</f>
        <v>18.002985097264276</v>
      </c>
      <c r="E40" s="146">
        <f>(5351524)/4</f>
        <v>1337881</v>
      </c>
      <c r="F40" s="50">
        <f t="shared" ref="F40:M40" si="18">$D40*F24</f>
        <v>1332601.5065251586</v>
      </c>
      <c r="G40" s="50">
        <f t="shared" si="18"/>
        <v>1332601.5065251586</v>
      </c>
      <c r="H40" s="50">
        <f t="shared" si="18"/>
        <v>1332601.5065251586</v>
      </c>
      <c r="I40" s="50">
        <f t="shared" si="18"/>
        <v>1332601.5065251586</v>
      </c>
      <c r="J40" s="50">
        <f t="shared" si="18"/>
        <v>1155571.7162478694</v>
      </c>
      <c r="K40" s="50">
        <f t="shared" si="18"/>
        <v>1155571.7162478694</v>
      </c>
      <c r="L40" s="50">
        <f t="shared" si="18"/>
        <v>1155571.7162478694</v>
      </c>
      <c r="M40" s="50">
        <f t="shared" si="18"/>
        <v>1155571.7162478694</v>
      </c>
    </row>
    <row r="41" spans="1:13" x14ac:dyDescent="0.25">
      <c r="A41" s="2" t="str">
        <f>B9&amp;B41</f>
        <v>EOG ResourcesTotal Costs and Expenses</v>
      </c>
      <c r="B41" s="84" t="s">
        <v>474</v>
      </c>
      <c r="C41" s="85"/>
      <c r="D41" s="110"/>
      <c r="E41" s="63">
        <f>SUM(E31:E40)</f>
        <v>3420240.5</v>
      </c>
      <c r="F41" s="62">
        <f t="shared" ref="F41:M41" si="19">SUM(F31:F40)</f>
        <v>3386478.4967898438</v>
      </c>
      <c r="G41" s="62">
        <f t="shared" si="19"/>
        <v>3331516.5142628793</v>
      </c>
      <c r="H41" s="62">
        <f t="shared" si="19"/>
        <v>3334585.4224765729</v>
      </c>
      <c r="I41" s="62">
        <f t="shared" si="19"/>
        <v>3337654.330690267</v>
      </c>
      <c r="J41" s="62">
        <f t="shared" si="19"/>
        <v>2914124.0068697445</v>
      </c>
      <c r="K41" s="62">
        <f t="shared" si="19"/>
        <v>2916785.2251815507</v>
      </c>
      <c r="L41" s="62">
        <f t="shared" si="19"/>
        <v>2919446.4434933569</v>
      </c>
      <c r="M41" s="62">
        <f t="shared" si="19"/>
        <v>2919446.4434933569</v>
      </c>
    </row>
    <row r="42" spans="1:13" x14ac:dyDescent="0.25">
      <c r="A42" s="2" t="str">
        <f>B9&amp;B42</f>
        <v>EOG ResourcesOther (Income) Expense</v>
      </c>
      <c r="B42" s="72" t="s">
        <v>506</v>
      </c>
      <c r="C42" s="72"/>
      <c r="D42" s="112"/>
      <c r="E42" s="83"/>
      <c r="F42" s="50"/>
      <c r="G42" s="50"/>
      <c r="H42" s="50"/>
      <c r="I42" s="50"/>
      <c r="J42" s="50"/>
      <c r="K42" s="50"/>
      <c r="L42" s="50"/>
      <c r="M42" s="50"/>
    </row>
    <row r="43" spans="1:13" x14ac:dyDescent="0.25">
      <c r="A43" s="2" t="str">
        <f>B9&amp;B43</f>
        <v>EOG ResourcesLoss (gain) on derivative instruments, net</v>
      </c>
      <c r="B43" s="70" t="s">
        <v>466</v>
      </c>
      <c r="C43" s="107" t="s">
        <v>879</v>
      </c>
      <c r="D43" s="108"/>
      <c r="E43" s="83">
        <f>-180275/4</f>
        <v>-45068.75</v>
      </c>
      <c r="F43" s="157">
        <f>E43</f>
        <v>-45068.75</v>
      </c>
      <c r="G43" s="157">
        <f t="shared" ref="G43:M43" si="20">F43</f>
        <v>-45068.75</v>
      </c>
      <c r="H43" s="157">
        <f t="shared" si="20"/>
        <v>-45068.75</v>
      </c>
      <c r="I43" s="157">
        <f t="shared" si="20"/>
        <v>-45068.75</v>
      </c>
      <c r="J43" s="157">
        <f t="shared" si="20"/>
        <v>-45068.75</v>
      </c>
      <c r="K43" s="157">
        <f t="shared" si="20"/>
        <v>-45068.75</v>
      </c>
      <c r="L43" s="157">
        <f t="shared" si="20"/>
        <v>-45068.75</v>
      </c>
      <c r="M43" s="157">
        <f t="shared" si="20"/>
        <v>-45068.75</v>
      </c>
    </row>
    <row r="44" spans="1:13" x14ac:dyDescent="0.25">
      <c r="A44" s="2" t="str">
        <f>B9&amp;B44</f>
        <v>EOG ResourcesInterest expense, net</v>
      </c>
      <c r="B44" s="70" t="s">
        <v>475</v>
      </c>
      <c r="C44" s="82" t="s">
        <v>526</v>
      </c>
      <c r="D44" s="108"/>
      <c r="E44" s="188">
        <f>185129/4</f>
        <v>46282.25</v>
      </c>
      <c r="F44" s="188">
        <f>$E73*(F78/E78)*(($E44/$E73)+IF($B$2="A3",(('Quarterly Forecasts'!$K$5-'Quarterly Forecasts'!$G$5)/400),(('Quarterly Forecasts'!$K$26-'Quarterly Forecasts'!$G$26)/400)))</f>
        <v>60468.207367896553</v>
      </c>
      <c r="G44" s="188">
        <f>$E73*(G78/F78)*(($E44/$E73)+IF($B$2="A3",(('Quarterly Forecasts'!$K$5-'Quarterly Forecasts'!$G$5)/400),(('Quarterly Forecasts'!$K$26-'Quarterly Forecasts'!$G$26)/400)))</f>
        <v>60505.665049864991</v>
      </c>
      <c r="H44" s="188">
        <f>$E73*(H78/G78)*(($E44/$E73)+IF($B$2="A3",(('Quarterly Forecasts'!$K$5-'Quarterly Forecasts'!$G$5)/400),(('Quarterly Forecasts'!$K$26-'Quarterly Forecasts'!$G$26)/400)))</f>
        <v>60505.665049864991</v>
      </c>
      <c r="I44" s="188">
        <f>$E73*(I78/H78)*(($E44/$E73)+IF($B$2="A3",(('Quarterly Forecasts'!$K$5-'Quarterly Forecasts'!$G$5)/400),(('Quarterly Forecasts'!$K$26-'Quarterly Forecasts'!$G$26)/400)))</f>
        <v>60505.665049864991</v>
      </c>
      <c r="J44" s="188">
        <f>$I73*(J78/I78)*(($I44/$I73)+ IF($B$2 = "A3", (('Quarterly Forecasts'!$O$5-'Quarterly Forecasts'!$K$5)/400),  (('Quarterly Forecasts'!$O$26-'Quarterly Forecasts'!$K$26)/400)))</f>
        <v>43277.327274070325</v>
      </c>
      <c r="K44" s="188">
        <f>$I73*(K78/J78)*(($I44/$I73)+ IF($B$2 = "A3", (('Quarterly Forecasts'!$O$5-'Quarterly Forecasts'!$K$5)/400),  (('Quarterly Forecasts'!$O$26-'Quarterly Forecasts'!$K$26)/400)))</f>
        <v>44195.330673252494</v>
      </c>
      <c r="L44" s="188">
        <f>$I73*(L78/K78)*(($I44/$I73)+ IF($B$2 = "A3", (('Quarterly Forecasts'!$O$5-'Quarterly Forecasts'!$K$5)/400),  (('Quarterly Forecasts'!$O$26-'Quarterly Forecasts'!$K$26)/400)))</f>
        <v>44195.330673252494</v>
      </c>
      <c r="M44" s="188">
        <f>$I73*(M78/L78)*(($I44/$I73)+ IF($B$2 = "A3", (('Quarterly Forecasts'!$O$5-'Quarterly Forecasts'!$K$5)/400),  (('Quarterly Forecasts'!$O$26-'Quarterly Forecasts'!$K$26)/400)))</f>
        <v>44195.330673252494</v>
      </c>
    </row>
    <row r="45" spans="1:13" x14ac:dyDescent="0.25">
      <c r="A45" s="2" t="str">
        <f>B9&amp;B45</f>
        <v>EOG ResourcesOther, net</v>
      </c>
      <c r="B45" s="70" t="s">
        <v>508</v>
      </c>
      <c r="C45" s="82" t="s">
        <v>509</v>
      </c>
      <c r="D45" s="108"/>
      <c r="E45" s="83">
        <f>(-31385)/4</f>
        <v>-7846.25</v>
      </c>
      <c r="F45" s="50">
        <f>E45</f>
        <v>-7846.25</v>
      </c>
      <c r="G45" s="50">
        <f t="shared" ref="G45:M45" si="21">F45</f>
        <v>-7846.25</v>
      </c>
      <c r="H45" s="50">
        <f t="shared" si="21"/>
        <v>-7846.25</v>
      </c>
      <c r="I45" s="50">
        <f t="shared" si="21"/>
        <v>-7846.25</v>
      </c>
      <c r="J45" s="50">
        <f t="shared" si="21"/>
        <v>-7846.25</v>
      </c>
      <c r="K45" s="50">
        <f t="shared" si="21"/>
        <v>-7846.25</v>
      </c>
      <c r="L45" s="50">
        <f t="shared" si="21"/>
        <v>-7846.25</v>
      </c>
      <c r="M45" s="50">
        <f t="shared" si="21"/>
        <v>-7846.25</v>
      </c>
    </row>
    <row r="46" spans="1:13" x14ac:dyDescent="0.25">
      <c r="A46" s="2" t="str">
        <f>B9&amp;B46</f>
        <v>EOG ResourcesTotal Other (Income) Expense</v>
      </c>
      <c r="B46" s="84" t="s">
        <v>518</v>
      </c>
      <c r="C46" s="84"/>
      <c r="D46" s="110"/>
      <c r="E46" s="63">
        <f>SUM(E43:E45)</f>
        <v>-6632.75</v>
      </c>
      <c r="F46" s="62">
        <f t="shared" ref="F46:M46" si="22">SUM(F43:F45)</f>
        <v>7553.2073678965535</v>
      </c>
      <c r="G46" s="62">
        <f t="shared" si="22"/>
        <v>7590.6650498649906</v>
      </c>
      <c r="H46" s="62">
        <f t="shared" si="22"/>
        <v>7590.6650498649906</v>
      </c>
      <c r="I46" s="62">
        <f t="shared" si="22"/>
        <v>7590.6650498649906</v>
      </c>
      <c r="J46" s="62">
        <f t="shared" si="22"/>
        <v>-9637.6727259296749</v>
      </c>
      <c r="K46" s="62">
        <f t="shared" si="22"/>
        <v>-8719.6693267475057</v>
      </c>
      <c r="L46" s="62">
        <f t="shared" si="22"/>
        <v>-8719.6693267475057</v>
      </c>
      <c r="M46" s="62">
        <f t="shared" si="22"/>
        <v>-8719.6693267475057</v>
      </c>
    </row>
    <row r="47" spans="1:13" x14ac:dyDescent="0.25">
      <c r="A47" s="2" t="str">
        <f>B9&amp;B47</f>
        <v>EOG ResourcesIncome (loss) from continuing operations before income taxes</v>
      </c>
      <c r="B47" s="72" t="s">
        <v>476</v>
      </c>
      <c r="C47" s="72"/>
      <c r="D47" s="112"/>
      <c r="E47" s="63">
        <f>(E29-E41-E46)</f>
        <v>886316.75</v>
      </c>
      <c r="F47" s="62">
        <f>F29-F41-F46</f>
        <v>-115904.79284454042</v>
      </c>
      <c r="G47" s="62">
        <f>G29-G41-G46</f>
        <v>-2087564.8745568721</v>
      </c>
      <c r="H47" s="62">
        <f t="shared" ref="H47:M47" si="23">H29-H41-H46</f>
        <v>-1965178.7167634331</v>
      </c>
      <c r="I47" s="62">
        <f t="shared" si="23"/>
        <v>-1842792.5589699948</v>
      </c>
      <c r="J47" s="62">
        <f t="shared" si="23"/>
        <v>-1497300.6724604166</v>
      </c>
      <c r="K47" s="62">
        <f t="shared" si="23"/>
        <v>-1393147.4020594677</v>
      </c>
      <c r="L47" s="62">
        <f t="shared" si="23"/>
        <v>-1288076.1282593366</v>
      </c>
      <c r="M47" s="62">
        <f t="shared" si="23"/>
        <v>-1288076.1282593366</v>
      </c>
    </row>
    <row r="48" spans="1:13" x14ac:dyDescent="0.25">
      <c r="A48" s="2" t="str">
        <f>B9&amp;B48</f>
        <v>EOG ResourcesIncome tax (benefit) expense</v>
      </c>
      <c r="B48" s="73" t="s">
        <v>477</v>
      </c>
      <c r="C48" s="73" t="s">
        <v>525</v>
      </c>
      <c r="D48" s="109">
        <f>ABS(E48/E47)</f>
        <v>0.22857432176476411</v>
      </c>
      <c r="E48" s="83">
        <f>810357/4</f>
        <v>202589.25</v>
      </c>
      <c r="F48" s="50">
        <f>($D48*F47)</f>
        <v>-26492.859413726314</v>
      </c>
      <c r="G48" s="50">
        <f t="shared" ref="G48:M48" si="24">($D48*G47)</f>
        <v>-477163.72534178192</v>
      </c>
      <c r="H48" s="50">
        <f t="shared" si="24"/>
        <v>-449189.39233075117</v>
      </c>
      <c r="I48" s="50">
        <f t="shared" si="24"/>
        <v>-421215.0593197206</v>
      </c>
      <c r="J48" s="50">
        <f t="shared" si="24"/>
        <v>-342244.48568556493</v>
      </c>
      <c r="K48" s="50">
        <f t="shared" si="24"/>
        <v>-318437.72254408599</v>
      </c>
      <c r="L48" s="50">
        <f t="shared" si="24"/>
        <v>-294421.12739826116</v>
      </c>
      <c r="M48" s="50">
        <f t="shared" si="24"/>
        <v>-294421.12739826116</v>
      </c>
    </row>
    <row r="49" spans="1:13" ht="11" thickBot="1" x14ac:dyDescent="0.3">
      <c r="A49" s="2" t="str">
        <f>B9&amp;B49</f>
        <v>EOG ResourcesNet (loss) Income</v>
      </c>
      <c r="B49" s="74" t="s">
        <v>478</v>
      </c>
      <c r="C49" s="74"/>
      <c r="D49" s="116"/>
      <c r="E49" s="86">
        <f>(E47-E48)</f>
        <v>683727.5</v>
      </c>
      <c r="F49" s="34">
        <f>F47-F48</f>
        <v>-89411.933430814111</v>
      </c>
      <c r="G49" s="34">
        <f t="shared" ref="G49:M49" si="25">G47-G48</f>
        <v>-1610401.1492150901</v>
      </c>
      <c r="H49" s="34">
        <f t="shared" si="25"/>
        <v>-1515989.3244326818</v>
      </c>
      <c r="I49" s="34">
        <f t="shared" si="25"/>
        <v>-1421577.4996502742</v>
      </c>
      <c r="J49" s="34">
        <f t="shared" si="25"/>
        <v>-1155056.1867748518</v>
      </c>
      <c r="K49" s="34">
        <f t="shared" si="25"/>
        <v>-1074709.6795153818</v>
      </c>
      <c r="L49" s="34">
        <f t="shared" si="25"/>
        <v>-993655.00086107547</v>
      </c>
      <c r="M49" s="34">
        <f t="shared" si="25"/>
        <v>-993655.00086107547</v>
      </c>
    </row>
    <row r="50" spans="1:13" ht="11" thickTop="1" x14ac:dyDescent="0.25"/>
    <row r="51" spans="1:13" x14ac:dyDescent="0.25">
      <c r="A51" s="2" t="str">
        <f>B9&amp;B51</f>
        <v>EOG ResourcesCurrent Assets</v>
      </c>
      <c r="B51" s="64" t="s">
        <v>479</v>
      </c>
      <c r="C51" s="64"/>
      <c r="D51" s="111"/>
      <c r="E51" s="83"/>
      <c r="F51" s="50"/>
      <c r="G51" s="50"/>
      <c r="H51" s="50"/>
      <c r="I51" s="50"/>
      <c r="J51" s="50"/>
      <c r="K51" s="50"/>
      <c r="L51" s="50"/>
      <c r="M51" s="50"/>
    </row>
    <row r="52" spans="1:13" x14ac:dyDescent="0.25">
      <c r="A52" s="2" t="str">
        <f>B9&amp;B52</f>
        <v>EOG ResourcesCash and cash equivalents</v>
      </c>
      <c r="B52" s="70" t="s">
        <v>480</v>
      </c>
      <c r="C52" s="82" t="s">
        <v>538</v>
      </c>
      <c r="D52" s="140">
        <v>2406</v>
      </c>
      <c r="E52" s="83">
        <v>2027972</v>
      </c>
      <c r="F52" s="50">
        <f>F49+E52</f>
        <v>1938560.0665691858</v>
      </c>
      <c r="G52" s="50">
        <f t="shared" ref="G52:M52" si="26">G49+F52</f>
        <v>328158.91735409573</v>
      </c>
      <c r="H52" s="50">
        <f t="shared" si="26"/>
        <v>-1187830.4070785861</v>
      </c>
      <c r="I52" s="50">
        <f>I49+H52</f>
        <v>-2609407.90672886</v>
      </c>
      <c r="J52" s="50">
        <f t="shared" si="26"/>
        <v>-3764464.0935037117</v>
      </c>
      <c r="K52" s="50">
        <f t="shared" si="26"/>
        <v>-4839173.773019094</v>
      </c>
      <c r="L52" s="50">
        <f t="shared" si="26"/>
        <v>-5832828.7738801697</v>
      </c>
      <c r="M52" s="50">
        <f t="shared" si="26"/>
        <v>-6826483.7747412454</v>
      </c>
    </row>
    <row r="53" spans="1:13" x14ac:dyDescent="0.25">
      <c r="A53" s="2" t="str">
        <f>B9&amp;B53</f>
        <v>EOG ResourcesAccounts receivable, net of allowance</v>
      </c>
      <c r="B53" s="70" t="s">
        <v>481</v>
      </c>
      <c r="C53" s="82"/>
      <c r="D53" s="108"/>
      <c r="E53" s="83"/>
      <c r="F53" s="50"/>
      <c r="G53" s="50"/>
      <c r="H53" s="50"/>
      <c r="I53" s="50"/>
      <c r="J53" s="50"/>
      <c r="K53" s="50"/>
      <c r="L53" s="50"/>
      <c r="M53" s="50"/>
    </row>
    <row r="54" spans="1:13" x14ac:dyDescent="0.25">
      <c r="A54" s="2" t="str">
        <f>B9&amp;B54</f>
        <v>EOG ResourcesOil and gas sales</v>
      </c>
      <c r="B54" s="75" t="s">
        <v>482</v>
      </c>
      <c r="C54" s="82" t="s">
        <v>539</v>
      </c>
      <c r="D54" s="133">
        <f>E54/E29</f>
        <v>0.46551003395524737</v>
      </c>
      <c r="E54" s="83">
        <v>2001658</v>
      </c>
      <c r="F54" s="50">
        <f t="shared" ref="F54:M54" si="27">$D54*F29</f>
        <v>1526000.969795018</v>
      </c>
      <c r="G54" s="50">
        <f t="shared" si="27"/>
        <v>582605.5007833346</v>
      </c>
      <c r="H54" s="50">
        <f t="shared" si="27"/>
        <v>641006.09282017266</v>
      </c>
      <c r="I54" s="50">
        <f t="shared" si="27"/>
        <v>699406.68485701072</v>
      </c>
      <c r="J54" s="50">
        <f t="shared" si="27"/>
        <v>655059.04515157593</v>
      </c>
      <c r="K54" s="50">
        <f t="shared" si="27"/>
        <v>705209.60121268721</v>
      </c>
      <c r="L54" s="50">
        <f t="shared" si="27"/>
        <v>755360.1572737986</v>
      </c>
      <c r="M54" s="50">
        <f t="shared" si="27"/>
        <v>755360.1572737986</v>
      </c>
    </row>
    <row r="55" spans="1:13" x14ac:dyDescent="0.25">
      <c r="A55" s="2" t="str">
        <f>B9&amp;B55</f>
        <v>EOG ResourcesOther receivable</v>
      </c>
      <c r="B55" s="75" t="s">
        <v>569</v>
      </c>
      <c r="C55" s="82" t="s">
        <v>539</v>
      </c>
      <c r="D55" s="133">
        <f>E55/E29</f>
        <v>0</v>
      </c>
      <c r="E55" s="83">
        <v>0</v>
      </c>
      <c r="F55" s="50">
        <f t="shared" ref="F55:M55" si="28">$D55*F29</f>
        <v>0</v>
      </c>
      <c r="G55" s="50">
        <f t="shared" si="28"/>
        <v>0</v>
      </c>
      <c r="H55" s="50">
        <f t="shared" si="28"/>
        <v>0</v>
      </c>
      <c r="I55" s="50">
        <f t="shared" si="28"/>
        <v>0</v>
      </c>
      <c r="J55" s="50">
        <f t="shared" si="28"/>
        <v>0</v>
      </c>
      <c r="K55" s="50">
        <f t="shared" si="28"/>
        <v>0</v>
      </c>
      <c r="L55" s="50">
        <f t="shared" si="28"/>
        <v>0</v>
      </c>
      <c r="M55" s="50">
        <f t="shared" si="28"/>
        <v>0</v>
      </c>
    </row>
    <row r="56" spans="1:13" x14ac:dyDescent="0.25">
      <c r="A56" s="2" t="str">
        <f>B9&amp;B56</f>
        <v>EOG ResourcesInventory</v>
      </c>
      <c r="B56" s="70" t="s">
        <v>484</v>
      </c>
      <c r="C56" s="82" t="s">
        <v>539</v>
      </c>
      <c r="D56" s="133">
        <f>E56/E29</f>
        <v>0.17844429594054501</v>
      </c>
      <c r="E56" s="83">
        <v>767297</v>
      </c>
      <c r="F56" s="50">
        <f t="shared" ref="F56:M56" si="29">$D56*F29</f>
        <v>584963.04869303736</v>
      </c>
      <c r="G56" s="50">
        <f t="shared" si="29"/>
        <v>223330.58541196861</v>
      </c>
      <c r="H56" s="50">
        <f t="shared" si="29"/>
        <v>245717.32633778598</v>
      </c>
      <c r="I56" s="50">
        <f t="shared" si="29"/>
        <v>268104.06726360333</v>
      </c>
      <c r="J56" s="50">
        <f t="shared" si="29"/>
        <v>251104.25465672396</v>
      </c>
      <c r="K56" s="50">
        <f t="shared" si="29"/>
        <v>270328.50336155889</v>
      </c>
      <c r="L56" s="50">
        <f t="shared" si="29"/>
        <v>289552.75206639391</v>
      </c>
      <c r="M56" s="50">
        <f t="shared" si="29"/>
        <v>289552.75206639391</v>
      </c>
    </row>
    <row r="57" spans="1:13" x14ac:dyDescent="0.25">
      <c r="A57" s="2" t="str">
        <f>B9&amp;B57</f>
        <v>EOG ResourcesDerivative instruments current assets</v>
      </c>
      <c r="B57" s="70" t="s">
        <v>813</v>
      </c>
      <c r="C57" s="107" t="s">
        <v>507</v>
      </c>
      <c r="D57" s="108"/>
      <c r="E57" s="83">
        <v>0</v>
      </c>
      <c r="F57" s="138"/>
      <c r="G57" s="138"/>
      <c r="H57" s="138"/>
      <c r="I57" s="138"/>
      <c r="J57" s="138"/>
      <c r="K57" s="138"/>
      <c r="L57" s="138"/>
      <c r="M57" s="138"/>
    </row>
    <row r="58" spans="1:13" x14ac:dyDescent="0.25">
      <c r="A58" s="2" t="str">
        <f>B9&amp;B58</f>
        <v>EOG ResourcesPrepaid expenses</v>
      </c>
      <c r="B58" s="70" t="s">
        <v>486</v>
      </c>
      <c r="C58" s="82" t="s">
        <v>509</v>
      </c>
      <c r="D58" s="108"/>
      <c r="E58" s="83">
        <v>0</v>
      </c>
      <c r="F58" s="50">
        <f>E58</f>
        <v>0</v>
      </c>
      <c r="G58" s="50">
        <f t="shared" ref="G58:M59" si="30">F58</f>
        <v>0</v>
      </c>
      <c r="H58" s="50">
        <f t="shared" si="30"/>
        <v>0</v>
      </c>
      <c r="I58" s="50">
        <f t="shared" si="30"/>
        <v>0</v>
      </c>
      <c r="J58" s="50">
        <f t="shared" si="30"/>
        <v>0</v>
      </c>
      <c r="K58" s="50">
        <f t="shared" si="30"/>
        <v>0</v>
      </c>
      <c r="L58" s="50">
        <f t="shared" si="30"/>
        <v>0</v>
      </c>
      <c r="M58" s="50">
        <f t="shared" si="30"/>
        <v>0</v>
      </c>
    </row>
    <row r="59" spans="1:13" x14ac:dyDescent="0.25">
      <c r="A59" s="2" t="str">
        <f>B9&amp;B59</f>
        <v>EOG ResourcesOther current assets</v>
      </c>
      <c r="B59" s="70" t="s">
        <v>568</v>
      </c>
      <c r="C59" s="82" t="s">
        <v>509</v>
      </c>
      <c r="D59" s="108"/>
      <c r="E59" s="83">
        <f>1299+151665+323448</f>
        <v>476412</v>
      </c>
      <c r="F59" s="50">
        <f>E59</f>
        <v>476412</v>
      </c>
      <c r="G59" s="50">
        <f t="shared" si="30"/>
        <v>476412</v>
      </c>
      <c r="H59" s="50">
        <f t="shared" si="30"/>
        <v>476412</v>
      </c>
      <c r="I59" s="50">
        <f t="shared" si="30"/>
        <v>476412</v>
      </c>
      <c r="J59" s="50">
        <f t="shared" si="30"/>
        <v>476412</v>
      </c>
      <c r="K59" s="50">
        <f t="shared" si="30"/>
        <v>476412</v>
      </c>
      <c r="L59" s="50">
        <f t="shared" si="30"/>
        <v>476412</v>
      </c>
      <c r="M59" s="50">
        <f t="shared" si="30"/>
        <v>476412</v>
      </c>
    </row>
    <row r="60" spans="1:13" x14ac:dyDescent="0.25">
      <c r="A60" s="2" t="str">
        <f>B9&amp;B60</f>
        <v>EOG ResourcesTotal current assets</v>
      </c>
      <c r="B60" s="76" t="s">
        <v>487</v>
      </c>
      <c r="C60" s="87"/>
      <c r="D60" s="111"/>
      <c r="E60" s="63">
        <f>SUM(E52:E59)</f>
        <v>5273339</v>
      </c>
      <c r="F60" s="62">
        <f t="shared" ref="F60:M60" si="31">SUM(F52:F59)</f>
        <v>4525936.0850572409</v>
      </c>
      <c r="G60" s="62">
        <f t="shared" si="31"/>
        <v>1610507.0035493989</v>
      </c>
      <c r="H60" s="62">
        <f t="shared" si="31"/>
        <v>175305.01207937259</v>
      </c>
      <c r="I60" s="62">
        <f>SUM(I52:I59)</f>
        <v>-1165485.1546082459</v>
      </c>
      <c r="J60" s="62">
        <f t="shared" si="31"/>
        <v>-2381888.7936954116</v>
      </c>
      <c r="K60" s="62">
        <f t="shared" si="31"/>
        <v>-3387223.6684448477</v>
      </c>
      <c r="L60" s="62">
        <f t="shared" si="31"/>
        <v>-4311503.8645399772</v>
      </c>
      <c r="M60" s="62">
        <f t="shared" si="31"/>
        <v>-5305158.8654010529</v>
      </c>
    </row>
    <row r="61" spans="1:13" x14ac:dyDescent="0.25">
      <c r="A61" s="2" t="str">
        <f>B9&amp;B61</f>
        <v>EOG ResourcesProperty and equipment, net</v>
      </c>
      <c r="B61" s="72" t="s">
        <v>488</v>
      </c>
      <c r="C61" s="73" t="s">
        <v>509</v>
      </c>
      <c r="D61" s="112"/>
      <c r="E61" s="83">
        <v>30364595</v>
      </c>
      <c r="F61" s="50">
        <f>E61</f>
        <v>30364595</v>
      </c>
      <c r="G61" s="50">
        <f t="shared" ref="G61:M61" si="32">F61</f>
        <v>30364595</v>
      </c>
      <c r="H61" s="50">
        <f t="shared" si="32"/>
        <v>30364595</v>
      </c>
      <c r="I61" s="50">
        <f t="shared" si="32"/>
        <v>30364595</v>
      </c>
      <c r="J61" s="50">
        <f t="shared" si="32"/>
        <v>30364595</v>
      </c>
      <c r="K61" s="50">
        <f t="shared" si="32"/>
        <v>30364595</v>
      </c>
      <c r="L61" s="50">
        <f t="shared" si="32"/>
        <v>30364595</v>
      </c>
      <c r="M61" s="50">
        <f t="shared" si="32"/>
        <v>30364595</v>
      </c>
    </row>
    <row r="62" spans="1:13" x14ac:dyDescent="0.25">
      <c r="A62" s="2" t="str">
        <f>B9&amp;B62</f>
        <v>EOG ResourcesDerivative instruments total assets</v>
      </c>
      <c r="B62" s="73" t="s">
        <v>814</v>
      </c>
      <c r="C62" s="95" t="s">
        <v>507</v>
      </c>
      <c r="D62" s="108"/>
      <c r="E62" s="83">
        <v>0</v>
      </c>
      <c r="F62" s="138"/>
      <c r="G62" s="138"/>
      <c r="H62" s="138"/>
      <c r="I62" s="138"/>
      <c r="J62" s="138"/>
      <c r="K62" s="138"/>
      <c r="L62" s="138"/>
      <c r="M62" s="138"/>
    </row>
    <row r="63" spans="1:13" x14ac:dyDescent="0.25">
      <c r="A63" s="2" t="str">
        <f>B9&amp;B63</f>
        <v>EOG ResourcesDeferred income taxes assets</v>
      </c>
      <c r="B63" s="73" t="s">
        <v>815</v>
      </c>
      <c r="C63" s="73" t="s">
        <v>509</v>
      </c>
      <c r="D63" s="108"/>
      <c r="E63" s="83">
        <v>2363</v>
      </c>
      <c r="F63" s="50">
        <f>E63</f>
        <v>2363</v>
      </c>
      <c r="G63" s="50">
        <f t="shared" ref="G63:M65" si="33">F63</f>
        <v>2363</v>
      </c>
      <c r="H63" s="50">
        <f t="shared" si="33"/>
        <v>2363</v>
      </c>
      <c r="I63" s="50">
        <f t="shared" si="33"/>
        <v>2363</v>
      </c>
      <c r="J63" s="50">
        <f t="shared" si="33"/>
        <v>2363</v>
      </c>
      <c r="K63" s="50">
        <f t="shared" si="33"/>
        <v>2363</v>
      </c>
      <c r="L63" s="50">
        <f t="shared" si="33"/>
        <v>2363</v>
      </c>
      <c r="M63" s="50">
        <f t="shared" si="33"/>
        <v>2363</v>
      </c>
    </row>
    <row r="64" spans="1:13" x14ac:dyDescent="0.25">
      <c r="A64" s="2" t="str">
        <f>B9&amp;B64</f>
        <v>EOG ResourcesGoodwill</v>
      </c>
      <c r="B64" s="73" t="s">
        <v>490</v>
      </c>
      <c r="C64" s="73" t="s">
        <v>509</v>
      </c>
      <c r="D64" s="108"/>
      <c r="E64" s="83">
        <v>0</v>
      </c>
      <c r="F64" s="50">
        <f>E64</f>
        <v>0</v>
      </c>
      <c r="G64" s="50">
        <f t="shared" si="33"/>
        <v>0</v>
      </c>
      <c r="H64" s="50">
        <f t="shared" si="33"/>
        <v>0</v>
      </c>
      <c r="I64" s="50">
        <f t="shared" si="33"/>
        <v>0</v>
      </c>
      <c r="J64" s="50">
        <f t="shared" si="33"/>
        <v>0</v>
      </c>
      <c r="K64" s="50">
        <f t="shared" si="33"/>
        <v>0</v>
      </c>
      <c r="L64" s="50">
        <f t="shared" si="33"/>
        <v>0</v>
      </c>
      <c r="M64" s="50">
        <f t="shared" si="33"/>
        <v>0</v>
      </c>
    </row>
    <row r="65" spans="1:13" x14ac:dyDescent="0.25">
      <c r="A65" s="2" t="str">
        <f>B9&amp;B65</f>
        <v>EOG ResourcesOther assets</v>
      </c>
      <c r="B65" s="77" t="s">
        <v>491</v>
      </c>
      <c r="C65" s="77" t="s">
        <v>509</v>
      </c>
      <c r="D65" s="114"/>
      <c r="E65" s="83">
        <f>1484311</f>
        <v>1484311</v>
      </c>
      <c r="F65" s="50">
        <f>E65</f>
        <v>1484311</v>
      </c>
      <c r="G65" s="50">
        <f t="shared" si="33"/>
        <v>1484311</v>
      </c>
      <c r="H65" s="50">
        <f t="shared" si="33"/>
        <v>1484311</v>
      </c>
      <c r="I65" s="50">
        <f t="shared" si="33"/>
        <v>1484311</v>
      </c>
      <c r="J65" s="50">
        <f t="shared" si="33"/>
        <v>1484311</v>
      </c>
      <c r="K65" s="50">
        <f t="shared" si="33"/>
        <v>1484311</v>
      </c>
      <c r="L65" s="50">
        <f t="shared" si="33"/>
        <v>1484311</v>
      </c>
      <c r="M65" s="50">
        <f t="shared" si="33"/>
        <v>1484311</v>
      </c>
    </row>
    <row r="66" spans="1:13" x14ac:dyDescent="0.25">
      <c r="A66" s="2" t="str">
        <f>B9&amp;B66</f>
        <v>EOG ResourcesTotal assets</v>
      </c>
      <c r="B66" s="78" t="s">
        <v>492</v>
      </c>
      <c r="C66" s="88"/>
      <c r="D66" s="112"/>
      <c r="E66" s="63">
        <f>SUM(E60:E65)</f>
        <v>37124608</v>
      </c>
      <c r="F66" s="62">
        <f t="shared" ref="F66:M66" si="34">SUM(F60:F65)</f>
        <v>36377205.085057244</v>
      </c>
      <c r="G66" s="62">
        <f t="shared" si="34"/>
        <v>33461776.003549397</v>
      </c>
      <c r="H66" s="62">
        <f t="shared" si="34"/>
        <v>32026574.012079373</v>
      </c>
      <c r="I66" s="62">
        <f t="shared" si="34"/>
        <v>30685783.845391754</v>
      </c>
      <c r="J66" s="62">
        <f t="shared" si="34"/>
        <v>29469380.206304587</v>
      </c>
      <c r="K66" s="62">
        <f t="shared" si="34"/>
        <v>28464045.33155515</v>
      </c>
      <c r="L66" s="62">
        <f t="shared" si="34"/>
        <v>27539765.135460023</v>
      </c>
      <c r="M66" s="62">
        <f t="shared" si="34"/>
        <v>26546110.134598948</v>
      </c>
    </row>
    <row r="67" spans="1:13" x14ac:dyDescent="0.25">
      <c r="A67" s="2" t="str">
        <f>B9&amp;B67</f>
        <v>EOG ResourcesCurrent liabilities</v>
      </c>
      <c r="B67" s="72" t="s">
        <v>498</v>
      </c>
      <c r="C67" s="72"/>
      <c r="D67" s="112"/>
      <c r="E67" s="83"/>
      <c r="F67" s="50"/>
      <c r="G67" s="50"/>
      <c r="H67" s="50"/>
      <c r="I67" s="50"/>
      <c r="J67" s="50"/>
      <c r="K67" s="50"/>
      <c r="L67" s="50"/>
      <c r="M67" s="50"/>
    </row>
    <row r="68" spans="1:13" x14ac:dyDescent="0.25">
      <c r="A68" s="2" t="str">
        <f>B9&amp;B68</f>
        <v>EOG ResourcesAccounts payable</v>
      </c>
      <c r="B68" s="70" t="s">
        <v>493</v>
      </c>
      <c r="C68" s="82" t="s">
        <v>539</v>
      </c>
      <c r="D68" s="108">
        <f>E68/E24</f>
        <v>32.687165136781431</v>
      </c>
      <c r="E68" s="83">
        <f>2429127</f>
        <v>2429127</v>
      </c>
      <c r="F68" s="50">
        <f t="shared" ref="F68:M68" si="35">$D68*F24</f>
        <v>2419541.2744040308</v>
      </c>
      <c r="G68" s="50">
        <f t="shared" si="35"/>
        <v>2419541.2744040308</v>
      </c>
      <c r="H68" s="50">
        <f t="shared" si="35"/>
        <v>2419541.2744040308</v>
      </c>
      <c r="I68" s="50">
        <f t="shared" si="35"/>
        <v>2419541.2744040308</v>
      </c>
      <c r="J68" s="50">
        <f t="shared" si="35"/>
        <v>2098116.6907774592</v>
      </c>
      <c r="K68" s="50">
        <f t="shared" si="35"/>
        <v>2098116.6907774592</v>
      </c>
      <c r="L68" s="50">
        <f t="shared" si="35"/>
        <v>2098116.6907774592</v>
      </c>
      <c r="M68" s="50">
        <f t="shared" si="35"/>
        <v>2098116.6907774592</v>
      </c>
    </row>
    <row r="69" spans="1:13" x14ac:dyDescent="0.25">
      <c r="A69" s="2" t="str">
        <f>B9&amp;B69</f>
        <v>EOG ResourcesAccrued liabilities</v>
      </c>
      <c r="B69" s="70" t="s">
        <v>510</v>
      </c>
      <c r="C69" s="82" t="s">
        <v>507</v>
      </c>
      <c r="D69" s="108"/>
      <c r="E69" s="83">
        <f>(254850+166273)</f>
        <v>421123</v>
      </c>
      <c r="F69" s="50">
        <f>E69</f>
        <v>421123</v>
      </c>
      <c r="G69" s="50">
        <f t="shared" ref="G69:M69" si="36">F69</f>
        <v>421123</v>
      </c>
      <c r="H69" s="50">
        <f t="shared" si="36"/>
        <v>421123</v>
      </c>
      <c r="I69" s="50">
        <f t="shared" si="36"/>
        <v>421123</v>
      </c>
      <c r="J69" s="50">
        <f t="shared" si="36"/>
        <v>421123</v>
      </c>
      <c r="K69" s="50">
        <f t="shared" si="36"/>
        <v>421123</v>
      </c>
      <c r="L69" s="50">
        <f t="shared" si="36"/>
        <v>421123</v>
      </c>
      <c r="M69" s="50">
        <f t="shared" si="36"/>
        <v>421123</v>
      </c>
    </row>
    <row r="70" spans="1:13" x14ac:dyDescent="0.25">
      <c r="A70" s="2" t="str">
        <f>B9&amp;B70</f>
        <v>EOG ResourcesDerivative instruments current liabilities</v>
      </c>
      <c r="B70" s="70" t="s">
        <v>812</v>
      </c>
      <c r="C70" s="107" t="s">
        <v>507</v>
      </c>
      <c r="D70" s="108"/>
      <c r="E70" s="83">
        <v>0</v>
      </c>
      <c r="F70" s="138"/>
      <c r="G70" s="138"/>
      <c r="H70" s="138"/>
      <c r="I70" s="138"/>
      <c r="J70" s="138"/>
      <c r="K70" s="138"/>
      <c r="L70" s="138"/>
      <c r="M70" s="138"/>
    </row>
    <row r="71" spans="1:13" x14ac:dyDescent="0.25">
      <c r="A71" s="2" t="str">
        <f>B9&amp;B71</f>
        <v>EOG ResourcesOther current liabilities</v>
      </c>
      <c r="B71" s="70" t="s">
        <v>494</v>
      </c>
      <c r="C71" s="82" t="s">
        <v>509</v>
      </c>
      <c r="D71" s="108"/>
      <c r="E71" s="83">
        <f>20194+1014524+369365+232655</f>
        <v>1636738</v>
      </c>
      <c r="F71" s="50">
        <f>E71</f>
        <v>1636738</v>
      </c>
      <c r="G71" s="50">
        <f t="shared" ref="G71:M71" si="37">F71</f>
        <v>1636738</v>
      </c>
      <c r="H71" s="50">
        <f t="shared" si="37"/>
        <v>1636738</v>
      </c>
      <c r="I71" s="50">
        <f t="shared" si="37"/>
        <v>1636738</v>
      </c>
      <c r="J71" s="50">
        <f t="shared" si="37"/>
        <v>1636738</v>
      </c>
      <c r="K71" s="50">
        <f t="shared" si="37"/>
        <v>1636738</v>
      </c>
      <c r="L71" s="50">
        <f t="shared" si="37"/>
        <v>1636738</v>
      </c>
      <c r="M71" s="50">
        <f t="shared" si="37"/>
        <v>1636738</v>
      </c>
    </row>
    <row r="72" spans="1:13" x14ac:dyDescent="0.25">
      <c r="A72" s="2" t="str">
        <f>B9&amp;B72</f>
        <v>EOG ResourcesTotal current liabilities</v>
      </c>
      <c r="B72" s="76" t="s">
        <v>497</v>
      </c>
      <c r="C72" s="87"/>
      <c r="D72" s="111"/>
      <c r="E72" s="63">
        <f>SUM(E68:E71)</f>
        <v>4486988</v>
      </c>
      <c r="F72" s="62">
        <f t="shared" ref="F72:M72" si="38">SUM(F68:F71)</f>
        <v>4477402.2744040303</v>
      </c>
      <c r="G72" s="62">
        <f>SUM(G68:G71)</f>
        <v>4477402.2744040303</v>
      </c>
      <c r="H72" s="62">
        <f t="shared" si="38"/>
        <v>4477402.2744040303</v>
      </c>
      <c r="I72" s="62">
        <f t="shared" si="38"/>
        <v>4477402.2744040303</v>
      </c>
      <c r="J72" s="62">
        <f t="shared" si="38"/>
        <v>4155977.6907774592</v>
      </c>
      <c r="K72" s="62">
        <f t="shared" si="38"/>
        <v>4155977.6907774592</v>
      </c>
      <c r="L72" s="62">
        <f t="shared" si="38"/>
        <v>4155977.6907774592</v>
      </c>
      <c r="M72" s="62">
        <f t="shared" si="38"/>
        <v>4155977.6907774592</v>
      </c>
    </row>
    <row r="73" spans="1:13" x14ac:dyDescent="0.25">
      <c r="A73" s="2" t="str">
        <f>B9&amp;B73</f>
        <v>EOG ResourcesLong-term debt, net</v>
      </c>
      <c r="B73" s="73" t="s">
        <v>511</v>
      </c>
      <c r="C73" s="73" t="s">
        <v>509</v>
      </c>
      <c r="D73" s="108"/>
      <c r="E73" s="83">
        <v>4160919</v>
      </c>
      <c r="F73" s="50">
        <f t="shared" ref="F73:M74" si="39">E73</f>
        <v>4160919</v>
      </c>
      <c r="G73" s="50">
        <f t="shared" si="39"/>
        <v>4160919</v>
      </c>
      <c r="H73" s="50">
        <f t="shared" si="39"/>
        <v>4160919</v>
      </c>
      <c r="I73" s="50">
        <f t="shared" si="39"/>
        <v>4160919</v>
      </c>
      <c r="J73" s="50">
        <f t="shared" si="39"/>
        <v>4160919</v>
      </c>
      <c r="K73" s="50">
        <f t="shared" si="39"/>
        <v>4160919</v>
      </c>
      <c r="L73" s="50">
        <f t="shared" si="39"/>
        <v>4160919</v>
      </c>
      <c r="M73" s="50">
        <f t="shared" si="39"/>
        <v>4160919</v>
      </c>
    </row>
    <row r="74" spans="1:13" x14ac:dyDescent="0.25">
      <c r="A74" s="2" t="str">
        <f>B9&amp;B74</f>
        <v>EOG ResourcesAsset retirement obligations</v>
      </c>
      <c r="B74" s="73" t="s">
        <v>495</v>
      </c>
      <c r="C74" s="73" t="s">
        <v>509</v>
      </c>
      <c r="D74" s="108"/>
      <c r="E74" s="83">
        <v>0</v>
      </c>
      <c r="F74" s="50">
        <f>E74</f>
        <v>0</v>
      </c>
      <c r="G74" s="50">
        <f t="shared" si="39"/>
        <v>0</v>
      </c>
      <c r="H74" s="50">
        <f t="shared" si="39"/>
        <v>0</v>
      </c>
      <c r="I74" s="50">
        <f t="shared" si="39"/>
        <v>0</v>
      </c>
      <c r="J74" s="50">
        <f t="shared" si="39"/>
        <v>0</v>
      </c>
      <c r="K74" s="50">
        <f t="shared" si="39"/>
        <v>0</v>
      </c>
      <c r="L74" s="50">
        <f t="shared" si="39"/>
        <v>0</v>
      </c>
      <c r="M74" s="50">
        <f t="shared" si="39"/>
        <v>0</v>
      </c>
    </row>
    <row r="75" spans="1:13" x14ac:dyDescent="0.25">
      <c r="A75" s="2" t="str">
        <f>B9&amp;B75</f>
        <v>EOG ResourcesDerivative instruments liabilities</v>
      </c>
      <c r="B75" s="73" t="s">
        <v>811</v>
      </c>
      <c r="C75" s="95" t="s">
        <v>507</v>
      </c>
      <c r="D75" s="108"/>
      <c r="E75" s="83">
        <v>0</v>
      </c>
      <c r="F75" s="138"/>
      <c r="G75" s="138"/>
      <c r="H75" s="138"/>
      <c r="I75" s="138"/>
      <c r="J75" s="138"/>
      <c r="K75" s="138"/>
      <c r="L75" s="138"/>
      <c r="M75" s="138"/>
    </row>
    <row r="76" spans="1:13" x14ac:dyDescent="0.25">
      <c r="A76" s="2" t="str">
        <f>B9&amp;B76</f>
        <v>EOG ResourcesDeferred income taxes liabilities</v>
      </c>
      <c r="B76" s="73" t="s">
        <v>810</v>
      </c>
      <c r="C76" s="73" t="s">
        <v>509</v>
      </c>
      <c r="D76" s="108"/>
      <c r="E76" s="83">
        <v>5046101</v>
      </c>
      <c r="F76" s="50">
        <f>E76</f>
        <v>5046101</v>
      </c>
      <c r="G76" s="50">
        <f t="shared" ref="G76:M77" si="40">F76</f>
        <v>5046101</v>
      </c>
      <c r="H76" s="50">
        <f t="shared" si="40"/>
        <v>5046101</v>
      </c>
      <c r="I76" s="50">
        <f t="shared" si="40"/>
        <v>5046101</v>
      </c>
      <c r="J76" s="50">
        <f t="shared" si="40"/>
        <v>5046101</v>
      </c>
      <c r="K76" s="50">
        <f t="shared" si="40"/>
        <v>5046101</v>
      </c>
      <c r="L76" s="50">
        <f t="shared" si="40"/>
        <v>5046101</v>
      </c>
      <c r="M76" s="50">
        <f t="shared" si="40"/>
        <v>5046101</v>
      </c>
    </row>
    <row r="77" spans="1:13" x14ac:dyDescent="0.25">
      <c r="A77" s="2" t="str">
        <f>B9&amp;B77</f>
        <v>EOG ResourcesOther long-term liabilities</v>
      </c>
      <c r="B77" s="73" t="s">
        <v>496</v>
      </c>
      <c r="C77" s="73" t="s">
        <v>509</v>
      </c>
      <c r="D77" s="108"/>
      <c r="E77" s="83">
        <v>1789884</v>
      </c>
      <c r="F77" s="50">
        <f>E77</f>
        <v>1789884</v>
      </c>
      <c r="G77" s="50">
        <f t="shared" si="40"/>
        <v>1789884</v>
      </c>
      <c r="H77" s="50">
        <f t="shared" si="40"/>
        <v>1789884</v>
      </c>
      <c r="I77" s="50">
        <f t="shared" si="40"/>
        <v>1789884</v>
      </c>
      <c r="J77" s="50">
        <f t="shared" si="40"/>
        <v>1789884</v>
      </c>
      <c r="K77" s="50">
        <f t="shared" si="40"/>
        <v>1789884</v>
      </c>
      <c r="L77" s="50">
        <f t="shared" si="40"/>
        <v>1789884</v>
      </c>
      <c r="M77" s="50">
        <f t="shared" si="40"/>
        <v>1789884</v>
      </c>
    </row>
    <row r="78" spans="1:13" ht="11" thickBot="1" x14ac:dyDescent="0.3">
      <c r="A78" s="2" t="str">
        <f>B9&amp;B78</f>
        <v>EOG ResourcesTotal liabilities</v>
      </c>
      <c r="B78" s="79" t="s">
        <v>499</v>
      </c>
      <c r="C78" s="79"/>
      <c r="D78" s="123"/>
      <c r="E78" s="86">
        <f>SUM(E72:E77)</f>
        <v>15483892</v>
      </c>
      <c r="F78" s="34">
        <f t="shared" ref="F78:M78" si="41">SUM(F72:F77)</f>
        <v>15474306.27440403</v>
      </c>
      <c r="G78" s="34">
        <f t="shared" si="41"/>
        <v>15474306.27440403</v>
      </c>
      <c r="H78" s="34">
        <f t="shared" si="41"/>
        <v>15474306.27440403</v>
      </c>
      <c r="I78" s="34">
        <f t="shared" si="41"/>
        <v>15474306.27440403</v>
      </c>
      <c r="J78" s="34">
        <f t="shared" si="41"/>
        <v>15152881.690777458</v>
      </c>
      <c r="K78" s="34">
        <f t="shared" si="41"/>
        <v>15152881.690777458</v>
      </c>
      <c r="L78" s="34">
        <f t="shared" si="41"/>
        <v>15152881.690777458</v>
      </c>
      <c r="M78" s="34">
        <f t="shared" si="41"/>
        <v>15152881.690777458</v>
      </c>
    </row>
    <row r="79" spans="1:13" ht="11" thickTop="1" x14ac:dyDescent="0.25"/>
    <row r="80" spans="1:13" x14ac:dyDescent="0.25">
      <c r="A80" s="2" t="str">
        <f>B9&amp;B80</f>
        <v>EOG ResourcesNet (loss) Income cashflow</v>
      </c>
      <c r="B80" s="80" t="s">
        <v>572</v>
      </c>
      <c r="C80" s="135" t="s">
        <v>540</v>
      </c>
      <c r="D80" s="117"/>
      <c r="E80" s="83">
        <f>E49</f>
        <v>683727.5</v>
      </c>
      <c r="F80" s="50">
        <f t="shared" ref="F80:M80" si="42">F49</f>
        <v>-89411.933430814111</v>
      </c>
      <c r="G80" s="50">
        <f t="shared" si="42"/>
        <v>-1610401.1492150901</v>
      </c>
      <c r="H80" s="50">
        <f t="shared" si="42"/>
        <v>-1515989.3244326818</v>
      </c>
      <c r="I80" s="50">
        <f t="shared" si="42"/>
        <v>-1421577.4996502742</v>
      </c>
      <c r="J80" s="50">
        <f t="shared" si="42"/>
        <v>-1155056.1867748518</v>
      </c>
      <c r="K80" s="50">
        <f t="shared" si="42"/>
        <v>-1074709.6795153818</v>
      </c>
      <c r="L80" s="50">
        <f t="shared" si="42"/>
        <v>-993655.00086107547</v>
      </c>
      <c r="M80" s="50">
        <f t="shared" si="42"/>
        <v>-993655.00086107547</v>
      </c>
    </row>
    <row r="81" spans="1:13" x14ac:dyDescent="0.25">
      <c r="A81" s="2" t="str">
        <f>B9&amp;B81</f>
        <v>EOG ResourcesChange in Net working capital</v>
      </c>
      <c r="B81" s="68" t="s">
        <v>500</v>
      </c>
      <c r="C81" s="136" t="s">
        <v>565</v>
      </c>
      <c r="D81" s="118"/>
      <c r="E81" s="83">
        <f>(-91792+90284+168539+40122+358001-56619-115061)/4</f>
        <v>98368.5</v>
      </c>
      <c r="F81" s="50">
        <f>(F60-F72)-(E60-E72)</f>
        <v>-737817.18934678938</v>
      </c>
      <c r="G81" s="50">
        <f t="shared" ref="G81:M81" si="43">(G60-G72)-(F60-F72)</f>
        <v>-2915429.0815078421</v>
      </c>
      <c r="H81" s="50">
        <f t="shared" si="43"/>
        <v>-1435201.9914700259</v>
      </c>
      <c r="I81" s="50">
        <f t="shared" si="43"/>
        <v>-1340790.1666876189</v>
      </c>
      <c r="J81" s="50">
        <f t="shared" si="43"/>
        <v>-894979.05546059459</v>
      </c>
      <c r="K81" s="50">
        <f t="shared" si="43"/>
        <v>-1005334.874749436</v>
      </c>
      <c r="L81" s="50">
        <f t="shared" si="43"/>
        <v>-924280.19609512854</v>
      </c>
      <c r="M81" s="50">
        <f t="shared" si="43"/>
        <v>-993655.00086107664</v>
      </c>
    </row>
    <row r="82" spans="1:13" x14ac:dyDescent="0.25">
      <c r="A82" s="2" t="str">
        <f>B9&amp;B82</f>
        <v>EOG ResourcesDD&amp;A cashflow</v>
      </c>
      <c r="B82" s="68" t="s">
        <v>816</v>
      </c>
      <c r="C82" s="136" t="s">
        <v>566</v>
      </c>
      <c r="D82" s="118"/>
      <c r="E82" s="83">
        <f t="shared" ref="E82" si="44">E32</f>
        <v>937426</v>
      </c>
      <c r="F82" s="50">
        <f>$E$82*F$32/$E$32</f>
        <v>933726.76632365165</v>
      </c>
      <c r="G82" s="50">
        <f t="shared" ref="G82:M82" si="45">$E$82*G$32/$E$32</f>
        <v>933726.76632365165</v>
      </c>
      <c r="H82" s="50">
        <f t="shared" si="45"/>
        <v>933726.76632365165</v>
      </c>
      <c r="I82" s="50">
        <f t="shared" si="45"/>
        <v>933726.76632365165</v>
      </c>
      <c r="J82" s="50">
        <f t="shared" si="45"/>
        <v>809685.59361809853</v>
      </c>
      <c r="K82" s="50">
        <f t="shared" si="45"/>
        <v>809685.59361809853</v>
      </c>
      <c r="L82" s="50">
        <f t="shared" si="45"/>
        <v>809685.59361809853</v>
      </c>
      <c r="M82" s="50">
        <f t="shared" si="45"/>
        <v>809685.59361809853</v>
      </c>
    </row>
    <row r="83" spans="1:13" x14ac:dyDescent="0.25">
      <c r="A83" s="2" t="str">
        <f>B9&amp;B83</f>
        <v>EOG ResourcesImpairment cashflow</v>
      </c>
      <c r="B83" s="68" t="s">
        <v>571</v>
      </c>
      <c r="C83" s="136" t="s">
        <v>566</v>
      </c>
      <c r="D83" s="118"/>
      <c r="E83" s="83">
        <f>E31</f>
        <v>129474</v>
      </c>
      <c r="F83" s="50">
        <f>$E$83*F$31/$E$31</f>
        <v>129474</v>
      </c>
      <c r="G83" s="50">
        <f t="shared" ref="G83:M83" si="46">$E$83*G$31/$E$31</f>
        <v>129474</v>
      </c>
      <c r="H83" s="50">
        <f t="shared" si="46"/>
        <v>129474</v>
      </c>
      <c r="I83" s="50">
        <f t="shared" si="46"/>
        <v>129474</v>
      </c>
      <c r="J83" s="50">
        <f t="shared" si="46"/>
        <v>129474</v>
      </c>
      <c r="K83" s="50">
        <f t="shared" si="46"/>
        <v>129474</v>
      </c>
      <c r="L83" s="50">
        <f t="shared" si="46"/>
        <v>129474</v>
      </c>
      <c r="M83" s="50">
        <f t="shared" si="46"/>
        <v>129474</v>
      </c>
    </row>
    <row r="84" spans="1:13" x14ac:dyDescent="0.25">
      <c r="A84" s="2" t="str">
        <f>B9&amp;B84</f>
        <v>EOG ResourcesOther non-cash items</v>
      </c>
      <c r="B84" s="68" t="s">
        <v>501</v>
      </c>
      <c r="C84" s="136" t="s">
        <v>880</v>
      </c>
      <c r="D84" s="149"/>
      <c r="E84" s="83">
        <f>(174738+631658-123613+4496+962)/4</f>
        <v>172060.25</v>
      </c>
      <c r="F84" s="50">
        <f>$E$84+F34-$E$34</f>
        <v>172060.25</v>
      </c>
      <c r="G84" s="50">
        <f t="shared" ref="G84:M84" si="47">$E$84+G34-$E$34</f>
        <v>172060.25</v>
      </c>
      <c r="H84" s="50">
        <f t="shared" si="47"/>
        <v>172060.25</v>
      </c>
      <c r="I84" s="50">
        <f t="shared" si="47"/>
        <v>172060.25</v>
      </c>
      <c r="J84" s="50">
        <f t="shared" si="47"/>
        <v>172060.25</v>
      </c>
      <c r="K84" s="50">
        <f t="shared" si="47"/>
        <v>172060.25</v>
      </c>
      <c r="L84" s="50">
        <f t="shared" si="47"/>
        <v>172060.25</v>
      </c>
      <c r="M84" s="50">
        <f t="shared" si="47"/>
        <v>172060.25</v>
      </c>
    </row>
    <row r="85" spans="1:13" x14ac:dyDescent="0.25">
      <c r="A85" s="2" t="str">
        <f>B9&amp;B85</f>
        <v>EOG ResourcesDry hole cashflow</v>
      </c>
      <c r="B85" s="68" t="s">
        <v>817</v>
      </c>
      <c r="C85" s="136" t="s">
        <v>567</v>
      </c>
      <c r="D85" s="149"/>
      <c r="E85" s="83">
        <f>28001/4</f>
        <v>7000.25</v>
      </c>
      <c r="F85" s="50">
        <f>IF($E$85&gt;0, $E$85*F39/$E$39,0)</f>
        <v>6972.6258882910679</v>
      </c>
      <c r="G85" s="50">
        <f t="shared" ref="G85:M85" si="48">IF($E$85&gt;0, $E$85*G39/$E$39,0)</f>
        <v>6972.6258882910679</v>
      </c>
      <c r="H85" s="50">
        <f t="shared" si="48"/>
        <v>6972.6258882910679</v>
      </c>
      <c r="I85" s="50">
        <f t="shared" si="48"/>
        <v>6972.6258882910679</v>
      </c>
      <c r="J85" s="50">
        <f t="shared" si="48"/>
        <v>6046.3456067199895</v>
      </c>
      <c r="K85" s="50">
        <f t="shared" si="48"/>
        <v>6046.3456067199895</v>
      </c>
      <c r="L85" s="50">
        <f t="shared" si="48"/>
        <v>6046.3456067199895</v>
      </c>
      <c r="M85" s="50">
        <f t="shared" si="48"/>
        <v>6046.3456067199895</v>
      </c>
    </row>
    <row r="86" spans="1:13" x14ac:dyDescent="0.25">
      <c r="A86" s="2" t="str">
        <f>B9&amp;B86</f>
        <v>EOG Resourcesmarket to market contracts</v>
      </c>
      <c r="B86" s="68" t="s">
        <v>562</v>
      </c>
      <c r="C86" s="158" t="s">
        <v>507</v>
      </c>
      <c r="D86" s="149"/>
      <c r="E86" s="83">
        <f>(-180275+231229)/4</f>
        <v>12738.5</v>
      </c>
      <c r="F86" s="50">
        <f>E86</f>
        <v>12738.5</v>
      </c>
      <c r="G86" s="50">
        <f t="shared" ref="G86:M86" si="49">F86</f>
        <v>12738.5</v>
      </c>
      <c r="H86" s="50">
        <f t="shared" si="49"/>
        <v>12738.5</v>
      </c>
      <c r="I86" s="50">
        <f t="shared" si="49"/>
        <v>12738.5</v>
      </c>
      <c r="J86" s="50">
        <f t="shared" si="49"/>
        <v>12738.5</v>
      </c>
      <c r="K86" s="50">
        <f t="shared" si="49"/>
        <v>12738.5</v>
      </c>
      <c r="L86" s="50">
        <f t="shared" si="49"/>
        <v>12738.5</v>
      </c>
      <c r="M86" s="50">
        <f t="shared" si="49"/>
        <v>12738.5</v>
      </c>
    </row>
    <row r="87" spans="1:13" x14ac:dyDescent="0.25">
      <c r="A87" s="2" t="str">
        <f>B9&amp;B87</f>
        <v>EOG ResourcesCash flow from operations</v>
      </c>
      <c r="B87" s="142" t="s">
        <v>502</v>
      </c>
      <c r="C87" s="143" t="s">
        <v>540</v>
      </c>
      <c r="D87" s="118"/>
      <c r="E87" s="63">
        <f>8163180/4</f>
        <v>2040795</v>
      </c>
      <c r="F87" s="62">
        <f>SUM(F80:F86)</f>
        <v>427743.01943433925</v>
      </c>
      <c r="G87" s="62">
        <f t="shared" ref="G87:M87" si="50">SUM(G80:G86)</f>
        <v>-3270858.0885109892</v>
      </c>
      <c r="H87" s="62">
        <f>SUM(H80:H86)</f>
        <v>-1696219.1736907649</v>
      </c>
      <c r="I87" s="62">
        <f t="shared" si="50"/>
        <v>-1507395.5241259506</v>
      </c>
      <c r="J87" s="62">
        <f t="shared" si="50"/>
        <v>-920030.55301062774</v>
      </c>
      <c r="K87" s="62">
        <f t="shared" si="50"/>
        <v>-950039.86503999925</v>
      </c>
      <c r="L87" s="62">
        <f t="shared" si="50"/>
        <v>-787930.50773138565</v>
      </c>
      <c r="M87" s="62">
        <f t="shared" si="50"/>
        <v>-857305.31249733374</v>
      </c>
    </row>
    <row r="88" spans="1:13" x14ac:dyDescent="0.25">
      <c r="A88" s="2" t="str">
        <f>B9&amp;B88</f>
        <v>EOG ResourcesCapex</v>
      </c>
      <c r="B88" s="68" t="s">
        <v>277</v>
      </c>
      <c r="C88" s="73" t="s">
        <v>534</v>
      </c>
      <c r="D88" s="118"/>
      <c r="E88" s="83">
        <f>IF($B$2="A3",SUMIFS('$33Econ'!$H$8:$H$8001,'$33Econ'!$A$8:$A$8001,$B$9,'$33Econ'!$G$8:$G$8001,$B88)*1000/4,SUMIFS('$22Econ'!$H$8:$H$8001,'$22Econ'!$A$8:$A$8001,$B$9,'$22Econ'!$G$8:$G$8001,$B88)*1000/4)</f>
        <v>1447887.4272500004</v>
      </c>
      <c r="F88" s="50">
        <f>IF($B$2="A3",SUMIFS('$33Econ'!$I$8:$I$8001,'$33Econ'!$A$8:$A$8001,$B$9,'$33Econ'!$G$8:$G$8001,$B88)*1000/4,SUMIFS('$22Econ'!$I$8:$I$8001,'$22Econ'!$A$8:$A$8001,$B$9,'$22Econ'!$G$8:$G$8001,$B88)*1000/4)</f>
        <v>939080.24075</v>
      </c>
      <c r="G88" s="50">
        <f>IF($B$2="A3",SUMIFS('$33Econ'!$I$8:$I$8001,'$33Econ'!$A$8:$A$8001,$B$9,'$33Econ'!$G$8:$G$8001,$B88)*1000/4,SUMIFS('$22Econ'!$I$8:$I$8001,'$22Econ'!$A$8:$A$8001,$B$9,'$22Econ'!$G$8:$G$8001,$B88)*1000/4)</f>
        <v>939080.24075</v>
      </c>
      <c r="H88" s="50">
        <f>IF($B$2="A3",SUMIFS('$33Econ'!$I$8:$I$8001,'$33Econ'!$A$8:$A$8001,$B$9,'$33Econ'!$G$8:$G$8001,$B88)*1000/4,SUMIFS('$22Econ'!$I$8:$I$8001,'$22Econ'!$A$8:$A$8001,$B$9,'$22Econ'!$G$8:$G$8001,$B88)*1000/4)</f>
        <v>939080.24075</v>
      </c>
      <c r="I88" s="50">
        <f>IF($B$2="A3",SUMIFS('$33Econ'!$I$8:$I$8001,'$33Econ'!$A$8:$A$8001,$B$9,'$33Econ'!$G$8:$G$8001,$B88)*1000/4,SUMIFS('$22Econ'!$I$8:$I$8001,'$22Econ'!$A$8:$A$8001,$B$9,'$22Econ'!$G$8:$G$8001,$B88)*1000/4)</f>
        <v>939080.24075</v>
      </c>
      <c r="J88" s="50">
        <f>IF($B$2="A3",SUMIFS('$33Econ'!$J$8:$J$8001,'$33Econ'!$A$8:$A$8001,$B$9,'$33Econ'!$G$8:$G$8001,$B88)*1000/4,SUMIFS('$22Econ'!$J$8:$J$8001,'$22Econ'!$A$8:$A$8001,$B$9,'$22Econ'!$G$8:$G$8001,$B88)*1000/4)</f>
        <v>100969.9145</v>
      </c>
      <c r="K88" s="50">
        <f t="shared" ref="K88:M88" si="51">J88</f>
        <v>100969.9145</v>
      </c>
      <c r="L88" s="50">
        <f t="shared" si="51"/>
        <v>100969.9145</v>
      </c>
      <c r="M88" s="50">
        <f t="shared" si="51"/>
        <v>100969.9145</v>
      </c>
    </row>
    <row r="89" spans="1:13" x14ac:dyDescent="0.25">
      <c r="A89" s="2" t="str">
        <f>B9&amp;B89</f>
        <v>EOG ResourcesExploration Capex</v>
      </c>
      <c r="B89" s="68" t="s">
        <v>278</v>
      </c>
      <c r="C89" s="73" t="s">
        <v>534</v>
      </c>
      <c r="D89" s="118"/>
      <c r="E89" s="96">
        <f>IF($B$2="A3",SUMIFS('$33Econ'!$H$8:$H$8001,'$33Econ'!$A$8:$A$8001,$B$9,'$33Econ'!$G$8:$G$8001,$B89)*1000/4,SUMIFS('$22Econ'!$H$8:$H$8001,'$22Econ'!$A$8:$A$8001,$B$9,'$22Econ'!$G$8:$G$8001,$B89)*1000/4)</f>
        <v>53436.327457497493</v>
      </c>
      <c r="F89" s="33">
        <f>(1-INDEX(Assumptions!$A$2:$K$596,MATCH($B9&amp;"Capex reduction",Assumptions!$A$2:$A$596,0),MATCH(F$2,Assumptions!$A$2:$K$2,0))) *IF($B$2="A3",SUMIFS('$33Econ'!$I$8:$I$8001,'$33Econ'!$A$8:$A$8001,$B$9,'$33Econ'!$G$8:$G$8001,$B89)*1000/4,SUMIFS('$22Econ'!$I$8:$I$8001,'$22Econ'!$A$8:$A$8001,$B$9,'$22Econ'!$G$8:$G$8001,$B89)*1000/4)</f>
        <v>48252.937007500012</v>
      </c>
      <c r="G89" s="33">
        <f>(1-INDEX(Assumptions!$A$2:$K$596,MATCH($B9&amp;"Capex reduction",Assumptions!$A$2:$A$596,0),MATCH(G$2,Assumptions!$A$2:$K$2,0))) *IF($B$2="A3",SUMIFS('$33Econ'!$I$8:$I$8001,'$33Econ'!$A$8:$A$8001,$B$9,'$33Econ'!$G$8:$G$8001,$B89)*1000/4,SUMIFS('$22Econ'!$I$8:$I$8001,'$22Econ'!$A$8:$A$8001,$B$9,'$22Econ'!$G$8:$G$8001,$B89)*1000/4)</f>
        <v>48252.937007500012</v>
      </c>
      <c r="H89" s="33">
        <f>(1-INDEX(Assumptions!$A$2:$K$596,MATCH($B9&amp;"Capex reduction",Assumptions!$A$2:$A$596,0),MATCH(H$2,Assumptions!$A$2:$K$2,0))) *IF($B$2="A3",SUMIFS('$33Econ'!$I$8:$I$8001,'$33Econ'!$A$8:$A$8001,$B$9,'$33Econ'!$G$8:$G$8001,$B89)*1000/4,SUMIFS('$22Econ'!$I$8:$I$8001,'$22Econ'!$A$8:$A$8001,$B$9,'$22Econ'!$G$8:$G$8001,$B89)*1000/4)</f>
        <v>48252.937007500012</v>
      </c>
      <c r="I89" s="33">
        <f>(1-INDEX(Assumptions!$A$2:$K$596,MATCH($B9&amp;"Capex reduction",Assumptions!$A$2:$A$596,0),MATCH(I$2,Assumptions!$A$2:$K$2,0))) *IF($B$2="A3",SUMIFS('$33Econ'!$I$8:$I$8001,'$33Econ'!$A$8:$A$8001,$B$9,'$33Econ'!$G$8:$G$8001,$B89)*1000/4,SUMIFS('$22Econ'!$I$8:$I$8001,'$22Econ'!$A$8:$A$8001,$B$9,'$22Econ'!$G$8:$G$8001,$B89)*1000/4)</f>
        <v>48252.937007500012</v>
      </c>
      <c r="J89" s="33">
        <f>(1-INDEX(Assumptions!$A$2:$K$596,MATCH($B9&amp;"Capex reduction",Assumptions!$A$2:$A$596,0),MATCH(J$2,Assumptions!$A$2:$K$2,0))) *IF($B$2="A3",SUMIFS('$33Econ'!$J$8:$J$8001,'$33Econ'!$A$8:$A$8001,$B$9,'$33Econ'!$G$8:$G$8001,$B89)*1000/4,SUMIFS('$22Econ'!$J$8:$J$8001,'$22Econ'!$A$8:$A$8001,$B$9,'$22Econ'!$G$8:$G$8001,$B89)*1000/4)</f>
        <v>56099.043957499998</v>
      </c>
      <c r="K89" s="33">
        <f>(1-INDEX(Assumptions!$A$2:$K$596,MATCH($B9&amp;"Capex reduction",Assumptions!$A$2:$A$596,0),MATCH(K$2,Assumptions!$A$2:$K$2,0))) *IF($B$2="A3",SUMIFS('$33Econ'!$J$8:$J$8001,'$33Econ'!$A$8:$A$8001,$B$9,'$33Econ'!$G$8:$G$8001,$B89)*1000/4,SUMIFS('$22Econ'!$J$8:$J$8001,'$22Econ'!$A$8:$A$8001,$B$9,'$22Econ'!$G$8:$G$8001,$B89)*1000/4)</f>
        <v>56099.043957499998</v>
      </c>
      <c r="L89" s="33">
        <f>(1-INDEX(Assumptions!$A$2:$K$596,MATCH($B9&amp;"Capex reduction",Assumptions!$A$2:$A$596,0),MATCH(L$2,Assumptions!$A$2:$K$2,0))) *IF($B$2="A3",SUMIFS('$33Econ'!$J$8:$J$8001,'$33Econ'!$A$8:$A$8001,$B$9,'$33Econ'!$G$8:$G$8001,$B89)*1000/4,SUMIFS('$22Econ'!$J$8:$J$8001,'$22Econ'!$A$8:$A$8001,$B$9,'$22Econ'!$G$8:$G$8001,$B89)*1000/4)</f>
        <v>56099.043957499998</v>
      </c>
      <c r="M89" s="33">
        <f>(1-INDEX(Assumptions!$A$2:$K$596,MATCH($B9&amp;"Capex reduction",Assumptions!$A$2:$A$596,0),MATCH(M$2,Assumptions!$A$2:$K$2,0))) *IF($B$2="A3",SUMIFS('$33Econ'!$J$8:$J$8001,'$33Econ'!$A$8:$A$8001,$B$9,'$33Econ'!$G$8:$G$8001,$B89)*1000/4,SUMIFS('$22Econ'!$J$8:$J$8001,'$22Econ'!$A$8:$A$8001,$B$9,'$22Econ'!$G$8:$G$8001,$B89)*1000/4)</f>
        <v>56099.043957499998</v>
      </c>
    </row>
    <row r="90" spans="1:13" s="150" customFormat="1" ht="11" thickBot="1" x14ac:dyDescent="0.3">
      <c r="A90" s="150" t="str">
        <f>B9&amp;B90</f>
        <v>EOG ResourcesFree Cash Flow (FCF)</v>
      </c>
      <c r="B90" s="69" t="s">
        <v>458</v>
      </c>
      <c r="C90" s="69" t="s">
        <v>512</v>
      </c>
      <c r="D90" s="152"/>
      <c r="E90" s="86">
        <f>SUM(E87:E89)</f>
        <v>3542118.754707498</v>
      </c>
      <c r="F90" s="153">
        <f>SUM(F87:F89)</f>
        <v>1415076.1971918393</v>
      </c>
      <c r="G90" s="153">
        <f t="shared" ref="G90:M90" si="52">SUM(G87:G89)</f>
        <v>-2283524.9107534895</v>
      </c>
      <c r="H90" s="153">
        <f t="shared" si="52"/>
        <v>-708885.99593326496</v>
      </c>
      <c r="I90" s="153">
        <f t="shared" si="52"/>
        <v>-520062.34636845061</v>
      </c>
      <c r="J90" s="153">
        <f t="shared" si="52"/>
        <v>-762961.59455312777</v>
      </c>
      <c r="K90" s="153">
        <f t="shared" si="52"/>
        <v>-792970.90658249927</v>
      </c>
      <c r="L90" s="153">
        <f t="shared" si="52"/>
        <v>-630861.54927388567</v>
      </c>
      <c r="M90" s="153">
        <f t="shared" si="52"/>
        <v>-700236.35403983376</v>
      </c>
    </row>
    <row r="91" spans="1:13" ht="11" thickTop="1" x14ac:dyDescent="0.25">
      <c r="I91" s="154"/>
      <c r="M91" s="154"/>
    </row>
    <row r="92" spans="1:13" x14ac:dyDescent="0.25">
      <c r="A92" s="2" t="str">
        <f>B9&amp;B92</f>
        <v>EOG ResourcesEBITDA</v>
      </c>
      <c r="B92" s="80" t="s">
        <v>428</v>
      </c>
      <c r="C92" s="144" t="s">
        <v>540</v>
      </c>
      <c r="D92" s="117"/>
      <c r="E92" s="83">
        <f>(E29-E41)+E32</f>
        <v>1817110</v>
      </c>
      <c r="F92" s="157">
        <f>(F29-F41)+F32</f>
        <v>825375.18084700778</v>
      </c>
      <c r="G92" s="157">
        <f t="shared" ref="G92:M92" si="53">(G29-G41)+G32</f>
        <v>-1146247.4431833555</v>
      </c>
      <c r="H92" s="157">
        <f t="shared" si="53"/>
        <v>-1023861.2853899165</v>
      </c>
      <c r="I92" s="157">
        <f t="shared" si="53"/>
        <v>-901475.12759647821</v>
      </c>
      <c r="J92" s="157">
        <f t="shared" si="53"/>
        <v>-697252.75156824768</v>
      </c>
      <c r="K92" s="157">
        <f t="shared" si="53"/>
        <v>-592181.47776811675</v>
      </c>
      <c r="L92" s="157">
        <f t="shared" si="53"/>
        <v>-487110.20396798558</v>
      </c>
      <c r="M92" s="157">
        <f t="shared" si="53"/>
        <v>-487110.20396798558</v>
      </c>
    </row>
    <row r="93" spans="1:13" x14ac:dyDescent="0.25">
      <c r="A93" s="2" t="str">
        <f>B9&amp;B93</f>
        <v>EOG ResourcesExploration capex</v>
      </c>
      <c r="B93" s="68" t="s">
        <v>519</v>
      </c>
      <c r="C93" s="68" t="s">
        <v>534</v>
      </c>
      <c r="D93" s="118"/>
      <c r="E93" s="83">
        <f>E89</f>
        <v>53436.327457497493</v>
      </c>
      <c r="F93" s="157">
        <f t="shared" ref="F93:M93" si="54">F89</f>
        <v>48252.937007500012</v>
      </c>
      <c r="G93" s="157">
        <f t="shared" si="54"/>
        <v>48252.937007500012</v>
      </c>
      <c r="H93" s="157">
        <f t="shared" si="54"/>
        <v>48252.937007500012</v>
      </c>
      <c r="I93" s="157">
        <f t="shared" si="54"/>
        <v>48252.937007500012</v>
      </c>
      <c r="J93" s="157">
        <f t="shared" si="54"/>
        <v>56099.043957499998</v>
      </c>
      <c r="K93" s="157">
        <f t="shared" si="54"/>
        <v>56099.043957499998</v>
      </c>
      <c r="L93" s="157">
        <f t="shared" si="54"/>
        <v>56099.043957499998</v>
      </c>
      <c r="M93" s="157">
        <f t="shared" si="54"/>
        <v>56099.043957499998</v>
      </c>
    </row>
    <row r="94" spans="1:13" x14ac:dyDescent="0.25">
      <c r="A94" s="2" t="str">
        <f>B9&amp;B94</f>
        <v>EOG ResourcesEBITDAX</v>
      </c>
      <c r="B94" s="90" t="s">
        <v>459</v>
      </c>
      <c r="C94" s="90" t="s">
        <v>512</v>
      </c>
      <c r="D94" s="125"/>
      <c r="E94" s="63">
        <f>SUM(E92:E93)</f>
        <v>1870546.3274574976</v>
      </c>
      <c r="F94" s="62">
        <f t="shared" ref="F94:M94" si="55">SUM(F92:F93)</f>
        <v>873628.11785450776</v>
      </c>
      <c r="G94" s="62">
        <f t="shared" si="55"/>
        <v>-1097994.5061758554</v>
      </c>
      <c r="H94" s="62">
        <f t="shared" si="55"/>
        <v>-975608.34838241653</v>
      </c>
      <c r="I94" s="62">
        <f t="shared" si="55"/>
        <v>-853222.19058897824</v>
      </c>
      <c r="J94" s="62">
        <f t="shared" si="55"/>
        <v>-641153.70761074766</v>
      </c>
      <c r="K94" s="62">
        <f t="shared" si="55"/>
        <v>-536082.43381061673</v>
      </c>
      <c r="L94" s="62">
        <f t="shared" si="55"/>
        <v>-431011.16001048556</v>
      </c>
      <c r="M94" s="62">
        <f t="shared" si="55"/>
        <v>-431011.16001048556</v>
      </c>
    </row>
    <row r="95" spans="1:13" x14ac:dyDescent="0.25">
      <c r="A95" s="53" t="str">
        <f>B9&amp;B95</f>
        <v>EOG ResourcesDebt/EBITDAX</v>
      </c>
      <c r="B95" s="310" t="s">
        <v>947</v>
      </c>
      <c r="C95" s="310" t="s">
        <v>512</v>
      </c>
      <c r="D95" s="123"/>
      <c r="E95" s="120">
        <f>(E73+E68)/(E94*4)</f>
        <v>0.8807648737785323</v>
      </c>
      <c r="F95" s="121"/>
      <c r="G95" s="121"/>
      <c r="H95" s="121"/>
      <c r="I95" s="99">
        <f>(AVERAGE(F73:I73)+AVERAGE(F68:I68))/SUM(F92:I92)</f>
        <v>-2.9295854595782509</v>
      </c>
      <c r="J95" s="99"/>
      <c r="K95" s="99"/>
      <c r="L95" s="99"/>
      <c r="M95" s="99">
        <f>(AVERAGE(J73:M73)+AVERAGE(J68:M68))/SUM(J92:M92)</f>
        <v>-2.7650135262327331</v>
      </c>
    </row>
    <row r="96" spans="1:13" s="49" customFormat="1" x14ac:dyDescent="0.25">
      <c r="D96" s="124"/>
    </row>
    <row r="97" spans="1:13" x14ac:dyDescent="0.25">
      <c r="A97" s="2" t="str">
        <f>B9&amp;B97</f>
        <v>EOG ResourcesCash dividends paid</v>
      </c>
      <c r="B97" s="91" t="s">
        <v>521</v>
      </c>
      <c r="C97" s="53" t="s">
        <v>546</v>
      </c>
      <c r="D97" s="122"/>
      <c r="E97" s="83">
        <f>-588200/4</f>
        <v>-147050</v>
      </c>
      <c r="F97" s="50">
        <f>E97*(1-INDEX(Assumptions!$A$2:$K$596,MATCH($B9&amp;"Dividend reduction",Assumptions!$A$2:$A$596,0),MATCH(F$2,Assumptions!$A$2:$K$2,0)))</f>
        <v>-147050</v>
      </c>
      <c r="G97" s="50">
        <f>F97*(1-INDEX(Assumptions!$A$2:$K$596,MATCH($B9&amp;"Dividend reduction",Assumptions!$A$2:$A$596,0),MATCH(G$2,Assumptions!$A$2:$K$2,0)))</f>
        <v>-147050</v>
      </c>
      <c r="H97" s="50">
        <f>G97*(1-INDEX(Assumptions!$A$2:$K$596,MATCH($B9&amp;"Dividend reduction",Assumptions!$A$2:$A$596,0),MATCH(H$2,Assumptions!$A$2:$K$2,0)))</f>
        <v>-147050</v>
      </c>
      <c r="I97" s="50">
        <f>H97*(1-INDEX(Assumptions!$A$2:$K$596,MATCH($B9&amp;"Dividend reduction",Assumptions!$A$2:$A$596,0),MATCH(I$2,Assumptions!$A$2:$K$2,0)))</f>
        <v>-147050</v>
      </c>
      <c r="J97" s="50">
        <f>I97*(1-INDEX(Assumptions!$A$2:$K$596,MATCH($B9&amp;"Dividend reduction",Assumptions!$A$2:$A$596,0),MATCH(J$2,Assumptions!$A$2:$K$2,0)))</f>
        <v>-147050</v>
      </c>
      <c r="K97" s="50">
        <f>J97*(1-INDEX(Assumptions!$A$2:$K$596,MATCH($B9&amp;"Dividend reduction",Assumptions!$A$2:$A$596,0),MATCH(K$2,Assumptions!$A$2:$K$2,0)))</f>
        <v>-147050</v>
      </c>
      <c r="L97" s="50">
        <f>K97*(1-INDEX(Assumptions!$A$2:$K$596,MATCH($B9&amp;"Dividend reduction",Assumptions!$A$2:$A$596,0),MATCH(L$2,Assumptions!$A$2:$K$2,0)))</f>
        <v>-147050</v>
      </c>
      <c r="M97" s="50">
        <f>L97*(1-INDEX(Assumptions!$A$2:$K$596,MATCH($B9&amp;"Dividend reduction",Assumptions!$A$2:$A$596,0),MATCH(M$2,Assumptions!$A$2:$K$2,0)))</f>
        <v>-147050</v>
      </c>
    </row>
    <row r="99" spans="1:13" x14ac:dyDescent="0.25">
      <c r="A99" s="2" t="str">
        <f>B9&amp;B99</f>
        <v>EOG ResourcesOhlson's O-Score</v>
      </c>
      <c r="B99" s="80" t="s">
        <v>427</v>
      </c>
      <c r="C99" s="80" t="s">
        <v>512</v>
      </c>
      <c r="D99" s="117"/>
      <c r="E99" s="130"/>
      <c r="F99" s="130"/>
      <c r="G99" s="130"/>
      <c r="H99" s="130"/>
      <c r="I99" s="99">
        <f>-1.32-0.407*(LN($I66*1000/(36.32+2.11*'Quarterly Forecasts'!$K$15)))+6.03*($I78/$I66)-1.43*(($I60-$I72)/$I66)+0.0757*($I72/$I60)-2.37*(SUM($F49:$I49)/$I66)-1.83*(SUM($F92:$I92)/$I78)+0.285*(IF(AND(SUM($F49:$I49)&lt;0,($E49*4)&lt;0),1,0))-0.521*((SUM($F49:$I49)-($E49*4))/(ABS(SUM($F49:$I49))+ABS($E49*4)))-1.72*(IF($I78&gt;$I66,1,0))</f>
        <v>-4.4017018958272249</v>
      </c>
      <c r="J99" s="130"/>
      <c r="K99" s="130"/>
      <c r="L99" s="99">
        <f>-1.32-0.407*(LN(L66*1000/(36.32+2.11*'Quarterly Forecasts'!K$15)))+6.03*(L78/L66)-1.43*((L60-L72)/L66)+0.0757*(L72/L60)-2.37*(SUM(J49:M49)/L66)-1.83*(SUM(I92:L92)/L78)+0.285*(IF(AND(SUM(J49:M49)&lt;0,(SUM(F49:I49))&lt;0),1,0))-0.521*((SUM(J49:M49)-(SUM(F49:I49)))/(ABS(SUM(J49:M49))+ABS(SUM($F49:$I49))))-1.72*(IF(L78&gt;L66,1,0))</f>
        <v>-3.8843353745846199</v>
      </c>
      <c r="M99" s="99">
        <f>-1.32-0.407*(LN($M66*1000/(36.32+2.11*'Quarterly Forecasts'!$K$15)))+6.03*($M78/$M66)-1.43*(($M60-$M72)/$M66)+0.0757*($M72/$M60)-2.37*(SUM($J49:$M49)/$M66)-1.83*(SUM($J92:$M92)/$M78)+0.285*(IF(AND(SUM($J49:$M49)&lt;0,(SUM($F49:$I49))&lt;0),1,0))-0.521*((SUM($J49:$M49)-(SUM($F49:$I49)))/(ABS(SUM($J49:$M49))+ABS(SUM($F49:$I49))))-1.72*(IF($M78&gt;$M66,1,0))</f>
        <v>-3.6979957930873955</v>
      </c>
    </row>
    <row r="100" spans="1:13" ht="11" thickBot="1" x14ac:dyDescent="0.3">
      <c r="A100" s="2" t="str">
        <f>B9&amp;B100</f>
        <v>EOG ResourcesProbability of default (PD)</v>
      </c>
      <c r="B100" s="81" t="s">
        <v>504</v>
      </c>
      <c r="C100" s="98" t="s">
        <v>512</v>
      </c>
      <c r="D100" s="110"/>
      <c r="E100" s="131"/>
      <c r="F100" s="131"/>
      <c r="G100" s="131"/>
      <c r="H100" s="131"/>
      <c r="I100" s="126">
        <f>EXP(I99)/(1+EXP(I99))</f>
        <v>1.2108060920084962E-2</v>
      </c>
      <c r="J100" s="131"/>
      <c r="K100" s="131"/>
      <c r="L100" s="126">
        <f>EXP(L99)/(1+EXP(L99))</f>
        <v>2.0147232786278581E-2</v>
      </c>
      <c r="M100" s="126">
        <f>EXP(M99)/(1+EXP(M99))</f>
        <v>2.4174255318974738E-2</v>
      </c>
    </row>
    <row r="101" spans="1:13" ht="11" thickTop="1" x14ac:dyDescent="0.25"/>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F3579-4C13-4ABB-B7D4-6A7ACD7FAB7F}">
  <dimension ref="A1:N101"/>
  <sheetViews>
    <sheetView showGridLines="0" tabSelected="1" zoomScale="103" zoomScaleNormal="130" workbookViewId="0">
      <pane xSplit="2" ySplit="2" topLeftCell="E3" activePane="bottomRight" state="frozen"/>
      <selection activeCell="I95" sqref="I95"/>
      <selection pane="topRight" activeCell="I95" sqref="I95"/>
      <selection pane="bottomLeft" activeCell="I95" sqref="I95"/>
      <selection pane="bottomRight" activeCell="B9" sqref="B9"/>
    </sheetView>
  </sheetViews>
  <sheetFormatPr defaultColWidth="8.81640625" defaultRowHeight="10.5" x14ac:dyDescent="0.25"/>
  <cols>
    <col min="1" max="1" width="9.6328125" style="2" customWidth="1"/>
    <col min="2" max="2" width="28.6328125" style="2" customWidth="1"/>
    <col min="3" max="3" width="35.453125" style="2" customWidth="1"/>
    <col min="4" max="4" width="7.453125" style="113" bestFit="1" customWidth="1"/>
    <col min="5" max="5" width="10.453125" style="2" bestFit="1" customWidth="1"/>
    <col min="6" max="6" width="12.1796875" style="2" bestFit="1" customWidth="1"/>
    <col min="7" max="13" width="10.453125" style="2" bestFit="1" customWidth="1"/>
    <col min="14" max="16384" width="8.81640625" style="2"/>
  </cols>
  <sheetData>
    <row r="1" spans="1:13" x14ac:dyDescent="0.25">
      <c r="E1" s="2" t="str">
        <f>LEFT(E2,4)</f>
        <v>2019</v>
      </c>
      <c r="F1" s="2" t="str">
        <f t="shared" ref="F1:M1" si="0">LEFT(F2,4)</f>
        <v>2020</v>
      </c>
      <c r="G1" s="2" t="str">
        <f t="shared" si="0"/>
        <v>2020</v>
      </c>
      <c r="H1" s="2" t="str">
        <f t="shared" si="0"/>
        <v>2020</v>
      </c>
      <c r="I1" s="2" t="str">
        <f t="shared" si="0"/>
        <v>2020</v>
      </c>
      <c r="J1" s="2" t="str">
        <f t="shared" si="0"/>
        <v>2021</v>
      </c>
      <c r="K1" s="2" t="str">
        <f t="shared" si="0"/>
        <v>2021</v>
      </c>
      <c r="L1" s="2" t="str">
        <f t="shared" si="0"/>
        <v>2021</v>
      </c>
      <c r="M1" s="2" t="str">
        <f t="shared" si="0"/>
        <v>2021</v>
      </c>
    </row>
    <row r="2" spans="1:13" x14ac:dyDescent="0.25">
      <c r="B2" s="2" t="s">
        <v>440</v>
      </c>
      <c r="C2" s="2" t="s">
        <v>517</v>
      </c>
      <c r="D2" s="113" t="s">
        <v>524</v>
      </c>
      <c r="E2" s="67" t="s">
        <v>413</v>
      </c>
      <c r="F2" s="67" t="s">
        <v>414</v>
      </c>
      <c r="G2" s="67" t="s">
        <v>415</v>
      </c>
      <c r="H2" s="67" t="s">
        <v>416</v>
      </c>
      <c r="I2" s="67" t="s">
        <v>417</v>
      </c>
      <c r="J2" s="67" t="s">
        <v>418</v>
      </c>
      <c r="K2" s="67" t="s">
        <v>419</v>
      </c>
      <c r="L2" s="67" t="s">
        <v>420</v>
      </c>
      <c r="M2" s="67" t="s">
        <v>421</v>
      </c>
    </row>
    <row r="3" spans="1:13" x14ac:dyDescent="0.25">
      <c r="B3" s="64" t="s">
        <v>522</v>
      </c>
      <c r="C3" s="64"/>
      <c r="D3" s="111"/>
      <c r="E3" s="103"/>
      <c r="F3" s="99"/>
      <c r="G3" s="99"/>
      <c r="H3" s="99"/>
      <c r="I3" s="99"/>
      <c r="J3" s="99"/>
      <c r="K3" s="99"/>
      <c r="L3" s="99"/>
      <c r="M3" s="99"/>
    </row>
    <row r="4" spans="1:13" x14ac:dyDescent="0.25">
      <c r="A4" s="2" t="str">
        <f>$B$9&amp;$B$3&amp;B4</f>
        <v>Cimarex EnergyMarket PricesOil</v>
      </c>
      <c r="B4" s="70" t="s">
        <v>396</v>
      </c>
      <c r="C4" s="70"/>
      <c r="D4" s="108"/>
      <c r="E4" s="89">
        <f>INDEX('Quarterly Forecasts'!$B$4:$O$500,MATCH(($B$2&amp;$B4),'Quarterly Forecasts'!$B$4:$B$500,0),MATCH(E$2,'Quarterly Forecasts'!$B$4:$O$4,0))</f>
        <v>64.358329999999995</v>
      </c>
      <c r="F4" s="134">
        <f>INDEX('Quarterly Forecasts'!$B$4:$O$500,MATCH($B$2&amp;$B4,'Quarterly Forecasts'!$B$4:$B$500,0),MATCH(F$2,'Quarterly Forecasts'!$B$4:$O$4,0))</f>
        <v>50.81859</v>
      </c>
      <c r="G4" s="134">
        <f>INDEX('Quarterly Forecasts'!$B$4:$O$500,MATCH($B$2&amp;$B4,'Quarterly Forecasts'!$B$4:$B$500,0),MATCH(G$2,'Quarterly Forecasts'!$B$4:$O$4,0))</f>
        <v>15</v>
      </c>
      <c r="H4" s="134">
        <f>INDEX('Quarterly Forecasts'!$B$4:$O$500,MATCH($B$2&amp;$B4,'Quarterly Forecasts'!$B$4:$B$500,0),MATCH(H$2,'Quarterly Forecasts'!$B$4:$O$4,0))</f>
        <v>17</v>
      </c>
      <c r="I4" s="134">
        <f>INDEX('Quarterly Forecasts'!$B$4:$O$500,MATCH($B$2&amp;$B4,'Quarterly Forecasts'!$B$4:$B$500,0),MATCH(I$2,'Quarterly Forecasts'!$B$4:$O$4,0))</f>
        <v>19</v>
      </c>
      <c r="J4" s="134">
        <f>INDEX('Quarterly Forecasts'!$B$4:$O$500,MATCH($B$2&amp;$B4,'Quarterly Forecasts'!$B$4:$B$500,0),MATCH(J$2,'Quarterly Forecasts'!$B$4:$O$4,0))</f>
        <v>21</v>
      </c>
      <c r="K4" s="134">
        <f>INDEX('Quarterly Forecasts'!$B$4:$O$500,MATCH($B$2&amp;$B4,'Quarterly Forecasts'!$B$4:$B$500,0),MATCH(K$2,'Quarterly Forecasts'!$B$4:$O$4,0))</f>
        <v>23</v>
      </c>
      <c r="L4" s="134">
        <f>INDEX('Quarterly Forecasts'!$B$4:$O$500,MATCH($B$2&amp;$B4,'Quarterly Forecasts'!$B$4:$B$500,0),MATCH(L$2,'Quarterly Forecasts'!$B$4:$O$4,0))</f>
        <v>25</v>
      </c>
      <c r="M4" s="134">
        <f>INDEX('Quarterly Forecasts'!$B$4:$O$500,MATCH($B$2&amp;$B4,'Quarterly Forecasts'!$B$4:$B$500,0),MATCH(M$2,'Quarterly Forecasts'!$B$4:$O$4,0))</f>
        <v>25</v>
      </c>
    </row>
    <row r="5" spans="1:13" x14ac:dyDescent="0.25">
      <c r="A5" s="2" t="str">
        <f t="shared" ref="A5:A7" si="1">$B$9&amp;$B$3&amp;B5</f>
        <v>Cimarex EnergyMarket PricesGas</v>
      </c>
      <c r="B5" s="70" t="s">
        <v>26</v>
      </c>
      <c r="C5" s="70"/>
      <c r="D5" s="108"/>
      <c r="E5" s="89">
        <f>INDEX('Quarterly Forecasts'!$B$4:$O$500,MATCH($B2&amp;$B5,'Quarterly Forecasts'!$B$4:$B$500,0),MATCH(E$2,'Quarterly Forecasts'!$B$4:$O$4,0))</f>
        <v>15.15714</v>
      </c>
      <c r="F5" s="134">
        <f>INDEX('Quarterly Forecasts'!$B$4:$O$500,MATCH($B$2&amp;$B5,'Quarterly Forecasts'!$B$4:$B$500,0),MATCH(F$2,'Quarterly Forecasts'!$B$4:$O$4,0))</f>
        <v>11.20355</v>
      </c>
      <c r="G5" s="134">
        <f>INDEX('Quarterly Forecasts'!$B$4:$O$500,MATCH($B$2&amp;$B5,'Quarterly Forecasts'!$B$4:$B$500,0),MATCH(G$2,'Quarterly Forecasts'!$B$4:$O$4,0))</f>
        <v>12.325800000000001</v>
      </c>
      <c r="H5" s="134">
        <f>INDEX('Quarterly Forecasts'!$B$4:$O$500,MATCH($B$2&amp;$B5,'Quarterly Forecasts'!$B$4:$B$500,0),MATCH(H$2,'Quarterly Forecasts'!$B$4:$O$4,0))</f>
        <v>12.545400000000001</v>
      </c>
      <c r="I5" s="134">
        <f>INDEX('Quarterly Forecasts'!$B$4:$O$500,MATCH($B$2&amp;$B5,'Quarterly Forecasts'!$B$4:$B$500,0),MATCH(I$2,'Quarterly Forecasts'!$B$4:$O$4,0))</f>
        <v>12.765000000000001</v>
      </c>
      <c r="J5" s="134">
        <f>INDEX('Quarterly Forecasts'!$B$4:$O$500,MATCH($B$2&amp;$B5,'Quarterly Forecasts'!$B$4:$B$500,0),MATCH(J$2,'Quarterly Forecasts'!$B$4:$O$4,0))</f>
        <v>12.9846</v>
      </c>
      <c r="K5" s="134">
        <f>INDEX('Quarterly Forecasts'!$B$4:$O$500,MATCH($B$2&amp;$B5,'Quarterly Forecasts'!$B$4:$B$500,0),MATCH(K$2,'Quarterly Forecasts'!$B$4:$O$4,0))</f>
        <v>13.2042</v>
      </c>
      <c r="L5" s="134">
        <f>INDEX('Quarterly Forecasts'!$B$4:$O$500,MATCH($B$2&amp;$B5,'Quarterly Forecasts'!$B$4:$B$500,0),MATCH(L$2,'Quarterly Forecasts'!$B$4:$O$4,0))</f>
        <v>13.423800000000002</v>
      </c>
      <c r="M5" s="134">
        <f>INDEX('Quarterly Forecasts'!$B$4:$O$500,MATCH($B$2&amp;$B5,'Quarterly Forecasts'!$B$4:$B$500,0),MATCH(M$2,'Quarterly Forecasts'!$B$4:$O$4,0))</f>
        <v>13.423800000000002</v>
      </c>
    </row>
    <row r="6" spans="1:13" x14ac:dyDescent="0.25">
      <c r="A6" s="2" t="str">
        <f t="shared" si="1"/>
        <v>Cimarex EnergyMarket PricesNGL</v>
      </c>
      <c r="B6" s="70" t="s">
        <v>25</v>
      </c>
      <c r="C6" s="70"/>
      <c r="D6" s="108"/>
      <c r="E6" s="89">
        <f>INDEX('Quarterly Forecasts'!$B$4:$O$500,MATCH($B2&amp;$B6,'Quarterly Forecasts'!$B$4:$B$500,0),MATCH(E$2,'Quarterly Forecasts'!$B$4:$O$4,0))</f>
        <v>20.616230000000002</v>
      </c>
      <c r="F6" s="134">
        <f>INDEX('Quarterly Forecasts'!$B$4:$O$500,MATCH($B$2&amp;$B6,'Quarterly Forecasts'!$B$4:$B$500,0),MATCH(F$2,'Quarterly Forecasts'!$B$4:$O$4,0))</f>
        <v>17.26445</v>
      </c>
      <c r="G6" s="134">
        <f>INDEX('Quarterly Forecasts'!$B$4:$O$500,MATCH($B$2&amp;$B6,'Quarterly Forecasts'!$B$4:$B$500,0),MATCH(G$2,'Quarterly Forecasts'!$B$4:$O$4,0))</f>
        <v>6.2672575000000004</v>
      </c>
      <c r="H6" s="134">
        <f>INDEX('Quarterly Forecasts'!$B$4:$O$500,MATCH($B$2&amp;$B6,'Quarterly Forecasts'!$B$4:$B$500,0),MATCH(H$2,'Quarterly Forecasts'!$B$4:$O$4,0))</f>
        <v>7.1405915000000002</v>
      </c>
      <c r="I6" s="134">
        <f>INDEX('Quarterly Forecasts'!$B$4:$O$500,MATCH($B$2&amp;$B6,'Quarterly Forecasts'!$B$4:$B$500,0),MATCH(I$2,'Quarterly Forecasts'!$B$4:$O$4,0))</f>
        <v>8.0139254999999991</v>
      </c>
      <c r="J6" s="134">
        <f>INDEX('Quarterly Forecasts'!$B$4:$O$500,MATCH($B$2&amp;$B6,'Quarterly Forecasts'!$B$4:$B$500,0),MATCH(J$2,'Quarterly Forecasts'!$B$4:$O$4,0))</f>
        <v>8.8872595000000008</v>
      </c>
      <c r="K6" s="134">
        <f>INDEX('Quarterly Forecasts'!$B$4:$O$500,MATCH($B$2&amp;$B6,'Quarterly Forecasts'!$B$4:$B$500,0),MATCH(K$2,'Quarterly Forecasts'!$B$4:$O$4,0))</f>
        <v>9.7605935000000006</v>
      </c>
      <c r="L6" s="134">
        <f>INDEX('Quarterly Forecasts'!$B$4:$O$500,MATCH($B$2&amp;$B6,'Quarterly Forecasts'!$B$4:$B$500,0),MATCH(L$2,'Quarterly Forecasts'!$B$4:$O$4,0))</f>
        <v>10.6339275</v>
      </c>
      <c r="M6" s="134">
        <f>INDEX('Quarterly Forecasts'!$B$4:$O$500,MATCH($B$2&amp;$B6,'Quarterly Forecasts'!$B$4:$B$500,0),MATCH(M$2,'Quarterly Forecasts'!$B$4:$O$4,0))</f>
        <v>10.6339275</v>
      </c>
    </row>
    <row r="7" spans="1:13" x14ac:dyDescent="0.25">
      <c r="A7" s="2" t="str">
        <f t="shared" si="1"/>
        <v>Cimarex EnergyMarket PricesCondensate</v>
      </c>
      <c r="B7" s="71" t="s">
        <v>24</v>
      </c>
      <c r="C7" s="71"/>
      <c r="D7" s="114"/>
      <c r="E7" s="89">
        <f>INDEX('Quarterly Forecasts'!$B$4:$O$500,MATCH($B2&amp;$B7,'Quarterly Forecasts'!$B$4:$B$500,0),MATCH(E$2,'Quarterly Forecasts'!$B$4:$O$4,0))</f>
        <v>38.614997999999993</v>
      </c>
      <c r="F7" s="134">
        <f>INDEX('Quarterly Forecasts'!$B$4:$O$500,MATCH($B$2&amp;$B7,'Quarterly Forecasts'!$B$4:$B$500,0),MATCH(F$2,'Quarterly Forecasts'!$B$4:$O$4,0))</f>
        <v>30.491153999999998</v>
      </c>
      <c r="G7" s="134">
        <f>INDEX('Quarterly Forecasts'!$B$4:$O$500,MATCH($B$2&amp;$B7,'Quarterly Forecasts'!$B$4:$B$500,0),MATCH(G$2,'Quarterly Forecasts'!$B$4:$O$4,0))</f>
        <v>9</v>
      </c>
      <c r="H7" s="134">
        <f>INDEX('Quarterly Forecasts'!$B$4:$O$500,MATCH($B$2&amp;$B7,'Quarterly Forecasts'!$B$4:$B$500,0),MATCH(H$2,'Quarterly Forecasts'!$B$4:$O$4,0))</f>
        <v>10.199999999999999</v>
      </c>
      <c r="I7" s="134">
        <f>INDEX('Quarterly Forecasts'!$B$4:$O$500,MATCH($B$2&amp;$B7,'Quarterly Forecasts'!$B$4:$B$500,0),MATCH(I$2,'Quarterly Forecasts'!$B$4:$O$4,0))</f>
        <v>11.4</v>
      </c>
      <c r="J7" s="134">
        <f>INDEX('Quarterly Forecasts'!$B$4:$O$500,MATCH($B$2&amp;$B7,'Quarterly Forecasts'!$B$4:$B$500,0),MATCH(J$2,'Quarterly Forecasts'!$B$4:$O$4,0))</f>
        <v>12.6</v>
      </c>
      <c r="K7" s="134">
        <f>INDEX('Quarterly Forecasts'!$B$4:$O$500,MATCH($B$2&amp;$B7,'Quarterly Forecasts'!$B$4:$B$500,0),MATCH(K$2,'Quarterly Forecasts'!$B$4:$O$4,0))</f>
        <v>13.799999999999999</v>
      </c>
      <c r="L7" s="134">
        <f>INDEX('Quarterly Forecasts'!$B$4:$O$500,MATCH($B$2&amp;$B7,'Quarterly Forecasts'!$B$4:$B$500,0),MATCH(L$2,'Quarterly Forecasts'!$B$4:$O$4,0))</f>
        <v>15</v>
      </c>
      <c r="M7" s="134">
        <f>INDEX('Quarterly Forecasts'!$B$4:$O$500,MATCH($B$2&amp;$B7,'Quarterly Forecasts'!$B$4:$B$500,0),MATCH(M$2,'Quarterly Forecasts'!$B$4:$O$4,0))</f>
        <v>15</v>
      </c>
    </row>
    <row r="8" spans="1:13" x14ac:dyDescent="0.25">
      <c r="E8" s="187"/>
    </row>
    <row r="9" spans="1:13" x14ac:dyDescent="0.25">
      <c r="B9" s="31" t="s">
        <v>671</v>
      </c>
      <c r="C9" s="31"/>
      <c r="D9" s="115"/>
      <c r="E9" s="67"/>
      <c r="F9" s="67"/>
      <c r="G9" s="67"/>
      <c r="H9" s="67"/>
      <c r="I9" s="67"/>
      <c r="J9" s="67"/>
      <c r="K9" s="67"/>
      <c r="L9" s="67"/>
      <c r="M9" s="67"/>
    </row>
    <row r="10" spans="1:13" x14ac:dyDescent="0.25">
      <c r="B10" s="64" t="s">
        <v>523</v>
      </c>
      <c r="C10" s="64"/>
      <c r="D10" s="111"/>
      <c r="E10" s="103"/>
      <c r="F10" s="99"/>
      <c r="G10" s="99"/>
      <c r="H10" s="99"/>
      <c r="I10" s="99"/>
      <c r="J10" s="99"/>
      <c r="K10" s="99"/>
      <c r="L10" s="99"/>
      <c r="M10" s="99"/>
    </row>
    <row r="11" spans="1:13" x14ac:dyDescent="0.25">
      <c r="A11" s="2" t="str">
        <f>B9&amp;B10&amp;B11</f>
        <v>Cimarex EnergyRealized pricesOil</v>
      </c>
      <c r="B11" s="70" t="s">
        <v>396</v>
      </c>
      <c r="C11" s="132" t="s">
        <v>542</v>
      </c>
      <c r="D11" s="108"/>
      <c r="E11" s="89">
        <v>52.77</v>
      </c>
      <c r="F11" s="134">
        <f>F4*($E11/$E4)</f>
        <v>41.668219083683503</v>
      </c>
      <c r="G11" s="134">
        <f>G4*($E11/$E4)</f>
        <v>12.299107201818321</v>
      </c>
      <c r="H11" s="134">
        <f t="shared" ref="G11:M14" si="2">H4*($E11/$E4)</f>
        <v>13.938988162060765</v>
      </c>
      <c r="I11" s="134">
        <f t="shared" si="2"/>
        <v>15.578869122303207</v>
      </c>
      <c r="J11" s="134">
        <f t="shared" si="2"/>
        <v>17.21875008254565</v>
      </c>
      <c r="K11" s="134">
        <f t="shared" si="2"/>
        <v>18.858631042788094</v>
      </c>
      <c r="L11" s="134">
        <f t="shared" si="2"/>
        <v>20.498512003030537</v>
      </c>
      <c r="M11" s="134">
        <f t="shared" si="2"/>
        <v>20.498512003030537</v>
      </c>
    </row>
    <row r="12" spans="1:13" x14ac:dyDescent="0.25">
      <c r="A12" s="2" t="str">
        <f>B9&amp;B10&amp;B12</f>
        <v>Cimarex EnergyRealized pricesGas</v>
      </c>
      <c r="B12" s="70" t="s">
        <v>26</v>
      </c>
      <c r="C12" s="132" t="s">
        <v>542</v>
      </c>
      <c r="D12" s="108"/>
      <c r="E12" s="89">
        <f>1.11*6</f>
        <v>6.66</v>
      </c>
      <c r="F12" s="134">
        <f>F5*($E12/$E5)</f>
        <v>4.9228048959104429</v>
      </c>
      <c r="G12" s="134">
        <f t="shared" si="2"/>
        <v>5.4159180425858713</v>
      </c>
      <c r="H12" s="134">
        <f t="shared" si="2"/>
        <v>5.5124095970611879</v>
      </c>
      <c r="I12" s="134">
        <f t="shared" si="2"/>
        <v>5.6089011515365046</v>
      </c>
      <c r="J12" s="134">
        <f t="shared" si="2"/>
        <v>5.7053927060118204</v>
      </c>
      <c r="K12" s="134">
        <f t="shared" si="2"/>
        <v>5.801884260487137</v>
      </c>
      <c r="L12" s="134">
        <f t="shared" si="2"/>
        <v>5.8983758149624546</v>
      </c>
      <c r="M12" s="134">
        <f t="shared" si="2"/>
        <v>5.8983758149624546</v>
      </c>
    </row>
    <row r="13" spans="1:13" x14ac:dyDescent="0.25">
      <c r="A13" s="2" t="str">
        <f>B9&amp;B10&amp;B13</f>
        <v>Cimarex EnergyRealized pricesNGL</v>
      </c>
      <c r="B13" s="70" t="s">
        <v>25</v>
      </c>
      <c r="C13" s="132" t="s">
        <v>542</v>
      </c>
      <c r="D13" s="108"/>
      <c r="E13" s="89">
        <v>13.55</v>
      </c>
      <c r="F13" s="134">
        <f>F6*($E13/$E6)</f>
        <v>11.347045386086593</v>
      </c>
      <c r="G13" s="134">
        <f t="shared" si="2"/>
        <v>4.1191497730186368</v>
      </c>
      <c r="H13" s="134">
        <f t="shared" si="2"/>
        <v>4.6931478172779411</v>
      </c>
      <c r="I13" s="134">
        <f t="shared" si="2"/>
        <v>5.2671458615372453</v>
      </c>
      <c r="J13" s="134">
        <f t="shared" si="2"/>
        <v>5.8411439057965504</v>
      </c>
      <c r="K13" s="134">
        <f t="shared" si="2"/>
        <v>6.4151419500558546</v>
      </c>
      <c r="L13" s="134">
        <f t="shared" si="2"/>
        <v>6.9891399943151589</v>
      </c>
      <c r="M13" s="134">
        <f t="shared" si="2"/>
        <v>6.9891399943151589</v>
      </c>
    </row>
    <row r="14" spans="1:13" x14ac:dyDescent="0.25">
      <c r="A14" s="2" t="str">
        <f>B9&amp;B10&amp;B14</f>
        <v>Cimarex EnergyRealized pricesCondensate</v>
      </c>
      <c r="B14" s="70" t="s">
        <v>24</v>
      </c>
      <c r="C14" s="132" t="s">
        <v>543</v>
      </c>
      <c r="D14" s="108"/>
      <c r="E14" s="89">
        <f>E11*0.6</f>
        <v>31.661999999999999</v>
      </c>
      <c r="F14" s="134">
        <f>F7*($E14/$E7)</f>
        <v>25.0009314502101</v>
      </c>
      <c r="G14" s="134">
        <f t="shared" si="2"/>
        <v>7.3794643210909934</v>
      </c>
      <c r="H14" s="134">
        <f t="shared" si="2"/>
        <v>8.3633928972364586</v>
      </c>
      <c r="I14" s="134">
        <f t="shared" si="2"/>
        <v>9.3473214733819248</v>
      </c>
      <c r="J14" s="134">
        <f t="shared" si="2"/>
        <v>10.331250049527389</v>
      </c>
      <c r="K14" s="134">
        <f t="shared" si="2"/>
        <v>11.315178625672855</v>
      </c>
      <c r="L14" s="134">
        <f t="shared" si="2"/>
        <v>12.299107201818321</v>
      </c>
      <c r="M14" s="134">
        <f t="shared" si="2"/>
        <v>12.299107201818321</v>
      </c>
    </row>
    <row r="15" spans="1:13" x14ac:dyDescent="0.25">
      <c r="A15" s="2" t="str">
        <f>B9&amp;B10&amp;B15</f>
        <v>Cimarex EnergyRealized pricesAverage realized price</v>
      </c>
      <c r="B15" s="97" t="s">
        <v>527</v>
      </c>
      <c r="C15" s="137" t="s">
        <v>541</v>
      </c>
      <c r="D15" s="114"/>
      <c r="E15" s="89">
        <f>E29/E24</f>
        <v>22.778463960151409</v>
      </c>
      <c r="F15" s="12">
        <f>F29/F24</f>
        <v>19.081874019462919</v>
      </c>
      <c r="G15" s="12">
        <f t="shared" ref="G15:M15" si="3">G29/G24</f>
        <v>7.4455404059574777</v>
      </c>
      <c r="H15" s="12">
        <f t="shared" si="3"/>
        <v>8.1930692600453572</v>
      </c>
      <c r="I15" s="12">
        <f t="shared" si="3"/>
        <v>8.9405981141332376</v>
      </c>
      <c r="J15" s="12">
        <f t="shared" si="3"/>
        <v>9.7626037047054499</v>
      </c>
      <c r="K15" s="12">
        <f t="shared" si="3"/>
        <v>10.519031899886391</v>
      </c>
      <c r="L15" s="12">
        <f t="shared" si="3"/>
        <v>11.275460095067332</v>
      </c>
      <c r="M15" s="12">
        <f t="shared" si="3"/>
        <v>11.275460095067332</v>
      </c>
    </row>
    <row r="16" spans="1:13" x14ac:dyDescent="0.25">
      <c r="B16" s="31"/>
      <c r="C16" s="31"/>
      <c r="D16" s="115"/>
      <c r="E16" s="100"/>
      <c r="F16" s="100"/>
      <c r="G16" s="100"/>
      <c r="H16" s="100"/>
      <c r="I16" s="100"/>
      <c r="J16" s="100"/>
      <c r="K16" s="100"/>
      <c r="L16" s="100"/>
      <c r="M16" s="100"/>
    </row>
    <row r="17" spans="1:13" x14ac:dyDescent="0.25">
      <c r="A17" s="2" t="str">
        <f>B9&amp;B17</f>
        <v>Cimarex EnergyNetback price, BOE</v>
      </c>
      <c r="B17" s="91" t="s">
        <v>503</v>
      </c>
      <c r="C17" s="53" t="s">
        <v>535</v>
      </c>
      <c r="D17" s="122"/>
      <c r="E17" s="89">
        <f>E15-(E43/E24)-(E36/E24)-(E37/E24)-(E38/E24)</f>
        <v>15.31548383729845</v>
      </c>
      <c r="F17" s="89">
        <f>F15-(F43/F24)-(F36/F24)-(F37/F24)-(F38/F24)</f>
        <v>11.769772635043118</v>
      </c>
      <c r="G17" s="89">
        <f t="shared" ref="G17:M17" si="4">G15-(G43/G24)-(G36/G24)-(G37/G24)-(G38/G24)</f>
        <v>0.61301516906029629</v>
      </c>
      <c r="H17" s="89">
        <f t="shared" si="4"/>
        <v>1.3337659647420457</v>
      </c>
      <c r="I17" s="89">
        <f t="shared" si="4"/>
        <v>2.0545167604237955</v>
      </c>
      <c r="J17" s="89">
        <f t="shared" si="4"/>
        <v>2.7912844112668873</v>
      </c>
      <c r="K17" s="89">
        <f t="shared" si="4"/>
        <v>3.5209345480416978</v>
      </c>
      <c r="L17" s="89">
        <f t="shared" si="4"/>
        <v>4.2505846848165083</v>
      </c>
      <c r="M17" s="89">
        <f t="shared" si="4"/>
        <v>4.2505846848165083</v>
      </c>
    </row>
    <row r="18" spans="1:13" x14ac:dyDescent="0.25">
      <c r="B18" s="31"/>
      <c r="C18" s="31"/>
      <c r="D18" s="115"/>
      <c r="E18" s="100"/>
      <c r="F18" s="100"/>
      <c r="G18" s="100"/>
      <c r="H18" s="100"/>
      <c r="I18" s="100"/>
      <c r="J18" s="100"/>
      <c r="K18" s="100"/>
      <c r="L18" s="100"/>
      <c r="M18" s="100"/>
    </row>
    <row r="19" spans="1:13" x14ac:dyDescent="0.25">
      <c r="B19" s="64" t="s">
        <v>532</v>
      </c>
      <c r="C19" s="64"/>
      <c r="D19" s="111"/>
      <c r="E19" s="103"/>
      <c r="F19" s="99"/>
      <c r="G19" s="99"/>
      <c r="H19" s="99"/>
      <c r="I19" s="99"/>
      <c r="J19" s="99"/>
      <c r="K19" s="99"/>
      <c r="L19" s="99"/>
      <c r="M19" s="99"/>
    </row>
    <row r="20" spans="1:13" x14ac:dyDescent="0.25">
      <c r="A20" s="2" t="str">
        <f>B9&amp;B19&amp;B20</f>
        <v>Cimarex EnergyProduction, BOE/QOil</v>
      </c>
      <c r="B20" s="70" t="s">
        <v>396</v>
      </c>
      <c r="C20" s="73" t="s">
        <v>564</v>
      </c>
      <c r="D20" s="108"/>
      <c r="E20" s="105">
        <f>IF($B$2="A3",SUMIFS('$33'!$H$9:$H$2139,'$33'!$A$9:$A$2139,$B$9,'$33'!$G$9:$G$2139,$B20)*365/4, SUMIFS('$22'!$H$9:$H$2140,'$22'!$A$9:$A$2140,Cimarex_A1!$B$9,'$22'!$G$9:$G$2140, $B20)*365/4)</f>
        <v>8054.7492534826251</v>
      </c>
      <c r="F20" s="66">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8168.1447739902496</v>
      </c>
      <c r="G20" s="66">
        <f>F20*(1-INDEX(Assumptions!$A$2:$K$596,MATCH($B9&amp;"Oil production reduction",Assumptions!$A$2:$A$596,0),MATCH(G$2,Assumptions!$A$2:$K$2,0)))</f>
        <v>8168.1447739902496</v>
      </c>
      <c r="H20" s="66">
        <f>G20*(1-INDEX(Assumptions!$A$2:$K$596,MATCH($B9&amp;"Oil production reduction",Assumptions!$A$2:$A$596,0),MATCH(H$2,Assumptions!$A$2:$K$2,0)))</f>
        <v>8168.1447739902496</v>
      </c>
      <c r="I20" s="66">
        <f>H20*(1-INDEX(Assumptions!$A$2:$K$596,MATCH($B9&amp;"Oil production reduction",Assumptions!$A$2:$A$596,0),MATCH(I$2,Assumptions!$A$2:$K$2,0)))</f>
        <v>8168.1447739902496</v>
      </c>
      <c r="J20" s="66">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7740.5926937507502</v>
      </c>
      <c r="K20" s="66">
        <f>J20*(1-INDEX(Assumptions!$A$2:$K$596,MATCH($B9&amp;"Oil production reduction",Assumptions!$A$2:$A$596,0),MATCH(K$2,Assumptions!$A$2:$K$2,0)))</f>
        <v>7740.5926937507502</v>
      </c>
      <c r="L20" s="66">
        <f>K20*(1-INDEX(Assumptions!$A$2:$K$596,MATCH($B9&amp;"Oil production reduction",Assumptions!$A$2:$A$596,0),MATCH(L$2,Assumptions!$A$2:$K$2,0)))</f>
        <v>7740.5926937507502</v>
      </c>
      <c r="M20" s="66">
        <f>L20*(1-INDEX(Assumptions!$A$2:$K$596,MATCH($B9&amp;"Oil production reduction",Assumptions!$A$2:$A$596,0),MATCH(M$2,Assumptions!$A$2:$K$2,0)))</f>
        <v>7740.5926937507502</v>
      </c>
    </row>
    <row r="21" spans="1:13" x14ac:dyDescent="0.25">
      <c r="A21" s="2" t="str">
        <f>B9&amp;B19&amp;B21</f>
        <v>Cimarex EnergyProduction, BOE/QGas</v>
      </c>
      <c r="B21" s="70" t="s">
        <v>26</v>
      </c>
      <c r="C21" s="73" t="s">
        <v>564</v>
      </c>
      <c r="D21" s="108"/>
      <c r="E21" s="105">
        <f>IF($B$2="A3",SUMIFS('$33'!$H$9:$H$2139,'$33'!$A$9:$A$2139,$B$9,'$33'!$G$9:$G$2139,$B21)*365/4, SUMIFS('$22'!$H$9:$H$2140,'$22'!$A$9:$A$2140,Cimarex_A1!$B$9,'$22'!$G$9:$G$2140, $B21)*365/4)</f>
        <v>10631.662940462502</v>
      </c>
      <c r="F21" s="66">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9866.2729948875021</v>
      </c>
      <c r="G21" s="66">
        <f>F21*(1-INDEX(Assumptions!$A$2:$K$596,MATCH($B9&amp;"Gas production reduction",Assumptions!$A$2:$A$596,0),MATCH(G$2,Assumptions!$A$2:$K$2,0)))</f>
        <v>9866.2729948875021</v>
      </c>
      <c r="H21" s="66">
        <f>G21*(1-INDEX(Assumptions!$A$2:$K$596,MATCH($B9&amp;"Gas production reduction",Assumptions!$A$2:$A$596,0),MATCH(H$2,Assumptions!$A$2:$K$2,0)))</f>
        <v>9866.2729948875021</v>
      </c>
      <c r="I21" s="66">
        <f>H21*(1-INDEX(Assumptions!$A$2:$K$596,MATCH($B9&amp;"Gas production reduction",Assumptions!$A$2:$A$596,0),MATCH(I$2,Assumptions!$A$2:$K$2,0)))</f>
        <v>9866.2729948875021</v>
      </c>
      <c r="J21" s="66">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9076.9959555500009</v>
      </c>
      <c r="K21" s="66">
        <f>J21*(1-INDEX(Assumptions!$A$2:$K$596,MATCH($B9&amp;"Gas production reduction",Assumptions!$A$2:$A$596,0),MATCH(K$2,Assumptions!$A$2:$K$2,0)))</f>
        <v>9076.9959555500009</v>
      </c>
      <c r="L21" s="66">
        <f>K21*(1-INDEX(Assumptions!$A$2:$K$596,MATCH($B9&amp;"Gas production reduction",Assumptions!$A$2:$A$596,0),MATCH(L$2,Assumptions!$A$2:$K$2,0)))</f>
        <v>9076.9959555500009</v>
      </c>
      <c r="M21" s="66">
        <f>L21*(1-INDEX(Assumptions!$A$2:$K$596,MATCH($B9&amp;"Gas production reduction",Assumptions!$A$2:$A$596,0),MATCH(M$2,Assumptions!$A$2:$K$2,0)))</f>
        <v>9076.9959555500009</v>
      </c>
    </row>
    <row r="22" spans="1:13" x14ac:dyDescent="0.25">
      <c r="A22" s="2" t="str">
        <f>B9&amp;B19&amp;B22</f>
        <v>Cimarex EnergyProduction, BOE/QNGL</v>
      </c>
      <c r="B22" s="70" t="s">
        <v>25</v>
      </c>
      <c r="C22" s="73" t="s">
        <v>564</v>
      </c>
      <c r="D22" s="108"/>
      <c r="E22" s="105">
        <f>IF($B$2="A3",SUMIFS('$33'!$H$9:$H$2139,'$33'!$A$9:$A$2139,$B$9,'$33'!$G$9:$G$2139,$B22)*365/4, SUMIFS('$22'!$H$9:$H$2140,'$22'!$A$9:$A$2140,Cimarex_A1!$B$9,'$22'!$G$9:$G$2140, $B22)*365/4)</f>
        <v>7228.7113915600012</v>
      </c>
      <c r="F22" s="66">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6866.6593784825</v>
      </c>
      <c r="G22" s="66">
        <f>F22*(1-INDEX(Assumptions!$A$2:$K$596,MATCH($B9&amp;"NGL production reduction",Assumptions!$A$2:$A$596,0),MATCH(G$2,Assumptions!$A$2:$K$2,0)))</f>
        <v>6866.6593784825</v>
      </c>
      <c r="H22" s="66">
        <f>G22*(1-INDEX(Assumptions!$A$2:$K$596,MATCH($B9&amp;"NGL production reduction",Assumptions!$A$2:$A$596,0),MATCH(H$2,Assumptions!$A$2:$K$2,0)))</f>
        <v>6866.6593784825</v>
      </c>
      <c r="I22" s="66">
        <f>H22*(1-INDEX(Assumptions!$A$2:$K$596,MATCH($B9&amp;"NGL production reduction",Assumptions!$A$2:$A$596,0),MATCH(I$2,Assumptions!$A$2:$K$2,0)))</f>
        <v>6866.6593784825</v>
      </c>
      <c r="J22" s="66">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6329.3384395350013</v>
      </c>
      <c r="K22" s="66">
        <f>J22*(1-INDEX(Assumptions!$A$2:$K$596,MATCH($B9&amp;"NGL production reduction",Assumptions!$A$2:$A$596,0),MATCH(K$2,Assumptions!$A$2:$K$2,0)))</f>
        <v>6329.3384395350013</v>
      </c>
      <c r="L22" s="66">
        <f>K22*(1-INDEX(Assumptions!$A$2:$K$596,MATCH($B9&amp;"NGL production reduction",Assumptions!$A$2:$A$596,0),MATCH(L$2,Assumptions!$A$2:$K$2,0)))</f>
        <v>6329.3384395350013</v>
      </c>
      <c r="M22" s="66">
        <f>L22*(1-INDEX(Assumptions!$A$2:$K$596,MATCH($B9&amp;"NGL production reduction",Assumptions!$A$2:$A$596,0),MATCH(M$2,Assumptions!$A$2:$K$2,0)))</f>
        <v>6329.3384395350013</v>
      </c>
    </row>
    <row r="23" spans="1:13" x14ac:dyDescent="0.25">
      <c r="A23" s="2" t="str">
        <f>B9&amp;B19&amp;B23</f>
        <v>Cimarex EnergyProduction, BOE/QCondensate</v>
      </c>
      <c r="B23" s="70" t="s">
        <v>24</v>
      </c>
      <c r="C23" s="73" t="s">
        <v>564</v>
      </c>
      <c r="D23" s="108"/>
      <c r="E23" s="105">
        <f>IF($B$2="A3",SUMIFS('$33'!$H$9:$H$2139,'$33'!$A$9:$A$2139,$B$9,'$33'!$G$9:$G$2139,$B23)*365/4, SUMIFS('$22'!$H$9:$H$2140,'$22'!$A$9:$A$2140,Cimarex_A1!$B$9,'$22'!$G$9:$G$2140, $B23)*365/4)</f>
        <v>19.120753070250004</v>
      </c>
      <c r="F23" s="66">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10.714874208749999</v>
      </c>
      <c r="G23" s="66">
        <f>F23*(1-INDEX(Assumptions!$A$2:$K$596,MATCH($B9&amp;"Condensate production reduction",Assumptions!$A$2:$A$596,0),MATCH(G$2,Assumptions!$A$2:$K$2,0)))</f>
        <v>10.714874208749999</v>
      </c>
      <c r="H23" s="66">
        <f>G23*(1-INDEX(Assumptions!$A$2:$K$596,MATCH($B9&amp;"Condensate production reduction",Assumptions!$A$2:$A$596,0),MATCH(H$2,Assumptions!$A$2:$K$2,0)))</f>
        <v>10.714874208749999</v>
      </c>
      <c r="I23" s="66">
        <f>H23*(1-INDEX(Assumptions!$A$2:$K$596,MATCH($B9&amp;"Condensate production reduction",Assumptions!$A$2:$A$596,0),MATCH(I$2,Assumptions!$A$2:$K$2,0)))</f>
        <v>10.714874208749999</v>
      </c>
      <c r="J23" s="66">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9.5633011979999996</v>
      </c>
      <c r="K23" s="66">
        <f>J23*(1-INDEX(Assumptions!$A$2:$K$596,MATCH($B9&amp;"Condensate production reduction",Assumptions!$A$2:$A$596,0),MATCH(K$2,Assumptions!$A$2:$K$2,0)))</f>
        <v>9.5633011979999996</v>
      </c>
      <c r="L23" s="66">
        <f>K23*(1-INDEX(Assumptions!$A$2:$K$596,MATCH($B9&amp;"Condensate production reduction",Assumptions!$A$2:$A$596,0),MATCH(L$2,Assumptions!$A$2:$K$2,0)))</f>
        <v>9.5633011979999996</v>
      </c>
      <c r="M23" s="66">
        <f>L23*(1-INDEX(Assumptions!$A$2:$K$596,MATCH($B9&amp;"Condensate production reduction",Assumptions!$A$2:$A$596,0),MATCH(M$2,Assumptions!$A$2:$K$2,0)))</f>
        <v>9.5633011979999996</v>
      </c>
    </row>
    <row r="24" spans="1:13" x14ac:dyDescent="0.25">
      <c r="A24" s="2" t="str">
        <f>B9&amp;B19&amp;B24</f>
        <v>Cimarex EnergyProduction, BOE/QTotal production</v>
      </c>
      <c r="B24" s="97" t="s">
        <v>397</v>
      </c>
      <c r="C24" s="77"/>
      <c r="D24" s="114"/>
      <c r="E24" s="120">
        <f>SUM(E20:E23)</f>
        <v>25934.24433857538</v>
      </c>
      <c r="F24" s="121">
        <f>SUM(F20:F23)</f>
        <v>24911.792021568999</v>
      </c>
      <c r="G24" s="121">
        <f t="shared" ref="G24:M24" si="5">SUM(G20:G23)</f>
        <v>24911.792021568999</v>
      </c>
      <c r="H24" s="121">
        <f t="shared" si="5"/>
        <v>24911.792021568999</v>
      </c>
      <c r="I24" s="121">
        <f t="shared" si="5"/>
        <v>24911.792021568999</v>
      </c>
      <c r="J24" s="121">
        <f t="shared" si="5"/>
        <v>23156.490390033749</v>
      </c>
      <c r="K24" s="121">
        <f t="shared" si="5"/>
        <v>23156.490390033749</v>
      </c>
      <c r="L24" s="121">
        <f t="shared" si="5"/>
        <v>23156.490390033749</v>
      </c>
      <c r="M24" s="121">
        <f t="shared" si="5"/>
        <v>23156.490390033749</v>
      </c>
    </row>
    <row r="25" spans="1:13" x14ac:dyDescent="0.25">
      <c r="B25" s="31"/>
      <c r="C25" s="31"/>
      <c r="D25" s="115"/>
      <c r="E25" s="67"/>
      <c r="F25" s="67"/>
      <c r="G25" s="67"/>
      <c r="H25" s="67"/>
      <c r="I25" s="203"/>
      <c r="J25" s="203"/>
      <c r="K25" s="203"/>
      <c r="L25" s="203"/>
      <c r="M25" s="203"/>
    </row>
    <row r="26" spans="1:13" x14ac:dyDescent="0.25">
      <c r="A26" s="2" t="str">
        <f>B9&amp;B26</f>
        <v>Cimarex EnergyRevenues</v>
      </c>
      <c r="B26" s="64" t="s">
        <v>472</v>
      </c>
      <c r="C26" s="64"/>
      <c r="D26" s="111"/>
      <c r="E26" s="53"/>
      <c r="F26" s="202">
        <f>F29/SUM($F$29:$I$29)</f>
        <v>0.43704537846879865</v>
      </c>
      <c r="G26" s="202">
        <f t="shared" ref="G26:I26" si="6">G29/SUM($F$29:$I$29)</f>
        <v>0.17053036936033639</v>
      </c>
      <c r="H26" s="202">
        <f t="shared" si="6"/>
        <v>0.18765154051040039</v>
      </c>
      <c r="I26" s="202">
        <f t="shared" si="6"/>
        <v>0.20477271166046443</v>
      </c>
      <c r="J26" s="202">
        <f>J29/SUM($J$29:$M$29)</f>
        <v>0.22792484649976011</v>
      </c>
      <c r="K26" s="202">
        <f t="shared" ref="K26:M26" si="7">K29/SUM($J$29:$M$29)</f>
        <v>0.24558496929995202</v>
      </c>
      <c r="L26" s="202">
        <f t="shared" si="7"/>
        <v>0.26324509210014396</v>
      </c>
      <c r="M26" s="202">
        <f t="shared" si="7"/>
        <v>0.26324509210014396</v>
      </c>
    </row>
    <row r="27" spans="1:13" x14ac:dyDescent="0.25">
      <c r="A27" s="2" t="str">
        <f>B9&amp;B27</f>
        <v>Cimarex EnergySales Revenue</v>
      </c>
      <c r="B27" s="70" t="s">
        <v>461</v>
      </c>
      <c r="C27" s="82" t="s">
        <v>536</v>
      </c>
      <c r="D27" s="108"/>
      <c r="E27" s="83">
        <f>2321921/4</f>
        <v>580480.25</v>
      </c>
      <c r="F27" s="50">
        <f>SUMPRODUCT(F11:F14,F20:F23)</f>
        <v>467105.96040752006</v>
      </c>
      <c r="G27" s="50">
        <f>SUMPRODUCT(G11:G14,G20:G23)</f>
        <v>182259.68259356805</v>
      </c>
      <c r="H27" s="50">
        <f t="shared" ref="H27:M27" si="8">SUMPRODUCT(H11:H14,H20:H23)</f>
        <v>200558.47143186055</v>
      </c>
      <c r="I27" s="50">
        <f t="shared" si="8"/>
        <v>218857.26027015309</v>
      </c>
      <c r="J27" s="50">
        <f t="shared" si="8"/>
        <v>222140.53511155595</v>
      </c>
      <c r="K27" s="50">
        <f t="shared" si="8"/>
        <v>239352.47663182608</v>
      </c>
      <c r="L27" s="50">
        <f t="shared" si="8"/>
        <v>256564.41815209624</v>
      </c>
      <c r="M27" s="50">
        <f t="shared" si="8"/>
        <v>256564.41815209624</v>
      </c>
    </row>
    <row r="28" spans="1:13" x14ac:dyDescent="0.25">
      <c r="A28" s="2" t="str">
        <f>B9&amp;B28</f>
        <v>Cimarex EnergyOther Revenue</v>
      </c>
      <c r="B28" s="70" t="s">
        <v>462</v>
      </c>
      <c r="C28" s="82" t="s">
        <v>533</v>
      </c>
      <c r="D28" s="204">
        <f>$E28/$E27</f>
        <v>1.7678465374144942E-2</v>
      </c>
      <c r="E28" s="83">
        <f>41048/4</f>
        <v>10262</v>
      </c>
      <c r="F28" s="50">
        <f>F27*$D28</f>
        <v>8257.716547121061</v>
      </c>
      <c r="G28" s="50">
        <f>G27*$D28</f>
        <v>3222.0714878330405</v>
      </c>
      <c r="H28" s="50">
        <f t="shared" ref="H28:L28" si="9">H27*$D28</f>
        <v>3545.5659926995841</v>
      </c>
      <c r="I28" s="50">
        <f t="shared" si="9"/>
        <v>3869.0604975661286</v>
      </c>
      <c r="J28" s="50">
        <f t="shared" si="9"/>
        <v>3927.1037581636706</v>
      </c>
      <c r="K28" s="50">
        <f t="shared" si="9"/>
        <v>4231.3844703515733</v>
      </c>
      <c r="L28" s="50">
        <f t="shared" si="9"/>
        <v>4535.6651825394774</v>
      </c>
      <c r="M28" s="50">
        <f>M27*$D28</f>
        <v>4535.6651825394774</v>
      </c>
    </row>
    <row r="29" spans="1:13" x14ac:dyDescent="0.25">
      <c r="A29" s="2" t="str">
        <f>B9&amp;B29</f>
        <v>Cimarex EnergyTotal Revenue</v>
      </c>
      <c r="B29" s="84" t="s">
        <v>395</v>
      </c>
      <c r="C29" s="85"/>
      <c r="D29" s="63">
        <f>SUMPRODUCT(E11:E14,E20:E23)</f>
        <v>594410.43392910669</v>
      </c>
      <c r="E29" s="63">
        <f>SUM(E27:E28)</f>
        <v>590742.25</v>
      </c>
      <c r="F29" s="62">
        <f t="shared" ref="F29:M29" si="10">SUM(F27:F28)</f>
        <v>475363.67695464112</v>
      </c>
      <c r="G29" s="62">
        <f t="shared" si="10"/>
        <v>185481.7540814011</v>
      </c>
      <c r="H29" s="62">
        <f t="shared" si="10"/>
        <v>204104.03742456014</v>
      </c>
      <c r="I29" s="62">
        <f t="shared" si="10"/>
        <v>222726.32076771921</v>
      </c>
      <c r="J29" s="62">
        <f t="shared" si="10"/>
        <v>226067.63886971961</v>
      </c>
      <c r="K29" s="62">
        <f t="shared" si="10"/>
        <v>243583.86110217765</v>
      </c>
      <c r="L29" s="62">
        <f t="shared" si="10"/>
        <v>261100.08333463571</v>
      </c>
      <c r="M29" s="62">
        <f t="shared" si="10"/>
        <v>261100.08333463571</v>
      </c>
    </row>
    <row r="30" spans="1:13" x14ac:dyDescent="0.25">
      <c r="A30" s="2" t="str">
        <f>B9&amp;B30</f>
        <v>Cimarex EnergyCosts and Expenses</v>
      </c>
      <c r="B30" s="72" t="s">
        <v>473</v>
      </c>
      <c r="C30" s="72"/>
      <c r="D30" s="112"/>
      <c r="E30" s="83"/>
      <c r="F30" s="199"/>
      <c r="G30" s="50"/>
      <c r="H30" s="50"/>
      <c r="I30" s="50"/>
      <c r="J30" s="50"/>
      <c r="K30" s="50"/>
      <c r="L30" s="50"/>
      <c r="M30" s="50"/>
    </row>
    <row r="31" spans="1:13" x14ac:dyDescent="0.25">
      <c r="A31" s="2" t="str">
        <f>B9&amp;B31</f>
        <v>Cimarex EnergyImpairment</v>
      </c>
      <c r="B31" s="70" t="s">
        <v>463</v>
      </c>
      <c r="C31" s="82" t="s">
        <v>537</v>
      </c>
      <c r="D31" s="108"/>
      <c r="E31" s="83">
        <f>618693/4</f>
        <v>154673.25</v>
      </c>
      <c r="F31" s="207">
        <f t="shared" ref="F31:M31" si="11">618693/4</f>
        <v>154673.25</v>
      </c>
      <c r="G31" s="207">
        <f t="shared" si="11"/>
        <v>154673.25</v>
      </c>
      <c r="H31" s="207">
        <f t="shared" si="11"/>
        <v>154673.25</v>
      </c>
      <c r="I31" s="207">
        <f t="shared" si="11"/>
        <v>154673.25</v>
      </c>
      <c r="J31" s="207">
        <f t="shared" si="11"/>
        <v>154673.25</v>
      </c>
      <c r="K31" s="207">
        <f t="shared" si="11"/>
        <v>154673.25</v>
      </c>
      <c r="L31" s="207">
        <f t="shared" si="11"/>
        <v>154673.25</v>
      </c>
      <c r="M31" s="207">
        <f t="shared" si="11"/>
        <v>154673.25</v>
      </c>
    </row>
    <row r="32" spans="1:13" x14ac:dyDescent="0.25">
      <c r="A32" s="2" t="str">
        <f>B9&amp;B32</f>
        <v>Cimarex EnergyDD&amp;A</v>
      </c>
      <c r="B32" s="70" t="s">
        <v>464</v>
      </c>
      <c r="C32" s="106" t="s">
        <v>545</v>
      </c>
      <c r="D32" s="108">
        <f>E32/E24</f>
        <v>8.5039396992168115</v>
      </c>
      <c r="E32" s="83">
        <f>882173/4</f>
        <v>220543.25</v>
      </c>
      <c r="F32" s="205">
        <f>$D32*F24</f>
        <v>211848.37715085325</v>
      </c>
      <c r="G32" s="205">
        <f t="shared" ref="G32:M32" si="12">$D32*G24</f>
        <v>211848.37715085325</v>
      </c>
      <c r="H32" s="205">
        <f t="shared" si="12"/>
        <v>211848.37715085325</v>
      </c>
      <c r="I32" s="205">
        <f t="shared" si="12"/>
        <v>211848.37715085325</v>
      </c>
      <c r="J32" s="205">
        <f t="shared" si="12"/>
        <v>196921.39792234058</v>
      </c>
      <c r="K32" s="205">
        <f t="shared" si="12"/>
        <v>196921.39792234058</v>
      </c>
      <c r="L32" s="205">
        <f t="shared" si="12"/>
        <v>196921.39792234058</v>
      </c>
      <c r="M32" s="205">
        <f t="shared" si="12"/>
        <v>196921.39792234058</v>
      </c>
    </row>
    <row r="33" spans="1:14" x14ac:dyDescent="0.25">
      <c r="A33" s="2" t="str">
        <f>B9&amp;B33</f>
        <v>Cimarex EnergyAsset retirement obligation</v>
      </c>
      <c r="B33" s="70" t="s">
        <v>465</v>
      </c>
      <c r="C33" s="106" t="s">
        <v>545</v>
      </c>
      <c r="D33" s="108">
        <f>E33/E24</f>
        <v>8.2767015378475126E-2</v>
      </c>
      <c r="E33" s="83">
        <f>8586/4</f>
        <v>2146.5</v>
      </c>
      <c r="F33" s="205">
        <f>$D33*F24</f>
        <v>2061.8746733545754</v>
      </c>
      <c r="G33" s="205">
        <f>$D33*G24</f>
        <v>2061.8746733545754</v>
      </c>
      <c r="H33" s="205">
        <f t="shared" ref="H33:M33" si="13">$D33*H24</f>
        <v>2061.8746733545754</v>
      </c>
      <c r="I33" s="205">
        <f t="shared" si="13"/>
        <v>2061.8746733545754</v>
      </c>
      <c r="J33" s="205">
        <f t="shared" si="13"/>
        <v>1916.5935962234348</v>
      </c>
      <c r="K33" s="205">
        <f t="shared" si="13"/>
        <v>1916.5935962234348</v>
      </c>
      <c r="L33" s="205">
        <f t="shared" si="13"/>
        <v>1916.5935962234348</v>
      </c>
      <c r="M33" s="205">
        <f t="shared" si="13"/>
        <v>1916.5935962234348</v>
      </c>
    </row>
    <row r="34" spans="1:14" x14ac:dyDescent="0.25">
      <c r="A34" s="2" t="str">
        <f>B9&amp;B34</f>
        <v>Cimarex EnergyNon-cash compensation</v>
      </c>
      <c r="B34" s="70" t="s">
        <v>505</v>
      </c>
      <c r="C34" s="106" t="s">
        <v>878</v>
      </c>
      <c r="D34" s="108">
        <f>E34/E24</f>
        <v>0.25447049522024068</v>
      </c>
      <c r="E34" s="83">
        <f>26398/4</f>
        <v>6599.5</v>
      </c>
      <c r="F34" s="206">
        <f>$E34*((F$4*0.0266+11.643)*F$24)/(($E$4*0.0266+11.643)*$E$24)</f>
        <v>6168.35676528776</v>
      </c>
      <c r="G34" s="206">
        <f t="shared" ref="G34:M34" si="14">$E34*((G$4*0.0266+11.643)*G$24)/(($E$4*0.0266+11.643)*$E$24)</f>
        <v>5716.093973149882</v>
      </c>
      <c r="H34" s="206">
        <f t="shared" si="14"/>
        <v>5741.3469377215124</v>
      </c>
      <c r="I34" s="206">
        <f t="shared" si="14"/>
        <v>5766.5999022931428</v>
      </c>
      <c r="J34" s="206">
        <f t="shared" si="14"/>
        <v>5383.7550159346756</v>
      </c>
      <c r="K34" s="206">
        <f t="shared" si="14"/>
        <v>5407.2286396272839</v>
      </c>
      <c r="L34" s="206">
        <f t="shared" si="14"/>
        <v>5430.7022633198912</v>
      </c>
      <c r="M34" s="206">
        <f t="shared" si="14"/>
        <v>5430.7022633198912</v>
      </c>
    </row>
    <row r="35" spans="1:14" x14ac:dyDescent="0.25">
      <c r="A35" s="2" t="str">
        <f>B9&amp;B35</f>
        <v>Cimarex EnergyTaxes other than income</v>
      </c>
      <c r="B35" s="70" t="s">
        <v>467</v>
      </c>
      <c r="C35" s="106" t="s">
        <v>545</v>
      </c>
      <c r="D35" s="108">
        <f>E35/E24</f>
        <v>1.4358717961413936</v>
      </c>
      <c r="E35" s="83">
        <f>148953/4</f>
        <v>37238.25</v>
      </c>
      <c r="F35" s="205">
        <f>$D35*F24</f>
        <v>35770.13955511112</v>
      </c>
      <c r="G35" s="205">
        <f t="shared" ref="G35:M35" si="15">$D35*G24</f>
        <v>35770.13955511112</v>
      </c>
      <c r="H35" s="205">
        <f t="shared" si="15"/>
        <v>35770.13955511112</v>
      </c>
      <c r="I35" s="205">
        <f t="shared" si="15"/>
        <v>35770.13955511112</v>
      </c>
      <c r="J35" s="205">
        <f t="shared" si="15"/>
        <v>33249.751448668678</v>
      </c>
      <c r="K35" s="205">
        <f t="shared" si="15"/>
        <v>33249.751448668678</v>
      </c>
      <c r="L35" s="205">
        <f t="shared" si="15"/>
        <v>33249.751448668678</v>
      </c>
      <c r="M35" s="205">
        <f t="shared" si="15"/>
        <v>33249.751448668678</v>
      </c>
    </row>
    <row r="36" spans="1:14" x14ac:dyDescent="0.25">
      <c r="A36" s="2" t="str">
        <f>B9&amp;B36</f>
        <v>Cimarex EnergyLease operating expenses</v>
      </c>
      <c r="B36" s="70" t="s">
        <v>468</v>
      </c>
      <c r="C36" s="106" t="s">
        <v>878</v>
      </c>
      <c r="D36" s="108">
        <f>E36/E24</f>
        <v>3.2769510802206168</v>
      </c>
      <c r="E36" s="83">
        <f>339941/4</f>
        <v>84985.25</v>
      </c>
      <c r="F36" s="206">
        <f>$E36*((F$4*0.0266+11.643)*F$24)/(($E$4*0.0266+11.643)*$E$24)</f>
        <v>79433.190664015696</v>
      </c>
      <c r="G36" s="206">
        <f t="shared" ref="G36:M38" si="16">$E36*((G$4*0.0266+11.643)*G$24)/(($E$4*0.0266+11.643)*$E$24)</f>
        <v>73609.163623249638</v>
      </c>
      <c r="H36" s="206">
        <f t="shared" si="16"/>
        <v>73934.359396772052</v>
      </c>
      <c r="I36" s="206">
        <f t="shared" si="16"/>
        <v>74259.555170294465</v>
      </c>
      <c r="J36" s="206">
        <f t="shared" si="16"/>
        <v>69329.459196600103</v>
      </c>
      <c r="K36" s="206">
        <f t="shared" si="16"/>
        <v>69631.741457062599</v>
      </c>
      <c r="L36" s="206">
        <f t="shared" si="16"/>
        <v>69934.023717525095</v>
      </c>
      <c r="M36" s="206">
        <f t="shared" si="16"/>
        <v>69934.023717525095</v>
      </c>
    </row>
    <row r="37" spans="1:14" x14ac:dyDescent="0.25">
      <c r="A37" s="2" t="str">
        <f>B9&amp;B37</f>
        <v>Cimarex EnergyTransportation, Processing, and Other Operating</v>
      </c>
      <c r="B37" s="70" t="s">
        <v>469</v>
      </c>
      <c r="C37" s="106" t="s">
        <v>878</v>
      </c>
      <c r="D37" s="108">
        <f>E37/E24</f>
        <v>2.5213092445010838</v>
      </c>
      <c r="E37" s="83">
        <f>(238259+23294)/4</f>
        <v>65388.25</v>
      </c>
      <c r="F37" s="206">
        <f>$E37*((F$4*0.0266+11.643)*F$24)/(($E$4*0.0266+11.643)*$E$24)</f>
        <v>61116.456437279696</v>
      </c>
      <c r="G37" s="206">
        <f t="shared" si="16"/>
        <v>56635.409006715323</v>
      </c>
      <c r="H37" s="206">
        <f t="shared" si="16"/>
        <v>56885.616925595677</v>
      </c>
      <c r="I37" s="206">
        <f t="shared" si="16"/>
        <v>57135.824844476039</v>
      </c>
      <c r="J37" s="206">
        <f t="shared" si="16"/>
        <v>53342.574273913255</v>
      </c>
      <c r="K37" s="206">
        <f t="shared" si="16"/>
        <v>53575.152374438781</v>
      </c>
      <c r="L37" s="206">
        <f t="shared" si="16"/>
        <v>53807.730474964301</v>
      </c>
      <c r="M37" s="206">
        <f t="shared" si="16"/>
        <v>53807.730474964301</v>
      </c>
    </row>
    <row r="38" spans="1:14" x14ac:dyDescent="0.25">
      <c r="A38" s="2" t="str">
        <f>B9&amp;B38</f>
        <v>Cimarex EnergySG&amp;A</v>
      </c>
      <c r="B38" s="70" t="s">
        <v>470</v>
      </c>
      <c r="C38" s="106" t="s">
        <v>878</v>
      </c>
      <c r="D38" s="108">
        <f>E38/E24</f>
        <v>0.92390391974367481</v>
      </c>
      <c r="E38" s="83">
        <f>95843/4</f>
        <v>23960.75</v>
      </c>
      <c r="F38" s="206">
        <f>$E38*((F$4*0.0266+11.643)*F$24)/(($E$4*0.0266+11.643)*$E$24)</f>
        <v>22395.401827997379</v>
      </c>
      <c r="G38" s="206">
        <f t="shared" si="16"/>
        <v>20753.375053739077</v>
      </c>
      <c r="H38" s="206">
        <f t="shared" si="16"/>
        <v>20845.060783091252</v>
      </c>
      <c r="I38" s="206">
        <f t="shared" si="16"/>
        <v>20936.746512443431</v>
      </c>
      <c r="J38" s="206">
        <f t="shared" si="16"/>
        <v>19546.754753853591</v>
      </c>
      <c r="K38" s="206">
        <f t="shared" si="16"/>
        <v>19631.980245010898</v>
      </c>
      <c r="L38" s="206">
        <f t="shared" si="16"/>
        <v>19717.205736168209</v>
      </c>
      <c r="M38" s="206">
        <f t="shared" si="16"/>
        <v>19717.205736168209</v>
      </c>
    </row>
    <row r="39" spans="1:14" x14ac:dyDescent="0.25">
      <c r="A39" s="2" t="str">
        <f>B9&amp;B39</f>
        <v>Cimarex EnergyExploratory and dirt well, dry hole</v>
      </c>
      <c r="B39" s="70" t="s">
        <v>561</v>
      </c>
      <c r="C39" s="106" t="s">
        <v>545</v>
      </c>
      <c r="D39" s="108">
        <f>E39/E24</f>
        <v>0</v>
      </c>
      <c r="E39" s="83">
        <v>0</v>
      </c>
      <c r="F39" s="50">
        <f>$D39*F24</f>
        <v>0</v>
      </c>
      <c r="G39" s="50">
        <f t="shared" ref="G39:M39" si="17">$D39*G24</f>
        <v>0</v>
      </c>
      <c r="H39" s="50">
        <f t="shared" si="17"/>
        <v>0</v>
      </c>
      <c r="I39" s="50">
        <f t="shared" si="17"/>
        <v>0</v>
      </c>
      <c r="J39" s="50">
        <f t="shared" si="17"/>
        <v>0</v>
      </c>
      <c r="K39" s="50">
        <f t="shared" si="17"/>
        <v>0</v>
      </c>
      <c r="L39" s="50">
        <f t="shared" si="17"/>
        <v>0</v>
      </c>
      <c r="M39" s="50">
        <f t="shared" si="17"/>
        <v>0</v>
      </c>
    </row>
    <row r="40" spans="1:14" x14ac:dyDescent="0.25">
      <c r="A40" s="2" t="str">
        <f>B9&amp;B40</f>
        <v>Cimarex EnergyOther Expenses (benefits)</v>
      </c>
      <c r="B40" s="70" t="s">
        <v>471</v>
      </c>
      <c r="C40" s="106" t="s">
        <v>545</v>
      </c>
      <c r="D40" s="108">
        <f>E40/E24</f>
        <v>0.18609564778493623</v>
      </c>
      <c r="E40" s="83">
        <f>19305/4</f>
        <v>4826.25</v>
      </c>
      <c r="F40" s="50">
        <f t="shared" ref="F40:M40" si="18">$D40*F24</f>
        <v>4635.9760737374891</v>
      </c>
      <c r="G40" s="50">
        <f t="shared" si="18"/>
        <v>4635.9760737374891</v>
      </c>
      <c r="H40" s="50">
        <f t="shared" si="18"/>
        <v>4635.9760737374891</v>
      </c>
      <c r="I40" s="50">
        <f t="shared" si="18"/>
        <v>4635.9760737374891</v>
      </c>
      <c r="J40" s="50">
        <f t="shared" si="18"/>
        <v>4309.3220795589814</v>
      </c>
      <c r="K40" s="50">
        <f t="shared" si="18"/>
        <v>4309.3220795589814</v>
      </c>
      <c r="L40" s="50">
        <f t="shared" si="18"/>
        <v>4309.3220795589814</v>
      </c>
      <c r="M40" s="50">
        <f t="shared" si="18"/>
        <v>4309.3220795589814</v>
      </c>
    </row>
    <row r="41" spans="1:14" x14ac:dyDescent="0.25">
      <c r="A41" s="2" t="str">
        <f>B9&amp;B41</f>
        <v>Cimarex EnergyTotal Costs and Expenses</v>
      </c>
      <c r="B41" s="84" t="s">
        <v>474</v>
      </c>
      <c r="C41" s="85"/>
      <c r="D41" s="110"/>
      <c r="E41" s="63">
        <f t="shared" ref="E41:M41" si="19">SUM(E31:E40)</f>
        <v>600361.25</v>
      </c>
      <c r="F41" s="62">
        <f t="shared" si="19"/>
        <v>578103.02314763702</v>
      </c>
      <c r="G41" s="62">
        <f t="shared" si="19"/>
        <v>565703.65910991037</v>
      </c>
      <c r="H41" s="62">
        <f t="shared" si="19"/>
        <v>566396.001496237</v>
      </c>
      <c r="I41" s="62">
        <f t="shared" si="19"/>
        <v>567088.34388256352</v>
      </c>
      <c r="J41" s="62">
        <f t="shared" si="19"/>
        <v>538672.85828709323</v>
      </c>
      <c r="K41" s="62">
        <f t="shared" si="19"/>
        <v>539316.4177629312</v>
      </c>
      <c r="L41" s="62">
        <f t="shared" si="19"/>
        <v>539959.97723876918</v>
      </c>
      <c r="M41" s="62">
        <f t="shared" si="19"/>
        <v>539959.97723876918</v>
      </c>
    </row>
    <row r="42" spans="1:14" x14ac:dyDescent="0.25">
      <c r="A42" s="2" t="str">
        <f>B9&amp;B42</f>
        <v>Cimarex EnergyOther (Income) Expense</v>
      </c>
      <c r="B42" s="72" t="s">
        <v>506</v>
      </c>
      <c r="C42" s="72"/>
      <c r="D42" s="112"/>
      <c r="E42" s="83"/>
      <c r="F42" s="50"/>
      <c r="G42" s="50"/>
      <c r="H42" s="50"/>
      <c r="I42" s="50"/>
      <c r="J42" s="50"/>
      <c r="K42" s="50"/>
      <c r="L42" s="50"/>
      <c r="M42" s="50"/>
    </row>
    <row r="43" spans="1:14" x14ac:dyDescent="0.25">
      <c r="A43" s="2" t="str">
        <f>B9&amp;B43</f>
        <v>Cimarex EnergyLoss (gain) on derivative instruments, net</v>
      </c>
      <c r="B43" s="70" t="s">
        <v>466</v>
      </c>
      <c r="C43" s="107" t="s">
        <v>879</v>
      </c>
      <c r="D43" s="108"/>
      <c r="E43" s="83">
        <f>76850/4</f>
        <v>19212.5</v>
      </c>
      <c r="F43" s="157">
        <f t="shared" ref="F43:M43" si="20">76850/4</f>
        <v>19212.5</v>
      </c>
      <c r="G43" s="157">
        <f t="shared" si="20"/>
        <v>19212.5</v>
      </c>
      <c r="H43" s="157">
        <f t="shared" si="20"/>
        <v>19212.5</v>
      </c>
      <c r="I43" s="157">
        <f t="shared" si="20"/>
        <v>19212.5</v>
      </c>
      <c r="J43" s="157">
        <f t="shared" si="20"/>
        <v>19212.5</v>
      </c>
      <c r="K43" s="157">
        <f t="shared" si="20"/>
        <v>19212.5</v>
      </c>
      <c r="L43" s="157">
        <f t="shared" si="20"/>
        <v>19212.5</v>
      </c>
      <c r="M43" s="157">
        <f t="shared" si="20"/>
        <v>19212.5</v>
      </c>
    </row>
    <row r="44" spans="1:14" x14ac:dyDescent="0.25">
      <c r="A44" s="2" t="str">
        <f>B9&amp;B44</f>
        <v>Cimarex EnergyInterest expense, net</v>
      </c>
      <c r="B44" s="70" t="s">
        <v>475</v>
      </c>
      <c r="C44" s="82" t="s">
        <v>526</v>
      </c>
      <c r="D44" s="108"/>
      <c r="E44" s="83">
        <f>93386/4</f>
        <v>23346.5</v>
      </c>
      <c r="F44" s="188">
        <f>$E73*(F78/E78)*(($E44/$E73)+IF($B$2="A3",(('Quarterly Forecasts'!$K$5-'Quarterly Forecasts'!$G$5)/400),(('Quarterly Forecasts'!$K$26-'Quarterly Forecasts'!$G$26)/400)))</f>
        <v>29962.85983776861</v>
      </c>
      <c r="G44" s="188">
        <f>$E73*(G78/F78)*(($E44/$E73)+IF($B$2="A3",(('Quarterly Forecasts'!$K$5-'Quarterly Forecasts'!$G$5)/400),(('Quarterly Forecasts'!$K$26-'Quarterly Forecasts'!$G$26)/400)))</f>
        <v>30132.735885410002</v>
      </c>
      <c r="H44" s="188">
        <f>$E73*(H78/G78)*(($E44/$E73)+IF($B$2="A3",(('Quarterly Forecasts'!$K$5-'Quarterly Forecasts'!$G$5)/400),(('Quarterly Forecasts'!$K$26-'Quarterly Forecasts'!$G$26)/400)))</f>
        <v>30132.735885410002</v>
      </c>
      <c r="I44" s="188">
        <f>$E73*(I78/H78)*(($E44/$E73)+IF($B$2="A3",(('Quarterly Forecasts'!$K$5-'Quarterly Forecasts'!$G$5)/400),(('Quarterly Forecasts'!$K$26-'Quarterly Forecasts'!$G$26)/400)))</f>
        <v>30132.735885410002</v>
      </c>
      <c r="J44" s="188">
        <f>$I73*(J78/I78)*(($I44/$I73)+ IF($B$2 = "A3", (('Quarterly Forecasts'!$O$5-'Quarterly Forecasts'!$K$5)/400),  (('Quarterly Forecasts'!$O$26-'Quarterly Forecasts'!$K$26)/400)))</f>
        <v>22329.37894548996</v>
      </c>
      <c r="K44" s="188">
        <f>$I73*(K78/J78)*(($I44/$I73)+ IF($B$2 = "A3", (('Quarterly Forecasts'!$O$5-'Quarterly Forecasts'!$K$5)/400),  (('Quarterly Forecasts'!$O$26-'Quarterly Forecasts'!$K$26)/400)))</f>
        <v>22350.794905585</v>
      </c>
      <c r="L44" s="188">
        <f>$I73*(L78/K78)*(($I44/$I73)+ IF($B$2 = "A3", (('Quarterly Forecasts'!$O$5-'Quarterly Forecasts'!$K$5)/400),  (('Quarterly Forecasts'!$O$26-'Quarterly Forecasts'!$K$26)/400)))</f>
        <v>22350.794905585</v>
      </c>
      <c r="M44" s="188">
        <f>$I73*(M78/L78)*(($I44/$I73)+ IF($B$2 = "A3", (('Quarterly Forecasts'!$O$5-'Quarterly Forecasts'!$K$5)/400),  (('Quarterly Forecasts'!$O$26-'Quarterly Forecasts'!$K$26)/400)))</f>
        <v>22350.794905585</v>
      </c>
      <c r="N44" s="154"/>
    </row>
    <row r="45" spans="1:14" x14ac:dyDescent="0.25">
      <c r="A45" s="2" t="str">
        <f>B9&amp;B45</f>
        <v>Cimarex EnergyOther, net</v>
      </c>
      <c r="B45" s="70" t="s">
        <v>508</v>
      </c>
      <c r="C45" s="82" t="s">
        <v>509</v>
      </c>
      <c r="D45" s="108"/>
      <c r="E45" s="83">
        <f>(-56232+4250-5741)/4</f>
        <v>-14430.75</v>
      </c>
      <c r="F45" s="50">
        <f>E45</f>
        <v>-14430.75</v>
      </c>
      <c r="G45" s="50">
        <f t="shared" ref="G45:M45" si="21">F45</f>
        <v>-14430.75</v>
      </c>
      <c r="H45" s="50">
        <f t="shared" si="21"/>
        <v>-14430.75</v>
      </c>
      <c r="I45" s="50">
        <f t="shared" si="21"/>
        <v>-14430.75</v>
      </c>
      <c r="J45" s="50">
        <f t="shared" si="21"/>
        <v>-14430.75</v>
      </c>
      <c r="K45" s="50">
        <f t="shared" si="21"/>
        <v>-14430.75</v>
      </c>
      <c r="L45" s="50">
        <f t="shared" si="21"/>
        <v>-14430.75</v>
      </c>
      <c r="M45" s="50">
        <f t="shared" si="21"/>
        <v>-14430.75</v>
      </c>
    </row>
    <row r="46" spans="1:14" x14ac:dyDescent="0.25">
      <c r="A46" s="2" t="str">
        <f>B9&amp;B46</f>
        <v>Cimarex EnergyTotal Other (Income) Expense</v>
      </c>
      <c r="B46" s="84" t="s">
        <v>518</v>
      </c>
      <c r="C46" s="84"/>
      <c r="D46" s="110"/>
      <c r="E46" s="63">
        <f>SUM(E43:E45)</f>
        <v>28128.25</v>
      </c>
      <c r="F46" s="62">
        <f>SUM(F43:F45)</f>
        <v>34744.609837768614</v>
      </c>
      <c r="G46" s="62">
        <f t="shared" ref="G46:L46" si="22">SUM(G43:G45)</f>
        <v>34914.485885410002</v>
      </c>
      <c r="H46" s="62">
        <f t="shared" si="22"/>
        <v>34914.485885410002</v>
      </c>
      <c r="I46" s="62">
        <f t="shared" si="22"/>
        <v>34914.485885410002</v>
      </c>
      <c r="J46" s="62">
        <f t="shared" si="22"/>
        <v>27111.12894548996</v>
      </c>
      <c r="K46" s="62">
        <f t="shared" si="22"/>
        <v>27132.544905585004</v>
      </c>
      <c r="L46" s="62">
        <f t="shared" si="22"/>
        <v>27132.544905585004</v>
      </c>
      <c r="M46" s="62">
        <f>SUM(M43:M45)</f>
        <v>27132.544905585004</v>
      </c>
    </row>
    <row r="47" spans="1:14" x14ac:dyDescent="0.25">
      <c r="A47" s="2" t="str">
        <f>B9&amp;B47</f>
        <v>Cimarex EnergyIncome (loss) from continuing operations before income taxes</v>
      </c>
      <c r="B47" s="72" t="s">
        <v>476</v>
      </c>
      <c r="C47" s="72"/>
      <c r="D47" s="112"/>
      <c r="E47" s="63">
        <f>E29-E41-E46</f>
        <v>-37747.25</v>
      </c>
      <c r="F47" s="62">
        <f>F29-F41-F46</f>
        <v>-137483.9560307645</v>
      </c>
      <c r="G47" s="62">
        <f t="shared" ref="G47:M47" si="23">G29-G41-G46</f>
        <v>-415136.39091391925</v>
      </c>
      <c r="H47" s="62">
        <f t="shared" si="23"/>
        <v>-397206.44995708682</v>
      </c>
      <c r="I47" s="62">
        <f t="shared" si="23"/>
        <v>-379276.50900025433</v>
      </c>
      <c r="J47" s="62">
        <f t="shared" si="23"/>
        <v>-339716.34836286359</v>
      </c>
      <c r="K47" s="62">
        <f t="shared" si="23"/>
        <v>-322865.10156633856</v>
      </c>
      <c r="L47" s="62">
        <f t="shared" si="23"/>
        <v>-305992.43880971847</v>
      </c>
      <c r="M47" s="62">
        <f t="shared" si="23"/>
        <v>-305992.43880971847</v>
      </c>
    </row>
    <row r="48" spans="1:14" x14ac:dyDescent="0.25">
      <c r="A48" s="2" t="str">
        <f>B9&amp;B48</f>
        <v>Cimarex EnergyIncome tax (benefit) expense</v>
      </c>
      <c r="B48" s="73" t="s">
        <v>477</v>
      </c>
      <c r="C48" s="73" t="s">
        <v>525</v>
      </c>
      <c r="D48" s="109">
        <f>ABS(E48/E47)</f>
        <v>0.17464848432667279</v>
      </c>
      <c r="E48" s="83">
        <f>-26370/4</f>
        <v>-6592.5</v>
      </c>
      <c r="F48" s="50">
        <f>$D48*F47</f>
        <v>-24011.364540007944</v>
      </c>
      <c r="G48" s="50">
        <f t="shared" ref="G48:M48" si="24">$D48*G47</f>
        <v>-72502.941461961134</v>
      </c>
      <c r="H48" s="50">
        <f t="shared" si="24"/>
        <v>-69371.504449783621</v>
      </c>
      <c r="I48" s="50">
        <f t="shared" si="24"/>
        <v>-66240.067437606092</v>
      </c>
      <c r="J48" s="50">
        <f t="shared" si="24"/>
        <v>-59330.945342566098</v>
      </c>
      <c r="K48" s="50">
        <f t="shared" si="24"/>
        <v>-56387.900630538301</v>
      </c>
      <c r="L48" s="50">
        <f t="shared" si="24"/>
        <v>-53441.115653539498</v>
      </c>
      <c r="M48" s="50">
        <f t="shared" si="24"/>
        <v>-53441.115653539498</v>
      </c>
    </row>
    <row r="49" spans="1:13" ht="11" thickBot="1" x14ac:dyDescent="0.3">
      <c r="A49" s="2" t="str">
        <f>B9&amp;B49</f>
        <v>Cimarex EnergyNet (loss) Income</v>
      </c>
      <c r="B49" s="74" t="s">
        <v>478</v>
      </c>
      <c r="C49" s="74"/>
      <c r="D49" s="116"/>
      <c r="E49" s="86">
        <f>E47-E48</f>
        <v>-31154.75</v>
      </c>
      <c r="F49" s="34">
        <f>F47-F48</f>
        <v>-113472.59149075656</v>
      </c>
      <c r="G49" s="34">
        <f t="shared" ref="G49:M49" si="25">G47-G48</f>
        <v>-342633.44945195812</v>
      </c>
      <c r="H49" s="34">
        <f t="shared" si="25"/>
        <v>-327834.94550730323</v>
      </c>
      <c r="I49" s="34">
        <f t="shared" si="25"/>
        <v>-313036.44156264822</v>
      </c>
      <c r="J49" s="34">
        <f t="shared" si="25"/>
        <v>-280385.40302029747</v>
      </c>
      <c r="K49" s="34">
        <f t="shared" si="25"/>
        <v>-266477.20093580027</v>
      </c>
      <c r="L49" s="34">
        <f t="shared" si="25"/>
        <v>-252551.32315617899</v>
      </c>
      <c r="M49" s="34">
        <f t="shared" si="25"/>
        <v>-252551.32315617899</v>
      </c>
    </row>
    <row r="50" spans="1:13" ht="11" thickTop="1" x14ac:dyDescent="0.25"/>
    <row r="51" spans="1:13" x14ac:dyDescent="0.25">
      <c r="A51" s="2" t="str">
        <f>B9&amp;B51</f>
        <v>Cimarex EnergyCurrent Assets</v>
      </c>
      <c r="B51" s="64" t="s">
        <v>479</v>
      </c>
      <c r="C51" s="64"/>
      <c r="D51" s="111"/>
      <c r="E51" s="83"/>
      <c r="F51" s="50"/>
      <c r="G51" s="50"/>
      <c r="H51" s="50"/>
      <c r="I51" s="50"/>
      <c r="J51" s="50"/>
      <c r="K51" s="50"/>
      <c r="L51" s="50"/>
      <c r="M51" s="50"/>
    </row>
    <row r="52" spans="1:13" x14ac:dyDescent="0.25">
      <c r="A52" s="2" t="str">
        <f>B9&amp;B52</f>
        <v>Cimarex EnergyCash and cash equivalents</v>
      </c>
      <c r="B52" s="70" t="s">
        <v>480</v>
      </c>
      <c r="C52" s="82" t="s">
        <v>538</v>
      </c>
      <c r="D52" s="140">
        <v>2406</v>
      </c>
      <c r="E52" s="83">
        <v>94722</v>
      </c>
      <c r="F52" s="50">
        <f>F49+E52</f>
        <v>-18750.59149075656</v>
      </c>
      <c r="G52" s="50">
        <f>G49+F52</f>
        <v>-361384.04094271467</v>
      </c>
      <c r="H52" s="50">
        <f t="shared" ref="H52:M52" si="26">H49+G52</f>
        <v>-689218.9864500179</v>
      </c>
      <c r="I52" s="50">
        <f>I49+H52</f>
        <v>-1002255.4280126661</v>
      </c>
      <c r="J52" s="50">
        <f>J49+I52</f>
        <v>-1282640.8310329635</v>
      </c>
      <c r="K52" s="50">
        <f t="shared" si="26"/>
        <v>-1549118.0319687638</v>
      </c>
      <c r="L52" s="50">
        <f t="shared" si="26"/>
        <v>-1801669.3551249427</v>
      </c>
      <c r="M52" s="50">
        <f t="shared" si="26"/>
        <v>-2054220.6782811217</v>
      </c>
    </row>
    <row r="53" spans="1:13" x14ac:dyDescent="0.25">
      <c r="A53" s="2" t="str">
        <f>B9&amp;B53</f>
        <v>Cimarex EnergyAccounts receivable, net of allowance</v>
      </c>
      <c r="B53" s="70" t="s">
        <v>481</v>
      </c>
      <c r="C53" s="82"/>
      <c r="D53" s="108"/>
      <c r="E53" s="83"/>
      <c r="F53" s="50"/>
      <c r="G53" s="50"/>
      <c r="H53" s="50"/>
      <c r="I53" s="50"/>
      <c r="J53" s="50"/>
      <c r="K53" s="50"/>
      <c r="L53" s="50"/>
      <c r="M53" s="50"/>
    </row>
    <row r="54" spans="1:13" x14ac:dyDescent="0.25">
      <c r="A54" s="2" t="str">
        <f>B9&amp;B54</f>
        <v>Cimarex EnergyOil and gas sales</v>
      </c>
      <c r="B54" s="75" t="s">
        <v>482</v>
      </c>
      <c r="C54" s="82" t="s">
        <v>539</v>
      </c>
      <c r="D54" s="133">
        <f>E54/E29</f>
        <v>0.65122648667841176</v>
      </c>
      <c r="E54" s="83">
        <v>384707</v>
      </c>
      <c r="F54" s="50">
        <f>$D54*F29</f>
        <v>309569.41723770241</v>
      </c>
      <c r="G54" s="50">
        <f>$D54*G29</f>
        <v>120790.63105338</v>
      </c>
      <c r="H54" s="50">
        <f t="shared" ref="H54:M54" si="27">$D54*H29</f>
        <v>132917.95520887538</v>
      </c>
      <c r="I54" s="50">
        <f t="shared" si="27"/>
        <v>145045.27936437077</v>
      </c>
      <c r="J54" s="50">
        <f t="shared" si="27"/>
        <v>147221.23421281145</v>
      </c>
      <c r="K54" s="50">
        <f t="shared" si="27"/>
        <v>158628.2620771334</v>
      </c>
      <c r="L54" s="50">
        <f t="shared" si="27"/>
        <v>170035.28994145535</v>
      </c>
      <c r="M54" s="50">
        <f t="shared" si="27"/>
        <v>170035.28994145535</v>
      </c>
    </row>
    <row r="55" spans="1:13" x14ac:dyDescent="0.25">
      <c r="A55" s="2" t="str">
        <f>B9&amp;B55</f>
        <v>Cimarex EnergyOther receivable</v>
      </c>
      <c r="B55" s="75" t="s">
        <v>569</v>
      </c>
      <c r="C55" s="82" t="s">
        <v>539</v>
      </c>
      <c r="D55" s="133">
        <f>E55/E29</f>
        <v>0.10813006857051446</v>
      </c>
      <c r="E55" s="83">
        <f>57879+5998</f>
        <v>63877</v>
      </c>
      <c r="F55" s="50">
        <f t="shared" ref="F55:M55" si="28">$D55*F29</f>
        <v>51401.10698503723</v>
      </c>
      <c r="G55" s="50">
        <f>$D55*G29</f>
        <v>20056.154787401203</v>
      </c>
      <c r="H55" s="50">
        <f t="shared" si="28"/>
        <v>22069.783562236538</v>
      </c>
      <c r="I55" s="50">
        <f t="shared" si="28"/>
        <v>24083.412337071877</v>
      </c>
      <c r="J55" s="50">
        <f t="shared" si="28"/>
        <v>24444.709292557083</v>
      </c>
      <c r="K55" s="50">
        <f t="shared" si="28"/>
        <v>26338.739603649141</v>
      </c>
      <c r="L55" s="50">
        <f t="shared" si="28"/>
        <v>28232.769914741202</v>
      </c>
      <c r="M55" s="50">
        <f t="shared" si="28"/>
        <v>28232.769914741202</v>
      </c>
    </row>
    <row r="56" spans="1:13" x14ac:dyDescent="0.25">
      <c r="A56" s="2" t="str">
        <f>B9&amp;B56</f>
        <v>Cimarex EnergyInventory</v>
      </c>
      <c r="B56" s="70" t="s">
        <v>484</v>
      </c>
      <c r="C56" s="82" t="s">
        <v>539</v>
      </c>
      <c r="D56" s="133">
        <f>E56/E29</f>
        <v>8.1072582839639459E-2</v>
      </c>
      <c r="E56" s="83">
        <v>47893</v>
      </c>
      <c r="F56" s="50">
        <f t="shared" ref="F56:M56" si="29">$D56*F29</f>
        <v>38538.961078860753</v>
      </c>
      <c r="G56" s="50">
        <f t="shared" si="29"/>
        <v>15037.484873006026</v>
      </c>
      <c r="H56" s="50">
        <f t="shared" si="29"/>
        <v>16547.241482007525</v>
      </c>
      <c r="I56" s="50">
        <f t="shared" si="29"/>
        <v>18056.998091009027</v>
      </c>
      <c r="J56" s="50">
        <f t="shared" si="29"/>
        <v>18327.887379627042</v>
      </c>
      <c r="K56" s="50">
        <f t="shared" si="29"/>
        <v>19747.97275760553</v>
      </c>
      <c r="L56" s="50">
        <f t="shared" si="29"/>
        <v>21168.058135584019</v>
      </c>
      <c r="M56" s="50">
        <f t="shared" si="29"/>
        <v>21168.058135584019</v>
      </c>
    </row>
    <row r="57" spans="1:13" x14ac:dyDescent="0.25">
      <c r="A57" s="2" t="str">
        <f>B9&amp;B57</f>
        <v>Cimarex EnergyDerivative instruments current assets</v>
      </c>
      <c r="B57" s="70" t="s">
        <v>813</v>
      </c>
      <c r="C57" s="107" t="s">
        <v>507</v>
      </c>
      <c r="D57" s="108"/>
      <c r="E57" s="83">
        <v>17944</v>
      </c>
      <c r="F57" s="138"/>
      <c r="G57" s="138"/>
      <c r="H57" s="138"/>
      <c r="I57" s="138"/>
      <c r="J57" s="138"/>
      <c r="K57" s="138"/>
      <c r="L57" s="138"/>
      <c r="M57" s="138"/>
    </row>
    <row r="58" spans="1:13" x14ac:dyDescent="0.25">
      <c r="A58" s="2" t="str">
        <f>B9&amp;B58</f>
        <v>Cimarex EnergyPrepaid expenses</v>
      </c>
      <c r="B58" s="70" t="s">
        <v>486</v>
      </c>
      <c r="C58" s="82" t="s">
        <v>509</v>
      </c>
      <c r="D58" s="108"/>
      <c r="E58" s="83">
        <v>10759</v>
      </c>
      <c r="F58" s="50">
        <f>E58</f>
        <v>10759</v>
      </c>
      <c r="G58" s="50">
        <f t="shared" ref="G58:M59" si="30">F58</f>
        <v>10759</v>
      </c>
      <c r="H58" s="50">
        <f t="shared" si="30"/>
        <v>10759</v>
      </c>
      <c r="I58" s="50">
        <f t="shared" si="30"/>
        <v>10759</v>
      </c>
      <c r="J58" s="50">
        <f t="shared" si="30"/>
        <v>10759</v>
      </c>
      <c r="K58" s="50">
        <f t="shared" si="30"/>
        <v>10759</v>
      </c>
      <c r="L58" s="50">
        <f t="shared" si="30"/>
        <v>10759</v>
      </c>
      <c r="M58" s="50">
        <f t="shared" si="30"/>
        <v>10759</v>
      </c>
    </row>
    <row r="59" spans="1:13" x14ac:dyDescent="0.25">
      <c r="A59" s="2" t="str">
        <f>B9&amp;B59</f>
        <v>Cimarex EnergyOther current assets</v>
      </c>
      <c r="B59" s="70" t="s">
        <v>568</v>
      </c>
      <c r="C59" s="82" t="s">
        <v>509</v>
      </c>
      <c r="D59" s="108"/>
      <c r="E59" s="83">
        <v>1584</v>
      </c>
      <c r="F59" s="50">
        <f>E59</f>
        <v>1584</v>
      </c>
      <c r="G59" s="50">
        <f t="shared" si="30"/>
        <v>1584</v>
      </c>
      <c r="H59" s="50">
        <f t="shared" si="30"/>
        <v>1584</v>
      </c>
      <c r="I59" s="50">
        <f t="shared" si="30"/>
        <v>1584</v>
      </c>
      <c r="J59" s="50">
        <f t="shared" si="30"/>
        <v>1584</v>
      </c>
      <c r="K59" s="50">
        <f t="shared" si="30"/>
        <v>1584</v>
      </c>
      <c r="L59" s="50">
        <f t="shared" si="30"/>
        <v>1584</v>
      </c>
      <c r="M59" s="50">
        <f t="shared" si="30"/>
        <v>1584</v>
      </c>
    </row>
    <row r="60" spans="1:13" x14ac:dyDescent="0.25">
      <c r="A60" s="2" t="str">
        <f>B9&amp;B60</f>
        <v>Cimarex EnergyTotal current assets</v>
      </c>
      <c r="B60" s="76" t="s">
        <v>487</v>
      </c>
      <c r="C60" s="87"/>
      <c r="D60" s="111"/>
      <c r="E60" s="63">
        <f>SUM(E52:E59)</f>
        <v>621486</v>
      </c>
      <c r="F60" s="62">
        <f>SUM(F52:F59)</f>
        <v>393101.89381084382</v>
      </c>
      <c r="G60" s="62">
        <f t="shared" ref="G60:M60" si="31">SUM(G52:G59)</f>
        <v>-193156.77022892743</v>
      </c>
      <c r="H60" s="62">
        <f t="shared" si="31"/>
        <v>-505341.00619689841</v>
      </c>
      <c r="I60" s="62">
        <f t="shared" si="31"/>
        <v>-802726.73822021449</v>
      </c>
      <c r="J60" s="62">
        <f t="shared" si="31"/>
        <v>-1080304.0001479678</v>
      </c>
      <c r="K60" s="62">
        <f t="shared" si="31"/>
        <v>-1332060.0575303757</v>
      </c>
      <c r="L60" s="62">
        <f t="shared" si="31"/>
        <v>-1569890.2371331621</v>
      </c>
      <c r="M60" s="62">
        <f t="shared" si="31"/>
        <v>-1822441.560289341</v>
      </c>
    </row>
    <row r="61" spans="1:13" x14ac:dyDescent="0.25">
      <c r="A61" s="2" t="str">
        <f>B9&amp;B61</f>
        <v>Cimarex EnergyProperty and equipment, net</v>
      </c>
      <c r="B61" s="72" t="s">
        <v>488</v>
      </c>
      <c r="C61" s="73" t="s">
        <v>509</v>
      </c>
      <c r="D61" s="112"/>
      <c r="E61" s="83">
        <v>5210698</v>
      </c>
      <c r="F61" s="50">
        <f>E61</f>
        <v>5210698</v>
      </c>
      <c r="G61" s="50">
        <f t="shared" ref="G61:M61" si="32">F61</f>
        <v>5210698</v>
      </c>
      <c r="H61" s="50">
        <f t="shared" si="32"/>
        <v>5210698</v>
      </c>
      <c r="I61" s="50">
        <f t="shared" si="32"/>
        <v>5210698</v>
      </c>
      <c r="J61" s="50">
        <f t="shared" si="32"/>
        <v>5210698</v>
      </c>
      <c r="K61" s="50">
        <f t="shared" si="32"/>
        <v>5210698</v>
      </c>
      <c r="L61" s="50">
        <f t="shared" si="32"/>
        <v>5210698</v>
      </c>
      <c r="M61" s="50">
        <f t="shared" si="32"/>
        <v>5210698</v>
      </c>
    </row>
    <row r="62" spans="1:13" x14ac:dyDescent="0.25">
      <c r="A62" s="2" t="str">
        <f>B9&amp;B62</f>
        <v>Cimarex EnergyDerivative instruments total assets</v>
      </c>
      <c r="B62" s="73" t="s">
        <v>814</v>
      </c>
      <c r="C62" s="95" t="s">
        <v>507</v>
      </c>
      <c r="D62" s="108"/>
      <c r="E62" s="83">
        <v>580</v>
      </c>
      <c r="F62" s="138"/>
      <c r="G62" s="138"/>
      <c r="H62" s="138"/>
      <c r="I62" s="138"/>
      <c r="J62" s="138"/>
      <c r="K62" s="138"/>
      <c r="L62" s="138"/>
      <c r="M62" s="138"/>
    </row>
    <row r="63" spans="1:13" x14ac:dyDescent="0.25">
      <c r="A63" s="2" t="str">
        <f>B9&amp;B63</f>
        <v>Cimarex EnergyDeferred income taxes assets</v>
      </c>
      <c r="B63" s="73" t="s">
        <v>815</v>
      </c>
      <c r="C63" s="73" t="s">
        <v>509</v>
      </c>
      <c r="D63" s="108"/>
      <c r="E63" s="83">
        <v>0</v>
      </c>
      <c r="F63" s="50">
        <f>E63</f>
        <v>0</v>
      </c>
      <c r="G63" s="50">
        <f t="shared" ref="G63:M65" si="33">F63</f>
        <v>0</v>
      </c>
      <c r="H63" s="50">
        <f t="shared" si="33"/>
        <v>0</v>
      </c>
      <c r="I63" s="50">
        <f t="shared" si="33"/>
        <v>0</v>
      </c>
      <c r="J63" s="50">
        <f t="shared" si="33"/>
        <v>0</v>
      </c>
      <c r="K63" s="50">
        <f t="shared" si="33"/>
        <v>0</v>
      </c>
      <c r="L63" s="50">
        <f t="shared" si="33"/>
        <v>0</v>
      </c>
      <c r="M63" s="50">
        <f t="shared" si="33"/>
        <v>0</v>
      </c>
    </row>
    <row r="64" spans="1:13" x14ac:dyDescent="0.25">
      <c r="A64" s="2" t="str">
        <f>B9&amp;B64</f>
        <v>Cimarex EnergyGoodwill</v>
      </c>
      <c r="B64" s="73" t="s">
        <v>490</v>
      </c>
      <c r="C64" s="73" t="s">
        <v>509</v>
      </c>
      <c r="D64" s="108"/>
      <c r="E64" s="83">
        <v>716865</v>
      </c>
      <c r="F64" s="50">
        <f>E64</f>
        <v>716865</v>
      </c>
      <c r="G64" s="50">
        <f t="shared" si="33"/>
        <v>716865</v>
      </c>
      <c r="H64" s="50">
        <f t="shared" si="33"/>
        <v>716865</v>
      </c>
      <c r="I64" s="50">
        <f t="shared" si="33"/>
        <v>716865</v>
      </c>
      <c r="J64" s="50">
        <f t="shared" si="33"/>
        <v>716865</v>
      </c>
      <c r="K64" s="50">
        <f t="shared" si="33"/>
        <v>716865</v>
      </c>
      <c r="L64" s="50">
        <f t="shared" si="33"/>
        <v>716865</v>
      </c>
      <c r="M64" s="50">
        <f t="shared" si="33"/>
        <v>716865</v>
      </c>
    </row>
    <row r="65" spans="1:13" x14ac:dyDescent="0.25">
      <c r="A65" s="2" t="str">
        <f>B9&amp;B65</f>
        <v>Cimarex EnergyOther assets</v>
      </c>
      <c r="B65" s="77" t="s">
        <v>491</v>
      </c>
      <c r="C65" s="77" t="s">
        <v>509</v>
      </c>
      <c r="D65" s="114"/>
      <c r="E65" s="83">
        <f>519291+71109</f>
        <v>590400</v>
      </c>
      <c r="F65" s="50">
        <f>E65</f>
        <v>590400</v>
      </c>
      <c r="G65" s="50">
        <f t="shared" si="33"/>
        <v>590400</v>
      </c>
      <c r="H65" s="50">
        <f t="shared" si="33"/>
        <v>590400</v>
      </c>
      <c r="I65" s="50">
        <f t="shared" si="33"/>
        <v>590400</v>
      </c>
      <c r="J65" s="50">
        <f t="shared" si="33"/>
        <v>590400</v>
      </c>
      <c r="K65" s="50">
        <f t="shared" si="33"/>
        <v>590400</v>
      </c>
      <c r="L65" s="50">
        <f t="shared" si="33"/>
        <v>590400</v>
      </c>
      <c r="M65" s="50">
        <f t="shared" si="33"/>
        <v>590400</v>
      </c>
    </row>
    <row r="66" spans="1:13" x14ac:dyDescent="0.25">
      <c r="A66" s="2" t="str">
        <f>B9&amp;B66</f>
        <v>Cimarex EnergyTotal assets</v>
      </c>
      <c r="B66" s="78" t="s">
        <v>492</v>
      </c>
      <c r="C66" s="88"/>
      <c r="D66" s="112"/>
      <c r="E66" s="63">
        <f>SUM(E60:E65)</f>
        <v>7140029</v>
      </c>
      <c r="F66" s="62">
        <f>SUM(F60:F65)</f>
        <v>6911064.893810844</v>
      </c>
      <c r="G66" s="62">
        <f t="shared" ref="G66:M66" si="34">SUM(G60:G65)</f>
        <v>6324806.229771073</v>
      </c>
      <c r="H66" s="62">
        <f t="shared" si="34"/>
        <v>6012621.9938031016</v>
      </c>
      <c r="I66" s="62">
        <f t="shared" si="34"/>
        <v>5715236.2617797852</v>
      </c>
      <c r="J66" s="62">
        <f t="shared" si="34"/>
        <v>5437658.9998520324</v>
      </c>
      <c r="K66" s="62">
        <f t="shared" si="34"/>
        <v>5185902.9424696248</v>
      </c>
      <c r="L66" s="62">
        <f t="shared" si="34"/>
        <v>4948072.7628668379</v>
      </c>
      <c r="M66" s="62">
        <f t="shared" si="34"/>
        <v>4695521.439710659</v>
      </c>
    </row>
    <row r="67" spans="1:13" x14ac:dyDescent="0.25">
      <c r="A67" s="2" t="str">
        <f>B9&amp;B67</f>
        <v>Cimarex EnergyCurrent liabilities</v>
      </c>
      <c r="B67" s="72" t="s">
        <v>498</v>
      </c>
      <c r="C67" s="72"/>
      <c r="D67" s="112"/>
      <c r="E67" s="83"/>
      <c r="F67" s="50"/>
      <c r="G67" s="50"/>
      <c r="H67" s="50"/>
      <c r="I67" s="50"/>
      <c r="J67" s="50"/>
      <c r="K67" s="50"/>
      <c r="L67" s="50"/>
      <c r="M67" s="50"/>
    </row>
    <row r="68" spans="1:13" x14ac:dyDescent="0.25">
      <c r="A68" s="2" t="str">
        <f>B9&amp;B68</f>
        <v>Cimarex EnergyAccounts payable</v>
      </c>
      <c r="B68" s="70" t="s">
        <v>493</v>
      </c>
      <c r="C68" s="82" t="s">
        <v>539</v>
      </c>
      <c r="D68" s="108">
        <f>E68/E24</f>
        <v>1.8901649633602846</v>
      </c>
      <c r="E68" s="83">
        <f>36280+12740</f>
        <v>49020</v>
      </c>
      <c r="F68" s="50">
        <f>$D68*F24</f>
        <v>47087.396453688001</v>
      </c>
      <c r="G68" s="50">
        <f t="shared" ref="G68:M68" si="35">$D68*G24</f>
        <v>47087.396453688001</v>
      </c>
      <c r="H68" s="50">
        <f t="shared" si="35"/>
        <v>47087.396453688001</v>
      </c>
      <c r="I68" s="50">
        <f t="shared" si="35"/>
        <v>47087.396453688001</v>
      </c>
      <c r="J68" s="50">
        <f t="shared" si="35"/>
        <v>43769.58680963092</v>
      </c>
      <c r="K68" s="50">
        <f t="shared" si="35"/>
        <v>43769.58680963092</v>
      </c>
      <c r="L68" s="50">
        <f t="shared" si="35"/>
        <v>43769.58680963092</v>
      </c>
      <c r="M68" s="50">
        <f t="shared" si="35"/>
        <v>43769.58680963092</v>
      </c>
    </row>
    <row r="69" spans="1:13" x14ac:dyDescent="0.25">
      <c r="A69" s="2" t="str">
        <f>B9&amp;B69</f>
        <v>Cimarex EnergyAccrued liabilities</v>
      </c>
      <c r="B69" s="70" t="s">
        <v>510</v>
      </c>
      <c r="C69" s="82" t="s">
        <v>507</v>
      </c>
      <c r="D69" s="108"/>
      <c r="E69" s="83">
        <f>112228+54446+252304</f>
        <v>418978</v>
      </c>
      <c r="F69" s="50">
        <f>E69</f>
        <v>418978</v>
      </c>
      <c r="G69" s="50">
        <f t="shared" ref="G69:M69" si="36">F69</f>
        <v>418978</v>
      </c>
      <c r="H69" s="50">
        <f t="shared" si="36"/>
        <v>418978</v>
      </c>
      <c r="I69" s="50">
        <f t="shared" si="36"/>
        <v>418978</v>
      </c>
      <c r="J69" s="50">
        <f t="shared" si="36"/>
        <v>418978</v>
      </c>
      <c r="K69" s="50">
        <f t="shared" si="36"/>
        <v>418978</v>
      </c>
      <c r="L69" s="50">
        <f t="shared" si="36"/>
        <v>418978</v>
      </c>
      <c r="M69" s="50">
        <f t="shared" si="36"/>
        <v>418978</v>
      </c>
    </row>
    <row r="70" spans="1:13" x14ac:dyDescent="0.25">
      <c r="A70" s="2" t="str">
        <f>B9&amp;B70</f>
        <v>Cimarex EnergyDerivative instruments current liabilities</v>
      </c>
      <c r="B70" s="70" t="s">
        <v>812</v>
      </c>
      <c r="C70" s="107" t="s">
        <v>507</v>
      </c>
      <c r="D70" s="108"/>
      <c r="E70" s="83">
        <v>16681</v>
      </c>
      <c r="F70" s="138"/>
      <c r="G70" s="138"/>
      <c r="H70" s="138"/>
      <c r="I70" s="138"/>
      <c r="J70" s="138"/>
      <c r="K70" s="138"/>
      <c r="L70" s="138"/>
      <c r="M70" s="138"/>
    </row>
    <row r="71" spans="1:13" x14ac:dyDescent="0.25">
      <c r="A71" s="2" t="str">
        <f>B9&amp;B71</f>
        <v>Cimarex EnergyOther current liabilities</v>
      </c>
      <c r="B71" s="70" t="s">
        <v>494</v>
      </c>
      <c r="C71" s="82" t="s">
        <v>509</v>
      </c>
      <c r="D71" s="108"/>
      <c r="E71" s="83">
        <f>207939+66003</f>
        <v>273942</v>
      </c>
      <c r="F71" s="50">
        <f>E71</f>
        <v>273942</v>
      </c>
      <c r="G71" s="50">
        <f t="shared" ref="G71:M71" si="37">F71</f>
        <v>273942</v>
      </c>
      <c r="H71" s="50">
        <f t="shared" si="37"/>
        <v>273942</v>
      </c>
      <c r="I71" s="50">
        <f t="shared" si="37"/>
        <v>273942</v>
      </c>
      <c r="J71" s="50">
        <f t="shared" si="37"/>
        <v>273942</v>
      </c>
      <c r="K71" s="50">
        <f t="shared" si="37"/>
        <v>273942</v>
      </c>
      <c r="L71" s="50">
        <f t="shared" si="37"/>
        <v>273942</v>
      </c>
      <c r="M71" s="50">
        <f t="shared" si="37"/>
        <v>273942</v>
      </c>
    </row>
    <row r="72" spans="1:13" x14ac:dyDescent="0.25">
      <c r="A72" s="2" t="str">
        <f>B9&amp;B72</f>
        <v>Cimarex EnergyTotal current liabilities</v>
      </c>
      <c r="B72" s="76" t="s">
        <v>497</v>
      </c>
      <c r="C72" s="87"/>
      <c r="D72" s="111"/>
      <c r="E72" s="63">
        <f>SUM(E68:E71)</f>
        <v>758621</v>
      </c>
      <c r="F72" s="62">
        <f>SUM(F68:F71)</f>
        <v>740007.39645368792</v>
      </c>
      <c r="G72" s="62">
        <f>SUM(G68:G71)</f>
        <v>740007.39645368792</v>
      </c>
      <c r="H72" s="62">
        <f t="shared" ref="H72:M72" si="38">SUM(H68:H71)</f>
        <v>740007.39645368792</v>
      </c>
      <c r="I72" s="62">
        <f t="shared" si="38"/>
        <v>740007.39645368792</v>
      </c>
      <c r="J72" s="62">
        <f t="shared" si="38"/>
        <v>736689.58680963097</v>
      </c>
      <c r="K72" s="62">
        <f t="shared" si="38"/>
        <v>736689.58680963097</v>
      </c>
      <c r="L72" s="62">
        <f t="shared" si="38"/>
        <v>736689.58680963097</v>
      </c>
      <c r="M72" s="62">
        <f t="shared" si="38"/>
        <v>736689.58680963097</v>
      </c>
    </row>
    <row r="73" spans="1:13" x14ac:dyDescent="0.25">
      <c r="A73" s="2" t="str">
        <f>B9&amp;B73</f>
        <v>Cimarex EnergyLong-term debt, net</v>
      </c>
      <c r="B73" s="73" t="s">
        <v>511</v>
      </c>
      <c r="C73" s="73" t="s">
        <v>509</v>
      </c>
      <c r="D73" s="108"/>
      <c r="E73" s="83">
        <v>1985246</v>
      </c>
      <c r="F73" s="50">
        <f t="shared" ref="F73:M74" si="39">E73</f>
        <v>1985246</v>
      </c>
      <c r="G73" s="50">
        <f t="shared" si="39"/>
        <v>1985246</v>
      </c>
      <c r="H73" s="50">
        <f t="shared" si="39"/>
        <v>1985246</v>
      </c>
      <c r="I73" s="50">
        <f t="shared" si="39"/>
        <v>1985246</v>
      </c>
      <c r="J73" s="50">
        <f t="shared" si="39"/>
        <v>1985246</v>
      </c>
      <c r="K73" s="50">
        <f t="shared" si="39"/>
        <v>1985246</v>
      </c>
      <c r="L73" s="50">
        <f t="shared" si="39"/>
        <v>1985246</v>
      </c>
      <c r="M73" s="50">
        <f t="shared" si="39"/>
        <v>1985246</v>
      </c>
    </row>
    <row r="74" spans="1:13" x14ac:dyDescent="0.25">
      <c r="A74" s="2" t="str">
        <f>B9&amp;B74</f>
        <v>Cimarex EnergyAsset retirement obligations</v>
      </c>
      <c r="B74" s="73" t="s">
        <v>495</v>
      </c>
      <c r="C74" s="73" t="s">
        <v>509</v>
      </c>
      <c r="D74" s="108"/>
      <c r="E74" s="83">
        <v>154045</v>
      </c>
      <c r="F74" s="50">
        <f>E74</f>
        <v>154045</v>
      </c>
      <c r="G74" s="50">
        <f t="shared" si="39"/>
        <v>154045</v>
      </c>
      <c r="H74" s="50">
        <f t="shared" si="39"/>
        <v>154045</v>
      </c>
      <c r="I74" s="50">
        <f t="shared" si="39"/>
        <v>154045</v>
      </c>
      <c r="J74" s="50">
        <f t="shared" si="39"/>
        <v>154045</v>
      </c>
      <c r="K74" s="50">
        <f t="shared" si="39"/>
        <v>154045</v>
      </c>
      <c r="L74" s="50">
        <f t="shared" si="39"/>
        <v>154045</v>
      </c>
      <c r="M74" s="50">
        <f t="shared" si="39"/>
        <v>154045</v>
      </c>
    </row>
    <row r="75" spans="1:13" x14ac:dyDescent="0.25">
      <c r="A75" s="2" t="str">
        <f>B9&amp;B75</f>
        <v>Cimarex EnergyDerivative instruments liabilities</v>
      </c>
      <c r="B75" s="73" t="s">
        <v>811</v>
      </c>
      <c r="C75" s="95" t="s">
        <v>507</v>
      </c>
      <c r="D75" s="108"/>
      <c r="E75" s="83">
        <v>1018</v>
      </c>
      <c r="F75" s="138"/>
      <c r="G75" s="138"/>
      <c r="H75" s="138"/>
      <c r="I75" s="138"/>
      <c r="J75" s="138"/>
      <c r="K75" s="138"/>
      <c r="L75" s="138"/>
      <c r="M75" s="138"/>
    </row>
    <row r="76" spans="1:13" x14ac:dyDescent="0.25">
      <c r="A76" s="2" t="str">
        <f>B9&amp;B76</f>
        <v>Cimarex EnergyDeferred income taxes liabilities</v>
      </c>
      <c r="B76" s="73" t="s">
        <v>810</v>
      </c>
      <c r="C76" s="73" t="s">
        <v>509</v>
      </c>
      <c r="D76" s="108"/>
      <c r="E76" s="83">
        <v>338424</v>
      </c>
      <c r="F76" s="50">
        <f>E76</f>
        <v>338424</v>
      </c>
      <c r="G76" s="50">
        <f t="shared" ref="G76:M77" si="40">F76</f>
        <v>338424</v>
      </c>
      <c r="H76" s="50">
        <f t="shared" si="40"/>
        <v>338424</v>
      </c>
      <c r="I76" s="50">
        <f t="shared" si="40"/>
        <v>338424</v>
      </c>
      <c r="J76" s="50">
        <f t="shared" si="40"/>
        <v>338424</v>
      </c>
      <c r="K76" s="50">
        <f t="shared" si="40"/>
        <v>338424</v>
      </c>
      <c r="L76" s="50">
        <f t="shared" si="40"/>
        <v>338424</v>
      </c>
      <c r="M76" s="50">
        <f t="shared" si="40"/>
        <v>338424</v>
      </c>
    </row>
    <row r="77" spans="1:13" x14ac:dyDescent="0.25">
      <c r="A77" s="2" t="str">
        <f>B9&amp;B77</f>
        <v>Cimarex EnergyOther long-term liabilities</v>
      </c>
      <c r="B77" s="73" t="s">
        <v>496</v>
      </c>
      <c r="C77" s="73" t="s">
        <v>509</v>
      </c>
      <c r="D77" s="108"/>
      <c r="E77" s="83">
        <f>60742+184172</f>
        <v>244914</v>
      </c>
      <c r="F77" s="50">
        <f>E77</f>
        <v>244914</v>
      </c>
      <c r="G77" s="50">
        <f t="shared" si="40"/>
        <v>244914</v>
      </c>
      <c r="H77" s="50">
        <f t="shared" si="40"/>
        <v>244914</v>
      </c>
      <c r="I77" s="50">
        <f t="shared" si="40"/>
        <v>244914</v>
      </c>
      <c r="J77" s="50">
        <f t="shared" si="40"/>
        <v>244914</v>
      </c>
      <c r="K77" s="50">
        <f t="shared" si="40"/>
        <v>244914</v>
      </c>
      <c r="L77" s="50">
        <f t="shared" si="40"/>
        <v>244914</v>
      </c>
      <c r="M77" s="50">
        <f t="shared" si="40"/>
        <v>244914</v>
      </c>
    </row>
    <row r="78" spans="1:13" ht="11" thickBot="1" x14ac:dyDescent="0.3">
      <c r="A78" s="2" t="str">
        <f>B9&amp;B78</f>
        <v>Cimarex EnergyTotal liabilities</v>
      </c>
      <c r="B78" s="79" t="s">
        <v>499</v>
      </c>
      <c r="C78" s="79"/>
      <c r="D78" s="123"/>
      <c r="E78" s="86">
        <f>SUM(E72:E77)</f>
        <v>3482268</v>
      </c>
      <c r="F78" s="34">
        <f t="shared" ref="F78:M78" si="41">SUM(F72:F77)</f>
        <v>3462636.3964536879</v>
      </c>
      <c r="G78" s="34">
        <f t="shared" si="41"/>
        <v>3462636.3964536879</v>
      </c>
      <c r="H78" s="34">
        <f t="shared" si="41"/>
        <v>3462636.3964536879</v>
      </c>
      <c r="I78" s="34">
        <f t="shared" si="41"/>
        <v>3462636.3964536879</v>
      </c>
      <c r="J78" s="34">
        <f t="shared" si="41"/>
        <v>3459318.586809631</v>
      </c>
      <c r="K78" s="34">
        <f t="shared" si="41"/>
        <v>3459318.586809631</v>
      </c>
      <c r="L78" s="34">
        <f t="shared" si="41"/>
        <v>3459318.586809631</v>
      </c>
      <c r="M78" s="34">
        <f t="shared" si="41"/>
        <v>3459318.586809631</v>
      </c>
    </row>
    <row r="79" spans="1:13" ht="11" thickTop="1" x14ac:dyDescent="0.25"/>
    <row r="80" spans="1:13" x14ac:dyDescent="0.25">
      <c r="A80" s="2" t="str">
        <f>B9&amp;B80</f>
        <v>Cimarex EnergyNet (loss) Income cashflow</v>
      </c>
      <c r="B80" s="80" t="s">
        <v>572</v>
      </c>
      <c r="C80" s="135" t="s">
        <v>540</v>
      </c>
      <c r="D80" s="117"/>
      <c r="E80" s="83">
        <f>E49</f>
        <v>-31154.75</v>
      </c>
      <c r="F80" s="50">
        <f t="shared" ref="F80:M80" si="42">F49</f>
        <v>-113472.59149075656</v>
      </c>
      <c r="G80" s="50">
        <f t="shared" si="42"/>
        <v>-342633.44945195812</v>
      </c>
      <c r="H80" s="50">
        <f t="shared" si="42"/>
        <v>-327834.94550730323</v>
      </c>
      <c r="I80" s="50">
        <f t="shared" si="42"/>
        <v>-313036.44156264822</v>
      </c>
      <c r="J80" s="50">
        <f t="shared" si="42"/>
        <v>-280385.40302029747</v>
      </c>
      <c r="K80" s="50">
        <f t="shared" si="42"/>
        <v>-266477.20093580027</v>
      </c>
      <c r="L80" s="50">
        <f t="shared" si="42"/>
        <v>-252551.32315617899</v>
      </c>
      <c r="M80" s="50">
        <f t="shared" si="42"/>
        <v>-252551.32315617899</v>
      </c>
    </row>
    <row r="81" spans="1:13" x14ac:dyDescent="0.25">
      <c r="A81" s="2" t="str">
        <f>B9&amp;B81</f>
        <v>Cimarex EnergyChange in Net working capital</v>
      </c>
      <c r="B81" s="68" t="s">
        <v>500</v>
      </c>
      <c r="C81" s="136" t="s">
        <v>565</v>
      </c>
      <c r="D81" s="118"/>
      <c r="E81" s="83">
        <f>(65128-739-184563-2797)/4</f>
        <v>-30742.75</v>
      </c>
      <c r="F81" s="50">
        <f>(F60-F72)-(E60-E72)</f>
        <v>-209770.50264284411</v>
      </c>
      <c r="G81" s="50">
        <f t="shared" ref="G81:M81" si="43">(G60-G72)-(F60-F72)</f>
        <v>-586258.66403977131</v>
      </c>
      <c r="H81" s="50">
        <f t="shared" si="43"/>
        <v>-312184.23596797092</v>
      </c>
      <c r="I81" s="50">
        <f t="shared" si="43"/>
        <v>-297385.73202331597</v>
      </c>
      <c r="J81" s="50">
        <f t="shared" si="43"/>
        <v>-274259.4522836965</v>
      </c>
      <c r="K81" s="50">
        <f t="shared" si="43"/>
        <v>-251756.05738240783</v>
      </c>
      <c r="L81" s="50">
        <f t="shared" si="43"/>
        <v>-237830.17960278643</v>
      </c>
      <c r="M81" s="50">
        <f t="shared" si="43"/>
        <v>-252551.32315617893</v>
      </c>
    </row>
    <row r="82" spans="1:13" x14ac:dyDescent="0.25">
      <c r="A82" s="2" t="str">
        <f>B9&amp;B82</f>
        <v>Cimarex EnergyDD&amp;A cashflow</v>
      </c>
      <c r="B82" s="68" t="s">
        <v>816</v>
      </c>
      <c r="C82" s="136" t="s">
        <v>566</v>
      </c>
      <c r="D82" s="118"/>
      <c r="E82" s="83">
        <f>E32</f>
        <v>220543.25</v>
      </c>
      <c r="F82" s="50">
        <f>$E$82*F$32/$E$32</f>
        <v>211848.37715085322</v>
      </c>
      <c r="G82" s="50">
        <f t="shared" ref="G82:M82" si="44">$E$82*G$32/$E$32</f>
        <v>211848.37715085322</v>
      </c>
      <c r="H82" s="50">
        <f t="shared" si="44"/>
        <v>211848.37715085322</v>
      </c>
      <c r="I82" s="50">
        <f t="shared" si="44"/>
        <v>211848.37715085322</v>
      </c>
      <c r="J82" s="50">
        <f t="shared" si="44"/>
        <v>196921.39792234055</v>
      </c>
      <c r="K82" s="50">
        <f t="shared" si="44"/>
        <v>196921.39792234055</v>
      </c>
      <c r="L82" s="50">
        <f t="shared" si="44"/>
        <v>196921.39792234055</v>
      </c>
      <c r="M82" s="50">
        <f t="shared" si="44"/>
        <v>196921.39792234055</v>
      </c>
    </row>
    <row r="83" spans="1:13" x14ac:dyDescent="0.25">
      <c r="A83" s="2" t="str">
        <f>B9&amp;B83</f>
        <v>Cimarex EnergyImpairment cashflow</v>
      </c>
      <c r="B83" s="68" t="s">
        <v>571</v>
      </c>
      <c r="C83" s="136" t="s">
        <v>566</v>
      </c>
      <c r="D83" s="118"/>
      <c r="E83" s="83">
        <f>E31</f>
        <v>154673.25</v>
      </c>
      <c r="F83" s="50">
        <f>$E$83*F$31/$E$31</f>
        <v>154673.25</v>
      </c>
      <c r="G83" s="50">
        <f t="shared" ref="G83:M83" si="45">$E$83*G$31/$E$31</f>
        <v>154673.25</v>
      </c>
      <c r="H83" s="50">
        <f t="shared" si="45"/>
        <v>154673.25</v>
      </c>
      <c r="I83" s="50">
        <f t="shared" si="45"/>
        <v>154673.25</v>
      </c>
      <c r="J83" s="50">
        <f t="shared" si="45"/>
        <v>154673.25</v>
      </c>
      <c r="K83" s="50">
        <f t="shared" si="45"/>
        <v>154673.25</v>
      </c>
      <c r="L83" s="50">
        <f t="shared" si="45"/>
        <v>154673.25</v>
      </c>
      <c r="M83" s="50">
        <f t="shared" si="45"/>
        <v>154673.25</v>
      </c>
    </row>
    <row r="84" spans="1:13" x14ac:dyDescent="0.25">
      <c r="A84" s="2" t="str">
        <f>B9&amp;B84</f>
        <v>Cimarex EnergyOther non-cash items</v>
      </c>
      <c r="B84" s="68" t="s">
        <v>501</v>
      </c>
      <c r="C84" s="136" t="s">
        <v>880</v>
      </c>
      <c r="D84" s="118"/>
      <c r="E84" s="83">
        <f>(8586-26902+26398+76850-13131+4250+14639)/4</f>
        <v>22672.5</v>
      </c>
      <c r="F84" s="188">
        <f>$E$84+F34-$E$34</f>
        <v>22241.356765287761</v>
      </c>
      <c r="G84" s="188">
        <f t="shared" ref="G84:M84" si="46">$E$84+G34-$E$34</f>
        <v>21789.09397314988</v>
      </c>
      <c r="H84" s="188">
        <f t="shared" si="46"/>
        <v>21814.346937721511</v>
      </c>
      <c r="I84" s="188">
        <f t="shared" si="46"/>
        <v>21839.599902293143</v>
      </c>
      <c r="J84" s="188">
        <f t="shared" si="46"/>
        <v>21456.755015934676</v>
      </c>
      <c r="K84" s="188">
        <f t="shared" si="46"/>
        <v>21480.228639627283</v>
      </c>
      <c r="L84" s="188">
        <f t="shared" si="46"/>
        <v>21503.70226331989</v>
      </c>
      <c r="M84" s="188">
        <f t="shared" si="46"/>
        <v>21503.70226331989</v>
      </c>
    </row>
    <row r="85" spans="1:13" x14ac:dyDescent="0.25">
      <c r="A85" s="2" t="str">
        <f>B9&amp;B85</f>
        <v>Cimarex EnergyDry hole cashflow</v>
      </c>
      <c r="B85" s="68" t="s">
        <v>817</v>
      </c>
      <c r="C85" s="136" t="s">
        <v>567</v>
      </c>
      <c r="D85" s="118"/>
      <c r="E85" s="83">
        <v>0</v>
      </c>
      <c r="F85" s="50">
        <f>IF($E$85&gt;0, $E$85*F39/$E$39,0)</f>
        <v>0</v>
      </c>
      <c r="G85" s="50">
        <f t="shared" ref="G85:M85" si="47">IF($E$85&gt;0, $E$85*G39/$E$39,0)</f>
        <v>0</v>
      </c>
      <c r="H85" s="50">
        <f t="shared" si="47"/>
        <v>0</v>
      </c>
      <c r="I85" s="50">
        <f t="shared" si="47"/>
        <v>0</v>
      </c>
      <c r="J85" s="50">
        <f t="shared" si="47"/>
        <v>0</v>
      </c>
      <c r="K85" s="50">
        <f t="shared" si="47"/>
        <v>0</v>
      </c>
      <c r="L85" s="50">
        <f t="shared" si="47"/>
        <v>0</v>
      </c>
      <c r="M85" s="50">
        <f t="shared" si="47"/>
        <v>0</v>
      </c>
    </row>
    <row r="86" spans="1:13" x14ac:dyDescent="0.25">
      <c r="A86" s="2" t="str">
        <f>B9&amp;B86</f>
        <v>Cimarex Energymarket to market contracts</v>
      </c>
      <c r="B86" s="68" t="s">
        <v>562</v>
      </c>
      <c r="C86" s="158" t="s">
        <v>507</v>
      </c>
      <c r="D86" s="118"/>
      <c r="E86" s="83">
        <v>0</v>
      </c>
      <c r="F86" s="50">
        <f>E86</f>
        <v>0</v>
      </c>
      <c r="G86" s="50">
        <f t="shared" ref="G86:M86" si="48">F86</f>
        <v>0</v>
      </c>
      <c r="H86" s="50">
        <f t="shared" si="48"/>
        <v>0</v>
      </c>
      <c r="I86" s="50">
        <f t="shared" si="48"/>
        <v>0</v>
      </c>
      <c r="J86" s="50">
        <f t="shared" si="48"/>
        <v>0</v>
      </c>
      <c r="K86" s="50">
        <f t="shared" si="48"/>
        <v>0</v>
      </c>
      <c r="L86" s="50">
        <f t="shared" si="48"/>
        <v>0</v>
      </c>
      <c r="M86" s="50">
        <f t="shared" si="48"/>
        <v>0</v>
      </c>
    </row>
    <row r="87" spans="1:13" x14ac:dyDescent="0.25">
      <c r="A87" s="2" t="str">
        <f>B9&amp;B87</f>
        <v>Cimarex EnergyCash flow from operations</v>
      </c>
      <c r="B87" s="142" t="s">
        <v>502</v>
      </c>
      <c r="C87" s="143" t="s">
        <v>540</v>
      </c>
      <c r="D87" s="118"/>
      <c r="E87" s="63">
        <f>1343966/4</f>
        <v>335991.5</v>
      </c>
      <c r="F87" s="62">
        <f>SUM(F80:F86)</f>
        <v>65519.889782540333</v>
      </c>
      <c r="G87" s="62">
        <f t="shared" ref="G87:M87" si="49">SUM(G80:G86)</f>
        <v>-540581.39236772631</v>
      </c>
      <c r="H87" s="62">
        <f>SUM(H80:H86)</f>
        <v>-251683.20738669942</v>
      </c>
      <c r="I87" s="62">
        <f t="shared" si="49"/>
        <v>-222060.94653281776</v>
      </c>
      <c r="J87" s="62">
        <f t="shared" si="49"/>
        <v>-181593.45236571869</v>
      </c>
      <c r="K87" s="62">
        <f t="shared" si="49"/>
        <v>-145158.38175624027</v>
      </c>
      <c r="L87" s="62">
        <f t="shared" si="49"/>
        <v>-117283.15257330498</v>
      </c>
      <c r="M87" s="62">
        <f t="shared" si="49"/>
        <v>-132004.29612669747</v>
      </c>
    </row>
    <row r="88" spans="1:13" x14ac:dyDescent="0.25">
      <c r="A88" s="2" t="str">
        <f>B9&amp;B88</f>
        <v>Cimarex EnergyCapex</v>
      </c>
      <c r="B88" s="68" t="s">
        <v>277</v>
      </c>
      <c r="C88" s="73" t="s">
        <v>534</v>
      </c>
      <c r="D88" s="118"/>
      <c r="E88" s="83">
        <f>IF($B$2="A3",SUMIFS('$33Econ'!$H$8:$H$8001,'$33Econ'!$A$8:$A$8001,$B$9,'$33Econ'!$G$8:$G$8001,$B88)*1000/4,SUMIFS('$22Econ'!$H$8:$H$8001,'$22Econ'!$A$8:$A$8001,$B$9,'$22Econ'!$G$8:$G$8001,$B88)*1000/4)</f>
        <v>260866.44684999998</v>
      </c>
      <c r="F88" s="50">
        <f>IF($B$2="A3",SUMIFS('$33Econ'!$I$8:$I$8001,'$33Econ'!$A$8:$A$8001,$B$9,'$33Econ'!$G$8:$G$8001,$B88)*1000/4,SUMIFS('$22Econ'!$I$8:$I$8001,'$22Econ'!$A$8:$A$8001,$B$9,'$22Econ'!$G$8:$G$8001,$B88)*1000/4)</f>
        <v>27600.645639999999</v>
      </c>
      <c r="G88" s="50">
        <f>IF($B$2="A3",SUMIFS('$33Econ'!$I$8:$I$8001,'$33Econ'!$A$8:$A$8001,$B$9,'$33Econ'!$G$8:$G$8001,$B88)*1000/4,SUMIFS('$22Econ'!$I$8:$I$8001,'$22Econ'!$A$8:$A$8001,$B$9,'$22Econ'!$G$8:$G$8001,$B88)*1000/4)</f>
        <v>27600.645639999999</v>
      </c>
      <c r="H88" s="50">
        <f>IF($B$2="A3",SUMIFS('$33Econ'!$I$8:$I$8001,'$33Econ'!$A$8:$A$8001,$B$9,'$33Econ'!$G$8:$G$8001,$B88)*1000/4,SUMIFS('$22Econ'!$I$8:$I$8001,'$22Econ'!$A$8:$A$8001,$B$9,'$22Econ'!$G$8:$G$8001,$B88)*1000/4)</f>
        <v>27600.645639999999</v>
      </c>
      <c r="I88" s="50">
        <f>IF($B$2="A3",SUMIFS('$33Econ'!$I$8:$I$8001,'$33Econ'!$A$8:$A$8001,$B$9,'$33Econ'!$G$8:$G$8001,$B88)*1000/4,SUMIFS('$22Econ'!$I$8:$I$8001,'$22Econ'!$A$8:$A$8001,$B$9,'$22Econ'!$G$8:$G$8001,$B88)*1000/4)</f>
        <v>27600.645639999999</v>
      </c>
      <c r="J88" s="50">
        <f>IF($B$2="A3",SUMIFS('$33Econ'!$J$8:$J$8001,'$33Econ'!$A$8:$A$8001,$B$9,'$33Econ'!$G$8:$G$8001,$B88)*1000/4,SUMIFS('$22Econ'!$J$8:$J$8001,'$22Econ'!$A$8:$A$8001,$B$9,'$22Econ'!$G$8:$G$8001,$B88)*1000/4)</f>
        <v>3730.2109349999996</v>
      </c>
      <c r="K88" s="50">
        <f t="shared" ref="K88:M88" si="50">J88</f>
        <v>3730.2109349999996</v>
      </c>
      <c r="L88" s="50">
        <f t="shared" si="50"/>
        <v>3730.2109349999996</v>
      </c>
      <c r="M88" s="50">
        <f t="shared" si="50"/>
        <v>3730.2109349999996</v>
      </c>
    </row>
    <row r="89" spans="1:13" x14ac:dyDescent="0.25">
      <c r="A89" s="2" t="str">
        <f>B9&amp;B89</f>
        <v>Cimarex EnergyExploration Capex</v>
      </c>
      <c r="B89" s="68" t="s">
        <v>278</v>
      </c>
      <c r="C89" s="73" t="s">
        <v>534</v>
      </c>
      <c r="D89" s="118"/>
      <c r="E89" s="83">
        <f>IF($B$2="A3",SUMIFS('$33Econ'!$H$8:$H$8001,'$33Econ'!$A$8:$A$8001,$B$9,'$33Econ'!$G$8:$G$8001,$B89)*1000/4,SUMIFS('$22Econ'!$H$8:$H$8001,'$22Econ'!$A$8:$A$8001,$B$9,'$22Econ'!$G$8:$G$8001,$B89)*1000/4)</f>
        <v>49346.28349999999</v>
      </c>
      <c r="F89" s="33">
        <f>(1-INDEX(Assumptions!$A$2:$K$596,MATCH($B9&amp;"Capex reduction",Assumptions!$A$2:$A$596,0),MATCH(F$2,Assumptions!$A$2:$K$2,0))) *IF($B$2="A3",SUMIFS('$33Econ'!$I$8:$I$8001,'$33Econ'!$A$8:$A$8001,$B$9,'$33Econ'!$G$8:$G$8001,$B89)*1000/4,SUMIFS('$22Econ'!$I$8:$I$8001,'$22Econ'!$A$8:$A$8001,$B$9,'$22Econ'!$G$8:$G$8001,$B89)*1000/4)</f>
        <v>21182.409500000002</v>
      </c>
      <c r="G89" s="33">
        <f>(1-INDEX(Assumptions!$A$2:$K$596,MATCH($B9&amp;"Capex reduction",Assumptions!$A$2:$A$596,0),MATCH(G$2,Assumptions!$A$2:$K$2,0))) *IF($B$2="A3",SUMIFS('$33Econ'!$I$8:$I$8001,'$33Econ'!$A$8:$A$8001,$B$9,'$33Econ'!$G$8:$G$8001,$B89)*1000/4,SUMIFS('$22Econ'!$I$8:$I$8001,'$22Econ'!$A$8:$A$8001,$B$9,'$22Econ'!$G$8:$G$8001,$B89)*1000/4)</f>
        <v>21182.409500000002</v>
      </c>
      <c r="H89" s="33">
        <f>(1-INDEX(Assumptions!$A$2:$K$596,MATCH($B9&amp;"Capex reduction",Assumptions!$A$2:$A$596,0),MATCH(H$2,Assumptions!$A$2:$K$2,0))) *IF($B$2="A3",SUMIFS('$33Econ'!$I$8:$I$8001,'$33Econ'!$A$8:$A$8001,$B$9,'$33Econ'!$G$8:$G$8001,$B89)*1000/4,SUMIFS('$22Econ'!$I$8:$I$8001,'$22Econ'!$A$8:$A$8001,$B$9,'$22Econ'!$G$8:$G$8001,$B89)*1000/4)</f>
        <v>21182.409500000002</v>
      </c>
      <c r="I89" s="33">
        <f>(1-INDEX(Assumptions!$A$2:$K$596,MATCH($B9&amp;"Capex reduction",Assumptions!$A$2:$A$596,0),MATCH(I$2,Assumptions!$A$2:$K$2,0))) *IF($B$2="A3",SUMIFS('$33Econ'!$I$8:$I$8001,'$33Econ'!$A$8:$A$8001,$B$9,'$33Econ'!$G$8:$G$8001,$B89)*1000/4,SUMIFS('$22Econ'!$I$8:$I$8001,'$22Econ'!$A$8:$A$8001,$B$9,'$22Econ'!$G$8:$G$8001,$B89)*1000/4)</f>
        <v>21182.409500000002</v>
      </c>
      <c r="J89" s="33">
        <f>(1-INDEX(Assumptions!$A$2:$K$596,MATCH($B9&amp;"Capex reduction",Assumptions!$A$2:$A$596,0),MATCH(J$2,Assumptions!$A$2:$K$2,0))) *IF($B$2="A3",SUMIFS('$33Econ'!$J$8:$J$8001,'$33Econ'!$A$8:$A$8001,$B$9,'$33Econ'!$G$8:$G$8001,$B89)*1000/4,SUMIFS('$22Econ'!$J$8:$J$8001,'$22Econ'!$A$8:$A$8001,$B$9,'$22Econ'!$G$8:$G$8001,$B89)*1000/4)</f>
        <v>12011.89365</v>
      </c>
      <c r="K89" s="33">
        <f>(1-INDEX(Assumptions!$A$2:$K$596,MATCH($B9&amp;"Capex reduction",Assumptions!$A$2:$A$596,0),MATCH(K$2,Assumptions!$A$2:$K$2,0))) *IF($B$2="A3",SUMIFS('$33Econ'!$J$8:$J$8001,'$33Econ'!$A$8:$A$8001,$B$9,'$33Econ'!$G$8:$G$8001,$B89)*1000/4,SUMIFS('$22Econ'!$J$8:$J$8001,'$22Econ'!$A$8:$A$8001,$B$9,'$22Econ'!$G$8:$G$8001,$B89)*1000/4)</f>
        <v>12011.89365</v>
      </c>
      <c r="L89" s="33">
        <f>(1-INDEX(Assumptions!$A$2:$K$596,MATCH($B9&amp;"Capex reduction",Assumptions!$A$2:$A$596,0),MATCH(L$2,Assumptions!$A$2:$K$2,0))) *IF($B$2="A3",SUMIFS('$33Econ'!$J$8:$J$8001,'$33Econ'!$A$8:$A$8001,$B$9,'$33Econ'!$G$8:$G$8001,$B89)*1000/4,SUMIFS('$22Econ'!$J$8:$J$8001,'$22Econ'!$A$8:$A$8001,$B$9,'$22Econ'!$G$8:$G$8001,$B89)*1000/4)</f>
        <v>12011.89365</v>
      </c>
      <c r="M89" s="33">
        <f>(1-INDEX(Assumptions!$A$2:$K$596,MATCH($B9&amp;"Capex reduction",Assumptions!$A$2:$A$596,0),MATCH(M$2,Assumptions!$A$2:$K$2,0))) *IF($B$2="A3",SUMIFS('$33Econ'!$J$8:$J$8001,'$33Econ'!$A$8:$A$8001,$B$9,'$33Econ'!$G$8:$G$8001,$B89)*1000/4,SUMIFS('$22Econ'!$J$8:$J$8001,'$22Econ'!$A$8:$A$8001,$B$9,'$22Econ'!$G$8:$G$8001,$B89)*1000/4)</f>
        <v>12011.89365</v>
      </c>
    </row>
    <row r="90" spans="1:13" ht="11" thickBot="1" x14ac:dyDescent="0.3">
      <c r="A90" s="2" t="str">
        <f>B9&amp;B90</f>
        <v>Cimarex EnergyFree Cash Flow (FCF)</v>
      </c>
      <c r="B90" s="69" t="s">
        <v>458</v>
      </c>
      <c r="C90" s="69" t="s">
        <v>512</v>
      </c>
      <c r="D90" s="119"/>
      <c r="E90" s="86">
        <f>SUM(E87:E89)</f>
        <v>646204.23034999997</v>
      </c>
      <c r="F90" s="34">
        <f>SUM(F87:F89)</f>
        <v>114302.94492254034</v>
      </c>
      <c r="G90" s="34">
        <f t="shared" ref="G90:M90" si="51">SUM(G87:G89)</f>
        <v>-491798.3372277263</v>
      </c>
      <c r="H90" s="34">
        <f t="shared" si="51"/>
        <v>-202900.15224669941</v>
      </c>
      <c r="I90" s="34">
        <f t="shared" si="51"/>
        <v>-173277.89139281775</v>
      </c>
      <c r="J90" s="34">
        <f t="shared" si="51"/>
        <v>-165851.34778071867</v>
      </c>
      <c r="K90" s="34">
        <f t="shared" si="51"/>
        <v>-129416.27717124026</v>
      </c>
      <c r="L90" s="34">
        <f t="shared" si="51"/>
        <v>-101541.04798830498</v>
      </c>
      <c r="M90" s="34">
        <f t="shared" si="51"/>
        <v>-116262.19154169748</v>
      </c>
    </row>
    <row r="91" spans="1:13" ht="11" thickTop="1" x14ac:dyDescent="0.25">
      <c r="I91" s="154"/>
      <c r="M91" s="154"/>
    </row>
    <row r="92" spans="1:13" x14ac:dyDescent="0.25">
      <c r="A92" s="2" t="str">
        <f>B9&amp;B92</f>
        <v>Cimarex EnergyEBITDA</v>
      </c>
      <c r="B92" s="80" t="s">
        <v>428</v>
      </c>
      <c r="C92" s="144" t="s">
        <v>540</v>
      </c>
      <c r="D92" s="117"/>
      <c r="E92" s="83">
        <f>(E29-E41)+E32</f>
        <v>210924.25</v>
      </c>
      <c r="F92" s="50">
        <f>(F29-F41)+F32</f>
        <v>109109.03095785735</v>
      </c>
      <c r="G92" s="50">
        <f t="shared" ref="G92:M92" si="52">(G29-G41)+G32</f>
        <v>-168373.52787765602</v>
      </c>
      <c r="H92" s="50">
        <f t="shared" si="52"/>
        <v>-150443.58692082358</v>
      </c>
      <c r="I92" s="50">
        <f t="shared" si="52"/>
        <v>-132513.64596399109</v>
      </c>
      <c r="J92" s="50">
        <f t="shared" si="52"/>
        <v>-115683.82149503307</v>
      </c>
      <c r="K92" s="50">
        <f t="shared" si="52"/>
        <v>-98811.158738412982</v>
      </c>
      <c r="L92" s="50">
        <f t="shared" si="52"/>
        <v>-81938.49598179289</v>
      </c>
      <c r="M92" s="50">
        <f t="shared" si="52"/>
        <v>-81938.49598179289</v>
      </c>
    </row>
    <row r="93" spans="1:13" x14ac:dyDescent="0.25">
      <c r="A93" s="2" t="str">
        <f>B9&amp;B93</f>
        <v>Cimarex EnergyExploration capex</v>
      </c>
      <c r="B93" s="68" t="s">
        <v>519</v>
      </c>
      <c r="C93" s="68" t="s">
        <v>534</v>
      </c>
      <c r="D93" s="118"/>
      <c r="E93" s="83">
        <f>E89</f>
        <v>49346.28349999999</v>
      </c>
      <c r="F93" s="83">
        <f t="shared" ref="F93:M93" si="53">F89</f>
        <v>21182.409500000002</v>
      </c>
      <c r="G93" s="83">
        <f t="shared" si="53"/>
        <v>21182.409500000002</v>
      </c>
      <c r="H93" s="83">
        <f t="shared" si="53"/>
        <v>21182.409500000002</v>
      </c>
      <c r="I93" s="83">
        <f t="shared" si="53"/>
        <v>21182.409500000002</v>
      </c>
      <c r="J93" s="83">
        <f t="shared" si="53"/>
        <v>12011.89365</v>
      </c>
      <c r="K93" s="83">
        <f t="shared" si="53"/>
        <v>12011.89365</v>
      </c>
      <c r="L93" s="83">
        <f t="shared" si="53"/>
        <v>12011.89365</v>
      </c>
      <c r="M93" s="83">
        <f t="shared" si="53"/>
        <v>12011.89365</v>
      </c>
    </row>
    <row r="94" spans="1:13" x14ac:dyDescent="0.25">
      <c r="A94" s="2" t="str">
        <f>B9&amp;B94</f>
        <v>Cimarex EnergyEBITDAX</v>
      </c>
      <c r="B94" s="90" t="s">
        <v>459</v>
      </c>
      <c r="C94" s="90" t="s">
        <v>512</v>
      </c>
      <c r="D94" s="125"/>
      <c r="E94" s="63">
        <f>SUM(E92:E93)</f>
        <v>260270.53349999999</v>
      </c>
      <c r="F94" s="62">
        <f t="shared" ref="F94:M94" si="54">SUM(F92:F93)</f>
        <v>130291.44045785736</v>
      </c>
      <c r="G94" s="62">
        <f t="shared" si="54"/>
        <v>-147191.11837765601</v>
      </c>
      <c r="H94" s="62">
        <f t="shared" si="54"/>
        <v>-129261.17742082357</v>
      </c>
      <c r="I94" s="62">
        <f t="shared" si="54"/>
        <v>-111331.23646399108</v>
      </c>
      <c r="J94" s="62">
        <f t="shared" si="54"/>
        <v>-103671.92784503307</v>
      </c>
      <c r="K94" s="62">
        <f t="shared" si="54"/>
        <v>-86799.265088412983</v>
      </c>
      <c r="L94" s="62">
        <f t="shared" si="54"/>
        <v>-69926.602331792892</v>
      </c>
      <c r="M94" s="62">
        <f t="shared" si="54"/>
        <v>-69926.602331792892</v>
      </c>
    </row>
    <row r="95" spans="1:13" x14ac:dyDescent="0.25">
      <c r="A95" s="53" t="str">
        <f>B9&amp;B95</f>
        <v>Cimarex EnergyDebt/EBITDAX</v>
      </c>
      <c r="B95" s="310" t="s">
        <v>947</v>
      </c>
      <c r="C95" s="310" t="s">
        <v>512</v>
      </c>
      <c r="D95" s="123"/>
      <c r="E95" s="120">
        <f>(E73+E68)/(E94*4)</f>
        <v>1.9539918451813525</v>
      </c>
      <c r="F95" s="121"/>
      <c r="G95" s="121"/>
      <c r="H95" s="121"/>
      <c r="I95" s="121">
        <f>(AVERAGE(F73:I73)+AVERAGE(F68:I68))/SUM(F92:I92)</f>
        <v>-5.9386450930921892</v>
      </c>
      <c r="J95" s="121"/>
      <c r="K95" s="121"/>
      <c r="L95" s="121"/>
      <c r="M95" s="121">
        <f>(AVERAGE(J73:M73)+AVERAGE(J68:M68))/SUM(J92:M92)</f>
        <v>-5.3624891268453938</v>
      </c>
    </row>
    <row r="96" spans="1:13" s="49" customFormat="1" x14ac:dyDescent="0.25">
      <c r="D96" s="124"/>
    </row>
    <row r="97" spans="1:13" x14ac:dyDescent="0.25">
      <c r="A97" s="2" t="str">
        <f>B9&amp;B97</f>
        <v>Cimarex EnergyCash dividends paid</v>
      </c>
      <c r="B97" s="91" t="s">
        <v>521</v>
      </c>
      <c r="C97" s="53" t="s">
        <v>546</v>
      </c>
      <c r="D97" s="122"/>
      <c r="E97" s="83">
        <f>-81709/4</f>
        <v>-20427.25</v>
      </c>
      <c r="F97" s="50">
        <f>E97*(1-INDEX(Assumptions!$A$2:$K$596,MATCH($B9&amp;"Dividend reduction",Assumptions!$A$2:$A$596,0),MATCH(F$2,Assumptions!$A$2:$K$2,0)))</f>
        <v>-20427.25</v>
      </c>
      <c r="G97" s="50">
        <f>F97*(1-INDEX(Assumptions!$A$2:$K$596,MATCH($B9&amp;"Dividend reduction",Assumptions!$A$2:$A$596,0),MATCH(G$2,Assumptions!$A$2:$K$2,0)))</f>
        <v>-20427.25</v>
      </c>
      <c r="H97" s="50">
        <f>G97*(1-INDEX(Assumptions!$A$2:$K$596,MATCH($B9&amp;"Dividend reduction",Assumptions!$A$2:$A$596,0),MATCH(H$2,Assumptions!$A$2:$K$2,0)))</f>
        <v>-20427.25</v>
      </c>
      <c r="I97" s="50">
        <f>H97*(1-INDEX(Assumptions!$A$2:$K$596,MATCH($B9&amp;"Dividend reduction",Assumptions!$A$2:$A$596,0),MATCH(I$2,Assumptions!$A$2:$K$2,0)))</f>
        <v>-20427.25</v>
      </c>
      <c r="J97" s="50">
        <f>I97*(1-INDEX(Assumptions!$A$2:$K$596,MATCH($B9&amp;"Dividend reduction",Assumptions!$A$2:$A$596,0),MATCH(J$2,Assumptions!$A$2:$K$2,0)))</f>
        <v>-20427.25</v>
      </c>
      <c r="K97" s="50">
        <f>J97*(1-INDEX(Assumptions!$A$2:$K$596,MATCH($B9&amp;"Dividend reduction",Assumptions!$A$2:$A$596,0),MATCH(K$2,Assumptions!$A$2:$K$2,0)))</f>
        <v>-20427.25</v>
      </c>
      <c r="L97" s="50">
        <f>K97*(1-INDEX(Assumptions!$A$2:$K$596,MATCH($B9&amp;"Dividend reduction",Assumptions!$A$2:$A$596,0),MATCH(L$2,Assumptions!$A$2:$K$2,0)))</f>
        <v>-20427.25</v>
      </c>
      <c r="M97" s="50">
        <f>L97*(1-INDEX(Assumptions!$A$2:$K$596,MATCH($B9&amp;"Dividend reduction",Assumptions!$A$2:$A$596,0),MATCH(M$2,Assumptions!$A$2:$K$2,0)))</f>
        <v>-20427.25</v>
      </c>
    </row>
    <row r="99" spans="1:13" x14ac:dyDescent="0.25">
      <c r="A99" s="2" t="str">
        <f>B9&amp;B99</f>
        <v>Cimarex EnergyOhlson's O-Score</v>
      </c>
      <c r="B99" s="80" t="s">
        <v>427</v>
      </c>
      <c r="C99" s="80" t="s">
        <v>512</v>
      </c>
      <c r="D99" s="117"/>
      <c r="E99" s="130"/>
      <c r="F99" s="130"/>
      <c r="G99" s="130"/>
      <c r="H99" s="130"/>
      <c r="I99" s="99">
        <f>-1.32-0.407*(LN($I66*1000/(36.32+2.11*'Quarterly Forecasts'!$K$15)))+6.03*($I78/$I66)-1.43*(($I60-$I72)/$I66)+0.0757*($I72/$I60)-2.37*(SUM($F49:$I49)/$I66)-1.83*(SUM($F92:$I92)/$I78)+0.285*(IF(AND(SUM($F49:$I49)&lt;0,($E49*4)&lt;0),1,0))-0.521*((SUM($F49:$I49)-($E49*4))/(ABS(SUM($F49:$I49))+ABS($E49*4)))-1.72*(IF($I78&gt;$I66,1,0))</f>
        <v>-2.5704307091174807</v>
      </c>
      <c r="J99" s="130"/>
      <c r="K99" s="130"/>
      <c r="L99" s="130"/>
      <c r="M99" s="99">
        <f>-1.32-0.407*(LN($M66*1000/(36.32+2.11*'Quarterly Forecasts'!$K$15)))+6.03*($M78/$M66)-1.43*(($M60-$M72)/$M66)+0.0757*($M72/$M60)-2.37*(SUM($J49:$M49)/$M66)-1.83*(SUM($J92:$M92)/$M78)+0.285*(IF(AND(SUM($J49:$M49)&lt;0,(SUM($F49:$I49))&lt;0),1,0))-0.521*((SUM($J49:$M49)-(SUM($F49:$I49)))/(ABS(SUM($J49:$M49))+ABS(SUM($F49:$I49))))-1.72*(IF($M78&gt;$M66,1,0))</f>
        <v>-1.5990153205700948</v>
      </c>
    </row>
    <row r="100" spans="1:13" ht="11" thickBot="1" x14ac:dyDescent="0.3">
      <c r="A100" s="2" t="str">
        <f>B9&amp;B100</f>
        <v>Cimarex EnergyProbability of default (PD)</v>
      </c>
      <c r="B100" s="81" t="s">
        <v>504</v>
      </c>
      <c r="C100" s="98" t="s">
        <v>512</v>
      </c>
      <c r="D100" s="110"/>
      <c r="E100" s="131"/>
      <c r="F100" s="131"/>
      <c r="G100" s="131"/>
      <c r="H100" s="131"/>
      <c r="I100" s="126">
        <f>EXP(I99)/(1+EXP(I99))</f>
        <v>7.106586534954136E-2</v>
      </c>
      <c r="J100" s="131"/>
      <c r="K100" s="131"/>
      <c r="L100" s="131"/>
      <c r="M100" s="126">
        <f>EXP(M99)/(1+EXP(M99))</f>
        <v>0.1681192823937894</v>
      </c>
    </row>
    <row r="101" spans="1:13" ht="11" thickTop="1" x14ac:dyDescent="0.25"/>
  </sheetData>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96EFD-5A9B-4D0F-B140-5ACD58A46DA1}">
  <sheetPr>
    <tabColor rgb="FFFF0000"/>
  </sheetPr>
  <dimension ref="A1:M108"/>
  <sheetViews>
    <sheetView showGridLines="0" zoomScale="98" zoomScaleNormal="197" workbookViewId="0">
      <pane xSplit="2" ySplit="2" topLeftCell="E3" activePane="bottomRight" state="frozen"/>
      <selection activeCell="I95" sqref="I95"/>
      <selection pane="topRight" activeCell="I95" sqref="I95"/>
      <selection pane="bottomLeft" activeCell="I95" sqref="I95"/>
      <selection pane="bottomRight" activeCell="I96" sqref="I96"/>
    </sheetView>
  </sheetViews>
  <sheetFormatPr defaultColWidth="8.81640625" defaultRowHeight="10.5" x14ac:dyDescent="0.25"/>
  <cols>
    <col min="1" max="1" width="6.08984375" style="2" customWidth="1"/>
    <col min="2" max="2" width="39.81640625" style="2" bestFit="1" customWidth="1"/>
    <col min="3" max="3" width="44.36328125" style="2" customWidth="1"/>
    <col min="4" max="4" width="9.453125" style="113" bestFit="1" customWidth="1"/>
    <col min="5" max="5" width="10.453125" style="2" bestFit="1" customWidth="1"/>
    <col min="6" max="6" width="12.1796875" style="2" bestFit="1" customWidth="1"/>
    <col min="7" max="13" width="10.453125" style="2" bestFit="1" customWidth="1"/>
    <col min="14" max="16384" width="8.81640625" style="2"/>
  </cols>
  <sheetData>
    <row r="1" spans="1:13" x14ac:dyDescent="0.25">
      <c r="E1" s="2" t="str">
        <f>LEFT(E2,4)</f>
        <v>2019</v>
      </c>
      <c r="F1" s="2" t="str">
        <f t="shared" ref="F1:M1" si="0">LEFT(F2,4)</f>
        <v>2020</v>
      </c>
      <c r="G1" s="2" t="str">
        <f t="shared" si="0"/>
        <v>2020</v>
      </c>
      <c r="H1" s="2" t="str">
        <f t="shared" si="0"/>
        <v>2020</v>
      </c>
      <c r="I1" s="2" t="str">
        <f t="shared" si="0"/>
        <v>2020</v>
      </c>
      <c r="J1" s="2" t="str">
        <f t="shared" si="0"/>
        <v>2021</v>
      </c>
      <c r="K1" s="2" t="str">
        <f t="shared" si="0"/>
        <v>2021</v>
      </c>
      <c r="L1" s="2" t="str">
        <f t="shared" si="0"/>
        <v>2021</v>
      </c>
      <c r="M1" s="2" t="str">
        <f t="shared" si="0"/>
        <v>2021</v>
      </c>
    </row>
    <row r="2" spans="1:13" x14ac:dyDescent="0.25">
      <c r="B2" s="2" t="s">
        <v>439</v>
      </c>
      <c r="C2" s="2" t="s">
        <v>517</v>
      </c>
      <c r="D2" s="113" t="s">
        <v>524</v>
      </c>
      <c r="E2" s="67" t="s">
        <v>413</v>
      </c>
      <c r="F2" s="67" t="s">
        <v>414</v>
      </c>
      <c r="G2" s="67" t="s">
        <v>415</v>
      </c>
      <c r="H2" s="67" t="s">
        <v>416</v>
      </c>
      <c r="I2" s="67" t="s">
        <v>417</v>
      </c>
      <c r="J2" s="67" t="s">
        <v>418</v>
      </c>
      <c r="K2" s="67" t="s">
        <v>419</v>
      </c>
      <c r="L2" s="67" t="s">
        <v>420</v>
      </c>
      <c r="M2" s="67" t="s">
        <v>421</v>
      </c>
    </row>
    <row r="3" spans="1:13" x14ac:dyDescent="0.25">
      <c r="B3" s="64" t="s">
        <v>522</v>
      </c>
      <c r="C3" s="64"/>
      <c r="D3" s="111"/>
      <c r="E3" s="103"/>
      <c r="F3" s="99"/>
      <c r="G3" s="99"/>
      <c r="H3" s="99"/>
      <c r="I3" s="99"/>
      <c r="J3" s="99"/>
      <c r="K3" s="99"/>
      <c r="L3" s="99"/>
      <c r="M3" s="99"/>
    </row>
    <row r="4" spans="1:13" x14ac:dyDescent="0.25">
      <c r="A4" s="2" t="str">
        <f>$B$9&amp;$B$3&amp;B4</f>
        <v>ApacheMarket PricesOil</v>
      </c>
      <c r="B4" s="70" t="s">
        <v>396</v>
      </c>
      <c r="C4" s="70"/>
      <c r="D4" s="108"/>
      <c r="E4" s="89">
        <f>INDEX('Quarterly Forecasts'!$B$4:$O$500,MATCH(($B$2&amp;$B4),'Quarterly Forecasts'!$B$4:$B$500,0),MATCH(E$2,'Quarterly Forecasts'!$B$4:$O$4,0))</f>
        <v>64.358329999999995</v>
      </c>
      <c r="F4" s="134">
        <f>INDEX('Quarterly Forecasts'!$B$4:$O$500,MATCH($B$2&amp;$B4,'Quarterly Forecasts'!$B$4:$B$500,0),MATCH(F$2,'Quarterly Forecasts'!$B$4:$O$4,0))</f>
        <v>50.81859</v>
      </c>
      <c r="G4" s="134">
        <f>INDEX('Quarterly Forecasts'!$B$4:$O$500,MATCH($B$2&amp;$B4,'Quarterly Forecasts'!$B$4:$B$500,0),MATCH(G$2,'Quarterly Forecasts'!$B$4:$O$4,0))</f>
        <v>20</v>
      </c>
      <c r="H4" s="134">
        <f>INDEX('Quarterly Forecasts'!$B$4:$O$500,MATCH($B$2&amp;$B4,'Quarterly Forecasts'!$B$4:$B$500,0),MATCH(H$2,'Quarterly Forecasts'!$B$4:$O$4,0))</f>
        <v>22</v>
      </c>
      <c r="I4" s="134">
        <f>INDEX('Quarterly Forecasts'!$B$4:$O$500,MATCH($B$2&amp;$B4,'Quarterly Forecasts'!$B$4:$B$500,0),MATCH(I$2,'Quarterly Forecasts'!$B$4:$O$4,0))</f>
        <v>24</v>
      </c>
      <c r="J4" s="134">
        <f>INDEX('Quarterly Forecasts'!$B$4:$O$500,MATCH($B$2&amp;$B4,'Quarterly Forecasts'!$B$4:$B$500,0),MATCH(J$2,'Quarterly Forecasts'!$B$4:$O$4,0))</f>
        <v>26</v>
      </c>
      <c r="K4" s="134">
        <f>INDEX('Quarterly Forecasts'!$B$4:$O$500,MATCH($B$2&amp;$B4,'Quarterly Forecasts'!$B$4:$B$500,0),MATCH(K$2,'Quarterly Forecasts'!$B$4:$O$4,0))</f>
        <v>28</v>
      </c>
      <c r="L4" s="134">
        <f>INDEX('Quarterly Forecasts'!$B$4:$O$500,MATCH($B$2&amp;$B4,'Quarterly Forecasts'!$B$4:$B$500,0),MATCH(L$2,'Quarterly Forecasts'!$B$4:$O$4,0))</f>
        <v>30</v>
      </c>
      <c r="M4" s="134">
        <f>INDEX('Quarterly Forecasts'!$B$4:$O$500,MATCH($B$2&amp;$B4,'Quarterly Forecasts'!$B$4:$B$500,0),MATCH(M$2,'Quarterly Forecasts'!$B$4:$O$4,0))</f>
        <v>30</v>
      </c>
    </row>
    <row r="5" spans="1:13" x14ac:dyDescent="0.25">
      <c r="A5" s="2" t="str">
        <f t="shared" ref="A5:A7" si="1">$B$9&amp;$B$3&amp;B5</f>
        <v>ApacheMarket PricesGas</v>
      </c>
      <c r="B5" s="70" t="s">
        <v>26</v>
      </c>
      <c r="C5" s="70"/>
      <c r="D5" s="108"/>
      <c r="E5" s="89">
        <f>INDEX('Quarterly Forecasts'!$B$4:$O$500,MATCH($B2&amp;$B5,'Quarterly Forecasts'!$B$4:$B$500,0),MATCH(E$2,'Quarterly Forecasts'!$B$4:$O$4,0))</f>
        <v>15.15714</v>
      </c>
      <c r="F5" s="134">
        <f>INDEX('Quarterly Forecasts'!$B$4:$O$500,MATCH($B$2&amp;$B5,'Quarterly Forecasts'!$B$4:$B$500,0),MATCH(F$2,'Quarterly Forecasts'!$B$4:$O$4,0))</f>
        <v>11.20355</v>
      </c>
      <c r="G5" s="134">
        <f>INDEX('Quarterly Forecasts'!$B$4:$O$500,MATCH($B$2&amp;$B5,'Quarterly Forecasts'!$B$4:$B$500,0),MATCH(G$2,'Quarterly Forecasts'!$B$4:$O$4,0))</f>
        <v>12.8748</v>
      </c>
      <c r="H5" s="134">
        <f>INDEX('Quarterly Forecasts'!$B$4:$O$500,MATCH($B$2&amp;$B5,'Quarterly Forecasts'!$B$4:$B$500,0),MATCH(H$2,'Quarterly Forecasts'!$B$4:$O$4,0))</f>
        <v>13.0944</v>
      </c>
      <c r="I5" s="134">
        <f>INDEX('Quarterly Forecasts'!$B$4:$O$500,MATCH($B$2&amp;$B5,'Quarterly Forecasts'!$B$4:$B$500,0),MATCH(I$2,'Quarterly Forecasts'!$B$4:$O$4,0))</f>
        <v>13.314000000000002</v>
      </c>
      <c r="J5" s="134">
        <f>INDEX('Quarterly Forecasts'!$B$4:$O$500,MATCH($B$2&amp;$B5,'Quarterly Forecasts'!$B$4:$B$500,0),MATCH(J$2,'Quarterly Forecasts'!$B$4:$O$4,0))</f>
        <v>13.533600000000002</v>
      </c>
      <c r="K5" s="134">
        <f>INDEX('Quarterly Forecasts'!$B$4:$O$500,MATCH($B$2&amp;$B5,'Quarterly Forecasts'!$B$4:$B$500,0),MATCH(K$2,'Quarterly Forecasts'!$B$4:$O$4,0))</f>
        <v>13.753200000000001</v>
      </c>
      <c r="L5" s="134">
        <f>INDEX('Quarterly Forecasts'!$B$4:$O$500,MATCH($B$2&amp;$B5,'Quarterly Forecasts'!$B$4:$B$500,0),MATCH(L$2,'Quarterly Forecasts'!$B$4:$O$4,0))</f>
        <v>13.972800000000001</v>
      </c>
      <c r="M5" s="134">
        <f>INDEX('Quarterly Forecasts'!$B$4:$O$500,MATCH($B$2&amp;$B5,'Quarterly Forecasts'!$B$4:$B$500,0),MATCH(M$2,'Quarterly Forecasts'!$B$4:$O$4,0))</f>
        <v>13.972800000000001</v>
      </c>
    </row>
    <row r="6" spans="1:13" x14ac:dyDescent="0.25">
      <c r="A6" s="2" t="str">
        <f t="shared" si="1"/>
        <v>ApacheMarket PricesNGL</v>
      </c>
      <c r="B6" s="70" t="s">
        <v>25</v>
      </c>
      <c r="C6" s="70"/>
      <c r="D6" s="108"/>
      <c r="E6" s="89">
        <f>INDEX('Quarterly Forecasts'!$B$4:$O$500,MATCH($B2&amp;$B6,'Quarterly Forecasts'!$B$4:$B$500,0),MATCH(E$2,'Quarterly Forecasts'!$B$4:$O$4,0))</f>
        <v>20.616230000000002</v>
      </c>
      <c r="F6" s="134">
        <f>INDEX('Quarterly Forecasts'!$B$4:$O$500,MATCH($B$2&amp;$B6,'Quarterly Forecasts'!$B$4:$B$500,0),MATCH(F$2,'Quarterly Forecasts'!$B$4:$O$4,0))</f>
        <v>17.26445</v>
      </c>
      <c r="G6" s="134">
        <f>INDEX('Quarterly Forecasts'!$B$4:$O$500,MATCH($B$2&amp;$B6,'Quarterly Forecasts'!$B$4:$B$500,0),MATCH(G$2,'Quarterly Forecasts'!$B$4:$O$4,0))</f>
        <v>8.4505925000000008</v>
      </c>
      <c r="H6" s="134">
        <f>INDEX('Quarterly Forecasts'!$B$4:$O$500,MATCH($B$2&amp;$B6,'Quarterly Forecasts'!$B$4:$B$500,0),MATCH(H$2,'Quarterly Forecasts'!$B$4:$O$4,0))</f>
        <v>9.3239265000000007</v>
      </c>
      <c r="I6" s="134">
        <f>INDEX('Quarterly Forecasts'!$B$4:$O$500,MATCH($B$2&amp;$B6,'Quarterly Forecasts'!$B$4:$B$500,0),MATCH(I$2,'Quarterly Forecasts'!$B$4:$O$4,0))</f>
        <v>10.197260500000001</v>
      </c>
      <c r="J6" s="134">
        <f>INDEX('Quarterly Forecasts'!$B$4:$O$500,MATCH($B$2&amp;$B6,'Quarterly Forecasts'!$B$4:$B$500,0),MATCH(J$2,'Quarterly Forecasts'!$B$4:$O$4,0))</f>
        <v>11.0705945</v>
      </c>
      <c r="K6" s="134">
        <f>INDEX('Quarterly Forecasts'!$B$4:$O$500,MATCH($B$2&amp;$B6,'Quarterly Forecasts'!$B$4:$B$500,0),MATCH(K$2,'Quarterly Forecasts'!$B$4:$O$4,0))</f>
        <v>11.9439285</v>
      </c>
      <c r="L6" s="134">
        <f>INDEX('Quarterly Forecasts'!$B$4:$O$500,MATCH($B$2&amp;$B6,'Quarterly Forecasts'!$B$4:$B$500,0),MATCH(L$2,'Quarterly Forecasts'!$B$4:$O$4,0))</f>
        <v>12.8172625</v>
      </c>
      <c r="M6" s="134">
        <f>INDEX('Quarterly Forecasts'!$B$4:$O$500,MATCH($B$2&amp;$B6,'Quarterly Forecasts'!$B$4:$B$500,0),MATCH(M$2,'Quarterly Forecasts'!$B$4:$O$4,0))</f>
        <v>12.8172625</v>
      </c>
    </row>
    <row r="7" spans="1:13" x14ac:dyDescent="0.25">
      <c r="A7" s="2" t="str">
        <f t="shared" si="1"/>
        <v>ApacheMarket PricesCondensate</v>
      </c>
      <c r="B7" s="71" t="s">
        <v>24</v>
      </c>
      <c r="C7" s="71"/>
      <c r="D7" s="114"/>
      <c r="E7" s="89">
        <f>INDEX('Quarterly Forecasts'!$B$4:$O$500,MATCH($B2&amp;$B7,'Quarterly Forecasts'!$B$4:$B$500,0),MATCH(E$2,'Quarterly Forecasts'!$B$4:$O$4,0))</f>
        <v>38.614997999999993</v>
      </c>
      <c r="F7" s="134">
        <f>INDEX('Quarterly Forecasts'!$B$4:$O$500,MATCH($B$2&amp;$B7,'Quarterly Forecasts'!$B$4:$B$500,0),MATCH(F$2,'Quarterly Forecasts'!$B$4:$O$4,0))</f>
        <v>30.491153999999998</v>
      </c>
      <c r="G7" s="134">
        <f>INDEX('Quarterly Forecasts'!$B$4:$O$500,MATCH($B$2&amp;$B7,'Quarterly Forecasts'!$B$4:$B$500,0),MATCH(G$2,'Quarterly Forecasts'!$B$4:$O$4,0))</f>
        <v>12</v>
      </c>
      <c r="H7" s="134">
        <f>INDEX('Quarterly Forecasts'!$B$4:$O$500,MATCH($B$2&amp;$B7,'Quarterly Forecasts'!$B$4:$B$500,0),MATCH(H$2,'Quarterly Forecasts'!$B$4:$O$4,0))</f>
        <v>13.2</v>
      </c>
      <c r="I7" s="134">
        <f>INDEX('Quarterly Forecasts'!$B$4:$O$500,MATCH($B$2&amp;$B7,'Quarterly Forecasts'!$B$4:$B$500,0),MATCH(I$2,'Quarterly Forecasts'!$B$4:$O$4,0))</f>
        <v>14.399999999999999</v>
      </c>
      <c r="J7" s="134">
        <f>INDEX('Quarterly Forecasts'!$B$4:$O$500,MATCH($B$2&amp;$B7,'Quarterly Forecasts'!$B$4:$B$500,0),MATCH(J$2,'Quarterly Forecasts'!$B$4:$O$4,0))</f>
        <v>15.6</v>
      </c>
      <c r="K7" s="134">
        <f>INDEX('Quarterly Forecasts'!$B$4:$O$500,MATCH($B$2&amp;$B7,'Quarterly Forecasts'!$B$4:$B$500,0),MATCH(K$2,'Quarterly Forecasts'!$B$4:$O$4,0))</f>
        <v>16.8</v>
      </c>
      <c r="L7" s="134">
        <f>INDEX('Quarterly Forecasts'!$B$4:$O$500,MATCH($B$2&amp;$B7,'Quarterly Forecasts'!$B$4:$B$500,0),MATCH(L$2,'Quarterly Forecasts'!$B$4:$O$4,0))</f>
        <v>18</v>
      </c>
      <c r="M7" s="134">
        <f>INDEX('Quarterly Forecasts'!$B$4:$O$500,MATCH($B$2&amp;$B7,'Quarterly Forecasts'!$B$4:$B$500,0),MATCH(M$2,'Quarterly Forecasts'!$B$4:$O$4,0))</f>
        <v>18</v>
      </c>
    </row>
    <row r="9" spans="1:13" x14ac:dyDescent="0.25">
      <c r="B9" s="31" t="s">
        <v>232</v>
      </c>
      <c r="C9" s="31"/>
      <c r="D9" s="115"/>
      <c r="E9" s="67"/>
      <c r="F9" s="67"/>
      <c r="G9" s="67"/>
      <c r="H9" s="67"/>
      <c r="I9" s="67"/>
      <c r="J9" s="67"/>
      <c r="K9" s="67"/>
      <c r="L9" s="67"/>
      <c r="M9" s="67"/>
    </row>
    <row r="10" spans="1:13" x14ac:dyDescent="0.25">
      <c r="B10" s="64" t="s">
        <v>523</v>
      </c>
      <c r="C10" s="64"/>
      <c r="D10" s="111"/>
      <c r="E10" s="103"/>
      <c r="F10" s="99"/>
      <c r="G10" s="99"/>
      <c r="H10" s="99"/>
      <c r="I10" s="99"/>
      <c r="J10" s="99"/>
      <c r="K10" s="99"/>
      <c r="L10" s="99"/>
      <c r="M10" s="99"/>
    </row>
    <row r="11" spans="1:13" x14ac:dyDescent="0.25">
      <c r="A11" s="2" t="str">
        <f>B9&amp;B10&amp;B11</f>
        <v>ApacheRealized pricesOil</v>
      </c>
      <c r="B11" s="70" t="s">
        <v>396</v>
      </c>
      <c r="C11" s="132" t="s">
        <v>542</v>
      </c>
      <c r="D11" s="108"/>
      <c r="E11" s="89">
        <v>60.05</v>
      </c>
      <c r="F11" s="134">
        <f>F4*($E11/$E4)</f>
        <v>47.416648777244532</v>
      </c>
      <c r="G11" s="134">
        <f>G4*($E11/$E4)</f>
        <v>18.661143009770452</v>
      </c>
      <c r="H11" s="134">
        <f t="shared" ref="G11:M14" si="2">H4*($E11/$E4)</f>
        <v>20.527257310747498</v>
      </c>
      <c r="I11" s="134">
        <f t="shared" si="2"/>
        <v>22.393371611724543</v>
      </c>
      <c r="J11" s="134">
        <f t="shared" si="2"/>
        <v>24.259485912701589</v>
      </c>
      <c r="K11" s="134">
        <f t="shared" si="2"/>
        <v>26.125600213678634</v>
      </c>
      <c r="L11" s="134">
        <f t="shared" si="2"/>
        <v>27.99171451465568</v>
      </c>
      <c r="M11" s="134">
        <f t="shared" si="2"/>
        <v>27.99171451465568</v>
      </c>
    </row>
    <row r="12" spans="1:13" x14ac:dyDescent="0.25">
      <c r="A12" s="2" t="str">
        <f>B9&amp;B10&amp;B12</f>
        <v>ApacheRealized pricesGas</v>
      </c>
      <c r="B12" s="70" t="s">
        <v>26</v>
      </c>
      <c r="C12" s="132" t="s">
        <v>542</v>
      </c>
      <c r="D12" s="108"/>
      <c r="E12" s="89">
        <f>1.9*6</f>
        <v>11.399999999999999</v>
      </c>
      <c r="F12" s="134">
        <f>F5*($E12/$E5)</f>
        <v>8.4264227948016561</v>
      </c>
      <c r="G12" s="134">
        <f t="shared" si="2"/>
        <v>9.6834046528566731</v>
      </c>
      <c r="H12" s="134">
        <f t="shared" si="2"/>
        <v>9.8485703767333401</v>
      </c>
      <c r="I12" s="134">
        <f t="shared" si="2"/>
        <v>10.013736100610009</v>
      </c>
      <c r="J12" s="134">
        <f t="shared" si="2"/>
        <v>10.178901824486678</v>
      </c>
      <c r="K12" s="134">
        <f t="shared" si="2"/>
        <v>10.344067548363345</v>
      </c>
      <c r="L12" s="134">
        <f t="shared" si="2"/>
        <v>10.509233272240014</v>
      </c>
      <c r="M12" s="134">
        <f t="shared" si="2"/>
        <v>10.509233272240014</v>
      </c>
    </row>
    <row r="13" spans="1:13" x14ac:dyDescent="0.25">
      <c r="A13" s="2" t="str">
        <f>B9&amp;B10&amp;B13</f>
        <v>ApacheRealized pricesNGL</v>
      </c>
      <c r="B13" s="70" t="s">
        <v>25</v>
      </c>
      <c r="C13" s="132" t="s">
        <v>542</v>
      </c>
      <c r="D13" s="108"/>
      <c r="E13" s="89">
        <v>15.74</v>
      </c>
      <c r="F13" s="134">
        <f>F6*($E13/$E6)</f>
        <v>13.180995894981768</v>
      </c>
      <c r="G13" s="134">
        <f t="shared" si="2"/>
        <v>6.4518258648647206</v>
      </c>
      <c r="H13" s="134">
        <f t="shared" si="2"/>
        <v>7.118595548749699</v>
      </c>
      <c r="I13" s="134">
        <f t="shared" si="2"/>
        <v>7.7853652326346765</v>
      </c>
      <c r="J13" s="134">
        <f t="shared" si="2"/>
        <v>8.452134916519654</v>
      </c>
      <c r="K13" s="134">
        <f t="shared" si="2"/>
        <v>9.1189046004046315</v>
      </c>
      <c r="L13" s="134">
        <f t="shared" si="2"/>
        <v>9.7856742842896107</v>
      </c>
      <c r="M13" s="134">
        <f t="shared" si="2"/>
        <v>9.7856742842896107</v>
      </c>
    </row>
    <row r="14" spans="1:13" x14ac:dyDescent="0.25">
      <c r="A14" s="2" t="str">
        <f>B9&amp;B10&amp;B14</f>
        <v>ApacheRealized pricesCondensate</v>
      </c>
      <c r="B14" s="70" t="s">
        <v>24</v>
      </c>
      <c r="C14" s="132" t="s">
        <v>543</v>
      </c>
      <c r="D14" s="108"/>
      <c r="E14" s="89">
        <f>E11*0.6</f>
        <v>36.029999999999994</v>
      </c>
      <c r="F14" s="134">
        <f>F7*($E14/$E7)</f>
        <v>28.449989266346719</v>
      </c>
      <c r="G14" s="134">
        <f t="shared" si="2"/>
        <v>11.196685805862272</v>
      </c>
      <c r="H14" s="134">
        <f t="shared" si="2"/>
        <v>12.316354386448499</v>
      </c>
      <c r="I14" s="134">
        <f t="shared" si="2"/>
        <v>13.436022967034726</v>
      </c>
      <c r="J14" s="134">
        <f t="shared" si="2"/>
        <v>14.555691547620953</v>
      </c>
      <c r="K14" s="134">
        <f t="shared" si="2"/>
        <v>15.675360128207181</v>
      </c>
      <c r="L14" s="134">
        <f t="shared" si="2"/>
        <v>16.795028708793406</v>
      </c>
      <c r="M14" s="134">
        <f t="shared" si="2"/>
        <v>16.795028708793406</v>
      </c>
    </row>
    <row r="15" spans="1:13" x14ac:dyDescent="0.25">
      <c r="A15" s="2" t="str">
        <f>B9&amp;B10&amp;B15</f>
        <v>ApacheRealized pricesAverage realized price</v>
      </c>
      <c r="B15" s="97" t="s">
        <v>527</v>
      </c>
      <c r="C15" s="137" t="s">
        <v>541</v>
      </c>
      <c r="D15" s="114"/>
      <c r="E15" s="89">
        <v>22.84</v>
      </c>
      <c r="F15" s="12">
        <f>F29/F24</f>
        <v>30.31093730250139</v>
      </c>
      <c r="G15" s="12">
        <f t="shared" ref="G15:M15" si="3">G29/G24</f>
        <v>13.971591768490725</v>
      </c>
      <c r="H15" s="12">
        <f t="shared" si="3"/>
        <v>15.142440080120338</v>
      </c>
      <c r="I15" s="12">
        <f t="shared" si="3"/>
        <v>16.313288391749953</v>
      </c>
      <c r="J15" s="12">
        <f t="shared" si="3"/>
        <v>17.232915765731114</v>
      </c>
      <c r="K15" s="12">
        <f t="shared" si="3"/>
        <v>18.383778665826629</v>
      </c>
      <c r="L15" s="12">
        <f t="shared" si="3"/>
        <v>19.534641565922147</v>
      </c>
      <c r="M15" s="12">
        <f t="shared" si="3"/>
        <v>19.534641565922147</v>
      </c>
    </row>
    <row r="16" spans="1:13" x14ac:dyDescent="0.25">
      <c r="B16" s="31"/>
      <c r="C16" s="31"/>
      <c r="D16" s="115"/>
      <c r="E16" s="100"/>
      <c r="F16" s="100"/>
      <c r="G16" s="100"/>
      <c r="H16" s="100"/>
      <c r="I16" s="100"/>
      <c r="J16" s="100"/>
      <c r="K16" s="100"/>
      <c r="L16" s="100"/>
      <c r="M16" s="100"/>
    </row>
    <row r="17" spans="1:13" x14ac:dyDescent="0.25">
      <c r="A17" s="2" t="str">
        <f>B9&amp;B17</f>
        <v>ApacheNetback price, BOE</v>
      </c>
      <c r="B17" s="91" t="s">
        <v>503</v>
      </c>
      <c r="C17" s="53" t="s">
        <v>535</v>
      </c>
      <c r="D17" s="122"/>
      <c r="E17" s="89">
        <f>E15-(E43/E24)-(E36/E24)-(E37/E24)-(E38/E24)</f>
        <v>10.355420200462607</v>
      </c>
      <c r="F17" s="89">
        <f t="shared" ref="F17:M17" si="4">F15-(F43/F24)-(F36/F24)-(F37/F24)-(F38/F24)</f>
        <v>18.163042856183907</v>
      </c>
      <c r="G17" s="89">
        <f t="shared" si="4"/>
        <v>2.5900464440832414</v>
      </c>
      <c r="H17" s="89">
        <f t="shared" si="4"/>
        <v>3.7111618430838211</v>
      </c>
      <c r="I17" s="89">
        <f t="shared" si="4"/>
        <v>4.8322772420844027</v>
      </c>
      <c r="J17" s="89">
        <f t="shared" si="4"/>
        <v>5.7021717034365329</v>
      </c>
      <c r="K17" s="89">
        <f t="shared" si="4"/>
        <v>6.8033016909030124</v>
      </c>
      <c r="L17" s="89">
        <f t="shared" si="4"/>
        <v>7.9044316783694972</v>
      </c>
      <c r="M17" s="89">
        <f t="shared" si="4"/>
        <v>7.9044316783694972</v>
      </c>
    </row>
    <row r="18" spans="1:13" x14ac:dyDescent="0.25">
      <c r="B18" s="31"/>
      <c r="C18" s="31"/>
      <c r="D18" s="115"/>
      <c r="E18" s="100"/>
      <c r="F18" s="100"/>
      <c r="G18" s="100"/>
      <c r="H18" s="100"/>
      <c r="I18" s="100"/>
      <c r="J18" s="100"/>
      <c r="K18" s="100"/>
      <c r="L18" s="100"/>
      <c r="M18" s="100"/>
    </row>
    <row r="19" spans="1:13" x14ac:dyDescent="0.25">
      <c r="B19" s="64" t="s">
        <v>532</v>
      </c>
      <c r="C19" s="64"/>
      <c r="D19" s="111"/>
      <c r="E19" s="103"/>
      <c r="F19" s="99"/>
      <c r="G19" s="99"/>
      <c r="H19" s="99"/>
      <c r="I19" s="99"/>
      <c r="J19" s="99"/>
      <c r="K19" s="99"/>
      <c r="L19" s="99"/>
      <c r="M19" s="99"/>
    </row>
    <row r="20" spans="1:13" x14ac:dyDescent="0.25">
      <c r="A20" s="2" t="str">
        <f>B9&amp;B19&amp;B20</f>
        <v>ApacheProduction, BOE/QOil</v>
      </c>
      <c r="B20" s="70" t="s">
        <v>396</v>
      </c>
      <c r="C20" s="73" t="s">
        <v>564</v>
      </c>
      <c r="D20" s="108"/>
      <c r="E20" s="105">
        <f>87.4*1000/4</f>
        <v>21850</v>
      </c>
      <c r="F20" s="66">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19257.227169215003</v>
      </c>
      <c r="G20" s="66">
        <f>F20*(1-INDEX(Assumptions!$A$2:$K$596,MATCH($B9&amp;"Oil production reduction",Assumptions!$A$2:$A$596,0),MATCH(G$2,Assumptions!$A$2:$K$2,0)))</f>
        <v>19257.227169215003</v>
      </c>
      <c r="H20" s="66">
        <f>G20*(1-INDEX(Assumptions!$A$2:$K$596,MATCH($B9&amp;"Oil production reduction",Assumptions!$A$2:$A$596,0),MATCH(H$2,Assumptions!$A$2:$K$2,0)))</f>
        <v>19257.227169215003</v>
      </c>
      <c r="I20" s="66">
        <f>H20*(1-INDEX(Assumptions!$A$2:$K$596,MATCH($B9&amp;"Oil production reduction",Assumptions!$A$2:$A$596,0),MATCH(I$2,Assumptions!$A$2:$K$2,0)))</f>
        <v>19257.227169215003</v>
      </c>
      <c r="J20" s="66">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16911.646952073748</v>
      </c>
      <c r="K20" s="66">
        <f>J20*(1-INDEX(Assumptions!$A$2:$K$596,MATCH($B9&amp;"Oil production reduction",Assumptions!$A$2:$A$596,0),MATCH(K$2,Assumptions!$A$2:$K$2,0)))</f>
        <v>16911.646952073748</v>
      </c>
      <c r="L20" s="66">
        <f>K20*(1-INDEX(Assumptions!$A$2:$K$596,MATCH($B9&amp;"Oil production reduction",Assumptions!$A$2:$A$596,0),MATCH(L$2,Assumptions!$A$2:$K$2,0)))</f>
        <v>16911.646952073748</v>
      </c>
      <c r="M20" s="66">
        <f>L20*(1-INDEX(Assumptions!$A$2:$K$596,MATCH($B9&amp;"Oil production reduction",Assumptions!$A$2:$A$596,0),MATCH(M$2,Assumptions!$A$2:$K$2,0)))</f>
        <v>16911.646952073748</v>
      </c>
    </row>
    <row r="21" spans="1:13" x14ac:dyDescent="0.25">
      <c r="A21" s="2" t="str">
        <f>B9&amp;B19&amp;B21</f>
        <v>ApacheProduction, BOE/QGas</v>
      </c>
      <c r="B21" s="70" t="s">
        <v>26</v>
      </c>
      <c r="C21" s="73" t="s">
        <v>564</v>
      </c>
      <c r="D21" s="108"/>
      <c r="E21" s="105">
        <f>357.8*1000/4/6</f>
        <v>14908.333333333334</v>
      </c>
      <c r="F21" s="66">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10668.021135199995</v>
      </c>
      <c r="G21" s="66">
        <f>F21*(1-INDEX(Assumptions!$A$2:$K$596,MATCH($B9&amp;"Gas production reduction",Assumptions!$A$2:$A$596,0),MATCH(G$2,Assumptions!$A$2:$K$2,0)))</f>
        <v>10668.021135199995</v>
      </c>
      <c r="H21" s="66">
        <f>G21*(1-INDEX(Assumptions!$A$2:$K$596,MATCH($B9&amp;"Gas production reduction",Assumptions!$A$2:$A$596,0),MATCH(H$2,Assumptions!$A$2:$K$2,0)))</f>
        <v>10668.021135199995</v>
      </c>
      <c r="I21" s="66">
        <f>H21*(1-INDEX(Assumptions!$A$2:$K$596,MATCH($B9&amp;"Gas production reduction",Assumptions!$A$2:$A$596,0),MATCH(I$2,Assumptions!$A$2:$K$2,0)))</f>
        <v>10668.021135199995</v>
      </c>
      <c r="J21" s="66">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9733.716977812499</v>
      </c>
      <c r="K21" s="66">
        <f>J21*(1-INDEX(Assumptions!$A$2:$K$596,MATCH($B9&amp;"Gas production reduction",Assumptions!$A$2:$A$596,0),MATCH(K$2,Assumptions!$A$2:$K$2,0)))</f>
        <v>9733.716977812499</v>
      </c>
      <c r="L21" s="66">
        <f>K21*(1-INDEX(Assumptions!$A$2:$K$596,MATCH($B9&amp;"Gas production reduction",Assumptions!$A$2:$A$596,0),MATCH(L$2,Assumptions!$A$2:$K$2,0)))</f>
        <v>9733.716977812499</v>
      </c>
      <c r="M21" s="66">
        <f>L21*(1-INDEX(Assumptions!$A$2:$K$596,MATCH($B9&amp;"Gas production reduction",Assumptions!$A$2:$A$596,0),MATCH(M$2,Assumptions!$A$2:$K$2,0)))</f>
        <v>9733.716977812499</v>
      </c>
    </row>
    <row r="22" spans="1:13" x14ac:dyDescent="0.25">
      <c r="A22" s="2" t="str">
        <f>B9&amp;B19&amp;B22</f>
        <v>ApacheProduction, BOE/QNGL</v>
      </c>
      <c r="B22" s="70" t="s">
        <v>25</v>
      </c>
      <c r="C22" s="73" t="s">
        <v>564</v>
      </c>
      <c r="D22" s="108"/>
      <c r="E22" s="105">
        <f>25.9*1000/4</f>
        <v>6475</v>
      </c>
      <c r="F22" s="66">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6446.3672601337512</v>
      </c>
      <c r="G22" s="66">
        <f>F22*(1-INDEX(Assumptions!$A$2:$K$596,MATCH($B9&amp;"NGL production reduction",Assumptions!$A$2:$A$596,0),MATCH(G$2,Assumptions!$A$2:$K$2,0)))</f>
        <v>6446.3672601337512</v>
      </c>
      <c r="H22" s="66">
        <f>G22*(1-INDEX(Assumptions!$A$2:$K$596,MATCH($B9&amp;"NGL production reduction",Assumptions!$A$2:$A$596,0),MATCH(H$2,Assumptions!$A$2:$K$2,0)))</f>
        <v>6446.3672601337512</v>
      </c>
      <c r="I22" s="66">
        <f>H22*(1-INDEX(Assumptions!$A$2:$K$596,MATCH($B9&amp;"NGL production reduction",Assumptions!$A$2:$A$596,0),MATCH(I$2,Assumptions!$A$2:$K$2,0)))</f>
        <v>6446.3672601337512</v>
      </c>
      <c r="J22" s="66">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6300.5025400837485</v>
      </c>
      <c r="K22" s="66">
        <f>J22*(1-INDEX(Assumptions!$A$2:$K$596,MATCH($B9&amp;"NGL production reduction",Assumptions!$A$2:$A$596,0),MATCH(K$2,Assumptions!$A$2:$K$2,0)))</f>
        <v>6300.5025400837485</v>
      </c>
      <c r="L22" s="66">
        <f>K22*(1-INDEX(Assumptions!$A$2:$K$596,MATCH($B9&amp;"NGL production reduction",Assumptions!$A$2:$A$596,0),MATCH(L$2,Assumptions!$A$2:$K$2,0)))</f>
        <v>6300.5025400837485</v>
      </c>
      <c r="M22" s="66">
        <f>L22*(1-INDEX(Assumptions!$A$2:$K$596,MATCH($B9&amp;"NGL production reduction",Assumptions!$A$2:$A$596,0),MATCH(M$2,Assumptions!$A$2:$K$2,0)))</f>
        <v>6300.5025400837485</v>
      </c>
    </row>
    <row r="23" spans="1:13" x14ac:dyDescent="0.25">
      <c r="A23" s="2" t="str">
        <f>B9&amp;B19&amp;B23</f>
        <v>ApacheProduction, BOE/QCondensate</v>
      </c>
      <c r="B23" s="70" t="s">
        <v>24</v>
      </c>
      <c r="C23" s="73" t="s">
        <v>564</v>
      </c>
      <c r="D23" s="108"/>
      <c r="E23" s="105">
        <v>0</v>
      </c>
      <c r="F23" s="66">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1440.3803132275</v>
      </c>
      <c r="G23" s="66">
        <f>F23*(1-INDEX(Assumptions!$A$2:$K$596,MATCH($B9&amp;"Condensate production reduction",Assumptions!$A$2:$A$596,0),MATCH(G$2,Assumptions!$A$2:$K$2,0)))</f>
        <v>1440.3803132275</v>
      </c>
      <c r="H23" s="66">
        <f>G23*(1-INDEX(Assumptions!$A$2:$K$596,MATCH($B9&amp;"Condensate production reduction",Assumptions!$A$2:$A$596,0),MATCH(H$2,Assumptions!$A$2:$K$2,0)))</f>
        <v>1440.3803132275</v>
      </c>
      <c r="I23" s="66">
        <f>H23*(1-INDEX(Assumptions!$A$2:$K$596,MATCH($B9&amp;"Condensate production reduction",Assumptions!$A$2:$A$596,0),MATCH(I$2,Assumptions!$A$2:$K$2,0)))</f>
        <v>1440.3803132275</v>
      </c>
      <c r="J23" s="66">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1383.7178084924999</v>
      </c>
      <c r="K23" s="66">
        <f>J23*(1-INDEX(Assumptions!$A$2:$K$596,MATCH($B9&amp;"Condensate production reduction",Assumptions!$A$2:$A$596,0),MATCH(K$2,Assumptions!$A$2:$K$2,0)))</f>
        <v>1383.7178084924999</v>
      </c>
      <c r="L23" s="66">
        <f>K23*(1-INDEX(Assumptions!$A$2:$K$596,MATCH($B9&amp;"Condensate production reduction",Assumptions!$A$2:$A$596,0),MATCH(L$2,Assumptions!$A$2:$K$2,0)))</f>
        <v>1383.7178084924999</v>
      </c>
      <c r="M23" s="66">
        <f>L23*(1-INDEX(Assumptions!$A$2:$K$596,MATCH($B9&amp;"Condensate production reduction",Assumptions!$A$2:$A$596,0),MATCH(M$2,Assumptions!$A$2:$K$2,0)))</f>
        <v>1383.7178084924999</v>
      </c>
    </row>
    <row r="24" spans="1:13" x14ac:dyDescent="0.25">
      <c r="A24" s="2" t="str">
        <f>B9&amp;B19&amp;B24</f>
        <v>ApacheProduction, BOE/QTotal production</v>
      </c>
      <c r="B24" s="97" t="s">
        <v>397</v>
      </c>
      <c r="C24" s="77"/>
      <c r="D24" s="114"/>
      <c r="E24" s="120">
        <f>SUM(E20:E23)</f>
        <v>43233.333333333336</v>
      </c>
      <c r="F24" s="121">
        <f>SUM(F20:F23)</f>
        <v>37811.995877776251</v>
      </c>
      <c r="G24" s="121">
        <f t="shared" ref="G24:M24" si="5">SUM(G20:G23)</f>
        <v>37811.995877776251</v>
      </c>
      <c r="H24" s="121">
        <f t="shared" si="5"/>
        <v>37811.995877776251</v>
      </c>
      <c r="I24" s="121">
        <f t="shared" si="5"/>
        <v>37811.995877776251</v>
      </c>
      <c r="J24" s="121">
        <f t="shared" si="5"/>
        <v>34329.584278462498</v>
      </c>
      <c r="K24" s="121">
        <f t="shared" si="5"/>
        <v>34329.584278462498</v>
      </c>
      <c r="L24" s="121">
        <f t="shared" si="5"/>
        <v>34329.584278462498</v>
      </c>
      <c r="M24" s="121">
        <f t="shared" si="5"/>
        <v>34329.584278462498</v>
      </c>
    </row>
    <row r="25" spans="1:13" x14ac:dyDescent="0.25">
      <c r="B25" s="31"/>
      <c r="C25" s="31"/>
      <c r="D25" s="115"/>
      <c r="E25" s="67"/>
      <c r="F25" s="198"/>
      <c r="G25" s="198"/>
      <c r="H25" s="198"/>
      <c r="I25" s="201"/>
      <c r="J25" s="201"/>
      <c r="K25" s="201"/>
      <c r="L25" s="201"/>
      <c r="M25" s="201"/>
    </row>
    <row r="26" spans="1:13" x14ac:dyDescent="0.25">
      <c r="A26" s="2" t="str">
        <f>B9&amp;B26</f>
        <v>ApacheRevenues</v>
      </c>
      <c r="B26" s="64" t="s">
        <v>472</v>
      </c>
      <c r="C26" s="64"/>
      <c r="D26" s="111"/>
      <c r="E26" s="53"/>
      <c r="F26" s="200">
        <f>F29/SUM($F$29:$I$29)</f>
        <v>0.40020642520522176</v>
      </c>
      <c r="G26" s="200">
        <f t="shared" ref="G26:I26" si="6">G29/SUM($F$29:$I$29)</f>
        <v>0.18447205179738665</v>
      </c>
      <c r="H26" s="200">
        <f t="shared" si="6"/>
        <v>0.19993119159825937</v>
      </c>
      <c r="I26" s="200">
        <f t="shared" si="6"/>
        <v>0.21539033139913213</v>
      </c>
      <c r="J26" s="200">
        <f>J29/SUM($J$29:$M$29)</f>
        <v>0.23073830360059003</v>
      </c>
      <c r="K26" s="200">
        <f t="shared" ref="K26:M26" si="7">K29/SUM($J$29:$M$29)</f>
        <v>0.24614766072011801</v>
      </c>
      <c r="L26" s="200">
        <f t="shared" si="7"/>
        <v>0.26155701783964602</v>
      </c>
      <c r="M26" s="200">
        <f t="shared" si="7"/>
        <v>0.26155701783964602</v>
      </c>
    </row>
    <row r="27" spans="1:13" x14ac:dyDescent="0.25">
      <c r="A27" s="2" t="str">
        <f>B9&amp;B27</f>
        <v>ApacheSales Revenue</v>
      </c>
      <c r="B27" s="70" t="s">
        <v>461</v>
      </c>
      <c r="C27" s="82" t="s">
        <v>536</v>
      </c>
      <c r="D27" s="108"/>
      <c r="E27" s="83">
        <f>(5230+678+407)/4*1000</f>
        <v>1578750</v>
      </c>
      <c r="F27" s="50">
        <f>SUMPRODUCT(F11:F14,F20:F23)</f>
        <v>1128954.7784195011</v>
      </c>
      <c r="G27" s="50">
        <f>SUMPRODUCT(G11:G14,G20:G23)</f>
        <v>520382.96050523303</v>
      </c>
      <c r="H27" s="50">
        <f t="shared" ref="H27:M27" si="8">SUMPRODUCT(H11:H14,H20:H23)</f>
        <v>563992.12979705737</v>
      </c>
      <c r="I27" s="50">
        <f t="shared" si="8"/>
        <v>607601.29908888182</v>
      </c>
      <c r="J27" s="50">
        <f t="shared" si="8"/>
        <v>582740.07761893794</v>
      </c>
      <c r="K27" s="50">
        <f t="shared" si="8"/>
        <v>621657.10970146337</v>
      </c>
      <c r="L27" s="50">
        <f t="shared" si="8"/>
        <v>660574.14178398903</v>
      </c>
      <c r="M27" s="50">
        <f t="shared" si="8"/>
        <v>660574.14178398903</v>
      </c>
    </row>
    <row r="28" spans="1:13" x14ac:dyDescent="0.25">
      <c r="A28" s="2" t="str">
        <f>B9&amp;B28</f>
        <v>ApacheOther Revenue</v>
      </c>
      <c r="B28" s="70" t="s">
        <v>462</v>
      </c>
      <c r="C28" s="82" t="s">
        <v>533</v>
      </c>
      <c r="D28" s="139">
        <f>$E28/$E27</f>
        <v>1.5201900237529691E-2</v>
      </c>
      <c r="E28" s="83">
        <f>(43+53)/4*1000</f>
        <v>24000</v>
      </c>
      <c r="F28" s="50">
        <f>F27*$D28</f>
        <v>17162.257914215694</v>
      </c>
      <c r="G28" s="50">
        <f t="shared" ref="G28:M28" si="9">G27*$D28</f>
        <v>7910.8098509109059</v>
      </c>
      <c r="H28" s="50">
        <f t="shared" si="9"/>
        <v>8573.7520919267627</v>
      </c>
      <c r="I28" s="50">
        <f t="shared" si="9"/>
        <v>9236.6943329426213</v>
      </c>
      <c r="J28" s="50">
        <f t="shared" si="9"/>
        <v>8858.7565243734025</v>
      </c>
      <c r="K28" s="50">
        <f t="shared" si="9"/>
        <v>9450.3693636326971</v>
      </c>
      <c r="L28" s="50">
        <f t="shared" si="9"/>
        <v>10041.982202891995</v>
      </c>
      <c r="M28" s="50">
        <f t="shared" si="9"/>
        <v>10041.982202891995</v>
      </c>
    </row>
    <row r="29" spans="1:13" x14ac:dyDescent="0.25">
      <c r="A29" s="2" t="str">
        <f>B9&amp;B29</f>
        <v>ApacheTotal Revenue</v>
      </c>
      <c r="B29" s="84" t="s">
        <v>395</v>
      </c>
      <c r="C29" s="85"/>
      <c r="D29" s="63">
        <f>SUMPRODUCT(E11:E14,E20:E23)*(1+D28)</f>
        <v>1608043.2627078383</v>
      </c>
      <c r="E29" s="63">
        <f>SUM(E27:E28)</f>
        <v>1602750</v>
      </c>
      <c r="F29" s="62">
        <f t="shared" ref="F29:M29" si="10">SUM(F27:F28)</f>
        <v>1146117.0363337169</v>
      </c>
      <c r="G29" s="62">
        <f t="shared" si="10"/>
        <v>528293.77035614394</v>
      </c>
      <c r="H29" s="62">
        <f t="shared" si="10"/>
        <v>572565.88188898412</v>
      </c>
      <c r="I29" s="62">
        <f t="shared" si="10"/>
        <v>616837.99342182442</v>
      </c>
      <c r="J29" s="62">
        <f t="shared" si="10"/>
        <v>591598.83414331137</v>
      </c>
      <c r="K29" s="62">
        <f t="shared" si="10"/>
        <v>631107.47906509612</v>
      </c>
      <c r="L29" s="62">
        <f t="shared" si="10"/>
        <v>670616.12398688099</v>
      </c>
      <c r="M29" s="62">
        <f t="shared" si="10"/>
        <v>670616.12398688099</v>
      </c>
    </row>
    <row r="30" spans="1:13" x14ac:dyDescent="0.25">
      <c r="A30" s="2" t="str">
        <f>B9&amp;B30</f>
        <v>ApacheCosts and Expenses</v>
      </c>
      <c r="B30" s="72" t="s">
        <v>473</v>
      </c>
      <c r="C30" s="72"/>
      <c r="D30" s="112"/>
      <c r="E30" s="83"/>
      <c r="F30" s="50"/>
      <c r="G30" s="50"/>
      <c r="H30" s="50"/>
      <c r="I30" s="50"/>
      <c r="J30" s="50"/>
      <c r="K30" s="50"/>
      <c r="L30" s="50"/>
      <c r="M30" s="50"/>
    </row>
    <row r="31" spans="1:13" x14ac:dyDescent="0.25">
      <c r="A31" s="2" t="str">
        <f>B9&amp;B31</f>
        <v>ApacheImpairment</v>
      </c>
      <c r="B31" s="70" t="s">
        <v>463</v>
      </c>
      <c r="C31" s="82" t="s">
        <v>537</v>
      </c>
      <c r="D31" s="108"/>
      <c r="E31" s="83">
        <f>2949/4*1000</f>
        <v>737250</v>
      </c>
      <c r="F31" s="83">
        <f>E31</f>
        <v>737250</v>
      </c>
      <c r="G31" s="83">
        <f t="shared" ref="G31:M31" si="11">F31</f>
        <v>737250</v>
      </c>
      <c r="H31" s="83">
        <f t="shared" si="11"/>
        <v>737250</v>
      </c>
      <c r="I31" s="83">
        <f t="shared" si="11"/>
        <v>737250</v>
      </c>
      <c r="J31" s="83">
        <f t="shared" si="11"/>
        <v>737250</v>
      </c>
      <c r="K31" s="83">
        <f t="shared" si="11"/>
        <v>737250</v>
      </c>
      <c r="L31" s="83">
        <f t="shared" si="11"/>
        <v>737250</v>
      </c>
      <c r="M31" s="83">
        <f t="shared" si="11"/>
        <v>737250</v>
      </c>
    </row>
    <row r="32" spans="1:13" x14ac:dyDescent="0.25">
      <c r="A32" s="2" t="str">
        <f>B9&amp;B32</f>
        <v>ApacheDD&amp;A</v>
      </c>
      <c r="B32" s="70" t="s">
        <v>464</v>
      </c>
      <c r="C32" s="106" t="s">
        <v>545</v>
      </c>
      <c r="D32" s="108">
        <f>E32/E24</f>
        <v>15.497301464919044</v>
      </c>
      <c r="E32" s="83">
        <f>2680*1000/4</f>
        <v>670000</v>
      </c>
      <c r="F32" s="50">
        <f>$D32*F$24</f>
        <v>585983.89910817472</v>
      </c>
      <c r="G32" s="50">
        <f t="shared" ref="G32:M32" si="12">$D32*G$24</f>
        <v>585983.89910817472</v>
      </c>
      <c r="H32" s="50">
        <f t="shared" si="12"/>
        <v>585983.89910817472</v>
      </c>
      <c r="I32" s="50">
        <f t="shared" si="12"/>
        <v>585983.89910817472</v>
      </c>
      <c r="J32" s="50">
        <f t="shared" si="12"/>
        <v>532015.91672867863</v>
      </c>
      <c r="K32" s="50">
        <f t="shared" si="12"/>
        <v>532015.91672867863</v>
      </c>
      <c r="L32" s="50">
        <f t="shared" si="12"/>
        <v>532015.91672867863</v>
      </c>
      <c r="M32" s="50">
        <f t="shared" si="12"/>
        <v>532015.91672867863</v>
      </c>
    </row>
    <row r="33" spans="1:13" x14ac:dyDescent="0.25">
      <c r="A33" s="2" t="str">
        <f>B9&amp;B33</f>
        <v>ApacheAsset retirement obligation</v>
      </c>
      <c r="B33" s="70" t="s">
        <v>465</v>
      </c>
      <c r="C33" s="106" t="s">
        <v>545</v>
      </c>
      <c r="D33" s="108">
        <f>E33/E24</f>
        <v>0.61873554356206628</v>
      </c>
      <c r="E33" s="83">
        <f>107*1000/4</f>
        <v>26750</v>
      </c>
      <c r="F33" s="50">
        <f t="shared" ref="F33:M40" si="13">$D33*F$24</f>
        <v>23395.625822602498</v>
      </c>
      <c r="G33" s="50">
        <f t="shared" si="13"/>
        <v>23395.625822602498</v>
      </c>
      <c r="H33" s="50">
        <f t="shared" si="13"/>
        <v>23395.625822602498</v>
      </c>
      <c r="I33" s="50">
        <f t="shared" si="13"/>
        <v>23395.625822602498</v>
      </c>
      <c r="J33" s="50">
        <f t="shared" si="13"/>
        <v>21240.933988794259</v>
      </c>
      <c r="K33" s="50">
        <f t="shared" si="13"/>
        <v>21240.933988794259</v>
      </c>
      <c r="L33" s="50">
        <f t="shared" si="13"/>
        <v>21240.933988794259</v>
      </c>
      <c r="M33" s="50">
        <f t="shared" si="13"/>
        <v>21240.933988794259</v>
      </c>
    </row>
    <row r="34" spans="1:13" x14ac:dyDescent="0.25">
      <c r="A34" s="2" t="str">
        <f>B9&amp;B34</f>
        <v>ApacheNon-cash compensation</v>
      </c>
      <c r="B34" s="70" t="s">
        <v>505</v>
      </c>
      <c r="C34" s="106" t="s">
        <v>878</v>
      </c>
      <c r="D34" s="108">
        <f>E34/E24</f>
        <v>0</v>
      </c>
      <c r="E34" s="83">
        <f>0/4</f>
        <v>0</v>
      </c>
      <c r="F34" s="50">
        <f>$E34*((F$4*0.0266+11.643)*F$24)/(($E$4*0.0266+11.643)*$E$24)</f>
        <v>0</v>
      </c>
      <c r="G34" s="50">
        <f t="shared" ref="G34:M34" si="14">$E34*((G$4*0.0266+11.643)*G$24)/(($E$4*0.0266+11.643)*$E$24)</f>
        <v>0</v>
      </c>
      <c r="H34" s="50">
        <f t="shared" si="14"/>
        <v>0</v>
      </c>
      <c r="I34" s="50">
        <f t="shared" si="14"/>
        <v>0</v>
      </c>
      <c r="J34" s="50">
        <f t="shared" si="14"/>
        <v>0</v>
      </c>
      <c r="K34" s="50">
        <f t="shared" si="14"/>
        <v>0</v>
      </c>
      <c r="L34" s="50">
        <f t="shared" si="14"/>
        <v>0</v>
      </c>
      <c r="M34" s="50">
        <f t="shared" si="14"/>
        <v>0</v>
      </c>
    </row>
    <row r="35" spans="1:13" x14ac:dyDescent="0.25">
      <c r="A35" s="2" t="str">
        <f>B9&amp;B35</f>
        <v>ApacheTaxes other than income</v>
      </c>
      <c r="B35" s="70" t="s">
        <v>467</v>
      </c>
      <c r="C35" s="106" t="s">
        <v>545</v>
      </c>
      <c r="D35" s="108">
        <f>E35/E24</f>
        <v>1.1969930609097919</v>
      </c>
      <c r="E35" s="83">
        <f>207*1000/4</f>
        <v>51750</v>
      </c>
      <c r="F35" s="50">
        <f>$D35*F24</f>
        <v>45260.696684847826</v>
      </c>
      <c r="G35" s="50">
        <f t="shared" ref="G35:M35" si="15">$D35*G24</f>
        <v>45260.696684847826</v>
      </c>
      <c r="H35" s="50">
        <f t="shared" si="15"/>
        <v>45260.696684847826</v>
      </c>
      <c r="I35" s="50">
        <f t="shared" si="15"/>
        <v>45260.696684847826</v>
      </c>
      <c r="J35" s="50">
        <f t="shared" si="15"/>
        <v>41092.274165237497</v>
      </c>
      <c r="K35" s="50">
        <f t="shared" si="15"/>
        <v>41092.274165237497</v>
      </c>
      <c r="L35" s="50">
        <f t="shared" si="15"/>
        <v>41092.274165237497</v>
      </c>
      <c r="M35" s="50">
        <f t="shared" si="15"/>
        <v>41092.274165237497</v>
      </c>
    </row>
    <row r="36" spans="1:13" x14ac:dyDescent="0.25">
      <c r="A36" s="2" t="str">
        <f>B9&amp;B36</f>
        <v>ApacheLease operating expenses</v>
      </c>
      <c r="B36" s="70" t="s">
        <v>468</v>
      </c>
      <c r="C36" s="106" t="s">
        <v>878</v>
      </c>
      <c r="D36" s="108">
        <f>E36/E24</f>
        <v>8.3673862760215876</v>
      </c>
      <c r="E36" s="83">
        <f>1447*1000/4</f>
        <v>361750</v>
      </c>
      <c r="F36" s="50">
        <f>$E36*((F$4*0.0266+11.643)*F$24)/(($E$4*0.0266+11.643)*$E$24)</f>
        <v>307855.20470178418</v>
      </c>
      <c r="G36" s="50">
        <f t="shared" ref="G36:M38" si="16">$E36*((G$4*0.0266+11.643)*G$24)/(($E$4*0.0266+11.643)*$E$24)</f>
        <v>288434.17936762411</v>
      </c>
      <c r="H36" s="50">
        <f t="shared" si="16"/>
        <v>289694.52420067193</v>
      </c>
      <c r="I36" s="50">
        <f t="shared" si="16"/>
        <v>290954.86903371982</v>
      </c>
      <c r="J36" s="50">
        <f t="shared" si="16"/>
        <v>265302.7585297121</v>
      </c>
      <c r="K36" s="50">
        <f t="shared" si="16"/>
        <v>266447.02804423071</v>
      </c>
      <c r="L36" s="50">
        <f t="shared" si="16"/>
        <v>267591.29755874927</v>
      </c>
      <c r="M36" s="50">
        <f t="shared" si="16"/>
        <v>267591.29755874927</v>
      </c>
    </row>
    <row r="37" spans="1:13" x14ac:dyDescent="0.25">
      <c r="A37" s="2" t="str">
        <f>B9&amp;B37</f>
        <v>ApacheTransportation, Processing, and Other Operating</v>
      </c>
      <c r="B37" s="70" t="s">
        <v>469</v>
      </c>
      <c r="C37" s="106" t="s">
        <v>878</v>
      </c>
      <c r="D37" s="108">
        <f>E37/E24</f>
        <v>1.76946800308404</v>
      </c>
      <c r="E37" s="83">
        <f>(306)*1000/4</f>
        <v>76500</v>
      </c>
      <c r="F37" s="50">
        <f>$E37*((F$4*0.0266+11.643)*F$24)/(($E$4*0.0266+11.643)*$E$24)</f>
        <v>65102.759252761556</v>
      </c>
      <c r="G37" s="50">
        <f t="shared" si="16"/>
        <v>60995.75596855078</v>
      </c>
      <c r="H37" s="50">
        <f t="shared" si="16"/>
        <v>61262.283625021155</v>
      </c>
      <c r="I37" s="50">
        <f t="shared" si="16"/>
        <v>61528.811281491537</v>
      </c>
      <c r="J37" s="50">
        <f t="shared" si="16"/>
        <v>56104.107885343408</v>
      </c>
      <c r="K37" s="50">
        <f t="shared" si="16"/>
        <v>56346.088860770273</v>
      </c>
      <c r="L37" s="50">
        <f t="shared" si="16"/>
        <v>56588.069836197144</v>
      </c>
      <c r="M37" s="50">
        <f t="shared" si="16"/>
        <v>56588.069836197144</v>
      </c>
    </row>
    <row r="38" spans="1:13" x14ac:dyDescent="0.25">
      <c r="A38" s="2" t="str">
        <f>B9&amp;B38</f>
        <v>ApacheSG&amp;A</v>
      </c>
      <c r="B38" s="70" t="s">
        <v>470</v>
      </c>
      <c r="C38" s="106" t="s">
        <v>878</v>
      </c>
      <c r="D38" s="108">
        <f>E38/E24</f>
        <v>2.3477255204317653</v>
      </c>
      <c r="E38" s="83">
        <f>406*1000/4</f>
        <v>101500</v>
      </c>
      <c r="F38" s="50">
        <f>$E38*((F$4*0.0266+11.643)*F$24)/(($E$4*0.0266+11.643)*$E$24)</f>
        <v>86378.17077327185</v>
      </c>
      <c r="G38" s="50">
        <f t="shared" si="16"/>
        <v>80929.009553044481</v>
      </c>
      <c r="H38" s="50">
        <f t="shared" si="16"/>
        <v>81282.637750845068</v>
      </c>
      <c r="I38" s="50">
        <f t="shared" si="16"/>
        <v>81636.26594864564</v>
      </c>
      <c r="J38" s="50">
        <f t="shared" si="16"/>
        <v>74438.783664867384</v>
      </c>
      <c r="K38" s="50">
        <f t="shared" si="16"/>
        <v>74759.843390433758</v>
      </c>
      <c r="L38" s="50">
        <f t="shared" si="16"/>
        <v>75080.903116000132</v>
      </c>
      <c r="M38" s="50">
        <f t="shared" si="16"/>
        <v>75080.903116000132</v>
      </c>
    </row>
    <row r="39" spans="1:13" s="65" customFormat="1" x14ac:dyDescent="0.25">
      <c r="A39" s="65" t="str">
        <f>B9&amp;B39</f>
        <v>ApacheExploratory and dirt well, dry hole</v>
      </c>
      <c r="B39" s="70" t="s">
        <v>561</v>
      </c>
      <c r="C39" s="106" t="s">
        <v>545</v>
      </c>
      <c r="D39" s="155">
        <f>E39/E24</f>
        <v>4.6549730146491903</v>
      </c>
      <c r="E39" s="148">
        <f>805*1000/4</f>
        <v>201250</v>
      </c>
      <c r="F39" s="156">
        <f t="shared" si="13"/>
        <v>176013.82044107487</v>
      </c>
      <c r="G39" s="156">
        <f t="shared" si="13"/>
        <v>176013.82044107487</v>
      </c>
      <c r="H39" s="156">
        <f t="shared" si="13"/>
        <v>176013.82044107487</v>
      </c>
      <c r="I39" s="156">
        <f t="shared" si="13"/>
        <v>176013.82044107487</v>
      </c>
      <c r="J39" s="156">
        <f t="shared" si="13"/>
        <v>159803.28842036802</v>
      </c>
      <c r="K39" s="156">
        <f t="shared" si="13"/>
        <v>159803.28842036802</v>
      </c>
      <c r="L39" s="156">
        <f t="shared" si="13"/>
        <v>159803.28842036802</v>
      </c>
      <c r="M39" s="156">
        <f t="shared" si="13"/>
        <v>159803.28842036802</v>
      </c>
    </row>
    <row r="40" spans="1:13" x14ac:dyDescent="0.25">
      <c r="A40" s="2" t="str">
        <f>B9&amp;B40</f>
        <v>ApacheOther Expenses (benefits)</v>
      </c>
      <c r="B40" s="70" t="s">
        <v>471</v>
      </c>
      <c r="C40" s="106" t="s">
        <v>545</v>
      </c>
      <c r="D40" s="108">
        <f>E40/E24</f>
        <v>0.28912875867386273</v>
      </c>
      <c r="E40" s="83">
        <f>(50)*1000/4</f>
        <v>12500</v>
      </c>
      <c r="F40" s="50">
        <f t="shared" si="13"/>
        <v>10932.535431122662</v>
      </c>
      <c r="G40" s="50">
        <f t="shared" si="13"/>
        <v>10932.535431122662</v>
      </c>
      <c r="H40" s="50">
        <f t="shared" si="13"/>
        <v>10932.535431122662</v>
      </c>
      <c r="I40" s="50">
        <f t="shared" si="13"/>
        <v>10932.535431122662</v>
      </c>
      <c r="J40" s="50">
        <f t="shared" si="13"/>
        <v>9925.6700882216155</v>
      </c>
      <c r="K40" s="50">
        <f t="shared" si="13"/>
        <v>9925.6700882216155</v>
      </c>
      <c r="L40" s="50">
        <f t="shared" si="13"/>
        <v>9925.6700882216155</v>
      </c>
      <c r="M40" s="50">
        <f t="shared" si="13"/>
        <v>9925.6700882216155</v>
      </c>
    </row>
    <row r="41" spans="1:13" x14ac:dyDescent="0.25">
      <c r="A41" s="2" t="str">
        <f>B9&amp;B41</f>
        <v>ApacheTotal Costs and Expenses</v>
      </c>
      <c r="B41" s="84" t="s">
        <v>474</v>
      </c>
      <c r="C41" s="85"/>
      <c r="D41" s="110"/>
      <c r="E41" s="63">
        <f>SUM(E31:E40)</f>
        <v>2239250</v>
      </c>
      <c r="F41" s="62">
        <f t="shared" ref="F41:M41" si="17">SUM(F31:F40)</f>
        <v>2038172.7122156401</v>
      </c>
      <c r="G41" s="62">
        <f t="shared" si="17"/>
        <v>2009195.5223770421</v>
      </c>
      <c r="H41" s="62">
        <f t="shared" si="17"/>
        <v>2011076.0230643607</v>
      </c>
      <c r="I41" s="62">
        <f t="shared" si="17"/>
        <v>2012956.5237516796</v>
      </c>
      <c r="J41" s="62">
        <f t="shared" si="17"/>
        <v>1897173.7334712229</v>
      </c>
      <c r="K41" s="62">
        <f t="shared" si="17"/>
        <v>1898881.0436867347</v>
      </c>
      <c r="L41" s="62">
        <f t="shared" si="17"/>
        <v>1900588.3539022466</v>
      </c>
      <c r="M41" s="62">
        <f t="shared" si="17"/>
        <v>1900588.3539022466</v>
      </c>
    </row>
    <row r="42" spans="1:13" x14ac:dyDescent="0.25">
      <c r="A42" s="2" t="str">
        <f>B9&amp;B42</f>
        <v>ApacheOther (Income) Expense</v>
      </c>
      <c r="B42" s="72" t="s">
        <v>506</v>
      </c>
      <c r="C42" s="72"/>
      <c r="D42" s="112"/>
      <c r="E42" s="83"/>
      <c r="F42" s="50"/>
      <c r="G42" s="50"/>
      <c r="H42" s="50"/>
      <c r="I42" s="50"/>
      <c r="J42" s="50"/>
      <c r="K42" s="50"/>
      <c r="L42" s="50"/>
      <c r="M42" s="50"/>
    </row>
    <row r="43" spans="1:13" x14ac:dyDescent="0.25">
      <c r="A43" s="2" t="str">
        <f>B9&amp;B43</f>
        <v>ApacheLoss (gain) on derivative instruments, net</v>
      </c>
      <c r="B43" s="70" t="s">
        <v>466</v>
      </c>
      <c r="C43" s="107" t="s">
        <v>879</v>
      </c>
      <c r="D43" s="108"/>
      <c r="E43" s="83">
        <v>0</v>
      </c>
      <c r="F43" s="157">
        <f>E43</f>
        <v>0</v>
      </c>
      <c r="G43" s="157">
        <f t="shared" ref="G43:M43" si="18">F43</f>
        <v>0</v>
      </c>
      <c r="H43" s="157">
        <f t="shared" si="18"/>
        <v>0</v>
      </c>
      <c r="I43" s="157">
        <f t="shared" si="18"/>
        <v>0</v>
      </c>
      <c r="J43" s="157">
        <f t="shared" si="18"/>
        <v>0</v>
      </c>
      <c r="K43" s="157">
        <f t="shared" si="18"/>
        <v>0</v>
      </c>
      <c r="L43" s="157">
        <f t="shared" si="18"/>
        <v>0</v>
      </c>
      <c r="M43" s="157">
        <f t="shared" si="18"/>
        <v>0</v>
      </c>
    </row>
    <row r="44" spans="1:13" x14ac:dyDescent="0.25">
      <c r="A44" s="2" t="str">
        <f>B9&amp;B44</f>
        <v>ApacheInterest expense, net</v>
      </c>
      <c r="B44" s="70" t="s">
        <v>475</v>
      </c>
      <c r="C44" s="82" t="s">
        <v>526</v>
      </c>
      <c r="D44" s="108"/>
      <c r="E44" s="148">
        <f>430*1000/4</f>
        <v>107500</v>
      </c>
      <c r="F44" s="188">
        <f>$E73*(F78/E78)*(($E44/$E73)+IF($B$2="A3",(('Quarterly Forecasts'!$K$5-'Quarterly Forecasts'!$G$5)/400),(('Quarterly Forecasts'!$K$26-'Quarterly Forecasts'!$G$26)/400)))</f>
        <v>115873.78089375467</v>
      </c>
      <c r="G44" s="188">
        <f>$E73*(G78/F78)*(($E44/$E73)+IF($B$2="A3",(('Quarterly Forecasts'!$K$5-'Quarterly Forecasts'!$G$5)/400),(('Quarterly Forecasts'!$K$26-'Quarterly Forecasts'!$G$26)/400)))</f>
        <v>116650.59909999999</v>
      </c>
      <c r="H44" s="188">
        <f>$E73*(H78/G78)*(($E44/$E73)+IF($B$2="A3",(('Quarterly Forecasts'!$K$5-'Quarterly Forecasts'!$G$5)/400),(('Quarterly Forecasts'!$K$26-'Quarterly Forecasts'!$G$26)/400)))</f>
        <v>116650.59909999999</v>
      </c>
      <c r="I44" s="188">
        <f>$E73*(I78/H78)*(($E44/$E73)+IF($B$2="A3",(('Quarterly Forecasts'!$K$5-'Quarterly Forecasts'!$G$5)/400),(('Quarterly Forecasts'!$K$26-'Quarterly Forecasts'!$G$26)/400)))</f>
        <v>116650.59909999999</v>
      </c>
      <c r="J44" s="188">
        <f>$I73*(J78/I78)*(($I44/$I73)+ IF($B$2 = "A3", (('Quarterly Forecasts'!$O$5-'Quarterly Forecasts'!$K$5)/400),  (('Quarterly Forecasts'!$O$26-'Quarterly Forecasts'!$K$26)/400)))</f>
        <v>106915.25923964549</v>
      </c>
      <c r="K44" s="188">
        <f>$I73*(K78/J78)*(($I44/$I73)+ IF($B$2 = "A3", (('Quarterly Forecasts'!$O$5-'Quarterly Forecasts'!$K$5)/400),  (('Quarterly Forecasts'!$O$26-'Quarterly Forecasts'!$K$26)/400)))</f>
        <v>107377.6635</v>
      </c>
      <c r="L44" s="188">
        <f>$I73*(L78/K78)*(($I44/$I73)+ IF($B$2 = "A3", (('Quarterly Forecasts'!$O$5-'Quarterly Forecasts'!$K$5)/400),  (('Quarterly Forecasts'!$O$26-'Quarterly Forecasts'!$K$26)/400)))</f>
        <v>107377.6635</v>
      </c>
      <c r="M44" s="188">
        <f>$I73*(M78/L78)*(($I44/$I73)+ IF($B$2 = "A3", (('Quarterly Forecasts'!$O$5-'Quarterly Forecasts'!$K$5)/400),  (('Quarterly Forecasts'!$O$26-'Quarterly Forecasts'!$K$26)/400)))</f>
        <v>107377.6635</v>
      </c>
    </row>
    <row r="45" spans="1:13" x14ac:dyDescent="0.25">
      <c r="A45" s="2" t="str">
        <f>B9&amp;B45</f>
        <v>ApacheOther, net</v>
      </c>
      <c r="B45" s="70" t="s">
        <v>508</v>
      </c>
      <c r="C45" s="82" t="s">
        <v>509</v>
      </c>
      <c r="D45" s="108"/>
      <c r="E45" s="83">
        <f>(462-430)*1000/4</f>
        <v>8000</v>
      </c>
      <c r="F45" s="50">
        <f>E45</f>
        <v>8000</v>
      </c>
      <c r="G45" s="50">
        <f t="shared" ref="G45:M45" si="19">F45</f>
        <v>8000</v>
      </c>
      <c r="H45" s="50">
        <f t="shared" si="19"/>
        <v>8000</v>
      </c>
      <c r="I45" s="50">
        <f t="shared" si="19"/>
        <v>8000</v>
      </c>
      <c r="J45" s="50">
        <f t="shared" si="19"/>
        <v>8000</v>
      </c>
      <c r="K45" s="50">
        <f t="shared" si="19"/>
        <v>8000</v>
      </c>
      <c r="L45" s="50">
        <f t="shared" si="19"/>
        <v>8000</v>
      </c>
      <c r="M45" s="50">
        <f t="shared" si="19"/>
        <v>8000</v>
      </c>
    </row>
    <row r="46" spans="1:13" x14ac:dyDescent="0.25">
      <c r="A46" s="2" t="str">
        <f>B9&amp;B46</f>
        <v>ApacheTotal Other (Income) Expense</v>
      </c>
      <c r="B46" s="84" t="s">
        <v>518</v>
      </c>
      <c r="C46" s="84"/>
      <c r="D46" s="110"/>
      <c r="E46" s="63">
        <f>SUM(E43:E45)</f>
        <v>115500</v>
      </c>
      <c r="F46" s="62">
        <f t="shared" ref="F46:M46" si="20">SUM(F43:F45)</f>
        <v>123873.78089375467</v>
      </c>
      <c r="G46" s="62">
        <f t="shared" si="20"/>
        <v>124650.59909999999</v>
      </c>
      <c r="H46" s="62">
        <f t="shared" si="20"/>
        <v>124650.59909999999</v>
      </c>
      <c r="I46" s="62">
        <f t="shared" si="20"/>
        <v>124650.59909999999</v>
      </c>
      <c r="J46" s="62">
        <f t="shared" si="20"/>
        <v>114915.25923964549</v>
      </c>
      <c r="K46" s="62">
        <f t="shared" si="20"/>
        <v>115377.6635</v>
      </c>
      <c r="L46" s="62">
        <f t="shared" si="20"/>
        <v>115377.6635</v>
      </c>
      <c r="M46" s="62">
        <f t="shared" si="20"/>
        <v>115377.6635</v>
      </c>
    </row>
    <row r="47" spans="1:13" x14ac:dyDescent="0.25">
      <c r="A47" s="2" t="str">
        <f>B9&amp;B47</f>
        <v>ApacheIncome (loss) from continuing operations before income taxes</v>
      </c>
      <c r="B47" s="72" t="s">
        <v>476</v>
      </c>
      <c r="C47" s="72"/>
      <c r="D47" s="112"/>
      <c r="E47" s="63">
        <f>(E29-E41-E46)</f>
        <v>-752000</v>
      </c>
      <c r="F47" s="62">
        <f>F29-F41-F46</f>
        <v>-1015929.4567756779</v>
      </c>
      <c r="G47" s="62">
        <f>G29-G41-G46</f>
        <v>-1605552.3511208983</v>
      </c>
      <c r="H47" s="62">
        <f t="shared" ref="H47:M47" si="21">H29-H41-H46</f>
        <v>-1563160.7402753767</v>
      </c>
      <c r="I47" s="62">
        <f t="shared" si="21"/>
        <v>-1520769.1294298552</v>
      </c>
      <c r="J47" s="62">
        <f t="shared" si="21"/>
        <v>-1420490.1585675569</v>
      </c>
      <c r="K47" s="62">
        <f t="shared" si="21"/>
        <v>-1383151.2281216385</v>
      </c>
      <c r="L47" s="62">
        <f t="shared" si="21"/>
        <v>-1345349.8934153656</v>
      </c>
      <c r="M47" s="62">
        <f t="shared" si="21"/>
        <v>-1345349.8934153656</v>
      </c>
    </row>
    <row r="48" spans="1:13" x14ac:dyDescent="0.25">
      <c r="A48" s="2" t="str">
        <f>B9&amp;B48</f>
        <v>ApacheIncome tax (benefit) expense</v>
      </c>
      <c r="B48" s="73" t="s">
        <v>477</v>
      </c>
      <c r="C48" s="73" t="s">
        <v>525</v>
      </c>
      <c r="D48" s="109">
        <f>-ABS(E48/E47)</f>
        <v>-0.22406914893617022</v>
      </c>
      <c r="E48" s="83">
        <f>(660+14)*1000/4</f>
        <v>168500</v>
      </c>
      <c r="F48" s="50">
        <f>$D48*F47</f>
        <v>227638.44875891187</v>
      </c>
      <c r="G48" s="50">
        <f t="shared" ref="G48:M48" si="22">$D48*G47</f>
        <v>359754.74888812681</v>
      </c>
      <c r="H48" s="50">
        <f t="shared" si="22"/>
        <v>350256.09672393749</v>
      </c>
      <c r="I48" s="50">
        <f t="shared" si="22"/>
        <v>340757.44455974817</v>
      </c>
      <c r="J48" s="50">
        <f t="shared" si="22"/>
        <v>318288.02090243797</v>
      </c>
      <c r="K48" s="50">
        <f t="shared" si="22"/>
        <v>309921.51853523415</v>
      </c>
      <c r="L48" s="50">
        <f t="shared" si="22"/>
        <v>301451.40563894826</v>
      </c>
      <c r="M48" s="50">
        <f t="shared" si="22"/>
        <v>301451.40563894826</v>
      </c>
    </row>
    <row r="49" spans="1:13" ht="11" thickBot="1" x14ac:dyDescent="0.3">
      <c r="A49" s="2" t="str">
        <f>B9&amp;B49</f>
        <v>ApacheNet (loss) Income</v>
      </c>
      <c r="B49" s="74" t="s">
        <v>478</v>
      </c>
      <c r="C49" s="74"/>
      <c r="D49" s="116"/>
      <c r="E49" s="86">
        <f>(E47-E48)</f>
        <v>-920500</v>
      </c>
      <c r="F49" s="34">
        <f>F47-F48</f>
        <v>-1243567.9055345897</v>
      </c>
      <c r="G49" s="34">
        <f t="shared" ref="G49:M49" si="23">G47-G48</f>
        <v>-1965307.1000090251</v>
      </c>
      <c r="H49" s="34">
        <f t="shared" si="23"/>
        <v>-1913416.8369993141</v>
      </c>
      <c r="I49" s="34">
        <f t="shared" si="23"/>
        <v>-1861526.5739896032</v>
      </c>
      <c r="J49" s="34">
        <f t="shared" si="23"/>
        <v>-1738778.1794699947</v>
      </c>
      <c r="K49" s="34">
        <f t="shared" si="23"/>
        <v>-1693072.7466568728</v>
      </c>
      <c r="L49" s="34">
        <f t="shared" si="23"/>
        <v>-1646801.2990543139</v>
      </c>
      <c r="M49" s="34">
        <f t="shared" si="23"/>
        <v>-1646801.2990543139</v>
      </c>
    </row>
    <row r="50" spans="1:13" ht="11" thickTop="1" x14ac:dyDescent="0.25"/>
    <row r="51" spans="1:13" x14ac:dyDescent="0.25">
      <c r="A51" s="2" t="str">
        <f>B9&amp;B51</f>
        <v>ApacheCurrent Assets</v>
      </c>
      <c r="B51" s="64" t="s">
        <v>479</v>
      </c>
      <c r="C51" s="64"/>
      <c r="D51" s="111"/>
      <c r="E51" s="83"/>
      <c r="F51" s="50"/>
      <c r="G51" s="50"/>
      <c r="H51" s="50"/>
      <c r="I51" s="50"/>
      <c r="J51" s="50"/>
      <c r="K51" s="50"/>
      <c r="L51" s="50"/>
      <c r="M51" s="50"/>
    </row>
    <row r="52" spans="1:13" x14ac:dyDescent="0.25">
      <c r="A52" s="2" t="str">
        <f>B9&amp;B52</f>
        <v>ApacheCash and cash equivalents</v>
      </c>
      <c r="B52" s="70" t="s">
        <v>480</v>
      </c>
      <c r="C52" s="82" t="s">
        <v>538</v>
      </c>
      <c r="D52" s="140">
        <v>2406</v>
      </c>
      <c r="E52" s="83">
        <v>247000</v>
      </c>
      <c r="F52" s="50">
        <f>F49+E52</f>
        <v>-996567.90553458966</v>
      </c>
      <c r="G52" s="50">
        <f t="shared" ref="G52:M52" si="24">G49+F52</f>
        <v>-2961875.0055436147</v>
      </c>
      <c r="H52" s="50">
        <f t="shared" si="24"/>
        <v>-4875291.8425429286</v>
      </c>
      <c r="I52" s="50">
        <f t="shared" si="24"/>
        <v>-6736818.4165325314</v>
      </c>
      <c r="J52" s="50">
        <f t="shared" si="24"/>
        <v>-8475596.5960025266</v>
      </c>
      <c r="K52" s="50">
        <f>K49+J52</f>
        <v>-10168669.342659399</v>
      </c>
      <c r="L52" s="50">
        <f t="shared" si="24"/>
        <v>-11815470.641713712</v>
      </c>
      <c r="M52" s="50">
        <f t="shared" si="24"/>
        <v>-13462271.940768026</v>
      </c>
    </row>
    <row r="53" spans="1:13" x14ac:dyDescent="0.25">
      <c r="A53" s="2" t="str">
        <f>B9&amp;B53</f>
        <v>ApacheAccounts receivable, net of allowance</v>
      </c>
      <c r="B53" s="70" t="s">
        <v>481</v>
      </c>
      <c r="C53" s="82"/>
      <c r="D53" s="108"/>
      <c r="E53" s="83"/>
      <c r="F53" s="50"/>
      <c r="G53" s="50"/>
      <c r="H53" s="50"/>
      <c r="I53" s="50"/>
      <c r="J53" s="50"/>
      <c r="K53" s="50"/>
      <c r="L53" s="50"/>
      <c r="M53" s="50"/>
    </row>
    <row r="54" spans="1:13" x14ac:dyDescent="0.25">
      <c r="A54" s="2" t="str">
        <f>B9&amp;B54</f>
        <v>ApacheOil and gas sales</v>
      </c>
      <c r="B54" s="75" t="s">
        <v>482</v>
      </c>
      <c r="C54" s="82" t="s">
        <v>539</v>
      </c>
      <c r="D54" s="133">
        <f>E54/$E$29</f>
        <v>0.66261113710809549</v>
      </c>
      <c r="E54" s="83">
        <v>1062000</v>
      </c>
      <c r="F54" s="50">
        <f>$D54*F$29</f>
        <v>759429.9127040446</v>
      </c>
      <c r="G54" s="50">
        <f t="shared" ref="G54:M58" si="25">$D54*G$29</f>
        <v>350053.33590280759</v>
      </c>
      <c r="H54" s="50">
        <f t="shared" si="25"/>
        <v>379388.53006775927</v>
      </c>
      <c r="I54" s="50">
        <f t="shared" si="25"/>
        <v>408723.72423271101</v>
      </c>
      <c r="J54" s="50">
        <f t="shared" si="25"/>
        <v>391999.97620352311</v>
      </c>
      <c r="K54" s="50">
        <f t="shared" si="25"/>
        <v>418178.84434074693</v>
      </c>
      <c r="L54" s="50">
        <f t="shared" si="25"/>
        <v>444357.71247797075</v>
      </c>
      <c r="M54" s="50">
        <f t="shared" si="25"/>
        <v>444357.71247797075</v>
      </c>
    </row>
    <row r="55" spans="1:13" x14ac:dyDescent="0.25">
      <c r="A55" s="2" t="str">
        <f>B9&amp;B55</f>
        <v>ApacheOther receivable</v>
      </c>
      <c r="B55" s="75" t="s">
        <v>569</v>
      </c>
      <c r="C55" s="82" t="s">
        <v>539</v>
      </c>
      <c r="D55" s="133">
        <f t="shared" ref="D55:D58" si="26">E55/$E$29</f>
        <v>0</v>
      </c>
      <c r="E55" s="83">
        <v>0</v>
      </c>
      <c r="F55" s="50">
        <f t="shared" ref="F55:F58" si="27">$D55*F$29</f>
        <v>0</v>
      </c>
      <c r="G55" s="50">
        <f t="shared" si="25"/>
        <v>0</v>
      </c>
      <c r="H55" s="50">
        <f t="shared" si="25"/>
        <v>0</v>
      </c>
      <c r="I55" s="50">
        <f t="shared" si="25"/>
        <v>0</v>
      </c>
      <c r="J55" s="50">
        <f t="shared" si="25"/>
        <v>0</v>
      </c>
      <c r="K55" s="50">
        <f t="shared" si="25"/>
        <v>0</v>
      </c>
      <c r="L55" s="50">
        <f t="shared" si="25"/>
        <v>0</v>
      </c>
      <c r="M55" s="50">
        <f t="shared" si="25"/>
        <v>0</v>
      </c>
    </row>
    <row r="56" spans="1:13" x14ac:dyDescent="0.25">
      <c r="A56" s="2" t="str">
        <f>B9&amp;B56</f>
        <v>ApacheInventory</v>
      </c>
      <c r="B56" s="70" t="s">
        <v>484</v>
      </c>
      <c r="C56" s="82" t="s">
        <v>539</v>
      </c>
      <c r="D56" s="133">
        <f t="shared" si="26"/>
        <v>0</v>
      </c>
      <c r="E56" s="83">
        <v>0</v>
      </c>
      <c r="F56" s="50">
        <f t="shared" si="27"/>
        <v>0</v>
      </c>
      <c r="G56" s="50">
        <f t="shared" si="25"/>
        <v>0</v>
      </c>
      <c r="H56" s="50">
        <f t="shared" si="25"/>
        <v>0</v>
      </c>
      <c r="I56" s="50">
        <f t="shared" si="25"/>
        <v>0</v>
      </c>
      <c r="J56" s="50">
        <f t="shared" si="25"/>
        <v>0</v>
      </c>
      <c r="K56" s="50">
        <f t="shared" si="25"/>
        <v>0</v>
      </c>
      <c r="L56" s="50">
        <f t="shared" si="25"/>
        <v>0</v>
      </c>
      <c r="M56" s="50">
        <f t="shared" si="25"/>
        <v>0</v>
      </c>
    </row>
    <row r="57" spans="1:13" x14ac:dyDescent="0.25">
      <c r="A57" s="2" t="str">
        <f>B9&amp;B57</f>
        <v>ApacheDerivative instruments current assets</v>
      </c>
      <c r="B57" s="70" t="s">
        <v>813</v>
      </c>
      <c r="C57" s="107" t="s">
        <v>507</v>
      </c>
      <c r="D57" s="133">
        <f t="shared" si="26"/>
        <v>0</v>
      </c>
      <c r="E57" s="83">
        <v>0</v>
      </c>
      <c r="F57" s="138"/>
      <c r="G57" s="138"/>
      <c r="H57" s="138"/>
      <c r="I57" s="138"/>
      <c r="J57" s="138"/>
      <c r="K57" s="138"/>
      <c r="L57" s="138"/>
      <c r="M57" s="138"/>
    </row>
    <row r="58" spans="1:13" x14ac:dyDescent="0.25">
      <c r="A58" s="2" t="str">
        <f>B9&amp;B58</f>
        <v>ApachePrepaid expenses</v>
      </c>
      <c r="B58" s="70" t="s">
        <v>486</v>
      </c>
      <c r="C58" s="82" t="s">
        <v>509</v>
      </c>
      <c r="D58" s="133">
        <f t="shared" si="26"/>
        <v>0</v>
      </c>
      <c r="E58" s="83">
        <v>0</v>
      </c>
      <c r="F58" s="50">
        <f t="shared" si="27"/>
        <v>0</v>
      </c>
      <c r="G58" s="50">
        <f t="shared" si="25"/>
        <v>0</v>
      </c>
      <c r="H58" s="50">
        <f t="shared" si="25"/>
        <v>0</v>
      </c>
      <c r="I58" s="50">
        <f t="shared" si="25"/>
        <v>0</v>
      </c>
      <c r="J58" s="50">
        <f t="shared" si="25"/>
        <v>0</v>
      </c>
      <c r="K58" s="50">
        <f t="shared" si="25"/>
        <v>0</v>
      </c>
      <c r="L58" s="50">
        <f t="shared" si="25"/>
        <v>0</v>
      </c>
      <c r="M58" s="50">
        <f t="shared" si="25"/>
        <v>0</v>
      </c>
    </row>
    <row r="59" spans="1:13" x14ac:dyDescent="0.25">
      <c r="A59" s="2" t="str">
        <f>B9&amp;B59</f>
        <v>ApacheOther current assets</v>
      </c>
      <c r="B59" s="70" t="s">
        <v>568</v>
      </c>
      <c r="C59" s="82" t="s">
        <v>509</v>
      </c>
      <c r="D59" s="108"/>
      <c r="E59" s="83">
        <v>652000</v>
      </c>
      <c r="F59" s="50">
        <f>E59</f>
        <v>652000</v>
      </c>
      <c r="G59" s="50">
        <f t="shared" ref="G59:M59" si="28">F59</f>
        <v>652000</v>
      </c>
      <c r="H59" s="50">
        <f t="shared" si="28"/>
        <v>652000</v>
      </c>
      <c r="I59" s="50">
        <f t="shared" si="28"/>
        <v>652000</v>
      </c>
      <c r="J59" s="50">
        <f t="shared" si="28"/>
        <v>652000</v>
      </c>
      <c r="K59" s="50">
        <f t="shared" si="28"/>
        <v>652000</v>
      </c>
      <c r="L59" s="50">
        <f t="shared" si="28"/>
        <v>652000</v>
      </c>
      <c r="M59" s="50">
        <f t="shared" si="28"/>
        <v>652000</v>
      </c>
    </row>
    <row r="60" spans="1:13" x14ac:dyDescent="0.25">
      <c r="A60" s="2" t="str">
        <f>B9&amp;B60</f>
        <v>ApacheTotal current assets</v>
      </c>
      <c r="B60" s="76" t="s">
        <v>487</v>
      </c>
      <c r="C60" s="87"/>
      <c r="D60" s="111"/>
      <c r="E60" s="63">
        <f>SUM(E52:E59)</f>
        <v>1961000</v>
      </c>
      <c r="F60" s="62">
        <f>SUM(F52:F59)</f>
        <v>414862.00716945494</v>
      </c>
      <c r="G60" s="62">
        <f t="shared" ref="G60:M60" si="29">SUM(G52:G59)</f>
        <v>-1959821.669640807</v>
      </c>
      <c r="H60" s="62">
        <f t="shared" si="29"/>
        <v>-3843903.3124751691</v>
      </c>
      <c r="I60" s="62">
        <f t="shared" si="29"/>
        <v>-5676094.6922998205</v>
      </c>
      <c r="J60" s="62">
        <f t="shared" si="29"/>
        <v>-7431596.619799003</v>
      </c>
      <c r="K60" s="62">
        <f t="shared" si="29"/>
        <v>-9098490.4983186517</v>
      </c>
      <c r="L60" s="62">
        <f t="shared" si="29"/>
        <v>-10719112.929235741</v>
      </c>
      <c r="M60" s="62">
        <f t="shared" si="29"/>
        <v>-12365914.228290055</v>
      </c>
    </row>
    <row r="61" spans="1:13" x14ac:dyDescent="0.25">
      <c r="A61" s="2" t="str">
        <f>B9&amp;B61</f>
        <v>ApacheProperty and equipment, net</v>
      </c>
      <c r="B61" s="72" t="s">
        <v>488</v>
      </c>
      <c r="C61" s="73" t="s">
        <v>509</v>
      </c>
      <c r="D61" s="112"/>
      <c r="E61" s="83">
        <f>(14158)*1000</f>
        <v>14158000</v>
      </c>
      <c r="F61" s="50">
        <f>E61</f>
        <v>14158000</v>
      </c>
      <c r="G61" s="50">
        <f t="shared" ref="G61:M61" si="30">F61</f>
        <v>14158000</v>
      </c>
      <c r="H61" s="50">
        <f t="shared" si="30"/>
        <v>14158000</v>
      </c>
      <c r="I61" s="50">
        <f t="shared" si="30"/>
        <v>14158000</v>
      </c>
      <c r="J61" s="50">
        <f t="shared" si="30"/>
        <v>14158000</v>
      </c>
      <c r="K61" s="50">
        <f t="shared" si="30"/>
        <v>14158000</v>
      </c>
      <c r="L61" s="50">
        <f t="shared" si="30"/>
        <v>14158000</v>
      </c>
      <c r="M61" s="50">
        <f t="shared" si="30"/>
        <v>14158000</v>
      </c>
    </row>
    <row r="62" spans="1:13" x14ac:dyDescent="0.25">
      <c r="A62" s="2" t="str">
        <f>B9&amp;B62</f>
        <v>ApacheDerivative instruments total assets</v>
      </c>
      <c r="B62" s="73" t="s">
        <v>814</v>
      </c>
      <c r="C62" s="95" t="s">
        <v>507</v>
      </c>
      <c r="D62" s="108"/>
      <c r="E62" s="83">
        <v>0</v>
      </c>
      <c r="F62" s="138"/>
      <c r="G62" s="138"/>
      <c r="H62" s="138"/>
      <c r="I62" s="138"/>
      <c r="J62" s="138"/>
      <c r="K62" s="138"/>
      <c r="L62" s="138"/>
      <c r="M62" s="138"/>
    </row>
    <row r="63" spans="1:13" x14ac:dyDescent="0.25">
      <c r="A63" s="2" t="str">
        <f>B9&amp;B63</f>
        <v>ApacheDeferred income taxes assets</v>
      </c>
      <c r="B63" s="73" t="s">
        <v>815</v>
      </c>
      <c r="C63" s="73" t="s">
        <v>509</v>
      </c>
      <c r="D63" s="108"/>
      <c r="E63" s="83">
        <f>730*1000</f>
        <v>730000</v>
      </c>
      <c r="F63" s="50">
        <f>E63</f>
        <v>730000</v>
      </c>
      <c r="G63" s="50">
        <f t="shared" ref="G63:M65" si="31">F63</f>
        <v>730000</v>
      </c>
      <c r="H63" s="50">
        <f t="shared" si="31"/>
        <v>730000</v>
      </c>
      <c r="I63" s="50">
        <f t="shared" si="31"/>
        <v>730000</v>
      </c>
      <c r="J63" s="50">
        <f t="shared" si="31"/>
        <v>730000</v>
      </c>
      <c r="K63" s="50">
        <f t="shared" si="31"/>
        <v>730000</v>
      </c>
      <c r="L63" s="50">
        <f t="shared" si="31"/>
        <v>730000</v>
      </c>
      <c r="M63" s="50">
        <f t="shared" si="31"/>
        <v>730000</v>
      </c>
    </row>
    <row r="64" spans="1:13" x14ac:dyDescent="0.25">
      <c r="A64" s="2" t="str">
        <f>B9&amp;B64</f>
        <v>ApacheGoodwill</v>
      </c>
      <c r="B64" s="73" t="s">
        <v>490</v>
      </c>
      <c r="C64" s="73" t="s">
        <v>509</v>
      </c>
      <c r="D64" s="108"/>
      <c r="E64" s="83">
        <v>0</v>
      </c>
      <c r="F64" s="50">
        <f>E64</f>
        <v>0</v>
      </c>
      <c r="G64" s="50">
        <f t="shared" si="31"/>
        <v>0</v>
      </c>
      <c r="H64" s="50">
        <f t="shared" si="31"/>
        <v>0</v>
      </c>
      <c r="I64" s="50">
        <f t="shared" si="31"/>
        <v>0</v>
      </c>
      <c r="J64" s="50">
        <f t="shared" si="31"/>
        <v>0</v>
      </c>
      <c r="K64" s="50">
        <f t="shared" si="31"/>
        <v>0</v>
      </c>
      <c r="L64" s="50">
        <f t="shared" si="31"/>
        <v>0</v>
      </c>
      <c r="M64" s="50">
        <f t="shared" si="31"/>
        <v>0</v>
      </c>
    </row>
    <row r="65" spans="1:13" x14ac:dyDescent="0.25">
      <c r="A65" s="2" t="str">
        <f>B9&amp;B65</f>
        <v>ApacheOther assets</v>
      </c>
      <c r="B65" s="77" t="s">
        <v>491</v>
      </c>
      <c r="C65" s="77" t="s">
        <v>509</v>
      </c>
      <c r="D65" s="114"/>
      <c r="E65" s="83">
        <f>1258*1000</f>
        <v>1258000</v>
      </c>
      <c r="F65" s="50">
        <f>E65</f>
        <v>1258000</v>
      </c>
      <c r="G65" s="50">
        <f t="shared" si="31"/>
        <v>1258000</v>
      </c>
      <c r="H65" s="50">
        <f t="shared" si="31"/>
        <v>1258000</v>
      </c>
      <c r="I65" s="50">
        <f t="shared" si="31"/>
        <v>1258000</v>
      </c>
      <c r="J65" s="50">
        <f t="shared" si="31"/>
        <v>1258000</v>
      </c>
      <c r="K65" s="50">
        <f t="shared" si="31"/>
        <v>1258000</v>
      </c>
      <c r="L65" s="50">
        <f t="shared" si="31"/>
        <v>1258000</v>
      </c>
      <c r="M65" s="50">
        <f t="shared" si="31"/>
        <v>1258000</v>
      </c>
    </row>
    <row r="66" spans="1:13" x14ac:dyDescent="0.25">
      <c r="A66" s="2" t="str">
        <f>B9&amp;B66</f>
        <v>ApacheTotal assets</v>
      </c>
      <c r="B66" s="78" t="s">
        <v>492</v>
      </c>
      <c r="C66" s="88"/>
      <c r="D66" s="112"/>
      <c r="E66" s="63">
        <f t="shared" ref="E66:M66" si="32">SUM(E60:E65)</f>
        <v>18107000</v>
      </c>
      <c r="F66" s="62">
        <f t="shared" si="32"/>
        <v>16560862.007169455</v>
      </c>
      <c r="G66" s="62">
        <f t="shared" si="32"/>
        <v>14186178.330359193</v>
      </c>
      <c r="H66" s="62">
        <f t="shared" si="32"/>
        <v>12302096.687524831</v>
      </c>
      <c r="I66" s="62">
        <f t="shared" si="32"/>
        <v>10469905.30770018</v>
      </c>
      <c r="J66" s="62">
        <f t="shared" si="32"/>
        <v>8714403.380200997</v>
      </c>
      <c r="K66" s="62">
        <f t="shared" si="32"/>
        <v>7047509.5016813483</v>
      </c>
      <c r="L66" s="62">
        <f t="shared" si="32"/>
        <v>5426887.0707642585</v>
      </c>
      <c r="M66" s="62">
        <f t="shared" si="32"/>
        <v>3780085.7717099451</v>
      </c>
    </row>
    <row r="67" spans="1:13" x14ac:dyDescent="0.25">
      <c r="A67" s="2" t="str">
        <f>B9&amp;B67</f>
        <v>ApacheCurrent liabilities</v>
      </c>
      <c r="B67" s="72" t="s">
        <v>498</v>
      </c>
      <c r="C67" s="72"/>
      <c r="D67" s="112"/>
      <c r="E67" s="83"/>
      <c r="F67" s="50"/>
      <c r="G67" s="50"/>
      <c r="H67" s="50"/>
      <c r="I67" s="50"/>
      <c r="J67" s="50"/>
      <c r="K67" s="50"/>
      <c r="L67" s="50"/>
      <c r="M67" s="50"/>
    </row>
    <row r="68" spans="1:13" x14ac:dyDescent="0.25">
      <c r="A68" s="2" t="str">
        <f>B9&amp;B68</f>
        <v>ApacheAccounts payable</v>
      </c>
      <c r="B68" s="70" t="s">
        <v>493</v>
      </c>
      <c r="C68" s="82" t="s">
        <v>539</v>
      </c>
      <c r="D68" s="108">
        <f>E68/E24</f>
        <v>16.07555898226677</v>
      </c>
      <c r="E68" s="83">
        <f>695000</f>
        <v>695000</v>
      </c>
      <c r="F68" s="50">
        <f t="shared" ref="F68:M68" si="33">$D68*F24</f>
        <v>607848.96997042012</v>
      </c>
      <c r="G68" s="50">
        <f t="shared" si="33"/>
        <v>607848.96997042012</v>
      </c>
      <c r="H68" s="50">
        <f t="shared" si="33"/>
        <v>607848.96997042012</v>
      </c>
      <c r="I68" s="50">
        <f t="shared" si="33"/>
        <v>607848.96997042012</v>
      </c>
      <c r="J68" s="50">
        <f t="shared" si="33"/>
        <v>551867.25690512196</v>
      </c>
      <c r="K68" s="50">
        <f t="shared" si="33"/>
        <v>551867.25690512196</v>
      </c>
      <c r="L68" s="50">
        <f t="shared" si="33"/>
        <v>551867.25690512196</v>
      </c>
      <c r="M68" s="50">
        <f t="shared" si="33"/>
        <v>551867.25690512196</v>
      </c>
    </row>
    <row r="69" spans="1:13" x14ac:dyDescent="0.25">
      <c r="A69" s="2" t="str">
        <f>B9&amp;B69</f>
        <v>ApacheAccrued liabilities</v>
      </c>
      <c r="B69" s="70" t="s">
        <v>510</v>
      </c>
      <c r="C69" s="82" t="s">
        <v>507</v>
      </c>
      <c r="D69" s="108"/>
      <c r="E69" s="83">
        <f>(11)*1000</f>
        <v>11000</v>
      </c>
      <c r="F69" s="50">
        <f>E69</f>
        <v>11000</v>
      </c>
      <c r="G69" s="50">
        <f t="shared" ref="G69:M69" si="34">F69</f>
        <v>11000</v>
      </c>
      <c r="H69" s="50">
        <f t="shared" si="34"/>
        <v>11000</v>
      </c>
      <c r="I69" s="50">
        <f t="shared" si="34"/>
        <v>11000</v>
      </c>
      <c r="J69" s="50">
        <f t="shared" si="34"/>
        <v>11000</v>
      </c>
      <c r="K69" s="50">
        <f t="shared" si="34"/>
        <v>11000</v>
      </c>
      <c r="L69" s="50">
        <f t="shared" si="34"/>
        <v>11000</v>
      </c>
      <c r="M69" s="50">
        <f t="shared" si="34"/>
        <v>11000</v>
      </c>
    </row>
    <row r="70" spans="1:13" x14ac:dyDescent="0.25">
      <c r="A70" s="2" t="str">
        <f>B9&amp;B70</f>
        <v>ApacheDerivative instruments current liabilities</v>
      </c>
      <c r="B70" s="70" t="s">
        <v>812</v>
      </c>
      <c r="C70" s="107" t="s">
        <v>507</v>
      </c>
      <c r="D70" s="108"/>
      <c r="E70" s="83">
        <v>0</v>
      </c>
      <c r="F70" s="138"/>
      <c r="G70" s="138"/>
      <c r="H70" s="138"/>
      <c r="I70" s="138"/>
      <c r="J70" s="138"/>
      <c r="K70" s="138"/>
      <c r="L70" s="138"/>
      <c r="M70" s="138"/>
    </row>
    <row r="71" spans="1:13" x14ac:dyDescent="0.25">
      <c r="A71" s="2" t="str">
        <f>B9&amp;B71</f>
        <v>ApacheOther current liabilities</v>
      </c>
      <c r="B71" s="70" t="s">
        <v>494</v>
      </c>
      <c r="C71" s="82" t="s">
        <v>509</v>
      </c>
      <c r="D71" s="108"/>
      <c r="E71" s="83">
        <v>1149000</v>
      </c>
      <c r="F71" s="50">
        <f>E71</f>
        <v>1149000</v>
      </c>
      <c r="G71" s="50">
        <f t="shared" ref="G71:M71" si="35">F71</f>
        <v>1149000</v>
      </c>
      <c r="H71" s="50">
        <f t="shared" si="35"/>
        <v>1149000</v>
      </c>
      <c r="I71" s="50">
        <f t="shared" si="35"/>
        <v>1149000</v>
      </c>
      <c r="J71" s="50">
        <f t="shared" si="35"/>
        <v>1149000</v>
      </c>
      <c r="K71" s="50">
        <f t="shared" si="35"/>
        <v>1149000</v>
      </c>
      <c r="L71" s="50">
        <f t="shared" si="35"/>
        <v>1149000</v>
      </c>
      <c r="M71" s="50">
        <f t="shared" si="35"/>
        <v>1149000</v>
      </c>
    </row>
    <row r="72" spans="1:13" x14ac:dyDescent="0.25">
      <c r="A72" s="2" t="str">
        <f>B9&amp;B72</f>
        <v>ApacheTotal current liabilities</v>
      </c>
      <c r="B72" s="76" t="s">
        <v>497</v>
      </c>
      <c r="C72" s="87"/>
      <c r="D72" s="111"/>
      <c r="E72" s="63">
        <f>SUM(E68:E71)</f>
        <v>1855000</v>
      </c>
      <c r="F72" s="62">
        <f t="shared" ref="F72:M72" si="36">SUM(F68:F71)</f>
        <v>1767848.96997042</v>
      </c>
      <c r="G72" s="62">
        <f>SUM(G68:G71)</f>
        <v>1767848.96997042</v>
      </c>
      <c r="H72" s="62">
        <f t="shared" si="36"/>
        <v>1767848.96997042</v>
      </c>
      <c r="I72" s="62">
        <f t="shared" si="36"/>
        <v>1767848.96997042</v>
      </c>
      <c r="J72" s="62">
        <f t="shared" si="36"/>
        <v>1711867.256905122</v>
      </c>
      <c r="K72" s="62">
        <f t="shared" si="36"/>
        <v>1711867.256905122</v>
      </c>
      <c r="L72" s="62">
        <f t="shared" si="36"/>
        <v>1711867.256905122</v>
      </c>
      <c r="M72" s="62">
        <f t="shared" si="36"/>
        <v>1711867.256905122</v>
      </c>
    </row>
    <row r="73" spans="1:13" x14ac:dyDescent="0.25">
      <c r="A73" s="2" t="str">
        <f>B9&amp;B73</f>
        <v>ApacheLong-term debt, net</v>
      </c>
      <c r="B73" s="73" t="s">
        <v>511</v>
      </c>
      <c r="C73" s="73" t="s">
        <v>509</v>
      </c>
      <c r="D73" s="108"/>
      <c r="E73" s="83">
        <v>8555000</v>
      </c>
      <c r="F73" s="50">
        <f t="shared" ref="F73:M74" si="37">E73</f>
        <v>8555000</v>
      </c>
      <c r="G73" s="50">
        <f t="shared" si="37"/>
        <v>8555000</v>
      </c>
      <c r="H73" s="50">
        <f t="shared" si="37"/>
        <v>8555000</v>
      </c>
      <c r="I73" s="50">
        <f t="shared" si="37"/>
        <v>8555000</v>
      </c>
      <c r="J73" s="50">
        <f t="shared" si="37"/>
        <v>8555000</v>
      </c>
      <c r="K73" s="50">
        <f t="shared" si="37"/>
        <v>8555000</v>
      </c>
      <c r="L73" s="50">
        <f t="shared" si="37"/>
        <v>8555000</v>
      </c>
      <c r="M73" s="50">
        <f t="shared" si="37"/>
        <v>8555000</v>
      </c>
    </row>
    <row r="74" spans="1:13" x14ac:dyDescent="0.25">
      <c r="A74" s="2" t="str">
        <f>B9&amp;B74</f>
        <v>ApacheAsset retirement obligations</v>
      </c>
      <c r="B74" s="73" t="s">
        <v>495</v>
      </c>
      <c r="C74" s="73" t="s">
        <v>509</v>
      </c>
      <c r="D74" s="108"/>
      <c r="E74" s="83">
        <v>1811000</v>
      </c>
      <c r="F74" s="50">
        <f>E74</f>
        <v>1811000</v>
      </c>
      <c r="G74" s="50">
        <f t="shared" si="37"/>
        <v>1811000</v>
      </c>
      <c r="H74" s="50">
        <f t="shared" si="37"/>
        <v>1811000</v>
      </c>
      <c r="I74" s="50">
        <f t="shared" si="37"/>
        <v>1811000</v>
      </c>
      <c r="J74" s="50">
        <f t="shared" si="37"/>
        <v>1811000</v>
      </c>
      <c r="K74" s="50">
        <f t="shared" si="37"/>
        <v>1811000</v>
      </c>
      <c r="L74" s="50">
        <f t="shared" si="37"/>
        <v>1811000</v>
      </c>
      <c r="M74" s="50">
        <f t="shared" si="37"/>
        <v>1811000</v>
      </c>
    </row>
    <row r="75" spans="1:13" x14ac:dyDescent="0.25">
      <c r="A75" s="2" t="str">
        <f>B9&amp;B75</f>
        <v>ApacheDerivative instruments liabilities</v>
      </c>
      <c r="B75" s="73" t="s">
        <v>811</v>
      </c>
      <c r="C75" s="95" t="s">
        <v>507</v>
      </c>
      <c r="D75" s="108"/>
      <c r="E75" s="83">
        <v>0</v>
      </c>
      <c r="F75" s="138"/>
      <c r="G75" s="138"/>
      <c r="H75" s="138"/>
      <c r="I75" s="138"/>
      <c r="J75" s="138"/>
      <c r="K75" s="138"/>
      <c r="L75" s="138"/>
      <c r="M75" s="138"/>
    </row>
    <row r="76" spans="1:13" x14ac:dyDescent="0.25">
      <c r="A76" s="2" t="str">
        <f>B9&amp;B76</f>
        <v>ApacheDeferred income taxes liabilities</v>
      </c>
      <c r="B76" s="73" t="s">
        <v>810</v>
      </c>
      <c r="C76" s="73" t="s">
        <v>509</v>
      </c>
      <c r="D76" s="108"/>
      <c r="E76" s="83">
        <v>346000</v>
      </c>
      <c r="F76" s="50">
        <f>E76</f>
        <v>346000</v>
      </c>
      <c r="G76" s="50">
        <f t="shared" ref="G76:M77" si="38">F76</f>
        <v>346000</v>
      </c>
      <c r="H76" s="50">
        <f t="shared" si="38"/>
        <v>346000</v>
      </c>
      <c r="I76" s="50">
        <f t="shared" si="38"/>
        <v>346000</v>
      </c>
      <c r="J76" s="50">
        <f t="shared" si="38"/>
        <v>346000</v>
      </c>
      <c r="K76" s="50">
        <f t="shared" si="38"/>
        <v>346000</v>
      </c>
      <c r="L76" s="50">
        <f t="shared" si="38"/>
        <v>346000</v>
      </c>
      <c r="M76" s="50">
        <f t="shared" si="38"/>
        <v>346000</v>
      </c>
    </row>
    <row r="77" spans="1:13" x14ac:dyDescent="0.25">
      <c r="A77" s="2" t="str">
        <f>B9&amp;B77</f>
        <v>ApacheOther long-term liabilities</v>
      </c>
      <c r="B77" s="73" t="s">
        <v>496</v>
      </c>
      <c r="C77" s="73" t="s">
        <v>509</v>
      </c>
      <c r="D77" s="108"/>
      <c r="E77" s="83">
        <v>520000</v>
      </c>
      <c r="F77" s="50">
        <f>E77</f>
        <v>520000</v>
      </c>
      <c r="G77" s="50">
        <f t="shared" si="38"/>
        <v>520000</v>
      </c>
      <c r="H77" s="50">
        <f t="shared" si="38"/>
        <v>520000</v>
      </c>
      <c r="I77" s="50">
        <f t="shared" si="38"/>
        <v>520000</v>
      </c>
      <c r="J77" s="50">
        <f t="shared" si="38"/>
        <v>520000</v>
      </c>
      <c r="K77" s="50">
        <f t="shared" si="38"/>
        <v>520000</v>
      </c>
      <c r="L77" s="50">
        <f t="shared" si="38"/>
        <v>520000</v>
      </c>
      <c r="M77" s="50">
        <f t="shared" si="38"/>
        <v>520000</v>
      </c>
    </row>
    <row r="78" spans="1:13" ht="11" thickBot="1" x14ac:dyDescent="0.3">
      <c r="A78" s="2" t="str">
        <f>B9&amp;B78</f>
        <v>ApacheTotal liabilities</v>
      </c>
      <c r="B78" s="79" t="s">
        <v>499</v>
      </c>
      <c r="C78" s="79"/>
      <c r="D78" s="123"/>
      <c r="E78" s="86">
        <f>SUM(E72:E77)</f>
        <v>13087000</v>
      </c>
      <c r="F78" s="34">
        <f t="shared" ref="F78:M78" si="39">SUM(F72:F77)</f>
        <v>12999848.96997042</v>
      </c>
      <c r="G78" s="34">
        <f t="shared" si="39"/>
        <v>12999848.96997042</v>
      </c>
      <c r="H78" s="34">
        <f t="shared" si="39"/>
        <v>12999848.96997042</v>
      </c>
      <c r="I78" s="34">
        <f t="shared" si="39"/>
        <v>12999848.96997042</v>
      </c>
      <c r="J78" s="34">
        <f t="shared" si="39"/>
        <v>12943867.256905122</v>
      </c>
      <c r="K78" s="34">
        <f t="shared" si="39"/>
        <v>12943867.256905122</v>
      </c>
      <c r="L78" s="34">
        <f t="shared" si="39"/>
        <v>12943867.256905122</v>
      </c>
      <c r="M78" s="34">
        <f t="shared" si="39"/>
        <v>12943867.256905122</v>
      </c>
    </row>
    <row r="79" spans="1:13" ht="11" thickTop="1" x14ac:dyDescent="0.25"/>
    <row r="80" spans="1:13" x14ac:dyDescent="0.25">
      <c r="A80" s="2" t="str">
        <f>B9&amp;B80</f>
        <v>ApacheNet (loss) Income cashflow</v>
      </c>
      <c r="B80" s="80" t="s">
        <v>572</v>
      </c>
      <c r="C80" s="135" t="s">
        <v>540</v>
      </c>
      <c r="D80" s="117"/>
      <c r="E80" s="83">
        <f t="shared" ref="E80:M80" si="40">E49</f>
        <v>-920500</v>
      </c>
      <c r="F80" s="50">
        <f t="shared" si="40"/>
        <v>-1243567.9055345897</v>
      </c>
      <c r="G80" s="50">
        <f t="shared" si="40"/>
        <v>-1965307.1000090251</v>
      </c>
      <c r="H80" s="50">
        <f t="shared" si="40"/>
        <v>-1913416.8369993141</v>
      </c>
      <c r="I80" s="50">
        <f t="shared" si="40"/>
        <v>-1861526.5739896032</v>
      </c>
      <c r="J80" s="50">
        <f t="shared" si="40"/>
        <v>-1738778.1794699947</v>
      </c>
      <c r="K80" s="50">
        <f t="shared" si="40"/>
        <v>-1693072.7466568728</v>
      </c>
      <c r="L80" s="50">
        <f t="shared" si="40"/>
        <v>-1646801.2990543139</v>
      </c>
      <c r="M80" s="50">
        <f t="shared" si="40"/>
        <v>-1646801.2990543139</v>
      </c>
    </row>
    <row r="81" spans="1:13" x14ac:dyDescent="0.25">
      <c r="A81" s="2" t="str">
        <f>B9&amp;B81</f>
        <v>ApacheChange in Net working capital</v>
      </c>
      <c r="B81" s="68" t="s">
        <v>500</v>
      </c>
      <c r="C81" s="136" t="s">
        <v>565</v>
      </c>
      <c r="D81" s="118"/>
      <c r="E81" s="145">
        <f>(133-41-21+51-5-84-36)*1000/4</f>
        <v>-750</v>
      </c>
      <c r="F81" s="145">
        <f>(F60-F72)-(E60-E72)</f>
        <v>-1458986.9628009652</v>
      </c>
      <c r="G81" s="50">
        <f t="shared" ref="G81:M81" si="41">(G60-G72)-(F60-F72)</f>
        <v>-2374683.6768102618</v>
      </c>
      <c r="H81" s="50">
        <f t="shared" si="41"/>
        <v>-1884081.6428343621</v>
      </c>
      <c r="I81" s="50">
        <f t="shared" si="41"/>
        <v>-1832191.3798246514</v>
      </c>
      <c r="J81" s="50">
        <f t="shared" si="41"/>
        <v>-1699520.2144338842</v>
      </c>
      <c r="K81" s="50">
        <f t="shared" si="41"/>
        <v>-1666893.8785196487</v>
      </c>
      <c r="L81" s="50">
        <f t="shared" si="41"/>
        <v>-1620622.4309170898</v>
      </c>
      <c r="M81" s="50">
        <f t="shared" si="41"/>
        <v>-1646801.2990543135</v>
      </c>
    </row>
    <row r="82" spans="1:13" x14ac:dyDescent="0.25">
      <c r="A82" s="2" t="str">
        <f>B9&amp;B82</f>
        <v>ApacheDD&amp;A cashflow</v>
      </c>
      <c r="B82" s="68" t="s">
        <v>816</v>
      </c>
      <c r="C82" s="136" t="s">
        <v>566</v>
      </c>
      <c r="D82" s="118"/>
      <c r="E82" s="83">
        <f t="shared" ref="E82" si="42">E32</f>
        <v>670000</v>
      </c>
      <c r="F82" s="50">
        <f>$E$82*F$32/$E$32</f>
        <v>585983.89910817472</v>
      </c>
      <c r="G82" s="50">
        <f t="shared" ref="G82:M82" si="43">$E$82*G$32/$E$32</f>
        <v>585983.89910817472</v>
      </c>
      <c r="H82" s="50">
        <f t="shared" si="43"/>
        <v>585983.89910817472</v>
      </c>
      <c r="I82" s="50">
        <f t="shared" si="43"/>
        <v>585983.89910817472</v>
      </c>
      <c r="J82" s="50">
        <f t="shared" si="43"/>
        <v>532015.91672867863</v>
      </c>
      <c r="K82" s="50">
        <f t="shared" si="43"/>
        <v>532015.91672867863</v>
      </c>
      <c r="L82" s="50">
        <f t="shared" si="43"/>
        <v>532015.91672867863</v>
      </c>
      <c r="M82" s="50">
        <f t="shared" si="43"/>
        <v>532015.91672867863</v>
      </c>
    </row>
    <row r="83" spans="1:13" x14ac:dyDescent="0.25">
      <c r="A83" s="2" t="str">
        <f>B9&amp;B83</f>
        <v>ApacheImpairment cashflow</v>
      </c>
      <c r="B83" s="68" t="s">
        <v>571</v>
      </c>
      <c r="C83" s="136" t="s">
        <v>566</v>
      </c>
      <c r="D83" s="118"/>
      <c r="E83" s="83">
        <f t="shared" ref="E83" si="44">E31</f>
        <v>737250</v>
      </c>
      <c r="F83" s="50">
        <f>$E$83*F$31/$E$31</f>
        <v>737250</v>
      </c>
      <c r="G83" s="50">
        <f t="shared" ref="G83:M83" si="45">$E$83*G$31/$E$31</f>
        <v>737250</v>
      </c>
      <c r="H83" s="50">
        <f t="shared" si="45"/>
        <v>737250</v>
      </c>
      <c r="I83" s="50">
        <f t="shared" si="45"/>
        <v>737250</v>
      </c>
      <c r="J83" s="50">
        <f t="shared" si="45"/>
        <v>737250</v>
      </c>
      <c r="K83" s="50">
        <f t="shared" si="45"/>
        <v>737250</v>
      </c>
      <c r="L83" s="50">
        <f t="shared" si="45"/>
        <v>737250</v>
      </c>
      <c r="M83" s="50">
        <f t="shared" si="45"/>
        <v>737250</v>
      </c>
    </row>
    <row r="84" spans="1:13" x14ac:dyDescent="0.25">
      <c r="A84" s="2" t="str">
        <f>B9&amp;B84</f>
        <v>ApacheOther non-cash items</v>
      </c>
      <c r="B84" s="68" t="s">
        <v>501</v>
      </c>
      <c r="C84" s="136" t="s">
        <v>880</v>
      </c>
      <c r="D84" s="149"/>
      <c r="E84" s="83">
        <f>(-43+107+14+75+94)*1000/4</f>
        <v>61750</v>
      </c>
      <c r="F84" s="50">
        <f>$E$84+F34-$E$34</f>
        <v>61750</v>
      </c>
      <c r="G84" s="50">
        <f t="shared" ref="G84:M84" si="46">$E$84+G34-$E$34</f>
        <v>61750</v>
      </c>
      <c r="H84" s="50">
        <f t="shared" si="46"/>
        <v>61750</v>
      </c>
      <c r="I84" s="50">
        <f t="shared" si="46"/>
        <v>61750</v>
      </c>
      <c r="J84" s="50">
        <f t="shared" si="46"/>
        <v>61750</v>
      </c>
      <c r="K84" s="50">
        <f t="shared" si="46"/>
        <v>61750</v>
      </c>
      <c r="L84" s="50">
        <f t="shared" si="46"/>
        <v>61750</v>
      </c>
      <c r="M84" s="50">
        <f t="shared" si="46"/>
        <v>61750</v>
      </c>
    </row>
    <row r="85" spans="1:13" x14ac:dyDescent="0.25">
      <c r="A85" s="2" t="str">
        <f>B9&amp;B85</f>
        <v>ApacheDry hole cashflow</v>
      </c>
      <c r="B85" s="68" t="s">
        <v>817</v>
      </c>
      <c r="C85" s="136" t="s">
        <v>567</v>
      </c>
      <c r="D85" s="118"/>
      <c r="E85" s="83">
        <f>676*1000/4</f>
        <v>169000</v>
      </c>
      <c r="F85" s="50">
        <f>IF($E$85&gt;0, $E$85*F39/$E$39,0)</f>
        <v>147807.87902877841</v>
      </c>
      <c r="G85" s="50">
        <f t="shared" ref="G85:M85" si="47">IF($E$85&gt;0, $E$85*G39/$E$39,0)</f>
        <v>147807.87902877841</v>
      </c>
      <c r="H85" s="50">
        <f t="shared" si="47"/>
        <v>147807.87902877841</v>
      </c>
      <c r="I85" s="50">
        <f t="shared" si="47"/>
        <v>147807.87902877841</v>
      </c>
      <c r="J85" s="50">
        <f t="shared" si="47"/>
        <v>134195.05959275624</v>
      </c>
      <c r="K85" s="50">
        <f t="shared" si="47"/>
        <v>134195.05959275624</v>
      </c>
      <c r="L85" s="50">
        <f t="shared" si="47"/>
        <v>134195.05959275624</v>
      </c>
      <c r="M85" s="50">
        <f t="shared" si="47"/>
        <v>134195.05959275624</v>
      </c>
    </row>
    <row r="86" spans="1:13" x14ac:dyDescent="0.25">
      <c r="A86" s="2" t="str">
        <f>B9&amp;B86</f>
        <v>Apachemarket to market contracts</v>
      </c>
      <c r="B86" s="68" t="s">
        <v>562</v>
      </c>
      <c r="C86" s="158" t="s">
        <v>507</v>
      </c>
      <c r="D86" s="118"/>
      <c r="E86" s="83">
        <v>0</v>
      </c>
      <c r="F86" s="50">
        <f>E86</f>
        <v>0</v>
      </c>
      <c r="G86" s="50">
        <f t="shared" ref="G86:M86" si="48">F86</f>
        <v>0</v>
      </c>
      <c r="H86" s="50">
        <f t="shared" si="48"/>
        <v>0</v>
      </c>
      <c r="I86" s="50">
        <f t="shared" si="48"/>
        <v>0</v>
      </c>
      <c r="J86" s="50">
        <f t="shared" si="48"/>
        <v>0</v>
      </c>
      <c r="K86" s="50">
        <f t="shared" si="48"/>
        <v>0</v>
      </c>
      <c r="L86" s="50">
        <f t="shared" si="48"/>
        <v>0</v>
      </c>
      <c r="M86" s="50">
        <f t="shared" si="48"/>
        <v>0</v>
      </c>
    </row>
    <row r="87" spans="1:13" x14ac:dyDescent="0.25">
      <c r="A87" s="2" t="str">
        <f>B9&amp;B87</f>
        <v>ApacheCash flow from operations</v>
      </c>
      <c r="B87" s="142" t="s">
        <v>502</v>
      </c>
      <c r="C87" s="143" t="s">
        <v>540</v>
      </c>
      <c r="D87" s="118"/>
      <c r="E87" s="63">
        <f>2867*1000/4</f>
        <v>716750</v>
      </c>
      <c r="F87" s="62">
        <f>SUM(F80:F86)</f>
        <v>-1169763.0901986016</v>
      </c>
      <c r="G87" s="62">
        <f t="shared" ref="G87:M87" si="49">SUM(G80:G86)</f>
        <v>-2807198.9986823336</v>
      </c>
      <c r="H87" s="62">
        <f>SUM(H80:H86)</f>
        <v>-2264706.7016967232</v>
      </c>
      <c r="I87" s="62">
        <f t="shared" si="49"/>
        <v>-2160926.1756773014</v>
      </c>
      <c r="J87" s="62">
        <f t="shared" si="49"/>
        <v>-1973087.4175824441</v>
      </c>
      <c r="K87" s="62">
        <f t="shared" si="49"/>
        <v>-1894755.6488550866</v>
      </c>
      <c r="L87" s="62">
        <f t="shared" si="49"/>
        <v>-1802212.7536499689</v>
      </c>
      <c r="M87" s="62">
        <f t="shared" si="49"/>
        <v>-1828391.6217871925</v>
      </c>
    </row>
    <row r="88" spans="1:13" x14ac:dyDescent="0.25">
      <c r="A88" s="2" t="str">
        <f>B9&amp;B88</f>
        <v>ApacheCapex</v>
      </c>
      <c r="B88" s="68" t="s">
        <v>277</v>
      </c>
      <c r="C88" s="73" t="s">
        <v>534</v>
      </c>
      <c r="D88" s="118"/>
      <c r="E88" s="83">
        <f>IF($B$2="A3",SUMIFS('$33Econ'!$H$8:$H$8001,'$33Econ'!$A$8:$A$8001,$B$9,'$33Econ'!$G$8:$G$8001,$B88)*1000/4,SUMIFS('$22Econ'!$H$8:$H$8001,'$22Econ'!$A$8:$A$8001,$B$9,'$22Econ'!$G$8:$G$8001,$B88)*1000/4)</f>
        <v>484695.25617749995</v>
      </c>
      <c r="F88" s="50">
        <f>IF($B$2="A3",SUMIFS('$33Econ'!$I$8:$I$8001,'$33Econ'!$A$8:$A$8001,$B$9,'$33Econ'!$G$8:$G$8001,$B88)*1000/4,SUMIFS('$22Econ'!$I$8:$I$8001,'$22Econ'!$A$8:$A$8001,$B$9,'$22Econ'!$G$8:$G$8001,$B88)*1000/4)</f>
        <v>145498.27368750004</v>
      </c>
      <c r="G88" s="50">
        <f>IF($B$2="A3",SUMIFS('$33Econ'!$I$8:$I$8001,'$33Econ'!$A$8:$A$8001,$B$9,'$33Econ'!$G$8:$G$8001,$B88)*1000/4,SUMIFS('$22Econ'!$I$8:$I$8001,'$22Econ'!$A$8:$A$8001,$B$9,'$22Econ'!$G$8:$G$8001,$B88)*1000/4)</f>
        <v>145498.27368750004</v>
      </c>
      <c r="H88" s="50">
        <f>IF($B$2="A3",SUMIFS('$33Econ'!$I$8:$I$8001,'$33Econ'!$A$8:$A$8001,$B$9,'$33Econ'!$G$8:$G$8001,$B88)*1000/4,SUMIFS('$22Econ'!$I$8:$I$8001,'$22Econ'!$A$8:$A$8001,$B$9,'$22Econ'!$G$8:$G$8001,$B88)*1000/4)</f>
        <v>145498.27368750004</v>
      </c>
      <c r="I88" s="50">
        <f>IF($B$2="A3",SUMIFS('$33Econ'!$I$8:$I$8001,'$33Econ'!$A$8:$A$8001,$B$9,'$33Econ'!$G$8:$G$8001,$B88)*1000/4,SUMIFS('$22Econ'!$I$8:$I$8001,'$22Econ'!$A$8:$A$8001,$B$9,'$22Econ'!$G$8:$G$8001,$B88)*1000/4)</f>
        <v>145498.27368750004</v>
      </c>
      <c r="J88" s="50">
        <f>IF($B$2="A3",SUMIFS('$33Econ'!$J$8:$J$8001,'$33Econ'!$A$8:$A$8001,$B$9,'$33Econ'!$G$8:$G$8001,$B88)*1000/4,SUMIFS('$22Econ'!$J$8:$J$8001,'$22Econ'!$A$8:$A$8001,$B$9,'$22Econ'!$G$8:$G$8001,$B88)*1000/4)</f>
        <v>112954.83352500001</v>
      </c>
      <c r="K88" s="50">
        <f t="shared" ref="K88:M88" si="50">J88</f>
        <v>112954.83352500001</v>
      </c>
      <c r="L88" s="50">
        <f t="shared" si="50"/>
        <v>112954.83352500001</v>
      </c>
      <c r="M88" s="50">
        <f t="shared" si="50"/>
        <v>112954.83352500001</v>
      </c>
    </row>
    <row r="89" spans="1:13" x14ac:dyDescent="0.25">
      <c r="A89" s="2" t="str">
        <f>B9&amp;B89</f>
        <v>ApacheExploration Capex</v>
      </c>
      <c r="B89" s="68" t="s">
        <v>278</v>
      </c>
      <c r="C89" s="73" t="s">
        <v>534</v>
      </c>
      <c r="D89" s="118"/>
      <c r="E89" s="96">
        <f>IF($B$2="A3",SUMIFS('$33Econ'!$H$8:$H$8001,'$33Econ'!$A$8:$A$8001,$B$9,'$33Econ'!$G$8:$G$8001,$B89)*1000/4,SUMIFS('$22Econ'!$H$8:$H$8001,'$22Econ'!$A$8:$A$8001,$B$9,'$22Econ'!$G$8:$G$8001,$B89)*1000/4)</f>
        <v>79246.05628249998</v>
      </c>
      <c r="F89" s="33">
        <f>(1-INDEX(Assumptions!$A$2:$K$596,MATCH($B9&amp;"Capex reduction",Assumptions!$A$2:$A$596,0),MATCH(F$2,Assumptions!$A$2:$K$2,0))) *IF($B$2="A3",SUMIFS('$33Econ'!$I$8:$I$8001,'$33Econ'!$A$8:$A$8001,$B$9,'$33Econ'!$G$8:$G$8001,$B89)*1000/4,SUMIFS('$22Econ'!$I$8:$I$8001,'$22Econ'!$A$8:$A$8001,$B$9,'$22Econ'!$G$8:$G$8001,$B89)*1000/4)</f>
        <v>90837.702745000002</v>
      </c>
      <c r="G89" s="33">
        <f>(1-INDEX(Assumptions!$A$2:$K$596,MATCH($B9&amp;"Capex reduction",Assumptions!$A$2:$A$596,0),MATCH(G$2,Assumptions!$A$2:$K$2,0))) *IF($B$2="A3",SUMIFS('$33Econ'!$I$8:$I$8001,'$33Econ'!$A$8:$A$8001,$B$9,'$33Econ'!$G$8:$G$8001,$B89)*1000/4,SUMIFS('$22Econ'!$I$8:$I$8001,'$22Econ'!$A$8:$A$8001,$B$9,'$22Econ'!$G$8:$G$8001,$B89)*1000/4)</f>
        <v>90837.702745000002</v>
      </c>
      <c r="H89" s="33">
        <f>(1-INDEX(Assumptions!$A$2:$K$596,MATCH($B9&amp;"Capex reduction",Assumptions!$A$2:$A$596,0),MATCH(H$2,Assumptions!$A$2:$K$2,0))) *IF($B$2="A3",SUMIFS('$33Econ'!$I$8:$I$8001,'$33Econ'!$A$8:$A$8001,$B$9,'$33Econ'!$G$8:$G$8001,$B89)*1000/4,SUMIFS('$22Econ'!$I$8:$I$8001,'$22Econ'!$A$8:$A$8001,$B$9,'$22Econ'!$G$8:$G$8001,$B89)*1000/4)</f>
        <v>90837.702745000002</v>
      </c>
      <c r="I89" s="33">
        <f>(1-INDEX(Assumptions!$A$2:$K$596,MATCH($B9&amp;"Capex reduction",Assumptions!$A$2:$A$596,0),MATCH(I$2,Assumptions!$A$2:$K$2,0))) *IF($B$2="A3",SUMIFS('$33Econ'!$I$8:$I$8001,'$33Econ'!$A$8:$A$8001,$B$9,'$33Econ'!$G$8:$G$8001,$B89)*1000/4,SUMIFS('$22Econ'!$I$8:$I$8001,'$22Econ'!$A$8:$A$8001,$B$9,'$22Econ'!$G$8:$G$8001,$B89)*1000/4)</f>
        <v>90837.702745000002</v>
      </c>
      <c r="J89" s="33">
        <f>(1-INDEX(Assumptions!$A$2:$K$596,MATCH($B9&amp;"Capex reduction",Assumptions!$A$2:$A$596,0),MATCH(J$2,Assumptions!$A$2:$K$2,0))) *IF($B$2="A3",SUMIFS('$33Econ'!$J$8:$J$8001,'$33Econ'!$A$8:$A$8001,$B$9,'$33Econ'!$G$8:$G$8001,$B89)*1000/4,SUMIFS('$22Econ'!$J$8:$J$8001,'$22Econ'!$A$8:$A$8001,$B$9,'$22Econ'!$G$8:$G$8001,$B89)*1000/4)</f>
        <v>18765.890692500001</v>
      </c>
      <c r="K89" s="33">
        <f>(1-INDEX(Assumptions!$A$2:$K$596,MATCH($B9&amp;"Capex reduction",Assumptions!$A$2:$A$596,0),MATCH(K$2,Assumptions!$A$2:$K$2,0))) *IF($B$2="A3",SUMIFS('$33Econ'!$J$8:$J$8001,'$33Econ'!$A$8:$A$8001,$B$9,'$33Econ'!$G$8:$G$8001,$B89)*1000/4,SUMIFS('$22Econ'!$J$8:$J$8001,'$22Econ'!$A$8:$A$8001,$B$9,'$22Econ'!$G$8:$G$8001,$B89)*1000/4)</f>
        <v>18765.890692500001</v>
      </c>
      <c r="L89" s="33">
        <f>(1-INDEX(Assumptions!$A$2:$K$596,MATCH($B9&amp;"Capex reduction",Assumptions!$A$2:$A$596,0),MATCH(L$2,Assumptions!$A$2:$K$2,0))) *IF($B$2="A3",SUMIFS('$33Econ'!$J$8:$J$8001,'$33Econ'!$A$8:$A$8001,$B$9,'$33Econ'!$G$8:$G$8001,$B89)*1000/4,SUMIFS('$22Econ'!$J$8:$J$8001,'$22Econ'!$A$8:$A$8001,$B$9,'$22Econ'!$G$8:$G$8001,$B89)*1000/4)</f>
        <v>18765.890692500001</v>
      </c>
      <c r="M89" s="33">
        <f>(1-INDEX(Assumptions!$A$2:$K$596,MATCH($B9&amp;"Capex reduction",Assumptions!$A$2:$A$596,0),MATCH(M$2,Assumptions!$A$2:$K$2,0))) *IF($B$2="A3",SUMIFS('$33Econ'!$J$8:$J$8001,'$33Econ'!$A$8:$A$8001,$B$9,'$33Econ'!$G$8:$G$8001,$B89)*1000/4,SUMIFS('$22Econ'!$J$8:$J$8001,'$22Econ'!$A$8:$A$8001,$B$9,'$22Econ'!$G$8:$G$8001,$B89)*1000/4)</f>
        <v>18765.890692500001</v>
      </c>
    </row>
    <row r="90" spans="1:13" s="150" customFormat="1" ht="11" thickBot="1" x14ac:dyDescent="0.3">
      <c r="A90" s="150" t="str">
        <f>B9&amp;B90</f>
        <v>ApacheFree Cash Flow (FCF)</v>
      </c>
      <c r="B90" s="69" t="s">
        <v>458</v>
      </c>
      <c r="C90" s="69" t="s">
        <v>512</v>
      </c>
      <c r="D90" s="152"/>
      <c r="E90" s="153">
        <f>SUM(E87:E89)</f>
        <v>1280691.3124599999</v>
      </c>
      <c r="F90" s="153">
        <f>SUM(F87:F89)</f>
        <v>-933427.11376610154</v>
      </c>
      <c r="G90" s="153">
        <f t="shared" ref="G90:M90" si="51">SUM(G87:G89)</f>
        <v>-2570863.0222498337</v>
      </c>
      <c r="H90" s="153">
        <f t="shared" si="51"/>
        <v>-2028370.7252642233</v>
      </c>
      <c r="I90" s="153">
        <f t="shared" si="51"/>
        <v>-1924590.1992448014</v>
      </c>
      <c r="J90" s="153">
        <f t="shared" si="51"/>
        <v>-1841366.6933649443</v>
      </c>
      <c r="K90" s="153">
        <f t="shared" si="51"/>
        <v>-1763034.9246375868</v>
      </c>
      <c r="L90" s="153">
        <f t="shared" si="51"/>
        <v>-1670492.029432469</v>
      </c>
      <c r="M90" s="153">
        <f t="shared" si="51"/>
        <v>-1696670.8975696927</v>
      </c>
    </row>
    <row r="91" spans="1:13" ht="11" thickTop="1" x14ac:dyDescent="0.25">
      <c r="I91" s="154"/>
      <c r="M91" s="154"/>
    </row>
    <row r="92" spans="1:13" x14ac:dyDescent="0.25">
      <c r="A92" s="2" t="str">
        <f>B9&amp;B92</f>
        <v>ApacheEBITDA</v>
      </c>
      <c r="B92" s="80" t="s">
        <v>428</v>
      </c>
      <c r="C92" s="144" t="s">
        <v>540</v>
      </c>
      <c r="D92" s="117"/>
      <c r="E92" s="83">
        <f>(E29-E41)+E32</f>
        <v>33500</v>
      </c>
      <c r="F92" s="50">
        <f t="shared" ref="F92:M92" si="52">(F29-F41)+F32</f>
        <v>-306071.77677374845</v>
      </c>
      <c r="G92" s="50">
        <f t="shared" si="52"/>
        <v>-894917.85291272355</v>
      </c>
      <c r="H92" s="50">
        <f t="shared" si="52"/>
        <v>-852526.24206720199</v>
      </c>
      <c r="I92" s="50">
        <f>(I29-I41)+I32</f>
        <v>-810134.63122168044</v>
      </c>
      <c r="J92" s="50">
        <f t="shared" si="52"/>
        <v>-773558.98259923281</v>
      </c>
      <c r="K92" s="50">
        <f t="shared" si="52"/>
        <v>-735757.64789295988</v>
      </c>
      <c r="L92" s="50">
        <f t="shared" si="52"/>
        <v>-697956.31318668695</v>
      </c>
      <c r="M92" s="50">
        <f t="shared" si="52"/>
        <v>-697956.31318668695</v>
      </c>
    </row>
    <row r="93" spans="1:13" x14ac:dyDescent="0.25">
      <c r="A93" s="2" t="str">
        <f>B9&amp;B93</f>
        <v>ApacheExploration capex</v>
      </c>
      <c r="B93" s="68" t="s">
        <v>519</v>
      </c>
      <c r="C93" s="68" t="s">
        <v>534</v>
      </c>
      <c r="D93" s="118"/>
      <c r="E93" s="83">
        <f>E89</f>
        <v>79246.05628249998</v>
      </c>
      <c r="F93" s="157">
        <f t="shared" ref="F93:M93" si="53">F89</f>
        <v>90837.702745000002</v>
      </c>
      <c r="G93" s="157">
        <f t="shared" si="53"/>
        <v>90837.702745000002</v>
      </c>
      <c r="H93" s="157">
        <f t="shared" si="53"/>
        <v>90837.702745000002</v>
      </c>
      <c r="I93" s="157">
        <f t="shared" si="53"/>
        <v>90837.702745000002</v>
      </c>
      <c r="J93" s="157">
        <f t="shared" si="53"/>
        <v>18765.890692500001</v>
      </c>
      <c r="K93" s="157">
        <f t="shared" si="53"/>
        <v>18765.890692500001</v>
      </c>
      <c r="L93" s="157">
        <f t="shared" si="53"/>
        <v>18765.890692500001</v>
      </c>
      <c r="M93" s="157">
        <f t="shared" si="53"/>
        <v>18765.890692500001</v>
      </c>
    </row>
    <row r="94" spans="1:13" x14ac:dyDescent="0.25">
      <c r="A94" s="2" t="str">
        <f>B9&amp;B94</f>
        <v>ApacheEBITDAX</v>
      </c>
      <c r="B94" s="90" t="s">
        <v>459</v>
      </c>
      <c r="C94" s="90" t="s">
        <v>512</v>
      </c>
      <c r="D94" s="125"/>
      <c r="E94" s="63">
        <f>SUM(E92:E93)</f>
        <v>112746.05628249998</v>
      </c>
      <c r="F94" s="62">
        <f t="shared" ref="F94:M94" si="54">SUM(F92:F93)</f>
        <v>-215234.07402874844</v>
      </c>
      <c r="G94" s="62">
        <f t="shared" si="54"/>
        <v>-804080.15016772354</v>
      </c>
      <c r="H94" s="62">
        <f t="shared" si="54"/>
        <v>-761688.53932220198</v>
      </c>
      <c r="I94" s="62">
        <f t="shared" si="54"/>
        <v>-719296.92847668042</v>
      </c>
      <c r="J94" s="62">
        <f t="shared" si="54"/>
        <v>-754793.09190673276</v>
      </c>
      <c r="K94" s="62">
        <f t="shared" si="54"/>
        <v>-716991.75720045983</v>
      </c>
      <c r="L94" s="62">
        <f t="shared" si="54"/>
        <v>-679190.4224941869</v>
      </c>
      <c r="M94" s="62">
        <f t="shared" si="54"/>
        <v>-679190.4224941869</v>
      </c>
    </row>
    <row r="95" spans="1:13" x14ac:dyDescent="0.25">
      <c r="A95" s="53" t="str">
        <f>B9&amp;B95</f>
        <v>ApacheDebt/EBITDAX</v>
      </c>
      <c r="B95" s="310" t="s">
        <v>947</v>
      </c>
      <c r="C95" s="310" t="s">
        <v>512</v>
      </c>
      <c r="D95" s="123"/>
      <c r="E95" s="120">
        <f>(E73+E68)/(E94*4)</f>
        <v>20.510695240689653</v>
      </c>
      <c r="F95" s="121"/>
      <c r="G95" s="121"/>
      <c r="H95" s="121"/>
      <c r="I95" s="121">
        <f>(AVERAGE(F73:I73)+AVERAGE(F68:I68))/SUM(F92:I92)</f>
        <v>-3.1997092384179391</v>
      </c>
      <c r="J95" s="121"/>
      <c r="K95" s="121"/>
      <c r="L95" s="121"/>
      <c r="M95" s="121">
        <f>(AVERAGE(J73:M73)+AVERAGE(J68:M68))/SUM(J92:M92)</f>
        <v>-3.1346466842105478</v>
      </c>
    </row>
    <row r="96" spans="1:13" s="49" customFormat="1" x14ac:dyDescent="0.25">
      <c r="D96" s="124"/>
    </row>
    <row r="97" spans="1:13" x14ac:dyDescent="0.25">
      <c r="A97" s="2" t="str">
        <f>B9&amp;B97</f>
        <v>ApacheCash dividends paid</v>
      </c>
      <c r="B97" s="91" t="s">
        <v>521</v>
      </c>
      <c r="C97" s="53" t="s">
        <v>546</v>
      </c>
      <c r="D97" s="122"/>
      <c r="E97" s="83">
        <f>-376000/4</f>
        <v>-94000</v>
      </c>
      <c r="F97" s="50">
        <f>E97*(1-INDEX(Assumptions!$A$2:$K$596,MATCH($B9&amp;"Dividend reduction",Assumptions!$A$2:$A$596,0),MATCH(F$2,Assumptions!$A$2:$K$2,0)))</f>
        <v>-94000</v>
      </c>
      <c r="G97" s="50">
        <f>F97*(1-INDEX(Assumptions!$A$2:$K$596,MATCH($B9&amp;"Dividend reduction",Assumptions!$A$2:$A$596,0),MATCH(G$2,Assumptions!$A$2:$K$2,0)))</f>
        <v>-94000</v>
      </c>
      <c r="H97" s="50">
        <f>G97*(1-INDEX(Assumptions!$A$2:$K$596,MATCH($B9&amp;"Dividend reduction",Assumptions!$A$2:$A$596,0),MATCH(H$2,Assumptions!$A$2:$K$2,0)))</f>
        <v>-94000</v>
      </c>
      <c r="I97" s="50">
        <f>H97*(1-INDEX(Assumptions!$A$2:$K$596,MATCH($B9&amp;"Dividend reduction",Assumptions!$A$2:$A$596,0),MATCH(I$2,Assumptions!$A$2:$K$2,0)))</f>
        <v>-94000</v>
      </c>
      <c r="J97" s="50">
        <f>I97*(1-INDEX(Assumptions!$A$2:$K$596,MATCH($B9&amp;"Dividend reduction",Assumptions!$A$2:$A$596,0),MATCH(J$2,Assumptions!$A$2:$K$2,0)))</f>
        <v>-94000</v>
      </c>
      <c r="K97" s="50">
        <f>J97*(1-INDEX(Assumptions!$A$2:$K$596,MATCH($B9&amp;"Dividend reduction",Assumptions!$A$2:$A$596,0),MATCH(K$2,Assumptions!$A$2:$K$2,0)))</f>
        <v>-94000</v>
      </c>
      <c r="L97" s="50">
        <f>K97*(1-INDEX(Assumptions!$A$2:$K$596,MATCH($B9&amp;"Dividend reduction",Assumptions!$A$2:$A$596,0),MATCH(L$2,Assumptions!$A$2:$K$2,0)))</f>
        <v>-94000</v>
      </c>
      <c r="M97" s="50">
        <f>L97*(1-INDEX(Assumptions!$A$2:$K$596,MATCH($B9&amp;"Dividend reduction",Assumptions!$A$2:$A$596,0),MATCH(M$2,Assumptions!$A$2:$K$2,0)))</f>
        <v>-94000</v>
      </c>
    </row>
    <row r="99" spans="1:13" x14ac:dyDescent="0.25">
      <c r="A99" s="2" t="str">
        <f>B9&amp;B99</f>
        <v>ApacheOhlson's O-Score</v>
      </c>
      <c r="B99" s="80" t="s">
        <v>427</v>
      </c>
      <c r="C99" s="80" t="s">
        <v>512</v>
      </c>
      <c r="D99" s="117"/>
      <c r="E99" s="130"/>
      <c r="F99" s="130"/>
      <c r="G99" s="130"/>
      <c r="H99" s="130"/>
      <c r="I99" s="99">
        <f>-1.32-0.407*(LN($I66*1000/(36.32+2.11*'Quarterly Forecasts'!$K$15)))+6.03*($I78/$I66)-1.43*(($I60-$I72)/$I66)+0.0757*($I72/$I60)-2.37*(SUM($F49:$I49)/$I66)-1.83*(SUM($F92:$I92)/$I78)+0.285*(IF(AND(SUM($F49:$I49)&lt;0,($E49*4)&lt;0),1,0))-0.521*((SUM($F49:$I49)-($E49*4))/(ABS(SUM($F49:$I49))+ABS($E49*4)))-1.72*(IF($I78&gt;$I66,1,0))</f>
        <v>1.0686642730978095</v>
      </c>
      <c r="J99" s="130"/>
      <c r="K99" s="130"/>
      <c r="L99" s="130"/>
      <c r="M99" s="99">
        <f>-1.32-0.407*(LN($M66*1000/(36.32+2.11*'Quarterly Forecasts'!$K$15)))+6.03*($M78/$M66)-1.43*(($M60-$M72)/$M66)+0.0757*($M72/$M60)-2.37*(SUM($J49:$M49)/$M66)-1.83*(SUM($J92:$M92)/$M78)+0.285*(IF(AND(SUM($J49:$M49)&lt;0,(SUM($F49:$I49))&lt;0),1,0))-0.521*((SUM($J49:$M49)-(SUM($F49:$I49)))/(ABS(SUM($J49:$M49))+ABS(SUM($F49:$I49))))-1.72*(IF($M78&gt;$M66,1,0))</f>
        <v>21.438579254187896</v>
      </c>
    </row>
    <row r="100" spans="1:13" ht="11" thickBot="1" x14ac:dyDescent="0.3">
      <c r="A100" s="2" t="str">
        <f>B9&amp;B100</f>
        <v>ApacheProbability of default (PD)</v>
      </c>
      <c r="B100" s="81" t="s">
        <v>504</v>
      </c>
      <c r="C100" s="98" t="s">
        <v>512</v>
      </c>
      <c r="D100" s="110"/>
      <c r="E100" s="131"/>
      <c r="F100" s="131"/>
      <c r="G100" s="131"/>
      <c r="H100" s="131"/>
      <c r="I100" s="126">
        <f>EXP(I99)/(1+EXP(I99))</f>
        <v>0.74434281452432804</v>
      </c>
      <c r="J100" s="131"/>
      <c r="K100" s="131"/>
      <c r="L100" s="131"/>
      <c r="M100" s="126">
        <f>EXP(M99)/(1+EXP(M99))</f>
        <v>0.99999999951096119</v>
      </c>
    </row>
    <row r="101" spans="1:13" ht="11" thickTop="1" x14ac:dyDescent="0.25"/>
    <row r="102" spans="1:13" x14ac:dyDescent="0.25">
      <c r="E102" s="2" t="s">
        <v>550</v>
      </c>
    </row>
    <row r="103" spans="1:13" x14ac:dyDescent="0.25">
      <c r="E103" s="2" t="s">
        <v>552</v>
      </c>
    </row>
    <row r="104" spans="1:13" x14ac:dyDescent="0.25">
      <c r="E104" s="2" t="s">
        <v>551</v>
      </c>
    </row>
    <row r="105" spans="1:13" x14ac:dyDescent="0.25">
      <c r="E105" s="2" t="s">
        <v>553</v>
      </c>
    </row>
    <row r="106" spans="1:13" x14ac:dyDescent="0.25">
      <c r="E106" s="2" t="s">
        <v>560</v>
      </c>
    </row>
    <row r="108" spans="1:13" x14ac:dyDescent="0.25">
      <c r="E108" s="2" t="s">
        <v>563</v>
      </c>
    </row>
  </sheetData>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30BA8-0B1E-4ED7-BD31-82D32DE71EB8}">
  <dimension ref="A1:M101"/>
  <sheetViews>
    <sheetView showGridLines="0" zoomScale="99" zoomScaleNormal="99" workbookViewId="0">
      <pane xSplit="2" ySplit="2" topLeftCell="D74" activePane="bottomRight" state="frozen"/>
      <selection activeCell="I95" sqref="I95"/>
      <selection pane="topRight" activeCell="I95" sqref="I95"/>
      <selection pane="bottomLeft" activeCell="I95" sqref="I95"/>
      <selection pane="bottomRight" activeCell="H87" sqref="H87"/>
    </sheetView>
  </sheetViews>
  <sheetFormatPr defaultColWidth="8.81640625" defaultRowHeight="10.5" x14ac:dyDescent="0.25"/>
  <cols>
    <col min="1" max="1" width="4.453125" style="2" customWidth="1"/>
    <col min="2" max="2" width="39.81640625" style="2" bestFit="1" customWidth="1"/>
    <col min="3" max="3" width="44.36328125" style="2" customWidth="1"/>
    <col min="4" max="4" width="9.453125" style="113" bestFit="1" customWidth="1"/>
    <col min="5" max="5" width="10.453125" style="2" bestFit="1" customWidth="1"/>
    <col min="6" max="6" width="12.1796875" style="2" bestFit="1" customWidth="1"/>
    <col min="7" max="13" width="10.453125" style="2" bestFit="1" customWidth="1"/>
    <col min="14" max="16384" width="8.81640625" style="2"/>
  </cols>
  <sheetData>
    <row r="1" spans="1:13" x14ac:dyDescent="0.25">
      <c r="E1" s="2" t="str">
        <f>LEFT(E2,4)</f>
        <v>2019</v>
      </c>
      <c r="F1" s="2" t="str">
        <f t="shared" ref="F1:M1" si="0">LEFT(F2,4)</f>
        <v>2020</v>
      </c>
      <c r="G1" s="2" t="str">
        <f t="shared" si="0"/>
        <v>2020</v>
      </c>
      <c r="H1" s="2" t="str">
        <f t="shared" si="0"/>
        <v>2020</v>
      </c>
      <c r="I1" s="2" t="str">
        <f t="shared" si="0"/>
        <v>2020</v>
      </c>
      <c r="J1" s="2" t="str">
        <f t="shared" si="0"/>
        <v>2021</v>
      </c>
      <c r="K1" s="2" t="str">
        <f t="shared" si="0"/>
        <v>2021</v>
      </c>
      <c r="L1" s="2" t="str">
        <f t="shared" si="0"/>
        <v>2021</v>
      </c>
      <c r="M1" s="2" t="str">
        <f t="shared" si="0"/>
        <v>2021</v>
      </c>
    </row>
    <row r="2" spans="1:13" x14ac:dyDescent="0.25">
      <c r="B2" s="2" t="s">
        <v>439</v>
      </c>
      <c r="C2" s="2" t="s">
        <v>517</v>
      </c>
      <c r="D2" s="113" t="s">
        <v>524</v>
      </c>
      <c r="E2" s="67" t="s">
        <v>413</v>
      </c>
      <c r="F2" s="67" t="s">
        <v>414</v>
      </c>
      <c r="G2" s="67" t="s">
        <v>415</v>
      </c>
      <c r="H2" s="67" t="s">
        <v>416</v>
      </c>
      <c r="I2" s="67" t="s">
        <v>417</v>
      </c>
      <c r="J2" s="67" t="s">
        <v>418</v>
      </c>
      <c r="K2" s="67" t="s">
        <v>419</v>
      </c>
      <c r="L2" s="67" t="s">
        <v>420</v>
      </c>
      <c r="M2" s="67" t="s">
        <v>421</v>
      </c>
    </row>
    <row r="3" spans="1:13" x14ac:dyDescent="0.25">
      <c r="B3" s="64" t="s">
        <v>522</v>
      </c>
      <c r="C3" s="64"/>
      <c r="D3" s="111"/>
      <c r="E3" s="103"/>
      <c r="F3" s="99"/>
      <c r="G3" s="99"/>
      <c r="H3" s="99"/>
      <c r="I3" s="99"/>
      <c r="J3" s="99"/>
      <c r="K3" s="99"/>
      <c r="L3" s="99"/>
      <c r="M3" s="99"/>
    </row>
    <row r="4" spans="1:13" x14ac:dyDescent="0.25">
      <c r="A4" s="2" t="str">
        <f>$B$9&amp;$B$3&amp;B4</f>
        <v>EOG ResourcesMarket PricesOil</v>
      </c>
      <c r="B4" s="70" t="s">
        <v>396</v>
      </c>
      <c r="C4" s="70"/>
      <c r="D4" s="108"/>
      <c r="E4" s="89">
        <f>INDEX('Quarterly Forecasts'!$B$4:$O$500,MATCH(($B$2&amp;$B4),'Quarterly Forecasts'!$B$4:$B$500,0),MATCH(E$2,'Quarterly Forecasts'!$B$4:$O$4,0))</f>
        <v>64.358329999999995</v>
      </c>
      <c r="F4" s="134">
        <f>INDEX('Quarterly Forecasts'!$B$4:$O$500,MATCH($B$2&amp;$B4,'Quarterly Forecasts'!$B$4:$B$500,0),MATCH(F$2,'Quarterly Forecasts'!$B$4:$O$4,0))</f>
        <v>50.81859</v>
      </c>
      <c r="G4" s="134">
        <f>INDEX('Quarterly Forecasts'!$B$4:$O$500,MATCH($B$2&amp;$B4,'Quarterly Forecasts'!$B$4:$B$500,0),MATCH(G$2,'Quarterly Forecasts'!$B$4:$O$4,0))</f>
        <v>20</v>
      </c>
      <c r="H4" s="134">
        <f>INDEX('Quarterly Forecasts'!$B$4:$O$500,MATCH($B$2&amp;$B4,'Quarterly Forecasts'!$B$4:$B$500,0),MATCH(H$2,'Quarterly Forecasts'!$B$4:$O$4,0))</f>
        <v>22</v>
      </c>
      <c r="I4" s="134">
        <f>INDEX('Quarterly Forecasts'!$B$4:$O$500,MATCH($B$2&amp;$B4,'Quarterly Forecasts'!$B$4:$B$500,0),MATCH(I$2,'Quarterly Forecasts'!$B$4:$O$4,0))</f>
        <v>24</v>
      </c>
      <c r="J4" s="134">
        <f>INDEX('Quarterly Forecasts'!$B$4:$O$500,MATCH($B$2&amp;$B4,'Quarterly Forecasts'!$B$4:$B$500,0),MATCH(J$2,'Quarterly Forecasts'!$B$4:$O$4,0))</f>
        <v>26</v>
      </c>
      <c r="K4" s="134">
        <f>INDEX('Quarterly Forecasts'!$B$4:$O$500,MATCH($B$2&amp;$B4,'Quarterly Forecasts'!$B$4:$B$500,0),MATCH(K$2,'Quarterly Forecasts'!$B$4:$O$4,0))</f>
        <v>28</v>
      </c>
      <c r="L4" s="134">
        <f>INDEX('Quarterly Forecasts'!$B$4:$O$500,MATCH($B$2&amp;$B4,'Quarterly Forecasts'!$B$4:$B$500,0),MATCH(L$2,'Quarterly Forecasts'!$B$4:$O$4,0))</f>
        <v>30</v>
      </c>
      <c r="M4" s="134">
        <f>INDEX('Quarterly Forecasts'!$B$4:$O$500,MATCH($B$2&amp;$B4,'Quarterly Forecasts'!$B$4:$B$500,0),MATCH(M$2,'Quarterly Forecasts'!$B$4:$O$4,0))</f>
        <v>30</v>
      </c>
    </row>
    <row r="5" spans="1:13" x14ac:dyDescent="0.25">
      <c r="A5" s="2" t="str">
        <f t="shared" ref="A5:A7" si="1">$B$9&amp;$B$3&amp;B5</f>
        <v>EOG ResourcesMarket PricesGas</v>
      </c>
      <c r="B5" s="70" t="s">
        <v>26</v>
      </c>
      <c r="C5" s="70"/>
      <c r="D5" s="108"/>
      <c r="E5" s="89">
        <f>INDEX('Quarterly Forecasts'!$B$4:$O$500,MATCH($B2&amp;$B5,'Quarterly Forecasts'!$B$4:$B$500,0),MATCH(E$2,'Quarterly Forecasts'!$B$4:$O$4,0))</f>
        <v>15.15714</v>
      </c>
      <c r="F5" s="134">
        <f>INDEX('Quarterly Forecasts'!$B$4:$O$500,MATCH($B$2&amp;$B5,'Quarterly Forecasts'!$B$4:$B$500,0),MATCH(F$2,'Quarterly Forecasts'!$B$4:$O$4,0))</f>
        <v>11.20355</v>
      </c>
      <c r="G5" s="134">
        <f>INDEX('Quarterly Forecasts'!$B$4:$O$500,MATCH($B$2&amp;$B5,'Quarterly Forecasts'!$B$4:$B$500,0),MATCH(G$2,'Quarterly Forecasts'!$B$4:$O$4,0))</f>
        <v>12.8748</v>
      </c>
      <c r="H5" s="134">
        <f>INDEX('Quarterly Forecasts'!$B$4:$O$500,MATCH($B$2&amp;$B5,'Quarterly Forecasts'!$B$4:$B$500,0),MATCH(H$2,'Quarterly Forecasts'!$B$4:$O$4,0))</f>
        <v>13.0944</v>
      </c>
      <c r="I5" s="134">
        <f>INDEX('Quarterly Forecasts'!$B$4:$O$500,MATCH($B$2&amp;$B5,'Quarterly Forecasts'!$B$4:$B$500,0),MATCH(I$2,'Quarterly Forecasts'!$B$4:$O$4,0))</f>
        <v>13.314000000000002</v>
      </c>
      <c r="J5" s="134">
        <f>INDEX('Quarterly Forecasts'!$B$4:$O$500,MATCH($B$2&amp;$B5,'Quarterly Forecasts'!$B$4:$B$500,0),MATCH(J$2,'Quarterly Forecasts'!$B$4:$O$4,0))</f>
        <v>13.533600000000002</v>
      </c>
      <c r="K5" s="134">
        <f>INDEX('Quarterly Forecasts'!$B$4:$O$500,MATCH($B$2&amp;$B5,'Quarterly Forecasts'!$B$4:$B$500,0),MATCH(K$2,'Quarterly Forecasts'!$B$4:$O$4,0))</f>
        <v>13.753200000000001</v>
      </c>
      <c r="L5" s="134">
        <f>INDEX('Quarterly Forecasts'!$B$4:$O$500,MATCH($B$2&amp;$B5,'Quarterly Forecasts'!$B$4:$B$500,0),MATCH(L$2,'Quarterly Forecasts'!$B$4:$O$4,0))</f>
        <v>13.972800000000001</v>
      </c>
      <c r="M5" s="134">
        <f>INDEX('Quarterly Forecasts'!$B$4:$O$500,MATCH($B$2&amp;$B5,'Quarterly Forecasts'!$B$4:$B$500,0),MATCH(M$2,'Quarterly Forecasts'!$B$4:$O$4,0))</f>
        <v>13.972800000000001</v>
      </c>
    </row>
    <row r="6" spans="1:13" x14ac:dyDescent="0.25">
      <c r="A6" s="2" t="str">
        <f t="shared" si="1"/>
        <v>EOG ResourcesMarket PricesNGL</v>
      </c>
      <c r="B6" s="70" t="s">
        <v>25</v>
      </c>
      <c r="C6" s="70"/>
      <c r="D6" s="108"/>
      <c r="E6" s="89">
        <f>INDEX('Quarterly Forecasts'!$B$4:$O$500,MATCH($B2&amp;$B6,'Quarterly Forecasts'!$B$4:$B$500,0),MATCH(E$2,'Quarterly Forecasts'!$B$4:$O$4,0))</f>
        <v>20.616230000000002</v>
      </c>
      <c r="F6" s="134">
        <f>INDEX('Quarterly Forecasts'!$B$4:$O$500,MATCH($B$2&amp;$B6,'Quarterly Forecasts'!$B$4:$B$500,0),MATCH(F$2,'Quarterly Forecasts'!$B$4:$O$4,0))</f>
        <v>17.26445</v>
      </c>
      <c r="G6" s="134">
        <f>INDEX('Quarterly Forecasts'!$B$4:$O$500,MATCH($B$2&amp;$B6,'Quarterly Forecasts'!$B$4:$B$500,0),MATCH(G$2,'Quarterly Forecasts'!$B$4:$O$4,0))</f>
        <v>8.4505925000000008</v>
      </c>
      <c r="H6" s="134">
        <f>INDEX('Quarterly Forecasts'!$B$4:$O$500,MATCH($B$2&amp;$B6,'Quarterly Forecasts'!$B$4:$B$500,0),MATCH(H$2,'Quarterly Forecasts'!$B$4:$O$4,0))</f>
        <v>9.3239265000000007</v>
      </c>
      <c r="I6" s="134">
        <f>INDEX('Quarterly Forecasts'!$B$4:$O$500,MATCH($B$2&amp;$B6,'Quarterly Forecasts'!$B$4:$B$500,0),MATCH(I$2,'Quarterly Forecasts'!$B$4:$O$4,0))</f>
        <v>10.197260500000001</v>
      </c>
      <c r="J6" s="134">
        <f>INDEX('Quarterly Forecasts'!$B$4:$O$500,MATCH($B$2&amp;$B6,'Quarterly Forecasts'!$B$4:$B$500,0),MATCH(J$2,'Quarterly Forecasts'!$B$4:$O$4,0))</f>
        <v>11.0705945</v>
      </c>
      <c r="K6" s="134">
        <f>INDEX('Quarterly Forecasts'!$B$4:$O$500,MATCH($B$2&amp;$B6,'Quarterly Forecasts'!$B$4:$B$500,0),MATCH(K$2,'Quarterly Forecasts'!$B$4:$O$4,0))</f>
        <v>11.9439285</v>
      </c>
      <c r="L6" s="134">
        <f>INDEX('Quarterly Forecasts'!$B$4:$O$500,MATCH($B$2&amp;$B6,'Quarterly Forecasts'!$B$4:$B$500,0),MATCH(L$2,'Quarterly Forecasts'!$B$4:$O$4,0))</f>
        <v>12.8172625</v>
      </c>
      <c r="M6" s="134">
        <f>INDEX('Quarterly Forecasts'!$B$4:$O$500,MATCH($B$2&amp;$B6,'Quarterly Forecasts'!$B$4:$B$500,0),MATCH(M$2,'Quarterly Forecasts'!$B$4:$O$4,0))</f>
        <v>12.8172625</v>
      </c>
    </row>
    <row r="7" spans="1:13" x14ac:dyDescent="0.25">
      <c r="A7" s="2" t="str">
        <f t="shared" si="1"/>
        <v>EOG ResourcesMarket PricesCondensate</v>
      </c>
      <c r="B7" s="71" t="s">
        <v>24</v>
      </c>
      <c r="C7" s="71"/>
      <c r="D7" s="114"/>
      <c r="E7" s="89">
        <f>INDEX('Quarterly Forecasts'!$B$4:$O$500,MATCH($B2&amp;$B7,'Quarterly Forecasts'!$B$4:$B$500,0),MATCH(E$2,'Quarterly Forecasts'!$B$4:$O$4,0))</f>
        <v>38.614997999999993</v>
      </c>
      <c r="F7" s="134">
        <f>INDEX('Quarterly Forecasts'!$B$4:$O$500,MATCH($B$2&amp;$B7,'Quarterly Forecasts'!$B$4:$B$500,0),MATCH(F$2,'Quarterly Forecasts'!$B$4:$O$4,0))</f>
        <v>30.491153999999998</v>
      </c>
      <c r="G7" s="134">
        <f>INDEX('Quarterly Forecasts'!$B$4:$O$500,MATCH($B$2&amp;$B7,'Quarterly Forecasts'!$B$4:$B$500,0),MATCH(G$2,'Quarterly Forecasts'!$B$4:$O$4,0))</f>
        <v>12</v>
      </c>
      <c r="H7" s="134">
        <f>INDEX('Quarterly Forecasts'!$B$4:$O$500,MATCH($B$2&amp;$B7,'Quarterly Forecasts'!$B$4:$B$500,0),MATCH(H$2,'Quarterly Forecasts'!$B$4:$O$4,0))</f>
        <v>13.2</v>
      </c>
      <c r="I7" s="134">
        <f>INDEX('Quarterly Forecasts'!$B$4:$O$500,MATCH($B$2&amp;$B7,'Quarterly Forecasts'!$B$4:$B$500,0),MATCH(I$2,'Quarterly Forecasts'!$B$4:$O$4,0))</f>
        <v>14.399999999999999</v>
      </c>
      <c r="J7" s="134">
        <f>INDEX('Quarterly Forecasts'!$B$4:$O$500,MATCH($B$2&amp;$B7,'Quarterly Forecasts'!$B$4:$B$500,0),MATCH(J$2,'Quarterly Forecasts'!$B$4:$O$4,0))</f>
        <v>15.6</v>
      </c>
      <c r="K7" s="134">
        <f>INDEX('Quarterly Forecasts'!$B$4:$O$500,MATCH($B$2&amp;$B7,'Quarterly Forecasts'!$B$4:$B$500,0),MATCH(K$2,'Quarterly Forecasts'!$B$4:$O$4,0))</f>
        <v>16.8</v>
      </c>
      <c r="L7" s="134">
        <f>INDEX('Quarterly Forecasts'!$B$4:$O$500,MATCH($B$2&amp;$B7,'Quarterly Forecasts'!$B$4:$B$500,0),MATCH(L$2,'Quarterly Forecasts'!$B$4:$O$4,0))</f>
        <v>18</v>
      </c>
      <c r="M7" s="134">
        <f>INDEX('Quarterly Forecasts'!$B$4:$O$500,MATCH($B$2&amp;$B7,'Quarterly Forecasts'!$B$4:$B$500,0),MATCH(M$2,'Quarterly Forecasts'!$B$4:$O$4,0))</f>
        <v>18</v>
      </c>
    </row>
    <row r="9" spans="1:13" x14ac:dyDescent="0.25">
      <c r="B9" s="31" t="s">
        <v>242</v>
      </c>
      <c r="C9" s="31"/>
      <c r="D9" s="115"/>
      <c r="E9" s="67"/>
      <c r="F9" s="67"/>
      <c r="G9" s="67"/>
      <c r="H9" s="67"/>
      <c r="I9" s="67"/>
      <c r="J9" s="67"/>
      <c r="K9" s="67"/>
      <c r="L9" s="67"/>
      <c r="M9" s="67"/>
    </row>
    <row r="10" spans="1:13" x14ac:dyDescent="0.25">
      <c r="B10" s="64" t="s">
        <v>523</v>
      </c>
      <c r="C10" s="64"/>
      <c r="D10" s="111"/>
      <c r="E10" s="103"/>
      <c r="F10" s="99"/>
      <c r="G10" s="99"/>
      <c r="H10" s="99"/>
      <c r="I10" s="99"/>
      <c r="J10" s="99"/>
      <c r="K10" s="99"/>
      <c r="L10" s="99"/>
      <c r="M10" s="99"/>
    </row>
    <row r="11" spans="1:13" x14ac:dyDescent="0.25">
      <c r="A11" s="2" t="str">
        <f>B9&amp;B10&amp;B11</f>
        <v>EOG ResourcesRealized pricesOil</v>
      </c>
      <c r="B11" s="70" t="s">
        <v>396</v>
      </c>
      <c r="C11" s="132" t="s">
        <v>542</v>
      </c>
      <c r="D11" s="108"/>
      <c r="E11" s="89">
        <v>57.72</v>
      </c>
      <c r="F11" s="134">
        <f>F4*($E11/$E4)</f>
        <v>45.57683542751964</v>
      </c>
      <c r="G11" s="134">
        <f>G4*($E11/$E4)</f>
        <v>17.937072015386356</v>
      </c>
      <c r="H11" s="134">
        <f t="shared" ref="G11:M14" si="2">H4*($E11/$E4)</f>
        <v>19.73077921692499</v>
      </c>
      <c r="I11" s="134">
        <f t="shared" si="2"/>
        <v>21.524486418463624</v>
      </c>
      <c r="J11" s="134">
        <f t="shared" si="2"/>
        <v>23.318193620002262</v>
      </c>
      <c r="K11" s="134">
        <f t="shared" si="2"/>
        <v>25.111900821540896</v>
      </c>
      <c r="L11" s="134">
        <f t="shared" si="2"/>
        <v>26.905608023079534</v>
      </c>
      <c r="M11" s="134">
        <f t="shared" si="2"/>
        <v>26.905608023079534</v>
      </c>
    </row>
    <row r="12" spans="1:13" x14ac:dyDescent="0.25">
      <c r="A12" s="2" t="str">
        <f>B9&amp;B10&amp;B12</f>
        <v>EOG ResourcesRealized pricesGas</v>
      </c>
      <c r="B12" s="70" t="s">
        <v>26</v>
      </c>
      <c r="C12" s="132" t="s">
        <v>542</v>
      </c>
      <c r="D12" s="108"/>
      <c r="E12" s="89">
        <f>2.38*6</f>
        <v>14.28</v>
      </c>
      <c r="F12" s="134">
        <f>F5*($E12/$E5)</f>
        <v>10.555203290330496</v>
      </c>
      <c r="G12" s="134">
        <f t="shared" si="2"/>
        <v>12.129738459894149</v>
      </c>
      <c r="H12" s="134">
        <f t="shared" si="2"/>
        <v>12.336630261381764</v>
      </c>
      <c r="I12" s="134">
        <f t="shared" si="2"/>
        <v>12.543522062869382</v>
      </c>
      <c r="J12" s="134">
        <f t="shared" si="2"/>
        <v>12.750413864356997</v>
      </c>
      <c r="K12" s="134">
        <f t="shared" si="2"/>
        <v>12.957305665844611</v>
      </c>
      <c r="L12" s="134">
        <f t="shared" si="2"/>
        <v>13.164197467332228</v>
      </c>
      <c r="M12" s="134">
        <f t="shared" si="2"/>
        <v>13.164197467332228</v>
      </c>
    </row>
    <row r="13" spans="1:13" x14ac:dyDescent="0.25">
      <c r="A13" s="2" t="str">
        <f>B9&amp;B10&amp;B13</f>
        <v>EOG ResourcesRealized pricesNGL</v>
      </c>
      <c r="B13" s="70" t="s">
        <v>25</v>
      </c>
      <c r="C13" s="132" t="s">
        <v>542</v>
      </c>
      <c r="D13" s="108"/>
      <c r="E13" s="89">
        <v>16.03</v>
      </c>
      <c r="F13" s="134">
        <f>F6*($E13/$E6)</f>
        <v>13.423847788853733</v>
      </c>
      <c r="G13" s="134">
        <f t="shared" si="2"/>
        <v>6.5706968623749349</v>
      </c>
      <c r="H13" s="134">
        <f t="shared" si="2"/>
        <v>7.2497513752514404</v>
      </c>
      <c r="I13" s="134">
        <f t="shared" si="2"/>
        <v>7.928805888127946</v>
      </c>
      <c r="J13" s="134">
        <f t="shared" si="2"/>
        <v>8.6078604010044515</v>
      </c>
      <c r="K13" s="134">
        <f t="shared" si="2"/>
        <v>9.2869149138809561</v>
      </c>
      <c r="L13" s="134">
        <f t="shared" si="2"/>
        <v>9.9659694267574626</v>
      </c>
      <c r="M13" s="134">
        <f t="shared" si="2"/>
        <v>9.9659694267574626</v>
      </c>
    </row>
    <row r="14" spans="1:13" x14ac:dyDescent="0.25">
      <c r="A14" s="2" t="str">
        <f>B9&amp;B10&amp;B14</f>
        <v>EOG ResourcesRealized pricesCondensate</v>
      </c>
      <c r="B14" s="70" t="s">
        <v>24</v>
      </c>
      <c r="C14" s="132" t="s">
        <v>543</v>
      </c>
      <c r="D14" s="108"/>
      <c r="E14" s="104">
        <f>E11*0.6</f>
        <v>34.631999999999998</v>
      </c>
      <c r="F14" s="134">
        <f>F7*($E14/$E7)</f>
        <v>27.346101256511783</v>
      </c>
      <c r="G14" s="134">
        <f t="shared" si="2"/>
        <v>10.762243209231812</v>
      </c>
      <c r="H14" s="134">
        <f t="shared" si="2"/>
        <v>11.838467530154993</v>
      </c>
      <c r="I14" s="134">
        <f t="shared" si="2"/>
        <v>12.914691851078175</v>
      </c>
      <c r="J14" s="134">
        <f t="shared" si="2"/>
        <v>13.990916172001356</v>
      </c>
      <c r="K14" s="134">
        <f t="shared" si="2"/>
        <v>15.067140492924539</v>
      </c>
      <c r="L14" s="134">
        <f t="shared" si="2"/>
        <v>16.143364813847718</v>
      </c>
      <c r="M14" s="134">
        <f t="shared" si="2"/>
        <v>16.143364813847718</v>
      </c>
    </row>
    <row r="15" spans="1:13" x14ac:dyDescent="0.25">
      <c r="A15" s="2" t="str">
        <f>B9&amp;B10&amp;B15</f>
        <v>EOG ResourcesRealized pricesAverage realized price</v>
      </c>
      <c r="B15" s="97" t="s">
        <v>527</v>
      </c>
      <c r="C15" s="137" t="s">
        <v>541</v>
      </c>
      <c r="D15" s="114"/>
      <c r="E15" s="89">
        <f>AVERAGE(E11:E14)</f>
        <v>30.665500000000002</v>
      </c>
      <c r="F15" s="12">
        <f>F29/F24</f>
        <v>44.411115770912815</v>
      </c>
      <c r="G15" s="12">
        <f t="shared" ref="G15:M15" si="3">G29/G24</f>
        <v>21.164681330878942</v>
      </c>
      <c r="H15" s="12">
        <f t="shared" si="3"/>
        <v>22.865252666024869</v>
      </c>
      <c r="I15" s="12">
        <f t="shared" si="3"/>
        <v>24.565824001170775</v>
      </c>
      <c r="J15" s="12">
        <f t="shared" si="3"/>
        <v>26.307505619160654</v>
      </c>
      <c r="K15" s="12">
        <f t="shared" si="3"/>
        <v>28.015553423496101</v>
      </c>
      <c r="L15" s="12">
        <f t="shared" si="3"/>
        <v>29.723601227831555</v>
      </c>
      <c r="M15" s="12">
        <f t="shared" si="3"/>
        <v>29.723601227831555</v>
      </c>
    </row>
    <row r="16" spans="1:13" x14ac:dyDescent="0.25">
      <c r="B16" s="31"/>
      <c r="C16" s="31"/>
      <c r="D16" s="115"/>
      <c r="E16" s="100"/>
      <c r="F16" s="100"/>
      <c r="G16" s="100"/>
      <c r="H16" s="100"/>
      <c r="I16" s="100"/>
      <c r="J16" s="100"/>
      <c r="K16" s="100"/>
      <c r="L16" s="100"/>
      <c r="M16" s="100"/>
    </row>
    <row r="17" spans="1:13" x14ac:dyDescent="0.25">
      <c r="A17" s="2" t="str">
        <f>B9&amp;B17</f>
        <v>EOG ResourcesNetback price, BOE</v>
      </c>
      <c r="B17" s="91" t="s">
        <v>503</v>
      </c>
      <c r="C17" s="53" t="s">
        <v>535</v>
      </c>
      <c r="D17" s="122"/>
      <c r="E17" s="89">
        <f>E15-(E43/E24)-(E36/E24)-(E37/E24)-(E38/E24)</f>
        <v>20.864179024281981</v>
      </c>
      <c r="F17" s="89">
        <f t="shared" ref="F17:M17" si="4">F15-(F43/F24)-(F36/F24)-(F37/F24)-(F38/F24)</f>
        <v>34.880686277287431</v>
      </c>
      <c r="G17" s="89">
        <f t="shared" si="4"/>
        <v>12.273119493651432</v>
      </c>
      <c r="H17" s="89">
        <f t="shared" si="4"/>
        <v>13.932230940048534</v>
      </c>
      <c r="I17" s="89">
        <f t="shared" si="4"/>
        <v>15.591342386445607</v>
      </c>
      <c r="J17" s="89">
        <f t="shared" si="4"/>
        <v>17.313954355561574</v>
      </c>
      <c r="K17" s="89">
        <f t="shared" si="4"/>
        <v>18.980542271148192</v>
      </c>
      <c r="L17" s="89">
        <f t="shared" si="4"/>
        <v>20.647130186734813</v>
      </c>
      <c r="M17" s="89">
        <f t="shared" si="4"/>
        <v>20.647130186734813</v>
      </c>
    </row>
    <row r="18" spans="1:13" x14ac:dyDescent="0.25">
      <c r="B18" s="31"/>
      <c r="C18" s="31"/>
      <c r="D18" s="115"/>
      <c r="E18" s="100"/>
      <c r="F18" s="100"/>
      <c r="G18" s="100"/>
      <c r="H18" s="100"/>
      <c r="I18" s="100"/>
      <c r="J18" s="100"/>
      <c r="K18" s="100"/>
      <c r="L18" s="100"/>
      <c r="M18" s="100"/>
    </row>
    <row r="19" spans="1:13" x14ac:dyDescent="0.25">
      <c r="B19" s="64" t="s">
        <v>532</v>
      </c>
      <c r="C19" s="64"/>
      <c r="D19" s="111"/>
      <c r="E19" s="103"/>
      <c r="F19" s="99"/>
      <c r="G19" s="99"/>
      <c r="H19" s="99"/>
      <c r="I19" s="99"/>
      <c r="J19" s="99"/>
      <c r="K19" s="99"/>
      <c r="L19" s="99"/>
      <c r="M19" s="99"/>
    </row>
    <row r="20" spans="1:13" x14ac:dyDescent="0.25">
      <c r="A20" s="2" t="str">
        <f>B9&amp;B19&amp;B20</f>
        <v>EOG ResourcesProduction, BOE/QOil</v>
      </c>
      <c r="B20" s="70" t="s">
        <v>396</v>
      </c>
      <c r="C20" s="73" t="s">
        <v>564</v>
      </c>
      <c r="D20" s="108"/>
      <c r="E20" s="105">
        <f>IF($B$2="A3",SUMIFS('$33'!$H$9:$H$2139,'$33'!$A$9:$A$2139,$B$9,'$33'!$G$9:$G$2139,$B20)*365/4, SUMIFS('$22'!$H$9:$H$2140,'$22'!$A$9:$A$2140,$B$9,'$22'!$G$9:$G$2140, $B20)*365/4)</f>
        <v>41307.022886413011</v>
      </c>
      <c r="F20" s="66">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40581.183433101243</v>
      </c>
      <c r="G20" s="66">
        <f>F20*(1-INDEX(Assumptions!$A$2:$K$596,MATCH($B9&amp;"Oil production reduction",Assumptions!$A$2:$A$596,0),MATCH(G$2,Assumptions!$A$2:$K$2,0)))</f>
        <v>40581.183433101243</v>
      </c>
      <c r="H20" s="66">
        <f>G20*(1-INDEX(Assumptions!$A$2:$K$596,MATCH($B9&amp;"Oil production reduction",Assumptions!$A$2:$A$596,0),MATCH(H$2,Assumptions!$A$2:$K$2,0)))</f>
        <v>40581.183433101243</v>
      </c>
      <c r="I20" s="66">
        <f>H20*(1-INDEX(Assumptions!$A$2:$K$596,MATCH($B9&amp;"Oil production reduction",Assumptions!$A$2:$A$596,0),MATCH(I$2,Assumptions!$A$2:$K$2,0)))</f>
        <v>40581.183433101243</v>
      </c>
      <c r="J20" s="66">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39326.815926776253</v>
      </c>
      <c r="K20" s="66">
        <f>J20*(1-INDEX(Assumptions!$A$2:$K$596,MATCH($B9&amp;"Oil production reduction",Assumptions!$A$2:$A$596,0),MATCH(K$2,Assumptions!$A$2:$K$2,0)))</f>
        <v>39326.815926776253</v>
      </c>
      <c r="L20" s="66">
        <f>K20*(1-INDEX(Assumptions!$A$2:$K$596,MATCH($B9&amp;"Oil production reduction",Assumptions!$A$2:$A$596,0),MATCH(L$2,Assumptions!$A$2:$K$2,0)))</f>
        <v>39326.815926776253</v>
      </c>
      <c r="M20" s="66">
        <f>L20*(1-INDEX(Assumptions!$A$2:$K$596,MATCH($B9&amp;"Oil production reduction",Assumptions!$A$2:$A$596,0),MATCH(M$2,Assumptions!$A$2:$K$2,0)))</f>
        <v>39326.815926776253</v>
      </c>
    </row>
    <row r="21" spans="1:13" x14ac:dyDescent="0.25">
      <c r="A21" s="2" t="str">
        <f>B9&amp;B19&amp;B21</f>
        <v>EOG ResourcesProduction, BOE/QGas</v>
      </c>
      <c r="B21" s="70" t="s">
        <v>26</v>
      </c>
      <c r="C21" s="73" t="s">
        <v>564</v>
      </c>
      <c r="D21" s="108"/>
      <c r="E21" s="105">
        <f>IF($B$2="A3",SUMIFS('$33'!$H$9:$H$2139,'$33'!$A$9:$A$2139,$B$9,'$33'!$G$9:$G$2139,$B21)*365/4, SUMIFS('$22'!$H$9:$H$2140,'$22'!$A$9:$A$2140,$B$9,'$22'!$G$9:$G$2140, $B21)*365/4)</f>
        <v>20745.75871742213</v>
      </c>
      <c r="F21" s="66">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21320.851005572124</v>
      </c>
      <c r="G21" s="66">
        <f>F21*(1-INDEX(Assumptions!$A$2:$K$596,MATCH($B9&amp;"Gas production reduction",Assumptions!$A$2:$A$596,0),MATCH(G$2,Assumptions!$A$2:$K$2,0)))</f>
        <v>21320.851005572124</v>
      </c>
      <c r="H21" s="66">
        <f>G21*(1-INDEX(Assumptions!$A$2:$K$596,MATCH($B9&amp;"Gas production reduction",Assumptions!$A$2:$A$596,0),MATCH(H$2,Assumptions!$A$2:$K$2,0)))</f>
        <v>21320.851005572124</v>
      </c>
      <c r="I21" s="66">
        <f>H21*(1-INDEX(Assumptions!$A$2:$K$596,MATCH($B9&amp;"Gas production reduction",Assumptions!$A$2:$A$596,0),MATCH(I$2,Assumptions!$A$2:$K$2,0)))</f>
        <v>21320.851005572124</v>
      </c>
      <c r="J21" s="66">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20277.722565384622</v>
      </c>
      <c r="K21" s="66">
        <f>J21*(1-INDEX(Assumptions!$A$2:$K$596,MATCH($B9&amp;"Gas production reduction",Assumptions!$A$2:$A$596,0),MATCH(K$2,Assumptions!$A$2:$K$2,0)))</f>
        <v>20277.722565384622</v>
      </c>
      <c r="L21" s="66">
        <f>K21*(1-INDEX(Assumptions!$A$2:$K$596,MATCH($B9&amp;"Gas production reduction",Assumptions!$A$2:$A$596,0),MATCH(L$2,Assumptions!$A$2:$K$2,0)))</f>
        <v>20277.722565384622</v>
      </c>
      <c r="M21" s="66">
        <f>L21*(1-INDEX(Assumptions!$A$2:$K$596,MATCH($B9&amp;"Gas production reduction",Assumptions!$A$2:$A$596,0),MATCH(M$2,Assumptions!$A$2:$K$2,0)))</f>
        <v>20277.722565384622</v>
      </c>
    </row>
    <row r="22" spans="1:13" x14ac:dyDescent="0.25">
      <c r="A22" s="2" t="str">
        <f>B9&amp;B19&amp;B22</f>
        <v>EOG ResourcesProduction, BOE/QNGL</v>
      </c>
      <c r="B22" s="70" t="s">
        <v>25</v>
      </c>
      <c r="C22" s="73" t="s">
        <v>564</v>
      </c>
      <c r="D22" s="108"/>
      <c r="E22" s="105">
        <f>IF($B$2="A3",SUMIFS('$33'!$H$9:$H$2139,'$33'!$A$9:$A$2139,$B$9,'$33'!$G$9:$G$2139,$B22)*365/4, SUMIFS('$22'!$H$9:$H$2140,'$22'!$A$9:$A$2140,$B$9,'$22'!$G$9:$G$2140, $B22)*365/4)</f>
        <v>12158.972662185</v>
      </c>
      <c r="F22" s="66">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13546.622448598746</v>
      </c>
      <c r="G22" s="66">
        <f>F22*(1-INDEX(Assumptions!$A$2:$K$596,MATCH($B9&amp;"NGL production reduction",Assumptions!$A$2:$A$596,0),MATCH(G$2,Assumptions!$A$2:$K$2,0)))</f>
        <v>13546.622448598746</v>
      </c>
      <c r="H22" s="66">
        <f>G22*(1-INDEX(Assumptions!$A$2:$K$596,MATCH($B9&amp;"NGL production reduction",Assumptions!$A$2:$A$596,0),MATCH(H$2,Assumptions!$A$2:$K$2,0)))</f>
        <v>13546.622448598746</v>
      </c>
      <c r="I22" s="66">
        <f>H22*(1-INDEX(Assumptions!$A$2:$K$596,MATCH($B9&amp;"NGL production reduction",Assumptions!$A$2:$A$596,0),MATCH(I$2,Assumptions!$A$2:$K$2,0)))</f>
        <v>13546.622448598746</v>
      </c>
      <c r="J22" s="66">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13114.683456554998</v>
      </c>
      <c r="K22" s="66">
        <f>J22*(1-INDEX(Assumptions!$A$2:$K$596,MATCH($B9&amp;"NGL production reduction",Assumptions!$A$2:$A$596,0),MATCH(K$2,Assumptions!$A$2:$K$2,0)))</f>
        <v>13114.683456554998</v>
      </c>
      <c r="L22" s="66">
        <f>K22*(1-INDEX(Assumptions!$A$2:$K$596,MATCH($B9&amp;"NGL production reduction",Assumptions!$A$2:$A$596,0),MATCH(L$2,Assumptions!$A$2:$K$2,0)))</f>
        <v>13114.683456554998</v>
      </c>
      <c r="M22" s="66">
        <f>L22*(1-INDEX(Assumptions!$A$2:$K$596,MATCH($B9&amp;"NGL production reduction",Assumptions!$A$2:$A$596,0),MATCH(M$2,Assumptions!$A$2:$K$2,0)))</f>
        <v>13114.683456554998</v>
      </c>
    </row>
    <row r="23" spans="1:13" x14ac:dyDescent="0.25">
      <c r="A23" s="2" t="str">
        <f>B9&amp;B19&amp;B23</f>
        <v>EOG ResourcesProduction, BOE/QCondensate</v>
      </c>
      <c r="B23" s="70" t="s">
        <v>24</v>
      </c>
      <c r="C23" s="73" t="s">
        <v>564</v>
      </c>
      <c r="D23" s="108"/>
      <c r="E23" s="105">
        <f>IF($B$2="A3",SUMIFS('$33'!$H$9:$H$2139,'$33'!$A$9:$A$2139,$B$9,'$33'!$G$9:$G$2139,$B23)*365/4, SUMIFS('$22'!$H$9:$H$2140,'$22'!$A$9:$A$2140,$B$9,'$22'!$G$9:$G$2140, $B23)*365/4)</f>
        <v>102.64190613875</v>
      </c>
      <c r="F23" s="66">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84.635083191250004</v>
      </c>
      <c r="G23" s="66">
        <f>F23*(1-INDEX(Assumptions!$A$2:$K$596,MATCH($B9&amp;"Condensate production reduction",Assumptions!$A$2:$A$596,0),MATCH(G$2,Assumptions!$A$2:$K$2,0)))</f>
        <v>84.635083191250004</v>
      </c>
      <c r="H23" s="66">
        <f>G23*(1-INDEX(Assumptions!$A$2:$K$596,MATCH($B9&amp;"Condensate production reduction",Assumptions!$A$2:$A$596,0),MATCH(H$2,Assumptions!$A$2:$K$2,0)))</f>
        <v>84.635083191250004</v>
      </c>
      <c r="I23" s="66">
        <f>H23*(1-INDEX(Assumptions!$A$2:$K$596,MATCH($B9&amp;"Condensate production reduction",Assumptions!$A$2:$A$596,0),MATCH(I$2,Assumptions!$A$2:$K$2,0)))</f>
        <v>84.635083191250004</v>
      </c>
      <c r="J23" s="66">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82.191051221250007</v>
      </c>
      <c r="K23" s="66">
        <f>J23*(1-INDEX(Assumptions!$A$2:$K$596,MATCH($B9&amp;"Condensate production reduction",Assumptions!$A$2:$A$596,0),MATCH(K$2,Assumptions!$A$2:$K$2,0)))</f>
        <v>82.191051221250007</v>
      </c>
      <c r="L23" s="66">
        <f>K23*(1-INDEX(Assumptions!$A$2:$K$596,MATCH($B9&amp;"Condensate production reduction",Assumptions!$A$2:$A$596,0),MATCH(L$2,Assumptions!$A$2:$K$2,0)))</f>
        <v>82.191051221250007</v>
      </c>
      <c r="M23" s="66">
        <f>L23*(1-INDEX(Assumptions!$A$2:$K$596,MATCH($B9&amp;"Condensate production reduction",Assumptions!$A$2:$A$596,0),MATCH(M$2,Assumptions!$A$2:$K$2,0)))</f>
        <v>82.191051221250007</v>
      </c>
    </row>
    <row r="24" spans="1:13" x14ac:dyDescent="0.25">
      <c r="A24" s="2" t="str">
        <f>B9&amp;B19&amp;B24</f>
        <v>EOG ResourcesProduction, BOE/QTotal production</v>
      </c>
      <c r="B24" s="97" t="s">
        <v>397</v>
      </c>
      <c r="C24" s="77"/>
      <c r="D24" s="114"/>
      <c r="E24" s="120">
        <f>SUM(E20:E23)</f>
        <v>74314.3961721589</v>
      </c>
      <c r="F24" s="121">
        <f>SUM(F20:F23)</f>
        <v>75533.291970463368</v>
      </c>
      <c r="G24" s="121">
        <f t="shared" ref="G24:M24" si="5">SUM(G20:G23)</f>
        <v>75533.291970463368</v>
      </c>
      <c r="H24" s="121">
        <f t="shared" si="5"/>
        <v>75533.291970463368</v>
      </c>
      <c r="I24" s="121">
        <f t="shared" si="5"/>
        <v>75533.291970463368</v>
      </c>
      <c r="J24" s="121">
        <f t="shared" si="5"/>
        <v>72801.412999937122</v>
      </c>
      <c r="K24" s="121">
        <f t="shared" si="5"/>
        <v>72801.412999937122</v>
      </c>
      <c r="L24" s="121">
        <f t="shared" si="5"/>
        <v>72801.412999937122</v>
      </c>
      <c r="M24" s="121">
        <f t="shared" si="5"/>
        <v>72801.412999937122</v>
      </c>
    </row>
    <row r="25" spans="1:13" x14ac:dyDescent="0.25">
      <c r="B25" s="31"/>
      <c r="C25" s="31"/>
      <c r="D25" s="115"/>
      <c r="E25" s="67"/>
      <c r="F25" s="67"/>
      <c r="G25" s="67"/>
      <c r="H25" s="67"/>
      <c r="I25" s="197">
        <f>SUM($F$29:$I$29)</f>
        <v>8535781.1910622232</v>
      </c>
      <c r="J25" s="67"/>
      <c r="K25" s="67"/>
      <c r="L25" s="67"/>
      <c r="M25" s="197">
        <f>SUM($J$29:$M$29)</f>
        <v>8282635.7944500297</v>
      </c>
    </row>
    <row r="26" spans="1:13" x14ac:dyDescent="0.25">
      <c r="A26" s="2" t="str">
        <f>B9&amp;B26</f>
        <v>EOG ResourcesRevenues</v>
      </c>
      <c r="B26" s="64" t="s">
        <v>472</v>
      </c>
      <c r="C26" s="64"/>
      <c r="D26" s="111"/>
      <c r="E26" s="53"/>
      <c r="F26" s="202">
        <f>F29/$I$25</f>
        <v>0.39299481783470597</v>
      </c>
      <c r="G26" s="202">
        <f t="shared" ref="G26:I26" si="6">G29/$I$25</f>
        <v>0.18728667226158757</v>
      </c>
      <c r="H26" s="202">
        <f t="shared" si="6"/>
        <v>0.20233506072176474</v>
      </c>
      <c r="I26" s="202">
        <f t="shared" si="6"/>
        <v>0.21738344918194172</v>
      </c>
      <c r="J26" s="202">
        <f>J29/$M$25</f>
        <v>0.23123358663941504</v>
      </c>
      <c r="K26" s="202">
        <f t="shared" ref="K26:M26" si="7">K29/$M$25</f>
        <v>0.24624671732788297</v>
      </c>
      <c r="L26" s="202">
        <f t="shared" si="7"/>
        <v>0.26125984801635099</v>
      </c>
      <c r="M26" s="202">
        <f t="shared" si="7"/>
        <v>0.26125984801635099</v>
      </c>
    </row>
    <row r="27" spans="1:13" x14ac:dyDescent="0.25">
      <c r="A27" s="2" t="str">
        <f>B9&amp;B27</f>
        <v>EOG ResourcesSales Revenue</v>
      </c>
      <c r="B27" s="70" t="s">
        <v>461</v>
      </c>
      <c r="C27" s="82" t="s">
        <v>536</v>
      </c>
      <c r="D27" s="108"/>
      <c r="E27" s="83">
        <f>(9612532+784818+1184095)/4</f>
        <v>2895361.25</v>
      </c>
      <c r="F27" s="50">
        <f>SUMPRODUCT(F11:F14,F20:F23)</f>
        <v>2258770.0728289629</v>
      </c>
      <c r="G27" s="50">
        <f t="shared" ref="G27:M27" si="8">SUMPRODUCT(G11:G14,G20:G23)</f>
        <v>1076445.5691172252</v>
      </c>
      <c r="H27" s="50">
        <f t="shared" si="8"/>
        <v>1162937.4208048203</v>
      </c>
      <c r="I27" s="50">
        <f t="shared" si="8"/>
        <v>1249429.2724924146</v>
      </c>
      <c r="J27" s="50">
        <f t="shared" si="8"/>
        <v>1289618.9556791352</v>
      </c>
      <c r="K27" s="50">
        <f t="shared" si="8"/>
        <v>1373349.0841666036</v>
      </c>
      <c r="L27" s="50">
        <f t="shared" si="8"/>
        <v>1457079.2126540723</v>
      </c>
      <c r="M27" s="50">
        <f t="shared" si="8"/>
        <v>1457079.2126540723</v>
      </c>
    </row>
    <row r="28" spans="1:13" x14ac:dyDescent="0.25">
      <c r="A28" s="2" t="str">
        <f>B9&amp;B28</f>
        <v>EOG ResourcesOther Revenue</v>
      </c>
      <c r="B28" s="70" t="s">
        <v>462</v>
      </c>
      <c r="C28" s="82" t="s">
        <v>533</v>
      </c>
      <c r="D28" s="139">
        <f>$E28/$E27</f>
        <v>0.48510811906458995</v>
      </c>
      <c r="E28" s="83">
        <f>(5360282+123613+134358)/4</f>
        <v>1404563.25</v>
      </c>
      <c r="F28" s="50">
        <f>F27*$D28</f>
        <v>1095747.7014294451</v>
      </c>
      <c r="G28" s="50">
        <f t="shared" ref="G28:M28" si="9">G27*$D28</f>
        <v>522192.48530986917</v>
      </c>
      <c r="H28" s="50">
        <f t="shared" si="9"/>
        <v>564150.38479645189</v>
      </c>
      <c r="I28" s="50">
        <f t="shared" si="9"/>
        <v>606108.28428303427</v>
      </c>
      <c r="J28" s="50">
        <f t="shared" si="9"/>
        <v>625604.62589954608</v>
      </c>
      <c r="K28" s="50">
        <f t="shared" si="9"/>
        <v>666222.79103913833</v>
      </c>
      <c r="L28" s="50">
        <f t="shared" si="9"/>
        <v>706840.9561787307</v>
      </c>
      <c r="M28" s="50">
        <f t="shared" si="9"/>
        <v>706840.9561787307</v>
      </c>
    </row>
    <row r="29" spans="1:13" x14ac:dyDescent="0.25">
      <c r="A29" s="2" t="str">
        <f>B9&amp;B29</f>
        <v>EOG ResourcesTotal Revenue</v>
      </c>
      <c r="B29" s="84" t="s">
        <v>395</v>
      </c>
      <c r="C29" s="85"/>
      <c r="D29" s="63">
        <f>SUMPRODUCT(E11:E14,E20:E23)*(1+D28)</f>
        <v>4275557.6951030092</v>
      </c>
      <c r="E29" s="63">
        <f>SUM(E27:E28)</f>
        <v>4299924.5</v>
      </c>
      <c r="F29" s="62">
        <f t="shared" ref="F29:M29" si="10">SUM(F27:F28)</f>
        <v>3354517.7742584078</v>
      </c>
      <c r="G29" s="62">
        <f t="shared" si="10"/>
        <v>1598638.0544270943</v>
      </c>
      <c r="H29" s="62">
        <f t="shared" si="10"/>
        <v>1727087.8056012723</v>
      </c>
      <c r="I29" s="62">
        <f t="shared" si="10"/>
        <v>1855537.5567754488</v>
      </c>
      <c r="J29" s="62">
        <f t="shared" si="10"/>
        <v>1915223.5815786812</v>
      </c>
      <c r="K29" s="62">
        <f t="shared" si="10"/>
        <v>2039571.875205742</v>
      </c>
      <c r="L29" s="62">
        <f t="shared" si="10"/>
        <v>2163920.1688328031</v>
      </c>
      <c r="M29" s="62">
        <f t="shared" si="10"/>
        <v>2163920.1688328031</v>
      </c>
    </row>
    <row r="30" spans="1:13" x14ac:dyDescent="0.25">
      <c r="A30" s="2" t="str">
        <f>B9&amp;B30</f>
        <v>EOG ResourcesCosts and Expenses</v>
      </c>
      <c r="B30" s="72" t="s">
        <v>473</v>
      </c>
      <c r="C30" s="72"/>
      <c r="D30" s="112"/>
      <c r="E30" s="83"/>
      <c r="F30" s="199"/>
      <c r="G30" s="50"/>
      <c r="H30" s="50"/>
      <c r="I30" s="50"/>
      <c r="J30" s="50"/>
      <c r="K30" s="50"/>
      <c r="L30" s="50"/>
      <c r="M30" s="50"/>
    </row>
    <row r="31" spans="1:13" x14ac:dyDescent="0.25">
      <c r="A31" s="2" t="str">
        <f>B9&amp;B31</f>
        <v>EOG ResourcesImpairment</v>
      </c>
      <c r="B31" s="70" t="s">
        <v>463</v>
      </c>
      <c r="C31" s="82" t="s">
        <v>537</v>
      </c>
      <c r="D31" s="108"/>
      <c r="E31" s="83">
        <f>517896/4</f>
        <v>129474</v>
      </c>
      <c r="F31" s="157">
        <f>E31</f>
        <v>129474</v>
      </c>
      <c r="G31" s="157">
        <f t="shared" ref="G31:M31" si="11">F31</f>
        <v>129474</v>
      </c>
      <c r="H31" s="157">
        <f t="shared" si="11"/>
        <v>129474</v>
      </c>
      <c r="I31" s="157">
        <f t="shared" si="11"/>
        <v>129474</v>
      </c>
      <c r="J31" s="157">
        <f t="shared" si="11"/>
        <v>129474</v>
      </c>
      <c r="K31" s="157">
        <f t="shared" si="11"/>
        <v>129474</v>
      </c>
      <c r="L31" s="157">
        <f t="shared" si="11"/>
        <v>129474</v>
      </c>
      <c r="M31" s="157">
        <f t="shared" si="11"/>
        <v>129474</v>
      </c>
    </row>
    <row r="32" spans="1:13" x14ac:dyDescent="0.25">
      <c r="A32" s="2" t="str">
        <f>B9&amp;B32</f>
        <v>EOG ResourcesDD&amp;A</v>
      </c>
      <c r="B32" s="70" t="s">
        <v>464</v>
      </c>
      <c r="C32" s="106" t="s">
        <v>545</v>
      </c>
      <c r="D32" s="108">
        <f>E32/E24</f>
        <v>12.614325733446472</v>
      </c>
      <c r="E32" s="83">
        <f>3749704/4</f>
        <v>937426</v>
      </c>
      <c r="F32" s="50">
        <f>$D32*F24</f>
        <v>952801.54863494192</v>
      </c>
      <c r="G32" s="50">
        <f t="shared" ref="G32:M32" si="12">$D32*G24</f>
        <v>952801.54863494192</v>
      </c>
      <c r="H32" s="50">
        <f t="shared" si="12"/>
        <v>952801.54863494192</v>
      </c>
      <c r="I32" s="50">
        <f t="shared" si="12"/>
        <v>952801.54863494192</v>
      </c>
      <c r="J32" s="50">
        <f t="shared" si="12"/>
        <v>918340.73743637139</v>
      </c>
      <c r="K32" s="50">
        <f t="shared" si="12"/>
        <v>918340.73743637139</v>
      </c>
      <c r="L32" s="50">
        <f t="shared" si="12"/>
        <v>918340.73743637139</v>
      </c>
      <c r="M32" s="50">
        <f t="shared" si="12"/>
        <v>918340.73743637139</v>
      </c>
    </row>
    <row r="33" spans="1:13" x14ac:dyDescent="0.25">
      <c r="A33" s="2" t="str">
        <f>B9&amp;B33</f>
        <v>EOG ResourcesAsset retirement obligation</v>
      </c>
      <c r="B33" s="70" t="s">
        <v>465</v>
      </c>
      <c r="C33" s="106" t="s">
        <v>545</v>
      </c>
      <c r="D33" s="108">
        <f>E33/E24</f>
        <v>0</v>
      </c>
      <c r="E33" s="83">
        <v>0</v>
      </c>
      <c r="F33" s="50">
        <f>$D33*F24</f>
        <v>0</v>
      </c>
      <c r="G33" s="50">
        <f t="shared" ref="G33:M33" si="13">$D33*G24</f>
        <v>0</v>
      </c>
      <c r="H33" s="50">
        <f t="shared" si="13"/>
        <v>0</v>
      </c>
      <c r="I33" s="50">
        <f t="shared" si="13"/>
        <v>0</v>
      </c>
      <c r="J33" s="50">
        <f t="shared" si="13"/>
        <v>0</v>
      </c>
      <c r="K33" s="50">
        <f t="shared" si="13"/>
        <v>0</v>
      </c>
      <c r="L33" s="50">
        <f t="shared" si="13"/>
        <v>0</v>
      </c>
      <c r="M33" s="50">
        <f t="shared" si="13"/>
        <v>0</v>
      </c>
    </row>
    <row r="34" spans="1:13" x14ac:dyDescent="0.25">
      <c r="A34" s="2" t="str">
        <f>B9&amp;B34</f>
        <v>EOG ResourcesNon-cash compensation</v>
      </c>
      <c r="B34" s="70" t="s">
        <v>505</v>
      </c>
      <c r="C34" s="106" t="s">
        <v>878</v>
      </c>
      <c r="D34" s="108">
        <f>E34/E24</f>
        <v>0</v>
      </c>
      <c r="E34" s="83">
        <f>0/4</f>
        <v>0</v>
      </c>
      <c r="F34" s="50">
        <f>$E34*((F$4*0.0266+11.643)*F$24)/(($E$4*0.0266+11.643)*$E$24)</f>
        <v>0</v>
      </c>
      <c r="G34" s="50">
        <f t="shared" ref="G34:M34" si="14">$E34*((G$4*0.0266+11.643)*G$24)/(($E$4*0.0266+11.643)*$E$24)</f>
        <v>0</v>
      </c>
      <c r="H34" s="50">
        <f t="shared" si="14"/>
        <v>0</v>
      </c>
      <c r="I34" s="50">
        <f t="shared" si="14"/>
        <v>0</v>
      </c>
      <c r="J34" s="50">
        <f t="shared" si="14"/>
        <v>0</v>
      </c>
      <c r="K34" s="50">
        <f t="shared" si="14"/>
        <v>0</v>
      </c>
      <c r="L34" s="50">
        <f t="shared" si="14"/>
        <v>0</v>
      </c>
      <c r="M34" s="50">
        <f t="shared" si="14"/>
        <v>0</v>
      </c>
    </row>
    <row r="35" spans="1:13" x14ac:dyDescent="0.25">
      <c r="A35" s="2" t="str">
        <f>B9&amp;B35</f>
        <v>EOG ResourcesTaxes other than income</v>
      </c>
      <c r="B35" s="70" t="s">
        <v>467</v>
      </c>
      <c r="C35" s="106" t="s">
        <v>545</v>
      </c>
      <c r="D35" s="108">
        <f>E35/E24</f>
        <v>2.6918202973294592</v>
      </c>
      <c r="E35" s="83">
        <f>800164/4</f>
        <v>200041</v>
      </c>
      <c r="F35" s="50">
        <f>$D35*F24</f>
        <v>203322.04845020556</v>
      </c>
      <c r="G35" s="50">
        <f t="shared" ref="G35:M35" si="15">$D35*G24</f>
        <v>203322.04845020556</v>
      </c>
      <c r="H35" s="50">
        <f t="shared" si="15"/>
        <v>203322.04845020556</v>
      </c>
      <c r="I35" s="50">
        <f t="shared" si="15"/>
        <v>203322.04845020556</v>
      </c>
      <c r="J35" s="50">
        <f t="shared" si="15"/>
        <v>195968.32118749549</v>
      </c>
      <c r="K35" s="50">
        <f t="shared" si="15"/>
        <v>195968.32118749549</v>
      </c>
      <c r="L35" s="50">
        <f t="shared" si="15"/>
        <v>195968.32118749549</v>
      </c>
      <c r="M35" s="50">
        <f t="shared" si="15"/>
        <v>195968.32118749549</v>
      </c>
    </row>
    <row r="36" spans="1:13" x14ac:dyDescent="0.25">
      <c r="A36" s="2" t="str">
        <f>B9&amp;B36</f>
        <v>EOG ResourcesLease operating expenses</v>
      </c>
      <c r="B36" s="70" t="s">
        <v>468</v>
      </c>
      <c r="C36" s="106" t="s">
        <v>878</v>
      </c>
      <c r="D36" s="108">
        <f>E36/E24</f>
        <v>4.5986816498958829</v>
      </c>
      <c r="E36" s="83">
        <f>1366993/4</f>
        <v>341748.25</v>
      </c>
      <c r="F36" s="50">
        <f>$E36*((F$4*0.0266+11.643)*F$24)/(($E$4*0.0266+11.643)*$E$24)</f>
        <v>337986.09930241934</v>
      </c>
      <c r="G36" s="50">
        <f t="shared" ref="G36:M38" si="16">$E36*((G$4*0.0266+11.643)*G$24)/(($E$4*0.0266+11.643)*$E$24)</f>
        <v>316664.26846475416</v>
      </c>
      <c r="H36" s="50">
        <f t="shared" si="16"/>
        <v>318047.96777336398</v>
      </c>
      <c r="I36" s="50">
        <f t="shared" si="16"/>
        <v>319431.66708197386</v>
      </c>
      <c r="J36" s="50">
        <f t="shared" si="16"/>
        <v>309212.15501186048</v>
      </c>
      <c r="K36" s="50">
        <f t="shared" si="16"/>
        <v>310545.80885119294</v>
      </c>
      <c r="L36" s="50">
        <f t="shared" si="16"/>
        <v>311879.46269052546</v>
      </c>
      <c r="M36" s="50">
        <f t="shared" si="16"/>
        <v>311879.46269052546</v>
      </c>
    </row>
    <row r="37" spans="1:13" x14ac:dyDescent="0.25">
      <c r="A37" s="2" t="str">
        <f>B9&amp;B37</f>
        <v>EOG ResourcesTransportation, Processing, and Other Operating</v>
      </c>
      <c r="B37" s="70" t="s">
        <v>469</v>
      </c>
      <c r="C37" s="106" t="s">
        <v>878</v>
      </c>
      <c r="D37" s="108">
        <f>E37/E24</f>
        <v>4.1627264155299004</v>
      </c>
      <c r="E37" s="83">
        <f>(758300+479102)/4</f>
        <v>309350.5</v>
      </c>
      <c r="F37" s="50">
        <f>$E37*((F$4*0.0266+11.643)*F$24)/(($E$4*0.0266+11.643)*$E$24)</f>
        <v>305945.00136358588</v>
      </c>
      <c r="G37" s="50">
        <f t="shared" si="16"/>
        <v>286644.48108133965</v>
      </c>
      <c r="H37" s="50">
        <f t="shared" si="16"/>
        <v>287897.00563111604</v>
      </c>
      <c r="I37" s="50">
        <f t="shared" si="16"/>
        <v>289149.53018089238</v>
      </c>
      <c r="J37" s="50">
        <f t="shared" si="16"/>
        <v>279898.82833049336</v>
      </c>
      <c r="K37" s="50">
        <f t="shared" si="16"/>
        <v>281106.05172380822</v>
      </c>
      <c r="L37" s="50">
        <f t="shared" si="16"/>
        <v>282313.27511712321</v>
      </c>
      <c r="M37" s="50">
        <f t="shared" si="16"/>
        <v>282313.27511712321</v>
      </c>
    </row>
    <row r="38" spans="1:13" x14ac:dyDescent="0.25">
      <c r="A38" s="2" t="str">
        <f>B9&amp;B38</f>
        <v>EOG ResourcesSG&amp;A</v>
      </c>
      <c r="B38" s="70" t="s">
        <v>470</v>
      </c>
      <c r="C38" s="106" t="s">
        <v>878</v>
      </c>
      <c r="D38" s="108">
        <f>E38/E24</f>
        <v>1.6463734660046507</v>
      </c>
      <c r="E38" s="83">
        <f>(489397)/4</f>
        <v>122349.25</v>
      </c>
      <c r="F38" s="50">
        <f>$E38*((F$4*0.0266+11.643)*F$24)/(($E$4*0.0266+11.643)*$E$24)</f>
        <v>121002.36287991684</v>
      </c>
      <c r="G38" s="50">
        <f t="shared" si="16"/>
        <v>113368.93677864138</v>
      </c>
      <c r="H38" s="50">
        <f t="shared" si="16"/>
        <v>113864.31480218335</v>
      </c>
      <c r="I38" s="50">
        <f t="shared" si="16"/>
        <v>114359.69282572535</v>
      </c>
      <c r="J38" s="50">
        <f t="shared" si="16"/>
        <v>110701.00653502942</v>
      </c>
      <c r="K38" s="50">
        <f t="shared" si="16"/>
        <v>111178.46778611689</v>
      </c>
      <c r="L38" s="50">
        <f t="shared" si="16"/>
        <v>111655.92903720436</v>
      </c>
      <c r="M38" s="50">
        <f t="shared" si="16"/>
        <v>111655.92903720436</v>
      </c>
    </row>
    <row r="39" spans="1:13" x14ac:dyDescent="0.25">
      <c r="A39" s="2" t="str">
        <f>B9&amp;B39</f>
        <v>EOG ResourcesExploratory and dirt well, dry hole</v>
      </c>
      <c r="B39" s="70" t="s">
        <v>561</v>
      </c>
      <c r="C39" s="106" t="s">
        <v>545</v>
      </c>
      <c r="D39" s="108">
        <f>E39/E24</f>
        <v>0.56476944120988237</v>
      </c>
      <c r="E39" s="83">
        <f>(28001+139881)/4</f>
        <v>41970.5</v>
      </c>
      <c r="F39" s="50">
        <f>$D39*F$24</f>
        <v>42658.895098901492</v>
      </c>
      <c r="G39" s="50">
        <f t="shared" ref="G39:M39" si="17">$D39*G$24</f>
        <v>42658.895098901492</v>
      </c>
      <c r="H39" s="50">
        <f t="shared" si="17"/>
        <v>42658.895098901492</v>
      </c>
      <c r="I39" s="50">
        <f t="shared" si="17"/>
        <v>42658.895098901492</v>
      </c>
      <c r="J39" s="50">
        <f t="shared" si="17"/>
        <v>41116.013339264355</v>
      </c>
      <c r="K39" s="50">
        <f t="shared" si="17"/>
        <v>41116.013339264355</v>
      </c>
      <c r="L39" s="50">
        <f t="shared" si="17"/>
        <v>41116.013339264355</v>
      </c>
      <c r="M39" s="50">
        <f t="shared" si="17"/>
        <v>41116.013339264355</v>
      </c>
    </row>
    <row r="40" spans="1:13" x14ac:dyDescent="0.25">
      <c r="A40" s="2" t="str">
        <f>B9&amp;B40</f>
        <v>EOG ResourcesOther Expenses (benefits)</v>
      </c>
      <c r="B40" s="70" t="s">
        <v>471</v>
      </c>
      <c r="C40" s="106" t="s">
        <v>545</v>
      </c>
      <c r="D40" s="108">
        <f>E40/E24</f>
        <v>18.002985544020646</v>
      </c>
      <c r="E40" s="146">
        <f>(5351524)/4</f>
        <v>1337881</v>
      </c>
      <c r="F40" s="50">
        <f t="shared" ref="F40:M40" si="18">$D40*F24</f>
        <v>1359824.7634365428</v>
      </c>
      <c r="G40" s="50">
        <f t="shared" si="18"/>
        <v>1359824.7634365428</v>
      </c>
      <c r="H40" s="50">
        <f t="shared" si="18"/>
        <v>1359824.7634365428</v>
      </c>
      <c r="I40" s="50">
        <f t="shared" si="18"/>
        <v>1359824.7634365428</v>
      </c>
      <c r="J40" s="50">
        <f t="shared" si="18"/>
        <v>1310642.7858221447</v>
      </c>
      <c r="K40" s="50">
        <f t="shared" si="18"/>
        <v>1310642.7858221447</v>
      </c>
      <c r="L40" s="50">
        <f t="shared" si="18"/>
        <v>1310642.7858221447</v>
      </c>
      <c r="M40" s="50">
        <f t="shared" si="18"/>
        <v>1310642.7858221447</v>
      </c>
    </row>
    <row r="41" spans="1:13" x14ac:dyDescent="0.25">
      <c r="A41" s="2" t="str">
        <f>B9&amp;B41</f>
        <v>EOG ResourcesTotal Costs and Expenses</v>
      </c>
      <c r="B41" s="84" t="s">
        <v>474</v>
      </c>
      <c r="C41" s="85"/>
      <c r="D41" s="110"/>
      <c r="E41" s="63">
        <f>SUM(E31:E40)</f>
        <v>3420240.5</v>
      </c>
      <c r="F41" s="62">
        <f t="shared" ref="F41:M41" si="19">SUM(F31:F40)</f>
        <v>3453014.7191665135</v>
      </c>
      <c r="G41" s="62">
        <f t="shared" si="19"/>
        <v>3404758.9419453265</v>
      </c>
      <c r="H41" s="62">
        <f t="shared" si="19"/>
        <v>3407890.5438272553</v>
      </c>
      <c r="I41" s="62">
        <f t="shared" si="19"/>
        <v>3411022.1457091831</v>
      </c>
      <c r="J41" s="62">
        <f t="shared" si="19"/>
        <v>3295353.8476626594</v>
      </c>
      <c r="K41" s="62">
        <f t="shared" si="19"/>
        <v>3298372.1861463943</v>
      </c>
      <c r="L41" s="62">
        <f t="shared" si="19"/>
        <v>3301390.5246301289</v>
      </c>
      <c r="M41" s="62">
        <f t="shared" si="19"/>
        <v>3301390.5246301289</v>
      </c>
    </row>
    <row r="42" spans="1:13" x14ac:dyDescent="0.25">
      <c r="A42" s="2" t="str">
        <f>B9&amp;B42</f>
        <v>EOG ResourcesOther (Income) Expense</v>
      </c>
      <c r="B42" s="72" t="s">
        <v>506</v>
      </c>
      <c r="C42" s="72"/>
      <c r="D42" s="112"/>
      <c r="E42" s="83"/>
      <c r="F42" s="50"/>
      <c r="G42" s="50"/>
      <c r="H42" s="50"/>
      <c r="I42" s="50"/>
      <c r="J42" s="50"/>
      <c r="K42" s="50"/>
      <c r="L42" s="50"/>
      <c r="M42" s="50"/>
    </row>
    <row r="43" spans="1:13" x14ac:dyDescent="0.25">
      <c r="A43" s="2" t="str">
        <f>B9&amp;B43</f>
        <v>EOG ResourcesLoss (gain) on derivative instruments, net</v>
      </c>
      <c r="B43" s="70" t="s">
        <v>466</v>
      </c>
      <c r="C43" s="107" t="s">
        <v>879</v>
      </c>
      <c r="D43" s="108"/>
      <c r="E43" s="83">
        <f>-180275/4</f>
        <v>-45068.75</v>
      </c>
      <c r="F43" s="157">
        <f>E43</f>
        <v>-45068.75</v>
      </c>
      <c r="G43" s="157">
        <f t="shared" ref="G43:M43" si="20">F43</f>
        <v>-45068.75</v>
      </c>
      <c r="H43" s="157">
        <f t="shared" si="20"/>
        <v>-45068.75</v>
      </c>
      <c r="I43" s="157">
        <f t="shared" si="20"/>
        <v>-45068.75</v>
      </c>
      <c r="J43" s="157">
        <f t="shared" si="20"/>
        <v>-45068.75</v>
      </c>
      <c r="K43" s="157">
        <f t="shared" si="20"/>
        <v>-45068.75</v>
      </c>
      <c r="L43" s="157">
        <f t="shared" si="20"/>
        <v>-45068.75</v>
      </c>
      <c r="M43" s="157">
        <f t="shared" si="20"/>
        <v>-45068.75</v>
      </c>
    </row>
    <row r="44" spans="1:13" x14ac:dyDescent="0.25">
      <c r="A44" s="2" t="str">
        <f>B9&amp;B44</f>
        <v>EOG ResourcesInterest expense, net</v>
      </c>
      <c r="B44" s="70" t="s">
        <v>475</v>
      </c>
      <c r="C44" s="82" t="s">
        <v>526</v>
      </c>
      <c r="D44" s="108"/>
      <c r="E44" s="188">
        <f>185129/4</f>
        <v>46282.25</v>
      </c>
      <c r="F44" s="188">
        <f>$E73*(F78/E78)*(($E44/$E73)+IF($B$2="A3",(('Quarterly Forecasts'!$K$5-'Quarterly Forecasts'!$G$5)/400),(('Quarterly Forecasts'!$K$26-'Quarterly Forecasts'!$G$26)/400)))</f>
        <v>50863.395001723089</v>
      </c>
      <c r="G44" s="188">
        <f>$E73*(G78/F78)*(($E44/$E73)+IF($B$2="A3",(('Quarterly Forecasts'!$K$5-'Quarterly Forecasts'!$G$5)/400),(('Quarterly Forecasts'!$K$26-'Quarterly Forecasts'!$G$26)/400)))</f>
        <v>50732.852180780006</v>
      </c>
      <c r="H44" s="188">
        <f>$E73*(H78/G78)*(($E44/$E73)+IF($B$2="A3",(('Quarterly Forecasts'!$K$5-'Quarterly Forecasts'!$G$5)/400),(('Quarterly Forecasts'!$K$26-'Quarterly Forecasts'!$G$26)/400)))</f>
        <v>50732.852180780006</v>
      </c>
      <c r="I44" s="188">
        <f>$E73*(I78/H78)*(($E44/$E73)+IF($B$2="A3",(('Quarterly Forecasts'!$K$5-'Quarterly Forecasts'!$G$5)/400),(('Quarterly Forecasts'!$K$26-'Quarterly Forecasts'!$G$26)/400)))</f>
        <v>50732.852180780006</v>
      </c>
      <c r="J44" s="188">
        <f>$I73*(J78/I78)*(($I44/$I73)+ IF($B$2 = "A3", (('Quarterly Forecasts'!$O$5-'Quarterly Forecasts'!$K$5)/400),  (('Quarterly Forecasts'!$O$26-'Quarterly Forecasts'!$K$26)/400)))</f>
        <v>45956.86113042583</v>
      </c>
      <c r="K44" s="188">
        <f>$I73*(K78/J78)*(($I44/$I73)+ IF($B$2 = "A3", (('Quarterly Forecasts'!$O$5-'Quarterly Forecasts'!$K$5)/400),  (('Quarterly Forecasts'!$O$26-'Quarterly Forecasts'!$K$26)/400)))</f>
        <v>46222.748858300001</v>
      </c>
      <c r="L44" s="188">
        <f>$I73*(L78/K78)*(($I44/$I73)+ IF($B$2 = "A3", (('Quarterly Forecasts'!$O$5-'Quarterly Forecasts'!$K$5)/400),  (('Quarterly Forecasts'!$O$26-'Quarterly Forecasts'!$K$26)/400)))</f>
        <v>46222.748858300001</v>
      </c>
      <c r="M44" s="188">
        <f>$I73*(M78/L78)*(($I44/$I73)+ IF($B$2 = "A3", (('Quarterly Forecasts'!$O$5-'Quarterly Forecasts'!$K$5)/400),  (('Quarterly Forecasts'!$O$26-'Quarterly Forecasts'!$K$26)/400)))</f>
        <v>46222.748858300001</v>
      </c>
    </row>
    <row r="45" spans="1:13" x14ac:dyDescent="0.25">
      <c r="A45" s="2" t="str">
        <f>B9&amp;B45</f>
        <v>EOG ResourcesOther, net</v>
      </c>
      <c r="B45" s="70" t="s">
        <v>508</v>
      </c>
      <c r="C45" s="82" t="s">
        <v>509</v>
      </c>
      <c r="D45" s="108"/>
      <c r="E45" s="83">
        <f>(-31385)/4</f>
        <v>-7846.25</v>
      </c>
      <c r="F45" s="50">
        <f>E45</f>
        <v>-7846.25</v>
      </c>
      <c r="G45" s="50">
        <f t="shared" ref="G45:M45" si="21">F45</f>
        <v>-7846.25</v>
      </c>
      <c r="H45" s="50">
        <f t="shared" si="21"/>
        <v>-7846.25</v>
      </c>
      <c r="I45" s="50">
        <f t="shared" si="21"/>
        <v>-7846.25</v>
      </c>
      <c r="J45" s="50">
        <f t="shared" si="21"/>
        <v>-7846.25</v>
      </c>
      <c r="K45" s="50">
        <f t="shared" si="21"/>
        <v>-7846.25</v>
      </c>
      <c r="L45" s="50">
        <f t="shared" si="21"/>
        <v>-7846.25</v>
      </c>
      <c r="M45" s="50">
        <f t="shared" si="21"/>
        <v>-7846.25</v>
      </c>
    </row>
    <row r="46" spans="1:13" x14ac:dyDescent="0.25">
      <c r="A46" s="2" t="str">
        <f>B9&amp;B46</f>
        <v>EOG ResourcesTotal Other (Income) Expense</v>
      </c>
      <c r="B46" s="84" t="s">
        <v>518</v>
      </c>
      <c r="C46" s="84"/>
      <c r="D46" s="110"/>
      <c r="E46" s="63">
        <f>SUM(E43:E45)</f>
        <v>-6632.75</v>
      </c>
      <c r="F46" s="62">
        <f t="shared" ref="F46:M46" si="22">SUM(F43:F45)</f>
        <v>-2051.6049982769109</v>
      </c>
      <c r="G46" s="62">
        <f t="shared" si="22"/>
        <v>-2182.1478192199938</v>
      </c>
      <c r="H46" s="62">
        <f t="shared" si="22"/>
        <v>-2182.1478192199938</v>
      </c>
      <c r="I46" s="62">
        <f t="shared" si="22"/>
        <v>-2182.1478192199938</v>
      </c>
      <c r="J46" s="62">
        <f t="shared" si="22"/>
        <v>-6958.1388695741698</v>
      </c>
      <c r="K46" s="62">
        <f t="shared" si="22"/>
        <v>-6692.2511416999987</v>
      </c>
      <c r="L46" s="62">
        <f t="shared" si="22"/>
        <v>-6692.2511416999987</v>
      </c>
      <c r="M46" s="62">
        <f t="shared" si="22"/>
        <v>-6692.2511416999987</v>
      </c>
    </row>
    <row r="47" spans="1:13" x14ac:dyDescent="0.25">
      <c r="A47" s="2" t="str">
        <f>B9&amp;B47</f>
        <v>EOG ResourcesIncome (loss) from continuing operations before income taxes</v>
      </c>
      <c r="B47" s="72" t="s">
        <v>476</v>
      </c>
      <c r="C47" s="72"/>
      <c r="D47" s="112"/>
      <c r="E47" s="63">
        <f>(E29-E41-E46)</f>
        <v>886316.75</v>
      </c>
      <c r="F47" s="62">
        <f>F29-F41-F46</f>
        <v>-96445.33990982885</v>
      </c>
      <c r="G47" s="62">
        <f>G29-G41-G46</f>
        <v>-1803938.7396990121</v>
      </c>
      <c r="H47" s="62">
        <f t="shared" ref="H47:M47" si="23">H29-H41-H46</f>
        <v>-1678620.5904067629</v>
      </c>
      <c r="I47" s="62">
        <f t="shared" si="23"/>
        <v>-1553302.4411145141</v>
      </c>
      <c r="J47" s="62">
        <f t="shared" si="23"/>
        <v>-1373172.1272144041</v>
      </c>
      <c r="K47" s="62">
        <f t="shared" si="23"/>
        <v>-1252108.0597989524</v>
      </c>
      <c r="L47" s="62">
        <f t="shared" si="23"/>
        <v>-1130778.1046556258</v>
      </c>
      <c r="M47" s="62">
        <f t="shared" si="23"/>
        <v>-1130778.1046556258</v>
      </c>
    </row>
    <row r="48" spans="1:13" x14ac:dyDescent="0.25">
      <c r="A48" s="2" t="str">
        <f>B9&amp;B48</f>
        <v>EOG ResourcesIncome tax (benefit) expense</v>
      </c>
      <c r="B48" s="73" t="s">
        <v>477</v>
      </c>
      <c r="C48" s="73" t="s">
        <v>525</v>
      </c>
      <c r="D48" s="109">
        <f>ABS(E48/E47)</f>
        <v>0.22857432176476411</v>
      </c>
      <c r="E48" s="83">
        <f>810357/4</f>
        <v>202589.25</v>
      </c>
      <c r="F48" s="50">
        <f>$D48*F47</f>
        <v>-22044.928157261264</v>
      </c>
      <c r="G48" s="50">
        <f t="shared" ref="G48:M48" si="24">$D48*G47</f>
        <v>-412334.07393188507</v>
      </c>
      <c r="H48" s="50">
        <f t="shared" si="24"/>
        <v>-383689.56295259373</v>
      </c>
      <c r="I48" s="50">
        <f t="shared" si="24"/>
        <v>-355045.0519733025</v>
      </c>
      <c r="J48" s="50">
        <f t="shared" si="24"/>
        <v>-313871.88764431077</v>
      </c>
      <c r="K48" s="50">
        <f t="shared" si="24"/>
        <v>-286199.75054474024</v>
      </c>
      <c r="L48" s="50">
        <f t="shared" si="24"/>
        <v>-258466.8383381051</v>
      </c>
      <c r="M48" s="50">
        <f t="shared" si="24"/>
        <v>-258466.8383381051</v>
      </c>
    </row>
    <row r="49" spans="1:13" ht="11" thickBot="1" x14ac:dyDescent="0.3">
      <c r="A49" s="2" t="str">
        <f>B9&amp;B49</f>
        <v>EOG ResourcesNet (loss) Income</v>
      </c>
      <c r="B49" s="74" t="s">
        <v>478</v>
      </c>
      <c r="C49" s="74"/>
      <c r="D49" s="116"/>
      <c r="E49" s="86">
        <f>(E47-E48)</f>
        <v>683727.5</v>
      </c>
      <c r="F49" s="34">
        <f>F47-F48</f>
        <v>-74400.411752567583</v>
      </c>
      <c r="G49" s="34">
        <f t="shared" ref="G49:M49" si="25">G47-G48</f>
        <v>-1391604.6657671272</v>
      </c>
      <c r="H49" s="34">
        <f t="shared" si="25"/>
        <v>-1294931.0274541692</v>
      </c>
      <c r="I49" s="34">
        <f t="shared" si="25"/>
        <v>-1198257.3891412118</v>
      </c>
      <c r="J49" s="34">
        <f t="shared" si="25"/>
        <v>-1059300.2395700933</v>
      </c>
      <c r="K49" s="34">
        <f t="shared" si="25"/>
        <v>-965908.30925421219</v>
      </c>
      <c r="L49" s="34">
        <f t="shared" si="25"/>
        <v>-872311.26631752064</v>
      </c>
      <c r="M49" s="34">
        <f t="shared" si="25"/>
        <v>-872311.26631752064</v>
      </c>
    </row>
    <row r="50" spans="1:13" ht="11" thickTop="1" x14ac:dyDescent="0.25"/>
    <row r="51" spans="1:13" x14ac:dyDescent="0.25">
      <c r="A51" s="2" t="str">
        <f>B9&amp;B51</f>
        <v>EOG ResourcesCurrent Assets</v>
      </c>
      <c r="B51" s="64" t="s">
        <v>479</v>
      </c>
      <c r="C51" s="64"/>
      <c r="D51" s="111"/>
      <c r="E51" s="83"/>
      <c r="F51" s="50"/>
      <c r="G51" s="50"/>
      <c r="H51" s="50"/>
      <c r="I51" s="50"/>
      <c r="J51" s="50"/>
      <c r="K51" s="50"/>
      <c r="L51" s="50"/>
      <c r="M51" s="50"/>
    </row>
    <row r="52" spans="1:13" x14ac:dyDescent="0.25">
      <c r="A52" s="2" t="str">
        <f>B9&amp;B52</f>
        <v>EOG ResourcesCash and cash equivalents</v>
      </c>
      <c r="B52" s="70" t="s">
        <v>480</v>
      </c>
      <c r="C52" s="82" t="s">
        <v>538</v>
      </c>
      <c r="D52" s="140">
        <v>2406</v>
      </c>
      <c r="E52" s="83">
        <v>2027972</v>
      </c>
      <c r="F52" s="50">
        <f>F49+E52</f>
        <v>1953571.5882474324</v>
      </c>
      <c r="G52" s="50">
        <f t="shared" ref="G52:M52" si="26">G49+F52</f>
        <v>561966.92248030519</v>
      </c>
      <c r="H52" s="50">
        <f t="shared" si="26"/>
        <v>-732964.10497386404</v>
      </c>
      <c r="I52" s="50">
        <f>I49+H52</f>
        <v>-1931221.4941150758</v>
      </c>
      <c r="J52" s="50">
        <f t="shared" si="26"/>
        <v>-2990521.7336851694</v>
      </c>
      <c r="K52" s="50">
        <f t="shared" si="26"/>
        <v>-3956430.0429393817</v>
      </c>
      <c r="L52" s="50">
        <f t="shared" si="26"/>
        <v>-4828741.309256902</v>
      </c>
      <c r="M52" s="50">
        <f t="shared" si="26"/>
        <v>-5701052.5755744223</v>
      </c>
    </row>
    <row r="53" spans="1:13" x14ac:dyDescent="0.25">
      <c r="A53" s="2" t="str">
        <f>B9&amp;B53</f>
        <v>EOG ResourcesAccounts receivable, net of allowance</v>
      </c>
      <c r="B53" s="70" t="s">
        <v>481</v>
      </c>
      <c r="C53" s="82"/>
      <c r="D53" s="108"/>
      <c r="E53" s="83"/>
      <c r="F53" s="50"/>
      <c r="G53" s="50"/>
      <c r="H53" s="50"/>
      <c r="I53" s="50"/>
      <c r="J53" s="50"/>
      <c r="K53" s="50"/>
      <c r="L53" s="50"/>
      <c r="M53" s="50"/>
    </row>
    <row r="54" spans="1:13" x14ac:dyDescent="0.25">
      <c r="A54" s="2" t="str">
        <f>B9&amp;B54</f>
        <v>EOG ResourcesOil and gas sales</v>
      </c>
      <c r="B54" s="75" t="s">
        <v>482</v>
      </c>
      <c r="C54" s="82" t="s">
        <v>539</v>
      </c>
      <c r="D54" s="133">
        <f>E54/E29</f>
        <v>0.46551003395524737</v>
      </c>
      <c r="E54" s="83">
        <v>2001658</v>
      </c>
      <c r="F54" s="50">
        <f t="shared" ref="F54:M54" si="27">$D54*F29</f>
        <v>1561561.6829985122</v>
      </c>
      <c r="G54" s="50">
        <f t="shared" si="27"/>
        <v>744182.05499850726</v>
      </c>
      <c r="H54" s="50">
        <f t="shared" si="27"/>
        <v>803976.70302914188</v>
      </c>
      <c r="I54" s="50">
        <f t="shared" si="27"/>
        <v>863771.35105977592</v>
      </c>
      <c r="J54" s="50">
        <f t="shared" si="27"/>
        <v>891555.79449258244</v>
      </c>
      <c r="K54" s="50">
        <f t="shared" si="27"/>
        <v>949441.17288119253</v>
      </c>
      <c r="L54" s="50">
        <f t="shared" si="27"/>
        <v>1007326.5512698028</v>
      </c>
      <c r="M54" s="50">
        <f t="shared" si="27"/>
        <v>1007326.5512698028</v>
      </c>
    </row>
    <row r="55" spans="1:13" x14ac:dyDescent="0.25">
      <c r="A55" s="2" t="str">
        <f>B9&amp;B55</f>
        <v>EOG ResourcesOther receivable</v>
      </c>
      <c r="B55" s="75" t="s">
        <v>569</v>
      </c>
      <c r="C55" s="82" t="s">
        <v>539</v>
      </c>
      <c r="D55" s="133">
        <f>E55/E29</f>
        <v>0</v>
      </c>
      <c r="E55" s="83">
        <v>0</v>
      </c>
      <c r="F55" s="50">
        <f t="shared" ref="F55:M55" si="28">$D55*F29</f>
        <v>0</v>
      </c>
      <c r="G55" s="50">
        <f t="shared" si="28"/>
        <v>0</v>
      </c>
      <c r="H55" s="50">
        <f t="shared" si="28"/>
        <v>0</v>
      </c>
      <c r="I55" s="50">
        <f t="shared" si="28"/>
        <v>0</v>
      </c>
      <c r="J55" s="50">
        <f t="shared" si="28"/>
        <v>0</v>
      </c>
      <c r="K55" s="50">
        <f t="shared" si="28"/>
        <v>0</v>
      </c>
      <c r="L55" s="50">
        <f t="shared" si="28"/>
        <v>0</v>
      </c>
      <c r="M55" s="50">
        <f t="shared" si="28"/>
        <v>0</v>
      </c>
    </row>
    <row r="56" spans="1:13" x14ac:dyDescent="0.25">
      <c r="A56" s="2" t="str">
        <f>B9&amp;B56</f>
        <v>EOG ResourcesInventory</v>
      </c>
      <c r="B56" s="70" t="s">
        <v>484</v>
      </c>
      <c r="C56" s="82" t="s">
        <v>539</v>
      </c>
      <c r="D56" s="133">
        <f>E56/E29</f>
        <v>0.17844429594054501</v>
      </c>
      <c r="E56" s="83">
        <v>767297</v>
      </c>
      <c r="F56" s="50">
        <f t="shared" ref="F56:M56" si="29">$D56*F29</f>
        <v>598594.56244758563</v>
      </c>
      <c r="G56" s="50">
        <f t="shared" si="29"/>
        <v>285267.84208600549</v>
      </c>
      <c r="H56" s="50">
        <f t="shared" si="29"/>
        <v>308188.96749801992</v>
      </c>
      <c r="I56" s="50">
        <f t="shared" si="29"/>
        <v>331110.092910034</v>
      </c>
      <c r="J56" s="50">
        <f t="shared" si="29"/>
        <v>341760.72358353675</v>
      </c>
      <c r="K56" s="50">
        <f t="shared" si="29"/>
        <v>363949.96729122574</v>
      </c>
      <c r="L56" s="50">
        <f t="shared" si="29"/>
        <v>386139.21099891484</v>
      </c>
      <c r="M56" s="50">
        <f t="shared" si="29"/>
        <v>386139.21099891484</v>
      </c>
    </row>
    <row r="57" spans="1:13" x14ac:dyDescent="0.25">
      <c r="A57" s="2" t="str">
        <f>B9&amp;B57</f>
        <v>EOG ResourcesDerivative instruments current assets</v>
      </c>
      <c r="B57" s="70" t="s">
        <v>813</v>
      </c>
      <c r="C57" s="107" t="s">
        <v>507</v>
      </c>
      <c r="D57" s="108"/>
      <c r="E57" s="83">
        <v>0</v>
      </c>
      <c r="F57" s="138"/>
      <c r="G57" s="138"/>
      <c r="H57" s="138"/>
      <c r="I57" s="138"/>
      <c r="J57" s="138"/>
      <c r="K57" s="138"/>
      <c r="L57" s="138"/>
      <c r="M57" s="138"/>
    </row>
    <row r="58" spans="1:13" x14ac:dyDescent="0.25">
      <c r="A58" s="2" t="str">
        <f>B9&amp;B58</f>
        <v>EOG ResourcesPrepaid expenses</v>
      </c>
      <c r="B58" s="70" t="s">
        <v>486</v>
      </c>
      <c r="C58" s="82" t="s">
        <v>509</v>
      </c>
      <c r="D58" s="108"/>
      <c r="E58" s="83">
        <v>0</v>
      </c>
      <c r="F58" s="50">
        <f>E58</f>
        <v>0</v>
      </c>
      <c r="G58" s="50">
        <f t="shared" ref="G58:M59" si="30">F58</f>
        <v>0</v>
      </c>
      <c r="H58" s="50">
        <f t="shared" si="30"/>
        <v>0</v>
      </c>
      <c r="I58" s="50">
        <f t="shared" si="30"/>
        <v>0</v>
      </c>
      <c r="J58" s="50">
        <f t="shared" si="30"/>
        <v>0</v>
      </c>
      <c r="K58" s="50">
        <f t="shared" si="30"/>
        <v>0</v>
      </c>
      <c r="L58" s="50">
        <f t="shared" si="30"/>
        <v>0</v>
      </c>
      <c r="M58" s="50">
        <f t="shared" si="30"/>
        <v>0</v>
      </c>
    </row>
    <row r="59" spans="1:13" x14ac:dyDescent="0.25">
      <c r="A59" s="2" t="str">
        <f>B9&amp;B59</f>
        <v>EOG ResourcesOther current assets</v>
      </c>
      <c r="B59" s="70" t="s">
        <v>568</v>
      </c>
      <c r="C59" s="82" t="s">
        <v>509</v>
      </c>
      <c r="D59" s="108"/>
      <c r="E59" s="83">
        <f>1299+151665+323448</f>
        <v>476412</v>
      </c>
      <c r="F59" s="50">
        <f>E59</f>
        <v>476412</v>
      </c>
      <c r="G59" s="50">
        <f t="shared" si="30"/>
        <v>476412</v>
      </c>
      <c r="H59" s="50">
        <f t="shared" si="30"/>
        <v>476412</v>
      </c>
      <c r="I59" s="50">
        <f t="shared" si="30"/>
        <v>476412</v>
      </c>
      <c r="J59" s="50">
        <f t="shared" si="30"/>
        <v>476412</v>
      </c>
      <c r="K59" s="50">
        <f t="shared" si="30"/>
        <v>476412</v>
      </c>
      <c r="L59" s="50">
        <f t="shared" si="30"/>
        <v>476412</v>
      </c>
      <c r="M59" s="50">
        <f t="shared" si="30"/>
        <v>476412</v>
      </c>
    </row>
    <row r="60" spans="1:13" x14ac:dyDescent="0.25">
      <c r="A60" s="2" t="str">
        <f>B9&amp;B60</f>
        <v>EOG ResourcesTotal current assets</v>
      </c>
      <c r="B60" s="76" t="s">
        <v>487</v>
      </c>
      <c r="C60" s="87"/>
      <c r="D60" s="111"/>
      <c r="E60" s="63">
        <f>SUM(E52:E59)</f>
        <v>5273339</v>
      </c>
      <c r="F60" s="62">
        <f t="shared" ref="F60:M60" si="31">SUM(F52:F59)</f>
        <v>4590139.8336935304</v>
      </c>
      <c r="G60" s="62">
        <f t="shared" si="31"/>
        <v>2067828.8195648179</v>
      </c>
      <c r="H60" s="62">
        <f t="shared" si="31"/>
        <v>855613.56555329775</v>
      </c>
      <c r="I60" s="62">
        <f>SUM(I52:I59)</f>
        <v>-259928.05014526576</v>
      </c>
      <c r="J60" s="62">
        <f t="shared" si="31"/>
        <v>-1280793.2156090504</v>
      </c>
      <c r="K60" s="62">
        <f t="shared" si="31"/>
        <v>-2166626.9027669635</v>
      </c>
      <c r="L60" s="62">
        <f t="shared" si="31"/>
        <v>-2958863.5469881846</v>
      </c>
      <c r="M60" s="62">
        <f t="shared" si="31"/>
        <v>-3831174.8133057039</v>
      </c>
    </row>
    <row r="61" spans="1:13" x14ac:dyDescent="0.25">
      <c r="A61" s="2" t="str">
        <f>B9&amp;B61</f>
        <v>EOG ResourcesProperty and equipment, net</v>
      </c>
      <c r="B61" s="72" t="s">
        <v>488</v>
      </c>
      <c r="C61" s="73" t="s">
        <v>509</v>
      </c>
      <c r="D61" s="112"/>
      <c r="E61" s="83">
        <v>30364595</v>
      </c>
      <c r="F61" s="50">
        <f>E61</f>
        <v>30364595</v>
      </c>
      <c r="G61" s="50">
        <f t="shared" ref="G61:M61" si="32">F61</f>
        <v>30364595</v>
      </c>
      <c r="H61" s="50">
        <f t="shared" si="32"/>
        <v>30364595</v>
      </c>
      <c r="I61" s="50">
        <f t="shared" si="32"/>
        <v>30364595</v>
      </c>
      <c r="J61" s="50">
        <f t="shared" si="32"/>
        <v>30364595</v>
      </c>
      <c r="K61" s="50">
        <f t="shared" si="32"/>
        <v>30364595</v>
      </c>
      <c r="L61" s="50">
        <f t="shared" si="32"/>
        <v>30364595</v>
      </c>
      <c r="M61" s="50">
        <f t="shared" si="32"/>
        <v>30364595</v>
      </c>
    </row>
    <row r="62" spans="1:13" x14ac:dyDescent="0.25">
      <c r="A62" s="2" t="str">
        <f>B9&amp;B62</f>
        <v>EOG ResourcesDerivative instruments total assets</v>
      </c>
      <c r="B62" s="73" t="s">
        <v>814</v>
      </c>
      <c r="C62" s="95" t="s">
        <v>507</v>
      </c>
      <c r="D62" s="108"/>
      <c r="E62" s="83">
        <v>0</v>
      </c>
      <c r="F62" s="138"/>
      <c r="G62" s="138"/>
      <c r="H62" s="138"/>
      <c r="I62" s="138"/>
      <c r="J62" s="138"/>
      <c r="K62" s="138"/>
      <c r="L62" s="138"/>
      <c r="M62" s="138"/>
    </row>
    <row r="63" spans="1:13" x14ac:dyDescent="0.25">
      <c r="A63" s="2" t="str">
        <f>B9&amp;B63</f>
        <v>EOG ResourcesDeferred income taxes assets</v>
      </c>
      <c r="B63" s="73" t="s">
        <v>815</v>
      </c>
      <c r="C63" s="73" t="s">
        <v>509</v>
      </c>
      <c r="D63" s="108"/>
      <c r="E63" s="83">
        <v>2363</v>
      </c>
      <c r="F63" s="50">
        <f>E63</f>
        <v>2363</v>
      </c>
      <c r="G63" s="50">
        <f t="shared" ref="G63:M65" si="33">F63</f>
        <v>2363</v>
      </c>
      <c r="H63" s="50">
        <f t="shared" si="33"/>
        <v>2363</v>
      </c>
      <c r="I63" s="50">
        <f t="shared" si="33"/>
        <v>2363</v>
      </c>
      <c r="J63" s="50">
        <f t="shared" si="33"/>
        <v>2363</v>
      </c>
      <c r="K63" s="50">
        <f t="shared" si="33"/>
        <v>2363</v>
      </c>
      <c r="L63" s="50">
        <f t="shared" si="33"/>
        <v>2363</v>
      </c>
      <c r="M63" s="50">
        <f t="shared" si="33"/>
        <v>2363</v>
      </c>
    </row>
    <row r="64" spans="1:13" x14ac:dyDescent="0.25">
      <c r="A64" s="2" t="str">
        <f>B9&amp;B64</f>
        <v>EOG ResourcesGoodwill</v>
      </c>
      <c r="B64" s="73" t="s">
        <v>490</v>
      </c>
      <c r="C64" s="73" t="s">
        <v>509</v>
      </c>
      <c r="D64" s="108"/>
      <c r="E64" s="83">
        <v>0</v>
      </c>
      <c r="F64" s="50">
        <f>E64</f>
        <v>0</v>
      </c>
      <c r="G64" s="50">
        <f t="shared" si="33"/>
        <v>0</v>
      </c>
      <c r="H64" s="50">
        <f t="shared" si="33"/>
        <v>0</v>
      </c>
      <c r="I64" s="50">
        <f t="shared" si="33"/>
        <v>0</v>
      </c>
      <c r="J64" s="50">
        <f t="shared" si="33"/>
        <v>0</v>
      </c>
      <c r="K64" s="50">
        <f t="shared" si="33"/>
        <v>0</v>
      </c>
      <c r="L64" s="50">
        <f t="shared" si="33"/>
        <v>0</v>
      </c>
      <c r="M64" s="50">
        <f t="shared" si="33"/>
        <v>0</v>
      </c>
    </row>
    <row r="65" spans="1:13" x14ac:dyDescent="0.25">
      <c r="A65" s="2" t="str">
        <f>B9&amp;B65</f>
        <v>EOG ResourcesOther assets</v>
      </c>
      <c r="B65" s="77" t="s">
        <v>491</v>
      </c>
      <c r="C65" s="77" t="s">
        <v>509</v>
      </c>
      <c r="D65" s="114"/>
      <c r="E65" s="83">
        <f>1484311</f>
        <v>1484311</v>
      </c>
      <c r="F65" s="50">
        <f>E65</f>
        <v>1484311</v>
      </c>
      <c r="G65" s="50">
        <f t="shared" si="33"/>
        <v>1484311</v>
      </c>
      <c r="H65" s="50">
        <f t="shared" si="33"/>
        <v>1484311</v>
      </c>
      <c r="I65" s="50">
        <f t="shared" si="33"/>
        <v>1484311</v>
      </c>
      <c r="J65" s="50">
        <f t="shared" si="33"/>
        <v>1484311</v>
      </c>
      <c r="K65" s="50">
        <f t="shared" si="33"/>
        <v>1484311</v>
      </c>
      <c r="L65" s="50">
        <f t="shared" si="33"/>
        <v>1484311</v>
      </c>
      <c r="M65" s="50">
        <f t="shared" si="33"/>
        <v>1484311</v>
      </c>
    </row>
    <row r="66" spans="1:13" x14ac:dyDescent="0.25">
      <c r="A66" s="2" t="str">
        <f>B9&amp;B66</f>
        <v>EOG ResourcesTotal assets</v>
      </c>
      <c r="B66" s="78" t="s">
        <v>492</v>
      </c>
      <c r="C66" s="88"/>
      <c r="D66" s="112"/>
      <c r="E66" s="63">
        <f>SUM(E60:E65)</f>
        <v>37124608</v>
      </c>
      <c r="F66" s="62">
        <f t="shared" ref="F66:M66" si="34">SUM(F60:F65)</f>
        <v>36441408.833693534</v>
      </c>
      <c r="G66" s="62">
        <f t="shared" si="34"/>
        <v>33919097.819564819</v>
      </c>
      <c r="H66" s="62">
        <f t="shared" si="34"/>
        <v>32706882.565553296</v>
      </c>
      <c r="I66" s="62">
        <f t="shared" si="34"/>
        <v>31591340.949854735</v>
      </c>
      <c r="J66" s="62">
        <f t="shared" si="34"/>
        <v>30570475.784390949</v>
      </c>
      <c r="K66" s="62">
        <f t="shared" si="34"/>
        <v>29684642.097233035</v>
      </c>
      <c r="L66" s="62">
        <f t="shared" si="34"/>
        <v>28892405.453011815</v>
      </c>
      <c r="M66" s="62">
        <f t="shared" si="34"/>
        <v>28020094.186694294</v>
      </c>
    </row>
    <row r="67" spans="1:13" x14ac:dyDescent="0.25">
      <c r="A67" s="2" t="str">
        <f>B9&amp;B67</f>
        <v>EOG ResourcesCurrent liabilities</v>
      </c>
      <c r="B67" s="72" t="s">
        <v>498</v>
      </c>
      <c r="C67" s="72"/>
      <c r="D67" s="112"/>
      <c r="E67" s="83"/>
      <c r="F67" s="50"/>
      <c r="G67" s="50"/>
      <c r="H67" s="50"/>
      <c r="I67" s="50"/>
      <c r="J67" s="50"/>
      <c r="K67" s="50"/>
      <c r="L67" s="50"/>
      <c r="M67" s="50"/>
    </row>
    <row r="68" spans="1:13" x14ac:dyDescent="0.25">
      <c r="A68" s="2" t="str">
        <f>B9&amp;B68</f>
        <v>EOG ResourcesAccounts payable</v>
      </c>
      <c r="B68" s="70" t="s">
        <v>493</v>
      </c>
      <c r="C68" s="82" t="s">
        <v>539</v>
      </c>
      <c r="D68" s="108">
        <f>E68/E24</f>
        <v>32.68716594793576</v>
      </c>
      <c r="E68" s="83">
        <f>2429127</f>
        <v>2429127</v>
      </c>
      <c r="F68" s="50">
        <f t="shared" ref="F68:M68" si="35">$D68*F24</f>
        <v>2468969.2492324198</v>
      </c>
      <c r="G68" s="50">
        <f t="shared" si="35"/>
        <v>2468969.2492324198</v>
      </c>
      <c r="H68" s="50">
        <f t="shared" si="35"/>
        <v>2468969.2492324198</v>
      </c>
      <c r="I68" s="50">
        <f t="shared" si="35"/>
        <v>2468969.2492324198</v>
      </c>
      <c r="J68" s="50">
        <f t="shared" si="35"/>
        <v>2379671.8679731525</v>
      </c>
      <c r="K68" s="50">
        <f t="shared" si="35"/>
        <v>2379671.8679731525</v>
      </c>
      <c r="L68" s="50">
        <f t="shared" si="35"/>
        <v>2379671.8679731525</v>
      </c>
      <c r="M68" s="50">
        <f t="shared" si="35"/>
        <v>2379671.8679731525</v>
      </c>
    </row>
    <row r="69" spans="1:13" x14ac:dyDescent="0.25">
      <c r="A69" s="2" t="str">
        <f>B9&amp;B69</f>
        <v>EOG ResourcesAccrued liabilities</v>
      </c>
      <c r="B69" s="70" t="s">
        <v>510</v>
      </c>
      <c r="C69" s="82" t="s">
        <v>507</v>
      </c>
      <c r="D69" s="108"/>
      <c r="E69" s="83">
        <f>(254850+166273)</f>
        <v>421123</v>
      </c>
      <c r="F69" s="50">
        <f>E69</f>
        <v>421123</v>
      </c>
      <c r="G69" s="50">
        <f t="shared" ref="G69:M69" si="36">F69</f>
        <v>421123</v>
      </c>
      <c r="H69" s="50">
        <f t="shared" si="36"/>
        <v>421123</v>
      </c>
      <c r="I69" s="50">
        <f t="shared" si="36"/>
        <v>421123</v>
      </c>
      <c r="J69" s="50">
        <f t="shared" si="36"/>
        <v>421123</v>
      </c>
      <c r="K69" s="50">
        <f t="shared" si="36"/>
        <v>421123</v>
      </c>
      <c r="L69" s="50">
        <f t="shared" si="36"/>
        <v>421123</v>
      </c>
      <c r="M69" s="50">
        <f t="shared" si="36"/>
        <v>421123</v>
      </c>
    </row>
    <row r="70" spans="1:13" x14ac:dyDescent="0.25">
      <c r="A70" s="2" t="str">
        <f>B9&amp;B70</f>
        <v>EOG ResourcesDerivative instruments current liabilities</v>
      </c>
      <c r="B70" s="70" t="s">
        <v>812</v>
      </c>
      <c r="C70" s="107" t="s">
        <v>507</v>
      </c>
      <c r="D70" s="108"/>
      <c r="E70" s="83">
        <v>0</v>
      </c>
      <c r="F70" s="138"/>
      <c r="G70" s="138"/>
      <c r="H70" s="138"/>
      <c r="I70" s="138"/>
      <c r="J70" s="138"/>
      <c r="K70" s="138"/>
      <c r="L70" s="138"/>
      <c r="M70" s="138"/>
    </row>
    <row r="71" spans="1:13" x14ac:dyDescent="0.25">
      <c r="A71" s="2" t="str">
        <f>B9&amp;B71</f>
        <v>EOG ResourcesOther current liabilities</v>
      </c>
      <c r="B71" s="70" t="s">
        <v>494</v>
      </c>
      <c r="C71" s="82" t="s">
        <v>509</v>
      </c>
      <c r="D71" s="108"/>
      <c r="E71" s="83">
        <f>20194+1014524+369365+232655</f>
        <v>1636738</v>
      </c>
      <c r="F71" s="50">
        <f>E71</f>
        <v>1636738</v>
      </c>
      <c r="G71" s="50">
        <f t="shared" ref="G71:M71" si="37">F71</f>
        <v>1636738</v>
      </c>
      <c r="H71" s="50">
        <f t="shared" si="37"/>
        <v>1636738</v>
      </c>
      <c r="I71" s="50">
        <f t="shared" si="37"/>
        <v>1636738</v>
      </c>
      <c r="J71" s="50">
        <f t="shared" si="37"/>
        <v>1636738</v>
      </c>
      <c r="K71" s="50">
        <f t="shared" si="37"/>
        <v>1636738</v>
      </c>
      <c r="L71" s="50">
        <f t="shared" si="37"/>
        <v>1636738</v>
      </c>
      <c r="M71" s="50">
        <f t="shared" si="37"/>
        <v>1636738</v>
      </c>
    </row>
    <row r="72" spans="1:13" x14ac:dyDescent="0.25">
      <c r="A72" s="2" t="str">
        <f>B9&amp;B72</f>
        <v>EOG ResourcesTotal current liabilities</v>
      </c>
      <c r="B72" s="76" t="s">
        <v>497</v>
      </c>
      <c r="C72" s="87"/>
      <c r="D72" s="111"/>
      <c r="E72" s="63">
        <f>SUM(E68:E71)</f>
        <v>4486988</v>
      </c>
      <c r="F72" s="62">
        <f t="shared" ref="F72:M72" si="38">SUM(F68:F71)</f>
        <v>4526830.2492324198</v>
      </c>
      <c r="G72" s="62">
        <f>SUM(G68:G71)</f>
        <v>4526830.2492324198</v>
      </c>
      <c r="H72" s="62">
        <f t="shared" si="38"/>
        <v>4526830.2492324198</v>
      </c>
      <c r="I72" s="62">
        <f t="shared" si="38"/>
        <v>4526830.2492324198</v>
      </c>
      <c r="J72" s="62">
        <f t="shared" si="38"/>
        <v>4437532.8679731525</v>
      </c>
      <c r="K72" s="62">
        <f t="shared" si="38"/>
        <v>4437532.8679731525</v>
      </c>
      <c r="L72" s="62">
        <f t="shared" si="38"/>
        <v>4437532.8679731525</v>
      </c>
      <c r="M72" s="62">
        <f t="shared" si="38"/>
        <v>4437532.8679731525</v>
      </c>
    </row>
    <row r="73" spans="1:13" x14ac:dyDescent="0.25">
      <c r="A73" s="2" t="str">
        <f>B9&amp;B73</f>
        <v>EOG ResourcesLong-term debt, net</v>
      </c>
      <c r="B73" s="73" t="s">
        <v>511</v>
      </c>
      <c r="C73" s="73" t="s">
        <v>509</v>
      </c>
      <c r="D73" s="108"/>
      <c r="E73" s="83">
        <v>4160919</v>
      </c>
      <c r="F73" s="50">
        <f t="shared" ref="F73:M74" si="39">E73</f>
        <v>4160919</v>
      </c>
      <c r="G73" s="50">
        <f t="shared" si="39"/>
        <v>4160919</v>
      </c>
      <c r="H73" s="50">
        <f t="shared" si="39"/>
        <v>4160919</v>
      </c>
      <c r="I73" s="50">
        <f t="shared" si="39"/>
        <v>4160919</v>
      </c>
      <c r="J73" s="50">
        <f t="shared" si="39"/>
        <v>4160919</v>
      </c>
      <c r="K73" s="50">
        <f t="shared" si="39"/>
        <v>4160919</v>
      </c>
      <c r="L73" s="50">
        <f t="shared" si="39"/>
        <v>4160919</v>
      </c>
      <c r="M73" s="50">
        <f t="shared" si="39"/>
        <v>4160919</v>
      </c>
    </row>
    <row r="74" spans="1:13" x14ac:dyDescent="0.25">
      <c r="A74" s="2" t="str">
        <f>B9&amp;B74</f>
        <v>EOG ResourcesAsset retirement obligations</v>
      </c>
      <c r="B74" s="73" t="s">
        <v>495</v>
      </c>
      <c r="C74" s="73" t="s">
        <v>509</v>
      </c>
      <c r="D74" s="108"/>
      <c r="E74" s="83">
        <v>0</v>
      </c>
      <c r="F74" s="50">
        <f>E74</f>
        <v>0</v>
      </c>
      <c r="G74" s="50">
        <f t="shared" si="39"/>
        <v>0</v>
      </c>
      <c r="H74" s="50">
        <f t="shared" si="39"/>
        <v>0</v>
      </c>
      <c r="I74" s="50">
        <f t="shared" si="39"/>
        <v>0</v>
      </c>
      <c r="J74" s="50">
        <f t="shared" si="39"/>
        <v>0</v>
      </c>
      <c r="K74" s="50">
        <f t="shared" si="39"/>
        <v>0</v>
      </c>
      <c r="L74" s="50">
        <f t="shared" si="39"/>
        <v>0</v>
      </c>
      <c r="M74" s="50">
        <f t="shared" si="39"/>
        <v>0</v>
      </c>
    </row>
    <row r="75" spans="1:13" x14ac:dyDescent="0.25">
      <c r="A75" s="2" t="str">
        <f>B9&amp;B75</f>
        <v>EOG ResourcesDerivative instruments liabilities</v>
      </c>
      <c r="B75" s="73" t="s">
        <v>811</v>
      </c>
      <c r="C75" s="95" t="s">
        <v>507</v>
      </c>
      <c r="D75" s="108"/>
      <c r="E75" s="83">
        <v>0</v>
      </c>
      <c r="F75" s="138"/>
      <c r="G75" s="138"/>
      <c r="H75" s="138"/>
      <c r="I75" s="138"/>
      <c r="J75" s="138"/>
      <c r="K75" s="138"/>
      <c r="L75" s="138"/>
      <c r="M75" s="138"/>
    </row>
    <row r="76" spans="1:13" x14ac:dyDescent="0.25">
      <c r="A76" s="2" t="str">
        <f>B9&amp;B76</f>
        <v>EOG ResourcesDeferred income taxes liabilities</v>
      </c>
      <c r="B76" s="73" t="s">
        <v>810</v>
      </c>
      <c r="C76" s="73" t="s">
        <v>509</v>
      </c>
      <c r="D76" s="108"/>
      <c r="E76" s="83">
        <v>5046101</v>
      </c>
      <c r="F76" s="50">
        <f>E76</f>
        <v>5046101</v>
      </c>
      <c r="G76" s="50">
        <f t="shared" ref="G76:M77" si="40">F76</f>
        <v>5046101</v>
      </c>
      <c r="H76" s="50">
        <f t="shared" si="40"/>
        <v>5046101</v>
      </c>
      <c r="I76" s="50">
        <f t="shared" si="40"/>
        <v>5046101</v>
      </c>
      <c r="J76" s="50">
        <f t="shared" si="40"/>
        <v>5046101</v>
      </c>
      <c r="K76" s="50">
        <f t="shared" si="40"/>
        <v>5046101</v>
      </c>
      <c r="L76" s="50">
        <f t="shared" si="40"/>
        <v>5046101</v>
      </c>
      <c r="M76" s="50">
        <f t="shared" si="40"/>
        <v>5046101</v>
      </c>
    </row>
    <row r="77" spans="1:13" x14ac:dyDescent="0.25">
      <c r="A77" s="2" t="str">
        <f>B9&amp;B77</f>
        <v>EOG ResourcesOther long-term liabilities</v>
      </c>
      <c r="B77" s="73" t="s">
        <v>496</v>
      </c>
      <c r="C77" s="73" t="s">
        <v>509</v>
      </c>
      <c r="D77" s="108"/>
      <c r="E77" s="83">
        <v>1789884</v>
      </c>
      <c r="F77" s="50">
        <f>E77</f>
        <v>1789884</v>
      </c>
      <c r="G77" s="50">
        <f t="shared" si="40"/>
        <v>1789884</v>
      </c>
      <c r="H77" s="50">
        <f t="shared" si="40"/>
        <v>1789884</v>
      </c>
      <c r="I77" s="50">
        <f t="shared" si="40"/>
        <v>1789884</v>
      </c>
      <c r="J77" s="50">
        <f t="shared" si="40"/>
        <v>1789884</v>
      </c>
      <c r="K77" s="50">
        <f t="shared" si="40"/>
        <v>1789884</v>
      </c>
      <c r="L77" s="50">
        <f t="shared" si="40"/>
        <v>1789884</v>
      </c>
      <c r="M77" s="50">
        <f t="shared" si="40"/>
        <v>1789884</v>
      </c>
    </row>
    <row r="78" spans="1:13" ht="11" thickBot="1" x14ac:dyDescent="0.3">
      <c r="A78" s="2" t="str">
        <f>B9&amp;B78</f>
        <v>EOG ResourcesTotal liabilities</v>
      </c>
      <c r="B78" s="79" t="s">
        <v>499</v>
      </c>
      <c r="C78" s="79"/>
      <c r="D78" s="123"/>
      <c r="E78" s="86">
        <f>SUM(E72:E77)</f>
        <v>15483892</v>
      </c>
      <c r="F78" s="34">
        <f t="shared" ref="F78:M78" si="41">SUM(F72:F77)</f>
        <v>15523734.249232419</v>
      </c>
      <c r="G78" s="34">
        <f t="shared" si="41"/>
        <v>15523734.249232419</v>
      </c>
      <c r="H78" s="34">
        <f t="shared" si="41"/>
        <v>15523734.249232419</v>
      </c>
      <c r="I78" s="34">
        <f t="shared" si="41"/>
        <v>15523734.249232419</v>
      </c>
      <c r="J78" s="34">
        <f t="shared" si="41"/>
        <v>15434436.867973153</v>
      </c>
      <c r="K78" s="34">
        <f t="shared" si="41"/>
        <v>15434436.867973153</v>
      </c>
      <c r="L78" s="34">
        <f t="shared" si="41"/>
        <v>15434436.867973153</v>
      </c>
      <c r="M78" s="34">
        <f t="shared" si="41"/>
        <v>15434436.867973153</v>
      </c>
    </row>
    <row r="79" spans="1:13" ht="11" thickTop="1" x14ac:dyDescent="0.25"/>
    <row r="80" spans="1:13" x14ac:dyDescent="0.25">
      <c r="A80" s="2" t="str">
        <f>B9&amp;B80</f>
        <v>EOG ResourcesNet (loss) Income cashflow</v>
      </c>
      <c r="B80" s="80" t="s">
        <v>572</v>
      </c>
      <c r="C80" s="135" t="s">
        <v>540</v>
      </c>
      <c r="D80" s="117"/>
      <c r="E80" s="83">
        <f>E49</f>
        <v>683727.5</v>
      </c>
      <c r="F80" s="50">
        <f t="shared" ref="F80:M80" si="42">F49</f>
        <v>-74400.411752567583</v>
      </c>
      <c r="G80" s="50">
        <f t="shared" si="42"/>
        <v>-1391604.6657671272</v>
      </c>
      <c r="H80" s="50">
        <f t="shared" si="42"/>
        <v>-1294931.0274541692</v>
      </c>
      <c r="I80" s="50">
        <f t="shared" si="42"/>
        <v>-1198257.3891412118</v>
      </c>
      <c r="J80" s="50">
        <f t="shared" si="42"/>
        <v>-1059300.2395700933</v>
      </c>
      <c r="K80" s="50">
        <f t="shared" si="42"/>
        <v>-965908.30925421219</v>
      </c>
      <c r="L80" s="50">
        <f t="shared" si="42"/>
        <v>-872311.26631752064</v>
      </c>
      <c r="M80" s="50">
        <f t="shared" si="42"/>
        <v>-872311.26631752064</v>
      </c>
    </row>
    <row r="81" spans="1:13" x14ac:dyDescent="0.25">
      <c r="A81" s="2" t="str">
        <f>B9&amp;B81</f>
        <v>EOG ResourcesChange in Net working capital</v>
      </c>
      <c r="B81" s="68" t="s">
        <v>500</v>
      </c>
      <c r="C81" s="136" t="s">
        <v>565</v>
      </c>
      <c r="D81" s="118"/>
      <c r="E81" s="83">
        <f>(-91792+90284+168539+40122+358001-56619-115061)/4</f>
        <v>98368.5</v>
      </c>
      <c r="F81" s="50">
        <f>(F60-F72)-(E60-E72)</f>
        <v>-723041.41553888936</v>
      </c>
      <c r="G81" s="50">
        <f t="shared" ref="G81:M81" si="43">(G60-G72)-(F60-F72)</f>
        <v>-2522311.0141287125</v>
      </c>
      <c r="H81" s="50">
        <f t="shared" si="43"/>
        <v>-1212215.2540115202</v>
      </c>
      <c r="I81" s="50">
        <f t="shared" si="43"/>
        <v>-1115541.6156985634</v>
      </c>
      <c r="J81" s="50">
        <f t="shared" si="43"/>
        <v>-931567.78420451749</v>
      </c>
      <c r="K81" s="50">
        <f t="shared" si="43"/>
        <v>-885833.68715791311</v>
      </c>
      <c r="L81" s="50">
        <f t="shared" si="43"/>
        <v>-792236.6442212211</v>
      </c>
      <c r="M81" s="50">
        <f t="shared" si="43"/>
        <v>-872311.26631751936</v>
      </c>
    </row>
    <row r="82" spans="1:13" x14ac:dyDescent="0.25">
      <c r="A82" s="2" t="str">
        <f>B9&amp;B82</f>
        <v>EOG ResourcesDD&amp;A cashflow</v>
      </c>
      <c r="B82" s="68" t="s">
        <v>816</v>
      </c>
      <c r="C82" s="136" t="s">
        <v>566</v>
      </c>
      <c r="D82" s="118"/>
      <c r="E82" s="83">
        <f t="shared" ref="E82" si="44">E32</f>
        <v>937426</v>
      </c>
      <c r="F82" s="50">
        <f>$E$82*F$32/$E$32</f>
        <v>952801.54863494192</v>
      </c>
      <c r="G82" s="50">
        <f t="shared" ref="G82:M82" si="45">$E$82*G$32/$E$32</f>
        <v>952801.54863494192</v>
      </c>
      <c r="H82" s="50">
        <f t="shared" si="45"/>
        <v>952801.54863494192</v>
      </c>
      <c r="I82" s="50">
        <f t="shared" si="45"/>
        <v>952801.54863494192</v>
      </c>
      <c r="J82" s="50">
        <f t="shared" si="45"/>
        <v>918340.73743637139</v>
      </c>
      <c r="K82" s="50">
        <f t="shared" si="45"/>
        <v>918340.73743637139</v>
      </c>
      <c r="L82" s="50">
        <f t="shared" si="45"/>
        <v>918340.73743637139</v>
      </c>
      <c r="M82" s="50">
        <f t="shared" si="45"/>
        <v>918340.73743637139</v>
      </c>
    </row>
    <row r="83" spans="1:13" x14ac:dyDescent="0.25">
      <c r="A83" s="2" t="str">
        <f>B9&amp;B83</f>
        <v>EOG ResourcesImpairment cashflow</v>
      </c>
      <c r="B83" s="68" t="s">
        <v>571</v>
      </c>
      <c r="C83" s="136" t="s">
        <v>566</v>
      </c>
      <c r="D83" s="118"/>
      <c r="E83" s="83">
        <f>E31</f>
        <v>129474</v>
      </c>
      <c r="F83" s="50">
        <f>$E$83*F$31/$E$31</f>
        <v>129474</v>
      </c>
      <c r="G83" s="50">
        <f t="shared" ref="G83:M83" si="46">$E$83*G$31/$E$31</f>
        <v>129474</v>
      </c>
      <c r="H83" s="50">
        <f t="shared" si="46"/>
        <v>129474</v>
      </c>
      <c r="I83" s="50">
        <f t="shared" si="46"/>
        <v>129474</v>
      </c>
      <c r="J83" s="50">
        <f t="shared" si="46"/>
        <v>129474</v>
      </c>
      <c r="K83" s="50">
        <f t="shared" si="46"/>
        <v>129474</v>
      </c>
      <c r="L83" s="50">
        <f t="shared" si="46"/>
        <v>129474</v>
      </c>
      <c r="M83" s="50">
        <f t="shared" si="46"/>
        <v>129474</v>
      </c>
    </row>
    <row r="84" spans="1:13" x14ac:dyDescent="0.25">
      <c r="A84" s="2" t="str">
        <f>B9&amp;B84</f>
        <v>EOG ResourcesOther non-cash items</v>
      </c>
      <c r="B84" s="68" t="s">
        <v>501</v>
      </c>
      <c r="C84" s="136" t="s">
        <v>880</v>
      </c>
      <c r="D84" s="149"/>
      <c r="E84" s="83">
        <f>(174738+631658-123613+4496+962)/4</f>
        <v>172060.25</v>
      </c>
      <c r="F84" s="50">
        <f>$E$84+F34-$E$34</f>
        <v>172060.25</v>
      </c>
      <c r="G84" s="50">
        <f t="shared" ref="G84:M84" si="47">$E$84+G34-$E$34</f>
        <v>172060.25</v>
      </c>
      <c r="H84" s="50">
        <f t="shared" si="47"/>
        <v>172060.25</v>
      </c>
      <c r="I84" s="50">
        <f t="shared" si="47"/>
        <v>172060.25</v>
      </c>
      <c r="J84" s="50">
        <f t="shared" si="47"/>
        <v>172060.25</v>
      </c>
      <c r="K84" s="50">
        <f t="shared" si="47"/>
        <v>172060.25</v>
      </c>
      <c r="L84" s="50">
        <f t="shared" si="47"/>
        <v>172060.25</v>
      </c>
      <c r="M84" s="50">
        <f t="shared" si="47"/>
        <v>172060.25</v>
      </c>
    </row>
    <row r="85" spans="1:13" x14ac:dyDescent="0.25">
      <c r="A85" s="2" t="str">
        <f>B9&amp;B85</f>
        <v>EOG ResourcesDry hole cashflow</v>
      </c>
      <c r="B85" s="68" t="s">
        <v>817</v>
      </c>
      <c r="C85" s="136" t="s">
        <v>567</v>
      </c>
      <c r="D85" s="149"/>
      <c r="E85" s="83">
        <f>28001/4</f>
        <v>7000.25</v>
      </c>
      <c r="F85" s="50">
        <f>IF($E$85&gt;0, $E$85*F39/$E$39,0)</f>
        <v>7115.0672595295546</v>
      </c>
      <c r="G85" s="50">
        <f t="shared" ref="G85:M85" si="48">IF($E$85&gt;0, $E$85*G39/$E$39,0)</f>
        <v>7115.0672595295546</v>
      </c>
      <c r="H85" s="50">
        <f t="shared" si="48"/>
        <v>7115.0672595295546</v>
      </c>
      <c r="I85" s="50">
        <f t="shared" si="48"/>
        <v>7115.0672595295546</v>
      </c>
      <c r="J85" s="50">
        <f t="shared" si="48"/>
        <v>6857.7303672385433</v>
      </c>
      <c r="K85" s="50">
        <f t="shared" si="48"/>
        <v>6857.7303672385433</v>
      </c>
      <c r="L85" s="50">
        <f t="shared" si="48"/>
        <v>6857.7303672385433</v>
      </c>
      <c r="M85" s="50">
        <f t="shared" si="48"/>
        <v>6857.7303672385433</v>
      </c>
    </row>
    <row r="86" spans="1:13" x14ac:dyDescent="0.25">
      <c r="A86" s="2" t="str">
        <f>B9&amp;B86</f>
        <v>EOG Resourcesmarket to market contracts</v>
      </c>
      <c r="B86" s="68" t="s">
        <v>562</v>
      </c>
      <c r="C86" s="158" t="s">
        <v>507</v>
      </c>
      <c r="D86" s="149"/>
      <c r="E86" s="83">
        <f>(-180275+231229)/4</f>
        <v>12738.5</v>
      </c>
      <c r="F86" s="50">
        <f>E86</f>
        <v>12738.5</v>
      </c>
      <c r="G86" s="50">
        <f t="shared" ref="G86:M86" si="49">F86</f>
        <v>12738.5</v>
      </c>
      <c r="H86" s="50">
        <f t="shared" si="49"/>
        <v>12738.5</v>
      </c>
      <c r="I86" s="50">
        <f t="shared" si="49"/>
        <v>12738.5</v>
      </c>
      <c r="J86" s="50">
        <f t="shared" si="49"/>
        <v>12738.5</v>
      </c>
      <c r="K86" s="50">
        <f t="shared" si="49"/>
        <v>12738.5</v>
      </c>
      <c r="L86" s="50">
        <f t="shared" si="49"/>
        <v>12738.5</v>
      </c>
      <c r="M86" s="50">
        <f t="shared" si="49"/>
        <v>12738.5</v>
      </c>
    </row>
    <row r="87" spans="1:13" x14ac:dyDescent="0.25">
      <c r="A87" s="2" t="str">
        <f>B9&amp;B87</f>
        <v>EOG ResourcesCash flow from operations</v>
      </c>
      <c r="B87" s="142" t="s">
        <v>502</v>
      </c>
      <c r="C87" s="143" t="s">
        <v>540</v>
      </c>
      <c r="D87" s="118"/>
      <c r="E87" s="63">
        <f>8163180/4</f>
        <v>2040795</v>
      </c>
      <c r="F87" s="62">
        <f>SUM(F80:F86)</f>
        <v>476747.53860301449</v>
      </c>
      <c r="G87" s="62">
        <f t="shared" ref="G87:M87" si="50">SUM(G80:G86)</f>
        <v>-2639726.3140013684</v>
      </c>
      <c r="H87" s="62">
        <f>SUM(H80:H86)</f>
        <v>-1232956.9155712181</v>
      </c>
      <c r="I87" s="62">
        <f t="shared" si="50"/>
        <v>-1039609.6389453036</v>
      </c>
      <c r="J87" s="62">
        <f t="shared" si="50"/>
        <v>-751396.80597100093</v>
      </c>
      <c r="K87" s="62">
        <f t="shared" si="50"/>
        <v>-612270.77860851551</v>
      </c>
      <c r="L87" s="62">
        <f t="shared" si="50"/>
        <v>-425076.69273513195</v>
      </c>
      <c r="M87" s="62">
        <f t="shared" si="50"/>
        <v>-505151.31483143021</v>
      </c>
    </row>
    <row r="88" spans="1:13" x14ac:dyDescent="0.25">
      <c r="A88" s="2" t="str">
        <f>B9&amp;B88</f>
        <v>EOG ResourcesCapex</v>
      </c>
      <c r="B88" s="68" t="s">
        <v>277</v>
      </c>
      <c r="C88" s="73" t="s">
        <v>534</v>
      </c>
      <c r="D88" s="118"/>
      <c r="E88" s="83">
        <f>IF($B$2="A3",SUMIFS('$33Econ'!$H$8:$H$8001,'$33Econ'!$A$8:$A$8001,$B$9,'$33Econ'!$G$8:$G$8001,$B88)*1000/4,SUMIFS('$22Econ'!$H$8:$H$8001,'$22Econ'!$A$8:$A$8001,$B$9,'$22Econ'!$G$8:$G$8001,$B88)*1000/4)</f>
        <v>1447887.4275000005</v>
      </c>
      <c r="F88" s="50">
        <f>IF($B$2="A3",SUMIFS('$33Econ'!$I$8:$I$8001,'$33Econ'!$A$8:$A$8001,$B$9,'$33Econ'!$G$8:$G$8001,$B88)*1000/4,SUMIFS('$22Econ'!$I$8:$I$8001,'$22Econ'!$A$8:$A$8001,$B$9,'$22Econ'!$G$8:$G$8001,$B88)*1000/4)</f>
        <v>960404.1767500001</v>
      </c>
      <c r="G88" s="50">
        <f>IF($B$2="A3",SUMIFS('$33Econ'!$I$8:$I$8001,'$33Econ'!$A$8:$A$8001,$B$9,'$33Econ'!$G$8:$G$8001,$B88)*1000/4,SUMIFS('$22Econ'!$I$8:$I$8001,'$22Econ'!$A$8:$A$8001,$B$9,'$22Econ'!$G$8:$G$8001,$B88)*1000/4)</f>
        <v>960404.1767500001</v>
      </c>
      <c r="H88" s="50">
        <f>IF($B$2="A3",SUMIFS('$33Econ'!$I$8:$I$8001,'$33Econ'!$A$8:$A$8001,$B$9,'$33Econ'!$G$8:$G$8001,$B88)*1000/4,SUMIFS('$22Econ'!$I$8:$I$8001,'$22Econ'!$A$8:$A$8001,$B$9,'$22Econ'!$G$8:$G$8001,$B88)*1000/4)</f>
        <v>960404.1767500001</v>
      </c>
      <c r="I88" s="50">
        <f>IF($B$2="A3",SUMIFS('$33Econ'!$I$8:$I$8001,'$33Econ'!$A$8:$A$8001,$B$9,'$33Econ'!$G$8:$G$8001,$B88)*1000/4,SUMIFS('$22Econ'!$I$8:$I$8001,'$22Econ'!$A$8:$A$8001,$B$9,'$22Econ'!$G$8:$G$8001,$B88)*1000/4)</f>
        <v>960404.1767500001</v>
      </c>
      <c r="J88" s="50">
        <f>IF($B$2="A3",SUMIFS('$33Econ'!$J$8:$J$8001,'$33Econ'!$A$8:$A$8001,$B$9,'$33Econ'!$G$8:$G$8001,$B88)*1000/4,SUMIFS('$22Econ'!$J$8:$J$8001,'$22Econ'!$A$8:$A$8001,$B$9,'$22Econ'!$G$8:$G$8001,$B88)*1000/4)</f>
        <v>269367.86974999995</v>
      </c>
      <c r="K88" s="50">
        <f t="shared" ref="K88:M88" si="51">J88</f>
        <v>269367.86974999995</v>
      </c>
      <c r="L88" s="50">
        <f t="shared" si="51"/>
        <v>269367.86974999995</v>
      </c>
      <c r="M88" s="50">
        <f t="shared" si="51"/>
        <v>269367.86974999995</v>
      </c>
    </row>
    <row r="89" spans="1:13" x14ac:dyDescent="0.25">
      <c r="A89" s="2" t="str">
        <f>B9&amp;B89</f>
        <v>EOG ResourcesExploration Capex</v>
      </c>
      <c r="B89" s="68" t="s">
        <v>278</v>
      </c>
      <c r="C89" s="73" t="s">
        <v>534</v>
      </c>
      <c r="D89" s="118"/>
      <c r="E89" s="96">
        <f>IF($B$2="A3",SUMIFS('$33Econ'!$H$8:$H$8001,'$33Econ'!$A$8:$A$8001,$B$9,'$33Econ'!$G$8:$G$8001,$B89)*1000/4,SUMIFS('$22Econ'!$H$8:$H$8001,'$22Econ'!$A$8:$A$8001,$B$9,'$22Econ'!$G$8:$G$8001,$B89)*1000/4)</f>
        <v>53436.327457497508</v>
      </c>
      <c r="F89" s="33">
        <f>(1-INDEX(Assumptions!$A$2:$K$596,MATCH($B9&amp;"Capex reduction",Assumptions!$A$2:$A$596,0),MATCH(F$2,Assumptions!$A$2:$K$2,0))) *IF($B$2="A3",SUMIFS('$33Econ'!$I$8:$I$8001,'$33Econ'!$A$8:$A$8001,$B$9,'$33Econ'!$G$8:$G$8001,$B89)*1000/4,SUMIFS('$22Econ'!$I$8:$I$8001,'$22Econ'!$A$8:$A$8001,$B$9,'$22Econ'!$G$8:$G$8001,$B89)*1000/4)</f>
        <v>48252.936382500011</v>
      </c>
      <c r="G89" s="33">
        <f>(1-INDEX(Assumptions!$A$2:$K$596,MATCH($B9&amp;"Capex reduction",Assumptions!$A$2:$A$596,0),MATCH(G$2,Assumptions!$A$2:$K$2,0))) *IF($B$2="A3",SUMIFS('$33Econ'!$I$8:$I$8001,'$33Econ'!$A$8:$A$8001,$B$9,'$33Econ'!$G$8:$G$8001,$B89)*1000/4,SUMIFS('$22Econ'!$I$8:$I$8001,'$22Econ'!$A$8:$A$8001,$B$9,'$22Econ'!$G$8:$G$8001,$B89)*1000/4)</f>
        <v>48252.936382500011</v>
      </c>
      <c r="H89" s="33">
        <f>(1-INDEX(Assumptions!$A$2:$K$596,MATCH($B9&amp;"Capex reduction",Assumptions!$A$2:$A$596,0),MATCH(H$2,Assumptions!$A$2:$K$2,0))) *IF($B$2="A3",SUMIFS('$33Econ'!$I$8:$I$8001,'$33Econ'!$A$8:$A$8001,$B$9,'$33Econ'!$G$8:$G$8001,$B89)*1000/4,SUMIFS('$22Econ'!$I$8:$I$8001,'$22Econ'!$A$8:$A$8001,$B$9,'$22Econ'!$G$8:$G$8001,$B89)*1000/4)</f>
        <v>48252.936382500011</v>
      </c>
      <c r="I89" s="33">
        <f>(1-INDEX(Assumptions!$A$2:$K$596,MATCH($B9&amp;"Capex reduction",Assumptions!$A$2:$A$596,0),MATCH(I$2,Assumptions!$A$2:$K$2,0))) *IF($B$2="A3",SUMIFS('$33Econ'!$I$8:$I$8001,'$33Econ'!$A$8:$A$8001,$B$9,'$33Econ'!$G$8:$G$8001,$B89)*1000/4,SUMIFS('$22Econ'!$I$8:$I$8001,'$22Econ'!$A$8:$A$8001,$B$9,'$22Econ'!$G$8:$G$8001,$B89)*1000/4)</f>
        <v>48252.936382500011</v>
      </c>
      <c r="J89" s="33">
        <f>(1-INDEX(Assumptions!$A$2:$K$596,MATCH($B9&amp;"Capex reduction",Assumptions!$A$2:$A$596,0),MATCH(J$2,Assumptions!$A$2:$K$2,0))) *IF($B$2="A3",SUMIFS('$33Econ'!$J$8:$J$8001,'$33Econ'!$A$8:$A$8001,$B$9,'$33Econ'!$G$8:$G$8001,$B89)*1000/4,SUMIFS('$22Econ'!$J$8:$J$8001,'$22Econ'!$A$8:$A$8001,$B$9,'$22Econ'!$G$8:$G$8001,$B89)*1000/4)</f>
        <v>67031.430207500001</v>
      </c>
      <c r="K89" s="33">
        <f>(1-INDEX(Assumptions!$A$2:$K$596,MATCH($B9&amp;"Capex reduction",Assumptions!$A$2:$A$596,0),MATCH(K$2,Assumptions!$A$2:$K$2,0))) *IF($B$2="A3",SUMIFS('$33Econ'!$J$8:$J$8001,'$33Econ'!$A$8:$A$8001,$B$9,'$33Econ'!$G$8:$G$8001,$B89)*1000/4,SUMIFS('$22Econ'!$J$8:$J$8001,'$22Econ'!$A$8:$A$8001,$B$9,'$22Econ'!$G$8:$G$8001,$B89)*1000/4)</f>
        <v>67031.430207500001</v>
      </c>
      <c r="L89" s="33">
        <f>(1-INDEX(Assumptions!$A$2:$K$596,MATCH($B9&amp;"Capex reduction",Assumptions!$A$2:$A$596,0),MATCH(L$2,Assumptions!$A$2:$K$2,0))) *IF($B$2="A3",SUMIFS('$33Econ'!$J$8:$J$8001,'$33Econ'!$A$8:$A$8001,$B$9,'$33Econ'!$G$8:$G$8001,$B89)*1000/4,SUMIFS('$22Econ'!$J$8:$J$8001,'$22Econ'!$A$8:$A$8001,$B$9,'$22Econ'!$G$8:$G$8001,$B89)*1000/4)</f>
        <v>67031.430207500001</v>
      </c>
      <c r="M89" s="33">
        <f>(1-INDEX(Assumptions!$A$2:$K$596,MATCH($B9&amp;"Capex reduction",Assumptions!$A$2:$A$596,0),MATCH(M$2,Assumptions!$A$2:$K$2,0))) *IF($B$2="A3",SUMIFS('$33Econ'!$J$8:$J$8001,'$33Econ'!$A$8:$A$8001,$B$9,'$33Econ'!$G$8:$G$8001,$B89)*1000/4,SUMIFS('$22Econ'!$J$8:$J$8001,'$22Econ'!$A$8:$A$8001,$B$9,'$22Econ'!$G$8:$G$8001,$B89)*1000/4)</f>
        <v>67031.430207500001</v>
      </c>
    </row>
    <row r="90" spans="1:13" s="150" customFormat="1" ht="11" thickBot="1" x14ac:dyDescent="0.3">
      <c r="A90" s="150" t="str">
        <f>B9&amp;B90</f>
        <v>EOG ResourcesFree Cash Flow (FCF)</v>
      </c>
      <c r="B90" s="69" t="s">
        <v>458</v>
      </c>
      <c r="C90" s="69" t="s">
        <v>512</v>
      </c>
      <c r="D90" s="152"/>
      <c r="E90" s="86">
        <f>SUM(E87:E89)</f>
        <v>3542118.7549574976</v>
      </c>
      <c r="F90" s="153">
        <f>SUM(F87:F89)</f>
        <v>1485404.6517355146</v>
      </c>
      <c r="G90" s="153">
        <f t="shared" ref="G90:M90" si="52">SUM(G87:G89)</f>
        <v>-1631069.2008688683</v>
      </c>
      <c r="H90" s="153">
        <f t="shared" si="52"/>
        <v>-224299.802438718</v>
      </c>
      <c r="I90" s="153">
        <f t="shared" si="52"/>
        <v>-30952.525812803513</v>
      </c>
      <c r="J90" s="153">
        <f t="shared" si="52"/>
        <v>-414997.50601350097</v>
      </c>
      <c r="K90" s="153">
        <f t="shared" si="52"/>
        <v>-275871.47865101555</v>
      </c>
      <c r="L90" s="153">
        <f t="shared" si="52"/>
        <v>-88677.392777631991</v>
      </c>
      <c r="M90" s="153">
        <f t="shared" si="52"/>
        <v>-168752.01487393025</v>
      </c>
    </row>
    <row r="91" spans="1:13" ht="11" thickTop="1" x14ac:dyDescent="0.25">
      <c r="I91" s="154"/>
      <c r="M91" s="154"/>
    </row>
    <row r="92" spans="1:13" x14ac:dyDescent="0.25">
      <c r="A92" s="2" t="str">
        <f>B9&amp;B92</f>
        <v>EOG ResourcesEBITDA</v>
      </c>
      <c r="B92" s="80" t="s">
        <v>428</v>
      </c>
      <c r="C92" s="144" t="s">
        <v>540</v>
      </c>
      <c r="D92" s="117"/>
      <c r="E92" s="83">
        <f>(E29-E41)+E32</f>
        <v>1817110</v>
      </c>
      <c r="F92" s="157">
        <f>(F29-F41)+F32</f>
        <v>854304.60372683615</v>
      </c>
      <c r="G92" s="157">
        <f t="shared" ref="G92:M92" si="53">(G29-G41)+G32</f>
        <v>-853319.3388832903</v>
      </c>
      <c r="H92" s="157">
        <f t="shared" si="53"/>
        <v>-728001.18959104107</v>
      </c>
      <c r="I92" s="157">
        <f t="shared" si="53"/>
        <v>-602683.0402987923</v>
      </c>
      <c r="J92" s="157">
        <f t="shared" si="53"/>
        <v>-461789.52864760673</v>
      </c>
      <c r="K92" s="157">
        <f t="shared" si="53"/>
        <v>-340459.573504281</v>
      </c>
      <c r="L92" s="157">
        <f t="shared" si="53"/>
        <v>-219129.61836095434</v>
      </c>
      <c r="M92" s="157">
        <f t="shared" si="53"/>
        <v>-219129.61836095434</v>
      </c>
    </row>
    <row r="93" spans="1:13" x14ac:dyDescent="0.25">
      <c r="A93" s="2" t="str">
        <f>B9&amp;B93</f>
        <v>EOG ResourcesExploration capex</v>
      </c>
      <c r="B93" s="68" t="s">
        <v>519</v>
      </c>
      <c r="C93" s="68" t="s">
        <v>534</v>
      </c>
      <c r="D93" s="118"/>
      <c r="E93" s="83">
        <f>E89</f>
        <v>53436.327457497508</v>
      </c>
      <c r="F93" s="157">
        <f t="shared" ref="F93:M93" si="54">F89</f>
        <v>48252.936382500011</v>
      </c>
      <c r="G93" s="157">
        <f t="shared" si="54"/>
        <v>48252.936382500011</v>
      </c>
      <c r="H93" s="157">
        <f t="shared" si="54"/>
        <v>48252.936382500011</v>
      </c>
      <c r="I93" s="157">
        <f t="shared" si="54"/>
        <v>48252.936382500011</v>
      </c>
      <c r="J93" s="157">
        <f t="shared" si="54"/>
        <v>67031.430207500001</v>
      </c>
      <c r="K93" s="157">
        <f t="shared" si="54"/>
        <v>67031.430207500001</v>
      </c>
      <c r="L93" s="157">
        <f t="shared" si="54"/>
        <v>67031.430207500001</v>
      </c>
      <c r="M93" s="157">
        <f t="shared" si="54"/>
        <v>67031.430207500001</v>
      </c>
    </row>
    <row r="94" spans="1:13" x14ac:dyDescent="0.25">
      <c r="A94" s="2" t="str">
        <f>B9&amp;B94</f>
        <v>EOG ResourcesEBITDAX</v>
      </c>
      <c r="B94" s="90" t="s">
        <v>459</v>
      </c>
      <c r="C94" s="90" t="s">
        <v>512</v>
      </c>
      <c r="D94" s="125"/>
      <c r="E94" s="63">
        <f>SUM(E92:E93)</f>
        <v>1870546.3274574976</v>
      </c>
      <c r="F94" s="62">
        <f t="shared" ref="F94:M94" si="55">SUM(F92:F93)</f>
        <v>902557.54010933614</v>
      </c>
      <c r="G94" s="62">
        <f t="shared" si="55"/>
        <v>-805066.40250079031</v>
      </c>
      <c r="H94" s="62">
        <f t="shared" si="55"/>
        <v>-679748.25320854108</v>
      </c>
      <c r="I94" s="62">
        <f t="shared" si="55"/>
        <v>-554430.10391629231</v>
      </c>
      <c r="J94" s="62">
        <f t="shared" si="55"/>
        <v>-394758.09844010673</v>
      </c>
      <c r="K94" s="62">
        <f t="shared" si="55"/>
        <v>-273428.143296781</v>
      </c>
      <c r="L94" s="62">
        <f t="shared" si="55"/>
        <v>-152098.18815345434</v>
      </c>
      <c r="M94" s="62">
        <f t="shared" si="55"/>
        <v>-152098.18815345434</v>
      </c>
    </row>
    <row r="95" spans="1:13" x14ac:dyDescent="0.25">
      <c r="A95" s="53" t="str">
        <f>B9&amp;B95</f>
        <v>EOG ResourcesDebt/EBITDAX</v>
      </c>
      <c r="B95" s="310" t="s">
        <v>947</v>
      </c>
      <c r="C95" s="310" t="s">
        <v>512</v>
      </c>
      <c r="D95" s="123"/>
      <c r="E95" s="120">
        <f>(E73+E68)/(E94*4)</f>
        <v>0.8807648737785323</v>
      </c>
      <c r="F95" s="121"/>
      <c r="G95" s="121"/>
      <c r="H95" s="121"/>
      <c r="I95" s="121">
        <f>(AVERAGE(F73:I73)+AVERAGE(F68:I68))/SUM(F92:I92)</f>
        <v>-4.9860069260124824</v>
      </c>
      <c r="J95" s="121"/>
      <c r="K95" s="121"/>
      <c r="L95" s="121"/>
      <c r="M95" s="121">
        <f>(AVERAGE(J73:M73)+AVERAGE(J68:M68))/SUM(J92:M92)</f>
        <v>-5.2725085862067402</v>
      </c>
    </row>
    <row r="96" spans="1:13" s="49" customFormat="1" x14ac:dyDescent="0.25">
      <c r="D96" s="124"/>
      <c r="J96" s="305">
        <f>SUM(F90:I90)</f>
        <v>-400916.8773848752</v>
      </c>
    </row>
    <row r="97" spans="1:13" x14ac:dyDescent="0.25">
      <c r="A97" s="2" t="str">
        <f>B9&amp;B97</f>
        <v>EOG ResourcesCash dividends paid</v>
      </c>
      <c r="B97" s="91" t="s">
        <v>521</v>
      </c>
      <c r="C97" s="53" t="s">
        <v>546</v>
      </c>
      <c r="D97" s="122"/>
      <c r="E97" s="83">
        <f>-588200/4</f>
        <v>-147050</v>
      </c>
      <c r="F97" s="50">
        <f>E97*(1-INDEX(Assumptions!$A$2:$K$596,MATCH($B9&amp;"Dividend reduction",Assumptions!$A$2:$A$596,0),MATCH(F$2,Assumptions!$A$2:$K$2,0)))</f>
        <v>-147050</v>
      </c>
      <c r="G97" s="50">
        <f>F97*(1-INDEX(Assumptions!$A$2:$K$596,MATCH($B9&amp;"Dividend reduction",Assumptions!$A$2:$A$596,0),MATCH(G$2,Assumptions!$A$2:$K$2,0)))</f>
        <v>-147050</v>
      </c>
      <c r="H97" s="50">
        <f>G97*(1-INDEX(Assumptions!$A$2:$K$596,MATCH($B9&amp;"Dividend reduction",Assumptions!$A$2:$A$596,0),MATCH(H$2,Assumptions!$A$2:$K$2,0)))</f>
        <v>-147050</v>
      </c>
      <c r="I97" s="50">
        <f>H97*(1-INDEX(Assumptions!$A$2:$K$596,MATCH($B9&amp;"Dividend reduction",Assumptions!$A$2:$A$596,0),MATCH(I$2,Assumptions!$A$2:$K$2,0)))</f>
        <v>-147050</v>
      </c>
      <c r="J97" s="50">
        <f>I97*(1-INDEX(Assumptions!$A$2:$K$596,MATCH($B9&amp;"Dividend reduction",Assumptions!$A$2:$A$596,0),MATCH(J$2,Assumptions!$A$2:$K$2,0)))</f>
        <v>-147050</v>
      </c>
      <c r="K97" s="50">
        <f>J97*(1-INDEX(Assumptions!$A$2:$K$596,MATCH($B9&amp;"Dividend reduction",Assumptions!$A$2:$A$596,0),MATCH(K$2,Assumptions!$A$2:$K$2,0)))</f>
        <v>-147050</v>
      </c>
      <c r="L97" s="50">
        <f>K97*(1-INDEX(Assumptions!$A$2:$K$596,MATCH($B9&amp;"Dividend reduction",Assumptions!$A$2:$A$596,0),MATCH(L$2,Assumptions!$A$2:$K$2,0)))</f>
        <v>-147050</v>
      </c>
      <c r="M97" s="50">
        <f>L97*(1-INDEX(Assumptions!$A$2:$K$596,MATCH($B9&amp;"Dividend reduction",Assumptions!$A$2:$A$596,0),MATCH(M$2,Assumptions!$A$2:$K$2,0)))</f>
        <v>-147050</v>
      </c>
    </row>
    <row r="99" spans="1:13" x14ac:dyDescent="0.25">
      <c r="A99" s="2" t="str">
        <f>B9&amp;B99</f>
        <v>EOG ResourcesOhlson's O-Score</v>
      </c>
      <c r="B99" s="80" t="s">
        <v>427</v>
      </c>
      <c r="C99" s="80" t="s">
        <v>512</v>
      </c>
      <c r="D99" s="117"/>
      <c r="E99" s="130"/>
      <c r="F99" s="130"/>
      <c r="G99" s="130"/>
      <c r="H99" s="130"/>
      <c r="I99" s="99">
        <f>-1.32-0.407*(LN($I66*1000/(36.32+2.11*'Quarterly Forecasts'!$K$15)))+6.03*($I78/$I66)-1.43*(($I60-$I72)/$I66)+0.0757*($I72/$I60)-2.37*(SUM($F49:$I49)/$I66)-1.83*(SUM($F92:$I92)/$I78)+0.285*(IF(AND(SUM($F49:$I49)&lt;0,($E49*4)&lt;0),1,0))-0.521*((SUM($F49:$I49)-($E49*4))/(ABS(SUM($F49:$I49))+ABS($E49*4)))-1.72*(IF($I78&gt;$I66,1,0))</f>
        <v>-5.7351469436040805</v>
      </c>
      <c r="J99" s="130"/>
      <c r="K99" s="130"/>
      <c r="L99" s="99">
        <f>-1.32-0.407*(LN(L66*1000/(36.32+2.11*'Quarterly Forecasts'!K$15)))+6.03*(L78/L66)-1.43*((L60-L72)/L66)+0.0757*(L72/L60)-2.37*(SUM(J49:M49)/L66)-1.83*(SUM(I92:L92)/L78)+0.285*(IF(AND(SUM(J49:M49)&lt;0,(SUM(F49:I49))&lt;0),1,0))-0.521*((SUM(J49:M49)-(SUM(F49:I49)))/(ABS(SUM(J49:M49))+ABS(SUM($F49:$I49))))-1.72*(IF(L78&gt;L66,1,0))</f>
        <v>-4.2871480439787275</v>
      </c>
      <c r="M99" s="99">
        <f>-1.32-0.407*(LN($M66*1000/(36.32+2.11*'Quarterly Forecasts'!$K$15)))+6.03*($M78/$M66)-1.43*(($M60-$M72)/$M66)+0.0757*($M72/$M60)-2.37*(SUM($J49:$M49)/$M66)-1.83*(SUM($J92:$M92)/$M78)+0.285*(IF(AND(SUM($J49:$M49)&lt;0,(SUM($F49:$I49))&lt;0),1,0))-0.521*((SUM($J49:$M49)-(SUM($F49:$I49)))/(ABS(SUM($J49:$M49))+ABS(SUM($F49:$I49))))-1.72*(IF($M78&gt;$M66,1,0))</f>
        <v>-4.1284730958421401</v>
      </c>
    </row>
    <row r="100" spans="1:13" ht="11" thickBot="1" x14ac:dyDescent="0.3">
      <c r="A100" s="2" t="str">
        <f>B9&amp;B100</f>
        <v>EOG ResourcesProbability of default (PD)</v>
      </c>
      <c r="B100" s="81" t="s">
        <v>504</v>
      </c>
      <c r="C100" s="98" t="s">
        <v>512</v>
      </c>
      <c r="D100" s="110"/>
      <c r="E100" s="131"/>
      <c r="F100" s="131"/>
      <c r="G100" s="131"/>
      <c r="H100" s="131"/>
      <c r="I100" s="126">
        <f>EXP(I99)/(1+EXP(I99))</f>
        <v>3.2200057146451349E-3</v>
      </c>
      <c r="J100" s="131"/>
      <c r="K100" s="131"/>
      <c r="L100" s="126">
        <f>EXP(L99)/(1+EXP(L99))</f>
        <v>1.3557728600854007E-2</v>
      </c>
      <c r="M100" s="126">
        <f>EXP(M99)/(1+EXP(M99))</f>
        <v>1.5852117334584644E-2</v>
      </c>
    </row>
    <row r="101" spans="1:13" ht="11" thickTop="1" x14ac:dyDescent="0.25"/>
  </sheetData>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18D56-2707-4774-9AFA-01465844CA77}">
  <dimension ref="A1:M100"/>
  <sheetViews>
    <sheetView showGridLines="0" zoomScaleNormal="100" workbookViewId="0">
      <pane xSplit="2" ySplit="2" topLeftCell="F40" activePane="bottomRight" state="frozen"/>
      <selection activeCell="G38" sqref="G38"/>
      <selection pane="topRight" activeCell="G38" sqref="G38"/>
      <selection pane="bottomLeft" activeCell="G38" sqref="G38"/>
      <selection pane="bottomRight" activeCell="F53" activeCellId="1" sqref="F79 F53"/>
    </sheetView>
  </sheetViews>
  <sheetFormatPr defaultColWidth="8.81640625" defaultRowHeight="10.5" x14ac:dyDescent="0.25"/>
  <cols>
    <col min="1" max="1" width="8.6328125" style="2" customWidth="1"/>
    <col min="2" max="2" width="39.81640625" style="2" bestFit="1" customWidth="1"/>
    <col min="3" max="3" width="35.453125" style="2" customWidth="1"/>
    <col min="4" max="4" width="7.453125" style="113" bestFit="1" customWidth="1"/>
    <col min="5" max="5" width="10.453125" style="2" bestFit="1" customWidth="1"/>
    <col min="6" max="6" width="12.1796875" style="2" bestFit="1" customWidth="1"/>
    <col min="7" max="13" width="10.453125" style="2" bestFit="1" customWidth="1"/>
    <col min="14" max="16384" width="8.81640625" style="2"/>
  </cols>
  <sheetData>
    <row r="1" spans="1:13" x14ac:dyDescent="0.25">
      <c r="E1" s="2" t="str">
        <f>LEFT(E2,4)</f>
        <v>2019</v>
      </c>
      <c r="F1" s="2" t="str">
        <f t="shared" ref="F1:M1" si="0">LEFT(F2,4)</f>
        <v>2020</v>
      </c>
      <c r="G1" s="2" t="str">
        <f t="shared" si="0"/>
        <v>2020</v>
      </c>
      <c r="H1" s="2" t="str">
        <f t="shared" si="0"/>
        <v>2020</v>
      </c>
      <c r="I1" s="2" t="str">
        <f t="shared" si="0"/>
        <v>2020</v>
      </c>
      <c r="J1" s="2" t="str">
        <f t="shared" si="0"/>
        <v>2021</v>
      </c>
      <c r="K1" s="2" t="str">
        <f t="shared" si="0"/>
        <v>2021</v>
      </c>
      <c r="L1" s="2" t="str">
        <f t="shared" si="0"/>
        <v>2021</v>
      </c>
      <c r="M1" s="2" t="str">
        <f t="shared" si="0"/>
        <v>2021</v>
      </c>
    </row>
    <row r="2" spans="1:13" x14ac:dyDescent="0.25">
      <c r="B2" s="2" t="s">
        <v>439</v>
      </c>
      <c r="C2" s="2" t="s">
        <v>517</v>
      </c>
      <c r="D2" s="113" t="s">
        <v>524</v>
      </c>
      <c r="E2" s="67" t="s">
        <v>413</v>
      </c>
      <c r="F2" s="67" t="s">
        <v>414</v>
      </c>
      <c r="G2" s="67" t="s">
        <v>415</v>
      </c>
      <c r="H2" s="67" t="s">
        <v>416</v>
      </c>
      <c r="I2" s="67" t="s">
        <v>417</v>
      </c>
      <c r="J2" s="67" t="s">
        <v>418</v>
      </c>
      <c r="K2" s="67" t="s">
        <v>419</v>
      </c>
      <c r="L2" s="67" t="s">
        <v>420</v>
      </c>
      <c r="M2" s="67" t="s">
        <v>421</v>
      </c>
    </row>
    <row r="3" spans="1:13" x14ac:dyDescent="0.25">
      <c r="B3" s="64" t="s">
        <v>522</v>
      </c>
      <c r="C3" s="64"/>
      <c r="D3" s="111"/>
      <c r="E3" s="103"/>
      <c r="F3" s="99"/>
      <c r="G3" s="99"/>
      <c r="H3" s="99"/>
      <c r="I3" s="99"/>
      <c r="J3" s="99"/>
      <c r="K3" s="99"/>
      <c r="L3" s="99"/>
      <c r="M3" s="99"/>
    </row>
    <row r="4" spans="1:13" x14ac:dyDescent="0.25">
      <c r="A4" s="2" t="str">
        <f>$B$3&amp;B4</f>
        <v>Market PricesOil</v>
      </c>
      <c r="B4" s="70" t="s">
        <v>396</v>
      </c>
      <c r="C4" s="70"/>
      <c r="D4" s="108"/>
      <c r="E4" s="89">
        <f>INDEX('Quarterly Forecasts'!$B$4:$O$500,MATCH(($B$2&amp;$B4),'Quarterly Forecasts'!$B$4:$B$500,0),MATCH(E$2,'Quarterly Forecasts'!$B$4:$O$4,0))</f>
        <v>64.358329999999995</v>
      </c>
      <c r="F4" s="134">
        <f>INDEX('Quarterly Forecasts'!$B$4:$O$500,MATCH($B$2&amp;$B4,'Quarterly Forecasts'!$B$4:$B$500,0),MATCH(F$2,'Quarterly Forecasts'!$B$4:$O$4,0))</f>
        <v>50.81859</v>
      </c>
      <c r="G4" s="134">
        <f>INDEX('Quarterly Forecasts'!$B$4:$O$500,MATCH($B$2&amp;$B4,'Quarterly Forecasts'!$B$4:$B$500,0),MATCH(G$2,'Quarterly Forecasts'!$B$4:$O$4,0))</f>
        <v>20</v>
      </c>
      <c r="H4" s="134">
        <f>INDEX('Quarterly Forecasts'!$B$4:$O$500,MATCH($B$2&amp;$B4,'Quarterly Forecasts'!$B$4:$B$500,0),MATCH(H$2,'Quarterly Forecasts'!$B$4:$O$4,0))</f>
        <v>22</v>
      </c>
      <c r="I4" s="134">
        <f>INDEX('Quarterly Forecasts'!$B$4:$O$500,MATCH($B$2&amp;$B4,'Quarterly Forecasts'!$B$4:$B$500,0),MATCH(I$2,'Quarterly Forecasts'!$B$4:$O$4,0))</f>
        <v>24</v>
      </c>
      <c r="J4" s="134">
        <f>INDEX('Quarterly Forecasts'!$B$4:$O$500,MATCH($B$2&amp;$B4,'Quarterly Forecasts'!$B$4:$B$500,0),MATCH(J$2,'Quarterly Forecasts'!$B$4:$O$4,0))</f>
        <v>26</v>
      </c>
      <c r="K4" s="134">
        <f>INDEX('Quarterly Forecasts'!$B$4:$O$500,MATCH($B$2&amp;$B4,'Quarterly Forecasts'!$B$4:$B$500,0),MATCH(K$2,'Quarterly Forecasts'!$B$4:$O$4,0))</f>
        <v>28</v>
      </c>
      <c r="L4" s="134">
        <f>INDEX('Quarterly Forecasts'!$B$4:$O$500,MATCH($B$2&amp;$B4,'Quarterly Forecasts'!$B$4:$B$500,0),MATCH(L$2,'Quarterly Forecasts'!$B$4:$O$4,0))</f>
        <v>30</v>
      </c>
      <c r="M4" s="134">
        <f>INDEX('Quarterly Forecasts'!$B$4:$O$500,MATCH($B$2&amp;$B4,'Quarterly Forecasts'!$B$4:$B$500,0),MATCH(M$2,'Quarterly Forecasts'!$B$4:$O$4,0))</f>
        <v>30</v>
      </c>
    </row>
    <row r="5" spans="1:13" x14ac:dyDescent="0.25">
      <c r="A5" s="2" t="str">
        <f t="shared" ref="A5:A7" si="1">$B$3&amp;B5</f>
        <v>Market PricesGas</v>
      </c>
      <c r="B5" s="70" t="s">
        <v>26</v>
      </c>
      <c r="C5" s="70"/>
      <c r="D5" s="108"/>
      <c r="E5" s="89">
        <f>INDEX('Quarterly Forecasts'!$B$4:$O$500,MATCH($B2&amp;$B5,'Quarterly Forecasts'!$B$4:$B$500,0),MATCH(E$2,'Quarterly Forecasts'!$B$4:$O$4,0))</f>
        <v>15.15714</v>
      </c>
      <c r="F5" s="134">
        <f>INDEX('Quarterly Forecasts'!$B$4:$O$500,MATCH($B$2&amp;$B5,'Quarterly Forecasts'!$B$4:$B$500,0),MATCH(F$2,'Quarterly Forecasts'!$B$4:$O$4,0))</f>
        <v>11.20355</v>
      </c>
      <c r="G5" s="134">
        <f>INDEX('Quarterly Forecasts'!$B$4:$O$500,MATCH($B$2&amp;$B5,'Quarterly Forecasts'!$B$4:$B$500,0),MATCH(G$2,'Quarterly Forecasts'!$B$4:$O$4,0))</f>
        <v>12.8748</v>
      </c>
      <c r="H5" s="134">
        <f>INDEX('Quarterly Forecasts'!$B$4:$O$500,MATCH($B$2&amp;$B5,'Quarterly Forecasts'!$B$4:$B$500,0),MATCH(H$2,'Quarterly Forecasts'!$B$4:$O$4,0))</f>
        <v>13.0944</v>
      </c>
      <c r="I5" s="134">
        <f>INDEX('Quarterly Forecasts'!$B$4:$O$500,MATCH($B$2&amp;$B5,'Quarterly Forecasts'!$B$4:$B$500,0),MATCH(I$2,'Quarterly Forecasts'!$B$4:$O$4,0))</f>
        <v>13.314000000000002</v>
      </c>
      <c r="J5" s="134">
        <f>INDEX('Quarterly Forecasts'!$B$4:$O$500,MATCH($B$2&amp;$B5,'Quarterly Forecasts'!$B$4:$B$500,0),MATCH(J$2,'Quarterly Forecasts'!$B$4:$O$4,0))</f>
        <v>13.533600000000002</v>
      </c>
      <c r="K5" s="134">
        <f>INDEX('Quarterly Forecasts'!$B$4:$O$500,MATCH($B$2&amp;$B5,'Quarterly Forecasts'!$B$4:$B$500,0),MATCH(K$2,'Quarterly Forecasts'!$B$4:$O$4,0))</f>
        <v>13.753200000000001</v>
      </c>
      <c r="L5" s="134">
        <f>INDEX('Quarterly Forecasts'!$B$4:$O$500,MATCH($B$2&amp;$B5,'Quarterly Forecasts'!$B$4:$B$500,0),MATCH(L$2,'Quarterly Forecasts'!$B$4:$O$4,0))</f>
        <v>13.972800000000001</v>
      </c>
      <c r="M5" s="134">
        <f>INDEX('Quarterly Forecasts'!$B$4:$O$500,MATCH($B$2&amp;$B5,'Quarterly Forecasts'!$B$4:$B$500,0),MATCH(M$2,'Quarterly Forecasts'!$B$4:$O$4,0))</f>
        <v>13.972800000000001</v>
      </c>
    </row>
    <row r="6" spans="1:13" x14ac:dyDescent="0.25">
      <c r="A6" s="2" t="str">
        <f t="shared" si="1"/>
        <v>Market PricesNGL</v>
      </c>
      <c r="B6" s="70" t="s">
        <v>25</v>
      </c>
      <c r="C6" s="70"/>
      <c r="D6" s="108"/>
      <c r="E6" s="89">
        <f>INDEX('Quarterly Forecasts'!$B$4:$O$500,MATCH($B2&amp;$B6,'Quarterly Forecasts'!$B$4:$B$500,0),MATCH(E$2,'Quarterly Forecasts'!$B$4:$O$4,0))</f>
        <v>20.616230000000002</v>
      </c>
      <c r="F6" s="134">
        <f>INDEX('Quarterly Forecasts'!$B$4:$O$500,MATCH($B$2&amp;$B6,'Quarterly Forecasts'!$B$4:$B$500,0),MATCH(F$2,'Quarterly Forecasts'!$B$4:$O$4,0))</f>
        <v>17.26445</v>
      </c>
      <c r="G6" s="134">
        <f>INDEX('Quarterly Forecasts'!$B$4:$O$500,MATCH($B$2&amp;$B6,'Quarterly Forecasts'!$B$4:$B$500,0),MATCH(G$2,'Quarterly Forecasts'!$B$4:$O$4,0))</f>
        <v>8.4505925000000008</v>
      </c>
      <c r="H6" s="134">
        <f>INDEX('Quarterly Forecasts'!$B$4:$O$500,MATCH($B$2&amp;$B6,'Quarterly Forecasts'!$B$4:$B$500,0),MATCH(H$2,'Quarterly Forecasts'!$B$4:$O$4,0))</f>
        <v>9.3239265000000007</v>
      </c>
      <c r="I6" s="134">
        <f>INDEX('Quarterly Forecasts'!$B$4:$O$500,MATCH($B$2&amp;$B6,'Quarterly Forecasts'!$B$4:$B$500,0),MATCH(I$2,'Quarterly Forecasts'!$B$4:$O$4,0))</f>
        <v>10.197260500000001</v>
      </c>
      <c r="J6" s="134">
        <f>INDEX('Quarterly Forecasts'!$B$4:$O$500,MATCH($B$2&amp;$B6,'Quarterly Forecasts'!$B$4:$B$500,0),MATCH(J$2,'Quarterly Forecasts'!$B$4:$O$4,0))</f>
        <v>11.0705945</v>
      </c>
      <c r="K6" s="134">
        <f>INDEX('Quarterly Forecasts'!$B$4:$O$500,MATCH($B$2&amp;$B6,'Quarterly Forecasts'!$B$4:$B$500,0),MATCH(K$2,'Quarterly Forecasts'!$B$4:$O$4,0))</f>
        <v>11.9439285</v>
      </c>
      <c r="L6" s="134">
        <f>INDEX('Quarterly Forecasts'!$B$4:$O$500,MATCH($B$2&amp;$B6,'Quarterly Forecasts'!$B$4:$B$500,0),MATCH(L$2,'Quarterly Forecasts'!$B$4:$O$4,0))</f>
        <v>12.8172625</v>
      </c>
      <c r="M6" s="134">
        <f>INDEX('Quarterly Forecasts'!$B$4:$O$500,MATCH($B$2&amp;$B6,'Quarterly Forecasts'!$B$4:$B$500,0),MATCH(M$2,'Quarterly Forecasts'!$B$4:$O$4,0))</f>
        <v>12.8172625</v>
      </c>
    </row>
    <row r="7" spans="1:13" x14ac:dyDescent="0.25">
      <c r="A7" s="2" t="str">
        <f t="shared" si="1"/>
        <v>Market PricesCondensate</v>
      </c>
      <c r="B7" s="71" t="s">
        <v>24</v>
      </c>
      <c r="C7" s="71"/>
      <c r="D7" s="114"/>
      <c r="E7" s="89">
        <f>INDEX('Quarterly Forecasts'!$B$4:$O$500,MATCH($B2&amp;$B7,'Quarterly Forecasts'!$B$4:$B$500,0),MATCH(E$2,'Quarterly Forecasts'!$B$4:$O$4,0))</f>
        <v>38.614997999999993</v>
      </c>
      <c r="F7" s="134">
        <f>INDEX('Quarterly Forecasts'!$B$4:$O$500,MATCH($B$2&amp;$B7,'Quarterly Forecasts'!$B$4:$B$500,0),MATCH(F$2,'Quarterly Forecasts'!$B$4:$O$4,0))</f>
        <v>30.491153999999998</v>
      </c>
      <c r="G7" s="134">
        <f>INDEX('Quarterly Forecasts'!$B$4:$O$500,MATCH($B$2&amp;$B7,'Quarterly Forecasts'!$B$4:$B$500,0),MATCH(G$2,'Quarterly Forecasts'!$B$4:$O$4,0))</f>
        <v>12</v>
      </c>
      <c r="H7" s="134">
        <f>INDEX('Quarterly Forecasts'!$B$4:$O$500,MATCH($B$2&amp;$B7,'Quarterly Forecasts'!$B$4:$B$500,0),MATCH(H$2,'Quarterly Forecasts'!$B$4:$O$4,0))</f>
        <v>13.2</v>
      </c>
      <c r="I7" s="134">
        <f>INDEX('Quarterly Forecasts'!$B$4:$O$500,MATCH($B$2&amp;$B7,'Quarterly Forecasts'!$B$4:$B$500,0),MATCH(I$2,'Quarterly Forecasts'!$B$4:$O$4,0))</f>
        <v>14.399999999999999</v>
      </c>
      <c r="J7" s="134">
        <f>INDEX('Quarterly Forecasts'!$B$4:$O$500,MATCH($B$2&amp;$B7,'Quarterly Forecasts'!$B$4:$B$500,0),MATCH(J$2,'Quarterly Forecasts'!$B$4:$O$4,0))</f>
        <v>15.6</v>
      </c>
      <c r="K7" s="134">
        <f>INDEX('Quarterly Forecasts'!$B$4:$O$500,MATCH($B$2&amp;$B7,'Quarterly Forecasts'!$B$4:$B$500,0),MATCH(K$2,'Quarterly Forecasts'!$B$4:$O$4,0))</f>
        <v>16.8</v>
      </c>
      <c r="L7" s="134">
        <f>INDEX('Quarterly Forecasts'!$B$4:$O$500,MATCH($B$2&amp;$B7,'Quarterly Forecasts'!$B$4:$B$500,0),MATCH(L$2,'Quarterly Forecasts'!$B$4:$O$4,0))</f>
        <v>18</v>
      </c>
      <c r="M7" s="134">
        <f>INDEX('Quarterly Forecasts'!$B$4:$O$500,MATCH($B$2&amp;$B7,'Quarterly Forecasts'!$B$4:$B$500,0),MATCH(M$2,'Quarterly Forecasts'!$B$4:$O$4,0))</f>
        <v>18</v>
      </c>
    </row>
    <row r="9" spans="1:13" x14ac:dyDescent="0.25">
      <c r="B9" s="31" t="s">
        <v>21</v>
      </c>
      <c r="C9" s="31"/>
      <c r="D9" s="115"/>
      <c r="E9" s="67"/>
      <c r="F9" s="67"/>
      <c r="G9" s="67"/>
      <c r="H9" s="67"/>
      <c r="I9" s="67"/>
      <c r="J9" s="67"/>
      <c r="K9" s="67"/>
      <c r="L9" s="67"/>
      <c r="M9" s="67"/>
    </row>
    <row r="10" spans="1:13" x14ac:dyDescent="0.25">
      <c r="B10" s="64" t="s">
        <v>523</v>
      </c>
      <c r="C10" s="64"/>
      <c r="D10" s="111"/>
      <c r="E10" s="103"/>
      <c r="F10" s="99"/>
      <c r="G10" s="99"/>
      <c r="H10" s="99"/>
      <c r="I10" s="99"/>
      <c r="J10" s="99"/>
      <c r="K10" s="99"/>
      <c r="L10" s="99"/>
      <c r="M10" s="99"/>
    </row>
    <row r="11" spans="1:13" x14ac:dyDescent="0.25">
      <c r="A11" s="2" t="str">
        <f>B9&amp;B10&amp;B11</f>
        <v>Cimarex Energy Co. (XEC)Realized pricesOil</v>
      </c>
      <c r="B11" s="70" t="s">
        <v>396</v>
      </c>
      <c r="C11" s="132" t="s">
        <v>542</v>
      </c>
      <c r="D11" s="108"/>
      <c r="E11" s="89">
        <v>52.77</v>
      </c>
      <c r="F11" s="134">
        <f>F4*($E11/$E4)</f>
        <v>41.668219083683503</v>
      </c>
      <c r="G11" s="134">
        <f t="shared" ref="G11:M14" si="2">G4*($E11/$E4)</f>
        <v>16.398809602424429</v>
      </c>
      <c r="H11" s="134">
        <f t="shared" si="2"/>
        <v>18.038690562666872</v>
      </c>
      <c r="I11" s="134">
        <f t="shared" si="2"/>
        <v>19.678571522909316</v>
      </c>
      <c r="J11" s="134">
        <f t="shared" si="2"/>
        <v>21.318452483151759</v>
      </c>
      <c r="K11" s="134">
        <f t="shared" si="2"/>
        <v>22.958333443394199</v>
      </c>
      <c r="L11" s="134">
        <f t="shared" si="2"/>
        <v>24.598214403636643</v>
      </c>
      <c r="M11" s="134">
        <f t="shared" si="2"/>
        <v>24.598214403636643</v>
      </c>
    </row>
    <row r="12" spans="1:13" x14ac:dyDescent="0.25">
      <c r="A12" s="2" t="str">
        <f>B9&amp;B10&amp;B12</f>
        <v>Cimarex Energy Co. (XEC)Realized pricesGas</v>
      </c>
      <c r="B12" s="70" t="s">
        <v>26</v>
      </c>
      <c r="C12" s="132" t="s">
        <v>542</v>
      </c>
      <c r="D12" s="108"/>
      <c r="E12" s="89">
        <f>1.11*6</f>
        <v>6.66</v>
      </c>
      <c r="F12" s="134">
        <f>F5*($E12/$E5)</f>
        <v>4.9228048959104429</v>
      </c>
      <c r="G12" s="134">
        <f t="shared" si="2"/>
        <v>5.6571469287741625</v>
      </c>
      <c r="H12" s="134">
        <f t="shared" si="2"/>
        <v>5.7536384832494791</v>
      </c>
      <c r="I12" s="134">
        <f t="shared" si="2"/>
        <v>5.8501300377247967</v>
      </c>
      <c r="J12" s="134">
        <f t="shared" si="2"/>
        <v>5.9466215922001124</v>
      </c>
      <c r="K12" s="134">
        <f t="shared" si="2"/>
        <v>6.0431131466754291</v>
      </c>
      <c r="L12" s="134">
        <f t="shared" si="2"/>
        <v>6.1396047011507457</v>
      </c>
      <c r="M12" s="134">
        <f t="shared" si="2"/>
        <v>6.1396047011507457</v>
      </c>
    </row>
    <row r="13" spans="1:13" x14ac:dyDescent="0.25">
      <c r="A13" s="2" t="str">
        <f>B9&amp;B10&amp;B13</f>
        <v>Cimarex Energy Co. (XEC)Realized pricesNGL</v>
      </c>
      <c r="B13" s="70" t="s">
        <v>25</v>
      </c>
      <c r="C13" s="132" t="s">
        <v>542</v>
      </c>
      <c r="D13" s="108"/>
      <c r="E13" s="89">
        <v>13.55</v>
      </c>
      <c r="F13" s="134">
        <f>F6*($E13/$E6)</f>
        <v>11.347045386086593</v>
      </c>
      <c r="G13" s="134">
        <f t="shared" si="2"/>
        <v>5.5541448836668978</v>
      </c>
      <c r="H13" s="134">
        <f t="shared" si="2"/>
        <v>6.128142927926203</v>
      </c>
      <c r="I13" s="134">
        <f t="shared" si="2"/>
        <v>6.7021409721855072</v>
      </c>
      <c r="J13" s="134">
        <f t="shared" si="2"/>
        <v>7.2761390164448114</v>
      </c>
      <c r="K13" s="134">
        <f t="shared" si="2"/>
        <v>7.8501370607041157</v>
      </c>
      <c r="L13" s="134">
        <f t="shared" si="2"/>
        <v>8.4241351049634208</v>
      </c>
      <c r="M13" s="134">
        <f t="shared" si="2"/>
        <v>8.4241351049634208</v>
      </c>
    </row>
    <row r="14" spans="1:13" x14ac:dyDescent="0.25">
      <c r="A14" s="2" t="str">
        <f>B9&amp;B10&amp;B14</f>
        <v>Cimarex Energy Co. (XEC)Realized pricesCondensate</v>
      </c>
      <c r="B14" s="70" t="s">
        <v>24</v>
      </c>
      <c r="C14" s="132" t="s">
        <v>543</v>
      </c>
      <c r="D14" s="108"/>
      <c r="E14" s="89">
        <f>E11*0.6</f>
        <v>31.661999999999999</v>
      </c>
      <c r="F14" s="134">
        <f>F7*($E14/$E7)</f>
        <v>25.0009314502101</v>
      </c>
      <c r="G14" s="134">
        <f t="shared" si="2"/>
        <v>9.8392857614546578</v>
      </c>
      <c r="H14" s="134">
        <f t="shared" si="2"/>
        <v>10.823214337600122</v>
      </c>
      <c r="I14" s="134">
        <f t="shared" si="2"/>
        <v>11.807142913745588</v>
      </c>
      <c r="J14" s="134">
        <f t="shared" si="2"/>
        <v>12.791071489891054</v>
      </c>
      <c r="K14" s="134">
        <f t="shared" si="2"/>
        <v>13.775000066036521</v>
      </c>
      <c r="L14" s="134">
        <f t="shared" si="2"/>
        <v>14.758928642181987</v>
      </c>
      <c r="M14" s="134">
        <f t="shared" si="2"/>
        <v>14.758928642181987</v>
      </c>
    </row>
    <row r="15" spans="1:13" x14ac:dyDescent="0.25">
      <c r="A15" s="2" t="str">
        <f>B9&amp;B10&amp;B15</f>
        <v>Cimarex Energy Co. (XEC)Realized pricesAverage realized price</v>
      </c>
      <c r="B15" s="97" t="s">
        <v>527</v>
      </c>
      <c r="C15" s="137" t="s">
        <v>541</v>
      </c>
      <c r="D15" s="114"/>
      <c r="E15" s="89" t="e">
        <f>E29/E24</f>
        <v>#REF!</v>
      </c>
      <c r="F15" s="12" t="e">
        <f>F29/F24</f>
        <v>#REF!</v>
      </c>
      <c r="G15" s="12" t="e">
        <f t="shared" ref="G15:M15" si="3">G29/G24</f>
        <v>#REF!</v>
      </c>
      <c r="H15" s="12" t="e">
        <f t="shared" si="3"/>
        <v>#REF!</v>
      </c>
      <c r="I15" s="12" t="e">
        <f t="shared" si="3"/>
        <v>#REF!</v>
      </c>
      <c r="J15" s="12" t="e">
        <f t="shared" si="3"/>
        <v>#REF!</v>
      </c>
      <c r="K15" s="12" t="e">
        <f t="shared" si="3"/>
        <v>#REF!</v>
      </c>
      <c r="L15" s="12" t="e">
        <f t="shared" si="3"/>
        <v>#REF!</v>
      </c>
      <c r="M15" s="12" t="e">
        <f t="shared" si="3"/>
        <v>#REF!</v>
      </c>
    </row>
    <row r="16" spans="1:13" x14ac:dyDescent="0.25">
      <c r="B16" s="31"/>
      <c r="C16" s="31"/>
      <c r="D16" s="115"/>
      <c r="E16" s="100"/>
      <c r="F16" s="100"/>
      <c r="G16" s="100"/>
      <c r="H16" s="100"/>
      <c r="I16" s="100"/>
      <c r="J16" s="100"/>
      <c r="K16" s="100"/>
      <c r="L16" s="100"/>
      <c r="M16" s="100"/>
    </row>
    <row r="17" spans="1:13" x14ac:dyDescent="0.25">
      <c r="A17" s="2" t="str">
        <f>B9&amp;B17</f>
        <v>Cimarex Energy Co. (XEC)Netback price, BOE</v>
      </c>
      <c r="B17" s="91" t="s">
        <v>503</v>
      </c>
      <c r="C17" s="53" t="s">
        <v>535</v>
      </c>
      <c r="D17" s="122"/>
      <c r="E17" s="89" t="e">
        <f>E15-(E43/E24)-(E36/E24)-(E37/E24)-(E38/E24)</f>
        <v>#REF!</v>
      </c>
      <c r="F17" s="89" t="e">
        <f>F15-(F43/F24)-(F36/F24)-(F37/F24)-(F38/F24)</f>
        <v>#REF!</v>
      </c>
      <c r="G17" s="89" t="e">
        <f t="shared" ref="G17:M17" si="4">G15-(G43/G24)-(G36/G24)-(G37/G24)-(G38/G24)</f>
        <v>#REF!</v>
      </c>
      <c r="H17" s="89" t="e">
        <f t="shared" si="4"/>
        <v>#REF!</v>
      </c>
      <c r="I17" s="89" t="e">
        <f t="shared" si="4"/>
        <v>#REF!</v>
      </c>
      <c r="J17" s="89" t="e">
        <f t="shared" si="4"/>
        <v>#REF!</v>
      </c>
      <c r="K17" s="89" t="e">
        <f t="shared" si="4"/>
        <v>#REF!</v>
      </c>
      <c r="L17" s="89" t="e">
        <f t="shared" si="4"/>
        <v>#REF!</v>
      </c>
      <c r="M17" s="89" t="e">
        <f t="shared" si="4"/>
        <v>#REF!</v>
      </c>
    </row>
    <row r="18" spans="1:13" x14ac:dyDescent="0.25">
      <c r="B18" s="31"/>
      <c r="C18" s="31"/>
      <c r="D18" s="115"/>
      <c r="E18" s="100"/>
      <c r="F18" s="100"/>
      <c r="G18" s="100"/>
      <c r="H18" s="100"/>
      <c r="I18" s="100"/>
      <c r="J18" s="100"/>
      <c r="K18" s="100"/>
      <c r="L18" s="100"/>
      <c r="M18" s="100"/>
    </row>
    <row r="19" spans="1:13" x14ac:dyDescent="0.25">
      <c r="B19" s="64" t="s">
        <v>532</v>
      </c>
      <c r="C19" s="64"/>
      <c r="D19" s="111"/>
      <c r="E19" s="103"/>
      <c r="F19" s="99"/>
      <c r="G19" s="99"/>
      <c r="H19" s="99"/>
      <c r="I19" s="99"/>
      <c r="J19" s="99"/>
      <c r="K19" s="99"/>
      <c r="L19" s="99"/>
      <c r="M19" s="99"/>
    </row>
    <row r="20" spans="1:13" x14ac:dyDescent="0.25">
      <c r="A20" s="2" t="str">
        <f>B9&amp;B19&amp;B20</f>
        <v>Cimarex Energy Co. (XEC)Production, BOE/QOil</v>
      </c>
      <c r="B20" s="70" t="s">
        <v>396</v>
      </c>
      <c r="C20" s="73" t="s">
        <v>564</v>
      </c>
      <c r="D20" s="108"/>
      <c r="E20" s="105" t="e">
        <f>SUMIFS(#REF!,#REF!,$B9)*365/4</f>
        <v>#REF!</v>
      </c>
      <c r="F20" s="66" t="e">
        <f>(SUMIFS(#REF!,#REF!,$B9)*365/4)*(1-INDEX(Assumptions!$A$2:$K$596,MATCH($B9&amp;"Oil production reduction",Assumptions!$A$2:$A$596,0),MATCH(F$2,Assumptions!$A$2:$K$2,0)))</f>
        <v>#REF!</v>
      </c>
      <c r="G20" s="66" t="e">
        <f>F20*(1-INDEX(Assumptions!$A$2:$K$596,MATCH($B9&amp;"Oil production reduction",Assumptions!$A$2:$A$596,0),MATCH(G$2,Assumptions!$A$2:$K$2,0)))</f>
        <v>#REF!</v>
      </c>
      <c r="H20" s="66" t="e">
        <f>G20*(1-INDEX(Assumptions!$A$2:$K$596,MATCH($B9&amp;"Oil production reduction",Assumptions!$A$2:$A$596,0),MATCH(H$2,Assumptions!$A$2:$K$2,0)))</f>
        <v>#REF!</v>
      </c>
      <c r="I20" s="66" t="e">
        <f>H20*(1-INDEX(Assumptions!$A$2:$K$596,MATCH($B9&amp;"Oil production reduction",Assumptions!$A$2:$A$596,0),MATCH(I$2,Assumptions!$A$2:$K$2,0)))</f>
        <v>#REF!</v>
      </c>
      <c r="J20" s="66" t="e">
        <f>I20*(1-INDEX(Assumptions!$A$2:$K$596,MATCH($B9&amp;"Oil production reduction",Assumptions!$A$2:$A$596,0),MATCH(J$2,Assumptions!$A$2:$K$2,0)))</f>
        <v>#REF!</v>
      </c>
      <c r="K20" s="66" t="e">
        <f>J20*(1-INDEX(Assumptions!$A$2:$K$596,MATCH($B9&amp;"Oil production reduction",Assumptions!$A$2:$A$596,0),MATCH(K$2,Assumptions!$A$2:$K$2,0)))</f>
        <v>#REF!</v>
      </c>
      <c r="L20" s="66" t="e">
        <f>K20*(1-INDEX(Assumptions!$A$2:$K$596,MATCH($B9&amp;"Oil production reduction",Assumptions!$A$2:$A$596,0),MATCH(L$2,Assumptions!$A$2:$K$2,0)))</f>
        <v>#REF!</v>
      </c>
      <c r="M20" s="66" t="e">
        <f>L20*(1-INDEX(Assumptions!$A$2:$K$596,MATCH($B9&amp;"Oil production reduction",Assumptions!$A$2:$A$596,0),MATCH(M$2,Assumptions!$A$2:$K$2,0)))</f>
        <v>#REF!</v>
      </c>
    </row>
    <row r="21" spans="1:13" x14ac:dyDescent="0.25">
      <c r="A21" s="2" t="str">
        <f>B9&amp;B19&amp;B21</f>
        <v>Cimarex Energy Co. (XEC)Production, BOE/QGas</v>
      </c>
      <c r="B21" s="70" t="s">
        <v>26</v>
      </c>
      <c r="C21" s="73" t="s">
        <v>564</v>
      </c>
      <c r="D21" s="108"/>
      <c r="E21" s="105" t="e">
        <f>SUMIFS(#REF!,#REF!,$B9)*365/4</f>
        <v>#REF!</v>
      </c>
      <c r="F21" s="66" t="e">
        <f>(SUMIFS(#REF!,#REF!,$B9)*365/4)*(1-INDEX(Assumptions!$A$2:$K$596,MATCH($B9&amp;"Gas production reduction",Assumptions!$A$2:$A$596,0),MATCH(F$2,Assumptions!$A$2:$K$2,0)))</f>
        <v>#REF!</v>
      </c>
      <c r="G21" s="66" t="e">
        <f>F21*(1-INDEX(Assumptions!$A$2:$K$596,MATCH($B9&amp;"Gas production reduction",Assumptions!$A$2:$A$596,0),MATCH(G$2,Assumptions!$A$2:$K$2,0)))</f>
        <v>#REF!</v>
      </c>
      <c r="H21" s="66" t="e">
        <f>G21*(1-INDEX(Assumptions!$A$2:$K$596,MATCH($B9&amp;"Gas production reduction",Assumptions!$A$2:$A$596,0),MATCH(H$2,Assumptions!$A$2:$K$2,0)))</f>
        <v>#REF!</v>
      </c>
      <c r="I21" s="66" t="e">
        <f>H21*(1-INDEX(Assumptions!$A$2:$K$596,MATCH($B9&amp;"Gas production reduction",Assumptions!$A$2:$A$596,0),MATCH(I$2,Assumptions!$A$2:$K$2,0)))</f>
        <v>#REF!</v>
      </c>
      <c r="J21" s="66" t="e">
        <f>I21*(1-INDEX(Assumptions!$A$2:$K$596,MATCH($B9&amp;"Gas production reduction",Assumptions!$A$2:$A$596,0),MATCH(J$2,Assumptions!$A$2:$K$2,0)))</f>
        <v>#REF!</v>
      </c>
      <c r="K21" s="66" t="e">
        <f>J21*(1-INDEX(Assumptions!$A$2:$K$596,MATCH($B9&amp;"Gas production reduction",Assumptions!$A$2:$A$596,0),MATCH(K$2,Assumptions!$A$2:$K$2,0)))</f>
        <v>#REF!</v>
      </c>
      <c r="L21" s="66" t="e">
        <f>K21*(1-INDEX(Assumptions!$A$2:$K$596,MATCH($B9&amp;"Gas production reduction",Assumptions!$A$2:$A$596,0),MATCH(L$2,Assumptions!$A$2:$K$2,0)))</f>
        <v>#REF!</v>
      </c>
      <c r="M21" s="66" t="e">
        <f>L21*(1-INDEX(Assumptions!$A$2:$K$596,MATCH($B9&amp;"Gas production reduction",Assumptions!$A$2:$A$596,0),MATCH(M$2,Assumptions!$A$2:$K$2,0)))</f>
        <v>#REF!</v>
      </c>
    </row>
    <row r="22" spans="1:13" x14ac:dyDescent="0.25">
      <c r="A22" s="2" t="str">
        <f>B9&amp;B19&amp;B22</f>
        <v>Cimarex Energy Co. (XEC)Production, BOE/QNGL</v>
      </c>
      <c r="B22" s="70" t="s">
        <v>25</v>
      </c>
      <c r="C22" s="73" t="s">
        <v>564</v>
      </c>
      <c r="D22" s="108"/>
      <c r="E22" s="105" t="e">
        <f>SUMIFS(#REF!,#REF!,$B9)*365/4</f>
        <v>#REF!</v>
      </c>
      <c r="F22" s="66" t="e">
        <f>(SUMIFS(#REF!,#REF!,$B9)*365/4)*(1-INDEX(Assumptions!$A$2:$K$596,MATCH($B9&amp;"NGL production reduction",Assumptions!$A$2:$A$596,0),MATCH(F$2,Assumptions!$A$2:$K$2,0)))</f>
        <v>#REF!</v>
      </c>
      <c r="G22" s="66" t="e">
        <f>F22*(1-INDEX(Assumptions!$A$2:$K$596,MATCH($B9&amp;"NGL production reduction",Assumptions!$A$2:$A$596,0),MATCH(G$2,Assumptions!$A$2:$K$2,0)))</f>
        <v>#REF!</v>
      </c>
      <c r="H22" s="66" t="e">
        <f>G22*(1-INDEX(Assumptions!$A$2:$K$596,MATCH($B9&amp;"NGL production reduction",Assumptions!$A$2:$A$596,0),MATCH(H$2,Assumptions!$A$2:$K$2,0)))</f>
        <v>#REF!</v>
      </c>
      <c r="I22" s="66" t="e">
        <f>H22*(1-INDEX(Assumptions!$A$2:$K$596,MATCH($B9&amp;"NGL production reduction",Assumptions!$A$2:$A$596,0),MATCH(I$2,Assumptions!$A$2:$K$2,0)))</f>
        <v>#REF!</v>
      </c>
      <c r="J22" s="66" t="e">
        <f>I22*(1-INDEX(Assumptions!$A$2:$K$596,MATCH($B9&amp;"NGL production reduction",Assumptions!$A$2:$A$596,0),MATCH(J$2,Assumptions!$A$2:$K$2,0)))</f>
        <v>#REF!</v>
      </c>
      <c r="K22" s="66" t="e">
        <f>J22*(1-INDEX(Assumptions!$A$2:$K$596,MATCH($B9&amp;"NGL production reduction",Assumptions!$A$2:$A$596,0),MATCH(K$2,Assumptions!$A$2:$K$2,0)))</f>
        <v>#REF!</v>
      </c>
      <c r="L22" s="66" t="e">
        <f>K22*(1-INDEX(Assumptions!$A$2:$K$596,MATCH($B9&amp;"NGL production reduction",Assumptions!$A$2:$A$596,0),MATCH(L$2,Assumptions!$A$2:$K$2,0)))</f>
        <v>#REF!</v>
      </c>
      <c r="M22" s="66" t="e">
        <f>L22*(1-INDEX(Assumptions!$A$2:$K$596,MATCH($B9&amp;"NGL production reduction",Assumptions!$A$2:$A$596,0),MATCH(M$2,Assumptions!$A$2:$K$2,0)))</f>
        <v>#REF!</v>
      </c>
    </row>
    <row r="23" spans="1:13" x14ac:dyDescent="0.25">
      <c r="A23" s="2" t="str">
        <f>B9&amp;B19&amp;B23</f>
        <v>Cimarex Energy Co. (XEC)Production, BOE/QCondensate</v>
      </c>
      <c r="B23" s="70" t="s">
        <v>24</v>
      </c>
      <c r="C23" s="73" t="s">
        <v>564</v>
      </c>
      <c r="D23" s="108"/>
      <c r="E23" s="105" t="e">
        <f>SUMIFS(#REF!,#REF!,$B9)*365/4</f>
        <v>#REF!</v>
      </c>
      <c r="F23" s="66" t="e">
        <f>(SUMIFS(#REF!,#REF!,$B9)*365/4)*(1-INDEX(Assumptions!$A$2:$K$596,MATCH($B9&amp;"Condensate production reduction",Assumptions!$A$2:$A$596,0),MATCH(F$2,Assumptions!$A$2:$K$2,0)))</f>
        <v>#REF!</v>
      </c>
      <c r="G23" s="66" t="e">
        <f>F23*(1-INDEX(Assumptions!$A$2:$K$596,MATCH($B9&amp;"Condensate production reduction",Assumptions!$A$2:$A$596,0),MATCH(G$2,Assumptions!$A$2:$K$2,0)))</f>
        <v>#REF!</v>
      </c>
      <c r="H23" s="66" t="e">
        <f>G23*(1-INDEX(Assumptions!$A$2:$K$596,MATCH($B9&amp;"Condensate production reduction",Assumptions!$A$2:$A$596,0),MATCH(H$2,Assumptions!$A$2:$K$2,0)))</f>
        <v>#REF!</v>
      </c>
      <c r="I23" s="66" t="e">
        <f>H23*(1-INDEX(Assumptions!$A$2:$K$596,MATCH($B9&amp;"Condensate production reduction",Assumptions!$A$2:$A$596,0),MATCH(I$2,Assumptions!$A$2:$K$2,0)))</f>
        <v>#REF!</v>
      </c>
      <c r="J23" s="66" t="e">
        <f>I23*(1-INDEX(Assumptions!$A$2:$K$596,MATCH($B9&amp;"Condensate production reduction",Assumptions!$A$2:$A$596,0),MATCH(J$2,Assumptions!$A$2:$K$2,0)))</f>
        <v>#REF!</v>
      </c>
      <c r="K23" s="66" t="e">
        <f>J23*(1-INDEX(Assumptions!$A$2:$K$596,MATCH($B9&amp;"Condensate production reduction",Assumptions!$A$2:$A$596,0),MATCH(K$2,Assumptions!$A$2:$K$2,0)))</f>
        <v>#REF!</v>
      </c>
      <c r="L23" s="66" t="e">
        <f>K23*(1-INDEX(Assumptions!$A$2:$K$596,MATCH($B9&amp;"Condensate production reduction",Assumptions!$A$2:$A$596,0),MATCH(L$2,Assumptions!$A$2:$K$2,0)))</f>
        <v>#REF!</v>
      </c>
      <c r="M23" s="66" t="e">
        <f>L23*(1-INDEX(Assumptions!$A$2:$K$596,MATCH($B9&amp;"Condensate production reduction",Assumptions!$A$2:$A$596,0),MATCH(M$2,Assumptions!$A$2:$K$2,0)))</f>
        <v>#REF!</v>
      </c>
    </row>
    <row r="24" spans="1:13" x14ac:dyDescent="0.25">
      <c r="A24" s="2" t="str">
        <f>B9&amp;B19&amp;B24</f>
        <v>Cimarex Energy Co. (XEC)Production, BOE/QTotal production</v>
      </c>
      <c r="B24" s="97" t="s">
        <v>397</v>
      </c>
      <c r="C24" s="77"/>
      <c r="D24" s="114"/>
      <c r="E24" s="120" t="e">
        <f>SUM(E20:E23)</f>
        <v>#REF!</v>
      </c>
      <c r="F24" s="121" t="e">
        <f>SUM(F20:F23)</f>
        <v>#REF!</v>
      </c>
      <c r="G24" s="121" t="e">
        <f t="shared" ref="G24:M24" si="5">SUM(G20:G23)</f>
        <v>#REF!</v>
      </c>
      <c r="H24" s="121" t="e">
        <f t="shared" si="5"/>
        <v>#REF!</v>
      </c>
      <c r="I24" s="121" t="e">
        <f t="shared" si="5"/>
        <v>#REF!</v>
      </c>
      <c r="J24" s="121" t="e">
        <f t="shared" si="5"/>
        <v>#REF!</v>
      </c>
      <c r="K24" s="121" t="e">
        <f t="shared" si="5"/>
        <v>#REF!</v>
      </c>
      <c r="L24" s="121" t="e">
        <f t="shared" si="5"/>
        <v>#REF!</v>
      </c>
      <c r="M24" s="121" t="e">
        <f t="shared" si="5"/>
        <v>#REF!</v>
      </c>
    </row>
    <row r="25" spans="1:13" x14ac:dyDescent="0.25">
      <c r="B25" s="31"/>
      <c r="C25" s="31"/>
      <c r="D25" s="115"/>
      <c r="E25" s="67"/>
      <c r="F25" s="67"/>
      <c r="G25" s="67"/>
      <c r="H25" s="67"/>
      <c r="I25" s="67"/>
      <c r="J25" s="67"/>
      <c r="K25" s="67"/>
      <c r="L25" s="67"/>
      <c r="M25" s="67"/>
    </row>
    <row r="26" spans="1:13" x14ac:dyDescent="0.25">
      <c r="A26" s="2" t="str">
        <f>B9&amp;B26</f>
        <v>Cimarex Energy Co. (XEC)Revenues</v>
      </c>
      <c r="B26" s="64" t="s">
        <v>472</v>
      </c>
      <c r="C26" s="64"/>
      <c r="D26" s="111"/>
      <c r="E26" s="63" t="e">
        <f>SUMPRODUCT(E11:E14,E20:E23)</f>
        <v>#REF!</v>
      </c>
      <c r="F26" s="62"/>
      <c r="G26" s="62"/>
      <c r="H26" s="62"/>
      <c r="I26" s="62"/>
      <c r="J26" s="62"/>
      <c r="K26" s="62"/>
      <c r="L26" s="62"/>
      <c r="M26" s="62"/>
    </row>
    <row r="27" spans="1:13" x14ac:dyDescent="0.25">
      <c r="A27" s="2" t="str">
        <f>B9&amp;B27</f>
        <v>Cimarex Energy Co. (XEC)Sales Revenue</v>
      </c>
      <c r="B27" s="70" t="s">
        <v>461</v>
      </c>
      <c r="C27" s="82" t="s">
        <v>536</v>
      </c>
      <c r="D27" s="108"/>
      <c r="E27" s="83">
        <f>2321921/4</f>
        <v>580480.25</v>
      </c>
      <c r="F27" s="50" t="e">
        <f>SUMPRODUCT(F11:F14,F20:F23)</f>
        <v>#REF!</v>
      </c>
      <c r="G27" s="50" t="e">
        <f>SUMPRODUCT(G11:G14,G20:G23)</f>
        <v>#REF!</v>
      </c>
      <c r="H27" s="50" t="e">
        <f t="shared" ref="H27:M27" si="6">SUMPRODUCT(H11:H14,H20:H23)</f>
        <v>#REF!</v>
      </c>
      <c r="I27" s="50" t="e">
        <f t="shared" si="6"/>
        <v>#REF!</v>
      </c>
      <c r="J27" s="50" t="e">
        <f t="shared" si="6"/>
        <v>#REF!</v>
      </c>
      <c r="K27" s="50" t="e">
        <f t="shared" si="6"/>
        <v>#REF!</v>
      </c>
      <c r="L27" s="50" t="e">
        <f t="shared" si="6"/>
        <v>#REF!</v>
      </c>
      <c r="M27" s="50" t="e">
        <f t="shared" si="6"/>
        <v>#REF!</v>
      </c>
    </row>
    <row r="28" spans="1:13" x14ac:dyDescent="0.25">
      <c r="A28" s="2" t="str">
        <f>B9&amp;B28</f>
        <v>Cimarex Energy Co. (XEC)Other Revenue</v>
      </c>
      <c r="B28" s="70" t="s">
        <v>462</v>
      </c>
      <c r="C28" s="82" t="s">
        <v>533</v>
      </c>
      <c r="D28" s="139">
        <f>$E28/$E27</f>
        <v>1.7678465374144942E-2</v>
      </c>
      <c r="E28" s="83">
        <f>41048/4</f>
        <v>10262</v>
      </c>
      <c r="F28" s="50" t="e">
        <f>F27*$D28</f>
        <v>#REF!</v>
      </c>
      <c r="G28" s="50" t="e">
        <f>G27*$D28</f>
        <v>#REF!</v>
      </c>
      <c r="H28" s="50" t="e">
        <f t="shared" ref="H28:L28" si="7">H27*$D28</f>
        <v>#REF!</v>
      </c>
      <c r="I28" s="50" t="e">
        <f t="shared" si="7"/>
        <v>#REF!</v>
      </c>
      <c r="J28" s="50" t="e">
        <f t="shared" si="7"/>
        <v>#REF!</v>
      </c>
      <c r="K28" s="50" t="e">
        <f t="shared" si="7"/>
        <v>#REF!</v>
      </c>
      <c r="L28" s="50" t="e">
        <f t="shared" si="7"/>
        <v>#REF!</v>
      </c>
      <c r="M28" s="50" t="e">
        <f>M27*$D28</f>
        <v>#REF!</v>
      </c>
    </row>
    <row r="29" spans="1:13" x14ac:dyDescent="0.25">
      <c r="A29" s="2" t="str">
        <f>B9&amp;B29</f>
        <v>Cimarex Energy Co. (XEC)Total Revenue</v>
      </c>
      <c r="B29" s="84" t="s">
        <v>395</v>
      </c>
      <c r="C29" s="85"/>
      <c r="D29" s="110"/>
      <c r="E29" s="63">
        <f>SUM(E27:E28)</f>
        <v>590742.25</v>
      </c>
      <c r="F29" s="62" t="e">
        <f t="shared" ref="F29:M29" si="8">SUM(F27:F28)</f>
        <v>#REF!</v>
      </c>
      <c r="G29" s="62" t="e">
        <f t="shared" si="8"/>
        <v>#REF!</v>
      </c>
      <c r="H29" s="62" t="e">
        <f t="shared" si="8"/>
        <v>#REF!</v>
      </c>
      <c r="I29" s="62" t="e">
        <f t="shared" si="8"/>
        <v>#REF!</v>
      </c>
      <c r="J29" s="62" t="e">
        <f t="shared" si="8"/>
        <v>#REF!</v>
      </c>
      <c r="K29" s="62" t="e">
        <f t="shared" si="8"/>
        <v>#REF!</v>
      </c>
      <c r="L29" s="62" t="e">
        <f t="shared" si="8"/>
        <v>#REF!</v>
      </c>
      <c r="M29" s="62" t="e">
        <f t="shared" si="8"/>
        <v>#REF!</v>
      </c>
    </row>
    <row r="30" spans="1:13" x14ac:dyDescent="0.25">
      <c r="A30" s="2" t="str">
        <f>B9&amp;B30</f>
        <v>Cimarex Energy Co. (XEC)Costs and Expenses</v>
      </c>
      <c r="B30" s="72" t="s">
        <v>473</v>
      </c>
      <c r="C30" s="72"/>
      <c r="D30" s="112"/>
      <c r="E30" s="83"/>
      <c r="F30" s="50"/>
      <c r="G30" s="50"/>
      <c r="H30" s="50"/>
      <c r="I30" s="50"/>
      <c r="J30" s="50"/>
      <c r="K30" s="50"/>
      <c r="L30" s="50"/>
      <c r="M30" s="50"/>
    </row>
    <row r="31" spans="1:13" x14ac:dyDescent="0.25">
      <c r="A31" s="2" t="str">
        <f>B9&amp;B31</f>
        <v>Cimarex Energy Co. (XEC)Impairment</v>
      </c>
      <c r="B31" s="70" t="s">
        <v>463</v>
      </c>
      <c r="C31" s="82" t="s">
        <v>537</v>
      </c>
      <c r="D31" s="108"/>
      <c r="E31" s="83">
        <f>618693/4</f>
        <v>154673.25</v>
      </c>
      <c r="F31" s="83">
        <f t="shared" ref="F31:M31" si="9">618693/4</f>
        <v>154673.25</v>
      </c>
      <c r="G31" s="83">
        <f t="shared" si="9"/>
        <v>154673.25</v>
      </c>
      <c r="H31" s="83">
        <f t="shared" si="9"/>
        <v>154673.25</v>
      </c>
      <c r="I31" s="83">
        <f t="shared" si="9"/>
        <v>154673.25</v>
      </c>
      <c r="J31" s="83">
        <f t="shared" si="9"/>
        <v>154673.25</v>
      </c>
      <c r="K31" s="83">
        <f t="shared" si="9"/>
        <v>154673.25</v>
      </c>
      <c r="L31" s="83">
        <f t="shared" si="9"/>
        <v>154673.25</v>
      </c>
      <c r="M31" s="83">
        <f t="shared" si="9"/>
        <v>154673.25</v>
      </c>
    </row>
    <row r="32" spans="1:13" x14ac:dyDescent="0.25">
      <c r="A32" s="2" t="str">
        <f>B9&amp;B32</f>
        <v>Cimarex Energy Co. (XEC)DD&amp;A</v>
      </c>
      <c r="B32" s="70" t="s">
        <v>464</v>
      </c>
      <c r="C32" s="106" t="s">
        <v>545</v>
      </c>
      <c r="D32" s="108" t="e">
        <f>E32/E24</f>
        <v>#REF!</v>
      </c>
      <c r="E32" s="83">
        <f>882173/4</f>
        <v>220543.25</v>
      </c>
      <c r="F32" s="50" t="e">
        <f>$D32*F24</f>
        <v>#REF!</v>
      </c>
      <c r="G32" s="50" t="e">
        <f t="shared" ref="G32:M32" si="10">$D32*G24</f>
        <v>#REF!</v>
      </c>
      <c r="H32" s="50" t="e">
        <f t="shared" si="10"/>
        <v>#REF!</v>
      </c>
      <c r="I32" s="50" t="e">
        <f t="shared" si="10"/>
        <v>#REF!</v>
      </c>
      <c r="J32" s="50" t="e">
        <f t="shared" si="10"/>
        <v>#REF!</v>
      </c>
      <c r="K32" s="50" t="e">
        <f t="shared" si="10"/>
        <v>#REF!</v>
      </c>
      <c r="L32" s="50" t="e">
        <f t="shared" si="10"/>
        <v>#REF!</v>
      </c>
      <c r="M32" s="50" t="e">
        <f t="shared" si="10"/>
        <v>#REF!</v>
      </c>
    </row>
    <row r="33" spans="1:13" x14ac:dyDescent="0.25">
      <c r="A33" s="2" t="str">
        <f>B9&amp;B33</f>
        <v>Cimarex Energy Co. (XEC)Asset retirement obligation</v>
      </c>
      <c r="B33" s="70" t="s">
        <v>465</v>
      </c>
      <c r="C33" s="106" t="s">
        <v>545</v>
      </c>
      <c r="D33" s="108" t="e">
        <f>E33/E24</f>
        <v>#REF!</v>
      </c>
      <c r="E33" s="83">
        <f>8586/4</f>
        <v>2146.5</v>
      </c>
      <c r="F33" s="50" t="e">
        <f>$D33*F24</f>
        <v>#REF!</v>
      </c>
      <c r="G33" s="50" t="e">
        <f t="shared" ref="G33:M33" si="11">$D33*G24</f>
        <v>#REF!</v>
      </c>
      <c r="H33" s="50" t="e">
        <f t="shared" si="11"/>
        <v>#REF!</v>
      </c>
      <c r="I33" s="50" t="e">
        <f t="shared" si="11"/>
        <v>#REF!</v>
      </c>
      <c r="J33" s="50" t="e">
        <f t="shared" si="11"/>
        <v>#REF!</v>
      </c>
      <c r="K33" s="50" t="e">
        <f t="shared" si="11"/>
        <v>#REF!</v>
      </c>
      <c r="L33" s="50" t="e">
        <f t="shared" si="11"/>
        <v>#REF!</v>
      </c>
      <c r="M33" s="50" t="e">
        <f t="shared" si="11"/>
        <v>#REF!</v>
      </c>
    </row>
    <row r="34" spans="1:13" x14ac:dyDescent="0.25">
      <c r="A34" s="2" t="str">
        <f>B9&amp;B34</f>
        <v>Cimarex Energy Co. (XEC)Non-cash compensation</v>
      </c>
      <c r="B34" s="70" t="s">
        <v>505</v>
      </c>
      <c r="C34" s="106" t="s">
        <v>545</v>
      </c>
      <c r="D34" s="108" t="e">
        <f>E34/E24</f>
        <v>#REF!</v>
      </c>
      <c r="E34" s="83">
        <f>26398/4</f>
        <v>6599.5</v>
      </c>
      <c r="F34" s="50" t="e">
        <f>$D34*F24</f>
        <v>#REF!</v>
      </c>
      <c r="G34" s="50" t="e">
        <f t="shared" ref="G34:M34" si="12">$D34*G24</f>
        <v>#REF!</v>
      </c>
      <c r="H34" s="50" t="e">
        <f t="shared" si="12"/>
        <v>#REF!</v>
      </c>
      <c r="I34" s="50" t="e">
        <f t="shared" si="12"/>
        <v>#REF!</v>
      </c>
      <c r="J34" s="50" t="e">
        <f t="shared" si="12"/>
        <v>#REF!</v>
      </c>
      <c r="K34" s="50" t="e">
        <f t="shared" si="12"/>
        <v>#REF!</v>
      </c>
      <c r="L34" s="50" t="e">
        <f t="shared" si="12"/>
        <v>#REF!</v>
      </c>
      <c r="M34" s="50" t="e">
        <f t="shared" si="12"/>
        <v>#REF!</v>
      </c>
    </row>
    <row r="35" spans="1:13" x14ac:dyDescent="0.25">
      <c r="A35" s="2" t="str">
        <f>B9&amp;B35</f>
        <v>Cimarex Energy Co. (XEC)Taxes other than income</v>
      </c>
      <c r="B35" s="70" t="s">
        <v>467</v>
      </c>
      <c r="C35" s="106" t="s">
        <v>545</v>
      </c>
      <c r="D35" s="108" t="e">
        <f>E35/E24</f>
        <v>#REF!</v>
      </c>
      <c r="E35" s="83">
        <f>148953/4</f>
        <v>37238.25</v>
      </c>
      <c r="F35" s="50" t="e">
        <f>$D35*F24</f>
        <v>#REF!</v>
      </c>
      <c r="G35" s="50" t="e">
        <f t="shared" ref="G35:M35" si="13">$D35*G24</f>
        <v>#REF!</v>
      </c>
      <c r="H35" s="50" t="e">
        <f t="shared" si="13"/>
        <v>#REF!</v>
      </c>
      <c r="I35" s="50" t="e">
        <f t="shared" si="13"/>
        <v>#REF!</v>
      </c>
      <c r="J35" s="50" t="e">
        <f t="shared" si="13"/>
        <v>#REF!</v>
      </c>
      <c r="K35" s="50" t="e">
        <f t="shared" si="13"/>
        <v>#REF!</v>
      </c>
      <c r="L35" s="50" t="e">
        <f t="shared" si="13"/>
        <v>#REF!</v>
      </c>
      <c r="M35" s="50" t="e">
        <f t="shared" si="13"/>
        <v>#REF!</v>
      </c>
    </row>
    <row r="36" spans="1:13" x14ac:dyDescent="0.25">
      <c r="A36" s="2" t="str">
        <f>B9&amp;B36</f>
        <v>Cimarex Energy Co. (XEC)Lease operating expenses</v>
      </c>
      <c r="B36" s="70" t="s">
        <v>468</v>
      </c>
      <c r="C36" s="106" t="s">
        <v>545</v>
      </c>
      <c r="D36" s="108" t="e">
        <f>E36/E24</f>
        <v>#REF!</v>
      </c>
      <c r="E36" s="83">
        <f>339941/4</f>
        <v>84985.25</v>
      </c>
      <c r="F36" s="50" t="e">
        <f>$D36*F24</f>
        <v>#REF!</v>
      </c>
      <c r="G36" s="50" t="e">
        <f t="shared" ref="G36:M36" si="14">$D36*G24</f>
        <v>#REF!</v>
      </c>
      <c r="H36" s="50" t="e">
        <f t="shared" si="14"/>
        <v>#REF!</v>
      </c>
      <c r="I36" s="50" t="e">
        <f t="shared" si="14"/>
        <v>#REF!</v>
      </c>
      <c r="J36" s="50" t="e">
        <f t="shared" si="14"/>
        <v>#REF!</v>
      </c>
      <c r="K36" s="50" t="e">
        <f t="shared" si="14"/>
        <v>#REF!</v>
      </c>
      <c r="L36" s="50" t="e">
        <f t="shared" si="14"/>
        <v>#REF!</v>
      </c>
      <c r="M36" s="50" t="e">
        <f t="shared" si="14"/>
        <v>#REF!</v>
      </c>
    </row>
    <row r="37" spans="1:13" x14ac:dyDescent="0.25">
      <c r="A37" s="2" t="str">
        <f>B9&amp;B37</f>
        <v>Cimarex Energy Co. (XEC)Transportation, Processing, and Other Operating</v>
      </c>
      <c r="B37" s="70" t="s">
        <v>469</v>
      </c>
      <c r="C37" s="106" t="s">
        <v>545</v>
      </c>
      <c r="D37" s="108" t="e">
        <f>E37/E24</f>
        <v>#REF!</v>
      </c>
      <c r="E37" s="83">
        <f>(238259+23294)/4</f>
        <v>65388.25</v>
      </c>
      <c r="F37" s="50" t="e">
        <f>$D37*F24</f>
        <v>#REF!</v>
      </c>
      <c r="G37" s="50" t="e">
        <f t="shared" ref="G37:M37" si="15">$D37*G24</f>
        <v>#REF!</v>
      </c>
      <c r="H37" s="50" t="e">
        <f t="shared" si="15"/>
        <v>#REF!</v>
      </c>
      <c r="I37" s="50" t="e">
        <f t="shared" si="15"/>
        <v>#REF!</v>
      </c>
      <c r="J37" s="50" t="e">
        <f t="shared" si="15"/>
        <v>#REF!</v>
      </c>
      <c r="K37" s="50" t="e">
        <f t="shared" si="15"/>
        <v>#REF!</v>
      </c>
      <c r="L37" s="50" t="e">
        <f t="shared" si="15"/>
        <v>#REF!</v>
      </c>
      <c r="M37" s="50" t="e">
        <f t="shared" si="15"/>
        <v>#REF!</v>
      </c>
    </row>
    <row r="38" spans="1:13" x14ac:dyDescent="0.25">
      <c r="A38" s="2" t="str">
        <f>B9&amp;B38</f>
        <v>Cimarex Energy Co. (XEC)SG&amp;A</v>
      </c>
      <c r="B38" s="70" t="s">
        <v>470</v>
      </c>
      <c r="C38" s="106" t="s">
        <v>545</v>
      </c>
      <c r="D38" s="108" t="e">
        <f>E38/E24</f>
        <v>#REF!</v>
      </c>
      <c r="E38" s="83">
        <f>95843/4</f>
        <v>23960.75</v>
      </c>
      <c r="F38" s="50" t="e">
        <f t="shared" ref="F38:M38" si="16">$D38*F24</f>
        <v>#REF!</v>
      </c>
      <c r="G38" s="50" t="e">
        <f t="shared" si="16"/>
        <v>#REF!</v>
      </c>
      <c r="H38" s="50" t="e">
        <f t="shared" si="16"/>
        <v>#REF!</v>
      </c>
      <c r="I38" s="50" t="e">
        <f t="shared" si="16"/>
        <v>#REF!</v>
      </c>
      <c r="J38" s="50" t="e">
        <f t="shared" si="16"/>
        <v>#REF!</v>
      </c>
      <c r="K38" s="50" t="e">
        <f t="shared" si="16"/>
        <v>#REF!</v>
      </c>
      <c r="L38" s="50" t="e">
        <f t="shared" si="16"/>
        <v>#REF!</v>
      </c>
      <c r="M38" s="50" t="e">
        <f t="shared" si="16"/>
        <v>#REF!</v>
      </c>
    </row>
    <row r="39" spans="1:13" x14ac:dyDescent="0.25">
      <c r="A39" s="2" t="str">
        <f>B9&amp;B39</f>
        <v>Cimarex Energy Co. (XEC)Exploratory and dirt well, dry hole</v>
      </c>
      <c r="B39" s="70" t="s">
        <v>561</v>
      </c>
      <c r="C39" s="106" t="s">
        <v>545</v>
      </c>
      <c r="D39" s="108" t="e">
        <f>E39/E23</f>
        <v>#REF!</v>
      </c>
      <c r="E39" s="83">
        <v>0</v>
      </c>
      <c r="F39" s="50" t="e">
        <f t="shared" ref="F39:M40" si="17">$D39*F23</f>
        <v>#REF!</v>
      </c>
      <c r="G39" s="50" t="e">
        <f t="shared" si="17"/>
        <v>#REF!</v>
      </c>
      <c r="H39" s="50" t="e">
        <f t="shared" si="17"/>
        <v>#REF!</v>
      </c>
      <c r="I39" s="50" t="e">
        <f t="shared" si="17"/>
        <v>#REF!</v>
      </c>
      <c r="J39" s="50" t="e">
        <f t="shared" si="17"/>
        <v>#REF!</v>
      </c>
      <c r="K39" s="50" t="e">
        <f t="shared" si="17"/>
        <v>#REF!</v>
      </c>
      <c r="L39" s="50" t="e">
        <f t="shared" si="17"/>
        <v>#REF!</v>
      </c>
      <c r="M39" s="50" t="e">
        <f t="shared" si="17"/>
        <v>#REF!</v>
      </c>
    </row>
    <row r="40" spans="1:13" x14ac:dyDescent="0.25">
      <c r="A40" s="2" t="str">
        <f>B9&amp;B40</f>
        <v>Cimarex Energy Co. (XEC)Other Expenses (benefits)</v>
      </c>
      <c r="B40" s="70" t="s">
        <v>471</v>
      </c>
      <c r="C40" s="106" t="s">
        <v>545</v>
      </c>
      <c r="D40" s="108" t="e">
        <f>E40/E24</f>
        <v>#REF!</v>
      </c>
      <c r="E40" s="83">
        <f>19305/4</f>
        <v>4826.25</v>
      </c>
      <c r="F40" s="50" t="e">
        <f t="shared" si="17"/>
        <v>#REF!</v>
      </c>
      <c r="G40" s="50" t="e">
        <f t="shared" si="17"/>
        <v>#REF!</v>
      </c>
      <c r="H40" s="50" t="e">
        <f t="shared" si="17"/>
        <v>#REF!</v>
      </c>
      <c r="I40" s="50" t="e">
        <f t="shared" si="17"/>
        <v>#REF!</v>
      </c>
      <c r="J40" s="50" t="e">
        <f t="shared" si="17"/>
        <v>#REF!</v>
      </c>
      <c r="K40" s="50" t="e">
        <f t="shared" si="17"/>
        <v>#REF!</v>
      </c>
      <c r="L40" s="50" t="e">
        <f t="shared" si="17"/>
        <v>#REF!</v>
      </c>
      <c r="M40" s="50" t="e">
        <f t="shared" si="17"/>
        <v>#REF!</v>
      </c>
    </row>
    <row r="41" spans="1:13" x14ac:dyDescent="0.25">
      <c r="A41" s="2" t="str">
        <f>B9&amp;B41</f>
        <v>Cimarex Energy Co. (XEC)Total Costs and Expenses</v>
      </c>
      <c r="B41" s="84" t="s">
        <v>474</v>
      </c>
      <c r="C41" s="85"/>
      <c r="D41" s="110"/>
      <c r="E41" s="63">
        <f t="shared" ref="E41:M41" si="18">SUM(E31:E40)</f>
        <v>600361.25</v>
      </c>
      <c r="F41" s="62" t="e">
        <f t="shared" si="18"/>
        <v>#REF!</v>
      </c>
      <c r="G41" s="62" t="e">
        <f t="shared" si="18"/>
        <v>#REF!</v>
      </c>
      <c r="H41" s="62" t="e">
        <f t="shared" si="18"/>
        <v>#REF!</v>
      </c>
      <c r="I41" s="62" t="e">
        <f t="shared" si="18"/>
        <v>#REF!</v>
      </c>
      <c r="J41" s="62" t="e">
        <f t="shared" si="18"/>
        <v>#REF!</v>
      </c>
      <c r="K41" s="62" t="e">
        <f t="shared" si="18"/>
        <v>#REF!</v>
      </c>
      <c r="L41" s="62" t="e">
        <f t="shared" si="18"/>
        <v>#REF!</v>
      </c>
      <c r="M41" s="62" t="e">
        <f t="shared" si="18"/>
        <v>#REF!</v>
      </c>
    </row>
    <row r="42" spans="1:13" x14ac:dyDescent="0.25">
      <c r="A42" s="2" t="str">
        <f>B9&amp;B42</f>
        <v>Cimarex Energy Co. (XEC)Other (Income) Expense</v>
      </c>
      <c r="B42" s="72" t="s">
        <v>506</v>
      </c>
      <c r="C42" s="72"/>
      <c r="D42" s="112"/>
      <c r="E42" s="83"/>
      <c r="F42" s="50"/>
      <c r="G42" s="50"/>
      <c r="H42" s="50"/>
      <c r="I42" s="50"/>
      <c r="J42" s="50"/>
      <c r="K42" s="50"/>
      <c r="L42" s="50"/>
      <c r="M42" s="50"/>
    </row>
    <row r="43" spans="1:13" x14ac:dyDescent="0.25">
      <c r="A43" s="2" t="str">
        <f>B9&amp;B43</f>
        <v>Cimarex Energy Co. (XEC)Loss (gain) on derivative instruments, net</v>
      </c>
      <c r="B43" s="70" t="s">
        <v>466</v>
      </c>
      <c r="C43" s="107" t="s">
        <v>507</v>
      </c>
      <c r="D43" s="108"/>
      <c r="E43" s="83">
        <f>76850/4</f>
        <v>19212.5</v>
      </c>
      <c r="F43" s="138">
        <f t="shared" ref="F43:M43" si="19">76850/4</f>
        <v>19212.5</v>
      </c>
      <c r="G43" s="138">
        <f t="shared" si="19"/>
        <v>19212.5</v>
      </c>
      <c r="H43" s="138">
        <f t="shared" si="19"/>
        <v>19212.5</v>
      </c>
      <c r="I43" s="138">
        <f t="shared" si="19"/>
        <v>19212.5</v>
      </c>
      <c r="J43" s="138">
        <f t="shared" si="19"/>
        <v>19212.5</v>
      </c>
      <c r="K43" s="138">
        <f t="shared" si="19"/>
        <v>19212.5</v>
      </c>
      <c r="L43" s="138">
        <f t="shared" si="19"/>
        <v>19212.5</v>
      </c>
      <c r="M43" s="138">
        <f t="shared" si="19"/>
        <v>19212.5</v>
      </c>
    </row>
    <row r="44" spans="1:13" x14ac:dyDescent="0.25">
      <c r="A44" s="2" t="str">
        <f>B9&amp;B44</f>
        <v>Cimarex Energy Co. (XEC)Interest expense, net</v>
      </c>
      <c r="B44" s="70" t="s">
        <v>475</v>
      </c>
      <c r="C44" s="82" t="s">
        <v>526</v>
      </c>
      <c r="D44" s="108"/>
      <c r="E44" s="83">
        <f>93386/4</f>
        <v>23346.5</v>
      </c>
      <c r="F44" s="50" t="e">
        <f>$E73*(F78/E78)*(($E44/$E73)+(('Quarterly Forecasts'!$K$5-'Quarterly Forecasts'!$G$5)/400))</f>
        <v>#REF!</v>
      </c>
      <c r="G44" s="50" t="e">
        <f>$E73*(G78/F78)*(($E44/$E73)+(('Quarterly Forecasts'!$K$5-'Quarterly Forecasts'!$G$5)/400))</f>
        <v>#REF!</v>
      </c>
      <c r="H44" s="50" t="e">
        <f>$E73*(H78/G78)*(($E44/$E73)+(('Quarterly Forecasts'!$K$5-'Quarterly Forecasts'!$G$5)/400))</f>
        <v>#REF!</v>
      </c>
      <c r="I44" s="50" t="e">
        <f>$E73*(I78/H78)*(($E44/$E73)+(('Quarterly Forecasts'!$K$5-'Quarterly Forecasts'!$G$5)/400))</f>
        <v>#REF!</v>
      </c>
      <c r="J44" s="50" t="e">
        <f>$E73*(J78/I78)*(($E44/$E73)+(('Quarterly Forecasts'!$K$5-'Quarterly Forecasts'!$G$5)/400))</f>
        <v>#REF!</v>
      </c>
      <c r="K44" s="50" t="e">
        <f>$E73*(K78/J78)*(($E44/$E73)+(('Quarterly Forecasts'!$K$5-'Quarterly Forecasts'!$G$5)/400))</f>
        <v>#REF!</v>
      </c>
      <c r="L44" s="50" t="e">
        <f>$E73*(L78/K78)*(($E44/$E73)+(('Quarterly Forecasts'!$K$5-'Quarterly Forecasts'!$G$5)/400))</f>
        <v>#REF!</v>
      </c>
      <c r="M44" s="50" t="e">
        <f>$E73*(M78/L78)*(($E44/$E73)+(('Quarterly Forecasts'!$K$5-'Quarterly Forecasts'!$G$5)/400))</f>
        <v>#REF!</v>
      </c>
    </row>
    <row r="45" spans="1:13" x14ac:dyDescent="0.25">
      <c r="A45" s="2" t="str">
        <f>B9&amp;B45</f>
        <v>Cimarex Energy Co. (XEC)Other, net</v>
      </c>
      <c r="B45" s="70" t="s">
        <v>508</v>
      </c>
      <c r="C45" s="82" t="s">
        <v>509</v>
      </c>
      <c r="D45" s="108"/>
      <c r="E45" s="83">
        <f>(-56232+4250-5741)/4</f>
        <v>-14430.75</v>
      </c>
      <c r="F45" s="50">
        <f>E45</f>
        <v>-14430.75</v>
      </c>
      <c r="G45" s="50">
        <f t="shared" ref="G45:M45" si="20">F45</f>
        <v>-14430.75</v>
      </c>
      <c r="H45" s="50">
        <f t="shared" si="20"/>
        <v>-14430.75</v>
      </c>
      <c r="I45" s="50">
        <f t="shared" si="20"/>
        <v>-14430.75</v>
      </c>
      <c r="J45" s="50">
        <f t="shared" si="20"/>
        <v>-14430.75</v>
      </c>
      <c r="K45" s="50">
        <f t="shared" si="20"/>
        <v>-14430.75</v>
      </c>
      <c r="L45" s="50">
        <f t="shared" si="20"/>
        <v>-14430.75</v>
      </c>
      <c r="M45" s="50">
        <f t="shared" si="20"/>
        <v>-14430.75</v>
      </c>
    </row>
    <row r="46" spans="1:13" x14ac:dyDescent="0.25">
      <c r="A46" s="2" t="str">
        <f>B9&amp;B46</f>
        <v>Cimarex Energy Co. (XEC)Total Other (Income) Expense</v>
      </c>
      <c r="B46" s="84" t="s">
        <v>518</v>
      </c>
      <c r="C46" s="84"/>
      <c r="D46" s="110"/>
      <c r="E46" s="63">
        <f>SUM(E43:E45)</f>
        <v>28128.25</v>
      </c>
      <c r="F46" s="62" t="e">
        <f>SUM(F43:F45)</f>
        <v>#REF!</v>
      </c>
      <c r="G46" s="62" t="e">
        <f t="shared" ref="G46:M46" si="21">SUM(G43:G45)</f>
        <v>#REF!</v>
      </c>
      <c r="H46" s="62" t="e">
        <f t="shared" si="21"/>
        <v>#REF!</v>
      </c>
      <c r="I46" s="62" t="e">
        <f t="shared" si="21"/>
        <v>#REF!</v>
      </c>
      <c r="J46" s="62" t="e">
        <f t="shared" si="21"/>
        <v>#REF!</v>
      </c>
      <c r="K46" s="62" t="e">
        <f t="shared" si="21"/>
        <v>#REF!</v>
      </c>
      <c r="L46" s="62" t="e">
        <f t="shared" si="21"/>
        <v>#REF!</v>
      </c>
      <c r="M46" s="62" t="e">
        <f t="shared" si="21"/>
        <v>#REF!</v>
      </c>
    </row>
    <row r="47" spans="1:13" x14ac:dyDescent="0.25">
      <c r="A47" s="2" t="str">
        <f>B9&amp;B47</f>
        <v>Cimarex Energy Co. (XEC)Income (loss) from continuing operations before income taxes</v>
      </c>
      <c r="B47" s="72" t="s">
        <v>476</v>
      </c>
      <c r="C47" s="72"/>
      <c r="D47" s="112"/>
      <c r="E47" s="63">
        <f t="shared" ref="E47:M47" si="22">E29-E41-E46</f>
        <v>-37747.25</v>
      </c>
      <c r="F47" s="62" t="e">
        <f>F29-F41-F46</f>
        <v>#REF!</v>
      </c>
      <c r="G47" s="62" t="e">
        <f t="shared" si="22"/>
        <v>#REF!</v>
      </c>
      <c r="H47" s="62" t="e">
        <f t="shared" si="22"/>
        <v>#REF!</v>
      </c>
      <c r="I47" s="62" t="e">
        <f t="shared" si="22"/>
        <v>#REF!</v>
      </c>
      <c r="J47" s="62" t="e">
        <f t="shared" si="22"/>
        <v>#REF!</v>
      </c>
      <c r="K47" s="62" t="e">
        <f t="shared" si="22"/>
        <v>#REF!</v>
      </c>
      <c r="L47" s="62" t="e">
        <f t="shared" si="22"/>
        <v>#REF!</v>
      </c>
      <c r="M47" s="62" t="e">
        <f t="shared" si="22"/>
        <v>#REF!</v>
      </c>
    </row>
    <row r="48" spans="1:13" x14ac:dyDescent="0.25">
      <c r="A48" s="2" t="str">
        <f>B9&amp;B48</f>
        <v>Cimarex Energy Co. (XEC)Income tax (benefit) expense</v>
      </c>
      <c r="B48" s="73" t="s">
        <v>477</v>
      </c>
      <c r="C48" s="73" t="s">
        <v>525</v>
      </c>
      <c r="D48" s="109">
        <f>E48/E47</f>
        <v>0.17464848432667279</v>
      </c>
      <c r="E48" s="83">
        <f>-26370/4</f>
        <v>-6592.5</v>
      </c>
      <c r="F48" s="50" t="e">
        <f>$D48*F47</f>
        <v>#REF!</v>
      </c>
      <c r="G48" s="50" t="e">
        <f t="shared" ref="G48:M48" si="23">$D48*G47</f>
        <v>#REF!</v>
      </c>
      <c r="H48" s="50" t="e">
        <f t="shared" si="23"/>
        <v>#REF!</v>
      </c>
      <c r="I48" s="50" t="e">
        <f t="shared" si="23"/>
        <v>#REF!</v>
      </c>
      <c r="J48" s="50" t="e">
        <f t="shared" si="23"/>
        <v>#REF!</v>
      </c>
      <c r="K48" s="50" t="e">
        <f t="shared" si="23"/>
        <v>#REF!</v>
      </c>
      <c r="L48" s="50" t="e">
        <f t="shared" si="23"/>
        <v>#REF!</v>
      </c>
      <c r="M48" s="50" t="e">
        <f t="shared" si="23"/>
        <v>#REF!</v>
      </c>
    </row>
    <row r="49" spans="1:13" ht="11" thickBot="1" x14ac:dyDescent="0.3">
      <c r="A49" s="2" t="str">
        <f>B9&amp;B49</f>
        <v>Cimarex Energy Co. (XEC)Net (loss) Income</v>
      </c>
      <c r="B49" s="74" t="s">
        <v>478</v>
      </c>
      <c r="C49" s="74"/>
      <c r="D49" s="116"/>
      <c r="E49" s="86">
        <f>E47-E48</f>
        <v>-31154.75</v>
      </c>
      <c r="F49" s="34" t="e">
        <f t="shared" ref="F49:M49" si="24">F47-F48</f>
        <v>#REF!</v>
      </c>
      <c r="G49" s="34" t="e">
        <f t="shared" si="24"/>
        <v>#REF!</v>
      </c>
      <c r="H49" s="34" t="e">
        <f t="shared" si="24"/>
        <v>#REF!</v>
      </c>
      <c r="I49" s="34" t="e">
        <f t="shared" si="24"/>
        <v>#REF!</v>
      </c>
      <c r="J49" s="34" t="e">
        <f t="shared" si="24"/>
        <v>#REF!</v>
      </c>
      <c r="K49" s="34" t="e">
        <f t="shared" si="24"/>
        <v>#REF!</v>
      </c>
      <c r="L49" s="34" t="e">
        <f t="shared" si="24"/>
        <v>#REF!</v>
      </c>
      <c r="M49" s="34" t="e">
        <f t="shared" si="24"/>
        <v>#REF!</v>
      </c>
    </row>
    <row r="50" spans="1:13" ht="11" thickTop="1" x14ac:dyDescent="0.25"/>
    <row r="51" spans="1:13" x14ac:dyDescent="0.25">
      <c r="A51" s="2" t="str">
        <f>B9&amp;B51</f>
        <v>Cimarex Energy Co. (XEC)Current Assets</v>
      </c>
      <c r="B51" s="64" t="s">
        <v>479</v>
      </c>
      <c r="C51" s="64"/>
      <c r="D51" s="111"/>
      <c r="E51" s="83"/>
      <c r="F51" s="50"/>
      <c r="G51" s="50"/>
      <c r="H51" s="50"/>
      <c r="I51" s="50"/>
      <c r="J51" s="50"/>
      <c r="K51" s="50"/>
      <c r="L51" s="50"/>
      <c r="M51" s="50"/>
    </row>
    <row r="52" spans="1:13" x14ac:dyDescent="0.25">
      <c r="A52" s="2" t="str">
        <f>B9&amp;B52</f>
        <v>Cimarex Energy Co. (XEC)Cash and cash equivalents</v>
      </c>
      <c r="B52" s="70" t="s">
        <v>480</v>
      </c>
      <c r="C52" s="82" t="s">
        <v>538</v>
      </c>
      <c r="D52" s="140">
        <v>2406</v>
      </c>
      <c r="E52" s="83">
        <v>94722</v>
      </c>
      <c r="F52" s="50" t="e">
        <f>F49+E52</f>
        <v>#REF!</v>
      </c>
      <c r="G52" s="50" t="e">
        <f t="shared" ref="G52:M52" si="25">G49+F52</f>
        <v>#REF!</v>
      </c>
      <c r="H52" s="50" t="e">
        <f t="shared" si="25"/>
        <v>#REF!</v>
      </c>
      <c r="I52" s="50" t="e">
        <f t="shared" si="25"/>
        <v>#REF!</v>
      </c>
      <c r="J52" s="50" t="e">
        <f t="shared" si="25"/>
        <v>#REF!</v>
      </c>
      <c r="K52" s="50" t="e">
        <f t="shared" si="25"/>
        <v>#REF!</v>
      </c>
      <c r="L52" s="50" t="e">
        <f t="shared" si="25"/>
        <v>#REF!</v>
      </c>
      <c r="M52" s="50" t="e">
        <f t="shared" si="25"/>
        <v>#REF!</v>
      </c>
    </row>
    <row r="53" spans="1:13" x14ac:dyDescent="0.25">
      <c r="A53" s="2" t="str">
        <f>B9&amp;B53</f>
        <v>Cimarex Energy Co. (XEC)Accounts receivable, net of allowance</v>
      </c>
      <c r="B53" s="70" t="s">
        <v>481</v>
      </c>
      <c r="C53" s="82"/>
      <c r="D53" s="108"/>
      <c r="E53" s="83"/>
      <c r="F53" s="50"/>
      <c r="G53" s="50"/>
      <c r="H53" s="50"/>
      <c r="I53" s="50"/>
      <c r="J53" s="50"/>
      <c r="K53" s="50"/>
      <c r="L53" s="50"/>
      <c r="M53" s="50"/>
    </row>
    <row r="54" spans="1:13" x14ac:dyDescent="0.25">
      <c r="A54" s="2" t="str">
        <f>B9&amp;B54</f>
        <v>Cimarex Energy Co. (XEC)Oil and gas sales</v>
      </c>
      <c r="B54" s="75" t="s">
        <v>482</v>
      </c>
      <c r="C54" s="82" t="s">
        <v>539</v>
      </c>
      <c r="D54" s="133">
        <f>E54/E29</f>
        <v>0.65122648667841176</v>
      </c>
      <c r="E54" s="83">
        <v>384707</v>
      </c>
      <c r="F54" s="50" t="e">
        <f>$D54*F29</f>
        <v>#REF!</v>
      </c>
      <c r="G54" s="50" t="e">
        <f t="shared" ref="G54:M54" si="26">$D54*G29</f>
        <v>#REF!</v>
      </c>
      <c r="H54" s="50" t="e">
        <f t="shared" si="26"/>
        <v>#REF!</v>
      </c>
      <c r="I54" s="50" t="e">
        <f t="shared" si="26"/>
        <v>#REF!</v>
      </c>
      <c r="J54" s="50" t="e">
        <f t="shared" si="26"/>
        <v>#REF!</v>
      </c>
      <c r="K54" s="50" t="e">
        <f t="shared" si="26"/>
        <v>#REF!</v>
      </c>
      <c r="L54" s="50" t="e">
        <f t="shared" si="26"/>
        <v>#REF!</v>
      </c>
      <c r="M54" s="50" t="e">
        <f t="shared" si="26"/>
        <v>#REF!</v>
      </c>
    </row>
    <row r="55" spans="1:13" x14ac:dyDescent="0.25">
      <c r="A55" s="2" t="str">
        <f>B9&amp;B55</f>
        <v>Cimarex Energy Co. (XEC)Other receivable</v>
      </c>
      <c r="B55" s="75" t="s">
        <v>569</v>
      </c>
      <c r="C55" s="82" t="s">
        <v>539</v>
      </c>
      <c r="D55" s="133">
        <f>E55/E29</f>
        <v>0.10813006857051446</v>
      </c>
      <c r="E55" s="83">
        <f>57879+5998</f>
        <v>63877</v>
      </c>
      <c r="F55" s="50" t="e">
        <f t="shared" ref="F55:M55" si="27">$D55*F29</f>
        <v>#REF!</v>
      </c>
      <c r="G55" s="50" t="e">
        <f t="shared" si="27"/>
        <v>#REF!</v>
      </c>
      <c r="H55" s="50" t="e">
        <f t="shared" si="27"/>
        <v>#REF!</v>
      </c>
      <c r="I55" s="50" t="e">
        <f t="shared" si="27"/>
        <v>#REF!</v>
      </c>
      <c r="J55" s="50" t="e">
        <f t="shared" si="27"/>
        <v>#REF!</v>
      </c>
      <c r="K55" s="50" t="e">
        <f t="shared" si="27"/>
        <v>#REF!</v>
      </c>
      <c r="L55" s="50" t="e">
        <f t="shared" si="27"/>
        <v>#REF!</v>
      </c>
      <c r="M55" s="50" t="e">
        <f t="shared" si="27"/>
        <v>#REF!</v>
      </c>
    </row>
    <row r="56" spans="1:13" x14ac:dyDescent="0.25">
      <c r="A56" s="2" t="str">
        <f>B9&amp;B56</f>
        <v>Cimarex Energy Co. (XEC)Inventory</v>
      </c>
      <c r="B56" s="70" t="s">
        <v>484</v>
      </c>
      <c r="C56" s="82" t="s">
        <v>539</v>
      </c>
      <c r="D56" s="133">
        <f>E56/E29</f>
        <v>8.1072582839639459E-2</v>
      </c>
      <c r="E56" s="83">
        <v>47893</v>
      </c>
      <c r="F56" s="50" t="e">
        <f t="shared" ref="F56:M56" si="28">$D56*F29</f>
        <v>#REF!</v>
      </c>
      <c r="G56" s="50" t="e">
        <f t="shared" si="28"/>
        <v>#REF!</v>
      </c>
      <c r="H56" s="50" t="e">
        <f t="shared" si="28"/>
        <v>#REF!</v>
      </c>
      <c r="I56" s="50" t="e">
        <f t="shared" si="28"/>
        <v>#REF!</v>
      </c>
      <c r="J56" s="50" t="e">
        <f t="shared" si="28"/>
        <v>#REF!</v>
      </c>
      <c r="K56" s="50" t="e">
        <f t="shared" si="28"/>
        <v>#REF!</v>
      </c>
      <c r="L56" s="50" t="e">
        <f t="shared" si="28"/>
        <v>#REF!</v>
      </c>
      <c r="M56" s="50" t="e">
        <f t="shared" si="28"/>
        <v>#REF!</v>
      </c>
    </row>
    <row r="57" spans="1:13" x14ac:dyDescent="0.25">
      <c r="A57" s="2" t="str">
        <f>B9&amp;B57</f>
        <v>Cimarex Energy Co. (XEC)Derivative instruments</v>
      </c>
      <c r="B57" s="70" t="s">
        <v>485</v>
      </c>
      <c r="C57" s="107" t="s">
        <v>507</v>
      </c>
      <c r="D57" s="108"/>
      <c r="E57" s="83">
        <v>17944</v>
      </c>
      <c r="F57" s="138"/>
      <c r="G57" s="138"/>
      <c r="H57" s="138"/>
      <c r="I57" s="138"/>
      <c r="J57" s="138"/>
      <c r="K57" s="138"/>
      <c r="L57" s="138"/>
      <c r="M57" s="138"/>
    </row>
    <row r="58" spans="1:13" x14ac:dyDescent="0.25">
      <c r="A58" s="2" t="str">
        <f>B9&amp;B58</f>
        <v>Cimarex Energy Co. (XEC)Prepaid expenses</v>
      </c>
      <c r="B58" s="70" t="s">
        <v>486</v>
      </c>
      <c r="C58" s="82" t="s">
        <v>509</v>
      </c>
      <c r="D58" s="108"/>
      <c r="E58" s="83">
        <v>10759</v>
      </c>
      <c r="F58" s="50">
        <f>E58</f>
        <v>10759</v>
      </c>
      <c r="G58" s="50">
        <f t="shared" ref="G58:M59" si="29">F58</f>
        <v>10759</v>
      </c>
      <c r="H58" s="50">
        <f t="shared" si="29"/>
        <v>10759</v>
      </c>
      <c r="I58" s="50">
        <f t="shared" si="29"/>
        <v>10759</v>
      </c>
      <c r="J58" s="50">
        <f t="shared" si="29"/>
        <v>10759</v>
      </c>
      <c r="K58" s="50">
        <f t="shared" si="29"/>
        <v>10759</v>
      </c>
      <c r="L58" s="50">
        <f t="shared" si="29"/>
        <v>10759</v>
      </c>
      <c r="M58" s="50">
        <f t="shared" si="29"/>
        <v>10759</v>
      </c>
    </row>
    <row r="59" spans="1:13" x14ac:dyDescent="0.25">
      <c r="A59" s="2" t="str">
        <f>B9&amp;B59</f>
        <v>Cimarex Energy Co. (XEC)Other current assets</v>
      </c>
      <c r="B59" s="70" t="s">
        <v>568</v>
      </c>
      <c r="C59" s="82" t="s">
        <v>509</v>
      </c>
      <c r="D59" s="108"/>
      <c r="E59" s="83">
        <v>1584</v>
      </c>
      <c r="F59" s="50">
        <f>E59</f>
        <v>1584</v>
      </c>
      <c r="G59" s="50">
        <f t="shared" si="29"/>
        <v>1584</v>
      </c>
      <c r="H59" s="50">
        <f t="shared" si="29"/>
        <v>1584</v>
      </c>
      <c r="I59" s="50">
        <f t="shared" si="29"/>
        <v>1584</v>
      </c>
      <c r="J59" s="50">
        <f t="shared" si="29"/>
        <v>1584</v>
      </c>
      <c r="K59" s="50">
        <f t="shared" si="29"/>
        <v>1584</v>
      </c>
      <c r="L59" s="50">
        <f t="shared" si="29"/>
        <v>1584</v>
      </c>
      <c r="M59" s="50">
        <f t="shared" si="29"/>
        <v>1584</v>
      </c>
    </row>
    <row r="60" spans="1:13" x14ac:dyDescent="0.25">
      <c r="A60" s="2" t="str">
        <f>B9&amp;B60</f>
        <v>Cimarex Energy Co. (XEC)Total current assets</v>
      </c>
      <c r="B60" s="76" t="s">
        <v>487</v>
      </c>
      <c r="C60" s="87"/>
      <c r="D60" s="111"/>
      <c r="E60" s="63">
        <f>SUM(E52:E59)</f>
        <v>621486</v>
      </c>
      <c r="F60" s="62" t="e">
        <f t="shared" ref="F60:M60" si="30">SUM(F52:F59)</f>
        <v>#REF!</v>
      </c>
      <c r="G60" s="62" t="e">
        <f t="shared" si="30"/>
        <v>#REF!</v>
      </c>
      <c r="H60" s="62" t="e">
        <f t="shared" si="30"/>
        <v>#REF!</v>
      </c>
      <c r="I60" s="62" t="e">
        <f t="shared" si="30"/>
        <v>#REF!</v>
      </c>
      <c r="J60" s="62" t="e">
        <f t="shared" si="30"/>
        <v>#REF!</v>
      </c>
      <c r="K60" s="62" t="e">
        <f t="shared" si="30"/>
        <v>#REF!</v>
      </c>
      <c r="L60" s="62" t="e">
        <f t="shared" si="30"/>
        <v>#REF!</v>
      </c>
      <c r="M60" s="62" t="e">
        <f t="shared" si="30"/>
        <v>#REF!</v>
      </c>
    </row>
    <row r="61" spans="1:13" x14ac:dyDescent="0.25">
      <c r="A61" s="2" t="str">
        <f>B9&amp;B61</f>
        <v>Cimarex Energy Co. (XEC)Property and equipment, net</v>
      </c>
      <c r="B61" s="72" t="s">
        <v>488</v>
      </c>
      <c r="C61" s="73" t="s">
        <v>509</v>
      </c>
      <c r="D61" s="112"/>
      <c r="E61" s="83">
        <v>5210698</v>
      </c>
      <c r="F61" s="50">
        <f>E61</f>
        <v>5210698</v>
      </c>
      <c r="G61" s="50">
        <f t="shared" ref="G61:M61" si="31">F61</f>
        <v>5210698</v>
      </c>
      <c r="H61" s="50">
        <f t="shared" si="31"/>
        <v>5210698</v>
      </c>
      <c r="I61" s="50">
        <f t="shared" si="31"/>
        <v>5210698</v>
      </c>
      <c r="J61" s="50">
        <f t="shared" si="31"/>
        <v>5210698</v>
      </c>
      <c r="K61" s="50">
        <f t="shared" si="31"/>
        <v>5210698</v>
      </c>
      <c r="L61" s="50">
        <f t="shared" si="31"/>
        <v>5210698</v>
      </c>
      <c r="M61" s="50">
        <f t="shared" si="31"/>
        <v>5210698</v>
      </c>
    </row>
    <row r="62" spans="1:13" x14ac:dyDescent="0.25">
      <c r="A62" s="2" t="str">
        <f>B9&amp;B62</f>
        <v>Cimarex Energy Co. (XEC)Derivative instruments</v>
      </c>
      <c r="B62" s="73" t="s">
        <v>485</v>
      </c>
      <c r="C62" s="95" t="s">
        <v>507</v>
      </c>
      <c r="D62" s="108"/>
      <c r="E62" s="83">
        <v>580</v>
      </c>
      <c r="F62" s="138"/>
      <c r="G62" s="138"/>
      <c r="H62" s="138"/>
      <c r="I62" s="138"/>
      <c r="J62" s="138"/>
      <c r="K62" s="138"/>
      <c r="L62" s="138"/>
      <c r="M62" s="138"/>
    </row>
    <row r="63" spans="1:13" x14ac:dyDescent="0.25">
      <c r="A63" s="2" t="str">
        <f>B9&amp;B63</f>
        <v>Cimarex Energy Co. (XEC)Deferred income taxes</v>
      </c>
      <c r="B63" s="73" t="s">
        <v>489</v>
      </c>
      <c r="C63" s="73" t="s">
        <v>509</v>
      </c>
      <c r="D63" s="108"/>
      <c r="E63" s="83">
        <v>0</v>
      </c>
      <c r="F63" s="50">
        <f>E63</f>
        <v>0</v>
      </c>
      <c r="G63" s="50">
        <f t="shared" ref="G63:M65" si="32">F63</f>
        <v>0</v>
      </c>
      <c r="H63" s="50">
        <f t="shared" si="32"/>
        <v>0</v>
      </c>
      <c r="I63" s="50">
        <f t="shared" si="32"/>
        <v>0</v>
      </c>
      <c r="J63" s="50">
        <f t="shared" si="32"/>
        <v>0</v>
      </c>
      <c r="K63" s="50">
        <f t="shared" si="32"/>
        <v>0</v>
      </c>
      <c r="L63" s="50">
        <f t="shared" si="32"/>
        <v>0</v>
      </c>
      <c r="M63" s="50">
        <f t="shared" si="32"/>
        <v>0</v>
      </c>
    </row>
    <row r="64" spans="1:13" x14ac:dyDescent="0.25">
      <c r="A64" s="2" t="str">
        <f>B9&amp;B64</f>
        <v>Cimarex Energy Co. (XEC)Goodwill</v>
      </c>
      <c r="B64" s="73" t="s">
        <v>490</v>
      </c>
      <c r="C64" s="73" t="s">
        <v>509</v>
      </c>
      <c r="D64" s="108"/>
      <c r="E64" s="83">
        <v>716865</v>
      </c>
      <c r="F64" s="50">
        <f>E64</f>
        <v>716865</v>
      </c>
      <c r="G64" s="50">
        <f t="shared" si="32"/>
        <v>716865</v>
      </c>
      <c r="H64" s="50">
        <f t="shared" si="32"/>
        <v>716865</v>
      </c>
      <c r="I64" s="50">
        <f t="shared" si="32"/>
        <v>716865</v>
      </c>
      <c r="J64" s="50">
        <f t="shared" si="32"/>
        <v>716865</v>
      </c>
      <c r="K64" s="50">
        <f t="shared" si="32"/>
        <v>716865</v>
      </c>
      <c r="L64" s="50">
        <f t="shared" si="32"/>
        <v>716865</v>
      </c>
      <c r="M64" s="50">
        <f t="shared" si="32"/>
        <v>716865</v>
      </c>
    </row>
    <row r="65" spans="1:13" x14ac:dyDescent="0.25">
      <c r="A65" s="2" t="str">
        <f>B9&amp;B65</f>
        <v>Cimarex Energy Co. (XEC)Other assets</v>
      </c>
      <c r="B65" s="77" t="s">
        <v>491</v>
      </c>
      <c r="C65" s="77" t="s">
        <v>509</v>
      </c>
      <c r="D65" s="114"/>
      <c r="E65" s="83">
        <f>519291+71109</f>
        <v>590400</v>
      </c>
      <c r="F65" s="50">
        <f>E65</f>
        <v>590400</v>
      </c>
      <c r="G65" s="50">
        <f t="shared" si="32"/>
        <v>590400</v>
      </c>
      <c r="H65" s="50">
        <f t="shared" si="32"/>
        <v>590400</v>
      </c>
      <c r="I65" s="50">
        <f t="shared" si="32"/>
        <v>590400</v>
      </c>
      <c r="J65" s="50">
        <f t="shared" si="32"/>
        <v>590400</v>
      </c>
      <c r="K65" s="50">
        <f t="shared" si="32"/>
        <v>590400</v>
      </c>
      <c r="L65" s="50">
        <f t="shared" si="32"/>
        <v>590400</v>
      </c>
      <c r="M65" s="50">
        <f t="shared" si="32"/>
        <v>590400</v>
      </c>
    </row>
    <row r="66" spans="1:13" x14ac:dyDescent="0.25">
      <c r="A66" s="2" t="str">
        <f>B9&amp;B66</f>
        <v>Cimarex Energy Co. (XEC)Total assets</v>
      </c>
      <c r="B66" s="78" t="s">
        <v>492</v>
      </c>
      <c r="C66" s="88"/>
      <c r="D66" s="112"/>
      <c r="E66" s="63">
        <f>SUM(E60:E65)</f>
        <v>7140029</v>
      </c>
      <c r="F66" s="62" t="e">
        <f t="shared" ref="F66:M66" si="33">SUM(F60:F65)</f>
        <v>#REF!</v>
      </c>
      <c r="G66" s="62" t="e">
        <f t="shared" si="33"/>
        <v>#REF!</v>
      </c>
      <c r="H66" s="62" t="e">
        <f t="shared" si="33"/>
        <v>#REF!</v>
      </c>
      <c r="I66" s="62" t="e">
        <f t="shared" si="33"/>
        <v>#REF!</v>
      </c>
      <c r="J66" s="62" t="e">
        <f t="shared" si="33"/>
        <v>#REF!</v>
      </c>
      <c r="K66" s="62" t="e">
        <f t="shared" si="33"/>
        <v>#REF!</v>
      </c>
      <c r="L66" s="62" t="e">
        <f t="shared" si="33"/>
        <v>#REF!</v>
      </c>
      <c r="M66" s="62" t="e">
        <f t="shared" si="33"/>
        <v>#REF!</v>
      </c>
    </row>
    <row r="67" spans="1:13" x14ac:dyDescent="0.25">
      <c r="A67" s="2" t="str">
        <f>B9&amp;B67</f>
        <v>Cimarex Energy Co. (XEC)Current liabilities</v>
      </c>
      <c r="B67" s="72" t="s">
        <v>498</v>
      </c>
      <c r="C67" s="72"/>
      <c r="D67" s="112"/>
      <c r="E67" s="83"/>
      <c r="F67" s="50"/>
      <c r="G67" s="50"/>
      <c r="H67" s="50"/>
      <c r="I67" s="50"/>
      <c r="J67" s="50"/>
      <c r="K67" s="50"/>
      <c r="L67" s="50"/>
      <c r="M67" s="50"/>
    </row>
    <row r="68" spans="1:13" x14ac:dyDescent="0.25">
      <c r="A68" s="2" t="str">
        <f>B9&amp;B68</f>
        <v>Cimarex Energy Co. (XEC)Accounts payable</v>
      </c>
      <c r="B68" s="70" t="s">
        <v>493</v>
      </c>
      <c r="C68" s="82" t="s">
        <v>539</v>
      </c>
      <c r="D68" s="108" t="e">
        <f>E68/E24</f>
        <v>#REF!</v>
      </c>
      <c r="E68" s="83">
        <f>36280+12740</f>
        <v>49020</v>
      </c>
      <c r="F68" s="50" t="e">
        <f>$D68*F24</f>
        <v>#REF!</v>
      </c>
      <c r="G68" s="50" t="e">
        <f t="shared" ref="G68:M68" si="34">$D68*G24</f>
        <v>#REF!</v>
      </c>
      <c r="H68" s="50" t="e">
        <f t="shared" si="34"/>
        <v>#REF!</v>
      </c>
      <c r="I68" s="50" t="e">
        <f t="shared" si="34"/>
        <v>#REF!</v>
      </c>
      <c r="J68" s="50" t="e">
        <f t="shared" si="34"/>
        <v>#REF!</v>
      </c>
      <c r="K68" s="50" t="e">
        <f t="shared" si="34"/>
        <v>#REF!</v>
      </c>
      <c r="L68" s="50" t="e">
        <f t="shared" si="34"/>
        <v>#REF!</v>
      </c>
      <c r="M68" s="50" t="e">
        <f t="shared" si="34"/>
        <v>#REF!</v>
      </c>
    </row>
    <row r="69" spans="1:13" x14ac:dyDescent="0.25">
      <c r="A69" s="2" t="str">
        <f>B9&amp;B69</f>
        <v>Cimarex Energy Co. (XEC)Accrued liabilities</v>
      </c>
      <c r="B69" s="70" t="s">
        <v>510</v>
      </c>
      <c r="C69" s="82" t="s">
        <v>507</v>
      </c>
      <c r="D69" s="108"/>
      <c r="E69" s="83">
        <f>112228+54446+252304</f>
        <v>418978</v>
      </c>
      <c r="F69" s="50">
        <f>E69</f>
        <v>418978</v>
      </c>
      <c r="G69" s="50">
        <f t="shared" ref="G69:M69" si="35">F69</f>
        <v>418978</v>
      </c>
      <c r="H69" s="50">
        <f t="shared" si="35"/>
        <v>418978</v>
      </c>
      <c r="I69" s="50">
        <f t="shared" si="35"/>
        <v>418978</v>
      </c>
      <c r="J69" s="50">
        <f t="shared" si="35"/>
        <v>418978</v>
      </c>
      <c r="K69" s="50">
        <f t="shared" si="35"/>
        <v>418978</v>
      </c>
      <c r="L69" s="50">
        <f t="shared" si="35"/>
        <v>418978</v>
      </c>
      <c r="M69" s="50">
        <f t="shared" si="35"/>
        <v>418978</v>
      </c>
    </row>
    <row r="70" spans="1:13" x14ac:dyDescent="0.25">
      <c r="A70" s="2" t="str">
        <f>B9&amp;B70</f>
        <v>Cimarex Energy Co. (XEC)Derivative instruments</v>
      </c>
      <c r="B70" s="70" t="s">
        <v>485</v>
      </c>
      <c r="C70" s="107" t="s">
        <v>507</v>
      </c>
      <c r="D70" s="108"/>
      <c r="E70" s="83">
        <v>16681</v>
      </c>
      <c r="F70" s="138"/>
      <c r="G70" s="138"/>
      <c r="H70" s="138"/>
      <c r="I70" s="138"/>
      <c r="J70" s="138"/>
      <c r="K70" s="138"/>
      <c r="L70" s="138"/>
      <c r="M70" s="138"/>
    </row>
    <row r="71" spans="1:13" x14ac:dyDescent="0.25">
      <c r="A71" s="2" t="str">
        <f>B9&amp;B71</f>
        <v>Cimarex Energy Co. (XEC)Other current liabilities</v>
      </c>
      <c r="B71" s="70" t="s">
        <v>494</v>
      </c>
      <c r="C71" s="82" t="s">
        <v>509</v>
      </c>
      <c r="D71" s="108"/>
      <c r="E71" s="83">
        <f>207939+66003</f>
        <v>273942</v>
      </c>
      <c r="F71" s="50">
        <f>E71</f>
        <v>273942</v>
      </c>
      <c r="G71" s="50">
        <f t="shared" ref="G71:M71" si="36">F71</f>
        <v>273942</v>
      </c>
      <c r="H71" s="50">
        <f t="shared" si="36"/>
        <v>273942</v>
      </c>
      <c r="I71" s="50">
        <f t="shared" si="36"/>
        <v>273942</v>
      </c>
      <c r="J71" s="50">
        <f t="shared" si="36"/>
        <v>273942</v>
      </c>
      <c r="K71" s="50">
        <f t="shared" si="36"/>
        <v>273942</v>
      </c>
      <c r="L71" s="50">
        <f t="shared" si="36"/>
        <v>273942</v>
      </c>
      <c r="M71" s="50">
        <f t="shared" si="36"/>
        <v>273942</v>
      </c>
    </row>
    <row r="72" spans="1:13" x14ac:dyDescent="0.25">
      <c r="A72" s="2" t="str">
        <f>B9&amp;B72</f>
        <v>Cimarex Energy Co. (XEC)Total current liabilities</v>
      </c>
      <c r="B72" s="76" t="s">
        <v>497</v>
      </c>
      <c r="C72" s="87"/>
      <c r="D72" s="111"/>
      <c r="E72" s="63">
        <f>SUM(E68:E71)</f>
        <v>758621</v>
      </c>
      <c r="F72" s="62" t="e">
        <f t="shared" ref="F72:M72" si="37">SUM(F68:F71)</f>
        <v>#REF!</v>
      </c>
      <c r="G72" s="62" t="e">
        <f>SUM(G68:G71)</f>
        <v>#REF!</v>
      </c>
      <c r="H72" s="62" t="e">
        <f t="shared" si="37"/>
        <v>#REF!</v>
      </c>
      <c r="I72" s="62" t="e">
        <f t="shared" si="37"/>
        <v>#REF!</v>
      </c>
      <c r="J72" s="62" t="e">
        <f t="shared" si="37"/>
        <v>#REF!</v>
      </c>
      <c r="K72" s="62" t="e">
        <f t="shared" si="37"/>
        <v>#REF!</v>
      </c>
      <c r="L72" s="62" t="e">
        <f t="shared" si="37"/>
        <v>#REF!</v>
      </c>
      <c r="M72" s="62" t="e">
        <f t="shared" si="37"/>
        <v>#REF!</v>
      </c>
    </row>
    <row r="73" spans="1:13" x14ac:dyDescent="0.25">
      <c r="A73" s="2" t="str">
        <f>B9&amp;B73</f>
        <v>Cimarex Energy Co. (XEC)Long-term debt, net</v>
      </c>
      <c r="B73" s="73" t="s">
        <v>511</v>
      </c>
      <c r="C73" s="73" t="s">
        <v>509</v>
      </c>
      <c r="D73" s="108"/>
      <c r="E73" s="83">
        <v>1985246</v>
      </c>
      <c r="F73" s="50">
        <f t="shared" ref="F73:M74" si="38">E73</f>
        <v>1985246</v>
      </c>
      <c r="G73" s="50">
        <f t="shared" si="38"/>
        <v>1985246</v>
      </c>
      <c r="H73" s="50">
        <f t="shared" si="38"/>
        <v>1985246</v>
      </c>
      <c r="I73" s="50">
        <f t="shared" si="38"/>
        <v>1985246</v>
      </c>
      <c r="J73" s="50">
        <f t="shared" si="38"/>
        <v>1985246</v>
      </c>
      <c r="K73" s="50">
        <f t="shared" si="38"/>
        <v>1985246</v>
      </c>
      <c r="L73" s="50">
        <f t="shared" si="38"/>
        <v>1985246</v>
      </c>
      <c r="M73" s="50">
        <f t="shared" si="38"/>
        <v>1985246</v>
      </c>
    </row>
    <row r="74" spans="1:13" x14ac:dyDescent="0.25">
      <c r="A74" s="2" t="str">
        <f>B9&amp;B74</f>
        <v>Cimarex Energy Co. (XEC)Asset retirement obligations</v>
      </c>
      <c r="B74" s="73" t="s">
        <v>495</v>
      </c>
      <c r="C74" s="73" t="s">
        <v>509</v>
      </c>
      <c r="D74" s="108"/>
      <c r="E74" s="83">
        <v>154045</v>
      </c>
      <c r="F74" s="50">
        <f>E74</f>
        <v>154045</v>
      </c>
      <c r="G74" s="50">
        <f t="shared" si="38"/>
        <v>154045</v>
      </c>
      <c r="H74" s="50">
        <f t="shared" si="38"/>
        <v>154045</v>
      </c>
      <c r="I74" s="50">
        <f t="shared" si="38"/>
        <v>154045</v>
      </c>
      <c r="J74" s="50">
        <f t="shared" si="38"/>
        <v>154045</v>
      </c>
      <c r="K74" s="50">
        <f t="shared" si="38"/>
        <v>154045</v>
      </c>
      <c r="L74" s="50">
        <f t="shared" si="38"/>
        <v>154045</v>
      </c>
      <c r="M74" s="50">
        <f t="shared" si="38"/>
        <v>154045</v>
      </c>
    </row>
    <row r="75" spans="1:13" x14ac:dyDescent="0.25">
      <c r="A75" s="2" t="str">
        <f>B9&amp;B75</f>
        <v>Cimarex Energy Co. (XEC)Derivative instruments</v>
      </c>
      <c r="B75" s="73" t="s">
        <v>485</v>
      </c>
      <c r="C75" s="95" t="s">
        <v>507</v>
      </c>
      <c r="D75" s="108"/>
      <c r="E75" s="83">
        <v>1018</v>
      </c>
      <c r="F75" s="138"/>
      <c r="G75" s="138"/>
      <c r="H75" s="138"/>
      <c r="I75" s="138"/>
      <c r="J75" s="138"/>
      <c r="K75" s="138"/>
      <c r="L75" s="138"/>
      <c r="M75" s="138"/>
    </row>
    <row r="76" spans="1:13" x14ac:dyDescent="0.25">
      <c r="A76" s="2" t="str">
        <f>B9&amp;B76</f>
        <v>Cimarex Energy Co. (XEC)Deferred income taxes</v>
      </c>
      <c r="B76" s="73" t="s">
        <v>489</v>
      </c>
      <c r="C76" s="73" t="s">
        <v>509</v>
      </c>
      <c r="D76" s="108"/>
      <c r="E76" s="83">
        <v>338424</v>
      </c>
      <c r="F76" s="50">
        <f>E76</f>
        <v>338424</v>
      </c>
      <c r="G76" s="50">
        <f t="shared" ref="G76:M77" si="39">F76</f>
        <v>338424</v>
      </c>
      <c r="H76" s="50">
        <f t="shared" si="39"/>
        <v>338424</v>
      </c>
      <c r="I76" s="50">
        <f t="shared" si="39"/>
        <v>338424</v>
      </c>
      <c r="J76" s="50">
        <f t="shared" si="39"/>
        <v>338424</v>
      </c>
      <c r="K76" s="50">
        <f t="shared" si="39"/>
        <v>338424</v>
      </c>
      <c r="L76" s="50">
        <f t="shared" si="39"/>
        <v>338424</v>
      </c>
      <c r="M76" s="50">
        <f t="shared" si="39"/>
        <v>338424</v>
      </c>
    </row>
    <row r="77" spans="1:13" x14ac:dyDescent="0.25">
      <c r="A77" s="2" t="str">
        <f>B9&amp;B77</f>
        <v>Cimarex Energy Co. (XEC)Other long-term liabilities</v>
      </c>
      <c r="B77" s="73" t="s">
        <v>496</v>
      </c>
      <c r="C77" s="73" t="s">
        <v>509</v>
      </c>
      <c r="D77" s="108"/>
      <c r="E77" s="83">
        <f>60742+184172</f>
        <v>244914</v>
      </c>
      <c r="F77" s="50">
        <f>E77</f>
        <v>244914</v>
      </c>
      <c r="G77" s="50">
        <f t="shared" si="39"/>
        <v>244914</v>
      </c>
      <c r="H77" s="50">
        <f t="shared" si="39"/>
        <v>244914</v>
      </c>
      <c r="I77" s="50">
        <f t="shared" si="39"/>
        <v>244914</v>
      </c>
      <c r="J77" s="50">
        <f t="shared" si="39"/>
        <v>244914</v>
      </c>
      <c r="K77" s="50">
        <f t="shared" si="39"/>
        <v>244914</v>
      </c>
      <c r="L77" s="50">
        <f t="shared" si="39"/>
        <v>244914</v>
      </c>
      <c r="M77" s="50">
        <f t="shared" si="39"/>
        <v>244914</v>
      </c>
    </row>
    <row r="78" spans="1:13" ht="11" thickBot="1" x14ac:dyDescent="0.3">
      <c r="A78" s="2" t="str">
        <f>B9&amp;B78</f>
        <v>Cimarex Energy Co. (XEC)Total liabilities</v>
      </c>
      <c r="B78" s="79" t="s">
        <v>499</v>
      </c>
      <c r="C78" s="79"/>
      <c r="D78" s="123"/>
      <c r="E78" s="86">
        <f>SUM(E72:E77)</f>
        <v>3482268</v>
      </c>
      <c r="F78" s="34" t="e">
        <f t="shared" ref="F78:M78" si="40">SUM(F72:F77)</f>
        <v>#REF!</v>
      </c>
      <c r="G78" s="34" t="e">
        <f t="shared" si="40"/>
        <v>#REF!</v>
      </c>
      <c r="H78" s="34" t="e">
        <f t="shared" si="40"/>
        <v>#REF!</v>
      </c>
      <c r="I78" s="34" t="e">
        <f t="shared" si="40"/>
        <v>#REF!</v>
      </c>
      <c r="J78" s="34" t="e">
        <f t="shared" si="40"/>
        <v>#REF!</v>
      </c>
      <c r="K78" s="34" t="e">
        <f t="shared" si="40"/>
        <v>#REF!</v>
      </c>
      <c r="L78" s="34" t="e">
        <f t="shared" si="40"/>
        <v>#REF!</v>
      </c>
      <c r="M78" s="34" t="e">
        <f t="shared" si="40"/>
        <v>#REF!</v>
      </c>
    </row>
    <row r="79" spans="1:13" ht="11" thickTop="1" x14ac:dyDescent="0.25"/>
    <row r="80" spans="1:13" x14ac:dyDescent="0.25">
      <c r="A80" s="2" t="str">
        <f>B9&amp;B80</f>
        <v>Cimarex Energy Co. (XEC)Net (loss) Income cashflow</v>
      </c>
      <c r="B80" s="80" t="s">
        <v>572</v>
      </c>
      <c r="C80" s="135" t="s">
        <v>540</v>
      </c>
      <c r="D80" s="117"/>
      <c r="E80" s="83">
        <f>E49</f>
        <v>-31154.75</v>
      </c>
      <c r="F80" s="50" t="e">
        <f t="shared" ref="F80:M80" si="41">F49</f>
        <v>#REF!</v>
      </c>
      <c r="G80" s="50" t="e">
        <f t="shared" si="41"/>
        <v>#REF!</v>
      </c>
      <c r="H80" s="50" t="e">
        <f t="shared" si="41"/>
        <v>#REF!</v>
      </c>
      <c r="I80" s="50" t="e">
        <f t="shared" si="41"/>
        <v>#REF!</v>
      </c>
      <c r="J80" s="50" t="e">
        <f t="shared" si="41"/>
        <v>#REF!</v>
      </c>
      <c r="K80" s="50" t="e">
        <f t="shared" si="41"/>
        <v>#REF!</v>
      </c>
      <c r="L80" s="50" t="e">
        <f t="shared" si="41"/>
        <v>#REF!</v>
      </c>
      <c r="M80" s="50" t="e">
        <f t="shared" si="41"/>
        <v>#REF!</v>
      </c>
    </row>
    <row r="81" spans="1:13" x14ac:dyDescent="0.25">
      <c r="A81" s="2" t="str">
        <f>B9&amp;B81</f>
        <v>Cimarex Energy Co. (XEC)Change in Net working capital</v>
      </c>
      <c r="B81" s="68" t="s">
        <v>500</v>
      </c>
      <c r="C81" s="136" t="s">
        <v>565</v>
      </c>
      <c r="D81" s="118"/>
      <c r="E81" s="83">
        <f>(65128-739-184563-2797)/4</f>
        <v>-30742.75</v>
      </c>
      <c r="F81" s="50" t="e">
        <f t="shared" ref="F81:M81" si="42">(F60-F72)-(E60-E72)</f>
        <v>#REF!</v>
      </c>
      <c r="G81" s="50" t="e">
        <f t="shared" si="42"/>
        <v>#REF!</v>
      </c>
      <c r="H81" s="50" t="e">
        <f t="shared" si="42"/>
        <v>#REF!</v>
      </c>
      <c r="I81" s="50" t="e">
        <f t="shared" si="42"/>
        <v>#REF!</v>
      </c>
      <c r="J81" s="50" t="e">
        <f t="shared" si="42"/>
        <v>#REF!</v>
      </c>
      <c r="K81" s="50" t="e">
        <f t="shared" si="42"/>
        <v>#REF!</v>
      </c>
      <c r="L81" s="50" t="e">
        <f t="shared" si="42"/>
        <v>#REF!</v>
      </c>
      <c r="M81" s="50" t="e">
        <f t="shared" si="42"/>
        <v>#REF!</v>
      </c>
    </row>
    <row r="82" spans="1:13" x14ac:dyDescent="0.25">
      <c r="A82" s="2" t="str">
        <f>B9&amp;B82</f>
        <v>Cimarex Energy Co. (XEC)DD&amp;A cash flow</v>
      </c>
      <c r="B82" s="68" t="s">
        <v>570</v>
      </c>
      <c r="C82" s="136" t="s">
        <v>566</v>
      </c>
      <c r="D82" s="118"/>
      <c r="E82" s="83">
        <f>E32</f>
        <v>220543.25</v>
      </c>
      <c r="F82" s="50" t="e">
        <f t="shared" ref="F82:M82" si="43">F32</f>
        <v>#REF!</v>
      </c>
      <c r="G82" s="50" t="e">
        <f t="shared" si="43"/>
        <v>#REF!</v>
      </c>
      <c r="H82" s="50" t="e">
        <f t="shared" si="43"/>
        <v>#REF!</v>
      </c>
      <c r="I82" s="50" t="e">
        <f t="shared" si="43"/>
        <v>#REF!</v>
      </c>
      <c r="J82" s="50" t="e">
        <f t="shared" si="43"/>
        <v>#REF!</v>
      </c>
      <c r="K82" s="50" t="e">
        <f t="shared" si="43"/>
        <v>#REF!</v>
      </c>
      <c r="L82" s="50" t="e">
        <f t="shared" si="43"/>
        <v>#REF!</v>
      </c>
      <c r="M82" s="50" t="e">
        <f t="shared" si="43"/>
        <v>#REF!</v>
      </c>
    </row>
    <row r="83" spans="1:13" x14ac:dyDescent="0.25">
      <c r="A83" s="2" t="str">
        <f>B9&amp;B83</f>
        <v>Cimarex Energy Co. (XEC)Impairment cashflow</v>
      </c>
      <c r="B83" s="68" t="s">
        <v>571</v>
      </c>
      <c r="C83" s="136" t="s">
        <v>566</v>
      </c>
      <c r="D83" s="118"/>
      <c r="E83" s="83">
        <f>E31</f>
        <v>154673.25</v>
      </c>
      <c r="F83" s="50">
        <f>F31</f>
        <v>154673.25</v>
      </c>
      <c r="G83" s="50">
        <f t="shared" ref="G83:M83" si="44">G31</f>
        <v>154673.25</v>
      </c>
      <c r="H83" s="50">
        <f t="shared" si="44"/>
        <v>154673.25</v>
      </c>
      <c r="I83" s="50">
        <f t="shared" si="44"/>
        <v>154673.25</v>
      </c>
      <c r="J83" s="50">
        <f t="shared" si="44"/>
        <v>154673.25</v>
      </c>
      <c r="K83" s="50">
        <f t="shared" si="44"/>
        <v>154673.25</v>
      </c>
      <c r="L83" s="50">
        <f t="shared" si="44"/>
        <v>154673.25</v>
      </c>
      <c r="M83" s="50">
        <f t="shared" si="44"/>
        <v>154673.25</v>
      </c>
    </row>
    <row r="84" spans="1:13" x14ac:dyDescent="0.25">
      <c r="A84" s="2" t="str">
        <f>B9&amp;B84</f>
        <v>Cimarex Energy Co. (XEC)Other non-cash items</v>
      </c>
      <c r="B84" s="68" t="s">
        <v>501</v>
      </c>
      <c r="C84" s="158" t="s">
        <v>507</v>
      </c>
      <c r="D84" s="118"/>
      <c r="E84" s="83">
        <f>(8586-26902+26398+76850-13131+4250+14639)/4</f>
        <v>22672.5</v>
      </c>
      <c r="F84" s="50">
        <f>E84</f>
        <v>22672.5</v>
      </c>
      <c r="G84" s="50">
        <f t="shared" ref="G84" si="45">F84</f>
        <v>22672.5</v>
      </c>
      <c r="H84" s="50">
        <f t="shared" ref="H84" si="46">G84</f>
        <v>22672.5</v>
      </c>
      <c r="I84" s="50">
        <f t="shared" ref="I84" si="47">H84</f>
        <v>22672.5</v>
      </c>
      <c r="J84" s="50">
        <f t="shared" ref="J84" si="48">I84</f>
        <v>22672.5</v>
      </c>
      <c r="K84" s="50">
        <f t="shared" ref="K84" si="49">J84</f>
        <v>22672.5</v>
      </c>
      <c r="L84" s="50">
        <f t="shared" ref="L84" si="50">K84</f>
        <v>22672.5</v>
      </c>
      <c r="M84" s="50">
        <f t="shared" ref="M84" si="51">L84</f>
        <v>22672.5</v>
      </c>
    </row>
    <row r="85" spans="1:13" x14ac:dyDescent="0.25">
      <c r="A85" s="2" t="str">
        <f>B9&amp;B85</f>
        <v>Cimarex Energy Co. (XEC)dry hole</v>
      </c>
      <c r="B85" s="68" t="s">
        <v>548</v>
      </c>
      <c r="C85" s="136" t="s">
        <v>567</v>
      </c>
      <c r="D85" s="118"/>
      <c r="E85" s="83">
        <v>0</v>
      </c>
      <c r="F85" s="50">
        <f>IF($E$85&gt;0, $E$85*F39/$E$39,0)</f>
        <v>0</v>
      </c>
      <c r="G85" s="50">
        <f t="shared" ref="G85:M85" si="52">IF($E$85&gt;0, $E$85*G39/$E$39,0)</f>
        <v>0</v>
      </c>
      <c r="H85" s="50">
        <f t="shared" si="52"/>
        <v>0</v>
      </c>
      <c r="I85" s="50">
        <f t="shared" si="52"/>
        <v>0</v>
      </c>
      <c r="J85" s="50">
        <f t="shared" si="52"/>
        <v>0</v>
      </c>
      <c r="K85" s="50">
        <f t="shared" si="52"/>
        <v>0</v>
      </c>
      <c r="L85" s="50">
        <f t="shared" si="52"/>
        <v>0</v>
      </c>
      <c r="M85" s="50">
        <f t="shared" si="52"/>
        <v>0</v>
      </c>
    </row>
    <row r="86" spans="1:13" x14ac:dyDescent="0.25">
      <c r="A86" s="2" t="str">
        <f>B9&amp;B86</f>
        <v>Cimarex Energy Co. (XEC)market to market contracts</v>
      </c>
      <c r="B86" s="68" t="s">
        <v>562</v>
      </c>
      <c r="C86" s="158" t="s">
        <v>507</v>
      </c>
      <c r="D86" s="118"/>
      <c r="E86" s="83">
        <v>0</v>
      </c>
      <c r="F86" s="50">
        <f>E86</f>
        <v>0</v>
      </c>
      <c r="G86" s="50">
        <f t="shared" ref="G86:M86" si="53">F86</f>
        <v>0</v>
      </c>
      <c r="H86" s="50">
        <f t="shared" si="53"/>
        <v>0</v>
      </c>
      <c r="I86" s="50">
        <f t="shared" si="53"/>
        <v>0</v>
      </c>
      <c r="J86" s="50">
        <f t="shared" si="53"/>
        <v>0</v>
      </c>
      <c r="K86" s="50">
        <f t="shared" si="53"/>
        <v>0</v>
      </c>
      <c r="L86" s="50">
        <f t="shared" si="53"/>
        <v>0</v>
      </c>
      <c r="M86" s="50">
        <f t="shared" si="53"/>
        <v>0</v>
      </c>
    </row>
    <row r="87" spans="1:13" x14ac:dyDescent="0.25">
      <c r="A87" s="2" t="str">
        <f>B9&amp;B87</f>
        <v>Cimarex Energy Co. (XEC)Cash flow from operations</v>
      </c>
      <c r="B87" s="142" t="s">
        <v>502</v>
      </c>
      <c r="C87" s="143" t="s">
        <v>540</v>
      </c>
      <c r="D87" s="118"/>
      <c r="E87" s="63">
        <f>1343966/4</f>
        <v>335991.5</v>
      </c>
      <c r="F87" s="62" t="e">
        <f t="shared" ref="F87:M87" si="54">SUM(F80:F86)</f>
        <v>#REF!</v>
      </c>
      <c r="G87" s="62" t="e">
        <f t="shared" si="54"/>
        <v>#REF!</v>
      </c>
      <c r="H87" s="62" t="e">
        <f t="shared" si="54"/>
        <v>#REF!</v>
      </c>
      <c r="I87" s="62" t="e">
        <f t="shared" si="54"/>
        <v>#REF!</v>
      </c>
      <c r="J87" s="62" t="e">
        <f t="shared" si="54"/>
        <v>#REF!</v>
      </c>
      <c r="K87" s="62" t="e">
        <f t="shared" si="54"/>
        <v>#REF!</v>
      </c>
      <c r="L87" s="62" t="e">
        <f t="shared" si="54"/>
        <v>#REF!</v>
      </c>
      <c r="M87" s="62" t="e">
        <f t="shared" si="54"/>
        <v>#REF!</v>
      </c>
    </row>
    <row r="88" spans="1:13" x14ac:dyDescent="0.25">
      <c r="A88" s="2" t="str">
        <f>B9&amp;B88</f>
        <v>Cimarex Energy Co. (XEC)Maintenance capex</v>
      </c>
      <c r="B88" s="68" t="s">
        <v>520</v>
      </c>
      <c r="C88" s="73" t="s">
        <v>534</v>
      </c>
      <c r="D88" s="118"/>
      <c r="E88" s="83" t="e">
        <f>SUMIFS(#REF!,#REF!,$B9)*1000/4</f>
        <v>#REF!</v>
      </c>
      <c r="F88" s="50" t="e">
        <f>(SUMIFS(#REF!,#REF!,$B9)*1000/4)</f>
        <v>#REF!</v>
      </c>
      <c r="G88" s="50" t="e">
        <f t="shared" ref="G88:M88" si="55">F88</f>
        <v>#REF!</v>
      </c>
      <c r="H88" s="50" t="e">
        <f t="shared" si="55"/>
        <v>#REF!</v>
      </c>
      <c r="I88" s="50" t="e">
        <f t="shared" si="55"/>
        <v>#REF!</v>
      </c>
      <c r="J88" s="50" t="e">
        <f t="shared" si="55"/>
        <v>#REF!</v>
      </c>
      <c r="K88" s="50" t="e">
        <f t="shared" si="55"/>
        <v>#REF!</v>
      </c>
      <c r="L88" s="50" t="e">
        <f t="shared" si="55"/>
        <v>#REF!</v>
      </c>
      <c r="M88" s="50" t="e">
        <f t="shared" si="55"/>
        <v>#REF!</v>
      </c>
    </row>
    <row r="89" spans="1:13" x14ac:dyDescent="0.25">
      <c r="A89" s="2" t="str">
        <f>B9&amp;B89</f>
        <v>Cimarex Energy Co. (XEC)Exploration capex</v>
      </c>
      <c r="B89" s="68" t="s">
        <v>519</v>
      </c>
      <c r="C89" s="73" t="s">
        <v>534</v>
      </c>
      <c r="D89" s="118"/>
      <c r="E89" s="96" t="e">
        <f>SUMIFS(#REF!,#REF!,$B9)*1000/4</f>
        <v>#REF!</v>
      </c>
      <c r="F89" s="33" t="e">
        <f>(SUMIFS(#REF!,#REF!,$B9)*1000/4)*(1-INDEX(Assumptions!$A$2:$K$596,MATCH($B9&amp;"Capex reduction",Assumptions!$A$2:$A$596,0),MATCH(F$2,Assumptions!$A$2:$K$2,0)))</f>
        <v>#REF!</v>
      </c>
      <c r="G89" s="33" t="e">
        <f>(SUMIFS(#REF!,#REF!,$B9)*1000/4)*(1-INDEX(Assumptions!$A$2:$K$596,MATCH($B9&amp;"Capex reduction",Assumptions!$A$2:$A$596,0),MATCH(G$2,Assumptions!$A$2:$K$2,0)))</f>
        <v>#REF!</v>
      </c>
      <c r="H89" s="33" t="e">
        <f>(SUMIFS(#REF!,#REF!,$B9)*1000/4)*(1-INDEX(Assumptions!$A$2:$K$596,MATCH($B9&amp;"Capex reduction",Assumptions!$A$2:$A$596,0),MATCH(H$2,Assumptions!$A$2:$K$2,0)))</f>
        <v>#REF!</v>
      </c>
      <c r="I89" s="33" t="e">
        <f>(SUMIFS(#REF!,#REF!,$B9)*1000/4)*(1-INDEX(Assumptions!$A$2:$K$596,MATCH($B9&amp;"Capex reduction",Assumptions!$A$2:$A$596,0),MATCH(I$2,Assumptions!$A$2:$K$2,0)))</f>
        <v>#REF!</v>
      </c>
      <c r="J89" s="33" t="e">
        <f>(SUMIFS(#REF!,#REF!,$B9)*1000/4)*(1-INDEX(Assumptions!$A$2:$K$596,MATCH($B9&amp;"Capex reduction",Assumptions!$A$2:$A$596,0),MATCH(J$2,Assumptions!$A$2:$K$2,0)))</f>
        <v>#REF!</v>
      </c>
      <c r="K89" s="33" t="e">
        <f>(SUMIFS(#REF!,#REF!,$B9)*1000/4)*(1-INDEX(Assumptions!$A$2:$K$596,MATCH($B9&amp;"Capex reduction",Assumptions!$A$2:$A$596,0),MATCH(K$2,Assumptions!$A$2:$K$2,0)))</f>
        <v>#REF!</v>
      </c>
      <c r="L89" s="33" t="e">
        <f>(SUMIFS(#REF!,#REF!,$B9)*1000/4)*(1-INDEX(Assumptions!$A$2:$K$596,MATCH($B9&amp;"Capex reduction",Assumptions!$A$2:$A$596,0),MATCH(L$2,Assumptions!$A$2:$K$2,0)))</f>
        <v>#REF!</v>
      </c>
      <c r="M89" s="33" t="e">
        <f>(SUMIFS(#REF!,#REF!,$B9)*1000/4)*(1-INDEX(Assumptions!$A$2:$K$596,MATCH($B9&amp;"Capex reduction",Assumptions!$A$2:$A$596,0),MATCH(M$2,Assumptions!$A$2:$K$2,0)))</f>
        <v>#REF!</v>
      </c>
    </row>
    <row r="90" spans="1:13" ht="11" thickBot="1" x14ac:dyDescent="0.3">
      <c r="A90" s="2" t="str">
        <f>B9&amp;B90</f>
        <v>Cimarex Energy Co. (XEC)Free Cash Flow (FCF)</v>
      </c>
      <c r="B90" s="69" t="s">
        <v>458</v>
      </c>
      <c r="C90" s="69" t="s">
        <v>512</v>
      </c>
      <c r="D90" s="119"/>
      <c r="E90" s="86" t="e">
        <f>SUM(E87:E89)</f>
        <v>#REF!</v>
      </c>
      <c r="F90" s="34" t="e">
        <f>SUM(F87:F89)</f>
        <v>#REF!</v>
      </c>
      <c r="G90" s="34" t="e">
        <f t="shared" ref="G90:M90" si="56">SUM(G87:G89)</f>
        <v>#REF!</v>
      </c>
      <c r="H90" s="34" t="e">
        <f t="shared" si="56"/>
        <v>#REF!</v>
      </c>
      <c r="I90" s="34" t="e">
        <f t="shared" si="56"/>
        <v>#REF!</v>
      </c>
      <c r="J90" s="34" t="e">
        <f t="shared" si="56"/>
        <v>#REF!</v>
      </c>
      <c r="K90" s="34" t="e">
        <f t="shared" si="56"/>
        <v>#REF!</v>
      </c>
      <c r="L90" s="34" t="e">
        <f t="shared" si="56"/>
        <v>#REF!</v>
      </c>
      <c r="M90" s="34" t="e">
        <f t="shared" si="56"/>
        <v>#REF!</v>
      </c>
    </row>
    <row r="91" spans="1:13" ht="11" thickTop="1" x14ac:dyDescent="0.25"/>
    <row r="92" spans="1:13" x14ac:dyDescent="0.25">
      <c r="A92" s="2" t="str">
        <f>B9&amp;B92</f>
        <v>Cimarex Energy Co. (XEC)EBITDA</v>
      </c>
      <c r="B92" s="80" t="s">
        <v>428</v>
      </c>
      <c r="C92" s="144" t="s">
        <v>540</v>
      </c>
      <c r="D92" s="117"/>
      <c r="E92" s="83">
        <f t="shared" ref="E92:M92" si="57">(E29-E41)+E32</f>
        <v>210924.25</v>
      </c>
      <c r="F92" s="50" t="e">
        <f t="shared" si="57"/>
        <v>#REF!</v>
      </c>
      <c r="G92" s="50" t="e">
        <f t="shared" si="57"/>
        <v>#REF!</v>
      </c>
      <c r="H92" s="50" t="e">
        <f t="shared" si="57"/>
        <v>#REF!</v>
      </c>
      <c r="I92" s="50" t="e">
        <f t="shared" si="57"/>
        <v>#REF!</v>
      </c>
      <c r="J92" s="50" t="e">
        <f t="shared" si="57"/>
        <v>#REF!</v>
      </c>
      <c r="K92" s="50" t="e">
        <f t="shared" si="57"/>
        <v>#REF!</v>
      </c>
      <c r="L92" s="50" t="e">
        <f t="shared" si="57"/>
        <v>#REF!</v>
      </c>
      <c r="M92" s="50" t="e">
        <f t="shared" si="57"/>
        <v>#REF!</v>
      </c>
    </row>
    <row r="93" spans="1:13" x14ac:dyDescent="0.25">
      <c r="A93" s="2" t="str">
        <f>B9&amp;B93</f>
        <v>Cimarex Energy Co. (XEC)Exploration capex</v>
      </c>
      <c r="B93" s="68" t="s">
        <v>519</v>
      </c>
      <c r="C93" s="68" t="s">
        <v>534</v>
      </c>
      <c r="D93" s="118"/>
      <c r="E93" s="83" t="e">
        <f>SUMIFS(#REF!,#REF!,$B9)*1000/4</f>
        <v>#REF!</v>
      </c>
      <c r="F93" s="50" t="e">
        <f>(SUMIFS(#REF!,#REF!,$B9)*1000/4)*(1-INDEX(Assumptions!$A$2:$K$596,MATCH($B9&amp;"Capex reduction",Assumptions!$A$2:$A$596,0),MATCH(F$2,Assumptions!$A$2:$K$2,0)))</f>
        <v>#REF!</v>
      </c>
      <c r="G93" s="50" t="e">
        <f>(SUMIFS(#REF!,#REF!,$B9)*1000/4)*(1-INDEX(Assumptions!$A$2:$K$596,MATCH($B9&amp;"Capex reduction",Assumptions!$A$2:$A$596,0),MATCH(G$2,Assumptions!$A$2:$K$2,0)))</f>
        <v>#REF!</v>
      </c>
      <c r="H93" s="50" t="e">
        <f>(SUMIFS(#REF!,#REF!,$B9)*1000/4)*(1-INDEX(Assumptions!$A$2:$K$596,MATCH($B9&amp;"Capex reduction",Assumptions!$A$2:$A$596,0),MATCH(H$2,Assumptions!$A$2:$K$2,0)))</f>
        <v>#REF!</v>
      </c>
      <c r="I93" s="50" t="e">
        <f>(SUMIFS(#REF!,#REF!,$B9)*1000/4)*(1-INDEX(Assumptions!$A$2:$K$596,MATCH($B9&amp;"Capex reduction",Assumptions!$A$2:$A$596,0),MATCH(I$2,Assumptions!$A$2:$K$2,0)))</f>
        <v>#REF!</v>
      </c>
      <c r="J93" s="50" t="e">
        <f>(SUMIFS(#REF!,#REF!,$B9)*1000/4)*(1-INDEX(Assumptions!$A$2:$K$596,MATCH($B9&amp;"Capex reduction",Assumptions!$A$2:$A$596,0),MATCH(J$2,Assumptions!$A$2:$K$2,0)))</f>
        <v>#REF!</v>
      </c>
      <c r="K93" s="50" t="e">
        <f>(SUMIFS(#REF!,#REF!,$B9)*1000/4)*(1-INDEX(Assumptions!$A$2:$K$596,MATCH($B9&amp;"Capex reduction",Assumptions!$A$2:$A$596,0),MATCH(K$2,Assumptions!$A$2:$K$2,0)))</f>
        <v>#REF!</v>
      </c>
      <c r="L93" s="50" t="e">
        <f>(SUMIFS(#REF!,#REF!,$B9)*1000/4)*(1-INDEX(Assumptions!$A$2:$K$596,MATCH($B9&amp;"Capex reduction",Assumptions!$A$2:$A$596,0),MATCH(L$2,Assumptions!$A$2:$K$2,0)))</f>
        <v>#REF!</v>
      </c>
      <c r="M93" s="50" t="e">
        <f>(SUMIFS(#REF!,#REF!,$B9)*1000/4)*(1-INDEX(Assumptions!$A$2:$K$596,MATCH($B9&amp;"Capex reduction",Assumptions!$A$2:$A$596,0),MATCH(M$2,Assumptions!$A$2:$K$2,0)))</f>
        <v>#REF!</v>
      </c>
    </row>
    <row r="94" spans="1:13" x14ac:dyDescent="0.25">
      <c r="A94" s="2" t="str">
        <f>B9&amp;B94</f>
        <v>Cimarex Energy Co. (XEC)EBITDAX</v>
      </c>
      <c r="B94" s="90" t="s">
        <v>459</v>
      </c>
      <c r="C94" s="90" t="s">
        <v>512</v>
      </c>
      <c r="D94" s="125"/>
      <c r="E94" s="63" t="e">
        <f>SUM(E92:E93)</f>
        <v>#REF!</v>
      </c>
      <c r="F94" s="62" t="e">
        <f t="shared" ref="F94:M94" si="58">SUM(F92:F93)</f>
        <v>#REF!</v>
      </c>
      <c r="G94" s="62" t="e">
        <f t="shared" si="58"/>
        <v>#REF!</v>
      </c>
      <c r="H94" s="62" t="e">
        <f t="shared" si="58"/>
        <v>#REF!</v>
      </c>
      <c r="I94" s="62" t="e">
        <f t="shared" si="58"/>
        <v>#REF!</v>
      </c>
      <c r="J94" s="62" t="e">
        <f t="shared" si="58"/>
        <v>#REF!</v>
      </c>
      <c r="K94" s="62" t="e">
        <f t="shared" si="58"/>
        <v>#REF!</v>
      </c>
      <c r="L94" s="62" t="e">
        <f t="shared" si="58"/>
        <v>#REF!</v>
      </c>
      <c r="M94" s="62" t="e">
        <f t="shared" si="58"/>
        <v>#REF!</v>
      </c>
    </row>
    <row r="95" spans="1:13" s="49" customFormat="1" x14ac:dyDescent="0.25">
      <c r="D95" s="124"/>
    </row>
    <row r="96" spans="1:13" x14ac:dyDescent="0.25">
      <c r="A96" s="2" t="str">
        <f>B9&amp;B96</f>
        <v>Cimarex Energy Co. (XEC)Cash dividends paid</v>
      </c>
      <c r="B96" s="91" t="s">
        <v>521</v>
      </c>
      <c r="C96" s="53" t="s">
        <v>546</v>
      </c>
      <c r="D96" s="122"/>
      <c r="E96" s="83">
        <f>-81709/4</f>
        <v>-20427.25</v>
      </c>
      <c r="F96" s="50">
        <f>E96*(1-INDEX(Assumptions!$A$2:$K$596,MATCH($B9&amp;"Dividend reduction",Assumptions!$A$2:$A$596,0),MATCH(F$2,Assumptions!$A$2:$K$2,0)))</f>
        <v>-20427.25</v>
      </c>
      <c r="G96" s="50">
        <f>F96*(1-INDEX(Assumptions!$A$2:$K$596,MATCH($B9&amp;"Dividend reduction",Assumptions!$A$2:$A$596,0),MATCH(G$2,Assumptions!$A$2:$K$2,0)))</f>
        <v>-20427.25</v>
      </c>
      <c r="H96" s="50">
        <f>G96*(1-INDEX(Assumptions!$A$2:$K$596,MATCH($B9&amp;"Dividend reduction",Assumptions!$A$2:$A$596,0),MATCH(H$2,Assumptions!$A$2:$K$2,0)))</f>
        <v>-20427.25</v>
      </c>
      <c r="I96" s="50">
        <f>H96*(1-INDEX(Assumptions!$A$2:$K$596,MATCH($B9&amp;"Dividend reduction",Assumptions!$A$2:$A$596,0),MATCH(I$2,Assumptions!$A$2:$K$2,0)))</f>
        <v>-20427.25</v>
      </c>
      <c r="J96" s="50">
        <f>I96*(1-INDEX(Assumptions!$A$2:$K$596,MATCH($B9&amp;"Dividend reduction",Assumptions!$A$2:$A$596,0),MATCH(J$2,Assumptions!$A$2:$K$2,0)))</f>
        <v>-20427.25</v>
      </c>
      <c r="K96" s="50">
        <f>J96*(1-INDEX(Assumptions!$A$2:$K$596,MATCH($B9&amp;"Dividend reduction",Assumptions!$A$2:$A$596,0),MATCH(K$2,Assumptions!$A$2:$K$2,0)))</f>
        <v>-20427.25</v>
      </c>
      <c r="L96" s="50">
        <f>K96*(1-INDEX(Assumptions!$A$2:$K$596,MATCH($B9&amp;"Dividend reduction",Assumptions!$A$2:$A$596,0),MATCH(L$2,Assumptions!$A$2:$K$2,0)))</f>
        <v>-20427.25</v>
      </c>
      <c r="M96" s="50">
        <f>L96*(1-INDEX(Assumptions!$A$2:$K$596,MATCH($B9&amp;"Dividend reduction",Assumptions!$A$2:$A$596,0),MATCH(M$2,Assumptions!$A$2:$K$2,0)))</f>
        <v>-20427.25</v>
      </c>
    </row>
    <row r="98" spans="1:13" x14ac:dyDescent="0.25">
      <c r="A98" s="2" t="str">
        <f>B9&amp;B98</f>
        <v>Cimarex Energy Co. (XEC)Ohlson's O-Score</v>
      </c>
      <c r="B98" s="80" t="s">
        <v>427</v>
      </c>
      <c r="C98" s="80" t="s">
        <v>512</v>
      </c>
      <c r="D98" s="117"/>
      <c r="E98" s="130"/>
      <c r="F98" s="130"/>
      <c r="G98" s="130"/>
      <c r="H98" s="130"/>
      <c r="I98" s="99" t="e">
        <f>-1.32-0.407*(LN($I66*1000/(36.32+2.11*'Quarterly Forecasts'!$K$15)))+6.03*($I78/$I66)-1.43*(($I60-$I72)/$I66)+0.0757*($I72/$I60)-2.37*(SUM($F49:$I49)/$I66)-1.83*(SUM($F92:$I92)/$I78)+0.285*(IF(AND(SUM($F49:$I49)&lt;0,($E49*4)&lt;0),1,0))-0.521*((SUM($F49:$I49)-($E49*4))/(ABS(SUM($F49:$I49))+ABS($E49*4)))-1.72*(IF($I78&gt;$I66,1,0))</f>
        <v>#REF!</v>
      </c>
      <c r="J98" s="130"/>
      <c r="K98" s="130"/>
      <c r="L98" s="130"/>
      <c r="M98" s="99" t="e">
        <f>-1.32-0.407*(LN($M66*1000/(36.32+2.11*'Quarterly Forecasts'!$K$15)))+6.03*($M78/$M66)-1.43*(($M60-$M72)/$M66)+0.0757*($M72/$M60)-2.37*(SUM($J49:$M49)/$M66)-1.83*(SUM($J92:$M92)/$M78)+0.285*(IF(AND(SUM($J49:$M49)&lt;0,(SUM($F49:$I49))&lt;0),1,0))-0.521*((SUM($J49:$M49)-(SUM($F49:$I49)))/(ABS(SUM($J49:$M49))+ABS(SUM($F49:$I49))))-1.72*(IF($M78&gt;$M66,1,0))</f>
        <v>#REF!</v>
      </c>
    </row>
    <row r="99" spans="1:13" ht="11" thickBot="1" x14ac:dyDescent="0.3">
      <c r="A99" s="2" t="str">
        <f>B9&amp;B99</f>
        <v>Cimarex Energy Co. (XEC)Probability of default (PD)</v>
      </c>
      <c r="B99" s="81" t="s">
        <v>504</v>
      </c>
      <c r="C99" s="98" t="s">
        <v>512</v>
      </c>
      <c r="D99" s="110"/>
      <c r="E99" s="131"/>
      <c r="F99" s="131"/>
      <c r="G99" s="131"/>
      <c r="H99" s="131"/>
      <c r="I99" s="126" t="e">
        <f>EXP(I98)/(1+EXP(I98))</f>
        <v>#REF!</v>
      </c>
      <c r="J99" s="131"/>
      <c r="K99" s="131"/>
      <c r="L99" s="131"/>
      <c r="M99" s="126" t="e">
        <f>EXP(M98)/(1+EXP(M98))</f>
        <v>#REF!</v>
      </c>
    </row>
    <row r="100" spans="1:13" ht="11" thickTop="1" x14ac:dyDescent="0.25"/>
  </sheetData>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6E362-225E-47DA-B046-01436B83C527}">
  <dimension ref="A1:N101"/>
  <sheetViews>
    <sheetView showGridLines="0" zoomScale="103" zoomScaleNormal="130" workbookViewId="0">
      <pane xSplit="2" ySplit="2" topLeftCell="D80" activePane="bottomRight" state="frozen"/>
      <selection activeCell="F93" sqref="F93"/>
      <selection pane="topRight" activeCell="F93" sqref="F93"/>
      <selection pane="bottomLeft" activeCell="F93" sqref="F93"/>
      <selection pane="bottomRight" activeCell="I95" sqref="I95"/>
    </sheetView>
  </sheetViews>
  <sheetFormatPr defaultColWidth="8.81640625" defaultRowHeight="10.5" x14ac:dyDescent="0.25"/>
  <cols>
    <col min="1" max="1" width="13.453125" style="2" customWidth="1"/>
    <col min="2" max="2" width="28.6328125" style="2" customWidth="1"/>
    <col min="3" max="3" width="35.453125" style="2" customWidth="1"/>
    <col min="4" max="4" width="7.453125" style="113" bestFit="1" customWidth="1"/>
    <col min="5" max="5" width="10.453125" style="2" bestFit="1" customWidth="1"/>
    <col min="6" max="6" width="12.1796875" style="2" bestFit="1" customWidth="1"/>
    <col min="7" max="13" width="10.453125" style="2" bestFit="1" customWidth="1"/>
    <col min="14" max="16384" width="8.81640625" style="2"/>
  </cols>
  <sheetData>
    <row r="1" spans="1:13" x14ac:dyDescent="0.25">
      <c r="E1" s="2" t="str">
        <f>LEFT(E2,4)</f>
        <v>2019</v>
      </c>
      <c r="F1" s="2" t="str">
        <f t="shared" ref="F1:M1" si="0">LEFT(F2,4)</f>
        <v>2020</v>
      </c>
      <c r="G1" s="2" t="str">
        <f t="shared" si="0"/>
        <v>2020</v>
      </c>
      <c r="H1" s="2" t="str">
        <f t="shared" si="0"/>
        <v>2020</v>
      </c>
      <c r="I1" s="2" t="str">
        <f t="shared" si="0"/>
        <v>2020</v>
      </c>
      <c r="J1" s="2" t="str">
        <f t="shared" si="0"/>
        <v>2021</v>
      </c>
      <c r="K1" s="2" t="str">
        <f t="shared" si="0"/>
        <v>2021</v>
      </c>
      <c r="L1" s="2" t="str">
        <f t="shared" si="0"/>
        <v>2021</v>
      </c>
      <c r="M1" s="2" t="str">
        <f t="shared" si="0"/>
        <v>2021</v>
      </c>
    </row>
    <row r="2" spans="1:13" x14ac:dyDescent="0.25">
      <c r="B2" s="2" t="s">
        <v>439</v>
      </c>
      <c r="C2" s="2" t="s">
        <v>517</v>
      </c>
      <c r="D2" s="113" t="s">
        <v>524</v>
      </c>
      <c r="E2" s="67" t="s">
        <v>413</v>
      </c>
      <c r="F2" s="67" t="s">
        <v>414</v>
      </c>
      <c r="G2" s="67" t="s">
        <v>415</v>
      </c>
      <c r="H2" s="67" t="s">
        <v>416</v>
      </c>
      <c r="I2" s="67" t="s">
        <v>417</v>
      </c>
      <c r="J2" s="67" t="s">
        <v>418</v>
      </c>
      <c r="K2" s="67" t="s">
        <v>419</v>
      </c>
      <c r="L2" s="67" t="s">
        <v>420</v>
      </c>
      <c r="M2" s="67" t="s">
        <v>421</v>
      </c>
    </row>
    <row r="3" spans="1:13" x14ac:dyDescent="0.25">
      <c r="B3" s="64" t="s">
        <v>522</v>
      </c>
      <c r="C3" s="64"/>
      <c r="D3" s="111"/>
      <c r="E3" s="103"/>
      <c r="F3" s="99"/>
      <c r="G3" s="99"/>
      <c r="H3" s="99"/>
      <c r="I3" s="99"/>
      <c r="J3" s="99"/>
      <c r="K3" s="99"/>
      <c r="L3" s="99"/>
      <c r="M3" s="99"/>
    </row>
    <row r="4" spans="1:13" x14ac:dyDescent="0.25">
      <c r="A4" s="2" t="str">
        <f>$B$9&amp;$B$3&amp;B4</f>
        <v>Cimarex EnergyMarket PricesOil</v>
      </c>
      <c r="B4" s="70" t="s">
        <v>396</v>
      </c>
      <c r="C4" s="70"/>
      <c r="D4" s="108"/>
      <c r="E4" s="89">
        <f>INDEX('Quarterly Forecasts'!$B$4:$O$500,MATCH(($B$2&amp;$B4),'Quarterly Forecasts'!$B$4:$B$500,0),MATCH(E$2,'Quarterly Forecasts'!$B$4:$O$4,0))</f>
        <v>64.358329999999995</v>
      </c>
      <c r="F4" s="134">
        <f>INDEX('Quarterly Forecasts'!$B$4:$O$500,MATCH($B$2&amp;$B4,'Quarterly Forecasts'!$B$4:$B$500,0),MATCH(F$2,'Quarterly Forecasts'!$B$4:$O$4,0))</f>
        <v>50.81859</v>
      </c>
      <c r="G4" s="134">
        <f>INDEX('Quarterly Forecasts'!$B$4:$O$500,MATCH($B$2&amp;$B4,'Quarterly Forecasts'!$B$4:$B$500,0),MATCH(G$2,'Quarterly Forecasts'!$B$4:$O$4,0))</f>
        <v>20</v>
      </c>
      <c r="H4" s="134">
        <f>INDEX('Quarterly Forecasts'!$B$4:$O$500,MATCH($B$2&amp;$B4,'Quarterly Forecasts'!$B$4:$B$500,0),MATCH(H$2,'Quarterly Forecasts'!$B$4:$O$4,0))</f>
        <v>22</v>
      </c>
      <c r="I4" s="134">
        <f>INDEX('Quarterly Forecasts'!$B$4:$O$500,MATCH($B$2&amp;$B4,'Quarterly Forecasts'!$B$4:$B$500,0),MATCH(I$2,'Quarterly Forecasts'!$B$4:$O$4,0))</f>
        <v>24</v>
      </c>
      <c r="J4" s="134">
        <f>INDEX('Quarterly Forecasts'!$B$4:$O$500,MATCH($B$2&amp;$B4,'Quarterly Forecasts'!$B$4:$B$500,0),MATCH(J$2,'Quarterly Forecasts'!$B$4:$O$4,0))</f>
        <v>26</v>
      </c>
      <c r="K4" s="134">
        <f>INDEX('Quarterly Forecasts'!$B$4:$O$500,MATCH($B$2&amp;$B4,'Quarterly Forecasts'!$B$4:$B$500,0),MATCH(K$2,'Quarterly Forecasts'!$B$4:$O$4,0))</f>
        <v>28</v>
      </c>
      <c r="L4" s="134">
        <f>INDEX('Quarterly Forecasts'!$B$4:$O$500,MATCH($B$2&amp;$B4,'Quarterly Forecasts'!$B$4:$B$500,0),MATCH(L$2,'Quarterly Forecasts'!$B$4:$O$4,0))</f>
        <v>30</v>
      </c>
      <c r="M4" s="134">
        <f>INDEX('Quarterly Forecasts'!$B$4:$O$500,MATCH($B$2&amp;$B4,'Quarterly Forecasts'!$B$4:$B$500,0),MATCH(M$2,'Quarterly Forecasts'!$B$4:$O$4,0))</f>
        <v>30</v>
      </c>
    </row>
    <row r="5" spans="1:13" x14ac:dyDescent="0.25">
      <c r="A5" s="2" t="str">
        <f t="shared" ref="A5:A7" si="1">$B$9&amp;$B$3&amp;B5</f>
        <v>Cimarex EnergyMarket PricesGas</v>
      </c>
      <c r="B5" s="70" t="s">
        <v>26</v>
      </c>
      <c r="C5" s="70"/>
      <c r="D5" s="108"/>
      <c r="E5" s="89">
        <f>INDEX('Quarterly Forecasts'!$B$4:$O$500,MATCH($B2&amp;$B5,'Quarterly Forecasts'!$B$4:$B$500,0),MATCH(E$2,'Quarterly Forecasts'!$B$4:$O$4,0))</f>
        <v>15.15714</v>
      </c>
      <c r="F5" s="134">
        <f>INDEX('Quarterly Forecasts'!$B$4:$O$500,MATCH($B$2&amp;$B5,'Quarterly Forecasts'!$B$4:$B$500,0),MATCH(F$2,'Quarterly Forecasts'!$B$4:$O$4,0))</f>
        <v>11.20355</v>
      </c>
      <c r="G5" s="134">
        <f>INDEX('Quarterly Forecasts'!$B$4:$O$500,MATCH($B$2&amp;$B5,'Quarterly Forecasts'!$B$4:$B$500,0),MATCH(G$2,'Quarterly Forecasts'!$B$4:$O$4,0))</f>
        <v>12.8748</v>
      </c>
      <c r="H5" s="134">
        <f>INDEX('Quarterly Forecasts'!$B$4:$O$500,MATCH($B$2&amp;$B5,'Quarterly Forecasts'!$B$4:$B$500,0),MATCH(H$2,'Quarterly Forecasts'!$B$4:$O$4,0))</f>
        <v>13.0944</v>
      </c>
      <c r="I5" s="134">
        <f>INDEX('Quarterly Forecasts'!$B$4:$O$500,MATCH($B$2&amp;$B5,'Quarterly Forecasts'!$B$4:$B$500,0),MATCH(I$2,'Quarterly Forecasts'!$B$4:$O$4,0))</f>
        <v>13.314000000000002</v>
      </c>
      <c r="J5" s="134">
        <f>INDEX('Quarterly Forecasts'!$B$4:$O$500,MATCH($B$2&amp;$B5,'Quarterly Forecasts'!$B$4:$B$500,0),MATCH(J$2,'Quarterly Forecasts'!$B$4:$O$4,0))</f>
        <v>13.533600000000002</v>
      </c>
      <c r="K5" s="134">
        <f>INDEX('Quarterly Forecasts'!$B$4:$O$500,MATCH($B$2&amp;$B5,'Quarterly Forecasts'!$B$4:$B$500,0),MATCH(K$2,'Quarterly Forecasts'!$B$4:$O$4,0))</f>
        <v>13.753200000000001</v>
      </c>
      <c r="L5" s="134">
        <f>INDEX('Quarterly Forecasts'!$B$4:$O$500,MATCH($B$2&amp;$B5,'Quarterly Forecasts'!$B$4:$B$500,0),MATCH(L$2,'Quarterly Forecasts'!$B$4:$O$4,0))</f>
        <v>13.972800000000001</v>
      </c>
      <c r="M5" s="134">
        <f>INDEX('Quarterly Forecasts'!$B$4:$O$500,MATCH($B$2&amp;$B5,'Quarterly Forecasts'!$B$4:$B$500,0),MATCH(M$2,'Quarterly Forecasts'!$B$4:$O$4,0))</f>
        <v>13.972800000000001</v>
      </c>
    </row>
    <row r="6" spans="1:13" x14ac:dyDescent="0.25">
      <c r="A6" s="2" t="str">
        <f t="shared" si="1"/>
        <v>Cimarex EnergyMarket PricesNGL</v>
      </c>
      <c r="B6" s="70" t="s">
        <v>25</v>
      </c>
      <c r="C6" s="70"/>
      <c r="D6" s="108"/>
      <c r="E6" s="89">
        <f>INDEX('Quarterly Forecasts'!$B$4:$O$500,MATCH($B2&amp;$B6,'Quarterly Forecasts'!$B$4:$B$500,0),MATCH(E$2,'Quarterly Forecasts'!$B$4:$O$4,0))</f>
        <v>20.616230000000002</v>
      </c>
      <c r="F6" s="134">
        <f>INDEX('Quarterly Forecasts'!$B$4:$O$500,MATCH($B$2&amp;$B6,'Quarterly Forecasts'!$B$4:$B$500,0),MATCH(F$2,'Quarterly Forecasts'!$B$4:$O$4,0))</f>
        <v>17.26445</v>
      </c>
      <c r="G6" s="134">
        <f>INDEX('Quarterly Forecasts'!$B$4:$O$500,MATCH($B$2&amp;$B6,'Quarterly Forecasts'!$B$4:$B$500,0),MATCH(G$2,'Quarterly Forecasts'!$B$4:$O$4,0))</f>
        <v>8.4505925000000008</v>
      </c>
      <c r="H6" s="134">
        <f>INDEX('Quarterly Forecasts'!$B$4:$O$500,MATCH($B$2&amp;$B6,'Quarterly Forecasts'!$B$4:$B$500,0),MATCH(H$2,'Quarterly Forecasts'!$B$4:$O$4,0))</f>
        <v>9.3239265000000007</v>
      </c>
      <c r="I6" s="134">
        <f>INDEX('Quarterly Forecasts'!$B$4:$O$500,MATCH($B$2&amp;$B6,'Quarterly Forecasts'!$B$4:$B$500,0),MATCH(I$2,'Quarterly Forecasts'!$B$4:$O$4,0))</f>
        <v>10.197260500000001</v>
      </c>
      <c r="J6" s="134">
        <f>INDEX('Quarterly Forecasts'!$B$4:$O$500,MATCH($B$2&amp;$B6,'Quarterly Forecasts'!$B$4:$B$500,0),MATCH(J$2,'Quarterly Forecasts'!$B$4:$O$4,0))</f>
        <v>11.0705945</v>
      </c>
      <c r="K6" s="134">
        <f>INDEX('Quarterly Forecasts'!$B$4:$O$500,MATCH($B$2&amp;$B6,'Quarterly Forecasts'!$B$4:$B$500,0),MATCH(K$2,'Quarterly Forecasts'!$B$4:$O$4,0))</f>
        <v>11.9439285</v>
      </c>
      <c r="L6" s="134">
        <f>INDEX('Quarterly Forecasts'!$B$4:$O$500,MATCH($B$2&amp;$B6,'Quarterly Forecasts'!$B$4:$B$500,0),MATCH(L$2,'Quarterly Forecasts'!$B$4:$O$4,0))</f>
        <v>12.8172625</v>
      </c>
      <c r="M6" s="134">
        <f>INDEX('Quarterly Forecasts'!$B$4:$O$500,MATCH($B$2&amp;$B6,'Quarterly Forecasts'!$B$4:$B$500,0),MATCH(M$2,'Quarterly Forecasts'!$B$4:$O$4,0))</f>
        <v>12.8172625</v>
      </c>
    </row>
    <row r="7" spans="1:13" x14ac:dyDescent="0.25">
      <c r="A7" s="2" t="str">
        <f t="shared" si="1"/>
        <v>Cimarex EnergyMarket PricesCondensate</v>
      </c>
      <c r="B7" s="71" t="s">
        <v>24</v>
      </c>
      <c r="C7" s="71"/>
      <c r="D7" s="114"/>
      <c r="E7" s="89">
        <f>INDEX('Quarterly Forecasts'!$B$4:$O$500,MATCH($B2&amp;$B7,'Quarterly Forecasts'!$B$4:$B$500,0),MATCH(E$2,'Quarterly Forecasts'!$B$4:$O$4,0))</f>
        <v>38.614997999999993</v>
      </c>
      <c r="F7" s="134">
        <f>INDEX('Quarterly Forecasts'!$B$4:$O$500,MATCH($B$2&amp;$B7,'Quarterly Forecasts'!$B$4:$B$500,0),MATCH(F$2,'Quarterly Forecasts'!$B$4:$O$4,0))</f>
        <v>30.491153999999998</v>
      </c>
      <c r="G7" s="134">
        <f>INDEX('Quarterly Forecasts'!$B$4:$O$500,MATCH($B$2&amp;$B7,'Quarterly Forecasts'!$B$4:$B$500,0),MATCH(G$2,'Quarterly Forecasts'!$B$4:$O$4,0))</f>
        <v>12</v>
      </c>
      <c r="H7" s="134">
        <f>INDEX('Quarterly Forecasts'!$B$4:$O$500,MATCH($B$2&amp;$B7,'Quarterly Forecasts'!$B$4:$B$500,0),MATCH(H$2,'Quarterly Forecasts'!$B$4:$O$4,0))</f>
        <v>13.2</v>
      </c>
      <c r="I7" s="134">
        <f>INDEX('Quarterly Forecasts'!$B$4:$O$500,MATCH($B$2&amp;$B7,'Quarterly Forecasts'!$B$4:$B$500,0),MATCH(I$2,'Quarterly Forecasts'!$B$4:$O$4,0))</f>
        <v>14.399999999999999</v>
      </c>
      <c r="J7" s="134">
        <f>INDEX('Quarterly Forecasts'!$B$4:$O$500,MATCH($B$2&amp;$B7,'Quarterly Forecasts'!$B$4:$B$500,0),MATCH(J$2,'Quarterly Forecasts'!$B$4:$O$4,0))</f>
        <v>15.6</v>
      </c>
      <c r="K7" s="134">
        <f>INDEX('Quarterly Forecasts'!$B$4:$O$500,MATCH($B$2&amp;$B7,'Quarterly Forecasts'!$B$4:$B$500,0),MATCH(K$2,'Quarterly Forecasts'!$B$4:$O$4,0))</f>
        <v>16.8</v>
      </c>
      <c r="L7" s="134">
        <f>INDEX('Quarterly Forecasts'!$B$4:$O$500,MATCH($B$2&amp;$B7,'Quarterly Forecasts'!$B$4:$B$500,0),MATCH(L$2,'Quarterly Forecasts'!$B$4:$O$4,0))</f>
        <v>18</v>
      </c>
      <c r="M7" s="134">
        <f>INDEX('Quarterly Forecasts'!$B$4:$O$500,MATCH($B$2&amp;$B7,'Quarterly Forecasts'!$B$4:$B$500,0),MATCH(M$2,'Quarterly Forecasts'!$B$4:$O$4,0))</f>
        <v>18</v>
      </c>
    </row>
    <row r="8" spans="1:13" x14ac:dyDescent="0.25">
      <c r="E8" s="187"/>
    </row>
    <row r="9" spans="1:13" x14ac:dyDescent="0.25">
      <c r="B9" s="31" t="s">
        <v>671</v>
      </c>
      <c r="C9" s="31"/>
      <c r="D9" s="115"/>
      <c r="E9" s="67"/>
      <c r="F9" s="67"/>
      <c r="G9" s="67"/>
      <c r="H9" s="67"/>
      <c r="I9" s="67"/>
      <c r="J9" s="67"/>
      <c r="K9" s="67"/>
      <c r="L9" s="67"/>
      <c r="M9" s="67"/>
    </row>
    <row r="10" spans="1:13" x14ac:dyDescent="0.25">
      <c r="B10" s="64" t="s">
        <v>523</v>
      </c>
      <c r="C10" s="64"/>
      <c r="D10" s="111"/>
      <c r="E10" s="103"/>
      <c r="F10" s="99"/>
      <c r="G10" s="99"/>
      <c r="H10" s="99"/>
      <c r="I10" s="99"/>
      <c r="J10" s="99"/>
      <c r="K10" s="99"/>
      <c r="L10" s="99"/>
      <c r="M10" s="99"/>
    </row>
    <row r="11" spans="1:13" x14ac:dyDescent="0.25">
      <c r="A11" s="2" t="str">
        <f>B9&amp;B10&amp;B11</f>
        <v>Cimarex EnergyRealized pricesOil</v>
      </c>
      <c r="B11" s="70" t="s">
        <v>396</v>
      </c>
      <c r="C11" s="132" t="s">
        <v>542</v>
      </c>
      <c r="D11" s="108"/>
      <c r="E11" s="89">
        <v>52.77</v>
      </c>
      <c r="F11" s="134">
        <f>F4*($E11/$E4)</f>
        <v>41.668219083683503</v>
      </c>
      <c r="G11" s="134">
        <f>G4*($E11/$E4)</f>
        <v>16.398809602424429</v>
      </c>
      <c r="H11" s="134">
        <f t="shared" ref="G11:M14" si="2">H4*($E11/$E4)</f>
        <v>18.038690562666872</v>
      </c>
      <c r="I11" s="134">
        <f t="shared" si="2"/>
        <v>19.678571522909316</v>
      </c>
      <c r="J11" s="134">
        <f t="shared" si="2"/>
        <v>21.318452483151759</v>
      </c>
      <c r="K11" s="134">
        <f t="shared" si="2"/>
        <v>22.958333443394199</v>
      </c>
      <c r="L11" s="134">
        <f t="shared" si="2"/>
        <v>24.598214403636643</v>
      </c>
      <c r="M11" s="134">
        <f t="shared" si="2"/>
        <v>24.598214403636643</v>
      </c>
    </row>
    <row r="12" spans="1:13" x14ac:dyDescent="0.25">
      <c r="A12" s="2" t="str">
        <f>B9&amp;B10&amp;B12</f>
        <v>Cimarex EnergyRealized pricesGas</v>
      </c>
      <c r="B12" s="70" t="s">
        <v>26</v>
      </c>
      <c r="C12" s="132" t="s">
        <v>542</v>
      </c>
      <c r="D12" s="108"/>
      <c r="E12" s="89">
        <f>1.11*6</f>
        <v>6.66</v>
      </c>
      <c r="F12" s="134">
        <f>F5*($E12/$E5)</f>
        <v>4.9228048959104429</v>
      </c>
      <c r="G12" s="134">
        <f t="shared" si="2"/>
        <v>5.6571469287741625</v>
      </c>
      <c r="H12" s="134">
        <f t="shared" si="2"/>
        <v>5.7536384832494791</v>
      </c>
      <c r="I12" s="134">
        <f t="shared" si="2"/>
        <v>5.8501300377247967</v>
      </c>
      <c r="J12" s="134">
        <f t="shared" si="2"/>
        <v>5.9466215922001124</v>
      </c>
      <c r="K12" s="134">
        <f t="shared" si="2"/>
        <v>6.0431131466754291</v>
      </c>
      <c r="L12" s="134">
        <f t="shared" si="2"/>
        <v>6.1396047011507457</v>
      </c>
      <c r="M12" s="134">
        <f t="shared" si="2"/>
        <v>6.1396047011507457</v>
      </c>
    </row>
    <row r="13" spans="1:13" x14ac:dyDescent="0.25">
      <c r="A13" s="2" t="str">
        <f>B9&amp;B10&amp;B13</f>
        <v>Cimarex EnergyRealized pricesNGL</v>
      </c>
      <c r="B13" s="70" t="s">
        <v>25</v>
      </c>
      <c r="C13" s="132" t="s">
        <v>542</v>
      </c>
      <c r="D13" s="108"/>
      <c r="E13" s="89">
        <v>13.55</v>
      </c>
      <c r="F13" s="134">
        <f>F6*($E13/$E6)</f>
        <v>11.347045386086593</v>
      </c>
      <c r="G13" s="134">
        <f t="shared" si="2"/>
        <v>5.5541448836668978</v>
      </c>
      <c r="H13" s="134">
        <f t="shared" si="2"/>
        <v>6.128142927926203</v>
      </c>
      <c r="I13" s="134">
        <f t="shared" si="2"/>
        <v>6.7021409721855072</v>
      </c>
      <c r="J13" s="134">
        <f t="shared" si="2"/>
        <v>7.2761390164448114</v>
      </c>
      <c r="K13" s="134">
        <f t="shared" si="2"/>
        <v>7.8501370607041157</v>
      </c>
      <c r="L13" s="134">
        <f t="shared" si="2"/>
        <v>8.4241351049634208</v>
      </c>
      <c r="M13" s="134">
        <f t="shared" si="2"/>
        <v>8.4241351049634208</v>
      </c>
    </row>
    <row r="14" spans="1:13" x14ac:dyDescent="0.25">
      <c r="A14" s="2" t="str">
        <f>B9&amp;B10&amp;B14</f>
        <v>Cimarex EnergyRealized pricesCondensate</v>
      </c>
      <c r="B14" s="70" t="s">
        <v>24</v>
      </c>
      <c r="C14" s="132" t="s">
        <v>543</v>
      </c>
      <c r="D14" s="108"/>
      <c r="E14" s="89">
        <f>E11*0.6</f>
        <v>31.661999999999999</v>
      </c>
      <c r="F14" s="134">
        <f>F7*($E14/$E7)</f>
        <v>25.0009314502101</v>
      </c>
      <c r="G14" s="134">
        <f t="shared" si="2"/>
        <v>9.8392857614546578</v>
      </c>
      <c r="H14" s="134">
        <f t="shared" si="2"/>
        <v>10.823214337600122</v>
      </c>
      <c r="I14" s="134">
        <f t="shared" si="2"/>
        <v>11.807142913745588</v>
      </c>
      <c r="J14" s="134">
        <f t="shared" si="2"/>
        <v>12.791071489891054</v>
      </c>
      <c r="K14" s="134">
        <f t="shared" si="2"/>
        <v>13.775000066036521</v>
      </c>
      <c r="L14" s="134">
        <f t="shared" si="2"/>
        <v>14.758928642181987</v>
      </c>
      <c r="M14" s="134">
        <f t="shared" si="2"/>
        <v>14.758928642181987</v>
      </c>
    </row>
    <row r="15" spans="1:13" x14ac:dyDescent="0.25">
      <c r="A15" s="2" t="str">
        <f>B9&amp;B10&amp;B15</f>
        <v>Cimarex EnergyRealized pricesAverage realized price</v>
      </c>
      <c r="B15" s="97" t="s">
        <v>527</v>
      </c>
      <c r="C15" s="137" t="s">
        <v>541</v>
      </c>
      <c r="D15" s="114"/>
      <c r="E15" s="89">
        <f>E29/E24</f>
        <v>22.77846404831239</v>
      </c>
      <c r="F15" s="12">
        <f>F29/F24</f>
        <v>19.128535592901557</v>
      </c>
      <c r="G15" s="12">
        <f t="shared" ref="G15:M15" si="3">G29/G24</f>
        <v>9.3283006367884518</v>
      </c>
      <c r="H15" s="12">
        <f t="shared" si="3"/>
        <v>10.077759436747497</v>
      </c>
      <c r="I15" s="12">
        <f t="shared" si="3"/>
        <v>10.827218236706544</v>
      </c>
      <c r="J15" s="12">
        <f t="shared" si="3"/>
        <v>11.705080918064711</v>
      </c>
      <c r="K15" s="12">
        <f t="shared" si="3"/>
        <v>12.466587042818656</v>
      </c>
      <c r="L15" s="12">
        <f t="shared" si="3"/>
        <v>13.228093167572601</v>
      </c>
      <c r="M15" s="12">
        <f t="shared" si="3"/>
        <v>13.228093167572601</v>
      </c>
    </row>
    <row r="16" spans="1:13" x14ac:dyDescent="0.25">
      <c r="B16" s="31"/>
      <c r="C16" s="31"/>
      <c r="D16" s="115"/>
      <c r="E16" s="100"/>
      <c r="F16" s="100"/>
      <c r="G16" s="100"/>
      <c r="H16" s="100"/>
      <c r="I16" s="100"/>
      <c r="J16" s="100"/>
      <c r="K16" s="100"/>
      <c r="L16" s="100"/>
      <c r="M16" s="100"/>
    </row>
    <row r="17" spans="1:13" x14ac:dyDescent="0.25">
      <c r="A17" s="2" t="str">
        <f>B9&amp;B17</f>
        <v>Cimarex EnergyNetback price, BOE</v>
      </c>
      <c r="B17" s="91" t="s">
        <v>503</v>
      </c>
      <c r="C17" s="53" t="s">
        <v>535</v>
      </c>
      <c r="D17" s="122"/>
      <c r="E17" s="89">
        <f>E15-(E43/E24)-(E36/E24)-(E37/E24)-(E38/E24)</f>
        <v>15.315483896574968</v>
      </c>
      <c r="F17" s="89">
        <f>F15-(F43/F24)-(F36/F24)-(F37/F24)-(F38/F24)</f>
        <v>11.83318429321614</v>
      </c>
      <c r="G17" s="89">
        <f t="shared" ref="G17:M17" si="4">G15-(G43/G24)-(G36/G24)-(G37/G24)-(G38/G24)</f>
        <v>2.4455803402073641</v>
      </c>
      <c r="H17" s="89">
        <f t="shared" si="4"/>
        <v>3.168261081656639</v>
      </c>
      <c r="I17" s="89">
        <f t="shared" si="4"/>
        <v>3.8909418231059139</v>
      </c>
      <c r="J17" s="89">
        <f t="shared" si="4"/>
        <v>4.7178256838100667</v>
      </c>
      <c r="K17" s="89">
        <f t="shared" si="4"/>
        <v>5.4525537500542427</v>
      </c>
      <c r="L17" s="89">
        <f t="shared" si="4"/>
        <v>6.1872818162984142</v>
      </c>
      <c r="M17" s="89">
        <f t="shared" si="4"/>
        <v>6.1872818162984142</v>
      </c>
    </row>
    <row r="18" spans="1:13" x14ac:dyDescent="0.25">
      <c r="B18" s="31"/>
      <c r="C18" s="31"/>
      <c r="D18" s="115"/>
      <c r="E18" s="100"/>
      <c r="F18" s="100"/>
      <c r="G18" s="100"/>
      <c r="H18" s="100"/>
      <c r="I18" s="100"/>
      <c r="J18" s="100"/>
      <c r="K18" s="100"/>
      <c r="L18" s="100"/>
      <c r="M18" s="100"/>
    </row>
    <row r="19" spans="1:13" x14ac:dyDescent="0.25">
      <c r="B19" s="64" t="s">
        <v>532</v>
      </c>
      <c r="C19" s="64"/>
      <c r="D19" s="111"/>
      <c r="E19" s="103"/>
      <c r="F19" s="99"/>
      <c r="G19" s="99"/>
      <c r="H19" s="99"/>
      <c r="I19" s="99"/>
      <c r="J19" s="99"/>
      <c r="K19" s="99"/>
      <c r="L19" s="99"/>
      <c r="M19" s="99"/>
    </row>
    <row r="20" spans="1:13" x14ac:dyDescent="0.25">
      <c r="A20" s="2" t="str">
        <f>B9&amp;B19&amp;B20</f>
        <v>Cimarex EnergyProduction, BOE/QOil</v>
      </c>
      <c r="B20" s="70" t="s">
        <v>396</v>
      </c>
      <c r="C20" s="73" t="s">
        <v>564</v>
      </c>
      <c r="D20" s="108"/>
      <c r="E20" s="105">
        <f>IF($B$2="A3",SUMIFS('$33'!$H$9:$H$2139,'$33'!$A$9:$A$2139,$B$9,'$33'!$G$9:$G$2139,$B20)*365/4, SUMIFS('$22'!$H$9:$H$2140,'$22'!$A$9:$A$2140,Cimarex!$B$9,'$22'!$G$9:$G$2140, $B20)*365/4)</f>
        <v>8054.7492534826251</v>
      </c>
      <c r="F20" s="66">
        <f>IF($B$2="A3",(SUMIFS('$33'!$I$9:$I$2139,'$33'!$A$9:$A$2139,$B$9,'$33'!$G$9:$G$2139, $B20)*365/4)*(1-INDEX(Assumptions!$A$2:$K$596,MATCH($B9&amp;"Oil production reduction",Assumptions!$A$2:$A$596,0),MATCH(F$2,Assumptions!$A$2:$K$2,0))),(SUMIFS('$22'!$I$10:$I$2140,'$22'!$A$10:$A$2140, $B$9,'$22'!$G$10:$G$2140, $B20)*365/4)*(1-INDEX(Assumptions!$A$2:$K$596,MATCH($B9&amp;"Oil production reduction",Assumptions!$A$2:$A$596,0),MATCH(F$2,Assumptions!$A$2:$K$2,0))))</f>
        <v>8382.0138686152513</v>
      </c>
      <c r="G20" s="66">
        <f>F20*(1-INDEX(Assumptions!$A$2:$K$596,MATCH($B9&amp;"Oil production reduction",Assumptions!$A$2:$A$596,0),MATCH(G$2,Assumptions!$A$2:$K$2,0)))</f>
        <v>8382.0138686152513</v>
      </c>
      <c r="H20" s="66">
        <f>G20*(1-INDEX(Assumptions!$A$2:$K$596,MATCH($B9&amp;"Oil production reduction",Assumptions!$A$2:$A$596,0),MATCH(H$2,Assumptions!$A$2:$K$2,0)))</f>
        <v>8382.0138686152513</v>
      </c>
      <c r="I20" s="66">
        <f>H20*(1-INDEX(Assumptions!$A$2:$K$596,MATCH($B9&amp;"Oil production reduction",Assumptions!$A$2:$A$596,0),MATCH(I$2,Assumptions!$A$2:$K$2,0)))</f>
        <v>8382.0138686152513</v>
      </c>
      <c r="J20" s="66">
        <f>IF($B$2 = "A3", SUMIFS('$33'!$J$9:$J$2139, '$33'!$A$9:$A$2139, $B$9, '$33'!$G$9:$G$2139, $B20)*365/4*(1-INDEX(Assumptions!$A$2:$K$596,MATCH($B9&amp;"Oil production reduction",Assumptions!$A$2:$A$596,0),MATCH(J$2,Assumptions!$A$2:$K$2,0))), SUMIFS('$22'!$J$10:$J$2140, '$22'!$A$10:$A$2140, $B$9, '$22'!$G$10:$G$2140, $B20)*365/4*(1-INDEX(Assumptions!$A$2:$K$596,MATCH($B9&amp;"Oil production reduction",Assumptions!$A$2:$A$596,0),MATCH(J$2,Assumptions!$A$2:$K$2,0))))</f>
        <v>8329.4995511757497</v>
      </c>
      <c r="K20" s="66">
        <f>J20*(1-INDEX(Assumptions!$A$2:$K$596,MATCH($B9&amp;"Oil production reduction",Assumptions!$A$2:$A$596,0),MATCH(K$2,Assumptions!$A$2:$K$2,0)))</f>
        <v>8329.4995511757497</v>
      </c>
      <c r="L20" s="66">
        <f>K20*(1-INDEX(Assumptions!$A$2:$K$596,MATCH($B9&amp;"Oil production reduction",Assumptions!$A$2:$A$596,0),MATCH(L$2,Assumptions!$A$2:$K$2,0)))</f>
        <v>8329.4995511757497</v>
      </c>
      <c r="M20" s="66">
        <f>L20*(1-INDEX(Assumptions!$A$2:$K$596,MATCH($B9&amp;"Oil production reduction",Assumptions!$A$2:$A$596,0),MATCH(M$2,Assumptions!$A$2:$K$2,0)))</f>
        <v>8329.4995511757497</v>
      </c>
    </row>
    <row r="21" spans="1:13" x14ac:dyDescent="0.25">
      <c r="A21" s="2" t="str">
        <f>B9&amp;B19&amp;B21</f>
        <v>Cimarex EnergyProduction, BOE/QGas</v>
      </c>
      <c r="B21" s="70" t="s">
        <v>26</v>
      </c>
      <c r="C21" s="73" t="s">
        <v>564</v>
      </c>
      <c r="D21" s="108"/>
      <c r="E21" s="105">
        <f>IF($B$2="A3",SUMIFS('$33'!$H$9:$H$2139,'$33'!$A$9:$A$2139,$B$9,'$33'!$G$9:$G$2139,$B21)*365/4, SUMIFS('$22'!$H$9:$H$2140,'$22'!$A$9:$A$2140,Cimarex!$B$9,'$22'!$G$9:$G$2140, $B21)*365/4)</f>
        <v>10631.662849212502</v>
      </c>
      <c r="F21" s="66">
        <f>IF($B$2 = "A3", (SUMIFS('$33'!$I$9:$I$2139, '$33'!$A$9:$A$2139, $B$9, '$33'!$G$9:$G$2139, $B21)*365/4)*(1-INDEX(Assumptions!$A$2:$K$596,MATCH($B9&amp;"Gas production reduction",Assumptions!$A$2:$A$596,0),MATCH(F$2,Assumptions!$A$2:$K$2,0))),  (SUMIFS('$22'!$I$10:$I$2140, '$22'!$A$10:$A$2140, $B$9, '$22'!$G$10:$G$2140, $B21)*365/4)*(1-INDEX(Assumptions!$A$2:$K$596,MATCH($B9&amp;"Gas production reduction",Assumptions!$A$2:$A$596,0),MATCH(F$2,Assumptions!$A$2:$K$2,0))))</f>
        <v>10056.5837120125</v>
      </c>
      <c r="G21" s="66">
        <f>F21*(1-INDEX(Assumptions!$A$2:$K$596,MATCH($B9&amp;"Gas production reduction",Assumptions!$A$2:$A$596,0),MATCH(G$2,Assumptions!$A$2:$K$2,0)))</f>
        <v>10056.5837120125</v>
      </c>
      <c r="H21" s="66">
        <f>G21*(1-INDEX(Assumptions!$A$2:$K$596,MATCH($B9&amp;"Gas production reduction",Assumptions!$A$2:$A$596,0),MATCH(H$2,Assumptions!$A$2:$K$2,0)))</f>
        <v>10056.5837120125</v>
      </c>
      <c r="I21" s="66">
        <f>H21*(1-INDEX(Assumptions!$A$2:$K$596,MATCH($B9&amp;"Gas production reduction",Assumptions!$A$2:$A$596,0),MATCH(I$2,Assumptions!$A$2:$K$2,0)))</f>
        <v>10056.5837120125</v>
      </c>
      <c r="J21" s="66">
        <f>IF($B$2="A3",(SUMIFS('$33'!$J$9:$J$2139,'$33'!$A$9:$A$2139, $B$9,'$33'!$G$9:$G$2139, $B21)*365/4)*(1-INDEX(Assumptions!$A$2:$K$596,MATCH($B9&amp;"Gas production reduction",Assumptions!$A$2:$A$596,0),MATCH(J$2,Assumptions!$A$2:$K$2,0))),(SUMIFS('$22'!$J$10:$J$2140,'$22'!$A$10:$A$2140, $B$9,'$22'!$G$10:$G$2140, $B21)*365/4)*(1-INDEX(Assumptions!$A$2:$K$596,MATCH($B9&amp;"Gas production reduction",Assumptions!$A$2:$A$596,0),MATCH(J$2,Assumptions!$A$2:$K$2,0))))</f>
        <v>9595.9219424125022</v>
      </c>
      <c r="K21" s="66">
        <f>J21*(1-INDEX(Assumptions!$A$2:$K$596,MATCH($B9&amp;"Gas production reduction",Assumptions!$A$2:$A$596,0),MATCH(K$2,Assumptions!$A$2:$K$2,0)))</f>
        <v>9595.9219424125022</v>
      </c>
      <c r="L21" s="66">
        <f>K21*(1-INDEX(Assumptions!$A$2:$K$596,MATCH($B9&amp;"Gas production reduction",Assumptions!$A$2:$A$596,0),MATCH(L$2,Assumptions!$A$2:$K$2,0)))</f>
        <v>9595.9219424125022</v>
      </c>
      <c r="M21" s="66">
        <f>L21*(1-INDEX(Assumptions!$A$2:$K$596,MATCH($B9&amp;"Gas production reduction",Assumptions!$A$2:$A$596,0),MATCH(M$2,Assumptions!$A$2:$K$2,0)))</f>
        <v>9595.9219424125022</v>
      </c>
    </row>
    <row r="22" spans="1:13" x14ac:dyDescent="0.25">
      <c r="A22" s="2" t="str">
        <f>B9&amp;B19&amp;B22</f>
        <v>Cimarex EnergyProduction, BOE/QNGL</v>
      </c>
      <c r="B22" s="70" t="s">
        <v>25</v>
      </c>
      <c r="C22" s="73" t="s">
        <v>564</v>
      </c>
      <c r="D22" s="108"/>
      <c r="E22" s="105">
        <f>IF($B$2="A3",SUMIFS('$33'!$H$9:$H$2139,'$33'!$A$9:$A$2139,$B$9,'$33'!$G$9:$G$2139,$B22)*365/4, SUMIFS('$22'!$H$9:$H$2140,'$22'!$A$9:$A$2140,Cimarex!$B$9,'$22'!$G$9:$G$2140, $B22)*365/4)</f>
        <v>7228.7113824350008</v>
      </c>
      <c r="F22" s="66">
        <f>IF($B$2="A3",(SUMIFS('$33'!$I$9:$I$2139,'$33'!$A$9:$A$2139,$B$9,'$33'!$G$9:$G$2139,$B22)*365/4)*(1-INDEX(Assumptions!$A$2:$K$596,MATCH($B9&amp;"NGL production reduction",Assumptions!$A$2:$A$596,0),MATCH(F$2,Assumptions!$A$2:$K$2,0))),(SUMIFS('$22'!$I$10:$I$2140,'$22'!$A$10:$A$2140, $B$9,'$22'!$G$10:$G$2140,$B22)*365/4)*(1-INDEX(Assumptions!$A$2:$K$596,MATCH($B9&amp;"NGL production reduction",Assumptions!$A$2:$A$596,0),MATCH(F$2,Assumptions!$A$2:$K$2,0))))</f>
        <v>7015.5495397325003</v>
      </c>
      <c r="G22" s="66">
        <f>F22*(1-INDEX(Assumptions!$A$2:$K$596,MATCH($B9&amp;"NGL production reduction",Assumptions!$A$2:$A$596,0),MATCH(G$2,Assumptions!$A$2:$K$2,0)))</f>
        <v>7015.5495397325003</v>
      </c>
      <c r="H22" s="66">
        <f>G22*(1-INDEX(Assumptions!$A$2:$K$596,MATCH($B9&amp;"NGL production reduction",Assumptions!$A$2:$A$596,0),MATCH(H$2,Assumptions!$A$2:$K$2,0)))</f>
        <v>7015.5495397325003</v>
      </c>
      <c r="I22" s="66">
        <f>H22*(1-INDEX(Assumptions!$A$2:$K$596,MATCH($B9&amp;"NGL production reduction",Assumptions!$A$2:$A$596,0),MATCH(I$2,Assumptions!$A$2:$K$2,0)))</f>
        <v>7015.5495397325003</v>
      </c>
      <c r="J22" s="66">
        <f>IF($B$2="A3",(SUMIFS('$33'!$J$9:$J$2139,'$33'!$A$9:$A$2139, $B$9,'$33'!$G$9:$G$2139, $B22)*365/4)*(1-INDEX(Assumptions!$A$2:$K$596,MATCH($B9&amp;"NGL production reduction",Assumptions!$A$2:$A$596,0),MATCH(J$2,Assumptions!$A$2:$K$2,0))),(SUMIFS('$22'!$J$10:$J$2140,'$22'!$A$10:$A$2140, $B$9,'$22'!$G$10:$G$2140, $B22)*365/4)*(1-INDEX(Assumptions!$A$2:$K$596,MATCH($B9&amp;"NGL production reduction",Assumptions!$A$2:$A$596,0),MATCH(J$2,Assumptions!$A$2:$K$2,0))))</f>
        <v>6738.440569562501</v>
      </c>
      <c r="K22" s="66">
        <f>J22*(1-INDEX(Assumptions!$A$2:$K$596,MATCH($B9&amp;"NGL production reduction",Assumptions!$A$2:$A$596,0),MATCH(K$2,Assumptions!$A$2:$K$2,0)))</f>
        <v>6738.440569562501</v>
      </c>
      <c r="L22" s="66">
        <f>K22*(1-INDEX(Assumptions!$A$2:$K$596,MATCH($B9&amp;"NGL production reduction",Assumptions!$A$2:$A$596,0),MATCH(L$2,Assumptions!$A$2:$K$2,0)))</f>
        <v>6738.440569562501</v>
      </c>
      <c r="M22" s="66">
        <f>L22*(1-INDEX(Assumptions!$A$2:$K$596,MATCH($B9&amp;"NGL production reduction",Assumptions!$A$2:$A$596,0),MATCH(M$2,Assumptions!$A$2:$K$2,0)))</f>
        <v>6738.440569562501</v>
      </c>
    </row>
    <row r="23" spans="1:13" x14ac:dyDescent="0.25">
      <c r="A23" s="2" t="str">
        <f>B9&amp;B19&amp;B23</f>
        <v>Cimarex EnergyProduction, BOE/QCondensate</v>
      </c>
      <c r="B23" s="70" t="s">
        <v>24</v>
      </c>
      <c r="C23" s="73" t="s">
        <v>564</v>
      </c>
      <c r="D23" s="108"/>
      <c r="E23" s="105">
        <f>IF($B$2="A3",SUMIFS('$33'!$H$9:$H$2139,'$33'!$A$9:$A$2139,$B$9,'$33'!$G$9:$G$2139,$B23)*365/4, SUMIFS('$22'!$H$9:$H$2140,'$22'!$A$9:$A$2140,Cimarex!$B$9,'$22'!$G$9:$G$2140, $B23)*365/4)</f>
        <v>19.120753070250004</v>
      </c>
      <c r="F23" s="66">
        <f>IF($B$2="A3",(SUMIFS('$33'!$I$9:$I$2139,'$33'!$A$9:$A$2139, $B$9,'$33'!$G$9:$G$2139, $B23)*365/4)*(1-INDEX(Assumptions!$A$2:$K$596,MATCH($B9&amp;"Condensate production reduction",Assumptions!$A$2:$A$596,0),MATCH(F$2,Assumptions!$A$2:$K$2,0))),(SUMIFS('$22'!$I$10:$I$2140,'$22'!$A$10:$A$2140, $B$9,'$22'!$G$10:$G$2140, $B23)*365/4)*(1-INDEX(Assumptions!$A$2:$K$596,MATCH($B9&amp;"Condensate production reduction", Assumptions!$A$2:$A$596,0),MATCH(F$2,Assumptions!$A$2:$K$2,0))))</f>
        <v>10.714874208749999</v>
      </c>
      <c r="G23" s="66">
        <f>F23*(1-INDEX(Assumptions!$A$2:$K$596,MATCH($B9&amp;"Condensate production reduction",Assumptions!$A$2:$A$596,0),MATCH(G$2,Assumptions!$A$2:$K$2,0)))</f>
        <v>10.714874208749999</v>
      </c>
      <c r="H23" s="66">
        <f>G23*(1-INDEX(Assumptions!$A$2:$K$596,MATCH($B9&amp;"Condensate production reduction",Assumptions!$A$2:$A$596,0),MATCH(H$2,Assumptions!$A$2:$K$2,0)))</f>
        <v>10.714874208749999</v>
      </c>
      <c r="I23" s="66">
        <f>H23*(1-INDEX(Assumptions!$A$2:$K$596,MATCH($B9&amp;"Condensate production reduction",Assumptions!$A$2:$A$596,0),MATCH(I$2,Assumptions!$A$2:$K$2,0)))</f>
        <v>10.714874208749999</v>
      </c>
      <c r="J23" s="66">
        <f>IF($B$2="A3",(SUMIFS('$33'!$J$9:$J$2139,'$33'!$A$9:$A$2139, $B$9,'$33'!$G$9:$G$2139, $B23)*365/4)*(1-INDEX(Assumptions!$A$2:$K$596,MATCH($B9&amp;"Condensate production reduction",Assumptions!$A$2:$A$596,0),MATCH(J$2,Assumptions!$A$2:$K$2,0))),(SUMIFS('$22'!$J$10:$J$2140,'$22'!$A$10:$A$2140,$B$9,'$22'!$G$10:$G$2140, $B23)*365/4)*(1-INDEX(Assumptions!$A$2:$K$596,MATCH($B9&amp;"Condensate production reduction",Assumptions!$A$2:$A$596,0),MATCH(J$2,Assumptions!$A$2:$K$2,0))))</f>
        <v>9.5636744104999991</v>
      </c>
      <c r="K23" s="66">
        <f>J23*(1-INDEX(Assumptions!$A$2:$K$596,MATCH($B9&amp;"Condensate production reduction",Assumptions!$A$2:$A$596,0),MATCH(K$2,Assumptions!$A$2:$K$2,0)))</f>
        <v>9.5636744104999991</v>
      </c>
      <c r="L23" s="66">
        <f>K23*(1-INDEX(Assumptions!$A$2:$K$596,MATCH($B9&amp;"Condensate production reduction",Assumptions!$A$2:$A$596,0),MATCH(L$2,Assumptions!$A$2:$K$2,0)))</f>
        <v>9.5636744104999991</v>
      </c>
      <c r="M23" s="66">
        <f>L23*(1-INDEX(Assumptions!$A$2:$K$596,MATCH($B9&amp;"Condensate production reduction",Assumptions!$A$2:$A$596,0),MATCH(M$2,Assumptions!$A$2:$K$2,0)))</f>
        <v>9.5636744104999991</v>
      </c>
    </row>
    <row r="24" spans="1:13" x14ac:dyDescent="0.25">
      <c r="A24" s="2" t="str">
        <f>B9&amp;B19&amp;B24</f>
        <v>Cimarex EnergyProduction, BOE/QTotal production</v>
      </c>
      <c r="B24" s="97" t="s">
        <v>397</v>
      </c>
      <c r="C24" s="77"/>
      <c r="D24" s="114"/>
      <c r="E24" s="120">
        <f>SUM(E20:E23)</f>
        <v>25934.244238200376</v>
      </c>
      <c r="F24" s="121">
        <f>SUM(F20:F23)</f>
        <v>25464.861994568997</v>
      </c>
      <c r="G24" s="121">
        <f t="shared" ref="G24:M24" si="5">SUM(G20:G23)</f>
        <v>25464.861994568997</v>
      </c>
      <c r="H24" s="121">
        <f t="shared" si="5"/>
        <v>25464.861994568997</v>
      </c>
      <c r="I24" s="121">
        <f t="shared" si="5"/>
        <v>25464.861994568997</v>
      </c>
      <c r="J24" s="121">
        <f t="shared" si="5"/>
        <v>24673.425737561251</v>
      </c>
      <c r="K24" s="121">
        <f t="shared" si="5"/>
        <v>24673.425737561251</v>
      </c>
      <c r="L24" s="121">
        <f t="shared" si="5"/>
        <v>24673.425737561251</v>
      </c>
      <c r="M24" s="121">
        <f t="shared" si="5"/>
        <v>24673.425737561251</v>
      </c>
    </row>
    <row r="25" spans="1:13" x14ac:dyDescent="0.25">
      <c r="B25" s="31"/>
      <c r="C25" s="31"/>
      <c r="D25" s="115"/>
      <c r="E25" s="67"/>
      <c r="F25" s="67"/>
      <c r="G25" s="67"/>
      <c r="H25" s="67"/>
      <c r="I25" s="203"/>
      <c r="J25" s="203"/>
      <c r="K25" s="203"/>
      <c r="L25" s="203"/>
      <c r="M25" s="203"/>
    </row>
    <row r="26" spans="1:13" x14ac:dyDescent="0.25">
      <c r="A26" s="2" t="str">
        <f>B9&amp;B26</f>
        <v>Cimarex EnergyRevenues</v>
      </c>
      <c r="B26" s="64" t="s">
        <v>472</v>
      </c>
      <c r="C26" s="64"/>
      <c r="D26" s="111"/>
      <c r="E26" s="53"/>
      <c r="F26" s="202">
        <f>F29/SUM($F$29:$I$29)</f>
        <v>0.38751686942531877</v>
      </c>
      <c r="G26" s="202">
        <f t="shared" ref="G26:I26" si="6">G29/SUM($F$29:$I$29)</f>
        <v>0.18897807635457045</v>
      </c>
      <c r="H26" s="202">
        <f t="shared" si="6"/>
        <v>0.20416104352489378</v>
      </c>
      <c r="I26" s="202">
        <f t="shared" si="6"/>
        <v>0.21934401069521711</v>
      </c>
      <c r="J26" s="202">
        <f>J29/SUM($J$29:$M$29)</f>
        <v>0.23119843968941223</v>
      </c>
      <c r="K26" s="202">
        <f t="shared" ref="K26:M26" si="7">K29/SUM($J$29:$M$29)</f>
        <v>0.24623968793788245</v>
      </c>
      <c r="L26" s="202">
        <f t="shared" si="7"/>
        <v>0.26128093618635267</v>
      </c>
      <c r="M26" s="202">
        <f t="shared" si="7"/>
        <v>0.26128093618635267</v>
      </c>
    </row>
    <row r="27" spans="1:13" x14ac:dyDescent="0.25">
      <c r="A27" s="2" t="str">
        <f>B9&amp;B27</f>
        <v>Cimarex EnergySales Revenue</v>
      </c>
      <c r="B27" s="70" t="s">
        <v>461</v>
      </c>
      <c r="C27" s="82" t="s">
        <v>536</v>
      </c>
      <c r="D27" s="108"/>
      <c r="E27" s="83">
        <f>2321921/4</f>
        <v>580480.25</v>
      </c>
      <c r="F27" s="50">
        <f>SUMPRODUCT(F11:F14,F20:F23)</f>
        <v>478643.8306448363</v>
      </c>
      <c r="G27" s="50">
        <f>SUMPRODUCT(G11:G14,G20:G23)</f>
        <v>233417.42646812918</v>
      </c>
      <c r="H27" s="50">
        <f t="shared" ref="H27:M27" si="8">SUMPRODUCT(H11:H14,H20:H23)</f>
        <v>252170.76120097717</v>
      </c>
      <c r="I27" s="50">
        <f t="shared" si="8"/>
        <v>270924.09593382519</v>
      </c>
      <c r="J27" s="50">
        <f t="shared" si="8"/>
        <v>283787.51699127018</v>
      </c>
      <c r="K27" s="50">
        <f t="shared" si="8"/>
        <v>302250.09181927034</v>
      </c>
      <c r="L27" s="50">
        <f t="shared" si="8"/>
        <v>320712.6666472705</v>
      </c>
      <c r="M27" s="50">
        <f t="shared" si="8"/>
        <v>320712.6666472705</v>
      </c>
    </row>
    <row r="28" spans="1:13" x14ac:dyDescent="0.25">
      <c r="A28" s="2" t="str">
        <f>B9&amp;B28</f>
        <v>Cimarex EnergyOther Revenue</v>
      </c>
      <c r="B28" s="70" t="s">
        <v>462</v>
      </c>
      <c r="C28" s="82" t="s">
        <v>533</v>
      </c>
      <c r="D28" s="204">
        <f>$E28/$E27</f>
        <v>1.7678465374144942E-2</v>
      </c>
      <c r="E28" s="83">
        <f>41048/4</f>
        <v>10262</v>
      </c>
      <c r="F28" s="50">
        <f>F27*$D28</f>
        <v>8461.6883866028347</v>
      </c>
      <c r="G28" s="50">
        <f>G27*$D28</f>
        <v>4126.4618915388446</v>
      </c>
      <c r="H28" s="50">
        <f t="shared" ref="H28:L28" si="9">H27*$D28</f>
        <v>4457.9920702632471</v>
      </c>
      <c r="I28" s="50">
        <f t="shared" si="9"/>
        <v>4789.5222489876505</v>
      </c>
      <c r="J28" s="50">
        <f t="shared" si="9"/>
        <v>5016.9277927447392</v>
      </c>
      <c r="K28" s="50">
        <f t="shared" si="9"/>
        <v>5343.3177825591001</v>
      </c>
      <c r="L28" s="50">
        <f t="shared" si="9"/>
        <v>5669.707772373461</v>
      </c>
      <c r="M28" s="50">
        <f>M27*$D28</f>
        <v>5669.707772373461</v>
      </c>
    </row>
    <row r="29" spans="1:13" x14ac:dyDescent="0.25">
      <c r="A29" s="2" t="str">
        <f>B9&amp;B29</f>
        <v>Cimarex EnergyTotal Revenue</v>
      </c>
      <c r="B29" s="84" t="s">
        <v>395</v>
      </c>
      <c r="C29" s="85"/>
      <c r="D29" s="63">
        <f>SUMPRODUCT(E11:E14,E20:E23)</f>
        <v>594410.4331977379</v>
      </c>
      <c r="E29" s="63">
        <f>SUM(E27:E28)</f>
        <v>590742.25</v>
      </c>
      <c r="F29" s="62">
        <f t="shared" ref="F29:M29" si="10">SUM(F27:F28)</f>
        <v>487105.51903143915</v>
      </c>
      <c r="G29" s="62">
        <f t="shared" si="10"/>
        <v>237543.88835966802</v>
      </c>
      <c r="H29" s="62">
        <f t="shared" si="10"/>
        <v>256628.75327124042</v>
      </c>
      <c r="I29" s="62">
        <f t="shared" si="10"/>
        <v>275713.61818281282</v>
      </c>
      <c r="J29" s="62">
        <f t="shared" si="10"/>
        <v>288804.44478401489</v>
      </c>
      <c r="K29" s="62">
        <f t="shared" si="10"/>
        <v>307593.40960182942</v>
      </c>
      <c r="L29" s="62">
        <f t="shared" si="10"/>
        <v>326382.37441964395</v>
      </c>
      <c r="M29" s="62">
        <f t="shared" si="10"/>
        <v>326382.37441964395</v>
      </c>
    </row>
    <row r="30" spans="1:13" x14ac:dyDescent="0.25">
      <c r="A30" s="2" t="str">
        <f>B9&amp;B30</f>
        <v>Cimarex EnergyCosts and Expenses</v>
      </c>
      <c r="B30" s="72" t="s">
        <v>473</v>
      </c>
      <c r="C30" s="72"/>
      <c r="D30" s="112">
        <f>E30/E24</f>
        <v>1.7047344659027504</v>
      </c>
      <c r="E30" s="83">
        <f>SUM(E33+E35+E39+E40)</f>
        <v>44211</v>
      </c>
      <c r="F30" s="199">
        <f>D30*F24</f>
        <v>43410.827911598826</v>
      </c>
      <c r="G30" s="50"/>
      <c r="H30" s="50"/>
      <c r="I30" s="50"/>
      <c r="J30" s="50"/>
      <c r="K30" s="50"/>
      <c r="L30" s="50"/>
      <c r="M30" s="50"/>
    </row>
    <row r="31" spans="1:13" x14ac:dyDescent="0.25">
      <c r="A31" s="2" t="str">
        <f>B9&amp;B31</f>
        <v>Cimarex EnergyImpairment</v>
      </c>
      <c r="B31" s="70" t="s">
        <v>463</v>
      </c>
      <c r="C31" s="82" t="s">
        <v>537</v>
      </c>
      <c r="D31" s="108"/>
      <c r="E31" s="83">
        <f>618693/4</f>
        <v>154673.25</v>
      </c>
      <c r="F31" s="207">
        <f>E31</f>
        <v>154673.25</v>
      </c>
      <c r="G31" s="207">
        <f t="shared" ref="G31:M31" si="11">F31</f>
        <v>154673.25</v>
      </c>
      <c r="H31" s="207">
        <f t="shared" si="11"/>
        <v>154673.25</v>
      </c>
      <c r="I31" s="207">
        <f t="shared" si="11"/>
        <v>154673.25</v>
      </c>
      <c r="J31" s="207">
        <f t="shared" si="11"/>
        <v>154673.25</v>
      </c>
      <c r="K31" s="207">
        <f t="shared" si="11"/>
        <v>154673.25</v>
      </c>
      <c r="L31" s="207">
        <f t="shared" si="11"/>
        <v>154673.25</v>
      </c>
      <c r="M31" s="207">
        <f t="shared" si="11"/>
        <v>154673.25</v>
      </c>
    </row>
    <row r="32" spans="1:13" x14ac:dyDescent="0.25">
      <c r="A32" s="2" t="str">
        <f>B9&amp;B32</f>
        <v>Cimarex EnergyDD&amp;A</v>
      </c>
      <c r="B32" s="70" t="s">
        <v>464</v>
      </c>
      <c r="C32" s="106" t="s">
        <v>545</v>
      </c>
      <c r="D32" s="108">
        <f>E32/E24</f>
        <v>8.5039397321301653</v>
      </c>
      <c r="E32" s="83">
        <f>882173/4</f>
        <v>220543.25</v>
      </c>
      <c r="F32" s="205">
        <f>$D32*F24</f>
        <v>216551.65168882671</v>
      </c>
      <c r="G32" s="205">
        <f t="shared" ref="G32:M32" si="12">$D32*G24</f>
        <v>216551.65168882671</v>
      </c>
      <c r="H32" s="205">
        <f t="shared" si="12"/>
        <v>216551.65168882671</v>
      </c>
      <c r="I32" s="205">
        <f t="shared" si="12"/>
        <v>216551.65168882671</v>
      </c>
      <c r="J32" s="205">
        <f t="shared" si="12"/>
        <v>209821.32545741016</v>
      </c>
      <c r="K32" s="205">
        <f t="shared" si="12"/>
        <v>209821.32545741016</v>
      </c>
      <c r="L32" s="205">
        <f t="shared" si="12"/>
        <v>209821.32545741016</v>
      </c>
      <c r="M32" s="205">
        <f t="shared" si="12"/>
        <v>209821.32545741016</v>
      </c>
    </row>
    <row r="33" spans="1:14" x14ac:dyDescent="0.25">
      <c r="A33" s="2" t="str">
        <f>B9&amp;B33</f>
        <v>Cimarex EnergyAsset retirement obligation</v>
      </c>
      <c r="B33" s="70" t="s">
        <v>465</v>
      </c>
      <c r="C33" s="106" t="s">
        <v>545</v>
      </c>
      <c r="D33" s="108">
        <f>E33/E24</f>
        <v>8.2767015698813728E-2</v>
      </c>
      <c r="E33" s="83">
        <f>8586/4</f>
        <v>2146.5</v>
      </c>
      <c r="F33" s="205">
        <f>$D33*F24</f>
        <v>2107.6506324726174</v>
      </c>
      <c r="G33" s="205">
        <f>$D33*G24</f>
        <v>2107.6506324726174</v>
      </c>
      <c r="H33" s="205">
        <f t="shared" ref="H33:M33" si="13">$D33*H24</f>
        <v>2107.6506324726174</v>
      </c>
      <c r="I33" s="205">
        <f t="shared" si="13"/>
        <v>2107.6506324726174</v>
      </c>
      <c r="J33" s="205">
        <f t="shared" si="13"/>
        <v>2042.1458153642468</v>
      </c>
      <c r="K33" s="205">
        <f t="shared" si="13"/>
        <v>2042.1458153642468</v>
      </c>
      <c r="L33" s="205">
        <f t="shared" si="13"/>
        <v>2042.1458153642468</v>
      </c>
      <c r="M33" s="205">
        <f t="shared" si="13"/>
        <v>2042.1458153642468</v>
      </c>
    </row>
    <row r="34" spans="1:14" x14ac:dyDescent="0.25">
      <c r="A34" s="2" t="str">
        <f>B9&amp;B34</f>
        <v>Cimarex EnergyNon-cash compensation</v>
      </c>
      <c r="B34" s="70" t="s">
        <v>505</v>
      </c>
      <c r="C34" s="106" t="s">
        <v>878</v>
      </c>
      <c r="D34" s="108">
        <f>E34/E24</f>
        <v>0.25447049620513451</v>
      </c>
      <c r="E34" s="83">
        <f>26398/4</f>
        <v>6599.5</v>
      </c>
      <c r="F34" s="207">
        <f>$E34*((F$4*0.0266+11.643)*F$24)/(($E$4*0.0266+11.643)*$E$24)</f>
        <v>6305.3012899779642</v>
      </c>
      <c r="G34" s="207">
        <f t="shared" ref="G34:M34" si="14">$E34*((G$4*0.0266+11.643)*G$24)/(($E$4*0.0266+11.643)*$E$24)</f>
        <v>5907.5317729389526</v>
      </c>
      <c r="H34" s="207">
        <f t="shared" si="14"/>
        <v>5933.3453820001723</v>
      </c>
      <c r="I34" s="207">
        <f t="shared" si="14"/>
        <v>5959.158991061393</v>
      </c>
      <c r="J34" s="207">
        <f t="shared" si="14"/>
        <v>5798.9623906840061</v>
      </c>
      <c r="K34" s="207">
        <f t="shared" si="14"/>
        <v>5823.9737245889892</v>
      </c>
      <c r="L34" s="207">
        <f t="shared" si="14"/>
        <v>5848.9850584939704</v>
      </c>
      <c r="M34" s="207">
        <f t="shared" si="14"/>
        <v>5848.9850584939704</v>
      </c>
    </row>
    <row r="35" spans="1:14" x14ac:dyDescent="0.25">
      <c r="A35" s="2" t="str">
        <f>B9&amp;B35</f>
        <v>Cimarex EnergyTaxes other than income</v>
      </c>
      <c r="B35" s="70" t="s">
        <v>467</v>
      </c>
      <c r="C35" s="106" t="s">
        <v>545</v>
      </c>
      <c r="D35" s="108">
        <f>E35/E24</f>
        <v>1.4358718016987424</v>
      </c>
      <c r="E35" s="83">
        <f>148953/4</f>
        <v>37238.25</v>
      </c>
      <c r="F35" s="207">
        <f>$D35*F24</f>
        <v>36564.277272151616</v>
      </c>
      <c r="G35" s="207">
        <f t="shared" ref="G35:M35" si="15">$D35*G24</f>
        <v>36564.277272151616</v>
      </c>
      <c r="H35" s="207">
        <f t="shared" si="15"/>
        <v>36564.277272151616</v>
      </c>
      <c r="I35" s="207">
        <f t="shared" si="15"/>
        <v>36564.277272151616</v>
      </c>
      <c r="J35" s="207">
        <f t="shared" si="15"/>
        <v>35427.876267872198</v>
      </c>
      <c r="K35" s="207">
        <f t="shared" si="15"/>
        <v>35427.876267872198</v>
      </c>
      <c r="L35" s="207">
        <f t="shared" si="15"/>
        <v>35427.876267872198</v>
      </c>
      <c r="M35" s="207">
        <f t="shared" si="15"/>
        <v>35427.876267872198</v>
      </c>
    </row>
    <row r="36" spans="1:14" x14ac:dyDescent="0.25">
      <c r="A36" s="2" t="str">
        <f>B9&amp;B36</f>
        <v>Cimarex EnergyLease operating expenses</v>
      </c>
      <c r="B36" s="70" t="s">
        <v>468</v>
      </c>
      <c r="C36" s="106" t="s">
        <v>878</v>
      </c>
      <c r="D36" s="108">
        <f>E36/E24</f>
        <v>3.276951092903615</v>
      </c>
      <c r="E36" s="83">
        <f>339941/4</f>
        <v>84985.25</v>
      </c>
      <c r="F36" s="207">
        <f>$E36*((F$4*0.0266+11.643)*F$24)/(($E$4*0.0266+11.643)*$E$24)</f>
        <v>81196.697697416428</v>
      </c>
      <c r="G36" s="207">
        <f t="shared" ref="G36:M38" si="16">$E36*((G$4*0.0266+11.643)*G$24)/(($E$4*0.0266+11.643)*$E$24)</f>
        <v>76074.409365279207</v>
      </c>
      <c r="H36" s="207">
        <f t="shared" si="16"/>
        <v>76406.824854251099</v>
      </c>
      <c r="I36" s="207">
        <f t="shared" si="16"/>
        <v>76739.240343223006</v>
      </c>
      <c r="J36" s="207">
        <f t="shared" si="16"/>
        <v>74676.304040136078</v>
      </c>
      <c r="K36" s="207">
        <f t="shared" si="16"/>
        <v>74998.38820783791</v>
      </c>
      <c r="L36" s="207">
        <f t="shared" si="16"/>
        <v>75320.472375539772</v>
      </c>
      <c r="M36" s="207">
        <f t="shared" si="16"/>
        <v>75320.472375539772</v>
      </c>
    </row>
    <row r="37" spans="1:14" x14ac:dyDescent="0.25">
      <c r="A37" s="2" t="str">
        <f>B9&amp;B37</f>
        <v>Cimarex EnergyTransportation, Processing, and Other Operating</v>
      </c>
      <c r="B37" s="70" t="s">
        <v>469</v>
      </c>
      <c r="C37" s="106" t="s">
        <v>878</v>
      </c>
      <c r="D37" s="108">
        <f>E37/E24</f>
        <v>2.5213092542594722</v>
      </c>
      <c r="E37" s="83">
        <f>(238259+23294)/4</f>
        <v>65388.25</v>
      </c>
      <c r="F37" s="207">
        <f>$E37*((F$4*0.0266+11.643)*F$24)/(($E$4*0.0266+11.643)*$E$24)</f>
        <v>62473.311171210182</v>
      </c>
      <c r="G37" s="207">
        <f t="shared" si="16"/>
        <v>58532.186446227053</v>
      </c>
      <c r="H37" s="207">
        <f t="shared" si="16"/>
        <v>58787.9492650311</v>
      </c>
      <c r="I37" s="207">
        <f t="shared" si="16"/>
        <v>59043.712083835155</v>
      </c>
      <c r="J37" s="207">
        <f t="shared" si="16"/>
        <v>57456.474360579363</v>
      </c>
      <c r="K37" s="207">
        <f t="shared" si="16"/>
        <v>57704.288188022714</v>
      </c>
      <c r="L37" s="207">
        <f t="shared" si="16"/>
        <v>57952.102015466073</v>
      </c>
      <c r="M37" s="207">
        <f t="shared" si="16"/>
        <v>57952.102015466073</v>
      </c>
    </row>
    <row r="38" spans="1:14" x14ac:dyDescent="0.25">
      <c r="A38" s="2" t="str">
        <f>B9&amp;B38</f>
        <v>Cimarex EnergySG&amp;A</v>
      </c>
      <c r="B38" s="70" t="s">
        <v>470</v>
      </c>
      <c r="C38" s="106" t="s">
        <v>878</v>
      </c>
      <c r="D38" s="108">
        <f>E38/E24</f>
        <v>0.92390392331952065</v>
      </c>
      <c r="E38" s="83">
        <f>95843/4</f>
        <v>23960.75</v>
      </c>
      <c r="F38" s="207">
        <f>$E38*((F$4*0.0266+11.643)*F$24)/(($E$4*0.0266+11.643)*$E$24)</f>
        <v>22892.605179762024</v>
      </c>
      <c r="G38" s="207">
        <f t="shared" si="16"/>
        <v>21448.426688150168</v>
      </c>
      <c r="H38" s="207">
        <f t="shared" si="16"/>
        <v>21542.147944808035</v>
      </c>
      <c r="I38" s="207">
        <f t="shared" si="16"/>
        <v>21635.86920146591</v>
      </c>
      <c r="J38" s="207">
        <f t="shared" si="16"/>
        <v>21054.24473105263</v>
      </c>
      <c r="K38" s="207">
        <f t="shared" si="16"/>
        <v>21145.053173944332</v>
      </c>
      <c r="L38" s="207">
        <f t="shared" si="16"/>
        <v>21235.861616836035</v>
      </c>
      <c r="M38" s="207">
        <f t="shared" si="16"/>
        <v>21235.861616836035</v>
      </c>
    </row>
    <row r="39" spans="1:14" x14ac:dyDescent="0.25">
      <c r="A39" s="2" t="str">
        <f>B9&amp;B39</f>
        <v>Cimarex EnergyExploratory and dirt well, dry hole</v>
      </c>
      <c r="B39" s="70" t="s">
        <v>561</v>
      </c>
      <c r="C39" s="106" t="s">
        <v>545</v>
      </c>
      <c r="D39" s="108">
        <f>E39/E24</f>
        <v>0</v>
      </c>
      <c r="E39" s="83">
        <v>0</v>
      </c>
      <c r="F39" s="157">
        <f>$D39*F24</f>
        <v>0</v>
      </c>
      <c r="G39" s="157">
        <f t="shared" ref="G39:L39" si="17">$D39*G24</f>
        <v>0</v>
      </c>
      <c r="H39" s="157">
        <f t="shared" si="17"/>
        <v>0</v>
      </c>
      <c r="I39" s="157">
        <f t="shared" si="17"/>
        <v>0</v>
      </c>
      <c r="J39" s="157">
        <f t="shared" si="17"/>
        <v>0</v>
      </c>
      <c r="K39" s="157">
        <f t="shared" si="17"/>
        <v>0</v>
      </c>
      <c r="L39" s="157">
        <f t="shared" si="17"/>
        <v>0</v>
      </c>
      <c r="M39" s="157">
        <f>$D39*M24</f>
        <v>0</v>
      </c>
    </row>
    <row r="40" spans="1:14" x14ac:dyDescent="0.25">
      <c r="A40" s="2" t="str">
        <f>B9&amp;B40</f>
        <v>Cimarex EnergyOther Expenses (benefits)</v>
      </c>
      <c r="B40" s="70" t="s">
        <v>471</v>
      </c>
      <c r="C40" s="106" t="s">
        <v>545</v>
      </c>
      <c r="D40" s="108">
        <f>E40/E24</f>
        <v>0.18609564850519439</v>
      </c>
      <c r="E40" s="83">
        <f>19305/4</f>
        <v>4826.25</v>
      </c>
      <c r="F40" s="157">
        <f t="shared" ref="F40:M40" si="18">$D40*F24</f>
        <v>4738.9000069745953</v>
      </c>
      <c r="G40" s="157">
        <f t="shared" si="18"/>
        <v>4738.9000069745953</v>
      </c>
      <c r="H40" s="157">
        <f t="shared" si="18"/>
        <v>4738.9000069745953</v>
      </c>
      <c r="I40" s="157">
        <f t="shared" si="18"/>
        <v>4738.9000069745953</v>
      </c>
      <c r="J40" s="157">
        <f t="shared" si="18"/>
        <v>4591.617163476215</v>
      </c>
      <c r="K40" s="157">
        <f t="shared" si="18"/>
        <v>4591.617163476215</v>
      </c>
      <c r="L40" s="157">
        <f t="shared" si="18"/>
        <v>4591.617163476215</v>
      </c>
      <c r="M40" s="157">
        <f t="shared" si="18"/>
        <v>4591.617163476215</v>
      </c>
    </row>
    <row r="41" spans="1:14" x14ac:dyDescent="0.25">
      <c r="A41" s="2" t="str">
        <f>B9&amp;B41</f>
        <v>Cimarex EnergyTotal Costs and Expenses</v>
      </c>
      <c r="B41" s="84" t="s">
        <v>474</v>
      </c>
      <c r="C41" s="85"/>
      <c r="D41" s="110"/>
      <c r="E41" s="63">
        <f t="shared" ref="E41:M41" si="19">SUM(E31:E40)</f>
        <v>600361.25</v>
      </c>
      <c r="F41" s="215">
        <f t="shared" si="19"/>
        <v>587503.6449387921</v>
      </c>
      <c r="G41" s="215">
        <f t="shared" si="19"/>
        <v>576598.2838730209</v>
      </c>
      <c r="H41" s="215">
        <f t="shared" si="19"/>
        <v>577305.99704651593</v>
      </c>
      <c r="I41" s="215">
        <f t="shared" si="19"/>
        <v>578013.71022001095</v>
      </c>
      <c r="J41" s="215">
        <f t="shared" si="19"/>
        <v>565542.2002265749</v>
      </c>
      <c r="K41" s="215">
        <f t="shared" si="19"/>
        <v>566227.91799851682</v>
      </c>
      <c r="L41" s="215">
        <f t="shared" si="19"/>
        <v>566913.63577045861</v>
      </c>
      <c r="M41" s="215">
        <f t="shared" si="19"/>
        <v>566913.63577045861</v>
      </c>
    </row>
    <row r="42" spans="1:14" x14ac:dyDescent="0.25">
      <c r="A42" s="2" t="str">
        <f>B9&amp;B42</f>
        <v>Cimarex EnergyOther (Income) Expense</v>
      </c>
      <c r="B42" s="72" t="s">
        <v>506</v>
      </c>
      <c r="C42" s="72"/>
      <c r="D42" s="112"/>
      <c r="E42" s="83"/>
      <c r="F42" s="157"/>
      <c r="G42" s="157"/>
      <c r="H42" s="157"/>
      <c r="I42" s="157"/>
      <c r="J42" s="157"/>
      <c r="K42" s="157"/>
      <c r="L42" s="157"/>
      <c r="M42" s="157"/>
    </row>
    <row r="43" spans="1:14" x14ac:dyDescent="0.25">
      <c r="A43" s="2" t="str">
        <f>B9&amp;B43</f>
        <v>Cimarex EnergyLoss (gain) on derivative instruments, net</v>
      </c>
      <c r="B43" s="70" t="s">
        <v>466</v>
      </c>
      <c r="C43" s="107" t="s">
        <v>879</v>
      </c>
      <c r="D43" s="108"/>
      <c r="E43" s="83">
        <f>76850/4</f>
        <v>19212.5</v>
      </c>
      <c r="F43" s="157">
        <f>E43</f>
        <v>19212.5</v>
      </c>
      <c r="G43" s="157">
        <f t="shared" ref="G43:M43" si="20">F43</f>
        <v>19212.5</v>
      </c>
      <c r="H43" s="157">
        <f t="shared" si="20"/>
        <v>19212.5</v>
      </c>
      <c r="I43" s="157">
        <f t="shared" si="20"/>
        <v>19212.5</v>
      </c>
      <c r="J43" s="157">
        <f t="shared" si="20"/>
        <v>19212.5</v>
      </c>
      <c r="K43" s="157">
        <f t="shared" si="20"/>
        <v>19212.5</v>
      </c>
      <c r="L43" s="157">
        <f t="shared" si="20"/>
        <v>19212.5</v>
      </c>
      <c r="M43" s="157">
        <f t="shared" si="20"/>
        <v>19212.5</v>
      </c>
    </row>
    <row r="44" spans="1:14" x14ac:dyDescent="0.25">
      <c r="A44" s="2" t="str">
        <f>B9&amp;B44</f>
        <v>Cimarex EnergyInterest expense, net</v>
      </c>
      <c r="B44" s="70" t="s">
        <v>475</v>
      </c>
      <c r="C44" s="82" t="s">
        <v>526</v>
      </c>
      <c r="D44" s="108"/>
      <c r="E44" s="83">
        <f>93386/4</f>
        <v>23346.5</v>
      </c>
      <c r="F44" s="157">
        <f>$E73*(F78/E78)*(($E44/$E73)+IF($B$2="A3",(('Quarterly Forecasts'!$K$5-'Quarterly Forecasts'!$G$5)/400),(('Quarterly Forecasts'!$K$26-'Quarterly Forecasts'!$G$26)/400)))</f>
        <v>25334.015814594604</v>
      </c>
      <c r="G44" s="157">
        <f>$E73*(G78/F78)*(($E44/$E73)+IF($B$2="A3",(('Quarterly Forecasts'!$K$5-'Quarterly Forecasts'!$G$5)/400),(('Quarterly Forecasts'!$K$26-'Quarterly Forecasts'!$G$26)/400)))</f>
        <v>25469.958826520004</v>
      </c>
      <c r="H44" s="157">
        <f>$E73*(H78/G78)*(($E44/$E73)+IF($B$2="A3",(('Quarterly Forecasts'!$K$5-'Quarterly Forecasts'!$G$5)/400),(('Quarterly Forecasts'!$K$26-'Quarterly Forecasts'!$G$26)/400)))</f>
        <v>25469.958826520004</v>
      </c>
      <c r="I44" s="157">
        <f>$E73*(I78/H78)*(($E44/$E73)+IF($B$2="A3",(('Quarterly Forecasts'!$K$5-'Quarterly Forecasts'!$G$5)/400),(('Quarterly Forecasts'!$K$26-'Quarterly Forecasts'!$G$26)/400)))</f>
        <v>25469.958826520004</v>
      </c>
      <c r="J44" s="157">
        <f>$I73*(J78/I78)*(($I44/$I73)+ IF($B$2 = "A3", (('Quarterly Forecasts'!$O$5-'Quarterly Forecasts'!$K$5)/400),  (('Quarterly Forecasts'!$O$26-'Quarterly Forecasts'!$K$26)/400)))</f>
        <v>23308.040018487303</v>
      </c>
      <c r="K44" s="157">
        <f>$I73*(K78/J78)*(($I44/$I73)+ IF($B$2 = "A3", (('Quarterly Forecasts'!$O$5-'Quarterly Forecasts'!$K$5)/400),  (('Quarterly Forecasts'!$O$26-'Quarterly Forecasts'!$K$26)/400)))</f>
        <v>23318.1109822</v>
      </c>
      <c r="L44" s="157">
        <f>$I73*(L78/K78)*(($I44/$I73)+ IF($B$2 = "A3", (('Quarterly Forecasts'!$O$5-'Quarterly Forecasts'!$K$5)/400),  (('Quarterly Forecasts'!$O$26-'Quarterly Forecasts'!$K$26)/400)))</f>
        <v>23318.1109822</v>
      </c>
      <c r="M44" s="157">
        <f>$I73*(M78/L78)*(($I44/$I73)+ IF($B$2 = "A3", (('Quarterly Forecasts'!$O$5-'Quarterly Forecasts'!$K$5)/400),  (('Quarterly Forecasts'!$O$26-'Quarterly Forecasts'!$K$26)/400)))</f>
        <v>23318.1109822</v>
      </c>
      <c r="N44" s="154"/>
    </row>
    <row r="45" spans="1:14" x14ac:dyDescent="0.25">
      <c r="A45" s="2" t="str">
        <f>B9&amp;B45</f>
        <v>Cimarex EnergyOther, net</v>
      </c>
      <c r="B45" s="70" t="s">
        <v>508</v>
      </c>
      <c r="C45" s="82" t="s">
        <v>509</v>
      </c>
      <c r="D45" s="108"/>
      <c r="E45" s="83">
        <f>(-56232+4250-5741)/4</f>
        <v>-14430.75</v>
      </c>
      <c r="F45" s="50">
        <f>E45</f>
        <v>-14430.75</v>
      </c>
      <c r="G45" s="50">
        <f t="shared" ref="G45:M45" si="21">F45</f>
        <v>-14430.75</v>
      </c>
      <c r="H45" s="50">
        <f t="shared" si="21"/>
        <v>-14430.75</v>
      </c>
      <c r="I45" s="50">
        <f t="shared" si="21"/>
        <v>-14430.75</v>
      </c>
      <c r="J45" s="50">
        <f t="shared" si="21"/>
        <v>-14430.75</v>
      </c>
      <c r="K45" s="50">
        <f t="shared" si="21"/>
        <v>-14430.75</v>
      </c>
      <c r="L45" s="50">
        <f t="shared" si="21"/>
        <v>-14430.75</v>
      </c>
      <c r="M45" s="50">
        <f t="shared" si="21"/>
        <v>-14430.75</v>
      </c>
    </row>
    <row r="46" spans="1:14" x14ac:dyDescent="0.25">
      <c r="A46" s="2" t="str">
        <f>B9&amp;B46</f>
        <v>Cimarex EnergyTotal Other (Income) Expense</v>
      </c>
      <c r="B46" s="84" t="s">
        <v>518</v>
      </c>
      <c r="C46" s="84"/>
      <c r="D46" s="110"/>
      <c r="E46" s="63">
        <f>SUM(E43:E45)</f>
        <v>28128.25</v>
      </c>
      <c r="F46" s="62">
        <f>SUM(F43:F45)</f>
        <v>30115.765814594604</v>
      </c>
      <c r="G46" s="62">
        <f t="shared" ref="G46:L46" si="22">SUM(G43:G45)</f>
        <v>30251.70882652</v>
      </c>
      <c r="H46" s="62">
        <f t="shared" si="22"/>
        <v>30251.70882652</v>
      </c>
      <c r="I46" s="62">
        <f t="shared" si="22"/>
        <v>30251.70882652</v>
      </c>
      <c r="J46" s="62">
        <f t="shared" si="22"/>
        <v>28089.7900184873</v>
      </c>
      <c r="K46" s="62">
        <f t="shared" si="22"/>
        <v>28099.8609822</v>
      </c>
      <c r="L46" s="62">
        <f t="shared" si="22"/>
        <v>28099.8609822</v>
      </c>
      <c r="M46" s="62">
        <f>SUM(M43:M45)</f>
        <v>28099.8609822</v>
      </c>
    </row>
    <row r="47" spans="1:14" x14ac:dyDescent="0.25">
      <c r="A47" s="2" t="str">
        <f>B9&amp;B47</f>
        <v>Cimarex EnergyIncome (loss) from continuing operations before income taxes</v>
      </c>
      <c r="B47" s="72" t="s">
        <v>476</v>
      </c>
      <c r="C47" s="72"/>
      <c r="D47" s="112"/>
      <c r="E47" s="63">
        <f>E29-E41-E46</f>
        <v>-37747.25</v>
      </c>
      <c r="F47" s="62">
        <f>F29-F41-F46</f>
        <v>-130513.89172194756</v>
      </c>
      <c r="G47" s="62">
        <f t="shared" ref="G47:M47" si="23">G29-G41-G46</f>
        <v>-369306.10433987289</v>
      </c>
      <c r="H47" s="62">
        <f t="shared" si="23"/>
        <v>-350928.95260179555</v>
      </c>
      <c r="I47" s="62">
        <f t="shared" si="23"/>
        <v>-332551.80086371815</v>
      </c>
      <c r="J47" s="62">
        <f t="shared" si="23"/>
        <v>-304827.54546104732</v>
      </c>
      <c r="K47" s="62">
        <f t="shared" si="23"/>
        <v>-286734.36937888741</v>
      </c>
      <c r="L47" s="62">
        <f t="shared" si="23"/>
        <v>-268631.12233301467</v>
      </c>
      <c r="M47" s="62">
        <f t="shared" si="23"/>
        <v>-268631.12233301467</v>
      </c>
    </row>
    <row r="48" spans="1:14" x14ac:dyDescent="0.25">
      <c r="A48" s="2" t="str">
        <f>B9&amp;B48</f>
        <v>Cimarex EnergyIncome tax (benefit) expense</v>
      </c>
      <c r="B48" s="73" t="s">
        <v>477</v>
      </c>
      <c r="C48" s="73" t="s">
        <v>525</v>
      </c>
      <c r="D48" s="109">
        <f>ABS(E48/E47)</f>
        <v>0.17464848432667279</v>
      </c>
      <c r="E48" s="83">
        <f>-26370/4</f>
        <v>-6592.5</v>
      </c>
      <c r="F48" s="50">
        <f>$D48*F47</f>
        <v>-22794.053372813629</v>
      </c>
      <c r="G48" s="50">
        <f t="shared" ref="G48:M48" si="24">$D48*G47</f>
        <v>-64498.751375546875</v>
      </c>
      <c r="H48" s="50">
        <f t="shared" si="24"/>
        <v>-61289.209678250387</v>
      </c>
      <c r="I48" s="50">
        <f t="shared" si="24"/>
        <v>-58079.667980953891</v>
      </c>
      <c r="J48" s="50">
        <f t="shared" si="24"/>
        <v>-53237.668795791862</v>
      </c>
      <c r="K48" s="50">
        <f t="shared" si="24"/>
        <v>-50077.723016387026</v>
      </c>
      <c r="L48" s="50">
        <f t="shared" si="24"/>
        <v>-46916.018358434034</v>
      </c>
      <c r="M48" s="50">
        <f t="shared" si="24"/>
        <v>-46916.018358434034</v>
      </c>
    </row>
    <row r="49" spans="1:13" ht="11" thickBot="1" x14ac:dyDescent="0.3">
      <c r="A49" s="2" t="str">
        <f>B9&amp;B49</f>
        <v>Cimarex EnergyNet (loss) Income</v>
      </c>
      <c r="B49" s="74" t="s">
        <v>478</v>
      </c>
      <c r="C49" s="74"/>
      <c r="D49" s="116"/>
      <c r="E49" s="86">
        <f>E47-E48</f>
        <v>-31154.75</v>
      </c>
      <c r="F49" s="34">
        <f>F47-F48</f>
        <v>-107719.83834913393</v>
      </c>
      <c r="G49" s="34">
        <f t="shared" ref="G49:M49" si="25">G47-G48</f>
        <v>-304807.35296432604</v>
      </c>
      <c r="H49" s="34">
        <f t="shared" si="25"/>
        <v>-289639.74292354519</v>
      </c>
      <c r="I49" s="34">
        <f t="shared" si="25"/>
        <v>-274472.13288276427</v>
      </c>
      <c r="J49" s="34">
        <f t="shared" si="25"/>
        <v>-251589.87666525546</v>
      </c>
      <c r="K49" s="34">
        <f t="shared" si="25"/>
        <v>-236656.64636250038</v>
      </c>
      <c r="L49" s="34">
        <f t="shared" si="25"/>
        <v>-221715.10397458065</v>
      </c>
      <c r="M49" s="34">
        <f t="shared" si="25"/>
        <v>-221715.10397458065</v>
      </c>
    </row>
    <row r="50" spans="1:13" ht="11" thickTop="1" x14ac:dyDescent="0.25"/>
    <row r="51" spans="1:13" x14ac:dyDescent="0.25">
      <c r="A51" s="2" t="str">
        <f>B9&amp;B51</f>
        <v>Cimarex EnergyCurrent Assets</v>
      </c>
      <c r="B51" s="64" t="s">
        <v>479</v>
      </c>
      <c r="C51" s="64"/>
      <c r="D51" s="111"/>
      <c r="E51" s="83"/>
      <c r="F51" s="50"/>
      <c r="G51" s="50"/>
      <c r="H51" s="50"/>
      <c r="I51" s="50"/>
      <c r="J51" s="50"/>
      <c r="K51" s="50"/>
      <c r="L51" s="50"/>
      <c r="M51" s="50"/>
    </row>
    <row r="52" spans="1:13" x14ac:dyDescent="0.25">
      <c r="A52" s="2" t="str">
        <f>B9&amp;B52</f>
        <v>Cimarex EnergyCash and cash equivalents</v>
      </c>
      <c r="B52" s="70" t="s">
        <v>480</v>
      </c>
      <c r="C52" s="82" t="s">
        <v>538</v>
      </c>
      <c r="D52" s="140">
        <v>2406</v>
      </c>
      <c r="E52" s="83">
        <v>94722</v>
      </c>
      <c r="F52" s="50">
        <f>F49+E52</f>
        <v>-12997.838349133934</v>
      </c>
      <c r="G52" s="50">
        <f>G49+F52</f>
        <v>-317805.19131346</v>
      </c>
      <c r="H52" s="50">
        <f t="shared" ref="H52:M52" si="26">H49+G52</f>
        <v>-607444.93423700519</v>
      </c>
      <c r="I52" s="50">
        <f t="shared" si="26"/>
        <v>-881917.06711976952</v>
      </c>
      <c r="J52" s="50">
        <f t="shared" si="26"/>
        <v>-1133506.943785025</v>
      </c>
      <c r="K52" s="50">
        <f t="shared" si="26"/>
        <v>-1370163.5901475255</v>
      </c>
      <c r="L52" s="50">
        <f t="shared" si="26"/>
        <v>-1591878.6941221063</v>
      </c>
      <c r="M52" s="50">
        <f t="shared" si="26"/>
        <v>-1813593.7980966871</v>
      </c>
    </row>
    <row r="53" spans="1:13" x14ac:dyDescent="0.25">
      <c r="A53" s="2" t="str">
        <f>B9&amp;B53</f>
        <v>Cimarex EnergyAccounts receivable, net of allowance</v>
      </c>
      <c r="B53" s="70" t="s">
        <v>481</v>
      </c>
      <c r="C53" s="82"/>
      <c r="D53" s="108"/>
      <c r="E53" s="83"/>
      <c r="F53" s="50"/>
      <c r="G53" s="50"/>
      <c r="H53" s="50"/>
      <c r="I53" s="50"/>
      <c r="J53" s="50"/>
      <c r="K53" s="50"/>
      <c r="L53" s="50"/>
      <c r="M53" s="50"/>
    </row>
    <row r="54" spans="1:13" x14ac:dyDescent="0.25">
      <c r="A54" s="2" t="str">
        <f>B9&amp;B54</f>
        <v>Cimarex EnergyOil and gas sales</v>
      </c>
      <c r="B54" s="75" t="s">
        <v>482</v>
      </c>
      <c r="C54" s="82" t="s">
        <v>539</v>
      </c>
      <c r="D54" s="133">
        <f>E54/E29</f>
        <v>0.65122648667841176</v>
      </c>
      <c r="E54" s="83">
        <v>384707</v>
      </c>
      <c r="F54" s="50">
        <f>$D54*F29</f>
        <v>317216.01580050838</v>
      </c>
      <c r="G54" s="50">
        <f>$D54*G29</f>
        <v>154694.87184839547</v>
      </c>
      <c r="H54" s="50">
        <f t="shared" ref="H54:M54" si="27">$D54*H29</f>
        <v>167123.44137349087</v>
      </c>
      <c r="I54" s="50">
        <f t="shared" si="27"/>
        <v>179552.01089858625</v>
      </c>
      <c r="J54" s="50">
        <f t="shared" si="27"/>
        <v>188077.10391380338</v>
      </c>
      <c r="K54" s="50">
        <f t="shared" si="27"/>
        <v>200312.97546043302</v>
      </c>
      <c r="L54" s="50">
        <f t="shared" si="27"/>
        <v>212548.84700706266</v>
      </c>
      <c r="M54" s="50">
        <f t="shared" si="27"/>
        <v>212548.84700706266</v>
      </c>
    </row>
    <row r="55" spans="1:13" x14ac:dyDescent="0.25">
      <c r="A55" s="2" t="str">
        <f>B9&amp;B55</f>
        <v>Cimarex EnergyOther receivable</v>
      </c>
      <c r="B55" s="75" t="s">
        <v>569</v>
      </c>
      <c r="C55" s="82" t="s">
        <v>539</v>
      </c>
      <c r="D55" s="133">
        <f>E55/E29</f>
        <v>0.10813006857051446</v>
      </c>
      <c r="E55" s="83">
        <f>57879+5998</f>
        <v>63877</v>
      </c>
      <c r="F55" s="50">
        <f t="shared" ref="F55:M55" si="28">$D55*F29</f>
        <v>52670.753173945552</v>
      </c>
      <c r="G55" s="50">
        <f>$D55*G29</f>
        <v>25685.636936837538</v>
      </c>
      <c r="H55" s="50">
        <f t="shared" si="28"/>
        <v>27749.284688384865</v>
      </c>
      <c r="I55" s="50">
        <f t="shared" si="28"/>
        <v>29812.932439932192</v>
      </c>
      <c r="J55" s="50">
        <f t="shared" si="28"/>
        <v>31228.444417964889</v>
      </c>
      <c r="K55" s="50">
        <f t="shared" si="28"/>
        <v>33260.096472084158</v>
      </c>
      <c r="L55" s="50">
        <f t="shared" si="28"/>
        <v>35291.748526203424</v>
      </c>
      <c r="M55" s="50">
        <f t="shared" si="28"/>
        <v>35291.748526203424</v>
      </c>
    </row>
    <row r="56" spans="1:13" x14ac:dyDescent="0.25">
      <c r="A56" s="2" t="str">
        <f>B9&amp;B56</f>
        <v>Cimarex EnergyInventory</v>
      </c>
      <c r="B56" s="70" t="s">
        <v>484</v>
      </c>
      <c r="C56" s="82" t="s">
        <v>539</v>
      </c>
      <c r="D56" s="133">
        <f>E56/E29</f>
        <v>8.1072582839639459E-2</v>
      </c>
      <c r="E56" s="83">
        <v>47893</v>
      </c>
      <c r="F56" s="50">
        <f t="shared" ref="F56:M56" si="29">$D56*F29</f>
        <v>39490.902543321929</v>
      </c>
      <c r="G56" s="50">
        <f t="shared" si="29"/>
        <v>19258.296567089252</v>
      </c>
      <c r="H56" s="50">
        <f t="shared" si="29"/>
        <v>20805.555858616033</v>
      </c>
      <c r="I56" s="50">
        <f t="shared" si="29"/>
        <v>22352.815150142815</v>
      </c>
      <c r="J56" s="50">
        <f t="shared" si="29"/>
        <v>23414.122274208126</v>
      </c>
      <c r="K56" s="50">
        <f t="shared" si="29"/>
        <v>24937.392180871466</v>
      </c>
      <c r="L56" s="50">
        <f t="shared" si="29"/>
        <v>26460.662087534805</v>
      </c>
      <c r="M56" s="50">
        <f t="shared" si="29"/>
        <v>26460.662087534805</v>
      </c>
    </row>
    <row r="57" spans="1:13" x14ac:dyDescent="0.25">
      <c r="A57" s="2" t="str">
        <f>B9&amp;B57</f>
        <v>Cimarex EnergyDerivative instruments current assets</v>
      </c>
      <c r="B57" s="70" t="s">
        <v>813</v>
      </c>
      <c r="C57" s="107" t="s">
        <v>507</v>
      </c>
      <c r="D57" s="108"/>
      <c r="E57" s="83">
        <v>17944</v>
      </c>
      <c r="F57" s="138"/>
      <c r="G57" s="138"/>
      <c r="H57" s="138"/>
      <c r="I57" s="138"/>
      <c r="J57" s="138"/>
      <c r="K57" s="138"/>
      <c r="L57" s="138"/>
      <c r="M57" s="138"/>
    </row>
    <row r="58" spans="1:13" x14ac:dyDescent="0.25">
      <c r="A58" s="2" t="str">
        <f>B9&amp;B58</f>
        <v>Cimarex EnergyPrepaid expenses</v>
      </c>
      <c r="B58" s="70" t="s">
        <v>486</v>
      </c>
      <c r="C58" s="82" t="s">
        <v>509</v>
      </c>
      <c r="D58" s="108"/>
      <c r="E58" s="83">
        <v>10759</v>
      </c>
      <c r="F58" s="50">
        <f>E58</f>
        <v>10759</v>
      </c>
      <c r="G58" s="50">
        <f t="shared" ref="G58:M59" si="30">F58</f>
        <v>10759</v>
      </c>
      <c r="H58" s="50">
        <f t="shared" si="30"/>
        <v>10759</v>
      </c>
      <c r="I58" s="50">
        <f t="shared" si="30"/>
        <v>10759</v>
      </c>
      <c r="J58" s="50">
        <f t="shared" si="30"/>
        <v>10759</v>
      </c>
      <c r="K58" s="50">
        <f t="shared" si="30"/>
        <v>10759</v>
      </c>
      <c r="L58" s="50">
        <f t="shared" si="30"/>
        <v>10759</v>
      </c>
      <c r="M58" s="50">
        <f t="shared" si="30"/>
        <v>10759</v>
      </c>
    </row>
    <row r="59" spans="1:13" x14ac:dyDescent="0.25">
      <c r="A59" s="2" t="str">
        <f>B9&amp;B59</f>
        <v>Cimarex EnergyOther current assets</v>
      </c>
      <c r="B59" s="70" t="s">
        <v>568</v>
      </c>
      <c r="C59" s="82" t="s">
        <v>509</v>
      </c>
      <c r="D59" s="108"/>
      <c r="E59" s="83">
        <v>1584</v>
      </c>
      <c r="F59" s="50">
        <f>E59</f>
        <v>1584</v>
      </c>
      <c r="G59" s="50">
        <f t="shared" si="30"/>
        <v>1584</v>
      </c>
      <c r="H59" s="50">
        <f t="shared" si="30"/>
        <v>1584</v>
      </c>
      <c r="I59" s="50">
        <f t="shared" si="30"/>
        <v>1584</v>
      </c>
      <c r="J59" s="50">
        <f t="shared" si="30"/>
        <v>1584</v>
      </c>
      <c r="K59" s="50">
        <f t="shared" si="30"/>
        <v>1584</v>
      </c>
      <c r="L59" s="50">
        <f t="shared" si="30"/>
        <v>1584</v>
      </c>
      <c r="M59" s="50">
        <f t="shared" si="30"/>
        <v>1584</v>
      </c>
    </row>
    <row r="60" spans="1:13" x14ac:dyDescent="0.25">
      <c r="A60" s="2" t="str">
        <f>B9&amp;B60</f>
        <v>Cimarex EnergyTotal current assets</v>
      </c>
      <c r="B60" s="76" t="s">
        <v>487</v>
      </c>
      <c r="C60" s="87"/>
      <c r="D60" s="111"/>
      <c r="E60" s="63">
        <f>SUM(E52:E59)</f>
        <v>621486</v>
      </c>
      <c r="F60" s="62">
        <f>SUM(F52:F59)</f>
        <v>408722.83316864196</v>
      </c>
      <c r="G60" s="62">
        <f t="shared" ref="G60:M60" si="31">SUM(G52:G59)</f>
        <v>-105823.38596113774</v>
      </c>
      <c r="H60" s="62">
        <f t="shared" si="31"/>
        <v>-379423.65231651347</v>
      </c>
      <c r="I60" s="62">
        <f t="shared" si="31"/>
        <v>-637856.30863110826</v>
      </c>
      <c r="J60" s="62">
        <f t="shared" si="31"/>
        <v>-878444.27317904867</v>
      </c>
      <c r="K60" s="62">
        <f t="shared" si="31"/>
        <v>-1099310.1260341371</v>
      </c>
      <c r="L60" s="62">
        <f t="shared" si="31"/>
        <v>-1305234.4365013053</v>
      </c>
      <c r="M60" s="62">
        <f t="shared" si="31"/>
        <v>-1526949.5404758861</v>
      </c>
    </row>
    <row r="61" spans="1:13" x14ac:dyDescent="0.25">
      <c r="A61" s="2" t="str">
        <f>B9&amp;B61</f>
        <v>Cimarex EnergyProperty and equipment, net</v>
      </c>
      <c r="B61" s="72" t="s">
        <v>488</v>
      </c>
      <c r="C61" s="73" t="s">
        <v>509</v>
      </c>
      <c r="D61" s="112"/>
      <c r="E61" s="83">
        <v>5210698</v>
      </c>
      <c r="F61" s="50">
        <f>E61</f>
        <v>5210698</v>
      </c>
      <c r="G61" s="50">
        <f t="shared" ref="G61:M61" si="32">F61</f>
        <v>5210698</v>
      </c>
      <c r="H61" s="50">
        <f t="shared" si="32"/>
        <v>5210698</v>
      </c>
      <c r="I61" s="50">
        <f t="shared" si="32"/>
        <v>5210698</v>
      </c>
      <c r="J61" s="50">
        <f t="shared" si="32"/>
        <v>5210698</v>
      </c>
      <c r="K61" s="50">
        <f t="shared" si="32"/>
        <v>5210698</v>
      </c>
      <c r="L61" s="50">
        <f t="shared" si="32"/>
        <v>5210698</v>
      </c>
      <c r="M61" s="50">
        <f t="shared" si="32"/>
        <v>5210698</v>
      </c>
    </row>
    <row r="62" spans="1:13" x14ac:dyDescent="0.25">
      <c r="A62" s="2" t="str">
        <f>B9&amp;B62</f>
        <v>Cimarex EnergyDerivative instruments total assets</v>
      </c>
      <c r="B62" s="73" t="s">
        <v>814</v>
      </c>
      <c r="C62" s="95" t="s">
        <v>507</v>
      </c>
      <c r="D62" s="108"/>
      <c r="E62" s="83">
        <v>580</v>
      </c>
      <c r="F62" s="138"/>
      <c r="G62" s="138"/>
      <c r="H62" s="138"/>
      <c r="I62" s="138"/>
      <c r="J62" s="138"/>
      <c r="K62" s="138"/>
      <c r="L62" s="138"/>
      <c r="M62" s="138"/>
    </row>
    <row r="63" spans="1:13" x14ac:dyDescent="0.25">
      <c r="A63" s="2" t="str">
        <f>B9&amp;B63</f>
        <v>Cimarex EnergyDeferred income taxes assets</v>
      </c>
      <c r="B63" s="73" t="s">
        <v>815</v>
      </c>
      <c r="C63" s="73" t="s">
        <v>509</v>
      </c>
      <c r="D63" s="108"/>
      <c r="E63" s="83">
        <v>0</v>
      </c>
      <c r="F63" s="50">
        <f>E63</f>
        <v>0</v>
      </c>
      <c r="G63" s="50">
        <f t="shared" ref="G63:M65" si="33">F63</f>
        <v>0</v>
      </c>
      <c r="H63" s="50">
        <f t="shared" si="33"/>
        <v>0</v>
      </c>
      <c r="I63" s="50">
        <f t="shared" si="33"/>
        <v>0</v>
      </c>
      <c r="J63" s="50">
        <f t="shared" si="33"/>
        <v>0</v>
      </c>
      <c r="K63" s="50">
        <f t="shared" si="33"/>
        <v>0</v>
      </c>
      <c r="L63" s="50">
        <f t="shared" si="33"/>
        <v>0</v>
      </c>
      <c r="M63" s="50">
        <f t="shared" si="33"/>
        <v>0</v>
      </c>
    </row>
    <row r="64" spans="1:13" x14ac:dyDescent="0.25">
      <c r="A64" s="2" t="str">
        <f>B9&amp;B64</f>
        <v>Cimarex EnergyGoodwill</v>
      </c>
      <c r="B64" s="73" t="s">
        <v>490</v>
      </c>
      <c r="C64" s="73" t="s">
        <v>509</v>
      </c>
      <c r="D64" s="108"/>
      <c r="E64" s="83">
        <v>716865</v>
      </c>
      <c r="F64" s="50">
        <f>E64</f>
        <v>716865</v>
      </c>
      <c r="G64" s="50">
        <f t="shared" si="33"/>
        <v>716865</v>
      </c>
      <c r="H64" s="50">
        <f t="shared" si="33"/>
        <v>716865</v>
      </c>
      <c r="I64" s="50">
        <f t="shared" si="33"/>
        <v>716865</v>
      </c>
      <c r="J64" s="50">
        <f t="shared" si="33"/>
        <v>716865</v>
      </c>
      <c r="K64" s="50">
        <f t="shared" si="33"/>
        <v>716865</v>
      </c>
      <c r="L64" s="50">
        <f t="shared" si="33"/>
        <v>716865</v>
      </c>
      <c r="M64" s="50">
        <f t="shared" si="33"/>
        <v>716865</v>
      </c>
    </row>
    <row r="65" spans="1:13" x14ac:dyDescent="0.25">
      <c r="A65" s="2" t="str">
        <f>B9&amp;B65</f>
        <v>Cimarex EnergyOther assets</v>
      </c>
      <c r="B65" s="77" t="s">
        <v>491</v>
      </c>
      <c r="C65" s="77" t="s">
        <v>509</v>
      </c>
      <c r="D65" s="114"/>
      <c r="E65" s="83">
        <f>519291+71109</f>
        <v>590400</v>
      </c>
      <c r="F65" s="50">
        <f>E65</f>
        <v>590400</v>
      </c>
      <c r="G65" s="50">
        <f t="shared" si="33"/>
        <v>590400</v>
      </c>
      <c r="H65" s="50">
        <f t="shared" si="33"/>
        <v>590400</v>
      </c>
      <c r="I65" s="50">
        <f t="shared" si="33"/>
        <v>590400</v>
      </c>
      <c r="J65" s="50">
        <f t="shared" si="33"/>
        <v>590400</v>
      </c>
      <c r="K65" s="50">
        <f t="shared" si="33"/>
        <v>590400</v>
      </c>
      <c r="L65" s="50">
        <f t="shared" si="33"/>
        <v>590400</v>
      </c>
      <c r="M65" s="50">
        <f t="shared" si="33"/>
        <v>590400</v>
      </c>
    </row>
    <row r="66" spans="1:13" x14ac:dyDescent="0.25">
      <c r="A66" s="2" t="str">
        <f>B9&amp;B66</f>
        <v>Cimarex EnergyTotal assets</v>
      </c>
      <c r="B66" s="78" t="s">
        <v>492</v>
      </c>
      <c r="C66" s="88"/>
      <c r="D66" s="112"/>
      <c r="E66" s="63">
        <f>SUM(E60:E65)</f>
        <v>7140029</v>
      </c>
      <c r="F66" s="62">
        <f>SUM(F60:F65)</f>
        <v>6926685.8331686417</v>
      </c>
      <c r="G66" s="62">
        <f t="shared" ref="G66:M66" si="34">SUM(G60:G65)</f>
        <v>6412139.6140388623</v>
      </c>
      <c r="H66" s="62">
        <f t="shared" si="34"/>
        <v>6138539.3476834865</v>
      </c>
      <c r="I66" s="62">
        <f>SUM(I60:I65)</f>
        <v>5880106.6913688919</v>
      </c>
      <c r="J66" s="62">
        <f>SUM(J60:J65)</f>
        <v>5639518.7268209513</v>
      </c>
      <c r="K66" s="62">
        <f t="shared" si="34"/>
        <v>5418652.8739658631</v>
      </c>
      <c r="L66" s="62">
        <f t="shared" si="34"/>
        <v>5212728.5634986944</v>
      </c>
      <c r="M66" s="62">
        <f t="shared" si="34"/>
        <v>4991013.4595241137</v>
      </c>
    </row>
    <row r="67" spans="1:13" x14ac:dyDescent="0.25">
      <c r="A67" s="2" t="str">
        <f>B9&amp;B67</f>
        <v>Cimarex EnergyCurrent liabilities</v>
      </c>
      <c r="B67" s="72" t="s">
        <v>498</v>
      </c>
      <c r="C67" s="72"/>
      <c r="D67" s="112"/>
      <c r="E67" s="83"/>
      <c r="F67" s="50"/>
      <c r="G67" s="50"/>
      <c r="H67" s="50"/>
      <c r="I67" s="50"/>
      <c r="J67" s="50"/>
      <c r="K67" s="50"/>
      <c r="L67" s="50"/>
      <c r="M67" s="50"/>
    </row>
    <row r="68" spans="1:13" x14ac:dyDescent="0.25">
      <c r="A68" s="2" t="str">
        <f>B9&amp;B68</f>
        <v>Cimarex EnergyAccounts payable</v>
      </c>
      <c r="B68" s="70" t="s">
        <v>493</v>
      </c>
      <c r="C68" s="82" t="s">
        <v>539</v>
      </c>
      <c r="D68" s="108">
        <f>E68/E24</f>
        <v>1.8901649706759138</v>
      </c>
      <c r="E68" s="83">
        <f>36280+12740</f>
        <v>49020</v>
      </c>
      <c r="F68" s="50">
        <f>$D68*F24</f>
        <v>48132.790125230698</v>
      </c>
      <c r="G68" s="50">
        <f t="shared" ref="G68:M68" si="35">$D68*G24</f>
        <v>48132.790125230698</v>
      </c>
      <c r="H68" s="50">
        <f t="shared" si="35"/>
        <v>48132.790125230698</v>
      </c>
      <c r="I68" s="50">
        <f t="shared" si="35"/>
        <v>48132.790125230698</v>
      </c>
      <c r="J68" s="50">
        <f t="shared" si="35"/>
        <v>46636.845035711798</v>
      </c>
      <c r="K68" s="50">
        <f t="shared" si="35"/>
        <v>46636.845035711798</v>
      </c>
      <c r="L68" s="50">
        <f t="shared" si="35"/>
        <v>46636.845035711798</v>
      </c>
      <c r="M68" s="50">
        <f t="shared" si="35"/>
        <v>46636.845035711798</v>
      </c>
    </row>
    <row r="69" spans="1:13" x14ac:dyDescent="0.25">
      <c r="A69" s="2" t="str">
        <f>B9&amp;B69</f>
        <v>Cimarex EnergyAccrued liabilities</v>
      </c>
      <c r="B69" s="70" t="s">
        <v>510</v>
      </c>
      <c r="C69" s="82" t="s">
        <v>507</v>
      </c>
      <c r="D69" s="108"/>
      <c r="E69" s="83">
        <f>112228+54446+252304</f>
        <v>418978</v>
      </c>
      <c r="F69" s="50">
        <f>E69</f>
        <v>418978</v>
      </c>
      <c r="G69" s="50">
        <f t="shared" ref="G69:M69" si="36">F69</f>
        <v>418978</v>
      </c>
      <c r="H69" s="50">
        <f t="shared" si="36"/>
        <v>418978</v>
      </c>
      <c r="I69" s="50">
        <f t="shared" si="36"/>
        <v>418978</v>
      </c>
      <c r="J69" s="50">
        <f t="shared" si="36"/>
        <v>418978</v>
      </c>
      <c r="K69" s="50">
        <f t="shared" si="36"/>
        <v>418978</v>
      </c>
      <c r="L69" s="50">
        <f t="shared" si="36"/>
        <v>418978</v>
      </c>
      <c r="M69" s="50">
        <f t="shared" si="36"/>
        <v>418978</v>
      </c>
    </row>
    <row r="70" spans="1:13" x14ac:dyDescent="0.25">
      <c r="A70" s="2" t="str">
        <f>B9&amp;B70</f>
        <v>Cimarex EnergyDerivative instruments current liabilities</v>
      </c>
      <c r="B70" s="70" t="s">
        <v>812</v>
      </c>
      <c r="C70" s="107" t="s">
        <v>507</v>
      </c>
      <c r="D70" s="108"/>
      <c r="E70" s="83">
        <v>16681</v>
      </c>
      <c r="F70" s="138"/>
      <c r="G70" s="138"/>
      <c r="H70" s="138"/>
      <c r="I70" s="138"/>
      <c r="J70" s="138"/>
      <c r="K70" s="138"/>
      <c r="L70" s="138"/>
      <c r="M70" s="138"/>
    </row>
    <row r="71" spans="1:13" x14ac:dyDescent="0.25">
      <c r="A71" s="2" t="str">
        <f>B9&amp;B71</f>
        <v>Cimarex EnergyOther current liabilities</v>
      </c>
      <c r="B71" s="70" t="s">
        <v>494</v>
      </c>
      <c r="C71" s="82" t="s">
        <v>509</v>
      </c>
      <c r="D71" s="108"/>
      <c r="E71" s="83">
        <f>207939+66003</f>
        <v>273942</v>
      </c>
      <c r="F71" s="50">
        <f>E71</f>
        <v>273942</v>
      </c>
      <c r="G71" s="50">
        <f t="shared" ref="G71:M71" si="37">F71</f>
        <v>273942</v>
      </c>
      <c r="H71" s="50">
        <f t="shared" si="37"/>
        <v>273942</v>
      </c>
      <c r="I71" s="50">
        <f t="shared" si="37"/>
        <v>273942</v>
      </c>
      <c r="J71" s="50">
        <f t="shared" si="37"/>
        <v>273942</v>
      </c>
      <c r="K71" s="50">
        <f t="shared" si="37"/>
        <v>273942</v>
      </c>
      <c r="L71" s="50">
        <f t="shared" si="37"/>
        <v>273942</v>
      </c>
      <c r="M71" s="50">
        <f t="shared" si="37"/>
        <v>273942</v>
      </c>
    </row>
    <row r="72" spans="1:13" x14ac:dyDescent="0.25">
      <c r="A72" s="2" t="str">
        <f>B9&amp;B72</f>
        <v>Cimarex EnergyTotal current liabilities</v>
      </c>
      <c r="B72" s="76" t="s">
        <v>497</v>
      </c>
      <c r="C72" s="87"/>
      <c r="D72" s="111"/>
      <c r="E72" s="63">
        <f>SUM(E68:E71)</f>
        <v>758621</v>
      </c>
      <c r="F72" s="62">
        <f>SUM(F68:F71)</f>
        <v>741052.79012523068</v>
      </c>
      <c r="G72" s="62">
        <f>SUM(G68:G71)</f>
        <v>741052.79012523068</v>
      </c>
      <c r="H72" s="62">
        <f t="shared" ref="H72:M72" si="38">SUM(H68:H71)</f>
        <v>741052.79012523068</v>
      </c>
      <c r="I72" s="62">
        <f t="shared" si="38"/>
        <v>741052.79012523068</v>
      </c>
      <c r="J72" s="62">
        <f t="shared" si="38"/>
        <v>739556.84503571177</v>
      </c>
      <c r="K72" s="62">
        <f t="shared" si="38"/>
        <v>739556.84503571177</v>
      </c>
      <c r="L72" s="62">
        <f t="shared" si="38"/>
        <v>739556.84503571177</v>
      </c>
      <c r="M72" s="62">
        <f t="shared" si="38"/>
        <v>739556.84503571177</v>
      </c>
    </row>
    <row r="73" spans="1:13" x14ac:dyDescent="0.25">
      <c r="A73" s="2" t="str">
        <f>B9&amp;B73</f>
        <v>Cimarex EnergyLong-term debt, net</v>
      </c>
      <c r="B73" s="73" t="s">
        <v>511</v>
      </c>
      <c r="C73" s="73" t="s">
        <v>509</v>
      </c>
      <c r="D73" s="108"/>
      <c r="E73" s="83">
        <v>1985246</v>
      </c>
      <c r="F73" s="50">
        <f t="shared" ref="F73:M74" si="39">E73</f>
        <v>1985246</v>
      </c>
      <c r="G73" s="50">
        <f t="shared" si="39"/>
        <v>1985246</v>
      </c>
      <c r="H73" s="50">
        <f t="shared" si="39"/>
        <v>1985246</v>
      </c>
      <c r="I73" s="50">
        <f t="shared" si="39"/>
        <v>1985246</v>
      </c>
      <c r="J73" s="50">
        <f t="shared" si="39"/>
        <v>1985246</v>
      </c>
      <c r="K73" s="50">
        <f t="shared" si="39"/>
        <v>1985246</v>
      </c>
      <c r="L73" s="50">
        <f t="shared" si="39"/>
        <v>1985246</v>
      </c>
      <c r="M73" s="50">
        <f t="shared" si="39"/>
        <v>1985246</v>
      </c>
    </row>
    <row r="74" spans="1:13" x14ac:dyDescent="0.25">
      <c r="A74" s="2" t="str">
        <f>B9&amp;B74</f>
        <v>Cimarex EnergyAsset retirement obligations</v>
      </c>
      <c r="B74" s="73" t="s">
        <v>495</v>
      </c>
      <c r="C74" s="73" t="s">
        <v>509</v>
      </c>
      <c r="D74" s="108"/>
      <c r="E74" s="83">
        <v>154045</v>
      </c>
      <c r="F74" s="50">
        <f>E74</f>
        <v>154045</v>
      </c>
      <c r="G74" s="50">
        <f t="shared" si="39"/>
        <v>154045</v>
      </c>
      <c r="H74" s="50">
        <f t="shared" si="39"/>
        <v>154045</v>
      </c>
      <c r="I74" s="50">
        <f t="shared" si="39"/>
        <v>154045</v>
      </c>
      <c r="J74" s="50">
        <f t="shared" si="39"/>
        <v>154045</v>
      </c>
      <c r="K74" s="50">
        <f t="shared" si="39"/>
        <v>154045</v>
      </c>
      <c r="L74" s="50">
        <f t="shared" si="39"/>
        <v>154045</v>
      </c>
      <c r="M74" s="50">
        <f t="shared" si="39"/>
        <v>154045</v>
      </c>
    </row>
    <row r="75" spans="1:13" x14ac:dyDescent="0.25">
      <c r="A75" s="2" t="str">
        <f>B9&amp;B75</f>
        <v>Cimarex EnergyDerivative instruments liabilities</v>
      </c>
      <c r="B75" s="73" t="s">
        <v>811</v>
      </c>
      <c r="C75" s="95" t="s">
        <v>507</v>
      </c>
      <c r="D75" s="108"/>
      <c r="E75" s="83">
        <v>1018</v>
      </c>
      <c r="F75" s="138"/>
      <c r="G75" s="138"/>
      <c r="H75" s="138"/>
      <c r="I75" s="138"/>
      <c r="J75" s="138"/>
      <c r="K75" s="138"/>
      <c r="L75" s="138"/>
      <c r="M75" s="138"/>
    </row>
    <row r="76" spans="1:13" x14ac:dyDescent="0.25">
      <c r="A76" s="2" t="str">
        <f>B9&amp;B76</f>
        <v>Cimarex EnergyDeferred income taxes liabilities</v>
      </c>
      <c r="B76" s="73" t="s">
        <v>810</v>
      </c>
      <c r="C76" s="73" t="s">
        <v>509</v>
      </c>
      <c r="D76" s="108"/>
      <c r="E76" s="83">
        <v>338424</v>
      </c>
      <c r="F76" s="50">
        <f>E76</f>
        <v>338424</v>
      </c>
      <c r="G76" s="50">
        <f t="shared" ref="G76:M77" si="40">F76</f>
        <v>338424</v>
      </c>
      <c r="H76" s="50">
        <f t="shared" si="40"/>
        <v>338424</v>
      </c>
      <c r="I76" s="50">
        <f t="shared" si="40"/>
        <v>338424</v>
      </c>
      <c r="J76" s="50">
        <f t="shared" si="40"/>
        <v>338424</v>
      </c>
      <c r="K76" s="50">
        <f t="shared" si="40"/>
        <v>338424</v>
      </c>
      <c r="L76" s="50">
        <f t="shared" si="40"/>
        <v>338424</v>
      </c>
      <c r="M76" s="50">
        <f t="shared" si="40"/>
        <v>338424</v>
      </c>
    </row>
    <row r="77" spans="1:13" x14ac:dyDescent="0.25">
      <c r="A77" s="2" t="str">
        <f>B9&amp;B77</f>
        <v>Cimarex EnergyOther long-term liabilities</v>
      </c>
      <c r="B77" s="73" t="s">
        <v>496</v>
      </c>
      <c r="C77" s="73" t="s">
        <v>509</v>
      </c>
      <c r="D77" s="108"/>
      <c r="E77" s="83">
        <f>60742+184172</f>
        <v>244914</v>
      </c>
      <c r="F77" s="50">
        <f>E77</f>
        <v>244914</v>
      </c>
      <c r="G77" s="50">
        <f t="shared" si="40"/>
        <v>244914</v>
      </c>
      <c r="H77" s="50">
        <f t="shared" si="40"/>
        <v>244914</v>
      </c>
      <c r="I77" s="50">
        <f t="shared" si="40"/>
        <v>244914</v>
      </c>
      <c r="J77" s="50">
        <f t="shared" si="40"/>
        <v>244914</v>
      </c>
      <c r="K77" s="50">
        <f t="shared" si="40"/>
        <v>244914</v>
      </c>
      <c r="L77" s="50">
        <f t="shared" si="40"/>
        <v>244914</v>
      </c>
      <c r="M77" s="50">
        <f t="shared" si="40"/>
        <v>244914</v>
      </c>
    </row>
    <row r="78" spans="1:13" ht="11" thickBot="1" x14ac:dyDescent="0.3">
      <c r="A78" s="2" t="str">
        <f>B9&amp;B78</f>
        <v>Cimarex EnergyTotal liabilities</v>
      </c>
      <c r="B78" s="79" t="s">
        <v>499</v>
      </c>
      <c r="C78" s="79"/>
      <c r="D78" s="123"/>
      <c r="E78" s="86">
        <f>SUM(E72:E77)</f>
        <v>3482268</v>
      </c>
      <c r="F78" s="34">
        <f t="shared" ref="F78:M78" si="41">SUM(F72:F77)</f>
        <v>3463681.7901252308</v>
      </c>
      <c r="G78" s="34">
        <f t="shared" si="41"/>
        <v>3463681.7901252308</v>
      </c>
      <c r="H78" s="34">
        <f t="shared" si="41"/>
        <v>3463681.7901252308</v>
      </c>
      <c r="I78" s="34">
        <f t="shared" si="41"/>
        <v>3463681.7901252308</v>
      </c>
      <c r="J78" s="34">
        <f t="shared" si="41"/>
        <v>3462185.8450357118</v>
      </c>
      <c r="K78" s="34">
        <f t="shared" si="41"/>
        <v>3462185.8450357118</v>
      </c>
      <c r="L78" s="34">
        <f t="shared" si="41"/>
        <v>3462185.8450357118</v>
      </c>
      <c r="M78" s="34">
        <f t="shared" si="41"/>
        <v>3462185.8450357118</v>
      </c>
    </row>
    <row r="79" spans="1:13" ht="11" thickTop="1" x14ac:dyDescent="0.25"/>
    <row r="80" spans="1:13" x14ac:dyDescent="0.25">
      <c r="A80" s="2" t="str">
        <f>B9&amp;B80</f>
        <v>Cimarex EnergyNet (loss) Income cashflow</v>
      </c>
      <c r="B80" s="80" t="s">
        <v>572</v>
      </c>
      <c r="C80" s="135" t="s">
        <v>540</v>
      </c>
      <c r="D80" s="117"/>
      <c r="E80" s="83">
        <f>E49</f>
        <v>-31154.75</v>
      </c>
      <c r="F80" s="50">
        <f t="shared" ref="F80:M80" si="42">F49</f>
        <v>-107719.83834913393</v>
      </c>
      <c r="G80" s="50">
        <f t="shared" si="42"/>
        <v>-304807.35296432604</v>
      </c>
      <c r="H80" s="50">
        <f t="shared" si="42"/>
        <v>-289639.74292354519</v>
      </c>
      <c r="I80" s="50">
        <f t="shared" si="42"/>
        <v>-274472.13288276427</v>
      </c>
      <c r="J80" s="50">
        <f t="shared" si="42"/>
        <v>-251589.87666525546</v>
      </c>
      <c r="K80" s="50">
        <f t="shared" si="42"/>
        <v>-236656.64636250038</v>
      </c>
      <c r="L80" s="50">
        <f t="shared" si="42"/>
        <v>-221715.10397458065</v>
      </c>
      <c r="M80" s="50">
        <f t="shared" si="42"/>
        <v>-221715.10397458065</v>
      </c>
    </row>
    <row r="81" spans="1:13" x14ac:dyDescent="0.25">
      <c r="A81" s="2" t="str">
        <f>B9&amp;B81</f>
        <v>Cimarex EnergyChange in Net working capital</v>
      </c>
      <c r="B81" s="68" t="s">
        <v>500</v>
      </c>
      <c r="C81" s="136" t="s">
        <v>565</v>
      </c>
      <c r="D81" s="118"/>
      <c r="E81" s="83">
        <f>(65128-739-184563-2797)/4</f>
        <v>-30742.75</v>
      </c>
      <c r="F81" s="50">
        <f>(F60-F72)-(E60-E72)</f>
        <v>-195194.95695658872</v>
      </c>
      <c r="G81" s="50">
        <f t="shared" ref="G81:M81" si="43">(G60-G72)-(F60-F72)</f>
        <v>-514546.21912977967</v>
      </c>
      <c r="H81" s="50">
        <f t="shared" si="43"/>
        <v>-273600.26635537588</v>
      </c>
      <c r="I81" s="50">
        <f t="shared" si="43"/>
        <v>-258432.65631459467</v>
      </c>
      <c r="J81" s="50">
        <f t="shared" si="43"/>
        <v>-239092.01945842151</v>
      </c>
      <c r="K81" s="50">
        <f t="shared" si="43"/>
        <v>-220865.85285508842</v>
      </c>
      <c r="L81" s="50">
        <f t="shared" si="43"/>
        <v>-205924.31046716822</v>
      </c>
      <c r="M81" s="50">
        <f t="shared" si="43"/>
        <v>-221715.10397458053</v>
      </c>
    </row>
    <row r="82" spans="1:13" x14ac:dyDescent="0.25">
      <c r="A82" s="2" t="str">
        <f>B9&amp;B82</f>
        <v>Cimarex EnergyDD&amp;A cashflow</v>
      </c>
      <c r="B82" s="68" t="s">
        <v>816</v>
      </c>
      <c r="C82" s="136" t="s">
        <v>566</v>
      </c>
      <c r="D82" s="118"/>
      <c r="E82" s="83">
        <f>E32</f>
        <v>220543.25</v>
      </c>
      <c r="F82" s="50">
        <f>$E$82*F$32/$E$32</f>
        <v>216551.65168882671</v>
      </c>
      <c r="G82" s="50">
        <f t="shared" ref="G82:M82" si="44">$E$82*G$32/$E$32</f>
        <v>216551.65168882671</v>
      </c>
      <c r="H82" s="50">
        <f t="shared" si="44"/>
        <v>216551.65168882671</v>
      </c>
      <c r="I82" s="50">
        <f t="shared" si="44"/>
        <v>216551.65168882671</v>
      </c>
      <c r="J82" s="50">
        <f t="shared" si="44"/>
        <v>209821.32545741016</v>
      </c>
      <c r="K82" s="50">
        <f t="shared" si="44"/>
        <v>209821.32545741016</v>
      </c>
      <c r="L82" s="50">
        <f t="shared" si="44"/>
        <v>209821.32545741016</v>
      </c>
      <c r="M82" s="50">
        <f t="shared" si="44"/>
        <v>209821.32545741016</v>
      </c>
    </row>
    <row r="83" spans="1:13" x14ac:dyDescent="0.25">
      <c r="A83" s="2" t="str">
        <f>B9&amp;B83</f>
        <v>Cimarex EnergyImpairment cashflow</v>
      </c>
      <c r="B83" s="68" t="s">
        <v>571</v>
      </c>
      <c r="C83" s="136" t="s">
        <v>566</v>
      </c>
      <c r="D83" s="118"/>
      <c r="E83" s="83">
        <f>E31</f>
        <v>154673.25</v>
      </c>
      <c r="F83" s="50">
        <f>$E$83*F$31/$E$31</f>
        <v>154673.25</v>
      </c>
      <c r="G83" s="50">
        <f t="shared" ref="G83:M83" si="45">$E$83*G$31/$E$31</f>
        <v>154673.25</v>
      </c>
      <c r="H83" s="50">
        <f t="shared" si="45"/>
        <v>154673.25</v>
      </c>
      <c r="I83" s="50">
        <f t="shared" si="45"/>
        <v>154673.25</v>
      </c>
      <c r="J83" s="50">
        <f t="shared" si="45"/>
        <v>154673.25</v>
      </c>
      <c r="K83" s="50">
        <f t="shared" si="45"/>
        <v>154673.25</v>
      </c>
      <c r="L83" s="50">
        <f t="shared" si="45"/>
        <v>154673.25</v>
      </c>
      <c r="M83" s="50">
        <f t="shared" si="45"/>
        <v>154673.25</v>
      </c>
    </row>
    <row r="84" spans="1:13" x14ac:dyDescent="0.25">
      <c r="A84" s="2" t="str">
        <f>B9&amp;B84</f>
        <v>Cimarex EnergyOther non-cash items</v>
      </c>
      <c r="B84" s="68" t="s">
        <v>501</v>
      </c>
      <c r="C84" s="136" t="s">
        <v>880</v>
      </c>
      <c r="D84" s="118"/>
      <c r="E84" s="83">
        <f>(8586-26902+26398+76850-13131+4250+14639)/4</f>
        <v>22672.5</v>
      </c>
      <c r="F84" s="188">
        <f>$E$84+F34-$E$34</f>
        <v>22378.301289977964</v>
      </c>
      <c r="G84" s="188">
        <f t="shared" ref="G84:M84" si="46">$E$84+G34-$E$34</f>
        <v>21980.531772938954</v>
      </c>
      <c r="H84" s="188">
        <f t="shared" si="46"/>
        <v>22006.345382000174</v>
      </c>
      <c r="I84" s="188">
        <f t="shared" si="46"/>
        <v>22032.158991061391</v>
      </c>
      <c r="J84" s="188">
        <f t="shared" si="46"/>
        <v>21871.962390684006</v>
      </c>
      <c r="K84" s="188">
        <f t="shared" si="46"/>
        <v>21896.973724588988</v>
      </c>
      <c r="L84" s="188">
        <f t="shared" si="46"/>
        <v>21921.98505849397</v>
      </c>
      <c r="M84" s="188">
        <f t="shared" si="46"/>
        <v>21921.98505849397</v>
      </c>
    </row>
    <row r="85" spans="1:13" x14ac:dyDescent="0.25">
      <c r="A85" s="2" t="str">
        <f>B9&amp;B85</f>
        <v>Cimarex EnergyDry hole cashflow</v>
      </c>
      <c r="B85" s="68" t="s">
        <v>817</v>
      </c>
      <c r="C85" s="136" t="s">
        <v>567</v>
      </c>
      <c r="D85" s="118"/>
      <c r="E85" s="83">
        <v>0</v>
      </c>
      <c r="F85" s="50">
        <f>IF($E$85&gt;0, $E$85*F39/$E$39,0)</f>
        <v>0</v>
      </c>
      <c r="G85" s="50">
        <f t="shared" ref="G85:M85" si="47">IF($E$85&gt;0, $E$85*G39/$E$39,0)</f>
        <v>0</v>
      </c>
      <c r="H85" s="50">
        <f t="shared" si="47"/>
        <v>0</v>
      </c>
      <c r="I85" s="50">
        <f t="shared" si="47"/>
        <v>0</v>
      </c>
      <c r="J85" s="50">
        <f t="shared" si="47"/>
        <v>0</v>
      </c>
      <c r="K85" s="50">
        <f t="shared" si="47"/>
        <v>0</v>
      </c>
      <c r="L85" s="50">
        <f t="shared" si="47"/>
        <v>0</v>
      </c>
      <c r="M85" s="50">
        <f t="shared" si="47"/>
        <v>0</v>
      </c>
    </row>
    <row r="86" spans="1:13" x14ac:dyDescent="0.25">
      <c r="A86" s="2" t="str">
        <f>B9&amp;B86</f>
        <v>Cimarex Energymarket to market contracts</v>
      </c>
      <c r="B86" s="68" t="s">
        <v>562</v>
      </c>
      <c r="C86" s="158" t="s">
        <v>507</v>
      </c>
      <c r="D86" s="118"/>
      <c r="E86" s="83">
        <v>0</v>
      </c>
      <c r="F86" s="50">
        <f>E86</f>
        <v>0</v>
      </c>
      <c r="G86" s="50">
        <f t="shared" ref="G86:M86" si="48">F86</f>
        <v>0</v>
      </c>
      <c r="H86" s="50">
        <f t="shared" si="48"/>
        <v>0</v>
      </c>
      <c r="I86" s="50">
        <f t="shared" si="48"/>
        <v>0</v>
      </c>
      <c r="J86" s="50">
        <f t="shared" si="48"/>
        <v>0</v>
      </c>
      <c r="K86" s="50">
        <f t="shared" si="48"/>
        <v>0</v>
      </c>
      <c r="L86" s="50">
        <f t="shared" si="48"/>
        <v>0</v>
      </c>
      <c r="M86" s="50">
        <f t="shared" si="48"/>
        <v>0</v>
      </c>
    </row>
    <row r="87" spans="1:13" x14ac:dyDescent="0.25">
      <c r="A87" s="2" t="str">
        <f>B9&amp;B87</f>
        <v>Cimarex EnergyCash flow from operations</v>
      </c>
      <c r="B87" s="142" t="s">
        <v>502</v>
      </c>
      <c r="C87" s="143" t="s">
        <v>540</v>
      </c>
      <c r="D87" s="118"/>
      <c r="E87" s="63">
        <f>1343966/4</f>
        <v>335991.5</v>
      </c>
      <c r="F87" s="62">
        <f>SUM(F80:F86)</f>
        <v>90688.407673082052</v>
      </c>
      <c r="G87" s="62">
        <f t="shared" ref="G87:M87" si="49">SUM(G80:G86)</f>
        <v>-426148.13863233995</v>
      </c>
      <c r="H87" s="62">
        <f>SUM(H80:H86)</f>
        <v>-170008.76220809415</v>
      </c>
      <c r="I87" s="62">
        <f t="shared" si="49"/>
        <v>-139647.72851747088</v>
      </c>
      <c r="J87" s="62">
        <f t="shared" si="49"/>
        <v>-104315.35827558284</v>
      </c>
      <c r="K87" s="62">
        <f t="shared" si="49"/>
        <v>-71130.95003558966</v>
      </c>
      <c r="L87" s="62">
        <f t="shared" si="49"/>
        <v>-41222.853925844742</v>
      </c>
      <c r="M87" s="62">
        <f t="shared" si="49"/>
        <v>-57013.647433257051</v>
      </c>
    </row>
    <row r="88" spans="1:13" x14ac:dyDescent="0.25">
      <c r="A88" s="2" t="str">
        <f>B9&amp;B88</f>
        <v>Cimarex EnergyCapex</v>
      </c>
      <c r="B88" s="68" t="s">
        <v>277</v>
      </c>
      <c r="C88" s="73" t="s">
        <v>534</v>
      </c>
      <c r="D88" s="118"/>
      <c r="E88" s="83">
        <f>IF($B$2="A3",SUMIFS('$33Econ'!$H$8:$H$8001,'$33Econ'!$A$8:$A$8001,$B$9,'$33Econ'!$G$8:$G$8001,$B88)*1000/4,SUMIFS('$22Econ'!$H$8:$H$8001,'$22Econ'!$A$8:$A$8001,$B$9,'$22Econ'!$G$8:$G$8001,$B88)*1000/4)</f>
        <v>260866.44935000004</v>
      </c>
      <c r="F88" s="50">
        <f>IF($B$2="A3",SUMIFS('$33Econ'!$I$8:$I$8001,'$33Econ'!$A$8:$A$8001,$B$9,'$33Econ'!$G$8:$G$8001,$B88)*1000/4,SUMIFS('$22Econ'!$I$8:$I$8001,'$22Econ'!$A$8:$A$8001,$B$9,'$22Econ'!$G$8:$G$8001,$B88)*1000/4)</f>
        <v>58838.443800000001</v>
      </c>
      <c r="G88" s="50">
        <f>IF($B$2="A3",SUMIFS('$33Econ'!$I$8:$I$8001,'$33Econ'!$A$8:$A$8001,$B$9,'$33Econ'!$G$8:$G$8001,$B88)*1000/4,SUMIFS('$22Econ'!$I$8:$I$8001,'$22Econ'!$A$8:$A$8001,$B$9,'$22Econ'!$G$8:$G$8001,$B88)*1000/4)</f>
        <v>58838.443800000001</v>
      </c>
      <c r="H88" s="50">
        <f>IF($B$2="A3",SUMIFS('$33Econ'!$I$8:$I$8001,'$33Econ'!$A$8:$A$8001,$B$9,'$33Econ'!$G$8:$G$8001,$B88)*1000/4,SUMIFS('$22Econ'!$I$8:$I$8001,'$22Econ'!$A$8:$A$8001,$B$9,'$22Econ'!$G$8:$G$8001,$B88)*1000/4)</f>
        <v>58838.443800000001</v>
      </c>
      <c r="I88" s="50">
        <f>IF($B$2="A3",SUMIFS('$33Econ'!$I$8:$I$8001,'$33Econ'!$A$8:$A$8001,$B$9,'$33Econ'!$G$8:$G$8001,$B88)*1000/4,SUMIFS('$22Econ'!$I$8:$I$8001,'$22Econ'!$A$8:$A$8001,$B$9,'$22Econ'!$G$8:$G$8001,$B88)*1000/4)</f>
        <v>58838.443800000001</v>
      </c>
      <c r="J88" s="50">
        <f>IF($B$2="A3",SUMIFS('$33Econ'!$J$8:$J$8001,'$33Econ'!$A$8:$A$8001,$B$9,'$33Econ'!$G$8:$G$8001,$B88)*1000/4,SUMIFS('$22Econ'!$J$8:$J$8001,'$22Econ'!$A$8:$A$8001,$B$9,'$22Econ'!$G$8:$G$8001,$B88)*1000/4)</f>
        <v>22821.842325000001</v>
      </c>
      <c r="K88" s="50">
        <f t="shared" ref="K88:M88" si="50">J88</f>
        <v>22821.842325000001</v>
      </c>
      <c r="L88" s="50">
        <f t="shared" si="50"/>
        <v>22821.842325000001</v>
      </c>
      <c r="M88" s="50">
        <f t="shared" si="50"/>
        <v>22821.842325000001</v>
      </c>
    </row>
    <row r="89" spans="1:13" x14ac:dyDescent="0.25">
      <c r="A89" s="2" t="str">
        <f>B9&amp;B89</f>
        <v>Cimarex EnergyExploration Capex</v>
      </c>
      <c r="B89" s="68" t="s">
        <v>278</v>
      </c>
      <c r="C89" s="73" t="s">
        <v>534</v>
      </c>
      <c r="D89" s="118"/>
      <c r="E89" s="83">
        <f>IF($B$2="A3",SUMIFS('$33Econ'!$H$8:$H$8001,'$33Econ'!$A$8:$A$8001,$B$9,'$33Econ'!$G$8:$G$8001,$B89)*1000/4,SUMIFS('$22Econ'!$H$8:$H$8001,'$22Econ'!$A$8:$A$8001,$B$9,'$22Econ'!$G$8:$G$8001,$B89)*1000/4)</f>
        <v>49346.28349999999</v>
      </c>
      <c r="F89" s="33">
        <f>(1-INDEX(Assumptions!$A$2:$K$596,MATCH($B9&amp;"Capex reduction",Assumptions!$A$2:$A$596,0),MATCH(F$2,Assumptions!$A$2:$K$2,0))) *IF($B$2="A3",SUMIFS('$33Econ'!$I$8:$I$8001,'$33Econ'!$A$8:$A$8001,$B$9,'$33Econ'!$G$8:$G$8001,$B89)*1000/4,SUMIFS('$22Econ'!$I$8:$I$8001,'$22Econ'!$A$8:$A$8001,$B$9,'$22Econ'!$G$8:$G$8001,$B89)*1000/4)</f>
        <v>21182.409250000004</v>
      </c>
      <c r="G89" s="33">
        <f>(1-INDEX(Assumptions!$A$2:$K$596,MATCH($B9&amp;"Capex reduction",Assumptions!$A$2:$A$596,0),MATCH(G$2,Assumptions!$A$2:$K$2,0))) *IF($B$2="A3",SUMIFS('$33Econ'!$I$8:$I$8001,'$33Econ'!$A$8:$A$8001,$B$9,'$33Econ'!$G$8:$G$8001,$B89)*1000/4,SUMIFS('$22Econ'!$I$8:$I$8001,'$22Econ'!$A$8:$A$8001,$B$9,'$22Econ'!$G$8:$G$8001,$B89)*1000/4)</f>
        <v>21182.409250000004</v>
      </c>
      <c r="H89" s="33">
        <f>(1-INDEX(Assumptions!$A$2:$K$596,MATCH($B9&amp;"Capex reduction",Assumptions!$A$2:$A$596,0),MATCH(H$2,Assumptions!$A$2:$K$2,0))) *IF($B$2="A3",SUMIFS('$33Econ'!$I$8:$I$8001,'$33Econ'!$A$8:$A$8001,$B$9,'$33Econ'!$G$8:$G$8001,$B89)*1000/4,SUMIFS('$22Econ'!$I$8:$I$8001,'$22Econ'!$A$8:$A$8001,$B$9,'$22Econ'!$G$8:$G$8001,$B89)*1000/4)</f>
        <v>21182.409250000004</v>
      </c>
      <c r="I89" s="33">
        <f>(1-INDEX(Assumptions!$A$2:$K$596,MATCH($B9&amp;"Capex reduction",Assumptions!$A$2:$A$596,0),MATCH(I$2,Assumptions!$A$2:$K$2,0))) *IF($B$2="A3",SUMIFS('$33Econ'!$I$8:$I$8001,'$33Econ'!$A$8:$A$8001,$B$9,'$33Econ'!$G$8:$G$8001,$B89)*1000/4,SUMIFS('$22Econ'!$I$8:$I$8001,'$22Econ'!$A$8:$A$8001,$B$9,'$22Econ'!$G$8:$G$8001,$B89)*1000/4)</f>
        <v>21182.409250000004</v>
      </c>
      <c r="J89" s="33">
        <f>(1-INDEX(Assumptions!$A$2:$K$596,MATCH($B9&amp;"Capex reduction",Assumptions!$A$2:$A$596,0),MATCH(J$2,Assumptions!$A$2:$K$2,0))) *IF($B$2="A3",SUMIFS('$33Econ'!$J$8:$J$8001,'$33Econ'!$A$8:$A$8001,$B$9,'$33Econ'!$G$8:$G$8001,$B89)*1000/4,SUMIFS('$22Econ'!$J$8:$J$8001,'$22Econ'!$A$8:$A$8001,$B$9,'$22Econ'!$G$8:$G$8001,$B89)*1000/4)</f>
        <v>21677.275000000005</v>
      </c>
      <c r="K89" s="33">
        <f>(1-INDEX(Assumptions!$A$2:$K$596,MATCH($B9&amp;"Capex reduction",Assumptions!$A$2:$A$596,0),MATCH(K$2,Assumptions!$A$2:$K$2,0))) *IF($B$2="A3",SUMIFS('$33Econ'!$J$8:$J$8001,'$33Econ'!$A$8:$A$8001,$B$9,'$33Econ'!$G$8:$G$8001,$B89)*1000/4,SUMIFS('$22Econ'!$J$8:$J$8001,'$22Econ'!$A$8:$A$8001,$B$9,'$22Econ'!$G$8:$G$8001,$B89)*1000/4)</f>
        <v>21677.275000000005</v>
      </c>
      <c r="L89" s="33">
        <f>(1-INDEX(Assumptions!$A$2:$K$596,MATCH($B9&amp;"Capex reduction",Assumptions!$A$2:$A$596,0),MATCH(L$2,Assumptions!$A$2:$K$2,0))) *IF($B$2="A3",SUMIFS('$33Econ'!$J$8:$J$8001,'$33Econ'!$A$8:$A$8001,$B$9,'$33Econ'!$G$8:$G$8001,$B89)*1000/4,SUMIFS('$22Econ'!$J$8:$J$8001,'$22Econ'!$A$8:$A$8001,$B$9,'$22Econ'!$G$8:$G$8001,$B89)*1000/4)</f>
        <v>21677.275000000005</v>
      </c>
      <c r="M89" s="33">
        <f>(1-INDEX(Assumptions!$A$2:$K$596,MATCH($B9&amp;"Capex reduction",Assumptions!$A$2:$A$596,0),MATCH(M$2,Assumptions!$A$2:$K$2,0))) *IF($B$2="A3",SUMIFS('$33Econ'!$J$8:$J$8001,'$33Econ'!$A$8:$A$8001,$B$9,'$33Econ'!$G$8:$G$8001,$B89)*1000/4,SUMIFS('$22Econ'!$J$8:$J$8001,'$22Econ'!$A$8:$A$8001,$B$9,'$22Econ'!$G$8:$G$8001,$B89)*1000/4)</f>
        <v>21677.275000000005</v>
      </c>
    </row>
    <row r="90" spans="1:13" ht="11" thickBot="1" x14ac:dyDescent="0.3">
      <c r="A90" s="2" t="str">
        <f>B9&amp;B90</f>
        <v>Cimarex EnergyFree Cash Flow (FCF)</v>
      </c>
      <c r="B90" s="69" t="s">
        <v>458</v>
      </c>
      <c r="C90" s="69" t="s">
        <v>512</v>
      </c>
      <c r="D90" s="119"/>
      <c r="E90" s="86">
        <f>SUM(E87:E89)</f>
        <v>646204.23285000003</v>
      </c>
      <c r="F90" s="34">
        <f>SUM(F87:F89)</f>
        <v>170709.26072308206</v>
      </c>
      <c r="G90" s="34">
        <f t="shared" ref="G90:M90" si="51">SUM(G87:G89)</f>
        <v>-346127.28558233991</v>
      </c>
      <c r="H90" s="34">
        <f t="shared" si="51"/>
        <v>-89987.909158094146</v>
      </c>
      <c r="I90" s="34">
        <f t="shared" si="51"/>
        <v>-59626.875467470869</v>
      </c>
      <c r="J90" s="34">
        <f t="shared" si="51"/>
        <v>-59816.240950582825</v>
      </c>
      <c r="K90" s="34">
        <f t="shared" si="51"/>
        <v>-26631.83271058965</v>
      </c>
      <c r="L90" s="34">
        <f t="shared" si="51"/>
        <v>3276.2633991552648</v>
      </c>
      <c r="M90" s="34">
        <f t="shared" si="51"/>
        <v>-12514.53010825704</v>
      </c>
    </row>
    <row r="91" spans="1:13" ht="11" thickTop="1" x14ac:dyDescent="0.25">
      <c r="I91" s="154"/>
      <c r="M91" s="154"/>
    </row>
    <row r="92" spans="1:13" x14ac:dyDescent="0.25">
      <c r="A92" s="2" t="str">
        <f>B9&amp;B92</f>
        <v>Cimarex EnergyEBITDA</v>
      </c>
      <c r="B92" s="80" t="s">
        <v>428</v>
      </c>
      <c r="C92" s="144" t="s">
        <v>540</v>
      </c>
      <c r="D92" s="117"/>
      <c r="E92" s="83">
        <f>(E29-E41)+E32</f>
        <v>210924.25</v>
      </c>
      <c r="F92" s="50">
        <f>(F29-F41)+F32</f>
        <v>116153.52578147376</v>
      </c>
      <c r="G92" s="50">
        <f t="shared" ref="G92:M92" si="52">(G29-G41)+G32</f>
        <v>-122502.74382452617</v>
      </c>
      <c r="H92" s="50">
        <f t="shared" si="52"/>
        <v>-104125.59208644883</v>
      </c>
      <c r="I92" s="50">
        <f t="shared" si="52"/>
        <v>-85748.440348371427</v>
      </c>
      <c r="J92" s="50">
        <f t="shared" si="52"/>
        <v>-66916.429985149851</v>
      </c>
      <c r="K92" s="50">
        <f t="shared" si="52"/>
        <v>-48813.182939277234</v>
      </c>
      <c r="L92" s="50">
        <f t="shared" si="52"/>
        <v>-30709.935893404501</v>
      </c>
      <c r="M92" s="50">
        <f t="shared" si="52"/>
        <v>-30709.935893404501</v>
      </c>
    </row>
    <row r="93" spans="1:13" x14ac:dyDescent="0.25">
      <c r="A93" s="2" t="str">
        <f>B9&amp;B93</f>
        <v>Cimarex EnergyExploration capex</v>
      </c>
      <c r="B93" s="68" t="s">
        <v>519</v>
      </c>
      <c r="C93" s="68" t="s">
        <v>534</v>
      </c>
      <c r="D93" s="118"/>
      <c r="E93" s="83">
        <f>E89</f>
        <v>49346.28349999999</v>
      </c>
      <c r="F93" s="83">
        <f t="shared" ref="F93:M93" si="53">F89</f>
        <v>21182.409250000004</v>
      </c>
      <c r="G93" s="83">
        <f t="shared" si="53"/>
        <v>21182.409250000004</v>
      </c>
      <c r="H93" s="83">
        <f t="shared" si="53"/>
        <v>21182.409250000004</v>
      </c>
      <c r="I93" s="83">
        <f t="shared" si="53"/>
        <v>21182.409250000004</v>
      </c>
      <c r="J93" s="83">
        <f t="shared" si="53"/>
        <v>21677.275000000005</v>
      </c>
      <c r="K93" s="83">
        <f t="shared" si="53"/>
        <v>21677.275000000005</v>
      </c>
      <c r="L93" s="83">
        <f t="shared" si="53"/>
        <v>21677.275000000005</v>
      </c>
      <c r="M93" s="83">
        <f t="shared" si="53"/>
        <v>21677.275000000005</v>
      </c>
    </row>
    <row r="94" spans="1:13" x14ac:dyDescent="0.25">
      <c r="A94" s="2" t="str">
        <f>B9&amp;B94</f>
        <v>Cimarex EnergyEBITDAX</v>
      </c>
      <c r="B94" s="306" t="s">
        <v>459</v>
      </c>
      <c r="C94" s="306" t="s">
        <v>512</v>
      </c>
      <c r="D94" s="307"/>
      <c r="E94" s="308">
        <f>SUM(E92:E93)</f>
        <v>260270.53349999999</v>
      </c>
      <c r="F94" s="309">
        <f t="shared" ref="F94:M94" si="54">SUM(F92:F93)</f>
        <v>137335.93503147375</v>
      </c>
      <c r="G94" s="309">
        <f t="shared" si="54"/>
        <v>-101320.33457452618</v>
      </c>
      <c r="H94" s="309">
        <f t="shared" si="54"/>
        <v>-82943.182836448832</v>
      </c>
      <c r="I94" s="309">
        <f t="shared" si="54"/>
        <v>-64566.031098371423</v>
      </c>
      <c r="J94" s="309">
        <f t="shared" si="54"/>
        <v>-45239.154985149842</v>
      </c>
      <c r="K94" s="309">
        <f t="shared" si="54"/>
        <v>-27135.907939277229</v>
      </c>
      <c r="L94" s="309">
        <f t="shared" si="54"/>
        <v>-9032.6608934044962</v>
      </c>
      <c r="M94" s="309">
        <f t="shared" si="54"/>
        <v>-9032.6608934044962</v>
      </c>
    </row>
    <row r="95" spans="1:13" x14ac:dyDescent="0.25">
      <c r="A95" s="53" t="str">
        <f>B9&amp;B95</f>
        <v>Cimarex EnergyDebt/EBITDAX</v>
      </c>
      <c r="B95" s="310" t="s">
        <v>947</v>
      </c>
      <c r="C95" s="310" t="s">
        <v>512</v>
      </c>
      <c r="D95" s="123"/>
      <c r="E95" s="120">
        <f>(E73+E68)/(E94*4)</f>
        <v>1.9539918451813525</v>
      </c>
      <c r="F95" s="121"/>
      <c r="G95" s="121"/>
      <c r="H95" s="121"/>
      <c r="I95" s="121">
        <f>(AVERAGE(F73:I73)+AVERAGE(F68:I68))/SUM(F92:I92)</f>
        <v>-10.362578263142812</v>
      </c>
      <c r="J95" s="121"/>
      <c r="K95" s="121"/>
      <c r="L95" s="121"/>
      <c r="M95" s="121">
        <f>(AVERAGE(J73:M73)+AVERAGE(J68:M68))/SUM(J92:M92)</f>
        <v>-11.469877252806004</v>
      </c>
    </row>
    <row r="96" spans="1:13" s="49" customFormat="1" x14ac:dyDescent="0.25">
      <c r="D96" s="124"/>
    </row>
    <row r="97" spans="1:13" x14ac:dyDescent="0.25">
      <c r="A97" s="2" t="str">
        <f>B9&amp;B97</f>
        <v>Cimarex EnergyCash dividends paid</v>
      </c>
      <c r="B97" s="91" t="s">
        <v>521</v>
      </c>
      <c r="C97" s="53" t="s">
        <v>546</v>
      </c>
      <c r="D97" s="122"/>
      <c r="E97" s="83">
        <f>-81709/4</f>
        <v>-20427.25</v>
      </c>
      <c r="F97" s="50">
        <f>E97*(1-INDEX(Assumptions!$A$2:$K$596,MATCH($B9&amp;"Dividend reduction",Assumptions!$A$2:$A$596,0),MATCH(F$2,Assumptions!$A$2:$K$2,0)))</f>
        <v>-20427.25</v>
      </c>
      <c r="G97" s="50">
        <f>F97*(1-INDEX(Assumptions!$A$2:$K$596,MATCH($B9&amp;"Dividend reduction",Assumptions!$A$2:$A$596,0),MATCH(G$2,Assumptions!$A$2:$K$2,0)))</f>
        <v>-20427.25</v>
      </c>
      <c r="H97" s="50">
        <f>G97*(1-INDEX(Assumptions!$A$2:$K$596,MATCH($B9&amp;"Dividend reduction",Assumptions!$A$2:$A$596,0),MATCH(H$2,Assumptions!$A$2:$K$2,0)))</f>
        <v>-20427.25</v>
      </c>
      <c r="I97" s="50">
        <f>H97*(1-INDEX(Assumptions!$A$2:$K$596,MATCH($B9&amp;"Dividend reduction",Assumptions!$A$2:$A$596,0),MATCH(I$2,Assumptions!$A$2:$K$2,0)))</f>
        <v>-20427.25</v>
      </c>
      <c r="J97" s="50">
        <f>I97*(1-INDEX(Assumptions!$A$2:$K$596,MATCH($B9&amp;"Dividend reduction",Assumptions!$A$2:$A$596,0),MATCH(J$2,Assumptions!$A$2:$K$2,0)))</f>
        <v>-20427.25</v>
      </c>
      <c r="K97" s="50">
        <f>J97*(1-INDEX(Assumptions!$A$2:$K$596,MATCH($B9&amp;"Dividend reduction",Assumptions!$A$2:$A$596,0),MATCH(K$2,Assumptions!$A$2:$K$2,0)))</f>
        <v>-20427.25</v>
      </c>
      <c r="L97" s="50">
        <f>K97*(1-INDEX(Assumptions!$A$2:$K$596,MATCH($B9&amp;"Dividend reduction",Assumptions!$A$2:$A$596,0),MATCH(L$2,Assumptions!$A$2:$K$2,0)))</f>
        <v>-20427.25</v>
      </c>
      <c r="M97" s="50">
        <f>L97*(1-INDEX(Assumptions!$A$2:$K$596,MATCH($B9&amp;"Dividend reduction",Assumptions!$A$2:$A$596,0),MATCH(M$2,Assumptions!$A$2:$K$2,0)))</f>
        <v>-20427.25</v>
      </c>
    </row>
    <row r="99" spans="1:13" x14ac:dyDescent="0.25">
      <c r="A99" s="2" t="str">
        <f>B9&amp;B99</f>
        <v>Cimarex EnergyOhlson's O-Score</v>
      </c>
      <c r="B99" s="80" t="s">
        <v>427</v>
      </c>
      <c r="C99" s="80" t="s">
        <v>512</v>
      </c>
      <c r="D99" s="117"/>
      <c r="E99" s="130"/>
      <c r="F99" s="130"/>
      <c r="G99" s="130"/>
      <c r="H99" s="130"/>
      <c r="I99" s="99">
        <f>-1.32-0.407*(LN($I66*1000/(36.32+2.11*'Quarterly Forecasts'!$K$15)))+6.03*($I78/$I66)-1.43*(($I60-$I72)/$I66)+0.0757*($I72/$I60)-2.37*(SUM($F49:$I49)/$I66)-1.83*(SUM($F92:$I92)/$I78)+0.285*(IF(AND(SUM($F49:$I49)&lt;0,($E49*4)&lt;0),1,0))-0.521*((SUM($F49:$I49)-($E49*4))/(ABS(SUM($F49:$I49))+ABS($E49*4)))-1.72*(IF($I78&gt;$I66,1,0))</f>
        <v>-2.9022587145112726</v>
      </c>
      <c r="J99" s="130"/>
      <c r="K99" s="130"/>
      <c r="L99" s="130"/>
      <c r="M99" s="99">
        <f>-1.32-0.407*(LN($M66*1000/(36.32+2.11*'Quarterly Forecasts'!$K$15)))+6.03*($M78/$M66)-1.43*(($M60-$M72)/$M66)+0.0757*($M72/$M60)-2.37*(SUM($J49:$M49)/$M66)-1.83*(SUM($J92:$M92)/$M78)+0.285*(IF(AND(SUM($J49:$M49)&lt;0,(SUM($F49:$I49))&lt;0),1,0))-0.521*((SUM($J49:$M49)-(SUM($F49:$I49)))/(ABS(SUM($J49:$M49))+ABS(SUM($F49:$I49))))-1.72*(IF($M78&gt;$M66,1,0))</f>
        <v>-2.215896503357075</v>
      </c>
    </row>
    <row r="100" spans="1:13" ht="11" thickBot="1" x14ac:dyDescent="0.3">
      <c r="A100" s="2" t="str">
        <f>B9&amp;B100</f>
        <v>Cimarex EnergyProbability of default (PD)</v>
      </c>
      <c r="B100" s="81" t="s">
        <v>504</v>
      </c>
      <c r="C100" s="98" t="s">
        <v>512</v>
      </c>
      <c r="D100" s="110"/>
      <c r="E100" s="131"/>
      <c r="F100" s="131"/>
      <c r="G100" s="131"/>
      <c r="H100" s="131"/>
      <c r="I100" s="126">
        <f>EXP(I99)/(1+EXP(I99))</f>
        <v>5.2042019638913611E-2</v>
      </c>
      <c r="J100" s="131"/>
      <c r="K100" s="131"/>
      <c r="L100" s="131"/>
      <c r="M100" s="126">
        <f>EXP(M99)/(1+EXP(M99))</f>
        <v>9.8332032782161807E-2</v>
      </c>
    </row>
    <row r="101" spans="1:13" ht="11" thickTop="1" x14ac:dyDescent="0.25"/>
  </sheetData>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AF761-EA96-4189-9F54-1A42BECF2BA9}">
  <sheetPr codeName="Sheet7">
    <tabColor rgb="FF002060"/>
  </sheetPr>
  <dimension ref="A1"/>
  <sheetViews>
    <sheetView showGridLines="0" workbookViewId="0"/>
  </sheetViews>
  <sheetFormatPr defaultColWidth="8.81640625" defaultRowHeight="14.5" x14ac:dyDescent="0.35"/>
  <cols>
    <col min="1" max="16384" width="8.81640625" style="51"/>
  </cols>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E532E-F77D-454F-B9E4-61F27ECDB417}">
  <sheetPr codeName="Sheet4">
    <tabColor theme="9"/>
  </sheetPr>
  <dimension ref="A1"/>
  <sheetViews>
    <sheetView showGridLines="0" workbookViewId="0">
      <selection activeCell="H11" sqref="H11"/>
    </sheetView>
  </sheetViews>
  <sheetFormatPr defaultColWidth="8.81640625" defaultRowHeight="14.5" x14ac:dyDescent="0.35"/>
  <cols>
    <col min="1" max="16384" width="8.81640625" style="5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9464-A0CC-4925-9F50-B4BAC088E2B9}">
  <dimension ref="A1:K234"/>
  <sheetViews>
    <sheetView showGridLines="0" topLeftCell="A81" zoomScale="103" zoomScaleNormal="130" workbookViewId="0">
      <selection activeCell="B210" sqref="B210"/>
    </sheetView>
  </sheetViews>
  <sheetFormatPr defaultColWidth="8.81640625" defaultRowHeight="10.5" x14ac:dyDescent="0.25"/>
  <cols>
    <col min="1" max="1" width="46.36328125" style="2" bestFit="1" customWidth="1"/>
    <col min="2" max="2" width="25.36328125" style="2" bestFit="1" customWidth="1"/>
    <col min="3" max="3" width="21.54296875" style="2" bestFit="1" customWidth="1"/>
    <col min="4" max="11" width="6" style="2" bestFit="1" customWidth="1"/>
    <col min="12" max="16384" width="8.81640625" style="2"/>
  </cols>
  <sheetData>
    <row r="1" spans="1:11" x14ac:dyDescent="0.25">
      <c r="B1" s="94"/>
      <c r="C1" s="94"/>
      <c r="D1" s="93"/>
      <c r="E1" s="93"/>
      <c r="F1" s="93"/>
      <c r="G1" s="93"/>
      <c r="H1" s="93"/>
      <c r="I1" s="93"/>
      <c r="J1" s="93"/>
      <c r="K1" s="93"/>
    </row>
    <row r="2" spans="1:11" x14ac:dyDescent="0.25">
      <c r="B2" s="81" t="s">
        <v>460</v>
      </c>
      <c r="C2" s="81" t="s">
        <v>517</v>
      </c>
      <c r="D2" s="92" t="s">
        <v>414</v>
      </c>
      <c r="E2" s="92" t="s">
        <v>415</v>
      </c>
      <c r="F2" s="92" t="s">
        <v>416</v>
      </c>
      <c r="G2" s="92" t="s">
        <v>417</v>
      </c>
      <c r="H2" s="92" t="s">
        <v>418</v>
      </c>
      <c r="I2" s="92" t="s">
        <v>419</v>
      </c>
      <c r="J2" s="92" t="s">
        <v>420</v>
      </c>
      <c r="K2" s="92" t="s">
        <v>421</v>
      </c>
    </row>
    <row r="3" spans="1:11" x14ac:dyDescent="0.25">
      <c r="A3" s="127" t="str">
        <f>B3&amp;C3</f>
        <v>Cimarex EnergyCapex reduction</v>
      </c>
      <c r="B3" s="128" t="s">
        <v>671</v>
      </c>
      <c r="C3" s="128" t="s">
        <v>513</v>
      </c>
      <c r="D3" s="129"/>
      <c r="E3" s="141"/>
      <c r="F3" s="141"/>
      <c r="G3" s="141"/>
      <c r="H3" s="129"/>
      <c r="I3" s="129"/>
      <c r="J3" s="129"/>
      <c r="K3" s="129"/>
    </row>
    <row r="4" spans="1:11" x14ac:dyDescent="0.25">
      <c r="A4" s="127" t="str">
        <f t="shared" ref="A4:A139" si="0">B4&amp;C4</f>
        <v>Cimarex EnergyOpex reduction</v>
      </c>
      <c r="B4" s="128" t="str">
        <f>B3</f>
        <v>Cimarex Energy</v>
      </c>
      <c r="C4" s="128" t="s">
        <v>514</v>
      </c>
      <c r="D4" s="129"/>
      <c r="E4" s="129"/>
      <c r="F4" s="129"/>
      <c r="G4" s="129"/>
      <c r="H4" s="129"/>
      <c r="I4" s="129"/>
      <c r="J4" s="129"/>
      <c r="K4" s="129"/>
    </row>
    <row r="5" spans="1:11" x14ac:dyDescent="0.25">
      <c r="A5" s="127" t="str">
        <f t="shared" si="0"/>
        <v>Cimarex EnergyDividend reduction</v>
      </c>
      <c r="B5" s="128" t="str">
        <f>B3</f>
        <v>Cimarex Energy</v>
      </c>
      <c r="C5" s="128" t="s">
        <v>515</v>
      </c>
      <c r="D5" s="129"/>
      <c r="E5" s="129"/>
      <c r="F5" s="129"/>
      <c r="G5" s="129"/>
      <c r="H5" s="129"/>
      <c r="I5" s="129"/>
      <c r="J5" s="129"/>
      <c r="K5" s="129"/>
    </row>
    <row r="6" spans="1:11" x14ac:dyDescent="0.25">
      <c r="A6" s="127" t="str">
        <f t="shared" si="0"/>
        <v>Cimarex EnergyExpected impairment</v>
      </c>
      <c r="B6" s="128" t="str">
        <f>B3</f>
        <v>Cimarex Energy</v>
      </c>
      <c r="C6" s="128" t="s">
        <v>516</v>
      </c>
      <c r="D6" s="129"/>
      <c r="E6" s="129"/>
      <c r="F6" s="129"/>
      <c r="G6" s="129"/>
      <c r="H6" s="129"/>
      <c r="I6" s="129"/>
      <c r="J6" s="129"/>
      <c r="K6" s="129"/>
    </row>
    <row r="7" spans="1:11" x14ac:dyDescent="0.25">
      <c r="A7" s="127" t="str">
        <f t="shared" si="0"/>
        <v>Cimarex EnergyOil production reduction</v>
      </c>
      <c r="B7" s="128" t="str">
        <f>B3</f>
        <v>Cimarex Energy</v>
      </c>
      <c r="C7" s="128" t="s">
        <v>528</v>
      </c>
      <c r="D7" s="129"/>
      <c r="E7" s="129"/>
      <c r="F7" s="129"/>
      <c r="G7" s="129"/>
      <c r="H7" s="129"/>
      <c r="I7" s="129"/>
      <c r="J7" s="129"/>
      <c r="K7" s="129"/>
    </row>
    <row r="8" spans="1:11" x14ac:dyDescent="0.25">
      <c r="A8" s="127" t="str">
        <f t="shared" si="0"/>
        <v>Cimarex EnergyGas production reduction</v>
      </c>
      <c r="B8" s="128" t="str">
        <f>B3</f>
        <v>Cimarex Energy</v>
      </c>
      <c r="C8" s="128" t="s">
        <v>529</v>
      </c>
      <c r="D8" s="129"/>
      <c r="E8" s="129"/>
      <c r="F8" s="129"/>
      <c r="G8" s="129"/>
      <c r="H8" s="129"/>
      <c r="I8" s="129"/>
      <c r="J8" s="129"/>
      <c r="K8" s="129"/>
    </row>
    <row r="9" spans="1:11" x14ac:dyDescent="0.25">
      <c r="A9" s="127" t="str">
        <f t="shared" si="0"/>
        <v>Cimarex EnergyNGL production reduction</v>
      </c>
      <c r="B9" s="128" t="str">
        <f>B3</f>
        <v>Cimarex Energy</v>
      </c>
      <c r="C9" s="128" t="s">
        <v>530</v>
      </c>
      <c r="D9" s="129"/>
      <c r="E9" s="129"/>
      <c r="F9" s="129"/>
      <c r="G9" s="129"/>
      <c r="H9" s="129"/>
      <c r="I9" s="129"/>
      <c r="J9" s="129"/>
      <c r="K9" s="129"/>
    </row>
    <row r="10" spans="1:11" x14ac:dyDescent="0.25">
      <c r="A10" s="127" t="str">
        <f t="shared" si="0"/>
        <v>Cimarex EnergyCondensate production reduction</v>
      </c>
      <c r="B10" s="128" t="str">
        <f>B3</f>
        <v>Cimarex Energy</v>
      </c>
      <c r="C10" s="128" t="s">
        <v>531</v>
      </c>
      <c r="D10" s="129"/>
      <c r="E10" s="129"/>
      <c r="F10" s="129"/>
      <c r="G10" s="129"/>
      <c r="H10" s="129"/>
      <c r="I10" s="129"/>
      <c r="J10" s="129"/>
      <c r="K10" s="129"/>
    </row>
    <row r="11" spans="1:11" x14ac:dyDescent="0.25">
      <c r="A11" s="127" t="str">
        <f>B11&amp;C11</f>
        <v>Cimarex Energy Co. (XEC)Capex reduction</v>
      </c>
      <c r="B11" s="128" t="s">
        <v>21</v>
      </c>
      <c r="C11" s="128" t="s">
        <v>513</v>
      </c>
      <c r="D11" s="129"/>
      <c r="E11" s="141"/>
      <c r="F11" s="141"/>
      <c r="G11" s="141"/>
      <c r="H11" s="129"/>
      <c r="I11" s="129"/>
      <c r="J11" s="129"/>
      <c r="K11" s="129"/>
    </row>
    <row r="12" spans="1:11" x14ac:dyDescent="0.25">
      <c r="A12" s="127" t="str">
        <f t="shared" ref="A12:A18" si="1">B12&amp;C12</f>
        <v>Cimarex Energy Co. (XEC)Opex reduction</v>
      </c>
      <c r="B12" s="128" t="str">
        <f>B11</f>
        <v>Cimarex Energy Co. (XEC)</v>
      </c>
      <c r="C12" s="128" t="s">
        <v>514</v>
      </c>
      <c r="D12" s="129"/>
      <c r="E12" s="129"/>
      <c r="F12" s="129"/>
      <c r="G12" s="129"/>
      <c r="H12" s="129"/>
      <c r="I12" s="129"/>
      <c r="J12" s="129"/>
      <c r="K12" s="129"/>
    </row>
    <row r="13" spans="1:11" x14ac:dyDescent="0.25">
      <c r="A13" s="127" t="str">
        <f t="shared" si="1"/>
        <v>Cimarex Energy Co. (XEC)Dividend reduction</v>
      </c>
      <c r="B13" s="128" t="str">
        <f>B11</f>
        <v>Cimarex Energy Co. (XEC)</v>
      </c>
      <c r="C13" s="128" t="s">
        <v>515</v>
      </c>
      <c r="D13" s="129"/>
      <c r="E13" s="129"/>
      <c r="F13" s="129"/>
      <c r="G13" s="129"/>
      <c r="H13" s="129"/>
      <c r="I13" s="129"/>
      <c r="J13" s="129"/>
      <c r="K13" s="129"/>
    </row>
    <row r="14" spans="1:11" x14ac:dyDescent="0.25">
      <c r="A14" s="127" t="str">
        <f t="shared" si="1"/>
        <v>Cimarex Energy Co. (XEC)Expected impairment</v>
      </c>
      <c r="B14" s="128" t="str">
        <f>B11</f>
        <v>Cimarex Energy Co. (XEC)</v>
      </c>
      <c r="C14" s="128" t="s">
        <v>516</v>
      </c>
      <c r="D14" s="129"/>
      <c r="E14" s="129"/>
      <c r="F14" s="129"/>
      <c r="G14" s="129"/>
      <c r="H14" s="129"/>
      <c r="I14" s="129"/>
      <c r="J14" s="129"/>
      <c r="K14" s="129"/>
    </row>
    <row r="15" spans="1:11" x14ac:dyDescent="0.25">
      <c r="A15" s="127" t="str">
        <f t="shared" si="1"/>
        <v>Cimarex Energy Co. (XEC)Oil production reduction</v>
      </c>
      <c r="B15" s="128" t="str">
        <f>B11</f>
        <v>Cimarex Energy Co. (XEC)</v>
      </c>
      <c r="C15" s="128" t="s">
        <v>528</v>
      </c>
      <c r="D15" s="129"/>
      <c r="E15" s="129"/>
      <c r="F15" s="129"/>
      <c r="G15" s="129"/>
      <c r="H15" s="129"/>
      <c r="I15" s="129"/>
      <c r="J15" s="129"/>
      <c r="K15" s="129"/>
    </row>
    <row r="16" spans="1:11" x14ac:dyDescent="0.25">
      <c r="A16" s="127" t="str">
        <f t="shared" si="1"/>
        <v>Cimarex Energy Co. (XEC)Gas production reduction</v>
      </c>
      <c r="B16" s="128" t="str">
        <f>B11</f>
        <v>Cimarex Energy Co. (XEC)</v>
      </c>
      <c r="C16" s="128" t="s">
        <v>529</v>
      </c>
      <c r="D16" s="129"/>
      <c r="E16" s="129"/>
      <c r="F16" s="129"/>
      <c r="G16" s="129"/>
      <c r="H16" s="129"/>
      <c r="I16" s="129"/>
      <c r="J16" s="129"/>
      <c r="K16" s="129"/>
    </row>
    <row r="17" spans="1:11" x14ac:dyDescent="0.25">
      <c r="A17" s="127" t="str">
        <f t="shared" si="1"/>
        <v>Cimarex Energy Co. (XEC)NGL production reduction</v>
      </c>
      <c r="B17" s="128" t="str">
        <f>B11</f>
        <v>Cimarex Energy Co. (XEC)</v>
      </c>
      <c r="C17" s="128" t="s">
        <v>530</v>
      </c>
      <c r="D17" s="129"/>
      <c r="E17" s="129"/>
      <c r="F17" s="129"/>
      <c r="G17" s="129"/>
      <c r="H17" s="129"/>
      <c r="I17" s="129"/>
      <c r="J17" s="129"/>
      <c r="K17" s="129"/>
    </row>
    <row r="18" spans="1:11" x14ac:dyDescent="0.25">
      <c r="A18" s="127" t="str">
        <f t="shared" si="1"/>
        <v>Cimarex Energy Co. (XEC)Condensate production reduction</v>
      </c>
      <c r="B18" s="128" t="str">
        <f>B11</f>
        <v>Cimarex Energy Co. (XEC)</v>
      </c>
      <c r="C18" s="128" t="s">
        <v>531</v>
      </c>
      <c r="D18" s="129"/>
      <c r="E18" s="129"/>
      <c r="F18" s="129"/>
      <c r="G18" s="129"/>
      <c r="H18" s="129"/>
      <c r="I18" s="129"/>
      <c r="J18" s="129"/>
      <c r="K18" s="129"/>
    </row>
    <row r="19" spans="1:11" x14ac:dyDescent="0.25">
      <c r="A19" s="2" t="str">
        <f t="shared" si="0"/>
        <v>Husky Energy Inc. (HSE.TO)Capex reduction</v>
      </c>
      <c r="B19" s="91" t="s">
        <v>20</v>
      </c>
      <c r="C19" s="91" t="s">
        <v>513</v>
      </c>
      <c r="D19" s="53"/>
      <c r="E19" s="53"/>
      <c r="F19" s="53"/>
      <c r="G19" s="53"/>
      <c r="H19" s="53"/>
      <c r="I19" s="53"/>
      <c r="J19" s="53"/>
      <c r="K19" s="53"/>
    </row>
    <row r="20" spans="1:11" x14ac:dyDescent="0.25">
      <c r="A20" s="2" t="str">
        <f t="shared" si="0"/>
        <v>Husky Energy Inc. (HSE.TO)Opex reduction</v>
      </c>
      <c r="B20" s="91" t="str">
        <f>B19</f>
        <v>Husky Energy Inc. (HSE.TO)</v>
      </c>
      <c r="C20" s="91" t="s">
        <v>514</v>
      </c>
      <c r="D20" s="53"/>
      <c r="E20" s="53"/>
      <c r="F20" s="53"/>
      <c r="G20" s="53"/>
      <c r="H20" s="53"/>
      <c r="I20" s="53"/>
      <c r="J20" s="53"/>
      <c r="K20" s="53"/>
    </row>
    <row r="21" spans="1:11" x14ac:dyDescent="0.25">
      <c r="A21" s="2" t="str">
        <f t="shared" si="0"/>
        <v>Husky Energy Inc. (HSE.TO)Dividend reduction</v>
      </c>
      <c r="B21" s="91" t="str">
        <f>B19</f>
        <v>Husky Energy Inc. (HSE.TO)</v>
      </c>
      <c r="C21" s="91" t="s">
        <v>515</v>
      </c>
      <c r="D21" s="53"/>
      <c r="E21" s="53"/>
      <c r="F21" s="53"/>
      <c r="G21" s="53"/>
      <c r="H21" s="53"/>
      <c r="I21" s="53"/>
      <c r="J21" s="53"/>
      <c r="K21" s="53"/>
    </row>
    <row r="22" spans="1:11" x14ac:dyDescent="0.25">
      <c r="A22" s="2" t="str">
        <f t="shared" si="0"/>
        <v>Husky Energy Inc. (HSE.TO)Expected impairment</v>
      </c>
      <c r="B22" s="91" t="str">
        <f>B19</f>
        <v>Husky Energy Inc. (HSE.TO)</v>
      </c>
      <c r="C22" s="91" t="s">
        <v>516</v>
      </c>
      <c r="D22" s="53"/>
      <c r="E22" s="53"/>
      <c r="F22" s="53"/>
      <c r="G22" s="53"/>
      <c r="H22" s="53"/>
      <c r="I22" s="53"/>
      <c r="J22" s="53"/>
      <c r="K22" s="53"/>
    </row>
    <row r="23" spans="1:11" x14ac:dyDescent="0.25">
      <c r="A23" s="2" t="str">
        <f t="shared" si="0"/>
        <v>Husky Energy Inc. (HSE.TO)Oil production reduction</v>
      </c>
      <c r="B23" s="91" t="str">
        <f>B19</f>
        <v>Husky Energy Inc. (HSE.TO)</v>
      </c>
      <c r="C23" s="91" t="s">
        <v>528</v>
      </c>
      <c r="D23" s="53"/>
      <c r="E23" s="53"/>
      <c r="F23" s="53"/>
      <c r="G23" s="53"/>
      <c r="H23" s="53"/>
      <c r="I23" s="53"/>
      <c r="J23" s="53"/>
      <c r="K23" s="53"/>
    </row>
    <row r="24" spans="1:11" x14ac:dyDescent="0.25">
      <c r="A24" s="2" t="str">
        <f t="shared" si="0"/>
        <v>Husky Energy Inc. (HSE.TO)Gas production reduction</v>
      </c>
      <c r="B24" s="91" t="str">
        <f>B19</f>
        <v>Husky Energy Inc. (HSE.TO)</v>
      </c>
      <c r="C24" s="91" t="s">
        <v>529</v>
      </c>
      <c r="D24" s="53"/>
      <c r="E24" s="53"/>
      <c r="F24" s="53"/>
      <c r="G24" s="53"/>
      <c r="H24" s="53"/>
      <c r="I24" s="53"/>
      <c r="J24" s="53"/>
      <c r="K24" s="53"/>
    </row>
    <row r="25" spans="1:11" x14ac:dyDescent="0.25">
      <c r="A25" s="2" t="str">
        <f t="shared" si="0"/>
        <v>Husky Energy Inc. (HSE.TO)NGL production reduction</v>
      </c>
      <c r="B25" s="91" t="str">
        <f>B19</f>
        <v>Husky Energy Inc. (HSE.TO)</v>
      </c>
      <c r="C25" s="91" t="s">
        <v>530</v>
      </c>
      <c r="D25" s="53"/>
      <c r="E25" s="53"/>
      <c r="F25" s="53"/>
      <c r="G25" s="53"/>
      <c r="H25" s="53"/>
      <c r="I25" s="53"/>
      <c r="J25" s="53"/>
      <c r="K25" s="53"/>
    </row>
    <row r="26" spans="1:11" x14ac:dyDescent="0.25">
      <c r="A26" s="2" t="str">
        <f t="shared" si="0"/>
        <v>Husky Energy Inc. (HSE.TO)Condensate production reduction</v>
      </c>
      <c r="B26" s="91" t="str">
        <f>B19</f>
        <v>Husky Energy Inc. (HSE.TO)</v>
      </c>
      <c r="C26" s="91" t="s">
        <v>531</v>
      </c>
      <c r="D26" s="53"/>
      <c r="E26" s="53"/>
      <c r="F26" s="53"/>
      <c r="G26" s="53"/>
      <c r="H26" s="53"/>
      <c r="I26" s="53"/>
      <c r="J26" s="53"/>
      <c r="K26" s="53"/>
    </row>
    <row r="27" spans="1:11" x14ac:dyDescent="0.25">
      <c r="A27" s="127" t="str">
        <f t="shared" si="0"/>
        <v>Diamondback Energy, Inc. (FANG)Capex reduction</v>
      </c>
      <c r="B27" s="128" t="s">
        <v>19</v>
      </c>
      <c r="C27" s="128" t="s">
        <v>513</v>
      </c>
      <c r="D27" s="129"/>
      <c r="E27" s="129"/>
      <c r="F27" s="129"/>
      <c r="G27" s="129"/>
      <c r="H27" s="129"/>
      <c r="I27" s="129"/>
      <c r="J27" s="129"/>
      <c r="K27" s="129"/>
    </row>
    <row r="28" spans="1:11" x14ac:dyDescent="0.25">
      <c r="A28" s="127" t="str">
        <f t="shared" si="0"/>
        <v>Diamondback Energy, Inc. (FANG)Opex reduction</v>
      </c>
      <c r="B28" s="128" t="str">
        <f>B27</f>
        <v>Diamondback Energy, Inc. (FANG)</v>
      </c>
      <c r="C28" s="128" t="s">
        <v>514</v>
      </c>
      <c r="D28" s="129"/>
      <c r="E28" s="129"/>
      <c r="F28" s="129"/>
      <c r="G28" s="129"/>
      <c r="H28" s="129"/>
      <c r="I28" s="129"/>
      <c r="J28" s="129"/>
      <c r="K28" s="129"/>
    </row>
    <row r="29" spans="1:11" x14ac:dyDescent="0.25">
      <c r="A29" s="127" t="str">
        <f t="shared" si="0"/>
        <v>Diamondback Energy, Inc. (FANG)Dividend reduction</v>
      </c>
      <c r="B29" s="128" t="str">
        <f>B27</f>
        <v>Diamondback Energy, Inc. (FANG)</v>
      </c>
      <c r="C29" s="128" t="s">
        <v>515</v>
      </c>
      <c r="D29" s="129"/>
      <c r="E29" s="129"/>
      <c r="F29" s="129"/>
      <c r="G29" s="129"/>
      <c r="H29" s="129"/>
      <c r="I29" s="129"/>
      <c r="J29" s="129"/>
      <c r="K29" s="129"/>
    </row>
    <row r="30" spans="1:11" x14ac:dyDescent="0.25">
      <c r="A30" s="127" t="str">
        <f t="shared" si="0"/>
        <v>Diamondback Energy, Inc. (FANG)Expected impairment</v>
      </c>
      <c r="B30" s="128" t="str">
        <f>B27</f>
        <v>Diamondback Energy, Inc. (FANG)</v>
      </c>
      <c r="C30" s="128" t="s">
        <v>516</v>
      </c>
      <c r="D30" s="129"/>
      <c r="E30" s="129"/>
      <c r="F30" s="129"/>
      <c r="G30" s="129"/>
      <c r="H30" s="129"/>
      <c r="I30" s="129"/>
      <c r="J30" s="129"/>
      <c r="K30" s="129"/>
    </row>
    <row r="31" spans="1:11" x14ac:dyDescent="0.25">
      <c r="A31" s="127" t="str">
        <f t="shared" si="0"/>
        <v>Diamondback Energy, Inc. (FANG)Oil production reduction</v>
      </c>
      <c r="B31" s="128" t="str">
        <f>B27</f>
        <v>Diamondback Energy, Inc. (FANG)</v>
      </c>
      <c r="C31" s="128" t="s">
        <v>528</v>
      </c>
      <c r="D31" s="129"/>
      <c r="E31" s="129"/>
      <c r="F31" s="129"/>
      <c r="G31" s="129"/>
      <c r="H31" s="129"/>
      <c r="I31" s="129"/>
      <c r="J31" s="129"/>
      <c r="K31" s="129"/>
    </row>
    <row r="32" spans="1:11" x14ac:dyDescent="0.25">
      <c r="A32" s="127" t="str">
        <f t="shared" si="0"/>
        <v>Diamondback Energy, Inc. (FANG)Gas production reduction</v>
      </c>
      <c r="B32" s="128" t="str">
        <f>B27</f>
        <v>Diamondback Energy, Inc. (FANG)</v>
      </c>
      <c r="C32" s="128" t="s">
        <v>529</v>
      </c>
      <c r="D32" s="129"/>
      <c r="E32" s="129"/>
      <c r="F32" s="129"/>
      <c r="G32" s="129"/>
      <c r="H32" s="129"/>
      <c r="I32" s="129"/>
      <c r="J32" s="129"/>
      <c r="K32" s="129"/>
    </row>
    <row r="33" spans="1:11" x14ac:dyDescent="0.25">
      <c r="A33" s="127" t="str">
        <f t="shared" si="0"/>
        <v>Diamondback Energy, Inc. (FANG)NGL production reduction</v>
      </c>
      <c r="B33" s="128" t="str">
        <f>B27</f>
        <v>Diamondback Energy, Inc. (FANG)</v>
      </c>
      <c r="C33" s="128" t="s">
        <v>530</v>
      </c>
      <c r="D33" s="129"/>
      <c r="E33" s="129"/>
      <c r="F33" s="129"/>
      <c r="G33" s="129"/>
      <c r="H33" s="129"/>
      <c r="I33" s="129"/>
      <c r="J33" s="129"/>
      <c r="K33" s="129"/>
    </row>
    <row r="34" spans="1:11" x14ac:dyDescent="0.25">
      <c r="A34" s="127" t="str">
        <f t="shared" si="0"/>
        <v>Diamondback Energy, Inc. (FANG)Condensate production reduction</v>
      </c>
      <c r="B34" s="128" t="str">
        <f>B27</f>
        <v>Diamondback Energy, Inc. (FANG)</v>
      </c>
      <c r="C34" s="128" t="s">
        <v>531</v>
      </c>
      <c r="D34" s="129"/>
      <c r="E34" s="129"/>
      <c r="F34" s="129"/>
      <c r="G34" s="129"/>
      <c r="H34" s="129"/>
      <c r="I34" s="129"/>
      <c r="J34" s="129"/>
      <c r="K34" s="129"/>
    </row>
    <row r="35" spans="1:11" x14ac:dyDescent="0.25">
      <c r="A35" s="2" t="str">
        <f t="shared" si="0"/>
        <v>PDC Energy, Inc. (PDCE)Capex reduction</v>
      </c>
      <c r="B35" s="91" t="s">
        <v>18</v>
      </c>
      <c r="C35" s="91" t="s">
        <v>513</v>
      </c>
      <c r="D35" s="53"/>
      <c r="E35" s="53"/>
      <c r="F35" s="53"/>
      <c r="G35" s="53"/>
      <c r="H35" s="53"/>
      <c r="I35" s="53"/>
      <c r="J35" s="53"/>
      <c r="K35" s="53"/>
    </row>
    <row r="36" spans="1:11" x14ac:dyDescent="0.25">
      <c r="A36" s="2" t="str">
        <f t="shared" si="0"/>
        <v>PDC Energy, Inc. (PDCE)Opex reduction</v>
      </c>
      <c r="B36" s="91" t="str">
        <f>B35</f>
        <v>PDC Energy, Inc. (PDCE)</v>
      </c>
      <c r="C36" s="91" t="s">
        <v>514</v>
      </c>
      <c r="D36" s="53"/>
      <c r="E36" s="53"/>
      <c r="F36" s="53"/>
      <c r="G36" s="53"/>
      <c r="H36" s="53"/>
      <c r="I36" s="53"/>
      <c r="J36" s="53"/>
      <c r="K36" s="53"/>
    </row>
    <row r="37" spans="1:11" x14ac:dyDescent="0.25">
      <c r="A37" s="2" t="str">
        <f t="shared" si="0"/>
        <v>PDC Energy, Inc. (PDCE)Dividend reduction</v>
      </c>
      <c r="B37" s="91" t="str">
        <f>B35</f>
        <v>PDC Energy, Inc. (PDCE)</v>
      </c>
      <c r="C37" s="91" t="s">
        <v>515</v>
      </c>
      <c r="D37" s="53"/>
      <c r="E37" s="53"/>
      <c r="F37" s="53"/>
      <c r="G37" s="53"/>
      <c r="H37" s="53"/>
      <c r="I37" s="53"/>
      <c r="J37" s="53"/>
      <c r="K37" s="53"/>
    </row>
    <row r="38" spans="1:11" x14ac:dyDescent="0.25">
      <c r="A38" s="2" t="str">
        <f t="shared" si="0"/>
        <v>PDC Energy, Inc. (PDCE)Expected impairment</v>
      </c>
      <c r="B38" s="91" t="str">
        <f>B35</f>
        <v>PDC Energy, Inc. (PDCE)</v>
      </c>
      <c r="C38" s="91" t="s">
        <v>516</v>
      </c>
      <c r="D38" s="53"/>
      <c r="E38" s="53"/>
      <c r="F38" s="53"/>
      <c r="G38" s="53"/>
      <c r="H38" s="53"/>
      <c r="I38" s="53"/>
      <c r="J38" s="53"/>
      <c r="K38" s="53"/>
    </row>
    <row r="39" spans="1:11" x14ac:dyDescent="0.25">
      <c r="A39" s="2" t="str">
        <f t="shared" si="0"/>
        <v>PDC Energy, Inc. (PDCE)Oil production reduction</v>
      </c>
      <c r="B39" s="91" t="str">
        <f>B35</f>
        <v>PDC Energy, Inc. (PDCE)</v>
      </c>
      <c r="C39" s="91" t="s">
        <v>528</v>
      </c>
      <c r="D39" s="53"/>
      <c r="E39" s="53"/>
      <c r="F39" s="53"/>
      <c r="G39" s="53"/>
      <c r="H39" s="53"/>
      <c r="I39" s="53"/>
      <c r="J39" s="53"/>
      <c r="K39" s="53"/>
    </row>
    <row r="40" spans="1:11" x14ac:dyDescent="0.25">
      <c r="A40" s="2" t="str">
        <f t="shared" si="0"/>
        <v>PDC Energy, Inc. (PDCE)Gas production reduction</v>
      </c>
      <c r="B40" s="91" t="str">
        <f>B35</f>
        <v>PDC Energy, Inc. (PDCE)</v>
      </c>
      <c r="C40" s="91" t="s">
        <v>529</v>
      </c>
      <c r="D40" s="53"/>
      <c r="E40" s="53"/>
      <c r="F40" s="53"/>
      <c r="G40" s="53"/>
      <c r="H40" s="53"/>
      <c r="I40" s="53"/>
      <c r="J40" s="53"/>
      <c r="K40" s="53"/>
    </row>
    <row r="41" spans="1:11" x14ac:dyDescent="0.25">
      <c r="A41" s="2" t="str">
        <f t="shared" si="0"/>
        <v>PDC Energy, Inc. (PDCE)NGL production reduction</v>
      </c>
      <c r="B41" s="91" t="str">
        <f>B35</f>
        <v>PDC Energy, Inc. (PDCE)</v>
      </c>
      <c r="C41" s="91" t="s">
        <v>530</v>
      </c>
      <c r="D41" s="53"/>
      <c r="E41" s="53"/>
      <c r="F41" s="53"/>
      <c r="G41" s="53"/>
      <c r="H41" s="53"/>
      <c r="I41" s="53"/>
      <c r="J41" s="53"/>
      <c r="K41" s="53"/>
    </row>
    <row r="42" spans="1:11" x14ac:dyDescent="0.25">
      <c r="A42" s="2" t="str">
        <f t="shared" si="0"/>
        <v>PDC Energy, Inc. (PDCE)Condensate production reduction</v>
      </c>
      <c r="B42" s="91" t="str">
        <f>B35</f>
        <v>PDC Energy, Inc. (PDCE)</v>
      </c>
      <c r="C42" s="91" t="s">
        <v>531</v>
      </c>
      <c r="D42" s="53"/>
      <c r="E42" s="53"/>
      <c r="F42" s="53"/>
      <c r="G42" s="53"/>
      <c r="H42" s="53"/>
      <c r="I42" s="53"/>
      <c r="J42" s="53"/>
      <c r="K42" s="53"/>
    </row>
    <row r="43" spans="1:11" x14ac:dyDescent="0.25">
      <c r="A43" s="127" t="str">
        <f t="shared" si="0"/>
        <v>Murphy Oil Corporation (MUR)Capex reduction</v>
      </c>
      <c r="B43" s="128" t="s">
        <v>17</v>
      </c>
      <c r="C43" s="128" t="s">
        <v>513</v>
      </c>
      <c r="D43" s="129"/>
      <c r="E43" s="129"/>
      <c r="F43" s="129"/>
      <c r="G43" s="129"/>
      <c r="H43" s="129"/>
      <c r="I43" s="129"/>
      <c r="J43" s="129"/>
      <c r="K43" s="129"/>
    </row>
    <row r="44" spans="1:11" x14ac:dyDescent="0.25">
      <c r="A44" s="127" t="str">
        <f t="shared" si="0"/>
        <v>Murphy Oil Corporation (MUR)Opex reduction</v>
      </c>
      <c r="B44" s="128" t="str">
        <f>B43</f>
        <v>Murphy Oil Corporation (MUR)</v>
      </c>
      <c r="C44" s="128" t="s">
        <v>514</v>
      </c>
      <c r="D44" s="129"/>
      <c r="E44" s="129"/>
      <c r="F44" s="129"/>
      <c r="G44" s="129"/>
      <c r="H44" s="129"/>
      <c r="I44" s="129"/>
      <c r="J44" s="129"/>
      <c r="K44" s="129"/>
    </row>
    <row r="45" spans="1:11" x14ac:dyDescent="0.25">
      <c r="A45" s="127" t="str">
        <f t="shared" si="0"/>
        <v>Murphy Oil Corporation (MUR)Dividend reduction</v>
      </c>
      <c r="B45" s="128" t="str">
        <f>B43</f>
        <v>Murphy Oil Corporation (MUR)</v>
      </c>
      <c r="C45" s="128" t="s">
        <v>515</v>
      </c>
      <c r="D45" s="129"/>
      <c r="E45" s="129"/>
      <c r="F45" s="129"/>
      <c r="G45" s="129"/>
      <c r="H45" s="129"/>
      <c r="I45" s="129"/>
      <c r="J45" s="129"/>
      <c r="K45" s="129"/>
    </row>
    <row r="46" spans="1:11" x14ac:dyDescent="0.25">
      <c r="A46" s="127" t="str">
        <f t="shared" si="0"/>
        <v>Murphy Oil Corporation (MUR)Expected impairment</v>
      </c>
      <c r="B46" s="128" t="str">
        <f>B43</f>
        <v>Murphy Oil Corporation (MUR)</v>
      </c>
      <c r="C46" s="128" t="s">
        <v>516</v>
      </c>
      <c r="D46" s="129"/>
      <c r="E46" s="129"/>
      <c r="F46" s="129"/>
      <c r="G46" s="129"/>
      <c r="H46" s="129"/>
      <c r="I46" s="129"/>
      <c r="J46" s="129"/>
      <c r="K46" s="129"/>
    </row>
    <row r="47" spans="1:11" x14ac:dyDescent="0.25">
      <c r="A47" s="127" t="str">
        <f t="shared" si="0"/>
        <v>Murphy Oil Corporation (MUR)Oil production reduction</v>
      </c>
      <c r="B47" s="128" t="str">
        <f>B43</f>
        <v>Murphy Oil Corporation (MUR)</v>
      </c>
      <c r="C47" s="128" t="s">
        <v>528</v>
      </c>
      <c r="D47" s="129"/>
      <c r="E47" s="129"/>
      <c r="F47" s="129"/>
      <c r="G47" s="129"/>
      <c r="H47" s="129"/>
      <c r="I47" s="129"/>
      <c r="J47" s="129"/>
      <c r="K47" s="129"/>
    </row>
    <row r="48" spans="1:11" x14ac:dyDescent="0.25">
      <c r="A48" s="127" t="str">
        <f t="shared" si="0"/>
        <v>Murphy Oil Corporation (MUR)Gas production reduction</v>
      </c>
      <c r="B48" s="128" t="str">
        <f>B43</f>
        <v>Murphy Oil Corporation (MUR)</v>
      </c>
      <c r="C48" s="128" t="s">
        <v>529</v>
      </c>
      <c r="D48" s="129"/>
      <c r="E48" s="129"/>
      <c r="F48" s="129"/>
      <c r="G48" s="129"/>
      <c r="H48" s="129"/>
      <c r="I48" s="129"/>
      <c r="J48" s="129"/>
      <c r="K48" s="129"/>
    </row>
    <row r="49" spans="1:11" x14ac:dyDescent="0.25">
      <c r="A49" s="127" t="str">
        <f t="shared" si="0"/>
        <v>Murphy Oil Corporation (MUR)NGL production reduction</v>
      </c>
      <c r="B49" s="128" t="str">
        <f>B43</f>
        <v>Murphy Oil Corporation (MUR)</v>
      </c>
      <c r="C49" s="128" t="s">
        <v>530</v>
      </c>
      <c r="D49" s="129"/>
      <c r="E49" s="129"/>
      <c r="F49" s="129"/>
      <c r="G49" s="129"/>
      <c r="H49" s="129"/>
      <c r="I49" s="129"/>
      <c r="J49" s="129"/>
      <c r="K49" s="129"/>
    </row>
    <row r="50" spans="1:11" x14ac:dyDescent="0.25">
      <c r="A50" s="127" t="str">
        <f t="shared" si="0"/>
        <v>Murphy Oil Corporation (MUR)Condensate production reduction</v>
      </c>
      <c r="B50" s="128" t="str">
        <f>B43</f>
        <v>Murphy Oil Corporation (MUR)</v>
      </c>
      <c r="C50" s="128" t="s">
        <v>531</v>
      </c>
      <c r="D50" s="129"/>
      <c r="E50" s="129"/>
      <c r="F50" s="129"/>
      <c r="G50" s="129"/>
      <c r="H50" s="129"/>
      <c r="I50" s="129"/>
      <c r="J50" s="129"/>
      <c r="K50" s="129"/>
    </row>
    <row r="51" spans="1:11" x14ac:dyDescent="0.25">
      <c r="A51" s="2" t="str">
        <f t="shared" si="0"/>
        <v>Parsley Energy, Inc. (PE)Capex reduction</v>
      </c>
      <c r="B51" s="91" t="s">
        <v>16</v>
      </c>
      <c r="C51" s="91" t="s">
        <v>513</v>
      </c>
      <c r="D51" s="53"/>
      <c r="E51" s="53"/>
      <c r="F51" s="53"/>
      <c r="G51" s="53"/>
      <c r="H51" s="53"/>
      <c r="I51" s="53"/>
      <c r="J51" s="53"/>
      <c r="K51" s="53"/>
    </row>
    <row r="52" spans="1:11" x14ac:dyDescent="0.25">
      <c r="A52" s="2" t="str">
        <f t="shared" si="0"/>
        <v>Parsley Energy, Inc. (PE)Opex reduction</v>
      </c>
      <c r="B52" s="91" t="str">
        <f>B51</f>
        <v>Parsley Energy, Inc. (PE)</v>
      </c>
      <c r="C52" s="91" t="s">
        <v>514</v>
      </c>
      <c r="D52" s="53"/>
      <c r="E52" s="53"/>
      <c r="F52" s="53"/>
      <c r="G52" s="53"/>
      <c r="H52" s="53"/>
      <c r="I52" s="53"/>
      <c r="J52" s="53"/>
      <c r="K52" s="53"/>
    </row>
    <row r="53" spans="1:11" x14ac:dyDescent="0.25">
      <c r="A53" s="2" t="str">
        <f t="shared" si="0"/>
        <v>Parsley Energy, Inc. (PE)Dividend reduction</v>
      </c>
      <c r="B53" s="91" t="str">
        <f>B51</f>
        <v>Parsley Energy, Inc. (PE)</v>
      </c>
      <c r="C53" s="91" t="s">
        <v>515</v>
      </c>
      <c r="D53" s="53"/>
      <c r="E53" s="53"/>
      <c r="F53" s="53"/>
      <c r="G53" s="53"/>
      <c r="H53" s="53"/>
      <c r="I53" s="53"/>
      <c r="J53" s="53"/>
      <c r="K53" s="53"/>
    </row>
    <row r="54" spans="1:11" x14ac:dyDescent="0.25">
      <c r="A54" s="2" t="str">
        <f t="shared" si="0"/>
        <v>Parsley Energy, Inc. (PE)Expected impairment</v>
      </c>
      <c r="B54" s="91" t="str">
        <f>B51</f>
        <v>Parsley Energy, Inc. (PE)</v>
      </c>
      <c r="C54" s="91" t="s">
        <v>516</v>
      </c>
      <c r="D54" s="53"/>
      <c r="E54" s="53"/>
      <c r="F54" s="53"/>
      <c r="G54" s="53"/>
      <c r="H54" s="53"/>
      <c r="I54" s="53"/>
      <c r="J54" s="53"/>
      <c r="K54" s="53"/>
    </row>
    <row r="55" spans="1:11" x14ac:dyDescent="0.25">
      <c r="A55" s="2" t="str">
        <f t="shared" si="0"/>
        <v>Parsley Energy, Inc. (PE)Oil production reduction</v>
      </c>
      <c r="B55" s="91" t="str">
        <f>B51</f>
        <v>Parsley Energy, Inc. (PE)</v>
      </c>
      <c r="C55" s="91" t="s">
        <v>528</v>
      </c>
      <c r="D55" s="53"/>
      <c r="E55" s="53"/>
      <c r="F55" s="53"/>
      <c r="G55" s="53"/>
      <c r="H55" s="53"/>
      <c r="I55" s="53"/>
      <c r="J55" s="53"/>
      <c r="K55" s="53"/>
    </row>
    <row r="56" spans="1:11" x14ac:dyDescent="0.25">
      <c r="A56" s="2" t="str">
        <f t="shared" si="0"/>
        <v>Parsley Energy, Inc. (PE)Gas production reduction</v>
      </c>
      <c r="B56" s="91" t="str">
        <f>B51</f>
        <v>Parsley Energy, Inc. (PE)</v>
      </c>
      <c r="C56" s="91" t="s">
        <v>529</v>
      </c>
      <c r="D56" s="53"/>
      <c r="E56" s="53"/>
      <c r="F56" s="53"/>
      <c r="G56" s="53"/>
      <c r="H56" s="53"/>
      <c r="I56" s="53"/>
      <c r="J56" s="53"/>
      <c r="K56" s="53"/>
    </row>
    <row r="57" spans="1:11" x14ac:dyDescent="0.25">
      <c r="A57" s="2" t="str">
        <f t="shared" si="0"/>
        <v>Parsley Energy, Inc. (PE)NGL production reduction</v>
      </c>
      <c r="B57" s="91" t="str">
        <f>B51</f>
        <v>Parsley Energy, Inc. (PE)</v>
      </c>
      <c r="C57" s="91" t="s">
        <v>530</v>
      </c>
      <c r="D57" s="53"/>
      <c r="E57" s="53"/>
      <c r="F57" s="53"/>
      <c r="G57" s="53"/>
      <c r="H57" s="53"/>
      <c r="I57" s="53"/>
      <c r="J57" s="53"/>
      <c r="K57" s="53"/>
    </row>
    <row r="58" spans="1:11" x14ac:dyDescent="0.25">
      <c r="A58" s="2" t="str">
        <f t="shared" si="0"/>
        <v>Parsley Energy, Inc. (PE)Condensate production reduction</v>
      </c>
      <c r="B58" s="91" t="str">
        <f>B51</f>
        <v>Parsley Energy, Inc. (PE)</v>
      </c>
      <c r="C58" s="91" t="s">
        <v>531</v>
      </c>
      <c r="D58" s="53"/>
      <c r="E58" s="53"/>
      <c r="F58" s="53"/>
      <c r="G58" s="53"/>
      <c r="H58" s="53"/>
      <c r="I58" s="53"/>
      <c r="J58" s="53"/>
      <c r="K58" s="53"/>
    </row>
    <row r="59" spans="1:11" x14ac:dyDescent="0.25">
      <c r="A59" s="127" t="str">
        <f t="shared" si="0"/>
        <v>WPX Energy, Inc. (WPX)Capex reduction</v>
      </c>
      <c r="B59" s="128" t="s">
        <v>15</v>
      </c>
      <c r="C59" s="128" t="s">
        <v>513</v>
      </c>
      <c r="D59" s="129"/>
      <c r="E59" s="129"/>
      <c r="F59" s="129"/>
      <c r="G59" s="129"/>
      <c r="H59" s="129"/>
      <c r="I59" s="129"/>
      <c r="J59" s="129"/>
      <c r="K59" s="129"/>
    </row>
    <row r="60" spans="1:11" x14ac:dyDescent="0.25">
      <c r="A60" s="127" t="str">
        <f t="shared" si="0"/>
        <v>WPX Energy, Inc. (WPX)Opex reduction</v>
      </c>
      <c r="B60" s="128" t="str">
        <f>B59</f>
        <v>WPX Energy, Inc. (WPX)</v>
      </c>
      <c r="C60" s="128" t="s">
        <v>514</v>
      </c>
      <c r="D60" s="129"/>
      <c r="E60" s="129"/>
      <c r="F60" s="129"/>
      <c r="G60" s="129"/>
      <c r="H60" s="129"/>
      <c r="I60" s="129"/>
      <c r="J60" s="129"/>
      <c r="K60" s="129"/>
    </row>
    <row r="61" spans="1:11" x14ac:dyDescent="0.25">
      <c r="A61" s="127" t="str">
        <f t="shared" si="0"/>
        <v>WPX Energy, Inc. (WPX)Dividend reduction</v>
      </c>
      <c r="B61" s="128" t="str">
        <f>B59</f>
        <v>WPX Energy, Inc. (WPX)</v>
      </c>
      <c r="C61" s="128" t="s">
        <v>515</v>
      </c>
      <c r="D61" s="129"/>
      <c r="E61" s="129"/>
      <c r="F61" s="129"/>
      <c r="G61" s="129"/>
      <c r="H61" s="129"/>
      <c r="I61" s="129"/>
      <c r="J61" s="129"/>
      <c r="K61" s="129"/>
    </row>
    <row r="62" spans="1:11" x14ac:dyDescent="0.25">
      <c r="A62" s="127" t="str">
        <f t="shared" si="0"/>
        <v>WPX Energy, Inc. (WPX)Expected impairment</v>
      </c>
      <c r="B62" s="128" t="str">
        <f>B59</f>
        <v>WPX Energy, Inc. (WPX)</v>
      </c>
      <c r="C62" s="128" t="s">
        <v>516</v>
      </c>
      <c r="D62" s="129"/>
      <c r="E62" s="129"/>
      <c r="F62" s="129"/>
      <c r="G62" s="129"/>
      <c r="H62" s="129"/>
      <c r="I62" s="129"/>
      <c r="J62" s="129"/>
      <c r="K62" s="129"/>
    </row>
    <row r="63" spans="1:11" x14ac:dyDescent="0.25">
      <c r="A63" s="127" t="str">
        <f t="shared" si="0"/>
        <v>WPX Energy, Inc. (WPX)Oil production reduction</v>
      </c>
      <c r="B63" s="128" t="str">
        <f>B59</f>
        <v>WPX Energy, Inc. (WPX)</v>
      </c>
      <c r="C63" s="128" t="s">
        <v>528</v>
      </c>
      <c r="D63" s="129"/>
      <c r="E63" s="129"/>
      <c r="F63" s="129"/>
      <c r="G63" s="129"/>
      <c r="H63" s="129"/>
      <c r="I63" s="129"/>
      <c r="J63" s="129"/>
      <c r="K63" s="129"/>
    </row>
    <row r="64" spans="1:11" x14ac:dyDescent="0.25">
      <c r="A64" s="127" t="str">
        <f t="shared" si="0"/>
        <v>WPX Energy, Inc. (WPX)Gas production reduction</v>
      </c>
      <c r="B64" s="128" t="str">
        <f>B59</f>
        <v>WPX Energy, Inc. (WPX)</v>
      </c>
      <c r="C64" s="128" t="s">
        <v>529</v>
      </c>
      <c r="D64" s="129"/>
      <c r="E64" s="129"/>
      <c r="F64" s="129"/>
      <c r="G64" s="129"/>
      <c r="H64" s="129"/>
      <c r="I64" s="129"/>
      <c r="J64" s="129"/>
      <c r="K64" s="129"/>
    </row>
    <row r="65" spans="1:11" x14ac:dyDescent="0.25">
      <c r="A65" s="127" t="str">
        <f t="shared" si="0"/>
        <v>WPX Energy, Inc. (WPX)NGL production reduction</v>
      </c>
      <c r="B65" s="128" t="str">
        <f>B59</f>
        <v>WPX Energy, Inc. (WPX)</v>
      </c>
      <c r="C65" s="128" t="s">
        <v>530</v>
      </c>
      <c r="D65" s="129"/>
      <c r="E65" s="129"/>
      <c r="F65" s="129"/>
      <c r="G65" s="129"/>
      <c r="H65" s="129"/>
      <c r="I65" s="129"/>
      <c r="J65" s="129"/>
      <c r="K65" s="129"/>
    </row>
    <row r="66" spans="1:11" x14ac:dyDescent="0.25">
      <c r="A66" s="127" t="str">
        <f t="shared" si="0"/>
        <v>WPX Energy, Inc. (WPX)Condensate production reduction</v>
      </c>
      <c r="B66" s="128" t="str">
        <f>B59</f>
        <v>WPX Energy, Inc. (WPX)</v>
      </c>
      <c r="C66" s="128" t="s">
        <v>531</v>
      </c>
      <c r="D66" s="129"/>
      <c r="E66" s="129"/>
      <c r="F66" s="129"/>
      <c r="G66" s="129"/>
      <c r="H66" s="129"/>
      <c r="I66" s="129"/>
      <c r="J66" s="129"/>
      <c r="K66" s="129"/>
    </row>
    <row r="67" spans="1:11" x14ac:dyDescent="0.25">
      <c r="A67" s="2" t="str">
        <f t="shared" si="0"/>
        <v>SM Energy Company (SM)Capex reduction</v>
      </c>
      <c r="B67" s="91" t="s">
        <v>14</v>
      </c>
      <c r="C67" s="91" t="s">
        <v>513</v>
      </c>
      <c r="D67" s="53"/>
      <c r="E67" s="53"/>
      <c r="F67" s="53"/>
      <c r="G67" s="53"/>
      <c r="H67" s="53"/>
      <c r="I67" s="53"/>
      <c r="J67" s="53"/>
      <c r="K67" s="53"/>
    </row>
    <row r="68" spans="1:11" x14ac:dyDescent="0.25">
      <c r="A68" s="2" t="str">
        <f t="shared" si="0"/>
        <v>SM Energy Company (SM)Opex reduction</v>
      </c>
      <c r="B68" s="91" t="str">
        <f>B67</f>
        <v>SM Energy Company (SM)</v>
      </c>
      <c r="C68" s="91" t="s">
        <v>514</v>
      </c>
      <c r="D68" s="53"/>
      <c r="E68" s="53"/>
      <c r="F68" s="53"/>
      <c r="G68" s="53"/>
      <c r="H68" s="53"/>
      <c r="I68" s="53"/>
      <c r="J68" s="53"/>
      <c r="K68" s="53"/>
    </row>
    <row r="69" spans="1:11" x14ac:dyDescent="0.25">
      <c r="A69" s="2" t="str">
        <f t="shared" si="0"/>
        <v>SM Energy Company (SM)Dividend reduction</v>
      </c>
      <c r="B69" s="91" t="str">
        <f>B67</f>
        <v>SM Energy Company (SM)</v>
      </c>
      <c r="C69" s="91" t="s">
        <v>515</v>
      </c>
      <c r="D69" s="53"/>
      <c r="E69" s="53"/>
      <c r="F69" s="53"/>
      <c r="G69" s="53"/>
      <c r="H69" s="53"/>
      <c r="I69" s="53"/>
      <c r="J69" s="53"/>
      <c r="K69" s="53"/>
    </row>
    <row r="70" spans="1:11" x14ac:dyDescent="0.25">
      <c r="A70" s="2" t="str">
        <f t="shared" si="0"/>
        <v>SM Energy Company (SM)Expected impairment</v>
      </c>
      <c r="B70" s="91" t="str">
        <f>B67</f>
        <v>SM Energy Company (SM)</v>
      </c>
      <c r="C70" s="91" t="s">
        <v>516</v>
      </c>
      <c r="D70" s="53"/>
      <c r="E70" s="53"/>
      <c r="F70" s="53"/>
      <c r="G70" s="53"/>
      <c r="H70" s="53"/>
      <c r="I70" s="53"/>
      <c r="J70" s="53"/>
      <c r="K70" s="53"/>
    </row>
    <row r="71" spans="1:11" x14ac:dyDescent="0.25">
      <c r="A71" s="2" t="str">
        <f t="shared" si="0"/>
        <v>SM Energy Company (SM)Oil production reduction</v>
      </c>
      <c r="B71" s="91" t="str">
        <f>B67</f>
        <v>SM Energy Company (SM)</v>
      </c>
      <c r="C71" s="91" t="s">
        <v>528</v>
      </c>
      <c r="D71" s="53"/>
      <c r="E71" s="53"/>
      <c r="F71" s="53"/>
      <c r="G71" s="53"/>
      <c r="H71" s="53"/>
      <c r="I71" s="53"/>
      <c r="J71" s="53"/>
      <c r="K71" s="53"/>
    </row>
    <row r="72" spans="1:11" x14ac:dyDescent="0.25">
      <c r="A72" s="2" t="str">
        <f t="shared" si="0"/>
        <v>SM Energy Company (SM)Gas production reduction</v>
      </c>
      <c r="B72" s="91" t="str">
        <f>B67</f>
        <v>SM Energy Company (SM)</v>
      </c>
      <c r="C72" s="91" t="s">
        <v>529</v>
      </c>
      <c r="D72" s="53"/>
      <c r="E72" s="53"/>
      <c r="F72" s="53"/>
      <c r="G72" s="53"/>
      <c r="H72" s="53"/>
      <c r="I72" s="53"/>
      <c r="J72" s="53"/>
      <c r="K72" s="53"/>
    </row>
    <row r="73" spans="1:11" x14ac:dyDescent="0.25">
      <c r="A73" s="2" t="str">
        <f t="shared" si="0"/>
        <v>SM Energy Company (SM)NGL production reduction</v>
      </c>
      <c r="B73" s="91" t="str">
        <f>B67</f>
        <v>SM Energy Company (SM)</v>
      </c>
      <c r="C73" s="91" t="s">
        <v>530</v>
      </c>
      <c r="D73" s="53"/>
      <c r="E73" s="53"/>
      <c r="F73" s="53"/>
      <c r="G73" s="53"/>
      <c r="H73" s="53"/>
      <c r="I73" s="53"/>
      <c r="J73" s="53"/>
      <c r="K73" s="53"/>
    </row>
    <row r="74" spans="1:11" x14ac:dyDescent="0.25">
      <c r="A74" s="2" t="str">
        <f t="shared" si="0"/>
        <v>SM Energy Company (SM)Condensate production reduction</v>
      </c>
      <c r="B74" s="91" t="str">
        <f>B67</f>
        <v>SM Energy Company (SM)</v>
      </c>
      <c r="C74" s="91" t="s">
        <v>531</v>
      </c>
      <c r="D74" s="53"/>
      <c r="E74" s="53"/>
      <c r="F74" s="53"/>
      <c r="G74" s="53"/>
      <c r="H74" s="53"/>
      <c r="I74" s="53"/>
      <c r="J74" s="53"/>
      <c r="K74" s="53"/>
    </row>
    <row r="75" spans="1:11" x14ac:dyDescent="0.25">
      <c r="A75" s="127" t="str">
        <f t="shared" si="0"/>
        <v>Whiting Petroleum Corporation (WLL)Capex reduction</v>
      </c>
      <c r="B75" s="128" t="s">
        <v>13</v>
      </c>
      <c r="C75" s="128" t="s">
        <v>513</v>
      </c>
      <c r="D75" s="129"/>
      <c r="E75" s="129"/>
      <c r="F75" s="129"/>
      <c r="G75" s="129"/>
      <c r="H75" s="129"/>
      <c r="I75" s="129"/>
      <c r="J75" s="129"/>
      <c r="K75" s="129"/>
    </row>
    <row r="76" spans="1:11" x14ac:dyDescent="0.25">
      <c r="A76" s="127" t="str">
        <f t="shared" si="0"/>
        <v>Whiting Petroleum Corporation (WLL)Opex reduction</v>
      </c>
      <c r="B76" s="128" t="str">
        <f>B75</f>
        <v>Whiting Petroleum Corporation (WLL)</v>
      </c>
      <c r="C76" s="128" t="s">
        <v>514</v>
      </c>
      <c r="D76" s="129"/>
      <c r="E76" s="129"/>
      <c r="F76" s="129"/>
      <c r="G76" s="129"/>
      <c r="H76" s="129"/>
      <c r="I76" s="129"/>
      <c r="J76" s="129"/>
      <c r="K76" s="129"/>
    </row>
    <row r="77" spans="1:11" x14ac:dyDescent="0.25">
      <c r="A77" s="127" t="str">
        <f t="shared" si="0"/>
        <v>Whiting Petroleum Corporation (WLL)Dividend reduction</v>
      </c>
      <c r="B77" s="128" t="str">
        <f>B75</f>
        <v>Whiting Petroleum Corporation (WLL)</v>
      </c>
      <c r="C77" s="128" t="s">
        <v>515</v>
      </c>
      <c r="D77" s="129"/>
      <c r="E77" s="129"/>
      <c r="F77" s="129"/>
      <c r="G77" s="129"/>
      <c r="H77" s="129"/>
      <c r="I77" s="129"/>
      <c r="J77" s="129"/>
      <c r="K77" s="129"/>
    </row>
    <row r="78" spans="1:11" x14ac:dyDescent="0.25">
      <c r="A78" s="127" t="str">
        <f t="shared" si="0"/>
        <v>Whiting Petroleum Corporation (WLL)Expected impairment</v>
      </c>
      <c r="B78" s="128" t="str">
        <f>B75</f>
        <v>Whiting Petroleum Corporation (WLL)</v>
      </c>
      <c r="C78" s="128" t="s">
        <v>516</v>
      </c>
      <c r="D78" s="129"/>
      <c r="E78" s="129"/>
      <c r="F78" s="129"/>
      <c r="G78" s="129"/>
      <c r="H78" s="129"/>
      <c r="I78" s="129"/>
      <c r="J78" s="129"/>
      <c r="K78" s="129"/>
    </row>
    <row r="79" spans="1:11" x14ac:dyDescent="0.25">
      <c r="A79" s="127" t="str">
        <f t="shared" si="0"/>
        <v>Whiting Petroleum Corporation (WLL)Oil production reduction</v>
      </c>
      <c r="B79" s="128" t="str">
        <f>B75</f>
        <v>Whiting Petroleum Corporation (WLL)</v>
      </c>
      <c r="C79" s="128" t="s">
        <v>528</v>
      </c>
      <c r="D79" s="129"/>
      <c r="E79" s="129"/>
      <c r="F79" s="129"/>
      <c r="G79" s="129"/>
      <c r="H79" s="129"/>
      <c r="I79" s="129"/>
      <c r="J79" s="129"/>
      <c r="K79" s="129"/>
    </row>
    <row r="80" spans="1:11" x14ac:dyDescent="0.25">
      <c r="A80" s="127" t="str">
        <f t="shared" si="0"/>
        <v>Whiting Petroleum Corporation (WLL)Gas production reduction</v>
      </c>
      <c r="B80" s="128" t="str">
        <f>B75</f>
        <v>Whiting Petroleum Corporation (WLL)</v>
      </c>
      <c r="C80" s="128" t="s">
        <v>529</v>
      </c>
      <c r="D80" s="129"/>
      <c r="E80" s="129"/>
      <c r="F80" s="129"/>
      <c r="G80" s="129"/>
      <c r="H80" s="129"/>
      <c r="I80" s="129"/>
      <c r="J80" s="129"/>
      <c r="K80" s="129"/>
    </row>
    <row r="81" spans="1:11" x14ac:dyDescent="0.25">
      <c r="A81" s="127" t="str">
        <f t="shared" si="0"/>
        <v>Whiting Petroleum Corporation (WLL)NGL production reduction</v>
      </c>
      <c r="B81" s="128" t="str">
        <f>B75</f>
        <v>Whiting Petroleum Corporation (WLL)</v>
      </c>
      <c r="C81" s="128" t="s">
        <v>530</v>
      </c>
      <c r="D81" s="129"/>
      <c r="E81" s="129"/>
      <c r="F81" s="129"/>
      <c r="G81" s="129"/>
      <c r="H81" s="129"/>
      <c r="I81" s="129"/>
      <c r="J81" s="129"/>
      <c r="K81" s="129"/>
    </row>
    <row r="82" spans="1:11" x14ac:dyDescent="0.25">
      <c r="A82" s="127" t="str">
        <f t="shared" si="0"/>
        <v>Whiting Petroleum Corporation (WLL)Condensate production reduction</v>
      </c>
      <c r="B82" s="128" t="str">
        <f>B75</f>
        <v>Whiting Petroleum Corporation (WLL)</v>
      </c>
      <c r="C82" s="128" t="s">
        <v>531</v>
      </c>
      <c r="D82" s="129"/>
      <c r="E82" s="129"/>
      <c r="F82" s="129"/>
      <c r="G82" s="129"/>
      <c r="H82" s="129"/>
      <c r="I82" s="129"/>
      <c r="J82" s="129"/>
      <c r="K82" s="129"/>
    </row>
    <row r="83" spans="1:11" x14ac:dyDescent="0.25">
      <c r="A83" s="2" t="str">
        <f t="shared" si="0"/>
        <v>ARC Resources Ltd. (ARX.TO)Capex reduction</v>
      </c>
      <c r="B83" s="91" t="s">
        <v>12</v>
      </c>
      <c r="C83" s="91" t="s">
        <v>513</v>
      </c>
      <c r="D83" s="53"/>
      <c r="E83" s="53"/>
      <c r="F83" s="53"/>
      <c r="G83" s="53"/>
      <c r="H83" s="53"/>
      <c r="I83" s="53"/>
      <c r="J83" s="53"/>
      <c r="K83" s="53"/>
    </row>
    <row r="84" spans="1:11" x14ac:dyDescent="0.25">
      <c r="A84" s="2" t="str">
        <f t="shared" si="0"/>
        <v>ARC Resources Ltd. (ARX.TO)Opex reduction</v>
      </c>
      <c r="B84" s="91" t="str">
        <f>B83</f>
        <v>ARC Resources Ltd. (ARX.TO)</v>
      </c>
      <c r="C84" s="91" t="s">
        <v>514</v>
      </c>
      <c r="D84" s="53"/>
      <c r="E84" s="53"/>
      <c r="F84" s="53"/>
      <c r="G84" s="53"/>
      <c r="H84" s="53"/>
      <c r="I84" s="53"/>
      <c r="J84" s="53"/>
      <c r="K84" s="53"/>
    </row>
    <row r="85" spans="1:11" x14ac:dyDescent="0.25">
      <c r="A85" s="2" t="str">
        <f t="shared" si="0"/>
        <v>ARC Resources Ltd. (ARX.TO)Dividend reduction</v>
      </c>
      <c r="B85" s="91" t="str">
        <f>B83</f>
        <v>ARC Resources Ltd. (ARX.TO)</v>
      </c>
      <c r="C85" s="91" t="s">
        <v>515</v>
      </c>
      <c r="D85" s="53"/>
      <c r="E85" s="53"/>
      <c r="F85" s="53"/>
      <c r="G85" s="53"/>
      <c r="H85" s="53"/>
      <c r="I85" s="53"/>
      <c r="J85" s="53"/>
      <c r="K85" s="53"/>
    </row>
    <row r="86" spans="1:11" x14ac:dyDescent="0.25">
      <c r="A86" s="2" t="str">
        <f t="shared" si="0"/>
        <v>ARC Resources Ltd. (ARX.TO)Expected impairment</v>
      </c>
      <c r="B86" s="91" t="str">
        <f>B83</f>
        <v>ARC Resources Ltd. (ARX.TO)</v>
      </c>
      <c r="C86" s="91" t="s">
        <v>516</v>
      </c>
      <c r="D86" s="53"/>
      <c r="E86" s="53"/>
      <c r="F86" s="53"/>
      <c r="G86" s="53"/>
      <c r="H86" s="53"/>
      <c r="I86" s="53"/>
      <c r="J86" s="53"/>
      <c r="K86" s="53"/>
    </row>
    <row r="87" spans="1:11" x14ac:dyDescent="0.25">
      <c r="A87" s="2" t="str">
        <f t="shared" si="0"/>
        <v>ARC Resources Ltd. (ARX.TO)Oil production reduction</v>
      </c>
      <c r="B87" s="91" t="str">
        <f>B83</f>
        <v>ARC Resources Ltd. (ARX.TO)</v>
      </c>
      <c r="C87" s="91" t="s">
        <v>528</v>
      </c>
      <c r="D87" s="53"/>
      <c r="E87" s="53"/>
      <c r="F87" s="53"/>
      <c r="G87" s="53"/>
      <c r="H87" s="53"/>
      <c r="I87" s="53"/>
      <c r="J87" s="53"/>
      <c r="K87" s="53"/>
    </row>
    <row r="88" spans="1:11" x14ac:dyDescent="0.25">
      <c r="A88" s="2" t="str">
        <f t="shared" si="0"/>
        <v>ARC Resources Ltd. (ARX.TO)Gas production reduction</v>
      </c>
      <c r="B88" s="91" t="str">
        <f>B83</f>
        <v>ARC Resources Ltd. (ARX.TO)</v>
      </c>
      <c r="C88" s="91" t="s">
        <v>529</v>
      </c>
      <c r="D88" s="53"/>
      <c r="E88" s="53"/>
      <c r="F88" s="53"/>
      <c r="G88" s="53"/>
      <c r="H88" s="53"/>
      <c r="I88" s="53"/>
      <c r="J88" s="53"/>
      <c r="K88" s="53"/>
    </row>
    <row r="89" spans="1:11" x14ac:dyDescent="0.25">
      <c r="A89" s="2" t="str">
        <f t="shared" si="0"/>
        <v>ARC Resources Ltd. (ARX.TO)NGL production reduction</v>
      </c>
      <c r="B89" s="91" t="str">
        <f>B83</f>
        <v>ARC Resources Ltd. (ARX.TO)</v>
      </c>
      <c r="C89" s="91" t="s">
        <v>530</v>
      </c>
      <c r="D89" s="53"/>
      <c r="E89" s="53"/>
      <c r="F89" s="53"/>
      <c r="G89" s="53"/>
      <c r="H89" s="53"/>
      <c r="I89" s="53"/>
      <c r="J89" s="53"/>
      <c r="K89" s="53"/>
    </row>
    <row r="90" spans="1:11" x14ac:dyDescent="0.25">
      <c r="A90" s="2" t="str">
        <f t="shared" si="0"/>
        <v>ARC Resources Ltd. (ARX.TO)Condensate production reduction</v>
      </c>
      <c r="B90" s="91" t="str">
        <f>B83</f>
        <v>ARC Resources Ltd. (ARX.TO)</v>
      </c>
      <c r="C90" s="91" t="s">
        <v>531</v>
      </c>
      <c r="D90" s="53"/>
      <c r="E90" s="53"/>
      <c r="F90" s="53"/>
      <c r="G90" s="53"/>
      <c r="H90" s="53"/>
      <c r="I90" s="53"/>
      <c r="J90" s="53"/>
      <c r="K90" s="53"/>
    </row>
    <row r="91" spans="1:11" x14ac:dyDescent="0.25">
      <c r="A91" s="127" t="str">
        <f t="shared" si="0"/>
        <v>California Resources Corporation (CRC)Capex reduction</v>
      </c>
      <c r="B91" s="128" t="s">
        <v>11</v>
      </c>
      <c r="C91" s="128" t="s">
        <v>513</v>
      </c>
      <c r="D91" s="129"/>
      <c r="E91" s="129"/>
      <c r="F91" s="129"/>
      <c r="G91" s="129"/>
      <c r="H91" s="129"/>
      <c r="I91" s="129"/>
      <c r="J91" s="129"/>
      <c r="K91" s="129"/>
    </row>
    <row r="92" spans="1:11" x14ac:dyDescent="0.25">
      <c r="A92" s="127" t="str">
        <f t="shared" si="0"/>
        <v>California Resources Corporation (CRC)Opex reduction</v>
      </c>
      <c r="B92" s="128" t="str">
        <f>B91</f>
        <v>California Resources Corporation (CRC)</v>
      </c>
      <c r="C92" s="128" t="s">
        <v>514</v>
      </c>
      <c r="D92" s="129"/>
      <c r="E92" s="129"/>
      <c r="F92" s="129"/>
      <c r="G92" s="129"/>
      <c r="H92" s="129"/>
      <c r="I92" s="129"/>
      <c r="J92" s="129"/>
      <c r="K92" s="129"/>
    </row>
    <row r="93" spans="1:11" x14ac:dyDescent="0.25">
      <c r="A93" s="127" t="str">
        <f t="shared" si="0"/>
        <v>California Resources Corporation (CRC)Dividend reduction</v>
      </c>
      <c r="B93" s="128" t="str">
        <f>B91</f>
        <v>California Resources Corporation (CRC)</v>
      </c>
      <c r="C93" s="128" t="s">
        <v>515</v>
      </c>
      <c r="D93" s="129"/>
      <c r="E93" s="129"/>
      <c r="F93" s="129"/>
      <c r="G93" s="129"/>
      <c r="H93" s="129"/>
      <c r="I93" s="129"/>
      <c r="J93" s="129"/>
      <c r="K93" s="129"/>
    </row>
    <row r="94" spans="1:11" x14ac:dyDescent="0.25">
      <c r="A94" s="127" t="str">
        <f t="shared" si="0"/>
        <v>California Resources Corporation (CRC)Expected impairment</v>
      </c>
      <c r="B94" s="128" t="str">
        <f>B91</f>
        <v>California Resources Corporation (CRC)</v>
      </c>
      <c r="C94" s="128" t="s">
        <v>516</v>
      </c>
      <c r="D94" s="129"/>
      <c r="E94" s="129"/>
      <c r="F94" s="129"/>
      <c r="G94" s="129"/>
      <c r="H94" s="129"/>
      <c r="I94" s="129"/>
      <c r="J94" s="129"/>
      <c r="K94" s="129"/>
    </row>
    <row r="95" spans="1:11" x14ac:dyDescent="0.25">
      <c r="A95" s="127" t="str">
        <f t="shared" si="0"/>
        <v>California Resources Corporation (CRC)Oil production reduction</v>
      </c>
      <c r="B95" s="128" t="str">
        <f>B91</f>
        <v>California Resources Corporation (CRC)</v>
      </c>
      <c r="C95" s="128" t="s">
        <v>528</v>
      </c>
      <c r="D95" s="129"/>
      <c r="E95" s="129"/>
      <c r="F95" s="129"/>
      <c r="G95" s="129"/>
      <c r="H95" s="129"/>
      <c r="I95" s="129"/>
      <c r="J95" s="129"/>
      <c r="K95" s="129"/>
    </row>
    <row r="96" spans="1:11" x14ac:dyDescent="0.25">
      <c r="A96" s="127" t="str">
        <f t="shared" si="0"/>
        <v>California Resources Corporation (CRC)Gas production reduction</v>
      </c>
      <c r="B96" s="128" t="str">
        <f>B91</f>
        <v>California Resources Corporation (CRC)</v>
      </c>
      <c r="C96" s="128" t="s">
        <v>529</v>
      </c>
      <c r="D96" s="129"/>
      <c r="E96" s="129"/>
      <c r="F96" s="129"/>
      <c r="G96" s="129"/>
      <c r="H96" s="129"/>
      <c r="I96" s="129"/>
      <c r="J96" s="129"/>
      <c r="K96" s="129"/>
    </row>
    <row r="97" spans="1:11" x14ac:dyDescent="0.25">
      <c r="A97" s="127" t="str">
        <f t="shared" si="0"/>
        <v>California Resources Corporation (CRC)NGL production reduction</v>
      </c>
      <c r="B97" s="128" t="str">
        <f>B91</f>
        <v>California Resources Corporation (CRC)</v>
      </c>
      <c r="C97" s="128" t="s">
        <v>530</v>
      </c>
      <c r="D97" s="129"/>
      <c r="E97" s="129"/>
      <c r="F97" s="129"/>
      <c r="G97" s="129"/>
      <c r="H97" s="129"/>
      <c r="I97" s="129"/>
      <c r="J97" s="129"/>
      <c r="K97" s="129"/>
    </row>
    <row r="98" spans="1:11" x14ac:dyDescent="0.25">
      <c r="A98" s="127" t="str">
        <f t="shared" si="0"/>
        <v>California Resources Corporation (CRC)Condensate production reduction</v>
      </c>
      <c r="B98" s="128" t="str">
        <f>B91</f>
        <v>California Resources Corporation (CRC)</v>
      </c>
      <c r="C98" s="128" t="s">
        <v>531</v>
      </c>
      <c r="D98" s="129"/>
      <c r="E98" s="129"/>
      <c r="F98" s="129"/>
      <c r="G98" s="129"/>
      <c r="H98" s="129"/>
      <c r="I98" s="129"/>
      <c r="J98" s="129"/>
      <c r="K98" s="129"/>
    </row>
    <row r="99" spans="1:11" x14ac:dyDescent="0.25">
      <c r="A99" s="2" t="str">
        <f t="shared" si="0"/>
        <v>Oasis Petroleum Inc. (OAS)Capex reduction</v>
      </c>
      <c r="B99" s="91" t="s">
        <v>10</v>
      </c>
      <c r="C99" s="91" t="s">
        <v>513</v>
      </c>
      <c r="D99" s="53"/>
      <c r="E99" s="53"/>
      <c r="F99" s="53"/>
      <c r="G99" s="53"/>
      <c r="H99" s="53"/>
      <c r="I99" s="53"/>
      <c r="J99" s="53"/>
      <c r="K99" s="53"/>
    </row>
    <row r="100" spans="1:11" x14ac:dyDescent="0.25">
      <c r="A100" s="2" t="str">
        <f t="shared" si="0"/>
        <v>Oasis Petroleum Inc. (OAS)Opex reduction</v>
      </c>
      <c r="B100" s="91" t="str">
        <f>B99</f>
        <v>Oasis Petroleum Inc. (OAS)</v>
      </c>
      <c r="C100" s="91" t="s">
        <v>514</v>
      </c>
      <c r="D100" s="53"/>
      <c r="E100" s="53"/>
      <c r="F100" s="53"/>
      <c r="G100" s="53"/>
      <c r="H100" s="53"/>
      <c r="I100" s="53"/>
      <c r="J100" s="53"/>
      <c r="K100" s="53"/>
    </row>
    <row r="101" spans="1:11" x14ac:dyDescent="0.25">
      <c r="A101" s="2" t="str">
        <f t="shared" si="0"/>
        <v>Oasis Petroleum Inc. (OAS)Dividend reduction</v>
      </c>
      <c r="B101" s="91" t="str">
        <f>B99</f>
        <v>Oasis Petroleum Inc. (OAS)</v>
      </c>
      <c r="C101" s="91" t="s">
        <v>515</v>
      </c>
      <c r="D101" s="53"/>
      <c r="E101" s="53"/>
      <c r="F101" s="53"/>
      <c r="G101" s="53"/>
      <c r="H101" s="53"/>
      <c r="I101" s="53"/>
      <c r="J101" s="53"/>
      <c r="K101" s="53"/>
    </row>
    <row r="102" spans="1:11" x14ac:dyDescent="0.25">
      <c r="A102" s="2" t="str">
        <f t="shared" si="0"/>
        <v>Oasis Petroleum Inc. (OAS)Expected impairment</v>
      </c>
      <c r="B102" s="91" t="str">
        <f>B99</f>
        <v>Oasis Petroleum Inc. (OAS)</v>
      </c>
      <c r="C102" s="91" t="s">
        <v>516</v>
      </c>
      <c r="D102" s="53"/>
      <c r="E102" s="53"/>
      <c r="F102" s="53"/>
      <c r="G102" s="53"/>
      <c r="H102" s="53"/>
      <c r="I102" s="53"/>
      <c r="J102" s="53"/>
      <c r="K102" s="53"/>
    </row>
    <row r="103" spans="1:11" x14ac:dyDescent="0.25">
      <c r="A103" s="2" t="str">
        <f t="shared" si="0"/>
        <v>Oasis Petroleum Inc. (OAS)Oil production reduction</v>
      </c>
      <c r="B103" s="91" t="str">
        <f>B99</f>
        <v>Oasis Petroleum Inc. (OAS)</v>
      </c>
      <c r="C103" s="91" t="s">
        <v>528</v>
      </c>
      <c r="D103" s="53"/>
      <c r="E103" s="53"/>
      <c r="F103" s="53"/>
      <c r="G103" s="53"/>
      <c r="H103" s="53"/>
      <c r="I103" s="53"/>
      <c r="J103" s="53"/>
      <c r="K103" s="53"/>
    </row>
    <row r="104" spans="1:11" x14ac:dyDescent="0.25">
      <c r="A104" s="2" t="str">
        <f t="shared" si="0"/>
        <v>Oasis Petroleum Inc. (OAS)Gas production reduction</v>
      </c>
      <c r="B104" s="91" t="str">
        <f>B99</f>
        <v>Oasis Petroleum Inc. (OAS)</v>
      </c>
      <c r="C104" s="91" t="s">
        <v>529</v>
      </c>
      <c r="D104" s="53"/>
      <c r="E104" s="53"/>
      <c r="F104" s="53"/>
      <c r="G104" s="53"/>
      <c r="H104" s="53"/>
      <c r="I104" s="53"/>
      <c r="J104" s="53"/>
      <c r="K104" s="53"/>
    </row>
    <row r="105" spans="1:11" x14ac:dyDescent="0.25">
      <c r="A105" s="2" t="str">
        <f t="shared" si="0"/>
        <v>Oasis Petroleum Inc. (OAS)NGL production reduction</v>
      </c>
      <c r="B105" s="91" t="str">
        <f>B99</f>
        <v>Oasis Petroleum Inc. (OAS)</v>
      </c>
      <c r="C105" s="91" t="s">
        <v>530</v>
      </c>
      <c r="D105" s="53"/>
      <c r="E105" s="53"/>
      <c r="F105" s="53"/>
      <c r="G105" s="53"/>
      <c r="H105" s="53"/>
      <c r="I105" s="53"/>
      <c r="J105" s="53"/>
      <c r="K105" s="53"/>
    </row>
    <row r="106" spans="1:11" x14ac:dyDescent="0.25">
      <c r="A106" s="2" t="str">
        <f t="shared" si="0"/>
        <v>Oasis Petroleum Inc. (OAS)Condensate production reduction</v>
      </c>
      <c r="B106" s="91" t="str">
        <f>B99</f>
        <v>Oasis Petroleum Inc. (OAS)</v>
      </c>
      <c r="C106" s="91" t="s">
        <v>531</v>
      </c>
      <c r="D106" s="53"/>
      <c r="E106" s="53"/>
      <c r="F106" s="53"/>
      <c r="G106" s="53"/>
      <c r="H106" s="53"/>
      <c r="I106" s="53"/>
      <c r="J106" s="53"/>
      <c r="K106" s="53"/>
    </row>
    <row r="107" spans="1:11" x14ac:dyDescent="0.25">
      <c r="A107" s="127" t="str">
        <f t="shared" si="0"/>
        <v>QEP Resources, Inc. (QEP)Capex reduction</v>
      </c>
      <c r="B107" s="128" t="s">
        <v>9</v>
      </c>
      <c r="C107" s="128" t="s">
        <v>513</v>
      </c>
      <c r="D107" s="129"/>
      <c r="E107" s="129"/>
      <c r="F107" s="129"/>
      <c r="G107" s="129"/>
      <c r="H107" s="129"/>
      <c r="I107" s="129"/>
      <c r="J107" s="129"/>
      <c r="K107" s="129"/>
    </row>
    <row r="108" spans="1:11" x14ac:dyDescent="0.25">
      <c r="A108" s="127" t="str">
        <f t="shared" si="0"/>
        <v>QEP Resources, Inc. (QEP)Opex reduction</v>
      </c>
      <c r="B108" s="128" t="str">
        <f>B107</f>
        <v>QEP Resources, Inc. (QEP)</v>
      </c>
      <c r="C108" s="128" t="s">
        <v>514</v>
      </c>
      <c r="D108" s="129"/>
      <c r="E108" s="129"/>
      <c r="F108" s="129"/>
      <c r="G108" s="129"/>
      <c r="H108" s="129"/>
      <c r="I108" s="129"/>
      <c r="J108" s="129"/>
      <c r="K108" s="129"/>
    </row>
    <row r="109" spans="1:11" x14ac:dyDescent="0.25">
      <c r="A109" s="127" t="str">
        <f t="shared" si="0"/>
        <v>QEP Resources, Inc. (QEP)Dividend reduction</v>
      </c>
      <c r="B109" s="128" t="str">
        <f>B107</f>
        <v>QEP Resources, Inc. (QEP)</v>
      </c>
      <c r="C109" s="128" t="s">
        <v>515</v>
      </c>
      <c r="D109" s="129"/>
      <c r="E109" s="129"/>
      <c r="F109" s="129"/>
      <c r="G109" s="129"/>
      <c r="H109" s="129"/>
      <c r="I109" s="129"/>
      <c r="J109" s="129"/>
      <c r="K109" s="129"/>
    </row>
    <row r="110" spans="1:11" x14ac:dyDescent="0.25">
      <c r="A110" s="127" t="str">
        <f t="shared" si="0"/>
        <v>QEP Resources, Inc. (QEP)Expected impairment</v>
      </c>
      <c r="B110" s="128" t="str">
        <f>B107</f>
        <v>QEP Resources, Inc. (QEP)</v>
      </c>
      <c r="C110" s="128" t="s">
        <v>516</v>
      </c>
      <c r="D110" s="129"/>
      <c r="E110" s="129"/>
      <c r="F110" s="129"/>
      <c r="G110" s="129"/>
      <c r="H110" s="129"/>
      <c r="I110" s="129"/>
      <c r="J110" s="129"/>
      <c r="K110" s="129"/>
    </row>
    <row r="111" spans="1:11" x14ac:dyDescent="0.25">
      <c r="A111" s="127" t="str">
        <f t="shared" si="0"/>
        <v>QEP Resources, Inc. (QEP)Oil production reduction</v>
      </c>
      <c r="B111" s="128" t="str">
        <f>B107</f>
        <v>QEP Resources, Inc. (QEP)</v>
      </c>
      <c r="C111" s="128" t="s">
        <v>528</v>
      </c>
      <c r="D111" s="129"/>
      <c r="E111" s="129"/>
      <c r="F111" s="129"/>
      <c r="G111" s="129"/>
      <c r="H111" s="129"/>
      <c r="I111" s="129"/>
      <c r="J111" s="129"/>
      <c r="K111" s="129"/>
    </row>
    <row r="112" spans="1:11" x14ac:dyDescent="0.25">
      <c r="A112" s="127" t="str">
        <f t="shared" si="0"/>
        <v>QEP Resources, Inc. (QEP)Gas production reduction</v>
      </c>
      <c r="B112" s="128" t="str">
        <f>B107</f>
        <v>QEP Resources, Inc. (QEP)</v>
      </c>
      <c r="C112" s="128" t="s">
        <v>529</v>
      </c>
      <c r="D112" s="129"/>
      <c r="E112" s="129"/>
      <c r="F112" s="129"/>
      <c r="G112" s="129"/>
      <c r="H112" s="129"/>
      <c r="I112" s="129"/>
      <c r="J112" s="129"/>
      <c r="K112" s="129"/>
    </row>
    <row r="113" spans="1:11" x14ac:dyDescent="0.25">
      <c r="A113" s="127" t="str">
        <f t="shared" si="0"/>
        <v>QEP Resources, Inc. (QEP)NGL production reduction</v>
      </c>
      <c r="B113" s="128" t="str">
        <f>B107</f>
        <v>QEP Resources, Inc. (QEP)</v>
      </c>
      <c r="C113" s="128" t="s">
        <v>530</v>
      </c>
      <c r="D113" s="129"/>
      <c r="E113" s="129"/>
      <c r="F113" s="129"/>
      <c r="G113" s="129"/>
      <c r="H113" s="129"/>
      <c r="I113" s="129"/>
      <c r="J113" s="129"/>
      <c r="K113" s="129"/>
    </row>
    <row r="114" spans="1:11" x14ac:dyDescent="0.25">
      <c r="A114" s="127" t="str">
        <f t="shared" si="0"/>
        <v>QEP Resources, Inc. (QEP)Condensate production reduction</v>
      </c>
      <c r="B114" s="128" t="str">
        <f>B107</f>
        <v>QEP Resources, Inc. (QEP)</v>
      </c>
      <c r="C114" s="128" t="s">
        <v>531</v>
      </c>
      <c r="D114" s="129"/>
      <c r="E114" s="129"/>
      <c r="F114" s="129"/>
      <c r="G114" s="129"/>
      <c r="H114" s="129"/>
      <c r="I114" s="129"/>
      <c r="J114" s="129"/>
      <c r="K114" s="129"/>
    </row>
    <row r="115" spans="1:11" x14ac:dyDescent="0.25">
      <c r="A115" s="2" t="str">
        <f t="shared" si="0"/>
        <v>MEG Energy Corp. (MEG.TO)Capex reduction</v>
      </c>
      <c r="B115" s="91" t="s">
        <v>8</v>
      </c>
      <c r="C115" s="91" t="s">
        <v>513</v>
      </c>
      <c r="D115" s="53"/>
      <c r="E115" s="53"/>
      <c r="F115" s="53"/>
      <c r="G115" s="53"/>
      <c r="H115" s="53"/>
      <c r="I115" s="53"/>
      <c r="J115" s="53"/>
      <c r="K115" s="53"/>
    </row>
    <row r="116" spans="1:11" x14ac:dyDescent="0.25">
      <c r="A116" s="2" t="str">
        <f t="shared" si="0"/>
        <v>MEG Energy Corp. (MEG.TO)Opex reduction</v>
      </c>
      <c r="B116" s="91" t="str">
        <f>B115</f>
        <v>MEG Energy Corp. (MEG.TO)</v>
      </c>
      <c r="C116" s="91" t="s">
        <v>514</v>
      </c>
      <c r="D116" s="53"/>
      <c r="E116" s="53"/>
      <c r="F116" s="53"/>
      <c r="G116" s="53"/>
      <c r="H116" s="53"/>
      <c r="I116" s="53"/>
      <c r="J116" s="53"/>
      <c r="K116" s="53"/>
    </row>
    <row r="117" spans="1:11" x14ac:dyDescent="0.25">
      <c r="A117" s="2" t="str">
        <f t="shared" si="0"/>
        <v>MEG Energy Corp. (MEG.TO)Dividend reduction</v>
      </c>
      <c r="B117" s="91" t="str">
        <f>B115</f>
        <v>MEG Energy Corp. (MEG.TO)</v>
      </c>
      <c r="C117" s="91" t="s">
        <v>515</v>
      </c>
      <c r="D117" s="53"/>
      <c r="E117" s="53"/>
      <c r="F117" s="53"/>
      <c r="G117" s="53"/>
      <c r="H117" s="53"/>
      <c r="I117" s="53"/>
      <c r="J117" s="53"/>
      <c r="K117" s="53"/>
    </row>
    <row r="118" spans="1:11" x14ac:dyDescent="0.25">
      <c r="A118" s="2" t="str">
        <f t="shared" si="0"/>
        <v>MEG Energy Corp. (MEG.TO)Expected impairment</v>
      </c>
      <c r="B118" s="91" t="str">
        <f>B115</f>
        <v>MEG Energy Corp. (MEG.TO)</v>
      </c>
      <c r="C118" s="91" t="s">
        <v>516</v>
      </c>
      <c r="D118" s="53"/>
      <c r="E118" s="53"/>
      <c r="F118" s="53"/>
      <c r="G118" s="53"/>
      <c r="H118" s="53"/>
      <c r="I118" s="53"/>
      <c r="J118" s="53"/>
      <c r="K118" s="53"/>
    </row>
    <row r="119" spans="1:11" x14ac:dyDescent="0.25">
      <c r="A119" s="2" t="str">
        <f t="shared" si="0"/>
        <v>MEG Energy Corp. (MEG.TO)Oil production reduction</v>
      </c>
      <c r="B119" s="91" t="str">
        <f>B115</f>
        <v>MEG Energy Corp. (MEG.TO)</v>
      </c>
      <c r="C119" s="91" t="s">
        <v>528</v>
      </c>
      <c r="D119" s="53"/>
      <c r="E119" s="53"/>
      <c r="F119" s="53"/>
      <c r="G119" s="53"/>
      <c r="H119" s="53"/>
      <c r="I119" s="53"/>
      <c r="J119" s="53"/>
      <c r="K119" s="53"/>
    </row>
    <row r="120" spans="1:11" x14ac:dyDescent="0.25">
      <c r="A120" s="2" t="str">
        <f t="shared" si="0"/>
        <v>MEG Energy Corp. (MEG.TO)Gas production reduction</v>
      </c>
      <c r="B120" s="91" t="str">
        <f>B115</f>
        <v>MEG Energy Corp. (MEG.TO)</v>
      </c>
      <c r="C120" s="91" t="s">
        <v>529</v>
      </c>
      <c r="D120" s="53"/>
      <c r="E120" s="53"/>
      <c r="F120" s="53"/>
      <c r="G120" s="53"/>
      <c r="H120" s="53"/>
      <c r="I120" s="53"/>
      <c r="J120" s="53"/>
      <c r="K120" s="53"/>
    </row>
    <row r="121" spans="1:11" x14ac:dyDescent="0.25">
      <c r="A121" s="2" t="str">
        <f t="shared" si="0"/>
        <v>MEG Energy Corp. (MEG.TO)NGL production reduction</v>
      </c>
      <c r="B121" s="91" t="str">
        <f>B115</f>
        <v>MEG Energy Corp. (MEG.TO)</v>
      </c>
      <c r="C121" s="91" t="s">
        <v>530</v>
      </c>
      <c r="D121" s="53"/>
      <c r="E121" s="53"/>
      <c r="F121" s="53"/>
      <c r="G121" s="53"/>
      <c r="H121" s="53"/>
      <c r="I121" s="53"/>
      <c r="J121" s="53"/>
      <c r="K121" s="53"/>
    </row>
    <row r="122" spans="1:11" x14ac:dyDescent="0.25">
      <c r="A122" s="2" t="str">
        <f t="shared" si="0"/>
        <v>MEG Energy Corp. (MEG.TO)Condensate production reduction</v>
      </c>
      <c r="B122" s="91" t="str">
        <f>B115</f>
        <v>MEG Energy Corp. (MEG.TO)</v>
      </c>
      <c r="C122" s="91" t="s">
        <v>531</v>
      </c>
      <c r="D122" s="53"/>
      <c r="E122" s="53"/>
      <c r="F122" s="53"/>
      <c r="G122" s="53"/>
      <c r="H122" s="53"/>
      <c r="I122" s="53"/>
      <c r="J122" s="53"/>
      <c r="K122" s="53"/>
    </row>
    <row r="123" spans="1:11" x14ac:dyDescent="0.25">
      <c r="A123" s="127" t="str">
        <f t="shared" si="0"/>
        <v>Whitecap Resources Inc. (WCP.TO)Capex reduction</v>
      </c>
      <c r="B123" s="128" t="s">
        <v>7</v>
      </c>
      <c r="C123" s="128" t="s">
        <v>513</v>
      </c>
      <c r="D123" s="129"/>
      <c r="E123" s="129"/>
      <c r="F123" s="129"/>
      <c r="G123" s="129"/>
      <c r="H123" s="129"/>
      <c r="I123" s="129"/>
      <c r="J123" s="129"/>
      <c r="K123" s="129"/>
    </row>
    <row r="124" spans="1:11" x14ac:dyDescent="0.25">
      <c r="A124" s="127" t="str">
        <f t="shared" si="0"/>
        <v>Whitecap Resources Inc. (WCP.TO)Opex reduction</v>
      </c>
      <c r="B124" s="128" t="str">
        <f>B123</f>
        <v>Whitecap Resources Inc. (WCP.TO)</v>
      </c>
      <c r="C124" s="128" t="s">
        <v>514</v>
      </c>
      <c r="D124" s="129"/>
      <c r="E124" s="129"/>
      <c r="F124" s="129"/>
      <c r="G124" s="129"/>
      <c r="H124" s="129"/>
      <c r="I124" s="129"/>
      <c r="J124" s="129"/>
      <c r="K124" s="129"/>
    </row>
    <row r="125" spans="1:11" x14ac:dyDescent="0.25">
      <c r="A125" s="127" t="str">
        <f t="shared" si="0"/>
        <v>Whitecap Resources Inc. (WCP.TO)Dividend reduction</v>
      </c>
      <c r="B125" s="128" t="str">
        <f>B123</f>
        <v>Whitecap Resources Inc. (WCP.TO)</v>
      </c>
      <c r="C125" s="128" t="s">
        <v>515</v>
      </c>
      <c r="D125" s="129"/>
      <c r="E125" s="129"/>
      <c r="F125" s="129"/>
      <c r="G125" s="129"/>
      <c r="H125" s="129"/>
      <c r="I125" s="129"/>
      <c r="J125" s="129"/>
      <c r="K125" s="129"/>
    </row>
    <row r="126" spans="1:11" x14ac:dyDescent="0.25">
      <c r="A126" s="127" t="str">
        <f t="shared" si="0"/>
        <v>Whitecap Resources Inc. (WCP.TO)Expected impairment</v>
      </c>
      <c r="B126" s="128" t="str">
        <f>B123</f>
        <v>Whitecap Resources Inc. (WCP.TO)</v>
      </c>
      <c r="C126" s="128" t="s">
        <v>516</v>
      </c>
      <c r="D126" s="129"/>
      <c r="E126" s="129"/>
      <c r="F126" s="129"/>
      <c r="G126" s="129"/>
      <c r="H126" s="129"/>
      <c r="I126" s="129"/>
      <c r="J126" s="129"/>
      <c r="K126" s="129"/>
    </row>
    <row r="127" spans="1:11" x14ac:dyDescent="0.25">
      <c r="A127" s="127" t="str">
        <f t="shared" si="0"/>
        <v>Whitecap Resources Inc. (WCP.TO)Oil production reduction</v>
      </c>
      <c r="B127" s="128" t="str">
        <f>B123</f>
        <v>Whitecap Resources Inc. (WCP.TO)</v>
      </c>
      <c r="C127" s="128" t="s">
        <v>528</v>
      </c>
      <c r="D127" s="129"/>
      <c r="E127" s="129"/>
      <c r="F127" s="129"/>
      <c r="G127" s="129"/>
      <c r="H127" s="129"/>
      <c r="I127" s="129"/>
      <c r="J127" s="129"/>
      <c r="K127" s="129"/>
    </row>
    <row r="128" spans="1:11" x14ac:dyDescent="0.25">
      <c r="A128" s="127" t="str">
        <f t="shared" si="0"/>
        <v>Whitecap Resources Inc. (WCP.TO)Gas production reduction</v>
      </c>
      <c r="B128" s="128" t="str">
        <f>B123</f>
        <v>Whitecap Resources Inc. (WCP.TO)</v>
      </c>
      <c r="C128" s="128" t="s">
        <v>529</v>
      </c>
      <c r="D128" s="129"/>
      <c r="E128" s="129"/>
      <c r="F128" s="129"/>
      <c r="G128" s="129"/>
      <c r="H128" s="129"/>
      <c r="I128" s="129"/>
      <c r="J128" s="129"/>
      <c r="K128" s="129"/>
    </row>
    <row r="129" spans="1:11" x14ac:dyDescent="0.25">
      <c r="A129" s="127" t="str">
        <f t="shared" si="0"/>
        <v>Whitecap Resources Inc. (WCP.TO)NGL production reduction</v>
      </c>
      <c r="B129" s="128" t="str">
        <f>B123</f>
        <v>Whitecap Resources Inc. (WCP.TO)</v>
      </c>
      <c r="C129" s="128" t="s">
        <v>530</v>
      </c>
      <c r="D129" s="129"/>
      <c r="E129" s="129"/>
      <c r="F129" s="129"/>
      <c r="G129" s="129"/>
      <c r="H129" s="129"/>
      <c r="I129" s="129"/>
      <c r="J129" s="129"/>
      <c r="K129" s="129"/>
    </row>
    <row r="130" spans="1:11" x14ac:dyDescent="0.25">
      <c r="A130" s="127" t="str">
        <f t="shared" si="0"/>
        <v>Whitecap Resources Inc. (WCP.TO)Condensate production reduction</v>
      </c>
      <c r="B130" s="128" t="str">
        <f>B123</f>
        <v>Whitecap Resources Inc. (WCP.TO)</v>
      </c>
      <c r="C130" s="128" t="s">
        <v>531</v>
      </c>
      <c r="D130" s="129"/>
      <c r="E130" s="129"/>
      <c r="F130" s="129"/>
      <c r="G130" s="129"/>
      <c r="H130" s="129"/>
      <c r="I130" s="129"/>
      <c r="J130" s="129"/>
      <c r="K130" s="129"/>
    </row>
    <row r="131" spans="1:11" x14ac:dyDescent="0.25">
      <c r="A131" s="2" t="str">
        <f t="shared" si="0"/>
        <v>EP Energy Corporation (EPEGQ)Capex reduction</v>
      </c>
      <c r="B131" s="91" t="s">
        <v>6</v>
      </c>
      <c r="C131" s="91" t="s">
        <v>513</v>
      </c>
      <c r="D131" s="53"/>
      <c r="E131" s="53"/>
      <c r="F131" s="53"/>
      <c r="G131" s="53"/>
      <c r="H131" s="53"/>
      <c r="I131" s="53"/>
      <c r="J131" s="53"/>
      <c r="K131" s="53"/>
    </row>
    <row r="132" spans="1:11" x14ac:dyDescent="0.25">
      <c r="A132" s="2" t="str">
        <f t="shared" si="0"/>
        <v>EP Energy Corporation (EPEGQ)Opex reduction</v>
      </c>
      <c r="B132" s="91" t="str">
        <f>B131</f>
        <v>EP Energy Corporation (EPEGQ)</v>
      </c>
      <c r="C132" s="91" t="s">
        <v>514</v>
      </c>
      <c r="D132" s="53"/>
      <c r="E132" s="53"/>
      <c r="F132" s="53"/>
      <c r="G132" s="53"/>
      <c r="H132" s="53"/>
      <c r="I132" s="53"/>
      <c r="J132" s="53"/>
      <c r="K132" s="53"/>
    </row>
    <row r="133" spans="1:11" x14ac:dyDescent="0.25">
      <c r="A133" s="2" t="str">
        <f t="shared" si="0"/>
        <v>EP Energy Corporation (EPEGQ)Dividend reduction</v>
      </c>
      <c r="B133" s="91" t="str">
        <f>B131</f>
        <v>EP Energy Corporation (EPEGQ)</v>
      </c>
      <c r="C133" s="91" t="s">
        <v>515</v>
      </c>
      <c r="D133" s="53"/>
      <c r="E133" s="53"/>
      <c r="F133" s="53"/>
      <c r="G133" s="53"/>
      <c r="H133" s="53"/>
      <c r="I133" s="53"/>
      <c r="J133" s="53"/>
      <c r="K133" s="53"/>
    </row>
    <row r="134" spans="1:11" x14ac:dyDescent="0.25">
      <c r="A134" s="2" t="str">
        <f t="shared" si="0"/>
        <v>EP Energy Corporation (EPEGQ)Expected impairment</v>
      </c>
      <c r="B134" s="91" t="str">
        <f>B131</f>
        <v>EP Energy Corporation (EPEGQ)</v>
      </c>
      <c r="C134" s="91" t="s">
        <v>516</v>
      </c>
      <c r="D134" s="53"/>
      <c r="E134" s="53"/>
      <c r="F134" s="53"/>
      <c r="G134" s="53"/>
      <c r="H134" s="53"/>
      <c r="I134" s="53"/>
      <c r="J134" s="53"/>
      <c r="K134" s="53"/>
    </row>
    <row r="135" spans="1:11" x14ac:dyDescent="0.25">
      <c r="A135" s="2" t="str">
        <f t="shared" si="0"/>
        <v>EP Energy Corporation (EPEGQ)Oil production reduction</v>
      </c>
      <c r="B135" s="91" t="str">
        <f>B131</f>
        <v>EP Energy Corporation (EPEGQ)</v>
      </c>
      <c r="C135" s="91" t="s">
        <v>528</v>
      </c>
      <c r="D135" s="53"/>
      <c r="E135" s="53"/>
      <c r="F135" s="53"/>
      <c r="G135" s="53"/>
      <c r="H135" s="53"/>
      <c r="I135" s="53"/>
      <c r="J135" s="53"/>
      <c r="K135" s="53"/>
    </row>
    <row r="136" spans="1:11" x14ac:dyDescent="0.25">
      <c r="A136" s="2" t="str">
        <f t="shared" si="0"/>
        <v>EP Energy Corporation (EPEGQ)Gas production reduction</v>
      </c>
      <c r="B136" s="91" t="str">
        <f>B131</f>
        <v>EP Energy Corporation (EPEGQ)</v>
      </c>
      <c r="C136" s="91" t="s">
        <v>529</v>
      </c>
      <c r="D136" s="53"/>
      <c r="E136" s="53"/>
      <c r="F136" s="53"/>
      <c r="G136" s="53"/>
      <c r="H136" s="53"/>
      <c r="I136" s="53"/>
      <c r="J136" s="53"/>
      <c r="K136" s="53"/>
    </row>
    <row r="137" spans="1:11" x14ac:dyDescent="0.25">
      <c r="A137" s="2" t="str">
        <f t="shared" si="0"/>
        <v>EP Energy Corporation (EPEGQ)NGL production reduction</v>
      </c>
      <c r="B137" s="91" t="str">
        <f>B131</f>
        <v>EP Energy Corporation (EPEGQ)</v>
      </c>
      <c r="C137" s="91" t="s">
        <v>530</v>
      </c>
      <c r="D137" s="53"/>
      <c r="E137" s="53"/>
      <c r="F137" s="53"/>
      <c r="G137" s="53"/>
      <c r="H137" s="53"/>
      <c r="I137" s="53"/>
      <c r="J137" s="53"/>
      <c r="K137" s="53"/>
    </row>
    <row r="138" spans="1:11" x14ac:dyDescent="0.25">
      <c r="A138" s="2" t="str">
        <f t="shared" si="0"/>
        <v>EP Energy Corporation (EPEGQ)Condensate production reduction</v>
      </c>
      <c r="B138" s="91" t="str">
        <f>B131</f>
        <v>EP Energy Corporation (EPEGQ)</v>
      </c>
      <c r="C138" s="91" t="s">
        <v>531</v>
      </c>
      <c r="D138" s="53"/>
      <c r="E138" s="53"/>
      <c r="F138" s="53"/>
      <c r="G138" s="53"/>
      <c r="H138" s="53"/>
      <c r="I138" s="53"/>
      <c r="J138" s="53"/>
      <c r="K138" s="53"/>
    </row>
    <row r="139" spans="1:11" x14ac:dyDescent="0.25">
      <c r="A139" s="127" t="str">
        <f t="shared" si="0"/>
        <v>Talos Energy Inc. (TALO)Capex reduction</v>
      </c>
      <c r="B139" s="128" t="s">
        <v>5</v>
      </c>
      <c r="C139" s="128" t="s">
        <v>513</v>
      </c>
      <c r="D139" s="129"/>
      <c r="E139" s="129"/>
      <c r="F139" s="129"/>
      <c r="G139" s="129"/>
      <c r="H139" s="129"/>
      <c r="I139" s="129"/>
      <c r="J139" s="129"/>
      <c r="K139" s="129"/>
    </row>
    <row r="140" spans="1:11" x14ac:dyDescent="0.25">
      <c r="A140" s="127" t="str">
        <f t="shared" ref="A140:A202" si="2">B140&amp;C140</f>
        <v>Talos Energy Inc. (TALO)Opex reduction</v>
      </c>
      <c r="B140" s="128" t="str">
        <f>B139</f>
        <v>Talos Energy Inc. (TALO)</v>
      </c>
      <c r="C140" s="128" t="s">
        <v>514</v>
      </c>
      <c r="D140" s="129"/>
      <c r="E140" s="129"/>
      <c r="F140" s="129"/>
      <c r="G140" s="129"/>
      <c r="H140" s="129"/>
      <c r="I140" s="129"/>
      <c r="J140" s="129"/>
      <c r="K140" s="129"/>
    </row>
    <row r="141" spans="1:11" x14ac:dyDescent="0.25">
      <c r="A141" s="127" t="str">
        <f t="shared" si="2"/>
        <v>Talos Energy Inc. (TALO)Dividend reduction</v>
      </c>
      <c r="B141" s="128" t="str">
        <f>B139</f>
        <v>Talos Energy Inc. (TALO)</v>
      </c>
      <c r="C141" s="128" t="s">
        <v>515</v>
      </c>
      <c r="D141" s="129"/>
      <c r="E141" s="129"/>
      <c r="F141" s="129"/>
      <c r="G141" s="129"/>
      <c r="H141" s="129"/>
      <c r="I141" s="129"/>
      <c r="J141" s="129"/>
      <c r="K141" s="129"/>
    </row>
    <row r="142" spans="1:11" x14ac:dyDescent="0.25">
      <c r="A142" s="127" t="str">
        <f t="shared" si="2"/>
        <v>Talos Energy Inc. (TALO)Expected impairment</v>
      </c>
      <c r="B142" s="128" t="str">
        <f>B139</f>
        <v>Talos Energy Inc. (TALO)</v>
      </c>
      <c r="C142" s="128" t="s">
        <v>516</v>
      </c>
      <c r="D142" s="129"/>
      <c r="E142" s="129"/>
      <c r="F142" s="129"/>
      <c r="G142" s="129"/>
      <c r="H142" s="129"/>
      <c r="I142" s="129"/>
      <c r="J142" s="129"/>
      <c r="K142" s="129"/>
    </row>
    <row r="143" spans="1:11" x14ac:dyDescent="0.25">
      <c r="A143" s="127" t="str">
        <f t="shared" si="2"/>
        <v>Talos Energy Inc. (TALO)Oil production reduction</v>
      </c>
      <c r="B143" s="128" t="str">
        <f>B139</f>
        <v>Talos Energy Inc. (TALO)</v>
      </c>
      <c r="C143" s="128" t="s">
        <v>528</v>
      </c>
      <c r="D143" s="129"/>
      <c r="E143" s="129"/>
      <c r="F143" s="129"/>
      <c r="G143" s="129"/>
      <c r="H143" s="129"/>
      <c r="I143" s="129"/>
      <c r="J143" s="129"/>
      <c r="K143" s="129"/>
    </row>
    <row r="144" spans="1:11" x14ac:dyDescent="0.25">
      <c r="A144" s="127" t="str">
        <f t="shared" si="2"/>
        <v>Talos Energy Inc. (TALO)Gas production reduction</v>
      </c>
      <c r="B144" s="128" t="str">
        <f>B139</f>
        <v>Talos Energy Inc. (TALO)</v>
      </c>
      <c r="C144" s="128" t="s">
        <v>529</v>
      </c>
      <c r="D144" s="129"/>
      <c r="E144" s="129"/>
      <c r="F144" s="129"/>
      <c r="G144" s="129"/>
      <c r="H144" s="129"/>
      <c r="I144" s="129"/>
      <c r="J144" s="129"/>
      <c r="K144" s="129"/>
    </row>
    <row r="145" spans="1:11" x14ac:dyDescent="0.25">
      <c r="A145" s="127" t="str">
        <f t="shared" si="2"/>
        <v>Talos Energy Inc. (TALO)NGL production reduction</v>
      </c>
      <c r="B145" s="128" t="str">
        <f>B139</f>
        <v>Talos Energy Inc. (TALO)</v>
      </c>
      <c r="C145" s="128" t="s">
        <v>530</v>
      </c>
      <c r="D145" s="129"/>
      <c r="E145" s="129"/>
      <c r="F145" s="129"/>
      <c r="G145" s="129"/>
      <c r="H145" s="129"/>
      <c r="I145" s="129"/>
      <c r="J145" s="129"/>
      <c r="K145" s="129"/>
    </row>
    <row r="146" spans="1:11" x14ac:dyDescent="0.25">
      <c r="A146" s="127" t="str">
        <f t="shared" si="2"/>
        <v>Talos Energy Inc. (TALO)Condensate production reduction</v>
      </c>
      <c r="B146" s="128" t="str">
        <f>B139</f>
        <v>Talos Energy Inc. (TALO)</v>
      </c>
      <c r="C146" s="128" t="s">
        <v>531</v>
      </c>
      <c r="D146" s="129"/>
      <c r="E146" s="129"/>
      <c r="F146" s="129"/>
      <c r="G146" s="129"/>
      <c r="H146" s="129"/>
      <c r="I146" s="129"/>
      <c r="J146" s="129"/>
      <c r="K146" s="129"/>
    </row>
    <row r="147" spans="1:11" x14ac:dyDescent="0.25">
      <c r="A147" s="2" t="str">
        <f t="shared" si="2"/>
        <v>Denbury Resources Inc. (DNR)Capex reduction</v>
      </c>
      <c r="B147" s="91" t="s">
        <v>4</v>
      </c>
      <c r="C147" s="91" t="s">
        <v>513</v>
      </c>
      <c r="D147" s="53"/>
      <c r="E147" s="53"/>
      <c r="F147" s="53"/>
      <c r="G147" s="53"/>
      <c r="H147" s="53"/>
      <c r="I147" s="53"/>
      <c r="J147" s="53"/>
      <c r="K147" s="53"/>
    </row>
    <row r="148" spans="1:11" x14ac:dyDescent="0.25">
      <c r="A148" s="2" t="str">
        <f t="shared" si="2"/>
        <v>Denbury Resources Inc. (DNR)Opex reduction</v>
      </c>
      <c r="B148" s="91" t="str">
        <f>B147</f>
        <v>Denbury Resources Inc. (DNR)</v>
      </c>
      <c r="C148" s="91" t="s">
        <v>514</v>
      </c>
      <c r="D148" s="53"/>
      <c r="E148" s="53"/>
      <c r="F148" s="53"/>
      <c r="G148" s="53"/>
      <c r="H148" s="53"/>
      <c r="I148" s="53"/>
      <c r="J148" s="53"/>
      <c r="K148" s="53"/>
    </row>
    <row r="149" spans="1:11" x14ac:dyDescent="0.25">
      <c r="A149" s="2" t="str">
        <f t="shared" si="2"/>
        <v>Denbury Resources Inc. (DNR)Dividend reduction</v>
      </c>
      <c r="B149" s="91" t="str">
        <f>B147</f>
        <v>Denbury Resources Inc. (DNR)</v>
      </c>
      <c r="C149" s="91" t="s">
        <v>515</v>
      </c>
      <c r="D149" s="53"/>
      <c r="E149" s="53"/>
      <c r="F149" s="53"/>
      <c r="G149" s="53"/>
      <c r="H149" s="53"/>
      <c r="I149" s="53"/>
      <c r="J149" s="53"/>
      <c r="K149" s="53"/>
    </row>
    <row r="150" spans="1:11" x14ac:dyDescent="0.25">
      <c r="A150" s="2" t="str">
        <f t="shared" si="2"/>
        <v>Denbury Resources Inc. (DNR)Expected impairment</v>
      </c>
      <c r="B150" s="91" t="str">
        <f>B147</f>
        <v>Denbury Resources Inc. (DNR)</v>
      </c>
      <c r="C150" s="91" t="s">
        <v>516</v>
      </c>
      <c r="D150" s="53"/>
      <c r="E150" s="53"/>
      <c r="F150" s="53"/>
      <c r="G150" s="53"/>
      <c r="H150" s="53"/>
      <c r="I150" s="53"/>
      <c r="J150" s="53"/>
      <c r="K150" s="53"/>
    </row>
    <row r="151" spans="1:11" x14ac:dyDescent="0.25">
      <c r="A151" s="2" t="str">
        <f t="shared" si="2"/>
        <v>Denbury Resources Inc. (DNR)Oil production reduction</v>
      </c>
      <c r="B151" s="91" t="str">
        <f>B147</f>
        <v>Denbury Resources Inc. (DNR)</v>
      </c>
      <c r="C151" s="91" t="s">
        <v>528</v>
      </c>
      <c r="D151" s="53"/>
      <c r="E151" s="53"/>
      <c r="F151" s="53"/>
      <c r="G151" s="53"/>
      <c r="H151" s="53"/>
      <c r="I151" s="53"/>
      <c r="J151" s="53"/>
      <c r="K151" s="53"/>
    </row>
    <row r="152" spans="1:11" x14ac:dyDescent="0.25">
      <c r="A152" s="2" t="str">
        <f t="shared" si="2"/>
        <v>Denbury Resources Inc. (DNR)Gas production reduction</v>
      </c>
      <c r="B152" s="91" t="str">
        <f>B147</f>
        <v>Denbury Resources Inc. (DNR)</v>
      </c>
      <c r="C152" s="91" t="s">
        <v>529</v>
      </c>
      <c r="D152" s="53"/>
      <c r="E152" s="53"/>
      <c r="F152" s="53"/>
      <c r="G152" s="53"/>
      <c r="H152" s="53"/>
      <c r="I152" s="53"/>
      <c r="J152" s="53"/>
      <c r="K152" s="53"/>
    </row>
    <row r="153" spans="1:11" x14ac:dyDescent="0.25">
      <c r="A153" s="2" t="str">
        <f t="shared" si="2"/>
        <v>Denbury Resources Inc. (DNR)NGL production reduction</v>
      </c>
      <c r="B153" s="91" t="str">
        <f>B147</f>
        <v>Denbury Resources Inc. (DNR)</v>
      </c>
      <c r="C153" s="91" t="s">
        <v>530</v>
      </c>
      <c r="D153" s="53"/>
      <c r="E153" s="53"/>
      <c r="F153" s="53"/>
      <c r="G153" s="53"/>
      <c r="H153" s="53"/>
      <c r="I153" s="53"/>
      <c r="J153" s="53"/>
      <c r="K153" s="53"/>
    </row>
    <row r="154" spans="1:11" x14ac:dyDescent="0.25">
      <c r="A154" s="2" t="str">
        <f t="shared" si="2"/>
        <v>Denbury Resources Inc. (DNR)Condensate production reduction</v>
      </c>
      <c r="B154" s="91" t="str">
        <f>B147</f>
        <v>Denbury Resources Inc. (DNR)</v>
      </c>
      <c r="C154" s="91" t="s">
        <v>531</v>
      </c>
      <c r="D154" s="53"/>
      <c r="E154" s="53"/>
      <c r="F154" s="53"/>
      <c r="G154" s="53"/>
      <c r="H154" s="53"/>
      <c r="I154" s="53"/>
      <c r="J154" s="53"/>
      <c r="K154" s="53"/>
    </row>
    <row r="155" spans="1:11" x14ac:dyDescent="0.25">
      <c r="A155" s="127" t="str">
        <f t="shared" si="2"/>
        <v>Baytex Energy Corp. (BTE)Capex reduction</v>
      </c>
      <c r="B155" s="128" t="s">
        <v>3</v>
      </c>
      <c r="C155" s="128" t="s">
        <v>513</v>
      </c>
      <c r="D155" s="129"/>
      <c r="E155" s="129"/>
      <c r="F155" s="129"/>
      <c r="G155" s="129"/>
      <c r="H155" s="129"/>
      <c r="I155" s="129"/>
      <c r="J155" s="129"/>
      <c r="K155" s="129"/>
    </row>
    <row r="156" spans="1:11" x14ac:dyDescent="0.25">
      <c r="A156" s="127" t="str">
        <f t="shared" si="2"/>
        <v>Baytex Energy Corp. (BTE)Opex reduction</v>
      </c>
      <c r="B156" s="128" t="str">
        <f>B155</f>
        <v>Baytex Energy Corp. (BTE)</v>
      </c>
      <c r="C156" s="128" t="s">
        <v>514</v>
      </c>
      <c r="D156" s="129"/>
      <c r="E156" s="129"/>
      <c r="F156" s="129"/>
      <c r="G156" s="129"/>
      <c r="H156" s="129"/>
      <c r="I156" s="129"/>
      <c r="J156" s="129"/>
      <c r="K156" s="129"/>
    </row>
    <row r="157" spans="1:11" x14ac:dyDescent="0.25">
      <c r="A157" s="127" t="str">
        <f t="shared" si="2"/>
        <v>Baytex Energy Corp. (BTE)Dividend reduction</v>
      </c>
      <c r="B157" s="128" t="str">
        <f>B155</f>
        <v>Baytex Energy Corp. (BTE)</v>
      </c>
      <c r="C157" s="128" t="s">
        <v>515</v>
      </c>
      <c r="D157" s="129"/>
      <c r="E157" s="129"/>
      <c r="F157" s="129"/>
      <c r="G157" s="129"/>
      <c r="H157" s="129"/>
      <c r="I157" s="129"/>
      <c r="J157" s="129"/>
      <c r="K157" s="129"/>
    </row>
    <row r="158" spans="1:11" x14ac:dyDescent="0.25">
      <c r="A158" s="127" t="str">
        <f t="shared" si="2"/>
        <v>Baytex Energy Corp. (BTE)Expected impairment</v>
      </c>
      <c r="B158" s="128" t="str">
        <f>B155</f>
        <v>Baytex Energy Corp. (BTE)</v>
      </c>
      <c r="C158" s="128" t="s">
        <v>516</v>
      </c>
      <c r="D158" s="129"/>
      <c r="E158" s="129"/>
      <c r="F158" s="129"/>
      <c r="G158" s="129"/>
      <c r="H158" s="129"/>
      <c r="I158" s="129"/>
      <c r="J158" s="129"/>
      <c r="K158" s="129"/>
    </row>
    <row r="159" spans="1:11" x14ac:dyDescent="0.25">
      <c r="A159" s="127" t="str">
        <f t="shared" si="2"/>
        <v>Baytex Energy Corp. (BTE)Oil production reduction</v>
      </c>
      <c r="B159" s="128" t="str">
        <f>B155</f>
        <v>Baytex Energy Corp. (BTE)</v>
      </c>
      <c r="C159" s="128" t="s">
        <v>528</v>
      </c>
      <c r="D159" s="129"/>
      <c r="E159" s="129"/>
      <c r="F159" s="129"/>
      <c r="G159" s="129"/>
      <c r="H159" s="129"/>
      <c r="I159" s="129"/>
      <c r="J159" s="129"/>
      <c r="K159" s="129"/>
    </row>
    <row r="160" spans="1:11" x14ac:dyDescent="0.25">
      <c r="A160" s="127" t="str">
        <f t="shared" si="2"/>
        <v>Baytex Energy Corp. (BTE)Gas production reduction</v>
      </c>
      <c r="B160" s="128" t="str">
        <f>B155</f>
        <v>Baytex Energy Corp. (BTE)</v>
      </c>
      <c r="C160" s="128" t="s">
        <v>529</v>
      </c>
      <c r="D160" s="129"/>
      <c r="E160" s="129"/>
      <c r="F160" s="129"/>
      <c r="G160" s="129"/>
      <c r="H160" s="129"/>
      <c r="I160" s="129"/>
      <c r="J160" s="129"/>
      <c r="K160" s="129"/>
    </row>
    <row r="161" spans="1:11" x14ac:dyDescent="0.25">
      <c r="A161" s="127" t="str">
        <f t="shared" si="2"/>
        <v>Baytex Energy Corp. (BTE)NGL production reduction</v>
      </c>
      <c r="B161" s="128" t="str">
        <f>B155</f>
        <v>Baytex Energy Corp. (BTE)</v>
      </c>
      <c r="C161" s="128" t="s">
        <v>530</v>
      </c>
      <c r="D161" s="129"/>
      <c r="E161" s="129"/>
      <c r="F161" s="129"/>
      <c r="G161" s="129"/>
      <c r="H161" s="129"/>
      <c r="I161" s="129"/>
      <c r="J161" s="129"/>
      <c r="K161" s="129"/>
    </row>
    <row r="162" spans="1:11" x14ac:dyDescent="0.25">
      <c r="A162" s="127" t="str">
        <f t="shared" si="2"/>
        <v>Baytex Energy Corp. (BTE)Condensate production reduction</v>
      </c>
      <c r="B162" s="128" t="str">
        <f>B155</f>
        <v>Baytex Energy Corp. (BTE)</v>
      </c>
      <c r="C162" s="128" t="s">
        <v>531</v>
      </c>
      <c r="D162" s="129"/>
      <c r="E162" s="129"/>
      <c r="F162" s="129"/>
      <c r="G162" s="129"/>
      <c r="H162" s="129"/>
      <c r="I162" s="129"/>
      <c r="J162" s="129"/>
      <c r="K162" s="129"/>
    </row>
    <row r="163" spans="1:11" x14ac:dyDescent="0.25">
      <c r="A163" s="2" t="str">
        <f t="shared" si="2"/>
        <v>Kinder Morgan, Inc. (KMI)Capex reduction</v>
      </c>
      <c r="B163" s="91" t="s">
        <v>2</v>
      </c>
      <c r="C163" s="91" t="s">
        <v>513</v>
      </c>
      <c r="D163" s="53"/>
      <c r="E163" s="53"/>
      <c r="F163" s="53"/>
      <c r="G163" s="53"/>
      <c r="H163" s="53"/>
      <c r="I163" s="53"/>
      <c r="J163" s="53"/>
      <c r="K163" s="53"/>
    </row>
    <row r="164" spans="1:11" x14ac:dyDescent="0.25">
      <c r="A164" s="2" t="str">
        <f t="shared" si="2"/>
        <v>Kinder Morgan, Inc. (KMI)Opex reduction</v>
      </c>
      <c r="B164" s="91" t="str">
        <f>B163</f>
        <v>Kinder Morgan, Inc. (KMI)</v>
      </c>
      <c r="C164" s="91" t="s">
        <v>514</v>
      </c>
      <c r="D164" s="53"/>
      <c r="E164" s="53"/>
      <c r="F164" s="53"/>
      <c r="G164" s="53"/>
      <c r="H164" s="53"/>
      <c r="I164" s="53"/>
      <c r="J164" s="53"/>
      <c r="K164" s="53"/>
    </row>
    <row r="165" spans="1:11" x14ac:dyDescent="0.25">
      <c r="A165" s="2" t="str">
        <f t="shared" si="2"/>
        <v>Kinder Morgan, Inc. (KMI)Dividend reduction</v>
      </c>
      <c r="B165" s="91" t="str">
        <f>B163</f>
        <v>Kinder Morgan, Inc. (KMI)</v>
      </c>
      <c r="C165" s="91" t="s">
        <v>515</v>
      </c>
      <c r="D165" s="53"/>
      <c r="E165" s="53"/>
      <c r="F165" s="53"/>
      <c r="G165" s="53"/>
      <c r="H165" s="53"/>
      <c r="I165" s="53"/>
      <c r="J165" s="53"/>
      <c r="K165" s="53"/>
    </row>
    <row r="166" spans="1:11" x14ac:dyDescent="0.25">
      <c r="A166" s="2" t="str">
        <f t="shared" si="2"/>
        <v>Kinder Morgan, Inc. (KMI)Expected impairment</v>
      </c>
      <c r="B166" s="91" t="str">
        <f>B163</f>
        <v>Kinder Morgan, Inc. (KMI)</v>
      </c>
      <c r="C166" s="91" t="s">
        <v>516</v>
      </c>
      <c r="D166" s="53"/>
      <c r="E166" s="53"/>
      <c r="F166" s="53"/>
      <c r="G166" s="53"/>
      <c r="H166" s="53"/>
      <c r="I166" s="53"/>
      <c r="J166" s="53"/>
      <c r="K166" s="53"/>
    </row>
    <row r="167" spans="1:11" x14ac:dyDescent="0.25">
      <c r="A167" s="2" t="str">
        <f t="shared" si="2"/>
        <v>Kinder Morgan, Inc. (KMI)Oil production reduction</v>
      </c>
      <c r="B167" s="91" t="str">
        <f>B163</f>
        <v>Kinder Morgan, Inc. (KMI)</v>
      </c>
      <c r="C167" s="91" t="s">
        <v>528</v>
      </c>
      <c r="D167" s="53"/>
      <c r="E167" s="53"/>
      <c r="F167" s="53"/>
      <c r="G167" s="53"/>
      <c r="H167" s="53"/>
      <c r="I167" s="53"/>
      <c r="J167" s="53"/>
      <c r="K167" s="53"/>
    </row>
    <row r="168" spans="1:11" x14ac:dyDescent="0.25">
      <c r="A168" s="2" t="str">
        <f t="shared" si="2"/>
        <v>Kinder Morgan, Inc. (KMI)Gas production reduction</v>
      </c>
      <c r="B168" s="91" t="str">
        <f>B163</f>
        <v>Kinder Morgan, Inc. (KMI)</v>
      </c>
      <c r="C168" s="91" t="s">
        <v>529</v>
      </c>
      <c r="D168" s="53"/>
      <c r="E168" s="53"/>
      <c r="F168" s="53"/>
      <c r="G168" s="53"/>
      <c r="H168" s="53"/>
      <c r="I168" s="53"/>
      <c r="J168" s="53"/>
      <c r="K168" s="53"/>
    </row>
    <row r="169" spans="1:11" x14ac:dyDescent="0.25">
      <c r="A169" s="2" t="str">
        <f t="shared" si="2"/>
        <v>Kinder Morgan, Inc. (KMI)NGL production reduction</v>
      </c>
      <c r="B169" s="91" t="str">
        <f>B163</f>
        <v>Kinder Morgan, Inc. (KMI)</v>
      </c>
      <c r="C169" s="91" t="s">
        <v>530</v>
      </c>
      <c r="D169" s="53"/>
      <c r="E169" s="53"/>
      <c r="F169" s="53"/>
      <c r="G169" s="53"/>
      <c r="H169" s="53"/>
      <c r="I169" s="53"/>
      <c r="J169" s="53"/>
      <c r="K169" s="53"/>
    </row>
    <row r="170" spans="1:11" x14ac:dyDescent="0.25">
      <c r="A170" s="2" t="str">
        <f t="shared" si="2"/>
        <v>Kinder Morgan, Inc. (KMI)Condensate production reduction</v>
      </c>
      <c r="B170" s="91" t="str">
        <f>B163</f>
        <v>Kinder Morgan, Inc. (KMI)</v>
      </c>
      <c r="C170" s="91" t="s">
        <v>531</v>
      </c>
      <c r="D170" s="53"/>
      <c r="E170" s="53"/>
      <c r="F170" s="53"/>
      <c r="G170" s="53"/>
      <c r="H170" s="53"/>
      <c r="I170" s="53"/>
      <c r="J170" s="53"/>
      <c r="K170" s="53"/>
    </row>
    <row r="171" spans="1:11" x14ac:dyDescent="0.25">
      <c r="A171" s="127" t="str">
        <f t="shared" si="2"/>
        <v>Obsidian Energy Ltd. (OBELF)Capex reduction</v>
      </c>
      <c r="B171" s="128" t="s">
        <v>1</v>
      </c>
      <c r="C171" s="128" t="s">
        <v>513</v>
      </c>
      <c r="D171" s="129"/>
      <c r="E171" s="129"/>
      <c r="F171" s="129"/>
      <c r="G171" s="129"/>
      <c r="H171" s="129"/>
      <c r="I171" s="129"/>
      <c r="J171" s="129"/>
      <c r="K171" s="129"/>
    </row>
    <row r="172" spans="1:11" x14ac:dyDescent="0.25">
      <c r="A172" s="127" t="str">
        <f t="shared" si="2"/>
        <v>Obsidian Energy Ltd. (OBELF)Opex reduction</v>
      </c>
      <c r="B172" s="128" t="str">
        <f>B171</f>
        <v>Obsidian Energy Ltd. (OBELF)</v>
      </c>
      <c r="C172" s="128" t="s">
        <v>514</v>
      </c>
      <c r="D172" s="129"/>
      <c r="E172" s="129"/>
      <c r="F172" s="129"/>
      <c r="G172" s="129"/>
      <c r="H172" s="129"/>
      <c r="I172" s="129"/>
      <c r="J172" s="129"/>
      <c r="K172" s="129"/>
    </row>
    <row r="173" spans="1:11" x14ac:dyDescent="0.25">
      <c r="A173" s="127" t="str">
        <f t="shared" si="2"/>
        <v>Obsidian Energy Ltd. (OBELF)Dividend reduction</v>
      </c>
      <c r="B173" s="128" t="str">
        <f>B171</f>
        <v>Obsidian Energy Ltd. (OBELF)</v>
      </c>
      <c r="C173" s="128" t="s">
        <v>515</v>
      </c>
      <c r="D173" s="129"/>
      <c r="E173" s="129"/>
      <c r="F173" s="129"/>
      <c r="G173" s="129"/>
      <c r="H173" s="129"/>
      <c r="I173" s="129"/>
      <c r="J173" s="129"/>
      <c r="K173" s="129"/>
    </row>
    <row r="174" spans="1:11" x14ac:dyDescent="0.25">
      <c r="A174" s="127" t="str">
        <f t="shared" si="2"/>
        <v>Obsidian Energy Ltd. (OBELF)Expected impairment</v>
      </c>
      <c r="B174" s="128" t="str">
        <f>B171</f>
        <v>Obsidian Energy Ltd. (OBELF)</v>
      </c>
      <c r="C174" s="128" t="s">
        <v>516</v>
      </c>
      <c r="D174" s="129"/>
      <c r="E174" s="129"/>
      <c r="F174" s="129"/>
      <c r="G174" s="129"/>
      <c r="H174" s="129"/>
      <c r="I174" s="129"/>
      <c r="J174" s="129"/>
      <c r="K174" s="129"/>
    </row>
    <row r="175" spans="1:11" x14ac:dyDescent="0.25">
      <c r="A175" s="127" t="str">
        <f t="shared" si="2"/>
        <v>Obsidian Energy Ltd. (OBELF)Oil production reduction</v>
      </c>
      <c r="B175" s="128" t="str">
        <f>B171</f>
        <v>Obsidian Energy Ltd. (OBELF)</v>
      </c>
      <c r="C175" s="128" t="s">
        <v>528</v>
      </c>
      <c r="D175" s="129"/>
      <c r="E175" s="129"/>
      <c r="F175" s="129"/>
      <c r="G175" s="129"/>
      <c r="H175" s="129"/>
      <c r="I175" s="129"/>
      <c r="J175" s="129"/>
      <c r="K175" s="129"/>
    </row>
    <row r="176" spans="1:11" x14ac:dyDescent="0.25">
      <c r="A176" s="127" t="str">
        <f t="shared" si="2"/>
        <v>Obsidian Energy Ltd. (OBELF)Gas production reduction</v>
      </c>
      <c r="B176" s="128" t="str">
        <f>B171</f>
        <v>Obsidian Energy Ltd. (OBELF)</v>
      </c>
      <c r="C176" s="128" t="s">
        <v>529</v>
      </c>
      <c r="D176" s="129"/>
      <c r="E176" s="129"/>
      <c r="F176" s="129"/>
      <c r="G176" s="129"/>
      <c r="H176" s="129"/>
      <c r="I176" s="129"/>
      <c r="J176" s="129"/>
      <c r="K176" s="129"/>
    </row>
    <row r="177" spans="1:11" x14ac:dyDescent="0.25">
      <c r="A177" s="127" t="str">
        <f t="shared" si="2"/>
        <v>Obsidian Energy Ltd. (OBELF)NGL production reduction</v>
      </c>
      <c r="B177" s="128" t="str">
        <f>B171</f>
        <v>Obsidian Energy Ltd. (OBELF)</v>
      </c>
      <c r="C177" s="128" t="s">
        <v>530</v>
      </c>
      <c r="D177" s="129"/>
      <c r="E177" s="129"/>
      <c r="F177" s="129"/>
      <c r="G177" s="129"/>
      <c r="H177" s="129"/>
      <c r="I177" s="129"/>
      <c r="J177" s="129"/>
      <c r="K177" s="129"/>
    </row>
    <row r="178" spans="1:11" x14ac:dyDescent="0.25">
      <c r="A178" s="127" t="str">
        <f t="shared" si="2"/>
        <v>Obsidian Energy Ltd. (OBELF)Condensate production reduction</v>
      </c>
      <c r="B178" s="128" t="str">
        <f>B171</f>
        <v>Obsidian Energy Ltd. (OBELF)</v>
      </c>
      <c r="C178" s="128" t="s">
        <v>531</v>
      </c>
      <c r="D178" s="129"/>
      <c r="E178" s="129"/>
      <c r="F178" s="129"/>
      <c r="G178" s="129"/>
      <c r="H178" s="129"/>
      <c r="I178" s="129"/>
      <c r="J178" s="129"/>
      <c r="K178" s="129"/>
    </row>
    <row r="179" spans="1:11" x14ac:dyDescent="0.25">
      <c r="A179" s="2" t="str">
        <f t="shared" si="2"/>
        <v>Bonterra Energy Corp. (BNE.TO)Capex reduction</v>
      </c>
      <c r="B179" s="91" t="s">
        <v>0</v>
      </c>
      <c r="C179" s="91" t="s">
        <v>513</v>
      </c>
      <c r="D179" s="53"/>
      <c r="E179" s="53"/>
      <c r="F179" s="53"/>
      <c r="G179" s="53"/>
      <c r="H179" s="53"/>
      <c r="I179" s="53"/>
      <c r="J179" s="53"/>
      <c r="K179" s="53"/>
    </row>
    <row r="180" spans="1:11" x14ac:dyDescent="0.25">
      <c r="A180" s="2" t="str">
        <f t="shared" si="2"/>
        <v>Bonterra Energy Corp. (BNE.TO)Opex reduction</v>
      </c>
      <c r="B180" s="91" t="str">
        <f>B179</f>
        <v>Bonterra Energy Corp. (BNE.TO)</v>
      </c>
      <c r="C180" s="91" t="s">
        <v>514</v>
      </c>
      <c r="D180" s="53"/>
      <c r="E180" s="53"/>
      <c r="F180" s="53"/>
      <c r="G180" s="53"/>
      <c r="H180" s="53"/>
      <c r="I180" s="53"/>
      <c r="J180" s="53"/>
      <c r="K180" s="53"/>
    </row>
    <row r="181" spans="1:11" x14ac:dyDescent="0.25">
      <c r="A181" s="2" t="str">
        <f t="shared" si="2"/>
        <v>Bonterra Energy Corp. (BNE.TO)Dividend reduction</v>
      </c>
      <c r="B181" s="91" t="str">
        <f>B179</f>
        <v>Bonterra Energy Corp. (BNE.TO)</v>
      </c>
      <c r="C181" s="91" t="s">
        <v>515</v>
      </c>
      <c r="D181" s="53"/>
      <c r="E181" s="53"/>
      <c r="F181" s="53"/>
      <c r="G181" s="53"/>
      <c r="H181" s="53"/>
      <c r="I181" s="53"/>
      <c r="J181" s="53"/>
      <c r="K181" s="53"/>
    </row>
    <row r="182" spans="1:11" x14ac:dyDescent="0.25">
      <c r="A182" s="2" t="str">
        <f t="shared" si="2"/>
        <v>Bonterra Energy Corp. (BNE.TO)Expected impairment</v>
      </c>
      <c r="B182" s="91" t="str">
        <f>B179</f>
        <v>Bonterra Energy Corp. (BNE.TO)</v>
      </c>
      <c r="C182" s="91" t="s">
        <v>516</v>
      </c>
      <c r="D182" s="53"/>
      <c r="E182" s="53"/>
      <c r="F182" s="53"/>
      <c r="G182" s="53"/>
      <c r="H182" s="53"/>
      <c r="I182" s="53"/>
      <c r="J182" s="53"/>
      <c r="K182" s="53"/>
    </row>
    <row r="183" spans="1:11" x14ac:dyDescent="0.25">
      <c r="A183" s="2" t="str">
        <f t="shared" si="2"/>
        <v>Bonterra Energy Corp. (BNE.TO)Oil production reduction</v>
      </c>
      <c r="B183" s="91" t="str">
        <f>B179</f>
        <v>Bonterra Energy Corp. (BNE.TO)</v>
      </c>
      <c r="C183" s="91" t="s">
        <v>528</v>
      </c>
      <c r="D183" s="53"/>
      <c r="E183" s="53"/>
      <c r="F183" s="53"/>
      <c r="G183" s="53"/>
      <c r="H183" s="53"/>
      <c r="I183" s="53"/>
      <c r="J183" s="53"/>
      <c r="K183" s="53"/>
    </row>
    <row r="184" spans="1:11" x14ac:dyDescent="0.25">
      <c r="A184" s="2" t="str">
        <f t="shared" si="2"/>
        <v>Bonterra Energy Corp. (BNE.TO)Gas production reduction</v>
      </c>
      <c r="B184" s="91" t="str">
        <f>B179</f>
        <v>Bonterra Energy Corp. (BNE.TO)</v>
      </c>
      <c r="C184" s="91" t="s">
        <v>529</v>
      </c>
      <c r="D184" s="53"/>
      <c r="E184" s="53"/>
      <c r="F184" s="53"/>
      <c r="G184" s="53"/>
      <c r="H184" s="53"/>
      <c r="I184" s="53"/>
      <c r="J184" s="53"/>
      <c r="K184" s="53"/>
    </row>
    <row r="185" spans="1:11" x14ac:dyDescent="0.25">
      <c r="A185" s="2" t="str">
        <f t="shared" si="2"/>
        <v>Bonterra Energy Corp. (BNE.TO)NGL production reduction</v>
      </c>
      <c r="B185" s="91" t="str">
        <f>B179</f>
        <v>Bonterra Energy Corp. (BNE.TO)</v>
      </c>
      <c r="C185" s="91" t="s">
        <v>530</v>
      </c>
      <c r="D185" s="53"/>
      <c r="E185" s="53"/>
      <c r="F185" s="53"/>
      <c r="G185" s="53"/>
      <c r="H185" s="53"/>
      <c r="I185" s="53"/>
      <c r="J185" s="53"/>
      <c r="K185" s="53"/>
    </row>
    <row r="186" spans="1:11" x14ac:dyDescent="0.25">
      <c r="A186" s="2" t="str">
        <f t="shared" si="2"/>
        <v>Bonterra Energy Corp. (BNE.TO)Condensate production reduction</v>
      </c>
      <c r="B186" s="91" t="str">
        <f>B179</f>
        <v>Bonterra Energy Corp. (BNE.TO)</v>
      </c>
      <c r="C186" s="91" t="s">
        <v>531</v>
      </c>
      <c r="D186" s="53"/>
      <c r="E186" s="53"/>
      <c r="F186" s="53"/>
      <c r="G186" s="53"/>
      <c r="H186" s="53"/>
      <c r="I186" s="53"/>
      <c r="J186" s="53"/>
      <c r="K186" s="53"/>
    </row>
    <row r="187" spans="1:11" x14ac:dyDescent="0.25">
      <c r="A187" s="127" t="str">
        <f t="shared" si="2"/>
        <v>Crescent Point Energy Corp. (CPG)Capex reduction</v>
      </c>
      <c r="B187" s="128" t="s">
        <v>429</v>
      </c>
      <c r="C187" s="128" t="s">
        <v>513</v>
      </c>
      <c r="D187" s="129"/>
      <c r="E187" s="129"/>
      <c r="F187" s="129"/>
      <c r="G187" s="129"/>
      <c r="H187" s="129"/>
      <c r="I187" s="129"/>
      <c r="J187" s="129"/>
      <c r="K187" s="129"/>
    </row>
    <row r="188" spans="1:11" x14ac:dyDescent="0.25">
      <c r="A188" s="127" t="str">
        <f t="shared" si="2"/>
        <v>Crescent Point Energy Corp. (CPG)Opex reduction</v>
      </c>
      <c r="B188" s="128" t="str">
        <f>B187</f>
        <v>Crescent Point Energy Corp. (CPG)</v>
      </c>
      <c r="C188" s="128" t="s">
        <v>514</v>
      </c>
      <c r="D188" s="129"/>
      <c r="E188" s="129"/>
      <c r="F188" s="129"/>
      <c r="G188" s="129"/>
      <c r="H188" s="129"/>
      <c r="I188" s="129"/>
      <c r="J188" s="129"/>
      <c r="K188" s="129"/>
    </row>
    <row r="189" spans="1:11" x14ac:dyDescent="0.25">
      <c r="A189" s="127" t="str">
        <f t="shared" si="2"/>
        <v>Crescent Point Energy Corp. (CPG)Dividend reduction</v>
      </c>
      <c r="B189" s="128" t="str">
        <f>B187</f>
        <v>Crescent Point Energy Corp. (CPG)</v>
      </c>
      <c r="C189" s="128" t="s">
        <v>515</v>
      </c>
      <c r="D189" s="129"/>
      <c r="E189" s="129"/>
      <c r="F189" s="129"/>
      <c r="G189" s="129"/>
      <c r="H189" s="129"/>
      <c r="I189" s="129"/>
      <c r="J189" s="129"/>
      <c r="K189" s="129"/>
    </row>
    <row r="190" spans="1:11" x14ac:dyDescent="0.25">
      <c r="A190" s="127" t="str">
        <f t="shared" si="2"/>
        <v>Crescent Point Energy Corp. (CPG)Expected impairment</v>
      </c>
      <c r="B190" s="128" t="str">
        <f>B187</f>
        <v>Crescent Point Energy Corp. (CPG)</v>
      </c>
      <c r="C190" s="128" t="s">
        <v>516</v>
      </c>
      <c r="D190" s="129"/>
      <c r="E190" s="129"/>
      <c r="F190" s="129"/>
      <c r="G190" s="129"/>
      <c r="H190" s="129"/>
      <c r="I190" s="129"/>
      <c r="J190" s="129"/>
      <c r="K190" s="129"/>
    </row>
    <row r="191" spans="1:11" x14ac:dyDescent="0.25">
      <c r="A191" s="127" t="str">
        <f t="shared" si="2"/>
        <v>Crescent Point Energy Corp. (CPG)Oil production reduction</v>
      </c>
      <c r="B191" s="128" t="str">
        <f>B187</f>
        <v>Crescent Point Energy Corp. (CPG)</v>
      </c>
      <c r="C191" s="128" t="s">
        <v>528</v>
      </c>
      <c r="D191" s="129"/>
      <c r="E191" s="129"/>
      <c r="F191" s="129"/>
      <c r="G191" s="129"/>
      <c r="H191" s="129"/>
      <c r="I191" s="129"/>
      <c r="J191" s="129"/>
      <c r="K191" s="129"/>
    </row>
    <row r="192" spans="1:11" x14ac:dyDescent="0.25">
      <c r="A192" s="127" t="str">
        <f t="shared" si="2"/>
        <v>Crescent Point Energy Corp. (CPG)Gas production reduction</v>
      </c>
      <c r="B192" s="128" t="str">
        <f>B187</f>
        <v>Crescent Point Energy Corp. (CPG)</v>
      </c>
      <c r="C192" s="128" t="s">
        <v>529</v>
      </c>
      <c r="D192" s="129"/>
      <c r="E192" s="129"/>
      <c r="F192" s="129"/>
      <c r="G192" s="129"/>
      <c r="H192" s="129"/>
      <c r="I192" s="129"/>
      <c r="J192" s="129"/>
      <c r="K192" s="129"/>
    </row>
    <row r="193" spans="1:11" x14ac:dyDescent="0.25">
      <c r="A193" s="127" t="str">
        <f t="shared" si="2"/>
        <v>Crescent Point Energy Corp. (CPG)NGL production reduction</v>
      </c>
      <c r="B193" s="128" t="str">
        <f>B187</f>
        <v>Crescent Point Energy Corp. (CPG)</v>
      </c>
      <c r="C193" s="128" t="s">
        <v>530</v>
      </c>
      <c r="D193" s="129"/>
      <c r="E193" s="129"/>
      <c r="F193" s="129"/>
      <c r="G193" s="129"/>
      <c r="H193" s="129"/>
      <c r="I193" s="129"/>
      <c r="J193" s="129"/>
      <c r="K193" s="129"/>
    </row>
    <row r="194" spans="1:11" x14ac:dyDescent="0.25">
      <c r="A194" s="127" t="str">
        <f t="shared" si="2"/>
        <v>Crescent Point Energy Corp. (CPG)Condensate production reduction</v>
      </c>
      <c r="B194" s="128" t="str">
        <f>B187</f>
        <v>Crescent Point Energy Corp. (CPG)</v>
      </c>
      <c r="C194" s="128" t="s">
        <v>531</v>
      </c>
      <c r="D194" s="129"/>
      <c r="E194" s="129"/>
      <c r="F194" s="129"/>
      <c r="G194" s="129"/>
      <c r="H194" s="129"/>
      <c r="I194" s="129"/>
      <c r="J194" s="129"/>
      <c r="K194" s="129"/>
    </row>
    <row r="195" spans="1:11" x14ac:dyDescent="0.25">
      <c r="A195" s="127" t="str">
        <f>B195&amp;C195</f>
        <v>EOG ResourcesCapex reduction</v>
      </c>
      <c r="B195" s="128" t="s">
        <v>242</v>
      </c>
      <c r="C195" s="128" t="s">
        <v>513</v>
      </c>
      <c r="D195" s="129"/>
      <c r="E195" s="141"/>
      <c r="F195" s="141"/>
      <c r="G195" s="141"/>
      <c r="H195" s="129"/>
      <c r="I195" s="129"/>
      <c r="J195" s="129"/>
      <c r="K195" s="129"/>
    </row>
    <row r="196" spans="1:11" x14ac:dyDescent="0.25">
      <c r="A196" s="127" t="str">
        <f t="shared" si="2"/>
        <v>EOG ResourcesOpex reduction</v>
      </c>
      <c r="B196" s="128" t="str">
        <f>B195</f>
        <v>EOG Resources</v>
      </c>
      <c r="C196" s="128" t="s">
        <v>514</v>
      </c>
      <c r="D196" s="129"/>
      <c r="E196" s="129"/>
      <c r="F196" s="129"/>
      <c r="G196" s="129"/>
      <c r="H196" s="129"/>
      <c r="I196" s="129"/>
      <c r="J196" s="129"/>
      <c r="K196" s="129"/>
    </row>
    <row r="197" spans="1:11" x14ac:dyDescent="0.25">
      <c r="A197" s="127" t="str">
        <f t="shared" si="2"/>
        <v>EOG ResourcesDividend reduction</v>
      </c>
      <c r="B197" s="128" t="str">
        <f>B195</f>
        <v>EOG Resources</v>
      </c>
      <c r="C197" s="128" t="s">
        <v>515</v>
      </c>
      <c r="D197" s="129"/>
      <c r="E197" s="129"/>
      <c r="F197" s="129"/>
      <c r="G197" s="129"/>
      <c r="H197" s="129"/>
      <c r="I197" s="129"/>
      <c r="J197" s="129"/>
      <c r="K197" s="129"/>
    </row>
    <row r="198" spans="1:11" x14ac:dyDescent="0.25">
      <c r="A198" s="127" t="str">
        <f t="shared" si="2"/>
        <v>EOG ResourcesExpected impairment</v>
      </c>
      <c r="B198" s="128" t="str">
        <f>B195</f>
        <v>EOG Resources</v>
      </c>
      <c r="C198" s="128" t="s">
        <v>516</v>
      </c>
      <c r="D198" s="129"/>
      <c r="E198" s="129"/>
      <c r="F198" s="129"/>
      <c r="G198" s="129"/>
      <c r="H198" s="129"/>
      <c r="I198" s="129"/>
      <c r="J198" s="129"/>
      <c r="K198" s="129"/>
    </row>
    <row r="199" spans="1:11" x14ac:dyDescent="0.25">
      <c r="A199" s="127" t="str">
        <f t="shared" si="2"/>
        <v>EOG ResourcesOil production reduction</v>
      </c>
      <c r="B199" s="128" t="str">
        <f>B195</f>
        <v>EOG Resources</v>
      </c>
      <c r="C199" s="128" t="s">
        <v>528</v>
      </c>
      <c r="D199" s="129"/>
      <c r="E199" s="129"/>
      <c r="F199" s="129"/>
      <c r="G199" s="129"/>
      <c r="H199" s="129"/>
      <c r="I199" s="129"/>
      <c r="J199" s="129"/>
      <c r="K199" s="129"/>
    </row>
    <row r="200" spans="1:11" x14ac:dyDescent="0.25">
      <c r="A200" s="127" t="str">
        <f t="shared" si="2"/>
        <v>EOG ResourcesGas production reduction</v>
      </c>
      <c r="B200" s="128" t="str">
        <f>B195</f>
        <v>EOG Resources</v>
      </c>
      <c r="C200" s="128" t="s">
        <v>529</v>
      </c>
      <c r="D200" s="129"/>
      <c r="E200" s="129"/>
      <c r="F200" s="129"/>
      <c r="G200" s="129"/>
      <c r="H200" s="129"/>
      <c r="I200" s="129"/>
      <c r="J200" s="129"/>
      <c r="K200" s="129"/>
    </row>
    <row r="201" spans="1:11" x14ac:dyDescent="0.25">
      <c r="A201" s="127" t="str">
        <f t="shared" si="2"/>
        <v>EOG ResourcesNGL production reduction</v>
      </c>
      <c r="B201" s="128" t="str">
        <f>B195</f>
        <v>EOG Resources</v>
      </c>
      <c r="C201" s="128" t="s">
        <v>530</v>
      </c>
      <c r="D201" s="129"/>
      <c r="E201" s="129"/>
      <c r="F201" s="129"/>
      <c r="G201" s="129"/>
      <c r="H201" s="129"/>
      <c r="I201" s="129"/>
      <c r="J201" s="129"/>
      <c r="K201" s="129"/>
    </row>
    <row r="202" spans="1:11" x14ac:dyDescent="0.25">
      <c r="A202" s="127" t="str">
        <f t="shared" si="2"/>
        <v>EOG ResourcesCondensate production reduction</v>
      </c>
      <c r="B202" s="128" t="str">
        <f>B195</f>
        <v>EOG Resources</v>
      </c>
      <c r="C202" s="128" t="s">
        <v>531</v>
      </c>
      <c r="D202" s="129"/>
      <c r="E202" s="129"/>
      <c r="F202" s="129"/>
      <c r="G202" s="129"/>
      <c r="H202" s="129"/>
      <c r="I202" s="129"/>
      <c r="J202" s="129"/>
      <c r="K202" s="129"/>
    </row>
    <row r="203" spans="1:11" x14ac:dyDescent="0.25">
      <c r="A203" s="127" t="str">
        <f>B203&amp;C203</f>
        <v>Devon EnergyCapex reduction</v>
      </c>
      <c r="B203" s="128" t="s">
        <v>231</v>
      </c>
      <c r="C203" s="128" t="s">
        <v>513</v>
      </c>
      <c r="D203" s="129"/>
      <c r="E203" s="129"/>
      <c r="F203" s="129"/>
      <c r="G203" s="129"/>
      <c r="H203" s="129"/>
      <c r="I203" s="129"/>
      <c r="J203" s="129"/>
      <c r="K203" s="129"/>
    </row>
    <row r="204" spans="1:11" x14ac:dyDescent="0.25">
      <c r="A204" s="127" t="str">
        <f t="shared" ref="A204:A210" si="3">B204&amp;C204</f>
        <v>Devon EnergyOpex reduction</v>
      </c>
      <c r="B204" s="128" t="str">
        <f>B203</f>
        <v>Devon Energy</v>
      </c>
      <c r="C204" s="128" t="s">
        <v>514</v>
      </c>
      <c r="D204" s="129"/>
      <c r="E204" s="129"/>
      <c r="F204" s="129"/>
      <c r="G204" s="129"/>
      <c r="H204" s="129"/>
      <c r="I204" s="129"/>
      <c r="J204" s="129"/>
      <c r="K204" s="129"/>
    </row>
    <row r="205" spans="1:11" x14ac:dyDescent="0.25">
      <c r="A205" s="127" t="str">
        <f t="shared" si="3"/>
        <v>Devon EnergyDividend reduction</v>
      </c>
      <c r="B205" s="128" t="str">
        <f>B203</f>
        <v>Devon Energy</v>
      </c>
      <c r="C205" s="128" t="s">
        <v>515</v>
      </c>
      <c r="D205" s="129"/>
      <c r="E205" s="129"/>
      <c r="F205" s="129"/>
      <c r="G205" s="129"/>
      <c r="H205" s="129"/>
      <c r="I205" s="129"/>
      <c r="J205" s="129"/>
      <c r="K205" s="129"/>
    </row>
    <row r="206" spans="1:11" x14ac:dyDescent="0.25">
      <c r="A206" s="127" t="str">
        <f t="shared" si="3"/>
        <v>Devon EnergyExpected impairment</v>
      </c>
      <c r="B206" s="128" t="str">
        <f>B203</f>
        <v>Devon Energy</v>
      </c>
      <c r="C206" s="128" t="s">
        <v>516</v>
      </c>
      <c r="D206" s="129"/>
      <c r="E206" s="129"/>
      <c r="F206" s="129"/>
      <c r="G206" s="129"/>
      <c r="H206" s="129"/>
      <c r="I206" s="129"/>
      <c r="J206" s="129"/>
      <c r="K206" s="129"/>
    </row>
    <row r="207" spans="1:11" x14ac:dyDescent="0.25">
      <c r="A207" s="127" t="str">
        <f t="shared" si="3"/>
        <v>Devon EnergyOil production reduction</v>
      </c>
      <c r="B207" s="128" t="str">
        <f>B203</f>
        <v>Devon Energy</v>
      </c>
      <c r="C207" s="128" t="s">
        <v>528</v>
      </c>
      <c r="D207" s="129"/>
      <c r="E207" s="129"/>
      <c r="F207" s="129"/>
      <c r="G207" s="129"/>
      <c r="H207" s="129"/>
      <c r="I207" s="129"/>
      <c r="J207" s="129"/>
      <c r="K207" s="129"/>
    </row>
    <row r="208" spans="1:11" x14ac:dyDescent="0.25">
      <c r="A208" s="127" t="str">
        <f t="shared" si="3"/>
        <v>Devon EnergyGas production reduction</v>
      </c>
      <c r="B208" s="128" t="str">
        <f>B203</f>
        <v>Devon Energy</v>
      </c>
      <c r="C208" s="128" t="s">
        <v>529</v>
      </c>
      <c r="D208" s="129"/>
      <c r="E208" s="129"/>
      <c r="F208" s="129"/>
      <c r="G208" s="129"/>
      <c r="H208" s="129"/>
      <c r="I208" s="129"/>
      <c r="J208" s="129"/>
      <c r="K208" s="129"/>
    </row>
    <row r="209" spans="1:11" x14ac:dyDescent="0.25">
      <c r="A209" s="127" t="str">
        <f t="shared" si="3"/>
        <v>Devon EnergyNGL production reduction</v>
      </c>
      <c r="B209" s="128" t="str">
        <f>B203</f>
        <v>Devon Energy</v>
      </c>
      <c r="C209" s="128" t="s">
        <v>530</v>
      </c>
      <c r="D209" s="129"/>
      <c r="E209" s="129"/>
      <c r="F209" s="129"/>
      <c r="G209" s="129"/>
      <c r="H209" s="129"/>
      <c r="I209" s="129"/>
      <c r="J209" s="129"/>
      <c r="K209" s="129"/>
    </row>
    <row r="210" spans="1:11" x14ac:dyDescent="0.25">
      <c r="A210" s="127" t="str">
        <f t="shared" si="3"/>
        <v>Devon EnergyCondensate production reduction</v>
      </c>
      <c r="B210" s="128" t="str">
        <f>B203</f>
        <v>Devon Energy</v>
      </c>
      <c r="C210" s="128" t="s">
        <v>531</v>
      </c>
      <c r="D210" s="129"/>
      <c r="E210" s="129"/>
      <c r="F210" s="129"/>
      <c r="G210" s="129"/>
      <c r="H210" s="129"/>
      <c r="I210" s="129"/>
      <c r="J210" s="129"/>
      <c r="K210" s="129"/>
    </row>
    <row r="211" spans="1:11" x14ac:dyDescent="0.25">
      <c r="A211" s="127" t="str">
        <f>B211&amp;C211</f>
        <v>ApacheCapex reduction</v>
      </c>
      <c r="B211" s="128" t="s">
        <v>232</v>
      </c>
      <c r="C211" s="128" t="s">
        <v>513</v>
      </c>
      <c r="D211" s="129"/>
      <c r="E211" s="141"/>
      <c r="F211" s="141"/>
      <c r="G211" s="141"/>
      <c r="H211" s="129"/>
      <c r="I211" s="129"/>
      <c r="J211" s="129"/>
      <c r="K211" s="129"/>
    </row>
    <row r="212" spans="1:11" x14ac:dyDescent="0.25">
      <c r="A212" s="127" t="str">
        <f t="shared" ref="A212:A218" si="4">B212&amp;C212</f>
        <v>ApacheOpex reduction</v>
      </c>
      <c r="B212" s="128" t="str">
        <f>B211</f>
        <v>Apache</v>
      </c>
      <c r="C212" s="128" t="s">
        <v>514</v>
      </c>
      <c r="D212" s="129"/>
      <c r="E212" s="129"/>
      <c r="F212" s="129"/>
      <c r="G212" s="129"/>
      <c r="H212" s="129"/>
      <c r="I212" s="129"/>
      <c r="J212" s="129"/>
      <c r="K212" s="129"/>
    </row>
    <row r="213" spans="1:11" x14ac:dyDescent="0.25">
      <c r="A213" s="127" t="str">
        <f t="shared" si="4"/>
        <v>ApacheDividend reduction</v>
      </c>
      <c r="B213" s="128" t="str">
        <f>B211</f>
        <v>Apache</v>
      </c>
      <c r="C213" s="128" t="s">
        <v>515</v>
      </c>
      <c r="D213" s="129"/>
      <c r="E213" s="129"/>
      <c r="F213" s="129"/>
      <c r="G213" s="129"/>
      <c r="H213" s="129"/>
      <c r="I213" s="129"/>
      <c r="J213" s="129"/>
      <c r="K213" s="129"/>
    </row>
    <row r="214" spans="1:11" x14ac:dyDescent="0.25">
      <c r="A214" s="127" t="str">
        <f t="shared" si="4"/>
        <v>ApacheExpected impairment</v>
      </c>
      <c r="B214" s="128" t="str">
        <f>B211</f>
        <v>Apache</v>
      </c>
      <c r="C214" s="128" t="s">
        <v>516</v>
      </c>
      <c r="D214" s="129"/>
      <c r="E214" s="129"/>
      <c r="F214" s="129"/>
      <c r="G214" s="129"/>
      <c r="H214" s="129"/>
      <c r="I214" s="129"/>
      <c r="J214" s="129"/>
      <c r="K214" s="129"/>
    </row>
    <row r="215" spans="1:11" x14ac:dyDescent="0.25">
      <c r="A215" s="127" t="str">
        <f t="shared" si="4"/>
        <v>ApacheOil production reduction</v>
      </c>
      <c r="B215" s="128" t="str">
        <f>B211</f>
        <v>Apache</v>
      </c>
      <c r="C215" s="128" t="s">
        <v>528</v>
      </c>
      <c r="D215" s="129"/>
      <c r="E215" s="129"/>
      <c r="F215" s="129"/>
      <c r="G215" s="129"/>
      <c r="H215" s="129"/>
      <c r="I215" s="129"/>
      <c r="J215" s="129"/>
      <c r="K215" s="129"/>
    </row>
    <row r="216" spans="1:11" x14ac:dyDescent="0.25">
      <c r="A216" s="127" t="str">
        <f t="shared" si="4"/>
        <v>ApacheGas production reduction</v>
      </c>
      <c r="B216" s="128" t="str">
        <f>B211</f>
        <v>Apache</v>
      </c>
      <c r="C216" s="128" t="s">
        <v>529</v>
      </c>
      <c r="D216" s="129"/>
      <c r="E216" s="129"/>
      <c r="F216" s="129"/>
      <c r="G216" s="129"/>
      <c r="H216" s="129"/>
      <c r="I216" s="129"/>
      <c r="J216" s="129"/>
      <c r="K216" s="129"/>
    </row>
    <row r="217" spans="1:11" x14ac:dyDescent="0.25">
      <c r="A217" s="127" t="str">
        <f t="shared" si="4"/>
        <v>ApacheNGL production reduction</v>
      </c>
      <c r="B217" s="128" t="str">
        <f>B211</f>
        <v>Apache</v>
      </c>
      <c r="C217" s="128" t="s">
        <v>530</v>
      </c>
      <c r="D217" s="129"/>
      <c r="E217" s="129"/>
      <c r="F217" s="129"/>
      <c r="G217" s="129"/>
      <c r="H217" s="129"/>
      <c r="I217" s="129"/>
      <c r="J217" s="129"/>
      <c r="K217" s="129"/>
    </row>
    <row r="218" spans="1:11" x14ac:dyDescent="0.25">
      <c r="A218" s="127" t="str">
        <f t="shared" si="4"/>
        <v>ApacheCondensate production reduction</v>
      </c>
      <c r="B218" s="128" t="str">
        <f>B211</f>
        <v>Apache</v>
      </c>
      <c r="C218" s="128" t="s">
        <v>531</v>
      </c>
      <c r="D218" s="129"/>
      <c r="E218" s="129"/>
      <c r="F218" s="129"/>
      <c r="G218" s="129"/>
      <c r="H218" s="129"/>
      <c r="I218" s="129"/>
      <c r="J218" s="129"/>
      <c r="K218" s="129"/>
    </row>
    <row r="219" spans="1:11" x14ac:dyDescent="0.25">
      <c r="A219" s="127" t="str">
        <f>B219&amp;C219</f>
        <v>Concho ResourcesCapex reduction</v>
      </c>
      <c r="B219" s="128" t="s">
        <v>270</v>
      </c>
      <c r="C219" s="128" t="s">
        <v>513</v>
      </c>
      <c r="D219" s="129"/>
      <c r="E219" s="129"/>
      <c r="F219" s="129"/>
      <c r="G219" s="129"/>
      <c r="H219" s="129"/>
      <c r="I219" s="129"/>
      <c r="J219" s="129"/>
      <c r="K219" s="129"/>
    </row>
    <row r="220" spans="1:11" x14ac:dyDescent="0.25">
      <c r="A220" s="127" t="str">
        <f t="shared" ref="A220:A226" si="5">B220&amp;C220</f>
        <v>Concho ResourcesOpex reduction</v>
      </c>
      <c r="B220" s="128" t="str">
        <f>B219</f>
        <v>Concho Resources</v>
      </c>
      <c r="C220" s="128" t="s">
        <v>514</v>
      </c>
      <c r="D220" s="129"/>
      <c r="E220" s="129"/>
      <c r="F220" s="129"/>
      <c r="G220" s="129"/>
      <c r="H220" s="129"/>
      <c r="I220" s="129"/>
      <c r="J220" s="129"/>
      <c r="K220" s="129"/>
    </row>
    <row r="221" spans="1:11" x14ac:dyDescent="0.25">
      <c r="A221" s="127" t="str">
        <f t="shared" si="5"/>
        <v>Concho ResourcesDividend reduction</v>
      </c>
      <c r="B221" s="128" t="str">
        <f>B219</f>
        <v>Concho Resources</v>
      </c>
      <c r="C221" s="128" t="s">
        <v>515</v>
      </c>
      <c r="D221" s="129"/>
      <c r="E221" s="129"/>
      <c r="F221" s="129"/>
      <c r="G221" s="129"/>
      <c r="H221" s="129"/>
      <c r="I221" s="129"/>
      <c r="J221" s="129"/>
      <c r="K221" s="129"/>
    </row>
    <row r="222" spans="1:11" x14ac:dyDescent="0.25">
      <c r="A222" s="127" t="str">
        <f t="shared" si="5"/>
        <v>Concho ResourcesExpected impairment</v>
      </c>
      <c r="B222" s="128" t="str">
        <f>B219</f>
        <v>Concho Resources</v>
      </c>
      <c r="C222" s="128" t="s">
        <v>516</v>
      </c>
      <c r="D222" s="129"/>
      <c r="E222" s="129"/>
      <c r="F222" s="129"/>
      <c r="G222" s="129"/>
      <c r="H222" s="129"/>
      <c r="I222" s="129"/>
      <c r="J222" s="129"/>
      <c r="K222" s="129"/>
    </row>
    <row r="223" spans="1:11" x14ac:dyDescent="0.25">
      <c r="A223" s="127" t="str">
        <f t="shared" si="5"/>
        <v>Concho ResourcesOil production reduction</v>
      </c>
      <c r="B223" s="128" t="str">
        <f>B219</f>
        <v>Concho Resources</v>
      </c>
      <c r="C223" s="128" t="s">
        <v>528</v>
      </c>
      <c r="D223" s="129"/>
      <c r="E223" s="129"/>
      <c r="F223" s="129"/>
      <c r="G223" s="129"/>
      <c r="H223" s="129"/>
      <c r="I223" s="129"/>
      <c r="J223" s="129"/>
      <c r="K223" s="129"/>
    </row>
    <row r="224" spans="1:11" x14ac:dyDescent="0.25">
      <c r="A224" s="127" t="str">
        <f t="shared" si="5"/>
        <v>Concho ResourcesGas production reduction</v>
      </c>
      <c r="B224" s="128" t="str">
        <f>B219</f>
        <v>Concho Resources</v>
      </c>
      <c r="C224" s="128" t="s">
        <v>529</v>
      </c>
      <c r="D224" s="129"/>
      <c r="E224" s="129"/>
      <c r="F224" s="129"/>
      <c r="G224" s="129"/>
      <c r="H224" s="129"/>
      <c r="I224" s="129"/>
      <c r="J224" s="129"/>
      <c r="K224" s="129"/>
    </row>
    <row r="225" spans="1:11" x14ac:dyDescent="0.25">
      <c r="A225" s="127" t="str">
        <f t="shared" si="5"/>
        <v>Concho ResourcesNGL production reduction</v>
      </c>
      <c r="B225" s="128" t="str">
        <f>B219</f>
        <v>Concho Resources</v>
      </c>
      <c r="C225" s="128" t="s">
        <v>530</v>
      </c>
      <c r="D225" s="129"/>
      <c r="E225" s="129"/>
      <c r="F225" s="129"/>
      <c r="G225" s="129"/>
      <c r="H225" s="129"/>
      <c r="I225" s="129"/>
      <c r="J225" s="129"/>
      <c r="K225" s="129"/>
    </row>
    <row r="226" spans="1:11" x14ac:dyDescent="0.25">
      <c r="A226" s="127" t="str">
        <f t="shared" si="5"/>
        <v>Concho ResourcesCondensate production reduction</v>
      </c>
      <c r="B226" s="128" t="str">
        <f>B219</f>
        <v>Concho Resources</v>
      </c>
      <c r="C226" s="128" t="s">
        <v>531</v>
      </c>
      <c r="D226" s="129"/>
      <c r="E226" s="129"/>
      <c r="F226" s="129"/>
      <c r="G226" s="129"/>
      <c r="H226" s="129"/>
      <c r="I226" s="129"/>
      <c r="J226" s="129"/>
      <c r="K226" s="129"/>
    </row>
    <row r="227" spans="1:11" x14ac:dyDescent="0.25">
      <c r="A227" s="127" t="str">
        <f>B227&amp;C227</f>
        <v>Continental ResourcesCapex reduction</v>
      </c>
      <c r="B227" s="128" t="s">
        <v>268</v>
      </c>
      <c r="C227" s="128" t="s">
        <v>513</v>
      </c>
      <c r="D227" s="129"/>
      <c r="E227" s="129"/>
      <c r="F227" s="129"/>
      <c r="G227" s="129"/>
      <c r="H227" s="129"/>
      <c r="I227" s="129"/>
      <c r="J227" s="129"/>
      <c r="K227" s="129"/>
    </row>
    <row r="228" spans="1:11" x14ac:dyDescent="0.25">
      <c r="A228" s="127" t="str">
        <f t="shared" ref="A228:A234" si="6">B228&amp;C228</f>
        <v>Continental ResourcesOpex reduction</v>
      </c>
      <c r="B228" s="128" t="str">
        <f>B227</f>
        <v>Continental Resources</v>
      </c>
      <c r="C228" s="128" t="s">
        <v>514</v>
      </c>
      <c r="D228" s="129"/>
      <c r="E228" s="129"/>
      <c r="F228" s="129"/>
      <c r="G228" s="129"/>
      <c r="H228" s="129"/>
      <c r="I228" s="129"/>
      <c r="J228" s="129"/>
      <c r="K228" s="129"/>
    </row>
    <row r="229" spans="1:11" x14ac:dyDescent="0.25">
      <c r="A229" s="127" t="str">
        <f t="shared" si="6"/>
        <v>Continental ResourcesDividend reduction</v>
      </c>
      <c r="B229" s="128" t="str">
        <f>B227</f>
        <v>Continental Resources</v>
      </c>
      <c r="C229" s="128" t="s">
        <v>515</v>
      </c>
      <c r="D229" s="129"/>
      <c r="E229" s="129"/>
      <c r="F229" s="129"/>
      <c r="G229" s="129"/>
      <c r="H229" s="129"/>
      <c r="I229" s="129"/>
      <c r="J229" s="129"/>
      <c r="K229" s="129"/>
    </row>
    <row r="230" spans="1:11" x14ac:dyDescent="0.25">
      <c r="A230" s="127" t="str">
        <f t="shared" si="6"/>
        <v>Continental ResourcesExpected impairment</v>
      </c>
      <c r="B230" s="128" t="str">
        <f>B227</f>
        <v>Continental Resources</v>
      </c>
      <c r="C230" s="128" t="s">
        <v>516</v>
      </c>
      <c r="D230" s="129"/>
      <c r="E230" s="129"/>
      <c r="F230" s="129"/>
      <c r="G230" s="129"/>
      <c r="H230" s="129"/>
      <c r="I230" s="129"/>
      <c r="J230" s="129"/>
      <c r="K230" s="129"/>
    </row>
    <row r="231" spans="1:11" x14ac:dyDescent="0.25">
      <c r="A231" s="127" t="str">
        <f t="shared" si="6"/>
        <v>Continental ResourcesOil production reduction</v>
      </c>
      <c r="B231" s="128" t="str">
        <f>B227</f>
        <v>Continental Resources</v>
      </c>
      <c r="C231" s="128" t="s">
        <v>528</v>
      </c>
      <c r="D231" s="129"/>
      <c r="E231" s="129"/>
      <c r="F231" s="129"/>
      <c r="G231" s="129"/>
      <c r="H231" s="129"/>
      <c r="I231" s="129"/>
      <c r="J231" s="129"/>
      <c r="K231" s="129"/>
    </row>
    <row r="232" spans="1:11" x14ac:dyDescent="0.25">
      <c r="A232" s="127" t="str">
        <f t="shared" si="6"/>
        <v>Continental ResourcesGas production reduction</v>
      </c>
      <c r="B232" s="128" t="str">
        <f>B227</f>
        <v>Continental Resources</v>
      </c>
      <c r="C232" s="128" t="s">
        <v>529</v>
      </c>
      <c r="D232" s="129"/>
      <c r="E232" s="129"/>
      <c r="F232" s="129"/>
      <c r="G232" s="129"/>
      <c r="H232" s="129"/>
      <c r="I232" s="129"/>
      <c r="J232" s="129"/>
      <c r="K232" s="129"/>
    </row>
    <row r="233" spans="1:11" x14ac:dyDescent="0.25">
      <c r="A233" s="127" t="str">
        <f t="shared" si="6"/>
        <v>Continental ResourcesNGL production reduction</v>
      </c>
      <c r="B233" s="128" t="str">
        <f>B227</f>
        <v>Continental Resources</v>
      </c>
      <c r="C233" s="128" t="s">
        <v>530</v>
      </c>
      <c r="D233" s="129"/>
      <c r="E233" s="129"/>
      <c r="F233" s="129"/>
      <c r="G233" s="129"/>
      <c r="H233" s="129"/>
      <c r="I233" s="129"/>
      <c r="J233" s="129"/>
      <c r="K233" s="129"/>
    </row>
    <row r="234" spans="1:11" x14ac:dyDescent="0.25">
      <c r="A234" s="127" t="str">
        <f t="shared" si="6"/>
        <v>Continental ResourcesCondensate production reduction</v>
      </c>
      <c r="B234" s="128" t="str">
        <f>B227</f>
        <v>Continental Resources</v>
      </c>
      <c r="C234" s="128" t="s">
        <v>531</v>
      </c>
      <c r="D234" s="129"/>
      <c r="E234" s="129"/>
      <c r="F234" s="129"/>
      <c r="G234" s="129"/>
      <c r="H234" s="129"/>
      <c r="I234" s="129"/>
      <c r="J234" s="129"/>
      <c r="K234" s="129"/>
    </row>
  </sheetData>
  <autoFilter ref="A2:K234" xr:uid="{BF7A57CC-497A-451E-A6FF-00697491F272}"/>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523CB-BE36-4132-8347-2E37D64E1C02}">
  <sheetPr codeName="Sheet9">
    <tabColor theme="5"/>
  </sheetPr>
  <dimension ref="A1"/>
  <sheetViews>
    <sheetView showGridLines="0" workbookViewId="0">
      <selection activeCell="B22" sqref="B22"/>
    </sheetView>
  </sheetViews>
  <sheetFormatPr defaultColWidth="8.81640625" defaultRowHeight="14.5" x14ac:dyDescent="0.35"/>
  <cols>
    <col min="1" max="16384" width="8.81640625" style="51"/>
  </cols>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45CF3-69F7-436A-9CAF-74C48403C860}">
  <sheetPr codeName="Sheet10"/>
  <dimension ref="B2:Z43"/>
  <sheetViews>
    <sheetView showGridLines="0" topLeftCell="D1" zoomScale="86" zoomScaleNormal="80" workbookViewId="0">
      <selection activeCell="G1" sqref="G1:G1048576"/>
    </sheetView>
  </sheetViews>
  <sheetFormatPr defaultRowHeight="14.5" x14ac:dyDescent="0.35"/>
  <cols>
    <col min="1" max="1" width="2.36328125" customWidth="1"/>
    <col min="2" max="2" width="3" customWidth="1"/>
    <col min="3" max="3" width="2.36328125" customWidth="1"/>
    <col min="4" max="4" width="33.54296875" bestFit="1" customWidth="1"/>
    <col min="5" max="5" width="9.81640625" customWidth="1"/>
    <col min="6" max="6" width="6.453125" style="9" customWidth="1"/>
    <col min="7" max="7" width="8.7265625" style="465"/>
    <col min="8" max="8" width="8.7265625" style="39"/>
    <col min="13" max="13" width="9" customWidth="1"/>
    <col min="16" max="16" width="3.36328125" customWidth="1"/>
  </cols>
  <sheetData>
    <row r="2" spans="2:26" x14ac:dyDescent="0.35">
      <c r="B2" s="2">
        <v>1</v>
      </c>
      <c r="C2" s="2">
        <v>2</v>
      </c>
      <c r="D2" s="2">
        <v>3</v>
      </c>
      <c r="E2" s="2">
        <v>4</v>
      </c>
      <c r="F2" s="2">
        <v>5</v>
      </c>
      <c r="G2" s="457">
        <v>6</v>
      </c>
      <c r="H2" s="2">
        <v>7</v>
      </c>
      <c r="I2" s="2">
        <v>8</v>
      </c>
      <c r="J2" s="2">
        <v>9</v>
      </c>
      <c r="K2" s="2">
        <v>10</v>
      </c>
      <c r="L2" s="2">
        <v>11</v>
      </c>
      <c r="M2" s="2">
        <v>12</v>
      </c>
      <c r="N2" s="2">
        <v>13</v>
      </c>
      <c r="O2" s="2">
        <v>14</v>
      </c>
    </row>
    <row r="3" spans="2:26" s="9" customFormat="1" x14ac:dyDescent="0.35">
      <c r="D3" s="3"/>
      <c r="E3" s="3"/>
      <c r="F3" s="3"/>
      <c r="G3" s="458" t="s">
        <v>425</v>
      </c>
      <c r="H3" s="476" t="s">
        <v>424</v>
      </c>
      <c r="I3" s="476"/>
      <c r="J3" s="476"/>
      <c r="K3" s="476"/>
      <c r="L3" s="476"/>
      <c r="M3" s="476"/>
      <c r="N3" s="476"/>
      <c r="O3" s="476"/>
      <c r="Q3" s="14" t="s">
        <v>425</v>
      </c>
      <c r="R3" s="477" t="s">
        <v>423</v>
      </c>
      <c r="S3" s="478"/>
      <c r="T3" s="478"/>
      <c r="U3" s="478"/>
      <c r="V3" s="478"/>
      <c r="W3" s="478"/>
      <c r="X3" s="478"/>
      <c r="Y3" s="479"/>
    </row>
    <row r="4" spans="2:26" ht="12.5" customHeight="1" x14ac:dyDescent="0.35">
      <c r="D4" s="24" t="s">
        <v>398</v>
      </c>
      <c r="E4" s="24" t="s">
        <v>426</v>
      </c>
      <c r="F4" s="3"/>
      <c r="G4" s="459" t="s">
        <v>413</v>
      </c>
      <c r="H4" s="159" t="s">
        <v>414</v>
      </c>
      <c r="I4" s="26" t="s">
        <v>415</v>
      </c>
      <c r="J4" s="26" t="s">
        <v>416</v>
      </c>
      <c r="K4" s="26" t="s">
        <v>417</v>
      </c>
      <c r="L4" s="27" t="s">
        <v>418</v>
      </c>
      <c r="M4" s="27" t="s">
        <v>419</v>
      </c>
      <c r="N4" s="27" t="s">
        <v>420</v>
      </c>
      <c r="O4" s="27" t="s">
        <v>421</v>
      </c>
      <c r="P4" s="1"/>
      <c r="Q4" s="25" t="s">
        <v>413</v>
      </c>
      <c r="R4" s="26" t="s">
        <v>414</v>
      </c>
      <c r="S4" s="26" t="s">
        <v>415</v>
      </c>
      <c r="T4" s="26" t="s">
        <v>416</v>
      </c>
      <c r="U4" s="26" t="s">
        <v>417</v>
      </c>
      <c r="V4" s="27" t="s">
        <v>418</v>
      </c>
      <c r="W4" s="27" t="s">
        <v>419</v>
      </c>
      <c r="X4" s="27" t="s">
        <v>420</v>
      </c>
      <c r="Y4" s="27" t="s">
        <v>421</v>
      </c>
    </row>
    <row r="5" spans="2:26" hidden="1" x14ac:dyDescent="0.35">
      <c r="B5" s="2" t="str">
        <f>C5&amp;D5</f>
        <v>A3Corporate borrowing rate, end of period</v>
      </c>
      <c r="C5" s="2" t="s">
        <v>439</v>
      </c>
      <c r="D5" s="19" t="s">
        <v>399</v>
      </c>
      <c r="E5" s="19" t="s">
        <v>422</v>
      </c>
      <c r="F5" s="4"/>
      <c r="G5" s="460">
        <v>3</v>
      </c>
      <c r="H5" s="12">
        <v>2.8072490000000001</v>
      </c>
      <c r="I5" s="12">
        <v>4.4609610000000002</v>
      </c>
      <c r="J5" s="12">
        <v>3.709581</v>
      </c>
      <c r="K5" s="12">
        <v>3.427848</v>
      </c>
      <c r="L5" s="12">
        <v>3.2276259999999999</v>
      </c>
      <c r="M5" s="12">
        <v>3.0509940000000002</v>
      </c>
      <c r="N5" s="12">
        <v>2.9990350000000001</v>
      </c>
      <c r="O5" s="190">
        <v>2.9942799999999998</v>
      </c>
      <c r="P5" s="11"/>
      <c r="Q5" s="15">
        <v>3</v>
      </c>
      <c r="R5" s="16">
        <v>2.803798</v>
      </c>
      <c r="S5" s="16">
        <v>4.5846619999999998</v>
      </c>
      <c r="T5" s="16">
        <v>4.2382470000000003</v>
      </c>
      <c r="U5" s="16">
        <v>4.3673339999999996</v>
      </c>
      <c r="V5" s="16">
        <v>4.340687</v>
      </c>
      <c r="W5" s="16">
        <v>4.0711510000000004</v>
      </c>
      <c r="X5" s="16">
        <v>3.4391289999999999</v>
      </c>
      <c r="Y5" s="16">
        <v>2.7993790000000001</v>
      </c>
    </row>
    <row r="6" spans="2:26" hidden="1" x14ac:dyDescent="0.35">
      <c r="B6" s="2" t="str">
        <f t="shared" ref="B6:B22" si="0">C6&amp;D6</f>
        <v>A3GDP, real, annual growth</v>
      </c>
      <c r="C6" s="2" t="s">
        <v>439</v>
      </c>
      <c r="D6" s="19" t="s">
        <v>400</v>
      </c>
      <c r="E6" s="19" t="s">
        <v>422</v>
      </c>
      <c r="F6" s="4"/>
      <c r="G6" s="460">
        <v>2</v>
      </c>
      <c r="H6" s="12">
        <v>1.38849</v>
      </c>
      <c r="I6" s="12">
        <v>-7.0217850000000004</v>
      </c>
      <c r="J6" s="12">
        <v>-4.4541060000000003</v>
      </c>
      <c r="K6" s="12">
        <v>0.47456029999999999</v>
      </c>
      <c r="L6" s="12">
        <v>2.3021340000000001</v>
      </c>
      <c r="M6" s="12">
        <v>11.77444</v>
      </c>
      <c r="N6" s="12">
        <v>8.7205300000000001</v>
      </c>
      <c r="O6" s="12">
        <v>3.1195520000000001</v>
      </c>
      <c r="P6" s="11"/>
      <c r="Q6" s="15">
        <v>2</v>
      </c>
      <c r="R6" s="16">
        <v>1.4334560000000001</v>
      </c>
      <c r="S6" s="16">
        <v>-9.7118490000000008</v>
      </c>
      <c r="T6" s="16">
        <v>-12.21716</v>
      </c>
      <c r="U6" s="16">
        <v>-12.80545</v>
      </c>
      <c r="V6" s="16">
        <v>-12.514950000000001</v>
      </c>
      <c r="W6" s="16">
        <v>-1.6500170000000001</v>
      </c>
      <c r="X6" s="16">
        <v>1.770532</v>
      </c>
      <c r="Y6" s="16">
        <v>3.4220100000000002</v>
      </c>
    </row>
    <row r="7" spans="2:26" hidden="1" x14ac:dyDescent="0.35">
      <c r="B7" s="2" t="str">
        <f t="shared" si="0"/>
        <v>A3Inflation, consumer price index - % year-on-year</v>
      </c>
      <c r="C7" s="2" t="s">
        <v>439</v>
      </c>
      <c r="D7" s="20" t="s">
        <v>401</v>
      </c>
      <c r="E7" s="20" t="s">
        <v>422</v>
      </c>
      <c r="F7" s="5"/>
      <c r="G7" s="460"/>
      <c r="H7" s="12">
        <v>2.1908280000000002</v>
      </c>
      <c r="I7" s="12">
        <v>0.87926389999999999</v>
      </c>
      <c r="J7" s="12">
        <v>0.57789089999999999</v>
      </c>
      <c r="K7" s="12">
        <v>0.42549369999999997</v>
      </c>
      <c r="L7" s="12">
        <v>0.42189359999999998</v>
      </c>
      <c r="M7" s="12">
        <v>1.543939</v>
      </c>
      <c r="N7" s="12">
        <v>2.1069529999999999</v>
      </c>
      <c r="O7" s="12">
        <v>2.4200080000000002</v>
      </c>
      <c r="P7" s="11"/>
      <c r="Q7" s="15"/>
      <c r="R7" s="16">
        <v>2.2000310000000001</v>
      </c>
      <c r="S7" s="16">
        <v>0.80821509999999996</v>
      </c>
      <c r="T7" s="16">
        <v>0.15575890000000001</v>
      </c>
      <c r="U7" s="16">
        <v>-0.74693560000000003</v>
      </c>
      <c r="V7" s="16">
        <v>-1.821035</v>
      </c>
      <c r="W7" s="16">
        <v>-1.771164</v>
      </c>
      <c r="X7" s="16">
        <v>-1.7860590000000001</v>
      </c>
      <c r="Y7" s="16">
        <v>-1.3189789999999999</v>
      </c>
    </row>
    <row r="8" spans="2:26" hidden="1" x14ac:dyDescent="0.35">
      <c r="B8" s="2" t="str">
        <f t="shared" si="0"/>
        <v>A3Interest rates  on 30 Year Fixed Rate Mortgages</v>
      </c>
      <c r="C8" s="2" t="s">
        <v>439</v>
      </c>
      <c r="D8" s="20" t="s">
        <v>402</v>
      </c>
      <c r="E8" s="20" t="s">
        <v>422</v>
      </c>
      <c r="F8" s="5"/>
      <c r="G8" s="460"/>
      <c r="H8" s="12">
        <v>3.7754150000000002</v>
      </c>
      <c r="I8" s="12">
        <v>4.5580530000000001</v>
      </c>
      <c r="J8" s="12">
        <v>3.9764529999999998</v>
      </c>
      <c r="K8" s="12">
        <v>3.7679930000000001</v>
      </c>
      <c r="L8" s="12">
        <v>3.428445</v>
      </c>
      <c r="M8" s="12">
        <v>3.1842760000000001</v>
      </c>
      <c r="N8" s="12">
        <v>3.2079080000000002</v>
      </c>
      <c r="O8" s="12">
        <v>3.251627</v>
      </c>
      <c r="P8" s="11"/>
      <c r="Q8" s="15"/>
      <c r="R8" s="16">
        <v>3.7728269999999999</v>
      </c>
      <c r="S8" s="16">
        <v>4.6386469999999997</v>
      </c>
      <c r="T8" s="16">
        <v>4.3616970000000004</v>
      </c>
      <c r="U8" s="16">
        <v>4.4614960000000004</v>
      </c>
      <c r="V8" s="16">
        <v>4.2510409999999998</v>
      </c>
      <c r="W8" s="16">
        <v>3.9292600000000002</v>
      </c>
      <c r="X8" s="16">
        <v>3.4628730000000001</v>
      </c>
      <c r="Y8" s="16">
        <v>3.0149910000000002</v>
      </c>
    </row>
    <row r="9" spans="2:26" hidden="1" x14ac:dyDescent="0.35">
      <c r="B9" s="2" t="str">
        <f t="shared" si="0"/>
        <v>A3Interest rate, 10 year government bonds</v>
      </c>
      <c r="C9" s="2" t="s">
        <v>439</v>
      </c>
      <c r="D9" s="20" t="s">
        <v>403</v>
      </c>
      <c r="E9" s="20" t="s">
        <v>422</v>
      </c>
      <c r="F9" s="5"/>
      <c r="G9" s="460">
        <v>1.8</v>
      </c>
      <c r="H9" s="12">
        <v>1.370538</v>
      </c>
      <c r="I9" s="12">
        <v>0.68837700000000002</v>
      </c>
      <c r="J9" s="12">
        <v>0.7589167</v>
      </c>
      <c r="K9" s="12">
        <v>1.017954</v>
      </c>
      <c r="L9" s="12">
        <v>1.201648</v>
      </c>
      <c r="M9" s="12">
        <v>1.322147</v>
      </c>
      <c r="N9" s="12">
        <v>1.4422550000000001</v>
      </c>
      <c r="O9" s="12">
        <v>1.565439</v>
      </c>
      <c r="P9" s="11"/>
      <c r="Q9" s="15">
        <v>1.8</v>
      </c>
      <c r="R9" s="16">
        <v>1.3700019999999999</v>
      </c>
      <c r="S9" s="16">
        <v>0.71799219999999997</v>
      </c>
      <c r="T9" s="16">
        <v>0.80514859999999999</v>
      </c>
      <c r="U9" s="16">
        <v>1.0393300000000001</v>
      </c>
      <c r="V9" s="16">
        <v>1.1264890000000001</v>
      </c>
      <c r="W9" s="16">
        <v>1.21099</v>
      </c>
      <c r="X9" s="16">
        <v>1.193308</v>
      </c>
      <c r="Y9" s="16">
        <v>1.1811510000000001</v>
      </c>
    </row>
    <row r="10" spans="2:26" hidden="1" x14ac:dyDescent="0.35">
      <c r="B10" s="2" t="str">
        <f t="shared" si="0"/>
        <v>A3Interest rate, short-term, 3 month t-bill rate</v>
      </c>
      <c r="C10" s="2" t="s">
        <v>439</v>
      </c>
      <c r="D10" s="20" t="s">
        <v>404</v>
      </c>
      <c r="E10" s="20" t="s">
        <v>422</v>
      </c>
      <c r="F10" s="5"/>
      <c r="G10" s="460">
        <v>1.6</v>
      </c>
      <c r="H10" s="12">
        <v>1.1200030000000001</v>
      </c>
      <c r="I10" s="12">
        <v>0.01</v>
      </c>
      <c r="J10" s="12">
        <v>0.15526570000000001</v>
      </c>
      <c r="K10" s="12">
        <v>0.1546894</v>
      </c>
      <c r="L10" s="12">
        <v>0.1590423</v>
      </c>
      <c r="M10" s="12">
        <v>0.19078020000000001</v>
      </c>
      <c r="N10" s="12">
        <v>0.4106648</v>
      </c>
      <c r="O10" s="12">
        <v>0.4720762</v>
      </c>
      <c r="P10" s="11"/>
      <c r="Q10" s="15">
        <v>1.6</v>
      </c>
      <c r="R10" s="16">
        <v>1.1200030000000001</v>
      </c>
      <c r="S10" s="16">
        <v>0.01</v>
      </c>
      <c r="T10" s="16">
        <v>0.11024200000000001</v>
      </c>
      <c r="U10" s="16">
        <v>0.11024200000000001</v>
      </c>
      <c r="V10" s="16">
        <v>0.11024200000000001</v>
      </c>
      <c r="W10" s="16">
        <v>0.11024200000000001</v>
      </c>
      <c r="X10" s="16">
        <v>0.11024200000000001</v>
      </c>
      <c r="Y10" s="16">
        <v>0.11024200000000001</v>
      </c>
    </row>
    <row r="11" spans="2:26" hidden="1" x14ac:dyDescent="0.35">
      <c r="B11" s="2" t="str">
        <f t="shared" si="0"/>
        <v>A3Unemployment rate</v>
      </c>
      <c r="C11" s="2" t="s">
        <v>439</v>
      </c>
      <c r="D11" s="19" t="s">
        <v>405</v>
      </c>
      <c r="E11" s="19" t="s">
        <v>422</v>
      </c>
      <c r="F11" s="4"/>
      <c r="G11" s="460">
        <v>3.5</v>
      </c>
      <c r="H11" s="12">
        <v>3.7078880000000001</v>
      </c>
      <c r="I11" s="12">
        <v>6.9141529999999998</v>
      </c>
      <c r="J11" s="12">
        <v>5.9350290000000001</v>
      </c>
      <c r="K11" s="12">
        <v>4.0995119999999998</v>
      </c>
      <c r="L11" s="12">
        <v>3.6937950000000002</v>
      </c>
      <c r="M11" s="12">
        <v>3.5584099999999999</v>
      </c>
      <c r="N11" s="12">
        <v>3.4944510000000002</v>
      </c>
      <c r="O11" s="12">
        <v>3.5079220000000002</v>
      </c>
      <c r="P11" s="11"/>
      <c r="Q11" s="15">
        <v>3.5</v>
      </c>
      <c r="R11" s="16">
        <v>3.7000030000000002</v>
      </c>
      <c r="S11" s="16">
        <v>7.4189639999999999</v>
      </c>
      <c r="T11" s="16">
        <v>9.0090280000000007</v>
      </c>
      <c r="U11" s="16">
        <v>9.3175120000000007</v>
      </c>
      <c r="V11" s="16">
        <v>9.5537449999999993</v>
      </c>
      <c r="W11" s="16">
        <v>9.4232449999999996</v>
      </c>
      <c r="X11" s="16">
        <v>9.0712379999999992</v>
      </c>
      <c r="Y11" s="16">
        <v>8.1723210000000002</v>
      </c>
    </row>
    <row r="12" spans="2:26" hidden="1" x14ac:dyDescent="0.35">
      <c r="B12" s="2" t="str">
        <f t="shared" si="0"/>
        <v>A3WTI</v>
      </c>
      <c r="C12" s="2" t="s">
        <v>439</v>
      </c>
      <c r="D12" s="21" t="s">
        <v>406</v>
      </c>
      <c r="E12" s="21" t="s">
        <v>422</v>
      </c>
      <c r="F12" s="6"/>
      <c r="G12" s="460"/>
      <c r="H12" s="12">
        <v>47.436461538461543</v>
      </c>
      <c r="I12" s="12">
        <v>52.19656410256411</v>
      </c>
      <c r="J12" s="12">
        <v>56.956666666666671</v>
      </c>
      <c r="K12" s="12">
        <v>56.956666666666671</v>
      </c>
      <c r="L12" s="12"/>
      <c r="M12" s="12"/>
      <c r="N12" s="12"/>
      <c r="O12" s="12"/>
      <c r="P12" s="11"/>
      <c r="Q12" s="15"/>
      <c r="R12" s="15">
        <v>47.436461538461543</v>
      </c>
      <c r="S12" s="15">
        <v>44.088333333333338</v>
      </c>
      <c r="T12" s="15">
        <v>50.522500000000008</v>
      </c>
      <c r="U12" s="15">
        <v>57</v>
      </c>
      <c r="V12" s="15"/>
      <c r="W12" s="15"/>
      <c r="X12" s="15"/>
      <c r="Y12" s="15"/>
    </row>
    <row r="13" spans="2:26" hidden="1" x14ac:dyDescent="0.35">
      <c r="B13" s="2" t="str">
        <f t="shared" si="0"/>
        <v>A3Airline Idiosyncratic impact %</v>
      </c>
      <c r="C13" s="2" t="s">
        <v>439</v>
      </c>
      <c r="D13" s="22" t="s">
        <v>407</v>
      </c>
      <c r="E13" s="22"/>
      <c r="F13" s="7"/>
      <c r="G13" s="460"/>
      <c r="H13" s="12">
        <v>0.5</v>
      </c>
      <c r="I13" s="12">
        <v>0.5</v>
      </c>
      <c r="J13" s="12">
        <v>0.25</v>
      </c>
      <c r="K13" s="12">
        <v>0</v>
      </c>
      <c r="L13" s="12"/>
      <c r="M13" s="12"/>
      <c r="N13" s="12"/>
      <c r="O13" s="12"/>
      <c r="P13" s="11"/>
      <c r="Q13" s="15"/>
      <c r="R13" s="15">
        <v>2</v>
      </c>
      <c r="S13" s="15">
        <v>3</v>
      </c>
      <c r="T13" s="15">
        <v>3</v>
      </c>
      <c r="U13" s="15">
        <v>2</v>
      </c>
      <c r="V13" s="15"/>
      <c r="W13" s="15"/>
      <c r="X13" s="15"/>
      <c r="Y13" s="15"/>
    </row>
    <row r="14" spans="2:26" hidden="1" x14ac:dyDescent="0.35">
      <c r="B14" s="2" t="str">
        <f t="shared" si="0"/>
        <v>A3BBB yield</v>
      </c>
      <c r="C14" s="2" t="s">
        <v>439</v>
      </c>
      <c r="D14" s="23" t="s">
        <v>408</v>
      </c>
      <c r="E14" s="23"/>
      <c r="F14" s="8"/>
      <c r="G14" s="460">
        <v>3.14</v>
      </c>
      <c r="H14" s="12">
        <v>3.14</v>
      </c>
      <c r="I14" s="12">
        <v>3.14</v>
      </c>
      <c r="J14" s="12">
        <v>3.14</v>
      </c>
      <c r="K14" s="12">
        <v>3.14</v>
      </c>
      <c r="L14" s="12"/>
      <c r="M14" s="12"/>
      <c r="N14" s="12"/>
      <c r="O14" s="12"/>
      <c r="P14" s="11"/>
      <c r="Q14" s="15">
        <v>3.14</v>
      </c>
      <c r="R14" s="15">
        <v>3.14</v>
      </c>
      <c r="S14" s="15">
        <v>3.14</v>
      </c>
      <c r="T14" s="15">
        <v>3.14</v>
      </c>
      <c r="U14" s="15">
        <v>3.14</v>
      </c>
      <c r="V14" s="15"/>
      <c r="W14" s="15"/>
      <c r="X14" s="15"/>
      <c r="Y14" s="15"/>
    </row>
    <row r="15" spans="2:26" hidden="1" x14ac:dyDescent="0.35">
      <c r="B15" s="2" t="str">
        <f t="shared" si="0"/>
        <v>A3CPI</v>
      </c>
      <c r="C15" s="2" t="s">
        <v>439</v>
      </c>
      <c r="D15" s="21" t="s">
        <v>409</v>
      </c>
      <c r="E15" s="21"/>
      <c r="F15" s="6"/>
      <c r="G15" s="460">
        <v>255.65100000000001</v>
      </c>
      <c r="H15" s="12">
        <f>$G$15*(1+H7/100)</f>
        <v>261.25187369027998</v>
      </c>
      <c r="I15" s="12">
        <f t="shared" ref="I15:O15" si="1">$G$15*(1+I7/100)</f>
        <v>257.898846952989</v>
      </c>
      <c r="J15" s="12">
        <f t="shared" si="1"/>
        <v>257.12838386475903</v>
      </c>
      <c r="K15" s="190">
        <f t="shared" si="1"/>
        <v>256.73877889898699</v>
      </c>
      <c r="L15" s="12">
        <f t="shared" si="1"/>
        <v>256.72957520733604</v>
      </c>
      <c r="M15" s="12">
        <f t="shared" si="1"/>
        <v>259.59809549289002</v>
      </c>
      <c r="N15" s="12">
        <f t="shared" si="1"/>
        <v>261.03744641403</v>
      </c>
      <c r="O15" s="12">
        <f t="shared" si="1"/>
        <v>261.83777465207999</v>
      </c>
      <c r="P15" s="11"/>
      <c r="Q15" s="15">
        <v>255.65100000000001</v>
      </c>
      <c r="R15" s="12">
        <f>$G$15*(1+R7/100)</f>
        <v>261.27540125180997</v>
      </c>
      <c r="S15" s="12">
        <f t="shared" ref="S15:Y15" si="2">$G$15*(1+S7/100)</f>
        <v>257.717209985301</v>
      </c>
      <c r="T15" s="12">
        <f t="shared" si="2"/>
        <v>256.04919918543897</v>
      </c>
      <c r="U15" s="12">
        <f t="shared" si="2"/>
        <v>253.74145166924401</v>
      </c>
      <c r="V15" s="12">
        <f t="shared" si="2"/>
        <v>250.99550581214999</v>
      </c>
      <c r="W15" s="12">
        <f t="shared" si="2"/>
        <v>251.12300152236</v>
      </c>
      <c r="X15" s="12">
        <f t="shared" si="2"/>
        <v>251.08492230591003</v>
      </c>
      <c r="Y15" s="12">
        <f t="shared" si="2"/>
        <v>252.27901699671003</v>
      </c>
    </row>
    <row r="16" spans="2:26" hidden="1" x14ac:dyDescent="0.35">
      <c r="B16" s="2" t="str">
        <f t="shared" si="0"/>
        <v>A35Y treasury</v>
      </c>
      <c r="C16" s="2" t="s">
        <v>439</v>
      </c>
      <c r="D16" s="21" t="s">
        <v>410</v>
      </c>
      <c r="E16" s="21"/>
      <c r="F16" s="6"/>
      <c r="G16" s="460">
        <v>1.6</v>
      </c>
      <c r="H16" s="12">
        <f>-0.0330897425813452+0.746153687962855*(H9-H10)+H10</f>
        <v>1.2738508716324288</v>
      </c>
      <c r="I16" s="12">
        <f t="shared" ref="I16:O16" si="3">-0.0330897425813452+0.746153687962855*(I9-I10)+I10</f>
        <v>0.48308375779783241</v>
      </c>
      <c r="J16" s="12">
        <f t="shared" si="3"/>
        <v>0.57259237731112012</v>
      </c>
      <c r="K16" s="12">
        <f t="shared" si="3"/>
        <v>0.76572772239643361</v>
      </c>
      <c r="L16" s="12">
        <f t="shared" si="3"/>
        <v>0.90389664556474869</v>
      </c>
      <c r="M16" s="12">
        <f t="shared" si="3"/>
        <v>1.0018639676773884</v>
      </c>
      <c r="N16" s="12">
        <f t="shared" si="3"/>
        <v>1.147299889614994</v>
      </c>
      <c r="O16" s="12">
        <f t="shared" si="3"/>
        <v>1.2548031429200481</v>
      </c>
      <c r="P16" s="11"/>
      <c r="Q16" s="15">
        <v>1.6</v>
      </c>
      <c r="R16" s="15">
        <f>-0.0330897425813452+0.746153687962855*(R9-R10)+R10</f>
        <v>1.2734509332556805</v>
      </c>
      <c r="S16" s="15">
        <f t="shared" ref="S16:Y16" si="4">-0.0330897425813452+0.746153687962855*(S9-S10)+S10</f>
        <v>0.50518124849758994</v>
      </c>
      <c r="T16" s="15">
        <f t="shared" si="4"/>
        <v>0.59565937979838313</v>
      </c>
      <c r="U16" s="15">
        <f t="shared" si="4"/>
        <v>0.77039469506068792</v>
      </c>
      <c r="V16" s="15">
        <f t="shared" si="4"/>
        <v>0.83542870434984229</v>
      </c>
      <c r="W16" s="15">
        <f t="shared" si="4"/>
        <v>0.89847943713639156</v>
      </c>
      <c r="X16" s="15">
        <f t="shared" si="4"/>
        <v>0.88528594762583235</v>
      </c>
      <c r="Y16" s="15">
        <f t="shared" si="4"/>
        <v>0.87621495724126786</v>
      </c>
      <c r="Z16" s="10"/>
    </row>
    <row r="17" spans="2:25" hidden="1" x14ac:dyDescent="0.35">
      <c r="B17" s="2" t="str">
        <f t="shared" si="0"/>
        <v>A3GDP</v>
      </c>
      <c r="C17" s="2" t="s">
        <v>439</v>
      </c>
      <c r="D17" s="21" t="s">
        <v>411</v>
      </c>
      <c r="E17" s="21" t="s">
        <v>422</v>
      </c>
      <c r="F17" s="6"/>
      <c r="G17" s="460">
        <v>4805.125</v>
      </c>
      <c r="H17" s="12">
        <v>4797.5259999999998</v>
      </c>
      <c r="I17" s="12">
        <v>4421.5559999999996</v>
      </c>
      <c r="J17" s="12">
        <v>4567.3559999999998</v>
      </c>
      <c r="K17" s="12">
        <v>4827.9279999999999</v>
      </c>
      <c r="L17" s="12">
        <v>4907.9709999999995</v>
      </c>
      <c r="M17" s="12">
        <v>4942.1689999999999</v>
      </c>
      <c r="N17" s="12">
        <v>4965.6540000000005</v>
      </c>
      <c r="O17" s="12">
        <v>4978.5379999999996</v>
      </c>
      <c r="P17" s="11"/>
      <c r="Q17" s="15">
        <v>4805.125</v>
      </c>
      <c r="R17" s="17">
        <v>4799.6540000000005</v>
      </c>
      <c r="S17" s="17">
        <v>4293.63</v>
      </c>
      <c r="T17" s="17">
        <v>4196.2610000000004</v>
      </c>
      <c r="U17" s="17">
        <v>4189.8069999999998</v>
      </c>
      <c r="V17" s="17">
        <v>4198.9790000000003</v>
      </c>
      <c r="W17" s="17">
        <v>4222.7849999999999</v>
      </c>
      <c r="X17" s="17">
        <v>4270.558</v>
      </c>
      <c r="Y17" s="17">
        <v>4333.183</v>
      </c>
    </row>
    <row r="18" spans="2:25" hidden="1" x14ac:dyDescent="0.35">
      <c r="B18" s="2" t="str">
        <f t="shared" si="0"/>
        <v>A3GDP growth</v>
      </c>
      <c r="C18" s="2" t="s">
        <v>439</v>
      </c>
      <c r="D18" s="21" t="s">
        <v>412</v>
      </c>
      <c r="E18" s="21"/>
      <c r="F18" s="6"/>
      <c r="G18" s="461">
        <v>5.1984456961158302E-3</v>
      </c>
      <c r="H18" s="13">
        <f>H17/G17-1</f>
        <v>-1.5814364870840869E-3</v>
      </c>
      <c r="I18" s="13">
        <f t="shared" ref="I18:O18" si="5">I17/H17-1</f>
        <v>-7.8367475236194695E-2</v>
      </c>
      <c r="J18" s="13">
        <f t="shared" si="5"/>
        <v>3.2974817010120505E-2</v>
      </c>
      <c r="K18" s="13">
        <f t="shared" si="5"/>
        <v>5.705095026531759E-2</v>
      </c>
      <c r="L18" s="13">
        <f t="shared" si="5"/>
        <v>1.6579161909622497E-2</v>
      </c>
      <c r="M18" s="13">
        <f t="shared" si="5"/>
        <v>6.9678488320326082E-3</v>
      </c>
      <c r="N18" s="13">
        <f t="shared" si="5"/>
        <v>4.7519621445564209E-3</v>
      </c>
      <c r="O18" s="13">
        <f t="shared" si="5"/>
        <v>2.5946229842028767E-3</v>
      </c>
      <c r="P18" s="2"/>
      <c r="Q18" s="18">
        <v>5.1984456961158302E-3</v>
      </c>
      <c r="R18" s="18">
        <f t="shared" ref="R18:Y18" si="6">R17/Q17-1</f>
        <v>-1.1385759995836686E-3</v>
      </c>
      <c r="S18" s="18">
        <f t="shared" si="6"/>
        <v>-0.1054292663596168</v>
      </c>
      <c r="T18" s="18">
        <f t="shared" si="6"/>
        <v>-2.2677547902357653E-2</v>
      </c>
      <c r="U18" s="18">
        <f t="shared" si="6"/>
        <v>-1.5380358848032794E-3</v>
      </c>
      <c r="V18" s="18">
        <f t="shared" si="6"/>
        <v>2.1891223151806471E-3</v>
      </c>
      <c r="W18" s="18">
        <f t="shared" si="6"/>
        <v>5.6694734600957197E-3</v>
      </c>
      <c r="X18" s="18">
        <f t="shared" si="6"/>
        <v>1.131314997093158E-2</v>
      </c>
      <c r="Y18" s="18">
        <f t="shared" si="6"/>
        <v>1.4664360020400169E-2</v>
      </c>
    </row>
    <row r="19" spans="2:25" x14ac:dyDescent="0.35">
      <c r="B19" s="2" t="str">
        <f t="shared" si="0"/>
        <v>A3Oil</v>
      </c>
      <c r="C19" s="2" t="s">
        <v>439</v>
      </c>
      <c r="D19" s="30" t="s">
        <v>396</v>
      </c>
      <c r="E19" s="21">
        <v>5</v>
      </c>
      <c r="F19" s="102">
        <v>57.03</v>
      </c>
      <c r="G19" s="462">
        <v>64.358329999999995</v>
      </c>
      <c r="H19" s="160">
        <v>50.81859</v>
      </c>
      <c r="I19" s="28">
        <v>20</v>
      </c>
      <c r="J19" s="28">
        <v>22</v>
      </c>
      <c r="K19" s="28">
        <v>24</v>
      </c>
      <c r="L19" s="28">
        <v>26</v>
      </c>
      <c r="M19" s="28">
        <v>28</v>
      </c>
      <c r="N19" s="28">
        <v>30</v>
      </c>
      <c r="O19" s="28">
        <v>30</v>
      </c>
      <c r="P19" s="32"/>
      <c r="Q19" s="28">
        <v>56.956666666666671</v>
      </c>
      <c r="R19" s="28">
        <v>57.52</v>
      </c>
      <c r="S19" s="28">
        <v>15</v>
      </c>
      <c r="T19" s="28">
        <v>17</v>
      </c>
      <c r="U19" s="28">
        <v>19</v>
      </c>
      <c r="V19" s="28">
        <v>21</v>
      </c>
      <c r="W19" s="28">
        <v>23</v>
      </c>
      <c r="X19" s="28">
        <v>25</v>
      </c>
      <c r="Y19" s="28">
        <v>25</v>
      </c>
    </row>
    <row r="20" spans="2:25" x14ac:dyDescent="0.35">
      <c r="B20" s="2" t="str">
        <f t="shared" si="0"/>
        <v>A3Condensate</v>
      </c>
      <c r="C20" s="2" t="s">
        <v>439</v>
      </c>
      <c r="D20" s="21" t="s">
        <v>24</v>
      </c>
      <c r="E20" s="21"/>
      <c r="F20" s="28">
        <f>F19*60%</f>
        <v>34.217999999999996</v>
      </c>
      <c r="G20" s="462">
        <f>G19*0.6</f>
        <v>38.614997999999993</v>
      </c>
      <c r="H20" s="160">
        <f t="shared" ref="H20:O20" si="7">H19*60%</f>
        <v>30.491153999999998</v>
      </c>
      <c r="I20" s="28">
        <f t="shared" si="7"/>
        <v>12</v>
      </c>
      <c r="J20" s="28">
        <f t="shared" si="7"/>
        <v>13.2</v>
      </c>
      <c r="K20" s="28">
        <f t="shared" si="7"/>
        <v>14.399999999999999</v>
      </c>
      <c r="L20" s="28">
        <f t="shared" si="7"/>
        <v>15.6</v>
      </c>
      <c r="M20" s="28">
        <f t="shared" si="7"/>
        <v>16.8</v>
      </c>
      <c r="N20" s="28">
        <f t="shared" si="7"/>
        <v>18</v>
      </c>
      <c r="O20" s="28">
        <f t="shared" si="7"/>
        <v>18</v>
      </c>
      <c r="Q20" s="28">
        <f t="shared" ref="Q20:Y20" si="8">Q19*60%</f>
        <v>34.173999999999999</v>
      </c>
      <c r="R20" s="28">
        <f t="shared" si="8"/>
        <v>34.512</v>
      </c>
      <c r="S20" s="28">
        <f t="shared" si="8"/>
        <v>9</v>
      </c>
      <c r="T20" s="28">
        <f t="shared" si="8"/>
        <v>10.199999999999999</v>
      </c>
      <c r="U20" s="28">
        <f t="shared" si="8"/>
        <v>11.4</v>
      </c>
      <c r="V20" s="28">
        <f t="shared" si="8"/>
        <v>12.6</v>
      </c>
      <c r="W20" s="28">
        <f t="shared" si="8"/>
        <v>13.799999999999999</v>
      </c>
      <c r="X20" s="28">
        <f t="shared" si="8"/>
        <v>15</v>
      </c>
      <c r="Y20" s="28">
        <f t="shared" si="8"/>
        <v>15</v>
      </c>
    </row>
    <row r="21" spans="2:25" x14ac:dyDescent="0.35">
      <c r="B21" s="2" t="str">
        <f t="shared" si="0"/>
        <v>A3Gas</v>
      </c>
      <c r="C21" s="2" t="s">
        <v>439</v>
      </c>
      <c r="D21" s="21" t="s">
        <v>26</v>
      </c>
      <c r="E21" s="21"/>
      <c r="F21" s="102">
        <f>2.63*6</f>
        <v>15.78</v>
      </c>
      <c r="G21" s="462">
        <v>15.15714</v>
      </c>
      <c r="H21" s="160">
        <v>11.20355</v>
      </c>
      <c r="I21" s="28">
        <f>(0.0183*I19 + 1.7798)*6</f>
        <v>12.8748</v>
      </c>
      <c r="J21" s="28">
        <f t="shared" ref="J21:O21" si="9">(0.0183*J19 + 1.7798)*6</f>
        <v>13.0944</v>
      </c>
      <c r="K21" s="28">
        <f t="shared" si="9"/>
        <v>13.314000000000002</v>
      </c>
      <c r="L21" s="28">
        <f>(0.0183*L19 + 1.7798)*6</f>
        <v>13.533600000000002</v>
      </c>
      <c r="M21" s="28">
        <f t="shared" si="9"/>
        <v>13.753200000000001</v>
      </c>
      <c r="N21" s="28">
        <f t="shared" si="9"/>
        <v>13.972800000000001</v>
      </c>
      <c r="O21" s="28">
        <f t="shared" si="9"/>
        <v>13.972800000000001</v>
      </c>
      <c r="Q21" s="28">
        <v>14.34</v>
      </c>
      <c r="R21" s="28">
        <v>12.122857142857141</v>
      </c>
      <c r="S21" s="28">
        <f t="shared" ref="S21:Y21" si="10">0.0183*S19 + 1.7798</f>
        <v>2.0543</v>
      </c>
      <c r="T21" s="28">
        <f t="shared" si="10"/>
        <v>2.0909</v>
      </c>
      <c r="U21" s="28">
        <f t="shared" si="10"/>
        <v>2.1274999999999999</v>
      </c>
      <c r="V21" s="28">
        <f t="shared" si="10"/>
        <v>2.1640999999999999</v>
      </c>
      <c r="W21" s="28">
        <f t="shared" si="10"/>
        <v>2.2006999999999999</v>
      </c>
      <c r="X21" s="28">
        <f t="shared" si="10"/>
        <v>2.2373000000000003</v>
      </c>
      <c r="Y21" s="28">
        <f t="shared" si="10"/>
        <v>2.2373000000000003</v>
      </c>
    </row>
    <row r="22" spans="2:25" x14ac:dyDescent="0.35">
      <c r="B22" s="2" t="str">
        <f t="shared" si="0"/>
        <v>A3NGL</v>
      </c>
      <c r="C22" s="2" t="s">
        <v>439</v>
      </c>
      <c r="D22" s="21" t="s">
        <v>25</v>
      </c>
      <c r="E22" s="21"/>
      <c r="F22" s="101">
        <v>20.616230000000002</v>
      </c>
      <c r="G22" s="462">
        <v>20.616230000000002</v>
      </c>
      <c r="H22" s="161">
        <v>17.26445</v>
      </c>
      <c r="I22" s="29">
        <f>(0.1166*I19 - 0.0755)*3.745</f>
        <v>8.4505925000000008</v>
      </c>
      <c r="J22" s="29">
        <f t="shared" ref="J22:O22" si="11">(0.1166*J19 - 0.0755)*3.745</f>
        <v>9.3239265000000007</v>
      </c>
      <c r="K22" s="29">
        <f t="shared" si="11"/>
        <v>10.197260500000001</v>
      </c>
      <c r="L22" s="29">
        <f t="shared" si="11"/>
        <v>11.0705945</v>
      </c>
      <c r="M22" s="29">
        <f t="shared" si="11"/>
        <v>11.9439285</v>
      </c>
      <c r="N22" s="29">
        <f t="shared" si="11"/>
        <v>12.8172625</v>
      </c>
      <c r="O22" s="29">
        <f t="shared" si="11"/>
        <v>12.8172625</v>
      </c>
      <c r="Q22" s="29">
        <v>20.073200000000003</v>
      </c>
      <c r="R22" s="29">
        <v>18.125800000000002</v>
      </c>
      <c r="S22" s="29">
        <f>(0.1166*S19 - 0.0755)*3.745</f>
        <v>6.2672575000000004</v>
      </c>
      <c r="T22" s="29">
        <f t="shared" ref="T22:Y22" si="12">(0.1166*T19 - 0.0755)*3.745</f>
        <v>7.1405915000000002</v>
      </c>
      <c r="U22" s="29">
        <f t="shared" si="12"/>
        <v>8.0139254999999991</v>
      </c>
      <c r="V22" s="29">
        <f t="shared" si="12"/>
        <v>8.8872595000000008</v>
      </c>
      <c r="W22" s="29">
        <f t="shared" si="12"/>
        <v>9.7605935000000006</v>
      </c>
      <c r="X22" s="29">
        <f t="shared" si="12"/>
        <v>10.6339275</v>
      </c>
      <c r="Y22" s="29">
        <f t="shared" si="12"/>
        <v>10.6339275</v>
      </c>
    </row>
    <row r="24" spans="2:25" hidden="1" x14ac:dyDescent="0.35">
      <c r="G24" s="458" t="s">
        <v>425</v>
      </c>
      <c r="H24" s="480" t="s">
        <v>423</v>
      </c>
      <c r="I24" s="480"/>
      <c r="J24" s="480"/>
      <c r="K24" s="480"/>
      <c r="L24" s="480"/>
      <c r="M24" s="480"/>
      <c r="N24" s="480"/>
      <c r="O24" s="480"/>
    </row>
    <row r="25" spans="2:25" hidden="1" x14ac:dyDescent="0.35">
      <c r="D25" s="24" t="s">
        <v>398</v>
      </c>
      <c r="E25" s="24" t="s">
        <v>426</v>
      </c>
      <c r="G25" s="459" t="s">
        <v>413</v>
      </c>
      <c r="H25" s="159" t="s">
        <v>414</v>
      </c>
      <c r="I25" s="26" t="s">
        <v>415</v>
      </c>
      <c r="J25" s="26" t="s">
        <v>416</v>
      </c>
      <c r="K25" s="26" t="s">
        <v>417</v>
      </c>
      <c r="L25" s="27" t="s">
        <v>418</v>
      </c>
      <c r="M25" s="27" t="s">
        <v>419</v>
      </c>
      <c r="N25" s="27" t="s">
        <v>420</v>
      </c>
      <c r="O25" s="27" t="s">
        <v>421</v>
      </c>
    </row>
    <row r="26" spans="2:25" hidden="1" x14ac:dyDescent="0.35">
      <c r="B26" s="2" t="str">
        <f>C26&amp;D26</f>
        <v>A1Corporate borrowing rate, end of period</v>
      </c>
      <c r="C26" s="2" t="s">
        <v>440</v>
      </c>
      <c r="D26" s="19" t="s">
        <v>399</v>
      </c>
      <c r="E26" s="19" t="s">
        <v>422</v>
      </c>
      <c r="G26" s="463">
        <v>3</v>
      </c>
      <c r="H26" s="16">
        <v>2.803798</v>
      </c>
      <c r="I26" s="16">
        <v>4.5846619999999998</v>
      </c>
      <c r="J26" s="16">
        <v>4.2382470000000003</v>
      </c>
      <c r="K26" s="16">
        <v>4.3673339999999996</v>
      </c>
      <c r="L26" s="16">
        <v>4.340687</v>
      </c>
      <c r="M26" s="16">
        <v>4.0711510000000004</v>
      </c>
      <c r="N26" s="16">
        <v>3.4391289999999999</v>
      </c>
      <c r="O26" s="194">
        <v>2.7993790000000001</v>
      </c>
    </row>
    <row r="27" spans="2:25" hidden="1" x14ac:dyDescent="0.35">
      <c r="B27" s="2" t="str">
        <f t="shared" ref="B27:B43" si="13">C27&amp;D27</f>
        <v>A1GDP, real, annual growth</v>
      </c>
      <c r="C27" s="2" t="s">
        <v>440</v>
      </c>
      <c r="D27" s="19" t="s">
        <v>400</v>
      </c>
      <c r="E27" s="19" t="s">
        <v>422</v>
      </c>
      <c r="G27" s="463">
        <v>2</v>
      </c>
      <c r="H27" s="16">
        <v>1.4334560000000001</v>
      </c>
      <c r="I27" s="16">
        <v>-9.7118490000000008</v>
      </c>
      <c r="J27" s="16">
        <v>-12.21716</v>
      </c>
      <c r="K27" s="16">
        <v>-12.80545</v>
      </c>
      <c r="L27" s="16">
        <v>-12.514950000000001</v>
      </c>
      <c r="M27" s="16">
        <v>-1.6500170000000001</v>
      </c>
      <c r="N27" s="16">
        <v>1.770532</v>
      </c>
      <c r="O27" s="16">
        <v>3.4220100000000002</v>
      </c>
    </row>
    <row r="28" spans="2:25" hidden="1" x14ac:dyDescent="0.35">
      <c r="B28" s="2" t="str">
        <f t="shared" si="13"/>
        <v>A1Inflation, consumer price index - % year-on-year</v>
      </c>
      <c r="C28" s="2" t="s">
        <v>440</v>
      </c>
      <c r="D28" s="20" t="s">
        <v>401</v>
      </c>
      <c r="E28" s="20" t="s">
        <v>422</v>
      </c>
      <c r="G28" s="463"/>
      <c r="H28" s="16">
        <v>2.2000310000000001</v>
      </c>
      <c r="I28" s="16">
        <v>0.80821509999999996</v>
      </c>
      <c r="J28" s="16">
        <v>0.15575890000000001</v>
      </c>
      <c r="K28" s="16">
        <v>-0.74693560000000003</v>
      </c>
      <c r="L28" s="16">
        <v>-1.821035</v>
      </c>
      <c r="M28" s="16">
        <v>-1.771164</v>
      </c>
      <c r="N28" s="16">
        <v>-1.7860590000000001</v>
      </c>
      <c r="O28" s="16">
        <v>-1.3189789999999999</v>
      </c>
    </row>
    <row r="29" spans="2:25" hidden="1" x14ac:dyDescent="0.35">
      <c r="B29" s="2" t="str">
        <f t="shared" si="13"/>
        <v>A1Interest rates  on 30 Year Fixed Rate Mortgages</v>
      </c>
      <c r="C29" s="2" t="s">
        <v>440</v>
      </c>
      <c r="D29" s="20" t="s">
        <v>402</v>
      </c>
      <c r="E29" s="20" t="s">
        <v>422</v>
      </c>
      <c r="G29" s="463"/>
      <c r="H29" s="16">
        <v>3.7728269999999999</v>
      </c>
      <c r="I29" s="16">
        <v>4.6386469999999997</v>
      </c>
      <c r="J29" s="16">
        <v>4.3616970000000004</v>
      </c>
      <c r="K29" s="16">
        <v>4.4614960000000004</v>
      </c>
      <c r="L29" s="16">
        <v>4.2510409999999998</v>
      </c>
      <c r="M29" s="16">
        <v>3.9292600000000002</v>
      </c>
      <c r="N29" s="16">
        <v>3.4628730000000001</v>
      </c>
      <c r="O29" s="16">
        <v>3.0149910000000002</v>
      </c>
    </row>
    <row r="30" spans="2:25" hidden="1" x14ac:dyDescent="0.35">
      <c r="B30" s="2" t="str">
        <f t="shared" si="13"/>
        <v>A1Interest rate, 10 year government bonds</v>
      </c>
      <c r="C30" s="2" t="s">
        <v>440</v>
      </c>
      <c r="D30" s="20" t="s">
        <v>403</v>
      </c>
      <c r="E30" s="20" t="s">
        <v>422</v>
      </c>
      <c r="G30" s="463">
        <v>1.8</v>
      </c>
      <c r="H30" s="16">
        <v>1.3700019999999999</v>
      </c>
      <c r="I30" s="16">
        <v>0.71799219999999997</v>
      </c>
      <c r="J30" s="16">
        <v>0.80514859999999999</v>
      </c>
      <c r="K30" s="16">
        <v>1.0393300000000001</v>
      </c>
      <c r="L30" s="16">
        <v>1.1264890000000001</v>
      </c>
      <c r="M30" s="16">
        <v>1.21099</v>
      </c>
      <c r="N30" s="16">
        <v>1.193308</v>
      </c>
      <c r="O30" s="16">
        <v>1.1811510000000001</v>
      </c>
    </row>
    <row r="31" spans="2:25" hidden="1" x14ac:dyDescent="0.35">
      <c r="B31" s="2" t="str">
        <f t="shared" si="13"/>
        <v>A1Interest rate, short-term, 3 month t-bill rate</v>
      </c>
      <c r="C31" s="2" t="s">
        <v>440</v>
      </c>
      <c r="D31" s="20" t="s">
        <v>404</v>
      </c>
      <c r="E31" s="20" t="s">
        <v>422</v>
      </c>
      <c r="G31" s="463">
        <v>1.6</v>
      </c>
      <c r="H31" s="16">
        <v>1.1200030000000001</v>
      </c>
      <c r="I31" s="16">
        <v>0.01</v>
      </c>
      <c r="J31" s="16">
        <v>0.11024200000000001</v>
      </c>
      <c r="K31" s="16">
        <v>0.11024200000000001</v>
      </c>
      <c r="L31" s="16">
        <v>0.11024200000000001</v>
      </c>
      <c r="M31" s="16">
        <v>0.11024200000000001</v>
      </c>
      <c r="N31" s="16">
        <v>0.11024200000000001</v>
      </c>
      <c r="O31" s="16">
        <v>0.11024200000000001</v>
      </c>
    </row>
    <row r="32" spans="2:25" hidden="1" x14ac:dyDescent="0.35">
      <c r="B32" s="2" t="str">
        <f t="shared" si="13"/>
        <v>A1Unemployment rate</v>
      </c>
      <c r="C32" s="2" t="s">
        <v>440</v>
      </c>
      <c r="D32" s="19" t="s">
        <v>405</v>
      </c>
      <c r="E32" s="19" t="s">
        <v>422</v>
      </c>
      <c r="G32" s="463">
        <v>3.5</v>
      </c>
      <c r="H32" s="16">
        <v>3.7000030000000002</v>
      </c>
      <c r="I32" s="16">
        <v>7.4189639999999999</v>
      </c>
      <c r="J32" s="16">
        <v>9.0090280000000007</v>
      </c>
      <c r="K32" s="16">
        <v>9.3175120000000007</v>
      </c>
      <c r="L32" s="16">
        <v>9.5537449999999993</v>
      </c>
      <c r="M32" s="16">
        <v>9.4232449999999996</v>
      </c>
      <c r="N32" s="16">
        <v>9.0712379999999992</v>
      </c>
      <c r="O32" s="16">
        <v>8.1723210000000002</v>
      </c>
    </row>
    <row r="33" spans="2:15" hidden="1" x14ac:dyDescent="0.35">
      <c r="B33" s="2" t="str">
        <f t="shared" si="13"/>
        <v>A1WTI</v>
      </c>
      <c r="C33" s="2" t="s">
        <v>440</v>
      </c>
      <c r="D33" s="21" t="s">
        <v>406</v>
      </c>
      <c r="E33" s="21" t="s">
        <v>422</v>
      </c>
      <c r="G33" s="463"/>
      <c r="H33" s="15">
        <v>47.436461538461543</v>
      </c>
      <c r="I33" s="15">
        <v>44.088333333333338</v>
      </c>
      <c r="J33" s="15">
        <v>50.522500000000008</v>
      </c>
      <c r="K33" s="15">
        <v>57</v>
      </c>
      <c r="L33" s="15"/>
      <c r="M33" s="15"/>
      <c r="N33" s="15"/>
      <c r="O33" s="15"/>
    </row>
    <row r="34" spans="2:15" hidden="1" x14ac:dyDescent="0.35">
      <c r="B34" s="2" t="str">
        <f t="shared" si="13"/>
        <v>A1Airline Idiosyncratic impact %</v>
      </c>
      <c r="C34" s="2" t="s">
        <v>440</v>
      </c>
      <c r="D34" s="22" t="s">
        <v>407</v>
      </c>
      <c r="E34" s="22"/>
      <c r="G34" s="463"/>
      <c r="H34" s="15">
        <v>2</v>
      </c>
      <c r="I34" s="15">
        <v>3</v>
      </c>
      <c r="J34" s="15">
        <v>3</v>
      </c>
      <c r="K34" s="15">
        <v>2</v>
      </c>
      <c r="L34" s="15"/>
      <c r="M34" s="15"/>
      <c r="N34" s="15"/>
      <c r="O34" s="15"/>
    </row>
    <row r="35" spans="2:15" hidden="1" x14ac:dyDescent="0.35">
      <c r="B35" s="2" t="str">
        <f t="shared" si="13"/>
        <v>A1BBB yield</v>
      </c>
      <c r="C35" s="2" t="s">
        <v>440</v>
      </c>
      <c r="D35" s="23" t="s">
        <v>408</v>
      </c>
      <c r="E35" s="23"/>
      <c r="G35" s="463">
        <v>3.14</v>
      </c>
      <c r="H35" s="15">
        <v>3.14</v>
      </c>
      <c r="I35" s="15">
        <v>3.14</v>
      </c>
      <c r="J35" s="15">
        <v>3.14</v>
      </c>
      <c r="K35" s="15">
        <v>3.14</v>
      </c>
      <c r="L35" s="15"/>
      <c r="M35" s="15"/>
      <c r="N35" s="15"/>
      <c r="O35" s="15"/>
    </row>
    <row r="36" spans="2:15" hidden="1" x14ac:dyDescent="0.35">
      <c r="B36" s="2" t="str">
        <f t="shared" si="13"/>
        <v>A1CPI</v>
      </c>
      <c r="C36" s="2" t="s">
        <v>440</v>
      </c>
      <c r="D36" s="21" t="s">
        <v>409</v>
      </c>
      <c r="E36" s="21"/>
      <c r="G36" s="463">
        <v>255.65100000000001</v>
      </c>
      <c r="H36" s="12">
        <f>$G$15*(1+H28/100)</f>
        <v>261.27540125180997</v>
      </c>
      <c r="I36" s="12">
        <f t="shared" ref="I36:O36" si="14">$G$15*(1+I28/100)</f>
        <v>257.717209985301</v>
      </c>
      <c r="J36" s="12">
        <f t="shared" si="14"/>
        <v>256.04919918543897</v>
      </c>
      <c r="K36" s="189">
        <f t="shared" si="14"/>
        <v>253.74145166924401</v>
      </c>
      <c r="L36" s="12">
        <f t="shared" si="14"/>
        <v>250.99550581214999</v>
      </c>
      <c r="M36" s="12">
        <f t="shared" si="14"/>
        <v>251.12300152236</v>
      </c>
      <c r="N36" s="12">
        <f t="shared" si="14"/>
        <v>251.08492230591003</v>
      </c>
      <c r="O36" s="12">
        <f t="shared" si="14"/>
        <v>252.27901699671003</v>
      </c>
    </row>
    <row r="37" spans="2:15" hidden="1" x14ac:dyDescent="0.35">
      <c r="B37" s="2" t="str">
        <f t="shared" si="13"/>
        <v>A15Y treasury</v>
      </c>
      <c r="C37" s="2" t="s">
        <v>440</v>
      </c>
      <c r="D37" s="21" t="s">
        <v>410</v>
      </c>
      <c r="E37" s="21"/>
      <c r="G37" s="463">
        <v>1.6</v>
      </c>
      <c r="H37" s="15">
        <f>-0.0330897425813452+0.746153687962855*(H30-H31)+H31</f>
        <v>1.2734509332556805</v>
      </c>
      <c r="I37" s="15">
        <f t="shared" ref="I37:O37" si="15">-0.0330897425813452+0.746153687962855*(I30-I31)+I31</f>
        <v>0.50518124849758994</v>
      </c>
      <c r="J37" s="15">
        <f t="shared" si="15"/>
        <v>0.59565937979838313</v>
      </c>
      <c r="K37" s="15">
        <f t="shared" si="15"/>
        <v>0.77039469506068792</v>
      </c>
      <c r="L37" s="15">
        <f t="shared" si="15"/>
        <v>0.83542870434984229</v>
      </c>
      <c r="M37" s="15">
        <f t="shared" si="15"/>
        <v>0.89847943713639156</v>
      </c>
      <c r="N37" s="15">
        <f t="shared" si="15"/>
        <v>0.88528594762583235</v>
      </c>
      <c r="O37" s="15">
        <f t="shared" si="15"/>
        <v>0.87621495724126786</v>
      </c>
    </row>
    <row r="38" spans="2:15" hidden="1" x14ac:dyDescent="0.35">
      <c r="B38" s="2" t="str">
        <f t="shared" si="13"/>
        <v>A1GDP</v>
      </c>
      <c r="C38" s="2" t="s">
        <v>440</v>
      </c>
      <c r="D38" s="21" t="s">
        <v>411</v>
      </c>
      <c r="E38" s="21" t="s">
        <v>422</v>
      </c>
      <c r="G38" s="463">
        <v>4805.125</v>
      </c>
      <c r="H38" s="17">
        <v>4799.6540000000005</v>
      </c>
      <c r="I38" s="17">
        <v>4293.63</v>
      </c>
      <c r="J38" s="17">
        <v>4196.2610000000004</v>
      </c>
      <c r="K38" s="17">
        <v>4189.8069999999998</v>
      </c>
      <c r="L38" s="17">
        <v>4198.9790000000003</v>
      </c>
      <c r="M38" s="17">
        <v>4222.7849999999999</v>
      </c>
      <c r="N38" s="17">
        <v>4270.558</v>
      </c>
      <c r="O38" s="17">
        <v>4333.183</v>
      </c>
    </row>
    <row r="39" spans="2:15" hidden="1" x14ac:dyDescent="0.35">
      <c r="B39" s="2" t="str">
        <f t="shared" si="13"/>
        <v>A1GDP growth</v>
      </c>
      <c r="C39" s="2" t="s">
        <v>440</v>
      </c>
      <c r="D39" s="21" t="s">
        <v>412</v>
      </c>
      <c r="E39" s="21"/>
      <c r="G39" s="464">
        <v>5.1984456961158302E-3</v>
      </c>
      <c r="H39" s="18">
        <f t="shared" ref="H39" si="16">H38/G38-1</f>
        <v>-1.1385759995836686E-3</v>
      </c>
      <c r="I39" s="18">
        <f t="shared" ref="I39" si="17">I38/H38-1</f>
        <v>-0.1054292663596168</v>
      </c>
      <c r="J39" s="18">
        <f t="shared" ref="J39" si="18">J38/I38-1</f>
        <v>-2.2677547902357653E-2</v>
      </c>
      <c r="K39" s="18">
        <f t="shared" ref="K39" si="19">K38/J38-1</f>
        <v>-1.5380358848032794E-3</v>
      </c>
      <c r="L39" s="18">
        <f t="shared" ref="L39" si="20">L38/K38-1</f>
        <v>2.1891223151806471E-3</v>
      </c>
      <c r="M39" s="18">
        <f t="shared" ref="M39" si="21">M38/L38-1</f>
        <v>5.6694734600957197E-3</v>
      </c>
      <c r="N39" s="18">
        <f t="shared" ref="N39" si="22">N38/M38-1</f>
        <v>1.131314997093158E-2</v>
      </c>
      <c r="O39" s="18">
        <f t="shared" ref="O39" si="23">O38/N38-1</f>
        <v>1.4664360020400169E-2</v>
      </c>
    </row>
    <row r="40" spans="2:15" x14ac:dyDescent="0.35">
      <c r="B40" s="2" t="str">
        <f t="shared" si="13"/>
        <v>A1Oil</v>
      </c>
      <c r="C40" s="2" t="s">
        <v>440</v>
      </c>
      <c r="D40" s="30" t="s">
        <v>396</v>
      </c>
      <c r="E40" s="21">
        <v>5</v>
      </c>
      <c r="F40" s="28">
        <v>56.956666666666671</v>
      </c>
      <c r="G40" s="462">
        <v>64.358329999999995</v>
      </c>
      <c r="H40" s="160">
        <v>50.81859</v>
      </c>
      <c r="I40" s="28">
        <v>15</v>
      </c>
      <c r="J40" s="28">
        <v>17</v>
      </c>
      <c r="K40" s="28">
        <v>19</v>
      </c>
      <c r="L40" s="28">
        <v>21</v>
      </c>
      <c r="M40" s="28">
        <v>23</v>
      </c>
      <c r="N40" s="28">
        <v>25</v>
      </c>
      <c r="O40" s="28">
        <v>25</v>
      </c>
    </row>
    <row r="41" spans="2:15" x14ac:dyDescent="0.35">
      <c r="B41" s="2" t="str">
        <f t="shared" si="13"/>
        <v>A1Condensate</v>
      </c>
      <c r="C41" s="2" t="s">
        <v>440</v>
      </c>
      <c r="D41" s="21" t="s">
        <v>24</v>
      </c>
      <c r="E41" s="21"/>
      <c r="F41" s="28">
        <f t="shared" ref="F41" si="24">F40*60%</f>
        <v>34.173999999999999</v>
      </c>
      <c r="G41" s="462">
        <f>G40*0.6</f>
        <v>38.614997999999993</v>
      </c>
      <c r="H41" s="160">
        <f t="shared" ref="H41" si="25">H40*60%</f>
        <v>30.491153999999998</v>
      </c>
      <c r="I41" s="28">
        <f t="shared" ref="I41" si="26">I40*60%</f>
        <v>9</v>
      </c>
      <c r="J41" s="28">
        <f t="shared" ref="J41" si="27">J40*60%</f>
        <v>10.199999999999999</v>
      </c>
      <c r="K41" s="28">
        <f t="shared" ref="K41" si="28">K40*60%</f>
        <v>11.4</v>
      </c>
      <c r="L41" s="28">
        <f t="shared" ref="L41" si="29">L40*60%</f>
        <v>12.6</v>
      </c>
      <c r="M41" s="28">
        <f t="shared" ref="M41" si="30">M40*60%</f>
        <v>13.799999999999999</v>
      </c>
      <c r="N41" s="28">
        <f t="shared" ref="N41" si="31">N40*60%</f>
        <v>15</v>
      </c>
      <c r="O41" s="28">
        <f t="shared" ref="O41" si="32">O40*60%</f>
        <v>15</v>
      </c>
    </row>
    <row r="42" spans="2:15" x14ac:dyDescent="0.35">
      <c r="B42" s="2" t="str">
        <f t="shared" si="13"/>
        <v>A1Gas</v>
      </c>
      <c r="C42" s="2" t="s">
        <v>440</v>
      </c>
      <c r="D42" s="21" t="s">
        <v>26</v>
      </c>
      <c r="E42" s="21"/>
      <c r="F42" s="28">
        <v>14.34</v>
      </c>
      <c r="G42" s="462">
        <v>15.15714</v>
      </c>
      <c r="H42" s="160">
        <v>11.20355</v>
      </c>
      <c r="I42" s="28">
        <f>(0.0183*I40 + 1.7798)*6</f>
        <v>12.325800000000001</v>
      </c>
      <c r="J42" s="28">
        <f t="shared" ref="J42:O42" si="33">(0.0183*J40 + 1.7798)*6</f>
        <v>12.545400000000001</v>
      </c>
      <c r="K42" s="28">
        <f t="shared" si="33"/>
        <v>12.765000000000001</v>
      </c>
      <c r="L42" s="28">
        <f t="shared" si="33"/>
        <v>12.9846</v>
      </c>
      <c r="M42" s="28">
        <f t="shared" si="33"/>
        <v>13.2042</v>
      </c>
      <c r="N42" s="28">
        <f t="shared" si="33"/>
        <v>13.423800000000002</v>
      </c>
      <c r="O42" s="28">
        <f t="shared" si="33"/>
        <v>13.423800000000002</v>
      </c>
    </row>
    <row r="43" spans="2:15" x14ac:dyDescent="0.35">
      <c r="B43" s="2" t="str">
        <f t="shared" si="13"/>
        <v>A1NGL</v>
      </c>
      <c r="C43" s="2" t="s">
        <v>440</v>
      </c>
      <c r="D43" s="21" t="s">
        <v>25</v>
      </c>
      <c r="E43" s="21"/>
      <c r="F43" s="29">
        <v>20.616230000000002</v>
      </c>
      <c r="G43" s="462">
        <v>20.616230000000002</v>
      </c>
      <c r="H43" s="161">
        <v>17.26445</v>
      </c>
      <c r="I43" s="29">
        <f>(0.1166*I40 - 0.0755)*3.745</f>
        <v>6.2672575000000004</v>
      </c>
      <c r="J43" s="29">
        <f t="shared" ref="J43:N43" si="34">(0.1166*J40 - 0.0755)*3.745</f>
        <v>7.1405915000000002</v>
      </c>
      <c r="K43" s="29">
        <f t="shared" si="34"/>
        <v>8.0139254999999991</v>
      </c>
      <c r="L43" s="29">
        <f t="shared" si="34"/>
        <v>8.8872595000000008</v>
      </c>
      <c r="M43" s="29">
        <f t="shared" si="34"/>
        <v>9.7605935000000006</v>
      </c>
      <c r="N43" s="29">
        <f t="shared" si="34"/>
        <v>10.6339275</v>
      </c>
      <c r="O43" s="29">
        <f>(0.1166*O40 - 0.0755)*3.745</f>
        <v>10.6339275</v>
      </c>
    </row>
  </sheetData>
  <mergeCells count="3">
    <mergeCell ref="H3:O3"/>
    <mergeCell ref="R3:Y3"/>
    <mergeCell ref="H24:O24"/>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3E471-0D2F-44B5-89D9-5CAB31B4EED1}">
  <sheetPr codeName="Sheet11">
    <tabColor theme="4"/>
  </sheetPr>
  <dimension ref="A1"/>
  <sheetViews>
    <sheetView showGridLines="0" workbookViewId="0"/>
  </sheetViews>
  <sheetFormatPr defaultColWidth="8.81640625" defaultRowHeight="14.5" x14ac:dyDescent="0.35"/>
  <cols>
    <col min="1" max="16384" width="8.81640625" style="5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2DE39-FD33-455B-9761-152221AF3508}">
  <dimension ref="B1:O92"/>
  <sheetViews>
    <sheetView showGridLines="0" topLeftCell="A4" zoomScale="85" zoomScaleNormal="85" workbookViewId="0">
      <pane xSplit="2" ySplit="1" topLeftCell="F5" activePane="bottomRight" state="frozen"/>
      <selection activeCell="A4" sqref="A4"/>
      <selection pane="topRight" activeCell="C4" sqref="C4"/>
      <selection pane="bottomLeft" activeCell="A5" sqref="A5"/>
      <selection pane="bottomRight" activeCell="B36" sqref="B36"/>
    </sheetView>
  </sheetViews>
  <sheetFormatPr defaultColWidth="9.1796875" defaultRowHeight="14.5" outlineLevelRow="1" x14ac:dyDescent="0.35"/>
  <cols>
    <col min="1" max="1" width="3.7265625" style="39" customWidth="1"/>
    <col min="2" max="2" width="41" style="39" customWidth="1"/>
    <col min="3" max="3" width="40.7265625" style="39" customWidth="1"/>
    <col min="4" max="6" width="13.26953125" style="39" customWidth="1"/>
    <col min="7" max="7" width="13.26953125" style="284" customWidth="1"/>
    <col min="8" max="8" width="13.26953125" style="285" customWidth="1"/>
    <col min="9" max="9" width="13.26953125" style="325" customWidth="1"/>
    <col min="10" max="10" width="9.7265625" style="39" customWidth="1"/>
    <col min="11" max="14" width="15.7265625" style="39" customWidth="1"/>
    <col min="15" max="16384" width="9.1796875" style="39"/>
  </cols>
  <sheetData>
    <row r="1" spans="2:14" s="228" customFormat="1" x14ac:dyDescent="0.35">
      <c r="B1" s="225" t="s">
        <v>887</v>
      </c>
      <c r="C1" s="226"/>
      <c r="D1" s="227"/>
      <c r="E1" s="227"/>
      <c r="G1" s="229"/>
      <c r="H1" s="230"/>
      <c r="I1" s="320"/>
      <c r="K1" s="226"/>
      <c r="L1" s="226"/>
      <c r="M1" s="226"/>
      <c r="N1" s="226"/>
    </row>
    <row r="2" spans="2:14" s="228" customFormat="1" ht="15" thickBot="1" x14ac:dyDescent="0.4">
      <c r="B2" s="225" t="s">
        <v>888</v>
      </c>
      <c r="C2" s="226"/>
      <c r="D2" s="227"/>
      <c r="E2" s="227"/>
      <c r="G2" s="229"/>
      <c r="H2" s="230"/>
      <c r="I2" s="320"/>
      <c r="K2" s="226"/>
      <c r="L2" s="226"/>
      <c r="M2" s="226"/>
      <c r="N2" s="226"/>
    </row>
    <row r="3" spans="2:14" s="228" customFormat="1" ht="15" thickBot="1" x14ac:dyDescent="0.4">
      <c r="C3" s="226"/>
      <c r="D3" s="227"/>
      <c r="E3" s="227"/>
      <c r="G3" s="229"/>
      <c r="H3" s="230"/>
      <c r="I3" s="320"/>
      <c r="K3" s="481" t="s">
        <v>889</v>
      </c>
      <c r="L3" s="482"/>
      <c r="M3" s="482"/>
      <c r="N3" s="483"/>
    </row>
    <row r="4" spans="2:14" s="238" customFormat="1" ht="30" customHeight="1" x14ac:dyDescent="0.35">
      <c r="B4" s="231" t="s">
        <v>413</v>
      </c>
      <c r="C4" s="232" t="s">
        <v>890</v>
      </c>
      <c r="D4" s="233" t="s">
        <v>671</v>
      </c>
      <c r="E4" s="233" t="s">
        <v>242</v>
      </c>
      <c r="F4" s="232" t="s">
        <v>232</v>
      </c>
      <c r="G4" s="234" t="s">
        <v>231</v>
      </c>
      <c r="H4" s="235" t="s">
        <v>268</v>
      </c>
      <c r="I4" s="321" t="s">
        <v>270</v>
      </c>
      <c r="J4" s="237"/>
      <c r="K4" s="231" t="s">
        <v>958</v>
      </c>
      <c r="L4" s="232" t="s">
        <v>959</v>
      </c>
      <c r="M4" s="232" t="s">
        <v>960</v>
      </c>
      <c r="N4" s="236" t="s">
        <v>961</v>
      </c>
    </row>
    <row r="5" spans="2:14" s="248" customFormat="1" ht="15" customHeight="1" x14ac:dyDescent="0.35">
      <c r="B5" s="239"/>
      <c r="C5" s="240" t="s">
        <v>891</v>
      </c>
      <c r="D5" s="241"/>
      <c r="E5" s="241"/>
      <c r="F5" s="240"/>
      <c r="G5" s="242"/>
      <c r="H5" s="243"/>
      <c r="I5" s="322"/>
      <c r="J5" s="245"/>
      <c r="K5" s="239"/>
      <c r="L5" s="240"/>
      <c r="M5" s="246" t="s">
        <v>892</v>
      </c>
      <c r="N5" s="247" t="s">
        <v>893</v>
      </c>
    </row>
    <row r="6" spans="2:14" s="228" customFormat="1" ht="15" customHeight="1" x14ac:dyDescent="0.35">
      <c r="B6" s="249" t="s">
        <v>523</v>
      </c>
      <c r="C6" s="240" t="s">
        <v>894</v>
      </c>
      <c r="D6" s="241"/>
      <c r="E6" s="241"/>
      <c r="F6" s="240"/>
      <c r="G6" s="242"/>
      <c r="H6" s="243"/>
      <c r="I6" s="322"/>
      <c r="J6" s="245"/>
      <c r="K6" s="239"/>
      <c r="L6" s="240"/>
      <c r="M6" s="240"/>
      <c r="N6" s="244"/>
    </row>
    <row r="7" spans="2:14" s="228" customFormat="1" ht="15" customHeight="1" x14ac:dyDescent="0.35">
      <c r="B7" s="239" t="s">
        <v>396</v>
      </c>
      <c r="C7" s="240"/>
      <c r="D7" s="443">
        <v>52.77</v>
      </c>
      <c r="E7" s="444">
        <v>57.72</v>
      </c>
      <c r="F7" s="444">
        <v>60.05</v>
      </c>
      <c r="G7" s="441">
        <v>54.73</v>
      </c>
      <c r="H7" s="445">
        <v>52.07</v>
      </c>
      <c r="I7" s="446">
        <v>54.03</v>
      </c>
      <c r="J7" s="245"/>
      <c r="K7" s="239" t="s">
        <v>895</v>
      </c>
      <c r="L7" s="240" t="s">
        <v>896</v>
      </c>
      <c r="M7" s="240" t="s">
        <v>897</v>
      </c>
      <c r="N7" s="244" t="s">
        <v>898</v>
      </c>
    </row>
    <row r="8" spans="2:14" s="228" customFormat="1" ht="15" customHeight="1" x14ac:dyDescent="0.35">
      <c r="B8" s="239" t="s">
        <v>26</v>
      </c>
      <c r="C8" s="240"/>
      <c r="D8" s="443">
        <f>1.11*6</f>
        <v>6.66</v>
      </c>
      <c r="E8" s="444">
        <f>2.38*6</f>
        <v>14.28</v>
      </c>
      <c r="F8" s="444">
        <f>1.9*6</f>
        <v>11.399999999999999</v>
      </c>
      <c r="G8" s="441">
        <f>1.79*6</f>
        <v>10.74</v>
      </c>
      <c r="H8" s="445">
        <f>2.05*6</f>
        <v>12.299999999999999</v>
      </c>
      <c r="I8" s="446">
        <f>1.74*6</f>
        <v>10.44</v>
      </c>
      <c r="J8" s="245"/>
      <c r="K8" s="239" t="s">
        <v>895</v>
      </c>
      <c r="L8" s="240" t="s">
        <v>896</v>
      </c>
      <c r="M8" s="240" t="s">
        <v>897</v>
      </c>
      <c r="N8" s="244" t="s">
        <v>898</v>
      </c>
    </row>
    <row r="9" spans="2:14" s="228" customFormat="1" ht="15" customHeight="1" x14ac:dyDescent="0.35">
      <c r="B9" s="239" t="s">
        <v>25</v>
      </c>
      <c r="C9" s="240"/>
      <c r="D9" s="443">
        <v>13.55</v>
      </c>
      <c r="E9" s="444">
        <v>16.03</v>
      </c>
      <c r="F9" s="444">
        <v>15.74</v>
      </c>
      <c r="G9" s="441">
        <v>15.21</v>
      </c>
      <c r="H9" s="445" t="s">
        <v>899</v>
      </c>
      <c r="I9" s="446" t="s">
        <v>899</v>
      </c>
      <c r="J9" s="245"/>
      <c r="K9" s="239" t="s">
        <v>895</v>
      </c>
      <c r="L9" s="240" t="s">
        <v>896</v>
      </c>
      <c r="M9" s="250" t="s">
        <v>900</v>
      </c>
      <c r="N9" s="244" t="s">
        <v>899</v>
      </c>
    </row>
    <row r="10" spans="2:14" s="228" customFormat="1" ht="15" customHeight="1" x14ac:dyDescent="0.35">
      <c r="B10" s="239" t="s">
        <v>24</v>
      </c>
      <c r="C10" s="240" t="s">
        <v>901</v>
      </c>
      <c r="D10" s="443">
        <f>D7*0.6</f>
        <v>31.661999999999999</v>
      </c>
      <c r="E10" s="453">
        <f>E7*0.6</f>
        <v>34.631999999999998</v>
      </c>
      <c r="F10" s="453">
        <f>F7*0.6</f>
        <v>36.029999999999994</v>
      </c>
      <c r="G10" s="454">
        <f>G7*0.6</f>
        <v>32.837999999999994</v>
      </c>
      <c r="H10" s="445">
        <f>0.6*H7</f>
        <v>31.241999999999997</v>
      </c>
      <c r="I10" s="446">
        <f>0.6*I7</f>
        <v>32.417999999999999</v>
      </c>
      <c r="J10" s="245"/>
      <c r="K10" s="239" t="s">
        <v>899</v>
      </c>
      <c r="L10" s="240" t="s">
        <v>899</v>
      </c>
      <c r="M10" s="240" t="s">
        <v>900</v>
      </c>
      <c r="N10" s="244" t="s">
        <v>899</v>
      </c>
    </row>
    <row r="11" spans="2:14" s="228" customFormat="1" ht="15" customHeight="1" x14ac:dyDescent="0.35">
      <c r="B11" s="239"/>
      <c r="C11" s="240"/>
      <c r="D11" s="447"/>
      <c r="E11" s="447"/>
      <c r="F11" s="447"/>
      <c r="G11" s="448"/>
      <c r="H11" s="449"/>
      <c r="I11" s="446"/>
      <c r="J11" s="245"/>
      <c r="K11" s="239" t="s">
        <v>899</v>
      </c>
      <c r="L11" s="240" t="s">
        <v>899</v>
      </c>
      <c r="M11" s="250" t="s">
        <v>900</v>
      </c>
      <c r="N11" s="244" t="s">
        <v>899</v>
      </c>
    </row>
    <row r="12" spans="2:14" s="228" customFormat="1" ht="15" customHeight="1" x14ac:dyDescent="0.35">
      <c r="B12" s="249" t="s">
        <v>472</v>
      </c>
      <c r="C12" s="240" t="s">
        <v>902</v>
      </c>
      <c r="D12" s="447"/>
      <c r="E12" s="447"/>
      <c r="F12" s="447"/>
      <c r="G12" s="448"/>
      <c r="H12" s="449"/>
      <c r="I12" s="446"/>
      <c r="J12" s="245"/>
      <c r="K12" s="239" t="s">
        <v>899</v>
      </c>
      <c r="L12" s="240" t="s">
        <v>899</v>
      </c>
      <c r="M12" s="240" t="s">
        <v>900</v>
      </c>
      <c r="N12" s="244" t="s">
        <v>899</v>
      </c>
    </row>
    <row r="13" spans="2:14" s="251" customFormat="1" ht="15" customHeight="1" x14ac:dyDescent="0.35">
      <c r="B13" s="239" t="s">
        <v>461</v>
      </c>
      <c r="C13" s="240" t="s">
        <v>903</v>
      </c>
      <c r="D13" s="450">
        <f>2321921/4</f>
        <v>580480.25</v>
      </c>
      <c r="E13" s="451">
        <f>(9612532+784818+1184095)/4</f>
        <v>2895361.25</v>
      </c>
      <c r="F13" s="451">
        <f>(5230+678+407)/4*1000</f>
        <v>1578750</v>
      </c>
      <c r="G13" s="442">
        <f>3355/4*1000</f>
        <v>838750</v>
      </c>
      <c r="H13" s="442">
        <f>4514389/4</f>
        <v>1128597.25</v>
      </c>
      <c r="I13" s="452">
        <f>(4126+466)/4*1000</f>
        <v>1148000</v>
      </c>
      <c r="J13" s="245"/>
      <c r="K13" s="239" t="s">
        <v>904</v>
      </c>
      <c r="L13" s="240" t="s">
        <v>905</v>
      </c>
      <c r="M13" s="240" t="s">
        <v>906</v>
      </c>
      <c r="N13" s="244" t="s">
        <v>907</v>
      </c>
    </row>
    <row r="14" spans="2:14" s="251" customFormat="1" ht="15" customHeight="1" x14ac:dyDescent="0.35">
      <c r="B14" s="239" t="s">
        <v>462</v>
      </c>
      <c r="C14" s="240" t="s">
        <v>903</v>
      </c>
      <c r="D14" s="450">
        <f>41048/4</f>
        <v>10262</v>
      </c>
      <c r="E14" s="451">
        <f>(5360282+123613+134358)/4</f>
        <v>1404563.25</v>
      </c>
      <c r="F14" s="451">
        <f>(43+53)/4*1000</f>
        <v>24000</v>
      </c>
      <c r="G14" s="442">
        <f>2865/4*1000</f>
        <v>716250</v>
      </c>
      <c r="H14" s="442">
        <f>(49083+68475)/4</f>
        <v>29389.5</v>
      </c>
      <c r="I14" s="452" t="s">
        <v>899</v>
      </c>
      <c r="J14" s="245"/>
      <c r="K14" s="239" t="s">
        <v>904</v>
      </c>
      <c r="L14" s="240" t="s">
        <v>905</v>
      </c>
      <c r="M14" s="240" t="s">
        <v>908</v>
      </c>
      <c r="N14" s="244" t="s">
        <v>899</v>
      </c>
    </row>
    <row r="15" spans="2:14" s="257" customFormat="1" ht="15" customHeight="1" x14ac:dyDescent="0.35">
      <c r="B15" s="252" t="s">
        <v>395</v>
      </c>
      <c r="C15" s="253" t="s">
        <v>909</v>
      </c>
      <c r="D15" s="424">
        <f>SUM(D13:D14)</f>
        <v>590742.25</v>
      </c>
      <c r="E15" s="424">
        <f>SUM(E13:E14)</f>
        <v>4299924.5</v>
      </c>
      <c r="F15" s="424">
        <f>SUM(F13:F14)</f>
        <v>1602750</v>
      </c>
      <c r="G15" s="425">
        <f>SUM(G13:G14)</f>
        <v>1555000</v>
      </c>
      <c r="H15" s="425">
        <f t="shared" ref="H15:I15" si="0">SUM(H13:H14)</f>
        <v>1157986.75</v>
      </c>
      <c r="I15" s="426">
        <f t="shared" si="0"/>
        <v>1148000</v>
      </c>
      <c r="J15" s="254"/>
      <c r="K15" s="255" t="s">
        <v>899</v>
      </c>
      <c r="L15" s="253" t="s">
        <v>899</v>
      </c>
      <c r="M15" s="253" t="s">
        <v>900</v>
      </c>
      <c r="N15" s="256" t="s">
        <v>899</v>
      </c>
    </row>
    <row r="16" spans="2:14" s="228" customFormat="1" ht="5.15" customHeight="1" x14ac:dyDescent="0.35">
      <c r="B16" s="239"/>
      <c r="C16" s="240"/>
      <c r="D16" s="422"/>
      <c r="E16" s="422"/>
      <c r="F16" s="422"/>
      <c r="G16" s="427"/>
      <c r="H16" s="427"/>
      <c r="I16" s="423"/>
      <c r="J16" s="245"/>
      <c r="K16" s="239" t="s">
        <v>899</v>
      </c>
      <c r="L16" s="240" t="s">
        <v>899</v>
      </c>
      <c r="M16" s="240" t="s">
        <v>900</v>
      </c>
      <c r="N16" s="244" t="s">
        <v>899</v>
      </c>
    </row>
    <row r="17" spans="2:14" s="228" customFormat="1" ht="15" customHeight="1" x14ac:dyDescent="0.35">
      <c r="B17" s="249" t="s">
        <v>473</v>
      </c>
      <c r="C17" s="240" t="s">
        <v>902</v>
      </c>
      <c r="D17" s="422"/>
      <c r="E17" s="422"/>
      <c r="F17" s="422"/>
      <c r="G17" s="427"/>
      <c r="H17" s="427"/>
      <c r="I17" s="423"/>
      <c r="J17" s="245"/>
      <c r="K17" s="239" t="s">
        <v>899</v>
      </c>
      <c r="L17" s="240" t="s">
        <v>899</v>
      </c>
      <c r="M17" s="240" t="s">
        <v>900</v>
      </c>
      <c r="N17" s="244" t="s">
        <v>899</v>
      </c>
    </row>
    <row r="18" spans="2:14" s="228" customFormat="1" ht="15" customHeight="1" x14ac:dyDescent="0.35">
      <c r="B18" s="239" t="s">
        <v>463</v>
      </c>
      <c r="C18" s="240"/>
      <c r="D18" s="450">
        <f>618693/4</f>
        <v>154673.25</v>
      </c>
      <c r="E18" s="451">
        <f>517896/4</f>
        <v>129474</v>
      </c>
      <c r="F18" s="450">
        <f>2949/4*1000</f>
        <v>737250</v>
      </c>
      <c r="G18" s="455">
        <v>0</v>
      </c>
      <c r="H18" s="455">
        <f>86.202/4*1000</f>
        <v>21550.5</v>
      </c>
      <c r="I18" s="423">
        <f>((890+282)/4)*1000</f>
        <v>293000</v>
      </c>
      <c r="J18" s="245"/>
      <c r="K18" s="239" t="s">
        <v>904</v>
      </c>
      <c r="L18" s="240" t="s">
        <v>899</v>
      </c>
      <c r="M18" s="240" t="s">
        <v>906</v>
      </c>
      <c r="N18" s="244" t="s">
        <v>907</v>
      </c>
    </row>
    <row r="19" spans="2:14" s="228" customFormat="1" ht="15" customHeight="1" x14ac:dyDescent="0.35">
      <c r="B19" s="239" t="s">
        <v>464</v>
      </c>
      <c r="C19" s="240"/>
      <c r="D19" s="450">
        <f>882173/4</f>
        <v>220543.25</v>
      </c>
      <c r="E19" s="451">
        <f>3749704/4</f>
        <v>937426</v>
      </c>
      <c r="F19" s="450">
        <f>2680*1000/4</f>
        <v>670000</v>
      </c>
      <c r="G19" s="455">
        <f>1497/4*1000</f>
        <v>374250</v>
      </c>
      <c r="H19" s="455">
        <f>2017.383/4*1000</f>
        <v>504345.75</v>
      </c>
      <c r="I19" s="423">
        <f>1964/4*1000</f>
        <v>491000</v>
      </c>
      <c r="J19" s="245"/>
      <c r="K19" s="239" t="s">
        <v>904</v>
      </c>
      <c r="L19" s="240" t="s">
        <v>905</v>
      </c>
      <c r="M19" s="250" t="s">
        <v>906</v>
      </c>
      <c r="N19" s="244" t="s">
        <v>907</v>
      </c>
    </row>
    <row r="20" spans="2:14" s="228" customFormat="1" ht="15" customHeight="1" x14ac:dyDescent="0.35">
      <c r="B20" s="239" t="s">
        <v>465</v>
      </c>
      <c r="C20" s="240"/>
      <c r="D20" s="450">
        <f>8586/4</f>
        <v>2146.5</v>
      </c>
      <c r="E20" s="451">
        <v>0</v>
      </c>
      <c r="F20" s="450">
        <f>107*1000/4</f>
        <v>26750</v>
      </c>
      <c r="G20" s="455">
        <f>-48/4*1000</f>
        <v>-12000</v>
      </c>
      <c r="H20" s="455">
        <v>0</v>
      </c>
      <c r="I20" s="423">
        <f>2.5*1000</f>
        <v>2500</v>
      </c>
      <c r="J20" s="245"/>
      <c r="K20" s="239" t="s">
        <v>904</v>
      </c>
      <c r="L20" s="240" t="s">
        <v>899</v>
      </c>
      <c r="M20" s="250" t="s">
        <v>900</v>
      </c>
      <c r="N20" s="244" t="s">
        <v>907</v>
      </c>
    </row>
    <row r="21" spans="2:14" s="228" customFormat="1" ht="15" customHeight="1" x14ac:dyDescent="0.35">
      <c r="B21" s="239" t="s">
        <v>505</v>
      </c>
      <c r="C21" s="240"/>
      <c r="D21" s="450">
        <f>26398/4</f>
        <v>6599.5</v>
      </c>
      <c r="E21" s="451">
        <f>0/4</f>
        <v>0</v>
      </c>
      <c r="F21" s="450">
        <f>0/4</f>
        <v>0</v>
      </c>
      <c r="G21" s="455">
        <v>0</v>
      </c>
      <c r="H21" s="455">
        <v>0</v>
      </c>
      <c r="I21" s="423">
        <v>0</v>
      </c>
      <c r="J21" s="245"/>
      <c r="K21" s="239" t="s">
        <v>899</v>
      </c>
      <c r="L21" s="240" t="s">
        <v>899</v>
      </c>
      <c r="M21" s="250" t="s">
        <v>900</v>
      </c>
      <c r="N21" s="244" t="s">
        <v>899</v>
      </c>
    </row>
    <row r="22" spans="2:14" s="228" customFormat="1" ht="15" customHeight="1" x14ac:dyDescent="0.35">
      <c r="B22" s="239" t="s">
        <v>467</v>
      </c>
      <c r="C22" s="240"/>
      <c r="D22" s="450">
        <f>148953/4</f>
        <v>37238.25</v>
      </c>
      <c r="E22" s="451">
        <f>800164/4</f>
        <v>200041</v>
      </c>
      <c r="F22" s="450">
        <f>207*1000/4</f>
        <v>51750</v>
      </c>
      <c r="G22" s="455">
        <v>0</v>
      </c>
      <c r="H22" s="455">
        <f>357.988/4*1000</f>
        <v>89497</v>
      </c>
      <c r="I22" s="423">
        <f>349/4*1000</f>
        <v>87250</v>
      </c>
      <c r="J22" s="245"/>
      <c r="K22" s="239" t="s">
        <v>904</v>
      </c>
      <c r="L22" s="240" t="s">
        <v>899</v>
      </c>
      <c r="M22" s="250" t="s">
        <v>906</v>
      </c>
      <c r="N22" s="244" t="s">
        <v>907</v>
      </c>
    </row>
    <row r="23" spans="2:14" s="228" customFormat="1" ht="15" customHeight="1" x14ac:dyDescent="0.35">
      <c r="B23" s="239" t="s">
        <v>468</v>
      </c>
      <c r="C23" s="240"/>
      <c r="D23" s="450">
        <f>339941/4</f>
        <v>84985.25</v>
      </c>
      <c r="E23" s="451">
        <f>1366993/4</f>
        <v>341748.25</v>
      </c>
      <c r="F23" s="450">
        <f>1447*1000/4</f>
        <v>361750</v>
      </c>
      <c r="G23" s="455">
        <v>0</v>
      </c>
      <c r="H23" s="455">
        <v>0</v>
      </c>
      <c r="I23" s="423">
        <v>0</v>
      </c>
      <c r="J23" s="245"/>
      <c r="K23" s="239" t="s">
        <v>904</v>
      </c>
      <c r="L23" s="240" t="s">
        <v>905</v>
      </c>
      <c r="M23" s="250" t="s">
        <v>908</v>
      </c>
      <c r="N23" s="244" t="s">
        <v>899</v>
      </c>
    </row>
    <row r="24" spans="2:14" s="228" customFormat="1" ht="15" customHeight="1" x14ac:dyDescent="0.35">
      <c r="B24" s="239" t="s">
        <v>469</v>
      </c>
      <c r="C24" s="240"/>
      <c r="D24" s="450">
        <f>(238259+23294)/4</f>
        <v>65388.25</v>
      </c>
      <c r="E24" s="451">
        <f>(758300+479102)/4</f>
        <v>309350.5</v>
      </c>
      <c r="F24" s="450">
        <f>(306)*1000/4</f>
        <v>76500</v>
      </c>
      <c r="G24" s="455">
        <f>(1197+84)/4*1000</f>
        <v>320250</v>
      </c>
      <c r="H24" s="455">
        <f>(225.649+444.649+33.23)/4*1000</f>
        <v>175882</v>
      </c>
      <c r="I24" s="423">
        <f>28.75*1000</f>
        <v>28750</v>
      </c>
      <c r="J24" s="245"/>
      <c r="K24" s="239" t="s">
        <v>904</v>
      </c>
      <c r="L24" s="240" t="s">
        <v>899</v>
      </c>
      <c r="M24" s="250" t="s">
        <v>906</v>
      </c>
      <c r="N24" s="244" t="s">
        <v>907</v>
      </c>
    </row>
    <row r="25" spans="2:14" s="228" customFormat="1" ht="15" customHeight="1" x14ac:dyDescent="0.35">
      <c r="B25" s="239" t="s">
        <v>470</v>
      </c>
      <c r="C25" s="240"/>
      <c r="D25" s="450">
        <f>95843/4</f>
        <v>23960.75</v>
      </c>
      <c r="E25" s="451">
        <f>(489397)/4</f>
        <v>122349.25</v>
      </c>
      <c r="F25" s="450">
        <f>406*1000/4</f>
        <v>101500</v>
      </c>
      <c r="G25" s="455">
        <f>475/4*1000</f>
        <v>118750</v>
      </c>
      <c r="H25" s="455">
        <f>195.302/4*1000</f>
        <v>48825.5</v>
      </c>
      <c r="I25" s="423">
        <f>326/4*1000</f>
        <v>81500</v>
      </c>
      <c r="J25" s="245"/>
      <c r="K25" s="239" t="s">
        <v>904</v>
      </c>
      <c r="L25" s="240" t="s">
        <v>905</v>
      </c>
      <c r="M25" s="250" t="s">
        <v>906</v>
      </c>
      <c r="N25" s="244" t="s">
        <v>907</v>
      </c>
    </row>
    <row r="26" spans="2:14" s="261" customFormat="1" ht="15" customHeight="1" outlineLevel="1" x14ac:dyDescent="0.35">
      <c r="B26" s="258" t="s">
        <v>561</v>
      </c>
      <c r="C26" s="250"/>
      <c r="D26" s="450">
        <v>0</v>
      </c>
      <c r="E26" s="451">
        <f>(28001+139881)/4</f>
        <v>41970.5</v>
      </c>
      <c r="F26" s="450">
        <f>805*1000/4</f>
        <v>201250</v>
      </c>
      <c r="G26" s="455">
        <f>58/4*1000</f>
        <v>14500</v>
      </c>
      <c r="H26" s="455">
        <f>14.667/4*1000</f>
        <v>3666.75</v>
      </c>
      <c r="I26" s="430">
        <f>50.25*1000</f>
        <v>50250</v>
      </c>
      <c r="J26" s="259"/>
      <c r="K26" s="258" t="s">
        <v>904</v>
      </c>
      <c r="L26" s="250" t="s">
        <v>905</v>
      </c>
      <c r="M26" s="250" t="s">
        <v>906</v>
      </c>
      <c r="N26" s="260" t="s">
        <v>907</v>
      </c>
    </row>
    <row r="27" spans="2:14" s="228" customFormat="1" ht="15" customHeight="1" outlineLevel="1" x14ac:dyDescent="0.35">
      <c r="B27" s="239" t="s">
        <v>471</v>
      </c>
      <c r="C27" s="240"/>
      <c r="D27" s="450">
        <f>19305/4</f>
        <v>4826.25</v>
      </c>
      <c r="E27" s="450">
        <f>(5351524)/4</f>
        <v>1337881</v>
      </c>
      <c r="F27" s="450">
        <f>50*1000/4</f>
        <v>12500</v>
      </c>
      <c r="G27" s="455">
        <f>(2812+250-260+4)/4*1000</f>
        <v>701500</v>
      </c>
      <c r="H27" s="455">
        <f>-535/4</f>
        <v>-133.75</v>
      </c>
      <c r="I27" s="427">
        <f>250-42500+179000+223750</f>
        <v>360500</v>
      </c>
      <c r="J27" s="245"/>
      <c r="K27" s="239" t="s">
        <v>899</v>
      </c>
      <c r="L27" s="240" t="s">
        <v>899</v>
      </c>
      <c r="M27" s="250" t="s">
        <v>906</v>
      </c>
      <c r="N27" s="244" t="s">
        <v>907</v>
      </c>
    </row>
    <row r="28" spans="2:14" s="228" customFormat="1" ht="15" customHeight="1" outlineLevel="1" x14ac:dyDescent="0.35">
      <c r="B28" s="252" t="s">
        <v>474</v>
      </c>
      <c r="C28" s="253" t="s">
        <v>917</v>
      </c>
      <c r="D28" s="424">
        <f>SUM(D18:D27)</f>
        <v>600361.25</v>
      </c>
      <c r="E28" s="424">
        <f>SUM(E18:E27)</f>
        <v>3420240.5</v>
      </c>
      <c r="F28" s="425">
        <f>SUM(F18:F27)</f>
        <v>2239250</v>
      </c>
      <c r="G28" s="425">
        <f>SUM(G18:G27)</f>
        <v>1517250</v>
      </c>
      <c r="H28" s="425">
        <f t="shared" ref="H28:I28" si="1">SUM(H18:H27)</f>
        <v>843633.75</v>
      </c>
      <c r="I28" s="425">
        <f t="shared" si="1"/>
        <v>1394750</v>
      </c>
      <c r="J28" s="254"/>
      <c r="K28" s="255" t="s">
        <v>899</v>
      </c>
      <c r="L28" s="253" t="s">
        <v>899</v>
      </c>
      <c r="M28" s="253" t="s">
        <v>900</v>
      </c>
      <c r="N28" s="256" t="s">
        <v>899</v>
      </c>
    </row>
    <row r="29" spans="2:14" s="228" customFormat="1" ht="15" customHeight="1" outlineLevel="1" x14ac:dyDescent="0.35">
      <c r="B29" s="239"/>
      <c r="C29" s="240"/>
      <c r="D29" s="422"/>
      <c r="E29" s="422"/>
      <c r="F29" s="422"/>
      <c r="G29" s="427"/>
      <c r="H29" s="427"/>
      <c r="I29" s="423"/>
      <c r="J29" s="245"/>
      <c r="K29" s="239" t="s">
        <v>899</v>
      </c>
      <c r="L29" s="240" t="s">
        <v>899</v>
      </c>
      <c r="M29" s="250" t="s">
        <v>900</v>
      </c>
      <c r="N29" s="244" t="s">
        <v>899</v>
      </c>
    </row>
    <row r="30" spans="2:14" s="228" customFormat="1" ht="15" customHeight="1" outlineLevel="1" x14ac:dyDescent="0.35">
      <c r="B30" s="249" t="s">
        <v>506</v>
      </c>
      <c r="C30" s="240" t="s">
        <v>902</v>
      </c>
      <c r="D30" s="422"/>
      <c r="E30" s="422"/>
      <c r="F30" s="422"/>
      <c r="G30" s="427"/>
      <c r="H30" s="427"/>
      <c r="I30" s="423"/>
      <c r="J30" s="245"/>
      <c r="K30" s="239" t="s">
        <v>899</v>
      </c>
      <c r="L30" s="240" t="s">
        <v>899</v>
      </c>
      <c r="M30" s="240" t="s">
        <v>900</v>
      </c>
      <c r="N30" s="244" t="s">
        <v>899</v>
      </c>
    </row>
    <row r="31" spans="2:14" s="228" customFormat="1" ht="15" customHeight="1" outlineLevel="1" x14ac:dyDescent="0.35">
      <c r="B31" s="239" t="s">
        <v>466</v>
      </c>
      <c r="C31" s="240"/>
      <c r="D31" s="422">
        <f>76850/4</f>
        <v>19212.5</v>
      </c>
      <c r="E31" s="422">
        <f>-180275/4</f>
        <v>-45068.75</v>
      </c>
      <c r="F31" s="422">
        <v>0</v>
      </c>
      <c r="G31" s="427">
        <v>0</v>
      </c>
      <c r="H31" s="427" t="s">
        <v>899</v>
      </c>
      <c r="I31" s="423" t="s">
        <v>899</v>
      </c>
      <c r="J31" s="245"/>
      <c r="K31" s="239" t="s">
        <v>899</v>
      </c>
      <c r="L31" s="240" t="s">
        <v>899</v>
      </c>
      <c r="M31" s="240" t="s">
        <v>900</v>
      </c>
      <c r="N31" s="244" t="s">
        <v>899</v>
      </c>
    </row>
    <row r="32" spans="2:14" s="228" customFormat="1" ht="15" customHeight="1" outlineLevel="1" x14ac:dyDescent="0.35">
      <c r="B32" s="239" t="s">
        <v>475</v>
      </c>
      <c r="C32" s="240"/>
      <c r="D32" s="422">
        <f>93386/4</f>
        <v>23346.5</v>
      </c>
      <c r="E32" s="422">
        <f>185129/4</f>
        <v>46282.25</v>
      </c>
      <c r="F32" s="422">
        <f>430*1000/4</f>
        <v>107500</v>
      </c>
      <c r="G32" s="427">
        <f>260/4*1000</f>
        <v>65000</v>
      </c>
      <c r="H32" s="427">
        <f>269.379/4*1000</f>
        <v>67344.75</v>
      </c>
      <c r="I32" s="423">
        <f>185/4*1000</f>
        <v>46250</v>
      </c>
      <c r="J32" s="245"/>
      <c r="K32" s="239" t="s">
        <v>899</v>
      </c>
      <c r="L32" s="240" t="s">
        <v>899</v>
      </c>
      <c r="M32" s="240" t="s">
        <v>906</v>
      </c>
      <c r="N32" s="244" t="s">
        <v>907</v>
      </c>
    </row>
    <row r="33" spans="2:14" s="228" customFormat="1" ht="15" customHeight="1" outlineLevel="1" x14ac:dyDescent="0.35">
      <c r="B33" s="239" t="s">
        <v>508</v>
      </c>
      <c r="C33" s="240"/>
      <c r="D33" s="422">
        <f>(-56232+4250-5741)/4</f>
        <v>-14430.75</v>
      </c>
      <c r="E33" s="422">
        <f>(-31385)/4</f>
        <v>-7846.25</v>
      </c>
      <c r="F33" s="422">
        <f>(462-430)*1000/4</f>
        <v>8000</v>
      </c>
      <c r="G33" s="427">
        <f>274/4*1000</f>
        <v>68500</v>
      </c>
      <c r="H33" s="427">
        <f>-(3713-(4584))/4</f>
        <v>217.75</v>
      </c>
      <c r="I33" s="423">
        <f>-313/4*1000</f>
        <v>-78250</v>
      </c>
      <c r="J33" s="245"/>
      <c r="K33" s="239" t="s">
        <v>899</v>
      </c>
      <c r="L33" s="240" t="s">
        <v>899</v>
      </c>
      <c r="M33" s="240" t="s">
        <v>906</v>
      </c>
      <c r="N33" s="244" t="s">
        <v>907</v>
      </c>
    </row>
    <row r="34" spans="2:14" s="228" customFormat="1" ht="15" customHeight="1" x14ac:dyDescent="0.35">
      <c r="B34" s="252" t="s">
        <v>518</v>
      </c>
      <c r="C34" s="253" t="s">
        <v>917</v>
      </c>
      <c r="D34" s="424">
        <f>SUM(D31:D33)</f>
        <v>28128.25</v>
      </c>
      <c r="E34" s="424">
        <f>SUM(E31:E33)</f>
        <v>-6632.75</v>
      </c>
      <c r="F34" s="424">
        <f>SUM(F31:F33)</f>
        <v>115500</v>
      </c>
      <c r="G34" s="424">
        <f>SUM(G31:G33)</f>
        <v>133500</v>
      </c>
      <c r="H34" s="425">
        <f>SUM(H31:H33)</f>
        <v>67562.5</v>
      </c>
      <c r="I34" s="426">
        <f t="shared" ref="I34" si="2">SUM(I31:I33)</f>
        <v>-32000</v>
      </c>
      <c r="J34" s="254"/>
      <c r="K34" s="255" t="s">
        <v>899</v>
      </c>
      <c r="L34" s="253" t="s">
        <v>899</v>
      </c>
      <c r="M34" s="253" t="s">
        <v>906</v>
      </c>
      <c r="N34" s="256" t="s">
        <v>907</v>
      </c>
    </row>
    <row r="35" spans="2:14" s="262" customFormat="1" ht="15" customHeight="1" x14ac:dyDescent="0.35">
      <c r="B35" s="239" t="s">
        <v>477</v>
      </c>
      <c r="C35" s="240"/>
      <c r="D35" s="422">
        <f>-26370/4</f>
        <v>-6592.5</v>
      </c>
      <c r="E35" s="422">
        <f>810357/4</f>
        <v>202589.25</v>
      </c>
      <c r="F35" s="422">
        <f>(660+14)*1000/4</f>
        <v>168500</v>
      </c>
      <c r="G35" s="427">
        <f>-30/4*1000</f>
        <v>-7500</v>
      </c>
      <c r="H35" s="427">
        <f>212689/4</f>
        <v>53172.25</v>
      </c>
      <c r="I35" s="423">
        <f>-154/4*1000</f>
        <v>-38500</v>
      </c>
      <c r="J35" s="245"/>
      <c r="K35" s="239" t="s">
        <v>899</v>
      </c>
      <c r="L35" s="240" t="s">
        <v>905</v>
      </c>
      <c r="M35" s="240" t="s">
        <v>906</v>
      </c>
      <c r="N35" s="244" t="s">
        <v>907</v>
      </c>
    </row>
    <row r="36" spans="2:14" s="251" customFormat="1" ht="15" customHeight="1" x14ac:dyDescent="0.35">
      <c r="B36" s="252" t="s">
        <v>478</v>
      </c>
      <c r="C36" s="253" t="s">
        <v>921</v>
      </c>
      <c r="D36" s="424">
        <f t="shared" ref="D36:I36" si="3">D15-D28-D34-D35</f>
        <v>-31154.75</v>
      </c>
      <c r="E36" s="424">
        <f t="shared" si="3"/>
        <v>683727.5</v>
      </c>
      <c r="F36" s="424">
        <f t="shared" si="3"/>
        <v>-920500</v>
      </c>
      <c r="G36" s="424">
        <f t="shared" si="3"/>
        <v>-88250</v>
      </c>
      <c r="H36" s="425">
        <f t="shared" si="3"/>
        <v>193618.25</v>
      </c>
      <c r="I36" s="426">
        <f t="shared" si="3"/>
        <v>-176250</v>
      </c>
      <c r="J36" s="254"/>
      <c r="K36" s="239" t="s">
        <v>899</v>
      </c>
      <c r="L36" s="253" t="s">
        <v>900</v>
      </c>
      <c r="M36" s="253" t="s">
        <v>900</v>
      </c>
      <c r="N36" s="256" t="s">
        <v>899</v>
      </c>
    </row>
    <row r="37" spans="2:14" s="251" customFormat="1" ht="15.5" customHeight="1" x14ac:dyDescent="0.35">
      <c r="B37" s="239"/>
      <c r="C37" s="240"/>
      <c r="D37" s="422"/>
      <c r="E37" s="422"/>
      <c r="F37" s="422"/>
      <c r="G37" s="427"/>
      <c r="H37" s="427"/>
      <c r="I37" s="423"/>
      <c r="J37" s="245"/>
      <c r="K37" s="239" t="s">
        <v>899</v>
      </c>
      <c r="L37" s="240" t="s">
        <v>899</v>
      </c>
      <c r="M37" s="250" t="s">
        <v>900</v>
      </c>
      <c r="N37" s="244" t="s">
        <v>899</v>
      </c>
    </row>
    <row r="38" spans="2:14" s="257" customFormat="1" ht="15" customHeight="1" x14ac:dyDescent="0.35">
      <c r="B38" s="249" t="s">
        <v>479</v>
      </c>
      <c r="C38" s="240" t="s">
        <v>922</v>
      </c>
      <c r="D38" s="422"/>
      <c r="E38" s="422"/>
      <c r="F38" s="422"/>
      <c r="G38" s="427"/>
      <c r="H38" s="427"/>
      <c r="I38" s="423"/>
      <c r="J38" s="245"/>
      <c r="K38" s="239" t="s">
        <v>899</v>
      </c>
      <c r="L38" s="240" t="s">
        <v>899</v>
      </c>
      <c r="M38" s="240" t="s">
        <v>900</v>
      </c>
      <c r="N38" s="244" t="s">
        <v>899</v>
      </c>
    </row>
    <row r="39" spans="2:14" s="251" customFormat="1" ht="15" customHeight="1" x14ac:dyDescent="0.35">
      <c r="B39" s="239" t="s">
        <v>480</v>
      </c>
      <c r="C39" s="240"/>
      <c r="D39" s="422">
        <v>94722</v>
      </c>
      <c r="E39" s="422">
        <v>2027972</v>
      </c>
      <c r="F39" s="422">
        <v>247000</v>
      </c>
      <c r="G39" s="427">
        <f>1464*1000</f>
        <v>1464000</v>
      </c>
      <c r="H39" s="427">
        <f>39.4*1000</f>
        <v>39400</v>
      </c>
      <c r="I39" s="423">
        <f>70*1000</f>
        <v>70000</v>
      </c>
      <c r="J39" s="245"/>
      <c r="K39" s="239" t="s">
        <v>923</v>
      </c>
      <c r="L39" s="240" t="s">
        <v>924</v>
      </c>
      <c r="M39" s="240" t="s">
        <v>925</v>
      </c>
      <c r="N39" s="244" t="s">
        <v>926</v>
      </c>
    </row>
    <row r="40" spans="2:14" s="251" customFormat="1" ht="15" customHeight="1" outlineLevel="1" x14ac:dyDescent="0.35">
      <c r="B40" s="239" t="s">
        <v>481</v>
      </c>
      <c r="C40" s="240"/>
      <c r="D40" s="422"/>
      <c r="E40" s="422"/>
      <c r="F40" s="422"/>
      <c r="G40" s="427"/>
      <c r="H40" s="427"/>
      <c r="I40" s="423"/>
      <c r="J40" s="245"/>
      <c r="K40" s="239" t="s">
        <v>923</v>
      </c>
      <c r="L40" s="240" t="s">
        <v>924</v>
      </c>
      <c r="M40" s="240" t="s">
        <v>900</v>
      </c>
      <c r="N40" s="244" t="s">
        <v>899</v>
      </c>
    </row>
    <row r="41" spans="2:14" s="251" customFormat="1" ht="15" customHeight="1" outlineLevel="1" x14ac:dyDescent="0.35">
      <c r="B41" s="239" t="s">
        <v>482</v>
      </c>
      <c r="C41" s="240"/>
      <c r="D41" s="422">
        <v>384707</v>
      </c>
      <c r="E41" s="422">
        <v>2001658</v>
      </c>
      <c r="F41" s="422">
        <v>1062000</v>
      </c>
      <c r="G41" s="427">
        <f>832*1000</f>
        <v>832000</v>
      </c>
      <c r="H41" s="427">
        <f>726.876*1000</f>
        <v>726876</v>
      </c>
      <c r="I41" s="423">
        <f>584*1000</f>
        <v>584000</v>
      </c>
      <c r="J41" s="245"/>
      <c r="K41" s="239" t="s">
        <v>899</v>
      </c>
      <c r="L41" s="240" t="s">
        <v>899</v>
      </c>
      <c r="M41" s="250" t="s">
        <v>925</v>
      </c>
      <c r="N41" s="244" t="s">
        <v>926</v>
      </c>
    </row>
    <row r="42" spans="2:14" s="251" customFormat="1" ht="15" customHeight="1" outlineLevel="1" x14ac:dyDescent="0.35">
      <c r="B42" s="239" t="s">
        <v>569</v>
      </c>
      <c r="C42" s="240"/>
      <c r="D42" s="422">
        <v>63877</v>
      </c>
      <c r="E42" s="422">
        <v>0</v>
      </c>
      <c r="F42" s="422">
        <v>0</v>
      </c>
      <c r="G42" s="427">
        <v>0</v>
      </c>
      <c r="H42" s="427">
        <f>314.611*1000</f>
        <v>314611</v>
      </c>
      <c r="I42" s="423">
        <f>304*1000</f>
        <v>304000</v>
      </c>
      <c r="J42" s="245"/>
      <c r="K42" s="239" t="s">
        <v>899</v>
      </c>
      <c r="L42" s="240" t="s">
        <v>899</v>
      </c>
      <c r="M42" s="250" t="s">
        <v>925</v>
      </c>
      <c r="N42" s="244" t="s">
        <v>926</v>
      </c>
    </row>
    <row r="43" spans="2:14" s="257" customFormat="1" ht="15" customHeight="1" x14ac:dyDescent="0.35">
      <c r="B43" s="239" t="s">
        <v>484</v>
      </c>
      <c r="C43" s="240"/>
      <c r="D43" s="422">
        <v>47893</v>
      </c>
      <c r="E43" s="422">
        <v>767297</v>
      </c>
      <c r="F43" s="422">
        <v>0</v>
      </c>
      <c r="G43" s="427">
        <v>0</v>
      </c>
      <c r="H43" s="427">
        <f>109.536*1000</f>
        <v>109536</v>
      </c>
      <c r="I43" s="423">
        <f>30*1000</f>
        <v>30000</v>
      </c>
      <c r="J43" s="245"/>
      <c r="K43" s="239" t="s">
        <v>899</v>
      </c>
      <c r="L43" s="240" t="s">
        <v>899</v>
      </c>
      <c r="M43" s="250" t="s">
        <v>925</v>
      </c>
      <c r="N43" s="244" t="s">
        <v>926</v>
      </c>
    </row>
    <row r="44" spans="2:14" s="228" customFormat="1" ht="14.5" customHeight="1" x14ac:dyDescent="0.35">
      <c r="B44" s="239" t="s">
        <v>813</v>
      </c>
      <c r="C44" s="240"/>
      <c r="D44" s="422">
        <v>17944</v>
      </c>
      <c r="E44" s="422">
        <v>0</v>
      </c>
      <c r="F44" s="422">
        <v>0</v>
      </c>
      <c r="G44" s="427">
        <v>0</v>
      </c>
      <c r="H44" s="427">
        <v>0</v>
      </c>
      <c r="I44" s="423">
        <f>6*1000</f>
        <v>6000</v>
      </c>
      <c r="J44" s="245"/>
      <c r="K44" s="239" t="s">
        <v>899</v>
      </c>
      <c r="L44" s="240" t="s">
        <v>899</v>
      </c>
      <c r="M44" s="250" t="s">
        <v>900</v>
      </c>
      <c r="N44" s="244" t="s">
        <v>899</v>
      </c>
    </row>
    <row r="45" spans="2:14" s="228" customFormat="1" ht="15" customHeight="1" x14ac:dyDescent="0.35">
      <c r="B45" s="239" t="s">
        <v>486</v>
      </c>
      <c r="C45" s="240"/>
      <c r="D45" s="422">
        <v>10759</v>
      </c>
      <c r="E45" s="422">
        <v>0</v>
      </c>
      <c r="F45" s="422">
        <v>0</v>
      </c>
      <c r="G45" s="427">
        <v>0</v>
      </c>
      <c r="H45" s="427">
        <f>16.592*1000</f>
        <v>16592</v>
      </c>
      <c r="I45" s="423">
        <v>0</v>
      </c>
      <c r="J45" s="245"/>
      <c r="K45" s="239" t="s">
        <v>899</v>
      </c>
      <c r="L45" s="240" t="s">
        <v>899</v>
      </c>
      <c r="M45" s="250" t="s">
        <v>925</v>
      </c>
      <c r="N45" s="244" t="s">
        <v>926</v>
      </c>
    </row>
    <row r="46" spans="2:14" s="228" customFormat="1" ht="15" customHeight="1" x14ac:dyDescent="0.35">
      <c r="B46" s="239" t="s">
        <v>568</v>
      </c>
      <c r="C46" s="240"/>
      <c r="D46" s="422">
        <v>1584</v>
      </c>
      <c r="E46" s="422">
        <f>1299+151665+323448</f>
        <v>476412</v>
      </c>
      <c r="F46" s="422">
        <v>652000</v>
      </c>
      <c r="G46" s="427">
        <f>(380+896+279)*1000</f>
        <v>1555000</v>
      </c>
      <c r="H46" s="427">
        <v>0</v>
      </c>
      <c r="I46" s="423">
        <f>61*1000</f>
        <v>61000</v>
      </c>
      <c r="J46" s="245"/>
      <c r="K46" s="239" t="s">
        <v>923</v>
      </c>
      <c r="L46" s="240" t="s">
        <v>924</v>
      </c>
      <c r="M46" s="250" t="s">
        <v>900</v>
      </c>
      <c r="N46" s="244" t="s">
        <v>926</v>
      </c>
    </row>
    <row r="47" spans="2:14" s="228" customFormat="1" ht="15" customHeight="1" x14ac:dyDescent="0.35">
      <c r="B47" s="252" t="s">
        <v>487</v>
      </c>
      <c r="C47" s="253"/>
      <c r="D47" s="424">
        <f t="shared" ref="D47:I47" si="4">SUM(D39:D46)</f>
        <v>621486</v>
      </c>
      <c r="E47" s="424">
        <f t="shared" si="4"/>
        <v>5273339</v>
      </c>
      <c r="F47" s="424">
        <f t="shared" si="4"/>
        <v>1961000</v>
      </c>
      <c r="G47" s="425">
        <f t="shared" si="4"/>
        <v>3851000</v>
      </c>
      <c r="H47" s="425">
        <f t="shared" si="4"/>
        <v>1207015</v>
      </c>
      <c r="I47" s="426">
        <f t="shared" si="4"/>
        <v>1055000</v>
      </c>
      <c r="J47" s="254"/>
      <c r="K47" s="239" t="s">
        <v>899</v>
      </c>
      <c r="L47" s="253" t="s">
        <v>899</v>
      </c>
      <c r="M47" s="253" t="s">
        <v>925</v>
      </c>
      <c r="N47" s="256" t="s">
        <v>899</v>
      </c>
    </row>
    <row r="48" spans="2:14" s="228" customFormat="1" ht="15" customHeight="1" x14ac:dyDescent="0.35">
      <c r="B48" s="239" t="s">
        <v>488</v>
      </c>
      <c r="C48" s="240"/>
      <c r="D48" s="422">
        <v>5210698</v>
      </c>
      <c r="E48" s="422">
        <v>30364595</v>
      </c>
      <c r="F48" s="422">
        <f>(14158)*1000</f>
        <v>14158000</v>
      </c>
      <c r="G48" s="427">
        <f>8593*1000</f>
        <v>8593000</v>
      </c>
      <c r="H48" s="427">
        <f>14497.726*1000</f>
        <v>14497726</v>
      </c>
      <c r="I48" s="423">
        <f>21327*1000</f>
        <v>21327000</v>
      </c>
      <c r="J48" s="245"/>
      <c r="K48" s="239" t="s">
        <v>899</v>
      </c>
      <c r="L48" s="240" t="s">
        <v>924</v>
      </c>
      <c r="M48" s="240" t="s">
        <v>925</v>
      </c>
      <c r="N48" s="244" t="s">
        <v>926</v>
      </c>
    </row>
    <row r="49" spans="2:14" s="228" customFormat="1" ht="15" customHeight="1" x14ac:dyDescent="0.35">
      <c r="B49" s="239" t="s">
        <v>814</v>
      </c>
      <c r="C49" s="240"/>
      <c r="D49" s="422">
        <v>580</v>
      </c>
      <c r="E49" s="422">
        <v>0</v>
      </c>
      <c r="F49" s="422">
        <v>0</v>
      </c>
      <c r="G49" s="427">
        <v>0</v>
      </c>
      <c r="H49" s="427">
        <v>0</v>
      </c>
      <c r="I49" s="423">
        <f>11*1000</f>
        <v>11000</v>
      </c>
      <c r="J49" s="245"/>
      <c r="K49" s="239" t="s">
        <v>899</v>
      </c>
      <c r="L49" s="240" t="s">
        <v>899</v>
      </c>
      <c r="M49" s="250" t="s">
        <v>900</v>
      </c>
      <c r="N49" s="244" t="s">
        <v>926</v>
      </c>
    </row>
    <row r="50" spans="2:14" s="228" customFormat="1" ht="15" customHeight="1" x14ac:dyDescent="0.35">
      <c r="B50" s="239" t="s">
        <v>815</v>
      </c>
      <c r="C50" s="240"/>
      <c r="D50" s="422">
        <v>0</v>
      </c>
      <c r="E50" s="422">
        <v>2363</v>
      </c>
      <c r="F50" s="422">
        <f>730*1000</f>
        <v>730000</v>
      </c>
      <c r="G50" s="427">
        <v>0</v>
      </c>
      <c r="H50" s="427">
        <v>0</v>
      </c>
      <c r="I50" s="423">
        <v>0</v>
      </c>
      <c r="J50" s="245"/>
      <c r="K50" s="239" t="s">
        <v>899</v>
      </c>
      <c r="L50" s="240" t="s">
        <v>899</v>
      </c>
      <c r="M50" s="250" t="s">
        <v>900</v>
      </c>
      <c r="N50" s="244" t="s">
        <v>899</v>
      </c>
    </row>
    <row r="51" spans="2:14" s="228" customFormat="1" ht="15" customHeight="1" x14ac:dyDescent="0.35">
      <c r="B51" s="239" t="s">
        <v>490</v>
      </c>
      <c r="C51" s="240"/>
      <c r="D51" s="422">
        <v>716865</v>
      </c>
      <c r="E51" s="422">
        <v>0</v>
      </c>
      <c r="F51" s="422">
        <v>0</v>
      </c>
      <c r="G51" s="427">
        <f>753*1000</f>
        <v>753000</v>
      </c>
      <c r="H51" s="427">
        <v>0</v>
      </c>
      <c r="I51" s="423">
        <f>1917*1000</f>
        <v>1917000</v>
      </c>
      <c r="J51" s="245"/>
      <c r="K51" s="239" t="s">
        <v>899</v>
      </c>
      <c r="L51" s="240" t="s">
        <v>924</v>
      </c>
      <c r="M51" s="250" t="s">
        <v>900</v>
      </c>
      <c r="N51" s="244" t="s">
        <v>926</v>
      </c>
    </row>
    <row r="52" spans="2:14" s="228" customFormat="1" ht="15" customHeight="1" x14ac:dyDescent="0.35">
      <c r="B52" s="239" t="s">
        <v>491</v>
      </c>
      <c r="C52" s="240"/>
      <c r="D52" s="422">
        <v>590400</v>
      </c>
      <c r="E52" s="422">
        <f>1484311</f>
        <v>1484311</v>
      </c>
      <c r="F52" s="422">
        <f>1258*1000</f>
        <v>1258000</v>
      </c>
      <c r="G52" s="427">
        <f>(196+243+81)*1000</f>
        <v>520000</v>
      </c>
      <c r="H52" s="427">
        <f>(14038+9128)</f>
        <v>23166</v>
      </c>
      <c r="I52" s="423">
        <f>(398+17+7)*1000</f>
        <v>422000</v>
      </c>
      <c r="J52" s="245"/>
      <c r="K52" s="239" t="s">
        <v>923</v>
      </c>
      <c r="L52" s="240" t="s">
        <v>924</v>
      </c>
      <c r="M52" s="250" t="s">
        <v>925</v>
      </c>
      <c r="N52" s="244" t="s">
        <v>926</v>
      </c>
    </row>
    <row r="53" spans="2:14" s="228" customFormat="1" ht="15" customHeight="1" x14ac:dyDescent="0.35">
      <c r="B53" s="252" t="s">
        <v>492</v>
      </c>
      <c r="C53" s="263"/>
      <c r="D53" s="424">
        <f t="shared" ref="D53:I53" si="5">SUM(D47:D52)</f>
        <v>7140029</v>
      </c>
      <c r="E53" s="424">
        <f t="shared" si="5"/>
        <v>37124608</v>
      </c>
      <c r="F53" s="424">
        <f t="shared" si="5"/>
        <v>18107000</v>
      </c>
      <c r="G53" s="425">
        <f t="shared" si="5"/>
        <v>13717000</v>
      </c>
      <c r="H53" s="425">
        <f t="shared" si="5"/>
        <v>15727907</v>
      </c>
      <c r="I53" s="426">
        <f t="shared" si="5"/>
        <v>24732000</v>
      </c>
      <c r="J53" s="264"/>
      <c r="K53" s="252" t="s">
        <v>899</v>
      </c>
      <c r="L53" s="263" t="s">
        <v>899</v>
      </c>
      <c r="M53" s="263" t="s">
        <v>908</v>
      </c>
      <c r="N53" s="265" t="s">
        <v>899</v>
      </c>
    </row>
    <row r="54" spans="2:14" s="228" customFormat="1" ht="15" customHeight="1" x14ac:dyDescent="0.35">
      <c r="B54" s="239"/>
      <c r="C54" s="240"/>
      <c r="D54" s="422"/>
      <c r="E54" s="422"/>
      <c r="F54" s="422"/>
      <c r="G54" s="427"/>
      <c r="H54" s="427"/>
      <c r="I54" s="423"/>
      <c r="J54" s="245"/>
      <c r="K54" s="239" t="s">
        <v>899</v>
      </c>
      <c r="L54" s="240" t="s">
        <v>899</v>
      </c>
      <c r="M54" s="250" t="s">
        <v>900</v>
      </c>
      <c r="N54" s="244" t="s">
        <v>899</v>
      </c>
    </row>
    <row r="55" spans="2:14" s="228" customFormat="1" ht="15" customHeight="1" x14ac:dyDescent="0.35">
      <c r="B55" s="249" t="s">
        <v>498</v>
      </c>
      <c r="C55" s="240" t="s">
        <v>922</v>
      </c>
      <c r="D55" s="422"/>
      <c r="E55" s="422"/>
      <c r="F55" s="422"/>
      <c r="G55" s="427"/>
      <c r="H55" s="427"/>
      <c r="I55" s="423"/>
      <c r="J55" s="245"/>
      <c r="K55" s="239" t="s">
        <v>899</v>
      </c>
      <c r="L55" s="240" t="s">
        <v>899</v>
      </c>
      <c r="M55" s="240" t="s">
        <v>900</v>
      </c>
      <c r="N55" s="244" t="s">
        <v>899</v>
      </c>
    </row>
    <row r="56" spans="2:14" s="228" customFormat="1" ht="15" customHeight="1" x14ac:dyDescent="0.35">
      <c r="B56" s="239" t="s">
        <v>493</v>
      </c>
      <c r="C56" s="240"/>
      <c r="D56" s="422">
        <f>36280+12740</f>
        <v>49020</v>
      </c>
      <c r="E56" s="422">
        <f>2429127</f>
        <v>2429127</v>
      </c>
      <c r="F56" s="422">
        <f>695000</f>
        <v>695000</v>
      </c>
      <c r="G56" s="427">
        <f>428*1000</f>
        <v>428000</v>
      </c>
      <c r="H56" s="427">
        <f>629264</f>
        <v>629264</v>
      </c>
      <c r="I56" s="423">
        <f>53*1000</f>
        <v>53000</v>
      </c>
      <c r="J56" s="245"/>
      <c r="K56" s="239" t="s">
        <v>923</v>
      </c>
      <c r="L56" s="240" t="s">
        <v>924</v>
      </c>
      <c r="M56" s="250" t="s">
        <v>925</v>
      </c>
      <c r="N56" s="244" t="s">
        <v>926</v>
      </c>
    </row>
    <row r="57" spans="2:14" s="228" customFormat="1" ht="15" customHeight="1" x14ac:dyDescent="0.35">
      <c r="B57" s="239" t="s">
        <v>510</v>
      </c>
      <c r="C57" s="240"/>
      <c r="D57" s="422">
        <f>112228+54446+252304</f>
        <v>418978</v>
      </c>
      <c r="E57" s="422">
        <f>(254850+166273)</f>
        <v>421123</v>
      </c>
      <c r="F57" s="422">
        <f>(11)*1000</f>
        <v>11000</v>
      </c>
      <c r="G57" s="427">
        <v>0</v>
      </c>
      <c r="H57" s="427">
        <f>230368</f>
        <v>230368</v>
      </c>
      <c r="I57" s="423">
        <f>386*1000</f>
        <v>386000</v>
      </c>
      <c r="J57" s="245"/>
      <c r="K57" s="239" t="s">
        <v>899</v>
      </c>
      <c r="L57" s="240" t="s">
        <v>899</v>
      </c>
      <c r="M57" s="250" t="s">
        <v>925</v>
      </c>
      <c r="N57" s="244" t="s">
        <v>926</v>
      </c>
    </row>
    <row r="58" spans="2:14" s="228" customFormat="1" ht="15" customHeight="1" x14ac:dyDescent="0.35">
      <c r="B58" s="239" t="s">
        <v>812</v>
      </c>
      <c r="C58" s="240"/>
      <c r="D58" s="422">
        <v>16681</v>
      </c>
      <c r="E58" s="422">
        <v>0</v>
      </c>
      <c r="F58" s="422">
        <v>0</v>
      </c>
      <c r="G58" s="427">
        <v>0</v>
      </c>
      <c r="H58" s="427">
        <v>0</v>
      </c>
      <c r="I58" s="423">
        <f>112*1000</f>
        <v>112000</v>
      </c>
      <c r="J58" s="245"/>
      <c r="K58" s="239" t="s">
        <v>899</v>
      </c>
      <c r="L58" s="240" t="s">
        <v>899</v>
      </c>
      <c r="M58" s="250" t="s">
        <v>900</v>
      </c>
      <c r="N58" s="244" t="s">
        <v>926</v>
      </c>
    </row>
    <row r="59" spans="2:14" s="228" customFormat="1" ht="15" customHeight="1" x14ac:dyDescent="0.35">
      <c r="B59" s="239" t="s">
        <v>494</v>
      </c>
      <c r="C59" s="240"/>
      <c r="D59" s="422">
        <f>207939+66003</f>
        <v>273942</v>
      </c>
      <c r="E59" s="422">
        <f>20194+1014524+369365+232655</f>
        <v>1636738</v>
      </c>
      <c r="F59" s="422">
        <v>1149000</v>
      </c>
      <c r="G59" s="427">
        <f>(310+730+459)*1000</f>
        <v>1499000</v>
      </c>
      <c r="H59" s="427">
        <f>(2.435+470.264+3.695)*1000</f>
        <v>476394</v>
      </c>
      <c r="I59" s="423">
        <f>(363+268)*1000</f>
        <v>631000</v>
      </c>
      <c r="J59" s="245"/>
      <c r="K59" s="239" t="s">
        <v>923</v>
      </c>
      <c r="L59" s="240" t="s">
        <v>924</v>
      </c>
      <c r="M59" s="250" t="s">
        <v>900</v>
      </c>
      <c r="N59" s="244" t="s">
        <v>926</v>
      </c>
    </row>
    <row r="60" spans="2:14" s="228" customFormat="1" ht="15" customHeight="1" x14ac:dyDescent="0.35">
      <c r="B60" s="252" t="s">
        <v>497</v>
      </c>
      <c r="C60" s="253"/>
      <c r="D60" s="424">
        <f t="shared" ref="D60:I60" si="6">SUM(D56:D59)</f>
        <v>758621</v>
      </c>
      <c r="E60" s="424">
        <f t="shared" si="6"/>
        <v>4486988</v>
      </c>
      <c r="F60" s="424">
        <f t="shared" si="6"/>
        <v>1855000</v>
      </c>
      <c r="G60" s="425">
        <f t="shared" si="6"/>
        <v>1927000</v>
      </c>
      <c r="H60" s="425">
        <f t="shared" si="6"/>
        <v>1336026</v>
      </c>
      <c r="I60" s="426">
        <f t="shared" si="6"/>
        <v>1182000</v>
      </c>
      <c r="J60" s="254"/>
      <c r="K60" s="239" t="s">
        <v>899</v>
      </c>
      <c r="L60" s="253" t="s">
        <v>899</v>
      </c>
      <c r="M60" s="253" t="s">
        <v>900</v>
      </c>
      <c r="N60" s="256" t="s">
        <v>899</v>
      </c>
    </row>
    <row r="61" spans="2:14" s="228" customFormat="1" ht="15" customHeight="1" x14ac:dyDescent="0.35">
      <c r="B61" s="239" t="s">
        <v>511</v>
      </c>
      <c r="C61" s="240"/>
      <c r="D61" s="422">
        <v>1985246</v>
      </c>
      <c r="E61" s="422">
        <v>4160919</v>
      </c>
      <c r="F61" s="422">
        <v>8555000</v>
      </c>
      <c r="G61" s="427">
        <f>4294*1000</f>
        <v>4294000</v>
      </c>
      <c r="H61" s="427">
        <f>5324.079*1000</f>
        <v>5324079</v>
      </c>
      <c r="I61" s="423">
        <f>3955*1000</f>
        <v>3955000</v>
      </c>
      <c r="J61" s="245"/>
      <c r="K61" s="239" t="s">
        <v>923</v>
      </c>
      <c r="L61" s="240" t="s">
        <v>924</v>
      </c>
      <c r="M61" s="240" t="s">
        <v>925</v>
      </c>
      <c r="N61" s="244" t="s">
        <v>926</v>
      </c>
    </row>
    <row r="62" spans="2:14" s="228" customFormat="1" ht="15" customHeight="1" x14ac:dyDescent="0.35">
      <c r="B62" s="239" t="s">
        <v>495</v>
      </c>
      <c r="C62" s="240"/>
      <c r="D62" s="422">
        <v>154045</v>
      </c>
      <c r="E62" s="422">
        <v>0</v>
      </c>
      <c r="F62" s="422">
        <v>1811000</v>
      </c>
      <c r="G62" s="427">
        <f>380*1000</f>
        <v>380000</v>
      </c>
      <c r="H62" s="427">
        <f>151.774*1000</f>
        <v>151774</v>
      </c>
      <c r="I62" s="423">
        <f>152*1000</f>
        <v>152000</v>
      </c>
      <c r="J62" s="245"/>
      <c r="K62" s="239" t="s">
        <v>923</v>
      </c>
      <c r="L62" s="240" t="s">
        <v>924</v>
      </c>
      <c r="M62" s="250" t="s">
        <v>925</v>
      </c>
      <c r="N62" s="244" t="s">
        <v>926</v>
      </c>
    </row>
    <row r="63" spans="2:14" s="228" customFormat="1" ht="15" customHeight="1" x14ac:dyDescent="0.35">
      <c r="B63" s="239" t="s">
        <v>811</v>
      </c>
      <c r="C63" s="240"/>
      <c r="D63" s="422">
        <v>1018</v>
      </c>
      <c r="E63" s="422">
        <v>0</v>
      </c>
      <c r="F63" s="422">
        <v>0</v>
      </c>
      <c r="G63" s="427">
        <v>0</v>
      </c>
      <c r="H63" s="427">
        <v>0</v>
      </c>
      <c r="I63" s="423">
        <f>7*1000</f>
        <v>7000</v>
      </c>
      <c r="J63" s="245"/>
      <c r="K63" s="239" t="s">
        <v>899</v>
      </c>
      <c r="L63" s="240" t="s">
        <v>899</v>
      </c>
      <c r="M63" s="250" t="s">
        <v>925</v>
      </c>
      <c r="N63" s="244" t="s">
        <v>926</v>
      </c>
    </row>
    <row r="64" spans="2:14" s="228" customFormat="1" ht="15" customHeight="1" x14ac:dyDescent="0.35">
      <c r="B64" s="239" t="s">
        <v>810</v>
      </c>
      <c r="C64" s="240"/>
      <c r="D64" s="422">
        <v>338424</v>
      </c>
      <c r="E64" s="422">
        <v>5046101</v>
      </c>
      <c r="F64" s="422">
        <v>346000</v>
      </c>
      <c r="G64" s="427">
        <f>341*1000</f>
        <v>341000</v>
      </c>
      <c r="H64" s="427">
        <f>1787.125*1000</f>
        <v>1787125</v>
      </c>
      <c r="I64" s="423">
        <f>1654*1000</f>
        <v>1654000</v>
      </c>
      <c r="J64" s="245"/>
      <c r="K64" s="239" t="s">
        <v>899</v>
      </c>
      <c r="L64" s="240" t="s">
        <v>924</v>
      </c>
      <c r="M64" s="250" t="s">
        <v>925</v>
      </c>
      <c r="N64" s="244" t="s">
        <v>926</v>
      </c>
    </row>
    <row r="65" spans="2:14" s="228" customFormat="1" ht="15" customHeight="1" x14ac:dyDescent="0.35">
      <c r="B65" s="239" t="s">
        <v>496</v>
      </c>
      <c r="C65" s="240"/>
      <c r="D65" s="422">
        <f>60742+184172</f>
        <v>244914</v>
      </c>
      <c r="E65" s="422">
        <v>1789884</v>
      </c>
      <c r="F65" s="422">
        <v>520000</v>
      </c>
      <c r="G65" s="427">
        <f>(426+244+185)*1000</f>
        <v>855000</v>
      </c>
      <c r="H65" s="427">
        <f>(15.119+5.433)*1000</f>
        <v>20552</v>
      </c>
      <c r="I65" s="423" t="s">
        <v>899</v>
      </c>
      <c r="J65" s="245"/>
      <c r="K65" s="239" t="s">
        <v>923</v>
      </c>
      <c r="L65" s="240" t="s">
        <v>924</v>
      </c>
      <c r="M65" s="250" t="s">
        <v>925</v>
      </c>
      <c r="N65" s="244" t="s">
        <v>899</v>
      </c>
    </row>
    <row r="66" spans="2:14" s="228" customFormat="1" ht="15" customHeight="1" x14ac:dyDescent="0.35">
      <c r="B66" s="252" t="s">
        <v>499</v>
      </c>
      <c r="C66" s="253"/>
      <c r="D66" s="424">
        <f t="shared" ref="D66:I66" si="7">SUM(D60:D65)</f>
        <v>3482268</v>
      </c>
      <c r="E66" s="424">
        <f t="shared" si="7"/>
        <v>15483892</v>
      </c>
      <c r="F66" s="424">
        <f t="shared" si="7"/>
        <v>13087000</v>
      </c>
      <c r="G66" s="425">
        <f t="shared" si="7"/>
        <v>7797000</v>
      </c>
      <c r="H66" s="425">
        <f t="shared" si="7"/>
        <v>8619556</v>
      </c>
      <c r="I66" s="426">
        <f t="shared" si="7"/>
        <v>6950000</v>
      </c>
      <c r="J66" s="254"/>
      <c r="K66" s="255" t="s">
        <v>899</v>
      </c>
      <c r="L66" s="253" t="s">
        <v>899</v>
      </c>
      <c r="M66" s="253" t="s">
        <v>900</v>
      </c>
      <c r="N66" s="256" t="s">
        <v>899</v>
      </c>
    </row>
    <row r="67" spans="2:14" s="228" customFormat="1" ht="15" customHeight="1" x14ac:dyDescent="0.35">
      <c r="B67" s="267"/>
      <c r="C67" s="250"/>
      <c r="D67" s="428"/>
      <c r="E67" s="428"/>
      <c r="F67" s="428"/>
      <c r="G67" s="429"/>
      <c r="H67" s="429"/>
      <c r="I67" s="430"/>
      <c r="J67" s="259"/>
      <c r="K67" s="258" t="s">
        <v>899</v>
      </c>
      <c r="L67" s="250" t="s">
        <v>899</v>
      </c>
      <c r="M67" s="250" t="s">
        <v>900</v>
      </c>
      <c r="N67" s="260" t="s">
        <v>899</v>
      </c>
    </row>
    <row r="68" spans="2:14" s="228" customFormat="1" ht="15" customHeight="1" x14ac:dyDescent="0.35">
      <c r="B68" s="268" t="s">
        <v>458</v>
      </c>
      <c r="C68" s="240" t="s">
        <v>937</v>
      </c>
      <c r="D68" s="422"/>
      <c r="E68" s="422"/>
      <c r="F68" s="422"/>
      <c r="G68" s="427"/>
      <c r="H68" s="427"/>
      <c r="I68" s="423"/>
      <c r="J68" s="245"/>
      <c r="K68" s="239" t="s">
        <v>899</v>
      </c>
      <c r="L68" s="240" t="s">
        <v>899</v>
      </c>
      <c r="M68" s="240" t="s">
        <v>900</v>
      </c>
      <c r="N68" s="244" t="s">
        <v>899</v>
      </c>
    </row>
    <row r="69" spans="2:14" s="228" customFormat="1" ht="15" customHeight="1" x14ac:dyDescent="0.35">
      <c r="B69" s="252" t="s">
        <v>572</v>
      </c>
      <c r="C69" s="253" t="s">
        <v>938</v>
      </c>
      <c r="D69" s="424">
        <f t="shared" ref="D69:I69" si="8">D36</f>
        <v>-31154.75</v>
      </c>
      <c r="E69" s="424">
        <f t="shared" si="8"/>
        <v>683727.5</v>
      </c>
      <c r="F69" s="424">
        <f t="shared" si="8"/>
        <v>-920500</v>
      </c>
      <c r="G69" s="425">
        <f t="shared" si="8"/>
        <v>-88250</v>
      </c>
      <c r="H69" s="425">
        <f t="shared" si="8"/>
        <v>193618.25</v>
      </c>
      <c r="I69" s="426">
        <f t="shared" si="8"/>
        <v>-176250</v>
      </c>
      <c r="J69" s="264"/>
      <c r="K69" s="239" t="s">
        <v>899</v>
      </c>
      <c r="L69" s="263" t="s">
        <v>899</v>
      </c>
      <c r="M69" s="253" t="s">
        <v>899</v>
      </c>
      <c r="N69" s="256" t="s">
        <v>899</v>
      </c>
    </row>
    <row r="70" spans="2:14" s="228" customFormat="1" ht="15" customHeight="1" x14ac:dyDescent="0.35">
      <c r="B70" s="239" t="s">
        <v>500</v>
      </c>
      <c r="C70" s="240"/>
      <c r="D70" s="422">
        <f>(65128-739-184563-2797)/4</f>
        <v>-30742.75</v>
      </c>
      <c r="E70" s="422">
        <f>(-91792+90284+168539+40122+358001-56619-115061)/4</f>
        <v>98368.5</v>
      </c>
      <c r="F70" s="422">
        <f>(133-41-21+51-5-84-36)*1000/4</f>
        <v>-750</v>
      </c>
      <c r="G70" s="427">
        <f>-82/4*1000</f>
        <v>-20500</v>
      </c>
      <c r="H70" s="427">
        <f>(-33.619-21.204-4.459-36.359+69.195-36.467+3.42)/4*1000</f>
        <v>-14873.249999999998</v>
      </c>
      <c r="I70" s="423">
        <f>(-90-2+1+3+28+20)/4*1000</f>
        <v>-10000</v>
      </c>
      <c r="J70" s="245"/>
      <c r="K70" s="239" t="s">
        <v>939</v>
      </c>
      <c r="L70" s="240" t="s">
        <v>940</v>
      </c>
      <c r="M70" s="253" t="s">
        <v>907</v>
      </c>
      <c r="N70" s="256" t="s">
        <v>941</v>
      </c>
    </row>
    <row r="71" spans="2:14" s="228" customFormat="1" ht="15" customHeight="1" x14ac:dyDescent="0.35">
      <c r="B71" s="269" t="s">
        <v>816</v>
      </c>
      <c r="C71" s="270"/>
      <c r="D71" s="431">
        <f>D19</f>
        <v>220543.25</v>
      </c>
      <c r="E71" s="431">
        <v>937426</v>
      </c>
      <c r="F71" s="431">
        <v>670000</v>
      </c>
      <c r="G71" s="432">
        <f>G19</f>
        <v>374250</v>
      </c>
      <c r="H71" s="432">
        <f>2019.704/4*1000</f>
        <v>504926</v>
      </c>
      <c r="I71" s="433">
        <f>I19</f>
        <v>491000</v>
      </c>
      <c r="J71" s="271"/>
      <c r="K71" s="239" t="s">
        <v>939</v>
      </c>
      <c r="L71" s="270" t="s">
        <v>900</v>
      </c>
      <c r="M71" s="270" t="s">
        <v>900</v>
      </c>
      <c r="N71" s="272" t="s">
        <v>899</v>
      </c>
    </row>
    <row r="72" spans="2:14" s="228" customFormat="1" ht="15" customHeight="1" x14ac:dyDescent="0.35">
      <c r="B72" s="269" t="s">
        <v>571</v>
      </c>
      <c r="C72" s="270"/>
      <c r="D72" s="431">
        <f>D18</f>
        <v>154673.25</v>
      </c>
      <c r="E72" s="431">
        <v>129474</v>
      </c>
      <c r="F72" s="431">
        <v>737250</v>
      </c>
      <c r="G72" s="432">
        <f>G18</f>
        <v>0</v>
      </c>
      <c r="H72" s="432">
        <f>H18</f>
        <v>21550.5</v>
      </c>
      <c r="I72" s="433">
        <f>I18</f>
        <v>293000</v>
      </c>
      <c r="J72" s="271"/>
      <c r="K72" s="239" t="s">
        <v>939</v>
      </c>
      <c r="L72" s="270" t="s">
        <v>900</v>
      </c>
      <c r="M72" s="270" t="s">
        <v>900</v>
      </c>
      <c r="N72" s="272" t="s">
        <v>899</v>
      </c>
    </row>
    <row r="73" spans="2:14" s="262" customFormat="1" ht="15" customHeight="1" x14ac:dyDescent="0.35">
      <c r="B73" s="239" t="s">
        <v>501</v>
      </c>
      <c r="C73" s="240"/>
      <c r="D73" s="422">
        <f>(8586-26902+26398+76850-13131+4250+14639)/4</f>
        <v>22672.5</v>
      </c>
      <c r="E73" s="422">
        <f>(174738+631658-123613+4496+962)/4</f>
        <v>172060.25</v>
      </c>
      <c r="F73" s="422">
        <v>61750</v>
      </c>
      <c r="G73" s="427">
        <f>(274+18+33+454+166-48-25+115-6)/4*1000</f>
        <v>245250</v>
      </c>
      <c r="H73" s="427">
        <f>(15.612+52.044+10.408+212.689-0.535+4.584)/4*1000</f>
        <v>73700.499999999985</v>
      </c>
      <c r="I73" s="423">
        <f>(10+166+85-154-459+895-98)/4*1000</f>
        <v>111250</v>
      </c>
      <c r="J73" s="245"/>
      <c r="K73" s="239" t="s">
        <v>939</v>
      </c>
      <c r="L73" s="240" t="s">
        <v>940</v>
      </c>
      <c r="M73" s="263" t="s">
        <v>907</v>
      </c>
      <c r="N73" s="244" t="s">
        <v>941</v>
      </c>
    </row>
    <row r="74" spans="2:14" s="261" customFormat="1" ht="16" customHeight="1" x14ac:dyDescent="0.35">
      <c r="B74" s="258" t="s">
        <v>817</v>
      </c>
      <c r="C74" s="250"/>
      <c r="D74" s="428">
        <v>0</v>
      </c>
      <c r="E74" s="428">
        <f>28001/4</f>
        <v>7000.25</v>
      </c>
      <c r="F74" s="428">
        <f>676*1000/4</f>
        <v>169000</v>
      </c>
      <c r="G74" s="429">
        <v>0</v>
      </c>
      <c r="H74" s="429">
        <v>0</v>
      </c>
      <c r="I74" s="430">
        <v>0</v>
      </c>
      <c r="J74" s="245"/>
      <c r="K74" s="239" t="s">
        <v>939</v>
      </c>
      <c r="L74" s="240" t="s">
        <v>900</v>
      </c>
      <c r="M74" s="263" t="s">
        <v>908</v>
      </c>
      <c r="N74" s="244" t="s">
        <v>899</v>
      </c>
    </row>
    <row r="75" spans="2:14" s="228" customFormat="1" ht="15" customHeight="1" x14ac:dyDescent="0.35">
      <c r="B75" s="258" t="s">
        <v>562</v>
      </c>
      <c r="C75" s="250"/>
      <c r="D75" s="428">
        <v>0</v>
      </c>
      <c r="E75" s="428">
        <f>(-180275+231229)/4</f>
        <v>12738.5</v>
      </c>
      <c r="F75" s="428">
        <v>0</v>
      </c>
      <c r="G75" s="429">
        <v>0</v>
      </c>
      <c r="H75" s="429">
        <v>0</v>
      </c>
      <c r="I75" s="430">
        <v>0</v>
      </c>
      <c r="J75" s="245"/>
      <c r="K75" s="239" t="s">
        <v>899</v>
      </c>
      <c r="L75" s="240" t="s">
        <v>899</v>
      </c>
      <c r="M75" s="323"/>
      <c r="N75" s="244" t="s">
        <v>899</v>
      </c>
    </row>
    <row r="76" spans="2:14" s="266" customFormat="1" ht="15" customHeight="1" x14ac:dyDescent="0.35">
      <c r="B76" s="239" t="s">
        <v>502</v>
      </c>
      <c r="C76" s="240"/>
      <c r="D76" s="422">
        <f>1343966/4</f>
        <v>335991.5</v>
      </c>
      <c r="E76" s="422">
        <f>8163180/4</f>
        <v>2040795</v>
      </c>
      <c r="F76" s="434">
        <f>2867*1000/4</f>
        <v>716750</v>
      </c>
      <c r="G76" s="427">
        <f>2043/4*1000</f>
        <v>510750</v>
      </c>
      <c r="H76" s="427">
        <f>3115.688/4*1000</f>
        <v>778922</v>
      </c>
      <c r="I76" s="423">
        <f>SUM(I69:I73)</f>
        <v>709000</v>
      </c>
      <c r="J76" s="245"/>
      <c r="K76" s="239" t="s">
        <v>939</v>
      </c>
      <c r="L76" s="240" t="s">
        <v>940</v>
      </c>
      <c r="M76" s="253" t="s">
        <v>907</v>
      </c>
      <c r="N76" s="256" t="s">
        <v>941</v>
      </c>
    </row>
    <row r="77" spans="2:14" s="228" customFormat="1" ht="15" customHeight="1" x14ac:dyDescent="0.35">
      <c r="B77" s="239" t="s">
        <v>277</v>
      </c>
      <c r="C77" s="240" t="s">
        <v>942</v>
      </c>
      <c r="D77" s="435">
        <v>260866.44684999998</v>
      </c>
      <c r="E77" s="435">
        <v>1447887.4275000005</v>
      </c>
      <c r="F77" s="435">
        <v>484695.25617749995</v>
      </c>
      <c r="G77" s="436">
        <v>381853.24099999998</v>
      </c>
      <c r="H77" s="436">
        <v>561166.58750000002</v>
      </c>
      <c r="I77" s="437">
        <v>608273.62075</v>
      </c>
      <c r="J77" s="245"/>
      <c r="K77" s="239" t="s">
        <v>899</v>
      </c>
      <c r="L77" s="240" t="s">
        <v>943</v>
      </c>
      <c r="M77" s="253" t="s">
        <v>907</v>
      </c>
      <c r="N77" s="256" t="s">
        <v>941</v>
      </c>
    </row>
    <row r="78" spans="2:14" s="273" customFormat="1" ht="15" customHeight="1" x14ac:dyDescent="0.35">
      <c r="B78" s="239" t="s">
        <v>278</v>
      </c>
      <c r="C78" s="240" t="s">
        <v>942</v>
      </c>
      <c r="D78" s="435">
        <v>49346.28349999999</v>
      </c>
      <c r="E78" s="435">
        <v>53436.327457497508</v>
      </c>
      <c r="F78" s="435">
        <v>79246.05628249998</v>
      </c>
      <c r="G78" s="436">
        <v>75191.0352155</v>
      </c>
      <c r="H78" s="436">
        <v>48515.8675</v>
      </c>
      <c r="I78" s="437">
        <v>128128.62000000001</v>
      </c>
      <c r="J78" s="245"/>
      <c r="K78" s="239" t="s">
        <v>899</v>
      </c>
      <c r="L78" s="240" t="s">
        <v>899</v>
      </c>
      <c r="M78" s="253" t="s">
        <v>907</v>
      </c>
      <c r="N78" s="256" t="s">
        <v>941</v>
      </c>
    </row>
    <row r="79" spans="2:14" s="273" customFormat="1" ht="15" customHeight="1" x14ac:dyDescent="0.35">
      <c r="B79" s="269" t="s">
        <v>458</v>
      </c>
      <c r="C79" s="274"/>
      <c r="D79" s="431">
        <f>SUM(D76:D78)</f>
        <v>646204.23034999997</v>
      </c>
      <c r="E79" s="431">
        <f>SUM(E76:E78)</f>
        <v>3542118.7549574976</v>
      </c>
      <c r="F79" s="431">
        <f>SUM(F76:F78)</f>
        <v>1280691.3124599999</v>
      </c>
      <c r="G79" s="432">
        <f>SUM(G76:G78)</f>
        <v>967794.27621549997</v>
      </c>
      <c r="H79" s="432">
        <f t="shared" ref="H79:I79" si="9">SUM(H76:H78)</f>
        <v>1388604.4549999998</v>
      </c>
      <c r="I79" s="433">
        <f t="shared" si="9"/>
        <v>1445402.2407500001</v>
      </c>
      <c r="J79" s="275"/>
      <c r="K79" s="276" t="s">
        <v>899</v>
      </c>
      <c r="L79" s="274" t="s">
        <v>899</v>
      </c>
      <c r="M79" s="274" t="s">
        <v>900</v>
      </c>
      <c r="N79" s="277" t="s">
        <v>899</v>
      </c>
    </row>
    <row r="80" spans="2:14" s="228" customFormat="1" ht="15" customHeight="1" x14ac:dyDescent="0.35">
      <c r="B80" s="239"/>
      <c r="C80" s="240"/>
      <c r="D80" s="422"/>
      <c r="E80" s="422"/>
      <c r="F80" s="422"/>
      <c r="G80" s="427"/>
      <c r="H80" s="427"/>
      <c r="I80" s="423"/>
      <c r="J80" s="245"/>
      <c r="K80" s="239" t="s">
        <v>899</v>
      </c>
      <c r="L80" s="240" t="s">
        <v>899</v>
      </c>
      <c r="M80" s="263" t="s">
        <v>900</v>
      </c>
      <c r="N80" s="244" t="s">
        <v>899</v>
      </c>
    </row>
    <row r="81" spans="2:15" s="228" customFormat="1" ht="15" customHeight="1" x14ac:dyDescent="0.35">
      <c r="B81" s="269" t="s">
        <v>428</v>
      </c>
      <c r="C81" s="274" t="s">
        <v>942</v>
      </c>
      <c r="D81" s="431">
        <f>D15-D28+D19</f>
        <v>210924.25</v>
      </c>
      <c r="E81" s="431">
        <f>E15-E28+E19</f>
        <v>1817110</v>
      </c>
      <c r="F81" s="431">
        <f>F15-F28+F19</f>
        <v>33500</v>
      </c>
      <c r="G81" s="431">
        <f t="shared" ref="G81:I81" si="10">G15-G28+G19</f>
        <v>412000</v>
      </c>
      <c r="H81" s="431">
        <f t="shared" si="10"/>
        <v>818698.75</v>
      </c>
      <c r="I81" s="431">
        <f t="shared" si="10"/>
        <v>244250</v>
      </c>
      <c r="J81" s="275"/>
      <c r="K81" s="239" t="s">
        <v>939</v>
      </c>
      <c r="L81" s="274" t="s">
        <v>900</v>
      </c>
      <c r="M81" s="274" t="s">
        <v>900</v>
      </c>
      <c r="N81" s="277" t="s">
        <v>899</v>
      </c>
    </row>
    <row r="82" spans="2:15" s="228" customFormat="1" ht="15" customHeight="1" x14ac:dyDescent="0.35">
      <c r="B82" s="269" t="s">
        <v>519</v>
      </c>
      <c r="C82" s="274" t="s">
        <v>944</v>
      </c>
      <c r="D82" s="431">
        <f>D78</f>
        <v>49346.28349999999</v>
      </c>
      <c r="E82" s="431">
        <f>E78</f>
        <v>53436.327457497508</v>
      </c>
      <c r="F82" s="431">
        <v>79246.05628249998</v>
      </c>
      <c r="G82" s="432">
        <f t="shared" ref="G82:I82" si="11">G78</f>
        <v>75191.0352155</v>
      </c>
      <c r="H82" s="432">
        <f t="shared" si="11"/>
        <v>48515.8675</v>
      </c>
      <c r="I82" s="433">
        <f t="shared" si="11"/>
        <v>128128.62000000001</v>
      </c>
      <c r="J82" s="275"/>
      <c r="K82" s="276" t="s">
        <v>899</v>
      </c>
      <c r="L82" s="274" t="s">
        <v>899</v>
      </c>
      <c r="M82" s="274" t="s">
        <v>900</v>
      </c>
      <c r="N82" s="277" t="s">
        <v>899</v>
      </c>
    </row>
    <row r="83" spans="2:15" s="228" customFormat="1" ht="15" customHeight="1" x14ac:dyDescent="0.35">
      <c r="B83" s="269" t="s">
        <v>459</v>
      </c>
      <c r="C83" s="274"/>
      <c r="D83" s="431">
        <f>SUM(D81:D82)</f>
        <v>260270.53349999999</v>
      </c>
      <c r="E83" s="431">
        <f>SUM(E81:E82)</f>
        <v>1870546.3274574976</v>
      </c>
      <c r="F83" s="431">
        <f t="shared" ref="F83:I83" si="12">SUM(F81:F82)</f>
        <v>112746.05628249998</v>
      </c>
      <c r="G83" s="431">
        <f t="shared" si="12"/>
        <v>487191.03521549999</v>
      </c>
      <c r="H83" s="431">
        <f t="shared" si="12"/>
        <v>867214.61750000005</v>
      </c>
      <c r="I83" s="431">
        <f t="shared" si="12"/>
        <v>372378.62</v>
      </c>
      <c r="J83" s="275"/>
      <c r="K83" s="276" t="s">
        <v>899</v>
      </c>
      <c r="L83" s="240" t="s">
        <v>945</v>
      </c>
      <c r="M83" s="274" t="s">
        <v>900</v>
      </c>
      <c r="N83" s="277" t="s">
        <v>946</v>
      </c>
      <c r="O83" s="324"/>
    </row>
    <row r="84" spans="2:15" s="228" customFormat="1" ht="15" customHeight="1" x14ac:dyDescent="0.35">
      <c r="B84" s="239"/>
      <c r="C84" s="240"/>
      <c r="D84" s="422"/>
      <c r="E84" s="422"/>
      <c r="F84" s="422"/>
      <c r="G84" s="427"/>
      <c r="H84" s="427"/>
      <c r="I84" s="423"/>
      <c r="J84" s="245"/>
      <c r="K84" s="239" t="s">
        <v>899</v>
      </c>
      <c r="L84" s="240" t="s">
        <v>899</v>
      </c>
      <c r="M84" s="253" t="s">
        <v>900</v>
      </c>
      <c r="N84" s="244" t="s">
        <v>899</v>
      </c>
    </row>
    <row r="85" spans="2:15" s="228" customFormat="1" ht="15" customHeight="1" thickBot="1" x14ac:dyDescent="0.4">
      <c r="B85" s="279" t="s">
        <v>521</v>
      </c>
      <c r="C85" s="280"/>
      <c r="D85" s="438">
        <f>-81709/4</f>
        <v>-20427.25</v>
      </c>
      <c r="E85" s="438">
        <f>-588200/4</f>
        <v>-147050</v>
      </c>
      <c r="F85" s="438">
        <f>-376000/4</f>
        <v>-94000</v>
      </c>
      <c r="G85" s="439">
        <f>-140/4*1000</f>
        <v>-35000</v>
      </c>
      <c r="H85" s="439">
        <f>-18.38/4*1000</f>
        <v>-4595</v>
      </c>
      <c r="I85" s="440">
        <f>-100/4*1000</f>
        <v>-25000</v>
      </c>
      <c r="J85" s="245"/>
      <c r="K85" s="281" t="s">
        <v>939</v>
      </c>
      <c r="L85" s="280" t="s">
        <v>940</v>
      </c>
      <c r="M85" s="282" t="s">
        <v>907</v>
      </c>
      <c r="N85" s="283" t="s">
        <v>941</v>
      </c>
    </row>
    <row r="86" spans="2:15" s="278" customFormat="1" ht="15" customHeight="1" x14ac:dyDescent="0.35"/>
    <row r="87" spans="2:15" s="228" customFormat="1" ht="17" customHeight="1" x14ac:dyDescent="0.35"/>
    <row r="88" spans="2:15" s="278" customFormat="1" ht="15" customHeight="1" x14ac:dyDescent="0.35"/>
    <row r="89" spans="2:15" s="278" customFormat="1" ht="15" customHeight="1" x14ac:dyDescent="0.35"/>
    <row r="90" spans="2:15" s="278" customFormat="1" ht="15" customHeight="1" x14ac:dyDescent="0.35"/>
    <row r="91" spans="2:15" s="228" customFormat="1" ht="16" customHeight="1" x14ac:dyDescent="0.35"/>
    <row r="92" spans="2:15" s="228" customFormat="1" ht="15" customHeight="1" x14ac:dyDescent="0.35"/>
  </sheetData>
  <mergeCells count="1">
    <mergeCell ref="K3:N3"/>
  </mergeCells>
  <hyperlinks>
    <hyperlink ref="N5" r:id="rId1" xr:uid="{81CF047E-6AA0-45BA-BC83-E2E242E10D92}"/>
    <hyperlink ref="M5" r:id="rId2" xr:uid="{2C192FAD-3E5F-40EC-AB57-8D35BB3BE73B}"/>
  </hyperlinks>
  <pageMargins left="0.7" right="0.7" top="0.75" bottom="0.75" header="0.3" footer="0.3"/>
  <pageSetup orientation="portrait" r:id="rId3"/>
  <legacy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A10AE-D435-422D-9EE1-E0EEDE7DC8CD}">
  <sheetPr filterMode="1"/>
  <dimension ref="A1:N2230"/>
  <sheetViews>
    <sheetView zoomScale="84" workbookViewId="0">
      <selection activeCell="I8" sqref="I8"/>
    </sheetView>
  </sheetViews>
  <sheetFormatPr defaultRowHeight="14.5" x14ac:dyDescent="0.35"/>
  <cols>
    <col min="1" max="1" width="12.54296875" bestFit="1" customWidth="1"/>
    <col min="3" max="3" width="22.90625" bestFit="1" customWidth="1"/>
    <col min="4" max="5" width="14.90625" bestFit="1" customWidth="1"/>
    <col min="6" max="6" width="15.90625" bestFit="1" customWidth="1"/>
    <col min="7" max="7" width="14.90625" bestFit="1" customWidth="1"/>
    <col min="8" max="8" width="15.6328125" bestFit="1" customWidth="1"/>
    <col min="9" max="9" width="18.36328125" bestFit="1" customWidth="1"/>
    <col min="11" max="11" width="14.6328125" bestFit="1" customWidth="1"/>
    <col min="12" max="12" width="12.81640625" bestFit="1" customWidth="1"/>
    <col min="14" max="14" width="12.54296875" bestFit="1" customWidth="1"/>
  </cols>
  <sheetData>
    <row r="1" spans="1:14" x14ac:dyDescent="0.35">
      <c r="A1" t="s">
        <v>573</v>
      </c>
    </row>
    <row r="2" spans="1:14" x14ac:dyDescent="0.35">
      <c r="A2" t="s">
        <v>574</v>
      </c>
    </row>
    <row r="3" spans="1:14" x14ac:dyDescent="0.35">
      <c r="A3" t="s">
        <v>575</v>
      </c>
    </row>
    <row r="8" spans="1:14" s="35" customFormat="1" x14ac:dyDescent="0.35">
      <c r="A8" s="35" t="s">
        <v>576</v>
      </c>
      <c r="B8" s="35" t="s">
        <v>29</v>
      </c>
      <c r="C8" s="35" t="s">
        <v>27</v>
      </c>
      <c r="D8" s="35" t="s">
        <v>28</v>
      </c>
      <c r="E8" s="35" t="s">
        <v>577</v>
      </c>
      <c r="F8" s="35" t="s">
        <v>578</v>
      </c>
      <c r="G8" s="35" t="s">
        <v>23</v>
      </c>
      <c r="H8" s="35">
        <v>2019</v>
      </c>
      <c r="I8" s="35">
        <v>2020</v>
      </c>
      <c r="J8" s="35">
        <v>2021</v>
      </c>
      <c r="K8" s="35">
        <v>2022</v>
      </c>
      <c r="L8" s="35">
        <v>2023</v>
      </c>
      <c r="M8" s="35">
        <v>2024</v>
      </c>
      <c r="N8" s="35">
        <v>2025</v>
      </c>
    </row>
    <row r="9" spans="1:14" hidden="1" x14ac:dyDescent="0.35">
      <c r="A9" t="s">
        <v>579</v>
      </c>
      <c r="B9" t="s">
        <v>37</v>
      </c>
      <c r="C9" t="s">
        <v>35</v>
      </c>
      <c r="D9" t="s">
        <v>129</v>
      </c>
      <c r="E9" t="s">
        <v>580</v>
      </c>
      <c r="F9" t="s">
        <v>581</v>
      </c>
      <c r="G9" t="s">
        <v>396</v>
      </c>
      <c r="H9">
        <v>93.156180000000006</v>
      </c>
      <c r="I9">
        <v>89.802149999999997</v>
      </c>
      <c r="J9">
        <v>83.669110000000003</v>
      </c>
      <c r="K9">
        <v>83.789280000000005</v>
      </c>
      <c r="L9">
        <v>76.998130000000003</v>
      </c>
      <c r="M9">
        <v>63.32902</v>
      </c>
      <c r="N9">
        <v>52.86486</v>
      </c>
    </row>
    <row r="10" spans="1:14" hidden="1" x14ac:dyDescent="0.35">
      <c r="A10" t="s">
        <v>579</v>
      </c>
      <c r="B10" t="s">
        <v>37</v>
      </c>
      <c r="C10" t="s">
        <v>35</v>
      </c>
      <c r="D10" t="s">
        <v>129</v>
      </c>
      <c r="E10" t="s">
        <v>580</v>
      </c>
      <c r="F10" t="s">
        <v>581</v>
      </c>
      <c r="G10" t="s">
        <v>25</v>
      </c>
      <c r="H10">
        <v>30.405370000000001</v>
      </c>
      <c r="I10">
        <v>29.22289</v>
      </c>
      <c r="J10">
        <v>27.396730000000002</v>
      </c>
      <c r="K10">
        <v>27.698799999999999</v>
      </c>
      <c r="L10">
        <v>25.512519999999999</v>
      </c>
      <c r="M10">
        <v>20.990860000000001</v>
      </c>
      <c r="N10">
        <v>17.503689999999999</v>
      </c>
    </row>
    <row r="11" spans="1:14" hidden="1" x14ac:dyDescent="0.35">
      <c r="A11" t="s">
        <v>579</v>
      </c>
      <c r="B11" t="s">
        <v>37</v>
      </c>
      <c r="C11" t="s">
        <v>35</v>
      </c>
      <c r="D11" t="s">
        <v>129</v>
      </c>
      <c r="E11" t="s">
        <v>580</v>
      </c>
      <c r="F11" t="s">
        <v>26</v>
      </c>
      <c r="G11" t="s">
        <v>26</v>
      </c>
      <c r="H11">
        <v>33.021500000000003</v>
      </c>
      <c r="I11">
        <v>32.002220000000001</v>
      </c>
      <c r="J11">
        <v>30.079820000000002</v>
      </c>
      <c r="K11">
        <v>30.053419999999999</v>
      </c>
      <c r="L11">
        <v>27.538119999999999</v>
      </c>
      <c r="M11">
        <v>22.705929999999999</v>
      </c>
      <c r="N11">
        <v>18.989080000000001</v>
      </c>
    </row>
    <row r="12" spans="1:14" hidden="1" x14ac:dyDescent="0.35">
      <c r="A12" t="s">
        <v>579</v>
      </c>
      <c r="B12" t="s">
        <v>37</v>
      </c>
      <c r="C12" t="s">
        <v>35</v>
      </c>
      <c r="D12" t="s">
        <v>129</v>
      </c>
      <c r="E12" t="s">
        <v>582</v>
      </c>
      <c r="F12" t="s">
        <v>581</v>
      </c>
      <c r="G12" t="s">
        <v>396</v>
      </c>
      <c r="H12">
        <v>7.9025780000000001</v>
      </c>
      <c r="I12">
        <v>8.6111660000000008</v>
      </c>
      <c r="J12">
        <v>9.0749019999999998</v>
      </c>
      <c r="K12">
        <v>8.2939240000000005</v>
      </c>
      <c r="L12">
        <v>6.6189</v>
      </c>
      <c r="M12">
        <v>5.1640860000000002</v>
      </c>
      <c r="N12">
        <v>4.2508530000000002</v>
      </c>
    </row>
    <row r="13" spans="1:14" hidden="1" x14ac:dyDescent="0.35">
      <c r="A13" t="s">
        <v>579</v>
      </c>
      <c r="B13" t="s">
        <v>37</v>
      </c>
      <c r="C13" t="s">
        <v>35</v>
      </c>
      <c r="D13" t="s">
        <v>129</v>
      </c>
      <c r="E13" t="s">
        <v>582</v>
      </c>
      <c r="F13" t="s">
        <v>581</v>
      </c>
      <c r="G13" t="s">
        <v>25</v>
      </c>
      <c r="H13">
        <v>3.2838409999999998</v>
      </c>
      <c r="I13">
        <v>3.4282300000000001</v>
      </c>
      <c r="J13">
        <v>3.5101200000000001</v>
      </c>
      <c r="K13">
        <v>3.18058</v>
      </c>
      <c r="L13">
        <v>2.559558</v>
      </c>
      <c r="M13">
        <v>2.0256310000000002</v>
      </c>
      <c r="N13">
        <v>1.6815279999999999</v>
      </c>
    </row>
    <row r="14" spans="1:14" hidden="1" x14ac:dyDescent="0.35">
      <c r="A14" t="s">
        <v>579</v>
      </c>
      <c r="B14" t="s">
        <v>37</v>
      </c>
      <c r="C14" t="s">
        <v>35</v>
      </c>
      <c r="D14" t="s">
        <v>129</v>
      </c>
      <c r="E14" t="s">
        <v>582</v>
      </c>
      <c r="F14" t="s">
        <v>26</v>
      </c>
      <c r="G14" t="s">
        <v>26</v>
      </c>
      <c r="H14">
        <v>3.5954079999999999</v>
      </c>
      <c r="I14">
        <v>3.7062270000000002</v>
      </c>
      <c r="J14">
        <v>3.7725970000000002</v>
      </c>
      <c r="K14">
        <v>3.4095279999999999</v>
      </c>
      <c r="L14">
        <v>2.7517770000000001</v>
      </c>
      <c r="M14">
        <v>2.1892369999999999</v>
      </c>
      <c r="N14">
        <v>1.8231010000000001</v>
      </c>
    </row>
    <row r="15" spans="1:14" hidden="1" x14ac:dyDescent="0.35">
      <c r="A15" t="s">
        <v>579</v>
      </c>
      <c r="B15" t="s">
        <v>37</v>
      </c>
      <c r="C15" t="s">
        <v>35</v>
      </c>
      <c r="D15" t="s">
        <v>129</v>
      </c>
      <c r="E15" t="s">
        <v>583</v>
      </c>
      <c r="F15" t="s">
        <v>581</v>
      </c>
      <c r="G15" t="s">
        <v>396</v>
      </c>
      <c r="H15">
        <v>2.7107459999999999</v>
      </c>
      <c r="I15">
        <v>2.3900549999999998</v>
      </c>
      <c r="J15">
        <v>2.0970170000000001</v>
      </c>
      <c r="K15">
        <v>1.8636379999999999</v>
      </c>
      <c r="L15">
        <v>1.8484579999999999</v>
      </c>
      <c r="M15">
        <v>1.690075</v>
      </c>
      <c r="N15">
        <v>1.4687619999999999</v>
      </c>
    </row>
    <row r="16" spans="1:14" hidden="1" x14ac:dyDescent="0.35">
      <c r="A16" t="s">
        <v>579</v>
      </c>
      <c r="B16" t="s">
        <v>37</v>
      </c>
      <c r="C16" t="s">
        <v>35</v>
      </c>
      <c r="D16" t="s">
        <v>129</v>
      </c>
      <c r="E16" t="s">
        <v>583</v>
      </c>
      <c r="F16" t="s">
        <v>581</v>
      </c>
      <c r="G16" t="s">
        <v>25</v>
      </c>
      <c r="H16">
        <v>0.81322190000000005</v>
      </c>
      <c r="I16">
        <v>0.71699729999999995</v>
      </c>
      <c r="J16">
        <v>0.62910410000000005</v>
      </c>
      <c r="K16">
        <v>0.55909039999999999</v>
      </c>
      <c r="L16">
        <v>0.55453909999999995</v>
      </c>
      <c r="M16">
        <v>0.50702360000000002</v>
      </c>
      <c r="N16">
        <v>0.44062630000000003</v>
      </c>
    </row>
    <row r="17" spans="1:14" hidden="1" x14ac:dyDescent="0.35">
      <c r="A17" t="s">
        <v>579</v>
      </c>
      <c r="B17" t="s">
        <v>37</v>
      </c>
      <c r="C17" t="s">
        <v>35</v>
      </c>
      <c r="D17" t="s">
        <v>129</v>
      </c>
      <c r="E17" t="s">
        <v>583</v>
      </c>
      <c r="F17" t="s">
        <v>26</v>
      </c>
      <c r="G17" t="s">
        <v>26</v>
      </c>
      <c r="H17">
        <v>0.99393969999999998</v>
      </c>
      <c r="I17">
        <v>0.87632880000000002</v>
      </c>
      <c r="J17">
        <v>0.76890689999999995</v>
      </c>
      <c r="K17">
        <v>0.68333429999999995</v>
      </c>
      <c r="L17">
        <v>0.6777649</v>
      </c>
      <c r="M17">
        <v>0.61969370000000001</v>
      </c>
      <c r="N17">
        <v>0.53854519999999995</v>
      </c>
    </row>
    <row r="18" spans="1:14" hidden="1" x14ac:dyDescent="0.35">
      <c r="A18" t="s">
        <v>579</v>
      </c>
      <c r="B18" t="s">
        <v>37</v>
      </c>
      <c r="C18" t="s">
        <v>35</v>
      </c>
      <c r="D18" t="s">
        <v>129</v>
      </c>
      <c r="E18" t="s">
        <v>584</v>
      </c>
      <c r="F18" t="s">
        <v>581</v>
      </c>
      <c r="G18" t="s">
        <v>396</v>
      </c>
      <c r="H18">
        <v>8.0273970000000004E-4</v>
      </c>
      <c r="I18">
        <v>0</v>
      </c>
    </row>
    <row r="19" spans="1:14" hidden="1" x14ac:dyDescent="0.35">
      <c r="A19" t="s">
        <v>579</v>
      </c>
      <c r="B19" t="s">
        <v>37</v>
      </c>
      <c r="C19" t="s">
        <v>35</v>
      </c>
      <c r="D19" t="s">
        <v>129</v>
      </c>
      <c r="E19" t="s">
        <v>584</v>
      </c>
      <c r="F19" t="s">
        <v>581</v>
      </c>
      <c r="G19" t="s">
        <v>24</v>
      </c>
      <c r="H19">
        <v>8.0273970000000004E-4</v>
      </c>
      <c r="I19">
        <v>0</v>
      </c>
    </row>
    <row r="20" spans="1:14" hidden="1" x14ac:dyDescent="0.35">
      <c r="A20" t="s">
        <v>579</v>
      </c>
      <c r="B20" t="s">
        <v>37</v>
      </c>
      <c r="C20" t="s">
        <v>35</v>
      </c>
      <c r="D20" t="s">
        <v>129</v>
      </c>
      <c r="E20" t="s">
        <v>584</v>
      </c>
      <c r="F20" t="s">
        <v>26</v>
      </c>
      <c r="G20" t="s">
        <v>26</v>
      </c>
      <c r="H20">
        <v>1.3749640000000001</v>
      </c>
      <c r="I20">
        <v>1.347737</v>
      </c>
      <c r="J20">
        <v>1.3208500000000001</v>
      </c>
      <c r="K20">
        <v>1.2841549999999999</v>
      </c>
      <c r="L20">
        <v>1.2333590000000001</v>
      </c>
      <c r="M20">
        <v>1.157964</v>
      </c>
      <c r="N20">
        <v>1.091815</v>
      </c>
    </row>
    <row r="21" spans="1:14" hidden="1" x14ac:dyDescent="0.35">
      <c r="A21" t="s">
        <v>579</v>
      </c>
      <c r="B21" t="s">
        <v>37</v>
      </c>
      <c r="C21" t="s">
        <v>35</v>
      </c>
      <c r="D21" t="s">
        <v>39</v>
      </c>
      <c r="E21" t="s">
        <v>582</v>
      </c>
      <c r="F21" t="s">
        <v>581</v>
      </c>
      <c r="G21" t="s">
        <v>396</v>
      </c>
      <c r="H21">
        <v>89.160550000000001</v>
      </c>
      <c r="I21">
        <v>89.206130000000002</v>
      </c>
      <c r="J21">
        <v>69.107529999999997</v>
      </c>
      <c r="K21">
        <v>52.591090000000001</v>
      </c>
      <c r="L21">
        <v>42.190860000000001</v>
      </c>
      <c r="M21">
        <v>35.935749999999999</v>
      </c>
      <c r="N21">
        <v>31.898969999999998</v>
      </c>
    </row>
    <row r="22" spans="1:14" hidden="1" x14ac:dyDescent="0.35">
      <c r="A22" t="s">
        <v>579</v>
      </c>
      <c r="B22" t="s">
        <v>37</v>
      </c>
      <c r="C22" t="s">
        <v>35</v>
      </c>
      <c r="D22" t="s">
        <v>39</v>
      </c>
      <c r="E22" t="s">
        <v>582</v>
      </c>
      <c r="F22" t="s">
        <v>581</v>
      </c>
      <c r="G22" t="s">
        <v>25</v>
      </c>
      <c r="H22">
        <v>43.060490000000001</v>
      </c>
      <c r="I22">
        <v>43.031440000000003</v>
      </c>
      <c r="J22">
        <v>33.375790000000002</v>
      </c>
      <c r="K22">
        <v>25.399100000000001</v>
      </c>
      <c r="L22">
        <v>20.376270000000002</v>
      </c>
      <c r="M22">
        <v>17.355329999999999</v>
      </c>
      <c r="N22">
        <v>15.405749999999999</v>
      </c>
    </row>
    <row r="23" spans="1:14" hidden="1" x14ac:dyDescent="0.35">
      <c r="A23" t="s">
        <v>579</v>
      </c>
      <c r="B23" t="s">
        <v>37</v>
      </c>
      <c r="C23" t="s">
        <v>35</v>
      </c>
      <c r="D23" t="s">
        <v>39</v>
      </c>
      <c r="E23" t="s">
        <v>582</v>
      </c>
      <c r="F23" t="s">
        <v>26</v>
      </c>
      <c r="G23" t="s">
        <v>26</v>
      </c>
      <c r="H23">
        <v>34.448390000000003</v>
      </c>
      <c r="I23">
        <v>34.425150000000002</v>
      </c>
      <c r="J23">
        <v>26.70064</v>
      </c>
      <c r="K23">
        <v>20.319279999999999</v>
      </c>
      <c r="L23">
        <v>16.301010000000002</v>
      </c>
      <c r="M23">
        <v>13.884270000000001</v>
      </c>
      <c r="N23">
        <v>12.3246</v>
      </c>
    </row>
    <row r="24" spans="1:14" hidden="1" x14ac:dyDescent="0.35">
      <c r="A24" t="s">
        <v>579</v>
      </c>
      <c r="B24" t="s">
        <v>37</v>
      </c>
      <c r="C24" t="s">
        <v>35</v>
      </c>
      <c r="D24" t="s">
        <v>39</v>
      </c>
      <c r="E24" t="s">
        <v>585</v>
      </c>
      <c r="F24" t="s">
        <v>581</v>
      </c>
      <c r="G24" t="s">
        <v>396</v>
      </c>
      <c r="H24">
        <v>0.4035589</v>
      </c>
      <c r="I24">
        <v>0.35592600000000002</v>
      </c>
      <c r="J24">
        <v>0.31229869999999998</v>
      </c>
      <c r="K24">
        <v>0.28843289999999999</v>
      </c>
      <c r="L24">
        <v>0.2564302</v>
      </c>
      <c r="M24">
        <v>0.22406300000000001</v>
      </c>
      <c r="N24">
        <v>0.1960028</v>
      </c>
    </row>
    <row r="25" spans="1:14" hidden="1" x14ac:dyDescent="0.35">
      <c r="A25" t="s">
        <v>579</v>
      </c>
      <c r="B25" t="s">
        <v>37</v>
      </c>
      <c r="C25" t="s">
        <v>35</v>
      </c>
      <c r="D25" t="s">
        <v>39</v>
      </c>
      <c r="E25" t="s">
        <v>585</v>
      </c>
      <c r="F25" t="s">
        <v>581</v>
      </c>
      <c r="G25" t="s">
        <v>25</v>
      </c>
      <c r="H25">
        <v>0.10089040000000001</v>
      </c>
      <c r="I25">
        <v>8.8980820000000002E-2</v>
      </c>
      <c r="J25">
        <v>7.8073980000000001E-2</v>
      </c>
      <c r="K25">
        <v>7.2112339999999997E-2</v>
      </c>
      <c r="L25">
        <v>6.4104110000000006E-2</v>
      </c>
      <c r="M25">
        <v>5.60137E-2</v>
      </c>
      <c r="N25">
        <v>4.9000000000000002E-2</v>
      </c>
    </row>
    <row r="26" spans="1:14" hidden="1" x14ac:dyDescent="0.35">
      <c r="A26" t="s">
        <v>579</v>
      </c>
      <c r="B26" t="s">
        <v>37</v>
      </c>
      <c r="C26" t="s">
        <v>35</v>
      </c>
      <c r="D26" t="s">
        <v>39</v>
      </c>
      <c r="E26" t="s">
        <v>585</v>
      </c>
      <c r="F26" t="s">
        <v>26</v>
      </c>
      <c r="G26" t="s">
        <v>26</v>
      </c>
      <c r="H26">
        <v>0.12611230000000001</v>
      </c>
      <c r="I26">
        <v>0.1112274</v>
      </c>
      <c r="J26">
        <v>9.7591780000000003E-2</v>
      </c>
      <c r="K26">
        <v>9.0134249999999999E-2</v>
      </c>
      <c r="L26">
        <v>8.0134250000000004E-2</v>
      </c>
      <c r="M26">
        <v>7.001918E-2</v>
      </c>
      <c r="N26">
        <v>6.1249320000000003E-2</v>
      </c>
    </row>
    <row r="27" spans="1:14" hidden="1" x14ac:dyDescent="0.35">
      <c r="A27" t="s">
        <v>579</v>
      </c>
      <c r="B27" t="s">
        <v>37</v>
      </c>
      <c r="C27" t="s">
        <v>35</v>
      </c>
      <c r="D27" t="s">
        <v>38</v>
      </c>
      <c r="E27" t="s">
        <v>584</v>
      </c>
      <c r="F27" t="s">
        <v>581</v>
      </c>
      <c r="G27" t="s">
        <v>396</v>
      </c>
      <c r="H27">
        <v>72.70138</v>
      </c>
      <c r="I27">
        <v>58.410670000000003</v>
      </c>
      <c r="J27">
        <v>47.01332</v>
      </c>
      <c r="K27">
        <v>37.549399999999999</v>
      </c>
      <c r="L27">
        <v>29.536989999999999</v>
      </c>
      <c r="M27">
        <v>22.68412</v>
      </c>
      <c r="N27">
        <v>5.9109829999999999</v>
      </c>
    </row>
    <row r="28" spans="1:14" hidden="1" x14ac:dyDescent="0.35">
      <c r="A28" t="s">
        <v>579</v>
      </c>
      <c r="B28" t="s">
        <v>37</v>
      </c>
      <c r="C28" t="s">
        <v>35</v>
      </c>
      <c r="D28" t="s">
        <v>38</v>
      </c>
      <c r="E28" t="s">
        <v>584</v>
      </c>
      <c r="F28" t="s">
        <v>581</v>
      </c>
      <c r="G28" t="s">
        <v>24</v>
      </c>
      <c r="H28">
        <v>1.008219</v>
      </c>
      <c r="I28">
        <v>0.87627120000000003</v>
      </c>
      <c r="J28">
        <v>0.77083900000000005</v>
      </c>
      <c r="K28">
        <v>0.67914140000000001</v>
      </c>
      <c r="L28">
        <v>0.59448440000000002</v>
      </c>
      <c r="M28">
        <v>0.51074189999999997</v>
      </c>
      <c r="N28">
        <v>1.7904110000000001E-2</v>
      </c>
    </row>
    <row r="29" spans="1:14" hidden="1" x14ac:dyDescent="0.35">
      <c r="A29" t="s">
        <v>579</v>
      </c>
      <c r="B29" t="s">
        <v>37</v>
      </c>
      <c r="C29" t="s">
        <v>35</v>
      </c>
      <c r="D29" t="s">
        <v>38</v>
      </c>
      <c r="E29" t="s">
        <v>584</v>
      </c>
      <c r="F29" t="s">
        <v>581</v>
      </c>
      <c r="G29" t="s">
        <v>25</v>
      </c>
      <c r="H29">
        <v>20.11918</v>
      </c>
      <c r="I29">
        <v>19.308330000000002</v>
      </c>
      <c r="J29">
        <v>18.61131</v>
      </c>
      <c r="K29">
        <v>17.857209999999998</v>
      </c>
      <c r="L29">
        <v>16.969090000000001</v>
      </c>
      <c r="M29">
        <v>15.79621</v>
      </c>
      <c r="N29">
        <v>1.200529</v>
      </c>
    </row>
    <row r="30" spans="1:14" hidden="1" x14ac:dyDescent="0.35">
      <c r="A30" t="s">
        <v>579</v>
      </c>
      <c r="B30" t="s">
        <v>37</v>
      </c>
      <c r="C30" t="s">
        <v>35</v>
      </c>
      <c r="D30" t="s">
        <v>38</v>
      </c>
      <c r="E30" t="s">
        <v>584</v>
      </c>
      <c r="F30" t="s">
        <v>26</v>
      </c>
      <c r="G30" t="s">
        <v>26</v>
      </c>
      <c r="H30">
        <v>5.3465749999999996</v>
      </c>
      <c r="I30">
        <v>5.0169319999999997</v>
      </c>
      <c r="J30">
        <v>4.7142309999999998</v>
      </c>
      <c r="K30">
        <v>4.4098420000000003</v>
      </c>
      <c r="L30">
        <v>4.0936469999999998</v>
      </c>
      <c r="M30">
        <v>3.750521</v>
      </c>
      <c r="N30">
        <v>2.1334810000000002</v>
      </c>
    </row>
    <row r="31" spans="1:14" hidden="1" x14ac:dyDescent="0.35">
      <c r="A31" t="s">
        <v>579</v>
      </c>
      <c r="B31" t="s">
        <v>37</v>
      </c>
      <c r="C31" t="s">
        <v>35</v>
      </c>
      <c r="D31" t="s">
        <v>38</v>
      </c>
      <c r="E31" t="s">
        <v>586</v>
      </c>
      <c r="F31" t="s">
        <v>581</v>
      </c>
      <c r="G31" t="s">
        <v>396</v>
      </c>
      <c r="H31">
        <v>0.2849315</v>
      </c>
      <c r="I31">
        <v>0.2212247</v>
      </c>
      <c r="J31">
        <v>0.18600269999999999</v>
      </c>
      <c r="K31">
        <v>0.16651830000000001</v>
      </c>
      <c r="L31">
        <v>0.18658520000000001</v>
      </c>
      <c r="M31">
        <v>0.15420110000000001</v>
      </c>
      <c r="N31">
        <v>0.12747130000000001</v>
      </c>
    </row>
    <row r="32" spans="1:14" hidden="1" x14ac:dyDescent="0.35">
      <c r="A32" t="s">
        <v>579</v>
      </c>
      <c r="B32" t="s">
        <v>37</v>
      </c>
      <c r="C32" t="s">
        <v>35</v>
      </c>
      <c r="D32" t="s">
        <v>38</v>
      </c>
      <c r="E32" t="s">
        <v>586</v>
      </c>
      <c r="F32" t="s">
        <v>581</v>
      </c>
      <c r="G32" t="s">
        <v>25</v>
      </c>
      <c r="H32">
        <v>4.3835609999999997E-2</v>
      </c>
      <c r="I32">
        <v>3.7926029999999999E-2</v>
      </c>
      <c r="J32">
        <v>3.1884929999999999E-2</v>
      </c>
      <c r="K32">
        <v>2.8544110000000001E-2</v>
      </c>
      <c r="L32">
        <v>3.1987399999999999E-2</v>
      </c>
      <c r="M32">
        <v>2.6433970000000001E-2</v>
      </c>
      <c r="N32">
        <v>2.1850959999999999E-2</v>
      </c>
    </row>
    <row r="33" spans="1:14" hidden="1" x14ac:dyDescent="0.35">
      <c r="A33" t="s">
        <v>579</v>
      </c>
      <c r="B33" t="s">
        <v>37</v>
      </c>
      <c r="C33" t="s">
        <v>35</v>
      </c>
      <c r="D33" t="s">
        <v>38</v>
      </c>
      <c r="E33" t="s">
        <v>586</v>
      </c>
      <c r="F33" t="s">
        <v>26</v>
      </c>
      <c r="G33" t="s">
        <v>26</v>
      </c>
      <c r="H33">
        <v>2.1917809999999999E-2</v>
      </c>
      <c r="I33">
        <v>5.6887680000000003E-2</v>
      </c>
      <c r="J33">
        <v>4.7830129999999998E-2</v>
      </c>
      <c r="K33">
        <v>4.2817540000000001E-2</v>
      </c>
      <c r="L33">
        <v>4.7979719999999997E-2</v>
      </c>
      <c r="M33">
        <v>3.9652050000000001E-2</v>
      </c>
      <c r="N33">
        <v>3.2779179999999998E-2</v>
      </c>
    </row>
    <row r="34" spans="1:14" hidden="1" x14ac:dyDescent="0.35">
      <c r="A34" t="s">
        <v>579</v>
      </c>
      <c r="B34" t="s">
        <v>37</v>
      </c>
      <c r="C34" t="s">
        <v>35</v>
      </c>
      <c r="D34" t="s">
        <v>190</v>
      </c>
      <c r="E34" t="s">
        <v>584</v>
      </c>
      <c r="F34" t="s">
        <v>581</v>
      </c>
      <c r="G34" t="s">
        <v>396</v>
      </c>
      <c r="H34">
        <v>42.980820000000001</v>
      </c>
      <c r="I34">
        <v>33.764249999999997</v>
      </c>
      <c r="J34">
        <v>31.049859999999999</v>
      </c>
      <c r="K34">
        <v>28.224740000000001</v>
      </c>
      <c r="L34">
        <v>25.185649999999999</v>
      </c>
      <c r="M34">
        <v>22.10988</v>
      </c>
      <c r="N34">
        <v>19.362269999999999</v>
      </c>
    </row>
    <row r="35" spans="1:14" hidden="1" x14ac:dyDescent="0.35">
      <c r="A35" t="s">
        <v>579</v>
      </c>
      <c r="B35" t="s">
        <v>37</v>
      </c>
      <c r="C35" t="s">
        <v>35</v>
      </c>
      <c r="D35" t="s">
        <v>190</v>
      </c>
      <c r="E35" t="s">
        <v>584</v>
      </c>
      <c r="F35" t="s">
        <v>581</v>
      </c>
      <c r="G35" t="s">
        <v>25</v>
      </c>
      <c r="H35">
        <v>9.3150650000000006</v>
      </c>
      <c r="I35">
        <v>7.1171949999999997</v>
      </c>
      <c r="J35">
        <v>6.6266249999999998</v>
      </c>
      <c r="K35">
        <v>6.0506060000000002</v>
      </c>
      <c r="L35">
        <v>5.4071069999999999</v>
      </c>
      <c r="M35">
        <v>4.7523900000000001</v>
      </c>
      <c r="N35">
        <v>4.1638799999999998</v>
      </c>
    </row>
    <row r="36" spans="1:14" hidden="1" x14ac:dyDescent="0.35">
      <c r="A36" t="s">
        <v>579</v>
      </c>
      <c r="B36" t="s">
        <v>37</v>
      </c>
      <c r="C36" t="s">
        <v>35</v>
      </c>
      <c r="D36" t="s">
        <v>190</v>
      </c>
      <c r="E36" t="s">
        <v>584</v>
      </c>
      <c r="F36" t="s">
        <v>26</v>
      </c>
      <c r="G36" t="s">
        <v>26</v>
      </c>
      <c r="H36">
        <v>1.950685</v>
      </c>
      <c r="I36">
        <v>5.6957769999999996</v>
      </c>
      <c r="J36">
        <v>5.2851889999999999</v>
      </c>
      <c r="K36">
        <v>4.8185010000000004</v>
      </c>
      <c r="L36">
        <v>4.3039249999999996</v>
      </c>
      <c r="M36">
        <v>3.7810899999999998</v>
      </c>
      <c r="N36">
        <v>3.312243</v>
      </c>
    </row>
    <row r="37" spans="1:14" hidden="1" x14ac:dyDescent="0.35">
      <c r="A37" t="s">
        <v>579</v>
      </c>
      <c r="B37" t="s">
        <v>37</v>
      </c>
      <c r="C37" t="s">
        <v>35</v>
      </c>
      <c r="D37" t="s">
        <v>163</v>
      </c>
      <c r="E37" t="s">
        <v>580</v>
      </c>
      <c r="F37" t="s">
        <v>581</v>
      </c>
      <c r="G37" t="s">
        <v>396</v>
      </c>
      <c r="H37">
        <v>23.189260000000001</v>
      </c>
      <c r="I37">
        <v>24.139769999999999</v>
      </c>
      <c r="J37">
        <v>24.749089999999999</v>
      </c>
      <c r="K37">
        <v>23.936129999999999</v>
      </c>
      <c r="L37">
        <v>21.328900000000001</v>
      </c>
      <c r="M37">
        <v>18.79487</v>
      </c>
      <c r="N37">
        <v>16.604150000000001</v>
      </c>
    </row>
    <row r="38" spans="1:14" hidden="1" x14ac:dyDescent="0.35">
      <c r="A38" t="s">
        <v>579</v>
      </c>
      <c r="B38" t="s">
        <v>37</v>
      </c>
      <c r="C38" t="s">
        <v>35</v>
      </c>
      <c r="D38" t="s">
        <v>163</v>
      </c>
      <c r="E38" t="s">
        <v>580</v>
      </c>
      <c r="F38" t="s">
        <v>581</v>
      </c>
      <c r="G38" t="s">
        <v>25</v>
      </c>
      <c r="H38">
        <v>7.6143830000000001</v>
      </c>
      <c r="I38">
        <v>7.9000209999999997</v>
      </c>
      <c r="J38">
        <v>8.1265669999999997</v>
      </c>
      <c r="K38">
        <v>7.8596300000000001</v>
      </c>
      <c r="L38">
        <v>7.0035189999999998</v>
      </c>
      <c r="M38">
        <v>6.1714450000000003</v>
      </c>
      <c r="N38">
        <v>5.4521110000000004</v>
      </c>
    </row>
    <row r="39" spans="1:14" hidden="1" x14ac:dyDescent="0.35">
      <c r="A39" t="s">
        <v>579</v>
      </c>
      <c r="B39" t="s">
        <v>37</v>
      </c>
      <c r="C39" t="s">
        <v>35</v>
      </c>
      <c r="D39" t="s">
        <v>163</v>
      </c>
      <c r="E39" t="s">
        <v>580</v>
      </c>
      <c r="F39" t="s">
        <v>26</v>
      </c>
      <c r="G39" t="s">
        <v>26</v>
      </c>
      <c r="H39">
        <v>3.8071920000000001</v>
      </c>
      <c r="I39">
        <v>3.9500109999999999</v>
      </c>
      <c r="J39">
        <v>4.0632820000000001</v>
      </c>
      <c r="K39">
        <v>3.9298139999999999</v>
      </c>
      <c r="L39">
        <v>3.50176</v>
      </c>
      <c r="M39">
        <v>3.0857269999999999</v>
      </c>
      <c r="N39">
        <v>2.7260550000000001</v>
      </c>
    </row>
    <row r="40" spans="1:14" hidden="1" x14ac:dyDescent="0.35">
      <c r="A40" t="s">
        <v>579</v>
      </c>
      <c r="B40" t="s">
        <v>37</v>
      </c>
      <c r="C40" t="s">
        <v>35</v>
      </c>
      <c r="D40" t="s">
        <v>36</v>
      </c>
      <c r="E40" t="s">
        <v>587</v>
      </c>
      <c r="F40" t="s">
        <v>581</v>
      </c>
      <c r="G40" t="s">
        <v>396</v>
      </c>
      <c r="H40">
        <v>11.86411</v>
      </c>
      <c r="I40">
        <v>10.24053</v>
      </c>
      <c r="J40">
        <v>9.2989350000000002</v>
      </c>
      <c r="K40">
        <v>8.3159650000000003</v>
      </c>
      <c r="L40">
        <v>7.2922029999999998</v>
      </c>
      <c r="M40">
        <v>6.425357</v>
      </c>
      <c r="N40">
        <v>5.6359310000000002</v>
      </c>
    </row>
    <row r="41" spans="1:14" hidden="1" x14ac:dyDescent="0.35">
      <c r="A41" t="s">
        <v>579</v>
      </c>
      <c r="B41" t="s">
        <v>37</v>
      </c>
      <c r="C41" t="s">
        <v>35</v>
      </c>
      <c r="D41" t="s">
        <v>36</v>
      </c>
      <c r="E41" t="s">
        <v>587</v>
      </c>
      <c r="F41" t="s">
        <v>581</v>
      </c>
      <c r="G41" t="s">
        <v>25</v>
      </c>
      <c r="H41">
        <v>4.8657560000000002</v>
      </c>
      <c r="I41">
        <v>4.2611749999999997</v>
      </c>
      <c r="J41">
        <v>3.8745590000000001</v>
      </c>
      <c r="K41">
        <v>3.4649890000000001</v>
      </c>
      <c r="L41">
        <v>3.0384169999999999</v>
      </c>
      <c r="M41">
        <v>2.6772300000000002</v>
      </c>
      <c r="N41">
        <v>2.3483100000000001</v>
      </c>
    </row>
    <row r="42" spans="1:14" hidden="1" x14ac:dyDescent="0.35">
      <c r="A42" t="s">
        <v>579</v>
      </c>
      <c r="B42" t="s">
        <v>37</v>
      </c>
      <c r="C42" t="s">
        <v>35</v>
      </c>
      <c r="D42" t="s">
        <v>36</v>
      </c>
      <c r="E42" t="s">
        <v>587</v>
      </c>
      <c r="F42" t="s">
        <v>26</v>
      </c>
      <c r="G42" t="s">
        <v>26</v>
      </c>
      <c r="H42">
        <v>0.94904109999999997</v>
      </c>
      <c r="I42">
        <v>2.5567069999999998</v>
      </c>
      <c r="J42">
        <v>2.3247339999999999</v>
      </c>
      <c r="K42">
        <v>2.078992</v>
      </c>
      <c r="L42">
        <v>1.8230519999999999</v>
      </c>
      <c r="M42">
        <v>1.6063400000000001</v>
      </c>
      <c r="N42">
        <v>1.408981</v>
      </c>
    </row>
    <row r="43" spans="1:14" hidden="1" x14ac:dyDescent="0.35">
      <c r="A43" t="s">
        <v>579</v>
      </c>
      <c r="B43" t="s">
        <v>37</v>
      </c>
      <c r="C43" t="s">
        <v>35</v>
      </c>
      <c r="D43" t="s">
        <v>36</v>
      </c>
      <c r="E43" t="s">
        <v>588</v>
      </c>
      <c r="F43" t="s">
        <v>581</v>
      </c>
      <c r="G43" t="s">
        <v>396</v>
      </c>
      <c r="H43">
        <v>8.468655</v>
      </c>
      <c r="I43">
        <v>8.1753730000000004</v>
      </c>
      <c r="J43">
        <v>6.8662359999999998</v>
      </c>
      <c r="K43">
        <v>5.699211</v>
      </c>
      <c r="L43">
        <v>4.854425</v>
      </c>
      <c r="M43">
        <v>4.2265069999999998</v>
      </c>
      <c r="N43">
        <v>3.6911149999999999</v>
      </c>
    </row>
    <row r="44" spans="1:14" hidden="1" x14ac:dyDescent="0.35">
      <c r="A44" t="s">
        <v>579</v>
      </c>
      <c r="B44" t="s">
        <v>37</v>
      </c>
      <c r="C44" t="s">
        <v>35</v>
      </c>
      <c r="D44" t="s">
        <v>36</v>
      </c>
      <c r="E44" t="s">
        <v>588</v>
      </c>
      <c r="F44" t="s">
        <v>581</v>
      </c>
      <c r="G44" t="s">
        <v>25</v>
      </c>
      <c r="H44">
        <v>1.693732</v>
      </c>
      <c r="I44">
        <v>1.635068</v>
      </c>
      <c r="J44">
        <v>1.3732470000000001</v>
      </c>
      <c r="K44">
        <v>1.1398440000000001</v>
      </c>
      <c r="L44">
        <v>0.97088220000000003</v>
      </c>
      <c r="M44">
        <v>0.84530130000000003</v>
      </c>
      <c r="N44">
        <v>0.73822460000000001</v>
      </c>
    </row>
    <row r="45" spans="1:14" hidden="1" x14ac:dyDescent="0.35">
      <c r="A45" t="s">
        <v>579</v>
      </c>
      <c r="B45" t="s">
        <v>37</v>
      </c>
      <c r="C45" t="s">
        <v>35</v>
      </c>
      <c r="D45" t="s">
        <v>36</v>
      </c>
      <c r="E45" t="s">
        <v>588</v>
      </c>
      <c r="F45" t="s">
        <v>26</v>
      </c>
      <c r="G45" t="s">
        <v>26</v>
      </c>
      <c r="H45">
        <v>2.8663150000000002</v>
      </c>
      <c r="I45">
        <v>2.7670499999999998</v>
      </c>
      <c r="J45">
        <v>2.3239559999999999</v>
      </c>
      <c r="K45">
        <v>1.928965</v>
      </c>
      <c r="L45">
        <v>1.6430359999999999</v>
      </c>
      <c r="M45">
        <v>1.4305099999999999</v>
      </c>
      <c r="N45">
        <v>1.249301</v>
      </c>
    </row>
    <row r="46" spans="1:14" hidden="1" x14ac:dyDescent="0.35">
      <c r="A46" t="s">
        <v>579</v>
      </c>
      <c r="B46" t="s">
        <v>37</v>
      </c>
      <c r="C46" t="s">
        <v>35</v>
      </c>
      <c r="D46" t="s">
        <v>36</v>
      </c>
      <c r="E46" t="s">
        <v>589</v>
      </c>
      <c r="F46" t="s">
        <v>581</v>
      </c>
      <c r="G46" t="s">
        <v>396</v>
      </c>
      <c r="H46">
        <v>0</v>
      </c>
      <c r="I46">
        <v>0.48702089999999998</v>
      </c>
      <c r="J46">
        <v>1.3706419999999999</v>
      </c>
      <c r="K46">
        <v>1.5648919999999999</v>
      </c>
      <c r="L46">
        <v>1.7144090000000001</v>
      </c>
      <c r="M46">
        <v>1.1738409999999999</v>
      </c>
      <c r="N46">
        <v>0.83922790000000003</v>
      </c>
    </row>
    <row r="47" spans="1:14" hidden="1" x14ac:dyDescent="0.35">
      <c r="A47" t="s">
        <v>579</v>
      </c>
      <c r="B47" t="s">
        <v>37</v>
      </c>
      <c r="C47" t="s">
        <v>35</v>
      </c>
      <c r="D47" t="s">
        <v>36</v>
      </c>
      <c r="E47" t="s">
        <v>589</v>
      </c>
      <c r="F47" t="s">
        <v>581</v>
      </c>
      <c r="G47" t="s">
        <v>25</v>
      </c>
      <c r="H47">
        <v>0</v>
      </c>
      <c r="I47">
        <v>6.0873969999999999E-2</v>
      </c>
      <c r="J47">
        <v>0.17133039999999999</v>
      </c>
      <c r="K47">
        <v>0.19561210000000001</v>
      </c>
      <c r="L47">
        <v>0.21430250000000001</v>
      </c>
      <c r="M47">
        <v>0.14672769999999999</v>
      </c>
      <c r="N47">
        <v>0.1049052</v>
      </c>
    </row>
    <row r="48" spans="1:14" hidden="1" x14ac:dyDescent="0.35">
      <c r="A48" t="s">
        <v>579</v>
      </c>
      <c r="B48" t="s">
        <v>37</v>
      </c>
      <c r="C48" t="s">
        <v>35</v>
      </c>
      <c r="D48" t="s">
        <v>36</v>
      </c>
      <c r="E48" t="s">
        <v>589</v>
      </c>
      <c r="F48" t="s">
        <v>26</v>
      </c>
      <c r="G48" t="s">
        <v>26</v>
      </c>
      <c r="H48">
        <v>0</v>
      </c>
      <c r="I48">
        <v>6.0876720000000002E-2</v>
      </c>
      <c r="J48">
        <v>0.17133039999999999</v>
      </c>
      <c r="K48">
        <v>0.19561100000000001</v>
      </c>
      <c r="L48">
        <v>0.21430189999999999</v>
      </c>
      <c r="M48">
        <v>0.1467299</v>
      </c>
      <c r="N48">
        <v>0.1049052</v>
      </c>
    </row>
    <row r="49" spans="1:14" hidden="1" x14ac:dyDescent="0.35">
      <c r="A49" t="s">
        <v>579</v>
      </c>
      <c r="B49" t="s">
        <v>37</v>
      </c>
      <c r="C49" t="s">
        <v>35</v>
      </c>
      <c r="D49" t="s">
        <v>189</v>
      </c>
      <c r="E49" t="s">
        <v>590</v>
      </c>
      <c r="F49" t="s">
        <v>581</v>
      </c>
      <c r="G49" t="s">
        <v>396</v>
      </c>
      <c r="H49">
        <v>12.535450000000001</v>
      </c>
      <c r="I49">
        <v>11.67342</v>
      </c>
      <c r="J49">
        <v>10.749499999999999</v>
      </c>
      <c r="K49">
        <v>9.6373990000000003</v>
      </c>
      <c r="L49">
        <v>8.7681500000000003</v>
      </c>
      <c r="M49">
        <v>7.5062889999999998</v>
      </c>
      <c r="N49">
        <v>6.534338</v>
      </c>
    </row>
    <row r="50" spans="1:14" hidden="1" x14ac:dyDescent="0.35">
      <c r="A50" t="s">
        <v>579</v>
      </c>
      <c r="B50" t="s">
        <v>37</v>
      </c>
      <c r="C50" t="s">
        <v>35</v>
      </c>
      <c r="D50" t="s">
        <v>189</v>
      </c>
      <c r="E50" t="s">
        <v>590</v>
      </c>
      <c r="F50" t="s">
        <v>581</v>
      </c>
      <c r="G50" t="s">
        <v>25</v>
      </c>
      <c r="H50">
        <v>4.1025119999999999</v>
      </c>
      <c r="I50">
        <v>3.8244310000000001</v>
      </c>
      <c r="J50">
        <v>3.5657369999999999</v>
      </c>
      <c r="K50">
        <v>3.2093250000000002</v>
      </c>
      <c r="L50">
        <v>2.9275310000000001</v>
      </c>
      <c r="M50">
        <v>2.5078680000000002</v>
      </c>
      <c r="N50">
        <v>2.1882519999999999</v>
      </c>
    </row>
    <row r="51" spans="1:14" hidden="1" x14ac:dyDescent="0.35">
      <c r="A51" t="s">
        <v>579</v>
      </c>
      <c r="B51" t="s">
        <v>37</v>
      </c>
      <c r="C51" t="s">
        <v>35</v>
      </c>
      <c r="D51" t="s">
        <v>189</v>
      </c>
      <c r="E51" t="s">
        <v>590</v>
      </c>
      <c r="F51" t="s">
        <v>26</v>
      </c>
      <c r="G51" t="s">
        <v>26</v>
      </c>
      <c r="H51">
        <v>6.1537670000000002</v>
      </c>
      <c r="I51">
        <v>5.7063100000000002</v>
      </c>
      <c r="J51">
        <v>5.2293070000000004</v>
      </c>
      <c r="K51">
        <v>4.6758220000000001</v>
      </c>
      <c r="L51">
        <v>4.2464050000000002</v>
      </c>
      <c r="M51">
        <v>3.6336430000000002</v>
      </c>
      <c r="N51">
        <v>3.158026</v>
      </c>
    </row>
    <row r="52" spans="1:14" hidden="1" x14ac:dyDescent="0.35">
      <c r="A52" t="s">
        <v>579</v>
      </c>
      <c r="B52" t="s">
        <v>37</v>
      </c>
      <c r="C52" t="s">
        <v>35</v>
      </c>
      <c r="D52" t="s">
        <v>189</v>
      </c>
      <c r="E52" t="s">
        <v>586</v>
      </c>
      <c r="F52" t="s">
        <v>581</v>
      </c>
      <c r="G52" t="s">
        <v>396</v>
      </c>
      <c r="H52">
        <v>3.3139719999999998E-2</v>
      </c>
      <c r="I52">
        <v>2.9238360000000001E-2</v>
      </c>
      <c r="J52">
        <v>2.565479E-2</v>
      </c>
      <c r="K52">
        <v>3.053589E-2</v>
      </c>
      <c r="L52">
        <v>3.2041100000000003E-2</v>
      </c>
      <c r="M52">
        <v>2.6214790000000002E-2</v>
      </c>
      <c r="N52">
        <v>2.140274E-2</v>
      </c>
    </row>
    <row r="53" spans="1:14" hidden="1" x14ac:dyDescent="0.35">
      <c r="A53" t="s">
        <v>579</v>
      </c>
      <c r="B53" t="s">
        <v>37</v>
      </c>
      <c r="C53" t="s">
        <v>35</v>
      </c>
      <c r="D53" t="s">
        <v>189</v>
      </c>
      <c r="E53" t="s">
        <v>586</v>
      </c>
      <c r="F53" t="s">
        <v>581</v>
      </c>
      <c r="G53" t="s">
        <v>25</v>
      </c>
      <c r="H53">
        <v>1.104658E-2</v>
      </c>
      <c r="I53">
        <v>9.7452059999999993E-3</v>
      </c>
      <c r="J53">
        <v>8.5506850000000006E-3</v>
      </c>
      <c r="K53">
        <v>1.018082E-2</v>
      </c>
      <c r="L53">
        <v>1.067836E-2</v>
      </c>
      <c r="M53">
        <v>8.7375339999999999E-3</v>
      </c>
      <c r="N53">
        <v>7.1331509999999999E-3</v>
      </c>
    </row>
    <row r="54" spans="1:14" hidden="1" x14ac:dyDescent="0.35">
      <c r="A54" t="s">
        <v>579</v>
      </c>
      <c r="B54" t="s">
        <v>37</v>
      </c>
      <c r="C54" t="s">
        <v>35</v>
      </c>
      <c r="D54" t="s">
        <v>189</v>
      </c>
      <c r="E54" t="s">
        <v>586</v>
      </c>
      <c r="F54" t="s">
        <v>26</v>
      </c>
      <c r="G54" t="s">
        <v>26</v>
      </c>
      <c r="H54">
        <v>1.104658E-2</v>
      </c>
      <c r="I54">
        <v>9.7452059999999993E-3</v>
      </c>
      <c r="J54">
        <v>8.5506850000000006E-3</v>
      </c>
      <c r="K54">
        <v>1.0178629999999999E-2</v>
      </c>
      <c r="L54">
        <v>1.0681100000000001E-2</v>
      </c>
      <c r="M54">
        <v>8.7375330000000005E-3</v>
      </c>
      <c r="N54">
        <v>7.1358899999999998E-3</v>
      </c>
    </row>
    <row r="55" spans="1:14" hidden="1" x14ac:dyDescent="0.35">
      <c r="A55" t="s">
        <v>579</v>
      </c>
      <c r="B55" t="s">
        <v>37</v>
      </c>
      <c r="C55" t="s">
        <v>35</v>
      </c>
      <c r="D55" t="s">
        <v>207</v>
      </c>
      <c r="E55" t="s">
        <v>591</v>
      </c>
      <c r="F55" t="s">
        <v>581</v>
      </c>
      <c r="G55" t="s">
        <v>396</v>
      </c>
      <c r="H55">
        <v>1.9311510000000001</v>
      </c>
      <c r="I55">
        <v>1.885839</v>
      </c>
      <c r="J55">
        <v>1.7465079999999999</v>
      </c>
      <c r="K55">
        <v>1.6772899999999999</v>
      </c>
      <c r="L55">
        <v>1.4536070000000001</v>
      </c>
      <c r="M55">
        <v>1.198129</v>
      </c>
      <c r="N55">
        <v>1.02494</v>
      </c>
    </row>
    <row r="56" spans="1:14" hidden="1" x14ac:dyDescent="0.35">
      <c r="A56" t="s">
        <v>579</v>
      </c>
      <c r="B56" t="s">
        <v>37</v>
      </c>
      <c r="C56" t="s">
        <v>35</v>
      </c>
      <c r="D56" t="s">
        <v>207</v>
      </c>
      <c r="E56" t="s">
        <v>591</v>
      </c>
      <c r="F56" t="s">
        <v>581</v>
      </c>
      <c r="G56" t="s">
        <v>25</v>
      </c>
      <c r="H56">
        <v>0.683948</v>
      </c>
      <c r="I56">
        <v>0.66779069999999996</v>
      </c>
      <c r="J56">
        <v>0.61855669999999996</v>
      </c>
      <c r="K56">
        <v>0.59403839999999997</v>
      </c>
      <c r="L56">
        <v>0.51481809999999995</v>
      </c>
      <c r="M56">
        <v>0.42433759999999998</v>
      </c>
      <c r="N56">
        <v>0.3629983</v>
      </c>
    </row>
    <row r="57" spans="1:14" hidden="1" x14ac:dyDescent="0.35">
      <c r="A57" t="s">
        <v>579</v>
      </c>
      <c r="B57" t="s">
        <v>37</v>
      </c>
      <c r="C57" t="s">
        <v>35</v>
      </c>
      <c r="D57" t="s">
        <v>207</v>
      </c>
      <c r="E57" t="s">
        <v>591</v>
      </c>
      <c r="F57" t="s">
        <v>26</v>
      </c>
      <c r="G57" t="s">
        <v>26</v>
      </c>
      <c r="H57">
        <v>0.683948</v>
      </c>
      <c r="I57">
        <v>0.66779230000000001</v>
      </c>
      <c r="J57">
        <v>0.61855510000000002</v>
      </c>
      <c r="K57">
        <v>0.59404000000000001</v>
      </c>
      <c r="L57">
        <v>0.51482030000000001</v>
      </c>
      <c r="M57">
        <v>0.4243364</v>
      </c>
      <c r="N57">
        <v>0.3630005</v>
      </c>
    </row>
    <row r="58" spans="1:14" hidden="1" x14ac:dyDescent="0.35">
      <c r="A58" t="s">
        <v>579</v>
      </c>
      <c r="B58" t="s">
        <v>37</v>
      </c>
      <c r="C58" t="s">
        <v>35</v>
      </c>
      <c r="D58" t="s">
        <v>207</v>
      </c>
      <c r="E58" t="s">
        <v>592</v>
      </c>
      <c r="F58" t="s">
        <v>581</v>
      </c>
      <c r="G58" t="s">
        <v>396</v>
      </c>
      <c r="H58">
        <v>9.802466E-2</v>
      </c>
      <c r="I58">
        <v>8.4846580000000005E-2</v>
      </c>
      <c r="J58">
        <v>7.4254790000000001E-2</v>
      </c>
      <c r="K58">
        <v>6.5342460000000005E-2</v>
      </c>
      <c r="L58">
        <v>7.6311779999999996E-2</v>
      </c>
      <c r="M58">
        <v>6.7897540000000006E-2</v>
      </c>
      <c r="N58">
        <v>5.4983020000000001E-2</v>
      </c>
    </row>
    <row r="59" spans="1:14" hidden="1" x14ac:dyDescent="0.35">
      <c r="A59" t="s">
        <v>579</v>
      </c>
      <c r="B59" t="s">
        <v>37</v>
      </c>
      <c r="C59" t="s">
        <v>35</v>
      </c>
      <c r="D59" t="s">
        <v>207</v>
      </c>
      <c r="E59" t="s">
        <v>592</v>
      </c>
      <c r="F59" t="s">
        <v>581</v>
      </c>
      <c r="G59" t="s">
        <v>25</v>
      </c>
      <c r="H59">
        <v>1.7854789999999999E-2</v>
      </c>
      <c r="I59">
        <v>1.545479E-2</v>
      </c>
      <c r="J59">
        <v>1.352603E-2</v>
      </c>
      <c r="K59">
        <v>1.190137E-2</v>
      </c>
      <c r="L59">
        <v>1.3900279999999999E-2</v>
      </c>
      <c r="M59">
        <v>1.2368219999999999E-2</v>
      </c>
      <c r="N59">
        <v>1.00137E-2</v>
      </c>
    </row>
    <row r="60" spans="1:14" hidden="1" x14ac:dyDescent="0.35">
      <c r="A60" t="s">
        <v>579</v>
      </c>
      <c r="B60" t="s">
        <v>37</v>
      </c>
      <c r="C60" t="s">
        <v>35</v>
      </c>
      <c r="D60" t="s">
        <v>207</v>
      </c>
      <c r="E60" t="s">
        <v>592</v>
      </c>
      <c r="F60" t="s">
        <v>26</v>
      </c>
      <c r="G60" t="s">
        <v>26</v>
      </c>
      <c r="H60">
        <v>2.678082E-2</v>
      </c>
      <c r="I60">
        <v>2.3180820000000001E-2</v>
      </c>
      <c r="J60">
        <v>2.0287670000000001E-2</v>
      </c>
      <c r="K60">
        <v>1.7852050000000001E-2</v>
      </c>
      <c r="L60">
        <v>2.0849320000000001E-2</v>
      </c>
      <c r="M60">
        <v>1.855178E-2</v>
      </c>
      <c r="N60">
        <v>1.502302E-2</v>
      </c>
    </row>
    <row r="61" spans="1:14" hidden="1" x14ac:dyDescent="0.35">
      <c r="A61" t="s">
        <v>579</v>
      </c>
      <c r="B61" t="s">
        <v>37</v>
      </c>
      <c r="C61" t="s">
        <v>35</v>
      </c>
      <c r="D61" t="s">
        <v>207</v>
      </c>
      <c r="E61" t="s">
        <v>586</v>
      </c>
      <c r="F61" t="s">
        <v>581</v>
      </c>
      <c r="G61" t="s">
        <v>25</v>
      </c>
      <c r="M61">
        <v>0</v>
      </c>
      <c r="N61">
        <v>-3.1894609999999998E-11</v>
      </c>
    </row>
    <row r="62" spans="1:14" hidden="1" x14ac:dyDescent="0.35">
      <c r="A62" t="s">
        <v>579</v>
      </c>
      <c r="B62" t="s">
        <v>37</v>
      </c>
      <c r="C62" t="s">
        <v>35</v>
      </c>
      <c r="D62" t="s">
        <v>207</v>
      </c>
      <c r="E62" t="s">
        <v>586</v>
      </c>
      <c r="F62" t="s">
        <v>26</v>
      </c>
      <c r="G62" t="s">
        <v>26</v>
      </c>
      <c r="M62">
        <v>0</v>
      </c>
      <c r="N62">
        <v>0</v>
      </c>
    </row>
    <row r="63" spans="1:14" hidden="1" x14ac:dyDescent="0.35">
      <c r="A63" t="s">
        <v>579</v>
      </c>
      <c r="B63" t="s">
        <v>37</v>
      </c>
      <c r="C63" t="s">
        <v>35</v>
      </c>
      <c r="D63" t="s">
        <v>233</v>
      </c>
      <c r="E63" t="s">
        <v>588</v>
      </c>
      <c r="F63" t="s">
        <v>581</v>
      </c>
      <c r="G63" t="s">
        <v>396</v>
      </c>
      <c r="H63">
        <v>0</v>
      </c>
      <c r="I63">
        <v>0.19136</v>
      </c>
      <c r="J63">
        <v>0.45812659999999999</v>
      </c>
      <c r="K63">
        <v>0.6201797</v>
      </c>
      <c r="L63">
        <v>0.90063459999999995</v>
      </c>
      <c r="M63">
        <v>0.61197210000000002</v>
      </c>
      <c r="N63">
        <v>0.43826029999999999</v>
      </c>
    </row>
    <row r="64" spans="1:14" hidden="1" x14ac:dyDescent="0.35">
      <c r="A64" t="s">
        <v>579</v>
      </c>
      <c r="B64" t="s">
        <v>37</v>
      </c>
      <c r="C64" t="s">
        <v>35</v>
      </c>
      <c r="D64" t="s">
        <v>233</v>
      </c>
      <c r="E64" t="s">
        <v>588</v>
      </c>
      <c r="F64" t="s">
        <v>581</v>
      </c>
      <c r="G64" t="s">
        <v>25</v>
      </c>
      <c r="H64">
        <v>0</v>
      </c>
      <c r="I64">
        <v>2.3917810000000001E-2</v>
      </c>
      <c r="J64">
        <v>5.726904E-2</v>
      </c>
      <c r="K64">
        <v>7.7522190000000005E-2</v>
      </c>
      <c r="L64">
        <v>0.1125792</v>
      </c>
      <c r="M64">
        <v>7.6499739999999997E-2</v>
      </c>
      <c r="N64">
        <v>5.4781379999999998E-2</v>
      </c>
    </row>
    <row r="65" spans="1:14" hidden="1" x14ac:dyDescent="0.35">
      <c r="A65" t="s">
        <v>579</v>
      </c>
      <c r="B65" t="s">
        <v>37</v>
      </c>
      <c r="C65" t="s">
        <v>35</v>
      </c>
      <c r="D65" t="s">
        <v>233</v>
      </c>
      <c r="E65" t="s">
        <v>588</v>
      </c>
      <c r="F65" t="s">
        <v>26</v>
      </c>
      <c r="G65" t="s">
        <v>26</v>
      </c>
      <c r="H65">
        <v>0</v>
      </c>
      <c r="I65">
        <v>2.392E-2</v>
      </c>
      <c r="J65">
        <v>5.7266850000000001E-2</v>
      </c>
      <c r="K65">
        <v>7.7524940000000001E-2</v>
      </c>
      <c r="L65">
        <v>0.1125797</v>
      </c>
      <c r="M65">
        <v>7.6496990000000001E-2</v>
      </c>
      <c r="N65">
        <v>5.4781370000000003E-2</v>
      </c>
    </row>
    <row r="66" spans="1:14" hidden="1" x14ac:dyDescent="0.35">
      <c r="A66" t="s">
        <v>579</v>
      </c>
      <c r="B66" t="s">
        <v>37</v>
      </c>
      <c r="C66" t="s">
        <v>218</v>
      </c>
      <c r="D66" t="s">
        <v>218</v>
      </c>
      <c r="E66" t="s">
        <v>593</v>
      </c>
      <c r="F66" t="s">
        <v>581</v>
      </c>
      <c r="G66" t="s">
        <v>396</v>
      </c>
      <c r="H66">
        <v>94.686210000000003</v>
      </c>
      <c r="I66">
        <v>73.962580000000003</v>
      </c>
      <c r="J66">
        <v>70.660709999999995</v>
      </c>
      <c r="K66">
        <v>63.965809999999998</v>
      </c>
      <c r="L66">
        <v>53.258159999999997</v>
      </c>
      <c r="M66">
        <v>46.696770000000001</v>
      </c>
      <c r="N66">
        <v>42.079329999999999</v>
      </c>
    </row>
    <row r="67" spans="1:14" hidden="1" x14ac:dyDescent="0.35">
      <c r="A67" t="s">
        <v>579</v>
      </c>
      <c r="B67" t="s">
        <v>37</v>
      </c>
      <c r="C67" t="s">
        <v>218</v>
      </c>
      <c r="D67" t="s">
        <v>218</v>
      </c>
      <c r="E67" t="s">
        <v>593</v>
      </c>
      <c r="F67" t="s">
        <v>581</v>
      </c>
      <c r="G67" t="s">
        <v>24</v>
      </c>
      <c r="H67">
        <v>10.198309999999999</v>
      </c>
      <c r="I67">
        <v>27.812169999999998</v>
      </c>
      <c r="J67">
        <v>29.19323</v>
      </c>
      <c r="K67">
        <v>26.403210000000001</v>
      </c>
      <c r="L67">
        <v>21.96067</v>
      </c>
      <c r="M67">
        <v>19.198429999999998</v>
      </c>
      <c r="N67">
        <v>17.247170000000001</v>
      </c>
    </row>
    <row r="68" spans="1:14" hidden="1" x14ac:dyDescent="0.35">
      <c r="A68" t="s">
        <v>579</v>
      </c>
      <c r="B68" t="s">
        <v>37</v>
      </c>
      <c r="C68" t="s">
        <v>218</v>
      </c>
      <c r="D68" t="s">
        <v>218</v>
      </c>
      <c r="E68" t="s">
        <v>593</v>
      </c>
      <c r="F68" t="s">
        <v>581</v>
      </c>
      <c r="G68" t="s">
        <v>25</v>
      </c>
      <c r="H68">
        <v>66.805030000000002</v>
      </c>
      <c r="I68">
        <v>61.765599999999999</v>
      </c>
      <c r="J68">
        <v>59.04956</v>
      </c>
      <c r="K68">
        <v>53.479889999999997</v>
      </c>
      <c r="L68">
        <v>44.499000000000002</v>
      </c>
      <c r="M68">
        <v>38.933010000000003</v>
      </c>
      <c r="N68">
        <v>34.995510000000003</v>
      </c>
    </row>
    <row r="69" spans="1:14" hidden="1" x14ac:dyDescent="0.35">
      <c r="A69" t="s">
        <v>579</v>
      </c>
      <c r="B69" t="s">
        <v>37</v>
      </c>
      <c r="C69" t="s">
        <v>218</v>
      </c>
      <c r="D69" t="s">
        <v>218</v>
      </c>
      <c r="E69" t="s">
        <v>593</v>
      </c>
      <c r="F69" t="s">
        <v>26</v>
      </c>
      <c r="G69" t="s">
        <v>26</v>
      </c>
      <c r="H69">
        <v>105.423</v>
      </c>
      <c r="I69">
        <v>111.7542</v>
      </c>
      <c r="J69">
        <v>106.48950000000001</v>
      </c>
      <c r="K69">
        <v>96.187759999999997</v>
      </c>
      <c r="L69">
        <v>79.947140000000005</v>
      </c>
      <c r="M69">
        <v>69.765410000000003</v>
      </c>
      <c r="N69">
        <v>62.568260000000002</v>
      </c>
    </row>
    <row r="70" spans="1:14" hidden="1" x14ac:dyDescent="0.35">
      <c r="A70" t="s">
        <v>579</v>
      </c>
      <c r="B70" t="s">
        <v>37</v>
      </c>
      <c r="C70" t="s">
        <v>218</v>
      </c>
      <c r="D70" t="s">
        <v>218</v>
      </c>
      <c r="E70" t="s">
        <v>584</v>
      </c>
      <c r="F70" t="s">
        <v>581</v>
      </c>
      <c r="G70" t="s">
        <v>396</v>
      </c>
      <c r="H70">
        <v>4.8607810000000002</v>
      </c>
      <c r="I70">
        <v>3.4713449999999999</v>
      </c>
      <c r="J70">
        <v>3.114633</v>
      </c>
      <c r="K70">
        <v>2.8021240000000001</v>
      </c>
      <c r="L70">
        <v>2.521096</v>
      </c>
      <c r="M70">
        <v>2.2730359999999998</v>
      </c>
      <c r="N70">
        <v>2.0378959999999999</v>
      </c>
    </row>
    <row r="71" spans="1:14" hidden="1" x14ac:dyDescent="0.35">
      <c r="A71" t="s">
        <v>579</v>
      </c>
      <c r="B71" t="s">
        <v>37</v>
      </c>
      <c r="C71" t="s">
        <v>218</v>
      </c>
      <c r="D71" t="s">
        <v>218</v>
      </c>
      <c r="E71" t="s">
        <v>584</v>
      </c>
      <c r="F71" t="s">
        <v>581</v>
      </c>
      <c r="G71" t="s">
        <v>25</v>
      </c>
      <c r="H71">
        <v>3.0658759999999998</v>
      </c>
      <c r="I71">
        <v>2.5657749999999999</v>
      </c>
      <c r="J71">
        <v>2.3021150000000001</v>
      </c>
      <c r="K71">
        <v>2.0711339999999998</v>
      </c>
      <c r="L71">
        <v>1.8634189999999999</v>
      </c>
      <c r="M71">
        <v>1.6800679999999999</v>
      </c>
      <c r="N71">
        <v>1.5062709999999999</v>
      </c>
    </row>
    <row r="72" spans="1:14" hidden="1" x14ac:dyDescent="0.35">
      <c r="A72" t="s">
        <v>579</v>
      </c>
      <c r="B72" t="s">
        <v>37</v>
      </c>
      <c r="C72" t="s">
        <v>218</v>
      </c>
      <c r="D72" t="s">
        <v>218</v>
      </c>
      <c r="E72" t="s">
        <v>584</v>
      </c>
      <c r="F72" t="s">
        <v>26</v>
      </c>
      <c r="G72" t="s">
        <v>26</v>
      </c>
      <c r="H72">
        <v>9.3906569999999991</v>
      </c>
      <c r="I72">
        <v>9.0556739999999998</v>
      </c>
      <c r="J72">
        <v>8.1251259999999998</v>
      </c>
      <c r="K72">
        <v>7.3098850000000004</v>
      </c>
      <c r="L72">
        <v>6.5767730000000002</v>
      </c>
      <c r="M72">
        <v>5.9296600000000002</v>
      </c>
      <c r="N72">
        <v>5.316255</v>
      </c>
    </row>
    <row r="73" spans="1:14" hidden="1" x14ac:dyDescent="0.35">
      <c r="A73" t="s">
        <v>579</v>
      </c>
      <c r="B73" t="s">
        <v>37</v>
      </c>
      <c r="C73" t="s">
        <v>218</v>
      </c>
      <c r="D73" t="s">
        <v>218</v>
      </c>
      <c r="E73" t="s">
        <v>594</v>
      </c>
      <c r="F73" t="s">
        <v>581</v>
      </c>
      <c r="G73" t="s">
        <v>396</v>
      </c>
      <c r="H73">
        <v>1.941918</v>
      </c>
      <c r="I73">
        <v>1.777919</v>
      </c>
      <c r="J73">
        <v>1.7793330000000001</v>
      </c>
      <c r="K73">
        <v>1.5154559999999999</v>
      </c>
      <c r="L73">
        <v>1.4094770000000001</v>
      </c>
      <c r="M73">
        <v>1.1544380000000001</v>
      </c>
      <c r="N73">
        <v>1.20252</v>
      </c>
    </row>
    <row r="74" spans="1:14" hidden="1" x14ac:dyDescent="0.35">
      <c r="A74" t="s">
        <v>579</v>
      </c>
      <c r="B74" t="s">
        <v>37</v>
      </c>
      <c r="C74" t="s">
        <v>218</v>
      </c>
      <c r="D74" t="s">
        <v>218</v>
      </c>
      <c r="E74" t="s">
        <v>594</v>
      </c>
      <c r="F74" t="s">
        <v>581</v>
      </c>
      <c r="G74" t="s">
        <v>25</v>
      </c>
      <c r="H74">
        <v>0.12808220000000001</v>
      </c>
      <c r="I74">
        <v>0.1237655</v>
      </c>
      <c r="J74">
        <v>0.1223069</v>
      </c>
      <c r="K74">
        <v>0.1044789</v>
      </c>
      <c r="L74">
        <v>9.6683290000000005E-2</v>
      </c>
      <c r="M74">
        <v>7.9734239999999998E-2</v>
      </c>
      <c r="N74">
        <v>8.1809859999999998E-2</v>
      </c>
    </row>
    <row r="75" spans="1:14" hidden="1" x14ac:dyDescent="0.35">
      <c r="A75" t="s">
        <v>579</v>
      </c>
      <c r="B75" t="s">
        <v>37</v>
      </c>
      <c r="C75" t="s">
        <v>218</v>
      </c>
      <c r="D75" t="s">
        <v>218</v>
      </c>
      <c r="E75" t="s">
        <v>594</v>
      </c>
      <c r="F75" t="s">
        <v>26</v>
      </c>
      <c r="G75" t="s">
        <v>26</v>
      </c>
      <c r="H75">
        <v>0.18863009999999999</v>
      </c>
      <c r="I75">
        <v>0.2158148</v>
      </c>
      <c r="J75">
        <v>0.21677750000000001</v>
      </c>
      <c r="K75">
        <v>0.1844729</v>
      </c>
      <c r="L75">
        <v>0.17181750000000001</v>
      </c>
      <c r="M75">
        <v>0.14045369999999999</v>
      </c>
      <c r="N75">
        <v>0.14693539999999999</v>
      </c>
    </row>
    <row r="76" spans="1:14" hidden="1" x14ac:dyDescent="0.35">
      <c r="A76" t="s">
        <v>579</v>
      </c>
      <c r="B76" t="s">
        <v>37</v>
      </c>
      <c r="C76" t="s">
        <v>61</v>
      </c>
      <c r="D76" t="s">
        <v>62</v>
      </c>
      <c r="E76" t="s">
        <v>584</v>
      </c>
      <c r="F76" t="s">
        <v>581</v>
      </c>
      <c r="G76" t="s">
        <v>396</v>
      </c>
      <c r="H76">
        <v>109.90049999999999</v>
      </c>
      <c r="I76">
        <v>98.846549999999993</v>
      </c>
      <c r="J76">
        <v>89.358519999999999</v>
      </c>
      <c r="K76">
        <v>79.008129999999994</v>
      </c>
      <c r="L76">
        <v>68.569299999999998</v>
      </c>
      <c r="M76">
        <v>56.145670000000003</v>
      </c>
      <c r="N76">
        <v>45.690660000000001</v>
      </c>
    </row>
    <row r="77" spans="1:14" hidden="1" x14ac:dyDescent="0.35">
      <c r="A77" t="s">
        <v>579</v>
      </c>
      <c r="B77" t="s">
        <v>37</v>
      </c>
      <c r="C77" t="s">
        <v>61</v>
      </c>
      <c r="D77" t="s">
        <v>62</v>
      </c>
      <c r="E77" t="s">
        <v>584</v>
      </c>
      <c r="F77" t="s">
        <v>581</v>
      </c>
      <c r="G77" t="s">
        <v>24</v>
      </c>
      <c r="H77">
        <v>8.7227080000000008</v>
      </c>
      <c r="I77">
        <v>6.9673129999999999</v>
      </c>
      <c r="J77">
        <v>5.6268580000000004</v>
      </c>
      <c r="K77">
        <v>4.3716670000000004</v>
      </c>
      <c r="L77">
        <v>3.3696570000000001</v>
      </c>
      <c r="M77">
        <v>2.558462</v>
      </c>
      <c r="N77">
        <v>1.895411</v>
      </c>
    </row>
    <row r="78" spans="1:14" hidden="1" x14ac:dyDescent="0.35">
      <c r="A78" t="s">
        <v>579</v>
      </c>
      <c r="B78" t="s">
        <v>37</v>
      </c>
      <c r="C78" t="s">
        <v>61</v>
      </c>
      <c r="D78" t="s">
        <v>62</v>
      </c>
      <c r="E78" t="s">
        <v>584</v>
      </c>
      <c r="F78" t="s">
        <v>581</v>
      </c>
      <c r="G78" t="s">
        <v>25</v>
      </c>
      <c r="H78">
        <v>11.466699999999999</v>
      </c>
      <c r="I78">
        <v>8.7260190000000009</v>
      </c>
      <c r="J78">
        <v>6.6697660000000001</v>
      </c>
      <c r="K78">
        <v>5.240882</v>
      </c>
      <c r="L78">
        <v>4.1243499999999997</v>
      </c>
      <c r="M78">
        <v>3.111675</v>
      </c>
      <c r="N78">
        <v>2.2798280000000002</v>
      </c>
    </row>
    <row r="79" spans="1:14" hidden="1" x14ac:dyDescent="0.35">
      <c r="A79" t="s">
        <v>579</v>
      </c>
      <c r="B79" t="s">
        <v>37</v>
      </c>
      <c r="C79" t="s">
        <v>61</v>
      </c>
      <c r="D79" t="s">
        <v>62</v>
      </c>
      <c r="E79" t="s">
        <v>584</v>
      </c>
      <c r="F79" t="s">
        <v>26</v>
      </c>
      <c r="G79" t="s">
        <v>26</v>
      </c>
      <c r="H79">
        <v>17.00018</v>
      </c>
      <c r="I79">
        <v>15.55602</v>
      </c>
      <c r="J79">
        <v>13.715199999999999</v>
      </c>
      <c r="K79">
        <v>12.047040000000001</v>
      </c>
      <c r="L79">
        <v>10.585710000000001</v>
      </c>
      <c r="M79">
        <v>8.5771599999999992</v>
      </c>
      <c r="N79">
        <v>6.54129</v>
      </c>
    </row>
    <row r="80" spans="1:14" hidden="1" x14ac:dyDescent="0.35">
      <c r="A80" t="s">
        <v>579</v>
      </c>
      <c r="B80" t="s">
        <v>37</v>
      </c>
      <c r="C80" t="s">
        <v>99</v>
      </c>
      <c r="D80" t="s">
        <v>101</v>
      </c>
      <c r="E80" t="s">
        <v>584</v>
      </c>
      <c r="F80" t="s">
        <v>581</v>
      </c>
      <c r="G80" t="s">
        <v>396</v>
      </c>
      <c r="H80">
        <v>1.5456490000000001</v>
      </c>
      <c r="I80">
        <v>1.2557229999999999</v>
      </c>
      <c r="J80">
        <v>1.0748390000000001</v>
      </c>
      <c r="K80">
        <v>0.94170520000000002</v>
      </c>
      <c r="L80">
        <v>0.83816610000000003</v>
      </c>
      <c r="M80">
        <v>0.75027840000000001</v>
      </c>
      <c r="N80">
        <v>0.67029810000000001</v>
      </c>
    </row>
    <row r="81" spans="1:14" hidden="1" x14ac:dyDescent="0.35">
      <c r="A81" t="s">
        <v>579</v>
      </c>
      <c r="B81" t="s">
        <v>37</v>
      </c>
      <c r="C81" t="s">
        <v>99</v>
      </c>
      <c r="D81" t="s">
        <v>101</v>
      </c>
      <c r="E81" t="s">
        <v>584</v>
      </c>
      <c r="F81" t="s">
        <v>581</v>
      </c>
      <c r="G81" t="s">
        <v>25</v>
      </c>
      <c r="H81">
        <v>6.381284</v>
      </c>
      <c r="I81">
        <v>5.3446040000000004</v>
      </c>
      <c r="J81">
        <v>4.6414030000000004</v>
      </c>
      <c r="K81">
        <v>4.1009289999999998</v>
      </c>
      <c r="L81">
        <v>3.6629510000000001</v>
      </c>
      <c r="M81">
        <v>3.2872669999999999</v>
      </c>
      <c r="N81">
        <v>2.9410470000000002</v>
      </c>
    </row>
    <row r="82" spans="1:14" hidden="1" x14ac:dyDescent="0.35">
      <c r="A82" t="s">
        <v>579</v>
      </c>
      <c r="B82" t="s">
        <v>37</v>
      </c>
      <c r="C82" t="s">
        <v>99</v>
      </c>
      <c r="D82" t="s">
        <v>101</v>
      </c>
      <c r="E82" t="s">
        <v>584</v>
      </c>
      <c r="F82" t="s">
        <v>26</v>
      </c>
      <c r="G82" t="s">
        <v>26</v>
      </c>
      <c r="H82">
        <v>40.150939999999999</v>
      </c>
      <c r="I82">
        <v>34.031289999999998</v>
      </c>
      <c r="J82">
        <v>29.84526</v>
      </c>
      <c r="K82">
        <v>26.590050000000002</v>
      </c>
      <c r="L82">
        <v>23.906949999999998</v>
      </c>
      <c r="M82">
        <v>21.54466</v>
      </c>
      <c r="N82">
        <v>19.372900000000001</v>
      </c>
    </row>
    <row r="83" spans="1:14" hidden="1" x14ac:dyDescent="0.35">
      <c r="A83" t="s">
        <v>579</v>
      </c>
      <c r="B83" t="s">
        <v>37</v>
      </c>
      <c r="C83" t="s">
        <v>115</v>
      </c>
      <c r="D83" t="s">
        <v>115</v>
      </c>
      <c r="E83" t="s">
        <v>595</v>
      </c>
      <c r="F83" t="s">
        <v>581</v>
      </c>
      <c r="G83" t="s">
        <v>396</v>
      </c>
      <c r="H83">
        <v>1.9819230000000001</v>
      </c>
      <c r="I83">
        <v>3.1400999999999999</v>
      </c>
      <c r="J83">
        <v>3.41045</v>
      </c>
      <c r="K83">
        <v>3.2621120000000001</v>
      </c>
      <c r="L83">
        <v>2.421405</v>
      </c>
      <c r="M83">
        <v>1.7687630000000001</v>
      </c>
      <c r="N83">
        <v>1.370082</v>
      </c>
    </row>
    <row r="84" spans="1:14" hidden="1" x14ac:dyDescent="0.35">
      <c r="A84" t="s">
        <v>579</v>
      </c>
      <c r="B84" t="s">
        <v>37</v>
      </c>
      <c r="C84" t="s">
        <v>115</v>
      </c>
      <c r="D84" t="s">
        <v>115</v>
      </c>
      <c r="E84" t="s">
        <v>595</v>
      </c>
      <c r="F84" t="s">
        <v>581</v>
      </c>
      <c r="G84" t="s">
        <v>25</v>
      </c>
      <c r="H84">
        <v>0.35096709999999998</v>
      </c>
      <c r="I84">
        <v>0.5534926</v>
      </c>
      <c r="J84">
        <v>0.60393370000000002</v>
      </c>
      <c r="K84">
        <v>0.5776635</v>
      </c>
      <c r="L84">
        <v>0.42878899999999998</v>
      </c>
      <c r="M84">
        <v>0.31321919999999998</v>
      </c>
      <c r="N84">
        <v>0.242617</v>
      </c>
    </row>
    <row r="85" spans="1:14" hidden="1" x14ac:dyDescent="0.35">
      <c r="A85" t="s">
        <v>579</v>
      </c>
      <c r="B85" t="s">
        <v>37</v>
      </c>
      <c r="C85" t="s">
        <v>115</v>
      </c>
      <c r="D85" t="s">
        <v>115</v>
      </c>
      <c r="E85" t="s">
        <v>595</v>
      </c>
      <c r="F85" t="s">
        <v>26</v>
      </c>
      <c r="G85" t="s">
        <v>26</v>
      </c>
      <c r="H85">
        <v>1.0528960000000001</v>
      </c>
      <c r="I85">
        <v>1.6604779999999999</v>
      </c>
      <c r="J85">
        <v>1.8118019999999999</v>
      </c>
      <c r="K85">
        <v>1.732996</v>
      </c>
      <c r="L85">
        <v>1.2863709999999999</v>
      </c>
      <c r="M85">
        <v>0.93965540000000003</v>
      </c>
      <c r="N85">
        <v>0.72785529999999998</v>
      </c>
    </row>
    <row r="86" spans="1:14" hidden="1" x14ac:dyDescent="0.35">
      <c r="A86" t="s">
        <v>579</v>
      </c>
      <c r="B86" t="s">
        <v>37</v>
      </c>
      <c r="C86" t="s">
        <v>115</v>
      </c>
      <c r="D86" t="s">
        <v>115</v>
      </c>
      <c r="E86" t="s">
        <v>584</v>
      </c>
      <c r="F86" t="s">
        <v>581</v>
      </c>
      <c r="G86" t="s">
        <v>396</v>
      </c>
      <c r="H86">
        <v>1.513271</v>
      </c>
      <c r="I86">
        <v>1.2770060000000001</v>
      </c>
      <c r="J86">
        <v>1.0776300000000001</v>
      </c>
      <c r="K86">
        <v>0.90938079999999999</v>
      </c>
      <c r="L86">
        <v>0.76739999999999997</v>
      </c>
      <c r="M86">
        <v>0.64758899999999997</v>
      </c>
      <c r="N86">
        <v>0.54648209999999997</v>
      </c>
    </row>
    <row r="87" spans="1:14" hidden="1" x14ac:dyDescent="0.35">
      <c r="A87" t="s">
        <v>579</v>
      </c>
      <c r="B87" t="s">
        <v>37</v>
      </c>
      <c r="C87" t="s">
        <v>115</v>
      </c>
      <c r="D87" t="s">
        <v>115</v>
      </c>
      <c r="E87" t="s">
        <v>584</v>
      </c>
      <c r="F87" t="s">
        <v>581</v>
      </c>
      <c r="G87" t="s">
        <v>25</v>
      </c>
      <c r="H87">
        <v>0.40586299999999997</v>
      </c>
      <c r="I87">
        <v>0.27206029999999998</v>
      </c>
      <c r="J87">
        <v>0.1823671</v>
      </c>
      <c r="K87">
        <v>0.1222438</v>
      </c>
      <c r="L87">
        <v>8.1942470000000003E-2</v>
      </c>
      <c r="M87">
        <v>5.4928770000000002E-2</v>
      </c>
      <c r="N87">
        <v>3.681918E-2</v>
      </c>
    </row>
    <row r="88" spans="1:14" hidden="1" x14ac:dyDescent="0.35">
      <c r="A88" t="s">
        <v>579</v>
      </c>
      <c r="B88" t="s">
        <v>37</v>
      </c>
      <c r="C88" t="s">
        <v>115</v>
      </c>
      <c r="D88" t="s">
        <v>115</v>
      </c>
      <c r="E88" t="s">
        <v>596</v>
      </c>
      <c r="F88" t="s">
        <v>581</v>
      </c>
      <c r="G88" t="s">
        <v>396</v>
      </c>
      <c r="H88">
        <v>0.39430959999999998</v>
      </c>
      <c r="I88">
        <v>0.43561650000000002</v>
      </c>
      <c r="J88">
        <v>0.37675619999999999</v>
      </c>
      <c r="K88">
        <v>0.29928769999999999</v>
      </c>
      <c r="L88">
        <v>0.25199729999999998</v>
      </c>
      <c r="M88">
        <v>0.21869040000000001</v>
      </c>
      <c r="N88">
        <v>0.1910192</v>
      </c>
    </row>
    <row r="89" spans="1:14" hidden="1" x14ac:dyDescent="0.35">
      <c r="A89" t="s">
        <v>579</v>
      </c>
      <c r="B89" t="s">
        <v>37</v>
      </c>
      <c r="C89" t="s">
        <v>115</v>
      </c>
      <c r="D89" t="s">
        <v>115</v>
      </c>
      <c r="E89" t="s">
        <v>596</v>
      </c>
      <c r="F89" t="s">
        <v>581</v>
      </c>
      <c r="G89" t="s">
        <v>25</v>
      </c>
      <c r="H89">
        <v>5.5860269999999997E-2</v>
      </c>
      <c r="I89">
        <v>6.1715069999999997E-2</v>
      </c>
      <c r="J89">
        <v>5.337534E-2</v>
      </c>
      <c r="K89">
        <v>4.2397259999999999E-2</v>
      </c>
      <c r="L89">
        <v>3.5695890000000001E-2</v>
      </c>
      <c r="M89">
        <v>3.0980819999999999E-2</v>
      </c>
      <c r="N89">
        <v>2.705753E-2</v>
      </c>
    </row>
    <row r="90" spans="1:14" hidden="1" x14ac:dyDescent="0.35">
      <c r="A90" t="s">
        <v>579</v>
      </c>
      <c r="B90" t="s">
        <v>37</v>
      </c>
      <c r="C90" t="s">
        <v>115</v>
      </c>
      <c r="D90" t="s">
        <v>115</v>
      </c>
      <c r="E90" t="s">
        <v>596</v>
      </c>
      <c r="F90" t="s">
        <v>26</v>
      </c>
      <c r="G90" t="s">
        <v>26</v>
      </c>
      <c r="H90">
        <v>8.3791779999999996E-2</v>
      </c>
      <c r="I90">
        <v>9.2569869999999999E-2</v>
      </c>
      <c r="J90">
        <v>8.0060270000000003E-2</v>
      </c>
      <c r="K90">
        <v>6.3600000000000004E-2</v>
      </c>
      <c r="L90">
        <v>5.3547940000000002E-2</v>
      </c>
      <c r="M90">
        <v>4.6471239999999997E-2</v>
      </c>
      <c r="N90">
        <v>4.0591780000000001E-2</v>
      </c>
    </row>
    <row r="91" spans="1:14" hidden="1" x14ac:dyDescent="0.35">
      <c r="A91" t="s">
        <v>579</v>
      </c>
      <c r="B91" t="s">
        <v>37</v>
      </c>
      <c r="C91" t="s">
        <v>115</v>
      </c>
      <c r="D91" t="s">
        <v>115</v>
      </c>
      <c r="E91" t="s">
        <v>597</v>
      </c>
      <c r="F91" t="s">
        <v>581</v>
      </c>
      <c r="G91" t="s">
        <v>396</v>
      </c>
      <c r="H91">
        <v>0.25019720000000001</v>
      </c>
      <c r="I91">
        <v>0.29374630000000002</v>
      </c>
      <c r="J91">
        <v>0.37483949999999999</v>
      </c>
      <c r="K91">
        <v>0.3594849</v>
      </c>
      <c r="L91">
        <v>0.37128220000000001</v>
      </c>
      <c r="M91">
        <v>0.27197480000000002</v>
      </c>
      <c r="N91">
        <v>0.2060553</v>
      </c>
    </row>
    <row r="92" spans="1:14" hidden="1" x14ac:dyDescent="0.35">
      <c r="A92" t="s">
        <v>579</v>
      </c>
      <c r="B92" t="s">
        <v>37</v>
      </c>
      <c r="C92" t="s">
        <v>115</v>
      </c>
      <c r="D92" t="s">
        <v>115</v>
      </c>
      <c r="E92" t="s">
        <v>597</v>
      </c>
      <c r="F92" t="s">
        <v>26</v>
      </c>
      <c r="G92" t="s">
        <v>26</v>
      </c>
      <c r="H92">
        <v>1.3991780000000001E-2</v>
      </c>
      <c r="I92">
        <v>1.642685E-2</v>
      </c>
      <c r="J92">
        <v>2.096164E-2</v>
      </c>
      <c r="K92">
        <v>2.0104110000000001E-2</v>
      </c>
      <c r="L92">
        <v>2.076219E-2</v>
      </c>
      <c r="M92">
        <v>1.520767E-2</v>
      </c>
      <c r="N92">
        <v>1.152274E-2</v>
      </c>
    </row>
    <row r="93" spans="1:14" hidden="1" x14ac:dyDescent="0.35">
      <c r="A93" t="s">
        <v>579</v>
      </c>
      <c r="B93" t="s">
        <v>37</v>
      </c>
      <c r="C93" t="s">
        <v>79</v>
      </c>
      <c r="D93" t="s">
        <v>79</v>
      </c>
      <c r="E93" t="s">
        <v>598</v>
      </c>
      <c r="F93" t="s">
        <v>581</v>
      </c>
      <c r="G93" t="s">
        <v>25</v>
      </c>
      <c r="H93">
        <v>1.4208220000000001E-2</v>
      </c>
      <c r="I93">
        <v>2.0146299999999999E-2</v>
      </c>
      <c r="J93">
        <v>2.369096E-2</v>
      </c>
      <c r="K93">
        <v>2.2537539999999998E-2</v>
      </c>
      <c r="L93">
        <v>2.4115620000000001E-2</v>
      </c>
      <c r="M93">
        <v>2.292603E-2</v>
      </c>
      <c r="N93">
        <v>2.0309589999999999E-2</v>
      </c>
    </row>
    <row r="94" spans="1:14" hidden="1" x14ac:dyDescent="0.35">
      <c r="A94" t="s">
        <v>579</v>
      </c>
      <c r="B94" t="s">
        <v>37</v>
      </c>
      <c r="C94" t="s">
        <v>79</v>
      </c>
      <c r="D94" t="s">
        <v>79</v>
      </c>
      <c r="E94" t="s">
        <v>598</v>
      </c>
      <c r="F94" t="s">
        <v>26</v>
      </c>
      <c r="G94" t="s">
        <v>26</v>
      </c>
      <c r="H94">
        <v>1.407</v>
      </c>
      <c r="I94">
        <v>1.9943470000000001</v>
      </c>
      <c r="J94">
        <v>2.3455309999999998</v>
      </c>
      <c r="K94">
        <v>2.2309549999999998</v>
      </c>
      <c r="L94">
        <v>2.3872819999999999</v>
      </c>
      <c r="M94">
        <v>2.2691780000000001</v>
      </c>
      <c r="N94">
        <v>2.010929</v>
      </c>
    </row>
    <row r="95" spans="1:14" hidden="1" x14ac:dyDescent="0.35">
      <c r="A95" t="s">
        <v>579</v>
      </c>
      <c r="B95" t="s">
        <v>37</v>
      </c>
      <c r="C95" t="s">
        <v>79</v>
      </c>
      <c r="D95" t="s">
        <v>79</v>
      </c>
      <c r="E95" t="s">
        <v>584</v>
      </c>
      <c r="F95" t="s">
        <v>581</v>
      </c>
      <c r="G95" t="s">
        <v>396</v>
      </c>
      <c r="H95">
        <v>0.62939730000000005</v>
      </c>
      <c r="I95">
        <v>0.58619730000000003</v>
      </c>
      <c r="J95">
        <v>0.55252440000000003</v>
      </c>
      <c r="K95">
        <v>0.52123839999999999</v>
      </c>
      <c r="L95">
        <v>0.4892224</v>
      </c>
      <c r="M95">
        <v>0.45190520000000001</v>
      </c>
      <c r="N95">
        <v>0.42101260000000001</v>
      </c>
    </row>
    <row r="96" spans="1:14" hidden="1" x14ac:dyDescent="0.35">
      <c r="A96" t="s">
        <v>579</v>
      </c>
      <c r="B96" t="s">
        <v>37</v>
      </c>
      <c r="C96" t="s">
        <v>79</v>
      </c>
      <c r="D96" t="s">
        <v>79</v>
      </c>
      <c r="E96" t="s">
        <v>584</v>
      </c>
      <c r="F96" t="s">
        <v>581</v>
      </c>
      <c r="G96" t="s">
        <v>24</v>
      </c>
      <c r="H96">
        <v>6.8767129999999996E-3</v>
      </c>
      <c r="I96">
        <v>3.0849319999999999E-3</v>
      </c>
      <c r="J96">
        <v>2.5813699999999999E-3</v>
      </c>
      <c r="K96">
        <v>2.1386299999999999E-3</v>
      </c>
      <c r="L96">
        <v>1.736986E-3</v>
      </c>
      <c r="M96">
        <v>1.372603E-3</v>
      </c>
      <c r="N96">
        <v>1.0810959999999999E-3</v>
      </c>
    </row>
    <row r="97" spans="1:14" hidden="1" x14ac:dyDescent="0.35">
      <c r="A97" t="s">
        <v>579</v>
      </c>
      <c r="B97" t="s">
        <v>37</v>
      </c>
      <c r="C97" t="s">
        <v>79</v>
      </c>
      <c r="D97" t="s">
        <v>79</v>
      </c>
      <c r="E97" t="s">
        <v>584</v>
      </c>
      <c r="F97" t="s">
        <v>581</v>
      </c>
      <c r="G97" t="s">
        <v>25</v>
      </c>
      <c r="H97">
        <v>0.50004930000000003</v>
      </c>
      <c r="I97">
        <v>0.47535070000000001</v>
      </c>
      <c r="J97">
        <v>0.45169809999999999</v>
      </c>
      <c r="K97">
        <v>0.42554789999999998</v>
      </c>
      <c r="L97">
        <v>0.39555400000000002</v>
      </c>
      <c r="M97">
        <v>0.35900159999999998</v>
      </c>
      <c r="N97">
        <v>0.3268411</v>
      </c>
    </row>
    <row r="98" spans="1:14" hidden="1" x14ac:dyDescent="0.35">
      <c r="A98" t="s">
        <v>579</v>
      </c>
      <c r="B98" t="s">
        <v>37</v>
      </c>
      <c r="C98" t="s">
        <v>79</v>
      </c>
      <c r="D98" t="s">
        <v>79</v>
      </c>
      <c r="E98" t="s">
        <v>584</v>
      </c>
      <c r="F98" t="s">
        <v>26</v>
      </c>
      <c r="G98" t="s">
        <v>26</v>
      </c>
      <c r="H98">
        <v>0.53099450000000004</v>
      </c>
      <c r="I98">
        <v>0.47737540000000001</v>
      </c>
      <c r="J98">
        <v>0.42971939999999997</v>
      </c>
      <c r="K98">
        <v>0.38399559999999999</v>
      </c>
      <c r="L98">
        <v>0.33871669999999998</v>
      </c>
      <c r="M98">
        <v>0.2920449</v>
      </c>
      <c r="N98">
        <v>0.25298029999999999</v>
      </c>
    </row>
    <row r="99" spans="1:14" hidden="1" x14ac:dyDescent="0.35">
      <c r="A99" t="s">
        <v>579</v>
      </c>
      <c r="B99" t="s">
        <v>37</v>
      </c>
      <c r="C99" t="s">
        <v>599</v>
      </c>
      <c r="D99" t="s">
        <v>599</v>
      </c>
      <c r="E99" t="s">
        <v>584</v>
      </c>
      <c r="F99" t="s">
        <v>26</v>
      </c>
      <c r="G99" t="s">
        <v>26</v>
      </c>
      <c r="H99">
        <v>0.74959730000000002</v>
      </c>
      <c r="I99">
        <v>0.67513420000000002</v>
      </c>
      <c r="J99">
        <v>0.60574240000000001</v>
      </c>
      <c r="K99">
        <v>0.5451589</v>
      </c>
      <c r="L99">
        <v>0.49063560000000001</v>
      </c>
      <c r="M99">
        <v>0.4427123</v>
      </c>
      <c r="N99">
        <v>0.39728760000000002</v>
      </c>
    </row>
    <row r="100" spans="1:14" hidden="1" x14ac:dyDescent="0.35">
      <c r="A100" t="s">
        <v>579</v>
      </c>
      <c r="B100" t="s">
        <v>37</v>
      </c>
      <c r="C100" t="s">
        <v>109</v>
      </c>
      <c r="D100" t="s">
        <v>109</v>
      </c>
      <c r="E100" t="s">
        <v>584</v>
      </c>
      <c r="F100" t="s">
        <v>581</v>
      </c>
      <c r="G100" t="s">
        <v>396</v>
      </c>
      <c r="H100">
        <v>0.42427670000000001</v>
      </c>
      <c r="I100">
        <v>0.42072880000000001</v>
      </c>
      <c r="J100">
        <v>0.41759039999999997</v>
      </c>
      <c r="K100">
        <v>0.41480679999999998</v>
      </c>
      <c r="L100">
        <v>0.41233839999999999</v>
      </c>
      <c r="M100">
        <v>0.3931904</v>
      </c>
      <c r="N100">
        <v>0.39318910000000001</v>
      </c>
    </row>
    <row r="101" spans="1:14" hidden="1" x14ac:dyDescent="0.35">
      <c r="A101" t="s">
        <v>579</v>
      </c>
      <c r="B101" t="s">
        <v>37</v>
      </c>
      <c r="C101" t="s">
        <v>109</v>
      </c>
      <c r="D101" t="s">
        <v>109</v>
      </c>
      <c r="E101" t="s">
        <v>584</v>
      </c>
      <c r="F101" t="s">
        <v>581</v>
      </c>
      <c r="G101" t="s">
        <v>24</v>
      </c>
      <c r="H101">
        <v>3.634539E-3</v>
      </c>
      <c r="I101">
        <v>3.5557610000000002E-3</v>
      </c>
      <c r="J101">
        <v>3.502757E-3</v>
      </c>
      <c r="K101">
        <v>3.43203E-3</v>
      </c>
      <c r="L101">
        <v>3.3640419999999998E-3</v>
      </c>
      <c r="M101">
        <v>3.9339859999999998E-4</v>
      </c>
      <c r="N101">
        <v>3.8568499999999998E-4</v>
      </c>
    </row>
    <row r="102" spans="1:14" hidden="1" x14ac:dyDescent="0.35">
      <c r="A102" t="s">
        <v>579</v>
      </c>
      <c r="B102" t="s">
        <v>37</v>
      </c>
      <c r="C102" t="s">
        <v>109</v>
      </c>
      <c r="D102" t="s">
        <v>109</v>
      </c>
      <c r="E102" t="s">
        <v>584</v>
      </c>
      <c r="F102" t="s">
        <v>581</v>
      </c>
      <c r="G102" t="s">
        <v>25</v>
      </c>
      <c r="H102">
        <v>1.6189329999999998E-2</v>
      </c>
      <c r="I102">
        <v>1.354123E-2</v>
      </c>
      <c r="J102">
        <v>1.1400489999999999E-2</v>
      </c>
      <c r="K102">
        <v>9.5879480000000007E-3</v>
      </c>
      <c r="L102">
        <v>8.0304759999999999E-3</v>
      </c>
      <c r="M102">
        <v>5.3211589999999998E-3</v>
      </c>
      <c r="N102">
        <v>4.3253500000000004E-3</v>
      </c>
    </row>
    <row r="103" spans="1:14" hidden="1" x14ac:dyDescent="0.35">
      <c r="A103" t="s">
        <v>579</v>
      </c>
      <c r="B103" t="s">
        <v>37</v>
      </c>
      <c r="C103" t="s">
        <v>109</v>
      </c>
      <c r="D103" t="s">
        <v>109</v>
      </c>
      <c r="E103" t="s">
        <v>584</v>
      </c>
      <c r="F103" t="s">
        <v>26</v>
      </c>
      <c r="G103" t="s">
        <v>26</v>
      </c>
      <c r="H103">
        <v>0.219638</v>
      </c>
      <c r="I103">
        <v>5.7066850000000002E-2</v>
      </c>
      <c r="J103">
        <v>5.2294670000000001E-2</v>
      </c>
      <c r="K103">
        <v>4.7730639999999998E-2</v>
      </c>
      <c r="L103">
        <v>4.3285329999999997E-2</v>
      </c>
      <c r="M103">
        <v>2.8453949999999999E-2</v>
      </c>
      <c r="N103">
        <v>2.5296639999999999E-2</v>
      </c>
    </row>
    <row r="104" spans="1:14" hidden="1" x14ac:dyDescent="0.35">
      <c r="A104" t="s">
        <v>579</v>
      </c>
      <c r="B104" t="s">
        <v>37</v>
      </c>
      <c r="C104" t="s">
        <v>46</v>
      </c>
      <c r="D104" t="s">
        <v>46</v>
      </c>
      <c r="E104" t="s">
        <v>584</v>
      </c>
      <c r="F104" t="s">
        <v>26</v>
      </c>
      <c r="G104" t="s">
        <v>26</v>
      </c>
      <c r="H104">
        <v>0.2410959</v>
      </c>
      <c r="I104">
        <v>0.2410959</v>
      </c>
      <c r="J104">
        <v>0.2410959</v>
      </c>
      <c r="K104">
        <v>0.2410959</v>
      </c>
      <c r="L104">
        <v>0.2410959</v>
      </c>
      <c r="M104">
        <v>0.2410959</v>
      </c>
      <c r="N104">
        <v>0.2410959</v>
      </c>
    </row>
    <row r="105" spans="1:14" hidden="1" x14ac:dyDescent="0.35">
      <c r="A105" t="s">
        <v>579</v>
      </c>
      <c r="B105" t="s">
        <v>37</v>
      </c>
      <c r="C105" t="s">
        <v>105</v>
      </c>
      <c r="D105" t="s">
        <v>105</v>
      </c>
      <c r="E105" t="s">
        <v>584</v>
      </c>
      <c r="F105" t="s">
        <v>26</v>
      </c>
      <c r="G105" t="s">
        <v>26</v>
      </c>
      <c r="H105">
        <v>0.23632059999999999</v>
      </c>
      <c r="I105">
        <v>0.23164109999999999</v>
      </c>
      <c r="J105">
        <v>0.2270219</v>
      </c>
      <c r="K105">
        <v>0.2207151</v>
      </c>
      <c r="L105">
        <v>0.21198410000000001</v>
      </c>
      <c r="M105">
        <v>0.19902629999999999</v>
      </c>
      <c r="N105">
        <v>0.18765589999999999</v>
      </c>
    </row>
    <row r="106" spans="1:14" hidden="1" x14ac:dyDescent="0.35">
      <c r="A106" t="s">
        <v>579</v>
      </c>
      <c r="B106" t="s">
        <v>37</v>
      </c>
      <c r="C106" t="s">
        <v>51</v>
      </c>
      <c r="D106" t="s">
        <v>51</v>
      </c>
      <c r="E106" t="s">
        <v>584</v>
      </c>
      <c r="F106" t="s">
        <v>581</v>
      </c>
      <c r="G106" t="s">
        <v>396</v>
      </c>
      <c r="H106">
        <v>8.027396E-4</v>
      </c>
      <c r="I106">
        <v>0</v>
      </c>
    </row>
    <row r="107" spans="1:14" hidden="1" x14ac:dyDescent="0.35">
      <c r="A107" t="s">
        <v>579</v>
      </c>
      <c r="B107" t="s">
        <v>125</v>
      </c>
      <c r="C107" t="s">
        <v>167</v>
      </c>
      <c r="D107" t="s">
        <v>167</v>
      </c>
      <c r="E107" t="s">
        <v>584</v>
      </c>
      <c r="F107" t="s">
        <v>581</v>
      </c>
      <c r="G107" t="s">
        <v>396</v>
      </c>
      <c r="H107">
        <v>34.465679999999999</v>
      </c>
      <c r="I107">
        <v>37.197719999999997</v>
      </c>
      <c r="J107">
        <v>39.739600000000003</v>
      </c>
      <c r="K107">
        <v>45.407409999999999</v>
      </c>
      <c r="L107">
        <v>45.407409999999999</v>
      </c>
      <c r="M107">
        <v>45.407409999999999</v>
      </c>
      <c r="N107">
        <v>45.407409999999999</v>
      </c>
    </row>
    <row r="108" spans="1:14" hidden="1" x14ac:dyDescent="0.35">
      <c r="A108" t="s">
        <v>579</v>
      </c>
      <c r="B108" t="s">
        <v>125</v>
      </c>
      <c r="C108" t="s">
        <v>30</v>
      </c>
      <c r="D108" t="s">
        <v>30</v>
      </c>
      <c r="E108" t="s">
        <v>584</v>
      </c>
      <c r="F108" t="s">
        <v>581</v>
      </c>
      <c r="G108" t="s">
        <v>396</v>
      </c>
      <c r="H108">
        <v>20.414549999999998</v>
      </c>
      <c r="I108">
        <v>18.273990000000001</v>
      </c>
      <c r="J108">
        <v>17.32009</v>
      </c>
      <c r="K108">
        <v>18.879650000000002</v>
      </c>
      <c r="L108">
        <v>17.082909999999998</v>
      </c>
      <c r="M108">
        <v>15.017939999999999</v>
      </c>
      <c r="N108">
        <v>13.229229999999999</v>
      </c>
    </row>
    <row r="109" spans="1:14" hidden="1" x14ac:dyDescent="0.35">
      <c r="A109" t="s">
        <v>579</v>
      </c>
      <c r="B109" t="s">
        <v>125</v>
      </c>
      <c r="C109" t="s">
        <v>30</v>
      </c>
      <c r="D109" t="s">
        <v>30</v>
      </c>
      <c r="E109" t="s">
        <v>584</v>
      </c>
      <c r="F109" t="s">
        <v>26</v>
      </c>
      <c r="G109" t="s">
        <v>26</v>
      </c>
      <c r="H109">
        <v>3.5626899999999999</v>
      </c>
      <c r="I109">
        <v>4.1943149999999996</v>
      </c>
      <c r="J109">
        <v>4.2021559999999996</v>
      </c>
      <c r="K109">
        <v>4.2204030000000001</v>
      </c>
      <c r="L109">
        <v>4.236758</v>
      </c>
      <c r="M109">
        <v>4.2367590000000002</v>
      </c>
      <c r="N109">
        <v>4.2367590000000002</v>
      </c>
    </row>
    <row r="110" spans="1:14" hidden="1" x14ac:dyDescent="0.35">
      <c r="A110" t="s">
        <v>579</v>
      </c>
      <c r="B110" t="s">
        <v>125</v>
      </c>
      <c r="C110" t="s">
        <v>124</v>
      </c>
      <c r="D110" t="s">
        <v>124</v>
      </c>
      <c r="E110" t="s">
        <v>584</v>
      </c>
      <c r="F110" t="s">
        <v>581</v>
      </c>
      <c r="G110" t="s">
        <v>396</v>
      </c>
      <c r="H110">
        <v>5.6344289999999999</v>
      </c>
      <c r="I110">
        <v>5.2551899999999998</v>
      </c>
      <c r="J110">
        <v>4.616625</v>
      </c>
      <c r="K110">
        <v>4.2726150000000001</v>
      </c>
      <c r="L110">
        <v>3.6310500000000001</v>
      </c>
      <c r="M110">
        <v>2.9355519999999999</v>
      </c>
      <c r="N110">
        <v>2.4832969999999999</v>
      </c>
    </row>
    <row r="111" spans="1:14" hidden="1" x14ac:dyDescent="0.35">
      <c r="A111" t="s">
        <v>579</v>
      </c>
      <c r="B111" t="s">
        <v>125</v>
      </c>
      <c r="C111" t="s">
        <v>124</v>
      </c>
      <c r="D111" t="s">
        <v>124</v>
      </c>
      <c r="E111" t="s">
        <v>584</v>
      </c>
      <c r="F111" t="s">
        <v>581</v>
      </c>
      <c r="G111" t="s">
        <v>24</v>
      </c>
      <c r="H111">
        <v>2.5406629999999999</v>
      </c>
      <c r="I111">
        <v>2.2143920000000001</v>
      </c>
      <c r="J111">
        <v>1.936293</v>
      </c>
      <c r="K111">
        <v>1.7078439999999999</v>
      </c>
      <c r="L111">
        <v>1.4612320000000001</v>
      </c>
      <c r="M111">
        <v>1.200027</v>
      </c>
      <c r="N111">
        <v>1.003763</v>
      </c>
    </row>
    <row r="112" spans="1:14" hidden="1" x14ac:dyDescent="0.35">
      <c r="A112" t="s">
        <v>579</v>
      </c>
      <c r="B112" t="s">
        <v>125</v>
      </c>
      <c r="C112" t="s">
        <v>124</v>
      </c>
      <c r="D112" t="s">
        <v>124</v>
      </c>
      <c r="E112" t="s">
        <v>584</v>
      </c>
      <c r="F112" t="s">
        <v>26</v>
      </c>
      <c r="G112" t="s">
        <v>26</v>
      </c>
      <c r="H112">
        <v>18.287710000000001</v>
      </c>
      <c r="I112">
        <v>17.679410000000001</v>
      </c>
      <c r="J112">
        <v>15.252800000000001</v>
      </c>
      <c r="K112">
        <v>11.843629999999999</v>
      </c>
      <c r="L112">
        <v>8.851642</v>
      </c>
      <c r="M112">
        <v>6.3356320000000004</v>
      </c>
      <c r="N112">
        <v>4.6154580000000003</v>
      </c>
    </row>
    <row r="113" spans="1:14" hidden="1" x14ac:dyDescent="0.35">
      <c r="A113" t="s">
        <v>579</v>
      </c>
      <c r="B113" t="s">
        <v>32</v>
      </c>
      <c r="C113" t="s">
        <v>30</v>
      </c>
      <c r="D113" t="s">
        <v>30</v>
      </c>
      <c r="E113" t="s">
        <v>584</v>
      </c>
      <c r="F113" t="s">
        <v>581</v>
      </c>
      <c r="G113" t="s">
        <v>24</v>
      </c>
      <c r="H113">
        <v>14.00548</v>
      </c>
      <c r="I113">
        <v>14.00548</v>
      </c>
      <c r="J113">
        <v>14.00548</v>
      </c>
      <c r="K113">
        <v>14.00548</v>
      </c>
      <c r="L113">
        <v>14.00548</v>
      </c>
      <c r="M113">
        <v>13.35793</v>
      </c>
      <c r="N113">
        <v>11.00549</v>
      </c>
    </row>
    <row r="114" spans="1:14" hidden="1" x14ac:dyDescent="0.35">
      <c r="A114" t="s">
        <v>579</v>
      </c>
      <c r="B114" t="s">
        <v>32</v>
      </c>
      <c r="C114" t="s">
        <v>30</v>
      </c>
      <c r="D114" t="s">
        <v>30</v>
      </c>
      <c r="E114" t="s">
        <v>584</v>
      </c>
      <c r="F114" t="s">
        <v>581</v>
      </c>
      <c r="G114" t="s">
        <v>25</v>
      </c>
      <c r="H114">
        <v>26.005479999999999</v>
      </c>
      <c r="I114">
        <v>26.005479999999999</v>
      </c>
      <c r="J114">
        <v>26.005479999999999</v>
      </c>
      <c r="K114">
        <v>26.005479999999999</v>
      </c>
      <c r="L114">
        <v>26.005479999999999</v>
      </c>
      <c r="M114">
        <v>24.76454</v>
      </c>
      <c r="N114">
        <v>21.0183</v>
      </c>
    </row>
    <row r="115" spans="1:14" hidden="1" x14ac:dyDescent="0.35">
      <c r="A115" t="s">
        <v>579</v>
      </c>
      <c r="B115" t="s">
        <v>32</v>
      </c>
      <c r="C115" t="s">
        <v>30</v>
      </c>
      <c r="D115" t="s">
        <v>30</v>
      </c>
      <c r="E115" t="s">
        <v>584</v>
      </c>
      <c r="F115" t="s">
        <v>26</v>
      </c>
      <c r="G115" t="s">
        <v>26</v>
      </c>
      <c r="H115">
        <v>41.830129999999997</v>
      </c>
      <c r="I115">
        <v>41.83014</v>
      </c>
      <c r="J115">
        <v>41.830129999999997</v>
      </c>
      <c r="K115">
        <v>41.830129999999997</v>
      </c>
      <c r="L115">
        <v>41.830129999999997</v>
      </c>
      <c r="M115">
        <v>41.83014</v>
      </c>
      <c r="N115">
        <v>39.985140000000001</v>
      </c>
    </row>
    <row r="116" spans="1:14" hidden="1" x14ac:dyDescent="0.35">
      <c r="A116" t="s">
        <v>579</v>
      </c>
      <c r="B116" t="s">
        <v>133</v>
      </c>
      <c r="C116" t="s">
        <v>135</v>
      </c>
      <c r="D116" t="s">
        <v>253</v>
      </c>
      <c r="E116" t="s">
        <v>584</v>
      </c>
      <c r="F116" t="s">
        <v>581</v>
      </c>
      <c r="G116" t="s">
        <v>396</v>
      </c>
      <c r="H116">
        <v>51.696550000000002</v>
      </c>
      <c r="I116">
        <v>43.198830000000001</v>
      </c>
      <c r="J116">
        <v>44.38823</v>
      </c>
      <c r="K116">
        <v>41.861800000000002</v>
      </c>
      <c r="L116">
        <v>40.565420000000003</v>
      </c>
      <c r="M116">
        <v>37.697279999999999</v>
      </c>
      <c r="N116">
        <v>35.142510000000001</v>
      </c>
    </row>
    <row r="117" spans="1:14" hidden="1" x14ac:dyDescent="0.35">
      <c r="A117" t="s">
        <v>579</v>
      </c>
      <c r="B117" t="s">
        <v>133</v>
      </c>
      <c r="C117" t="s">
        <v>135</v>
      </c>
      <c r="D117" t="s">
        <v>253</v>
      </c>
      <c r="E117" t="s">
        <v>584</v>
      </c>
      <c r="F117" t="s">
        <v>581</v>
      </c>
      <c r="G117" t="s">
        <v>24</v>
      </c>
      <c r="H117">
        <v>4.8869189999999998</v>
      </c>
      <c r="I117">
        <v>5.0660850000000002</v>
      </c>
      <c r="J117">
        <v>5.2545320000000002</v>
      </c>
      <c r="K117">
        <v>5.003698</v>
      </c>
      <c r="L117">
        <v>4.7673329999999998</v>
      </c>
      <c r="M117">
        <v>4.5574510000000004</v>
      </c>
      <c r="N117">
        <v>4.3359629999999996</v>
      </c>
    </row>
    <row r="118" spans="1:14" hidden="1" x14ac:dyDescent="0.35">
      <c r="A118" t="s">
        <v>579</v>
      </c>
      <c r="B118" t="s">
        <v>133</v>
      </c>
      <c r="C118" t="s">
        <v>135</v>
      </c>
      <c r="D118" t="s">
        <v>253</v>
      </c>
      <c r="E118" t="s">
        <v>584</v>
      </c>
      <c r="F118" t="s">
        <v>581</v>
      </c>
      <c r="G118" t="s">
        <v>25</v>
      </c>
      <c r="H118">
        <v>5.289066</v>
      </c>
      <c r="I118">
        <v>5.2522180000000001</v>
      </c>
      <c r="J118">
        <v>5.2192819999999998</v>
      </c>
      <c r="K118">
        <v>4.9709180000000002</v>
      </c>
      <c r="L118">
        <v>4.7372339999999999</v>
      </c>
      <c r="M118">
        <v>4.529731</v>
      </c>
      <c r="N118">
        <v>4.3105640000000003</v>
      </c>
    </row>
    <row r="119" spans="1:14" hidden="1" x14ac:dyDescent="0.35">
      <c r="A119" t="s">
        <v>579</v>
      </c>
      <c r="B119" t="s">
        <v>31</v>
      </c>
      <c r="C119" t="s">
        <v>30</v>
      </c>
      <c r="D119" t="s">
        <v>30</v>
      </c>
      <c r="E119" t="s">
        <v>584</v>
      </c>
      <c r="F119" t="s">
        <v>581</v>
      </c>
      <c r="G119" t="s">
        <v>24</v>
      </c>
      <c r="H119">
        <v>6.4649599999999996</v>
      </c>
      <c r="I119">
        <v>8.1164909999999999</v>
      </c>
      <c r="J119">
        <v>9.7923439999999999</v>
      </c>
      <c r="K119">
        <v>9.7969380000000008</v>
      </c>
      <c r="L119">
        <v>9.6097420000000007</v>
      </c>
      <c r="M119">
        <v>9.6070969999999996</v>
      </c>
      <c r="N119">
        <v>9.4724839999999997</v>
      </c>
    </row>
    <row r="120" spans="1:14" hidden="1" x14ac:dyDescent="0.35">
      <c r="A120" t="s">
        <v>579</v>
      </c>
      <c r="B120" t="s">
        <v>31</v>
      </c>
      <c r="C120" t="s">
        <v>30</v>
      </c>
      <c r="D120" t="s">
        <v>30</v>
      </c>
      <c r="E120" t="s">
        <v>584</v>
      </c>
      <c r="F120" t="s">
        <v>581</v>
      </c>
      <c r="G120" t="s">
        <v>25</v>
      </c>
      <c r="H120">
        <v>5.2612480000000001</v>
      </c>
      <c r="I120">
        <v>6.6604700000000001</v>
      </c>
      <c r="J120">
        <v>8.0356880000000004</v>
      </c>
      <c r="K120">
        <v>8.0394609999999993</v>
      </c>
      <c r="L120">
        <v>7.8858459999999999</v>
      </c>
      <c r="M120">
        <v>7.8836760000000004</v>
      </c>
      <c r="N120">
        <v>7.9333989999999996</v>
      </c>
    </row>
    <row r="121" spans="1:14" hidden="1" x14ac:dyDescent="0.35">
      <c r="A121" t="s">
        <v>579</v>
      </c>
      <c r="B121" t="s">
        <v>31</v>
      </c>
      <c r="C121" t="s">
        <v>30</v>
      </c>
      <c r="D121" t="s">
        <v>30</v>
      </c>
      <c r="E121" t="s">
        <v>584</v>
      </c>
      <c r="F121" t="s">
        <v>26</v>
      </c>
      <c r="G121" t="s">
        <v>26</v>
      </c>
      <c r="H121">
        <v>24.50386</v>
      </c>
      <c r="I121">
        <v>30.7636</v>
      </c>
      <c r="J121">
        <v>37.11551</v>
      </c>
      <c r="K121">
        <v>37.132930000000002</v>
      </c>
      <c r="L121">
        <v>36.423400000000001</v>
      </c>
      <c r="M121">
        <v>36.41337</v>
      </c>
      <c r="N121">
        <v>36.643039999999999</v>
      </c>
    </row>
    <row r="122" spans="1:14" hidden="1" x14ac:dyDescent="0.35">
      <c r="A122" t="s">
        <v>579</v>
      </c>
      <c r="B122" t="s">
        <v>201</v>
      </c>
      <c r="C122" t="s">
        <v>220</v>
      </c>
      <c r="D122" t="s">
        <v>220</v>
      </c>
      <c r="E122" t="s">
        <v>584</v>
      </c>
      <c r="F122" t="s">
        <v>581</v>
      </c>
      <c r="G122" t="s">
        <v>396</v>
      </c>
      <c r="H122">
        <v>19.083459999999999</v>
      </c>
      <c r="I122">
        <v>18.856459999999998</v>
      </c>
      <c r="J122">
        <v>17.87632</v>
      </c>
      <c r="K122">
        <v>15.79177</v>
      </c>
      <c r="L122">
        <v>13.730969999999999</v>
      </c>
      <c r="M122">
        <v>11.843019999999999</v>
      </c>
      <c r="N122">
        <v>10.4648</v>
      </c>
    </row>
    <row r="123" spans="1:14" hidden="1" x14ac:dyDescent="0.35">
      <c r="A123" t="s">
        <v>579</v>
      </c>
      <c r="B123" t="s">
        <v>201</v>
      </c>
      <c r="C123" t="s">
        <v>220</v>
      </c>
      <c r="D123" t="s">
        <v>220</v>
      </c>
      <c r="E123" t="s">
        <v>584</v>
      </c>
      <c r="F123" t="s">
        <v>26</v>
      </c>
      <c r="G123" t="s">
        <v>26</v>
      </c>
      <c r="H123">
        <v>0.21897</v>
      </c>
      <c r="I123">
        <v>2.9863560000000001E-2</v>
      </c>
      <c r="J123">
        <v>2.6516330000000001E-2</v>
      </c>
      <c r="K123">
        <v>2.2136139999999999E-2</v>
      </c>
      <c r="L123">
        <v>1.9125449999999999E-2</v>
      </c>
      <c r="M123">
        <v>1.591101E-2</v>
      </c>
      <c r="N123">
        <v>1.309597E-2</v>
      </c>
    </row>
    <row r="124" spans="1:14" hidden="1" x14ac:dyDescent="0.35">
      <c r="A124" t="s">
        <v>579</v>
      </c>
      <c r="B124" t="s">
        <v>201</v>
      </c>
      <c r="C124" t="s">
        <v>257</v>
      </c>
      <c r="D124" t="s">
        <v>257</v>
      </c>
      <c r="E124" t="s">
        <v>584</v>
      </c>
      <c r="F124" t="s">
        <v>581</v>
      </c>
      <c r="G124" t="s">
        <v>396</v>
      </c>
      <c r="H124">
        <v>19.875039999999998</v>
      </c>
      <c r="I124">
        <v>18.247389999999999</v>
      </c>
      <c r="J124">
        <v>16.578810000000001</v>
      </c>
      <c r="K124">
        <v>14.55799</v>
      </c>
      <c r="L124">
        <v>12.804959999999999</v>
      </c>
      <c r="M124">
        <v>11.065770000000001</v>
      </c>
      <c r="N124">
        <v>9.4238710000000001</v>
      </c>
    </row>
    <row r="125" spans="1:14" hidden="1" x14ac:dyDescent="0.35">
      <c r="A125" t="s">
        <v>579</v>
      </c>
      <c r="B125" t="s">
        <v>201</v>
      </c>
      <c r="C125" t="s">
        <v>216</v>
      </c>
      <c r="D125" t="s">
        <v>216</v>
      </c>
      <c r="E125" t="s">
        <v>584</v>
      </c>
      <c r="F125" t="s">
        <v>581</v>
      </c>
      <c r="G125" t="s">
        <v>396</v>
      </c>
      <c r="N125">
        <v>0</v>
      </c>
    </row>
    <row r="126" spans="1:14" hidden="1" x14ac:dyDescent="0.35">
      <c r="A126" t="s">
        <v>579</v>
      </c>
      <c r="B126" t="s">
        <v>201</v>
      </c>
      <c r="C126" t="s">
        <v>216</v>
      </c>
      <c r="D126" t="s">
        <v>216</v>
      </c>
      <c r="E126" t="s">
        <v>584</v>
      </c>
      <c r="F126" t="s">
        <v>581</v>
      </c>
      <c r="G126" t="s">
        <v>24</v>
      </c>
      <c r="N126">
        <v>0</v>
      </c>
    </row>
    <row r="127" spans="1:14" hidden="1" x14ac:dyDescent="0.35">
      <c r="A127" t="s">
        <v>579</v>
      </c>
      <c r="B127" t="s">
        <v>201</v>
      </c>
      <c r="C127" t="s">
        <v>216</v>
      </c>
      <c r="D127" t="s">
        <v>216</v>
      </c>
      <c r="E127" t="s">
        <v>584</v>
      </c>
      <c r="F127" t="s">
        <v>581</v>
      </c>
      <c r="G127" t="s">
        <v>25</v>
      </c>
      <c r="N127">
        <v>0</v>
      </c>
    </row>
    <row r="128" spans="1:14" hidden="1" x14ac:dyDescent="0.35">
      <c r="A128" t="s">
        <v>579</v>
      </c>
      <c r="B128" t="s">
        <v>201</v>
      </c>
      <c r="C128" t="s">
        <v>216</v>
      </c>
      <c r="D128" t="s">
        <v>216</v>
      </c>
      <c r="E128" t="s">
        <v>584</v>
      </c>
      <c r="F128" t="s">
        <v>26</v>
      </c>
      <c r="G128" t="s">
        <v>26</v>
      </c>
      <c r="N128">
        <v>0</v>
      </c>
    </row>
    <row r="129" spans="1:14" hidden="1" x14ac:dyDescent="0.35">
      <c r="A129" t="s">
        <v>579</v>
      </c>
      <c r="B129" t="s">
        <v>307</v>
      </c>
      <c r="C129" t="s">
        <v>306</v>
      </c>
      <c r="D129" t="s">
        <v>306</v>
      </c>
      <c r="E129" t="s">
        <v>584</v>
      </c>
      <c r="F129" t="s">
        <v>581</v>
      </c>
      <c r="G129" t="s">
        <v>396</v>
      </c>
      <c r="H129">
        <v>29.456510000000002</v>
      </c>
      <c r="I129">
        <v>25.639589999999998</v>
      </c>
      <c r="J129">
        <v>26.281500000000001</v>
      </c>
      <c r="K129">
        <v>27.49925</v>
      </c>
      <c r="L129">
        <v>25.308150000000001</v>
      </c>
      <c r="M129">
        <v>25.19312</v>
      </c>
      <c r="N129">
        <v>23.050560000000001</v>
      </c>
    </row>
    <row r="130" spans="1:14" hidden="1" x14ac:dyDescent="0.35">
      <c r="A130" t="s">
        <v>579</v>
      </c>
      <c r="B130" t="s">
        <v>307</v>
      </c>
      <c r="C130" t="s">
        <v>306</v>
      </c>
      <c r="D130" t="s">
        <v>306</v>
      </c>
      <c r="E130" t="s">
        <v>584</v>
      </c>
      <c r="F130" t="s">
        <v>581</v>
      </c>
      <c r="G130" t="s">
        <v>24</v>
      </c>
      <c r="H130">
        <v>0.48671229999999999</v>
      </c>
      <c r="I130">
        <v>1.357972</v>
      </c>
      <c r="J130">
        <v>0.86107429999999996</v>
      </c>
      <c r="K130">
        <v>0.55616600000000005</v>
      </c>
      <c r="L130">
        <v>0.3623422</v>
      </c>
      <c r="M130">
        <v>0.24868580000000001</v>
      </c>
      <c r="N130">
        <v>0.17655180000000001</v>
      </c>
    </row>
    <row r="131" spans="1:14" hidden="1" x14ac:dyDescent="0.35">
      <c r="A131" t="s">
        <v>579</v>
      </c>
      <c r="B131" t="s">
        <v>307</v>
      </c>
      <c r="C131" t="s">
        <v>306</v>
      </c>
      <c r="D131" t="s">
        <v>306</v>
      </c>
      <c r="E131" t="s">
        <v>584</v>
      </c>
      <c r="F131" t="s">
        <v>26</v>
      </c>
      <c r="G131" t="s">
        <v>26</v>
      </c>
      <c r="H131">
        <v>1.3837520000000001</v>
      </c>
      <c r="I131">
        <v>1.331205</v>
      </c>
      <c r="J131">
        <v>2.7264900000000001</v>
      </c>
      <c r="K131">
        <v>3.320783</v>
      </c>
      <c r="L131">
        <v>4.2537349999999998</v>
      </c>
      <c r="M131">
        <v>3.8879609999999998</v>
      </c>
      <c r="N131">
        <v>3.386933</v>
      </c>
    </row>
    <row r="132" spans="1:14" hidden="1" x14ac:dyDescent="0.35">
      <c r="A132" t="s">
        <v>579</v>
      </c>
      <c r="B132" t="s">
        <v>210</v>
      </c>
      <c r="C132" t="s">
        <v>209</v>
      </c>
      <c r="D132" t="s">
        <v>209</v>
      </c>
      <c r="E132" t="s">
        <v>584</v>
      </c>
      <c r="F132" t="s">
        <v>581</v>
      </c>
      <c r="G132" t="s">
        <v>396</v>
      </c>
      <c r="H132">
        <v>3.7428170000000001</v>
      </c>
      <c r="I132">
        <v>1.71611</v>
      </c>
      <c r="J132">
        <v>3.7674509999999999</v>
      </c>
      <c r="K132">
        <v>3.347305</v>
      </c>
      <c r="L132">
        <v>3.115335</v>
      </c>
      <c r="M132">
        <v>2.2416510000000001</v>
      </c>
      <c r="N132">
        <v>1.764788</v>
      </c>
    </row>
    <row r="133" spans="1:14" hidden="1" x14ac:dyDescent="0.35">
      <c r="A133" t="s">
        <v>579</v>
      </c>
      <c r="B133" t="s">
        <v>210</v>
      </c>
      <c r="C133" t="s">
        <v>209</v>
      </c>
      <c r="D133" t="s">
        <v>209</v>
      </c>
      <c r="E133" t="s">
        <v>584</v>
      </c>
      <c r="F133" t="s">
        <v>581</v>
      </c>
      <c r="G133" t="s">
        <v>24</v>
      </c>
      <c r="H133">
        <v>1.6598629999999999E-3</v>
      </c>
      <c r="I133">
        <v>1.123836E-3</v>
      </c>
      <c r="J133">
        <v>1.9465750000000001E-3</v>
      </c>
      <c r="K133">
        <v>1.6339729999999999E-3</v>
      </c>
      <c r="L133">
        <v>1.383699E-3</v>
      </c>
      <c r="M133">
        <v>1.184247E-3</v>
      </c>
      <c r="N133">
        <v>1.01548E-3</v>
      </c>
    </row>
    <row r="134" spans="1:14" hidden="1" x14ac:dyDescent="0.35">
      <c r="A134" t="s">
        <v>579</v>
      </c>
      <c r="B134" t="s">
        <v>210</v>
      </c>
      <c r="C134" t="s">
        <v>209</v>
      </c>
      <c r="D134" t="s">
        <v>209</v>
      </c>
      <c r="E134" t="s">
        <v>584</v>
      </c>
      <c r="F134" t="s">
        <v>581</v>
      </c>
      <c r="G134" t="s">
        <v>25</v>
      </c>
      <c r="H134">
        <v>2.485863E-2</v>
      </c>
      <c r="I134">
        <v>1.137548E-2</v>
      </c>
      <c r="J134">
        <v>8.6569869999999997E-3</v>
      </c>
      <c r="K134">
        <v>8.8516440000000005E-3</v>
      </c>
      <c r="L134">
        <v>8.4815069999999992E-3</v>
      </c>
      <c r="M134">
        <v>7.2099989999999999E-3</v>
      </c>
      <c r="N134">
        <v>3.323562E-3</v>
      </c>
    </row>
    <row r="135" spans="1:14" hidden="1" x14ac:dyDescent="0.35">
      <c r="A135" t="s">
        <v>579</v>
      </c>
      <c r="B135" t="s">
        <v>210</v>
      </c>
      <c r="C135" t="s">
        <v>209</v>
      </c>
      <c r="D135" t="s">
        <v>209</v>
      </c>
      <c r="E135" t="s">
        <v>584</v>
      </c>
      <c r="F135" t="s">
        <v>26</v>
      </c>
      <c r="G135" t="s">
        <v>26</v>
      </c>
      <c r="H135">
        <v>9.0766029999999998E-2</v>
      </c>
      <c r="I135">
        <v>1.8089729999999998E-2</v>
      </c>
      <c r="J135">
        <v>0.16914009999999999</v>
      </c>
      <c r="K135">
        <v>0.1400566</v>
      </c>
      <c r="L135">
        <v>0.1169106</v>
      </c>
      <c r="M135">
        <v>9.8643419999999996E-2</v>
      </c>
      <c r="N135">
        <v>8.3188769999999995E-2</v>
      </c>
    </row>
    <row r="136" spans="1:14" hidden="1" x14ac:dyDescent="0.35">
      <c r="A136" t="s">
        <v>579</v>
      </c>
      <c r="B136" t="s">
        <v>134</v>
      </c>
      <c r="C136" t="s">
        <v>119</v>
      </c>
      <c r="D136" t="s">
        <v>119</v>
      </c>
      <c r="E136" t="s">
        <v>584</v>
      </c>
      <c r="F136" t="s">
        <v>581</v>
      </c>
      <c r="G136" t="s">
        <v>24</v>
      </c>
      <c r="H136">
        <v>2.6479450000000001E-3</v>
      </c>
      <c r="I136">
        <v>2.3999999999999998E-3</v>
      </c>
      <c r="J136">
        <v>2.1465759999999999E-3</v>
      </c>
      <c r="K136">
        <v>1.9627400000000001E-3</v>
      </c>
      <c r="L136">
        <v>1.769863E-3</v>
      </c>
      <c r="M136">
        <v>1.6260269999999999E-3</v>
      </c>
      <c r="N136">
        <v>1.413699E-3</v>
      </c>
    </row>
    <row r="137" spans="1:14" hidden="1" x14ac:dyDescent="0.35">
      <c r="A137" t="s">
        <v>579</v>
      </c>
      <c r="B137" t="s">
        <v>134</v>
      </c>
      <c r="C137" t="s">
        <v>119</v>
      </c>
      <c r="D137" t="s">
        <v>119</v>
      </c>
      <c r="E137" t="s">
        <v>584</v>
      </c>
      <c r="F137" t="s">
        <v>26</v>
      </c>
      <c r="G137" t="s">
        <v>26</v>
      </c>
      <c r="H137">
        <v>0.25701099999999999</v>
      </c>
      <c r="I137">
        <v>0.23355010000000001</v>
      </c>
      <c r="J137">
        <v>0.2090622</v>
      </c>
      <c r="K137">
        <v>0.19169420000000001</v>
      </c>
      <c r="L137">
        <v>0.17326079999999999</v>
      </c>
      <c r="M137">
        <v>0.15967509999999999</v>
      </c>
      <c r="N137">
        <v>0.1411751</v>
      </c>
    </row>
    <row r="138" spans="1:14" hidden="1" x14ac:dyDescent="0.35">
      <c r="A138" t="s">
        <v>579</v>
      </c>
      <c r="B138" t="s">
        <v>134</v>
      </c>
      <c r="C138" t="s">
        <v>259</v>
      </c>
      <c r="D138" t="s">
        <v>259</v>
      </c>
      <c r="E138" t="s">
        <v>584</v>
      </c>
      <c r="F138" t="s">
        <v>581</v>
      </c>
      <c r="G138" t="s">
        <v>24</v>
      </c>
      <c r="H138">
        <v>4.8219179999999998E-4</v>
      </c>
      <c r="I138">
        <v>0</v>
      </c>
    </row>
    <row r="139" spans="1:14" hidden="1" x14ac:dyDescent="0.35">
      <c r="A139" t="s">
        <v>579</v>
      </c>
      <c r="B139" t="s">
        <v>134</v>
      </c>
      <c r="C139" t="s">
        <v>259</v>
      </c>
      <c r="D139" t="s">
        <v>259</v>
      </c>
      <c r="E139" t="s">
        <v>584</v>
      </c>
      <c r="F139" t="s">
        <v>26</v>
      </c>
      <c r="G139" t="s">
        <v>26</v>
      </c>
      <c r="H139">
        <v>9.0054799999999997E-3</v>
      </c>
      <c r="I139">
        <v>0</v>
      </c>
    </row>
    <row r="140" spans="1:14" hidden="1" x14ac:dyDescent="0.35">
      <c r="A140" t="s">
        <v>206</v>
      </c>
      <c r="B140" t="s">
        <v>37</v>
      </c>
      <c r="C140" t="s">
        <v>57</v>
      </c>
      <c r="D140" t="s">
        <v>57</v>
      </c>
      <c r="E140" t="s">
        <v>584</v>
      </c>
      <c r="F140" t="s">
        <v>581</v>
      </c>
      <c r="G140" t="s">
        <v>396</v>
      </c>
      <c r="H140">
        <v>203.83879999999999</v>
      </c>
      <c r="I140">
        <v>205.57470000000001</v>
      </c>
      <c r="J140">
        <v>202.7</v>
      </c>
      <c r="K140">
        <v>203.11760000000001</v>
      </c>
      <c r="L140">
        <v>199.0855</v>
      </c>
      <c r="M140">
        <v>189.59729999999999</v>
      </c>
      <c r="N140">
        <v>180.29949999999999</v>
      </c>
    </row>
    <row r="141" spans="1:14" hidden="1" x14ac:dyDescent="0.35">
      <c r="A141" t="s">
        <v>206</v>
      </c>
      <c r="B141" t="s">
        <v>37</v>
      </c>
      <c r="C141" t="s">
        <v>57</v>
      </c>
      <c r="D141" t="s">
        <v>57</v>
      </c>
      <c r="E141" t="s">
        <v>584</v>
      </c>
      <c r="F141" t="s">
        <v>581</v>
      </c>
      <c r="G141" t="s">
        <v>24</v>
      </c>
      <c r="H141">
        <v>0.2606444</v>
      </c>
      <c r="I141">
        <v>0.25153370000000003</v>
      </c>
      <c r="J141">
        <v>0.2426758</v>
      </c>
      <c r="K141">
        <v>0.23219049999999999</v>
      </c>
      <c r="L141">
        <v>0.21932699999999999</v>
      </c>
      <c r="M141">
        <v>0.20240349999999999</v>
      </c>
      <c r="N141">
        <v>0.18747230000000001</v>
      </c>
    </row>
    <row r="142" spans="1:14" hidden="1" x14ac:dyDescent="0.35">
      <c r="A142" t="s">
        <v>206</v>
      </c>
      <c r="B142" t="s">
        <v>37</v>
      </c>
      <c r="C142" t="s">
        <v>57</v>
      </c>
      <c r="D142" t="s">
        <v>57</v>
      </c>
      <c r="E142" t="s">
        <v>584</v>
      </c>
      <c r="F142" t="s">
        <v>581</v>
      </c>
      <c r="G142" t="s">
        <v>25</v>
      </c>
      <c r="H142">
        <v>15.65232</v>
      </c>
      <c r="I142">
        <v>17.04036</v>
      </c>
      <c r="J142">
        <v>16.86204</v>
      </c>
      <c r="K142">
        <v>15.69839</v>
      </c>
      <c r="L142">
        <v>14.4152</v>
      </c>
      <c r="M142">
        <v>12.92103</v>
      </c>
      <c r="N142">
        <v>11.61467</v>
      </c>
    </row>
    <row r="143" spans="1:14" hidden="1" x14ac:dyDescent="0.35">
      <c r="A143" t="s">
        <v>206</v>
      </c>
      <c r="B143" t="s">
        <v>37</v>
      </c>
      <c r="C143" t="s">
        <v>57</v>
      </c>
      <c r="D143" t="s">
        <v>57</v>
      </c>
      <c r="E143" t="s">
        <v>584</v>
      </c>
      <c r="F143" t="s">
        <v>26</v>
      </c>
      <c r="G143" t="s">
        <v>26</v>
      </c>
      <c r="H143">
        <v>1.164102</v>
      </c>
      <c r="I143">
        <v>0.78525140000000004</v>
      </c>
      <c r="J143">
        <v>0.53073300000000001</v>
      </c>
      <c r="K143">
        <v>0.35948659999999999</v>
      </c>
      <c r="L143">
        <v>0.24403059999999999</v>
      </c>
      <c r="M143">
        <v>0.1567731</v>
      </c>
      <c r="N143">
        <v>0.10550470000000001</v>
      </c>
    </row>
    <row r="144" spans="1:14" hidden="1" x14ac:dyDescent="0.35">
      <c r="A144" t="s">
        <v>206</v>
      </c>
      <c r="B144" t="s">
        <v>37</v>
      </c>
      <c r="C144" t="s">
        <v>79</v>
      </c>
      <c r="D144" t="s">
        <v>79</v>
      </c>
      <c r="E144" t="s">
        <v>600</v>
      </c>
      <c r="F144" t="s">
        <v>581</v>
      </c>
      <c r="G144" t="s">
        <v>396</v>
      </c>
      <c r="H144">
        <v>34.021230000000003</v>
      </c>
      <c r="I144">
        <v>30.66047</v>
      </c>
      <c r="J144">
        <v>26.535740000000001</v>
      </c>
      <c r="K144">
        <v>19.12941</v>
      </c>
      <c r="L144">
        <v>13.33578</v>
      </c>
      <c r="M144">
        <v>9.0504540000000002</v>
      </c>
      <c r="N144">
        <v>6.2640549999999999</v>
      </c>
    </row>
    <row r="145" spans="1:14" hidden="1" x14ac:dyDescent="0.35">
      <c r="A145" t="s">
        <v>206</v>
      </c>
      <c r="B145" t="s">
        <v>37</v>
      </c>
      <c r="C145" t="s">
        <v>79</v>
      </c>
      <c r="D145" t="s">
        <v>79</v>
      </c>
      <c r="E145" t="s">
        <v>600</v>
      </c>
      <c r="F145" t="s">
        <v>581</v>
      </c>
      <c r="G145" t="s">
        <v>24</v>
      </c>
      <c r="H145">
        <v>86.565150000000003</v>
      </c>
      <c r="I145">
        <v>82.920010000000005</v>
      </c>
      <c r="J145">
        <v>73.783299999999997</v>
      </c>
      <c r="K145">
        <v>54.39376</v>
      </c>
      <c r="L145">
        <v>38.35051</v>
      </c>
      <c r="M145">
        <v>26.673829999999999</v>
      </c>
      <c r="N145">
        <v>19.032779999999999</v>
      </c>
    </row>
    <row r="146" spans="1:14" hidden="1" x14ac:dyDescent="0.35">
      <c r="A146" t="s">
        <v>206</v>
      </c>
      <c r="B146" t="s">
        <v>37</v>
      </c>
      <c r="C146" t="s">
        <v>79</v>
      </c>
      <c r="D146" t="s">
        <v>79</v>
      </c>
      <c r="E146" t="s">
        <v>600</v>
      </c>
      <c r="F146" t="s">
        <v>581</v>
      </c>
      <c r="G146" t="s">
        <v>25</v>
      </c>
      <c r="H146">
        <v>46.958210000000001</v>
      </c>
      <c r="I146">
        <v>37.530970000000003</v>
      </c>
      <c r="J146">
        <v>33.74006</v>
      </c>
      <c r="K146">
        <v>24.937899999999999</v>
      </c>
      <c r="L146">
        <v>17.60492</v>
      </c>
      <c r="M146">
        <v>12.276899999999999</v>
      </c>
      <c r="N146">
        <v>8.7880549999999999</v>
      </c>
    </row>
    <row r="147" spans="1:14" hidden="1" x14ac:dyDescent="0.35">
      <c r="A147" t="s">
        <v>206</v>
      </c>
      <c r="B147" t="s">
        <v>37</v>
      </c>
      <c r="C147" t="s">
        <v>79</v>
      </c>
      <c r="D147" t="s">
        <v>79</v>
      </c>
      <c r="E147" t="s">
        <v>600</v>
      </c>
      <c r="F147" t="s">
        <v>26</v>
      </c>
      <c r="G147" t="s">
        <v>26</v>
      </c>
      <c r="H147">
        <v>39.392470000000003</v>
      </c>
      <c r="I147">
        <v>36.377850000000002</v>
      </c>
      <c r="J147">
        <v>32.787759999999999</v>
      </c>
      <c r="K147">
        <v>24.271719999999998</v>
      </c>
      <c r="L147">
        <v>17.148790000000002</v>
      </c>
      <c r="M147">
        <v>11.986090000000001</v>
      </c>
      <c r="N147">
        <v>8.6014199999999992</v>
      </c>
    </row>
    <row r="148" spans="1:14" hidden="1" x14ac:dyDescent="0.35">
      <c r="A148" t="s">
        <v>206</v>
      </c>
      <c r="B148" t="s">
        <v>37</v>
      </c>
      <c r="C148" t="s">
        <v>79</v>
      </c>
      <c r="D148" t="s">
        <v>79</v>
      </c>
      <c r="E148" t="s">
        <v>601</v>
      </c>
      <c r="F148" t="s">
        <v>581</v>
      </c>
      <c r="G148" t="s">
        <v>396</v>
      </c>
      <c r="H148">
        <v>5.9616439999999997</v>
      </c>
      <c r="I148">
        <v>6.6571850000000001</v>
      </c>
      <c r="J148">
        <v>4.458361</v>
      </c>
      <c r="K148">
        <v>3.4116900000000001</v>
      </c>
      <c r="L148">
        <v>2.8095729999999999</v>
      </c>
      <c r="M148">
        <v>2.2946339999999998</v>
      </c>
      <c r="N148">
        <v>2.0644610000000001</v>
      </c>
    </row>
    <row r="149" spans="1:14" hidden="1" x14ac:dyDescent="0.35">
      <c r="A149" t="s">
        <v>206</v>
      </c>
      <c r="B149" t="s">
        <v>37</v>
      </c>
      <c r="C149" t="s">
        <v>79</v>
      </c>
      <c r="D149" t="s">
        <v>79</v>
      </c>
      <c r="E149" t="s">
        <v>601</v>
      </c>
      <c r="F149" t="s">
        <v>581</v>
      </c>
      <c r="G149" t="s">
        <v>25</v>
      </c>
      <c r="H149">
        <v>2.0419149999999999</v>
      </c>
      <c r="I149">
        <v>1.965506</v>
      </c>
      <c r="J149">
        <v>1.31264</v>
      </c>
      <c r="K149">
        <v>0.99009599999999998</v>
      </c>
      <c r="L149">
        <v>0.81319240000000004</v>
      </c>
      <c r="M149">
        <v>0.66508489999999998</v>
      </c>
      <c r="N149">
        <v>0.60014239999999996</v>
      </c>
    </row>
    <row r="150" spans="1:14" hidden="1" x14ac:dyDescent="0.35">
      <c r="A150" t="s">
        <v>206</v>
      </c>
      <c r="B150" t="s">
        <v>37</v>
      </c>
      <c r="C150" t="s">
        <v>79</v>
      </c>
      <c r="D150" t="s">
        <v>79</v>
      </c>
      <c r="E150" t="s">
        <v>601</v>
      </c>
      <c r="F150" t="s">
        <v>26</v>
      </c>
      <c r="G150" t="s">
        <v>26</v>
      </c>
      <c r="H150">
        <v>2.4408219999999998</v>
      </c>
      <c r="I150">
        <v>2.4974259999999999</v>
      </c>
      <c r="J150">
        <v>1.6670739999999999</v>
      </c>
      <c r="K150">
        <v>1.2542469999999999</v>
      </c>
      <c r="L150">
        <v>1.0296639999999999</v>
      </c>
      <c r="M150">
        <v>0.84234249999999999</v>
      </c>
      <c r="N150">
        <v>0.76048879999999996</v>
      </c>
    </row>
    <row r="151" spans="1:14" hidden="1" x14ac:dyDescent="0.35">
      <c r="A151" t="s">
        <v>206</v>
      </c>
      <c r="B151" t="s">
        <v>37</v>
      </c>
      <c r="C151" t="s">
        <v>79</v>
      </c>
      <c r="D151" t="s">
        <v>79</v>
      </c>
      <c r="E151" t="s">
        <v>584</v>
      </c>
      <c r="F151" t="s">
        <v>581</v>
      </c>
      <c r="G151" t="s">
        <v>396</v>
      </c>
      <c r="H151">
        <v>2.6717810000000002</v>
      </c>
      <c r="I151">
        <v>1.790948</v>
      </c>
      <c r="J151">
        <v>1.20051</v>
      </c>
      <c r="K151">
        <v>0.8047261</v>
      </c>
      <c r="L151">
        <v>0.53942199999999996</v>
      </c>
      <c r="M151">
        <v>0.36158630000000003</v>
      </c>
      <c r="N151">
        <v>0.24237810000000001</v>
      </c>
    </row>
    <row r="152" spans="1:14" hidden="1" x14ac:dyDescent="0.35">
      <c r="A152" t="s">
        <v>206</v>
      </c>
      <c r="B152" t="s">
        <v>37</v>
      </c>
      <c r="C152" t="s">
        <v>79</v>
      </c>
      <c r="D152" t="s">
        <v>79</v>
      </c>
      <c r="E152" t="s">
        <v>584</v>
      </c>
      <c r="F152" t="s">
        <v>581</v>
      </c>
      <c r="G152" t="s">
        <v>24</v>
      </c>
      <c r="H152">
        <v>0.32876719999999998</v>
      </c>
      <c r="I152">
        <v>0.22037809999999999</v>
      </c>
      <c r="J152">
        <v>0.1477233</v>
      </c>
      <c r="K152">
        <v>9.9021910000000005E-2</v>
      </c>
      <c r="L152">
        <v>6.6378090000000001E-2</v>
      </c>
      <c r="M152">
        <v>4.4493150000000002E-2</v>
      </c>
      <c r="N152">
        <v>2.9824659999999999E-2</v>
      </c>
    </row>
    <row r="153" spans="1:14" hidden="1" x14ac:dyDescent="0.35">
      <c r="A153" t="s">
        <v>206</v>
      </c>
      <c r="B153" t="s">
        <v>37</v>
      </c>
      <c r="C153" t="s">
        <v>79</v>
      </c>
      <c r="D153" t="s">
        <v>79</v>
      </c>
      <c r="E153" t="s">
        <v>584</v>
      </c>
      <c r="F153" t="s">
        <v>26</v>
      </c>
      <c r="G153" t="s">
        <v>26</v>
      </c>
      <c r="H153">
        <v>1.4904109999999999</v>
      </c>
      <c r="I153">
        <v>1.460898</v>
      </c>
      <c r="J153">
        <v>1.431754</v>
      </c>
      <c r="K153">
        <v>1.3919790000000001</v>
      </c>
      <c r="L153">
        <v>1.336916</v>
      </c>
      <c r="M153">
        <v>1.2551909999999999</v>
      </c>
      <c r="N153">
        <v>1.1834880000000001</v>
      </c>
    </row>
    <row r="154" spans="1:14" hidden="1" x14ac:dyDescent="0.35">
      <c r="A154" t="s">
        <v>206</v>
      </c>
      <c r="B154" t="s">
        <v>37</v>
      </c>
      <c r="C154" t="s">
        <v>51</v>
      </c>
      <c r="D154" t="s">
        <v>51</v>
      </c>
      <c r="E154" t="s">
        <v>602</v>
      </c>
      <c r="F154" t="s">
        <v>581</v>
      </c>
      <c r="G154" t="s">
        <v>396</v>
      </c>
      <c r="H154">
        <v>70.839680000000001</v>
      </c>
      <c r="I154">
        <v>71.905460000000005</v>
      </c>
      <c r="J154">
        <v>69.535129999999995</v>
      </c>
      <c r="K154">
        <v>59.901049999999998</v>
      </c>
      <c r="L154">
        <v>49.693950000000001</v>
      </c>
      <c r="M154">
        <v>42.6083</v>
      </c>
      <c r="N154">
        <v>37.214950000000002</v>
      </c>
    </row>
    <row r="155" spans="1:14" hidden="1" x14ac:dyDescent="0.35">
      <c r="A155" t="s">
        <v>206</v>
      </c>
      <c r="B155" t="s">
        <v>37</v>
      </c>
      <c r="C155" t="s">
        <v>51</v>
      </c>
      <c r="D155" t="s">
        <v>51</v>
      </c>
      <c r="E155" t="s">
        <v>602</v>
      </c>
      <c r="F155" t="s">
        <v>581</v>
      </c>
      <c r="G155" t="s">
        <v>25</v>
      </c>
      <c r="H155">
        <v>10.82178</v>
      </c>
      <c r="I155">
        <v>12.43342</v>
      </c>
      <c r="J155">
        <v>11.94702</v>
      </c>
      <c r="K155">
        <v>10.29115</v>
      </c>
      <c r="L155">
        <v>8.5340389999999999</v>
      </c>
      <c r="M155">
        <v>7.3166589999999996</v>
      </c>
      <c r="N155">
        <v>6.3908589999999998</v>
      </c>
    </row>
    <row r="156" spans="1:14" hidden="1" x14ac:dyDescent="0.35">
      <c r="A156" t="s">
        <v>206</v>
      </c>
      <c r="B156" t="s">
        <v>37</v>
      </c>
      <c r="C156" t="s">
        <v>51</v>
      </c>
      <c r="D156" t="s">
        <v>51</v>
      </c>
      <c r="E156" t="s">
        <v>602</v>
      </c>
      <c r="F156" t="s">
        <v>26</v>
      </c>
      <c r="G156" t="s">
        <v>26</v>
      </c>
      <c r="H156">
        <v>15.160270000000001</v>
      </c>
      <c r="I156">
        <v>14.53365</v>
      </c>
      <c r="J156">
        <v>13.962759999999999</v>
      </c>
      <c r="K156">
        <v>12.027939999999999</v>
      </c>
      <c r="L156">
        <v>9.9761869999999995</v>
      </c>
      <c r="M156">
        <v>8.5535169999999994</v>
      </c>
      <c r="N156">
        <v>7.4711069999999999</v>
      </c>
    </row>
    <row r="157" spans="1:14" hidden="1" x14ac:dyDescent="0.35">
      <c r="A157" t="s">
        <v>206</v>
      </c>
      <c r="B157" t="s">
        <v>37</v>
      </c>
      <c r="C157" t="s">
        <v>51</v>
      </c>
      <c r="D157" t="s">
        <v>51</v>
      </c>
      <c r="E157" t="s">
        <v>584</v>
      </c>
      <c r="F157" t="s">
        <v>581</v>
      </c>
      <c r="G157" t="s">
        <v>396</v>
      </c>
      <c r="H157">
        <v>0.17534250000000001</v>
      </c>
      <c r="I157">
        <v>0.1718712</v>
      </c>
      <c r="J157">
        <v>0.16844219999999999</v>
      </c>
      <c r="K157">
        <v>0.1637633</v>
      </c>
      <c r="L157">
        <v>0.15728490000000001</v>
      </c>
      <c r="M157">
        <v>0.14766960000000001</v>
      </c>
      <c r="N157">
        <v>0.13923289999999999</v>
      </c>
    </row>
    <row r="158" spans="1:14" hidden="1" x14ac:dyDescent="0.35">
      <c r="A158" t="s">
        <v>206</v>
      </c>
      <c r="B158" t="s">
        <v>37</v>
      </c>
      <c r="C158" t="s">
        <v>51</v>
      </c>
      <c r="D158" t="s">
        <v>51</v>
      </c>
      <c r="E158" t="s">
        <v>584</v>
      </c>
      <c r="F158" t="s">
        <v>581</v>
      </c>
      <c r="G158" t="s">
        <v>25</v>
      </c>
      <c r="H158">
        <v>0.17931510000000001</v>
      </c>
      <c r="I158">
        <v>0.16231509999999999</v>
      </c>
      <c r="J158">
        <v>0.14681810000000001</v>
      </c>
      <c r="K158">
        <v>0.13153860000000001</v>
      </c>
      <c r="L158">
        <v>0.1160417</v>
      </c>
      <c r="M158">
        <v>9.9771499999999999E-2</v>
      </c>
      <c r="N158">
        <v>8.5891510000000004E-2</v>
      </c>
    </row>
    <row r="159" spans="1:14" hidden="1" x14ac:dyDescent="0.35">
      <c r="A159" t="s">
        <v>206</v>
      </c>
      <c r="B159" t="s">
        <v>37</v>
      </c>
      <c r="C159" t="s">
        <v>51</v>
      </c>
      <c r="D159" t="s">
        <v>51</v>
      </c>
      <c r="E159" t="s">
        <v>584</v>
      </c>
      <c r="F159" t="s">
        <v>26</v>
      </c>
      <c r="G159" t="s">
        <v>26</v>
      </c>
      <c r="H159">
        <v>0.1723288</v>
      </c>
      <c r="I159">
        <v>0.16891510000000001</v>
      </c>
      <c r="J159">
        <v>0.16554679999999999</v>
      </c>
      <c r="K159">
        <v>0.16094849999999999</v>
      </c>
      <c r="L159">
        <v>0.1545803</v>
      </c>
      <c r="M159">
        <v>0.14513200000000001</v>
      </c>
      <c r="N159">
        <v>0.13683999999999999</v>
      </c>
    </row>
    <row r="160" spans="1:14" hidden="1" x14ac:dyDescent="0.35">
      <c r="A160" t="s">
        <v>206</v>
      </c>
      <c r="B160" t="s">
        <v>37</v>
      </c>
      <c r="C160" t="s">
        <v>35</v>
      </c>
      <c r="D160" t="s">
        <v>38</v>
      </c>
      <c r="E160" t="s">
        <v>584</v>
      </c>
      <c r="F160" t="s">
        <v>581</v>
      </c>
      <c r="G160" t="s">
        <v>396</v>
      </c>
      <c r="H160">
        <v>17.045480000000001</v>
      </c>
      <c r="I160">
        <v>15.22997</v>
      </c>
      <c r="J160">
        <v>13.63565</v>
      </c>
      <c r="K160">
        <v>12.127140000000001</v>
      </c>
      <c r="L160">
        <v>10.65231</v>
      </c>
      <c r="M160">
        <v>9.1509610000000006</v>
      </c>
      <c r="N160">
        <v>4.8952400000000003</v>
      </c>
    </row>
    <row r="161" spans="1:14" hidden="1" x14ac:dyDescent="0.35">
      <c r="A161" t="s">
        <v>206</v>
      </c>
      <c r="B161" t="s">
        <v>37</v>
      </c>
      <c r="C161" t="s">
        <v>35</v>
      </c>
      <c r="D161" t="s">
        <v>38</v>
      </c>
      <c r="E161" t="s">
        <v>584</v>
      </c>
      <c r="F161" t="s">
        <v>581</v>
      </c>
      <c r="G161" t="s">
        <v>24</v>
      </c>
      <c r="H161">
        <v>2.412603E-2</v>
      </c>
      <c r="I161">
        <v>1.618356E-2</v>
      </c>
      <c r="J161">
        <v>1.0849309999999999E-2</v>
      </c>
      <c r="K161">
        <v>7.2739730000000004E-3</v>
      </c>
      <c r="L161">
        <v>4.8904109999999999E-3</v>
      </c>
      <c r="M161">
        <v>2.6794520000000001E-3</v>
      </c>
      <c r="N161">
        <v>3.5945200000000001E-4</v>
      </c>
    </row>
    <row r="162" spans="1:14" hidden="1" x14ac:dyDescent="0.35">
      <c r="A162" t="s">
        <v>206</v>
      </c>
      <c r="B162" t="s">
        <v>37</v>
      </c>
      <c r="C162" t="s">
        <v>35</v>
      </c>
      <c r="D162" t="s">
        <v>38</v>
      </c>
      <c r="E162" t="s">
        <v>584</v>
      </c>
      <c r="F162" t="s">
        <v>581</v>
      </c>
      <c r="G162" t="s">
        <v>25</v>
      </c>
      <c r="H162">
        <v>3.3843830000000001</v>
      </c>
      <c r="I162">
        <v>2.8781099999999999</v>
      </c>
      <c r="J162">
        <v>2.4623789999999999</v>
      </c>
      <c r="K162">
        <v>2.0986370000000001</v>
      </c>
      <c r="L162">
        <v>1.7689269999999999</v>
      </c>
      <c r="M162">
        <v>1.45953</v>
      </c>
      <c r="N162">
        <v>0.35156169999999998</v>
      </c>
    </row>
    <row r="163" spans="1:14" hidden="1" x14ac:dyDescent="0.35">
      <c r="A163" t="s">
        <v>206</v>
      </c>
      <c r="B163" t="s">
        <v>37</v>
      </c>
      <c r="C163" t="s">
        <v>35</v>
      </c>
      <c r="D163" t="s">
        <v>38</v>
      </c>
      <c r="E163" t="s">
        <v>584</v>
      </c>
      <c r="F163" t="s">
        <v>26</v>
      </c>
      <c r="G163" t="s">
        <v>26</v>
      </c>
      <c r="H163">
        <v>11.786569999999999</v>
      </c>
      <c r="I163">
        <v>11.48963</v>
      </c>
      <c r="J163">
        <v>11.19947</v>
      </c>
      <c r="K163">
        <v>10.84258</v>
      </c>
      <c r="L163">
        <v>10.388960000000001</v>
      </c>
      <c r="M163">
        <v>9.7690889999999992</v>
      </c>
      <c r="N163">
        <v>4.4234840000000002</v>
      </c>
    </row>
    <row r="164" spans="1:14" hidden="1" x14ac:dyDescent="0.35">
      <c r="A164" t="s">
        <v>206</v>
      </c>
      <c r="B164" t="s">
        <v>37</v>
      </c>
      <c r="C164" t="s">
        <v>35</v>
      </c>
      <c r="D164" t="s">
        <v>38</v>
      </c>
      <c r="E164" t="s">
        <v>603</v>
      </c>
      <c r="F164" t="s">
        <v>581</v>
      </c>
      <c r="G164" t="s">
        <v>396</v>
      </c>
      <c r="H164">
        <v>2.5665749999999998</v>
      </c>
      <c r="I164">
        <v>2.0714350000000001</v>
      </c>
      <c r="J164">
        <v>1.7723450000000001</v>
      </c>
      <c r="K164">
        <v>1.5486359999999999</v>
      </c>
      <c r="L164">
        <v>1.3622909999999999</v>
      </c>
      <c r="M164">
        <v>1.2053529999999999</v>
      </c>
      <c r="N164">
        <v>1.057674</v>
      </c>
    </row>
    <row r="165" spans="1:14" hidden="1" x14ac:dyDescent="0.35">
      <c r="A165" t="s">
        <v>206</v>
      </c>
      <c r="B165" t="s">
        <v>37</v>
      </c>
      <c r="C165" t="s">
        <v>35</v>
      </c>
      <c r="D165" t="s">
        <v>38</v>
      </c>
      <c r="E165" t="s">
        <v>603</v>
      </c>
      <c r="F165" t="s">
        <v>581</v>
      </c>
      <c r="G165" t="s">
        <v>25</v>
      </c>
      <c r="H165">
        <v>1.9282170000000001</v>
      </c>
      <c r="I165">
        <v>1.469619</v>
      </c>
      <c r="J165">
        <v>1.2554110000000001</v>
      </c>
      <c r="K165">
        <v>1.096951</v>
      </c>
      <c r="L165">
        <v>0.96495339999999996</v>
      </c>
      <c r="M165">
        <v>0.85379179999999999</v>
      </c>
      <c r="N165">
        <v>0.74918629999999997</v>
      </c>
    </row>
    <row r="166" spans="1:14" hidden="1" x14ac:dyDescent="0.35">
      <c r="A166" t="s">
        <v>206</v>
      </c>
      <c r="B166" t="s">
        <v>37</v>
      </c>
      <c r="C166" t="s">
        <v>35</v>
      </c>
      <c r="D166" t="s">
        <v>38</v>
      </c>
      <c r="E166" t="s">
        <v>603</v>
      </c>
      <c r="F166" t="s">
        <v>26</v>
      </c>
      <c r="G166" t="s">
        <v>26</v>
      </c>
      <c r="H166">
        <v>1.7093149999999999</v>
      </c>
      <c r="I166">
        <v>1.224682</v>
      </c>
      <c r="J166">
        <v>1.0461750000000001</v>
      </c>
      <c r="K166">
        <v>0.9141262</v>
      </c>
      <c r="L166">
        <v>0.80412879999999998</v>
      </c>
      <c r="M166">
        <v>0.71149309999999999</v>
      </c>
      <c r="N166">
        <v>0.62432330000000003</v>
      </c>
    </row>
    <row r="167" spans="1:14" hidden="1" x14ac:dyDescent="0.35">
      <c r="A167" t="s">
        <v>206</v>
      </c>
      <c r="B167" t="s">
        <v>37</v>
      </c>
      <c r="C167" t="s">
        <v>35</v>
      </c>
      <c r="D167" t="s">
        <v>38</v>
      </c>
      <c r="E167" t="s">
        <v>586</v>
      </c>
      <c r="F167" t="s">
        <v>581</v>
      </c>
      <c r="G167" t="s">
        <v>396</v>
      </c>
      <c r="H167">
        <v>1.810411</v>
      </c>
      <c r="I167">
        <v>1.410285</v>
      </c>
      <c r="J167">
        <v>1.2575810000000001</v>
      </c>
      <c r="K167">
        <v>1.022084</v>
      </c>
      <c r="L167">
        <v>0.79659729999999995</v>
      </c>
      <c r="M167">
        <v>0.64091620000000005</v>
      </c>
      <c r="N167">
        <v>0.53004770000000001</v>
      </c>
    </row>
    <row r="168" spans="1:14" hidden="1" x14ac:dyDescent="0.35">
      <c r="A168" t="s">
        <v>206</v>
      </c>
      <c r="B168" t="s">
        <v>37</v>
      </c>
      <c r="C168" t="s">
        <v>35</v>
      </c>
      <c r="D168" t="s">
        <v>38</v>
      </c>
      <c r="E168" t="s">
        <v>586</v>
      </c>
      <c r="F168" t="s">
        <v>581</v>
      </c>
      <c r="G168" t="s">
        <v>25</v>
      </c>
      <c r="H168">
        <v>0.73424659999999997</v>
      </c>
      <c r="I168">
        <v>0.70515190000000005</v>
      </c>
      <c r="J168">
        <v>0.62879070000000004</v>
      </c>
      <c r="K168">
        <v>0.51104280000000002</v>
      </c>
      <c r="L168">
        <v>0.3983003</v>
      </c>
      <c r="M168">
        <v>0.32045810000000002</v>
      </c>
      <c r="N168">
        <v>0.26502740000000002</v>
      </c>
    </row>
    <row r="169" spans="1:14" hidden="1" x14ac:dyDescent="0.35">
      <c r="A169" t="s">
        <v>206</v>
      </c>
      <c r="B169" t="s">
        <v>37</v>
      </c>
      <c r="C169" t="s">
        <v>35</v>
      </c>
      <c r="D169" t="s">
        <v>38</v>
      </c>
      <c r="E169" t="s">
        <v>586</v>
      </c>
      <c r="F169" t="s">
        <v>26</v>
      </c>
      <c r="G169" t="s">
        <v>26</v>
      </c>
      <c r="H169">
        <v>1.0213699999999999</v>
      </c>
      <c r="I169">
        <v>0.70515119999999998</v>
      </c>
      <c r="J169">
        <v>0.62878959999999995</v>
      </c>
      <c r="K169">
        <v>0.51104280000000002</v>
      </c>
      <c r="L169">
        <v>0.39829969999999998</v>
      </c>
      <c r="M169">
        <v>0.32045699999999999</v>
      </c>
      <c r="N169">
        <v>0.2650247</v>
      </c>
    </row>
    <row r="170" spans="1:14" hidden="1" x14ac:dyDescent="0.35">
      <c r="A170" t="s">
        <v>206</v>
      </c>
      <c r="B170" t="s">
        <v>37</v>
      </c>
      <c r="C170" t="s">
        <v>35</v>
      </c>
      <c r="D170" t="s">
        <v>129</v>
      </c>
      <c r="E170" t="s">
        <v>582</v>
      </c>
      <c r="F170" t="s">
        <v>581</v>
      </c>
      <c r="G170" t="s">
        <v>396</v>
      </c>
      <c r="H170">
        <v>16.322199999999999</v>
      </c>
      <c r="I170">
        <v>17.256810000000002</v>
      </c>
      <c r="J170">
        <v>16.9938</v>
      </c>
      <c r="K170">
        <v>13.88531</v>
      </c>
      <c r="L170">
        <v>11.10772</v>
      </c>
      <c r="M170">
        <v>9.1326999999999998</v>
      </c>
      <c r="N170">
        <v>7.6190009999999999</v>
      </c>
    </row>
    <row r="171" spans="1:14" hidden="1" x14ac:dyDescent="0.35">
      <c r="A171" t="s">
        <v>206</v>
      </c>
      <c r="B171" t="s">
        <v>37</v>
      </c>
      <c r="C171" t="s">
        <v>35</v>
      </c>
      <c r="D171" t="s">
        <v>129</v>
      </c>
      <c r="E171" t="s">
        <v>582</v>
      </c>
      <c r="F171" t="s">
        <v>581</v>
      </c>
      <c r="G171" t="s">
        <v>25</v>
      </c>
      <c r="H171">
        <v>6.7528800000000002</v>
      </c>
      <c r="I171">
        <v>8.8183579999999999</v>
      </c>
      <c r="J171">
        <v>8.6635080000000002</v>
      </c>
      <c r="K171">
        <v>7.0787839999999997</v>
      </c>
      <c r="L171">
        <v>5.6627590000000003</v>
      </c>
      <c r="M171">
        <v>4.6558830000000002</v>
      </c>
      <c r="N171">
        <v>3.8841990000000002</v>
      </c>
    </row>
    <row r="172" spans="1:14" hidden="1" x14ac:dyDescent="0.35">
      <c r="A172" t="s">
        <v>206</v>
      </c>
      <c r="B172" t="s">
        <v>37</v>
      </c>
      <c r="C172" t="s">
        <v>35</v>
      </c>
      <c r="D172" t="s">
        <v>129</v>
      </c>
      <c r="E172" t="s">
        <v>582</v>
      </c>
      <c r="F172" t="s">
        <v>26</v>
      </c>
      <c r="G172" t="s">
        <v>26</v>
      </c>
      <c r="H172">
        <v>8.3068489999999997</v>
      </c>
      <c r="I172">
        <v>7.8008579999999998</v>
      </c>
      <c r="J172">
        <v>7.663869</v>
      </c>
      <c r="K172">
        <v>6.2620019999999998</v>
      </c>
      <c r="L172">
        <v>5.0093649999999998</v>
      </c>
      <c r="M172">
        <v>4.1186689999999997</v>
      </c>
      <c r="N172">
        <v>3.4360179999999998</v>
      </c>
    </row>
    <row r="173" spans="1:14" hidden="1" x14ac:dyDescent="0.35">
      <c r="A173" t="s">
        <v>206</v>
      </c>
      <c r="B173" t="s">
        <v>37</v>
      </c>
      <c r="C173" t="s">
        <v>35</v>
      </c>
      <c r="D173" t="s">
        <v>39</v>
      </c>
      <c r="E173" t="s">
        <v>582</v>
      </c>
      <c r="F173" t="s">
        <v>581</v>
      </c>
      <c r="G173" t="s">
        <v>396</v>
      </c>
      <c r="H173">
        <v>5.8454790000000001</v>
      </c>
      <c r="I173">
        <v>7.6274009999999999</v>
      </c>
      <c r="J173">
        <v>7.2253720000000001</v>
      </c>
      <c r="K173">
        <v>5.9266930000000002</v>
      </c>
      <c r="L173">
        <v>4.8661050000000001</v>
      </c>
      <c r="M173">
        <v>3.9159310000000001</v>
      </c>
      <c r="N173">
        <v>3.1804389999999998</v>
      </c>
    </row>
    <row r="174" spans="1:14" hidden="1" x14ac:dyDescent="0.35">
      <c r="A174" t="s">
        <v>206</v>
      </c>
      <c r="B174" t="s">
        <v>37</v>
      </c>
      <c r="C174" t="s">
        <v>35</v>
      </c>
      <c r="D174" t="s">
        <v>39</v>
      </c>
      <c r="E174" t="s">
        <v>582</v>
      </c>
      <c r="F174" t="s">
        <v>581</v>
      </c>
      <c r="G174" t="s">
        <v>25</v>
      </c>
      <c r="H174">
        <v>2.198356</v>
      </c>
      <c r="I174">
        <v>3.5591469999999998</v>
      </c>
      <c r="J174">
        <v>3.3499490000000001</v>
      </c>
      <c r="K174">
        <v>2.747833</v>
      </c>
      <c r="L174">
        <v>2.2561059999999999</v>
      </c>
      <c r="M174">
        <v>1.8155680000000001</v>
      </c>
      <c r="N174">
        <v>1.474566</v>
      </c>
    </row>
    <row r="175" spans="1:14" hidden="1" x14ac:dyDescent="0.35">
      <c r="A175" t="s">
        <v>206</v>
      </c>
      <c r="B175" t="s">
        <v>37</v>
      </c>
      <c r="C175" t="s">
        <v>35</v>
      </c>
      <c r="D175" t="s">
        <v>39</v>
      </c>
      <c r="E175" t="s">
        <v>582</v>
      </c>
      <c r="F175" t="s">
        <v>26</v>
      </c>
      <c r="G175" t="s">
        <v>26</v>
      </c>
      <c r="H175">
        <v>2.6757529999999998</v>
      </c>
      <c r="I175">
        <v>3.1142539999999999</v>
      </c>
      <c r="J175">
        <v>2.9311989999999999</v>
      </c>
      <c r="K175">
        <v>2.404353</v>
      </c>
      <c r="L175">
        <v>1.9740899999999999</v>
      </c>
      <c r="M175">
        <v>1.5886199999999999</v>
      </c>
      <c r="N175">
        <v>1.2902439999999999</v>
      </c>
    </row>
    <row r="176" spans="1:14" hidden="1" x14ac:dyDescent="0.35">
      <c r="A176" t="s">
        <v>206</v>
      </c>
      <c r="B176" t="s">
        <v>37</v>
      </c>
      <c r="C176" t="s">
        <v>35</v>
      </c>
      <c r="D176" t="s">
        <v>207</v>
      </c>
      <c r="E176" t="s">
        <v>583</v>
      </c>
      <c r="F176" t="s">
        <v>581</v>
      </c>
      <c r="G176" t="s">
        <v>396</v>
      </c>
      <c r="H176">
        <v>1.387397</v>
      </c>
      <c r="I176">
        <v>1.164479</v>
      </c>
      <c r="J176">
        <v>1.045701</v>
      </c>
      <c r="K176">
        <v>0.89406249999999998</v>
      </c>
      <c r="L176">
        <v>0.77461919999999995</v>
      </c>
      <c r="M176">
        <v>0.67995070000000002</v>
      </c>
      <c r="N176">
        <v>0.5955918</v>
      </c>
    </row>
    <row r="177" spans="1:14" hidden="1" x14ac:dyDescent="0.35">
      <c r="A177" t="s">
        <v>206</v>
      </c>
      <c r="B177" t="s">
        <v>37</v>
      </c>
      <c r="C177" t="s">
        <v>105</v>
      </c>
      <c r="D177" t="s">
        <v>105</v>
      </c>
      <c r="E177" t="s">
        <v>584</v>
      </c>
      <c r="F177" t="s">
        <v>581</v>
      </c>
      <c r="G177" t="s">
        <v>396</v>
      </c>
      <c r="H177">
        <v>0.70794520000000005</v>
      </c>
      <c r="I177">
        <v>0.6840986</v>
      </c>
      <c r="J177">
        <v>0.66811500000000001</v>
      </c>
      <c r="K177">
        <v>0.65740279999999995</v>
      </c>
      <c r="L177">
        <v>0.65021910000000005</v>
      </c>
      <c r="M177">
        <v>0.64540549999999997</v>
      </c>
      <c r="N177">
        <v>0.64217809999999997</v>
      </c>
    </row>
    <row r="178" spans="1:14" hidden="1" x14ac:dyDescent="0.35">
      <c r="A178" t="s">
        <v>206</v>
      </c>
      <c r="B178" t="s">
        <v>37</v>
      </c>
      <c r="C178" t="s">
        <v>105</v>
      </c>
      <c r="D178" t="s">
        <v>105</v>
      </c>
      <c r="E178" t="s">
        <v>584</v>
      </c>
      <c r="F178" t="s">
        <v>581</v>
      </c>
      <c r="G178" t="s">
        <v>24</v>
      </c>
      <c r="H178">
        <v>1.2909619999999999</v>
      </c>
      <c r="I178">
        <v>0.86536440000000003</v>
      </c>
      <c r="J178">
        <v>0.58006849999999999</v>
      </c>
      <c r="K178">
        <v>0.38816990000000001</v>
      </c>
      <c r="L178">
        <v>0.26019730000000002</v>
      </c>
      <c r="M178">
        <v>0.1744164</v>
      </c>
      <c r="N178">
        <v>0.11691509999999999</v>
      </c>
    </row>
    <row r="179" spans="1:14" hidden="1" x14ac:dyDescent="0.35">
      <c r="A179" t="s">
        <v>206</v>
      </c>
      <c r="B179" t="s">
        <v>37</v>
      </c>
      <c r="C179" t="s">
        <v>105</v>
      </c>
      <c r="D179" t="s">
        <v>105</v>
      </c>
      <c r="E179" t="s">
        <v>584</v>
      </c>
      <c r="F179" t="s">
        <v>581</v>
      </c>
      <c r="G179" t="s">
        <v>25</v>
      </c>
      <c r="H179">
        <v>3.0005449999999998</v>
      </c>
      <c r="I179">
        <v>2.0113289999999999</v>
      </c>
      <c r="J179">
        <v>1.348233</v>
      </c>
      <c r="K179">
        <v>0.903748</v>
      </c>
      <c r="L179">
        <v>0.60580000000000001</v>
      </c>
      <c r="M179">
        <v>0.4060822</v>
      </c>
      <c r="N179">
        <v>0.27220280000000002</v>
      </c>
    </row>
    <row r="180" spans="1:14" hidden="1" x14ac:dyDescent="0.35">
      <c r="A180" t="s">
        <v>206</v>
      </c>
      <c r="B180" t="s">
        <v>37</v>
      </c>
      <c r="C180" t="s">
        <v>105</v>
      </c>
      <c r="D180" t="s">
        <v>105</v>
      </c>
      <c r="E180" t="s">
        <v>584</v>
      </c>
      <c r="F180" t="s">
        <v>26</v>
      </c>
      <c r="G180" t="s">
        <v>26</v>
      </c>
      <c r="H180">
        <v>9.6658950000000008</v>
      </c>
      <c r="I180">
        <v>9.4203399999999995</v>
      </c>
      <c r="J180">
        <v>9.1792200000000008</v>
      </c>
      <c r="K180">
        <v>8.8718679999999992</v>
      </c>
      <c r="L180">
        <v>8.4689789999999991</v>
      </c>
      <c r="M180">
        <v>7.9011259999999996</v>
      </c>
      <c r="N180">
        <v>7.4011800000000001</v>
      </c>
    </row>
    <row r="181" spans="1:14" hidden="1" x14ac:dyDescent="0.35">
      <c r="A181" t="s">
        <v>206</v>
      </c>
      <c r="B181" t="s">
        <v>37</v>
      </c>
      <c r="C181" t="s">
        <v>61</v>
      </c>
      <c r="D181" t="s">
        <v>62</v>
      </c>
      <c r="E181" t="s">
        <v>584</v>
      </c>
      <c r="F181" t="s">
        <v>581</v>
      </c>
      <c r="G181" t="s">
        <v>396</v>
      </c>
      <c r="H181">
        <v>11.94045</v>
      </c>
      <c r="I181">
        <v>11.81122</v>
      </c>
      <c r="J181">
        <v>9.3812069999999999</v>
      </c>
      <c r="K181">
        <v>7.5079219999999998</v>
      </c>
      <c r="L181">
        <v>6.0463849999999999</v>
      </c>
      <c r="M181">
        <v>4.6902299999999997</v>
      </c>
      <c r="N181">
        <v>3.7753920000000001</v>
      </c>
    </row>
    <row r="182" spans="1:14" hidden="1" x14ac:dyDescent="0.35">
      <c r="A182" t="s">
        <v>206</v>
      </c>
      <c r="B182" t="s">
        <v>37</v>
      </c>
      <c r="C182" t="s">
        <v>61</v>
      </c>
      <c r="D182" t="s">
        <v>62</v>
      </c>
      <c r="E182" t="s">
        <v>584</v>
      </c>
      <c r="F182" t="s">
        <v>581</v>
      </c>
      <c r="G182" t="s">
        <v>24</v>
      </c>
      <c r="H182">
        <v>8.1594290000000004E-4</v>
      </c>
      <c r="I182">
        <v>5.4656629999999995E-4</v>
      </c>
      <c r="J182">
        <v>3.6856699999999998E-4</v>
      </c>
      <c r="K182">
        <v>2.4661719999999999E-4</v>
      </c>
      <c r="L182">
        <v>1.6543060000000001E-4</v>
      </c>
      <c r="M182">
        <v>1.1074E-4</v>
      </c>
      <c r="N182">
        <v>0</v>
      </c>
    </row>
    <row r="183" spans="1:14" hidden="1" x14ac:dyDescent="0.35">
      <c r="A183" t="s">
        <v>206</v>
      </c>
      <c r="B183" t="s">
        <v>37</v>
      </c>
      <c r="C183" t="s">
        <v>61</v>
      </c>
      <c r="D183" t="s">
        <v>62</v>
      </c>
      <c r="E183" t="s">
        <v>584</v>
      </c>
      <c r="F183" t="s">
        <v>581</v>
      </c>
      <c r="G183" t="s">
        <v>25</v>
      </c>
      <c r="H183">
        <v>1.183581</v>
      </c>
      <c r="I183">
        <v>0.80101860000000003</v>
      </c>
      <c r="J183">
        <v>0.54224050000000001</v>
      </c>
      <c r="K183">
        <v>0.3664829</v>
      </c>
      <c r="L183">
        <v>0.24679860000000001</v>
      </c>
      <c r="M183">
        <v>0.16554759999999999</v>
      </c>
      <c r="N183">
        <v>0.1108874</v>
      </c>
    </row>
    <row r="184" spans="1:14" hidden="1" x14ac:dyDescent="0.35">
      <c r="A184" t="s">
        <v>206</v>
      </c>
      <c r="B184" t="s">
        <v>37</v>
      </c>
      <c r="C184" t="s">
        <v>61</v>
      </c>
      <c r="D184" t="s">
        <v>62</v>
      </c>
      <c r="E184" t="s">
        <v>584</v>
      </c>
      <c r="F184" t="s">
        <v>26</v>
      </c>
      <c r="G184" t="s">
        <v>26</v>
      </c>
      <c r="H184">
        <v>1.7432350000000001</v>
      </c>
      <c r="I184">
        <v>1.4013260000000001</v>
      </c>
      <c r="J184">
        <v>1.133019</v>
      </c>
      <c r="K184">
        <v>0.92265710000000001</v>
      </c>
      <c r="L184">
        <v>0.75122480000000003</v>
      </c>
      <c r="M184">
        <v>0.59111340000000001</v>
      </c>
      <c r="N184">
        <v>0.48002810000000001</v>
      </c>
    </row>
    <row r="185" spans="1:14" hidden="1" x14ac:dyDescent="0.35">
      <c r="A185" t="s">
        <v>206</v>
      </c>
      <c r="B185" t="s">
        <v>37</v>
      </c>
      <c r="C185" t="s">
        <v>115</v>
      </c>
      <c r="D185" t="s">
        <v>115</v>
      </c>
      <c r="E185" t="s">
        <v>584</v>
      </c>
      <c r="F185" t="s">
        <v>26</v>
      </c>
      <c r="G185" t="s">
        <v>26</v>
      </c>
      <c r="H185">
        <v>5.104819</v>
      </c>
      <c r="I185">
        <v>6.3954420000000001</v>
      </c>
      <c r="J185">
        <v>5.7306710000000001</v>
      </c>
      <c r="K185">
        <v>5.1542029999999999</v>
      </c>
      <c r="L185">
        <v>4.6370880000000003</v>
      </c>
      <c r="M185">
        <v>4.1841559999999998</v>
      </c>
      <c r="N185">
        <v>3.7548379999999999</v>
      </c>
    </row>
    <row r="186" spans="1:14" hidden="1" x14ac:dyDescent="0.35">
      <c r="A186" t="s">
        <v>206</v>
      </c>
      <c r="B186" t="s">
        <v>37</v>
      </c>
      <c r="C186" t="s">
        <v>99</v>
      </c>
      <c r="D186" t="s">
        <v>101</v>
      </c>
      <c r="E186" t="s">
        <v>584</v>
      </c>
      <c r="F186" t="s">
        <v>26</v>
      </c>
      <c r="G186" t="s">
        <v>26</v>
      </c>
      <c r="H186">
        <v>0.54958910000000005</v>
      </c>
      <c r="I186">
        <v>0.5242658</v>
      </c>
      <c r="J186">
        <v>0.49993149999999997</v>
      </c>
      <c r="K186">
        <v>0.4726745</v>
      </c>
      <c r="L186">
        <v>0.4409962</v>
      </c>
      <c r="M186">
        <v>0.40178789999999998</v>
      </c>
      <c r="N186">
        <v>0</v>
      </c>
    </row>
    <row r="187" spans="1:14" hidden="1" x14ac:dyDescent="0.35">
      <c r="A187" t="s">
        <v>206</v>
      </c>
      <c r="B187" t="s">
        <v>37</v>
      </c>
      <c r="C187" t="s">
        <v>118</v>
      </c>
      <c r="D187" t="s">
        <v>118</v>
      </c>
      <c r="E187" t="s">
        <v>584</v>
      </c>
      <c r="F187" t="s">
        <v>26</v>
      </c>
      <c r="G187" t="s">
        <v>26</v>
      </c>
      <c r="H187">
        <v>0.34473419999999999</v>
      </c>
      <c r="I187">
        <v>0.33387670000000003</v>
      </c>
      <c r="J187">
        <v>0.3232816</v>
      </c>
      <c r="K187">
        <v>0.31045149999999999</v>
      </c>
      <c r="L187">
        <v>0.29437530000000001</v>
      </c>
      <c r="M187">
        <v>0.2727386</v>
      </c>
      <c r="N187">
        <v>5.2304110000000001E-2</v>
      </c>
    </row>
    <row r="188" spans="1:14" hidden="1" x14ac:dyDescent="0.35">
      <c r="A188" t="s">
        <v>206</v>
      </c>
      <c r="B188" t="s">
        <v>37</v>
      </c>
      <c r="C188" t="s">
        <v>109</v>
      </c>
      <c r="D188" t="s">
        <v>109</v>
      </c>
      <c r="E188" t="s">
        <v>584</v>
      </c>
      <c r="F188" t="s">
        <v>581</v>
      </c>
      <c r="G188" t="s">
        <v>396</v>
      </c>
      <c r="H188">
        <v>3.773982E-2</v>
      </c>
      <c r="I188">
        <v>3.6992799999999999E-2</v>
      </c>
      <c r="J188">
        <v>3.6259479999999997E-2</v>
      </c>
      <c r="K188">
        <v>3.5540769999999999E-2</v>
      </c>
      <c r="L188">
        <v>2.7205480000000001E-2</v>
      </c>
      <c r="M188">
        <v>2.6665749999999998E-2</v>
      </c>
      <c r="N188">
        <v>2.6136989999999999E-2</v>
      </c>
    </row>
    <row r="189" spans="1:14" hidden="1" x14ac:dyDescent="0.35">
      <c r="A189" t="s">
        <v>206</v>
      </c>
      <c r="B189" t="s">
        <v>37</v>
      </c>
      <c r="C189" t="s">
        <v>109</v>
      </c>
      <c r="D189" t="s">
        <v>109</v>
      </c>
      <c r="E189" t="s">
        <v>584</v>
      </c>
      <c r="F189" t="s">
        <v>581</v>
      </c>
      <c r="G189" t="s">
        <v>24</v>
      </c>
      <c r="H189">
        <v>7.3010389999999994E-2</v>
      </c>
      <c r="I189">
        <v>6.3261750000000005E-2</v>
      </c>
      <c r="J189">
        <v>5.4906870000000003E-2</v>
      </c>
      <c r="K189">
        <v>4.7415520000000003E-2</v>
      </c>
      <c r="L189">
        <v>2.819777E-2</v>
      </c>
      <c r="M189">
        <v>2.2438840000000002E-2</v>
      </c>
      <c r="N189">
        <v>1.7830140000000001E-2</v>
      </c>
    </row>
    <row r="190" spans="1:14" hidden="1" x14ac:dyDescent="0.35">
      <c r="A190" t="s">
        <v>206</v>
      </c>
      <c r="B190" t="s">
        <v>37</v>
      </c>
      <c r="C190" t="s">
        <v>109</v>
      </c>
      <c r="D190" t="s">
        <v>109</v>
      </c>
      <c r="E190" t="s">
        <v>584</v>
      </c>
      <c r="F190" t="s">
        <v>581</v>
      </c>
      <c r="G190" t="s">
        <v>25</v>
      </c>
      <c r="H190">
        <v>2.9265220000000002E-2</v>
      </c>
      <c r="I190">
        <v>2.313484E-2</v>
      </c>
      <c r="J190">
        <v>1.830946E-2</v>
      </c>
      <c r="K190">
        <v>1.437856E-2</v>
      </c>
      <c r="L190">
        <v>9.8389029999999995E-3</v>
      </c>
      <c r="M190">
        <v>7.1851670000000001E-3</v>
      </c>
      <c r="N190">
        <v>5.2258210000000003E-3</v>
      </c>
    </row>
    <row r="191" spans="1:14" hidden="1" x14ac:dyDescent="0.35">
      <c r="A191" t="s">
        <v>206</v>
      </c>
      <c r="B191" t="s">
        <v>37</v>
      </c>
      <c r="C191" t="s">
        <v>109</v>
      </c>
      <c r="D191" t="s">
        <v>109</v>
      </c>
      <c r="E191" t="s">
        <v>584</v>
      </c>
      <c r="F191" t="s">
        <v>26</v>
      </c>
      <c r="G191" t="s">
        <v>26</v>
      </c>
      <c r="H191">
        <v>0.30568200000000001</v>
      </c>
      <c r="I191">
        <v>0.25384020000000002</v>
      </c>
      <c r="J191">
        <v>0.21057809999999999</v>
      </c>
      <c r="K191">
        <v>0.17289679999999999</v>
      </c>
      <c r="L191">
        <v>0.1352817</v>
      </c>
      <c r="M191">
        <v>0.1056095</v>
      </c>
      <c r="N191">
        <v>8.2323010000000002E-2</v>
      </c>
    </row>
    <row r="192" spans="1:14" hidden="1" x14ac:dyDescent="0.35">
      <c r="A192" t="s">
        <v>206</v>
      </c>
      <c r="B192" t="s">
        <v>37</v>
      </c>
      <c r="C192" t="s">
        <v>46</v>
      </c>
      <c r="D192" t="s">
        <v>46</v>
      </c>
      <c r="E192" t="s">
        <v>584</v>
      </c>
      <c r="F192" t="s">
        <v>26</v>
      </c>
      <c r="G192" t="s">
        <v>26</v>
      </c>
      <c r="H192">
        <v>9.3342470000000004E-3</v>
      </c>
      <c r="I192">
        <v>9.1315059999999993E-3</v>
      </c>
      <c r="J192">
        <v>8.9506849999999999E-3</v>
      </c>
      <c r="K192">
        <v>8.7726019999999991E-3</v>
      </c>
      <c r="L192">
        <v>8.6E-3</v>
      </c>
      <c r="M192">
        <v>8.4273969999999997E-3</v>
      </c>
      <c r="N192">
        <v>8.2849310000000006E-3</v>
      </c>
    </row>
    <row r="193" spans="1:14" hidden="1" x14ac:dyDescent="0.35">
      <c r="A193" t="s">
        <v>206</v>
      </c>
      <c r="B193" t="s">
        <v>73</v>
      </c>
      <c r="C193" t="s">
        <v>87</v>
      </c>
      <c r="D193" t="s">
        <v>88</v>
      </c>
      <c r="E193" t="s">
        <v>584</v>
      </c>
      <c r="F193" t="s">
        <v>581</v>
      </c>
      <c r="G193" t="s">
        <v>396</v>
      </c>
      <c r="H193">
        <v>33.850969999999997</v>
      </c>
      <c r="I193">
        <v>38.176189999999998</v>
      </c>
      <c r="J193">
        <v>40.427230000000002</v>
      </c>
      <c r="K193">
        <v>32.550879999999999</v>
      </c>
      <c r="L193">
        <v>28.506080000000001</v>
      </c>
      <c r="M193">
        <v>26.679690000000001</v>
      </c>
      <c r="N193">
        <v>25.469629999999999</v>
      </c>
    </row>
    <row r="194" spans="1:14" hidden="1" x14ac:dyDescent="0.35">
      <c r="A194" t="s">
        <v>206</v>
      </c>
      <c r="B194" t="s">
        <v>73</v>
      </c>
      <c r="C194" t="s">
        <v>87</v>
      </c>
      <c r="D194" t="s">
        <v>88</v>
      </c>
      <c r="E194" t="s">
        <v>584</v>
      </c>
      <c r="F194" t="s">
        <v>581</v>
      </c>
      <c r="G194" t="s">
        <v>25</v>
      </c>
      <c r="H194">
        <v>1.1510199999999999</v>
      </c>
      <c r="I194">
        <v>0.90683709999999995</v>
      </c>
      <c r="J194">
        <v>0.96563279999999996</v>
      </c>
      <c r="K194">
        <v>0.77749990000000002</v>
      </c>
      <c r="L194">
        <v>0.68088610000000005</v>
      </c>
      <c r="M194">
        <v>0.75589589999999995</v>
      </c>
      <c r="N194">
        <v>0.73196839999999996</v>
      </c>
    </row>
    <row r="195" spans="1:14" hidden="1" x14ac:dyDescent="0.35">
      <c r="A195" t="s">
        <v>206</v>
      </c>
      <c r="B195" t="s">
        <v>73</v>
      </c>
      <c r="C195" t="s">
        <v>87</v>
      </c>
      <c r="D195" t="s">
        <v>88</v>
      </c>
      <c r="E195" t="s">
        <v>584</v>
      </c>
      <c r="F195" t="s">
        <v>26</v>
      </c>
      <c r="G195" t="s">
        <v>26</v>
      </c>
      <c r="H195">
        <v>5.2057520000000004</v>
      </c>
      <c r="I195">
        <v>7.3735200000000001</v>
      </c>
      <c r="J195">
        <v>8.0757589999999997</v>
      </c>
      <c r="K195">
        <v>6.5023780000000002</v>
      </c>
      <c r="L195">
        <v>5.6943859999999997</v>
      </c>
      <c r="M195">
        <v>4.6751259999999997</v>
      </c>
      <c r="N195">
        <v>4.9682829999999996</v>
      </c>
    </row>
    <row r="196" spans="1:14" hidden="1" x14ac:dyDescent="0.35">
      <c r="A196" t="s">
        <v>206</v>
      </c>
      <c r="B196" t="s">
        <v>73</v>
      </c>
      <c r="C196" t="s">
        <v>87</v>
      </c>
      <c r="D196" t="s">
        <v>132</v>
      </c>
      <c r="E196" t="s">
        <v>584</v>
      </c>
      <c r="F196" t="s">
        <v>581</v>
      </c>
      <c r="G196" t="s">
        <v>396</v>
      </c>
      <c r="H196">
        <v>14.045870000000001</v>
      </c>
      <c r="I196">
        <v>14.475630000000001</v>
      </c>
      <c r="J196">
        <v>12.78571</v>
      </c>
      <c r="K196">
        <v>10.066520000000001</v>
      </c>
      <c r="L196">
        <v>8.8283310000000004</v>
      </c>
      <c r="M196">
        <v>7.3239890000000001</v>
      </c>
      <c r="N196">
        <v>5.6994090000000002</v>
      </c>
    </row>
    <row r="197" spans="1:14" hidden="1" x14ac:dyDescent="0.35">
      <c r="A197" t="s">
        <v>206</v>
      </c>
      <c r="B197" t="s">
        <v>73</v>
      </c>
      <c r="C197" t="s">
        <v>87</v>
      </c>
      <c r="D197" t="s">
        <v>132</v>
      </c>
      <c r="E197" t="s">
        <v>584</v>
      </c>
      <c r="F197" t="s">
        <v>581</v>
      </c>
      <c r="G197" t="s">
        <v>25</v>
      </c>
      <c r="H197">
        <v>0.44867269999999998</v>
      </c>
      <c r="I197">
        <v>0.46240189999999998</v>
      </c>
      <c r="J197">
        <v>0.40841899999999998</v>
      </c>
      <c r="K197">
        <v>0.16014439999999999</v>
      </c>
      <c r="L197">
        <v>0.13991700000000001</v>
      </c>
      <c r="M197">
        <v>0.1150259</v>
      </c>
      <c r="N197">
        <v>8.7443309999999996E-2</v>
      </c>
    </row>
    <row r="198" spans="1:14" hidden="1" x14ac:dyDescent="0.35">
      <c r="A198" t="s">
        <v>206</v>
      </c>
      <c r="B198" t="s">
        <v>73</v>
      </c>
      <c r="C198" t="s">
        <v>87</v>
      </c>
      <c r="D198" t="s">
        <v>132</v>
      </c>
      <c r="E198" t="s">
        <v>584</v>
      </c>
      <c r="F198" t="s">
        <v>26</v>
      </c>
      <c r="G198" t="s">
        <v>26</v>
      </c>
      <c r="H198">
        <v>1.4658929999999999</v>
      </c>
      <c r="I198">
        <v>1.5107429999999999</v>
      </c>
      <c r="J198">
        <v>1.3343769999999999</v>
      </c>
      <c r="K198">
        <v>1.0506580000000001</v>
      </c>
      <c r="L198">
        <v>0.92111209999999999</v>
      </c>
      <c r="M198">
        <v>0.76356550000000001</v>
      </c>
      <c r="N198">
        <v>0.59310569999999996</v>
      </c>
    </row>
    <row r="199" spans="1:14" hidden="1" x14ac:dyDescent="0.35">
      <c r="A199" t="s">
        <v>206</v>
      </c>
      <c r="B199" t="s">
        <v>73</v>
      </c>
      <c r="C199" t="s">
        <v>87</v>
      </c>
      <c r="D199" t="s">
        <v>208</v>
      </c>
      <c r="E199" t="s">
        <v>584</v>
      </c>
      <c r="F199" t="s">
        <v>581</v>
      </c>
      <c r="G199" t="s">
        <v>396</v>
      </c>
      <c r="H199">
        <v>0</v>
      </c>
      <c r="I199">
        <v>0.29561949999999998</v>
      </c>
      <c r="J199">
        <v>5.4438060000000004</v>
      </c>
      <c r="K199">
        <v>5.2421819999999997</v>
      </c>
      <c r="L199">
        <v>4.010046</v>
      </c>
      <c r="M199">
        <v>3.2259579999999999</v>
      </c>
      <c r="N199">
        <v>2.6210909999999998</v>
      </c>
    </row>
    <row r="200" spans="1:14" hidden="1" x14ac:dyDescent="0.35">
      <c r="A200" t="s">
        <v>206</v>
      </c>
      <c r="B200" t="s">
        <v>73</v>
      </c>
      <c r="C200" t="s">
        <v>87</v>
      </c>
      <c r="D200" t="s">
        <v>87</v>
      </c>
      <c r="E200" t="s">
        <v>584</v>
      </c>
      <c r="F200" t="s">
        <v>581</v>
      </c>
      <c r="G200" t="s">
        <v>396</v>
      </c>
      <c r="H200">
        <v>0.54146269999999996</v>
      </c>
      <c r="I200">
        <v>0.5168275</v>
      </c>
      <c r="J200">
        <v>0.53691350000000004</v>
      </c>
      <c r="K200">
        <v>0.46722140000000001</v>
      </c>
      <c r="L200">
        <v>0.4636188</v>
      </c>
      <c r="M200">
        <v>0.42577389999999998</v>
      </c>
      <c r="N200">
        <v>0.3618518</v>
      </c>
    </row>
    <row r="201" spans="1:14" hidden="1" x14ac:dyDescent="0.35">
      <c r="A201" t="s">
        <v>206</v>
      </c>
      <c r="B201" t="s">
        <v>73</v>
      </c>
      <c r="C201" t="s">
        <v>87</v>
      </c>
      <c r="D201" t="s">
        <v>87</v>
      </c>
      <c r="E201" t="s">
        <v>584</v>
      </c>
      <c r="F201" t="s">
        <v>581</v>
      </c>
      <c r="G201" t="s">
        <v>25</v>
      </c>
      <c r="H201">
        <v>0.12706700000000001</v>
      </c>
      <c r="I201">
        <v>0.1054514</v>
      </c>
      <c r="J201">
        <v>9.4399330000000004E-2</v>
      </c>
      <c r="K201">
        <v>7.8201640000000003E-2</v>
      </c>
      <c r="L201">
        <v>7.5651449999999995E-2</v>
      </c>
      <c r="M201">
        <v>6.7723829999999999E-2</v>
      </c>
      <c r="N201">
        <v>5.6098389999999998E-2</v>
      </c>
    </row>
    <row r="202" spans="1:14" hidden="1" x14ac:dyDescent="0.35">
      <c r="A202" t="s">
        <v>206</v>
      </c>
      <c r="B202" t="s">
        <v>73</v>
      </c>
      <c r="C202" t="s">
        <v>87</v>
      </c>
      <c r="D202" t="s">
        <v>87</v>
      </c>
      <c r="E202" t="s">
        <v>584</v>
      </c>
      <c r="F202" t="s">
        <v>26</v>
      </c>
      <c r="G202" t="s">
        <v>26</v>
      </c>
      <c r="H202">
        <v>0.63036720000000002</v>
      </c>
      <c r="I202">
        <v>0.4990906</v>
      </c>
      <c r="J202">
        <v>0.43601790000000001</v>
      </c>
      <c r="K202">
        <v>0.35248600000000002</v>
      </c>
      <c r="L202">
        <v>0.33277810000000002</v>
      </c>
      <c r="M202">
        <v>0.29072249999999999</v>
      </c>
      <c r="N202">
        <v>0.23501379999999999</v>
      </c>
    </row>
    <row r="203" spans="1:14" hidden="1" x14ac:dyDescent="0.35">
      <c r="A203" t="s">
        <v>206</v>
      </c>
      <c r="B203" t="s">
        <v>73</v>
      </c>
      <c r="C203" t="s">
        <v>80</v>
      </c>
      <c r="D203" t="s">
        <v>152</v>
      </c>
      <c r="E203" t="s">
        <v>584</v>
      </c>
      <c r="F203" t="s">
        <v>581</v>
      </c>
      <c r="G203" t="s">
        <v>396</v>
      </c>
      <c r="H203">
        <v>12.5106</v>
      </c>
      <c r="I203">
        <v>12.745760000000001</v>
      </c>
      <c r="J203">
        <v>12.53247</v>
      </c>
      <c r="K203">
        <v>13.19351</v>
      </c>
      <c r="L203">
        <v>14.39292</v>
      </c>
      <c r="M203">
        <v>1.867062</v>
      </c>
      <c r="N203">
        <v>2.951298</v>
      </c>
    </row>
    <row r="204" spans="1:14" hidden="1" x14ac:dyDescent="0.35">
      <c r="A204" t="s">
        <v>206</v>
      </c>
      <c r="B204" t="s">
        <v>73</v>
      </c>
      <c r="C204" t="s">
        <v>80</v>
      </c>
      <c r="D204" t="s">
        <v>152</v>
      </c>
      <c r="E204" t="s">
        <v>584</v>
      </c>
      <c r="F204" t="s">
        <v>581</v>
      </c>
      <c r="G204" t="s">
        <v>25</v>
      </c>
      <c r="H204">
        <v>0.5909392</v>
      </c>
      <c r="I204">
        <v>0.67268899999999998</v>
      </c>
      <c r="J204">
        <v>0.66590329999999998</v>
      </c>
      <c r="K204">
        <v>0.68693660000000001</v>
      </c>
      <c r="L204">
        <v>0.72509880000000004</v>
      </c>
      <c r="M204">
        <v>4.314366E-2</v>
      </c>
      <c r="N204">
        <v>4.3682579999999999E-2</v>
      </c>
    </row>
    <row r="205" spans="1:14" hidden="1" x14ac:dyDescent="0.35">
      <c r="A205" t="s">
        <v>206</v>
      </c>
      <c r="B205" t="s">
        <v>73</v>
      </c>
      <c r="C205" t="s">
        <v>80</v>
      </c>
      <c r="D205" t="s">
        <v>152</v>
      </c>
      <c r="E205" t="s">
        <v>584</v>
      </c>
      <c r="F205" t="s">
        <v>26</v>
      </c>
      <c r="G205" t="s">
        <v>26</v>
      </c>
      <c r="H205">
        <v>6.0617429999999999</v>
      </c>
      <c r="I205">
        <v>8.3958689999999994</v>
      </c>
      <c r="J205">
        <v>8.3958689999999994</v>
      </c>
      <c r="K205">
        <v>8.3958700000000004</v>
      </c>
      <c r="L205">
        <v>8.3958689999999994</v>
      </c>
      <c r="M205">
        <v>0.98353880000000005</v>
      </c>
      <c r="N205">
        <v>1.498759</v>
      </c>
    </row>
    <row r="206" spans="1:14" hidden="1" x14ac:dyDescent="0.35">
      <c r="A206" t="s">
        <v>206</v>
      </c>
      <c r="B206" t="s">
        <v>73</v>
      </c>
      <c r="C206" t="s">
        <v>80</v>
      </c>
      <c r="D206" t="s">
        <v>211</v>
      </c>
      <c r="E206" t="s">
        <v>584</v>
      </c>
      <c r="F206" t="s">
        <v>581</v>
      </c>
      <c r="G206" t="s">
        <v>24</v>
      </c>
      <c r="H206">
        <v>0.28759259999999998</v>
      </c>
      <c r="I206">
        <v>0.26766990000000002</v>
      </c>
      <c r="J206">
        <v>0.18135480000000001</v>
      </c>
      <c r="K206">
        <v>0.13698630000000001</v>
      </c>
      <c r="L206">
        <v>5.4794519999999999E-2</v>
      </c>
      <c r="M206">
        <v>3.0136989999999999E-2</v>
      </c>
      <c r="N206">
        <v>1.369863E-2</v>
      </c>
    </row>
    <row r="207" spans="1:14" hidden="1" x14ac:dyDescent="0.35">
      <c r="A207" t="s">
        <v>206</v>
      </c>
      <c r="B207" t="s">
        <v>73</v>
      </c>
      <c r="C207" t="s">
        <v>80</v>
      </c>
      <c r="D207" t="s">
        <v>211</v>
      </c>
      <c r="E207" t="s">
        <v>584</v>
      </c>
      <c r="F207" t="s">
        <v>26</v>
      </c>
      <c r="G207" t="s">
        <v>26</v>
      </c>
      <c r="H207">
        <v>11.63843</v>
      </c>
      <c r="I207">
        <v>11.78082</v>
      </c>
      <c r="J207">
        <v>11.78082</v>
      </c>
      <c r="K207">
        <v>11.78082</v>
      </c>
      <c r="L207">
        <v>11.78082</v>
      </c>
      <c r="M207">
        <v>10.347289999999999</v>
      </c>
      <c r="N207">
        <v>7.7177369999999996</v>
      </c>
    </row>
    <row r="208" spans="1:14" hidden="1" x14ac:dyDescent="0.35">
      <c r="A208" t="s">
        <v>206</v>
      </c>
      <c r="B208" t="s">
        <v>73</v>
      </c>
      <c r="C208" t="s">
        <v>80</v>
      </c>
      <c r="D208" t="s">
        <v>84</v>
      </c>
      <c r="E208" t="s">
        <v>584</v>
      </c>
      <c r="F208" t="s">
        <v>26</v>
      </c>
      <c r="G208" t="s">
        <v>26</v>
      </c>
      <c r="N208">
        <v>0</v>
      </c>
    </row>
    <row r="209" spans="1:14" hidden="1" x14ac:dyDescent="0.35">
      <c r="A209" t="s">
        <v>206</v>
      </c>
      <c r="B209" t="s">
        <v>73</v>
      </c>
      <c r="C209" t="s">
        <v>97</v>
      </c>
      <c r="D209" t="s">
        <v>170</v>
      </c>
      <c r="E209" t="s">
        <v>584</v>
      </c>
      <c r="F209" t="s">
        <v>581</v>
      </c>
      <c r="G209" t="s">
        <v>24</v>
      </c>
      <c r="K209">
        <v>0</v>
      </c>
      <c r="L209">
        <v>8.9255339999999995E-5</v>
      </c>
      <c r="M209">
        <v>1.5103729999999999E-4</v>
      </c>
      <c r="N209">
        <v>1.246734E-4</v>
      </c>
    </row>
    <row r="210" spans="1:14" hidden="1" x14ac:dyDescent="0.35">
      <c r="A210" t="s">
        <v>206</v>
      </c>
      <c r="B210" t="s">
        <v>73</v>
      </c>
      <c r="C210" t="s">
        <v>97</v>
      </c>
      <c r="D210" t="s">
        <v>170</v>
      </c>
      <c r="E210" t="s">
        <v>584</v>
      </c>
      <c r="F210" t="s">
        <v>581</v>
      </c>
      <c r="G210" t="s">
        <v>25</v>
      </c>
      <c r="H210">
        <v>0.33408450000000001</v>
      </c>
      <c r="I210">
        <v>0.34619179999999999</v>
      </c>
      <c r="J210">
        <v>0.353628</v>
      </c>
      <c r="K210">
        <v>0.36944640000000001</v>
      </c>
      <c r="L210">
        <v>0.37611030000000001</v>
      </c>
      <c r="M210">
        <v>0.37795459999999997</v>
      </c>
      <c r="N210">
        <v>0.37607489999999999</v>
      </c>
    </row>
    <row r="211" spans="1:14" hidden="1" x14ac:dyDescent="0.35">
      <c r="A211" t="s">
        <v>206</v>
      </c>
      <c r="B211" t="s">
        <v>73</v>
      </c>
      <c r="C211" t="s">
        <v>97</v>
      </c>
      <c r="D211" t="s">
        <v>170</v>
      </c>
      <c r="E211" t="s">
        <v>584</v>
      </c>
      <c r="F211" t="s">
        <v>26</v>
      </c>
      <c r="G211" t="s">
        <v>26</v>
      </c>
      <c r="H211">
        <v>8.8048730000000006</v>
      </c>
      <c r="I211">
        <v>9.6978089999999995</v>
      </c>
      <c r="J211">
        <v>9.8909739999999999</v>
      </c>
      <c r="K211">
        <v>10.29167</v>
      </c>
      <c r="L211">
        <v>10.36356</v>
      </c>
      <c r="M211">
        <v>10.36356</v>
      </c>
      <c r="N211">
        <v>10.36356</v>
      </c>
    </row>
    <row r="212" spans="1:14" hidden="1" x14ac:dyDescent="0.35">
      <c r="A212" t="s">
        <v>206</v>
      </c>
      <c r="B212" t="s">
        <v>73</v>
      </c>
      <c r="C212" t="s">
        <v>97</v>
      </c>
      <c r="D212" t="s">
        <v>212</v>
      </c>
      <c r="E212" t="s">
        <v>584</v>
      </c>
      <c r="F212" t="s">
        <v>581</v>
      </c>
      <c r="G212" t="s">
        <v>396</v>
      </c>
      <c r="H212">
        <v>1.753862</v>
      </c>
      <c r="I212">
        <v>2.2637019999999999</v>
      </c>
      <c r="J212">
        <v>2.4704980000000001</v>
      </c>
      <c r="K212">
        <v>2.1525829999999999</v>
      </c>
      <c r="L212">
        <v>2.0647039999999999</v>
      </c>
      <c r="M212">
        <v>1.8432310000000001</v>
      </c>
      <c r="N212">
        <v>1.653448</v>
      </c>
    </row>
    <row r="213" spans="1:14" hidden="1" x14ac:dyDescent="0.35">
      <c r="A213" t="s">
        <v>206</v>
      </c>
      <c r="B213" t="s">
        <v>73</v>
      </c>
      <c r="C213" t="s">
        <v>97</v>
      </c>
      <c r="D213" t="s">
        <v>212</v>
      </c>
      <c r="E213" t="s">
        <v>584</v>
      </c>
      <c r="F213" t="s">
        <v>581</v>
      </c>
      <c r="G213" t="s">
        <v>25</v>
      </c>
      <c r="H213">
        <v>0.44562200000000002</v>
      </c>
      <c r="I213">
        <v>0.47311409999999998</v>
      </c>
      <c r="J213">
        <v>0.51460300000000003</v>
      </c>
      <c r="K213">
        <v>0.56039819999999996</v>
      </c>
      <c r="L213">
        <v>0.60879280000000002</v>
      </c>
      <c r="M213">
        <v>0.68261649999999996</v>
      </c>
      <c r="N213">
        <v>0.58721230000000002</v>
      </c>
    </row>
    <row r="214" spans="1:14" hidden="1" x14ac:dyDescent="0.35">
      <c r="A214" t="s">
        <v>206</v>
      </c>
      <c r="B214" t="s">
        <v>73</v>
      </c>
      <c r="C214" t="s">
        <v>97</v>
      </c>
      <c r="D214" t="s">
        <v>212</v>
      </c>
      <c r="E214" t="s">
        <v>584</v>
      </c>
      <c r="F214" t="s">
        <v>26</v>
      </c>
      <c r="G214" t="s">
        <v>26</v>
      </c>
      <c r="H214">
        <v>1.659084</v>
      </c>
      <c r="I214">
        <v>2.3307150000000001</v>
      </c>
      <c r="J214">
        <v>2.5420750000000001</v>
      </c>
      <c r="K214">
        <v>2.8243079999999998</v>
      </c>
      <c r="L214">
        <v>3.4684400000000002</v>
      </c>
      <c r="M214">
        <v>3.6697709999999999</v>
      </c>
      <c r="N214">
        <v>3.2373159999999999</v>
      </c>
    </row>
    <row r="215" spans="1:14" hidden="1" x14ac:dyDescent="0.35">
      <c r="A215" t="s">
        <v>206</v>
      </c>
      <c r="B215" t="s">
        <v>73</v>
      </c>
      <c r="C215" t="s">
        <v>97</v>
      </c>
      <c r="D215" t="s">
        <v>98</v>
      </c>
      <c r="E215" t="s">
        <v>584</v>
      </c>
      <c r="F215" t="s">
        <v>581</v>
      </c>
      <c r="G215" t="s">
        <v>396</v>
      </c>
      <c r="H215">
        <v>5.4459920000000004</v>
      </c>
      <c r="I215">
        <v>4.6228809999999996</v>
      </c>
      <c r="J215">
        <v>4.2008729999999996</v>
      </c>
      <c r="K215">
        <v>3.417618</v>
      </c>
      <c r="L215">
        <v>3.0005199999999999</v>
      </c>
      <c r="M215">
        <v>3.1107960000000001</v>
      </c>
      <c r="N215">
        <v>5.9653229999999997</v>
      </c>
    </row>
    <row r="216" spans="1:14" hidden="1" x14ac:dyDescent="0.35">
      <c r="A216" t="s">
        <v>206</v>
      </c>
      <c r="B216" t="s">
        <v>73</v>
      </c>
      <c r="C216" t="s">
        <v>97</v>
      </c>
      <c r="D216" t="s">
        <v>171</v>
      </c>
      <c r="E216" t="s">
        <v>584</v>
      </c>
      <c r="F216" t="s">
        <v>581</v>
      </c>
      <c r="G216" t="s">
        <v>396</v>
      </c>
      <c r="H216">
        <v>1.9346509999999999</v>
      </c>
      <c r="I216">
        <v>1.645578</v>
      </c>
      <c r="J216">
        <v>1.266135</v>
      </c>
      <c r="K216">
        <v>1.516902</v>
      </c>
      <c r="L216">
        <v>1.469354</v>
      </c>
      <c r="M216">
        <v>1.41598</v>
      </c>
      <c r="N216">
        <v>1.36347</v>
      </c>
    </row>
    <row r="217" spans="1:14" hidden="1" x14ac:dyDescent="0.35">
      <c r="A217" t="s">
        <v>206</v>
      </c>
      <c r="B217" t="s">
        <v>73</v>
      </c>
      <c r="C217" t="s">
        <v>97</v>
      </c>
      <c r="D217" t="s">
        <v>171</v>
      </c>
      <c r="E217" t="s">
        <v>584</v>
      </c>
      <c r="F217" t="s">
        <v>581</v>
      </c>
      <c r="G217" t="s">
        <v>25</v>
      </c>
      <c r="H217">
        <v>0</v>
      </c>
      <c r="I217">
        <v>4.6684930000000003E-6</v>
      </c>
      <c r="J217">
        <v>1.9660280000000001E-5</v>
      </c>
      <c r="K217">
        <v>2.2224660000000001E-5</v>
      </c>
      <c r="L217">
        <v>2.2487669999999999E-5</v>
      </c>
      <c r="M217">
        <v>1.505753E-5</v>
      </c>
      <c r="N217">
        <v>8.6136990000000008E-6</v>
      </c>
    </row>
    <row r="218" spans="1:14" hidden="1" x14ac:dyDescent="0.35">
      <c r="A218" t="s">
        <v>206</v>
      </c>
      <c r="B218" t="s">
        <v>73</v>
      </c>
      <c r="C218" t="s">
        <v>97</v>
      </c>
      <c r="D218" t="s">
        <v>213</v>
      </c>
      <c r="E218" t="s">
        <v>584</v>
      </c>
      <c r="F218" t="s">
        <v>581</v>
      </c>
      <c r="G218" t="s">
        <v>396</v>
      </c>
      <c r="H218">
        <v>0.18830620000000001</v>
      </c>
      <c r="I218">
        <v>0.18321000000000001</v>
      </c>
      <c r="J218">
        <v>0.16530210000000001</v>
      </c>
      <c r="K218">
        <v>0.1438479</v>
      </c>
      <c r="L218">
        <v>0.13483690000000001</v>
      </c>
      <c r="M218">
        <v>0.1180665</v>
      </c>
      <c r="N218">
        <v>0.1033819</v>
      </c>
    </row>
    <row r="219" spans="1:14" hidden="1" x14ac:dyDescent="0.35">
      <c r="A219" t="s">
        <v>206</v>
      </c>
      <c r="B219" t="s">
        <v>73</v>
      </c>
      <c r="C219" t="s">
        <v>97</v>
      </c>
      <c r="D219" t="s">
        <v>213</v>
      </c>
      <c r="E219" t="s">
        <v>584</v>
      </c>
      <c r="F219" t="s">
        <v>581</v>
      </c>
      <c r="G219" t="s">
        <v>25</v>
      </c>
      <c r="H219">
        <v>0</v>
      </c>
      <c r="I219">
        <v>0</v>
      </c>
      <c r="J219">
        <v>0</v>
      </c>
      <c r="K219">
        <v>0</v>
      </c>
      <c r="L219">
        <v>0</v>
      </c>
      <c r="M219">
        <v>0</v>
      </c>
      <c r="N219">
        <v>0</v>
      </c>
    </row>
    <row r="220" spans="1:14" hidden="1" x14ac:dyDescent="0.35">
      <c r="A220" t="s">
        <v>206</v>
      </c>
      <c r="B220" t="s">
        <v>73</v>
      </c>
      <c r="C220" t="s">
        <v>97</v>
      </c>
      <c r="D220" t="s">
        <v>213</v>
      </c>
      <c r="E220" t="s">
        <v>584</v>
      </c>
      <c r="F220" t="s">
        <v>26</v>
      </c>
      <c r="G220" t="s">
        <v>26</v>
      </c>
      <c r="H220">
        <v>3.5026850000000002E-3</v>
      </c>
      <c r="I220">
        <v>2.7304109999999999E-3</v>
      </c>
      <c r="J220">
        <v>1.958071E-3</v>
      </c>
      <c r="K220">
        <v>1.378455E-3</v>
      </c>
      <c r="L220">
        <v>1.1145860000000001E-3</v>
      </c>
      <c r="M220">
        <v>8.4092059999999998E-4</v>
      </c>
      <c r="N220">
        <v>6.3445489999999999E-4</v>
      </c>
    </row>
    <row r="221" spans="1:14" hidden="1" x14ac:dyDescent="0.35">
      <c r="A221" t="s">
        <v>206</v>
      </c>
      <c r="B221" t="s">
        <v>73</v>
      </c>
      <c r="C221" t="s">
        <v>71</v>
      </c>
      <c r="D221" t="s">
        <v>72</v>
      </c>
      <c r="E221" t="s">
        <v>584</v>
      </c>
      <c r="F221" t="s">
        <v>581</v>
      </c>
      <c r="G221" t="s">
        <v>396</v>
      </c>
      <c r="H221">
        <v>2.5266609999999998</v>
      </c>
      <c r="I221">
        <v>2.3700139999999998</v>
      </c>
      <c r="J221">
        <v>2.2683450000000001</v>
      </c>
      <c r="K221">
        <v>1.949279</v>
      </c>
      <c r="L221">
        <v>1.7674259999999999</v>
      </c>
      <c r="M221">
        <v>1.484083</v>
      </c>
      <c r="N221">
        <v>1.256848</v>
      </c>
    </row>
    <row r="222" spans="1:14" hidden="1" x14ac:dyDescent="0.35">
      <c r="A222" t="s">
        <v>206</v>
      </c>
      <c r="B222" t="s">
        <v>73</v>
      </c>
      <c r="C222" t="s">
        <v>71</v>
      </c>
      <c r="D222" t="s">
        <v>72</v>
      </c>
      <c r="E222" t="s">
        <v>584</v>
      </c>
      <c r="F222" t="s">
        <v>581</v>
      </c>
      <c r="G222" t="s">
        <v>25</v>
      </c>
      <c r="H222">
        <v>1.6854530000000001</v>
      </c>
      <c r="I222">
        <v>1.6672149999999999</v>
      </c>
      <c r="J222">
        <v>1.680207</v>
      </c>
      <c r="K222">
        <v>1.543863</v>
      </c>
      <c r="L222">
        <v>1.345953</v>
      </c>
      <c r="M222">
        <v>1.125945</v>
      </c>
      <c r="N222">
        <v>0.94760809999999995</v>
      </c>
    </row>
    <row r="223" spans="1:14" hidden="1" x14ac:dyDescent="0.35">
      <c r="A223" t="s">
        <v>206</v>
      </c>
      <c r="B223" t="s">
        <v>73</v>
      </c>
      <c r="C223" t="s">
        <v>71</v>
      </c>
      <c r="D223" t="s">
        <v>72</v>
      </c>
      <c r="E223" t="s">
        <v>584</v>
      </c>
      <c r="F223" t="s">
        <v>26</v>
      </c>
      <c r="G223" t="s">
        <v>26</v>
      </c>
      <c r="H223">
        <v>8.6145499999999995</v>
      </c>
      <c r="I223">
        <v>8.9207049999999999</v>
      </c>
      <c r="J223">
        <v>9.0061450000000001</v>
      </c>
      <c r="K223">
        <v>8.8917260000000002</v>
      </c>
      <c r="L223">
        <v>8.6111710000000006</v>
      </c>
      <c r="M223">
        <v>8.3312050000000006</v>
      </c>
      <c r="N223">
        <v>8.1089730000000007</v>
      </c>
    </row>
    <row r="224" spans="1:14" hidden="1" x14ac:dyDescent="0.35">
      <c r="A224" t="s">
        <v>206</v>
      </c>
      <c r="B224" t="s">
        <v>73</v>
      </c>
      <c r="C224" t="s">
        <v>71</v>
      </c>
      <c r="D224" t="s">
        <v>140</v>
      </c>
      <c r="E224" t="s">
        <v>584</v>
      </c>
      <c r="F224" t="s">
        <v>581</v>
      </c>
      <c r="G224" t="s">
        <v>396</v>
      </c>
      <c r="H224">
        <v>9.8850339999999992</v>
      </c>
      <c r="I224">
        <v>8.5857200000000002</v>
      </c>
      <c r="J224">
        <v>7.8976800000000003</v>
      </c>
      <c r="K224">
        <v>6.857723</v>
      </c>
      <c r="L224">
        <v>5.8321050000000003</v>
      </c>
      <c r="M224">
        <v>4.9018009999999999</v>
      </c>
      <c r="N224">
        <v>4.1392990000000003</v>
      </c>
    </row>
    <row r="225" spans="1:14" hidden="1" x14ac:dyDescent="0.35">
      <c r="A225" t="s">
        <v>206</v>
      </c>
      <c r="B225" t="s">
        <v>73</v>
      </c>
      <c r="C225" t="s">
        <v>71</v>
      </c>
      <c r="D225" t="s">
        <v>140</v>
      </c>
      <c r="E225" t="s">
        <v>584</v>
      </c>
      <c r="F225" t="s">
        <v>26</v>
      </c>
      <c r="G225" t="s">
        <v>26</v>
      </c>
      <c r="H225">
        <v>2.12582</v>
      </c>
      <c r="I225">
        <v>1.8463970000000001</v>
      </c>
      <c r="J225">
        <v>1.698431</v>
      </c>
      <c r="K225">
        <v>1.5800670000000001</v>
      </c>
      <c r="L225">
        <v>1.343758</v>
      </c>
      <c r="M225">
        <v>1.1294090000000001</v>
      </c>
      <c r="N225">
        <v>0.95372380000000001</v>
      </c>
    </row>
    <row r="226" spans="1:14" hidden="1" x14ac:dyDescent="0.35">
      <c r="A226" t="s">
        <v>206</v>
      </c>
      <c r="B226" t="s">
        <v>73</v>
      </c>
      <c r="C226" t="s">
        <v>71</v>
      </c>
      <c r="D226" t="s">
        <v>139</v>
      </c>
      <c r="E226" t="s">
        <v>584</v>
      </c>
      <c r="F226" t="s">
        <v>581</v>
      </c>
      <c r="G226" t="s">
        <v>396</v>
      </c>
      <c r="M226">
        <v>0</v>
      </c>
      <c r="N226">
        <v>0.45924379999999998</v>
      </c>
    </row>
    <row r="227" spans="1:14" hidden="1" x14ac:dyDescent="0.35">
      <c r="A227" t="s">
        <v>206</v>
      </c>
      <c r="B227" t="s">
        <v>73</v>
      </c>
      <c r="C227" t="s">
        <v>71</v>
      </c>
      <c r="D227" t="s">
        <v>139</v>
      </c>
      <c r="E227" t="s">
        <v>584</v>
      </c>
      <c r="F227" t="s">
        <v>26</v>
      </c>
      <c r="G227" t="s">
        <v>26</v>
      </c>
      <c r="M227">
        <v>0</v>
      </c>
      <c r="N227">
        <v>1.589825</v>
      </c>
    </row>
    <row r="228" spans="1:14" hidden="1" x14ac:dyDescent="0.35">
      <c r="A228" t="s">
        <v>206</v>
      </c>
      <c r="B228" t="s">
        <v>53</v>
      </c>
      <c r="C228" t="s">
        <v>166</v>
      </c>
      <c r="D228" t="s">
        <v>166</v>
      </c>
      <c r="E228" t="s">
        <v>584</v>
      </c>
      <c r="F228" t="s">
        <v>26</v>
      </c>
      <c r="G228" t="s">
        <v>26</v>
      </c>
      <c r="H228">
        <v>124.1649</v>
      </c>
      <c r="I228">
        <v>124.5544</v>
      </c>
      <c r="J228">
        <v>126.0568</v>
      </c>
      <c r="K228">
        <v>123.16289999999999</v>
      </c>
      <c r="L228">
        <v>119.72839999999999</v>
      </c>
      <c r="M228">
        <v>115.1725</v>
      </c>
      <c r="N228">
        <v>105.32850000000001</v>
      </c>
    </row>
    <row r="229" spans="1:14" hidden="1" x14ac:dyDescent="0.35">
      <c r="A229" t="s">
        <v>206</v>
      </c>
      <c r="B229" t="s">
        <v>53</v>
      </c>
      <c r="C229" t="s">
        <v>178</v>
      </c>
      <c r="D229" t="s">
        <v>178</v>
      </c>
      <c r="E229" t="s">
        <v>584</v>
      </c>
      <c r="F229" t="s">
        <v>26</v>
      </c>
      <c r="G229" t="s">
        <v>26</v>
      </c>
      <c r="H229">
        <v>2.4148309999999999</v>
      </c>
      <c r="I229">
        <v>2.2160250000000001</v>
      </c>
      <c r="J229">
        <v>2.2726790000000001</v>
      </c>
      <c r="K229">
        <v>2.3780169999999998</v>
      </c>
      <c r="L229">
        <v>2.4783230000000001</v>
      </c>
      <c r="M229">
        <v>2.576308</v>
      </c>
      <c r="N229">
        <v>2.6505359999999998</v>
      </c>
    </row>
    <row r="230" spans="1:14" hidden="1" x14ac:dyDescent="0.35">
      <c r="A230" t="s">
        <v>206</v>
      </c>
      <c r="B230" t="s">
        <v>53</v>
      </c>
      <c r="C230" t="s">
        <v>186</v>
      </c>
      <c r="D230" t="s">
        <v>186</v>
      </c>
      <c r="E230" t="s">
        <v>584</v>
      </c>
      <c r="F230" t="s">
        <v>26</v>
      </c>
      <c r="G230" t="s">
        <v>26</v>
      </c>
      <c r="H230">
        <v>0</v>
      </c>
      <c r="I230">
        <v>5.2256129999999999E-7</v>
      </c>
      <c r="J230">
        <v>-5.2256129999999999E-7</v>
      </c>
      <c r="K230">
        <v>-5.2256129999999999E-7</v>
      </c>
      <c r="L230">
        <v>5.2256129999999999E-7</v>
      </c>
      <c r="M230">
        <v>-5.2256129999999999E-7</v>
      </c>
      <c r="N230">
        <v>-5.2256129999999999E-7</v>
      </c>
    </row>
    <row r="231" spans="1:14" hidden="1" x14ac:dyDescent="0.35">
      <c r="A231" t="s">
        <v>206</v>
      </c>
      <c r="B231" t="s">
        <v>34</v>
      </c>
      <c r="C231" t="s">
        <v>33</v>
      </c>
      <c r="D231" t="s">
        <v>33</v>
      </c>
      <c r="E231" t="s">
        <v>584</v>
      </c>
      <c r="F231" t="s">
        <v>581</v>
      </c>
      <c r="G231" t="s">
        <v>396</v>
      </c>
      <c r="H231">
        <v>61.068739999999998</v>
      </c>
      <c r="I231">
        <v>42.157919999999997</v>
      </c>
      <c r="J231">
        <v>58.41001</v>
      </c>
      <c r="K231">
        <v>74.589039999999997</v>
      </c>
      <c r="L231">
        <v>74.589060000000003</v>
      </c>
      <c r="M231">
        <v>74.589039999999997</v>
      </c>
      <c r="N231">
        <v>74.589039999999997</v>
      </c>
    </row>
    <row r="232" spans="1:14" hidden="1" x14ac:dyDescent="0.35">
      <c r="A232" t="s">
        <v>206</v>
      </c>
      <c r="B232" t="s">
        <v>34</v>
      </c>
      <c r="C232" t="s">
        <v>33</v>
      </c>
      <c r="D232" t="s">
        <v>33</v>
      </c>
      <c r="E232" t="s">
        <v>604</v>
      </c>
      <c r="F232" t="s">
        <v>581</v>
      </c>
      <c r="G232" t="s">
        <v>24</v>
      </c>
      <c r="H232">
        <v>0.80438350000000003</v>
      </c>
      <c r="I232">
        <v>2.6721159999999999</v>
      </c>
      <c r="J232">
        <v>3.3272279999999999</v>
      </c>
      <c r="K232">
        <v>3.1149800000000001</v>
      </c>
      <c r="L232">
        <v>2.5154079999999999</v>
      </c>
      <c r="M232">
        <v>2.1275400000000002</v>
      </c>
      <c r="N232">
        <v>1.881667</v>
      </c>
    </row>
    <row r="233" spans="1:14" hidden="1" x14ac:dyDescent="0.35">
      <c r="A233" t="s">
        <v>206</v>
      </c>
      <c r="B233" t="s">
        <v>34</v>
      </c>
      <c r="C233" t="s">
        <v>33</v>
      </c>
      <c r="D233" t="s">
        <v>33</v>
      </c>
      <c r="E233" t="s">
        <v>604</v>
      </c>
      <c r="F233" t="s">
        <v>581</v>
      </c>
      <c r="G233" t="s">
        <v>25</v>
      </c>
      <c r="H233">
        <v>0</v>
      </c>
      <c r="I233">
        <v>2.6625730000000001</v>
      </c>
      <c r="J233">
        <v>3.315347</v>
      </c>
      <c r="K233">
        <v>3.1038559999999999</v>
      </c>
      <c r="L233">
        <v>2.5064259999999998</v>
      </c>
      <c r="M233">
        <v>2.1199400000000002</v>
      </c>
      <c r="N233">
        <v>1.8749450000000001</v>
      </c>
    </row>
    <row r="234" spans="1:14" hidden="1" x14ac:dyDescent="0.35">
      <c r="A234" t="s">
        <v>206</v>
      </c>
      <c r="B234" t="s">
        <v>34</v>
      </c>
      <c r="C234" t="s">
        <v>33</v>
      </c>
      <c r="D234" t="s">
        <v>33</v>
      </c>
      <c r="E234" t="s">
        <v>604</v>
      </c>
      <c r="F234" t="s">
        <v>26</v>
      </c>
      <c r="G234" t="s">
        <v>26</v>
      </c>
      <c r="H234">
        <v>1.8676440000000001</v>
      </c>
      <c r="I234">
        <v>5.3251470000000003</v>
      </c>
      <c r="J234">
        <v>6.6306909999999997</v>
      </c>
      <c r="K234">
        <v>6.2077090000000004</v>
      </c>
      <c r="L234">
        <v>5.0128510000000004</v>
      </c>
      <c r="M234">
        <v>4.2398819999999997</v>
      </c>
      <c r="N234">
        <v>3.7498879999999999</v>
      </c>
    </row>
    <row r="235" spans="1:14" hidden="1" x14ac:dyDescent="0.35">
      <c r="A235" t="s">
        <v>206</v>
      </c>
      <c r="B235" t="s">
        <v>34</v>
      </c>
      <c r="C235" t="s">
        <v>33</v>
      </c>
      <c r="D235" t="s">
        <v>33</v>
      </c>
      <c r="E235" t="s">
        <v>605</v>
      </c>
      <c r="F235" t="s">
        <v>581</v>
      </c>
      <c r="G235" t="s">
        <v>24</v>
      </c>
      <c r="I235">
        <v>0</v>
      </c>
      <c r="J235">
        <v>1.251178E-2</v>
      </c>
      <c r="K235">
        <v>2.2505750000000001E-2</v>
      </c>
      <c r="L235">
        <v>2.9871780000000001E-2</v>
      </c>
      <c r="M235">
        <v>4.0887119999999999E-2</v>
      </c>
      <c r="N235">
        <v>3.8909590000000001E-2</v>
      </c>
    </row>
    <row r="236" spans="1:14" hidden="1" x14ac:dyDescent="0.35">
      <c r="A236" t="s">
        <v>206</v>
      </c>
      <c r="B236" t="s">
        <v>34</v>
      </c>
      <c r="C236" t="s">
        <v>33</v>
      </c>
      <c r="D236" t="s">
        <v>33</v>
      </c>
      <c r="E236" t="s">
        <v>605</v>
      </c>
      <c r="F236" t="s">
        <v>581</v>
      </c>
      <c r="G236" t="s">
        <v>25</v>
      </c>
      <c r="I236">
        <v>0</v>
      </c>
      <c r="J236">
        <v>4.3632879999999999E-2</v>
      </c>
      <c r="K236">
        <v>7.8489870000000003E-2</v>
      </c>
      <c r="L236">
        <v>0.1041841</v>
      </c>
      <c r="M236">
        <v>0.14259730000000001</v>
      </c>
      <c r="N236">
        <v>0.13569529999999999</v>
      </c>
    </row>
    <row r="237" spans="1:14" hidden="1" x14ac:dyDescent="0.35">
      <c r="A237" t="s">
        <v>206</v>
      </c>
      <c r="B237" t="s">
        <v>34</v>
      </c>
      <c r="C237" t="s">
        <v>33</v>
      </c>
      <c r="D237" t="s">
        <v>33</v>
      </c>
      <c r="E237" t="s">
        <v>605</v>
      </c>
      <c r="F237" t="s">
        <v>26</v>
      </c>
      <c r="G237" t="s">
        <v>26</v>
      </c>
      <c r="I237">
        <v>0</v>
      </c>
      <c r="J237">
        <v>0.42663780000000001</v>
      </c>
      <c r="K237">
        <v>0.76745980000000003</v>
      </c>
      <c r="L237">
        <v>1.018667</v>
      </c>
      <c r="M237">
        <v>1.394279</v>
      </c>
      <c r="N237">
        <v>1.326827</v>
      </c>
    </row>
    <row r="238" spans="1:14" hidden="1" x14ac:dyDescent="0.35">
      <c r="A238" t="s">
        <v>206</v>
      </c>
      <c r="B238" t="s">
        <v>31</v>
      </c>
      <c r="C238" t="s">
        <v>30</v>
      </c>
      <c r="D238" t="s">
        <v>30</v>
      </c>
      <c r="E238" t="s">
        <v>584</v>
      </c>
      <c r="F238" t="s">
        <v>581</v>
      </c>
      <c r="G238" t="s">
        <v>24</v>
      </c>
      <c r="H238">
        <v>14.96466</v>
      </c>
      <c r="I238">
        <v>14.96466</v>
      </c>
      <c r="J238">
        <v>14.96466</v>
      </c>
      <c r="K238">
        <v>14.96466</v>
      </c>
      <c r="L238">
        <v>14.96466</v>
      </c>
      <c r="M238">
        <v>14.964650000000001</v>
      </c>
      <c r="N238">
        <v>14.96466</v>
      </c>
    </row>
    <row r="239" spans="1:14" hidden="1" x14ac:dyDescent="0.35">
      <c r="A239" t="s">
        <v>206</v>
      </c>
      <c r="B239" t="s">
        <v>31</v>
      </c>
      <c r="C239" t="s">
        <v>30</v>
      </c>
      <c r="D239" t="s">
        <v>30</v>
      </c>
      <c r="E239" t="s">
        <v>584</v>
      </c>
      <c r="F239" t="s">
        <v>581</v>
      </c>
      <c r="G239" t="s">
        <v>25</v>
      </c>
      <c r="H239">
        <v>8.3835610000000003</v>
      </c>
      <c r="I239">
        <v>8.4493150000000004</v>
      </c>
      <c r="J239">
        <v>8.4493150000000004</v>
      </c>
      <c r="K239">
        <v>8.4493150000000004</v>
      </c>
      <c r="L239">
        <v>8.4493150000000004</v>
      </c>
      <c r="M239">
        <v>8.4493150000000004</v>
      </c>
      <c r="N239">
        <v>8.4493150000000004</v>
      </c>
    </row>
    <row r="240" spans="1:14" hidden="1" x14ac:dyDescent="0.35">
      <c r="A240" t="s">
        <v>206</v>
      </c>
      <c r="B240" t="s">
        <v>31</v>
      </c>
      <c r="C240" t="s">
        <v>30</v>
      </c>
      <c r="D240" t="s">
        <v>30</v>
      </c>
      <c r="E240" t="s">
        <v>584</v>
      </c>
      <c r="F240" t="s">
        <v>26</v>
      </c>
      <c r="G240" t="s">
        <v>26</v>
      </c>
      <c r="H240">
        <v>51.279449999999997</v>
      </c>
      <c r="I240">
        <v>51.279449999999997</v>
      </c>
      <c r="J240">
        <v>51.279449999999997</v>
      </c>
      <c r="K240">
        <v>51.279449999999997</v>
      </c>
      <c r="L240">
        <v>51.279449999999997</v>
      </c>
      <c r="M240">
        <v>51.279449999999997</v>
      </c>
      <c r="N240">
        <v>51.279449999999997</v>
      </c>
    </row>
    <row r="241" spans="1:14" hidden="1" x14ac:dyDescent="0.35">
      <c r="A241" t="s">
        <v>206</v>
      </c>
      <c r="B241" t="s">
        <v>59</v>
      </c>
      <c r="C241" t="s">
        <v>161</v>
      </c>
      <c r="D241" t="s">
        <v>161</v>
      </c>
      <c r="E241" t="s">
        <v>584</v>
      </c>
      <c r="F241" t="s">
        <v>581</v>
      </c>
      <c r="G241" t="s">
        <v>396</v>
      </c>
      <c r="H241">
        <v>37.712859999999999</v>
      </c>
      <c r="I241">
        <v>44.777369999999998</v>
      </c>
      <c r="J241">
        <v>52.09592</v>
      </c>
      <c r="K241">
        <v>51.21181</v>
      </c>
      <c r="L241">
        <v>47.234810000000003</v>
      </c>
      <c r="M241">
        <v>40.110010000000003</v>
      </c>
      <c r="N241">
        <v>32.365659999999998</v>
      </c>
    </row>
    <row r="242" spans="1:14" hidden="1" x14ac:dyDescent="0.35">
      <c r="A242" t="s">
        <v>206</v>
      </c>
      <c r="B242" t="s">
        <v>59</v>
      </c>
      <c r="C242" t="s">
        <v>161</v>
      </c>
      <c r="D242" t="s">
        <v>161</v>
      </c>
      <c r="E242" t="s">
        <v>584</v>
      </c>
      <c r="F242" t="s">
        <v>581</v>
      </c>
      <c r="G242" t="s">
        <v>24</v>
      </c>
      <c r="H242">
        <v>2.8332649999999999</v>
      </c>
      <c r="I242">
        <v>2.8285779999999998</v>
      </c>
      <c r="J242">
        <v>2.5981969999999999</v>
      </c>
      <c r="K242">
        <v>2.3594020000000002</v>
      </c>
      <c r="L242">
        <v>1.9472659999999999</v>
      </c>
      <c r="M242">
        <v>1.0307489999999999</v>
      </c>
      <c r="N242">
        <v>0.87515790000000004</v>
      </c>
    </row>
    <row r="243" spans="1:14" hidden="1" x14ac:dyDescent="0.35">
      <c r="A243" t="s">
        <v>206</v>
      </c>
      <c r="B243" t="s">
        <v>59</v>
      </c>
      <c r="C243" t="s">
        <v>161</v>
      </c>
      <c r="D243" t="s">
        <v>161</v>
      </c>
      <c r="E243" t="s">
        <v>584</v>
      </c>
      <c r="F243" t="s">
        <v>581</v>
      </c>
      <c r="G243" t="s">
        <v>25</v>
      </c>
      <c r="H243">
        <v>0.54478850000000001</v>
      </c>
      <c r="I243">
        <v>0.59728740000000002</v>
      </c>
      <c r="J243">
        <v>0.62697040000000004</v>
      </c>
      <c r="K243">
        <v>0.63367479999999998</v>
      </c>
      <c r="L243">
        <v>0.5012934</v>
      </c>
      <c r="M243">
        <v>0.2572682</v>
      </c>
      <c r="N243">
        <v>0.21644859999999999</v>
      </c>
    </row>
    <row r="244" spans="1:14" hidden="1" x14ac:dyDescent="0.35">
      <c r="A244" t="s">
        <v>206</v>
      </c>
      <c r="B244" t="s">
        <v>59</v>
      </c>
      <c r="C244" t="s">
        <v>161</v>
      </c>
      <c r="D244" t="s">
        <v>161</v>
      </c>
      <c r="E244" t="s">
        <v>584</v>
      </c>
      <c r="F244" t="s">
        <v>26</v>
      </c>
      <c r="G244" t="s">
        <v>26</v>
      </c>
      <c r="H244">
        <v>15.2539</v>
      </c>
      <c r="I244">
        <v>17.24268</v>
      </c>
      <c r="J244">
        <v>17.00667</v>
      </c>
      <c r="K244">
        <v>15.03533</v>
      </c>
      <c r="L244">
        <v>12.82307</v>
      </c>
      <c r="M244">
        <v>7.3150959999999996</v>
      </c>
      <c r="N244">
        <v>6.0916269999999999</v>
      </c>
    </row>
    <row r="245" spans="1:14" hidden="1" x14ac:dyDescent="0.35">
      <c r="A245" t="s">
        <v>206</v>
      </c>
      <c r="B245" t="s">
        <v>60</v>
      </c>
      <c r="C245" t="s">
        <v>202</v>
      </c>
      <c r="D245" t="s">
        <v>202</v>
      </c>
      <c r="E245" t="s">
        <v>584</v>
      </c>
      <c r="F245" t="s">
        <v>581</v>
      </c>
      <c r="G245" t="s">
        <v>396</v>
      </c>
      <c r="H245">
        <v>0.15511610000000001</v>
      </c>
      <c r="I245">
        <v>0.1789308</v>
      </c>
      <c r="J245">
        <v>0.16709669999999999</v>
      </c>
      <c r="K245">
        <v>0.15300349999999999</v>
      </c>
      <c r="L245">
        <v>0.13179550000000001</v>
      </c>
      <c r="M245">
        <v>6.6402749999999999</v>
      </c>
      <c r="N245">
        <v>6.6940480000000004</v>
      </c>
    </row>
    <row r="246" spans="1:14" hidden="1" x14ac:dyDescent="0.35">
      <c r="A246" t="s">
        <v>206</v>
      </c>
      <c r="B246" t="s">
        <v>60</v>
      </c>
      <c r="C246" t="s">
        <v>202</v>
      </c>
      <c r="D246" t="s">
        <v>202</v>
      </c>
      <c r="E246" t="s">
        <v>584</v>
      </c>
      <c r="F246" t="s">
        <v>581</v>
      </c>
      <c r="G246" t="s">
        <v>24</v>
      </c>
      <c r="H246">
        <v>2.2980109999999998</v>
      </c>
      <c r="I246">
        <v>2.224901</v>
      </c>
      <c r="J246">
        <v>2.4025020000000001</v>
      </c>
      <c r="K246">
        <v>2.3044760000000002</v>
      </c>
      <c r="L246">
        <v>2.1582119999999998</v>
      </c>
      <c r="M246">
        <v>3.7503760000000002</v>
      </c>
      <c r="N246">
        <v>2.8470140000000002</v>
      </c>
    </row>
    <row r="247" spans="1:14" hidden="1" x14ac:dyDescent="0.35">
      <c r="A247" t="s">
        <v>206</v>
      </c>
      <c r="B247" t="s">
        <v>60</v>
      </c>
      <c r="C247" t="s">
        <v>202</v>
      </c>
      <c r="D247" t="s">
        <v>202</v>
      </c>
      <c r="E247" t="s">
        <v>584</v>
      </c>
      <c r="F247" t="s">
        <v>581</v>
      </c>
      <c r="G247" t="s">
        <v>25</v>
      </c>
      <c r="H247">
        <v>1.183562E-5</v>
      </c>
      <c r="I247">
        <v>1.331507E-5</v>
      </c>
      <c r="J247">
        <v>1.183562E-5</v>
      </c>
      <c r="K247">
        <v>1.183562E-5</v>
      </c>
      <c r="L247">
        <v>1.183562E-5</v>
      </c>
      <c r="M247">
        <v>7.3972600000000001E-6</v>
      </c>
      <c r="N247">
        <v>4.4383560000000002E-6</v>
      </c>
    </row>
    <row r="248" spans="1:14" hidden="1" x14ac:dyDescent="0.35">
      <c r="A248" t="s">
        <v>206</v>
      </c>
      <c r="B248" t="s">
        <v>60</v>
      </c>
      <c r="C248" t="s">
        <v>202</v>
      </c>
      <c r="D248" t="s">
        <v>202</v>
      </c>
      <c r="E248" t="s">
        <v>584</v>
      </c>
      <c r="F248" t="s">
        <v>26</v>
      </c>
      <c r="G248" t="s">
        <v>26</v>
      </c>
      <c r="H248">
        <v>51.543990000000001</v>
      </c>
      <c r="I248">
        <v>51.071869999999997</v>
      </c>
      <c r="J248">
        <v>54.107399999999998</v>
      </c>
      <c r="K248">
        <v>53.592599999999997</v>
      </c>
      <c r="L248">
        <v>49.691870000000002</v>
      </c>
      <c r="M248">
        <v>35.865430000000003</v>
      </c>
      <c r="N248">
        <v>31.675149999999999</v>
      </c>
    </row>
    <row r="249" spans="1:14" hidden="1" x14ac:dyDescent="0.35">
      <c r="A249" t="s">
        <v>206</v>
      </c>
      <c r="B249" t="s">
        <v>174</v>
      </c>
      <c r="C249" t="s">
        <v>198</v>
      </c>
      <c r="D249" t="s">
        <v>198</v>
      </c>
      <c r="E249" t="s">
        <v>584</v>
      </c>
      <c r="F249" t="s">
        <v>581</v>
      </c>
      <c r="G249" t="s">
        <v>396</v>
      </c>
      <c r="H249">
        <v>32.796660000000003</v>
      </c>
      <c r="I249">
        <v>42.923780000000001</v>
      </c>
      <c r="J249">
        <v>46.238770000000002</v>
      </c>
      <c r="K249">
        <v>47.28546</v>
      </c>
      <c r="L249">
        <v>48.185519999999997</v>
      </c>
      <c r="M249">
        <v>42.189689999999999</v>
      </c>
      <c r="N249">
        <v>36.341349999999998</v>
      </c>
    </row>
    <row r="250" spans="1:14" hidden="1" x14ac:dyDescent="0.35">
      <c r="A250" t="s">
        <v>206</v>
      </c>
      <c r="B250" t="s">
        <v>174</v>
      </c>
      <c r="C250" t="s">
        <v>198</v>
      </c>
      <c r="D250" t="s">
        <v>198</v>
      </c>
      <c r="E250" t="s">
        <v>584</v>
      </c>
      <c r="F250" t="s">
        <v>26</v>
      </c>
      <c r="G250" t="s">
        <v>26</v>
      </c>
      <c r="H250">
        <v>0.52600360000000002</v>
      </c>
      <c r="I250">
        <v>1.056481</v>
      </c>
      <c r="J250">
        <v>1.27572</v>
      </c>
      <c r="K250">
        <v>1.2774110000000001</v>
      </c>
      <c r="L250">
        <v>1.277639</v>
      </c>
      <c r="M250">
        <v>1.1610929999999999</v>
      </c>
      <c r="N250">
        <v>0.90184070000000005</v>
      </c>
    </row>
    <row r="251" spans="1:14" hidden="1" x14ac:dyDescent="0.35">
      <c r="A251" t="s">
        <v>206</v>
      </c>
      <c r="B251" t="s">
        <v>210</v>
      </c>
      <c r="C251" t="s">
        <v>209</v>
      </c>
      <c r="D251" t="s">
        <v>209</v>
      </c>
      <c r="E251" t="s">
        <v>584</v>
      </c>
      <c r="F251" t="s">
        <v>581</v>
      </c>
      <c r="G251" t="s">
        <v>396</v>
      </c>
      <c r="H251">
        <v>27.25901</v>
      </c>
      <c r="I251">
        <v>15.744289999999999</v>
      </c>
      <c r="J251">
        <v>28.399039999999999</v>
      </c>
      <c r="K251">
        <v>29.004380000000001</v>
      </c>
      <c r="L251">
        <v>29.510459999999998</v>
      </c>
      <c r="M251">
        <v>25.987310000000001</v>
      </c>
      <c r="N251">
        <v>22.23734</v>
      </c>
    </row>
    <row r="252" spans="1:14" hidden="1" x14ac:dyDescent="0.35">
      <c r="A252" t="s">
        <v>206</v>
      </c>
      <c r="B252" t="s">
        <v>210</v>
      </c>
      <c r="C252" t="s">
        <v>209</v>
      </c>
      <c r="D252" t="s">
        <v>209</v>
      </c>
      <c r="E252" t="s">
        <v>584</v>
      </c>
      <c r="F252" t="s">
        <v>581</v>
      </c>
      <c r="G252" t="s">
        <v>24</v>
      </c>
      <c r="H252">
        <v>5.7420209999999999E-2</v>
      </c>
      <c r="I252">
        <v>0.59540990000000005</v>
      </c>
      <c r="J252">
        <v>1.555944</v>
      </c>
      <c r="K252">
        <v>1.6373770000000001</v>
      </c>
      <c r="L252">
        <v>1.6373770000000001</v>
      </c>
      <c r="M252">
        <v>1.6448940000000001</v>
      </c>
      <c r="N252">
        <v>1.443403</v>
      </c>
    </row>
    <row r="253" spans="1:14" hidden="1" x14ac:dyDescent="0.35">
      <c r="A253" t="s">
        <v>206</v>
      </c>
      <c r="B253" t="s">
        <v>210</v>
      </c>
      <c r="C253" t="s">
        <v>209</v>
      </c>
      <c r="D253" t="s">
        <v>209</v>
      </c>
      <c r="E253" t="s">
        <v>584</v>
      </c>
      <c r="F253" t="s">
        <v>581</v>
      </c>
      <c r="G253" t="s">
        <v>25</v>
      </c>
      <c r="L253">
        <v>0</v>
      </c>
      <c r="M253">
        <v>6.7084099999999994E-2</v>
      </c>
      <c r="N253">
        <v>5.4473260000000003E-2</v>
      </c>
    </row>
    <row r="254" spans="1:14" hidden="1" x14ac:dyDescent="0.35">
      <c r="A254" t="s">
        <v>206</v>
      </c>
      <c r="B254" t="s">
        <v>210</v>
      </c>
      <c r="C254" t="s">
        <v>209</v>
      </c>
      <c r="D254" t="s">
        <v>209</v>
      </c>
      <c r="E254" t="s">
        <v>584</v>
      </c>
      <c r="F254" t="s">
        <v>26</v>
      </c>
      <c r="G254" t="s">
        <v>26</v>
      </c>
      <c r="H254">
        <v>5.0016439999999998</v>
      </c>
      <c r="I254">
        <v>2.6748539999999998</v>
      </c>
      <c r="J254">
        <v>5.0973189999999997</v>
      </c>
      <c r="K254">
        <v>5.2002050000000004</v>
      </c>
      <c r="L254">
        <v>5.394469</v>
      </c>
      <c r="M254">
        <v>5.5074769999999997</v>
      </c>
      <c r="N254">
        <v>5.1790419999999999</v>
      </c>
    </row>
    <row r="255" spans="1:14" hidden="1" x14ac:dyDescent="0.35">
      <c r="A255" t="s">
        <v>206</v>
      </c>
      <c r="B255" t="s">
        <v>217</v>
      </c>
      <c r="C255" t="s">
        <v>216</v>
      </c>
      <c r="D255" t="s">
        <v>216</v>
      </c>
      <c r="E255" t="s">
        <v>584</v>
      </c>
      <c r="F255" t="s">
        <v>581</v>
      </c>
      <c r="G255" t="s">
        <v>396</v>
      </c>
      <c r="H255">
        <v>6.9795920000000002</v>
      </c>
      <c r="I255">
        <v>9.6171559999999996</v>
      </c>
      <c r="J255">
        <v>8.0013459999999998</v>
      </c>
      <c r="K255">
        <v>7.2053000000000003</v>
      </c>
      <c r="L255">
        <v>6.5777000000000001</v>
      </c>
      <c r="M255">
        <v>5.8434369999999998</v>
      </c>
      <c r="N255">
        <v>4.8046100000000003</v>
      </c>
    </row>
    <row r="256" spans="1:14" hidden="1" x14ac:dyDescent="0.35">
      <c r="A256" t="s">
        <v>206</v>
      </c>
      <c r="B256" t="s">
        <v>201</v>
      </c>
      <c r="C256" t="s">
        <v>220</v>
      </c>
      <c r="D256" t="s">
        <v>220</v>
      </c>
      <c r="E256" t="s">
        <v>606</v>
      </c>
      <c r="F256" t="s">
        <v>581</v>
      </c>
      <c r="G256" t="s">
        <v>396</v>
      </c>
      <c r="I256">
        <v>0</v>
      </c>
      <c r="J256">
        <v>0</v>
      </c>
      <c r="K256">
        <v>0</v>
      </c>
      <c r="L256">
        <v>0</v>
      </c>
      <c r="M256">
        <v>0</v>
      </c>
      <c r="N256">
        <v>0</v>
      </c>
    </row>
    <row r="257" spans="1:14" hidden="1" x14ac:dyDescent="0.35">
      <c r="A257" t="s">
        <v>206</v>
      </c>
      <c r="B257" t="s">
        <v>201</v>
      </c>
      <c r="C257" t="s">
        <v>220</v>
      </c>
      <c r="D257" t="s">
        <v>220</v>
      </c>
      <c r="E257" t="s">
        <v>606</v>
      </c>
      <c r="F257" t="s">
        <v>26</v>
      </c>
      <c r="G257" t="s">
        <v>26</v>
      </c>
      <c r="I257">
        <v>0</v>
      </c>
      <c r="J257">
        <v>0</v>
      </c>
      <c r="K257">
        <v>0</v>
      </c>
      <c r="L257">
        <v>0</v>
      </c>
      <c r="M257">
        <v>0</v>
      </c>
      <c r="N257">
        <v>0</v>
      </c>
    </row>
    <row r="258" spans="1:14" hidden="1" x14ac:dyDescent="0.35">
      <c r="A258" t="s">
        <v>607</v>
      </c>
      <c r="B258" t="s">
        <v>37</v>
      </c>
      <c r="C258" t="s">
        <v>63</v>
      </c>
      <c r="D258" t="s">
        <v>63</v>
      </c>
      <c r="E258" t="s">
        <v>608</v>
      </c>
      <c r="F258" t="s">
        <v>581</v>
      </c>
      <c r="G258" t="s">
        <v>25</v>
      </c>
      <c r="H258">
        <v>0.40986299999999998</v>
      </c>
      <c r="I258">
        <v>0.41036159999999999</v>
      </c>
      <c r="J258">
        <v>0.3932368</v>
      </c>
      <c r="K258">
        <v>0.38840710000000001</v>
      </c>
      <c r="L258">
        <v>0.35004879999999999</v>
      </c>
      <c r="M258">
        <v>0.30654900000000002</v>
      </c>
      <c r="N258">
        <v>0.27012330000000001</v>
      </c>
    </row>
    <row r="259" spans="1:14" hidden="1" x14ac:dyDescent="0.35">
      <c r="A259" t="s">
        <v>607</v>
      </c>
      <c r="B259" t="s">
        <v>37</v>
      </c>
      <c r="C259" t="s">
        <v>63</v>
      </c>
      <c r="D259" t="s">
        <v>63</v>
      </c>
      <c r="E259" t="s">
        <v>608</v>
      </c>
      <c r="F259" t="s">
        <v>26</v>
      </c>
      <c r="G259" t="s">
        <v>26</v>
      </c>
      <c r="H259">
        <v>441.88589999999999</v>
      </c>
      <c r="I259">
        <v>466.87090000000001</v>
      </c>
      <c r="J259">
        <v>528.96730000000002</v>
      </c>
      <c r="K259">
        <v>514.20039999999995</v>
      </c>
      <c r="L259">
        <v>447.77600000000001</v>
      </c>
      <c r="M259">
        <v>403.51819999999998</v>
      </c>
      <c r="N259">
        <v>381.34370000000001</v>
      </c>
    </row>
    <row r="260" spans="1:14" hidden="1" x14ac:dyDescent="0.35">
      <c r="A260" t="s">
        <v>607</v>
      </c>
      <c r="B260" t="s">
        <v>37</v>
      </c>
      <c r="C260" t="s">
        <v>63</v>
      </c>
      <c r="D260" t="s">
        <v>63</v>
      </c>
      <c r="E260" t="s">
        <v>609</v>
      </c>
      <c r="F260" t="s">
        <v>581</v>
      </c>
      <c r="G260" t="s">
        <v>25</v>
      </c>
      <c r="H260">
        <v>0.1024658</v>
      </c>
      <c r="I260">
        <v>8.1290420000000002E-2</v>
      </c>
      <c r="J260">
        <v>0.18465200000000001</v>
      </c>
      <c r="K260">
        <v>0.23370079999999999</v>
      </c>
      <c r="L260">
        <v>0.2664241</v>
      </c>
      <c r="M260">
        <v>0.27526410000000001</v>
      </c>
      <c r="N260">
        <v>0.3407693</v>
      </c>
    </row>
    <row r="261" spans="1:14" hidden="1" x14ac:dyDescent="0.35">
      <c r="A261" t="s">
        <v>607</v>
      </c>
      <c r="B261" t="s">
        <v>37</v>
      </c>
      <c r="C261" t="s">
        <v>63</v>
      </c>
      <c r="D261" t="s">
        <v>63</v>
      </c>
      <c r="E261" t="s">
        <v>609</v>
      </c>
      <c r="F261" t="s">
        <v>26</v>
      </c>
      <c r="G261" t="s">
        <v>26</v>
      </c>
      <c r="H261">
        <v>101.73690000000001</v>
      </c>
      <c r="I261">
        <v>93.347790000000003</v>
      </c>
      <c r="J261">
        <v>103.5235</v>
      </c>
      <c r="K261">
        <v>107.5551</v>
      </c>
      <c r="L261">
        <v>96.589640000000003</v>
      </c>
      <c r="M261">
        <v>86.885589999999993</v>
      </c>
      <c r="N261">
        <v>82.661180000000002</v>
      </c>
    </row>
    <row r="262" spans="1:14" hidden="1" x14ac:dyDescent="0.35">
      <c r="A262" t="s">
        <v>607</v>
      </c>
      <c r="B262" t="s">
        <v>37</v>
      </c>
      <c r="C262" t="s">
        <v>63</v>
      </c>
      <c r="D262" t="s">
        <v>63</v>
      </c>
      <c r="E262" t="s">
        <v>610</v>
      </c>
      <c r="F262" t="s">
        <v>581</v>
      </c>
      <c r="G262" t="s">
        <v>24</v>
      </c>
      <c r="H262">
        <v>2.0982189999999998</v>
      </c>
      <c r="I262">
        <v>1.6580010000000001</v>
      </c>
      <c r="J262">
        <v>1.518025</v>
      </c>
      <c r="K262">
        <v>1.3458300000000001</v>
      </c>
      <c r="L262">
        <v>1.200707</v>
      </c>
      <c r="M262">
        <v>1.090384</v>
      </c>
      <c r="N262">
        <v>0.97758199999999995</v>
      </c>
    </row>
    <row r="263" spans="1:14" hidden="1" x14ac:dyDescent="0.35">
      <c r="A263" t="s">
        <v>607</v>
      </c>
      <c r="B263" t="s">
        <v>37</v>
      </c>
      <c r="C263" t="s">
        <v>63</v>
      </c>
      <c r="D263" t="s">
        <v>63</v>
      </c>
      <c r="E263" t="s">
        <v>610</v>
      </c>
      <c r="F263" t="s">
        <v>581</v>
      </c>
      <c r="G263" t="s">
        <v>25</v>
      </c>
      <c r="H263">
        <v>28.469180000000001</v>
      </c>
      <c r="I263">
        <v>26.940850000000001</v>
      </c>
      <c r="J263">
        <v>24.536100000000001</v>
      </c>
      <c r="K263">
        <v>21.83418</v>
      </c>
      <c r="L263">
        <v>19.579239999999999</v>
      </c>
      <c r="M263">
        <v>17.614159999999998</v>
      </c>
      <c r="N263">
        <v>15.74076</v>
      </c>
    </row>
    <row r="264" spans="1:14" hidden="1" x14ac:dyDescent="0.35">
      <c r="A264" t="s">
        <v>607</v>
      </c>
      <c r="B264" t="s">
        <v>37</v>
      </c>
      <c r="C264" t="s">
        <v>63</v>
      </c>
      <c r="D264" t="s">
        <v>63</v>
      </c>
      <c r="E264" t="s">
        <v>610</v>
      </c>
      <c r="F264" t="s">
        <v>26</v>
      </c>
      <c r="G264" t="s">
        <v>26</v>
      </c>
      <c r="H264">
        <v>72.815880000000007</v>
      </c>
      <c r="I264">
        <v>62.523060000000001</v>
      </c>
      <c r="J264">
        <v>57.547370000000001</v>
      </c>
      <c r="K264">
        <v>51.398760000000003</v>
      </c>
      <c r="L264">
        <v>46.372489999999999</v>
      </c>
      <c r="M264">
        <v>42.1175</v>
      </c>
      <c r="N264">
        <v>37.5304</v>
      </c>
    </row>
    <row r="265" spans="1:14" hidden="1" x14ac:dyDescent="0.35">
      <c r="A265" t="s">
        <v>607</v>
      </c>
      <c r="B265" t="s">
        <v>37</v>
      </c>
      <c r="C265" t="s">
        <v>63</v>
      </c>
      <c r="D265" t="s">
        <v>63</v>
      </c>
      <c r="E265" t="s">
        <v>611</v>
      </c>
      <c r="F265" t="s">
        <v>581</v>
      </c>
      <c r="G265" t="s">
        <v>25</v>
      </c>
      <c r="H265">
        <v>1.758219</v>
      </c>
      <c r="I265">
        <v>1.745789</v>
      </c>
      <c r="J265">
        <v>1.800773</v>
      </c>
      <c r="K265">
        <v>1.7538320000000001</v>
      </c>
      <c r="L265">
        <v>1.603701</v>
      </c>
      <c r="M265">
        <v>1.386746</v>
      </c>
      <c r="N265">
        <v>1.220181</v>
      </c>
    </row>
    <row r="266" spans="1:14" hidden="1" x14ac:dyDescent="0.35">
      <c r="A266" t="s">
        <v>607</v>
      </c>
      <c r="B266" t="s">
        <v>37</v>
      </c>
      <c r="C266" t="s">
        <v>63</v>
      </c>
      <c r="D266" t="s">
        <v>63</v>
      </c>
      <c r="E266" t="s">
        <v>611</v>
      </c>
      <c r="F266" t="s">
        <v>26</v>
      </c>
      <c r="G266" t="s">
        <v>26</v>
      </c>
      <c r="H266">
        <v>36.682740000000003</v>
      </c>
      <c r="I266">
        <v>33.170029999999997</v>
      </c>
      <c r="J266">
        <v>34.214750000000002</v>
      </c>
      <c r="K266">
        <v>33.322780000000002</v>
      </c>
      <c r="L266">
        <v>30.470389999999998</v>
      </c>
      <c r="M266">
        <v>26.348089999999999</v>
      </c>
      <c r="N266">
        <v>23.183579999999999</v>
      </c>
    </row>
    <row r="267" spans="1:14" hidden="1" x14ac:dyDescent="0.35">
      <c r="A267" t="s">
        <v>607</v>
      </c>
      <c r="B267" t="s">
        <v>37</v>
      </c>
      <c r="C267" t="s">
        <v>63</v>
      </c>
      <c r="D267" t="s">
        <v>63</v>
      </c>
      <c r="E267" t="s">
        <v>612</v>
      </c>
      <c r="F267" t="s">
        <v>581</v>
      </c>
      <c r="G267" t="s">
        <v>24</v>
      </c>
      <c r="H267">
        <v>0.14383560000000001</v>
      </c>
      <c r="I267">
        <v>0.14242469999999999</v>
      </c>
      <c r="J267">
        <v>0.18558189999999999</v>
      </c>
      <c r="K267">
        <v>0.21698899999999999</v>
      </c>
      <c r="L267">
        <v>0.1873184</v>
      </c>
      <c r="M267">
        <v>0.16557640000000001</v>
      </c>
      <c r="N267">
        <v>0.18105969999999999</v>
      </c>
    </row>
    <row r="268" spans="1:14" hidden="1" x14ac:dyDescent="0.35">
      <c r="A268" t="s">
        <v>607</v>
      </c>
      <c r="B268" t="s">
        <v>37</v>
      </c>
      <c r="C268" t="s">
        <v>63</v>
      </c>
      <c r="D268" t="s">
        <v>63</v>
      </c>
      <c r="E268" t="s">
        <v>612</v>
      </c>
      <c r="F268" t="s">
        <v>581</v>
      </c>
      <c r="G268" t="s">
        <v>25</v>
      </c>
      <c r="H268">
        <v>0.23492879999999999</v>
      </c>
      <c r="I268">
        <v>0.28484930000000003</v>
      </c>
      <c r="J268">
        <v>0.3711584</v>
      </c>
      <c r="K268">
        <v>0.4339808</v>
      </c>
      <c r="L268">
        <v>0.37463669999999999</v>
      </c>
      <c r="M268">
        <v>0.3311518</v>
      </c>
      <c r="N268">
        <v>0.3621299</v>
      </c>
    </row>
    <row r="269" spans="1:14" hidden="1" x14ac:dyDescent="0.35">
      <c r="A269" t="s">
        <v>607</v>
      </c>
      <c r="B269" t="s">
        <v>37</v>
      </c>
      <c r="C269" t="s">
        <v>63</v>
      </c>
      <c r="D269" t="s">
        <v>63</v>
      </c>
      <c r="E269" t="s">
        <v>612</v>
      </c>
      <c r="F269" t="s">
        <v>26</v>
      </c>
      <c r="G269" t="s">
        <v>26</v>
      </c>
      <c r="H269">
        <v>2.1839040000000001</v>
      </c>
      <c r="I269">
        <v>2.4212060000000002</v>
      </c>
      <c r="J269">
        <v>3.1548620000000001</v>
      </c>
      <c r="K269">
        <v>3.688815</v>
      </c>
      <c r="L269">
        <v>3.1844209999999999</v>
      </c>
      <c r="M269">
        <v>2.8147760000000002</v>
      </c>
      <c r="N269">
        <v>3.0780750000000001</v>
      </c>
    </row>
    <row r="270" spans="1:14" hidden="1" x14ac:dyDescent="0.35">
      <c r="A270" t="s">
        <v>607</v>
      </c>
      <c r="B270" t="s">
        <v>37</v>
      </c>
      <c r="C270" t="s">
        <v>63</v>
      </c>
      <c r="D270" t="s">
        <v>63</v>
      </c>
      <c r="E270" t="s">
        <v>584</v>
      </c>
      <c r="F270" t="s">
        <v>581</v>
      </c>
      <c r="G270" t="s">
        <v>396</v>
      </c>
      <c r="M270">
        <v>0</v>
      </c>
      <c r="N270">
        <v>0</v>
      </c>
    </row>
    <row r="271" spans="1:14" hidden="1" x14ac:dyDescent="0.35">
      <c r="A271" t="s">
        <v>607</v>
      </c>
      <c r="B271" t="s">
        <v>37</v>
      </c>
      <c r="C271" t="s">
        <v>63</v>
      </c>
      <c r="D271" t="s">
        <v>63</v>
      </c>
      <c r="E271" t="s">
        <v>584</v>
      </c>
      <c r="F271" t="s">
        <v>581</v>
      </c>
      <c r="G271" t="s">
        <v>25</v>
      </c>
      <c r="M271">
        <v>0</v>
      </c>
      <c r="N271">
        <v>-1.0206270000000001E-9</v>
      </c>
    </row>
    <row r="272" spans="1:14" hidden="1" x14ac:dyDescent="0.35">
      <c r="A272" t="s">
        <v>607</v>
      </c>
      <c r="B272" t="s">
        <v>37</v>
      </c>
      <c r="C272" t="s">
        <v>63</v>
      </c>
      <c r="D272" t="s">
        <v>63</v>
      </c>
      <c r="E272" t="s">
        <v>584</v>
      </c>
      <c r="F272" t="s">
        <v>26</v>
      </c>
      <c r="G272" t="s">
        <v>26</v>
      </c>
      <c r="M272">
        <v>0</v>
      </c>
      <c r="N272">
        <v>0</v>
      </c>
    </row>
    <row r="273" spans="1:14" hidden="1" x14ac:dyDescent="0.35">
      <c r="A273" t="s">
        <v>607</v>
      </c>
      <c r="B273" t="s">
        <v>37</v>
      </c>
      <c r="C273" t="s">
        <v>99</v>
      </c>
      <c r="D273" t="s">
        <v>100</v>
      </c>
      <c r="E273" t="s">
        <v>584</v>
      </c>
      <c r="F273" t="s">
        <v>581</v>
      </c>
      <c r="G273" t="s">
        <v>396</v>
      </c>
      <c r="H273">
        <v>2.2000000000000001E-3</v>
      </c>
      <c r="I273">
        <v>1.6465749999999999E-3</v>
      </c>
      <c r="J273">
        <v>1.225206E-3</v>
      </c>
      <c r="K273">
        <v>8.9863010000000001E-4</v>
      </c>
      <c r="L273">
        <v>0</v>
      </c>
      <c r="M273">
        <v>0</v>
      </c>
    </row>
    <row r="274" spans="1:14" hidden="1" x14ac:dyDescent="0.35">
      <c r="A274" t="s">
        <v>607</v>
      </c>
      <c r="B274" t="s">
        <v>37</v>
      </c>
      <c r="C274" t="s">
        <v>99</v>
      </c>
      <c r="D274" t="s">
        <v>100</v>
      </c>
      <c r="E274" t="s">
        <v>584</v>
      </c>
      <c r="F274" t="s">
        <v>581</v>
      </c>
      <c r="G274" t="s">
        <v>24</v>
      </c>
      <c r="H274">
        <v>6.523287E-3</v>
      </c>
      <c r="I274">
        <v>5.5698639999999999E-3</v>
      </c>
      <c r="J274">
        <v>4.7298629999999999E-3</v>
      </c>
      <c r="K274">
        <v>3.9775339999999996E-3</v>
      </c>
      <c r="L274">
        <v>3.2838350000000001E-3</v>
      </c>
      <c r="M274">
        <v>2.6367119999999998E-3</v>
      </c>
      <c r="N274">
        <v>2.1139729999999999E-3</v>
      </c>
    </row>
    <row r="275" spans="1:14" hidden="1" x14ac:dyDescent="0.35">
      <c r="A275" t="s">
        <v>607</v>
      </c>
      <c r="B275" t="s">
        <v>37</v>
      </c>
      <c r="C275" t="s">
        <v>99</v>
      </c>
      <c r="D275" t="s">
        <v>101</v>
      </c>
      <c r="E275" t="s">
        <v>584</v>
      </c>
      <c r="F275" t="s">
        <v>581</v>
      </c>
      <c r="G275" t="s">
        <v>396</v>
      </c>
      <c r="H275">
        <v>8.0273970000000004E-4</v>
      </c>
      <c r="I275">
        <v>0</v>
      </c>
    </row>
    <row r="276" spans="1:14" hidden="1" x14ac:dyDescent="0.35">
      <c r="A276" t="s">
        <v>607</v>
      </c>
      <c r="B276" t="s">
        <v>37</v>
      </c>
      <c r="C276" t="s">
        <v>99</v>
      </c>
      <c r="D276" t="s">
        <v>101</v>
      </c>
      <c r="E276" t="s">
        <v>584</v>
      </c>
      <c r="F276" t="s">
        <v>581</v>
      </c>
      <c r="G276" t="s">
        <v>24</v>
      </c>
      <c r="H276">
        <v>8.0273970000000004E-4</v>
      </c>
      <c r="I276">
        <v>0</v>
      </c>
    </row>
    <row r="277" spans="1:14" hidden="1" x14ac:dyDescent="0.35">
      <c r="A277" t="s">
        <v>607</v>
      </c>
      <c r="B277" t="s">
        <v>37</v>
      </c>
      <c r="C277" t="s">
        <v>118</v>
      </c>
      <c r="D277" t="s">
        <v>118</v>
      </c>
      <c r="E277" t="s">
        <v>584</v>
      </c>
      <c r="F277" t="s">
        <v>581</v>
      </c>
      <c r="G277" t="s">
        <v>396</v>
      </c>
      <c r="H277">
        <v>8.0273970000000004E-4</v>
      </c>
      <c r="I277">
        <v>0</v>
      </c>
    </row>
    <row r="278" spans="1:14" hidden="1" x14ac:dyDescent="0.35">
      <c r="A278" t="s">
        <v>607</v>
      </c>
      <c r="B278" t="s">
        <v>37</v>
      </c>
      <c r="C278" t="s">
        <v>118</v>
      </c>
      <c r="D278" t="s">
        <v>118</v>
      </c>
      <c r="E278" t="s">
        <v>584</v>
      </c>
      <c r="F278" t="s">
        <v>581</v>
      </c>
      <c r="G278" t="s">
        <v>24</v>
      </c>
      <c r="H278">
        <v>8.0273970000000004E-4</v>
      </c>
      <c r="I278">
        <v>0</v>
      </c>
    </row>
    <row r="279" spans="1:14" hidden="1" x14ac:dyDescent="0.35">
      <c r="A279" t="s">
        <v>607</v>
      </c>
      <c r="B279" t="s">
        <v>37</v>
      </c>
      <c r="C279" t="s">
        <v>118</v>
      </c>
      <c r="D279" t="s">
        <v>118</v>
      </c>
      <c r="E279" t="s">
        <v>584</v>
      </c>
      <c r="F279" t="s">
        <v>581</v>
      </c>
      <c r="G279" t="s">
        <v>25</v>
      </c>
      <c r="H279">
        <v>1.728767E-3</v>
      </c>
      <c r="I279">
        <v>1.1616440000000001E-3</v>
      </c>
      <c r="J279">
        <v>0</v>
      </c>
    </row>
    <row r="280" spans="1:14" hidden="1" x14ac:dyDescent="0.35">
      <c r="A280" t="s">
        <v>607</v>
      </c>
      <c r="B280" t="s">
        <v>37</v>
      </c>
      <c r="C280" t="s">
        <v>118</v>
      </c>
      <c r="D280" t="s">
        <v>118</v>
      </c>
      <c r="E280" t="s">
        <v>584</v>
      </c>
      <c r="F280" t="s">
        <v>26</v>
      </c>
      <c r="G280" t="s">
        <v>26</v>
      </c>
      <c r="H280">
        <v>0</v>
      </c>
    </row>
    <row r="281" spans="1:14" hidden="1" x14ac:dyDescent="0.35">
      <c r="A281" t="s">
        <v>607</v>
      </c>
      <c r="B281" t="s">
        <v>37</v>
      </c>
      <c r="C281" t="s">
        <v>70</v>
      </c>
      <c r="D281" t="s">
        <v>70</v>
      </c>
      <c r="E281" t="s">
        <v>584</v>
      </c>
      <c r="F281" t="s">
        <v>581</v>
      </c>
      <c r="G281" t="s">
        <v>396</v>
      </c>
      <c r="H281">
        <v>8.0273970000000004E-4</v>
      </c>
      <c r="I281">
        <v>0</v>
      </c>
    </row>
    <row r="282" spans="1:14" hidden="1" x14ac:dyDescent="0.35">
      <c r="A282" t="s">
        <v>242</v>
      </c>
      <c r="B282" t="s">
        <v>37</v>
      </c>
      <c r="C282" t="s">
        <v>35</v>
      </c>
      <c r="D282" t="s">
        <v>39</v>
      </c>
      <c r="E282" t="s">
        <v>580</v>
      </c>
      <c r="F282" t="s">
        <v>581</v>
      </c>
      <c r="G282" t="s">
        <v>396</v>
      </c>
      <c r="H282">
        <v>73.286580000000001</v>
      </c>
      <c r="I282">
        <v>83.414249999999996</v>
      </c>
      <c r="J282">
        <v>70.981160000000003</v>
      </c>
      <c r="K282">
        <v>57.080150000000003</v>
      </c>
      <c r="L282">
        <v>48.520829999999997</v>
      </c>
      <c r="M282">
        <v>38.644880000000001</v>
      </c>
      <c r="N282">
        <v>32.685839999999999</v>
      </c>
    </row>
    <row r="283" spans="1:14" hidden="1" x14ac:dyDescent="0.35">
      <c r="A283" t="s">
        <v>242</v>
      </c>
      <c r="B283" t="s">
        <v>37</v>
      </c>
      <c r="C283" t="s">
        <v>35</v>
      </c>
      <c r="D283" t="s">
        <v>39</v>
      </c>
      <c r="E283" t="s">
        <v>580</v>
      </c>
      <c r="F283" t="s">
        <v>581</v>
      </c>
      <c r="G283" t="s">
        <v>25</v>
      </c>
      <c r="H283">
        <v>22.237400000000001</v>
      </c>
      <c r="I283">
        <v>25.687860000000001</v>
      </c>
      <c r="J283">
        <v>21.895399999999999</v>
      </c>
      <c r="K283">
        <v>17.607389999999999</v>
      </c>
      <c r="L283">
        <v>14.96711</v>
      </c>
      <c r="M283">
        <v>11.9207</v>
      </c>
      <c r="N283">
        <v>10.08253</v>
      </c>
    </row>
    <row r="284" spans="1:14" hidden="1" x14ac:dyDescent="0.35">
      <c r="A284" t="s">
        <v>242</v>
      </c>
      <c r="B284" t="s">
        <v>37</v>
      </c>
      <c r="C284" t="s">
        <v>35</v>
      </c>
      <c r="D284" t="s">
        <v>39</v>
      </c>
      <c r="E284" t="s">
        <v>580</v>
      </c>
      <c r="F284" t="s">
        <v>26</v>
      </c>
      <c r="G284" t="s">
        <v>26</v>
      </c>
      <c r="H284">
        <v>25.581499999999998</v>
      </c>
      <c r="I284">
        <v>28.542069999999999</v>
      </c>
      <c r="J284">
        <v>24.328220000000002</v>
      </c>
      <c r="K284">
        <v>19.563759999999998</v>
      </c>
      <c r="L284">
        <v>16.630120000000002</v>
      </c>
      <c r="M284">
        <v>13.24522</v>
      </c>
      <c r="N284">
        <v>11.2028</v>
      </c>
    </row>
    <row r="285" spans="1:14" hidden="1" x14ac:dyDescent="0.35">
      <c r="A285" t="s">
        <v>242</v>
      </c>
      <c r="B285" t="s">
        <v>37</v>
      </c>
      <c r="C285" t="s">
        <v>35</v>
      </c>
      <c r="D285" t="s">
        <v>39</v>
      </c>
      <c r="E285" t="s">
        <v>582</v>
      </c>
      <c r="F285" t="s">
        <v>581</v>
      </c>
      <c r="G285" t="s">
        <v>396</v>
      </c>
      <c r="H285">
        <v>25.082740000000001</v>
      </c>
      <c r="I285">
        <v>38.069859999999998</v>
      </c>
      <c r="J285">
        <v>36.409100000000002</v>
      </c>
      <c r="K285">
        <v>29.59412</v>
      </c>
      <c r="L285">
        <v>24.681989999999999</v>
      </c>
      <c r="M285">
        <v>20.361750000000001</v>
      </c>
      <c r="N285">
        <v>17.895340000000001</v>
      </c>
    </row>
    <row r="286" spans="1:14" hidden="1" x14ac:dyDescent="0.35">
      <c r="A286" t="s">
        <v>242</v>
      </c>
      <c r="B286" t="s">
        <v>37</v>
      </c>
      <c r="C286" t="s">
        <v>35</v>
      </c>
      <c r="D286" t="s">
        <v>39</v>
      </c>
      <c r="E286" t="s">
        <v>582</v>
      </c>
      <c r="F286" t="s">
        <v>581</v>
      </c>
      <c r="G286" t="s">
        <v>25</v>
      </c>
      <c r="H286">
        <v>12.28192</v>
      </c>
      <c r="I286">
        <v>17.997119999999999</v>
      </c>
      <c r="J286">
        <v>17.598230000000001</v>
      </c>
      <c r="K286">
        <v>14.672510000000001</v>
      </c>
      <c r="L286">
        <v>11.98804</v>
      </c>
      <c r="M286">
        <v>9.7921490000000002</v>
      </c>
      <c r="N286">
        <v>8.4548629999999996</v>
      </c>
    </row>
    <row r="287" spans="1:14" hidden="1" x14ac:dyDescent="0.35">
      <c r="A287" t="s">
        <v>242</v>
      </c>
      <c r="B287" t="s">
        <v>37</v>
      </c>
      <c r="C287" t="s">
        <v>35</v>
      </c>
      <c r="D287" t="s">
        <v>39</v>
      </c>
      <c r="E287" t="s">
        <v>582</v>
      </c>
      <c r="F287" t="s">
        <v>26</v>
      </c>
      <c r="G287" t="s">
        <v>26</v>
      </c>
      <c r="H287">
        <v>12.442600000000001</v>
      </c>
      <c r="I287">
        <v>16.96097</v>
      </c>
      <c r="J287">
        <v>16.689640000000001</v>
      </c>
      <c r="K287">
        <v>14.015840000000001</v>
      </c>
      <c r="L287">
        <v>11.385020000000001</v>
      </c>
      <c r="M287">
        <v>9.2729959999999991</v>
      </c>
      <c r="N287">
        <v>7.964995</v>
      </c>
    </row>
    <row r="288" spans="1:14" hidden="1" x14ac:dyDescent="0.35">
      <c r="A288" t="s">
        <v>242</v>
      </c>
      <c r="B288" t="s">
        <v>37</v>
      </c>
      <c r="C288" t="s">
        <v>35</v>
      </c>
      <c r="D288" t="s">
        <v>39</v>
      </c>
      <c r="E288" t="s">
        <v>613</v>
      </c>
      <c r="F288" t="s">
        <v>581</v>
      </c>
      <c r="G288" t="s">
        <v>396</v>
      </c>
      <c r="H288">
        <v>5.3523290000000001</v>
      </c>
      <c r="I288">
        <v>4.6017590000000004</v>
      </c>
      <c r="J288">
        <v>3.9260630000000001</v>
      </c>
      <c r="K288">
        <v>3.354746</v>
      </c>
      <c r="L288">
        <v>2.8712019999999998</v>
      </c>
      <c r="M288">
        <v>2.4454479999999998</v>
      </c>
      <c r="N288">
        <v>2.0841080000000001</v>
      </c>
    </row>
    <row r="289" spans="1:14" hidden="1" x14ac:dyDescent="0.35">
      <c r="A289" t="s">
        <v>242</v>
      </c>
      <c r="B289" t="s">
        <v>37</v>
      </c>
      <c r="C289" t="s">
        <v>35</v>
      </c>
      <c r="D289" t="s">
        <v>39</v>
      </c>
      <c r="E289" t="s">
        <v>613</v>
      </c>
      <c r="F289" t="s">
        <v>581</v>
      </c>
      <c r="G289" t="s">
        <v>25</v>
      </c>
      <c r="H289">
        <v>1.6836990000000001</v>
      </c>
      <c r="I289">
        <v>0.84749039999999998</v>
      </c>
      <c r="J289">
        <v>0.72305200000000003</v>
      </c>
      <c r="K289">
        <v>0.61783180000000004</v>
      </c>
      <c r="L289">
        <v>0.52878190000000003</v>
      </c>
      <c r="M289">
        <v>0.45036929999999997</v>
      </c>
      <c r="N289">
        <v>0.38382309999999997</v>
      </c>
    </row>
    <row r="290" spans="1:14" hidden="1" x14ac:dyDescent="0.35">
      <c r="A290" t="s">
        <v>242</v>
      </c>
      <c r="B290" t="s">
        <v>37</v>
      </c>
      <c r="C290" t="s">
        <v>35</v>
      </c>
      <c r="D290" t="s">
        <v>39</v>
      </c>
      <c r="E290" t="s">
        <v>613</v>
      </c>
      <c r="F290" t="s">
        <v>26</v>
      </c>
      <c r="G290" t="s">
        <v>26</v>
      </c>
      <c r="H290">
        <v>1.017671</v>
      </c>
      <c r="I290">
        <v>0.78229859999999996</v>
      </c>
      <c r="J290">
        <v>0.6674329</v>
      </c>
      <c r="K290">
        <v>0.5703085</v>
      </c>
      <c r="L290">
        <v>0.48810409999999999</v>
      </c>
      <c r="M290">
        <v>0.41572330000000002</v>
      </c>
      <c r="N290">
        <v>0.35429749999999999</v>
      </c>
    </row>
    <row r="291" spans="1:14" hidden="1" x14ac:dyDescent="0.35">
      <c r="A291" t="s">
        <v>242</v>
      </c>
      <c r="B291" t="s">
        <v>37</v>
      </c>
      <c r="C291" t="s">
        <v>35</v>
      </c>
      <c r="D291" t="s">
        <v>39</v>
      </c>
      <c r="E291" t="s">
        <v>584</v>
      </c>
      <c r="F291" t="s">
        <v>581</v>
      </c>
      <c r="G291" t="s">
        <v>396</v>
      </c>
      <c r="H291">
        <v>8.0273970000000004E-4</v>
      </c>
      <c r="I291">
        <v>0</v>
      </c>
    </row>
    <row r="292" spans="1:14" hidden="1" x14ac:dyDescent="0.35">
      <c r="A292" t="s">
        <v>242</v>
      </c>
      <c r="B292" t="s">
        <v>37</v>
      </c>
      <c r="C292" t="s">
        <v>35</v>
      </c>
      <c r="D292" t="s">
        <v>39</v>
      </c>
      <c r="E292" t="s">
        <v>584</v>
      </c>
      <c r="F292" t="s">
        <v>581</v>
      </c>
      <c r="G292" t="s">
        <v>25</v>
      </c>
      <c r="H292">
        <v>3.142466E-3</v>
      </c>
      <c r="I292">
        <v>3.0767120000000001E-3</v>
      </c>
      <c r="J292">
        <v>6.0328770000000001E-4</v>
      </c>
      <c r="K292">
        <v>5.9013700000000002E-4</v>
      </c>
      <c r="L292">
        <v>0</v>
      </c>
      <c r="M292">
        <v>0</v>
      </c>
      <c r="N292">
        <v>0</v>
      </c>
    </row>
    <row r="293" spans="1:14" hidden="1" x14ac:dyDescent="0.35">
      <c r="A293" t="s">
        <v>242</v>
      </c>
      <c r="B293" t="s">
        <v>37</v>
      </c>
      <c r="C293" t="s">
        <v>35</v>
      </c>
      <c r="D293" t="s">
        <v>39</v>
      </c>
      <c r="E293" t="s">
        <v>584</v>
      </c>
      <c r="F293" t="s">
        <v>26</v>
      </c>
      <c r="G293" t="s">
        <v>26</v>
      </c>
      <c r="H293">
        <v>0</v>
      </c>
    </row>
    <row r="294" spans="1:14" hidden="1" x14ac:dyDescent="0.35">
      <c r="A294" t="s">
        <v>242</v>
      </c>
      <c r="B294" t="s">
        <v>37</v>
      </c>
      <c r="C294" t="s">
        <v>35</v>
      </c>
      <c r="D294" t="s">
        <v>129</v>
      </c>
      <c r="E294" t="s">
        <v>580</v>
      </c>
      <c r="F294" t="s">
        <v>581</v>
      </c>
      <c r="G294" t="s">
        <v>396</v>
      </c>
      <c r="H294">
        <v>57.258110000000002</v>
      </c>
      <c r="I294">
        <v>49.441830000000003</v>
      </c>
      <c r="J294">
        <v>42.219369999999998</v>
      </c>
      <c r="K294">
        <v>33.747579999999999</v>
      </c>
      <c r="L294">
        <v>27.518840000000001</v>
      </c>
      <c r="M294">
        <v>21.53557</v>
      </c>
      <c r="N294">
        <v>18.10444</v>
      </c>
    </row>
    <row r="295" spans="1:14" hidden="1" x14ac:dyDescent="0.35">
      <c r="A295" t="s">
        <v>242</v>
      </c>
      <c r="B295" t="s">
        <v>37</v>
      </c>
      <c r="C295" t="s">
        <v>35</v>
      </c>
      <c r="D295" t="s">
        <v>129</v>
      </c>
      <c r="E295" t="s">
        <v>580</v>
      </c>
      <c r="F295" t="s">
        <v>581</v>
      </c>
      <c r="G295" t="s">
        <v>25</v>
      </c>
      <c r="H295">
        <v>26.359590000000001</v>
      </c>
      <c r="I295">
        <v>24.946459999999998</v>
      </c>
      <c r="J295">
        <v>21.241399999999999</v>
      </c>
      <c r="K295">
        <v>17.351680000000002</v>
      </c>
      <c r="L295">
        <v>14.38428</v>
      </c>
      <c r="M295">
        <v>11.338419999999999</v>
      </c>
      <c r="N295">
        <v>9.5976809999999997</v>
      </c>
    </row>
    <row r="296" spans="1:14" hidden="1" x14ac:dyDescent="0.35">
      <c r="A296" t="s">
        <v>242</v>
      </c>
      <c r="B296" t="s">
        <v>37</v>
      </c>
      <c r="C296" t="s">
        <v>35</v>
      </c>
      <c r="D296" t="s">
        <v>129</v>
      </c>
      <c r="E296" t="s">
        <v>580</v>
      </c>
      <c r="F296" t="s">
        <v>26</v>
      </c>
      <c r="G296" t="s">
        <v>26</v>
      </c>
      <c r="H296">
        <v>26.290410000000001</v>
      </c>
      <c r="I296">
        <v>25.026499999999999</v>
      </c>
      <c r="J296">
        <v>21.324580000000001</v>
      </c>
      <c r="K296">
        <v>17.40203</v>
      </c>
      <c r="L296">
        <v>14.413399999999999</v>
      </c>
      <c r="M296">
        <v>11.348789999999999</v>
      </c>
      <c r="N296">
        <v>9.5964100000000006</v>
      </c>
    </row>
    <row r="297" spans="1:14" hidden="1" x14ac:dyDescent="0.35">
      <c r="A297" t="s">
        <v>242</v>
      </c>
      <c r="B297" t="s">
        <v>37</v>
      </c>
      <c r="C297" t="s">
        <v>35</v>
      </c>
      <c r="D297" t="s">
        <v>129</v>
      </c>
      <c r="E297" t="s">
        <v>582</v>
      </c>
      <c r="F297" t="s">
        <v>581</v>
      </c>
      <c r="G297" t="s">
        <v>396</v>
      </c>
      <c r="H297">
        <v>14.663019999999999</v>
      </c>
      <c r="I297">
        <v>8.7766490000000008</v>
      </c>
      <c r="J297">
        <v>9.7999559999999999</v>
      </c>
      <c r="K297">
        <v>8.8819560000000006</v>
      </c>
      <c r="L297">
        <v>7.9233710000000004</v>
      </c>
      <c r="M297">
        <v>6.8640749999999997</v>
      </c>
      <c r="N297">
        <v>6.1160370000000004</v>
      </c>
    </row>
    <row r="298" spans="1:14" hidden="1" x14ac:dyDescent="0.35">
      <c r="A298" t="s">
        <v>242</v>
      </c>
      <c r="B298" t="s">
        <v>37</v>
      </c>
      <c r="C298" t="s">
        <v>35</v>
      </c>
      <c r="D298" t="s">
        <v>129</v>
      </c>
      <c r="E298" t="s">
        <v>582</v>
      </c>
      <c r="F298" t="s">
        <v>581</v>
      </c>
      <c r="G298" t="s">
        <v>25</v>
      </c>
      <c r="H298">
        <v>3.53274</v>
      </c>
      <c r="I298">
        <v>2.6838700000000002</v>
      </c>
      <c r="J298">
        <v>2.9975239999999999</v>
      </c>
      <c r="K298">
        <v>2.7167330000000001</v>
      </c>
      <c r="L298">
        <v>2.423527</v>
      </c>
      <c r="M298">
        <v>2.0995240000000002</v>
      </c>
      <c r="N298">
        <v>1.8707199999999999</v>
      </c>
    </row>
    <row r="299" spans="1:14" hidden="1" x14ac:dyDescent="0.35">
      <c r="A299" t="s">
        <v>242</v>
      </c>
      <c r="B299" t="s">
        <v>37</v>
      </c>
      <c r="C299" t="s">
        <v>35</v>
      </c>
      <c r="D299" t="s">
        <v>129</v>
      </c>
      <c r="E299" t="s">
        <v>582</v>
      </c>
      <c r="F299" t="s">
        <v>26</v>
      </c>
      <c r="G299" t="s">
        <v>26</v>
      </c>
      <c r="H299">
        <v>2.8457530000000002</v>
      </c>
      <c r="I299">
        <v>2.1188449999999999</v>
      </c>
      <c r="J299">
        <v>2.3664640000000001</v>
      </c>
      <c r="K299">
        <v>2.1447919999999998</v>
      </c>
      <c r="L299">
        <v>1.913313</v>
      </c>
      <c r="M299">
        <v>1.6575169999999999</v>
      </c>
      <c r="N299">
        <v>1.4768829999999999</v>
      </c>
    </row>
    <row r="300" spans="1:14" hidden="1" x14ac:dyDescent="0.35">
      <c r="A300" t="s">
        <v>242</v>
      </c>
      <c r="B300" t="s">
        <v>37</v>
      </c>
      <c r="C300" t="s">
        <v>35</v>
      </c>
      <c r="D300" t="s">
        <v>207</v>
      </c>
      <c r="E300" t="s">
        <v>592</v>
      </c>
      <c r="F300" t="s">
        <v>581</v>
      </c>
      <c r="G300" t="s">
        <v>396</v>
      </c>
      <c r="H300">
        <v>0.52164390000000005</v>
      </c>
      <c r="I300">
        <v>0.42513699999999999</v>
      </c>
      <c r="J300">
        <v>0.3223781</v>
      </c>
      <c r="K300">
        <v>0.26069039999999999</v>
      </c>
      <c r="L300">
        <v>0.23069590000000001</v>
      </c>
      <c r="M300">
        <v>0.2009425</v>
      </c>
      <c r="N300">
        <v>0.16910800000000001</v>
      </c>
    </row>
    <row r="301" spans="1:14" hidden="1" x14ac:dyDescent="0.35">
      <c r="A301" t="s">
        <v>242</v>
      </c>
      <c r="B301" t="s">
        <v>37</v>
      </c>
      <c r="C301" t="s">
        <v>35</v>
      </c>
      <c r="D301" t="s">
        <v>207</v>
      </c>
      <c r="E301" t="s">
        <v>592</v>
      </c>
      <c r="F301" t="s">
        <v>581</v>
      </c>
      <c r="G301" t="s">
        <v>25</v>
      </c>
      <c r="H301">
        <v>5.5893150000000003E-2</v>
      </c>
      <c r="I301">
        <v>4.4068499999999997E-2</v>
      </c>
      <c r="J301">
        <v>3.3416439999999999E-2</v>
      </c>
      <c r="K301">
        <v>2.701918E-2</v>
      </c>
      <c r="L301">
        <v>2.3914520000000002E-2</v>
      </c>
      <c r="M301">
        <v>2.0827950000000001E-2</v>
      </c>
      <c r="N301">
        <v>1.753205E-2</v>
      </c>
    </row>
    <row r="302" spans="1:14" hidden="1" x14ac:dyDescent="0.35">
      <c r="A302" t="s">
        <v>242</v>
      </c>
      <c r="B302" t="s">
        <v>37</v>
      </c>
      <c r="C302" t="s">
        <v>35</v>
      </c>
      <c r="D302" t="s">
        <v>207</v>
      </c>
      <c r="E302" t="s">
        <v>592</v>
      </c>
      <c r="F302" t="s">
        <v>26</v>
      </c>
      <c r="G302" t="s">
        <v>26</v>
      </c>
      <c r="H302">
        <v>5.5890410000000001E-2</v>
      </c>
      <c r="I302">
        <v>5.5084939999999999E-2</v>
      </c>
      <c r="J302">
        <v>4.17726E-2</v>
      </c>
      <c r="K302">
        <v>3.3778080000000002E-2</v>
      </c>
      <c r="L302">
        <v>2.9892599999999998E-2</v>
      </c>
      <c r="M302">
        <v>2.6036710000000001E-2</v>
      </c>
      <c r="N302">
        <v>2.191123E-2</v>
      </c>
    </row>
    <row r="303" spans="1:14" hidden="1" x14ac:dyDescent="0.35">
      <c r="A303" t="s">
        <v>242</v>
      </c>
      <c r="B303" t="s">
        <v>37</v>
      </c>
      <c r="C303" t="s">
        <v>79</v>
      </c>
      <c r="D303" t="s">
        <v>79</v>
      </c>
      <c r="E303" t="s">
        <v>614</v>
      </c>
      <c r="F303" t="s">
        <v>581</v>
      </c>
      <c r="G303" t="s">
        <v>396</v>
      </c>
      <c r="H303">
        <v>122.7411</v>
      </c>
      <c r="I303">
        <v>113.3021</v>
      </c>
      <c r="J303">
        <v>90.631119999999996</v>
      </c>
      <c r="K303">
        <v>70.192830000000001</v>
      </c>
      <c r="L303">
        <v>57.876010000000001</v>
      </c>
      <c r="M303">
        <v>47.312950000000001</v>
      </c>
      <c r="N303">
        <v>40.684690000000003</v>
      </c>
    </row>
    <row r="304" spans="1:14" hidden="1" x14ac:dyDescent="0.35">
      <c r="A304" t="s">
        <v>242</v>
      </c>
      <c r="B304" t="s">
        <v>37</v>
      </c>
      <c r="C304" t="s">
        <v>79</v>
      </c>
      <c r="D304" t="s">
        <v>79</v>
      </c>
      <c r="E304" t="s">
        <v>614</v>
      </c>
      <c r="F304" t="s">
        <v>581</v>
      </c>
      <c r="G304" t="s">
        <v>25</v>
      </c>
      <c r="H304">
        <v>22.117809999999999</v>
      </c>
      <c r="I304">
        <v>22.341259999999998</v>
      </c>
      <c r="J304">
        <v>17.870920000000002</v>
      </c>
      <c r="K304">
        <v>13.84084</v>
      </c>
      <c r="L304">
        <v>11.41217</v>
      </c>
      <c r="M304">
        <v>9.3293130000000009</v>
      </c>
      <c r="N304">
        <v>8.0223359999999992</v>
      </c>
    </row>
    <row r="305" spans="1:14" hidden="1" x14ac:dyDescent="0.35">
      <c r="A305" t="s">
        <v>242</v>
      </c>
      <c r="B305" t="s">
        <v>37</v>
      </c>
      <c r="C305" t="s">
        <v>79</v>
      </c>
      <c r="D305" t="s">
        <v>79</v>
      </c>
      <c r="E305" t="s">
        <v>614</v>
      </c>
      <c r="F305" t="s">
        <v>26</v>
      </c>
      <c r="G305" t="s">
        <v>26</v>
      </c>
      <c r="H305">
        <v>20.050689999999999</v>
      </c>
      <c r="I305">
        <v>23.937059999999999</v>
      </c>
      <c r="J305">
        <v>19.14742</v>
      </c>
      <c r="K305">
        <v>14.829470000000001</v>
      </c>
      <c r="L305">
        <v>12.22733</v>
      </c>
      <c r="M305">
        <v>9.9956960000000006</v>
      </c>
      <c r="N305">
        <v>8.5953549999999996</v>
      </c>
    </row>
    <row r="306" spans="1:14" hidden="1" x14ac:dyDescent="0.35">
      <c r="A306" t="s">
        <v>242</v>
      </c>
      <c r="B306" t="s">
        <v>37</v>
      </c>
      <c r="C306" t="s">
        <v>79</v>
      </c>
      <c r="D306" t="s">
        <v>79</v>
      </c>
      <c r="E306" t="s">
        <v>615</v>
      </c>
      <c r="F306" t="s">
        <v>581</v>
      </c>
      <c r="G306" t="s">
        <v>396</v>
      </c>
      <c r="H306">
        <v>64.202060000000003</v>
      </c>
      <c r="I306">
        <v>65.494579999999999</v>
      </c>
      <c r="J306">
        <v>57.956290000000003</v>
      </c>
      <c r="K306">
        <v>45.234259999999999</v>
      </c>
      <c r="L306">
        <v>35.77346</v>
      </c>
      <c r="M306">
        <v>27.951720000000002</v>
      </c>
      <c r="N306">
        <v>23.042069999999999</v>
      </c>
    </row>
    <row r="307" spans="1:14" hidden="1" x14ac:dyDescent="0.35">
      <c r="A307" t="s">
        <v>242</v>
      </c>
      <c r="B307" t="s">
        <v>37</v>
      </c>
      <c r="C307" t="s">
        <v>79</v>
      </c>
      <c r="D307" t="s">
        <v>79</v>
      </c>
      <c r="E307" t="s">
        <v>615</v>
      </c>
      <c r="F307" t="s">
        <v>581</v>
      </c>
      <c r="G307" t="s">
        <v>25</v>
      </c>
      <c r="H307">
        <v>7.871918</v>
      </c>
      <c r="I307">
        <v>8.7694700000000001</v>
      </c>
      <c r="J307">
        <v>7.7746269999999997</v>
      </c>
      <c r="K307">
        <v>6.0680110000000003</v>
      </c>
      <c r="L307">
        <v>4.7988819999999999</v>
      </c>
      <c r="M307">
        <v>3.7496239999999998</v>
      </c>
      <c r="N307">
        <v>3.0910069999999998</v>
      </c>
    </row>
    <row r="308" spans="1:14" hidden="1" x14ac:dyDescent="0.35">
      <c r="A308" t="s">
        <v>242</v>
      </c>
      <c r="B308" t="s">
        <v>37</v>
      </c>
      <c r="C308" t="s">
        <v>79</v>
      </c>
      <c r="D308" t="s">
        <v>79</v>
      </c>
      <c r="E308" t="s">
        <v>615</v>
      </c>
      <c r="F308" t="s">
        <v>26</v>
      </c>
      <c r="G308" t="s">
        <v>26</v>
      </c>
      <c r="H308">
        <v>4.2369859999999999</v>
      </c>
      <c r="I308">
        <v>5.5805680000000004</v>
      </c>
      <c r="J308">
        <v>4.9474879999999999</v>
      </c>
      <c r="K308">
        <v>3.8614609999999998</v>
      </c>
      <c r="L308">
        <v>3.053833</v>
      </c>
      <c r="M308">
        <v>2.3861249999999998</v>
      </c>
      <c r="N308">
        <v>1.9670069999999999</v>
      </c>
    </row>
    <row r="309" spans="1:14" hidden="1" x14ac:dyDescent="0.35">
      <c r="A309" t="s">
        <v>242</v>
      </c>
      <c r="B309" t="s">
        <v>37</v>
      </c>
      <c r="C309" t="s">
        <v>79</v>
      </c>
      <c r="D309" t="s">
        <v>79</v>
      </c>
      <c r="E309" t="s">
        <v>601</v>
      </c>
      <c r="F309" t="s">
        <v>581</v>
      </c>
      <c r="G309" t="s">
        <v>396</v>
      </c>
      <c r="H309">
        <v>15.00055</v>
      </c>
      <c r="I309">
        <v>5.842994</v>
      </c>
      <c r="J309">
        <v>4.6213430000000004</v>
      </c>
      <c r="K309">
        <v>4.044613</v>
      </c>
      <c r="L309">
        <v>3.3027769999999999</v>
      </c>
      <c r="M309">
        <v>2.7761260000000001</v>
      </c>
      <c r="N309">
        <v>2.461106</v>
      </c>
    </row>
    <row r="310" spans="1:14" hidden="1" x14ac:dyDescent="0.35">
      <c r="A310" t="s">
        <v>242</v>
      </c>
      <c r="B310" t="s">
        <v>37</v>
      </c>
      <c r="C310" t="s">
        <v>79</v>
      </c>
      <c r="D310" t="s">
        <v>79</v>
      </c>
      <c r="E310" t="s">
        <v>601</v>
      </c>
      <c r="F310" t="s">
        <v>581</v>
      </c>
      <c r="G310" t="s">
        <v>25</v>
      </c>
      <c r="H310">
        <v>7.0005480000000002</v>
      </c>
      <c r="I310">
        <v>9.7358980000000006</v>
      </c>
      <c r="J310">
        <v>7.8418409999999996</v>
      </c>
      <c r="K310">
        <v>7.2757079999999998</v>
      </c>
      <c r="L310">
        <v>5.6437889999999999</v>
      </c>
      <c r="M310">
        <v>4.5168889999999999</v>
      </c>
      <c r="N310">
        <v>4.0414199999999996</v>
      </c>
    </row>
    <row r="311" spans="1:14" hidden="1" x14ac:dyDescent="0.35">
      <c r="A311" t="s">
        <v>242</v>
      </c>
      <c r="B311" t="s">
        <v>37</v>
      </c>
      <c r="C311" t="s">
        <v>79</v>
      </c>
      <c r="D311" t="s">
        <v>79</v>
      </c>
      <c r="E311" t="s">
        <v>601</v>
      </c>
      <c r="F311" t="s">
        <v>26</v>
      </c>
      <c r="G311" t="s">
        <v>26</v>
      </c>
      <c r="H311">
        <v>6.8339730000000003</v>
      </c>
      <c r="I311">
        <v>9.7358949999999993</v>
      </c>
      <c r="J311">
        <v>7.8418429999999999</v>
      </c>
      <c r="K311">
        <v>7.2757079999999998</v>
      </c>
      <c r="L311">
        <v>5.6437879999999998</v>
      </c>
      <c r="M311">
        <v>4.5168860000000004</v>
      </c>
      <c r="N311">
        <v>4.0414219999999998</v>
      </c>
    </row>
    <row r="312" spans="1:14" hidden="1" x14ac:dyDescent="0.35">
      <c r="A312" t="s">
        <v>242</v>
      </c>
      <c r="B312" t="s">
        <v>37</v>
      </c>
      <c r="C312" t="s">
        <v>79</v>
      </c>
      <c r="D312" t="s">
        <v>79</v>
      </c>
      <c r="E312" t="s">
        <v>584</v>
      </c>
      <c r="F312" t="s">
        <v>581</v>
      </c>
      <c r="G312" t="s">
        <v>396</v>
      </c>
      <c r="H312">
        <v>0.62904110000000002</v>
      </c>
      <c r="I312">
        <v>0.61658630000000003</v>
      </c>
      <c r="J312">
        <v>0.60428389999999998</v>
      </c>
      <c r="K312">
        <v>0.58749589999999996</v>
      </c>
      <c r="L312">
        <v>0.56425700000000001</v>
      </c>
      <c r="M312">
        <v>0.5297655</v>
      </c>
      <c r="N312">
        <v>0.49950080000000002</v>
      </c>
    </row>
    <row r="313" spans="1:14" hidden="1" x14ac:dyDescent="0.35">
      <c r="A313" t="s">
        <v>242</v>
      </c>
      <c r="B313" t="s">
        <v>37</v>
      </c>
      <c r="C313" t="s">
        <v>79</v>
      </c>
      <c r="D313" t="s">
        <v>79</v>
      </c>
      <c r="E313" t="s">
        <v>584</v>
      </c>
      <c r="F313" t="s">
        <v>581</v>
      </c>
      <c r="G313" t="s">
        <v>24</v>
      </c>
      <c r="H313">
        <v>6.575343E-3</v>
      </c>
      <c r="I313">
        <v>6.4575350000000004E-3</v>
      </c>
      <c r="J313">
        <v>6.3342470000000003E-3</v>
      </c>
      <c r="K313">
        <v>6.1589050000000001E-3</v>
      </c>
      <c r="L313">
        <v>5.9156169999999998E-3</v>
      </c>
      <c r="M313">
        <v>5.5534249999999999E-3</v>
      </c>
      <c r="N313">
        <v>5.2361650000000001E-3</v>
      </c>
    </row>
    <row r="314" spans="1:14" hidden="1" x14ac:dyDescent="0.35">
      <c r="A314" t="s">
        <v>242</v>
      </c>
      <c r="B314" t="s">
        <v>37</v>
      </c>
      <c r="C314" t="s">
        <v>79</v>
      </c>
      <c r="D314" t="s">
        <v>79</v>
      </c>
      <c r="E314" t="s">
        <v>584</v>
      </c>
      <c r="F314" t="s">
        <v>581</v>
      </c>
      <c r="G314" t="s">
        <v>25</v>
      </c>
      <c r="H314">
        <v>0.73205480000000001</v>
      </c>
      <c r="I314">
        <v>0.71602730000000003</v>
      </c>
      <c r="J314">
        <v>0.70023170000000001</v>
      </c>
      <c r="K314">
        <v>0.67929039999999996</v>
      </c>
      <c r="L314">
        <v>0.65093259999999997</v>
      </c>
      <c r="M314">
        <v>0.60969980000000001</v>
      </c>
      <c r="N314">
        <v>0.57346629999999998</v>
      </c>
    </row>
    <row r="315" spans="1:14" hidden="1" x14ac:dyDescent="0.35">
      <c r="A315" t="s">
        <v>242</v>
      </c>
      <c r="B315" t="s">
        <v>37</v>
      </c>
      <c r="C315" t="s">
        <v>79</v>
      </c>
      <c r="D315" t="s">
        <v>79</v>
      </c>
      <c r="E315" t="s">
        <v>584</v>
      </c>
      <c r="F315" t="s">
        <v>26</v>
      </c>
      <c r="G315" t="s">
        <v>26</v>
      </c>
      <c r="H315">
        <v>12.42521</v>
      </c>
      <c r="I315">
        <v>8.3288620000000009</v>
      </c>
      <c r="J315">
        <v>5.5830029999999997</v>
      </c>
      <c r="K315">
        <v>3.7423999999999999</v>
      </c>
      <c r="L315">
        <v>2.5086050000000002</v>
      </c>
      <c r="M315">
        <v>1.68157</v>
      </c>
      <c r="N315">
        <v>1.127189</v>
      </c>
    </row>
    <row r="316" spans="1:14" hidden="1" x14ac:dyDescent="0.35">
      <c r="A316" t="s">
        <v>242</v>
      </c>
      <c r="B316" t="s">
        <v>37</v>
      </c>
      <c r="C316" t="s">
        <v>79</v>
      </c>
      <c r="D316" t="s">
        <v>79</v>
      </c>
      <c r="E316" t="s">
        <v>616</v>
      </c>
      <c r="F316" t="s">
        <v>581</v>
      </c>
      <c r="G316" t="s">
        <v>396</v>
      </c>
      <c r="H316">
        <v>4.1095890000000003E-2</v>
      </c>
      <c r="I316">
        <v>3.7654800000000002E-2</v>
      </c>
      <c r="J316">
        <v>3.3041090000000002E-2</v>
      </c>
      <c r="K316">
        <v>2.9073970000000001E-2</v>
      </c>
      <c r="L316">
        <v>2.5583560000000002E-2</v>
      </c>
      <c r="M316">
        <v>2.257261E-2</v>
      </c>
      <c r="N316">
        <v>1.980548E-2</v>
      </c>
    </row>
    <row r="317" spans="1:14" hidden="1" x14ac:dyDescent="0.35">
      <c r="A317" t="s">
        <v>242</v>
      </c>
      <c r="B317" t="s">
        <v>37</v>
      </c>
      <c r="C317" t="s">
        <v>79</v>
      </c>
      <c r="D317" t="s">
        <v>79</v>
      </c>
      <c r="E317" t="s">
        <v>616</v>
      </c>
      <c r="F317" t="s">
        <v>581</v>
      </c>
      <c r="G317" t="s">
        <v>24</v>
      </c>
      <c r="H317">
        <v>1.438356E-2</v>
      </c>
      <c r="I317">
        <v>1.3693149999999999E-2</v>
      </c>
      <c r="J317">
        <v>1.20137E-2</v>
      </c>
      <c r="K317">
        <v>1.05726E-2</v>
      </c>
      <c r="L317">
        <v>9.3041100000000009E-3</v>
      </c>
      <c r="M317">
        <v>8.2082200000000004E-3</v>
      </c>
      <c r="N317">
        <v>7.20274E-3</v>
      </c>
    </row>
    <row r="318" spans="1:14" hidden="1" x14ac:dyDescent="0.35">
      <c r="A318" t="s">
        <v>242</v>
      </c>
      <c r="B318" t="s">
        <v>37</v>
      </c>
      <c r="C318" t="s">
        <v>79</v>
      </c>
      <c r="D318" t="s">
        <v>79</v>
      </c>
      <c r="E318" t="s">
        <v>616</v>
      </c>
      <c r="F318" t="s">
        <v>581</v>
      </c>
      <c r="G318" t="s">
        <v>25</v>
      </c>
      <c r="H318">
        <v>1.027671E-2</v>
      </c>
      <c r="I318">
        <v>1.026849E-2</v>
      </c>
      <c r="J318">
        <v>9.0136980000000005E-3</v>
      </c>
      <c r="K318">
        <v>7.9287669999999998E-3</v>
      </c>
      <c r="L318">
        <v>6.978082E-3</v>
      </c>
      <c r="M318">
        <v>6.1534240000000002E-3</v>
      </c>
      <c r="N318">
        <v>5.4000000000000003E-3</v>
      </c>
    </row>
    <row r="319" spans="1:14" hidden="1" x14ac:dyDescent="0.35">
      <c r="A319" t="s">
        <v>242</v>
      </c>
      <c r="B319" t="s">
        <v>37</v>
      </c>
      <c r="C319" t="s">
        <v>79</v>
      </c>
      <c r="D319" t="s">
        <v>79</v>
      </c>
      <c r="E319" t="s">
        <v>616</v>
      </c>
      <c r="F319" t="s">
        <v>26</v>
      </c>
      <c r="G319" t="s">
        <v>26</v>
      </c>
      <c r="H319">
        <v>4.5205479999999999E-2</v>
      </c>
      <c r="I319">
        <v>5.2490410000000001E-2</v>
      </c>
      <c r="J319">
        <v>4.60548E-2</v>
      </c>
      <c r="K319">
        <v>4.0528769999999999E-2</v>
      </c>
      <c r="L319">
        <v>3.5663019999999997E-2</v>
      </c>
      <c r="M319">
        <v>3.146301E-2</v>
      </c>
      <c r="N319">
        <v>2.7608219999999999E-2</v>
      </c>
    </row>
    <row r="320" spans="1:14" hidden="1" x14ac:dyDescent="0.35">
      <c r="A320" t="s">
        <v>242</v>
      </c>
      <c r="B320" t="s">
        <v>37</v>
      </c>
      <c r="C320" t="s">
        <v>79</v>
      </c>
      <c r="D320" t="s">
        <v>79</v>
      </c>
      <c r="E320" t="s">
        <v>617</v>
      </c>
      <c r="F320" t="s">
        <v>581</v>
      </c>
      <c r="G320" t="s">
        <v>25</v>
      </c>
      <c r="K320">
        <v>0</v>
      </c>
      <c r="L320">
        <v>5.4586299999999999E-3</v>
      </c>
      <c r="M320">
        <v>4.764931E-3</v>
      </c>
      <c r="N320">
        <v>2.8016450000000002E-3</v>
      </c>
    </row>
    <row r="321" spans="1:14" hidden="1" x14ac:dyDescent="0.35">
      <c r="A321" t="s">
        <v>242</v>
      </c>
      <c r="B321" t="s">
        <v>37</v>
      </c>
      <c r="C321" t="s">
        <v>79</v>
      </c>
      <c r="D321" t="s">
        <v>79</v>
      </c>
      <c r="E321" t="s">
        <v>617</v>
      </c>
      <c r="F321" t="s">
        <v>26</v>
      </c>
      <c r="G321" t="s">
        <v>26</v>
      </c>
      <c r="K321">
        <v>0</v>
      </c>
      <c r="L321">
        <v>4.9128770000000002E-2</v>
      </c>
      <c r="M321">
        <v>4.2882190000000001E-2</v>
      </c>
      <c r="N321">
        <v>2.5215339999999999E-2</v>
      </c>
    </row>
    <row r="322" spans="1:14" hidden="1" x14ac:dyDescent="0.35">
      <c r="A322" t="s">
        <v>242</v>
      </c>
      <c r="B322" t="s">
        <v>37</v>
      </c>
      <c r="C322" t="s">
        <v>79</v>
      </c>
      <c r="D322" t="s">
        <v>79</v>
      </c>
      <c r="E322" t="s">
        <v>600</v>
      </c>
      <c r="F322" t="s">
        <v>581</v>
      </c>
      <c r="G322" t="s">
        <v>24</v>
      </c>
      <c r="L322">
        <v>0</v>
      </c>
      <c r="M322">
        <v>0</v>
      </c>
      <c r="N322">
        <v>0</v>
      </c>
    </row>
    <row r="323" spans="1:14" hidden="1" x14ac:dyDescent="0.35">
      <c r="A323" t="s">
        <v>242</v>
      </c>
      <c r="B323" t="s">
        <v>37</v>
      </c>
      <c r="C323" t="s">
        <v>79</v>
      </c>
      <c r="D323" t="s">
        <v>79</v>
      </c>
      <c r="E323" t="s">
        <v>600</v>
      </c>
      <c r="F323" t="s">
        <v>581</v>
      </c>
      <c r="G323" t="s">
        <v>25</v>
      </c>
      <c r="L323">
        <v>0</v>
      </c>
      <c r="M323">
        <v>0</v>
      </c>
      <c r="N323">
        <v>-4.0825100000000002E-9</v>
      </c>
    </row>
    <row r="324" spans="1:14" hidden="1" x14ac:dyDescent="0.35">
      <c r="A324" t="s">
        <v>242</v>
      </c>
      <c r="B324" t="s">
        <v>37</v>
      </c>
      <c r="C324" t="s">
        <v>79</v>
      </c>
      <c r="D324" t="s">
        <v>79</v>
      </c>
      <c r="E324" t="s">
        <v>600</v>
      </c>
      <c r="F324" t="s">
        <v>26</v>
      </c>
      <c r="G324" t="s">
        <v>26</v>
      </c>
      <c r="L324">
        <v>0</v>
      </c>
      <c r="M324">
        <v>0</v>
      </c>
      <c r="N324">
        <v>0</v>
      </c>
    </row>
    <row r="325" spans="1:14" hidden="1" x14ac:dyDescent="0.35">
      <c r="A325" t="s">
        <v>242</v>
      </c>
      <c r="B325" t="s">
        <v>37</v>
      </c>
      <c r="C325" t="s">
        <v>51</v>
      </c>
      <c r="D325" t="s">
        <v>51</v>
      </c>
      <c r="E325" t="s">
        <v>602</v>
      </c>
      <c r="F325" t="s">
        <v>581</v>
      </c>
      <c r="G325" t="s">
        <v>396</v>
      </c>
      <c r="H325">
        <v>30.285910000000001</v>
      </c>
      <c r="I325">
        <v>28.65361</v>
      </c>
      <c r="J325">
        <v>23.456330000000001</v>
      </c>
      <c r="K325">
        <v>20.175529999999998</v>
      </c>
      <c r="L325">
        <v>17.29599</v>
      </c>
      <c r="M325">
        <v>14.292999999999999</v>
      </c>
      <c r="N325">
        <v>12.21754</v>
      </c>
    </row>
    <row r="326" spans="1:14" hidden="1" x14ac:dyDescent="0.35">
      <c r="A326" t="s">
        <v>242</v>
      </c>
      <c r="B326" t="s">
        <v>37</v>
      </c>
      <c r="C326" t="s">
        <v>51</v>
      </c>
      <c r="D326" t="s">
        <v>51</v>
      </c>
      <c r="E326" t="s">
        <v>602</v>
      </c>
      <c r="F326" t="s">
        <v>581</v>
      </c>
      <c r="G326" t="s">
        <v>25</v>
      </c>
      <c r="H326">
        <v>5.7194500000000001</v>
      </c>
      <c r="I326">
        <v>6.2507339999999996</v>
      </c>
      <c r="J326">
        <v>5.0976660000000003</v>
      </c>
      <c r="K326">
        <v>4.4020359999999998</v>
      </c>
      <c r="L326">
        <v>3.773612</v>
      </c>
      <c r="M326">
        <v>3.1026229999999999</v>
      </c>
      <c r="N326">
        <v>2.6408339999999999</v>
      </c>
    </row>
    <row r="327" spans="1:14" hidden="1" x14ac:dyDescent="0.35">
      <c r="A327" t="s">
        <v>242</v>
      </c>
      <c r="B327" t="s">
        <v>37</v>
      </c>
      <c r="C327" t="s">
        <v>51</v>
      </c>
      <c r="D327" t="s">
        <v>51</v>
      </c>
      <c r="E327" t="s">
        <v>602</v>
      </c>
      <c r="F327" t="s">
        <v>26</v>
      </c>
      <c r="G327" t="s">
        <v>26</v>
      </c>
      <c r="H327">
        <v>5.7939720000000001</v>
      </c>
      <c r="I327">
        <v>5.9770649999999996</v>
      </c>
      <c r="J327">
        <v>4.8903400000000001</v>
      </c>
      <c r="K327">
        <v>4.1862170000000001</v>
      </c>
      <c r="L327">
        <v>3.5699010000000002</v>
      </c>
      <c r="M327">
        <v>2.9338929999999999</v>
      </c>
      <c r="N327">
        <v>2.5060039999999999</v>
      </c>
    </row>
    <row r="328" spans="1:14" hidden="1" x14ac:dyDescent="0.35">
      <c r="A328" t="s">
        <v>242</v>
      </c>
      <c r="B328" t="s">
        <v>37</v>
      </c>
      <c r="C328" t="s">
        <v>115</v>
      </c>
      <c r="D328" t="s">
        <v>115</v>
      </c>
      <c r="E328" t="s">
        <v>595</v>
      </c>
      <c r="F328" t="s">
        <v>581</v>
      </c>
      <c r="G328" t="s">
        <v>396</v>
      </c>
      <c r="H328">
        <v>9.8389039999999994</v>
      </c>
      <c r="I328">
        <v>7.973077</v>
      </c>
      <c r="J328">
        <v>6.6776980000000004</v>
      </c>
      <c r="K328">
        <v>4.9669949999999998</v>
      </c>
      <c r="L328">
        <v>4.0384929999999999</v>
      </c>
      <c r="M328">
        <v>3.1685089999999998</v>
      </c>
      <c r="N328">
        <v>2.6168749999999998</v>
      </c>
    </row>
    <row r="329" spans="1:14" hidden="1" x14ac:dyDescent="0.35">
      <c r="A329" t="s">
        <v>242</v>
      </c>
      <c r="B329" t="s">
        <v>37</v>
      </c>
      <c r="C329" t="s">
        <v>115</v>
      </c>
      <c r="D329" t="s">
        <v>115</v>
      </c>
      <c r="E329" t="s">
        <v>595</v>
      </c>
      <c r="F329" t="s">
        <v>581</v>
      </c>
      <c r="G329" t="s">
        <v>25</v>
      </c>
      <c r="H329">
        <v>4.0473949999999999</v>
      </c>
      <c r="I329">
        <v>4.579129</v>
      </c>
      <c r="J329">
        <v>3.8351690000000001</v>
      </c>
      <c r="K329">
        <v>2.852671</v>
      </c>
      <c r="L329">
        <v>2.3194089999999998</v>
      </c>
      <c r="M329">
        <v>1.8197540000000001</v>
      </c>
      <c r="N329">
        <v>1.5029399999999999</v>
      </c>
    </row>
    <row r="330" spans="1:14" hidden="1" x14ac:dyDescent="0.35">
      <c r="A330" t="s">
        <v>242</v>
      </c>
      <c r="B330" t="s">
        <v>37</v>
      </c>
      <c r="C330" t="s">
        <v>115</v>
      </c>
      <c r="D330" t="s">
        <v>115</v>
      </c>
      <c r="E330" t="s">
        <v>595</v>
      </c>
      <c r="F330" t="s">
        <v>26</v>
      </c>
      <c r="G330" t="s">
        <v>26</v>
      </c>
      <c r="H330">
        <v>9.2778080000000003</v>
      </c>
      <c r="I330">
        <v>9.8451330000000006</v>
      </c>
      <c r="J330">
        <v>8.2456049999999994</v>
      </c>
      <c r="K330">
        <v>6.133235</v>
      </c>
      <c r="L330">
        <v>4.98672</v>
      </c>
      <c r="M330">
        <v>3.912471</v>
      </c>
      <c r="N330">
        <v>3.2313130000000001</v>
      </c>
    </row>
    <row r="331" spans="1:14" hidden="1" x14ac:dyDescent="0.35">
      <c r="A331" t="s">
        <v>242</v>
      </c>
      <c r="B331" t="s">
        <v>37</v>
      </c>
      <c r="C331" t="s">
        <v>115</v>
      </c>
      <c r="D331" t="s">
        <v>115</v>
      </c>
      <c r="E331" t="s">
        <v>597</v>
      </c>
      <c r="F331" t="s">
        <v>581</v>
      </c>
      <c r="G331" t="s">
        <v>396</v>
      </c>
      <c r="H331">
        <v>4.6378079999999997</v>
      </c>
      <c r="I331">
        <v>3.1363379999999998</v>
      </c>
      <c r="J331">
        <v>2.584206</v>
      </c>
      <c r="K331">
        <v>2.0920879999999999</v>
      </c>
      <c r="L331">
        <v>1.8501510000000001</v>
      </c>
      <c r="M331">
        <v>1.4402630000000001</v>
      </c>
      <c r="N331">
        <v>1.1948559999999999</v>
      </c>
    </row>
    <row r="332" spans="1:14" hidden="1" x14ac:dyDescent="0.35">
      <c r="A332" t="s">
        <v>242</v>
      </c>
      <c r="B332" t="s">
        <v>37</v>
      </c>
      <c r="C332" t="s">
        <v>115</v>
      </c>
      <c r="D332" t="s">
        <v>115</v>
      </c>
      <c r="E332" t="s">
        <v>597</v>
      </c>
      <c r="F332" t="s">
        <v>581</v>
      </c>
      <c r="G332" t="s">
        <v>25</v>
      </c>
      <c r="H332">
        <v>1.043288</v>
      </c>
      <c r="I332">
        <v>1.086638</v>
      </c>
      <c r="J332">
        <v>0.89534190000000002</v>
      </c>
      <c r="K332">
        <v>0.72484110000000002</v>
      </c>
      <c r="L332">
        <v>0.64101640000000004</v>
      </c>
      <c r="M332">
        <v>0.49900440000000001</v>
      </c>
      <c r="N332">
        <v>0.41397430000000002</v>
      </c>
    </row>
    <row r="333" spans="1:14" hidden="1" x14ac:dyDescent="0.35">
      <c r="A333" t="s">
        <v>242</v>
      </c>
      <c r="B333" t="s">
        <v>37</v>
      </c>
      <c r="C333" t="s">
        <v>115</v>
      </c>
      <c r="D333" t="s">
        <v>115</v>
      </c>
      <c r="E333" t="s">
        <v>597</v>
      </c>
      <c r="F333" t="s">
        <v>26</v>
      </c>
      <c r="G333" t="s">
        <v>26</v>
      </c>
      <c r="H333">
        <v>2.8946580000000002</v>
      </c>
      <c r="I333">
        <v>2.8252579999999998</v>
      </c>
      <c r="J333">
        <v>2.3278910000000002</v>
      </c>
      <c r="K333">
        <v>1.884585</v>
      </c>
      <c r="L333">
        <v>1.6666430000000001</v>
      </c>
      <c r="M333">
        <v>1.29741</v>
      </c>
      <c r="N333">
        <v>1.076344</v>
      </c>
    </row>
    <row r="334" spans="1:14" hidden="1" x14ac:dyDescent="0.35">
      <c r="A334" t="s">
        <v>242</v>
      </c>
      <c r="B334" t="s">
        <v>37</v>
      </c>
      <c r="C334" t="s">
        <v>115</v>
      </c>
      <c r="D334" t="s">
        <v>115</v>
      </c>
      <c r="E334" t="s">
        <v>584</v>
      </c>
      <c r="F334" t="s">
        <v>581</v>
      </c>
      <c r="G334" t="s">
        <v>396</v>
      </c>
      <c r="H334">
        <v>4.3926029999999998E-2</v>
      </c>
      <c r="I334">
        <v>3.9542460000000001E-2</v>
      </c>
      <c r="J334">
        <v>3.5610959999999997E-2</v>
      </c>
      <c r="K334">
        <v>3.205206E-2</v>
      </c>
      <c r="L334">
        <v>2.8831240000000001E-2</v>
      </c>
      <c r="M334">
        <v>2.5894250000000001E-2</v>
      </c>
      <c r="N334">
        <v>2.3259180000000001E-2</v>
      </c>
    </row>
    <row r="335" spans="1:14" hidden="1" x14ac:dyDescent="0.35">
      <c r="A335" t="s">
        <v>242</v>
      </c>
      <c r="B335" t="s">
        <v>37</v>
      </c>
      <c r="C335" t="s">
        <v>115</v>
      </c>
      <c r="D335" t="s">
        <v>115</v>
      </c>
      <c r="E335" t="s">
        <v>584</v>
      </c>
      <c r="F335" t="s">
        <v>581</v>
      </c>
      <c r="G335" t="s">
        <v>24</v>
      </c>
      <c r="H335">
        <v>2.4704110000000001E-2</v>
      </c>
      <c r="I335">
        <v>2.064657E-2</v>
      </c>
      <c r="J335">
        <v>1.785753E-2</v>
      </c>
      <c r="K335">
        <v>1.544657E-2</v>
      </c>
      <c r="L335">
        <v>1.3361639999999999E-2</v>
      </c>
      <c r="M335">
        <v>1.1556159999999999E-2</v>
      </c>
      <c r="N335">
        <v>9.9972610000000003E-3</v>
      </c>
    </row>
    <row r="336" spans="1:14" hidden="1" x14ac:dyDescent="0.35">
      <c r="A336" t="s">
        <v>242</v>
      </c>
      <c r="B336" t="s">
        <v>37</v>
      </c>
      <c r="C336" t="s">
        <v>115</v>
      </c>
      <c r="D336" t="s">
        <v>115</v>
      </c>
      <c r="E336" t="s">
        <v>584</v>
      </c>
      <c r="F336" t="s">
        <v>581</v>
      </c>
      <c r="G336" t="s">
        <v>25</v>
      </c>
      <c r="H336">
        <v>9.0824660000000002E-2</v>
      </c>
      <c r="I336">
        <v>6.560001E-2</v>
      </c>
      <c r="J336">
        <v>4.7378089999999998E-2</v>
      </c>
      <c r="K336">
        <v>3.4224659999999997E-2</v>
      </c>
      <c r="L336">
        <v>2.4715069999999999E-2</v>
      </c>
      <c r="M336">
        <v>1.784931E-2</v>
      </c>
      <c r="N336">
        <v>1.2893150000000001E-2</v>
      </c>
    </row>
    <row r="337" spans="1:14" hidden="1" x14ac:dyDescent="0.35">
      <c r="A337" t="s">
        <v>242</v>
      </c>
      <c r="B337" t="s">
        <v>37</v>
      </c>
      <c r="C337" t="s">
        <v>115</v>
      </c>
      <c r="D337" t="s">
        <v>115</v>
      </c>
      <c r="E337" t="s">
        <v>584</v>
      </c>
      <c r="F337" t="s">
        <v>26</v>
      </c>
      <c r="G337" t="s">
        <v>26</v>
      </c>
      <c r="H337">
        <v>4.2201339999999998</v>
      </c>
      <c r="I337">
        <v>4.0323130000000003</v>
      </c>
      <c r="J337">
        <v>3.8551389999999999</v>
      </c>
      <c r="K337">
        <v>3.6626949999999998</v>
      </c>
      <c r="L337">
        <v>3.4441039999999998</v>
      </c>
      <c r="M337">
        <v>3.1755529999999998</v>
      </c>
      <c r="N337">
        <v>2.9379019999999998</v>
      </c>
    </row>
    <row r="338" spans="1:14" hidden="1" x14ac:dyDescent="0.35">
      <c r="A338" t="s">
        <v>242</v>
      </c>
      <c r="B338" t="s">
        <v>37</v>
      </c>
      <c r="C338" t="s">
        <v>70</v>
      </c>
      <c r="D338" t="s">
        <v>70</v>
      </c>
      <c r="E338" t="s">
        <v>618</v>
      </c>
      <c r="F338" t="s">
        <v>581</v>
      </c>
      <c r="G338" t="s">
        <v>396</v>
      </c>
      <c r="H338">
        <v>1.999315</v>
      </c>
      <c r="I338">
        <v>1.2371639999999999</v>
      </c>
      <c r="J338">
        <v>1.110225</v>
      </c>
      <c r="K338">
        <v>0.99918910000000005</v>
      </c>
      <c r="L338">
        <v>0.89925480000000002</v>
      </c>
      <c r="M338">
        <v>0.81141909999999995</v>
      </c>
      <c r="N338">
        <v>0.72816440000000004</v>
      </c>
    </row>
    <row r="339" spans="1:14" hidden="1" x14ac:dyDescent="0.35">
      <c r="A339" t="s">
        <v>242</v>
      </c>
      <c r="B339" t="s">
        <v>37</v>
      </c>
      <c r="C339" t="s">
        <v>70</v>
      </c>
      <c r="D339" t="s">
        <v>70</v>
      </c>
      <c r="E339" t="s">
        <v>618</v>
      </c>
      <c r="F339" t="s">
        <v>581</v>
      </c>
      <c r="G339" t="s">
        <v>25</v>
      </c>
      <c r="H339">
        <v>12</v>
      </c>
      <c r="I339">
        <v>12.371650000000001</v>
      </c>
      <c r="J339">
        <v>11.102259999999999</v>
      </c>
      <c r="K339">
        <v>9.9918820000000004</v>
      </c>
      <c r="L339">
        <v>8.9925510000000006</v>
      </c>
      <c r="M339">
        <v>8.1141970000000008</v>
      </c>
      <c r="N339">
        <v>7.2816460000000003</v>
      </c>
    </row>
    <row r="340" spans="1:14" hidden="1" x14ac:dyDescent="0.35">
      <c r="A340" t="s">
        <v>242</v>
      </c>
      <c r="B340" t="s">
        <v>37</v>
      </c>
      <c r="C340" t="s">
        <v>70</v>
      </c>
      <c r="D340" t="s">
        <v>70</v>
      </c>
      <c r="E340" t="s">
        <v>618</v>
      </c>
      <c r="F340" t="s">
        <v>26</v>
      </c>
      <c r="G340" t="s">
        <v>26</v>
      </c>
      <c r="H340">
        <v>11.165749999999999</v>
      </c>
      <c r="I340">
        <v>11.13448</v>
      </c>
      <c r="J340">
        <v>9.9920329999999993</v>
      </c>
      <c r="K340">
        <v>8.9926910000000007</v>
      </c>
      <c r="L340">
        <v>8.093299</v>
      </c>
      <c r="M340">
        <v>7.302778</v>
      </c>
      <c r="N340">
        <v>6.5534800000000004</v>
      </c>
    </row>
    <row r="341" spans="1:14" hidden="1" x14ac:dyDescent="0.35">
      <c r="A341" t="s">
        <v>242</v>
      </c>
      <c r="B341" t="s">
        <v>37</v>
      </c>
      <c r="C341" t="s">
        <v>105</v>
      </c>
      <c r="D341" t="s">
        <v>105</v>
      </c>
      <c r="E341" t="s">
        <v>619</v>
      </c>
      <c r="F341" t="s">
        <v>581</v>
      </c>
      <c r="G341" t="s">
        <v>396</v>
      </c>
      <c r="H341">
        <v>7.1455780000000004</v>
      </c>
      <c r="I341">
        <v>7.5113649999999996</v>
      </c>
      <c r="J341">
        <v>6.4555480000000003</v>
      </c>
      <c r="K341">
        <v>5.4516910000000003</v>
      </c>
      <c r="L341">
        <v>4.7548539999999999</v>
      </c>
      <c r="M341">
        <v>4.1404339999999999</v>
      </c>
      <c r="N341">
        <v>3.7030280000000002</v>
      </c>
    </row>
    <row r="342" spans="1:14" hidden="1" x14ac:dyDescent="0.35">
      <c r="A342" t="s">
        <v>242</v>
      </c>
      <c r="B342" t="s">
        <v>37</v>
      </c>
      <c r="C342" t="s">
        <v>105</v>
      </c>
      <c r="D342" t="s">
        <v>105</v>
      </c>
      <c r="E342" t="s">
        <v>619</v>
      </c>
      <c r="F342" t="s">
        <v>581</v>
      </c>
      <c r="G342" t="s">
        <v>25</v>
      </c>
      <c r="H342">
        <v>1.286575</v>
      </c>
      <c r="I342">
        <v>2.0903510000000001</v>
      </c>
      <c r="J342">
        <v>1.78769</v>
      </c>
      <c r="K342">
        <v>1.5096989999999999</v>
      </c>
      <c r="L342">
        <v>1.31673</v>
      </c>
      <c r="M342">
        <v>1.146585</v>
      </c>
      <c r="N342">
        <v>1.0254570000000001</v>
      </c>
    </row>
    <row r="343" spans="1:14" hidden="1" x14ac:dyDescent="0.35">
      <c r="A343" t="s">
        <v>242</v>
      </c>
      <c r="B343" t="s">
        <v>37</v>
      </c>
      <c r="C343" t="s">
        <v>105</v>
      </c>
      <c r="D343" t="s">
        <v>105</v>
      </c>
      <c r="E343" t="s">
        <v>619</v>
      </c>
      <c r="F343" t="s">
        <v>26</v>
      </c>
      <c r="G343" t="s">
        <v>26</v>
      </c>
      <c r="H343">
        <v>1.385205</v>
      </c>
      <c r="I343">
        <v>1.974224</v>
      </c>
      <c r="J343">
        <v>1.688375</v>
      </c>
      <c r="K343">
        <v>1.425827</v>
      </c>
      <c r="L343">
        <v>1.2435769999999999</v>
      </c>
      <c r="M343">
        <v>1.082883</v>
      </c>
      <c r="N343">
        <v>0.96848540000000005</v>
      </c>
    </row>
    <row r="344" spans="1:14" hidden="1" x14ac:dyDescent="0.35">
      <c r="A344" t="s">
        <v>242</v>
      </c>
      <c r="B344" t="s">
        <v>37</v>
      </c>
      <c r="C344" t="s">
        <v>105</v>
      </c>
      <c r="D344" t="s">
        <v>105</v>
      </c>
      <c r="E344" t="s">
        <v>620</v>
      </c>
      <c r="F344" t="s">
        <v>581</v>
      </c>
      <c r="G344" t="s">
        <v>396</v>
      </c>
      <c r="H344">
        <v>1.8572599999999999</v>
      </c>
      <c r="I344">
        <v>1.581126</v>
      </c>
      <c r="J344">
        <v>1.556208</v>
      </c>
      <c r="K344">
        <v>1.597907</v>
      </c>
      <c r="L344">
        <v>1.4026320000000001</v>
      </c>
      <c r="M344">
        <v>1.2045790000000001</v>
      </c>
      <c r="N344">
        <v>1.035485</v>
      </c>
    </row>
    <row r="345" spans="1:14" hidden="1" x14ac:dyDescent="0.35">
      <c r="A345" t="s">
        <v>242</v>
      </c>
      <c r="B345" t="s">
        <v>37</v>
      </c>
      <c r="C345" t="s">
        <v>105</v>
      </c>
      <c r="D345" t="s">
        <v>105</v>
      </c>
      <c r="E345" t="s">
        <v>620</v>
      </c>
      <c r="F345" t="s">
        <v>581</v>
      </c>
      <c r="G345" t="s">
        <v>24</v>
      </c>
      <c r="H345">
        <v>0.2415562</v>
      </c>
      <c r="I345">
        <v>0.15594250000000001</v>
      </c>
      <c r="J345">
        <v>0.13957530000000001</v>
      </c>
      <c r="K345">
        <v>0.12561639999999999</v>
      </c>
      <c r="L345">
        <v>0.1130521</v>
      </c>
      <c r="M345">
        <v>0.102011</v>
      </c>
      <c r="N345">
        <v>9.1545199999999993E-2</v>
      </c>
    </row>
    <row r="346" spans="1:14" hidden="1" x14ac:dyDescent="0.35">
      <c r="A346" t="s">
        <v>242</v>
      </c>
      <c r="B346" t="s">
        <v>37</v>
      </c>
      <c r="C346" t="s">
        <v>105</v>
      </c>
      <c r="D346" t="s">
        <v>105</v>
      </c>
      <c r="E346" t="s">
        <v>620</v>
      </c>
      <c r="F346" t="s">
        <v>581</v>
      </c>
      <c r="G346" t="s">
        <v>25</v>
      </c>
      <c r="H346">
        <v>0.4683562</v>
      </c>
      <c r="I346">
        <v>0.67797260000000004</v>
      </c>
      <c r="J346">
        <v>0.67553700000000005</v>
      </c>
      <c r="K346">
        <v>0.70520110000000003</v>
      </c>
      <c r="L346">
        <v>0.61936389999999997</v>
      </c>
      <c r="M346">
        <v>0.52923070000000005</v>
      </c>
      <c r="N346">
        <v>0.45208330000000002</v>
      </c>
    </row>
    <row r="347" spans="1:14" hidden="1" x14ac:dyDescent="0.35">
      <c r="A347" t="s">
        <v>242</v>
      </c>
      <c r="B347" t="s">
        <v>37</v>
      </c>
      <c r="C347" t="s">
        <v>105</v>
      </c>
      <c r="D347" t="s">
        <v>105</v>
      </c>
      <c r="E347" t="s">
        <v>620</v>
      </c>
      <c r="F347" t="s">
        <v>26</v>
      </c>
      <c r="G347" t="s">
        <v>26</v>
      </c>
      <c r="H347">
        <v>1.1483559999999999</v>
      </c>
      <c r="I347">
        <v>1.4737370000000001</v>
      </c>
      <c r="J347">
        <v>1.423219</v>
      </c>
      <c r="K347">
        <v>1.4262429999999999</v>
      </c>
      <c r="L347">
        <v>1.2593620000000001</v>
      </c>
      <c r="M347">
        <v>1.0917680000000001</v>
      </c>
      <c r="N347">
        <v>0.9458531</v>
      </c>
    </row>
    <row r="348" spans="1:14" hidden="1" x14ac:dyDescent="0.35">
      <c r="A348" t="s">
        <v>242</v>
      </c>
      <c r="B348" t="s">
        <v>37</v>
      </c>
      <c r="C348" t="s">
        <v>105</v>
      </c>
      <c r="D348" t="s">
        <v>105</v>
      </c>
      <c r="E348" t="s">
        <v>584</v>
      </c>
      <c r="F348" t="s">
        <v>581</v>
      </c>
      <c r="G348" t="s">
        <v>396</v>
      </c>
      <c r="H348">
        <v>0.53260280000000004</v>
      </c>
      <c r="I348">
        <v>0.50379719999999995</v>
      </c>
      <c r="J348">
        <v>0.47654029999999997</v>
      </c>
      <c r="K348">
        <v>0.44711070000000003</v>
      </c>
      <c r="L348">
        <v>0.41405199999999998</v>
      </c>
      <c r="M348">
        <v>0.3745984</v>
      </c>
      <c r="N348">
        <v>0.3401304</v>
      </c>
    </row>
    <row r="349" spans="1:14" hidden="1" x14ac:dyDescent="0.35">
      <c r="A349" t="s">
        <v>242</v>
      </c>
      <c r="B349" t="s">
        <v>37</v>
      </c>
      <c r="C349" t="s">
        <v>105</v>
      </c>
      <c r="D349" t="s">
        <v>105</v>
      </c>
      <c r="E349" t="s">
        <v>584</v>
      </c>
      <c r="F349" t="s">
        <v>581</v>
      </c>
      <c r="G349" t="s">
        <v>24</v>
      </c>
      <c r="H349">
        <v>8.1972599999999996E-3</v>
      </c>
      <c r="I349">
        <v>6.3013699999999997E-3</v>
      </c>
      <c r="J349">
        <v>6.0027400000000003E-3</v>
      </c>
      <c r="K349">
        <v>5.6712330000000004E-3</v>
      </c>
      <c r="L349">
        <v>5.2843839999999996E-3</v>
      </c>
      <c r="M349">
        <v>4.8093149999999998E-3</v>
      </c>
      <c r="N349">
        <v>4.3895890000000002E-3</v>
      </c>
    </row>
    <row r="350" spans="1:14" hidden="1" x14ac:dyDescent="0.35">
      <c r="A350" t="s">
        <v>242</v>
      </c>
      <c r="B350" t="s">
        <v>37</v>
      </c>
      <c r="C350" t="s">
        <v>105</v>
      </c>
      <c r="D350" t="s">
        <v>105</v>
      </c>
      <c r="E350" t="s">
        <v>584</v>
      </c>
      <c r="F350" t="s">
        <v>581</v>
      </c>
      <c r="G350" t="s">
        <v>25</v>
      </c>
      <c r="H350">
        <v>0.24712329999999999</v>
      </c>
      <c r="I350">
        <v>0.1987699</v>
      </c>
      <c r="J350">
        <v>0.1656849</v>
      </c>
      <c r="K350">
        <v>0.14205480000000001</v>
      </c>
      <c r="L350">
        <v>0.12418029999999999</v>
      </c>
      <c r="M350">
        <v>0.1089797</v>
      </c>
      <c r="N350">
        <v>9.7574789999999995E-2</v>
      </c>
    </row>
    <row r="351" spans="1:14" hidden="1" x14ac:dyDescent="0.35">
      <c r="A351" t="s">
        <v>242</v>
      </c>
      <c r="B351" t="s">
        <v>37</v>
      </c>
      <c r="C351" t="s">
        <v>105</v>
      </c>
      <c r="D351" t="s">
        <v>105</v>
      </c>
      <c r="E351" t="s">
        <v>584</v>
      </c>
      <c r="F351" t="s">
        <v>26</v>
      </c>
      <c r="G351" t="s">
        <v>26</v>
      </c>
      <c r="H351">
        <v>0.79671780000000003</v>
      </c>
      <c r="I351">
        <v>0.78093979999999996</v>
      </c>
      <c r="J351">
        <v>0.76536230000000005</v>
      </c>
      <c r="K351">
        <v>0.7440987</v>
      </c>
      <c r="L351">
        <v>0.71466470000000004</v>
      </c>
      <c r="M351">
        <v>0.67097810000000002</v>
      </c>
      <c r="N351">
        <v>0.63264989999999999</v>
      </c>
    </row>
    <row r="352" spans="1:14" hidden="1" x14ac:dyDescent="0.35">
      <c r="A352" t="s">
        <v>242</v>
      </c>
      <c r="B352" t="s">
        <v>37</v>
      </c>
      <c r="C352" t="s">
        <v>218</v>
      </c>
      <c r="D352" t="s">
        <v>218</v>
      </c>
      <c r="E352" t="s">
        <v>594</v>
      </c>
      <c r="F352" t="s">
        <v>581</v>
      </c>
      <c r="G352" t="s">
        <v>396</v>
      </c>
      <c r="H352">
        <v>15.015890000000001</v>
      </c>
      <c r="I352">
        <v>10.981109999999999</v>
      </c>
      <c r="J352">
        <v>9.4882629999999999</v>
      </c>
      <c r="K352">
        <v>8.1531199999999995</v>
      </c>
      <c r="L352">
        <v>6.2065159999999997</v>
      </c>
      <c r="M352">
        <v>4.5787089999999999</v>
      </c>
      <c r="N352">
        <v>3.696291</v>
      </c>
    </row>
    <row r="353" spans="1:14" hidden="1" x14ac:dyDescent="0.35">
      <c r="A353" t="s">
        <v>242</v>
      </c>
      <c r="B353" t="s">
        <v>37</v>
      </c>
      <c r="C353" t="s">
        <v>218</v>
      </c>
      <c r="D353" t="s">
        <v>218</v>
      </c>
      <c r="E353" t="s">
        <v>594</v>
      </c>
      <c r="F353" t="s">
        <v>581</v>
      </c>
      <c r="G353" t="s">
        <v>25</v>
      </c>
      <c r="H353">
        <v>2.824792</v>
      </c>
      <c r="I353">
        <v>2.6006969999999998</v>
      </c>
      <c r="J353">
        <v>2.2540019999999998</v>
      </c>
      <c r="K353">
        <v>1.9126799999999999</v>
      </c>
      <c r="L353">
        <v>1.4696899999999999</v>
      </c>
      <c r="M353">
        <v>1.0820620000000001</v>
      </c>
      <c r="N353">
        <v>0.86971560000000003</v>
      </c>
    </row>
    <row r="354" spans="1:14" hidden="1" x14ac:dyDescent="0.35">
      <c r="A354" t="s">
        <v>242</v>
      </c>
      <c r="B354" t="s">
        <v>37</v>
      </c>
      <c r="C354" t="s">
        <v>218</v>
      </c>
      <c r="D354" t="s">
        <v>218</v>
      </c>
      <c r="E354" t="s">
        <v>594</v>
      </c>
      <c r="F354" t="s">
        <v>26</v>
      </c>
      <c r="G354" t="s">
        <v>26</v>
      </c>
      <c r="H354">
        <v>2.4195890000000002</v>
      </c>
      <c r="I354">
        <v>2.7182970000000002</v>
      </c>
      <c r="J354">
        <v>2.3808760000000002</v>
      </c>
      <c r="K354">
        <v>1.932782</v>
      </c>
      <c r="L354">
        <v>1.5353490000000001</v>
      </c>
      <c r="M354">
        <v>1.1225309999999999</v>
      </c>
      <c r="N354">
        <v>0.88834579999999996</v>
      </c>
    </row>
    <row r="355" spans="1:14" hidden="1" x14ac:dyDescent="0.35">
      <c r="A355" t="s">
        <v>242</v>
      </c>
      <c r="B355" t="s">
        <v>37</v>
      </c>
      <c r="C355" t="s">
        <v>63</v>
      </c>
      <c r="D355" t="s">
        <v>63</v>
      </c>
      <c r="E355" t="s">
        <v>621</v>
      </c>
      <c r="F355" t="s">
        <v>26</v>
      </c>
      <c r="G355" t="s">
        <v>26</v>
      </c>
      <c r="H355">
        <v>10.7263</v>
      </c>
      <c r="I355">
        <v>7.627167</v>
      </c>
      <c r="J355">
        <v>6.602074</v>
      </c>
      <c r="K355">
        <v>5.9173689999999999</v>
      </c>
      <c r="L355">
        <v>5.555256</v>
      </c>
      <c r="M355">
        <v>5.1730320000000001</v>
      </c>
      <c r="N355">
        <v>4.552257</v>
      </c>
    </row>
    <row r="356" spans="1:14" hidden="1" x14ac:dyDescent="0.35">
      <c r="A356" t="s">
        <v>242</v>
      </c>
      <c r="B356" t="s">
        <v>37</v>
      </c>
      <c r="C356" t="s">
        <v>63</v>
      </c>
      <c r="D356" t="s">
        <v>63</v>
      </c>
      <c r="E356" t="s">
        <v>584</v>
      </c>
      <c r="F356" t="s">
        <v>581</v>
      </c>
      <c r="G356" t="s">
        <v>396</v>
      </c>
      <c r="H356">
        <v>8.4931510000000004E-4</v>
      </c>
      <c r="I356">
        <v>0</v>
      </c>
    </row>
    <row r="357" spans="1:14" hidden="1" x14ac:dyDescent="0.35">
      <c r="A357" t="s">
        <v>242</v>
      </c>
      <c r="B357" t="s">
        <v>37</v>
      </c>
      <c r="C357" t="s">
        <v>63</v>
      </c>
      <c r="D357" t="s">
        <v>63</v>
      </c>
      <c r="E357" t="s">
        <v>584</v>
      </c>
      <c r="F357" t="s">
        <v>26</v>
      </c>
      <c r="G357" t="s">
        <v>26</v>
      </c>
      <c r="H357">
        <v>0.60547949999999995</v>
      </c>
      <c r="I357">
        <v>0.59349039999999997</v>
      </c>
      <c r="J357">
        <v>0.58165040000000001</v>
      </c>
      <c r="K357">
        <v>0.56549039999999995</v>
      </c>
      <c r="L357">
        <v>0.54312159999999998</v>
      </c>
      <c r="M357">
        <v>0.50992219999999999</v>
      </c>
      <c r="N357">
        <v>0.48079179999999999</v>
      </c>
    </row>
    <row r="358" spans="1:14" hidden="1" x14ac:dyDescent="0.35">
      <c r="A358" t="s">
        <v>242</v>
      </c>
      <c r="B358" t="s">
        <v>37</v>
      </c>
      <c r="C358" t="s">
        <v>99</v>
      </c>
      <c r="D358" t="s">
        <v>101</v>
      </c>
      <c r="E358" t="s">
        <v>584</v>
      </c>
      <c r="F358" t="s">
        <v>581</v>
      </c>
      <c r="G358" t="s">
        <v>25</v>
      </c>
      <c r="H358">
        <v>0.66136989999999996</v>
      </c>
      <c r="I358">
        <v>0.51542750000000004</v>
      </c>
      <c r="J358">
        <v>0.46189590000000003</v>
      </c>
      <c r="K358">
        <v>0.41504930000000001</v>
      </c>
      <c r="L358">
        <v>0.3728959</v>
      </c>
      <c r="M358">
        <v>0.33582200000000001</v>
      </c>
      <c r="N358">
        <v>0.3007205</v>
      </c>
    </row>
    <row r="359" spans="1:14" hidden="1" x14ac:dyDescent="0.35">
      <c r="A359" t="s">
        <v>242</v>
      </c>
      <c r="B359" t="s">
        <v>37</v>
      </c>
      <c r="C359" t="s">
        <v>99</v>
      </c>
      <c r="D359" t="s">
        <v>101</v>
      </c>
      <c r="E359" t="s">
        <v>584</v>
      </c>
      <c r="F359" t="s">
        <v>26</v>
      </c>
      <c r="G359" t="s">
        <v>26</v>
      </c>
      <c r="H359">
        <v>3.9984929999999999</v>
      </c>
      <c r="I359">
        <v>2.9207480000000001</v>
      </c>
      <c r="J359">
        <v>2.6173999999999999</v>
      </c>
      <c r="K359">
        <v>2.3519480000000001</v>
      </c>
      <c r="L359">
        <v>2.1130710000000001</v>
      </c>
      <c r="M359">
        <v>1.903</v>
      </c>
      <c r="N359">
        <v>1.7040770000000001</v>
      </c>
    </row>
    <row r="360" spans="1:14" hidden="1" x14ac:dyDescent="0.35">
      <c r="A360" t="s">
        <v>242</v>
      </c>
      <c r="B360" t="s">
        <v>37</v>
      </c>
      <c r="C360" t="s">
        <v>99</v>
      </c>
      <c r="D360" t="s">
        <v>100</v>
      </c>
      <c r="E360" t="s">
        <v>584</v>
      </c>
      <c r="F360" t="s">
        <v>581</v>
      </c>
      <c r="G360" t="s">
        <v>396</v>
      </c>
      <c r="H360">
        <v>1.900274</v>
      </c>
      <c r="I360">
        <v>1.5736410000000001</v>
      </c>
      <c r="J360">
        <v>1.303153</v>
      </c>
      <c r="K360">
        <v>1.079159</v>
      </c>
      <c r="L360">
        <v>0.89366590000000001</v>
      </c>
      <c r="M360">
        <v>0.74005480000000001</v>
      </c>
      <c r="N360">
        <v>0.61284930000000004</v>
      </c>
    </row>
    <row r="361" spans="1:14" hidden="1" x14ac:dyDescent="0.35">
      <c r="A361" t="s">
        <v>242</v>
      </c>
      <c r="B361" t="s">
        <v>37</v>
      </c>
      <c r="C361" t="s">
        <v>99</v>
      </c>
      <c r="D361" t="s">
        <v>100</v>
      </c>
      <c r="E361" t="s">
        <v>584</v>
      </c>
      <c r="F361" t="s">
        <v>26</v>
      </c>
      <c r="G361" t="s">
        <v>26</v>
      </c>
      <c r="H361">
        <v>0.3167123</v>
      </c>
      <c r="I361">
        <v>0.3167123</v>
      </c>
      <c r="J361">
        <v>0.3167123</v>
      </c>
      <c r="K361">
        <v>0.3167123</v>
      </c>
      <c r="L361">
        <v>0.3167123</v>
      </c>
      <c r="M361">
        <v>0.3167123</v>
      </c>
      <c r="N361">
        <v>0.3167123</v>
      </c>
    </row>
    <row r="362" spans="1:14" hidden="1" x14ac:dyDescent="0.35">
      <c r="A362" t="s">
        <v>242</v>
      </c>
      <c r="B362" t="s">
        <v>37</v>
      </c>
      <c r="C362" t="s">
        <v>46</v>
      </c>
      <c r="D362" t="s">
        <v>46</v>
      </c>
      <c r="E362" t="s">
        <v>584</v>
      </c>
      <c r="F362" t="s">
        <v>581</v>
      </c>
      <c r="G362" t="s">
        <v>396</v>
      </c>
      <c r="H362">
        <v>0.35726029999999998</v>
      </c>
      <c r="I362">
        <v>0.34832879999999999</v>
      </c>
      <c r="J362">
        <v>0.33956219999999998</v>
      </c>
      <c r="K362">
        <v>0.3283567</v>
      </c>
      <c r="L362">
        <v>0.31361529999999999</v>
      </c>
      <c r="M362">
        <v>0.29276170000000001</v>
      </c>
      <c r="N362">
        <v>0.27442030000000001</v>
      </c>
    </row>
    <row r="363" spans="1:14" hidden="1" x14ac:dyDescent="0.35">
      <c r="A363" t="s">
        <v>242</v>
      </c>
      <c r="B363" t="s">
        <v>37</v>
      </c>
      <c r="C363" t="s">
        <v>46</v>
      </c>
      <c r="D363" t="s">
        <v>46</v>
      </c>
      <c r="E363" t="s">
        <v>584</v>
      </c>
      <c r="F363" t="s">
        <v>581</v>
      </c>
      <c r="G363" t="s">
        <v>24</v>
      </c>
      <c r="H363">
        <v>7.4082189999999997E-3</v>
      </c>
      <c r="I363">
        <v>6.4794520000000001E-3</v>
      </c>
      <c r="J363">
        <v>6.3430140000000001E-3</v>
      </c>
      <c r="K363">
        <v>6.1561649999999999E-3</v>
      </c>
      <c r="L363">
        <v>5.9046580000000001E-3</v>
      </c>
      <c r="M363">
        <v>5.534247E-3</v>
      </c>
      <c r="N363">
        <v>5.2065749999999997E-3</v>
      </c>
    </row>
    <row r="364" spans="1:14" hidden="1" x14ac:dyDescent="0.35">
      <c r="A364" t="s">
        <v>242</v>
      </c>
      <c r="B364" t="s">
        <v>37</v>
      </c>
      <c r="C364" t="s">
        <v>46</v>
      </c>
      <c r="D364" t="s">
        <v>46</v>
      </c>
      <c r="E364" t="s">
        <v>584</v>
      </c>
      <c r="F364" t="s">
        <v>581</v>
      </c>
      <c r="G364" t="s">
        <v>25</v>
      </c>
      <c r="H364">
        <v>0.26890960000000003</v>
      </c>
      <c r="I364">
        <v>0.25959179999999998</v>
      </c>
      <c r="J364">
        <v>0.25058079999999999</v>
      </c>
      <c r="K364">
        <v>0.23985319999999999</v>
      </c>
      <c r="L364">
        <v>0.2266669</v>
      </c>
      <c r="M364">
        <v>0.2092773</v>
      </c>
      <c r="N364">
        <v>0.19393640000000001</v>
      </c>
    </row>
    <row r="365" spans="1:14" hidden="1" x14ac:dyDescent="0.35">
      <c r="A365" t="s">
        <v>242</v>
      </c>
      <c r="B365" t="s">
        <v>37</v>
      </c>
      <c r="C365" t="s">
        <v>46</v>
      </c>
      <c r="D365" t="s">
        <v>46</v>
      </c>
      <c r="E365" t="s">
        <v>584</v>
      </c>
      <c r="F365" t="s">
        <v>26</v>
      </c>
      <c r="G365" t="s">
        <v>26</v>
      </c>
      <c r="H365">
        <v>4.5756160000000001</v>
      </c>
      <c r="I365">
        <v>4.2507529999999996</v>
      </c>
      <c r="J365">
        <v>3.9567230000000002</v>
      </c>
      <c r="K365">
        <v>3.65943</v>
      </c>
      <c r="L365">
        <v>3.3457710000000001</v>
      </c>
      <c r="M365">
        <v>2.9934820000000002</v>
      </c>
      <c r="N365">
        <v>2.6930990000000001</v>
      </c>
    </row>
    <row r="366" spans="1:14" hidden="1" x14ac:dyDescent="0.35">
      <c r="A366" t="s">
        <v>242</v>
      </c>
      <c r="B366" t="s">
        <v>37</v>
      </c>
      <c r="C366" t="s">
        <v>118</v>
      </c>
      <c r="D366" t="s">
        <v>118</v>
      </c>
      <c r="E366" t="s">
        <v>584</v>
      </c>
      <c r="F366" t="s">
        <v>581</v>
      </c>
      <c r="G366" t="s">
        <v>396</v>
      </c>
      <c r="H366">
        <v>0.26711230000000002</v>
      </c>
      <c r="I366">
        <v>0.3067589</v>
      </c>
      <c r="J366">
        <v>0.27512599999999998</v>
      </c>
      <c r="K366">
        <v>0.2475397</v>
      </c>
      <c r="L366">
        <v>0.22275339999999999</v>
      </c>
      <c r="M366">
        <v>0.20096990000000001</v>
      </c>
      <c r="N366">
        <v>0.18026030000000001</v>
      </c>
    </row>
    <row r="367" spans="1:14" hidden="1" x14ac:dyDescent="0.35">
      <c r="A367" t="s">
        <v>242</v>
      </c>
      <c r="B367" t="s">
        <v>37</v>
      </c>
      <c r="C367" t="s">
        <v>118</v>
      </c>
      <c r="D367" t="s">
        <v>118</v>
      </c>
      <c r="E367" t="s">
        <v>584</v>
      </c>
      <c r="F367" t="s">
        <v>581</v>
      </c>
      <c r="G367" t="s">
        <v>25</v>
      </c>
      <c r="H367">
        <v>0.61184660000000002</v>
      </c>
      <c r="I367">
        <v>0.80524660000000003</v>
      </c>
      <c r="J367">
        <v>0.72220549999999994</v>
      </c>
      <c r="K367">
        <v>0.64979450000000005</v>
      </c>
      <c r="L367">
        <v>0.58472599999999997</v>
      </c>
      <c r="M367">
        <v>0.52754250000000003</v>
      </c>
      <c r="N367">
        <v>0.4731863</v>
      </c>
    </row>
    <row r="368" spans="1:14" hidden="1" x14ac:dyDescent="0.35">
      <c r="A368" t="s">
        <v>242</v>
      </c>
      <c r="B368" t="s">
        <v>37</v>
      </c>
      <c r="C368" t="s">
        <v>118</v>
      </c>
      <c r="D368" t="s">
        <v>118</v>
      </c>
      <c r="E368" t="s">
        <v>584</v>
      </c>
      <c r="F368" t="s">
        <v>26</v>
      </c>
      <c r="G368" t="s">
        <v>26</v>
      </c>
      <c r="H368">
        <v>2.4131450000000001</v>
      </c>
      <c r="I368">
        <v>2.932534</v>
      </c>
      <c r="J368">
        <v>2.651789</v>
      </c>
      <c r="K368">
        <v>2.4069590000000001</v>
      </c>
      <c r="L368">
        <v>2.1869670000000001</v>
      </c>
      <c r="M368">
        <v>1.993638</v>
      </c>
      <c r="N368">
        <v>1.809852</v>
      </c>
    </row>
    <row r="369" spans="1:14" hidden="1" x14ac:dyDescent="0.35">
      <c r="A369" t="s">
        <v>242</v>
      </c>
      <c r="B369" t="s">
        <v>37</v>
      </c>
      <c r="C369" t="s">
        <v>109</v>
      </c>
      <c r="D369" t="s">
        <v>109</v>
      </c>
      <c r="E369" t="s">
        <v>584</v>
      </c>
      <c r="F369" t="s">
        <v>26</v>
      </c>
      <c r="G369" t="s">
        <v>26</v>
      </c>
      <c r="H369">
        <v>2.6962819999999998E-2</v>
      </c>
      <c r="I369">
        <v>0</v>
      </c>
      <c r="J369">
        <v>0</v>
      </c>
      <c r="K369">
        <v>0</v>
      </c>
      <c r="L369">
        <v>0</v>
      </c>
      <c r="M369">
        <v>0</v>
      </c>
      <c r="N369">
        <v>0</v>
      </c>
    </row>
    <row r="370" spans="1:14" hidden="1" x14ac:dyDescent="0.35">
      <c r="A370" t="s">
        <v>242</v>
      </c>
      <c r="B370" t="s">
        <v>37</v>
      </c>
      <c r="C370" t="s">
        <v>110</v>
      </c>
      <c r="D370" t="s">
        <v>110</v>
      </c>
      <c r="E370" t="s">
        <v>584</v>
      </c>
      <c r="F370" t="s">
        <v>26</v>
      </c>
      <c r="G370" t="s">
        <v>26</v>
      </c>
      <c r="H370">
        <v>8.5205489999999997E-4</v>
      </c>
      <c r="I370">
        <v>8.5205489999999997E-4</v>
      </c>
      <c r="J370">
        <v>8.5205489999999997E-4</v>
      </c>
      <c r="K370">
        <v>8.5205489999999997E-4</v>
      </c>
      <c r="L370">
        <v>8.5205489999999997E-4</v>
      </c>
      <c r="M370">
        <v>8.5205489999999997E-4</v>
      </c>
      <c r="N370">
        <v>8.5205489999999997E-4</v>
      </c>
    </row>
    <row r="371" spans="1:14" hidden="1" x14ac:dyDescent="0.35">
      <c r="A371" t="s">
        <v>242</v>
      </c>
      <c r="B371" t="s">
        <v>123</v>
      </c>
      <c r="C371" t="s">
        <v>122</v>
      </c>
      <c r="D371" t="s">
        <v>122</v>
      </c>
      <c r="E371" t="s">
        <v>584</v>
      </c>
      <c r="F371" t="s">
        <v>581</v>
      </c>
      <c r="G371" t="s">
        <v>396</v>
      </c>
      <c r="H371">
        <v>1.7950689999999998E-2</v>
      </c>
      <c r="I371">
        <v>5.857447E-3</v>
      </c>
      <c r="J371">
        <v>5.8588269999999996E-3</v>
      </c>
      <c r="K371">
        <v>5.8588269999999996E-3</v>
      </c>
      <c r="L371">
        <v>5.8588269999999996E-3</v>
      </c>
      <c r="M371">
        <v>5.8740160000000001E-3</v>
      </c>
      <c r="N371">
        <v>5.6931289999999999E-3</v>
      </c>
    </row>
    <row r="372" spans="1:14" hidden="1" x14ac:dyDescent="0.35">
      <c r="A372" t="s">
        <v>242</v>
      </c>
      <c r="B372" t="s">
        <v>123</v>
      </c>
      <c r="C372" t="s">
        <v>122</v>
      </c>
      <c r="D372" t="s">
        <v>122</v>
      </c>
      <c r="E372" t="s">
        <v>584</v>
      </c>
      <c r="F372" t="s">
        <v>581</v>
      </c>
      <c r="G372" t="s">
        <v>24</v>
      </c>
      <c r="H372">
        <v>0.81996880000000005</v>
      </c>
      <c r="I372">
        <v>0.71834929999999997</v>
      </c>
      <c r="J372">
        <v>0.71345999999999998</v>
      </c>
      <c r="K372">
        <v>0.60350219999999999</v>
      </c>
      <c r="L372">
        <v>0.51135120000000001</v>
      </c>
      <c r="M372">
        <v>0.44121500000000002</v>
      </c>
      <c r="N372">
        <v>0.38119049999999999</v>
      </c>
    </row>
    <row r="373" spans="1:14" hidden="1" x14ac:dyDescent="0.35">
      <c r="A373" t="s">
        <v>242</v>
      </c>
      <c r="B373" t="s">
        <v>123</v>
      </c>
      <c r="C373" t="s">
        <v>122</v>
      </c>
      <c r="D373" t="s">
        <v>122</v>
      </c>
      <c r="E373" t="s">
        <v>584</v>
      </c>
      <c r="F373" t="s">
        <v>26</v>
      </c>
      <c r="G373" t="s">
        <v>26</v>
      </c>
      <c r="H373">
        <v>47.519190000000002</v>
      </c>
      <c r="I373">
        <v>45.138109999999998</v>
      </c>
      <c r="J373">
        <v>45.00197</v>
      </c>
      <c r="K373">
        <v>38.109549999999999</v>
      </c>
      <c r="L373">
        <v>32.694220000000001</v>
      </c>
      <c r="M373">
        <v>28.674939999999999</v>
      </c>
      <c r="N373">
        <v>25.333349999999999</v>
      </c>
    </row>
    <row r="374" spans="1:14" hidden="1" x14ac:dyDescent="0.35">
      <c r="A374" t="s">
        <v>242</v>
      </c>
      <c r="B374" t="s">
        <v>174</v>
      </c>
      <c r="C374" t="s">
        <v>180</v>
      </c>
      <c r="D374" t="s">
        <v>180</v>
      </c>
      <c r="E374" t="s">
        <v>584</v>
      </c>
      <c r="F374" t="s">
        <v>26</v>
      </c>
      <c r="G374" t="s">
        <v>26</v>
      </c>
      <c r="H374">
        <v>5</v>
      </c>
      <c r="I374">
        <v>4.161778</v>
      </c>
      <c r="J374">
        <v>3.46408</v>
      </c>
      <c r="K374">
        <v>2.8833449999999998</v>
      </c>
      <c r="L374">
        <v>2.3999670000000002</v>
      </c>
      <c r="M374">
        <v>1.997627</v>
      </c>
      <c r="N374">
        <v>1.6627339999999999</v>
      </c>
    </row>
    <row r="375" spans="1:14" hidden="1" x14ac:dyDescent="0.35">
      <c r="A375" t="s">
        <v>242</v>
      </c>
      <c r="B375" t="s">
        <v>34</v>
      </c>
      <c r="C375" t="s">
        <v>33</v>
      </c>
      <c r="D375" t="s">
        <v>33</v>
      </c>
      <c r="E375" t="s">
        <v>622</v>
      </c>
      <c r="F375" t="s">
        <v>26</v>
      </c>
      <c r="G375" t="s">
        <v>26</v>
      </c>
      <c r="H375">
        <v>1.0739719999999999</v>
      </c>
      <c r="I375">
        <v>1.0202739999999999</v>
      </c>
      <c r="J375">
        <v>1.273447</v>
      </c>
      <c r="K375">
        <v>1.146085</v>
      </c>
      <c r="L375">
        <v>1.03146</v>
      </c>
      <c r="M375">
        <v>0.93070969999999997</v>
      </c>
      <c r="N375">
        <v>0.83521650000000003</v>
      </c>
    </row>
    <row r="376" spans="1:14" hidden="1" x14ac:dyDescent="0.35">
      <c r="A376" t="s">
        <v>242</v>
      </c>
      <c r="B376" t="s">
        <v>34</v>
      </c>
      <c r="C376" t="s">
        <v>33</v>
      </c>
      <c r="D376" t="s">
        <v>33</v>
      </c>
      <c r="E376" t="s">
        <v>584</v>
      </c>
      <c r="F376" t="s">
        <v>581</v>
      </c>
      <c r="G376" t="s">
        <v>24</v>
      </c>
      <c r="H376">
        <v>2.0493149999999999E-3</v>
      </c>
      <c r="I376">
        <v>2.1643840000000001E-3</v>
      </c>
      <c r="J376">
        <v>2.1643840000000001E-3</v>
      </c>
      <c r="K376">
        <v>2.1643840000000001E-3</v>
      </c>
      <c r="L376">
        <v>2.1643840000000001E-3</v>
      </c>
      <c r="M376">
        <v>2.1643840000000001E-3</v>
      </c>
      <c r="N376">
        <v>2.1643840000000001E-3</v>
      </c>
    </row>
    <row r="377" spans="1:14" hidden="1" x14ac:dyDescent="0.35">
      <c r="A377" t="s">
        <v>242</v>
      </c>
      <c r="B377" t="s">
        <v>34</v>
      </c>
      <c r="C377" t="s">
        <v>33</v>
      </c>
      <c r="D377" t="s">
        <v>33</v>
      </c>
      <c r="E377" t="s">
        <v>584</v>
      </c>
      <c r="F377" t="s">
        <v>581</v>
      </c>
      <c r="G377" t="s">
        <v>25</v>
      </c>
      <c r="H377">
        <v>9.2104099999999994E-2</v>
      </c>
      <c r="I377">
        <v>9.0276720000000005E-2</v>
      </c>
      <c r="J377">
        <v>8.8478360000000006E-2</v>
      </c>
      <c r="K377">
        <v>8.6019180000000001E-2</v>
      </c>
      <c r="L377">
        <v>8.2615889999999997E-2</v>
      </c>
      <c r="M377">
        <v>7.7566029999999994E-2</v>
      </c>
      <c r="N377">
        <v>7.3133149999999994E-2</v>
      </c>
    </row>
    <row r="378" spans="1:14" hidden="1" x14ac:dyDescent="0.35">
      <c r="A378" t="s">
        <v>242</v>
      </c>
      <c r="B378" t="s">
        <v>34</v>
      </c>
      <c r="C378" t="s">
        <v>33</v>
      </c>
      <c r="D378" t="s">
        <v>33</v>
      </c>
      <c r="E378" t="s">
        <v>584</v>
      </c>
      <c r="F378" t="s">
        <v>26</v>
      </c>
      <c r="G378" t="s">
        <v>26</v>
      </c>
      <c r="H378">
        <v>0.16597809999999999</v>
      </c>
      <c r="I378">
        <v>0.16597809999999999</v>
      </c>
      <c r="J378">
        <v>0.16597809999999999</v>
      </c>
      <c r="K378">
        <v>0.16597809999999999</v>
      </c>
      <c r="L378">
        <v>0.16597809999999999</v>
      </c>
      <c r="M378">
        <v>0.16597809999999999</v>
      </c>
      <c r="N378">
        <v>0.16597809999999999</v>
      </c>
    </row>
    <row r="379" spans="1:14" hidden="1" x14ac:dyDescent="0.35">
      <c r="A379" t="s">
        <v>623</v>
      </c>
      <c r="B379" t="s">
        <v>32</v>
      </c>
      <c r="C379" t="s">
        <v>30</v>
      </c>
      <c r="D379" t="s">
        <v>30</v>
      </c>
      <c r="E379" t="s">
        <v>584</v>
      </c>
      <c r="F379" t="s">
        <v>581</v>
      </c>
      <c r="G379" t="s">
        <v>396</v>
      </c>
      <c r="H379">
        <v>207.0746</v>
      </c>
      <c r="I379">
        <v>182.0718</v>
      </c>
      <c r="J379">
        <v>195.0504</v>
      </c>
      <c r="K379">
        <v>216.0001</v>
      </c>
      <c r="L379">
        <v>219.983</v>
      </c>
      <c r="M379">
        <v>218.74860000000001</v>
      </c>
      <c r="N379">
        <v>222.84479999999999</v>
      </c>
    </row>
    <row r="380" spans="1:14" hidden="1" x14ac:dyDescent="0.35">
      <c r="A380" t="s">
        <v>623</v>
      </c>
      <c r="B380" t="s">
        <v>32</v>
      </c>
      <c r="C380" t="s">
        <v>30</v>
      </c>
      <c r="D380" t="s">
        <v>30</v>
      </c>
      <c r="E380" t="s">
        <v>584</v>
      </c>
      <c r="F380" t="s">
        <v>581</v>
      </c>
      <c r="G380" t="s">
        <v>24</v>
      </c>
      <c r="H380">
        <v>1.9705090000000001</v>
      </c>
      <c r="I380">
        <v>1.9705090000000001</v>
      </c>
      <c r="J380">
        <v>1.9705090000000001</v>
      </c>
      <c r="K380">
        <v>1.9705090000000001</v>
      </c>
      <c r="L380">
        <v>1.9705090000000001</v>
      </c>
      <c r="M380">
        <v>1.9705090000000001</v>
      </c>
      <c r="N380">
        <v>1.970046</v>
      </c>
    </row>
    <row r="381" spans="1:14" hidden="1" x14ac:dyDescent="0.35">
      <c r="A381" t="s">
        <v>623</v>
      </c>
      <c r="B381" t="s">
        <v>53</v>
      </c>
      <c r="C381" t="s">
        <v>175</v>
      </c>
      <c r="D381" t="s">
        <v>175</v>
      </c>
      <c r="E381" t="s">
        <v>584</v>
      </c>
      <c r="F381" t="s">
        <v>581</v>
      </c>
      <c r="G381" t="s">
        <v>24</v>
      </c>
      <c r="H381">
        <v>40.913499999999999</v>
      </c>
      <c r="I381">
        <v>55.86806</v>
      </c>
      <c r="J381">
        <v>60.937330000000003</v>
      </c>
      <c r="K381">
        <v>60.937330000000003</v>
      </c>
      <c r="L381">
        <v>50.973269999999999</v>
      </c>
      <c r="M381">
        <v>39.828099999999999</v>
      </c>
      <c r="N381">
        <v>34.527979999999999</v>
      </c>
    </row>
    <row r="382" spans="1:14" hidden="1" x14ac:dyDescent="0.35">
      <c r="A382" t="s">
        <v>623</v>
      </c>
      <c r="B382" t="s">
        <v>53</v>
      </c>
      <c r="C382" t="s">
        <v>175</v>
      </c>
      <c r="D382" t="s">
        <v>175</v>
      </c>
      <c r="E382" t="s">
        <v>584</v>
      </c>
      <c r="F382" t="s">
        <v>581</v>
      </c>
      <c r="G382" t="s">
        <v>25</v>
      </c>
      <c r="H382">
        <v>18.967310000000001</v>
      </c>
      <c r="I382">
        <v>21.448640000000001</v>
      </c>
      <c r="J382">
        <v>22.142189999999999</v>
      </c>
      <c r="K382">
        <v>22.142189999999999</v>
      </c>
      <c r="L382">
        <v>22.144279999999998</v>
      </c>
      <c r="M382">
        <v>24.443840000000002</v>
      </c>
      <c r="N382">
        <v>24.14612</v>
      </c>
    </row>
    <row r="383" spans="1:14" hidden="1" x14ac:dyDescent="0.35">
      <c r="A383" t="s">
        <v>623</v>
      </c>
      <c r="B383" t="s">
        <v>53</v>
      </c>
      <c r="C383" t="s">
        <v>175</v>
      </c>
      <c r="D383" t="s">
        <v>175</v>
      </c>
      <c r="E383" t="s">
        <v>584</v>
      </c>
      <c r="F383" t="s">
        <v>26</v>
      </c>
      <c r="G383" t="s">
        <v>26</v>
      </c>
      <c r="H383">
        <v>99.771649999999994</v>
      </c>
      <c r="I383">
        <v>119.17619999999999</v>
      </c>
      <c r="J383">
        <v>123.52549999999999</v>
      </c>
      <c r="K383">
        <v>123.52549999999999</v>
      </c>
      <c r="L383">
        <v>123.6264</v>
      </c>
      <c r="M383">
        <v>123.696</v>
      </c>
      <c r="N383">
        <v>123.52549999999999</v>
      </c>
    </row>
    <row r="384" spans="1:14" hidden="1" x14ac:dyDescent="0.35">
      <c r="A384" t="s">
        <v>623</v>
      </c>
      <c r="B384" t="s">
        <v>53</v>
      </c>
      <c r="C384" t="s">
        <v>52</v>
      </c>
      <c r="D384" t="s">
        <v>52</v>
      </c>
      <c r="E384" t="s">
        <v>584</v>
      </c>
      <c r="F384" t="s">
        <v>581</v>
      </c>
      <c r="G384" t="s">
        <v>396</v>
      </c>
      <c r="H384">
        <v>6.4722359999999997</v>
      </c>
      <c r="I384">
        <v>4.2796760000000003</v>
      </c>
      <c r="J384">
        <v>5.2254870000000002</v>
      </c>
      <c r="K384">
        <v>5.9992179999999999</v>
      </c>
      <c r="L384">
        <v>4.2376069999999997</v>
      </c>
      <c r="M384">
        <v>2.6601330000000001</v>
      </c>
      <c r="N384">
        <v>1.6414070000000001</v>
      </c>
    </row>
    <row r="385" spans="1:14" hidden="1" x14ac:dyDescent="0.35">
      <c r="A385" t="s">
        <v>623</v>
      </c>
      <c r="B385" t="s">
        <v>53</v>
      </c>
      <c r="C385" t="s">
        <v>181</v>
      </c>
      <c r="D385" t="s">
        <v>181</v>
      </c>
      <c r="E385" t="s">
        <v>584</v>
      </c>
      <c r="F385" t="s">
        <v>581</v>
      </c>
      <c r="G385" t="s">
        <v>396</v>
      </c>
      <c r="H385">
        <v>1.226565E-3</v>
      </c>
      <c r="I385">
        <v>8.2219179999999995E-4</v>
      </c>
      <c r="J385">
        <v>5.5113160000000005E-4</v>
      </c>
      <c r="K385">
        <v>3.6943499999999999E-4</v>
      </c>
      <c r="L385">
        <v>2.4763919999999998E-4</v>
      </c>
      <c r="M385">
        <v>1.659965E-4</v>
      </c>
      <c r="N385">
        <v>1.112706E-4</v>
      </c>
    </row>
    <row r="386" spans="1:14" hidden="1" x14ac:dyDescent="0.35">
      <c r="A386" t="s">
        <v>623</v>
      </c>
      <c r="B386" t="s">
        <v>53</v>
      </c>
      <c r="C386" t="s">
        <v>181</v>
      </c>
      <c r="D386" t="s">
        <v>181</v>
      </c>
      <c r="E386" t="s">
        <v>584</v>
      </c>
      <c r="F386" t="s">
        <v>581</v>
      </c>
      <c r="G386" t="s">
        <v>24</v>
      </c>
      <c r="H386">
        <v>0</v>
      </c>
    </row>
    <row r="387" spans="1:14" hidden="1" x14ac:dyDescent="0.35">
      <c r="A387" t="s">
        <v>623</v>
      </c>
      <c r="B387" t="s">
        <v>53</v>
      </c>
      <c r="C387" t="s">
        <v>624</v>
      </c>
      <c r="D387" t="s">
        <v>624</v>
      </c>
      <c r="E387" t="s">
        <v>584</v>
      </c>
      <c r="F387" t="s">
        <v>26</v>
      </c>
      <c r="G387" t="s">
        <v>26</v>
      </c>
      <c r="H387">
        <v>0</v>
      </c>
      <c r="I387">
        <v>0</v>
      </c>
      <c r="J387">
        <v>0</v>
      </c>
      <c r="K387">
        <v>0</v>
      </c>
      <c r="L387">
        <v>0</v>
      </c>
      <c r="M387">
        <v>0</v>
      </c>
      <c r="N387">
        <v>0</v>
      </c>
    </row>
    <row r="388" spans="1:14" hidden="1" x14ac:dyDescent="0.35">
      <c r="A388" t="s">
        <v>623</v>
      </c>
      <c r="B388" t="s">
        <v>53</v>
      </c>
      <c r="C388" t="s">
        <v>219</v>
      </c>
      <c r="D388" t="s">
        <v>219</v>
      </c>
      <c r="E388" t="s">
        <v>584</v>
      </c>
      <c r="F388" t="s">
        <v>26</v>
      </c>
      <c r="G388" t="s">
        <v>26</v>
      </c>
      <c r="H388">
        <v>0</v>
      </c>
      <c r="I388">
        <v>0</v>
      </c>
      <c r="J388">
        <v>0</v>
      </c>
      <c r="K388">
        <v>0</v>
      </c>
      <c r="L388">
        <v>0</v>
      </c>
      <c r="M388">
        <v>0</v>
      </c>
      <c r="N388">
        <v>0</v>
      </c>
    </row>
    <row r="389" spans="1:14" hidden="1" x14ac:dyDescent="0.35">
      <c r="A389" t="s">
        <v>623</v>
      </c>
      <c r="B389" t="s">
        <v>41</v>
      </c>
      <c r="C389" t="s">
        <v>40</v>
      </c>
      <c r="D389" t="s">
        <v>40</v>
      </c>
      <c r="E389" t="s">
        <v>584</v>
      </c>
      <c r="F389" t="s">
        <v>581</v>
      </c>
      <c r="G389" t="s">
        <v>396</v>
      </c>
      <c r="H389">
        <v>22.779920000000001</v>
      </c>
      <c r="I389">
        <v>24.167149999999999</v>
      </c>
      <c r="J389">
        <v>25.99493</v>
      </c>
      <c r="K389">
        <v>25.99493</v>
      </c>
      <c r="L389">
        <v>25.99493</v>
      </c>
      <c r="M389">
        <v>25.99493</v>
      </c>
      <c r="N389">
        <v>25.99493</v>
      </c>
    </row>
    <row r="390" spans="1:14" hidden="1" x14ac:dyDescent="0.35">
      <c r="A390" t="s">
        <v>623</v>
      </c>
      <c r="B390" t="s">
        <v>41</v>
      </c>
      <c r="C390" t="s">
        <v>40</v>
      </c>
      <c r="D390" t="s">
        <v>40</v>
      </c>
      <c r="E390" t="s">
        <v>584</v>
      </c>
      <c r="F390" t="s">
        <v>26</v>
      </c>
      <c r="G390" t="s">
        <v>26</v>
      </c>
      <c r="H390">
        <v>4.93018</v>
      </c>
      <c r="I390">
        <v>4.9996700000000001</v>
      </c>
      <c r="J390">
        <v>5.2802199999999999</v>
      </c>
      <c r="K390">
        <v>5.2802199999999999</v>
      </c>
      <c r="L390">
        <v>5.2802199999999999</v>
      </c>
      <c r="M390">
        <v>5.2802189999999998</v>
      </c>
      <c r="N390">
        <v>5.2802189999999998</v>
      </c>
    </row>
    <row r="391" spans="1:14" hidden="1" x14ac:dyDescent="0.35">
      <c r="A391" t="s">
        <v>623</v>
      </c>
      <c r="B391" t="s">
        <v>94</v>
      </c>
      <c r="C391" t="s">
        <v>93</v>
      </c>
      <c r="D391" t="s">
        <v>93</v>
      </c>
      <c r="E391" t="s">
        <v>584</v>
      </c>
      <c r="F391" t="s">
        <v>581</v>
      </c>
      <c r="G391" t="s">
        <v>396</v>
      </c>
      <c r="H391">
        <v>18.814409999999999</v>
      </c>
      <c r="I391">
        <v>24.916160000000001</v>
      </c>
      <c r="J391">
        <v>25.750509999999998</v>
      </c>
      <c r="K391">
        <v>25.880040000000001</v>
      </c>
      <c r="L391">
        <v>23.51332</v>
      </c>
      <c r="M391">
        <v>22.84385</v>
      </c>
      <c r="N391">
        <v>23.004000000000001</v>
      </c>
    </row>
    <row r="392" spans="1:14" hidden="1" x14ac:dyDescent="0.35">
      <c r="A392" t="s">
        <v>623</v>
      </c>
      <c r="B392" t="s">
        <v>37</v>
      </c>
      <c r="C392" t="s">
        <v>79</v>
      </c>
      <c r="D392" t="s">
        <v>79</v>
      </c>
      <c r="E392" t="s">
        <v>614</v>
      </c>
      <c r="F392" t="s">
        <v>581</v>
      </c>
      <c r="G392" t="s">
        <v>396</v>
      </c>
      <c r="H392">
        <v>8.4078800000000005</v>
      </c>
      <c r="I392">
        <v>9.4937640000000005</v>
      </c>
      <c r="J392">
        <v>6.8779820000000003</v>
      </c>
      <c r="K392">
        <v>4.7812210000000004</v>
      </c>
      <c r="L392">
        <v>3.9374349999999998</v>
      </c>
      <c r="M392">
        <v>3.111151</v>
      </c>
      <c r="N392">
        <v>2.5126379999999999</v>
      </c>
    </row>
    <row r="393" spans="1:14" hidden="1" x14ac:dyDescent="0.35">
      <c r="A393" t="s">
        <v>623</v>
      </c>
      <c r="B393" t="s">
        <v>37</v>
      </c>
      <c r="C393" t="s">
        <v>79</v>
      </c>
      <c r="D393" t="s">
        <v>79</v>
      </c>
      <c r="E393" t="s">
        <v>614</v>
      </c>
      <c r="F393" t="s">
        <v>581</v>
      </c>
      <c r="G393" t="s">
        <v>25</v>
      </c>
      <c r="H393">
        <v>0.80074800000000002</v>
      </c>
      <c r="I393">
        <v>0.90417040000000004</v>
      </c>
      <c r="J393">
        <v>0.65504379999999995</v>
      </c>
      <c r="K393">
        <v>0.45535560000000003</v>
      </c>
      <c r="L393">
        <v>0.3749923</v>
      </c>
      <c r="M393">
        <v>0.29630030000000002</v>
      </c>
      <c r="N393">
        <v>0.23929810000000001</v>
      </c>
    </row>
    <row r="394" spans="1:14" hidden="1" x14ac:dyDescent="0.35">
      <c r="A394" t="s">
        <v>623</v>
      </c>
      <c r="B394" t="s">
        <v>37</v>
      </c>
      <c r="C394" t="s">
        <v>79</v>
      </c>
      <c r="D394" t="s">
        <v>79</v>
      </c>
      <c r="E394" t="s">
        <v>614</v>
      </c>
      <c r="F394" t="s">
        <v>26</v>
      </c>
      <c r="G394" t="s">
        <v>26</v>
      </c>
      <c r="H394">
        <v>0.80075070000000004</v>
      </c>
      <c r="I394">
        <v>0.90416770000000002</v>
      </c>
      <c r="J394">
        <v>0.65504660000000003</v>
      </c>
      <c r="K394">
        <v>0.45535340000000002</v>
      </c>
      <c r="L394">
        <v>0.37499290000000002</v>
      </c>
      <c r="M394">
        <v>0.2962997</v>
      </c>
      <c r="N394">
        <v>0.2392976</v>
      </c>
    </row>
    <row r="395" spans="1:14" hidden="1" x14ac:dyDescent="0.35">
      <c r="A395" t="s">
        <v>623</v>
      </c>
      <c r="B395" t="s">
        <v>37</v>
      </c>
      <c r="C395" t="s">
        <v>61</v>
      </c>
      <c r="D395" t="s">
        <v>62</v>
      </c>
      <c r="E395" t="s">
        <v>584</v>
      </c>
      <c r="F395" t="s">
        <v>581</v>
      </c>
      <c r="G395" t="s">
        <v>396</v>
      </c>
      <c r="H395">
        <v>1.9835579999999999</v>
      </c>
      <c r="I395">
        <v>2.1929910000000001</v>
      </c>
      <c r="J395">
        <v>2.119758</v>
      </c>
      <c r="K395">
        <v>1.9552560000000001</v>
      </c>
      <c r="L395">
        <v>1.8046990000000001</v>
      </c>
      <c r="M395">
        <v>1.583151</v>
      </c>
      <c r="N395">
        <v>1.2413430000000001</v>
      </c>
    </row>
    <row r="396" spans="1:14" hidden="1" x14ac:dyDescent="0.35">
      <c r="A396" t="s">
        <v>623</v>
      </c>
      <c r="B396" t="s">
        <v>37</v>
      </c>
      <c r="C396" t="s">
        <v>61</v>
      </c>
      <c r="D396" t="s">
        <v>62</v>
      </c>
      <c r="E396" t="s">
        <v>584</v>
      </c>
      <c r="F396" t="s">
        <v>581</v>
      </c>
      <c r="G396" t="s">
        <v>25</v>
      </c>
      <c r="H396">
        <v>0.14027400000000001</v>
      </c>
      <c r="I396">
        <v>0.17369399999999999</v>
      </c>
      <c r="J396">
        <v>0.17213909999999999</v>
      </c>
      <c r="K396">
        <v>0.17043069999999999</v>
      </c>
      <c r="L396">
        <v>0.15374109999999999</v>
      </c>
      <c r="M396">
        <v>0.12799260000000001</v>
      </c>
      <c r="N396">
        <v>0.10766439999999999</v>
      </c>
    </row>
    <row r="397" spans="1:14" hidden="1" x14ac:dyDescent="0.35">
      <c r="A397" t="s">
        <v>623</v>
      </c>
      <c r="B397" t="s">
        <v>37</v>
      </c>
      <c r="C397" t="s">
        <v>61</v>
      </c>
      <c r="D397" t="s">
        <v>62</v>
      </c>
      <c r="E397" t="s">
        <v>584</v>
      </c>
      <c r="F397" t="s">
        <v>26</v>
      </c>
      <c r="G397" t="s">
        <v>26</v>
      </c>
      <c r="H397">
        <v>0.36978549999999999</v>
      </c>
      <c r="I397">
        <v>0.45893499999999998</v>
      </c>
      <c r="J397">
        <v>0.44907930000000001</v>
      </c>
      <c r="K397">
        <v>0.43862519999999999</v>
      </c>
      <c r="L397">
        <v>0.42687039999999998</v>
      </c>
      <c r="M397">
        <v>0.39285700000000001</v>
      </c>
      <c r="N397">
        <v>0.32411580000000001</v>
      </c>
    </row>
    <row r="398" spans="1:14" hidden="1" x14ac:dyDescent="0.35">
      <c r="A398" t="s">
        <v>623</v>
      </c>
      <c r="B398" t="s">
        <v>154</v>
      </c>
      <c r="C398" t="s">
        <v>153</v>
      </c>
      <c r="D398" t="s">
        <v>153</v>
      </c>
      <c r="E398" t="s">
        <v>584</v>
      </c>
      <c r="F398" t="s">
        <v>581</v>
      </c>
      <c r="G398" t="s">
        <v>24</v>
      </c>
      <c r="H398">
        <v>0</v>
      </c>
      <c r="I398">
        <v>2.7784070000000001E-2</v>
      </c>
      <c r="J398">
        <v>1.765725</v>
      </c>
      <c r="K398">
        <v>2.624457</v>
      </c>
      <c r="L398">
        <v>3.5346440000000001</v>
      </c>
      <c r="M398">
        <v>2.5678589999999999</v>
      </c>
      <c r="N398">
        <v>1.707003</v>
      </c>
    </row>
    <row r="399" spans="1:14" hidden="1" x14ac:dyDescent="0.35">
      <c r="A399" t="s">
        <v>623</v>
      </c>
      <c r="B399" t="s">
        <v>154</v>
      </c>
      <c r="C399" t="s">
        <v>153</v>
      </c>
      <c r="D399" t="s">
        <v>153</v>
      </c>
      <c r="E399" t="s">
        <v>584</v>
      </c>
      <c r="F399" t="s">
        <v>26</v>
      </c>
      <c r="G399" t="s">
        <v>26</v>
      </c>
      <c r="H399">
        <v>0</v>
      </c>
      <c r="I399">
        <v>7.2362590000000004E-2</v>
      </c>
      <c r="J399">
        <v>4.9500840000000004</v>
      </c>
      <c r="K399">
        <v>9.0129640000000002</v>
      </c>
      <c r="L399">
        <v>9.6950179999999992</v>
      </c>
      <c r="M399">
        <v>8.5050860000000004</v>
      </c>
      <c r="N399">
        <v>7.6101720000000004</v>
      </c>
    </row>
    <row r="400" spans="1:14" hidden="1" x14ac:dyDescent="0.35">
      <c r="A400" t="s">
        <v>623</v>
      </c>
      <c r="B400" t="s">
        <v>625</v>
      </c>
      <c r="C400" t="s">
        <v>626</v>
      </c>
      <c r="D400" t="s">
        <v>626</v>
      </c>
      <c r="E400" t="s">
        <v>584</v>
      </c>
      <c r="F400" t="s">
        <v>581</v>
      </c>
      <c r="G400" t="s">
        <v>396</v>
      </c>
      <c r="H400">
        <v>2.685479E-2</v>
      </c>
      <c r="I400">
        <v>2.6323289999999999E-2</v>
      </c>
      <c r="J400">
        <v>2.5797810000000001E-2</v>
      </c>
      <c r="K400">
        <v>2.5081099999999999E-2</v>
      </c>
      <c r="L400">
        <v>2.409041E-2</v>
      </c>
      <c r="M400">
        <v>2.261699E-2</v>
      </c>
      <c r="N400">
        <v>2.1325480000000001E-2</v>
      </c>
    </row>
    <row r="401" spans="1:14" hidden="1" x14ac:dyDescent="0.35">
      <c r="A401" t="s">
        <v>623</v>
      </c>
      <c r="B401" t="s">
        <v>625</v>
      </c>
      <c r="C401" t="s">
        <v>626</v>
      </c>
      <c r="D401" t="s">
        <v>626</v>
      </c>
      <c r="E401" t="s">
        <v>584</v>
      </c>
      <c r="F401" t="s">
        <v>581</v>
      </c>
      <c r="G401" t="s">
        <v>24</v>
      </c>
      <c r="H401">
        <v>0.16679630000000001</v>
      </c>
      <c r="I401">
        <v>0.1257316</v>
      </c>
      <c r="J401">
        <v>9.5492400000000005E-2</v>
      </c>
      <c r="K401">
        <v>7.2049329999999995E-2</v>
      </c>
      <c r="L401">
        <v>5.3540360000000002E-2</v>
      </c>
      <c r="M401">
        <v>3.8841359999999998E-2</v>
      </c>
      <c r="N401">
        <v>2.8119539999999998E-2</v>
      </c>
    </row>
    <row r="402" spans="1:14" hidden="1" x14ac:dyDescent="0.35">
      <c r="A402" t="s">
        <v>623</v>
      </c>
      <c r="B402" t="s">
        <v>625</v>
      </c>
      <c r="C402" t="s">
        <v>626</v>
      </c>
      <c r="D402" t="s">
        <v>626</v>
      </c>
      <c r="E402" t="s">
        <v>584</v>
      </c>
      <c r="F402" t="s">
        <v>581</v>
      </c>
      <c r="G402" t="s">
        <v>25</v>
      </c>
      <c r="H402">
        <v>0.15902720000000001</v>
      </c>
      <c r="I402">
        <v>0.106904</v>
      </c>
      <c r="J402">
        <v>7.1971740000000006E-2</v>
      </c>
      <c r="K402">
        <v>4.828781E-2</v>
      </c>
      <c r="L402">
        <v>3.2634150000000001E-2</v>
      </c>
      <c r="M402">
        <v>2.2111619999999998E-2</v>
      </c>
      <c r="N402">
        <v>1.504579E-2</v>
      </c>
    </row>
    <row r="403" spans="1:14" hidden="1" x14ac:dyDescent="0.35">
      <c r="A403" t="s">
        <v>623</v>
      </c>
      <c r="B403" t="s">
        <v>625</v>
      </c>
      <c r="C403" t="s">
        <v>626</v>
      </c>
      <c r="D403" t="s">
        <v>626</v>
      </c>
      <c r="E403" t="s">
        <v>584</v>
      </c>
      <c r="F403" t="s">
        <v>26</v>
      </c>
      <c r="G403" t="s">
        <v>26</v>
      </c>
      <c r="H403">
        <v>14.51545</v>
      </c>
      <c r="I403">
        <v>9.7774900000000002</v>
      </c>
      <c r="J403">
        <v>6.600644</v>
      </c>
      <c r="K403">
        <v>4.4699429999999998</v>
      </c>
      <c r="L403">
        <v>3.0403099999999998</v>
      </c>
      <c r="M403">
        <v>2.0802879999999999</v>
      </c>
      <c r="N403">
        <v>1.435943</v>
      </c>
    </row>
    <row r="404" spans="1:14" hidden="1" x14ac:dyDescent="0.35">
      <c r="A404" t="s">
        <v>623</v>
      </c>
      <c r="B404" t="s">
        <v>625</v>
      </c>
      <c r="C404" t="s">
        <v>627</v>
      </c>
      <c r="D404" t="s">
        <v>627</v>
      </c>
      <c r="E404" t="s">
        <v>584</v>
      </c>
      <c r="F404" t="s">
        <v>581</v>
      </c>
      <c r="G404" t="s">
        <v>396</v>
      </c>
      <c r="H404">
        <v>2.039069</v>
      </c>
      <c r="I404">
        <v>1.420291</v>
      </c>
      <c r="J404">
        <v>1.0033460000000001</v>
      </c>
      <c r="K404">
        <v>0.72045369999999997</v>
      </c>
      <c r="L404">
        <v>0.52654520000000005</v>
      </c>
      <c r="M404">
        <v>0.39062340000000001</v>
      </c>
      <c r="N404">
        <v>0.29687740000000001</v>
      </c>
    </row>
    <row r="405" spans="1:14" hidden="1" x14ac:dyDescent="0.35">
      <c r="A405" t="s">
        <v>623</v>
      </c>
      <c r="B405" t="s">
        <v>625</v>
      </c>
      <c r="C405" t="s">
        <v>627</v>
      </c>
      <c r="D405" t="s">
        <v>627</v>
      </c>
      <c r="E405" t="s">
        <v>584</v>
      </c>
      <c r="F405" t="s">
        <v>581</v>
      </c>
      <c r="G405" t="s">
        <v>24</v>
      </c>
      <c r="H405">
        <v>7.3457540000000002E-2</v>
      </c>
      <c r="I405">
        <v>4.9238360000000002E-2</v>
      </c>
      <c r="J405">
        <v>3.3008219999999998E-2</v>
      </c>
      <c r="K405">
        <v>2.2126030000000001E-2</v>
      </c>
      <c r="L405">
        <v>1.483288E-2</v>
      </c>
      <c r="M405">
        <v>9.9835619999999996E-3</v>
      </c>
      <c r="N405">
        <v>6.6904099999999999E-3</v>
      </c>
    </row>
    <row r="406" spans="1:14" hidden="1" x14ac:dyDescent="0.35">
      <c r="A406" t="s">
        <v>623</v>
      </c>
      <c r="B406" t="s">
        <v>625</v>
      </c>
      <c r="C406" t="s">
        <v>628</v>
      </c>
      <c r="D406" t="s">
        <v>628</v>
      </c>
      <c r="E406" t="s">
        <v>584</v>
      </c>
      <c r="F406" t="s">
        <v>581</v>
      </c>
      <c r="G406" t="s">
        <v>25</v>
      </c>
      <c r="H406">
        <v>3.345205E-3</v>
      </c>
      <c r="I406">
        <v>3.2767120000000002E-3</v>
      </c>
      <c r="J406">
        <v>3.213699E-3</v>
      </c>
      <c r="K406">
        <v>3.1336990000000002E-3</v>
      </c>
      <c r="L406">
        <v>3.030685E-3</v>
      </c>
      <c r="M406">
        <v>2.8871230000000001E-3</v>
      </c>
      <c r="N406">
        <v>2.7599999999999999E-3</v>
      </c>
    </row>
    <row r="407" spans="1:14" hidden="1" x14ac:dyDescent="0.35">
      <c r="A407" t="s">
        <v>623</v>
      </c>
      <c r="B407" t="s">
        <v>625</v>
      </c>
      <c r="C407" t="s">
        <v>628</v>
      </c>
      <c r="D407" t="s">
        <v>628</v>
      </c>
      <c r="E407" t="s">
        <v>584</v>
      </c>
      <c r="F407" t="s">
        <v>26</v>
      </c>
      <c r="G407" t="s">
        <v>26</v>
      </c>
      <c r="H407">
        <v>0.1067014</v>
      </c>
      <c r="I407">
        <v>0.1024767</v>
      </c>
      <c r="J407">
        <v>9.8602739999999994E-2</v>
      </c>
      <c r="K407">
        <v>9.5046580000000006E-2</v>
      </c>
      <c r="L407">
        <v>9.1789040000000002E-2</v>
      </c>
      <c r="M407">
        <v>8.8802740000000005E-2</v>
      </c>
      <c r="N407">
        <v>8.6057540000000002E-2</v>
      </c>
    </row>
    <row r="408" spans="1:14" hidden="1" x14ac:dyDescent="0.35">
      <c r="A408" t="s">
        <v>623</v>
      </c>
      <c r="B408" t="s">
        <v>625</v>
      </c>
      <c r="C408" t="s">
        <v>629</v>
      </c>
      <c r="D408" t="s">
        <v>629</v>
      </c>
      <c r="E408" t="s">
        <v>584</v>
      </c>
      <c r="F408" t="s">
        <v>581</v>
      </c>
      <c r="G408" t="s">
        <v>25</v>
      </c>
      <c r="H408">
        <v>3.4158910000000001E-2</v>
      </c>
      <c r="I408">
        <v>0</v>
      </c>
    </row>
    <row r="409" spans="1:14" hidden="1" x14ac:dyDescent="0.35">
      <c r="A409" t="s">
        <v>623</v>
      </c>
      <c r="B409" t="s">
        <v>625</v>
      </c>
      <c r="C409" t="s">
        <v>629</v>
      </c>
      <c r="D409" t="s">
        <v>629</v>
      </c>
      <c r="E409" t="s">
        <v>584</v>
      </c>
      <c r="F409" t="s">
        <v>26</v>
      </c>
      <c r="G409" t="s">
        <v>26</v>
      </c>
      <c r="H409">
        <v>0.36729859999999998</v>
      </c>
      <c r="I409">
        <v>0</v>
      </c>
    </row>
    <row r="410" spans="1:14" hidden="1" x14ac:dyDescent="0.35">
      <c r="A410" t="s">
        <v>623</v>
      </c>
      <c r="B410" t="s">
        <v>59</v>
      </c>
      <c r="C410" t="s">
        <v>161</v>
      </c>
      <c r="D410" t="s">
        <v>161</v>
      </c>
      <c r="E410" t="s">
        <v>584</v>
      </c>
      <c r="F410" t="s">
        <v>581</v>
      </c>
      <c r="G410" t="s">
        <v>396</v>
      </c>
      <c r="H410">
        <v>1.950843E-2</v>
      </c>
      <c r="I410">
        <v>0.43271589999999999</v>
      </c>
      <c r="J410">
        <v>6.4943020000000004E-2</v>
      </c>
      <c r="K410">
        <v>2.8232259999999999E-3</v>
      </c>
      <c r="L410">
        <v>2.3736579999999998E-3</v>
      </c>
      <c r="M410">
        <v>0</v>
      </c>
    </row>
    <row r="411" spans="1:14" hidden="1" x14ac:dyDescent="0.35">
      <c r="A411" t="s">
        <v>623</v>
      </c>
      <c r="B411" t="s">
        <v>59</v>
      </c>
      <c r="C411" t="s">
        <v>161</v>
      </c>
      <c r="D411" t="s">
        <v>161</v>
      </c>
      <c r="E411" t="s">
        <v>584</v>
      </c>
      <c r="F411" t="s">
        <v>581</v>
      </c>
      <c r="G411" t="s">
        <v>24</v>
      </c>
      <c r="H411">
        <v>0.4489129</v>
      </c>
      <c r="I411">
        <v>1.019463</v>
      </c>
      <c r="J411">
        <v>0.92058180000000001</v>
      </c>
      <c r="K411">
        <v>0.95524500000000001</v>
      </c>
      <c r="L411">
        <v>0.86210350000000002</v>
      </c>
      <c r="M411">
        <v>0.74171200000000004</v>
      </c>
      <c r="N411">
        <v>0.65510080000000004</v>
      </c>
    </row>
    <row r="412" spans="1:14" hidden="1" x14ac:dyDescent="0.35">
      <c r="A412" t="s">
        <v>623</v>
      </c>
      <c r="B412" t="s">
        <v>59</v>
      </c>
      <c r="C412" t="s">
        <v>161</v>
      </c>
      <c r="D412" t="s">
        <v>161</v>
      </c>
      <c r="E412" t="s">
        <v>584</v>
      </c>
      <c r="F412" t="s">
        <v>581</v>
      </c>
      <c r="G412" t="s">
        <v>25</v>
      </c>
      <c r="H412">
        <v>7.6435890000000006E-2</v>
      </c>
      <c r="I412">
        <v>9.9064289999999999E-2</v>
      </c>
      <c r="J412">
        <v>7.7971680000000002E-2</v>
      </c>
      <c r="K412">
        <v>7.5306079999999997E-2</v>
      </c>
      <c r="L412">
        <v>6.3573660000000004E-2</v>
      </c>
      <c r="M412">
        <v>5.5068039999999999E-2</v>
      </c>
      <c r="N412">
        <v>4.8245110000000001E-2</v>
      </c>
    </row>
    <row r="413" spans="1:14" hidden="1" x14ac:dyDescent="0.35">
      <c r="A413" t="s">
        <v>623</v>
      </c>
      <c r="B413" t="s">
        <v>59</v>
      </c>
      <c r="C413" t="s">
        <v>161</v>
      </c>
      <c r="D413" t="s">
        <v>161</v>
      </c>
      <c r="E413" t="s">
        <v>584</v>
      </c>
      <c r="F413" t="s">
        <v>26</v>
      </c>
      <c r="G413" t="s">
        <v>26</v>
      </c>
      <c r="H413">
        <v>3.4649719999999999</v>
      </c>
      <c r="I413">
        <v>3.7017980000000001</v>
      </c>
      <c r="J413">
        <v>3.321256</v>
      </c>
      <c r="K413">
        <v>3.3578410000000001</v>
      </c>
      <c r="L413">
        <v>3.1723210000000002</v>
      </c>
      <c r="M413">
        <v>2.7027600000000001</v>
      </c>
      <c r="N413">
        <v>2.4557669999999998</v>
      </c>
    </row>
    <row r="414" spans="1:14" hidden="1" x14ac:dyDescent="0.35">
      <c r="A414" t="s">
        <v>623</v>
      </c>
      <c r="B414" t="s">
        <v>59</v>
      </c>
      <c r="C414" t="s">
        <v>165</v>
      </c>
      <c r="D414" t="s">
        <v>165</v>
      </c>
      <c r="E414" t="s">
        <v>584</v>
      </c>
      <c r="F414" t="s">
        <v>581</v>
      </c>
      <c r="G414" t="s">
        <v>24</v>
      </c>
      <c r="H414">
        <v>8.6859030000000004E-2</v>
      </c>
      <c r="I414">
        <v>9.5102980000000004E-2</v>
      </c>
      <c r="J414">
        <v>9.5678810000000003E-2</v>
      </c>
      <c r="K414">
        <v>9.4752219999999998E-2</v>
      </c>
      <c r="L414">
        <v>8.1700830000000002E-2</v>
      </c>
      <c r="M414">
        <v>7.4827920000000006E-2</v>
      </c>
      <c r="N414">
        <v>5.9939480000000003E-2</v>
      </c>
    </row>
    <row r="415" spans="1:14" hidden="1" x14ac:dyDescent="0.35">
      <c r="A415" t="s">
        <v>623</v>
      </c>
      <c r="B415" t="s">
        <v>59</v>
      </c>
      <c r="C415" t="s">
        <v>165</v>
      </c>
      <c r="D415" t="s">
        <v>165</v>
      </c>
      <c r="E415" t="s">
        <v>584</v>
      </c>
      <c r="F415" t="s">
        <v>26</v>
      </c>
      <c r="G415" t="s">
        <v>26</v>
      </c>
      <c r="H415">
        <v>0.91953890000000005</v>
      </c>
      <c r="I415">
        <v>0.8434256</v>
      </c>
      <c r="J415">
        <v>0.84931299999999998</v>
      </c>
      <c r="K415">
        <v>0.84352609999999995</v>
      </c>
      <c r="L415">
        <v>0.73011230000000005</v>
      </c>
      <c r="M415">
        <v>0.67360770000000003</v>
      </c>
      <c r="N415">
        <v>0.53249369999999996</v>
      </c>
    </row>
    <row r="416" spans="1:14" hidden="1" x14ac:dyDescent="0.35">
      <c r="A416" t="s">
        <v>623</v>
      </c>
      <c r="B416" t="s">
        <v>65</v>
      </c>
      <c r="C416" t="s">
        <v>64</v>
      </c>
      <c r="D416" t="s">
        <v>64</v>
      </c>
      <c r="E416" t="s">
        <v>584</v>
      </c>
      <c r="F416" t="s">
        <v>581</v>
      </c>
      <c r="G416" t="s">
        <v>396</v>
      </c>
      <c r="H416">
        <v>3.5413559999999999</v>
      </c>
      <c r="I416">
        <v>3.6935850000000001</v>
      </c>
      <c r="J416">
        <v>3.8837980000000001</v>
      </c>
      <c r="K416">
        <v>3.6943220000000001</v>
      </c>
      <c r="L416">
        <v>3.4396520000000002</v>
      </c>
      <c r="M416">
        <v>3.1083379999999998</v>
      </c>
      <c r="N416">
        <v>2.7536200000000002</v>
      </c>
    </row>
    <row r="417" spans="1:14" hidden="1" x14ac:dyDescent="0.35">
      <c r="A417" t="s">
        <v>623</v>
      </c>
      <c r="B417" t="s">
        <v>65</v>
      </c>
      <c r="C417" t="s">
        <v>64</v>
      </c>
      <c r="D417" t="s">
        <v>64</v>
      </c>
      <c r="E417" t="s">
        <v>584</v>
      </c>
      <c r="F417" t="s">
        <v>26</v>
      </c>
      <c r="G417" t="s">
        <v>26</v>
      </c>
      <c r="H417">
        <v>0.63362689999999999</v>
      </c>
      <c r="I417">
        <v>0.63054030000000005</v>
      </c>
      <c r="J417">
        <v>0.56827830000000001</v>
      </c>
      <c r="K417">
        <v>0.47923729999999998</v>
      </c>
      <c r="L417">
        <v>0.39683479999999999</v>
      </c>
      <c r="M417">
        <v>0.31957999999999998</v>
      </c>
      <c r="N417">
        <v>0.25817869999999998</v>
      </c>
    </row>
    <row r="418" spans="1:14" hidden="1" x14ac:dyDescent="0.35">
      <c r="A418" t="s">
        <v>623</v>
      </c>
      <c r="B418" t="s">
        <v>65</v>
      </c>
      <c r="C418" t="s">
        <v>136</v>
      </c>
      <c r="D418" t="s">
        <v>136</v>
      </c>
      <c r="E418" t="s">
        <v>584</v>
      </c>
      <c r="F418" t="s">
        <v>581</v>
      </c>
      <c r="G418" t="s">
        <v>396</v>
      </c>
      <c r="H418">
        <v>0.83835610000000005</v>
      </c>
      <c r="I418">
        <v>0.83835610000000005</v>
      </c>
      <c r="J418">
        <v>0.83835610000000005</v>
      </c>
      <c r="K418">
        <v>0.83835610000000005</v>
      </c>
      <c r="L418">
        <v>0.83835610000000005</v>
      </c>
      <c r="M418">
        <v>0.83835599999999999</v>
      </c>
      <c r="N418">
        <v>0.83835610000000005</v>
      </c>
    </row>
    <row r="419" spans="1:14" hidden="1" x14ac:dyDescent="0.35">
      <c r="A419" t="s">
        <v>623</v>
      </c>
      <c r="B419" t="s">
        <v>65</v>
      </c>
      <c r="C419" t="s">
        <v>136</v>
      </c>
      <c r="D419" t="s">
        <v>136</v>
      </c>
      <c r="E419" t="s">
        <v>584</v>
      </c>
      <c r="F419" t="s">
        <v>26</v>
      </c>
      <c r="G419" t="s">
        <v>26</v>
      </c>
      <c r="H419">
        <v>7.6030849999999997E-2</v>
      </c>
      <c r="I419">
        <v>5.096498E-2</v>
      </c>
      <c r="J419">
        <v>3.4162850000000002E-2</v>
      </c>
      <c r="K419">
        <v>2.2900110000000001E-2</v>
      </c>
      <c r="L419">
        <v>1.5350300000000001E-2</v>
      </c>
      <c r="M419">
        <v>1.028959E-2</v>
      </c>
      <c r="N419">
        <v>6.8973699999999999E-3</v>
      </c>
    </row>
    <row r="420" spans="1:14" hidden="1" x14ac:dyDescent="0.35">
      <c r="A420" t="s">
        <v>623</v>
      </c>
      <c r="B420" t="s">
        <v>34</v>
      </c>
      <c r="C420" t="s">
        <v>33</v>
      </c>
      <c r="D420" t="s">
        <v>33</v>
      </c>
      <c r="E420" t="s">
        <v>622</v>
      </c>
      <c r="F420" t="s">
        <v>26</v>
      </c>
      <c r="G420" t="s">
        <v>26</v>
      </c>
      <c r="H420">
        <v>3.3626649999999998</v>
      </c>
      <c r="I420">
        <v>3.0341369999999999</v>
      </c>
      <c r="J420">
        <v>2.7228210000000002</v>
      </c>
      <c r="K420">
        <v>2.450501</v>
      </c>
      <c r="L420">
        <v>2.2054179999999999</v>
      </c>
      <c r="M420">
        <v>1.9900009999999999</v>
      </c>
      <c r="N420">
        <v>1.7858179999999999</v>
      </c>
    </row>
    <row r="421" spans="1:14" hidden="1" x14ac:dyDescent="0.35">
      <c r="A421" t="s">
        <v>623</v>
      </c>
      <c r="B421" t="s">
        <v>34</v>
      </c>
      <c r="C421" t="s">
        <v>33</v>
      </c>
      <c r="D421" t="s">
        <v>33</v>
      </c>
      <c r="E421" t="s">
        <v>630</v>
      </c>
      <c r="F421" t="s">
        <v>26</v>
      </c>
      <c r="G421" t="s">
        <v>26</v>
      </c>
      <c r="M421">
        <v>0</v>
      </c>
      <c r="N421">
        <v>0</v>
      </c>
    </row>
    <row r="422" spans="1:14" hidden="1" x14ac:dyDescent="0.35">
      <c r="A422" t="s">
        <v>623</v>
      </c>
      <c r="B422" t="s">
        <v>45</v>
      </c>
      <c r="C422" t="s">
        <v>44</v>
      </c>
      <c r="D422" t="s">
        <v>44</v>
      </c>
      <c r="E422" t="s">
        <v>584</v>
      </c>
      <c r="F422" t="s">
        <v>581</v>
      </c>
      <c r="G422" t="s">
        <v>396</v>
      </c>
      <c r="H422">
        <v>3.7123499999999998</v>
      </c>
      <c r="I422">
        <v>3.551752</v>
      </c>
      <c r="J422">
        <v>3.1724320000000001</v>
      </c>
      <c r="K422">
        <v>2.9548540000000001</v>
      </c>
      <c r="L422">
        <v>1.9504520000000001</v>
      </c>
      <c r="M422">
        <v>1.2215530000000001</v>
      </c>
      <c r="N422">
        <v>0.98336349999999995</v>
      </c>
    </row>
    <row r="423" spans="1:14" hidden="1" x14ac:dyDescent="0.35">
      <c r="A423" t="s">
        <v>623</v>
      </c>
      <c r="B423" t="s">
        <v>215</v>
      </c>
      <c r="C423" t="s">
        <v>214</v>
      </c>
      <c r="D423" t="s">
        <v>214</v>
      </c>
      <c r="E423" t="s">
        <v>584</v>
      </c>
      <c r="F423" t="s">
        <v>581</v>
      </c>
      <c r="G423" t="s">
        <v>24</v>
      </c>
      <c r="H423">
        <v>1.117988</v>
      </c>
      <c r="I423">
        <v>0.9573836</v>
      </c>
      <c r="J423">
        <v>0.7160282</v>
      </c>
      <c r="K423">
        <v>5.7998929999999997E-2</v>
      </c>
      <c r="L423">
        <v>0</v>
      </c>
    </row>
    <row r="424" spans="1:14" hidden="1" x14ac:dyDescent="0.35">
      <c r="A424" t="s">
        <v>623</v>
      </c>
      <c r="B424" t="s">
        <v>215</v>
      </c>
      <c r="C424" t="s">
        <v>214</v>
      </c>
      <c r="D424" t="s">
        <v>214</v>
      </c>
      <c r="E424" t="s">
        <v>584</v>
      </c>
      <c r="F424" t="s">
        <v>581</v>
      </c>
      <c r="G424" t="s">
        <v>25</v>
      </c>
      <c r="H424">
        <v>0.47678690000000001</v>
      </c>
      <c r="I424">
        <v>0.40829379999999998</v>
      </c>
      <c r="J424">
        <v>0.58240510000000001</v>
      </c>
      <c r="K424">
        <v>4.717524E-2</v>
      </c>
      <c r="L424">
        <v>0</v>
      </c>
    </row>
    <row r="425" spans="1:14" hidden="1" x14ac:dyDescent="0.35">
      <c r="A425" t="s">
        <v>623</v>
      </c>
      <c r="B425" t="s">
        <v>215</v>
      </c>
      <c r="C425" t="s">
        <v>214</v>
      </c>
      <c r="D425" t="s">
        <v>214</v>
      </c>
      <c r="E425" t="s">
        <v>584</v>
      </c>
      <c r="F425" t="s">
        <v>26</v>
      </c>
      <c r="G425" t="s">
        <v>26</v>
      </c>
      <c r="H425">
        <v>4.4484940000000002</v>
      </c>
      <c r="I425">
        <v>3.809447</v>
      </c>
      <c r="J425">
        <v>3.1635119999999999</v>
      </c>
      <c r="K425">
        <v>0.25624770000000002</v>
      </c>
      <c r="L425">
        <v>0</v>
      </c>
    </row>
    <row r="426" spans="1:14" hidden="1" x14ac:dyDescent="0.35">
      <c r="A426" t="s">
        <v>623</v>
      </c>
      <c r="B426" t="s">
        <v>193</v>
      </c>
      <c r="C426" t="s">
        <v>44</v>
      </c>
      <c r="D426" t="s">
        <v>44</v>
      </c>
      <c r="E426" t="s">
        <v>584</v>
      </c>
      <c r="F426" t="s">
        <v>581</v>
      </c>
      <c r="G426" t="s">
        <v>396</v>
      </c>
      <c r="H426">
        <v>3.3489770000000001</v>
      </c>
      <c r="I426">
        <v>3.0200369999999999</v>
      </c>
      <c r="J426">
        <v>2.9794339999999999</v>
      </c>
      <c r="K426">
        <v>2.9420169999999999</v>
      </c>
      <c r="L426">
        <v>0.93603939999999997</v>
      </c>
      <c r="M426">
        <v>0.91032709999999994</v>
      </c>
      <c r="N426">
        <v>0.82734419999999997</v>
      </c>
    </row>
    <row r="427" spans="1:14" hidden="1" x14ac:dyDescent="0.35">
      <c r="A427" t="s">
        <v>623</v>
      </c>
      <c r="B427" t="s">
        <v>150</v>
      </c>
      <c r="C427" t="s">
        <v>287</v>
      </c>
      <c r="D427" t="s">
        <v>287</v>
      </c>
      <c r="E427" t="s">
        <v>584</v>
      </c>
      <c r="F427" t="s">
        <v>581</v>
      </c>
      <c r="G427" t="s">
        <v>24</v>
      </c>
      <c r="H427">
        <v>0.1915036</v>
      </c>
      <c r="I427">
        <v>0.35445989999999999</v>
      </c>
      <c r="J427">
        <v>0.42013650000000002</v>
      </c>
      <c r="K427">
        <v>0.40769689999999997</v>
      </c>
      <c r="L427">
        <v>0.3770115</v>
      </c>
      <c r="M427">
        <v>0.34352700000000003</v>
      </c>
      <c r="N427">
        <v>0.318185</v>
      </c>
    </row>
    <row r="428" spans="1:14" hidden="1" x14ac:dyDescent="0.35">
      <c r="A428" t="s">
        <v>623</v>
      </c>
      <c r="B428" t="s">
        <v>150</v>
      </c>
      <c r="C428" t="s">
        <v>287</v>
      </c>
      <c r="D428" t="s">
        <v>287</v>
      </c>
      <c r="E428" t="s">
        <v>584</v>
      </c>
      <c r="F428" t="s">
        <v>581</v>
      </c>
      <c r="G428" t="s">
        <v>25</v>
      </c>
      <c r="H428">
        <v>0.13116820000000001</v>
      </c>
      <c r="I428">
        <v>0.2288953</v>
      </c>
      <c r="J428">
        <v>0.25849640000000002</v>
      </c>
      <c r="K428">
        <v>0.241369</v>
      </c>
      <c r="L428">
        <v>0.21538460000000001</v>
      </c>
      <c r="M428">
        <v>0.18948029999999999</v>
      </c>
      <c r="N428">
        <v>0.1693096</v>
      </c>
    </row>
    <row r="429" spans="1:14" hidden="1" x14ac:dyDescent="0.35">
      <c r="A429" t="s">
        <v>623</v>
      </c>
      <c r="B429" t="s">
        <v>150</v>
      </c>
      <c r="C429" t="s">
        <v>287</v>
      </c>
      <c r="D429" t="s">
        <v>287</v>
      </c>
      <c r="E429" t="s">
        <v>584</v>
      </c>
      <c r="F429" t="s">
        <v>26</v>
      </c>
      <c r="G429" t="s">
        <v>26</v>
      </c>
      <c r="H429">
        <v>0.6044022</v>
      </c>
      <c r="I429">
        <v>1.085564</v>
      </c>
      <c r="J429">
        <v>1.2601009999999999</v>
      </c>
      <c r="K429">
        <v>1.211158</v>
      </c>
      <c r="L429">
        <v>1.114039</v>
      </c>
      <c r="M429">
        <v>1.0109969999999999</v>
      </c>
      <c r="N429">
        <v>0.93190779999999995</v>
      </c>
    </row>
    <row r="430" spans="1:14" hidden="1" x14ac:dyDescent="0.35">
      <c r="A430" t="s">
        <v>623</v>
      </c>
      <c r="B430" t="s">
        <v>60</v>
      </c>
      <c r="C430" t="s">
        <v>631</v>
      </c>
      <c r="D430" t="s">
        <v>631</v>
      </c>
      <c r="E430" t="s">
        <v>584</v>
      </c>
      <c r="F430" t="s">
        <v>581</v>
      </c>
      <c r="G430" t="s">
        <v>24</v>
      </c>
      <c r="H430">
        <v>5.8282189999999999E-3</v>
      </c>
      <c r="I430">
        <v>2.186343E-2</v>
      </c>
      <c r="J430">
        <v>1.542082E-2</v>
      </c>
      <c r="K430">
        <v>1.1109040000000001E-2</v>
      </c>
      <c r="L430">
        <v>8.0026019999999993E-3</v>
      </c>
      <c r="M430">
        <v>5.7784940000000003E-3</v>
      </c>
      <c r="N430">
        <v>4.2960000000000003E-3</v>
      </c>
    </row>
    <row r="431" spans="1:14" hidden="1" x14ac:dyDescent="0.35">
      <c r="A431" t="s">
        <v>623</v>
      </c>
      <c r="B431" t="s">
        <v>60</v>
      </c>
      <c r="C431" t="s">
        <v>631</v>
      </c>
      <c r="D431" t="s">
        <v>631</v>
      </c>
      <c r="E431" t="s">
        <v>584</v>
      </c>
      <c r="F431" t="s">
        <v>26</v>
      </c>
      <c r="G431" t="s">
        <v>26</v>
      </c>
      <c r="H431">
        <v>1.9499230000000001</v>
      </c>
      <c r="I431">
        <v>1.347656</v>
      </c>
      <c r="J431">
        <v>0.95054749999999999</v>
      </c>
      <c r="K431">
        <v>0.68476029999999999</v>
      </c>
      <c r="L431">
        <v>0.49329089999999998</v>
      </c>
      <c r="M431">
        <v>0.35618179999999999</v>
      </c>
      <c r="N431">
        <v>0.26479510000000001</v>
      </c>
    </row>
    <row r="432" spans="1:14" hidden="1" x14ac:dyDescent="0.35">
      <c r="A432" t="s">
        <v>623</v>
      </c>
      <c r="B432" t="s">
        <v>60</v>
      </c>
      <c r="C432" t="s">
        <v>126</v>
      </c>
      <c r="D432" t="s">
        <v>126</v>
      </c>
      <c r="E432" t="s">
        <v>584</v>
      </c>
      <c r="F432" t="s">
        <v>26</v>
      </c>
      <c r="G432" t="s">
        <v>26</v>
      </c>
      <c r="H432">
        <v>0</v>
      </c>
      <c r="I432">
        <v>0</v>
      </c>
      <c r="J432">
        <v>0</v>
      </c>
      <c r="K432">
        <v>0.61176140000000001</v>
      </c>
      <c r="L432">
        <v>0.75545859999999998</v>
      </c>
      <c r="M432">
        <v>0.81726569999999998</v>
      </c>
      <c r="N432">
        <v>0.81503300000000001</v>
      </c>
    </row>
    <row r="433" spans="1:14" hidden="1" x14ac:dyDescent="0.35">
      <c r="A433" t="s">
        <v>623</v>
      </c>
      <c r="B433" t="s">
        <v>121</v>
      </c>
      <c r="C433" t="s">
        <v>128</v>
      </c>
      <c r="D433" t="s">
        <v>128</v>
      </c>
      <c r="E433" t="s">
        <v>584</v>
      </c>
      <c r="F433" t="s">
        <v>581</v>
      </c>
      <c r="G433" t="s">
        <v>396</v>
      </c>
      <c r="H433">
        <v>0.47202529999999998</v>
      </c>
      <c r="I433">
        <v>0.35858030000000002</v>
      </c>
      <c r="J433">
        <v>0.32439820000000003</v>
      </c>
      <c r="K433">
        <v>0.29140919999999998</v>
      </c>
      <c r="L433">
        <v>0.26517049999999998</v>
      </c>
      <c r="M433">
        <v>0.24476410000000001</v>
      </c>
      <c r="N433">
        <v>0.2270848</v>
      </c>
    </row>
    <row r="434" spans="1:14" hidden="1" x14ac:dyDescent="0.35">
      <c r="A434" t="s">
        <v>623</v>
      </c>
      <c r="B434" t="s">
        <v>121</v>
      </c>
      <c r="C434" t="s">
        <v>128</v>
      </c>
      <c r="D434" t="s">
        <v>128</v>
      </c>
      <c r="E434" t="s">
        <v>584</v>
      </c>
      <c r="F434" t="s">
        <v>26</v>
      </c>
      <c r="G434" t="s">
        <v>26</v>
      </c>
      <c r="H434">
        <v>0</v>
      </c>
      <c r="I434">
        <v>7.0569580000000007E-2</v>
      </c>
      <c r="J434">
        <v>6.1196300000000002E-2</v>
      </c>
      <c r="K434">
        <v>5.0379859999999999E-2</v>
      </c>
      <c r="L434">
        <v>4.1923290000000002E-2</v>
      </c>
      <c r="M434">
        <v>3.5311639999999998E-2</v>
      </c>
      <c r="N434">
        <v>2.9837260000000001E-2</v>
      </c>
    </row>
    <row r="435" spans="1:14" hidden="1" x14ac:dyDescent="0.35">
      <c r="A435" t="s">
        <v>623</v>
      </c>
      <c r="B435" t="s">
        <v>158</v>
      </c>
      <c r="C435" t="s">
        <v>156</v>
      </c>
      <c r="D435" t="s">
        <v>260</v>
      </c>
      <c r="E435" t="s">
        <v>584</v>
      </c>
      <c r="F435" t="s">
        <v>581</v>
      </c>
      <c r="G435" t="s">
        <v>396</v>
      </c>
      <c r="H435">
        <v>0.1109049</v>
      </c>
      <c r="I435">
        <v>0.1062811</v>
      </c>
      <c r="J435">
        <v>0.12090819999999999</v>
      </c>
      <c r="K435">
        <v>0.1010819</v>
      </c>
      <c r="L435">
        <v>8.5323289999999996E-2</v>
      </c>
      <c r="M435">
        <v>7.283452E-2</v>
      </c>
      <c r="N435">
        <v>4.4264930000000001E-2</v>
      </c>
    </row>
    <row r="436" spans="1:14" hidden="1" x14ac:dyDescent="0.35">
      <c r="A436" t="s">
        <v>623</v>
      </c>
      <c r="B436" t="s">
        <v>158</v>
      </c>
      <c r="C436" t="s">
        <v>156</v>
      </c>
      <c r="D436" t="s">
        <v>260</v>
      </c>
      <c r="E436" t="s">
        <v>584</v>
      </c>
      <c r="F436" t="s">
        <v>581</v>
      </c>
      <c r="G436" t="s">
        <v>24</v>
      </c>
      <c r="H436">
        <v>0</v>
      </c>
    </row>
    <row r="437" spans="1:14" hidden="1" x14ac:dyDescent="0.35">
      <c r="A437" t="s">
        <v>623</v>
      </c>
      <c r="B437" t="s">
        <v>158</v>
      </c>
      <c r="C437" t="s">
        <v>156</v>
      </c>
      <c r="D437" t="s">
        <v>260</v>
      </c>
      <c r="E437" t="s">
        <v>584</v>
      </c>
      <c r="F437" t="s">
        <v>26</v>
      </c>
      <c r="G437" t="s">
        <v>26</v>
      </c>
      <c r="H437">
        <v>0</v>
      </c>
      <c r="N437">
        <v>0</v>
      </c>
    </row>
    <row r="438" spans="1:14" hidden="1" x14ac:dyDescent="0.35">
      <c r="A438" t="s">
        <v>623</v>
      </c>
      <c r="B438" t="s">
        <v>158</v>
      </c>
      <c r="C438" t="s">
        <v>156</v>
      </c>
      <c r="D438" t="s">
        <v>157</v>
      </c>
      <c r="E438" t="s">
        <v>584</v>
      </c>
      <c r="F438" t="s">
        <v>581</v>
      </c>
      <c r="G438" t="s">
        <v>396</v>
      </c>
      <c r="H438">
        <v>0.1352381</v>
      </c>
      <c r="I438">
        <v>5.8272600000000001E-2</v>
      </c>
      <c r="J438">
        <v>4.4585199999999998E-2</v>
      </c>
      <c r="K438">
        <v>3.3669039999999997E-2</v>
      </c>
      <c r="L438">
        <v>2.6022739999999999E-2</v>
      </c>
      <c r="M438">
        <v>2.1069040000000001E-2</v>
      </c>
      <c r="N438">
        <v>1.737534E-2</v>
      </c>
    </row>
    <row r="439" spans="1:14" hidden="1" x14ac:dyDescent="0.35">
      <c r="A439" t="s">
        <v>623</v>
      </c>
      <c r="B439" t="s">
        <v>158</v>
      </c>
      <c r="C439" t="s">
        <v>156</v>
      </c>
      <c r="D439" t="s">
        <v>157</v>
      </c>
      <c r="E439" t="s">
        <v>584</v>
      </c>
      <c r="F439" t="s">
        <v>26</v>
      </c>
      <c r="G439" t="s">
        <v>26</v>
      </c>
      <c r="N439">
        <v>0</v>
      </c>
    </row>
    <row r="440" spans="1:14" hidden="1" x14ac:dyDescent="0.35">
      <c r="A440" t="s">
        <v>623</v>
      </c>
      <c r="B440" t="s">
        <v>56</v>
      </c>
      <c r="C440" t="s">
        <v>333</v>
      </c>
      <c r="D440" t="s">
        <v>333</v>
      </c>
      <c r="E440" t="s">
        <v>584</v>
      </c>
      <c r="F440" t="s">
        <v>581</v>
      </c>
      <c r="G440" t="s">
        <v>396</v>
      </c>
      <c r="L440">
        <v>0</v>
      </c>
      <c r="M440">
        <v>0</v>
      </c>
      <c r="N440">
        <v>0</v>
      </c>
    </row>
    <row r="441" spans="1:14" hidden="1" x14ac:dyDescent="0.35">
      <c r="A441" t="s">
        <v>271</v>
      </c>
      <c r="B441" t="s">
        <v>37</v>
      </c>
      <c r="C441" t="s">
        <v>105</v>
      </c>
      <c r="D441" t="s">
        <v>105</v>
      </c>
      <c r="E441" t="s">
        <v>632</v>
      </c>
      <c r="F441" t="s">
        <v>581</v>
      </c>
      <c r="G441" t="s">
        <v>396</v>
      </c>
      <c r="H441">
        <v>30.959050000000001</v>
      </c>
      <c r="I441">
        <v>29.732479999999999</v>
      </c>
      <c r="J441">
        <v>26.094639999999998</v>
      </c>
      <c r="K441">
        <v>22.70308</v>
      </c>
      <c r="L441">
        <v>20.756430000000002</v>
      </c>
      <c r="M441">
        <v>20.01155</v>
      </c>
      <c r="N441">
        <v>19.34366</v>
      </c>
    </row>
    <row r="442" spans="1:14" hidden="1" x14ac:dyDescent="0.35">
      <c r="A442" t="s">
        <v>271</v>
      </c>
      <c r="B442" t="s">
        <v>37</v>
      </c>
      <c r="C442" t="s">
        <v>105</v>
      </c>
      <c r="D442" t="s">
        <v>105</v>
      </c>
      <c r="E442" t="s">
        <v>632</v>
      </c>
      <c r="F442" t="s">
        <v>581</v>
      </c>
      <c r="G442" t="s">
        <v>25</v>
      </c>
      <c r="H442">
        <v>20.472259999999999</v>
      </c>
      <c r="I442">
        <v>18.431640000000002</v>
      </c>
      <c r="J442">
        <v>16.07395</v>
      </c>
      <c r="K442">
        <v>13.973649999999999</v>
      </c>
      <c r="L442">
        <v>12.76829</v>
      </c>
      <c r="M442">
        <v>12.289859999999999</v>
      </c>
      <c r="N442">
        <v>11.88125</v>
      </c>
    </row>
    <row r="443" spans="1:14" hidden="1" x14ac:dyDescent="0.35">
      <c r="A443" t="s">
        <v>271</v>
      </c>
      <c r="B443" t="s">
        <v>37</v>
      </c>
      <c r="C443" t="s">
        <v>105</v>
      </c>
      <c r="D443" t="s">
        <v>105</v>
      </c>
      <c r="E443" t="s">
        <v>632</v>
      </c>
      <c r="F443" t="s">
        <v>26</v>
      </c>
      <c r="G443" t="s">
        <v>26</v>
      </c>
      <c r="H443">
        <v>20.28125</v>
      </c>
      <c r="I443">
        <v>18.236470000000001</v>
      </c>
      <c r="J443">
        <v>15.891159999999999</v>
      </c>
      <c r="K443">
        <v>13.810790000000001</v>
      </c>
      <c r="L443">
        <v>12.61692</v>
      </c>
      <c r="M443">
        <v>12.13697</v>
      </c>
      <c r="N443">
        <v>11.73401</v>
      </c>
    </row>
    <row r="444" spans="1:14" hidden="1" x14ac:dyDescent="0.35">
      <c r="A444" t="s">
        <v>271</v>
      </c>
      <c r="B444" t="s">
        <v>37</v>
      </c>
      <c r="C444" t="s">
        <v>105</v>
      </c>
      <c r="D444" t="s">
        <v>105</v>
      </c>
      <c r="E444" t="s">
        <v>633</v>
      </c>
      <c r="F444" t="s">
        <v>581</v>
      </c>
      <c r="G444" t="s">
        <v>396</v>
      </c>
      <c r="H444">
        <v>9.7889809999999997</v>
      </c>
      <c r="I444">
        <v>17.954930000000001</v>
      </c>
      <c r="J444">
        <v>19.615110000000001</v>
      </c>
      <c r="K444">
        <v>16.458909999999999</v>
      </c>
      <c r="L444">
        <v>14.866899999999999</v>
      </c>
      <c r="M444">
        <v>14.209429999999999</v>
      </c>
      <c r="N444">
        <v>13.749180000000001</v>
      </c>
    </row>
    <row r="445" spans="1:14" hidden="1" x14ac:dyDescent="0.35">
      <c r="A445" t="s">
        <v>271</v>
      </c>
      <c r="B445" t="s">
        <v>37</v>
      </c>
      <c r="C445" t="s">
        <v>105</v>
      </c>
      <c r="D445" t="s">
        <v>105</v>
      </c>
      <c r="E445" t="s">
        <v>633</v>
      </c>
      <c r="F445" t="s">
        <v>581</v>
      </c>
      <c r="G445" t="s">
        <v>25</v>
      </c>
      <c r="H445">
        <v>5.6300689999999998</v>
      </c>
      <c r="I445">
        <v>9.7092530000000004</v>
      </c>
      <c r="J445">
        <v>10.491809999999999</v>
      </c>
      <c r="K445">
        <v>8.8036030000000007</v>
      </c>
      <c r="L445">
        <v>7.9520629999999999</v>
      </c>
      <c r="M445">
        <v>7.60039</v>
      </c>
      <c r="N445">
        <v>7.3542079999999999</v>
      </c>
    </row>
    <row r="446" spans="1:14" hidden="1" x14ac:dyDescent="0.35">
      <c r="A446" t="s">
        <v>271</v>
      </c>
      <c r="B446" t="s">
        <v>37</v>
      </c>
      <c r="C446" t="s">
        <v>105</v>
      </c>
      <c r="D446" t="s">
        <v>105</v>
      </c>
      <c r="E446" t="s">
        <v>633</v>
      </c>
      <c r="F446" t="s">
        <v>26</v>
      </c>
      <c r="G446" t="s">
        <v>26</v>
      </c>
      <c r="H446">
        <v>8.3227130000000002</v>
      </c>
      <c r="I446">
        <v>14.35281</v>
      </c>
      <c r="J446">
        <v>15.50963</v>
      </c>
      <c r="K446">
        <v>13.01402</v>
      </c>
      <c r="L446">
        <v>11.75522</v>
      </c>
      <c r="M446">
        <v>11.23536</v>
      </c>
      <c r="N446">
        <v>10.87144</v>
      </c>
    </row>
    <row r="447" spans="1:14" hidden="1" x14ac:dyDescent="0.35">
      <c r="A447" t="s">
        <v>271</v>
      </c>
      <c r="B447" t="s">
        <v>37</v>
      </c>
      <c r="C447" t="s">
        <v>105</v>
      </c>
      <c r="D447" t="s">
        <v>105</v>
      </c>
      <c r="E447" t="s">
        <v>619</v>
      </c>
      <c r="F447" t="s">
        <v>581</v>
      </c>
      <c r="G447" t="s">
        <v>396</v>
      </c>
      <c r="H447">
        <v>4.31203</v>
      </c>
      <c r="I447">
        <v>3.9294039999999999</v>
      </c>
      <c r="J447">
        <v>3.4865520000000001</v>
      </c>
      <c r="K447">
        <v>3.3658980000000001</v>
      </c>
      <c r="L447">
        <v>3.1699470000000001</v>
      </c>
      <c r="M447">
        <v>2.7768259999999998</v>
      </c>
      <c r="N447">
        <v>2.4735830000000001</v>
      </c>
    </row>
    <row r="448" spans="1:14" hidden="1" x14ac:dyDescent="0.35">
      <c r="A448" t="s">
        <v>271</v>
      </c>
      <c r="B448" t="s">
        <v>37</v>
      </c>
      <c r="C448" t="s">
        <v>105</v>
      </c>
      <c r="D448" t="s">
        <v>105</v>
      </c>
      <c r="E448" t="s">
        <v>619</v>
      </c>
      <c r="F448" t="s">
        <v>581</v>
      </c>
      <c r="G448" t="s">
        <v>24</v>
      </c>
      <c r="H448">
        <v>5.0947069999999997</v>
      </c>
      <c r="I448">
        <v>5.1327699999999998</v>
      </c>
      <c r="J448">
        <v>5.0288959999999996</v>
      </c>
      <c r="K448">
        <v>4.3340300000000003</v>
      </c>
      <c r="L448">
        <v>3.7089479999999999</v>
      </c>
      <c r="M448">
        <v>3.26525</v>
      </c>
      <c r="N448">
        <v>2.899553</v>
      </c>
    </row>
    <row r="449" spans="1:14" hidden="1" x14ac:dyDescent="0.35">
      <c r="A449" t="s">
        <v>271</v>
      </c>
      <c r="B449" t="s">
        <v>37</v>
      </c>
      <c r="C449" t="s">
        <v>105</v>
      </c>
      <c r="D449" t="s">
        <v>105</v>
      </c>
      <c r="E449" t="s">
        <v>619</v>
      </c>
      <c r="F449" t="s">
        <v>581</v>
      </c>
      <c r="G449" t="s">
        <v>25</v>
      </c>
      <c r="H449">
        <v>15.188470000000001</v>
      </c>
      <c r="I449">
        <v>14.19896</v>
      </c>
      <c r="J449">
        <v>13.5169</v>
      </c>
      <c r="K449">
        <v>11.86082</v>
      </c>
      <c r="L449">
        <v>10.312709999999999</v>
      </c>
      <c r="M449">
        <v>9.0749060000000004</v>
      </c>
      <c r="N449">
        <v>8.0645000000000007</v>
      </c>
    </row>
    <row r="450" spans="1:14" hidden="1" x14ac:dyDescent="0.35">
      <c r="A450" t="s">
        <v>271</v>
      </c>
      <c r="B450" t="s">
        <v>37</v>
      </c>
      <c r="C450" t="s">
        <v>105</v>
      </c>
      <c r="D450" t="s">
        <v>105</v>
      </c>
      <c r="E450" t="s">
        <v>619</v>
      </c>
      <c r="F450" t="s">
        <v>26</v>
      </c>
      <c r="G450" t="s">
        <v>26</v>
      </c>
      <c r="H450">
        <v>20.706980000000001</v>
      </c>
      <c r="I450">
        <v>19.420269999999999</v>
      </c>
      <c r="J450">
        <v>18.550039999999999</v>
      </c>
      <c r="K450">
        <v>16.225519999999999</v>
      </c>
      <c r="L450">
        <v>14.06255</v>
      </c>
      <c r="M450">
        <v>12.379099999999999</v>
      </c>
      <c r="N450">
        <v>11.000590000000001</v>
      </c>
    </row>
    <row r="451" spans="1:14" hidden="1" x14ac:dyDescent="0.35">
      <c r="A451" t="s">
        <v>271</v>
      </c>
      <c r="B451" t="s">
        <v>37</v>
      </c>
      <c r="C451" t="s">
        <v>35</v>
      </c>
      <c r="D451" t="s">
        <v>36</v>
      </c>
      <c r="E451" t="s">
        <v>588</v>
      </c>
      <c r="F451" t="s">
        <v>581</v>
      </c>
      <c r="G451" t="s">
        <v>396</v>
      </c>
      <c r="H451">
        <v>30.355319999999999</v>
      </c>
      <c r="I451">
        <v>27.797080000000001</v>
      </c>
      <c r="J451">
        <v>23.131720000000001</v>
      </c>
      <c r="K451">
        <v>18.743590000000001</v>
      </c>
      <c r="L451">
        <v>16.235019999999999</v>
      </c>
      <c r="M451">
        <v>13.63303</v>
      </c>
      <c r="N451">
        <v>12.29739</v>
      </c>
    </row>
    <row r="452" spans="1:14" hidden="1" x14ac:dyDescent="0.35">
      <c r="A452" t="s">
        <v>271</v>
      </c>
      <c r="B452" t="s">
        <v>37</v>
      </c>
      <c r="C452" t="s">
        <v>35</v>
      </c>
      <c r="D452" t="s">
        <v>36</v>
      </c>
      <c r="E452" t="s">
        <v>588</v>
      </c>
      <c r="F452" t="s">
        <v>581</v>
      </c>
      <c r="G452" t="s">
        <v>25</v>
      </c>
      <c r="H452">
        <v>10.238899999999999</v>
      </c>
      <c r="I452">
        <v>9.3594190000000008</v>
      </c>
      <c r="J452">
        <v>7.8023660000000001</v>
      </c>
      <c r="K452">
        <v>6.3222440000000004</v>
      </c>
      <c r="L452">
        <v>5.4760980000000004</v>
      </c>
      <c r="M452">
        <v>4.5984439999999998</v>
      </c>
      <c r="N452">
        <v>4.1479280000000003</v>
      </c>
    </row>
    <row r="453" spans="1:14" hidden="1" x14ac:dyDescent="0.35">
      <c r="A453" t="s">
        <v>271</v>
      </c>
      <c r="B453" t="s">
        <v>37</v>
      </c>
      <c r="C453" t="s">
        <v>35</v>
      </c>
      <c r="D453" t="s">
        <v>36</v>
      </c>
      <c r="E453" t="s">
        <v>588</v>
      </c>
      <c r="F453" t="s">
        <v>26</v>
      </c>
      <c r="G453" t="s">
        <v>26</v>
      </c>
      <c r="H453">
        <v>8.7030630000000002</v>
      </c>
      <c r="I453">
        <v>7.9555030000000002</v>
      </c>
      <c r="J453">
        <v>6.6320100000000002</v>
      </c>
      <c r="K453">
        <v>5.3739059999999998</v>
      </c>
      <c r="L453">
        <v>4.6546839999999996</v>
      </c>
      <c r="M453">
        <v>3.9086759999999998</v>
      </c>
      <c r="N453">
        <v>3.525741</v>
      </c>
    </row>
    <row r="454" spans="1:14" hidden="1" x14ac:dyDescent="0.35">
      <c r="A454" t="s">
        <v>271</v>
      </c>
      <c r="B454" t="s">
        <v>37</v>
      </c>
      <c r="C454" t="s">
        <v>35</v>
      </c>
      <c r="D454" t="s">
        <v>36</v>
      </c>
      <c r="E454" t="s">
        <v>587</v>
      </c>
      <c r="F454" t="s">
        <v>581</v>
      </c>
      <c r="G454" t="s">
        <v>396</v>
      </c>
      <c r="H454">
        <v>8.8419919999999994</v>
      </c>
      <c r="I454">
        <v>8.7903859999999998</v>
      </c>
      <c r="J454">
        <v>7.5735099999999997</v>
      </c>
      <c r="K454">
        <v>6.6467809999999998</v>
      </c>
      <c r="L454">
        <v>5.8410000000000002</v>
      </c>
      <c r="M454">
        <v>5.1739829999999998</v>
      </c>
      <c r="N454">
        <v>4.5438799999999997</v>
      </c>
    </row>
    <row r="455" spans="1:14" hidden="1" x14ac:dyDescent="0.35">
      <c r="A455" t="s">
        <v>271</v>
      </c>
      <c r="B455" t="s">
        <v>37</v>
      </c>
      <c r="C455" t="s">
        <v>35</v>
      </c>
      <c r="D455" t="s">
        <v>36</v>
      </c>
      <c r="E455" t="s">
        <v>587</v>
      </c>
      <c r="F455" t="s">
        <v>581</v>
      </c>
      <c r="G455" t="s">
        <v>25</v>
      </c>
      <c r="H455">
        <v>2.5916160000000001</v>
      </c>
      <c r="I455">
        <v>2.57795</v>
      </c>
      <c r="J455">
        <v>2.2198220000000002</v>
      </c>
      <c r="K455">
        <v>1.9481949999999999</v>
      </c>
      <c r="L455">
        <v>1.712016</v>
      </c>
      <c r="M455">
        <v>1.5165139999999999</v>
      </c>
      <c r="N455">
        <v>1.331831</v>
      </c>
    </row>
    <row r="456" spans="1:14" hidden="1" x14ac:dyDescent="0.35">
      <c r="A456" t="s">
        <v>271</v>
      </c>
      <c r="B456" t="s">
        <v>37</v>
      </c>
      <c r="C456" t="s">
        <v>35</v>
      </c>
      <c r="D456" t="s">
        <v>36</v>
      </c>
      <c r="E456" t="s">
        <v>587</v>
      </c>
      <c r="F456" t="s">
        <v>26</v>
      </c>
      <c r="G456" t="s">
        <v>26</v>
      </c>
      <c r="H456">
        <v>4.2113810000000003</v>
      </c>
      <c r="I456">
        <v>4.1891730000000003</v>
      </c>
      <c r="J456">
        <v>3.6072109999999999</v>
      </c>
      <c r="K456">
        <v>3.165816</v>
      </c>
      <c r="L456">
        <v>2.7820269999999998</v>
      </c>
      <c r="M456">
        <v>2.4643320000000002</v>
      </c>
      <c r="N456">
        <v>2.1642190000000001</v>
      </c>
    </row>
    <row r="457" spans="1:14" hidden="1" x14ac:dyDescent="0.35">
      <c r="A457" t="s">
        <v>271</v>
      </c>
      <c r="B457" t="s">
        <v>37</v>
      </c>
      <c r="C457" t="s">
        <v>35</v>
      </c>
      <c r="D457" t="s">
        <v>189</v>
      </c>
      <c r="E457" t="s">
        <v>590</v>
      </c>
      <c r="F457" t="s">
        <v>581</v>
      </c>
      <c r="G457" t="s">
        <v>396</v>
      </c>
      <c r="H457">
        <v>28.60887</v>
      </c>
      <c r="I457">
        <v>29.127829999999999</v>
      </c>
      <c r="J457">
        <v>24.465959999999999</v>
      </c>
      <c r="K457">
        <v>20.108149999999998</v>
      </c>
      <c r="L457">
        <v>18.245640000000002</v>
      </c>
      <c r="M457">
        <v>15.73258</v>
      </c>
      <c r="N457">
        <v>14.27868</v>
      </c>
    </row>
    <row r="458" spans="1:14" hidden="1" x14ac:dyDescent="0.35">
      <c r="A458" t="s">
        <v>271</v>
      </c>
      <c r="B458" t="s">
        <v>37</v>
      </c>
      <c r="C458" t="s">
        <v>35</v>
      </c>
      <c r="D458" t="s">
        <v>189</v>
      </c>
      <c r="E458" t="s">
        <v>590</v>
      </c>
      <c r="F458" t="s">
        <v>581</v>
      </c>
      <c r="G458" t="s">
        <v>25</v>
      </c>
      <c r="H458">
        <v>8.7249700000000008</v>
      </c>
      <c r="I458">
        <v>8.8653999999999993</v>
      </c>
      <c r="J458">
        <v>7.4504590000000004</v>
      </c>
      <c r="K458">
        <v>6.1224210000000001</v>
      </c>
      <c r="L458">
        <v>5.5538930000000004</v>
      </c>
      <c r="M458">
        <v>4.7842060000000002</v>
      </c>
      <c r="N458">
        <v>4.3382699999999996</v>
      </c>
    </row>
    <row r="459" spans="1:14" hidden="1" x14ac:dyDescent="0.35">
      <c r="A459" t="s">
        <v>271</v>
      </c>
      <c r="B459" t="s">
        <v>37</v>
      </c>
      <c r="C459" t="s">
        <v>35</v>
      </c>
      <c r="D459" t="s">
        <v>189</v>
      </c>
      <c r="E459" t="s">
        <v>590</v>
      </c>
      <c r="F459" t="s">
        <v>26</v>
      </c>
      <c r="G459" t="s">
        <v>26</v>
      </c>
      <c r="H459">
        <v>7.3977700000000004</v>
      </c>
      <c r="I459">
        <v>7.6831199999999997</v>
      </c>
      <c r="J459">
        <v>6.5144089999999997</v>
      </c>
      <c r="K459">
        <v>5.3721509999999997</v>
      </c>
      <c r="L459">
        <v>4.9011110000000002</v>
      </c>
      <c r="M459">
        <v>4.3128919999999997</v>
      </c>
      <c r="N459">
        <v>3.9842909999999998</v>
      </c>
    </row>
    <row r="460" spans="1:14" hidden="1" x14ac:dyDescent="0.35">
      <c r="A460" t="s">
        <v>271</v>
      </c>
      <c r="B460" t="s">
        <v>37</v>
      </c>
      <c r="C460" t="s">
        <v>79</v>
      </c>
      <c r="D460" t="s">
        <v>79</v>
      </c>
      <c r="E460" t="s">
        <v>601</v>
      </c>
      <c r="F460" t="s">
        <v>581</v>
      </c>
      <c r="G460" t="s">
        <v>396</v>
      </c>
      <c r="H460">
        <v>10.832509999999999</v>
      </c>
      <c r="I460">
        <v>9.1170770000000001</v>
      </c>
      <c r="J460">
        <v>7.3114600000000003</v>
      </c>
      <c r="K460">
        <v>5.656212</v>
      </c>
      <c r="L460">
        <v>5.0112379999999996</v>
      </c>
      <c r="M460">
        <v>4.3097810000000001</v>
      </c>
      <c r="N460">
        <v>3.855324</v>
      </c>
    </row>
    <row r="461" spans="1:14" hidden="1" x14ac:dyDescent="0.35">
      <c r="A461" t="s">
        <v>271</v>
      </c>
      <c r="B461" t="s">
        <v>37</v>
      </c>
      <c r="C461" t="s">
        <v>79</v>
      </c>
      <c r="D461" t="s">
        <v>79</v>
      </c>
      <c r="E461" t="s">
        <v>601</v>
      </c>
      <c r="F461" t="s">
        <v>581</v>
      </c>
      <c r="G461" t="s">
        <v>25</v>
      </c>
      <c r="H461">
        <v>2.8331179999999998</v>
      </c>
      <c r="I461">
        <v>2.3833359999999999</v>
      </c>
      <c r="J461">
        <v>1.912226</v>
      </c>
      <c r="K461">
        <v>1.479314</v>
      </c>
      <c r="L461">
        <v>1.3106329999999999</v>
      </c>
      <c r="M461">
        <v>1.12717</v>
      </c>
      <c r="N461">
        <v>1.008318</v>
      </c>
    </row>
    <row r="462" spans="1:14" hidden="1" x14ac:dyDescent="0.35">
      <c r="A462" t="s">
        <v>271</v>
      </c>
      <c r="B462" t="s">
        <v>37</v>
      </c>
      <c r="C462" t="s">
        <v>79</v>
      </c>
      <c r="D462" t="s">
        <v>79</v>
      </c>
      <c r="E462" t="s">
        <v>601</v>
      </c>
      <c r="F462" t="s">
        <v>26</v>
      </c>
      <c r="G462" t="s">
        <v>26</v>
      </c>
      <c r="H462">
        <v>2.9997729999999998</v>
      </c>
      <c r="I462">
        <v>2.5235270000000001</v>
      </c>
      <c r="J462">
        <v>2.0247139999999999</v>
      </c>
      <c r="K462">
        <v>1.566336</v>
      </c>
      <c r="L462">
        <v>1.387729</v>
      </c>
      <c r="M462">
        <v>1.1934800000000001</v>
      </c>
      <c r="N462">
        <v>1.0676270000000001</v>
      </c>
    </row>
    <row r="463" spans="1:14" hidden="1" x14ac:dyDescent="0.35">
      <c r="A463" t="s">
        <v>271</v>
      </c>
      <c r="B463" t="s">
        <v>37</v>
      </c>
      <c r="C463" t="s">
        <v>79</v>
      </c>
      <c r="D463" t="s">
        <v>79</v>
      </c>
      <c r="E463" t="s">
        <v>614</v>
      </c>
      <c r="F463" t="s">
        <v>581</v>
      </c>
      <c r="G463" t="s">
        <v>396</v>
      </c>
      <c r="H463">
        <v>7.9650109999999996</v>
      </c>
      <c r="I463">
        <v>7.9908799999999998</v>
      </c>
      <c r="J463">
        <v>7.6279120000000002</v>
      </c>
      <c r="K463">
        <v>6.1039060000000003</v>
      </c>
      <c r="L463">
        <v>5.084301</v>
      </c>
      <c r="M463">
        <v>4.3227169999999999</v>
      </c>
      <c r="N463">
        <v>3.7521409999999999</v>
      </c>
    </row>
    <row r="464" spans="1:14" hidden="1" x14ac:dyDescent="0.35">
      <c r="A464" t="s">
        <v>271</v>
      </c>
      <c r="B464" t="s">
        <v>37</v>
      </c>
      <c r="C464" t="s">
        <v>79</v>
      </c>
      <c r="D464" t="s">
        <v>79</v>
      </c>
      <c r="E464" t="s">
        <v>614</v>
      </c>
      <c r="F464" t="s">
        <v>581</v>
      </c>
      <c r="G464" t="s">
        <v>25</v>
      </c>
      <c r="H464">
        <v>1.7067859999999999</v>
      </c>
      <c r="I464">
        <v>1.7123360000000001</v>
      </c>
      <c r="J464">
        <v>1.634555</v>
      </c>
      <c r="K464">
        <v>1.3079769999999999</v>
      </c>
      <c r="L464">
        <v>1.089493</v>
      </c>
      <c r="M464">
        <v>0.92629209999999995</v>
      </c>
      <c r="N464">
        <v>0.80403400000000003</v>
      </c>
    </row>
    <row r="465" spans="1:14" hidden="1" x14ac:dyDescent="0.35">
      <c r="A465" t="s">
        <v>271</v>
      </c>
      <c r="B465" t="s">
        <v>37</v>
      </c>
      <c r="C465" t="s">
        <v>79</v>
      </c>
      <c r="D465" t="s">
        <v>79</v>
      </c>
      <c r="E465" t="s">
        <v>614</v>
      </c>
      <c r="F465" t="s">
        <v>26</v>
      </c>
      <c r="G465" t="s">
        <v>26</v>
      </c>
      <c r="H465">
        <v>1.7067889999999999</v>
      </c>
      <c r="I465">
        <v>1.712331</v>
      </c>
      <c r="J465">
        <v>1.634552</v>
      </c>
      <c r="K465">
        <v>1.3079799999999999</v>
      </c>
      <c r="L465">
        <v>1.089493</v>
      </c>
      <c r="M465">
        <v>0.92629709999999998</v>
      </c>
      <c r="N465">
        <v>0.80403020000000003</v>
      </c>
    </row>
    <row r="466" spans="1:14" hidden="1" x14ac:dyDescent="0.35">
      <c r="A466" t="s">
        <v>271</v>
      </c>
      <c r="B466" t="s">
        <v>37</v>
      </c>
      <c r="C466" t="s">
        <v>79</v>
      </c>
      <c r="D466" t="s">
        <v>79</v>
      </c>
      <c r="E466" t="s">
        <v>600</v>
      </c>
      <c r="F466" t="s">
        <v>581</v>
      </c>
      <c r="G466" t="s">
        <v>396</v>
      </c>
      <c r="H466">
        <v>2.8416190000000001</v>
      </c>
      <c r="I466">
        <v>2.4070070000000001</v>
      </c>
      <c r="J466">
        <v>1.616878</v>
      </c>
      <c r="K466">
        <v>1.153734</v>
      </c>
      <c r="L466">
        <v>0.87105809999999995</v>
      </c>
      <c r="M466">
        <v>0.69543390000000005</v>
      </c>
      <c r="N466">
        <v>0.5776964</v>
      </c>
    </row>
    <row r="467" spans="1:14" hidden="1" x14ac:dyDescent="0.35">
      <c r="A467" t="s">
        <v>271</v>
      </c>
      <c r="B467" t="s">
        <v>37</v>
      </c>
      <c r="C467" t="s">
        <v>79</v>
      </c>
      <c r="D467" t="s">
        <v>79</v>
      </c>
      <c r="E467" t="s">
        <v>600</v>
      </c>
      <c r="F467" t="s">
        <v>581</v>
      </c>
      <c r="G467" t="s">
        <v>24</v>
      </c>
      <c r="H467">
        <v>6.4387749999999997</v>
      </c>
      <c r="I467">
        <v>5.1304699999999999</v>
      </c>
      <c r="J467">
        <v>3.4239739999999999</v>
      </c>
      <c r="K467">
        <v>2.4432019999999999</v>
      </c>
      <c r="L467">
        <v>1.8445929999999999</v>
      </c>
      <c r="M467">
        <v>1.4726859999999999</v>
      </c>
      <c r="N467">
        <v>1.223355</v>
      </c>
    </row>
    <row r="468" spans="1:14" hidden="1" x14ac:dyDescent="0.35">
      <c r="A468" t="s">
        <v>271</v>
      </c>
      <c r="B468" t="s">
        <v>37</v>
      </c>
      <c r="C468" t="s">
        <v>79</v>
      </c>
      <c r="D468" t="s">
        <v>79</v>
      </c>
      <c r="E468" t="s">
        <v>600</v>
      </c>
      <c r="F468" t="s">
        <v>581</v>
      </c>
      <c r="G468" t="s">
        <v>25</v>
      </c>
      <c r="H468">
        <v>3.5102329999999999</v>
      </c>
      <c r="I468">
        <v>2.972337</v>
      </c>
      <c r="J468">
        <v>1.997317</v>
      </c>
      <c r="K468">
        <v>1.4252069999999999</v>
      </c>
      <c r="L468">
        <v>1.0760149999999999</v>
      </c>
      <c r="M468">
        <v>0.85906300000000002</v>
      </c>
      <c r="N468">
        <v>0.71362190000000003</v>
      </c>
    </row>
    <row r="469" spans="1:14" hidden="1" x14ac:dyDescent="0.35">
      <c r="A469" t="s">
        <v>271</v>
      </c>
      <c r="B469" t="s">
        <v>37</v>
      </c>
      <c r="C469" t="s">
        <v>79</v>
      </c>
      <c r="D469" t="s">
        <v>79</v>
      </c>
      <c r="E469" t="s">
        <v>600</v>
      </c>
      <c r="F469" t="s">
        <v>26</v>
      </c>
      <c r="G469" t="s">
        <v>26</v>
      </c>
      <c r="H469">
        <v>4.3460049999999999</v>
      </c>
      <c r="I469">
        <v>3.68004</v>
      </c>
      <c r="J469">
        <v>2.4728690000000002</v>
      </c>
      <c r="K469">
        <v>1.764535</v>
      </c>
      <c r="L469">
        <v>1.3322080000000001</v>
      </c>
      <c r="M469">
        <v>1.063607</v>
      </c>
      <c r="N469">
        <v>0.88353700000000002</v>
      </c>
    </row>
    <row r="470" spans="1:14" hidden="1" x14ac:dyDescent="0.35">
      <c r="A470" t="s">
        <v>271</v>
      </c>
      <c r="B470" t="s">
        <v>37</v>
      </c>
      <c r="C470" t="s">
        <v>51</v>
      </c>
      <c r="D470" t="s">
        <v>51</v>
      </c>
      <c r="E470" t="s">
        <v>602</v>
      </c>
      <c r="F470" t="s">
        <v>581</v>
      </c>
      <c r="G470" t="s">
        <v>396</v>
      </c>
      <c r="H470">
        <v>15.15944</v>
      </c>
      <c r="I470">
        <v>14.710470000000001</v>
      </c>
      <c r="J470">
        <v>11.630050000000001</v>
      </c>
      <c r="K470">
        <v>8.5738050000000001</v>
      </c>
      <c r="L470">
        <v>7.1117010000000001</v>
      </c>
      <c r="M470">
        <v>6.1331639999999998</v>
      </c>
      <c r="N470">
        <v>5.0862299999999996</v>
      </c>
    </row>
    <row r="471" spans="1:14" hidden="1" x14ac:dyDescent="0.35">
      <c r="A471" t="s">
        <v>271</v>
      </c>
      <c r="B471" t="s">
        <v>37</v>
      </c>
      <c r="C471" t="s">
        <v>51</v>
      </c>
      <c r="D471" t="s">
        <v>51</v>
      </c>
      <c r="E471" t="s">
        <v>602</v>
      </c>
      <c r="F471" t="s">
        <v>581</v>
      </c>
      <c r="G471" t="s">
        <v>25</v>
      </c>
      <c r="H471">
        <v>3.4860169999999999</v>
      </c>
      <c r="I471">
        <v>3.3934150000000001</v>
      </c>
      <c r="J471">
        <v>2.673476</v>
      </c>
      <c r="K471">
        <v>1.968404</v>
      </c>
      <c r="L471">
        <v>1.631756</v>
      </c>
      <c r="M471">
        <v>1.406792</v>
      </c>
      <c r="N471">
        <v>1.1660600000000001</v>
      </c>
    </row>
    <row r="472" spans="1:14" hidden="1" x14ac:dyDescent="0.35">
      <c r="A472" t="s">
        <v>271</v>
      </c>
      <c r="B472" t="s">
        <v>37</v>
      </c>
      <c r="C472" t="s">
        <v>51</v>
      </c>
      <c r="D472" t="s">
        <v>51</v>
      </c>
      <c r="E472" t="s">
        <v>602</v>
      </c>
      <c r="F472" t="s">
        <v>26</v>
      </c>
      <c r="G472" t="s">
        <v>26</v>
      </c>
      <c r="H472">
        <v>3.913427</v>
      </c>
      <c r="I472">
        <v>3.7679719999999999</v>
      </c>
      <c r="J472">
        <v>2.9723109999999999</v>
      </c>
      <c r="K472">
        <v>2.2015729999999998</v>
      </c>
      <c r="L472">
        <v>1.8281620000000001</v>
      </c>
      <c r="M472">
        <v>1.5767899999999999</v>
      </c>
      <c r="N472">
        <v>1.3100860000000001</v>
      </c>
    </row>
    <row r="473" spans="1:14" hidden="1" x14ac:dyDescent="0.35">
      <c r="A473" t="s">
        <v>271</v>
      </c>
      <c r="B473" t="s">
        <v>37</v>
      </c>
      <c r="C473" t="s">
        <v>51</v>
      </c>
      <c r="D473" t="s">
        <v>51</v>
      </c>
      <c r="E473" t="s">
        <v>584</v>
      </c>
      <c r="F473" t="s">
        <v>581</v>
      </c>
      <c r="G473" t="s">
        <v>396</v>
      </c>
      <c r="H473">
        <v>5.847397E-2</v>
      </c>
      <c r="I473">
        <v>5.2539719999999998E-2</v>
      </c>
      <c r="J473">
        <v>4.7347939999999998E-2</v>
      </c>
      <c r="K473">
        <v>4.2613699999999997E-2</v>
      </c>
      <c r="L473">
        <v>3.835069E-2</v>
      </c>
      <c r="M473">
        <v>3.460274E-2</v>
      </c>
      <c r="N473">
        <v>3.10548E-2</v>
      </c>
    </row>
    <row r="474" spans="1:14" hidden="1" x14ac:dyDescent="0.35">
      <c r="A474" t="s">
        <v>271</v>
      </c>
      <c r="B474" t="s">
        <v>37</v>
      </c>
      <c r="C474" t="s">
        <v>51</v>
      </c>
      <c r="D474" t="s">
        <v>51</v>
      </c>
      <c r="E474" t="s">
        <v>584</v>
      </c>
      <c r="F474" t="s">
        <v>26</v>
      </c>
      <c r="G474" t="s">
        <v>26</v>
      </c>
      <c r="H474">
        <v>3.2684929999999999E-3</v>
      </c>
      <c r="I474">
        <v>2.9506850000000002E-3</v>
      </c>
      <c r="J474">
        <v>2.6493150000000002E-3</v>
      </c>
      <c r="K474">
        <v>2.3835620000000001E-3</v>
      </c>
      <c r="L474">
        <v>2.1452060000000002E-3</v>
      </c>
      <c r="M474">
        <v>1.936987E-3</v>
      </c>
      <c r="N474">
        <v>1.7342460000000001E-3</v>
      </c>
    </row>
    <row r="475" spans="1:14" hidden="1" x14ac:dyDescent="0.35">
      <c r="A475" t="s">
        <v>271</v>
      </c>
      <c r="B475" t="s">
        <v>37</v>
      </c>
      <c r="C475" t="s">
        <v>99</v>
      </c>
      <c r="D475" t="s">
        <v>101</v>
      </c>
      <c r="E475" t="s">
        <v>634</v>
      </c>
      <c r="F475" t="s">
        <v>581</v>
      </c>
      <c r="G475" t="s">
        <v>396</v>
      </c>
      <c r="H475">
        <v>14.042490000000001</v>
      </c>
      <c r="I475">
        <v>13.36082</v>
      </c>
      <c r="J475">
        <v>11.312900000000001</v>
      </c>
      <c r="K475">
        <v>9.2236829999999994</v>
      </c>
      <c r="L475">
        <v>8.1497259999999994</v>
      </c>
      <c r="M475">
        <v>7.2471969999999999</v>
      </c>
      <c r="N475">
        <v>6.3302120000000004</v>
      </c>
    </row>
    <row r="476" spans="1:14" hidden="1" x14ac:dyDescent="0.35">
      <c r="A476" t="s">
        <v>271</v>
      </c>
      <c r="B476" t="s">
        <v>37</v>
      </c>
      <c r="C476" t="s">
        <v>99</v>
      </c>
      <c r="D476" t="s">
        <v>101</v>
      </c>
      <c r="E476" t="s">
        <v>634</v>
      </c>
      <c r="F476" t="s">
        <v>581</v>
      </c>
      <c r="G476" t="s">
        <v>25</v>
      </c>
      <c r="H476">
        <v>1.0626709999999999</v>
      </c>
      <c r="I476">
        <v>1.031666</v>
      </c>
      <c r="J476">
        <v>0.8545758</v>
      </c>
      <c r="K476">
        <v>0.66734740000000004</v>
      </c>
      <c r="L476">
        <v>0.58451120000000001</v>
      </c>
      <c r="M476">
        <v>0.51610420000000001</v>
      </c>
      <c r="N476">
        <v>0.44472159999999999</v>
      </c>
    </row>
    <row r="477" spans="1:14" hidden="1" x14ac:dyDescent="0.35">
      <c r="A477" t="s">
        <v>271</v>
      </c>
      <c r="B477" t="s">
        <v>37</v>
      </c>
      <c r="C477" t="s">
        <v>99</v>
      </c>
      <c r="D477" t="s">
        <v>101</v>
      </c>
      <c r="E477" t="s">
        <v>634</v>
      </c>
      <c r="F477" t="s">
        <v>26</v>
      </c>
      <c r="G477" t="s">
        <v>26</v>
      </c>
      <c r="H477">
        <v>2.6673619999999998</v>
      </c>
      <c r="I477">
        <v>2.5154070000000002</v>
      </c>
      <c r="J477">
        <v>2.1504120000000002</v>
      </c>
      <c r="K477">
        <v>1.7826960000000001</v>
      </c>
      <c r="L477">
        <v>1.5802620000000001</v>
      </c>
      <c r="M477">
        <v>1.4089339999999999</v>
      </c>
      <c r="N477">
        <v>1.236739</v>
      </c>
    </row>
    <row r="478" spans="1:14" hidden="1" x14ac:dyDescent="0.35">
      <c r="A478" t="s">
        <v>271</v>
      </c>
      <c r="B478" t="s">
        <v>37</v>
      </c>
      <c r="C478" t="s">
        <v>266</v>
      </c>
      <c r="D478" t="s">
        <v>266</v>
      </c>
      <c r="E478" t="s">
        <v>584</v>
      </c>
      <c r="F478" t="s">
        <v>581</v>
      </c>
      <c r="G478" t="s">
        <v>396</v>
      </c>
      <c r="H478">
        <v>0.1367671</v>
      </c>
      <c r="I478">
        <v>9.1679449999999996E-2</v>
      </c>
      <c r="J478">
        <v>6.1454790000000002E-2</v>
      </c>
      <c r="K478">
        <v>4.1194519999999998E-2</v>
      </c>
      <c r="L478">
        <v>2.7613700000000001E-2</v>
      </c>
      <c r="M478">
        <v>0</v>
      </c>
      <c r="N478">
        <v>0</v>
      </c>
    </row>
    <row r="479" spans="1:14" hidden="1" x14ac:dyDescent="0.35">
      <c r="A479" t="s">
        <v>271</v>
      </c>
      <c r="B479" t="s">
        <v>37</v>
      </c>
      <c r="C479" t="s">
        <v>266</v>
      </c>
      <c r="D479" t="s">
        <v>266</v>
      </c>
      <c r="E479" t="s">
        <v>584</v>
      </c>
      <c r="F479" t="s">
        <v>581</v>
      </c>
      <c r="G479" t="s">
        <v>24</v>
      </c>
      <c r="H479">
        <v>1.427397E-3</v>
      </c>
      <c r="I479">
        <v>9.6164389999999996E-4</v>
      </c>
      <c r="J479">
        <v>0</v>
      </c>
    </row>
    <row r="480" spans="1:14" hidden="1" x14ac:dyDescent="0.35">
      <c r="A480" t="s">
        <v>271</v>
      </c>
      <c r="B480" t="s">
        <v>37</v>
      </c>
      <c r="C480" t="s">
        <v>266</v>
      </c>
      <c r="D480" t="s">
        <v>266</v>
      </c>
      <c r="E480" t="s">
        <v>584</v>
      </c>
      <c r="F480" t="s">
        <v>26</v>
      </c>
      <c r="G480" t="s">
        <v>26</v>
      </c>
      <c r="H480">
        <v>1.6707810000000001</v>
      </c>
      <c r="I480">
        <v>1.5970569999999999</v>
      </c>
      <c r="J480">
        <v>1.5260659999999999</v>
      </c>
      <c r="K480">
        <v>1.445891</v>
      </c>
      <c r="L480">
        <v>1.351936</v>
      </c>
      <c r="M480">
        <v>0</v>
      </c>
      <c r="N480">
        <v>0</v>
      </c>
    </row>
    <row r="481" spans="1:14" hidden="1" x14ac:dyDescent="0.35">
      <c r="A481" t="s">
        <v>271</v>
      </c>
      <c r="B481" t="s">
        <v>37</v>
      </c>
      <c r="C481" t="s">
        <v>46</v>
      </c>
      <c r="D481" t="s">
        <v>46</v>
      </c>
      <c r="E481" t="s">
        <v>584</v>
      </c>
      <c r="F481" t="s">
        <v>581</v>
      </c>
      <c r="G481" t="s">
        <v>396</v>
      </c>
      <c r="H481">
        <v>8.0273970000000004E-4</v>
      </c>
      <c r="I481">
        <v>0</v>
      </c>
    </row>
    <row r="482" spans="1:14" hidden="1" x14ac:dyDescent="0.35">
      <c r="A482" t="s">
        <v>271</v>
      </c>
      <c r="B482" t="s">
        <v>37</v>
      </c>
      <c r="C482" t="s">
        <v>46</v>
      </c>
      <c r="D482" t="s">
        <v>46</v>
      </c>
      <c r="E482" t="s">
        <v>584</v>
      </c>
      <c r="F482" t="s">
        <v>581</v>
      </c>
      <c r="G482" t="s">
        <v>24</v>
      </c>
      <c r="H482">
        <v>8.0273970000000004E-4</v>
      </c>
      <c r="I482">
        <v>0</v>
      </c>
    </row>
    <row r="483" spans="1:14" hidden="1" x14ac:dyDescent="0.35">
      <c r="A483" t="s">
        <v>271</v>
      </c>
      <c r="B483" t="s">
        <v>37</v>
      </c>
      <c r="C483" t="s">
        <v>46</v>
      </c>
      <c r="D483" t="s">
        <v>46</v>
      </c>
      <c r="E483" t="s">
        <v>584</v>
      </c>
      <c r="F483" t="s">
        <v>26</v>
      </c>
      <c r="G483" t="s">
        <v>26</v>
      </c>
      <c r="H483">
        <v>0.1871507</v>
      </c>
      <c r="I483">
        <v>0.1871507</v>
      </c>
      <c r="J483">
        <v>0.1871507</v>
      </c>
      <c r="K483">
        <v>0.1871507</v>
      </c>
      <c r="L483">
        <v>0.1871507</v>
      </c>
      <c r="M483">
        <v>0.1871507</v>
      </c>
      <c r="N483">
        <v>0.1871507</v>
      </c>
    </row>
    <row r="484" spans="1:14" hidden="1" x14ac:dyDescent="0.35">
      <c r="A484" t="s">
        <v>271</v>
      </c>
      <c r="B484" t="s">
        <v>37</v>
      </c>
      <c r="C484" t="s">
        <v>118</v>
      </c>
      <c r="D484" t="s">
        <v>118</v>
      </c>
      <c r="E484" t="s">
        <v>584</v>
      </c>
      <c r="F484" t="s">
        <v>581</v>
      </c>
      <c r="G484" t="s">
        <v>396</v>
      </c>
      <c r="H484">
        <v>4.1479450000000001E-3</v>
      </c>
      <c r="I484">
        <v>3.7424659999999998E-3</v>
      </c>
      <c r="J484">
        <v>3.3589039999999998E-3</v>
      </c>
      <c r="K484">
        <v>3.0219180000000002E-3</v>
      </c>
      <c r="L484">
        <v>2.7205480000000002E-3</v>
      </c>
      <c r="M484">
        <v>2.4547940000000002E-3</v>
      </c>
      <c r="N484">
        <v>2.2027399999999999E-3</v>
      </c>
    </row>
    <row r="485" spans="1:14" hidden="1" x14ac:dyDescent="0.35">
      <c r="A485" t="s">
        <v>271</v>
      </c>
      <c r="B485" t="s">
        <v>37</v>
      </c>
      <c r="C485" t="s">
        <v>118</v>
      </c>
      <c r="D485" t="s">
        <v>118</v>
      </c>
      <c r="E485" t="s">
        <v>584</v>
      </c>
      <c r="F485" t="s">
        <v>581</v>
      </c>
      <c r="G485" t="s">
        <v>25</v>
      </c>
      <c r="H485">
        <v>7.272054E-2</v>
      </c>
      <c r="I485">
        <v>6.5616439999999998E-2</v>
      </c>
      <c r="J485">
        <v>5.8884939999999997E-2</v>
      </c>
      <c r="K485">
        <v>5.2994520000000003E-2</v>
      </c>
      <c r="L485">
        <v>4.7693149999999997E-2</v>
      </c>
      <c r="M485">
        <v>4.3035619999999997E-2</v>
      </c>
      <c r="N485">
        <v>3.8621919999999997E-2</v>
      </c>
    </row>
    <row r="486" spans="1:14" hidden="1" x14ac:dyDescent="0.35">
      <c r="A486" t="s">
        <v>271</v>
      </c>
      <c r="B486" t="s">
        <v>37</v>
      </c>
      <c r="C486" t="s">
        <v>118</v>
      </c>
      <c r="D486" t="s">
        <v>118</v>
      </c>
      <c r="E486" t="s">
        <v>584</v>
      </c>
      <c r="F486" t="s">
        <v>26</v>
      </c>
      <c r="G486" t="s">
        <v>26</v>
      </c>
      <c r="H486">
        <v>0.14323839999999999</v>
      </c>
      <c r="I486">
        <v>0.12924659999999999</v>
      </c>
      <c r="J486">
        <v>0.1159863</v>
      </c>
      <c r="K486">
        <v>0.1043863</v>
      </c>
      <c r="L486">
        <v>9.3945210000000001E-2</v>
      </c>
      <c r="M486">
        <v>8.4769860000000002E-2</v>
      </c>
      <c r="N486">
        <v>7.6071239999999998E-2</v>
      </c>
    </row>
    <row r="487" spans="1:14" hidden="1" x14ac:dyDescent="0.35">
      <c r="A487" t="s">
        <v>271</v>
      </c>
      <c r="B487" t="s">
        <v>37</v>
      </c>
      <c r="C487" t="s">
        <v>248</v>
      </c>
      <c r="D487" t="s">
        <v>248</v>
      </c>
      <c r="E487" t="s">
        <v>635</v>
      </c>
      <c r="F487" t="s">
        <v>581</v>
      </c>
      <c r="G487" t="s">
        <v>396</v>
      </c>
      <c r="H487">
        <v>2.984384E-2</v>
      </c>
      <c r="I487">
        <v>5.9417530000000003E-2</v>
      </c>
      <c r="J487">
        <v>9.4528210000000001E-2</v>
      </c>
      <c r="K487">
        <v>8.3436709999999997E-2</v>
      </c>
      <c r="L487">
        <v>8.7859729999999997E-2</v>
      </c>
      <c r="M487">
        <v>7.1569320000000006E-2</v>
      </c>
      <c r="N487">
        <v>5.5366579999999999E-2</v>
      </c>
    </row>
    <row r="488" spans="1:14" hidden="1" x14ac:dyDescent="0.35">
      <c r="A488" t="s">
        <v>271</v>
      </c>
      <c r="B488" t="s">
        <v>37</v>
      </c>
      <c r="C488" t="s">
        <v>248</v>
      </c>
      <c r="D488" t="s">
        <v>248</v>
      </c>
      <c r="E488" t="s">
        <v>635</v>
      </c>
      <c r="F488" t="s">
        <v>581</v>
      </c>
      <c r="G488" t="s">
        <v>24</v>
      </c>
      <c r="H488">
        <v>5.8630140000000004E-4</v>
      </c>
      <c r="I488">
        <v>1.254795E-3</v>
      </c>
      <c r="J488">
        <v>1.9906849999999999E-3</v>
      </c>
      <c r="K488">
        <v>1.7572600000000001E-3</v>
      </c>
      <c r="L488">
        <v>1.8476709999999999E-3</v>
      </c>
      <c r="M488">
        <v>1.506301E-3</v>
      </c>
      <c r="N488">
        <v>1.1638359999999999E-3</v>
      </c>
    </row>
    <row r="489" spans="1:14" hidden="1" x14ac:dyDescent="0.35">
      <c r="A489" t="s">
        <v>271</v>
      </c>
      <c r="B489" t="s">
        <v>37</v>
      </c>
      <c r="C489" t="s">
        <v>248</v>
      </c>
      <c r="D489" t="s">
        <v>248</v>
      </c>
      <c r="E489" t="s">
        <v>635</v>
      </c>
      <c r="F489" t="s">
        <v>581</v>
      </c>
      <c r="G489" t="s">
        <v>25</v>
      </c>
      <c r="H489">
        <v>6.657535E-4</v>
      </c>
      <c r="I489">
        <v>1.3304110000000001E-3</v>
      </c>
      <c r="J489">
        <v>2.1139729999999999E-3</v>
      </c>
      <c r="K489">
        <v>1.86411E-3</v>
      </c>
      <c r="L489">
        <v>1.9698630000000001E-3</v>
      </c>
      <c r="M489">
        <v>1.6000000000000001E-3</v>
      </c>
      <c r="N489">
        <v>1.23726E-3</v>
      </c>
    </row>
    <row r="490" spans="1:14" hidden="1" x14ac:dyDescent="0.35">
      <c r="A490" t="s">
        <v>271</v>
      </c>
      <c r="B490" t="s">
        <v>37</v>
      </c>
      <c r="C490" t="s">
        <v>248</v>
      </c>
      <c r="D490" t="s">
        <v>248</v>
      </c>
      <c r="E490" t="s">
        <v>635</v>
      </c>
      <c r="F490" t="s">
        <v>26</v>
      </c>
      <c r="G490" t="s">
        <v>26</v>
      </c>
      <c r="H490">
        <v>3.342466E-4</v>
      </c>
      <c r="I490">
        <v>6.6410959999999995E-4</v>
      </c>
      <c r="J490">
        <v>1.0586300000000001E-3</v>
      </c>
      <c r="K490">
        <v>9.3315080000000005E-4</v>
      </c>
      <c r="L490">
        <v>9.8191779999999996E-4</v>
      </c>
      <c r="M490">
        <v>7.9890400000000002E-4</v>
      </c>
      <c r="N490">
        <v>6.1917809999999999E-4</v>
      </c>
    </row>
    <row r="491" spans="1:14" hidden="1" x14ac:dyDescent="0.35">
      <c r="A491" t="s">
        <v>271</v>
      </c>
      <c r="B491" t="s">
        <v>34</v>
      </c>
      <c r="C491" t="s">
        <v>33</v>
      </c>
      <c r="D491" t="s">
        <v>33</v>
      </c>
      <c r="E491" t="s">
        <v>605</v>
      </c>
      <c r="F491" t="s">
        <v>581</v>
      </c>
      <c r="G491" t="s">
        <v>24</v>
      </c>
      <c r="H491">
        <v>0.34188770000000002</v>
      </c>
      <c r="I491">
        <v>0.32490960000000002</v>
      </c>
      <c r="J491">
        <v>0.29665429999999998</v>
      </c>
      <c r="K491">
        <v>0.25217970000000001</v>
      </c>
      <c r="L491">
        <v>0.22087780000000001</v>
      </c>
      <c r="M491">
        <v>0.19701640000000001</v>
      </c>
      <c r="N491">
        <v>0.17575180000000001</v>
      </c>
    </row>
    <row r="492" spans="1:14" hidden="1" x14ac:dyDescent="0.35">
      <c r="A492" t="s">
        <v>271</v>
      </c>
      <c r="B492" t="s">
        <v>34</v>
      </c>
      <c r="C492" t="s">
        <v>33</v>
      </c>
      <c r="D492" t="s">
        <v>33</v>
      </c>
      <c r="E492" t="s">
        <v>605</v>
      </c>
      <c r="F492" t="s">
        <v>581</v>
      </c>
      <c r="G492" t="s">
        <v>25</v>
      </c>
      <c r="H492">
        <v>15.836819999999999</v>
      </c>
      <c r="I492">
        <v>16.815809999999999</v>
      </c>
      <c r="J492">
        <v>16.25141</v>
      </c>
      <c r="K492">
        <v>13.98437</v>
      </c>
      <c r="L492">
        <v>12.07701</v>
      </c>
      <c r="M492">
        <v>10.757630000000001</v>
      </c>
      <c r="N492">
        <v>9.5642429999999994</v>
      </c>
    </row>
    <row r="493" spans="1:14" hidden="1" x14ac:dyDescent="0.35">
      <c r="A493" t="s">
        <v>271</v>
      </c>
      <c r="B493" t="s">
        <v>34</v>
      </c>
      <c r="C493" t="s">
        <v>33</v>
      </c>
      <c r="D493" t="s">
        <v>33</v>
      </c>
      <c r="E493" t="s">
        <v>605</v>
      </c>
      <c r="F493" t="s">
        <v>26</v>
      </c>
      <c r="G493" t="s">
        <v>26</v>
      </c>
      <c r="H493">
        <v>110.9051</v>
      </c>
      <c r="I493">
        <v>118.44750000000001</v>
      </c>
      <c r="J493">
        <v>120.98699999999999</v>
      </c>
      <c r="K493">
        <v>106.70050000000001</v>
      </c>
      <c r="L493">
        <v>91.108310000000003</v>
      </c>
      <c r="M493">
        <v>80.372020000000006</v>
      </c>
      <c r="N493">
        <v>71.227680000000007</v>
      </c>
    </row>
    <row r="494" spans="1:14" hidden="1" x14ac:dyDescent="0.35">
      <c r="A494" t="s">
        <v>271</v>
      </c>
      <c r="B494" t="s">
        <v>34</v>
      </c>
      <c r="C494" t="s">
        <v>33</v>
      </c>
      <c r="D494" t="s">
        <v>33</v>
      </c>
      <c r="E494" t="s">
        <v>604</v>
      </c>
      <c r="F494" t="s">
        <v>581</v>
      </c>
      <c r="G494" t="s">
        <v>25</v>
      </c>
      <c r="H494">
        <v>29.01661</v>
      </c>
      <c r="I494">
        <v>25.764890000000001</v>
      </c>
      <c r="J494">
        <v>32.262970000000003</v>
      </c>
      <c r="K494">
        <v>30.198409999999999</v>
      </c>
      <c r="L494">
        <v>24.778780000000001</v>
      </c>
      <c r="M494">
        <v>20.623899999999999</v>
      </c>
      <c r="N494">
        <v>17.641079999999999</v>
      </c>
    </row>
    <row r="495" spans="1:14" hidden="1" x14ac:dyDescent="0.35">
      <c r="A495" t="s">
        <v>271</v>
      </c>
      <c r="B495" t="s">
        <v>34</v>
      </c>
      <c r="C495" t="s">
        <v>33</v>
      </c>
      <c r="D495" t="s">
        <v>33</v>
      </c>
      <c r="E495" t="s">
        <v>604</v>
      </c>
      <c r="F495" t="s">
        <v>26</v>
      </c>
      <c r="G495" t="s">
        <v>26</v>
      </c>
      <c r="H495">
        <v>35.879260000000002</v>
      </c>
      <c r="I495">
        <v>31.86497</v>
      </c>
      <c r="J495">
        <v>39.768630000000002</v>
      </c>
      <c r="K495">
        <v>37.2117</v>
      </c>
      <c r="L495">
        <v>30.55744</v>
      </c>
      <c r="M495">
        <v>25.452680000000001</v>
      </c>
      <c r="N495">
        <v>21.781790000000001</v>
      </c>
    </row>
    <row r="496" spans="1:14" hidden="1" x14ac:dyDescent="0.35">
      <c r="A496" t="s">
        <v>271</v>
      </c>
      <c r="B496" t="s">
        <v>34</v>
      </c>
      <c r="C496" t="s">
        <v>33</v>
      </c>
      <c r="D496" t="s">
        <v>33</v>
      </c>
      <c r="E496" t="s">
        <v>636</v>
      </c>
      <c r="F496" t="s">
        <v>581</v>
      </c>
      <c r="G496" t="s">
        <v>24</v>
      </c>
      <c r="H496">
        <v>9.5717819999999995E-2</v>
      </c>
      <c r="I496">
        <v>7.0030129999999996E-2</v>
      </c>
      <c r="J496">
        <v>5.6317810000000003E-2</v>
      </c>
      <c r="K496">
        <v>4.8154519999999999E-2</v>
      </c>
      <c r="L496">
        <v>4.2255889999999997E-2</v>
      </c>
      <c r="M496">
        <v>3.7713969999999999E-2</v>
      </c>
      <c r="N496">
        <v>3.3727670000000001E-2</v>
      </c>
    </row>
    <row r="497" spans="1:14" hidden="1" x14ac:dyDescent="0.35">
      <c r="A497" t="s">
        <v>271</v>
      </c>
      <c r="B497" t="s">
        <v>34</v>
      </c>
      <c r="C497" t="s">
        <v>33</v>
      </c>
      <c r="D497" t="s">
        <v>33</v>
      </c>
      <c r="E497" t="s">
        <v>636</v>
      </c>
      <c r="F497" t="s">
        <v>581</v>
      </c>
      <c r="G497" t="s">
        <v>25</v>
      </c>
      <c r="H497">
        <v>4.5101969999999998</v>
      </c>
      <c r="I497">
        <v>3.2914469999999998</v>
      </c>
      <c r="J497">
        <v>2.646989</v>
      </c>
      <c r="K497">
        <v>2.263277</v>
      </c>
      <c r="L497">
        <v>1.9860500000000001</v>
      </c>
      <c r="M497">
        <v>1.7725550000000001</v>
      </c>
      <c r="N497">
        <v>1.5852059999999999</v>
      </c>
    </row>
    <row r="498" spans="1:14" hidden="1" x14ac:dyDescent="0.35">
      <c r="A498" t="s">
        <v>271</v>
      </c>
      <c r="B498" t="s">
        <v>34</v>
      </c>
      <c r="C498" t="s">
        <v>33</v>
      </c>
      <c r="D498" t="s">
        <v>33</v>
      </c>
      <c r="E498" t="s">
        <v>636</v>
      </c>
      <c r="F498" t="s">
        <v>26</v>
      </c>
      <c r="G498" t="s">
        <v>26</v>
      </c>
      <c r="H498">
        <v>5.0395950000000003</v>
      </c>
      <c r="I498">
        <v>3.6608990000000001</v>
      </c>
      <c r="J498">
        <v>2.9440979999999999</v>
      </c>
      <c r="K498">
        <v>2.5173190000000001</v>
      </c>
      <c r="L498">
        <v>2.2089729999999999</v>
      </c>
      <c r="M498">
        <v>1.9715149999999999</v>
      </c>
      <c r="N498">
        <v>1.7631399999999999</v>
      </c>
    </row>
    <row r="499" spans="1:14" hidden="1" x14ac:dyDescent="0.35">
      <c r="A499" t="s">
        <v>271</v>
      </c>
      <c r="B499" t="s">
        <v>34</v>
      </c>
      <c r="C499" t="s">
        <v>33</v>
      </c>
      <c r="D499" t="s">
        <v>33</v>
      </c>
      <c r="E499" t="s">
        <v>622</v>
      </c>
      <c r="F499" t="s">
        <v>26</v>
      </c>
      <c r="G499" t="s">
        <v>26</v>
      </c>
      <c r="H499">
        <v>6.4660789999999997</v>
      </c>
      <c r="I499">
        <v>5.8316350000000003</v>
      </c>
      <c r="J499">
        <v>5.2332489999999998</v>
      </c>
      <c r="K499">
        <v>4.7098519999999997</v>
      </c>
      <c r="L499">
        <v>4.2388029999999999</v>
      </c>
      <c r="M499">
        <v>3.824773</v>
      </c>
      <c r="N499">
        <v>3.432334</v>
      </c>
    </row>
    <row r="500" spans="1:14" hidden="1" x14ac:dyDescent="0.35">
      <c r="A500" t="s">
        <v>271</v>
      </c>
      <c r="B500" t="s">
        <v>34</v>
      </c>
      <c r="C500" t="s">
        <v>33</v>
      </c>
      <c r="D500" t="s">
        <v>33</v>
      </c>
      <c r="E500" t="s">
        <v>637</v>
      </c>
      <c r="F500" t="s">
        <v>581</v>
      </c>
      <c r="G500" t="s">
        <v>25</v>
      </c>
      <c r="H500">
        <v>0.67212870000000002</v>
      </c>
      <c r="I500">
        <v>0.59218630000000005</v>
      </c>
      <c r="J500">
        <v>0.5253698</v>
      </c>
      <c r="K500">
        <v>0.4699123</v>
      </c>
      <c r="L500">
        <v>0.42145480000000002</v>
      </c>
      <c r="M500">
        <v>0.37959999999999999</v>
      </c>
      <c r="N500">
        <v>0.34040550000000003</v>
      </c>
    </row>
    <row r="501" spans="1:14" hidden="1" x14ac:dyDescent="0.35">
      <c r="A501" t="s">
        <v>271</v>
      </c>
      <c r="B501" t="s">
        <v>34</v>
      </c>
      <c r="C501" t="s">
        <v>33</v>
      </c>
      <c r="D501" t="s">
        <v>33</v>
      </c>
      <c r="E501" t="s">
        <v>637</v>
      </c>
      <c r="F501" t="s">
        <v>26</v>
      </c>
      <c r="G501" t="s">
        <v>26</v>
      </c>
      <c r="H501">
        <v>4.9289670000000001</v>
      </c>
      <c r="I501">
        <v>4.3427009999999999</v>
      </c>
      <c r="J501">
        <v>3.8526899999999999</v>
      </c>
      <c r="K501">
        <v>3.4460299999999999</v>
      </c>
      <c r="L501">
        <v>3.0906549999999999</v>
      </c>
      <c r="M501">
        <v>2.7837230000000002</v>
      </c>
      <c r="N501">
        <v>2.4963069999999998</v>
      </c>
    </row>
    <row r="502" spans="1:14" hidden="1" x14ac:dyDescent="0.35">
      <c r="A502" t="s">
        <v>271</v>
      </c>
      <c r="B502" t="s">
        <v>34</v>
      </c>
      <c r="C502" t="s">
        <v>33</v>
      </c>
      <c r="D502" t="s">
        <v>33</v>
      </c>
      <c r="E502" t="s">
        <v>584</v>
      </c>
      <c r="F502" t="s">
        <v>26</v>
      </c>
      <c r="G502" t="s">
        <v>26</v>
      </c>
      <c r="H502">
        <v>1.7882929999999999</v>
      </c>
      <c r="I502">
        <v>1.7722819999999999</v>
      </c>
      <c r="J502">
        <v>0.97972610000000004</v>
      </c>
      <c r="K502">
        <v>0.97972610000000004</v>
      </c>
      <c r="L502">
        <v>0.97972610000000004</v>
      </c>
      <c r="M502">
        <v>0.97972610000000004</v>
      </c>
      <c r="N502">
        <v>0.97972610000000004</v>
      </c>
    </row>
    <row r="503" spans="1:14" hidden="1" x14ac:dyDescent="0.35">
      <c r="A503" t="s">
        <v>271</v>
      </c>
      <c r="B503" t="s">
        <v>34</v>
      </c>
      <c r="C503" t="s">
        <v>33</v>
      </c>
      <c r="D503" t="s">
        <v>33</v>
      </c>
      <c r="E503" t="s">
        <v>638</v>
      </c>
      <c r="F503" t="s">
        <v>581</v>
      </c>
      <c r="G503" t="s">
        <v>396</v>
      </c>
      <c r="K503">
        <v>0</v>
      </c>
      <c r="L503">
        <v>6.5879450000000004E-3</v>
      </c>
      <c r="M503">
        <v>4.6252059999999998E-3</v>
      </c>
      <c r="N503">
        <v>3.1567119999999999E-3</v>
      </c>
    </row>
    <row r="504" spans="1:14" hidden="1" x14ac:dyDescent="0.35">
      <c r="A504" t="s">
        <v>271</v>
      </c>
      <c r="B504" t="s">
        <v>34</v>
      </c>
      <c r="C504" t="s">
        <v>33</v>
      </c>
      <c r="D504" t="s">
        <v>33</v>
      </c>
      <c r="E504" t="s">
        <v>638</v>
      </c>
      <c r="F504" t="s">
        <v>581</v>
      </c>
      <c r="G504" t="s">
        <v>24</v>
      </c>
      <c r="H504">
        <v>1.549589E-2</v>
      </c>
      <c r="I504">
        <v>1.345205E-2</v>
      </c>
      <c r="J504">
        <v>1.169041E-2</v>
      </c>
      <c r="K504">
        <v>1.032603E-2</v>
      </c>
      <c r="L504">
        <v>5.5318359999999997E-2</v>
      </c>
      <c r="M504">
        <v>4.0655339999999998E-2</v>
      </c>
      <c r="N504">
        <v>2.9532059999999999E-2</v>
      </c>
    </row>
    <row r="505" spans="1:14" hidden="1" x14ac:dyDescent="0.35">
      <c r="A505" t="s">
        <v>271</v>
      </c>
      <c r="B505" t="s">
        <v>34</v>
      </c>
      <c r="C505" t="s">
        <v>33</v>
      </c>
      <c r="D505" t="s">
        <v>33</v>
      </c>
      <c r="E505" t="s">
        <v>638</v>
      </c>
      <c r="F505" t="s">
        <v>581</v>
      </c>
      <c r="G505" t="s">
        <v>25</v>
      </c>
      <c r="H505">
        <v>2.6410960000000001E-2</v>
      </c>
      <c r="I505">
        <v>2.2868490000000002E-2</v>
      </c>
      <c r="J505">
        <v>1.9876709999999999E-2</v>
      </c>
      <c r="K505">
        <v>1.755342E-2</v>
      </c>
      <c r="L505">
        <v>2.8825750000000001E-2</v>
      </c>
      <c r="M505">
        <v>2.3327669999999998E-2</v>
      </c>
      <c r="N505">
        <v>1.894411E-2</v>
      </c>
    </row>
    <row r="506" spans="1:14" hidden="1" x14ac:dyDescent="0.35">
      <c r="A506" t="s">
        <v>271</v>
      </c>
      <c r="B506" t="s">
        <v>34</v>
      </c>
      <c r="C506" t="s">
        <v>33</v>
      </c>
      <c r="D506" t="s">
        <v>33</v>
      </c>
      <c r="E506" t="s">
        <v>638</v>
      </c>
      <c r="F506" t="s">
        <v>26</v>
      </c>
      <c r="G506" t="s">
        <v>26</v>
      </c>
      <c r="H506">
        <v>0.114537</v>
      </c>
      <c r="I506">
        <v>9.8728220000000005E-2</v>
      </c>
      <c r="J506">
        <v>8.5800000000000001E-2</v>
      </c>
      <c r="K506">
        <v>7.5783009999999998E-2</v>
      </c>
      <c r="L506">
        <v>0.13378470000000001</v>
      </c>
      <c r="M506">
        <v>0.1072679</v>
      </c>
      <c r="N506">
        <v>8.6265750000000002E-2</v>
      </c>
    </row>
    <row r="507" spans="1:14" hidden="1" x14ac:dyDescent="0.35">
      <c r="A507" t="s">
        <v>271</v>
      </c>
      <c r="B507" t="s">
        <v>174</v>
      </c>
      <c r="C507" t="s">
        <v>203</v>
      </c>
      <c r="D507" t="s">
        <v>203</v>
      </c>
      <c r="E507" t="s">
        <v>584</v>
      </c>
      <c r="F507" t="s">
        <v>581</v>
      </c>
      <c r="G507" t="s">
        <v>396</v>
      </c>
      <c r="H507">
        <v>2.2541220000000002</v>
      </c>
      <c r="I507">
        <v>1.8454349999999999</v>
      </c>
      <c r="J507">
        <v>1.508548</v>
      </c>
      <c r="K507">
        <v>1.2191399999999999</v>
      </c>
      <c r="L507">
        <v>0.96613340000000003</v>
      </c>
      <c r="M507">
        <v>0</v>
      </c>
      <c r="N507">
        <v>0</v>
      </c>
    </row>
    <row r="508" spans="1:14" hidden="1" x14ac:dyDescent="0.35">
      <c r="A508" t="s">
        <v>271</v>
      </c>
      <c r="B508" t="s">
        <v>174</v>
      </c>
      <c r="C508" t="s">
        <v>272</v>
      </c>
      <c r="D508" t="s">
        <v>272</v>
      </c>
      <c r="E508" t="s">
        <v>584</v>
      </c>
      <c r="F508" t="s">
        <v>581</v>
      </c>
      <c r="G508" t="s">
        <v>396</v>
      </c>
      <c r="H508">
        <v>1.061355</v>
      </c>
      <c r="I508">
        <v>0.91244179999999997</v>
      </c>
      <c r="J508">
        <v>0.78442140000000005</v>
      </c>
      <c r="K508">
        <v>0.6743635</v>
      </c>
      <c r="L508">
        <v>0.57974789999999998</v>
      </c>
      <c r="M508">
        <v>9.9681309999999995E-2</v>
      </c>
      <c r="N508">
        <v>8.5695499999999994E-2</v>
      </c>
    </row>
    <row r="509" spans="1:14" hidden="1" x14ac:dyDescent="0.35">
      <c r="A509" t="s">
        <v>639</v>
      </c>
      <c r="B509" t="s">
        <v>37</v>
      </c>
      <c r="C509" t="s">
        <v>63</v>
      </c>
      <c r="D509" t="s">
        <v>63</v>
      </c>
      <c r="E509" t="s">
        <v>610</v>
      </c>
      <c r="F509" t="s">
        <v>581</v>
      </c>
      <c r="G509" t="s">
        <v>24</v>
      </c>
      <c r="H509">
        <v>6.4972599999999998</v>
      </c>
      <c r="I509">
        <v>9.664771</v>
      </c>
      <c r="J509">
        <v>8.6065559999999994</v>
      </c>
      <c r="K509">
        <v>7.1558229999999998</v>
      </c>
      <c r="L509">
        <v>6.1776450000000001</v>
      </c>
      <c r="M509">
        <v>5.4483699999999997</v>
      </c>
      <c r="N509">
        <v>4.8136359999999998</v>
      </c>
    </row>
    <row r="510" spans="1:14" hidden="1" x14ac:dyDescent="0.35">
      <c r="A510" t="s">
        <v>639</v>
      </c>
      <c r="B510" t="s">
        <v>37</v>
      </c>
      <c r="C510" t="s">
        <v>63</v>
      </c>
      <c r="D510" t="s">
        <v>63</v>
      </c>
      <c r="E510" t="s">
        <v>610</v>
      </c>
      <c r="F510" t="s">
        <v>581</v>
      </c>
      <c r="G510" t="s">
        <v>25</v>
      </c>
      <c r="H510">
        <v>138.26589999999999</v>
      </c>
      <c r="I510">
        <v>151.84100000000001</v>
      </c>
      <c r="J510">
        <v>133.4016</v>
      </c>
      <c r="K510">
        <v>110.9152</v>
      </c>
      <c r="L510">
        <v>95.753469999999993</v>
      </c>
      <c r="M510">
        <v>84.449730000000002</v>
      </c>
      <c r="N510">
        <v>74.611369999999994</v>
      </c>
    </row>
    <row r="511" spans="1:14" hidden="1" x14ac:dyDescent="0.35">
      <c r="A511" t="s">
        <v>639</v>
      </c>
      <c r="B511" t="s">
        <v>37</v>
      </c>
      <c r="C511" t="s">
        <v>63</v>
      </c>
      <c r="D511" t="s">
        <v>63</v>
      </c>
      <c r="E511" t="s">
        <v>610</v>
      </c>
      <c r="F511" t="s">
        <v>26</v>
      </c>
      <c r="G511" t="s">
        <v>26</v>
      </c>
      <c r="H511">
        <v>321.51659999999998</v>
      </c>
      <c r="I511">
        <v>328.17239999999998</v>
      </c>
      <c r="J511">
        <v>288.31970000000001</v>
      </c>
      <c r="K511">
        <v>239.72</v>
      </c>
      <c r="L511">
        <v>206.9511</v>
      </c>
      <c r="M511">
        <v>182.5204</v>
      </c>
      <c r="N511">
        <v>161.2569</v>
      </c>
    </row>
    <row r="512" spans="1:14" hidden="1" x14ac:dyDescent="0.35">
      <c r="A512" t="s">
        <v>639</v>
      </c>
      <c r="B512" t="s">
        <v>37</v>
      </c>
      <c r="C512" t="s">
        <v>63</v>
      </c>
      <c r="D512" t="s">
        <v>63</v>
      </c>
      <c r="E512" t="s">
        <v>612</v>
      </c>
      <c r="F512" t="s">
        <v>581</v>
      </c>
      <c r="G512" t="s">
        <v>24</v>
      </c>
      <c r="H512">
        <v>3.4489040000000002</v>
      </c>
      <c r="I512">
        <v>2.602786</v>
      </c>
      <c r="J512">
        <v>2.4133429999999998</v>
      </c>
      <c r="K512">
        <v>2.0318480000000001</v>
      </c>
      <c r="L512">
        <v>1.6919090000000001</v>
      </c>
      <c r="M512">
        <v>1.4357470000000001</v>
      </c>
      <c r="N512">
        <v>1.2405200000000001</v>
      </c>
    </row>
    <row r="513" spans="1:14" hidden="1" x14ac:dyDescent="0.35">
      <c r="A513" t="s">
        <v>639</v>
      </c>
      <c r="B513" t="s">
        <v>37</v>
      </c>
      <c r="C513" t="s">
        <v>63</v>
      </c>
      <c r="D513" t="s">
        <v>63</v>
      </c>
      <c r="E513" t="s">
        <v>612</v>
      </c>
      <c r="F513" t="s">
        <v>581</v>
      </c>
      <c r="G513" t="s">
        <v>25</v>
      </c>
      <c r="H513">
        <v>13.23438</v>
      </c>
      <c r="I513">
        <v>12.14532</v>
      </c>
      <c r="J513">
        <v>10.34182</v>
      </c>
      <c r="K513">
        <v>8.2545900000000003</v>
      </c>
      <c r="L513">
        <v>6.9660200000000003</v>
      </c>
      <c r="M513">
        <v>6.0263049999999998</v>
      </c>
      <c r="N513">
        <v>5.2909499999999996</v>
      </c>
    </row>
    <row r="514" spans="1:14" hidden="1" x14ac:dyDescent="0.35">
      <c r="A514" t="s">
        <v>639</v>
      </c>
      <c r="B514" t="s">
        <v>37</v>
      </c>
      <c r="C514" t="s">
        <v>63</v>
      </c>
      <c r="D514" t="s">
        <v>63</v>
      </c>
      <c r="E514" t="s">
        <v>612</v>
      </c>
      <c r="F514" t="s">
        <v>26</v>
      </c>
      <c r="G514" t="s">
        <v>26</v>
      </c>
      <c r="H514">
        <v>38.42</v>
      </c>
      <c r="I514">
        <v>35.139000000000003</v>
      </c>
      <c r="J514">
        <v>29.316700000000001</v>
      </c>
      <c r="K514">
        <v>23.078399999999998</v>
      </c>
      <c r="L514">
        <v>19.545069999999999</v>
      </c>
      <c r="M514">
        <v>16.993469999999999</v>
      </c>
      <c r="N514">
        <v>14.98086</v>
      </c>
    </row>
    <row r="515" spans="1:14" hidden="1" x14ac:dyDescent="0.35">
      <c r="A515" t="s">
        <v>639</v>
      </c>
      <c r="B515" t="s">
        <v>37</v>
      </c>
      <c r="C515" t="s">
        <v>63</v>
      </c>
      <c r="D515" t="s">
        <v>63</v>
      </c>
      <c r="E515" t="s">
        <v>609</v>
      </c>
      <c r="F515" t="s">
        <v>26</v>
      </c>
      <c r="G515" t="s">
        <v>26</v>
      </c>
      <c r="H515">
        <v>15.3652</v>
      </c>
      <c r="I515">
        <v>11.199920000000001</v>
      </c>
      <c r="J515">
        <v>10.46762</v>
      </c>
      <c r="K515">
        <v>8.9439209999999996</v>
      </c>
      <c r="L515">
        <v>7.0953989999999996</v>
      </c>
      <c r="M515">
        <v>5.974399</v>
      </c>
      <c r="N515">
        <v>5.1478570000000001</v>
      </c>
    </row>
    <row r="516" spans="1:14" hidden="1" x14ac:dyDescent="0.35">
      <c r="A516" t="s">
        <v>639</v>
      </c>
      <c r="B516" t="s">
        <v>37</v>
      </c>
      <c r="C516" t="s">
        <v>63</v>
      </c>
      <c r="D516" t="s">
        <v>63</v>
      </c>
      <c r="E516" t="s">
        <v>611</v>
      </c>
      <c r="F516" t="s">
        <v>581</v>
      </c>
      <c r="G516" t="s">
        <v>24</v>
      </c>
      <c r="H516">
        <v>2.3287669999999998E-3</v>
      </c>
      <c r="I516">
        <v>2.5589039999999999E-3</v>
      </c>
      <c r="J516">
        <v>2.279452E-3</v>
      </c>
      <c r="K516">
        <v>2.0493149999999999E-3</v>
      </c>
      <c r="L516">
        <v>1.927123E-3</v>
      </c>
      <c r="M516">
        <v>1.7320549999999999E-3</v>
      </c>
      <c r="N516">
        <v>1.5342470000000001E-3</v>
      </c>
    </row>
    <row r="517" spans="1:14" hidden="1" x14ac:dyDescent="0.35">
      <c r="A517" t="s">
        <v>639</v>
      </c>
      <c r="B517" t="s">
        <v>37</v>
      </c>
      <c r="C517" t="s">
        <v>63</v>
      </c>
      <c r="D517" t="s">
        <v>63</v>
      </c>
      <c r="E517" t="s">
        <v>611</v>
      </c>
      <c r="F517" t="s">
        <v>581</v>
      </c>
      <c r="G517" t="s">
        <v>25</v>
      </c>
      <c r="H517">
        <v>2.0958899999999999E-2</v>
      </c>
      <c r="I517">
        <v>1.6386299999999999E-2</v>
      </c>
      <c r="J517">
        <v>1.458082E-2</v>
      </c>
      <c r="K517">
        <v>1.311507E-2</v>
      </c>
      <c r="L517">
        <v>1.2336440000000001E-2</v>
      </c>
      <c r="M517">
        <v>1.109534E-2</v>
      </c>
      <c r="N517">
        <v>9.8257589999999999E-3</v>
      </c>
    </row>
    <row r="518" spans="1:14" hidden="1" x14ac:dyDescent="0.35">
      <c r="A518" t="s">
        <v>639</v>
      </c>
      <c r="B518" t="s">
        <v>37</v>
      </c>
      <c r="C518" t="s">
        <v>63</v>
      </c>
      <c r="D518" t="s">
        <v>63</v>
      </c>
      <c r="E518" t="s">
        <v>611</v>
      </c>
      <c r="F518" t="s">
        <v>26</v>
      </c>
      <c r="G518" t="s">
        <v>26</v>
      </c>
      <c r="H518">
        <v>3.9589039999999999E-2</v>
      </c>
      <c r="I518">
        <v>3.225753E-2</v>
      </c>
      <c r="J518">
        <v>2.8704110000000001E-2</v>
      </c>
      <c r="K518">
        <v>2.5821920000000002E-2</v>
      </c>
      <c r="L518">
        <v>2.4288770000000001E-2</v>
      </c>
      <c r="M518">
        <v>2.1842739999999999E-2</v>
      </c>
      <c r="N518">
        <v>1.934027E-2</v>
      </c>
    </row>
    <row r="519" spans="1:14" hidden="1" x14ac:dyDescent="0.35">
      <c r="A519" t="s">
        <v>240</v>
      </c>
      <c r="B519" t="s">
        <v>37</v>
      </c>
      <c r="C519" t="s">
        <v>63</v>
      </c>
      <c r="D519" t="s">
        <v>63</v>
      </c>
      <c r="E519" t="s">
        <v>621</v>
      </c>
      <c r="F519" t="s">
        <v>26</v>
      </c>
      <c r="G519" t="s">
        <v>26</v>
      </c>
      <c r="H519">
        <v>156.98920000000001</v>
      </c>
      <c r="I519">
        <v>151.3254</v>
      </c>
      <c r="J519">
        <v>189.72499999999999</v>
      </c>
      <c r="K519">
        <v>186.179</v>
      </c>
      <c r="L519">
        <v>154.64449999999999</v>
      </c>
      <c r="M519">
        <v>131.6815</v>
      </c>
      <c r="N519">
        <v>114.3159</v>
      </c>
    </row>
    <row r="520" spans="1:14" hidden="1" x14ac:dyDescent="0.35">
      <c r="A520" t="s">
        <v>240</v>
      </c>
      <c r="B520" t="s">
        <v>37</v>
      </c>
      <c r="C520" t="s">
        <v>63</v>
      </c>
      <c r="D520" t="s">
        <v>63</v>
      </c>
      <c r="E520" t="s">
        <v>584</v>
      </c>
      <c r="F520" t="s">
        <v>26</v>
      </c>
      <c r="G520" t="s">
        <v>26</v>
      </c>
      <c r="H520">
        <v>1.7318789999999999</v>
      </c>
      <c r="I520">
        <v>1.651518</v>
      </c>
      <c r="J520">
        <v>1.574317</v>
      </c>
      <c r="K520">
        <v>1.4879549999999999</v>
      </c>
      <c r="L520">
        <v>0</v>
      </c>
      <c r="M520">
        <v>0</v>
      </c>
      <c r="N520">
        <v>0</v>
      </c>
    </row>
    <row r="521" spans="1:14" hidden="1" x14ac:dyDescent="0.35">
      <c r="A521" t="s">
        <v>240</v>
      </c>
      <c r="B521" t="s">
        <v>37</v>
      </c>
      <c r="C521" t="s">
        <v>63</v>
      </c>
      <c r="D521" t="s">
        <v>63</v>
      </c>
      <c r="E521" t="s">
        <v>610</v>
      </c>
      <c r="F521" t="s">
        <v>26</v>
      </c>
      <c r="G521" t="s">
        <v>26</v>
      </c>
      <c r="H521">
        <v>0.67767129999999998</v>
      </c>
      <c r="I521">
        <v>1.2200139999999999</v>
      </c>
      <c r="J521">
        <v>0.91675620000000002</v>
      </c>
      <c r="K521">
        <v>0.77482189999999995</v>
      </c>
      <c r="L521">
        <v>0.67964380000000002</v>
      </c>
      <c r="M521">
        <v>0.60806570000000004</v>
      </c>
      <c r="N521">
        <v>0.54501370000000005</v>
      </c>
    </row>
    <row r="522" spans="1:14" hidden="1" x14ac:dyDescent="0.35">
      <c r="A522" t="s">
        <v>240</v>
      </c>
      <c r="B522" t="s">
        <v>37</v>
      </c>
      <c r="C522" t="s">
        <v>79</v>
      </c>
      <c r="D522" t="s">
        <v>79</v>
      </c>
      <c r="E522" t="s">
        <v>615</v>
      </c>
      <c r="F522" t="s">
        <v>581</v>
      </c>
      <c r="G522" t="s">
        <v>396</v>
      </c>
      <c r="H522">
        <v>58.000689999999999</v>
      </c>
      <c r="I522">
        <v>55.72195</v>
      </c>
      <c r="J522">
        <v>51.389389999999999</v>
      </c>
      <c r="K522">
        <v>40.860779999999998</v>
      </c>
      <c r="L522">
        <v>31.277290000000001</v>
      </c>
      <c r="M522">
        <v>25.293379999999999</v>
      </c>
      <c r="N522">
        <v>21.207049999999999</v>
      </c>
    </row>
    <row r="523" spans="1:14" hidden="1" x14ac:dyDescent="0.35">
      <c r="A523" t="s">
        <v>240</v>
      </c>
      <c r="B523" t="s">
        <v>37</v>
      </c>
      <c r="C523" t="s">
        <v>79</v>
      </c>
      <c r="D523" t="s">
        <v>79</v>
      </c>
      <c r="E523" t="s">
        <v>615</v>
      </c>
      <c r="F523" t="s">
        <v>581</v>
      </c>
      <c r="G523" t="s">
        <v>25</v>
      </c>
      <c r="H523">
        <v>19.000679999999999</v>
      </c>
      <c r="I523">
        <v>16.340229999999998</v>
      </c>
      <c r="J523">
        <v>15.062419999999999</v>
      </c>
      <c r="K523">
        <v>11.97644</v>
      </c>
      <c r="L523">
        <v>9.1674860000000002</v>
      </c>
      <c r="M523">
        <v>7.4135790000000004</v>
      </c>
      <c r="N523">
        <v>6.215865</v>
      </c>
    </row>
    <row r="524" spans="1:14" hidden="1" x14ac:dyDescent="0.35">
      <c r="A524" t="s">
        <v>240</v>
      </c>
      <c r="B524" t="s">
        <v>37</v>
      </c>
      <c r="C524" t="s">
        <v>79</v>
      </c>
      <c r="D524" t="s">
        <v>79</v>
      </c>
      <c r="E524" t="s">
        <v>615</v>
      </c>
      <c r="F524" t="s">
        <v>26</v>
      </c>
      <c r="G524" t="s">
        <v>26</v>
      </c>
      <c r="H524">
        <v>25.5</v>
      </c>
      <c r="I524">
        <v>24.02975</v>
      </c>
      <c r="J524">
        <v>22.150600000000001</v>
      </c>
      <c r="K524">
        <v>17.612410000000001</v>
      </c>
      <c r="L524">
        <v>13.481590000000001</v>
      </c>
      <c r="M524">
        <v>10.90232</v>
      </c>
      <c r="N524">
        <v>9.1409749999999992</v>
      </c>
    </row>
    <row r="525" spans="1:14" hidden="1" x14ac:dyDescent="0.35">
      <c r="A525" t="s">
        <v>240</v>
      </c>
      <c r="B525" t="s">
        <v>37</v>
      </c>
      <c r="C525" t="s">
        <v>79</v>
      </c>
      <c r="D525" t="s">
        <v>79</v>
      </c>
      <c r="E525" t="s">
        <v>640</v>
      </c>
      <c r="F525" t="s">
        <v>581</v>
      </c>
      <c r="G525" t="s">
        <v>396</v>
      </c>
      <c r="H525">
        <v>35.790419999999997</v>
      </c>
      <c r="I525">
        <v>32.01155</v>
      </c>
      <c r="J525">
        <v>31.257619999999999</v>
      </c>
      <c r="K525">
        <v>24.490020000000001</v>
      </c>
      <c r="L525">
        <v>18.851929999999999</v>
      </c>
      <c r="M525">
        <v>13.90469</v>
      </c>
      <c r="N525">
        <v>11.00977</v>
      </c>
    </row>
    <row r="526" spans="1:14" hidden="1" x14ac:dyDescent="0.35">
      <c r="A526" t="s">
        <v>240</v>
      </c>
      <c r="B526" t="s">
        <v>37</v>
      </c>
      <c r="C526" t="s">
        <v>79</v>
      </c>
      <c r="D526" t="s">
        <v>79</v>
      </c>
      <c r="E526" t="s">
        <v>640</v>
      </c>
      <c r="F526" t="s">
        <v>581</v>
      </c>
      <c r="G526" t="s">
        <v>25</v>
      </c>
      <c r="H526">
        <v>4.0253430000000003</v>
      </c>
      <c r="I526">
        <v>4.5184410000000002</v>
      </c>
      <c r="J526">
        <v>4.4128379999999998</v>
      </c>
      <c r="K526">
        <v>3.4574150000000001</v>
      </c>
      <c r="L526">
        <v>2.661451</v>
      </c>
      <c r="M526">
        <v>1.9630110000000001</v>
      </c>
      <c r="N526">
        <v>1.5543199999999999</v>
      </c>
    </row>
    <row r="527" spans="1:14" hidden="1" x14ac:dyDescent="0.35">
      <c r="A527" t="s">
        <v>240</v>
      </c>
      <c r="B527" t="s">
        <v>37</v>
      </c>
      <c r="C527" t="s">
        <v>79</v>
      </c>
      <c r="D527" t="s">
        <v>79</v>
      </c>
      <c r="E527" t="s">
        <v>640</v>
      </c>
      <c r="F527" t="s">
        <v>26</v>
      </c>
      <c r="G527" t="s">
        <v>26</v>
      </c>
      <c r="H527">
        <v>1.69726</v>
      </c>
      <c r="I527">
        <v>1.12961</v>
      </c>
      <c r="J527">
        <v>1.10321</v>
      </c>
      <c r="K527">
        <v>0.8643556</v>
      </c>
      <c r="L527">
        <v>0.66536169999999994</v>
      </c>
      <c r="M527">
        <v>0.49075289999999999</v>
      </c>
      <c r="N527">
        <v>0.38858029999999999</v>
      </c>
    </row>
    <row r="528" spans="1:14" hidden="1" x14ac:dyDescent="0.35">
      <c r="A528" t="s">
        <v>240</v>
      </c>
      <c r="B528" t="s">
        <v>37</v>
      </c>
      <c r="C528" t="s">
        <v>79</v>
      </c>
      <c r="D528" t="s">
        <v>79</v>
      </c>
      <c r="E528" t="s">
        <v>601</v>
      </c>
      <c r="F528" t="s">
        <v>581</v>
      </c>
      <c r="G528" t="s">
        <v>396</v>
      </c>
      <c r="H528">
        <v>0.37917810000000002</v>
      </c>
      <c r="I528">
        <v>0.47278959999999998</v>
      </c>
      <c r="J528">
        <v>0.47325479999999998</v>
      </c>
      <c r="K528">
        <v>0.3485354</v>
      </c>
      <c r="L528">
        <v>0.2799392</v>
      </c>
      <c r="M528">
        <v>0.2284592</v>
      </c>
      <c r="N528">
        <v>0.188806</v>
      </c>
    </row>
    <row r="529" spans="1:14" hidden="1" x14ac:dyDescent="0.35">
      <c r="A529" t="s">
        <v>240</v>
      </c>
      <c r="B529" t="s">
        <v>37</v>
      </c>
      <c r="C529" t="s">
        <v>79</v>
      </c>
      <c r="D529" t="s">
        <v>79</v>
      </c>
      <c r="E529" t="s">
        <v>601</v>
      </c>
      <c r="F529" t="s">
        <v>581</v>
      </c>
      <c r="G529" t="s">
        <v>25</v>
      </c>
      <c r="H529">
        <v>1.4531510000000001</v>
      </c>
      <c r="I529">
        <v>2.2615590000000001</v>
      </c>
      <c r="J529">
        <v>2.2716259999999999</v>
      </c>
      <c r="K529">
        <v>1.672968</v>
      </c>
      <c r="L529">
        <v>1.3437129999999999</v>
      </c>
      <c r="M529">
        <v>1.096595</v>
      </c>
      <c r="N529">
        <v>0.90627120000000005</v>
      </c>
    </row>
    <row r="530" spans="1:14" hidden="1" x14ac:dyDescent="0.35">
      <c r="A530" t="s">
        <v>240</v>
      </c>
      <c r="B530" t="s">
        <v>37</v>
      </c>
      <c r="C530" t="s">
        <v>79</v>
      </c>
      <c r="D530" t="s">
        <v>79</v>
      </c>
      <c r="E530" t="s">
        <v>601</v>
      </c>
      <c r="F530" t="s">
        <v>26</v>
      </c>
      <c r="G530" t="s">
        <v>26</v>
      </c>
      <c r="H530">
        <v>7.2547940000000004</v>
      </c>
      <c r="I530">
        <v>6.6904469999999998</v>
      </c>
      <c r="J530">
        <v>6.7202200000000003</v>
      </c>
      <c r="K530">
        <v>4.9492029999999998</v>
      </c>
      <c r="L530">
        <v>3.975155</v>
      </c>
      <c r="M530">
        <v>3.2440859999999998</v>
      </c>
      <c r="N530">
        <v>2.681054</v>
      </c>
    </row>
    <row r="531" spans="1:14" hidden="1" x14ac:dyDescent="0.35">
      <c r="A531" t="s">
        <v>240</v>
      </c>
      <c r="B531" t="s">
        <v>37</v>
      </c>
      <c r="C531" t="s">
        <v>46</v>
      </c>
      <c r="D531" t="s">
        <v>46</v>
      </c>
      <c r="E531" t="s">
        <v>641</v>
      </c>
      <c r="F531" t="s">
        <v>26</v>
      </c>
      <c r="G531" t="s">
        <v>26</v>
      </c>
      <c r="H531">
        <v>117</v>
      </c>
      <c r="I531">
        <v>113.955</v>
      </c>
      <c r="J531">
        <v>111.7098</v>
      </c>
      <c r="K531">
        <v>94.512439999999998</v>
      </c>
      <c r="L531">
        <v>79.338099999999997</v>
      </c>
      <c r="M531">
        <v>74.187669999999997</v>
      </c>
      <c r="N531">
        <v>79.568759999999997</v>
      </c>
    </row>
    <row r="532" spans="1:14" hidden="1" x14ac:dyDescent="0.35">
      <c r="A532" t="s">
        <v>240</v>
      </c>
      <c r="B532" t="s">
        <v>37</v>
      </c>
      <c r="C532" t="s">
        <v>115</v>
      </c>
      <c r="D532" t="s">
        <v>115</v>
      </c>
      <c r="E532" t="s">
        <v>597</v>
      </c>
      <c r="F532" t="s">
        <v>581</v>
      </c>
      <c r="G532" t="s">
        <v>396</v>
      </c>
      <c r="H532">
        <v>15.883839999999999</v>
      </c>
      <c r="I532">
        <v>17.375530000000001</v>
      </c>
      <c r="J532">
        <v>14.7774</v>
      </c>
      <c r="K532">
        <v>11.397349999999999</v>
      </c>
      <c r="L532">
        <v>8.6200860000000006</v>
      </c>
      <c r="M532">
        <v>5.9176409999999997</v>
      </c>
      <c r="N532">
        <v>4.2739089999999997</v>
      </c>
    </row>
    <row r="533" spans="1:14" hidden="1" x14ac:dyDescent="0.35">
      <c r="A533" t="s">
        <v>240</v>
      </c>
      <c r="B533" t="s">
        <v>37</v>
      </c>
      <c r="C533" t="s">
        <v>115</v>
      </c>
      <c r="D533" t="s">
        <v>115</v>
      </c>
      <c r="E533" t="s">
        <v>597</v>
      </c>
      <c r="F533" t="s">
        <v>581</v>
      </c>
      <c r="G533" t="s">
        <v>25</v>
      </c>
      <c r="H533">
        <v>4.3361669999999997</v>
      </c>
      <c r="I533">
        <v>5.3292349999999997</v>
      </c>
      <c r="J533">
        <v>4.5358419999999997</v>
      </c>
      <c r="K533">
        <v>3.4983520000000001</v>
      </c>
      <c r="L533">
        <v>2.6458910000000002</v>
      </c>
      <c r="M533">
        <v>1.816387</v>
      </c>
      <c r="N533">
        <v>1.3118510000000001</v>
      </c>
    </row>
    <row r="534" spans="1:14" hidden="1" x14ac:dyDescent="0.35">
      <c r="A534" t="s">
        <v>240</v>
      </c>
      <c r="B534" t="s">
        <v>37</v>
      </c>
      <c r="C534" t="s">
        <v>115</v>
      </c>
      <c r="D534" t="s">
        <v>115</v>
      </c>
      <c r="E534" t="s">
        <v>597</v>
      </c>
      <c r="F534" t="s">
        <v>26</v>
      </c>
      <c r="G534" t="s">
        <v>26</v>
      </c>
      <c r="H534">
        <v>12.46123</v>
      </c>
      <c r="I534">
        <v>17.217510000000001</v>
      </c>
      <c r="J534">
        <v>14.654249999999999</v>
      </c>
      <c r="K534">
        <v>11.30237</v>
      </c>
      <c r="L534">
        <v>8.5482530000000008</v>
      </c>
      <c r="M534">
        <v>5.8683290000000001</v>
      </c>
      <c r="N534">
        <v>4.2382929999999996</v>
      </c>
    </row>
    <row r="535" spans="1:14" hidden="1" x14ac:dyDescent="0.35">
      <c r="A535" t="s">
        <v>240</v>
      </c>
      <c r="B535" t="s">
        <v>37</v>
      </c>
      <c r="C535" t="s">
        <v>115</v>
      </c>
      <c r="D535" t="s">
        <v>115</v>
      </c>
      <c r="E535" t="s">
        <v>596</v>
      </c>
      <c r="F535" t="s">
        <v>581</v>
      </c>
      <c r="G535" t="s">
        <v>396</v>
      </c>
      <c r="H535">
        <v>3.1163150000000002</v>
      </c>
      <c r="I535">
        <v>2.7935979999999998</v>
      </c>
      <c r="J535">
        <v>3.567145</v>
      </c>
      <c r="K535">
        <v>3.5245220000000002</v>
      </c>
      <c r="L535">
        <v>2.7390020000000002</v>
      </c>
      <c r="M535">
        <v>2.1155729999999999</v>
      </c>
      <c r="N535">
        <v>1.7396879999999999</v>
      </c>
    </row>
    <row r="536" spans="1:14" hidden="1" x14ac:dyDescent="0.35">
      <c r="A536" t="s">
        <v>240</v>
      </c>
      <c r="B536" t="s">
        <v>37</v>
      </c>
      <c r="C536" t="s">
        <v>115</v>
      </c>
      <c r="D536" t="s">
        <v>115</v>
      </c>
      <c r="E536" t="s">
        <v>596</v>
      </c>
      <c r="F536" t="s">
        <v>581</v>
      </c>
      <c r="G536" t="s">
        <v>25</v>
      </c>
      <c r="H536">
        <v>0.66435889999999997</v>
      </c>
      <c r="I536">
        <v>0.67046360000000005</v>
      </c>
      <c r="J536">
        <v>0.85611729999999997</v>
      </c>
      <c r="K536">
        <v>0.84588439999999998</v>
      </c>
      <c r="L536">
        <v>0.65736329999999998</v>
      </c>
      <c r="M536">
        <v>0.50773699999999999</v>
      </c>
      <c r="N536">
        <v>0.41752600000000001</v>
      </c>
    </row>
    <row r="537" spans="1:14" hidden="1" x14ac:dyDescent="0.35">
      <c r="A537" t="s">
        <v>240</v>
      </c>
      <c r="B537" t="s">
        <v>37</v>
      </c>
      <c r="C537" t="s">
        <v>115</v>
      </c>
      <c r="D537" t="s">
        <v>115</v>
      </c>
      <c r="E537" t="s">
        <v>596</v>
      </c>
      <c r="F537" t="s">
        <v>26</v>
      </c>
      <c r="G537" t="s">
        <v>26</v>
      </c>
      <c r="H537">
        <v>1.872071</v>
      </c>
      <c r="I537">
        <v>2.123135</v>
      </c>
      <c r="J537">
        <v>2.7110319999999999</v>
      </c>
      <c r="K537">
        <v>2.6786370000000002</v>
      </c>
      <c r="L537">
        <v>2.0816409999999999</v>
      </c>
      <c r="M537">
        <v>1.6078330000000001</v>
      </c>
      <c r="N537">
        <v>1.322163</v>
      </c>
    </row>
    <row r="538" spans="1:14" hidden="1" x14ac:dyDescent="0.35">
      <c r="A538" t="s">
        <v>240</v>
      </c>
      <c r="B538" t="s">
        <v>37</v>
      </c>
      <c r="C538" t="s">
        <v>105</v>
      </c>
      <c r="D538" t="s">
        <v>105</v>
      </c>
      <c r="E538" t="s">
        <v>642</v>
      </c>
      <c r="F538" t="s">
        <v>581</v>
      </c>
      <c r="G538" t="s">
        <v>396</v>
      </c>
      <c r="H538">
        <v>7.5616440000000003</v>
      </c>
      <c r="I538">
        <v>9.1398460000000004</v>
      </c>
      <c r="J538">
        <v>7.1343379999999996</v>
      </c>
      <c r="K538">
        <v>5.6318359999999998</v>
      </c>
      <c r="L538">
        <v>4.7524579999999998</v>
      </c>
      <c r="M538">
        <v>4.1234760000000001</v>
      </c>
      <c r="N538">
        <v>3.6373570000000002</v>
      </c>
    </row>
    <row r="539" spans="1:14" hidden="1" x14ac:dyDescent="0.35">
      <c r="A539" t="s">
        <v>240</v>
      </c>
      <c r="B539" t="s">
        <v>37</v>
      </c>
      <c r="C539" t="s">
        <v>105</v>
      </c>
      <c r="D539" t="s">
        <v>105</v>
      </c>
      <c r="E539" t="s">
        <v>642</v>
      </c>
      <c r="F539" t="s">
        <v>581</v>
      </c>
      <c r="G539" t="s">
        <v>25</v>
      </c>
      <c r="H539">
        <v>3.007123</v>
      </c>
      <c r="I539">
        <v>1.752848</v>
      </c>
      <c r="J539">
        <v>1.3682270000000001</v>
      </c>
      <c r="K539">
        <v>1.080082</v>
      </c>
      <c r="L539">
        <v>0.91142619999999996</v>
      </c>
      <c r="M539">
        <v>0.79080379999999995</v>
      </c>
      <c r="N539">
        <v>0.69756980000000002</v>
      </c>
    </row>
    <row r="540" spans="1:14" hidden="1" x14ac:dyDescent="0.35">
      <c r="A540" t="s">
        <v>240</v>
      </c>
      <c r="B540" t="s">
        <v>37</v>
      </c>
      <c r="C540" t="s">
        <v>105</v>
      </c>
      <c r="D540" t="s">
        <v>105</v>
      </c>
      <c r="E540" t="s">
        <v>642</v>
      </c>
      <c r="F540" t="s">
        <v>26</v>
      </c>
      <c r="G540" t="s">
        <v>26</v>
      </c>
      <c r="H540">
        <v>5.6</v>
      </c>
      <c r="I540">
        <v>1.6276440000000001</v>
      </c>
      <c r="J540">
        <v>1.2704979999999999</v>
      </c>
      <c r="K540">
        <v>1.0029300000000001</v>
      </c>
      <c r="L540">
        <v>0.84632879999999999</v>
      </c>
      <c r="M540">
        <v>0.73431619999999997</v>
      </c>
      <c r="N540">
        <v>0.64774960000000004</v>
      </c>
    </row>
    <row r="541" spans="1:14" hidden="1" x14ac:dyDescent="0.35">
      <c r="A541" t="s">
        <v>240</v>
      </c>
      <c r="B541" t="s">
        <v>37</v>
      </c>
      <c r="C541" t="s">
        <v>105</v>
      </c>
      <c r="D541" t="s">
        <v>105</v>
      </c>
      <c r="E541" t="s">
        <v>643</v>
      </c>
      <c r="F541" t="s">
        <v>581</v>
      </c>
      <c r="G541" t="s">
        <v>396</v>
      </c>
      <c r="H541">
        <v>0.30250959999999999</v>
      </c>
      <c r="I541">
        <v>0.29571510000000001</v>
      </c>
      <c r="J541">
        <v>0.26988489999999998</v>
      </c>
      <c r="K541">
        <v>0.22510959999999999</v>
      </c>
      <c r="L541">
        <v>0.19770409999999999</v>
      </c>
      <c r="M541">
        <v>0.17653969999999999</v>
      </c>
      <c r="N541">
        <v>0.15749859999999999</v>
      </c>
    </row>
    <row r="542" spans="1:14" hidden="1" x14ac:dyDescent="0.35">
      <c r="A542" t="s">
        <v>240</v>
      </c>
      <c r="B542" t="s">
        <v>37</v>
      </c>
      <c r="C542" t="s">
        <v>105</v>
      </c>
      <c r="D542" t="s">
        <v>105</v>
      </c>
      <c r="E542" t="s">
        <v>643</v>
      </c>
      <c r="F542" t="s">
        <v>581</v>
      </c>
      <c r="G542" t="s">
        <v>25</v>
      </c>
      <c r="H542">
        <v>0.99287950000000003</v>
      </c>
      <c r="I542">
        <v>0.60024390000000005</v>
      </c>
      <c r="J542">
        <v>0.57575350000000003</v>
      </c>
      <c r="K542">
        <v>0.48023290000000002</v>
      </c>
      <c r="L542">
        <v>0.42177530000000002</v>
      </c>
      <c r="M542">
        <v>0.37662190000000001</v>
      </c>
      <c r="N542">
        <v>0.33599180000000001</v>
      </c>
    </row>
    <row r="543" spans="1:14" hidden="1" x14ac:dyDescent="0.35">
      <c r="A543" t="s">
        <v>240</v>
      </c>
      <c r="B543" t="s">
        <v>37</v>
      </c>
      <c r="C543" t="s">
        <v>105</v>
      </c>
      <c r="D543" t="s">
        <v>105</v>
      </c>
      <c r="E543" t="s">
        <v>643</v>
      </c>
      <c r="F543" t="s">
        <v>26</v>
      </c>
      <c r="G543" t="s">
        <v>26</v>
      </c>
      <c r="H543">
        <v>3.2942459999999998</v>
      </c>
      <c r="I543">
        <v>0.99415339999999996</v>
      </c>
      <c r="J543">
        <v>0.95359740000000004</v>
      </c>
      <c r="K543">
        <v>0.79538359999999997</v>
      </c>
      <c r="L543">
        <v>0.69855889999999998</v>
      </c>
      <c r="M543">
        <v>0.62377260000000001</v>
      </c>
      <c r="N543">
        <v>0.55648759999999997</v>
      </c>
    </row>
    <row r="544" spans="1:14" hidden="1" x14ac:dyDescent="0.35">
      <c r="A544" t="s">
        <v>240</v>
      </c>
      <c r="B544" t="s">
        <v>37</v>
      </c>
      <c r="C544" t="s">
        <v>241</v>
      </c>
      <c r="D544" t="s">
        <v>241</v>
      </c>
      <c r="E544" t="s">
        <v>620</v>
      </c>
      <c r="F544" t="s">
        <v>581</v>
      </c>
      <c r="G544" t="s">
        <v>396</v>
      </c>
      <c r="H544">
        <v>0.14465749999999999</v>
      </c>
      <c r="I544">
        <v>0.19021099999999999</v>
      </c>
      <c r="J544">
        <v>0.19095889999999999</v>
      </c>
      <c r="K544">
        <v>0.1746685</v>
      </c>
      <c r="L544">
        <v>0.15018899999999999</v>
      </c>
      <c r="M544">
        <v>0.1313616</v>
      </c>
      <c r="N544">
        <v>0.1164877</v>
      </c>
    </row>
    <row r="545" spans="1:14" hidden="1" x14ac:dyDescent="0.35">
      <c r="A545" t="s">
        <v>240</v>
      </c>
      <c r="B545" t="s">
        <v>37</v>
      </c>
      <c r="C545" t="s">
        <v>241</v>
      </c>
      <c r="D545" t="s">
        <v>241</v>
      </c>
      <c r="E545" t="s">
        <v>620</v>
      </c>
      <c r="F545" t="s">
        <v>26</v>
      </c>
      <c r="G545" t="s">
        <v>26</v>
      </c>
      <c r="H545">
        <v>0.60493149999999996</v>
      </c>
      <c r="I545">
        <v>0.1902356</v>
      </c>
      <c r="J545">
        <v>0.19095889999999999</v>
      </c>
      <c r="K545">
        <v>0.1746685</v>
      </c>
      <c r="L545">
        <v>0.15018899999999999</v>
      </c>
      <c r="M545">
        <v>0.1313616</v>
      </c>
      <c r="N545">
        <v>0.1164877</v>
      </c>
    </row>
    <row r="546" spans="1:14" hidden="1" x14ac:dyDescent="0.35">
      <c r="A546" t="s">
        <v>240</v>
      </c>
      <c r="B546" t="s">
        <v>37</v>
      </c>
      <c r="C546" t="s">
        <v>35</v>
      </c>
      <c r="D546" t="s">
        <v>36</v>
      </c>
      <c r="E546" t="s">
        <v>644</v>
      </c>
      <c r="F546" t="s">
        <v>581</v>
      </c>
      <c r="G546" t="s">
        <v>396</v>
      </c>
      <c r="H546">
        <v>9.811781E-2</v>
      </c>
      <c r="I546">
        <v>8.4136989999999995E-2</v>
      </c>
      <c r="J546">
        <v>7.3221910000000001E-2</v>
      </c>
      <c r="K546">
        <v>6.4358899999999997E-2</v>
      </c>
      <c r="L546">
        <v>5.6635610000000003E-2</v>
      </c>
      <c r="M546">
        <v>4.9964389999999997E-2</v>
      </c>
      <c r="N546">
        <v>4.3841089999999999E-2</v>
      </c>
    </row>
    <row r="547" spans="1:14" hidden="1" x14ac:dyDescent="0.35">
      <c r="A547" t="s">
        <v>240</v>
      </c>
      <c r="B547" t="s">
        <v>37</v>
      </c>
      <c r="C547" t="s">
        <v>35</v>
      </c>
      <c r="D547" t="s">
        <v>36</v>
      </c>
      <c r="E547" t="s">
        <v>644</v>
      </c>
      <c r="F547" t="s">
        <v>581</v>
      </c>
      <c r="G547" t="s">
        <v>25</v>
      </c>
      <c r="H547">
        <v>1.9038360000000001E-2</v>
      </c>
      <c r="I547">
        <v>1.6323290000000001E-2</v>
      </c>
      <c r="J547">
        <v>1.4208220000000001E-2</v>
      </c>
      <c r="K547">
        <v>1.249041E-2</v>
      </c>
      <c r="L547">
        <v>1.098904E-2</v>
      </c>
      <c r="M547">
        <v>9.6931499999999993E-3</v>
      </c>
      <c r="N547">
        <v>8.5068490000000004E-3</v>
      </c>
    </row>
    <row r="548" spans="1:14" hidden="1" x14ac:dyDescent="0.35">
      <c r="A548" t="s">
        <v>240</v>
      </c>
      <c r="B548" t="s">
        <v>37</v>
      </c>
      <c r="C548" t="s">
        <v>35</v>
      </c>
      <c r="D548" t="s">
        <v>36</v>
      </c>
      <c r="E548" t="s">
        <v>644</v>
      </c>
      <c r="F548" t="s">
        <v>26</v>
      </c>
      <c r="G548" t="s">
        <v>26</v>
      </c>
      <c r="H548">
        <v>2.9287669999999998E-2</v>
      </c>
      <c r="I548">
        <v>2.511507E-2</v>
      </c>
      <c r="J548">
        <v>2.185753E-2</v>
      </c>
      <c r="K548">
        <v>1.9210959999999999E-2</v>
      </c>
      <c r="L548">
        <v>1.6906850000000001E-2</v>
      </c>
      <c r="M548">
        <v>1.4915070000000001E-2</v>
      </c>
      <c r="N548">
        <v>1.3087669999999999E-2</v>
      </c>
    </row>
    <row r="549" spans="1:14" hidden="1" x14ac:dyDescent="0.35">
      <c r="A549" t="s">
        <v>645</v>
      </c>
      <c r="B549" t="s">
        <v>37</v>
      </c>
      <c r="C549" t="s">
        <v>63</v>
      </c>
      <c r="D549" t="s">
        <v>63</v>
      </c>
      <c r="E549" t="s">
        <v>621</v>
      </c>
      <c r="F549" t="s">
        <v>26</v>
      </c>
      <c r="G549" t="s">
        <v>26</v>
      </c>
      <c r="H549">
        <v>394.97750000000002</v>
      </c>
      <c r="I549">
        <v>365.66329999999999</v>
      </c>
      <c r="J549">
        <v>362.63619999999997</v>
      </c>
      <c r="K549">
        <v>367.8852</v>
      </c>
      <c r="L549">
        <v>340.42059999999998</v>
      </c>
      <c r="M549">
        <v>318.68470000000002</v>
      </c>
      <c r="N549">
        <v>318.32810000000001</v>
      </c>
    </row>
    <row r="550" spans="1:14" hidden="1" x14ac:dyDescent="0.35">
      <c r="A550" t="s">
        <v>645</v>
      </c>
      <c r="B550" t="s">
        <v>37</v>
      </c>
      <c r="C550" t="s">
        <v>63</v>
      </c>
      <c r="D550" t="s">
        <v>63</v>
      </c>
      <c r="E550" t="s">
        <v>612</v>
      </c>
      <c r="F550" t="s">
        <v>581</v>
      </c>
      <c r="G550" t="s">
        <v>24</v>
      </c>
      <c r="J550">
        <v>0</v>
      </c>
      <c r="K550">
        <v>3.5522739999999997E-2</v>
      </c>
      <c r="L550">
        <v>0.1491595</v>
      </c>
      <c r="M550">
        <v>0.17681810000000001</v>
      </c>
      <c r="N550">
        <v>0.14334910000000001</v>
      </c>
    </row>
    <row r="551" spans="1:14" hidden="1" x14ac:dyDescent="0.35">
      <c r="A551" t="s">
        <v>645</v>
      </c>
      <c r="B551" t="s">
        <v>37</v>
      </c>
      <c r="C551" t="s">
        <v>63</v>
      </c>
      <c r="D551" t="s">
        <v>63</v>
      </c>
      <c r="E551" t="s">
        <v>612</v>
      </c>
      <c r="F551" t="s">
        <v>581</v>
      </c>
      <c r="G551" t="s">
        <v>25</v>
      </c>
      <c r="J551">
        <v>0</v>
      </c>
      <c r="K551">
        <v>3.044767E-2</v>
      </c>
      <c r="L551">
        <v>0.12784989999999999</v>
      </c>
      <c r="M551">
        <v>0.15155730000000001</v>
      </c>
      <c r="N551">
        <v>0.1228718</v>
      </c>
    </row>
    <row r="552" spans="1:14" hidden="1" x14ac:dyDescent="0.35">
      <c r="A552" t="s">
        <v>645</v>
      </c>
      <c r="B552" t="s">
        <v>37</v>
      </c>
      <c r="C552" t="s">
        <v>63</v>
      </c>
      <c r="D552" t="s">
        <v>63</v>
      </c>
      <c r="E552" t="s">
        <v>612</v>
      </c>
      <c r="F552" t="s">
        <v>26</v>
      </c>
      <c r="G552" t="s">
        <v>26</v>
      </c>
      <c r="J552">
        <v>0</v>
      </c>
      <c r="K552">
        <v>3.5522739999999997E-2</v>
      </c>
      <c r="L552">
        <v>0.1491595</v>
      </c>
      <c r="M552">
        <v>0.17681810000000001</v>
      </c>
      <c r="N552">
        <v>0.14334910000000001</v>
      </c>
    </row>
    <row r="553" spans="1:14" hidden="1" x14ac:dyDescent="0.35">
      <c r="A553" t="s">
        <v>645</v>
      </c>
      <c r="B553" t="s">
        <v>37</v>
      </c>
      <c r="C553" t="s">
        <v>46</v>
      </c>
      <c r="D553" t="s">
        <v>46</v>
      </c>
      <c r="E553" t="s">
        <v>646</v>
      </c>
      <c r="F553" t="s">
        <v>581</v>
      </c>
      <c r="G553" t="s">
        <v>396</v>
      </c>
      <c r="L553">
        <v>0</v>
      </c>
      <c r="M553">
        <v>0</v>
      </c>
      <c r="N553">
        <v>0</v>
      </c>
    </row>
    <row r="554" spans="1:14" hidden="1" x14ac:dyDescent="0.35">
      <c r="A554" t="s">
        <v>645</v>
      </c>
      <c r="B554" t="s">
        <v>37</v>
      </c>
      <c r="C554" t="s">
        <v>46</v>
      </c>
      <c r="D554" t="s">
        <v>46</v>
      </c>
      <c r="E554" t="s">
        <v>646</v>
      </c>
      <c r="F554" t="s">
        <v>581</v>
      </c>
      <c r="G554" t="s">
        <v>25</v>
      </c>
      <c r="L554">
        <v>0</v>
      </c>
      <c r="M554">
        <v>-7.9736519999999992E-12</v>
      </c>
      <c r="N554">
        <v>-1.9934129999999999E-11</v>
      </c>
    </row>
    <row r="555" spans="1:14" hidden="1" x14ac:dyDescent="0.35">
      <c r="A555" t="s">
        <v>645</v>
      </c>
      <c r="B555" t="s">
        <v>37</v>
      </c>
      <c r="C555" t="s">
        <v>46</v>
      </c>
      <c r="D555" t="s">
        <v>46</v>
      </c>
      <c r="E555" t="s">
        <v>646</v>
      </c>
      <c r="F555" t="s">
        <v>26</v>
      </c>
      <c r="G555" t="s">
        <v>26</v>
      </c>
      <c r="L555">
        <v>0</v>
      </c>
      <c r="M555">
        <v>0</v>
      </c>
      <c r="N555">
        <v>0</v>
      </c>
    </row>
    <row r="556" spans="1:14" hidden="1" x14ac:dyDescent="0.35">
      <c r="A556" t="s">
        <v>243</v>
      </c>
      <c r="B556" t="s">
        <v>37</v>
      </c>
      <c r="C556" t="s">
        <v>218</v>
      </c>
      <c r="D556" t="s">
        <v>218</v>
      </c>
      <c r="E556" t="s">
        <v>593</v>
      </c>
      <c r="F556" t="s">
        <v>581</v>
      </c>
      <c r="G556" t="s">
        <v>396</v>
      </c>
      <c r="H556">
        <v>32.20384</v>
      </c>
      <c r="I556">
        <v>31.398720000000001</v>
      </c>
      <c r="J556">
        <v>26.427060000000001</v>
      </c>
      <c r="K556">
        <v>21.588719999999999</v>
      </c>
      <c r="L556">
        <v>18.066579999999998</v>
      </c>
      <c r="M556">
        <v>14.92074</v>
      </c>
      <c r="N556">
        <v>11.9734</v>
      </c>
    </row>
    <row r="557" spans="1:14" hidden="1" x14ac:dyDescent="0.35">
      <c r="A557" t="s">
        <v>243</v>
      </c>
      <c r="B557" t="s">
        <v>37</v>
      </c>
      <c r="C557" t="s">
        <v>218</v>
      </c>
      <c r="D557" t="s">
        <v>218</v>
      </c>
      <c r="E557" t="s">
        <v>593</v>
      </c>
      <c r="F557" t="s">
        <v>581</v>
      </c>
      <c r="G557" t="s">
        <v>24</v>
      </c>
      <c r="H557">
        <v>20.826779999999999</v>
      </c>
      <c r="I557">
        <v>18.420580000000001</v>
      </c>
      <c r="J557">
        <v>16.71734</v>
      </c>
      <c r="K557">
        <v>13.258330000000001</v>
      </c>
      <c r="L557">
        <v>10.76229</v>
      </c>
      <c r="M557">
        <v>8.8581409999999998</v>
      </c>
      <c r="N557">
        <v>7.3701059999999998</v>
      </c>
    </row>
    <row r="558" spans="1:14" hidden="1" x14ac:dyDescent="0.35">
      <c r="A558" t="s">
        <v>243</v>
      </c>
      <c r="B558" t="s">
        <v>37</v>
      </c>
      <c r="C558" t="s">
        <v>218</v>
      </c>
      <c r="D558" t="s">
        <v>218</v>
      </c>
      <c r="E558" t="s">
        <v>593</v>
      </c>
      <c r="F558" t="s">
        <v>581</v>
      </c>
      <c r="G558" t="s">
        <v>25</v>
      </c>
      <c r="H558">
        <v>27.755880000000001</v>
      </c>
      <c r="I558">
        <v>25.21245</v>
      </c>
      <c r="J558">
        <v>21.11692</v>
      </c>
      <c r="K558">
        <v>17.230530000000002</v>
      </c>
      <c r="L558">
        <v>14.381220000000001</v>
      </c>
      <c r="M558">
        <v>11.94895</v>
      </c>
      <c r="N558">
        <v>9.7849740000000001</v>
      </c>
    </row>
    <row r="559" spans="1:14" hidden="1" x14ac:dyDescent="0.35">
      <c r="A559" t="s">
        <v>243</v>
      </c>
      <c r="B559" t="s">
        <v>37</v>
      </c>
      <c r="C559" t="s">
        <v>218</v>
      </c>
      <c r="D559" t="s">
        <v>218</v>
      </c>
      <c r="E559" t="s">
        <v>593</v>
      </c>
      <c r="F559" t="s">
        <v>26</v>
      </c>
      <c r="G559" t="s">
        <v>26</v>
      </c>
      <c r="H559">
        <v>39.643999999999998</v>
      </c>
      <c r="I559">
        <v>35.173909999999999</v>
      </c>
      <c r="J559">
        <v>30.547470000000001</v>
      </c>
      <c r="K559">
        <v>25.61027</v>
      </c>
      <c r="L559">
        <v>21.742049999999999</v>
      </c>
      <c r="M559">
        <v>18.240290000000002</v>
      </c>
      <c r="N559">
        <v>15.08868</v>
      </c>
    </row>
    <row r="560" spans="1:14" hidden="1" x14ac:dyDescent="0.35">
      <c r="A560" t="s">
        <v>243</v>
      </c>
      <c r="B560" t="s">
        <v>37</v>
      </c>
      <c r="C560" t="s">
        <v>218</v>
      </c>
      <c r="D560" t="s">
        <v>218</v>
      </c>
      <c r="E560" t="s">
        <v>594</v>
      </c>
      <c r="F560" t="s">
        <v>581</v>
      </c>
      <c r="G560" t="s">
        <v>396</v>
      </c>
      <c r="H560">
        <v>11.64143</v>
      </c>
      <c r="I560">
        <v>12.71114</v>
      </c>
      <c r="J560">
        <v>11.031409999999999</v>
      </c>
      <c r="K560">
        <v>12.14589</v>
      </c>
      <c r="L560">
        <v>10.25863</v>
      </c>
      <c r="M560">
        <v>6.7492219999999996</v>
      </c>
      <c r="N560">
        <v>4.7409379999999999</v>
      </c>
    </row>
    <row r="561" spans="1:14" hidden="1" x14ac:dyDescent="0.35">
      <c r="A561" t="s">
        <v>243</v>
      </c>
      <c r="B561" t="s">
        <v>37</v>
      </c>
      <c r="C561" t="s">
        <v>218</v>
      </c>
      <c r="D561" t="s">
        <v>218</v>
      </c>
      <c r="E561" t="s">
        <v>594</v>
      </c>
      <c r="F561" t="s">
        <v>581</v>
      </c>
      <c r="G561" t="s">
        <v>25</v>
      </c>
      <c r="H561">
        <v>2.7498109999999998</v>
      </c>
      <c r="I561">
        <v>2.8778809999999999</v>
      </c>
      <c r="J561">
        <v>2.4886020000000002</v>
      </c>
      <c r="K561">
        <v>2.7383190000000002</v>
      </c>
      <c r="L561">
        <v>2.3091390000000001</v>
      </c>
      <c r="M561">
        <v>1.520313</v>
      </c>
      <c r="N561">
        <v>1.068724</v>
      </c>
    </row>
    <row r="562" spans="1:14" hidden="1" x14ac:dyDescent="0.35">
      <c r="A562" t="s">
        <v>243</v>
      </c>
      <c r="B562" t="s">
        <v>37</v>
      </c>
      <c r="C562" t="s">
        <v>218</v>
      </c>
      <c r="D562" t="s">
        <v>218</v>
      </c>
      <c r="E562" t="s">
        <v>594</v>
      </c>
      <c r="F562" t="s">
        <v>26</v>
      </c>
      <c r="G562" t="s">
        <v>26</v>
      </c>
      <c r="H562">
        <v>3.8026439999999999</v>
      </c>
      <c r="I562">
        <v>4.0976720000000002</v>
      </c>
      <c r="J562">
        <v>3.5438209999999999</v>
      </c>
      <c r="K562">
        <v>3.900226</v>
      </c>
      <c r="L562">
        <v>3.289561</v>
      </c>
      <c r="M562">
        <v>2.1631800000000001</v>
      </c>
      <c r="N562">
        <v>1.519212</v>
      </c>
    </row>
    <row r="563" spans="1:14" hidden="1" x14ac:dyDescent="0.35">
      <c r="A563" t="s">
        <v>243</v>
      </c>
      <c r="B563" t="s">
        <v>37</v>
      </c>
      <c r="C563" t="s">
        <v>218</v>
      </c>
      <c r="D563" t="s">
        <v>218</v>
      </c>
      <c r="E563" t="s">
        <v>584</v>
      </c>
      <c r="F563" t="s">
        <v>581</v>
      </c>
      <c r="G563" t="s">
        <v>396</v>
      </c>
      <c r="H563">
        <v>4.5132409999999998</v>
      </c>
      <c r="I563">
        <v>3.7892980000000001</v>
      </c>
      <c r="J563">
        <v>3.4276469999999999</v>
      </c>
      <c r="K563">
        <v>3.1080890000000001</v>
      </c>
      <c r="L563">
        <v>2.8161369999999999</v>
      </c>
      <c r="M563">
        <v>2.5520160000000001</v>
      </c>
      <c r="N563">
        <v>2.302991</v>
      </c>
    </row>
    <row r="564" spans="1:14" hidden="1" x14ac:dyDescent="0.35">
      <c r="A564" t="s">
        <v>243</v>
      </c>
      <c r="B564" t="s">
        <v>37</v>
      </c>
      <c r="C564" t="s">
        <v>218</v>
      </c>
      <c r="D564" t="s">
        <v>218</v>
      </c>
      <c r="E564" t="s">
        <v>584</v>
      </c>
      <c r="F564" t="s">
        <v>581</v>
      </c>
      <c r="G564" t="s">
        <v>24</v>
      </c>
      <c r="H564">
        <v>1.8756169999999999E-2</v>
      </c>
      <c r="I564">
        <v>1.503562E-2</v>
      </c>
      <c r="J564">
        <v>1.253699E-2</v>
      </c>
      <c r="K564">
        <v>1.0336440000000001E-2</v>
      </c>
      <c r="L564">
        <v>8.3638359999999995E-3</v>
      </c>
      <c r="M564">
        <v>6.5764380000000004E-3</v>
      </c>
      <c r="N564">
        <v>5.1808219999999999E-3</v>
      </c>
    </row>
    <row r="565" spans="1:14" hidden="1" x14ac:dyDescent="0.35">
      <c r="A565" t="s">
        <v>243</v>
      </c>
      <c r="B565" t="s">
        <v>37</v>
      </c>
      <c r="C565" t="s">
        <v>218</v>
      </c>
      <c r="D565" t="s">
        <v>218</v>
      </c>
      <c r="E565" t="s">
        <v>584</v>
      </c>
      <c r="F565" t="s">
        <v>581</v>
      </c>
      <c r="G565" t="s">
        <v>25</v>
      </c>
      <c r="H565">
        <v>2.3527070000000001</v>
      </c>
      <c r="I565">
        <v>2.060403</v>
      </c>
      <c r="J565">
        <v>1.8616060000000001</v>
      </c>
      <c r="K565">
        <v>1.686002</v>
      </c>
      <c r="L565">
        <v>1.525719</v>
      </c>
      <c r="M565">
        <v>1.381065</v>
      </c>
      <c r="N565">
        <v>1.2446429999999999</v>
      </c>
    </row>
    <row r="566" spans="1:14" hidden="1" x14ac:dyDescent="0.35">
      <c r="A566" t="s">
        <v>243</v>
      </c>
      <c r="B566" t="s">
        <v>37</v>
      </c>
      <c r="C566" t="s">
        <v>218</v>
      </c>
      <c r="D566" t="s">
        <v>218</v>
      </c>
      <c r="E566" t="s">
        <v>584</v>
      </c>
      <c r="F566" t="s">
        <v>26</v>
      </c>
      <c r="G566" t="s">
        <v>26</v>
      </c>
      <c r="H566">
        <v>6.6861230000000003</v>
      </c>
      <c r="I566">
        <v>6.0205970000000004</v>
      </c>
      <c r="J566">
        <v>5.4489470000000004</v>
      </c>
      <c r="K566">
        <v>4.9488839999999996</v>
      </c>
      <c r="L566">
        <v>4.4988219999999997</v>
      </c>
      <c r="M566">
        <v>4.1032109999999999</v>
      </c>
      <c r="N566">
        <v>3.7282709999999999</v>
      </c>
    </row>
    <row r="567" spans="1:14" hidden="1" x14ac:dyDescent="0.35">
      <c r="A567" t="s">
        <v>243</v>
      </c>
      <c r="B567" t="s">
        <v>37</v>
      </c>
      <c r="C567" t="s">
        <v>35</v>
      </c>
      <c r="D567" t="s">
        <v>163</v>
      </c>
      <c r="E567" t="s">
        <v>580</v>
      </c>
      <c r="F567" t="s">
        <v>581</v>
      </c>
      <c r="G567" t="s">
        <v>396</v>
      </c>
      <c r="H567">
        <v>27.958570000000002</v>
      </c>
      <c r="I567">
        <v>24.45926</v>
      </c>
      <c r="J567">
        <v>24.066040000000001</v>
      </c>
      <c r="K567">
        <v>21.562090000000001</v>
      </c>
      <c r="L567">
        <v>17.514330000000001</v>
      </c>
      <c r="M567">
        <v>14.126289999999999</v>
      </c>
      <c r="N567">
        <v>11.81019</v>
      </c>
    </row>
    <row r="568" spans="1:14" hidden="1" x14ac:dyDescent="0.35">
      <c r="A568" t="s">
        <v>243</v>
      </c>
      <c r="B568" t="s">
        <v>37</v>
      </c>
      <c r="C568" t="s">
        <v>35</v>
      </c>
      <c r="D568" t="s">
        <v>163</v>
      </c>
      <c r="E568" t="s">
        <v>580</v>
      </c>
      <c r="F568" t="s">
        <v>581</v>
      </c>
      <c r="G568" t="s">
        <v>25</v>
      </c>
      <c r="H568">
        <v>9.1520550000000007</v>
      </c>
      <c r="I568">
        <v>8.6616630000000008</v>
      </c>
      <c r="J568">
        <v>8.5233860000000004</v>
      </c>
      <c r="K568">
        <v>7.6365699999999999</v>
      </c>
      <c r="L568">
        <v>6.2029820000000004</v>
      </c>
      <c r="M568">
        <v>5.0030659999999996</v>
      </c>
      <c r="N568">
        <v>4.1827800000000002</v>
      </c>
    </row>
    <row r="569" spans="1:14" hidden="1" x14ac:dyDescent="0.35">
      <c r="A569" t="s">
        <v>243</v>
      </c>
      <c r="B569" t="s">
        <v>37</v>
      </c>
      <c r="C569" t="s">
        <v>35</v>
      </c>
      <c r="D569" t="s">
        <v>163</v>
      </c>
      <c r="E569" t="s">
        <v>580</v>
      </c>
      <c r="F569" t="s">
        <v>26</v>
      </c>
      <c r="G569" t="s">
        <v>26</v>
      </c>
      <c r="H569">
        <v>7.733371</v>
      </c>
      <c r="I569">
        <v>8.6616590000000002</v>
      </c>
      <c r="J569">
        <v>8.5233860000000004</v>
      </c>
      <c r="K569">
        <v>7.6365749999999997</v>
      </c>
      <c r="L569">
        <v>6.2029909999999999</v>
      </c>
      <c r="M569">
        <v>5.0030590000000004</v>
      </c>
      <c r="N569">
        <v>4.1827750000000004</v>
      </c>
    </row>
    <row r="570" spans="1:14" hidden="1" x14ac:dyDescent="0.35">
      <c r="A570" t="s">
        <v>243</v>
      </c>
      <c r="B570" t="s">
        <v>37</v>
      </c>
      <c r="C570" t="s">
        <v>35</v>
      </c>
      <c r="D570" t="s">
        <v>163</v>
      </c>
      <c r="E570" t="s">
        <v>582</v>
      </c>
      <c r="F570" t="s">
        <v>581</v>
      </c>
      <c r="G570" t="s">
        <v>396</v>
      </c>
      <c r="H570">
        <v>9.7124389999999998</v>
      </c>
      <c r="I570">
        <v>9.3198749999999997</v>
      </c>
      <c r="J570">
        <v>10.479509999999999</v>
      </c>
      <c r="K570">
        <v>10.560639999999999</v>
      </c>
      <c r="L570">
        <v>8.4329289999999997</v>
      </c>
      <c r="M570">
        <v>7.3114189999999999</v>
      </c>
      <c r="N570">
        <v>6.8391019999999996</v>
      </c>
    </row>
    <row r="571" spans="1:14" hidden="1" x14ac:dyDescent="0.35">
      <c r="A571" t="s">
        <v>243</v>
      </c>
      <c r="B571" t="s">
        <v>37</v>
      </c>
      <c r="C571" t="s">
        <v>35</v>
      </c>
      <c r="D571" t="s">
        <v>163</v>
      </c>
      <c r="E571" t="s">
        <v>582</v>
      </c>
      <c r="F571" t="s">
        <v>581</v>
      </c>
      <c r="G571" t="s">
        <v>25</v>
      </c>
      <c r="H571">
        <v>3.8508469999999999</v>
      </c>
      <c r="I571">
        <v>3.9956930000000002</v>
      </c>
      <c r="J571">
        <v>4.4928559999999997</v>
      </c>
      <c r="K571">
        <v>4.527641</v>
      </c>
      <c r="L571">
        <v>3.6154380000000002</v>
      </c>
      <c r="M571">
        <v>3.1346069999999999</v>
      </c>
      <c r="N571">
        <v>2.9321160000000002</v>
      </c>
    </row>
    <row r="572" spans="1:14" hidden="1" x14ac:dyDescent="0.35">
      <c r="A572" t="s">
        <v>243</v>
      </c>
      <c r="B572" t="s">
        <v>37</v>
      </c>
      <c r="C572" t="s">
        <v>35</v>
      </c>
      <c r="D572" t="s">
        <v>163</v>
      </c>
      <c r="E572" t="s">
        <v>582</v>
      </c>
      <c r="F572" t="s">
        <v>26</v>
      </c>
      <c r="G572" t="s">
        <v>26</v>
      </c>
      <c r="H572">
        <v>2.8294519999999999</v>
      </c>
      <c r="I572">
        <v>3.4745149999999998</v>
      </c>
      <c r="J572">
        <v>3.9068329999999998</v>
      </c>
      <c r="K572">
        <v>3.9370810000000001</v>
      </c>
      <c r="L572">
        <v>3.1438549999999998</v>
      </c>
      <c r="M572">
        <v>2.7257479999999998</v>
      </c>
      <c r="N572">
        <v>2.5496650000000001</v>
      </c>
    </row>
    <row r="573" spans="1:14" hidden="1" x14ac:dyDescent="0.35">
      <c r="A573" t="s">
        <v>243</v>
      </c>
      <c r="B573" t="s">
        <v>37</v>
      </c>
      <c r="C573" t="s">
        <v>35</v>
      </c>
      <c r="D573" t="s">
        <v>163</v>
      </c>
      <c r="E573" t="s">
        <v>583</v>
      </c>
      <c r="F573" t="s">
        <v>581</v>
      </c>
      <c r="G573" t="s">
        <v>396</v>
      </c>
      <c r="H573">
        <v>1.01326</v>
      </c>
      <c r="I573">
        <v>0.87291779999999997</v>
      </c>
      <c r="J573">
        <v>0.76576440000000001</v>
      </c>
      <c r="K573">
        <v>0.6738575</v>
      </c>
      <c r="L573">
        <v>0.59298090000000003</v>
      </c>
      <c r="M573">
        <v>0.52315069999999997</v>
      </c>
      <c r="N573">
        <v>0.45902189999999998</v>
      </c>
    </row>
    <row r="574" spans="1:14" hidden="1" x14ac:dyDescent="0.35">
      <c r="A574" t="s">
        <v>243</v>
      </c>
      <c r="B574" t="s">
        <v>37</v>
      </c>
      <c r="C574" t="s">
        <v>35</v>
      </c>
      <c r="D574" t="s">
        <v>163</v>
      </c>
      <c r="E574" t="s">
        <v>583</v>
      </c>
      <c r="F574" t="s">
        <v>581</v>
      </c>
      <c r="G574" t="s">
        <v>25</v>
      </c>
      <c r="H574">
        <v>0.30706850000000002</v>
      </c>
      <c r="I574">
        <v>0.29097260000000003</v>
      </c>
      <c r="J574">
        <v>0.2552548</v>
      </c>
      <c r="K574">
        <v>0.22461919999999999</v>
      </c>
      <c r="L574">
        <v>0.19766030000000001</v>
      </c>
      <c r="M574">
        <v>0.1743836</v>
      </c>
      <c r="N574">
        <v>0.15300820000000001</v>
      </c>
    </row>
    <row r="575" spans="1:14" hidden="1" x14ac:dyDescent="0.35">
      <c r="A575" t="s">
        <v>243</v>
      </c>
      <c r="B575" t="s">
        <v>37</v>
      </c>
      <c r="C575" t="s">
        <v>35</v>
      </c>
      <c r="D575" t="s">
        <v>163</v>
      </c>
      <c r="E575" t="s">
        <v>583</v>
      </c>
      <c r="F575" t="s">
        <v>26</v>
      </c>
      <c r="G575" t="s">
        <v>26</v>
      </c>
      <c r="H575">
        <v>0.25950679999999998</v>
      </c>
      <c r="I575">
        <v>0.29097260000000003</v>
      </c>
      <c r="J575">
        <v>0.2552548</v>
      </c>
      <c r="K575">
        <v>0.22461919999999999</v>
      </c>
      <c r="L575">
        <v>0.19766030000000001</v>
      </c>
      <c r="M575">
        <v>0.1743836</v>
      </c>
      <c r="N575">
        <v>0.15300820000000001</v>
      </c>
    </row>
    <row r="576" spans="1:14" hidden="1" x14ac:dyDescent="0.35">
      <c r="A576" t="s">
        <v>243</v>
      </c>
      <c r="B576" t="s">
        <v>37</v>
      </c>
      <c r="C576" t="s">
        <v>35</v>
      </c>
      <c r="D576" t="s">
        <v>36</v>
      </c>
      <c r="E576" t="s">
        <v>584</v>
      </c>
      <c r="F576" t="s">
        <v>581</v>
      </c>
      <c r="G576" t="s">
        <v>396</v>
      </c>
      <c r="H576">
        <v>0.96460270000000004</v>
      </c>
      <c r="I576">
        <v>0.92264650000000004</v>
      </c>
      <c r="J576">
        <v>0.88221700000000003</v>
      </c>
      <c r="K576">
        <v>0.83643230000000002</v>
      </c>
      <c r="L576">
        <v>0.78262790000000004</v>
      </c>
      <c r="M576">
        <v>0.71517750000000002</v>
      </c>
      <c r="N576">
        <v>0.65572269999999999</v>
      </c>
    </row>
    <row r="577" spans="1:14" hidden="1" x14ac:dyDescent="0.35">
      <c r="A577" t="s">
        <v>243</v>
      </c>
      <c r="B577" t="s">
        <v>37</v>
      </c>
      <c r="C577" t="s">
        <v>35</v>
      </c>
      <c r="D577" t="s">
        <v>36</v>
      </c>
      <c r="E577" t="s">
        <v>584</v>
      </c>
      <c r="F577" t="s">
        <v>581</v>
      </c>
      <c r="G577" t="s">
        <v>24</v>
      </c>
      <c r="H577">
        <v>4.383562E-4</v>
      </c>
      <c r="I577">
        <v>0</v>
      </c>
    </row>
    <row r="578" spans="1:14" hidden="1" x14ac:dyDescent="0.35">
      <c r="A578" t="s">
        <v>243</v>
      </c>
      <c r="B578" t="s">
        <v>37</v>
      </c>
      <c r="C578" t="s">
        <v>35</v>
      </c>
      <c r="D578" t="s">
        <v>36</v>
      </c>
      <c r="E578" t="s">
        <v>584</v>
      </c>
      <c r="F578" t="s">
        <v>581</v>
      </c>
      <c r="G578" t="s">
        <v>25</v>
      </c>
      <c r="H578">
        <v>0.1198877</v>
      </c>
      <c r="I578">
        <v>0.11751780000000001</v>
      </c>
      <c r="J578">
        <v>0.11517040000000001</v>
      </c>
      <c r="K578">
        <v>0.111972</v>
      </c>
      <c r="L578">
        <v>0.10754469999999999</v>
      </c>
      <c r="M578">
        <v>0.1009699</v>
      </c>
      <c r="N578">
        <v>9.5200549999999995E-2</v>
      </c>
    </row>
    <row r="579" spans="1:14" hidden="1" x14ac:dyDescent="0.35">
      <c r="A579" t="s">
        <v>243</v>
      </c>
      <c r="B579" t="s">
        <v>37</v>
      </c>
      <c r="C579" t="s">
        <v>35</v>
      </c>
      <c r="D579" t="s">
        <v>36</v>
      </c>
      <c r="E579" t="s">
        <v>584</v>
      </c>
      <c r="F579" t="s">
        <v>26</v>
      </c>
      <c r="G579" t="s">
        <v>26</v>
      </c>
      <c r="H579">
        <v>0.1012603</v>
      </c>
      <c r="I579">
        <v>9.9254800000000004E-2</v>
      </c>
      <c r="J579">
        <v>9.7273970000000001E-2</v>
      </c>
      <c r="K579">
        <v>9.4573149999999995E-2</v>
      </c>
      <c r="L579">
        <v>9.0832319999999994E-2</v>
      </c>
      <c r="M579">
        <v>8.5278350000000003E-2</v>
      </c>
      <c r="N579">
        <v>8.0408770000000004E-2</v>
      </c>
    </row>
    <row r="580" spans="1:14" hidden="1" x14ac:dyDescent="0.35">
      <c r="A580" t="s">
        <v>243</v>
      </c>
      <c r="B580" t="s">
        <v>37</v>
      </c>
      <c r="C580" t="s">
        <v>35</v>
      </c>
      <c r="D580" t="s">
        <v>36</v>
      </c>
      <c r="E580" t="s">
        <v>587</v>
      </c>
      <c r="F580" t="s">
        <v>581</v>
      </c>
      <c r="G580" t="s">
        <v>396</v>
      </c>
      <c r="H580">
        <v>3.9232879999999998E-2</v>
      </c>
      <c r="I580">
        <v>3.3084929999999999E-2</v>
      </c>
      <c r="J580">
        <v>2.9027399999999998E-2</v>
      </c>
      <c r="K580">
        <v>2.5545209999999999E-2</v>
      </c>
      <c r="L580">
        <v>2.2479450000000002E-2</v>
      </c>
      <c r="M580">
        <v>1.9832880000000001E-2</v>
      </c>
      <c r="N580">
        <v>1.7399999999999999E-2</v>
      </c>
    </row>
    <row r="581" spans="1:14" hidden="1" x14ac:dyDescent="0.35">
      <c r="A581" t="s">
        <v>243</v>
      </c>
      <c r="B581" t="s">
        <v>37</v>
      </c>
      <c r="C581" t="s">
        <v>35</v>
      </c>
      <c r="D581" t="s">
        <v>36</v>
      </c>
      <c r="E581" t="s">
        <v>587</v>
      </c>
      <c r="F581" t="s">
        <v>581</v>
      </c>
      <c r="G581" t="s">
        <v>25</v>
      </c>
      <c r="H581">
        <v>2.8493149999999998E-3</v>
      </c>
      <c r="I581">
        <v>2.7917810000000001E-3</v>
      </c>
      <c r="J581">
        <v>2.4493150000000001E-3</v>
      </c>
      <c r="K581">
        <v>2.1561639999999999E-3</v>
      </c>
      <c r="L581">
        <v>1.893151E-3</v>
      </c>
      <c r="M581">
        <v>1.6712330000000001E-3</v>
      </c>
      <c r="N581">
        <v>1.468493E-3</v>
      </c>
    </row>
    <row r="582" spans="1:14" hidden="1" x14ac:dyDescent="0.35">
      <c r="A582" t="s">
        <v>243</v>
      </c>
      <c r="B582" t="s">
        <v>37</v>
      </c>
      <c r="C582" t="s">
        <v>35</v>
      </c>
      <c r="D582" t="s">
        <v>36</v>
      </c>
      <c r="E582" t="s">
        <v>587</v>
      </c>
      <c r="F582" t="s">
        <v>26</v>
      </c>
      <c r="G582" t="s">
        <v>26</v>
      </c>
      <c r="H582">
        <v>3.5068489999999998E-3</v>
      </c>
      <c r="I582">
        <v>3.9863010000000003E-3</v>
      </c>
      <c r="J582">
        <v>3.49863E-3</v>
      </c>
      <c r="K582">
        <v>3.076713E-3</v>
      </c>
      <c r="L582">
        <v>2.7095890000000001E-3</v>
      </c>
      <c r="M582">
        <v>2.3890410000000002E-3</v>
      </c>
      <c r="N582">
        <v>2.09589E-3</v>
      </c>
    </row>
    <row r="583" spans="1:14" hidden="1" x14ac:dyDescent="0.35">
      <c r="A583" t="s">
        <v>243</v>
      </c>
      <c r="B583" t="s">
        <v>37</v>
      </c>
      <c r="C583" t="s">
        <v>35</v>
      </c>
      <c r="D583" t="s">
        <v>36</v>
      </c>
      <c r="E583" t="s">
        <v>589</v>
      </c>
      <c r="F583" t="s">
        <v>581</v>
      </c>
      <c r="G583" t="s">
        <v>396</v>
      </c>
      <c r="N583">
        <v>0</v>
      </c>
    </row>
    <row r="584" spans="1:14" hidden="1" x14ac:dyDescent="0.35">
      <c r="A584" t="s">
        <v>243</v>
      </c>
      <c r="B584" t="s">
        <v>37</v>
      </c>
      <c r="C584" t="s">
        <v>35</v>
      </c>
      <c r="D584" t="s">
        <v>36</v>
      </c>
      <c r="E584" t="s">
        <v>589</v>
      </c>
      <c r="F584" t="s">
        <v>581</v>
      </c>
      <c r="G584" t="s">
        <v>25</v>
      </c>
      <c r="N584">
        <v>0</v>
      </c>
    </row>
    <row r="585" spans="1:14" hidden="1" x14ac:dyDescent="0.35">
      <c r="A585" t="s">
        <v>243</v>
      </c>
      <c r="B585" t="s">
        <v>37</v>
      </c>
      <c r="C585" t="s">
        <v>35</v>
      </c>
      <c r="D585" t="s">
        <v>36</v>
      </c>
      <c r="E585" t="s">
        <v>589</v>
      </c>
      <c r="F585" t="s">
        <v>26</v>
      </c>
      <c r="G585" t="s">
        <v>26</v>
      </c>
      <c r="N585">
        <v>0</v>
      </c>
    </row>
    <row r="586" spans="1:14" hidden="1" x14ac:dyDescent="0.35">
      <c r="A586" t="s">
        <v>243</v>
      </c>
      <c r="B586" t="s">
        <v>37</v>
      </c>
      <c r="C586" t="s">
        <v>35</v>
      </c>
      <c r="D586" t="s">
        <v>39</v>
      </c>
      <c r="E586" t="s">
        <v>584</v>
      </c>
      <c r="F586" t="s">
        <v>581</v>
      </c>
      <c r="G586" t="s">
        <v>396</v>
      </c>
      <c r="H586">
        <v>0.93852040000000003</v>
      </c>
      <c r="I586">
        <v>0.78495619999999999</v>
      </c>
      <c r="J586">
        <v>0.7044165</v>
      </c>
      <c r="K586">
        <v>0.63396439999999998</v>
      </c>
      <c r="L586">
        <v>0.57055889999999998</v>
      </c>
      <c r="M586">
        <v>0.51483020000000002</v>
      </c>
      <c r="N586">
        <v>0.46200550000000001</v>
      </c>
    </row>
    <row r="587" spans="1:14" hidden="1" x14ac:dyDescent="0.35">
      <c r="A587" t="s">
        <v>243</v>
      </c>
      <c r="B587" t="s">
        <v>37</v>
      </c>
      <c r="C587" t="s">
        <v>35</v>
      </c>
      <c r="D587" t="s">
        <v>39</v>
      </c>
      <c r="E587" t="s">
        <v>584</v>
      </c>
      <c r="F587" t="s">
        <v>581</v>
      </c>
      <c r="G587" t="s">
        <v>25</v>
      </c>
      <c r="H587">
        <v>4.6904109999999999E-2</v>
      </c>
      <c r="I587">
        <v>4.5531500000000003E-2</v>
      </c>
      <c r="J587">
        <v>4.0860269999999997E-2</v>
      </c>
      <c r="K587">
        <v>3.6772609999999997E-2</v>
      </c>
      <c r="L587">
        <v>3.3095890000000003E-2</v>
      </c>
      <c r="M587">
        <v>2.986575E-2</v>
      </c>
      <c r="N587">
        <v>2.679726E-2</v>
      </c>
    </row>
    <row r="588" spans="1:14" hidden="1" x14ac:dyDescent="0.35">
      <c r="A588" t="s">
        <v>243</v>
      </c>
      <c r="B588" t="s">
        <v>37</v>
      </c>
      <c r="C588" t="s">
        <v>35</v>
      </c>
      <c r="D588" t="s">
        <v>39</v>
      </c>
      <c r="E588" t="s">
        <v>584</v>
      </c>
      <c r="F588" t="s">
        <v>26</v>
      </c>
      <c r="G588" t="s">
        <v>26</v>
      </c>
      <c r="H588">
        <v>0.22202740000000001</v>
      </c>
      <c r="I588">
        <v>0.2551754</v>
      </c>
      <c r="J588">
        <v>0.22899449999999999</v>
      </c>
      <c r="K588">
        <v>0.20609040000000001</v>
      </c>
      <c r="L588">
        <v>0.18547939999999999</v>
      </c>
      <c r="M588">
        <v>0.1673617</v>
      </c>
      <c r="N588">
        <v>0.15019179999999999</v>
      </c>
    </row>
    <row r="589" spans="1:14" hidden="1" x14ac:dyDescent="0.35">
      <c r="A589" t="s">
        <v>243</v>
      </c>
      <c r="B589" t="s">
        <v>37</v>
      </c>
      <c r="C589" t="s">
        <v>35</v>
      </c>
      <c r="D589" t="s">
        <v>233</v>
      </c>
      <c r="E589" t="s">
        <v>587</v>
      </c>
      <c r="F589" t="s">
        <v>581</v>
      </c>
      <c r="G589" t="s">
        <v>396</v>
      </c>
      <c r="H589">
        <v>0.37304110000000001</v>
      </c>
      <c r="I589">
        <v>0.28321370000000001</v>
      </c>
      <c r="J589">
        <v>0.24849589999999999</v>
      </c>
      <c r="K589">
        <v>0.21867130000000001</v>
      </c>
      <c r="L589">
        <v>0.1924274</v>
      </c>
      <c r="M589">
        <v>0.1697671</v>
      </c>
      <c r="N589">
        <v>0.14895620000000001</v>
      </c>
    </row>
    <row r="590" spans="1:14" hidden="1" x14ac:dyDescent="0.35">
      <c r="A590" t="s">
        <v>243</v>
      </c>
      <c r="B590" t="s">
        <v>37</v>
      </c>
      <c r="C590" t="s">
        <v>35</v>
      </c>
      <c r="D590" t="s">
        <v>233</v>
      </c>
      <c r="E590" t="s">
        <v>587</v>
      </c>
      <c r="F590" t="s">
        <v>581</v>
      </c>
      <c r="G590" t="s">
        <v>25</v>
      </c>
      <c r="H590">
        <v>2.0383559999999998E-2</v>
      </c>
      <c r="I590">
        <v>1.9309590000000001E-2</v>
      </c>
      <c r="J590">
        <v>1.6942470000000001E-2</v>
      </c>
      <c r="K590">
        <v>1.491233E-2</v>
      </c>
      <c r="L590">
        <v>1.312055E-2</v>
      </c>
      <c r="M590">
        <v>1.157534E-2</v>
      </c>
      <c r="N590">
        <v>1.0156159999999999E-2</v>
      </c>
    </row>
    <row r="591" spans="1:14" hidden="1" x14ac:dyDescent="0.35">
      <c r="A591" t="s">
        <v>243</v>
      </c>
      <c r="B591" t="s">
        <v>37</v>
      </c>
      <c r="C591" t="s">
        <v>35</v>
      </c>
      <c r="D591" t="s">
        <v>233</v>
      </c>
      <c r="E591" t="s">
        <v>587</v>
      </c>
      <c r="F591" t="s">
        <v>26</v>
      </c>
      <c r="G591" t="s">
        <v>26</v>
      </c>
      <c r="H591">
        <v>1.7095889999999999E-2</v>
      </c>
      <c r="I591">
        <v>1.9309590000000001E-2</v>
      </c>
      <c r="J591">
        <v>1.6942470000000001E-2</v>
      </c>
      <c r="K591">
        <v>1.490959E-2</v>
      </c>
      <c r="L591">
        <v>1.312055E-2</v>
      </c>
      <c r="M591">
        <v>1.157534E-2</v>
      </c>
      <c r="N591">
        <v>1.0156159999999999E-2</v>
      </c>
    </row>
    <row r="592" spans="1:14" hidden="1" x14ac:dyDescent="0.35">
      <c r="A592" t="s">
        <v>243</v>
      </c>
      <c r="B592" t="s">
        <v>37</v>
      </c>
      <c r="C592" t="s">
        <v>79</v>
      </c>
      <c r="D592" t="s">
        <v>79</v>
      </c>
      <c r="E592" t="s">
        <v>600</v>
      </c>
      <c r="F592" t="s">
        <v>581</v>
      </c>
      <c r="G592" t="s">
        <v>24</v>
      </c>
      <c r="H592">
        <v>8.5507969999999993</v>
      </c>
      <c r="I592">
        <v>6.5034989999999997</v>
      </c>
      <c r="J592">
        <v>4.6281290000000004</v>
      </c>
      <c r="K592">
        <v>3.8091550000000001</v>
      </c>
      <c r="L592">
        <v>3.589461</v>
      </c>
      <c r="M592">
        <v>3.5551569999999999</v>
      </c>
      <c r="N592">
        <v>2.8311609999999998</v>
      </c>
    </row>
    <row r="593" spans="1:14" hidden="1" x14ac:dyDescent="0.35">
      <c r="A593" t="s">
        <v>243</v>
      </c>
      <c r="B593" t="s">
        <v>37</v>
      </c>
      <c r="C593" t="s">
        <v>79</v>
      </c>
      <c r="D593" t="s">
        <v>79</v>
      </c>
      <c r="E593" t="s">
        <v>600</v>
      </c>
      <c r="F593" t="s">
        <v>581</v>
      </c>
      <c r="G593" t="s">
        <v>25</v>
      </c>
      <c r="H593">
        <v>20.699179999999998</v>
      </c>
      <c r="I593">
        <v>14.79636</v>
      </c>
      <c r="J593">
        <v>10.79237</v>
      </c>
      <c r="K593">
        <v>9.0100999999999996</v>
      </c>
      <c r="L593">
        <v>8.8324300000000004</v>
      </c>
      <c r="M593">
        <v>9.0851459999999999</v>
      </c>
      <c r="N593">
        <v>7.0806570000000004</v>
      </c>
    </row>
    <row r="594" spans="1:14" hidden="1" x14ac:dyDescent="0.35">
      <c r="A594" t="s">
        <v>243</v>
      </c>
      <c r="B594" t="s">
        <v>37</v>
      </c>
      <c r="C594" t="s">
        <v>79</v>
      </c>
      <c r="D594" t="s">
        <v>79</v>
      </c>
      <c r="E594" t="s">
        <v>600</v>
      </c>
      <c r="F594" t="s">
        <v>26</v>
      </c>
      <c r="G594" t="s">
        <v>26</v>
      </c>
      <c r="H594">
        <v>23.620270000000001</v>
      </c>
      <c r="I594">
        <v>18.674469999999999</v>
      </c>
      <c r="J594">
        <v>13.64715</v>
      </c>
      <c r="K594">
        <v>11.418240000000001</v>
      </c>
      <c r="L594">
        <v>11.258649999999999</v>
      </c>
      <c r="M594">
        <v>11.64293</v>
      </c>
      <c r="N594">
        <v>9.0467139999999997</v>
      </c>
    </row>
    <row r="595" spans="1:14" hidden="1" x14ac:dyDescent="0.35">
      <c r="A595" t="s">
        <v>243</v>
      </c>
      <c r="B595" t="s">
        <v>37</v>
      </c>
      <c r="C595" t="s">
        <v>79</v>
      </c>
      <c r="D595" t="s">
        <v>79</v>
      </c>
      <c r="E595" t="s">
        <v>615</v>
      </c>
      <c r="F595" t="s">
        <v>581</v>
      </c>
      <c r="G595" t="s">
        <v>396</v>
      </c>
      <c r="H595">
        <v>0.85089049999999999</v>
      </c>
      <c r="I595">
        <v>0.76498080000000002</v>
      </c>
      <c r="J595">
        <v>0.60935340000000005</v>
      </c>
      <c r="K595">
        <v>0.85191070000000002</v>
      </c>
      <c r="L595">
        <v>0.92257800000000001</v>
      </c>
      <c r="M595">
        <v>0.78422139999999996</v>
      </c>
      <c r="N595">
        <v>0.59227070000000004</v>
      </c>
    </row>
    <row r="596" spans="1:14" hidden="1" x14ac:dyDescent="0.35">
      <c r="A596" t="s">
        <v>243</v>
      </c>
      <c r="B596" t="s">
        <v>37</v>
      </c>
      <c r="C596" t="s">
        <v>79</v>
      </c>
      <c r="D596" t="s">
        <v>79</v>
      </c>
      <c r="E596" t="s">
        <v>615</v>
      </c>
      <c r="F596" t="s">
        <v>581</v>
      </c>
      <c r="G596" t="s">
        <v>25</v>
      </c>
      <c r="H596">
        <v>1.0508219999999999</v>
      </c>
      <c r="I596">
        <v>0.846526</v>
      </c>
      <c r="J596">
        <v>0.69060809999999995</v>
      </c>
      <c r="K596">
        <v>0.96549529999999995</v>
      </c>
      <c r="L596">
        <v>1.0455890000000001</v>
      </c>
      <c r="M596">
        <v>0.88878460000000004</v>
      </c>
      <c r="N596">
        <v>0.67123999999999995</v>
      </c>
    </row>
    <row r="597" spans="1:14" hidden="1" x14ac:dyDescent="0.35">
      <c r="A597" t="s">
        <v>243</v>
      </c>
      <c r="B597" t="s">
        <v>37</v>
      </c>
      <c r="C597" t="s">
        <v>79</v>
      </c>
      <c r="D597" t="s">
        <v>79</v>
      </c>
      <c r="E597" t="s">
        <v>615</v>
      </c>
      <c r="F597" t="s">
        <v>26</v>
      </c>
      <c r="G597" t="s">
        <v>26</v>
      </c>
      <c r="H597">
        <v>1.0047950000000001</v>
      </c>
      <c r="I597">
        <v>0.89632330000000004</v>
      </c>
      <c r="J597">
        <v>0.73122469999999995</v>
      </c>
      <c r="K597">
        <v>1.0222929999999999</v>
      </c>
      <c r="L597">
        <v>1.107097</v>
      </c>
      <c r="M597">
        <v>0.94106849999999997</v>
      </c>
      <c r="N597">
        <v>0.71072380000000002</v>
      </c>
    </row>
    <row r="598" spans="1:14" hidden="1" x14ac:dyDescent="0.35">
      <c r="A598" t="s">
        <v>243</v>
      </c>
      <c r="B598" t="s">
        <v>37</v>
      </c>
      <c r="C598" t="s">
        <v>79</v>
      </c>
      <c r="D598" t="s">
        <v>79</v>
      </c>
      <c r="E598" t="s">
        <v>584</v>
      </c>
      <c r="F598" t="s">
        <v>581</v>
      </c>
      <c r="G598" t="s">
        <v>396</v>
      </c>
      <c r="H598">
        <v>0.15572330000000001</v>
      </c>
      <c r="I598">
        <v>0.14105480000000001</v>
      </c>
      <c r="J598">
        <v>0.12715070000000001</v>
      </c>
      <c r="K598">
        <v>0.1149096</v>
      </c>
      <c r="L598">
        <v>0.1038066</v>
      </c>
      <c r="M598">
        <v>8.9284390000000005E-2</v>
      </c>
      <c r="N598">
        <v>8.0187400000000006E-2</v>
      </c>
    </row>
    <row r="599" spans="1:14" hidden="1" x14ac:dyDescent="0.35">
      <c r="A599" t="s">
        <v>243</v>
      </c>
      <c r="B599" t="s">
        <v>37</v>
      </c>
      <c r="C599" t="s">
        <v>79</v>
      </c>
      <c r="D599" t="s">
        <v>79</v>
      </c>
      <c r="E599" t="s">
        <v>584</v>
      </c>
      <c r="F599" t="s">
        <v>581</v>
      </c>
      <c r="G599" t="s">
        <v>24</v>
      </c>
      <c r="H599">
        <v>8.0273970000000004E-4</v>
      </c>
      <c r="I599">
        <v>0</v>
      </c>
    </row>
    <row r="600" spans="1:14" hidden="1" x14ac:dyDescent="0.35">
      <c r="A600" t="s">
        <v>243</v>
      </c>
      <c r="B600" t="s">
        <v>37</v>
      </c>
      <c r="C600" t="s">
        <v>79</v>
      </c>
      <c r="D600" t="s">
        <v>79</v>
      </c>
      <c r="E600" t="s">
        <v>584</v>
      </c>
      <c r="F600" t="s">
        <v>581</v>
      </c>
      <c r="G600" t="s">
        <v>25</v>
      </c>
      <c r="H600">
        <v>1.7104109999999999E-2</v>
      </c>
      <c r="I600">
        <v>1.5435620000000001E-2</v>
      </c>
      <c r="J600">
        <v>1.384932E-2</v>
      </c>
      <c r="K600">
        <v>1.246301E-2</v>
      </c>
      <c r="L600">
        <v>1.1216439999999999E-2</v>
      </c>
      <c r="M600">
        <v>1.012329E-2</v>
      </c>
      <c r="N600">
        <v>9.0849320000000004E-3</v>
      </c>
    </row>
    <row r="601" spans="1:14" hidden="1" x14ac:dyDescent="0.35">
      <c r="A601" t="s">
        <v>243</v>
      </c>
      <c r="B601" t="s">
        <v>37</v>
      </c>
      <c r="C601" t="s">
        <v>79</v>
      </c>
      <c r="D601" t="s">
        <v>79</v>
      </c>
      <c r="E601" t="s">
        <v>584</v>
      </c>
      <c r="F601" t="s">
        <v>26</v>
      </c>
      <c r="G601" t="s">
        <v>26</v>
      </c>
      <c r="H601">
        <v>0.55406580000000005</v>
      </c>
      <c r="I601">
        <v>0.5150055</v>
      </c>
      <c r="J601">
        <v>0.47782960000000002</v>
      </c>
      <c r="K601">
        <v>0.4434554</v>
      </c>
      <c r="L601">
        <v>0.41002090000000002</v>
      </c>
      <c r="M601">
        <v>0.24673590000000001</v>
      </c>
      <c r="N601">
        <v>0.22319069999999999</v>
      </c>
    </row>
    <row r="602" spans="1:14" hidden="1" x14ac:dyDescent="0.35">
      <c r="A602" t="s">
        <v>243</v>
      </c>
      <c r="B602" t="s">
        <v>37</v>
      </c>
      <c r="C602" t="s">
        <v>246</v>
      </c>
      <c r="D602" t="s">
        <v>246</v>
      </c>
      <c r="E602" t="s">
        <v>647</v>
      </c>
      <c r="F602" t="s">
        <v>26</v>
      </c>
      <c r="G602" t="s">
        <v>26</v>
      </c>
      <c r="H602">
        <v>2.458526</v>
      </c>
      <c r="I602">
        <v>2.218378</v>
      </c>
      <c r="J602">
        <v>1.990764</v>
      </c>
      <c r="K602">
        <v>1.791658</v>
      </c>
      <c r="L602">
        <v>1.612468</v>
      </c>
      <c r="M602">
        <v>1.4549669999999999</v>
      </c>
      <c r="N602">
        <v>1.305682</v>
      </c>
    </row>
    <row r="603" spans="1:14" hidden="1" x14ac:dyDescent="0.35">
      <c r="A603" t="s">
        <v>243</v>
      </c>
      <c r="B603" t="s">
        <v>37</v>
      </c>
      <c r="C603" t="s">
        <v>246</v>
      </c>
      <c r="D603" t="s">
        <v>246</v>
      </c>
      <c r="E603" t="s">
        <v>584</v>
      </c>
      <c r="F603" t="s">
        <v>581</v>
      </c>
      <c r="G603" t="s">
        <v>396</v>
      </c>
      <c r="H603">
        <v>0.3574657</v>
      </c>
      <c r="I603">
        <v>0.35038910000000001</v>
      </c>
      <c r="J603">
        <v>0.34339779999999998</v>
      </c>
      <c r="K603">
        <v>0.33385860000000001</v>
      </c>
      <c r="L603">
        <v>0.32065090000000002</v>
      </c>
      <c r="M603">
        <v>0.30105150000000003</v>
      </c>
      <c r="N603">
        <v>0.28385310000000002</v>
      </c>
    </row>
    <row r="604" spans="1:14" hidden="1" x14ac:dyDescent="0.35">
      <c r="A604" t="s">
        <v>243</v>
      </c>
      <c r="B604" t="s">
        <v>37</v>
      </c>
      <c r="C604" t="s">
        <v>246</v>
      </c>
      <c r="D604" t="s">
        <v>246</v>
      </c>
      <c r="E604" t="s">
        <v>584</v>
      </c>
      <c r="F604" t="s">
        <v>581</v>
      </c>
      <c r="G604" t="s">
        <v>25</v>
      </c>
      <c r="H604">
        <v>2.5786300000000002E-2</v>
      </c>
      <c r="I604">
        <v>1.7282189999999999E-2</v>
      </c>
      <c r="J604">
        <v>1.158356E-2</v>
      </c>
      <c r="K604">
        <v>7.764384E-3</v>
      </c>
      <c r="L604">
        <v>5.2301370000000002E-3</v>
      </c>
      <c r="M604">
        <v>3.50411E-3</v>
      </c>
      <c r="N604">
        <v>2.3479450000000002E-3</v>
      </c>
    </row>
    <row r="605" spans="1:14" hidden="1" x14ac:dyDescent="0.35">
      <c r="A605" t="s">
        <v>243</v>
      </c>
      <c r="B605" t="s">
        <v>37</v>
      </c>
      <c r="C605" t="s">
        <v>246</v>
      </c>
      <c r="D605" t="s">
        <v>246</v>
      </c>
      <c r="E605" t="s">
        <v>584</v>
      </c>
      <c r="F605" t="s">
        <v>26</v>
      </c>
      <c r="G605" t="s">
        <v>26</v>
      </c>
      <c r="H605">
        <v>2.328767E-2</v>
      </c>
      <c r="I605">
        <v>2.328767E-2</v>
      </c>
      <c r="J605">
        <v>2.328767E-2</v>
      </c>
      <c r="K605">
        <v>2.328767E-2</v>
      </c>
      <c r="L605">
        <v>2.328767E-2</v>
      </c>
      <c r="M605">
        <v>2.328767E-2</v>
      </c>
      <c r="N605">
        <v>2.328767E-2</v>
      </c>
    </row>
    <row r="606" spans="1:14" hidden="1" x14ac:dyDescent="0.35">
      <c r="A606" t="s">
        <v>243</v>
      </c>
      <c r="B606" t="s">
        <v>37</v>
      </c>
      <c r="C606" t="s">
        <v>46</v>
      </c>
      <c r="D606" t="s">
        <v>46</v>
      </c>
      <c r="E606" t="s">
        <v>584</v>
      </c>
      <c r="F606" t="s">
        <v>581</v>
      </c>
      <c r="G606" t="s">
        <v>396</v>
      </c>
      <c r="H606">
        <v>0.138263</v>
      </c>
      <c r="I606">
        <v>0.13482469999999999</v>
      </c>
      <c r="J606">
        <v>0.13144819999999999</v>
      </c>
      <c r="K606">
        <v>0.1271217</v>
      </c>
      <c r="L606">
        <v>0.1214192</v>
      </c>
      <c r="M606">
        <v>0.1133479</v>
      </c>
      <c r="N606">
        <v>0.1062427</v>
      </c>
    </row>
    <row r="607" spans="1:14" hidden="1" x14ac:dyDescent="0.35">
      <c r="A607" t="s">
        <v>243</v>
      </c>
      <c r="B607" t="s">
        <v>37</v>
      </c>
      <c r="C607" t="s">
        <v>46</v>
      </c>
      <c r="D607" t="s">
        <v>46</v>
      </c>
      <c r="E607" t="s">
        <v>584</v>
      </c>
      <c r="F607" t="s">
        <v>581</v>
      </c>
      <c r="G607" t="s">
        <v>24</v>
      </c>
      <c r="H607">
        <v>2.8076710000000001E-2</v>
      </c>
      <c r="I607">
        <v>2.7520550000000001E-2</v>
      </c>
      <c r="J607">
        <v>2.6970959999999999E-2</v>
      </c>
      <c r="K607">
        <v>2.6221919999999999E-2</v>
      </c>
      <c r="L607">
        <v>2.5184660000000001E-2</v>
      </c>
      <c r="M607">
        <v>2.364438E-2</v>
      </c>
      <c r="N607">
        <v>2.2294789999999998E-2</v>
      </c>
    </row>
    <row r="608" spans="1:14" hidden="1" x14ac:dyDescent="0.35">
      <c r="A608" t="s">
        <v>243</v>
      </c>
      <c r="B608" t="s">
        <v>37</v>
      </c>
      <c r="C608" t="s">
        <v>46</v>
      </c>
      <c r="D608" t="s">
        <v>46</v>
      </c>
      <c r="E608" t="s">
        <v>584</v>
      </c>
      <c r="F608" t="s">
        <v>581</v>
      </c>
      <c r="G608" t="s">
        <v>25</v>
      </c>
      <c r="H608">
        <v>0.11601640000000001</v>
      </c>
      <c r="I608">
        <v>0.11371779999999999</v>
      </c>
      <c r="J608">
        <v>0.1114493</v>
      </c>
      <c r="K608">
        <v>0.1083556</v>
      </c>
      <c r="L608">
        <v>0.1040701</v>
      </c>
      <c r="M608">
        <v>9.7706299999999996E-2</v>
      </c>
      <c r="N608">
        <v>9.2123839999999999E-2</v>
      </c>
    </row>
    <row r="609" spans="1:14" hidden="1" x14ac:dyDescent="0.35">
      <c r="A609" t="s">
        <v>243</v>
      </c>
      <c r="B609" t="s">
        <v>37</v>
      </c>
      <c r="C609" t="s">
        <v>46</v>
      </c>
      <c r="D609" t="s">
        <v>46</v>
      </c>
      <c r="E609" t="s">
        <v>584</v>
      </c>
      <c r="F609" t="s">
        <v>26</v>
      </c>
      <c r="G609" t="s">
        <v>26</v>
      </c>
      <c r="H609">
        <v>0.12777259999999999</v>
      </c>
      <c r="I609">
        <v>0.122874</v>
      </c>
      <c r="J609">
        <v>0.1181677</v>
      </c>
      <c r="K609">
        <v>0.11347839999999999</v>
      </c>
      <c r="L609">
        <v>0.10873099999999999</v>
      </c>
      <c r="M609">
        <v>1.9223560000000001E-2</v>
      </c>
      <c r="N609">
        <v>1.812658E-2</v>
      </c>
    </row>
    <row r="610" spans="1:14" hidden="1" x14ac:dyDescent="0.35">
      <c r="A610" t="s">
        <v>243</v>
      </c>
      <c r="B610" t="s">
        <v>37</v>
      </c>
      <c r="C610" t="s">
        <v>107</v>
      </c>
      <c r="D610" t="s">
        <v>107</v>
      </c>
      <c r="E610" t="s">
        <v>584</v>
      </c>
      <c r="F610" t="s">
        <v>581</v>
      </c>
      <c r="G610" t="s">
        <v>396</v>
      </c>
      <c r="H610">
        <v>8.3561639999999999E-4</v>
      </c>
      <c r="I610">
        <v>0</v>
      </c>
    </row>
    <row r="611" spans="1:14" hidden="1" x14ac:dyDescent="0.35">
      <c r="A611" t="s">
        <v>243</v>
      </c>
      <c r="B611" t="s">
        <v>37</v>
      </c>
      <c r="C611" t="s">
        <v>107</v>
      </c>
      <c r="D611" t="s">
        <v>107</v>
      </c>
      <c r="E611" t="s">
        <v>584</v>
      </c>
      <c r="F611" t="s">
        <v>581</v>
      </c>
      <c r="G611" t="s">
        <v>24</v>
      </c>
      <c r="H611">
        <v>7.780822E-4</v>
      </c>
      <c r="I611">
        <v>0</v>
      </c>
    </row>
    <row r="612" spans="1:14" hidden="1" x14ac:dyDescent="0.35">
      <c r="A612" t="s">
        <v>243</v>
      </c>
      <c r="B612" t="s">
        <v>37</v>
      </c>
      <c r="C612" t="s">
        <v>107</v>
      </c>
      <c r="D612" t="s">
        <v>107</v>
      </c>
      <c r="E612" t="s">
        <v>584</v>
      </c>
      <c r="F612" t="s">
        <v>581</v>
      </c>
      <c r="G612" t="s">
        <v>25</v>
      </c>
      <c r="H612">
        <v>1.552329E-2</v>
      </c>
      <c r="I612">
        <v>1.5216439999999999E-2</v>
      </c>
      <c r="J612">
        <v>1.491288E-2</v>
      </c>
      <c r="K612">
        <v>1.449863E-2</v>
      </c>
      <c r="L612">
        <v>1.3926030000000001E-2</v>
      </c>
      <c r="M612">
        <v>1.307288E-2</v>
      </c>
      <c r="N612">
        <v>1.232712E-2</v>
      </c>
    </row>
    <row r="613" spans="1:14" hidden="1" x14ac:dyDescent="0.35">
      <c r="A613" t="s">
        <v>243</v>
      </c>
      <c r="B613" t="s">
        <v>37</v>
      </c>
      <c r="C613" t="s">
        <v>107</v>
      </c>
      <c r="D613" t="s">
        <v>107</v>
      </c>
      <c r="E613" t="s">
        <v>584</v>
      </c>
      <c r="F613" t="s">
        <v>26</v>
      </c>
      <c r="G613" t="s">
        <v>26</v>
      </c>
      <c r="H613">
        <v>6.8490419999999996E-2</v>
      </c>
      <c r="I613">
        <v>6.8490419999999996E-2</v>
      </c>
      <c r="J613">
        <v>6.8490419999999996E-2</v>
      </c>
      <c r="K613">
        <v>6.8490419999999996E-2</v>
      </c>
      <c r="L613">
        <v>6.8490419999999996E-2</v>
      </c>
      <c r="M613">
        <v>6.8490419999999996E-2</v>
      </c>
      <c r="N613">
        <v>6.8490419999999996E-2</v>
      </c>
    </row>
    <row r="614" spans="1:14" hidden="1" x14ac:dyDescent="0.35">
      <c r="A614" t="s">
        <v>243</v>
      </c>
      <c r="B614" t="s">
        <v>37</v>
      </c>
      <c r="C614" t="s">
        <v>110</v>
      </c>
      <c r="D614" t="s">
        <v>110</v>
      </c>
      <c r="E614" t="s">
        <v>584</v>
      </c>
      <c r="F614" t="s">
        <v>26</v>
      </c>
      <c r="G614" t="s">
        <v>26</v>
      </c>
      <c r="H614">
        <v>2.2827400000000001E-2</v>
      </c>
      <c r="I614">
        <v>2.2375340000000001E-2</v>
      </c>
      <c r="J614">
        <v>2.1929319999999999E-2</v>
      </c>
      <c r="K614">
        <v>2.131945E-2</v>
      </c>
      <c r="L614">
        <v>2.0476169999999998E-2</v>
      </c>
      <c r="M614">
        <v>1.9223560000000001E-2</v>
      </c>
      <c r="N614">
        <v>1.812658E-2</v>
      </c>
    </row>
    <row r="615" spans="1:14" hidden="1" x14ac:dyDescent="0.35">
      <c r="A615" t="s">
        <v>243</v>
      </c>
      <c r="B615" t="s">
        <v>37</v>
      </c>
      <c r="C615" t="s">
        <v>249</v>
      </c>
      <c r="D615" t="s">
        <v>249</v>
      </c>
      <c r="E615" t="s">
        <v>584</v>
      </c>
      <c r="F615" t="s">
        <v>581</v>
      </c>
      <c r="G615" t="s">
        <v>25</v>
      </c>
      <c r="H615">
        <v>2.3632879999999998E-2</v>
      </c>
      <c r="I615">
        <v>1.5841089999999999E-2</v>
      </c>
      <c r="J615">
        <v>1.061644E-2</v>
      </c>
      <c r="K615">
        <v>7.1150679999999996E-3</v>
      </c>
      <c r="L615">
        <v>4.789041E-3</v>
      </c>
      <c r="M615">
        <v>6.4219180000000002E-4</v>
      </c>
      <c r="N615">
        <v>4.3013699999999998E-4</v>
      </c>
    </row>
    <row r="616" spans="1:14" hidden="1" x14ac:dyDescent="0.35">
      <c r="A616" t="s">
        <v>243</v>
      </c>
      <c r="B616" t="s">
        <v>37</v>
      </c>
      <c r="C616" t="s">
        <v>95</v>
      </c>
      <c r="D616" t="s">
        <v>95</v>
      </c>
      <c r="E616" t="s">
        <v>584</v>
      </c>
      <c r="F616" t="s">
        <v>581</v>
      </c>
      <c r="G616" t="s">
        <v>25</v>
      </c>
      <c r="H616">
        <v>1.958904E-3</v>
      </c>
      <c r="I616">
        <v>1.3123290000000001E-3</v>
      </c>
      <c r="J616">
        <v>8.821918E-4</v>
      </c>
      <c r="K616">
        <v>0</v>
      </c>
    </row>
    <row r="617" spans="1:14" hidden="1" x14ac:dyDescent="0.35">
      <c r="A617" t="s">
        <v>243</v>
      </c>
      <c r="B617" t="s">
        <v>37</v>
      </c>
      <c r="C617" t="s">
        <v>248</v>
      </c>
      <c r="D617" t="s">
        <v>248</v>
      </c>
      <c r="E617" t="s">
        <v>635</v>
      </c>
      <c r="F617" t="s">
        <v>581</v>
      </c>
      <c r="G617" t="s">
        <v>396</v>
      </c>
      <c r="I617">
        <v>0</v>
      </c>
    </row>
    <row r="618" spans="1:14" hidden="1" x14ac:dyDescent="0.35">
      <c r="A618" t="s">
        <v>243</v>
      </c>
      <c r="B618" t="s">
        <v>37</v>
      </c>
      <c r="C618" t="s">
        <v>248</v>
      </c>
      <c r="D618" t="s">
        <v>248</v>
      </c>
      <c r="E618" t="s">
        <v>635</v>
      </c>
      <c r="F618" t="s">
        <v>581</v>
      </c>
      <c r="G618" t="s">
        <v>24</v>
      </c>
      <c r="I618">
        <v>0</v>
      </c>
    </row>
    <row r="619" spans="1:14" hidden="1" x14ac:dyDescent="0.35">
      <c r="A619" t="s">
        <v>243</v>
      </c>
      <c r="B619" t="s">
        <v>245</v>
      </c>
      <c r="C619" t="s">
        <v>244</v>
      </c>
      <c r="D619" t="s">
        <v>244</v>
      </c>
      <c r="E619" t="s">
        <v>584</v>
      </c>
      <c r="F619" t="s">
        <v>581</v>
      </c>
      <c r="G619" t="s">
        <v>396</v>
      </c>
      <c r="K619">
        <v>0</v>
      </c>
      <c r="L619">
        <v>1.21193E-3</v>
      </c>
      <c r="M619">
        <v>7.8739369999999993E-3</v>
      </c>
      <c r="N619">
        <v>5.277828E-3</v>
      </c>
    </row>
    <row r="620" spans="1:14" hidden="1" x14ac:dyDescent="0.35">
      <c r="A620" t="s">
        <v>243</v>
      </c>
      <c r="B620" t="s">
        <v>245</v>
      </c>
      <c r="C620" t="s">
        <v>244</v>
      </c>
      <c r="D620" t="s">
        <v>244</v>
      </c>
      <c r="E620" t="s">
        <v>584</v>
      </c>
      <c r="F620" t="s">
        <v>581</v>
      </c>
      <c r="G620" t="s">
        <v>24</v>
      </c>
      <c r="H620">
        <v>0.2982979</v>
      </c>
      <c r="I620">
        <v>1.0339469999999999</v>
      </c>
      <c r="J620">
        <v>2.6112190000000002</v>
      </c>
      <c r="K620">
        <v>2.6582669999999999</v>
      </c>
      <c r="L620">
        <v>2.7204739999999998</v>
      </c>
      <c r="M620">
        <v>2.7499280000000002</v>
      </c>
      <c r="N620">
        <v>2.5387369999999998</v>
      </c>
    </row>
    <row r="621" spans="1:14" hidden="1" x14ac:dyDescent="0.35">
      <c r="A621" t="s">
        <v>243</v>
      </c>
      <c r="B621" t="s">
        <v>245</v>
      </c>
      <c r="C621" t="s">
        <v>244</v>
      </c>
      <c r="D621" t="s">
        <v>244</v>
      </c>
      <c r="E621" t="s">
        <v>584</v>
      </c>
      <c r="F621" t="s">
        <v>581</v>
      </c>
      <c r="G621" t="s">
        <v>25</v>
      </c>
      <c r="H621">
        <v>0</v>
      </c>
      <c r="I621">
        <v>0</v>
      </c>
      <c r="K621">
        <v>0</v>
      </c>
      <c r="L621">
        <v>2.5527890000000002E-3</v>
      </c>
      <c r="M621">
        <v>1.4584420000000001E-2</v>
      </c>
      <c r="N621">
        <v>1.6959809999999999E-2</v>
      </c>
    </row>
    <row r="622" spans="1:14" hidden="1" x14ac:dyDescent="0.35">
      <c r="A622" t="s">
        <v>243</v>
      </c>
      <c r="B622" t="s">
        <v>245</v>
      </c>
      <c r="C622" t="s">
        <v>244</v>
      </c>
      <c r="D622" t="s">
        <v>244</v>
      </c>
      <c r="E622" t="s">
        <v>584</v>
      </c>
      <c r="F622" t="s">
        <v>26</v>
      </c>
      <c r="G622" t="s">
        <v>26</v>
      </c>
      <c r="H622">
        <v>36.530569999999997</v>
      </c>
      <c r="I622">
        <v>80.544560000000004</v>
      </c>
      <c r="J622">
        <v>98.437380000000005</v>
      </c>
      <c r="K622">
        <v>99.486109999999996</v>
      </c>
      <c r="L622">
        <v>100.77719999999999</v>
      </c>
      <c r="M622">
        <v>101.5183</v>
      </c>
      <c r="N622">
        <v>103.36709999999999</v>
      </c>
    </row>
    <row r="623" spans="1:14" hidden="1" x14ac:dyDescent="0.35">
      <c r="A623" t="s">
        <v>243</v>
      </c>
      <c r="B623" t="s">
        <v>245</v>
      </c>
      <c r="C623" t="s">
        <v>247</v>
      </c>
      <c r="D623" t="s">
        <v>247</v>
      </c>
      <c r="E623" t="s">
        <v>584</v>
      </c>
      <c r="F623" t="s">
        <v>26</v>
      </c>
      <c r="G623" t="s">
        <v>26</v>
      </c>
      <c r="H623">
        <v>0.94117700000000004</v>
      </c>
      <c r="I623">
        <v>0.88261369999999995</v>
      </c>
      <c r="J623">
        <v>0.82733409999999996</v>
      </c>
      <c r="K623">
        <v>0.76880800000000005</v>
      </c>
      <c r="L623">
        <v>0.15202299999999999</v>
      </c>
      <c r="M623">
        <v>0.13817280000000001</v>
      </c>
      <c r="N623">
        <v>0.12603700000000001</v>
      </c>
    </row>
    <row r="624" spans="1:14" hidden="1" x14ac:dyDescent="0.35">
      <c r="A624" t="s">
        <v>243</v>
      </c>
      <c r="B624" t="s">
        <v>43</v>
      </c>
      <c r="C624" t="s">
        <v>42</v>
      </c>
      <c r="D624" t="s">
        <v>42</v>
      </c>
      <c r="E624" t="s">
        <v>584</v>
      </c>
      <c r="F624" t="s">
        <v>581</v>
      </c>
      <c r="G624" t="s">
        <v>24</v>
      </c>
      <c r="H624">
        <v>7.9379929999999996</v>
      </c>
      <c r="I624">
        <v>6.9950390000000002</v>
      </c>
      <c r="J624">
        <v>7.3689109999999998</v>
      </c>
      <c r="K624">
        <v>6.9041129999999997</v>
      </c>
      <c r="L624">
        <v>6.349888</v>
      </c>
      <c r="M624">
        <v>5.8652230000000003</v>
      </c>
      <c r="N624">
        <v>5.4995779999999996</v>
      </c>
    </row>
    <row r="625" spans="1:14" hidden="1" x14ac:dyDescent="0.35">
      <c r="A625" t="s">
        <v>243</v>
      </c>
      <c r="B625" t="s">
        <v>43</v>
      </c>
      <c r="C625" t="s">
        <v>42</v>
      </c>
      <c r="D625" t="s">
        <v>42</v>
      </c>
      <c r="E625" t="s">
        <v>584</v>
      </c>
      <c r="F625" t="s">
        <v>581</v>
      </c>
      <c r="G625" t="s">
        <v>25</v>
      </c>
      <c r="H625">
        <v>4.7918729999999998</v>
      </c>
      <c r="I625">
        <v>4.2248739999999998</v>
      </c>
      <c r="J625">
        <v>4.4499469999999999</v>
      </c>
      <c r="K625">
        <v>4.1701360000000003</v>
      </c>
      <c r="L625">
        <v>3.8381949999999998</v>
      </c>
      <c r="M625">
        <v>3.549776</v>
      </c>
      <c r="N625">
        <v>3.266804</v>
      </c>
    </row>
    <row r="626" spans="1:14" hidden="1" x14ac:dyDescent="0.35">
      <c r="A626" t="s">
        <v>243</v>
      </c>
      <c r="B626" t="s">
        <v>43</v>
      </c>
      <c r="C626" t="s">
        <v>42</v>
      </c>
      <c r="D626" t="s">
        <v>42</v>
      </c>
      <c r="E626" t="s">
        <v>584</v>
      </c>
      <c r="F626" t="s">
        <v>26</v>
      </c>
      <c r="G626" t="s">
        <v>26</v>
      </c>
      <c r="H626">
        <v>30.326080000000001</v>
      </c>
      <c r="I626">
        <v>26.76276</v>
      </c>
      <c r="J626">
        <v>28.180209999999999</v>
      </c>
      <c r="K626">
        <v>26.418040000000001</v>
      </c>
      <c r="L626">
        <v>24.30761</v>
      </c>
      <c r="M626">
        <v>22.469629999999999</v>
      </c>
      <c r="N626">
        <v>20.822199999999999</v>
      </c>
    </row>
    <row r="627" spans="1:14" hidden="1" x14ac:dyDescent="0.35">
      <c r="A627" t="s">
        <v>243</v>
      </c>
      <c r="B627" t="s">
        <v>43</v>
      </c>
      <c r="C627" t="s">
        <v>229</v>
      </c>
      <c r="D627" t="s">
        <v>229</v>
      </c>
      <c r="E627" t="s">
        <v>584</v>
      </c>
      <c r="F627" t="s">
        <v>581</v>
      </c>
      <c r="G627" t="s">
        <v>396</v>
      </c>
      <c r="H627">
        <v>5.7906519999999997</v>
      </c>
      <c r="I627">
        <v>5.5694790000000003</v>
      </c>
      <c r="J627">
        <v>5.6133189999999997</v>
      </c>
      <c r="K627">
        <v>5.0835499999999998</v>
      </c>
      <c r="L627">
        <v>4.6175569999999997</v>
      </c>
      <c r="M627">
        <v>2.7284389999999998</v>
      </c>
      <c r="N627">
        <v>2.4847600000000001</v>
      </c>
    </row>
    <row r="628" spans="1:14" hidden="1" x14ac:dyDescent="0.35">
      <c r="A628" t="s">
        <v>243</v>
      </c>
      <c r="B628" t="s">
        <v>43</v>
      </c>
      <c r="C628" t="s">
        <v>229</v>
      </c>
      <c r="D628" t="s">
        <v>229</v>
      </c>
      <c r="E628" t="s">
        <v>584</v>
      </c>
      <c r="F628" t="s">
        <v>581</v>
      </c>
      <c r="G628" t="s">
        <v>24</v>
      </c>
      <c r="H628">
        <v>2.646503</v>
      </c>
      <c r="I628">
        <v>2.2898640000000001</v>
      </c>
      <c r="J628">
        <v>2.237574</v>
      </c>
      <c r="K628">
        <v>1.9157729999999999</v>
      </c>
      <c r="L628">
        <v>1.6100080000000001</v>
      </c>
      <c r="M628">
        <v>1.3605529999999999</v>
      </c>
      <c r="N628">
        <v>1.153786</v>
      </c>
    </row>
    <row r="629" spans="1:14" hidden="1" x14ac:dyDescent="0.35">
      <c r="A629" t="s">
        <v>243</v>
      </c>
      <c r="B629" t="s">
        <v>43</v>
      </c>
      <c r="C629" t="s">
        <v>229</v>
      </c>
      <c r="D629" t="s">
        <v>229</v>
      </c>
      <c r="E629" t="s">
        <v>584</v>
      </c>
      <c r="F629" t="s">
        <v>581</v>
      </c>
      <c r="G629" t="s">
        <v>25</v>
      </c>
      <c r="I629">
        <v>0</v>
      </c>
      <c r="J629">
        <v>0.69881850000000001</v>
      </c>
      <c r="K629">
        <v>2.3717649999999999</v>
      </c>
      <c r="L629">
        <v>2.7792210000000002</v>
      </c>
      <c r="M629">
        <v>2.3504900000000002</v>
      </c>
      <c r="N629">
        <v>1.8180210000000001</v>
      </c>
    </row>
    <row r="630" spans="1:14" hidden="1" x14ac:dyDescent="0.35">
      <c r="A630" t="s">
        <v>243</v>
      </c>
      <c r="B630" t="s">
        <v>43</v>
      </c>
      <c r="C630" t="s">
        <v>229</v>
      </c>
      <c r="D630" t="s">
        <v>229</v>
      </c>
      <c r="E630" t="s">
        <v>584</v>
      </c>
      <c r="F630" t="s">
        <v>26</v>
      </c>
      <c r="G630" t="s">
        <v>26</v>
      </c>
      <c r="I630">
        <v>0</v>
      </c>
      <c r="J630">
        <v>1.7097230000000001</v>
      </c>
      <c r="K630">
        <v>7.5281690000000001</v>
      </c>
      <c r="L630">
        <v>11.18647</v>
      </c>
      <c r="M630">
        <v>11.87358</v>
      </c>
      <c r="N630">
        <v>9.5772929999999992</v>
      </c>
    </row>
    <row r="631" spans="1:14" hidden="1" x14ac:dyDescent="0.35">
      <c r="A631" t="s">
        <v>243</v>
      </c>
      <c r="B631" t="s">
        <v>388</v>
      </c>
      <c r="C631" t="s">
        <v>229</v>
      </c>
      <c r="D631" t="s">
        <v>229</v>
      </c>
      <c r="E631" t="s">
        <v>584</v>
      </c>
      <c r="F631" t="s">
        <v>581</v>
      </c>
      <c r="G631" t="s">
        <v>25</v>
      </c>
      <c r="N631">
        <v>0</v>
      </c>
    </row>
    <row r="632" spans="1:14" hidden="1" x14ac:dyDescent="0.35">
      <c r="A632" t="s">
        <v>243</v>
      </c>
      <c r="B632" t="s">
        <v>388</v>
      </c>
      <c r="C632" t="s">
        <v>229</v>
      </c>
      <c r="D632" t="s">
        <v>229</v>
      </c>
      <c r="E632" t="s">
        <v>584</v>
      </c>
      <c r="F632" t="s">
        <v>26</v>
      </c>
      <c r="G632" t="s">
        <v>26</v>
      </c>
      <c r="N632">
        <v>0</v>
      </c>
    </row>
    <row r="633" spans="1:14" hidden="1" x14ac:dyDescent="0.35">
      <c r="A633" t="s">
        <v>648</v>
      </c>
      <c r="B633" t="s">
        <v>37</v>
      </c>
      <c r="C633" t="s">
        <v>63</v>
      </c>
      <c r="D633" t="s">
        <v>63</v>
      </c>
      <c r="E633" t="s">
        <v>610</v>
      </c>
      <c r="F633" t="s">
        <v>581</v>
      </c>
      <c r="G633" t="s">
        <v>24</v>
      </c>
      <c r="H633">
        <v>8.6323720000000002</v>
      </c>
      <c r="I633">
        <v>12.43144</v>
      </c>
      <c r="J633">
        <v>13.900880000000001</v>
      </c>
      <c r="K633">
        <v>12.698589999999999</v>
      </c>
      <c r="L633">
        <v>10.311719999999999</v>
      </c>
      <c r="M633">
        <v>8.7928909999999991</v>
      </c>
      <c r="N633">
        <v>7.6848409999999996</v>
      </c>
    </row>
    <row r="634" spans="1:14" hidden="1" x14ac:dyDescent="0.35">
      <c r="A634" t="s">
        <v>648</v>
      </c>
      <c r="B634" t="s">
        <v>37</v>
      </c>
      <c r="C634" t="s">
        <v>63</v>
      </c>
      <c r="D634" t="s">
        <v>63</v>
      </c>
      <c r="E634" t="s">
        <v>610</v>
      </c>
      <c r="F634" t="s">
        <v>581</v>
      </c>
      <c r="G634" t="s">
        <v>25</v>
      </c>
      <c r="H634">
        <v>98.665750000000003</v>
      </c>
      <c r="I634">
        <v>102.6073</v>
      </c>
      <c r="J634">
        <v>115.9846</v>
      </c>
      <c r="K634">
        <v>107.86960000000001</v>
      </c>
      <c r="L634">
        <v>87.758179999999996</v>
      </c>
      <c r="M634">
        <v>74.410899999999998</v>
      </c>
      <c r="N634">
        <v>64.700760000000002</v>
      </c>
    </row>
    <row r="635" spans="1:14" hidden="1" x14ac:dyDescent="0.35">
      <c r="A635" t="s">
        <v>648</v>
      </c>
      <c r="B635" t="s">
        <v>37</v>
      </c>
      <c r="C635" t="s">
        <v>63</v>
      </c>
      <c r="D635" t="s">
        <v>63</v>
      </c>
      <c r="E635" t="s">
        <v>610</v>
      </c>
      <c r="F635" t="s">
        <v>26</v>
      </c>
      <c r="G635" t="s">
        <v>26</v>
      </c>
      <c r="H635">
        <v>129.19200000000001</v>
      </c>
      <c r="I635">
        <v>133.09049999999999</v>
      </c>
      <c r="J635">
        <v>151.09729999999999</v>
      </c>
      <c r="K635">
        <v>140.83629999999999</v>
      </c>
      <c r="L635">
        <v>114.6046</v>
      </c>
      <c r="M635">
        <v>97.107299999999995</v>
      </c>
      <c r="N635">
        <v>84.382180000000005</v>
      </c>
    </row>
    <row r="636" spans="1:14" hidden="1" x14ac:dyDescent="0.35">
      <c r="A636" t="s">
        <v>648</v>
      </c>
      <c r="B636" t="s">
        <v>37</v>
      </c>
      <c r="C636" t="s">
        <v>63</v>
      </c>
      <c r="D636" t="s">
        <v>63</v>
      </c>
      <c r="E636" t="s">
        <v>608</v>
      </c>
      <c r="F636" t="s">
        <v>26</v>
      </c>
      <c r="G636" t="s">
        <v>26</v>
      </c>
      <c r="H636">
        <v>92.645009999999999</v>
      </c>
      <c r="I636">
        <v>110.1521</v>
      </c>
      <c r="J636">
        <v>94.472070000000002</v>
      </c>
      <c r="K636">
        <v>75.613079999999997</v>
      </c>
      <c r="L636">
        <v>65.110129999999998</v>
      </c>
      <c r="M636">
        <v>57.111620000000002</v>
      </c>
      <c r="N636">
        <v>48.029000000000003</v>
      </c>
    </row>
    <row r="637" spans="1:14" hidden="1" x14ac:dyDescent="0.35">
      <c r="A637" t="s">
        <v>648</v>
      </c>
      <c r="B637" t="s">
        <v>37</v>
      </c>
      <c r="C637" t="s">
        <v>63</v>
      </c>
      <c r="D637" t="s">
        <v>63</v>
      </c>
      <c r="E637" t="s">
        <v>621</v>
      </c>
      <c r="F637" t="s">
        <v>581</v>
      </c>
      <c r="G637" t="s">
        <v>25</v>
      </c>
      <c r="M637">
        <v>0</v>
      </c>
      <c r="N637">
        <v>-1.2757839999999999E-10</v>
      </c>
    </row>
    <row r="638" spans="1:14" hidden="1" x14ac:dyDescent="0.35">
      <c r="A638" t="s">
        <v>648</v>
      </c>
      <c r="B638" t="s">
        <v>37</v>
      </c>
      <c r="C638" t="s">
        <v>63</v>
      </c>
      <c r="D638" t="s">
        <v>63</v>
      </c>
      <c r="E638" t="s">
        <v>621</v>
      </c>
      <c r="F638" t="s">
        <v>26</v>
      </c>
      <c r="G638" t="s">
        <v>26</v>
      </c>
      <c r="H638">
        <v>13.84069</v>
      </c>
      <c r="I638">
        <v>13.18441</v>
      </c>
      <c r="J638">
        <v>12.166410000000001</v>
      </c>
      <c r="K638">
        <v>10.568759999999999</v>
      </c>
      <c r="L638">
        <v>9.8020110000000003</v>
      </c>
      <c r="M638">
        <v>8.2530780000000004</v>
      </c>
      <c r="N638">
        <v>7.16228</v>
      </c>
    </row>
    <row r="639" spans="1:14" hidden="1" x14ac:dyDescent="0.35">
      <c r="A639" t="s">
        <v>648</v>
      </c>
      <c r="B639" t="s">
        <v>37</v>
      </c>
      <c r="C639" t="s">
        <v>63</v>
      </c>
      <c r="D639" t="s">
        <v>63</v>
      </c>
      <c r="E639" t="s">
        <v>584</v>
      </c>
      <c r="F639" t="s">
        <v>581</v>
      </c>
      <c r="G639" t="s">
        <v>25</v>
      </c>
      <c r="H639">
        <v>0.30738910000000003</v>
      </c>
      <c r="I639">
        <v>0.26522469999999998</v>
      </c>
      <c r="J639">
        <v>0.2285885</v>
      </c>
      <c r="K639">
        <v>0.1949649</v>
      </c>
      <c r="L639">
        <v>0.16341430000000001</v>
      </c>
      <c r="M639">
        <v>2.744986E-2</v>
      </c>
      <c r="N639">
        <v>2.2660820000000002E-2</v>
      </c>
    </row>
    <row r="640" spans="1:14" hidden="1" x14ac:dyDescent="0.35">
      <c r="A640" t="s">
        <v>648</v>
      </c>
      <c r="B640" t="s">
        <v>37</v>
      </c>
      <c r="C640" t="s">
        <v>63</v>
      </c>
      <c r="D640" t="s">
        <v>63</v>
      </c>
      <c r="E640" t="s">
        <v>584</v>
      </c>
      <c r="F640" t="s">
        <v>26</v>
      </c>
      <c r="G640" t="s">
        <v>26</v>
      </c>
      <c r="H640">
        <v>2.84348</v>
      </c>
      <c r="I640">
        <v>2.5654659999999998</v>
      </c>
      <c r="J640">
        <v>2.3128229999999999</v>
      </c>
      <c r="K640">
        <v>2.065153</v>
      </c>
      <c r="L640">
        <v>1.815466</v>
      </c>
      <c r="M640">
        <v>0.31944489999999998</v>
      </c>
      <c r="N640">
        <v>0.27705370000000001</v>
      </c>
    </row>
    <row r="641" spans="1:14" hidden="1" x14ac:dyDescent="0.35">
      <c r="A641" t="s">
        <v>648</v>
      </c>
      <c r="B641" t="s">
        <v>37</v>
      </c>
      <c r="C641" t="s">
        <v>63</v>
      </c>
      <c r="D641" t="s">
        <v>63</v>
      </c>
      <c r="E641" t="s">
        <v>612</v>
      </c>
      <c r="F641" t="s">
        <v>581</v>
      </c>
      <c r="G641" t="s">
        <v>24</v>
      </c>
      <c r="H641">
        <v>8.268493E-3</v>
      </c>
      <c r="I641">
        <v>6.4657539999999998E-3</v>
      </c>
      <c r="J641">
        <v>5.4273969999999996E-3</v>
      </c>
      <c r="K641">
        <v>4.4958910000000001E-3</v>
      </c>
      <c r="L641">
        <v>3.8164380000000001E-3</v>
      </c>
      <c r="M641">
        <v>3.3095889999999999E-3</v>
      </c>
      <c r="N641">
        <v>2.8986300000000001E-3</v>
      </c>
    </row>
    <row r="642" spans="1:14" hidden="1" x14ac:dyDescent="0.35">
      <c r="A642" t="s">
        <v>648</v>
      </c>
      <c r="B642" t="s">
        <v>37</v>
      </c>
      <c r="C642" t="s">
        <v>63</v>
      </c>
      <c r="D642" t="s">
        <v>63</v>
      </c>
      <c r="E642" t="s">
        <v>612</v>
      </c>
      <c r="F642" t="s">
        <v>581</v>
      </c>
      <c r="G642" t="s">
        <v>25</v>
      </c>
      <c r="H642">
        <v>0.40014250000000001</v>
      </c>
      <c r="I642">
        <v>0.3058959</v>
      </c>
      <c r="J642">
        <v>0.2441836</v>
      </c>
      <c r="K642">
        <v>0.2022658</v>
      </c>
      <c r="L642">
        <v>0.1716849</v>
      </c>
      <c r="M642">
        <v>0.14896989999999999</v>
      </c>
      <c r="N642">
        <v>0.13049040000000001</v>
      </c>
    </row>
    <row r="643" spans="1:14" hidden="1" x14ac:dyDescent="0.35">
      <c r="A643" t="s">
        <v>648</v>
      </c>
      <c r="B643" t="s">
        <v>37</v>
      </c>
      <c r="C643" t="s">
        <v>63</v>
      </c>
      <c r="D643" t="s">
        <v>63</v>
      </c>
      <c r="E643" t="s">
        <v>612</v>
      </c>
      <c r="F643" t="s">
        <v>26</v>
      </c>
      <c r="G643" t="s">
        <v>26</v>
      </c>
      <c r="H643">
        <v>0.4801726</v>
      </c>
      <c r="I643">
        <v>0.36707400000000001</v>
      </c>
      <c r="J643">
        <v>0.2930219</v>
      </c>
      <c r="K643">
        <v>0.24271780000000001</v>
      </c>
      <c r="L643">
        <v>0.20601920000000001</v>
      </c>
      <c r="M643">
        <v>0.17876439999999999</v>
      </c>
      <c r="N643">
        <v>0.15658900000000001</v>
      </c>
    </row>
    <row r="644" spans="1:14" hidden="1" x14ac:dyDescent="0.35">
      <c r="A644" t="s">
        <v>648</v>
      </c>
      <c r="B644" t="s">
        <v>37</v>
      </c>
      <c r="C644" t="s">
        <v>63</v>
      </c>
      <c r="D644" t="s">
        <v>63</v>
      </c>
      <c r="E644" t="s">
        <v>611</v>
      </c>
      <c r="F644" t="s">
        <v>581</v>
      </c>
      <c r="G644" t="s">
        <v>24</v>
      </c>
      <c r="H644">
        <v>1.26E-2</v>
      </c>
      <c r="I644">
        <v>1.1356160000000001E-2</v>
      </c>
      <c r="J644">
        <v>1.0191779999999999E-2</v>
      </c>
      <c r="K644">
        <v>9.1780820000000006E-3</v>
      </c>
      <c r="L644">
        <v>8.2547939999999993E-3</v>
      </c>
      <c r="M644">
        <v>7.4547939999999998E-3</v>
      </c>
      <c r="N644">
        <v>6.6876710000000001E-3</v>
      </c>
    </row>
    <row r="645" spans="1:14" hidden="1" x14ac:dyDescent="0.35">
      <c r="A645" t="s">
        <v>648</v>
      </c>
      <c r="B645" t="s">
        <v>37</v>
      </c>
      <c r="C645" t="s">
        <v>63</v>
      </c>
      <c r="D645" t="s">
        <v>63</v>
      </c>
      <c r="E645" t="s">
        <v>611</v>
      </c>
      <c r="F645" t="s">
        <v>581</v>
      </c>
      <c r="G645" t="s">
        <v>25</v>
      </c>
      <c r="H645">
        <v>1.8895889999999999E-2</v>
      </c>
      <c r="I645">
        <v>1.703288E-2</v>
      </c>
      <c r="J645">
        <v>1.528493E-2</v>
      </c>
      <c r="K645">
        <v>1.376438E-2</v>
      </c>
      <c r="L645">
        <v>1.2380820000000001E-2</v>
      </c>
      <c r="M645">
        <v>1.1180819999999999E-2</v>
      </c>
      <c r="N645">
        <v>1.0032879999999999E-2</v>
      </c>
    </row>
    <row r="646" spans="1:14" hidden="1" x14ac:dyDescent="0.35">
      <c r="A646" t="s">
        <v>648</v>
      </c>
      <c r="B646" t="s">
        <v>37</v>
      </c>
      <c r="C646" t="s">
        <v>63</v>
      </c>
      <c r="D646" t="s">
        <v>63</v>
      </c>
      <c r="E646" t="s">
        <v>611</v>
      </c>
      <c r="F646" t="s">
        <v>26</v>
      </c>
      <c r="G646" t="s">
        <v>26</v>
      </c>
      <c r="H646">
        <v>9.4493149999999998E-2</v>
      </c>
      <c r="I646">
        <v>8.5167119999999999E-2</v>
      </c>
      <c r="J646">
        <v>7.6427389999999998E-2</v>
      </c>
      <c r="K646">
        <v>6.883562E-2</v>
      </c>
      <c r="L646">
        <v>6.1904109999999998E-2</v>
      </c>
      <c r="M646">
        <v>5.5901369999999999E-2</v>
      </c>
      <c r="N646">
        <v>5.0164380000000001E-2</v>
      </c>
    </row>
    <row r="647" spans="1:14" hidden="1" x14ac:dyDescent="0.35">
      <c r="A647" t="s">
        <v>648</v>
      </c>
      <c r="B647" t="s">
        <v>37</v>
      </c>
      <c r="C647" t="s">
        <v>46</v>
      </c>
      <c r="D647" t="s">
        <v>46</v>
      </c>
      <c r="E647" t="s">
        <v>584</v>
      </c>
      <c r="F647" t="s">
        <v>581</v>
      </c>
      <c r="G647" t="s">
        <v>396</v>
      </c>
      <c r="H647">
        <v>1.317666</v>
      </c>
      <c r="I647">
        <v>1.2653730000000001</v>
      </c>
      <c r="J647">
        <v>1.2518929999999999</v>
      </c>
      <c r="K647">
        <v>1.199111</v>
      </c>
      <c r="L647">
        <v>1.021739</v>
      </c>
      <c r="M647">
        <v>0.81372109999999997</v>
      </c>
      <c r="N647">
        <v>0.65262299999999995</v>
      </c>
    </row>
    <row r="648" spans="1:14" hidden="1" x14ac:dyDescent="0.35">
      <c r="A648" t="s">
        <v>648</v>
      </c>
      <c r="B648" t="s">
        <v>37</v>
      </c>
      <c r="C648" t="s">
        <v>46</v>
      </c>
      <c r="D648" t="s">
        <v>46</v>
      </c>
      <c r="E648" t="s">
        <v>584</v>
      </c>
      <c r="F648" t="s">
        <v>581</v>
      </c>
      <c r="G648" t="s">
        <v>24</v>
      </c>
      <c r="H648">
        <v>8.0273970000000004E-4</v>
      </c>
      <c r="I648">
        <v>0</v>
      </c>
    </row>
    <row r="649" spans="1:14" hidden="1" x14ac:dyDescent="0.35">
      <c r="A649" t="s">
        <v>648</v>
      </c>
      <c r="B649" t="s">
        <v>37</v>
      </c>
      <c r="C649" t="s">
        <v>46</v>
      </c>
      <c r="D649" t="s">
        <v>46</v>
      </c>
      <c r="E649" t="s">
        <v>584</v>
      </c>
      <c r="F649" t="s">
        <v>581</v>
      </c>
      <c r="G649" t="s">
        <v>25</v>
      </c>
      <c r="H649">
        <v>7.2916169999999996</v>
      </c>
      <c r="I649">
        <v>3.3909099999999999</v>
      </c>
      <c r="J649">
        <v>3.354117</v>
      </c>
      <c r="K649">
        <v>3.2121400000000002</v>
      </c>
      <c r="L649">
        <v>2.7374779999999999</v>
      </c>
      <c r="M649">
        <v>2.1802700000000002</v>
      </c>
      <c r="N649">
        <v>1.748486</v>
      </c>
    </row>
    <row r="650" spans="1:14" hidden="1" x14ac:dyDescent="0.35">
      <c r="A650" t="s">
        <v>648</v>
      </c>
      <c r="B650" t="s">
        <v>37</v>
      </c>
      <c r="C650" t="s">
        <v>46</v>
      </c>
      <c r="D650" t="s">
        <v>46</v>
      </c>
      <c r="E650" t="s">
        <v>584</v>
      </c>
      <c r="F650" t="s">
        <v>26</v>
      </c>
      <c r="G650" t="s">
        <v>26</v>
      </c>
      <c r="H650">
        <v>26.31503</v>
      </c>
      <c r="I650">
        <v>16.46856</v>
      </c>
      <c r="J650">
        <v>16.293500000000002</v>
      </c>
      <c r="K650">
        <v>15.6073</v>
      </c>
      <c r="L650">
        <v>13.30148</v>
      </c>
      <c r="M650">
        <v>10.597239999999999</v>
      </c>
      <c r="N650">
        <v>8.5029419999999991</v>
      </c>
    </row>
    <row r="651" spans="1:14" hidden="1" x14ac:dyDescent="0.35">
      <c r="A651" t="s">
        <v>648</v>
      </c>
      <c r="B651" t="s">
        <v>37</v>
      </c>
      <c r="C651" t="s">
        <v>105</v>
      </c>
      <c r="D651" t="s">
        <v>105</v>
      </c>
      <c r="E651" t="s">
        <v>620</v>
      </c>
      <c r="F651" t="s">
        <v>581</v>
      </c>
      <c r="G651" t="s">
        <v>396</v>
      </c>
      <c r="H651">
        <v>0.12982189999999999</v>
      </c>
      <c r="I651">
        <v>0.1204011</v>
      </c>
      <c r="J651">
        <v>0.1128077</v>
      </c>
      <c r="K651">
        <v>8.9620820000000004E-2</v>
      </c>
      <c r="L651">
        <v>7.5853149999999994E-2</v>
      </c>
      <c r="M651">
        <v>6.6212060000000003E-2</v>
      </c>
      <c r="N651">
        <v>5.8392869999999999E-2</v>
      </c>
    </row>
    <row r="652" spans="1:14" hidden="1" x14ac:dyDescent="0.35">
      <c r="A652" t="s">
        <v>648</v>
      </c>
      <c r="B652" t="s">
        <v>37</v>
      </c>
      <c r="C652" t="s">
        <v>105</v>
      </c>
      <c r="D652" t="s">
        <v>105</v>
      </c>
      <c r="E652" t="s">
        <v>620</v>
      </c>
      <c r="F652" t="s">
        <v>581</v>
      </c>
      <c r="G652" t="s">
        <v>25</v>
      </c>
      <c r="H652">
        <v>0.12740000000000001</v>
      </c>
      <c r="I652">
        <v>0.1163879</v>
      </c>
      <c r="J652">
        <v>0.1090493</v>
      </c>
      <c r="K652">
        <v>8.6633970000000005E-2</v>
      </c>
      <c r="L652">
        <v>7.3324379999999995E-2</v>
      </c>
      <c r="M652">
        <v>6.4006019999999997E-2</v>
      </c>
      <c r="N652">
        <v>5.6442739999999998E-2</v>
      </c>
    </row>
    <row r="653" spans="1:14" hidden="1" x14ac:dyDescent="0.35">
      <c r="A653" t="s">
        <v>648</v>
      </c>
      <c r="B653" t="s">
        <v>37</v>
      </c>
      <c r="C653" t="s">
        <v>105</v>
      </c>
      <c r="D653" t="s">
        <v>105</v>
      </c>
      <c r="E653" t="s">
        <v>620</v>
      </c>
      <c r="F653" t="s">
        <v>26</v>
      </c>
      <c r="G653" t="s">
        <v>26</v>
      </c>
      <c r="H653">
        <v>0.18012329999999999</v>
      </c>
      <c r="I653">
        <v>0.164548</v>
      </c>
      <c r="J653">
        <v>0.1541698</v>
      </c>
      <c r="K653">
        <v>0.12248439999999999</v>
      </c>
      <c r="L653">
        <v>0.1036647</v>
      </c>
      <c r="M653">
        <v>9.0487129999999999E-2</v>
      </c>
      <c r="N653">
        <v>7.9803299999999994E-2</v>
      </c>
    </row>
    <row r="654" spans="1:14" hidden="1" x14ac:dyDescent="0.35">
      <c r="A654" t="s">
        <v>648</v>
      </c>
      <c r="B654" t="s">
        <v>649</v>
      </c>
      <c r="C654" t="s">
        <v>650</v>
      </c>
      <c r="D654" t="s">
        <v>650</v>
      </c>
      <c r="E654" t="s">
        <v>584</v>
      </c>
      <c r="F654" t="s">
        <v>581</v>
      </c>
      <c r="G654" t="s">
        <v>396</v>
      </c>
      <c r="H654">
        <v>3.7016790000000001E-2</v>
      </c>
      <c r="I654">
        <v>3.4885989999999999E-2</v>
      </c>
      <c r="J654">
        <v>3.2883259999999997E-2</v>
      </c>
      <c r="K654">
        <v>3.1245160000000001E-2</v>
      </c>
      <c r="L654">
        <v>2.9832419999999998E-2</v>
      </c>
      <c r="M654">
        <v>2.8687549999999999E-2</v>
      </c>
      <c r="N654">
        <v>2.7550660000000001E-2</v>
      </c>
    </row>
    <row r="655" spans="1:14" hidden="1" x14ac:dyDescent="0.35">
      <c r="A655" t="s">
        <v>232</v>
      </c>
      <c r="B655" t="s">
        <v>37</v>
      </c>
      <c r="C655" t="s">
        <v>35</v>
      </c>
      <c r="D655" t="s">
        <v>164</v>
      </c>
      <c r="E655" t="s">
        <v>580</v>
      </c>
      <c r="F655" t="s">
        <v>581</v>
      </c>
      <c r="G655" t="s">
        <v>24</v>
      </c>
      <c r="H655">
        <v>6.1337200000000003</v>
      </c>
      <c r="I655">
        <v>6.5894190000000004</v>
      </c>
      <c r="J655">
        <v>6.9384220000000001</v>
      </c>
      <c r="K655">
        <v>6.9697480000000001</v>
      </c>
      <c r="L655">
        <v>6.588266</v>
      </c>
      <c r="M655">
        <v>5.908792</v>
      </c>
      <c r="N655">
        <v>4.9650679999999996</v>
      </c>
    </row>
    <row r="656" spans="1:14" hidden="1" x14ac:dyDescent="0.35">
      <c r="A656" t="s">
        <v>232</v>
      </c>
      <c r="B656" t="s">
        <v>37</v>
      </c>
      <c r="C656" t="s">
        <v>35</v>
      </c>
      <c r="D656" t="s">
        <v>164</v>
      </c>
      <c r="E656" t="s">
        <v>580</v>
      </c>
      <c r="F656" t="s">
        <v>581</v>
      </c>
      <c r="G656" t="s">
        <v>25</v>
      </c>
      <c r="H656">
        <v>35.380960000000002</v>
      </c>
      <c r="I656">
        <v>37.465980000000002</v>
      </c>
      <c r="J656">
        <v>39.07199</v>
      </c>
      <c r="K656">
        <v>39.248390000000001</v>
      </c>
      <c r="L656">
        <v>37.100169999999999</v>
      </c>
      <c r="M656">
        <v>33.273879999999998</v>
      </c>
      <c r="N656">
        <v>27.959530000000001</v>
      </c>
    </row>
    <row r="657" spans="1:14" hidden="1" x14ac:dyDescent="0.35">
      <c r="A657" t="s">
        <v>232</v>
      </c>
      <c r="B657" t="s">
        <v>37</v>
      </c>
      <c r="C657" t="s">
        <v>35</v>
      </c>
      <c r="D657" t="s">
        <v>164</v>
      </c>
      <c r="E657" t="s">
        <v>580</v>
      </c>
      <c r="F657" t="s">
        <v>26</v>
      </c>
      <c r="G657" t="s">
        <v>26</v>
      </c>
      <c r="H657">
        <v>44.980139999999999</v>
      </c>
      <c r="I657">
        <v>26.1555</v>
      </c>
      <c r="J657">
        <v>27.276669999999999</v>
      </c>
      <c r="K657">
        <v>27.399819999999998</v>
      </c>
      <c r="L657">
        <v>25.900120000000001</v>
      </c>
      <c r="M657">
        <v>23.228940000000001</v>
      </c>
      <c r="N657">
        <v>19.518920000000001</v>
      </c>
    </row>
    <row r="658" spans="1:14" hidden="1" x14ac:dyDescent="0.35">
      <c r="A658" t="s">
        <v>232</v>
      </c>
      <c r="B658" t="s">
        <v>37</v>
      </c>
      <c r="C658" t="s">
        <v>35</v>
      </c>
      <c r="D658" t="s">
        <v>189</v>
      </c>
      <c r="E658" t="s">
        <v>590</v>
      </c>
      <c r="F658" t="s">
        <v>581</v>
      </c>
      <c r="G658" t="s">
        <v>396</v>
      </c>
      <c r="H658">
        <v>37.654800000000002</v>
      </c>
      <c r="I658">
        <v>46.275979999999997</v>
      </c>
      <c r="J658">
        <v>41.680540000000001</v>
      </c>
      <c r="K658">
        <v>34.203600000000002</v>
      </c>
      <c r="L658">
        <v>27.769359999999999</v>
      </c>
      <c r="M658">
        <v>23.32151</v>
      </c>
      <c r="N658">
        <v>19.993670000000002</v>
      </c>
    </row>
    <row r="659" spans="1:14" hidden="1" x14ac:dyDescent="0.35">
      <c r="A659" t="s">
        <v>232</v>
      </c>
      <c r="B659" t="s">
        <v>37</v>
      </c>
      <c r="C659" t="s">
        <v>35</v>
      </c>
      <c r="D659" t="s">
        <v>189</v>
      </c>
      <c r="E659" t="s">
        <v>590</v>
      </c>
      <c r="F659" t="s">
        <v>581</v>
      </c>
      <c r="G659" t="s">
        <v>25</v>
      </c>
      <c r="H659">
        <v>12.73137</v>
      </c>
      <c r="I659">
        <v>14.051360000000001</v>
      </c>
      <c r="J659">
        <v>12.65302</v>
      </c>
      <c r="K659">
        <v>10.383240000000001</v>
      </c>
      <c r="L659">
        <v>8.4299850000000003</v>
      </c>
      <c r="M659">
        <v>7.0797429999999997</v>
      </c>
      <c r="N659">
        <v>6.0695059999999996</v>
      </c>
    </row>
    <row r="660" spans="1:14" hidden="1" x14ac:dyDescent="0.35">
      <c r="A660" t="s">
        <v>232</v>
      </c>
      <c r="B660" t="s">
        <v>37</v>
      </c>
      <c r="C660" t="s">
        <v>35</v>
      </c>
      <c r="D660" t="s">
        <v>189</v>
      </c>
      <c r="E660" t="s">
        <v>590</v>
      </c>
      <c r="F660" t="s">
        <v>26</v>
      </c>
      <c r="G660" t="s">
        <v>26</v>
      </c>
      <c r="H660">
        <v>11.592599999999999</v>
      </c>
      <c r="I660">
        <v>7.0256809999999996</v>
      </c>
      <c r="J660">
        <v>6.3265099999999999</v>
      </c>
      <c r="K660">
        <v>5.1916169999999999</v>
      </c>
      <c r="L660">
        <v>4.2149919999999996</v>
      </c>
      <c r="M660">
        <v>3.539873</v>
      </c>
      <c r="N660">
        <v>3.0347520000000001</v>
      </c>
    </row>
    <row r="661" spans="1:14" hidden="1" x14ac:dyDescent="0.35">
      <c r="A661" t="s">
        <v>232</v>
      </c>
      <c r="B661" t="s">
        <v>37</v>
      </c>
      <c r="C661" t="s">
        <v>35</v>
      </c>
      <c r="D661" t="s">
        <v>189</v>
      </c>
      <c r="E661" t="s">
        <v>586</v>
      </c>
      <c r="F661" t="s">
        <v>581</v>
      </c>
      <c r="G661" t="s">
        <v>396</v>
      </c>
      <c r="H661">
        <v>4.8679449999999997</v>
      </c>
      <c r="I661">
        <v>5.8661390000000004</v>
      </c>
      <c r="J661">
        <v>5.0386300000000004</v>
      </c>
      <c r="K661">
        <v>4.231916</v>
      </c>
      <c r="L661">
        <v>3.730334</v>
      </c>
      <c r="M661">
        <v>3.28383</v>
      </c>
      <c r="N661">
        <v>2.831245</v>
      </c>
    </row>
    <row r="662" spans="1:14" hidden="1" x14ac:dyDescent="0.35">
      <c r="A662" t="s">
        <v>232</v>
      </c>
      <c r="B662" t="s">
        <v>37</v>
      </c>
      <c r="C662" t="s">
        <v>35</v>
      </c>
      <c r="D662" t="s">
        <v>189</v>
      </c>
      <c r="E662" t="s">
        <v>586</v>
      </c>
      <c r="F662" t="s">
        <v>581</v>
      </c>
      <c r="G662" t="s">
        <v>25</v>
      </c>
      <c r="H662">
        <v>1.5495890000000001</v>
      </c>
      <c r="I662">
        <v>1.6760409999999999</v>
      </c>
      <c r="J662">
        <v>1.4396100000000001</v>
      </c>
      <c r="K662">
        <v>1.2091209999999999</v>
      </c>
      <c r="L662">
        <v>1.0658099999999999</v>
      </c>
      <c r="M662">
        <v>0.93823619999999996</v>
      </c>
      <c r="N662">
        <v>0.80892819999999999</v>
      </c>
    </row>
    <row r="663" spans="1:14" hidden="1" x14ac:dyDescent="0.35">
      <c r="A663" t="s">
        <v>232</v>
      </c>
      <c r="B663" t="s">
        <v>37</v>
      </c>
      <c r="C663" t="s">
        <v>35</v>
      </c>
      <c r="D663" t="s">
        <v>189</v>
      </c>
      <c r="E663" t="s">
        <v>586</v>
      </c>
      <c r="F663" t="s">
        <v>26</v>
      </c>
      <c r="G663" t="s">
        <v>26</v>
      </c>
      <c r="H663">
        <v>1.4115070000000001</v>
      </c>
      <c r="I663">
        <v>0.83801749999999997</v>
      </c>
      <c r="J663">
        <v>0.71980659999999996</v>
      </c>
      <c r="K663">
        <v>0.60455890000000001</v>
      </c>
      <c r="L663">
        <v>0.53290360000000003</v>
      </c>
      <c r="M663">
        <v>0.46911730000000001</v>
      </c>
      <c r="N663">
        <v>0.40446579999999999</v>
      </c>
    </row>
    <row r="664" spans="1:14" hidden="1" x14ac:dyDescent="0.35">
      <c r="A664" t="s">
        <v>232</v>
      </c>
      <c r="B664" t="s">
        <v>37</v>
      </c>
      <c r="C664" t="s">
        <v>35</v>
      </c>
      <c r="D664" t="s">
        <v>129</v>
      </c>
      <c r="E664" t="s">
        <v>580</v>
      </c>
      <c r="F664" t="s">
        <v>581</v>
      </c>
      <c r="G664" t="s">
        <v>396</v>
      </c>
      <c r="H664">
        <v>15.88822</v>
      </c>
      <c r="I664">
        <v>18.819479999999999</v>
      </c>
      <c r="J664">
        <v>15.229620000000001</v>
      </c>
      <c r="K664">
        <v>12.11547</v>
      </c>
      <c r="L664">
        <v>10.101380000000001</v>
      </c>
      <c r="M664">
        <v>8.7318259999999999</v>
      </c>
      <c r="N664">
        <v>7.6683960000000004</v>
      </c>
    </row>
    <row r="665" spans="1:14" hidden="1" x14ac:dyDescent="0.35">
      <c r="A665" t="s">
        <v>232</v>
      </c>
      <c r="B665" t="s">
        <v>37</v>
      </c>
      <c r="C665" t="s">
        <v>35</v>
      </c>
      <c r="D665" t="s">
        <v>129</v>
      </c>
      <c r="E665" t="s">
        <v>580</v>
      </c>
      <c r="F665" t="s">
        <v>581</v>
      </c>
      <c r="G665" t="s">
        <v>25</v>
      </c>
      <c r="H665">
        <v>5.2054799999999997</v>
      </c>
      <c r="I665">
        <v>5.5019200000000001</v>
      </c>
      <c r="J665">
        <v>4.4517369999999996</v>
      </c>
      <c r="K665">
        <v>3.5414479999999999</v>
      </c>
      <c r="L665">
        <v>2.952712</v>
      </c>
      <c r="M665">
        <v>2.5523790000000002</v>
      </c>
      <c r="N665">
        <v>2.2415340000000001</v>
      </c>
    </row>
    <row r="666" spans="1:14" hidden="1" x14ac:dyDescent="0.35">
      <c r="A666" t="s">
        <v>232</v>
      </c>
      <c r="B666" t="s">
        <v>37</v>
      </c>
      <c r="C666" t="s">
        <v>35</v>
      </c>
      <c r="D666" t="s">
        <v>129</v>
      </c>
      <c r="E666" t="s">
        <v>580</v>
      </c>
      <c r="F666" t="s">
        <v>26</v>
      </c>
      <c r="G666" t="s">
        <v>26</v>
      </c>
      <c r="H666">
        <v>7.9824659999999996</v>
      </c>
      <c r="I666">
        <v>4.6331949999999997</v>
      </c>
      <c r="J666">
        <v>3.7488320000000002</v>
      </c>
      <c r="K666">
        <v>2.9822709999999999</v>
      </c>
      <c r="L666">
        <v>2.4864929999999998</v>
      </c>
      <c r="M666">
        <v>2.149375</v>
      </c>
      <c r="N666">
        <v>1.887605</v>
      </c>
    </row>
    <row r="667" spans="1:14" hidden="1" x14ac:dyDescent="0.35">
      <c r="A667" t="s">
        <v>232</v>
      </c>
      <c r="B667" t="s">
        <v>37</v>
      </c>
      <c r="C667" t="s">
        <v>35</v>
      </c>
      <c r="D667" t="s">
        <v>129</v>
      </c>
      <c r="E667" t="s">
        <v>583</v>
      </c>
      <c r="F667" t="s">
        <v>581</v>
      </c>
      <c r="G667" t="s">
        <v>396</v>
      </c>
      <c r="H667">
        <v>0.1336986</v>
      </c>
      <c r="I667">
        <v>0.2031616</v>
      </c>
      <c r="J667">
        <v>0.1859249</v>
      </c>
      <c r="K667">
        <v>0.1439841</v>
      </c>
      <c r="L667">
        <v>0.12810579999999999</v>
      </c>
      <c r="M667">
        <v>0.1088877</v>
      </c>
      <c r="N667">
        <v>9.2030680000000004E-2</v>
      </c>
    </row>
    <row r="668" spans="1:14" hidden="1" x14ac:dyDescent="0.35">
      <c r="A668" t="s">
        <v>232</v>
      </c>
      <c r="B668" t="s">
        <v>37</v>
      </c>
      <c r="C668" t="s">
        <v>35</v>
      </c>
      <c r="D668" t="s">
        <v>129</v>
      </c>
      <c r="E668" t="s">
        <v>583</v>
      </c>
      <c r="F668" t="s">
        <v>581</v>
      </c>
      <c r="G668" t="s">
        <v>25</v>
      </c>
      <c r="H668">
        <v>3.2873979999999997E-2</v>
      </c>
      <c r="I668">
        <v>4.392712E-2</v>
      </c>
      <c r="J668">
        <v>4.0201090000000002E-2</v>
      </c>
      <c r="K668">
        <v>3.112877E-2</v>
      </c>
      <c r="L668">
        <v>2.7695890000000001E-2</v>
      </c>
      <c r="M668">
        <v>2.354904E-2</v>
      </c>
      <c r="N668">
        <v>1.989863E-2</v>
      </c>
    </row>
    <row r="669" spans="1:14" hidden="1" x14ac:dyDescent="0.35">
      <c r="A669" t="s">
        <v>232</v>
      </c>
      <c r="B669" t="s">
        <v>37</v>
      </c>
      <c r="C669" t="s">
        <v>35</v>
      </c>
      <c r="D669" t="s">
        <v>129</v>
      </c>
      <c r="E669" t="s">
        <v>583</v>
      </c>
      <c r="F669" t="s">
        <v>26</v>
      </c>
      <c r="G669" t="s">
        <v>26</v>
      </c>
      <c r="H669">
        <v>3.726028E-2</v>
      </c>
      <c r="I669">
        <v>2.7455340000000002E-2</v>
      </c>
      <c r="J669">
        <v>2.5125479999999999E-2</v>
      </c>
      <c r="K669">
        <v>1.9458630000000001E-2</v>
      </c>
      <c r="L669">
        <v>1.7311779999999999E-2</v>
      </c>
      <c r="M669">
        <v>1.471562E-2</v>
      </c>
      <c r="N669">
        <v>1.243671E-2</v>
      </c>
    </row>
    <row r="670" spans="1:14" hidden="1" x14ac:dyDescent="0.35">
      <c r="A670" t="s">
        <v>232</v>
      </c>
      <c r="B670" t="s">
        <v>37</v>
      </c>
      <c r="C670" t="s">
        <v>35</v>
      </c>
      <c r="D670" t="s">
        <v>38</v>
      </c>
      <c r="E670" t="s">
        <v>584</v>
      </c>
      <c r="F670" t="s">
        <v>581</v>
      </c>
      <c r="G670" t="s">
        <v>396</v>
      </c>
      <c r="H670">
        <v>11.660270000000001</v>
      </c>
      <c r="I670">
        <v>11.294729999999999</v>
      </c>
      <c r="J670">
        <v>10.635389999999999</v>
      </c>
      <c r="K670">
        <v>9.9476130000000005</v>
      </c>
      <c r="L670">
        <v>9.1969729999999998</v>
      </c>
      <c r="M670">
        <v>8.3266120000000008</v>
      </c>
      <c r="N670">
        <v>7.5564010000000001</v>
      </c>
    </row>
    <row r="671" spans="1:14" hidden="1" x14ac:dyDescent="0.35">
      <c r="A671" t="s">
        <v>232</v>
      </c>
      <c r="B671" t="s">
        <v>37</v>
      </c>
      <c r="C671" t="s">
        <v>35</v>
      </c>
      <c r="D671" t="s">
        <v>38</v>
      </c>
      <c r="E671" t="s">
        <v>584</v>
      </c>
      <c r="F671" t="s">
        <v>581</v>
      </c>
      <c r="G671" t="s">
        <v>24</v>
      </c>
      <c r="H671">
        <v>8.0000000000000004E-4</v>
      </c>
      <c r="I671">
        <v>0</v>
      </c>
    </row>
    <row r="672" spans="1:14" hidden="1" x14ac:dyDescent="0.35">
      <c r="A672" t="s">
        <v>232</v>
      </c>
      <c r="B672" t="s">
        <v>37</v>
      </c>
      <c r="C672" t="s">
        <v>35</v>
      </c>
      <c r="D672" t="s">
        <v>38</v>
      </c>
      <c r="E672" t="s">
        <v>584</v>
      </c>
      <c r="F672" t="s">
        <v>581</v>
      </c>
      <c r="G672" t="s">
        <v>25</v>
      </c>
      <c r="H672">
        <v>0.42383559999999998</v>
      </c>
      <c r="I672">
        <v>0.41544379999999997</v>
      </c>
      <c r="J672">
        <v>0.40715509999999999</v>
      </c>
      <c r="K672">
        <v>0.3958449</v>
      </c>
      <c r="L672">
        <v>0.38018689999999999</v>
      </c>
      <c r="M672">
        <v>0.3569425</v>
      </c>
      <c r="N672">
        <v>0.33655669999999999</v>
      </c>
    </row>
    <row r="673" spans="1:14" hidden="1" x14ac:dyDescent="0.35">
      <c r="A673" t="s">
        <v>232</v>
      </c>
      <c r="B673" t="s">
        <v>37</v>
      </c>
      <c r="C673" t="s">
        <v>35</v>
      </c>
      <c r="D673" t="s">
        <v>38</v>
      </c>
      <c r="E673" t="s">
        <v>584</v>
      </c>
      <c r="F673" t="s">
        <v>26</v>
      </c>
      <c r="G673" t="s">
        <v>26</v>
      </c>
      <c r="H673">
        <v>9.2382190000000008</v>
      </c>
      <c r="I673">
        <v>6.3166359999999999</v>
      </c>
      <c r="J673">
        <v>4.776446</v>
      </c>
      <c r="K673">
        <v>3.6015899999999998</v>
      </c>
      <c r="L673">
        <v>2.6930649999999998</v>
      </c>
      <c r="M673">
        <v>1.9961409999999999</v>
      </c>
      <c r="N673">
        <v>1.4979020000000001</v>
      </c>
    </row>
    <row r="674" spans="1:14" hidden="1" x14ac:dyDescent="0.35">
      <c r="A674" t="s">
        <v>232</v>
      </c>
      <c r="B674" t="s">
        <v>37</v>
      </c>
      <c r="C674" t="s">
        <v>35</v>
      </c>
      <c r="D674" t="s">
        <v>38</v>
      </c>
      <c r="E674" t="s">
        <v>586</v>
      </c>
      <c r="F674" t="s">
        <v>581</v>
      </c>
      <c r="G674" t="s">
        <v>396</v>
      </c>
      <c r="H674">
        <v>1.7928770000000001</v>
      </c>
      <c r="I674">
        <v>2.0157069999999999</v>
      </c>
      <c r="J674">
        <v>2.0098400000000001</v>
      </c>
      <c r="K674">
        <v>1.706351</v>
      </c>
      <c r="L674">
        <v>1.4404729999999999</v>
      </c>
      <c r="M674">
        <v>1.2431319999999999</v>
      </c>
      <c r="N674">
        <v>1.075509</v>
      </c>
    </row>
    <row r="675" spans="1:14" hidden="1" x14ac:dyDescent="0.35">
      <c r="A675" t="s">
        <v>232</v>
      </c>
      <c r="B675" t="s">
        <v>37</v>
      </c>
      <c r="C675" t="s">
        <v>35</v>
      </c>
      <c r="D675" t="s">
        <v>38</v>
      </c>
      <c r="E675" t="s">
        <v>586</v>
      </c>
      <c r="F675" t="s">
        <v>581</v>
      </c>
      <c r="G675" t="s">
        <v>25</v>
      </c>
      <c r="H675">
        <v>0.60547949999999995</v>
      </c>
      <c r="I675">
        <v>0.61190960000000005</v>
      </c>
      <c r="J675">
        <v>0.61013099999999998</v>
      </c>
      <c r="K675">
        <v>0.51800659999999998</v>
      </c>
      <c r="L675">
        <v>0.43728709999999998</v>
      </c>
      <c r="M675">
        <v>0.3773803</v>
      </c>
      <c r="N675">
        <v>0.32649099999999998</v>
      </c>
    </row>
    <row r="676" spans="1:14" hidden="1" x14ac:dyDescent="0.35">
      <c r="A676" t="s">
        <v>232</v>
      </c>
      <c r="B676" t="s">
        <v>37</v>
      </c>
      <c r="C676" t="s">
        <v>35</v>
      </c>
      <c r="D676" t="s">
        <v>38</v>
      </c>
      <c r="E676" t="s">
        <v>586</v>
      </c>
      <c r="F676" t="s">
        <v>26</v>
      </c>
      <c r="G676" t="s">
        <v>26</v>
      </c>
      <c r="H676">
        <v>0.55191789999999996</v>
      </c>
      <c r="I676">
        <v>0.30595620000000001</v>
      </c>
      <c r="J676">
        <v>0.30506299999999997</v>
      </c>
      <c r="K676">
        <v>0.2590016</v>
      </c>
      <c r="L676">
        <v>0.2186449</v>
      </c>
      <c r="M676">
        <v>0.18869150000000001</v>
      </c>
      <c r="N676">
        <v>0.16324710000000001</v>
      </c>
    </row>
    <row r="677" spans="1:14" hidden="1" x14ac:dyDescent="0.35">
      <c r="A677" t="s">
        <v>232</v>
      </c>
      <c r="B677" t="s">
        <v>37</v>
      </c>
      <c r="C677" t="s">
        <v>35</v>
      </c>
      <c r="D677" t="s">
        <v>38</v>
      </c>
      <c r="E677" t="s">
        <v>644</v>
      </c>
      <c r="F677" t="s">
        <v>581</v>
      </c>
      <c r="G677" t="s">
        <v>396</v>
      </c>
      <c r="H677">
        <v>0.93589040000000001</v>
      </c>
      <c r="I677">
        <v>0.74692610000000004</v>
      </c>
      <c r="J677">
        <v>0.64727129999999999</v>
      </c>
      <c r="K677">
        <v>0.56735340000000001</v>
      </c>
      <c r="L677">
        <v>0.49902740000000001</v>
      </c>
      <c r="M677">
        <v>0.44026300000000002</v>
      </c>
      <c r="N677">
        <v>0.38629590000000003</v>
      </c>
    </row>
    <row r="678" spans="1:14" hidden="1" x14ac:dyDescent="0.35">
      <c r="A678" t="s">
        <v>232</v>
      </c>
      <c r="B678" t="s">
        <v>37</v>
      </c>
      <c r="C678" t="s">
        <v>35</v>
      </c>
      <c r="D678" t="s">
        <v>38</v>
      </c>
      <c r="E678" t="s">
        <v>644</v>
      </c>
      <c r="F678" t="s">
        <v>581</v>
      </c>
      <c r="G678" t="s">
        <v>25</v>
      </c>
      <c r="H678">
        <v>0.25383559999999999</v>
      </c>
      <c r="I678">
        <v>0.18139720000000001</v>
      </c>
      <c r="J678">
        <v>0.15719449999999999</v>
      </c>
      <c r="K678">
        <v>0.13778360000000001</v>
      </c>
      <c r="L678">
        <v>0.12118900000000001</v>
      </c>
      <c r="M678">
        <v>0.1069205</v>
      </c>
      <c r="N678">
        <v>9.3816440000000001E-2</v>
      </c>
    </row>
    <row r="679" spans="1:14" hidden="1" x14ac:dyDescent="0.35">
      <c r="A679" t="s">
        <v>232</v>
      </c>
      <c r="B679" t="s">
        <v>37</v>
      </c>
      <c r="C679" t="s">
        <v>35</v>
      </c>
      <c r="D679" t="s">
        <v>38</v>
      </c>
      <c r="E679" t="s">
        <v>644</v>
      </c>
      <c r="F679" t="s">
        <v>26</v>
      </c>
      <c r="G679" t="s">
        <v>26</v>
      </c>
      <c r="H679">
        <v>0.40287669999999998</v>
      </c>
      <c r="I679">
        <v>0.15872049999999999</v>
      </c>
      <c r="J679">
        <v>0.13754520000000001</v>
      </c>
      <c r="K679">
        <v>0.1205616</v>
      </c>
      <c r="L679">
        <v>0.10604379999999999</v>
      </c>
      <c r="M679">
        <v>9.3556169999999994E-2</v>
      </c>
      <c r="N679">
        <v>8.2087670000000001E-2</v>
      </c>
    </row>
    <row r="680" spans="1:14" hidden="1" x14ac:dyDescent="0.35">
      <c r="A680" t="s">
        <v>232</v>
      </c>
      <c r="B680" t="s">
        <v>37</v>
      </c>
      <c r="C680" t="s">
        <v>35</v>
      </c>
      <c r="D680" t="s">
        <v>207</v>
      </c>
      <c r="E680" t="s">
        <v>584</v>
      </c>
      <c r="F680" t="s">
        <v>581</v>
      </c>
      <c r="G680" t="s">
        <v>396</v>
      </c>
      <c r="H680">
        <v>0.1073973</v>
      </c>
      <c r="I680">
        <v>0.1052712</v>
      </c>
      <c r="J680">
        <v>0.10316989999999999</v>
      </c>
      <c r="K680">
        <v>0.10030409999999999</v>
      </c>
      <c r="L680">
        <v>9.6335900000000002E-2</v>
      </c>
      <c r="M680">
        <v>0</v>
      </c>
      <c r="N680">
        <v>0</v>
      </c>
    </row>
    <row r="681" spans="1:14" hidden="1" x14ac:dyDescent="0.35">
      <c r="A681" t="s">
        <v>232</v>
      </c>
      <c r="B681" t="s">
        <v>37</v>
      </c>
      <c r="C681" t="s">
        <v>35</v>
      </c>
      <c r="D681" t="s">
        <v>207</v>
      </c>
      <c r="E681" t="s">
        <v>584</v>
      </c>
      <c r="F681" t="s">
        <v>581</v>
      </c>
      <c r="G681" t="s">
        <v>24</v>
      </c>
      <c r="H681">
        <v>0.10958900000000001</v>
      </c>
      <c r="I681">
        <v>0.1020219</v>
      </c>
      <c r="J681">
        <v>9.4923839999999995E-2</v>
      </c>
      <c r="K681">
        <v>8.7530960000000005E-2</v>
      </c>
      <c r="L681">
        <v>7.9565469999999999E-2</v>
      </c>
      <c r="M681">
        <v>0</v>
      </c>
      <c r="N681">
        <v>0</v>
      </c>
    </row>
    <row r="682" spans="1:14" hidden="1" x14ac:dyDescent="0.35">
      <c r="A682" t="s">
        <v>232</v>
      </c>
      <c r="B682" t="s">
        <v>37</v>
      </c>
      <c r="C682" t="s">
        <v>35</v>
      </c>
      <c r="D682" t="s">
        <v>207</v>
      </c>
      <c r="E682" t="s">
        <v>584</v>
      </c>
      <c r="F682" t="s">
        <v>581</v>
      </c>
      <c r="G682" t="s">
        <v>25</v>
      </c>
      <c r="H682">
        <v>6.5208219999999997E-2</v>
      </c>
      <c r="I682">
        <v>6.2345200000000003E-2</v>
      </c>
      <c r="J682">
        <v>5.959507E-2</v>
      </c>
      <c r="K682">
        <v>5.6477260000000001E-2</v>
      </c>
      <c r="L682">
        <v>5.28263E-2</v>
      </c>
      <c r="M682">
        <v>0</v>
      </c>
      <c r="N682">
        <v>0</v>
      </c>
    </row>
    <row r="683" spans="1:14" hidden="1" x14ac:dyDescent="0.35">
      <c r="A683" t="s">
        <v>232</v>
      </c>
      <c r="B683" t="s">
        <v>37</v>
      </c>
      <c r="C683" t="s">
        <v>35</v>
      </c>
      <c r="D683" t="s">
        <v>207</v>
      </c>
      <c r="E683" t="s">
        <v>584</v>
      </c>
      <c r="F683" t="s">
        <v>26</v>
      </c>
      <c r="G683" t="s">
        <v>26</v>
      </c>
      <c r="H683">
        <v>9.9158910000000002</v>
      </c>
      <c r="I683">
        <v>7.9394109999999998</v>
      </c>
      <c r="J683">
        <v>6.3461410000000003</v>
      </c>
      <c r="K683">
        <v>5.0128180000000002</v>
      </c>
      <c r="L683">
        <v>3.8792360000000001</v>
      </c>
      <c r="M683">
        <v>0</v>
      </c>
      <c r="N683">
        <v>0</v>
      </c>
    </row>
    <row r="684" spans="1:14" hidden="1" x14ac:dyDescent="0.35">
      <c r="A684" t="s">
        <v>232</v>
      </c>
      <c r="B684" t="s">
        <v>37</v>
      </c>
      <c r="C684" t="s">
        <v>35</v>
      </c>
      <c r="D684" t="s">
        <v>207</v>
      </c>
      <c r="E684" t="s">
        <v>592</v>
      </c>
      <c r="F684" t="s">
        <v>581</v>
      </c>
      <c r="G684" t="s">
        <v>396</v>
      </c>
      <c r="H684">
        <v>2.5994519999999999</v>
      </c>
      <c r="I684">
        <v>2.7171539999999998</v>
      </c>
      <c r="J684">
        <v>2.2930860000000002</v>
      </c>
      <c r="K684">
        <v>2.00034</v>
      </c>
      <c r="L684">
        <v>1.7826610000000001</v>
      </c>
      <c r="M684">
        <v>1.572309</v>
      </c>
      <c r="N684">
        <v>1.3696600000000001</v>
      </c>
    </row>
    <row r="685" spans="1:14" hidden="1" x14ac:dyDescent="0.35">
      <c r="A685" t="s">
        <v>232</v>
      </c>
      <c r="B685" t="s">
        <v>37</v>
      </c>
      <c r="C685" t="s">
        <v>35</v>
      </c>
      <c r="D685" t="s">
        <v>207</v>
      </c>
      <c r="E685" t="s">
        <v>592</v>
      </c>
      <c r="F685" t="s">
        <v>581</v>
      </c>
      <c r="G685" t="s">
        <v>25</v>
      </c>
      <c r="H685">
        <v>0.4098658</v>
      </c>
      <c r="I685">
        <v>0.38493149999999998</v>
      </c>
      <c r="J685">
        <v>0.32485199999999997</v>
      </c>
      <c r="K685">
        <v>0.28338029999999997</v>
      </c>
      <c r="L685">
        <v>0.25254140000000003</v>
      </c>
      <c r="M685">
        <v>0.22274849999999999</v>
      </c>
      <c r="N685">
        <v>0.19403400000000001</v>
      </c>
    </row>
    <row r="686" spans="1:14" hidden="1" x14ac:dyDescent="0.35">
      <c r="A686" t="s">
        <v>232</v>
      </c>
      <c r="B686" t="s">
        <v>37</v>
      </c>
      <c r="C686" t="s">
        <v>35</v>
      </c>
      <c r="D686" t="s">
        <v>207</v>
      </c>
      <c r="E686" t="s">
        <v>592</v>
      </c>
      <c r="F686" t="s">
        <v>26</v>
      </c>
      <c r="G686" t="s">
        <v>26</v>
      </c>
      <c r="H686">
        <v>1.1201369999999999</v>
      </c>
      <c r="I686">
        <v>0.57739180000000001</v>
      </c>
      <c r="J686">
        <v>0.48728110000000002</v>
      </c>
      <c r="K686">
        <v>0.42507289999999998</v>
      </c>
      <c r="L686">
        <v>0.37881589999999998</v>
      </c>
      <c r="M686">
        <v>0.33411730000000001</v>
      </c>
      <c r="N686">
        <v>0.29105209999999998</v>
      </c>
    </row>
    <row r="687" spans="1:14" hidden="1" x14ac:dyDescent="0.35">
      <c r="A687" t="s">
        <v>232</v>
      </c>
      <c r="B687" t="s">
        <v>37</v>
      </c>
      <c r="C687" t="s">
        <v>35</v>
      </c>
      <c r="D687" t="s">
        <v>207</v>
      </c>
      <c r="E687" t="s">
        <v>591</v>
      </c>
      <c r="F687" t="s">
        <v>581</v>
      </c>
      <c r="G687" t="s">
        <v>396</v>
      </c>
      <c r="H687">
        <v>1.808219</v>
      </c>
      <c r="I687">
        <v>2.1079910000000002</v>
      </c>
      <c r="J687">
        <v>1.890733</v>
      </c>
      <c r="K687">
        <v>1.656636</v>
      </c>
      <c r="L687">
        <v>1.4599489999999999</v>
      </c>
      <c r="M687">
        <v>1.283496</v>
      </c>
      <c r="N687">
        <v>1.125583</v>
      </c>
    </row>
    <row r="688" spans="1:14" hidden="1" x14ac:dyDescent="0.35">
      <c r="A688" t="s">
        <v>232</v>
      </c>
      <c r="B688" t="s">
        <v>37</v>
      </c>
      <c r="C688" t="s">
        <v>35</v>
      </c>
      <c r="D688" t="s">
        <v>207</v>
      </c>
      <c r="E688" t="s">
        <v>591</v>
      </c>
      <c r="F688" t="s">
        <v>581</v>
      </c>
      <c r="G688" t="s">
        <v>25</v>
      </c>
      <c r="H688">
        <v>0.54260280000000005</v>
      </c>
      <c r="I688">
        <v>0.56853810000000005</v>
      </c>
      <c r="J688">
        <v>0.51019840000000005</v>
      </c>
      <c r="K688">
        <v>0.44703229999999999</v>
      </c>
      <c r="L688">
        <v>0.39395449999999999</v>
      </c>
      <c r="M688">
        <v>0.34634189999999998</v>
      </c>
      <c r="N688">
        <v>0.30372379999999999</v>
      </c>
    </row>
    <row r="689" spans="1:14" hidden="1" x14ac:dyDescent="0.35">
      <c r="A689" t="s">
        <v>232</v>
      </c>
      <c r="B689" t="s">
        <v>37</v>
      </c>
      <c r="C689" t="s">
        <v>35</v>
      </c>
      <c r="D689" t="s">
        <v>207</v>
      </c>
      <c r="E689" t="s">
        <v>591</v>
      </c>
      <c r="F689" t="s">
        <v>26</v>
      </c>
      <c r="G689" t="s">
        <v>26</v>
      </c>
      <c r="H689">
        <v>1.2994520000000001</v>
      </c>
      <c r="I689">
        <v>0.74620549999999997</v>
      </c>
      <c r="J689">
        <v>0.66963569999999994</v>
      </c>
      <c r="K689">
        <v>0.58672389999999996</v>
      </c>
      <c r="L689">
        <v>0.51706470000000004</v>
      </c>
      <c r="M689">
        <v>0.45457259999999999</v>
      </c>
      <c r="N689">
        <v>0.39864280000000002</v>
      </c>
    </row>
    <row r="690" spans="1:14" hidden="1" x14ac:dyDescent="0.35">
      <c r="A690" t="s">
        <v>232</v>
      </c>
      <c r="B690" t="s">
        <v>37</v>
      </c>
      <c r="C690" t="s">
        <v>35</v>
      </c>
      <c r="D690" t="s">
        <v>207</v>
      </c>
      <c r="E690" t="s">
        <v>651</v>
      </c>
      <c r="F690" t="s">
        <v>581</v>
      </c>
      <c r="G690" t="s">
        <v>396</v>
      </c>
      <c r="H690">
        <v>7.890411E-2</v>
      </c>
      <c r="I690">
        <v>9.6575889999999998E-2</v>
      </c>
      <c r="J690">
        <v>8.9546840000000003E-2</v>
      </c>
      <c r="K690">
        <v>7.8258079999999994E-2</v>
      </c>
      <c r="L690">
        <v>6.9843840000000004E-2</v>
      </c>
      <c r="M690">
        <v>5.9582469999999998E-2</v>
      </c>
      <c r="N690">
        <v>5.1304660000000002E-2</v>
      </c>
    </row>
    <row r="691" spans="1:14" hidden="1" x14ac:dyDescent="0.35">
      <c r="A691" t="s">
        <v>232</v>
      </c>
      <c r="B691" t="s">
        <v>37</v>
      </c>
      <c r="C691" t="s">
        <v>35</v>
      </c>
      <c r="D691" t="s">
        <v>207</v>
      </c>
      <c r="E691" t="s">
        <v>651</v>
      </c>
      <c r="F691" t="s">
        <v>581</v>
      </c>
      <c r="G691" t="s">
        <v>25</v>
      </c>
      <c r="H691">
        <v>2.096164E-2</v>
      </c>
      <c r="I691">
        <v>2.1960549999999999E-2</v>
      </c>
      <c r="J691">
        <v>2.03863E-2</v>
      </c>
      <c r="K691">
        <v>1.7815339999999999E-2</v>
      </c>
      <c r="L691">
        <v>1.5904109999999999E-2</v>
      </c>
      <c r="M691">
        <v>1.356603E-2</v>
      </c>
      <c r="N691">
        <v>1.1679999999999999E-2</v>
      </c>
    </row>
    <row r="692" spans="1:14" hidden="1" x14ac:dyDescent="0.35">
      <c r="A692" t="s">
        <v>232</v>
      </c>
      <c r="B692" t="s">
        <v>37</v>
      </c>
      <c r="C692" t="s">
        <v>35</v>
      </c>
      <c r="D692" t="s">
        <v>207</v>
      </c>
      <c r="E692" t="s">
        <v>651</v>
      </c>
      <c r="F692" t="s">
        <v>26</v>
      </c>
      <c r="G692" t="s">
        <v>26</v>
      </c>
      <c r="H692">
        <v>3.726028E-2</v>
      </c>
      <c r="I692">
        <v>2.1961100000000001E-2</v>
      </c>
      <c r="J692">
        <v>2.0387949999999998E-2</v>
      </c>
      <c r="K692">
        <v>1.7816439999999999E-2</v>
      </c>
      <c r="L692">
        <v>1.5899730000000001E-2</v>
      </c>
      <c r="M692">
        <v>1.356548E-2</v>
      </c>
      <c r="N692">
        <v>1.167781E-2</v>
      </c>
    </row>
    <row r="693" spans="1:14" hidden="1" x14ac:dyDescent="0.35">
      <c r="A693" t="s">
        <v>232</v>
      </c>
      <c r="B693" t="s">
        <v>37</v>
      </c>
      <c r="C693" t="s">
        <v>35</v>
      </c>
      <c r="D693" t="s">
        <v>39</v>
      </c>
      <c r="E693" t="s">
        <v>582</v>
      </c>
      <c r="F693" t="s">
        <v>581</v>
      </c>
      <c r="G693" t="s">
        <v>396</v>
      </c>
      <c r="H693">
        <v>4.8372599999999997</v>
      </c>
      <c r="I693">
        <v>8.2583540000000006</v>
      </c>
      <c r="J693">
        <v>7.9888079999999997</v>
      </c>
      <c r="K693">
        <v>6.5861559999999999</v>
      </c>
      <c r="L693">
        <v>5.614922</v>
      </c>
      <c r="M693">
        <v>4.6906330000000001</v>
      </c>
      <c r="N693">
        <v>3.907883</v>
      </c>
    </row>
    <row r="694" spans="1:14" hidden="1" x14ac:dyDescent="0.35">
      <c r="A694" t="s">
        <v>232</v>
      </c>
      <c r="B694" t="s">
        <v>37</v>
      </c>
      <c r="C694" t="s">
        <v>35</v>
      </c>
      <c r="D694" t="s">
        <v>39</v>
      </c>
      <c r="E694" t="s">
        <v>582</v>
      </c>
      <c r="F694" t="s">
        <v>581</v>
      </c>
      <c r="G694" t="s">
        <v>25</v>
      </c>
      <c r="H694">
        <v>1.9305479999999999</v>
      </c>
      <c r="I694">
        <v>2.9192529999999999</v>
      </c>
      <c r="J694">
        <v>2.8293659999999998</v>
      </c>
      <c r="K694">
        <v>2.3325960000000001</v>
      </c>
      <c r="L694">
        <v>1.988615</v>
      </c>
      <c r="M694">
        <v>1.6612659999999999</v>
      </c>
      <c r="N694">
        <v>1.3840410000000001</v>
      </c>
    </row>
    <row r="695" spans="1:14" hidden="1" x14ac:dyDescent="0.35">
      <c r="A695" t="s">
        <v>232</v>
      </c>
      <c r="B695" t="s">
        <v>37</v>
      </c>
      <c r="C695" t="s">
        <v>35</v>
      </c>
      <c r="D695" t="s">
        <v>39</v>
      </c>
      <c r="E695" t="s">
        <v>582</v>
      </c>
      <c r="F695" t="s">
        <v>26</v>
      </c>
      <c r="G695" t="s">
        <v>26</v>
      </c>
      <c r="H695">
        <v>3.5141100000000001</v>
      </c>
      <c r="I695">
        <v>2.9192499999999999</v>
      </c>
      <c r="J695">
        <v>2.8293699999999999</v>
      </c>
      <c r="K695">
        <v>2.3325979999999999</v>
      </c>
      <c r="L695">
        <v>1.988615</v>
      </c>
      <c r="M695">
        <v>1.661265</v>
      </c>
      <c r="N695">
        <v>1.3840410000000001</v>
      </c>
    </row>
    <row r="696" spans="1:14" hidden="1" x14ac:dyDescent="0.35">
      <c r="A696" t="s">
        <v>232</v>
      </c>
      <c r="B696" t="s">
        <v>37</v>
      </c>
      <c r="C696" t="s">
        <v>35</v>
      </c>
      <c r="D696" t="s">
        <v>233</v>
      </c>
      <c r="E696" t="s">
        <v>589</v>
      </c>
      <c r="F696" t="s">
        <v>581</v>
      </c>
      <c r="G696" t="s">
        <v>396</v>
      </c>
      <c r="H696">
        <v>6.0843829999999999</v>
      </c>
      <c r="I696">
        <v>7.1331319999999998</v>
      </c>
      <c r="J696">
        <v>5.9059759999999999</v>
      </c>
      <c r="K696">
        <v>4.9950970000000003</v>
      </c>
      <c r="L696">
        <v>4.1192409999999997</v>
      </c>
      <c r="M696">
        <v>3.4616570000000002</v>
      </c>
      <c r="N696">
        <v>2.9615309999999999</v>
      </c>
    </row>
    <row r="697" spans="1:14" hidden="1" x14ac:dyDescent="0.35">
      <c r="A697" t="s">
        <v>232</v>
      </c>
      <c r="B697" t="s">
        <v>37</v>
      </c>
      <c r="C697" t="s">
        <v>35</v>
      </c>
      <c r="D697" t="s">
        <v>233</v>
      </c>
      <c r="E697" t="s">
        <v>589</v>
      </c>
      <c r="F697" t="s">
        <v>581</v>
      </c>
      <c r="G697" t="s">
        <v>25</v>
      </c>
      <c r="H697">
        <v>2.0563020000000001</v>
      </c>
      <c r="I697">
        <v>2.1654149999999999</v>
      </c>
      <c r="J697">
        <v>1.792888</v>
      </c>
      <c r="K697">
        <v>1.516367</v>
      </c>
      <c r="L697">
        <v>1.250486</v>
      </c>
      <c r="M697">
        <v>1.050867</v>
      </c>
      <c r="N697">
        <v>0.89903619999999995</v>
      </c>
    </row>
    <row r="698" spans="1:14" hidden="1" x14ac:dyDescent="0.35">
      <c r="A698" t="s">
        <v>232</v>
      </c>
      <c r="B698" t="s">
        <v>37</v>
      </c>
      <c r="C698" t="s">
        <v>35</v>
      </c>
      <c r="D698" t="s">
        <v>233</v>
      </c>
      <c r="E698" t="s">
        <v>589</v>
      </c>
      <c r="F698" t="s">
        <v>26</v>
      </c>
      <c r="G698" t="s">
        <v>26</v>
      </c>
      <c r="H698">
        <v>1.8723289999999999</v>
      </c>
      <c r="I698">
        <v>1.0827059999999999</v>
      </c>
      <c r="J698">
        <v>0.89644170000000001</v>
      </c>
      <c r="K698">
        <v>0.75818739999999996</v>
      </c>
      <c r="L698">
        <v>0.62524270000000004</v>
      </c>
      <c r="M698">
        <v>0.52543070000000003</v>
      </c>
      <c r="N698">
        <v>0.44951570000000002</v>
      </c>
    </row>
    <row r="699" spans="1:14" hidden="1" x14ac:dyDescent="0.35">
      <c r="A699" t="s">
        <v>232</v>
      </c>
      <c r="B699" t="s">
        <v>37</v>
      </c>
      <c r="C699" t="s">
        <v>35</v>
      </c>
      <c r="D699" t="s">
        <v>233</v>
      </c>
      <c r="E699" t="s">
        <v>644</v>
      </c>
      <c r="F699" t="s">
        <v>581</v>
      </c>
      <c r="G699" t="s">
        <v>396</v>
      </c>
      <c r="H699">
        <v>7.890411E-2</v>
      </c>
      <c r="I699">
        <v>8.76411E-2</v>
      </c>
      <c r="J699">
        <v>7.8358899999999995E-2</v>
      </c>
      <c r="K699">
        <v>7.0115070000000002E-2</v>
      </c>
      <c r="L699">
        <v>6.0882190000000003E-2</v>
      </c>
      <c r="M699">
        <v>5.357261E-2</v>
      </c>
      <c r="N699">
        <v>4.6893150000000001E-2</v>
      </c>
    </row>
    <row r="700" spans="1:14" hidden="1" x14ac:dyDescent="0.35">
      <c r="A700" t="s">
        <v>232</v>
      </c>
      <c r="B700" t="s">
        <v>37</v>
      </c>
      <c r="C700" t="s">
        <v>35</v>
      </c>
      <c r="D700" t="s">
        <v>233</v>
      </c>
      <c r="E700" t="s">
        <v>644</v>
      </c>
      <c r="F700" t="s">
        <v>581</v>
      </c>
      <c r="G700" t="s">
        <v>25</v>
      </c>
      <c r="H700">
        <v>6.9860279999999997E-2</v>
      </c>
      <c r="I700">
        <v>6.8287680000000003E-2</v>
      </c>
      <c r="J700">
        <v>6.1049310000000002E-2</v>
      </c>
      <c r="K700">
        <v>5.4630140000000001E-2</v>
      </c>
      <c r="L700">
        <v>4.7435619999999998E-2</v>
      </c>
      <c r="M700">
        <v>4.1742469999999997E-2</v>
      </c>
      <c r="N700">
        <v>3.6539729999999999E-2</v>
      </c>
    </row>
    <row r="701" spans="1:14" hidden="1" x14ac:dyDescent="0.35">
      <c r="A701" t="s">
        <v>232</v>
      </c>
      <c r="B701" t="s">
        <v>37</v>
      </c>
      <c r="C701" t="s">
        <v>35</v>
      </c>
      <c r="D701" t="s">
        <v>233</v>
      </c>
      <c r="E701" t="s">
        <v>644</v>
      </c>
      <c r="F701" t="s">
        <v>26</v>
      </c>
      <c r="G701" t="s">
        <v>26</v>
      </c>
      <c r="H701">
        <v>8.383562E-2</v>
      </c>
      <c r="I701">
        <v>4.5526030000000002E-2</v>
      </c>
      <c r="J701">
        <v>4.0701370000000001E-2</v>
      </c>
      <c r="K701">
        <v>3.6421920000000003E-2</v>
      </c>
      <c r="L701">
        <v>3.1624659999999999E-2</v>
      </c>
      <c r="M701">
        <v>2.782739E-2</v>
      </c>
      <c r="N701">
        <v>2.4358910000000001E-2</v>
      </c>
    </row>
    <row r="702" spans="1:14" hidden="1" x14ac:dyDescent="0.35">
      <c r="A702" t="s">
        <v>232</v>
      </c>
      <c r="B702" t="s">
        <v>37</v>
      </c>
      <c r="C702" t="s">
        <v>35</v>
      </c>
      <c r="D702" t="s">
        <v>36</v>
      </c>
      <c r="E702" t="s">
        <v>644</v>
      </c>
      <c r="F702" t="s">
        <v>581</v>
      </c>
      <c r="G702" t="s">
        <v>396</v>
      </c>
      <c r="H702">
        <v>1.7731509999999999</v>
      </c>
      <c r="I702">
        <v>1.976118</v>
      </c>
      <c r="J702">
        <v>1.789517</v>
      </c>
      <c r="K702">
        <v>1.5770230000000001</v>
      </c>
      <c r="L702">
        <v>1.3708940000000001</v>
      </c>
      <c r="M702">
        <v>1.187174</v>
      </c>
      <c r="N702">
        <v>1.0332870000000001</v>
      </c>
    </row>
    <row r="703" spans="1:14" hidden="1" x14ac:dyDescent="0.35">
      <c r="A703" t="s">
        <v>232</v>
      </c>
      <c r="B703" t="s">
        <v>37</v>
      </c>
      <c r="C703" t="s">
        <v>35</v>
      </c>
      <c r="D703" t="s">
        <v>36</v>
      </c>
      <c r="E703" t="s">
        <v>644</v>
      </c>
      <c r="F703" t="s">
        <v>581</v>
      </c>
      <c r="G703" t="s">
        <v>25</v>
      </c>
      <c r="H703">
        <v>0.70095890000000005</v>
      </c>
      <c r="I703">
        <v>0.70338900000000004</v>
      </c>
      <c r="J703">
        <v>0.63703069999999995</v>
      </c>
      <c r="K703">
        <v>0.56092169999999997</v>
      </c>
      <c r="L703">
        <v>0.4873403</v>
      </c>
      <c r="M703">
        <v>0.42172110000000002</v>
      </c>
      <c r="N703">
        <v>0.36690299999999998</v>
      </c>
    </row>
    <row r="704" spans="1:14" hidden="1" x14ac:dyDescent="0.35">
      <c r="A704" t="s">
        <v>232</v>
      </c>
      <c r="B704" t="s">
        <v>37</v>
      </c>
      <c r="C704" t="s">
        <v>35</v>
      </c>
      <c r="D704" t="s">
        <v>36</v>
      </c>
      <c r="E704" t="s">
        <v>644</v>
      </c>
      <c r="F704" t="s">
        <v>26</v>
      </c>
      <c r="G704" t="s">
        <v>26</v>
      </c>
      <c r="H704">
        <v>0.98273969999999999</v>
      </c>
      <c r="I704">
        <v>0.54646740000000005</v>
      </c>
      <c r="J704">
        <v>0.49509809999999999</v>
      </c>
      <c r="K704">
        <v>0.43452550000000001</v>
      </c>
      <c r="L704">
        <v>0.37678410000000001</v>
      </c>
      <c r="M704">
        <v>0.32510519999999998</v>
      </c>
      <c r="N704">
        <v>0.28240979999999999</v>
      </c>
    </row>
    <row r="705" spans="1:14" hidden="1" x14ac:dyDescent="0.35">
      <c r="A705" t="s">
        <v>232</v>
      </c>
      <c r="B705" t="s">
        <v>37</v>
      </c>
      <c r="C705" t="s">
        <v>46</v>
      </c>
      <c r="D705" t="s">
        <v>46</v>
      </c>
      <c r="E705" t="s">
        <v>584</v>
      </c>
      <c r="F705" t="s">
        <v>581</v>
      </c>
      <c r="G705" t="s">
        <v>396</v>
      </c>
      <c r="H705">
        <v>4.4000000000000003E-3</v>
      </c>
      <c r="I705">
        <v>2.9616439999999998E-3</v>
      </c>
      <c r="J705">
        <v>1.9835619999999999E-3</v>
      </c>
      <c r="K705">
        <v>1.331507E-3</v>
      </c>
      <c r="L705">
        <v>8.9041100000000002E-4</v>
      </c>
      <c r="M705">
        <v>0</v>
      </c>
      <c r="N705">
        <v>0</v>
      </c>
    </row>
    <row r="706" spans="1:14" hidden="1" x14ac:dyDescent="0.35">
      <c r="A706" t="s">
        <v>232</v>
      </c>
      <c r="B706" t="s">
        <v>37</v>
      </c>
      <c r="C706" t="s">
        <v>46</v>
      </c>
      <c r="D706" t="s">
        <v>46</v>
      </c>
      <c r="E706" t="s">
        <v>584</v>
      </c>
      <c r="F706" t="s">
        <v>581</v>
      </c>
      <c r="G706" t="s">
        <v>24</v>
      </c>
      <c r="H706">
        <v>2.2000000000000001E-3</v>
      </c>
      <c r="I706">
        <v>2.1616439999999999E-3</v>
      </c>
      <c r="J706">
        <v>2.1205479999999999E-3</v>
      </c>
      <c r="K706">
        <v>2.060274E-3</v>
      </c>
      <c r="L706">
        <v>1.9791779999999998E-3</v>
      </c>
      <c r="M706">
        <v>1.859178E-3</v>
      </c>
      <c r="N706">
        <v>1.7528769999999999E-3</v>
      </c>
    </row>
    <row r="707" spans="1:14" hidden="1" x14ac:dyDescent="0.35">
      <c r="A707" t="s">
        <v>232</v>
      </c>
      <c r="B707" t="s">
        <v>37</v>
      </c>
      <c r="C707" t="s">
        <v>46</v>
      </c>
      <c r="D707" t="s">
        <v>46</v>
      </c>
      <c r="E707" t="s">
        <v>584</v>
      </c>
      <c r="F707" t="s">
        <v>581</v>
      </c>
      <c r="G707" t="s">
        <v>25</v>
      </c>
      <c r="H707">
        <v>4.3863009999999996E-3</v>
      </c>
      <c r="I707">
        <v>4.3068500000000001E-3</v>
      </c>
      <c r="J707">
        <v>4.2246580000000001E-3</v>
      </c>
      <c r="K707">
        <v>4.1068490000000001E-3</v>
      </c>
      <c r="L707">
        <v>3.9441090000000003E-3</v>
      </c>
      <c r="M707">
        <v>3.70411E-3</v>
      </c>
      <c r="N707">
        <v>3.4887669999999998E-3</v>
      </c>
    </row>
    <row r="708" spans="1:14" hidden="1" x14ac:dyDescent="0.35">
      <c r="A708" t="s">
        <v>232</v>
      </c>
      <c r="B708" t="s">
        <v>37</v>
      </c>
      <c r="C708" t="s">
        <v>46</v>
      </c>
      <c r="D708" t="s">
        <v>46</v>
      </c>
      <c r="E708" t="s">
        <v>584</v>
      </c>
      <c r="F708" t="s">
        <v>26</v>
      </c>
      <c r="G708" t="s">
        <v>26</v>
      </c>
      <c r="H708">
        <v>4.1534250000000004</v>
      </c>
      <c r="I708">
        <v>3.9694829999999999</v>
      </c>
      <c r="J708">
        <v>3.7923770000000001</v>
      </c>
      <c r="K708">
        <v>3.5925020000000001</v>
      </c>
      <c r="L708">
        <v>3.3584420000000001</v>
      </c>
      <c r="M708">
        <v>3.0661870000000002</v>
      </c>
      <c r="N708">
        <v>2.808627</v>
      </c>
    </row>
    <row r="709" spans="1:14" hidden="1" x14ac:dyDescent="0.35">
      <c r="A709" t="s">
        <v>232</v>
      </c>
      <c r="B709" t="s">
        <v>37</v>
      </c>
      <c r="C709" t="s">
        <v>79</v>
      </c>
      <c r="D709" t="s">
        <v>79</v>
      </c>
      <c r="E709" t="s">
        <v>640</v>
      </c>
      <c r="F709" t="s">
        <v>581</v>
      </c>
      <c r="G709" t="s">
        <v>396</v>
      </c>
      <c r="H709">
        <v>1.943835</v>
      </c>
      <c r="I709">
        <v>1.5858380000000001</v>
      </c>
      <c r="J709">
        <v>1.5000260000000001</v>
      </c>
      <c r="K709">
        <v>1.2086079999999999</v>
      </c>
      <c r="L709">
        <v>1.0696410000000001</v>
      </c>
      <c r="M709">
        <v>0.83391059999999995</v>
      </c>
      <c r="N709">
        <v>0.69368169999999996</v>
      </c>
    </row>
    <row r="710" spans="1:14" hidden="1" x14ac:dyDescent="0.35">
      <c r="A710" t="s">
        <v>232</v>
      </c>
      <c r="B710" t="s">
        <v>37</v>
      </c>
      <c r="C710" t="s">
        <v>79</v>
      </c>
      <c r="D710" t="s">
        <v>79</v>
      </c>
      <c r="E710" t="s">
        <v>640</v>
      </c>
      <c r="F710" t="s">
        <v>581</v>
      </c>
      <c r="G710" t="s">
        <v>25</v>
      </c>
      <c r="H710">
        <v>0.51164379999999998</v>
      </c>
      <c r="I710">
        <v>0.40031509999999998</v>
      </c>
      <c r="J710">
        <v>0.39185700000000001</v>
      </c>
      <c r="K710">
        <v>0.306309</v>
      </c>
      <c r="L710">
        <v>0.26693919999999999</v>
      </c>
      <c r="M710">
        <v>0.20533589999999999</v>
      </c>
      <c r="N710">
        <v>0.16957149999999999</v>
      </c>
    </row>
    <row r="711" spans="1:14" hidden="1" x14ac:dyDescent="0.35">
      <c r="A711" t="s">
        <v>232</v>
      </c>
      <c r="B711" t="s">
        <v>37</v>
      </c>
      <c r="C711" t="s">
        <v>79</v>
      </c>
      <c r="D711" t="s">
        <v>79</v>
      </c>
      <c r="E711" t="s">
        <v>640</v>
      </c>
      <c r="F711" t="s">
        <v>26</v>
      </c>
      <c r="G711" t="s">
        <v>26</v>
      </c>
      <c r="H711">
        <v>0.4931507</v>
      </c>
      <c r="I711">
        <v>0.48192600000000002</v>
      </c>
      <c r="J711">
        <v>0.48756169999999999</v>
      </c>
      <c r="K711">
        <v>0.3691874</v>
      </c>
      <c r="L711">
        <v>0.31631290000000001</v>
      </c>
      <c r="M711">
        <v>0.23963180000000001</v>
      </c>
      <c r="N711">
        <v>0.19624659999999999</v>
      </c>
    </row>
    <row r="712" spans="1:14" hidden="1" x14ac:dyDescent="0.35">
      <c r="A712" t="s">
        <v>232</v>
      </c>
      <c r="B712" t="s">
        <v>37</v>
      </c>
      <c r="C712" t="s">
        <v>79</v>
      </c>
      <c r="D712" t="s">
        <v>79</v>
      </c>
      <c r="E712" t="s">
        <v>584</v>
      </c>
      <c r="F712" t="s">
        <v>581</v>
      </c>
      <c r="G712" t="s">
        <v>24</v>
      </c>
      <c r="H712">
        <v>0.19382070000000001</v>
      </c>
      <c r="I712">
        <v>0.19382070000000001</v>
      </c>
      <c r="J712">
        <v>0.19382070000000001</v>
      </c>
      <c r="K712">
        <v>0.19382070000000001</v>
      </c>
      <c r="L712">
        <v>0.19382070000000001</v>
      </c>
      <c r="M712">
        <v>0.1881389</v>
      </c>
      <c r="N712">
        <v>0.16282530000000001</v>
      </c>
    </row>
    <row r="713" spans="1:14" hidden="1" x14ac:dyDescent="0.35">
      <c r="A713" t="s">
        <v>232</v>
      </c>
      <c r="B713" t="s">
        <v>37</v>
      </c>
      <c r="C713" t="s">
        <v>79</v>
      </c>
      <c r="D713" t="s">
        <v>79</v>
      </c>
      <c r="E713" t="s">
        <v>584</v>
      </c>
      <c r="F713" t="s">
        <v>581</v>
      </c>
      <c r="G713" t="s">
        <v>25</v>
      </c>
      <c r="H713">
        <v>0.23519670000000001</v>
      </c>
      <c r="I713">
        <v>0.19429750000000001</v>
      </c>
      <c r="J713">
        <v>0.16027530000000001</v>
      </c>
      <c r="K713">
        <v>0.13072800000000001</v>
      </c>
      <c r="L713">
        <v>0.1046001</v>
      </c>
      <c r="M713">
        <v>8.1288819999999998E-2</v>
      </c>
      <c r="N713">
        <v>6.3034149999999997E-2</v>
      </c>
    </row>
    <row r="714" spans="1:14" hidden="1" x14ac:dyDescent="0.35">
      <c r="A714" t="s">
        <v>232</v>
      </c>
      <c r="B714" t="s">
        <v>37</v>
      </c>
      <c r="C714" t="s">
        <v>79</v>
      </c>
      <c r="D714" t="s">
        <v>79</v>
      </c>
      <c r="E714" t="s">
        <v>584</v>
      </c>
      <c r="F714" t="s">
        <v>26</v>
      </c>
      <c r="G714" t="s">
        <v>26</v>
      </c>
      <c r="H714">
        <v>1.624822</v>
      </c>
      <c r="I714">
        <v>1.3751139999999999</v>
      </c>
      <c r="J714">
        <v>1.160844</v>
      </c>
      <c r="K714">
        <v>0.96940459999999995</v>
      </c>
      <c r="L714">
        <v>0.79486860000000004</v>
      </c>
      <c r="M714">
        <v>0.633575</v>
      </c>
      <c r="N714">
        <v>0.50434800000000002</v>
      </c>
    </row>
    <row r="715" spans="1:14" hidden="1" x14ac:dyDescent="0.35">
      <c r="A715" t="s">
        <v>232</v>
      </c>
      <c r="B715" t="s">
        <v>37</v>
      </c>
      <c r="C715" t="s">
        <v>109</v>
      </c>
      <c r="D715" t="s">
        <v>109</v>
      </c>
      <c r="E715" t="s">
        <v>584</v>
      </c>
      <c r="F715" t="s">
        <v>581</v>
      </c>
      <c r="G715" t="s">
        <v>396</v>
      </c>
      <c r="H715">
        <v>8.9734460000000002E-2</v>
      </c>
      <c r="I715">
        <v>7.76564E-2</v>
      </c>
      <c r="J715">
        <v>6.8104280000000003E-2</v>
      </c>
      <c r="K715">
        <v>6.025548E-2</v>
      </c>
      <c r="L715">
        <v>5.3563159999999999E-2</v>
      </c>
      <c r="M715">
        <v>4.7411830000000002E-2</v>
      </c>
      <c r="N715">
        <v>4.2423460000000003E-2</v>
      </c>
    </row>
    <row r="716" spans="1:14" hidden="1" x14ac:dyDescent="0.35">
      <c r="A716" t="s">
        <v>232</v>
      </c>
      <c r="B716" t="s">
        <v>37</v>
      </c>
      <c r="C716" t="s">
        <v>109</v>
      </c>
      <c r="D716" t="s">
        <v>109</v>
      </c>
      <c r="E716" t="s">
        <v>584</v>
      </c>
      <c r="F716" t="s">
        <v>581</v>
      </c>
      <c r="G716" t="s">
        <v>24</v>
      </c>
      <c r="H716">
        <v>0.69104790000000005</v>
      </c>
      <c r="I716">
        <v>0.60558190000000001</v>
      </c>
      <c r="J716">
        <v>0.54566599999999998</v>
      </c>
      <c r="K716">
        <v>0.3671816</v>
      </c>
      <c r="L716">
        <v>0.24749380000000001</v>
      </c>
      <c r="M716">
        <v>0.1672168</v>
      </c>
      <c r="N716">
        <v>0.1100336</v>
      </c>
    </row>
    <row r="717" spans="1:14" hidden="1" x14ac:dyDescent="0.35">
      <c r="A717" t="s">
        <v>232</v>
      </c>
      <c r="B717" t="s">
        <v>37</v>
      </c>
      <c r="C717" t="s">
        <v>109</v>
      </c>
      <c r="D717" t="s">
        <v>109</v>
      </c>
      <c r="E717" t="s">
        <v>584</v>
      </c>
      <c r="F717" t="s">
        <v>581</v>
      </c>
      <c r="G717" t="s">
        <v>25</v>
      </c>
      <c r="H717">
        <v>0.43132199999999998</v>
      </c>
      <c r="I717">
        <v>0.29549510000000001</v>
      </c>
      <c r="J717">
        <v>0.20407600000000001</v>
      </c>
      <c r="K717">
        <v>0.1420218</v>
      </c>
      <c r="L717">
        <v>0.1003517</v>
      </c>
      <c r="M717">
        <v>7.136381E-2</v>
      </c>
      <c r="N717">
        <v>4.4838500000000003E-2</v>
      </c>
    </row>
    <row r="718" spans="1:14" hidden="1" x14ac:dyDescent="0.35">
      <c r="A718" t="s">
        <v>232</v>
      </c>
      <c r="B718" t="s">
        <v>37</v>
      </c>
      <c r="C718" t="s">
        <v>109</v>
      </c>
      <c r="D718" t="s">
        <v>109</v>
      </c>
      <c r="E718" t="s">
        <v>584</v>
      </c>
      <c r="F718" t="s">
        <v>26</v>
      </c>
      <c r="G718" t="s">
        <v>26</v>
      </c>
      <c r="H718">
        <v>2.806873</v>
      </c>
      <c r="I718">
        <v>1.9301459999999999</v>
      </c>
      <c r="J718">
        <v>1.3413200000000001</v>
      </c>
      <c r="K718">
        <v>0.94539629999999997</v>
      </c>
      <c r="L718">
        <v>0.67882569999999998</v>
      </c>
      <c r="M718">
        <v>0.49498760000000003</v>
      </c>
      <c r="N718">
        <v>0.30994820000000001</v>
      </c>
    </row>
    <row r="719" spans="1:14" hidden="1" x14ac:dyDescent="0.35">
      <c r="A719" t="s">
        <v>232</v>
      </c>
      <c r="B719" t="s">
        <v>37</v>
      </c>
      <c r="C719" t="s">
        <v>61</v>
      </c>
      <c r="D719" t="s">
        <v>62</v>
      </c>
      <c r="E719" t="s">
        <v>584</v>
      </c>
      <c r="F719" t="s">
        <v>581</v>
      </c>
      <c r="G719" t="s">
        <v>396</v>
      </c>
      <c r="H719">
        <v>0.75378500000000004</v>
      </c>
      <c r="I719">
        <v>0.66309320000000005</v>
      </c>
      <c r="J719">
        <v>0.58401650000000005</v>
      </c>
      <c r="K719">
        <v>0.51450689999999999</v>
      </c>
      <c r="L719">
        <v>0.45339449999999998</v>
      </c>
      <c r="M719">
        <v>0</v>
      </c>
      <c r="N719">
        <v>0</v>
      </c>
    </row>
    <row r="720" spans="1:14" hidden="1" x14ac:dyDescent="0.35">
      <c r="A720" t="s">
        <v>232</v>
      </c>
      <c r="B720" t="s">
        <v>37</v>
      </c>
      <c r="C720" t="s">
        <v>61</v>
      </c>
      <c r="D720" t="s">
        <v>62</v>
      </c>
      <c r="E720" t="s">
        <v>584</v>
      </c>
      <c r="F720" t="s">
        <v>581</v>
      </c>
      <c r="G720" t="s">
        <v>24</v>
      </c>
      <c r="H720">
        <v>0.61457189999999995</v>
      </c>
      <c r="I720">
        <v>0.41195890000000002</v>
      </c>
      <c r="J720">
        <v>0.22190480000000001</v>
      </c>
      <c r="K720">
        <v>0.1487473</v>
      </c>
      <c r="L720">
        <v>9.9709590000000001E-2</v>
      </c>
      <c r="M720">
        <v>3.2452050000000003E-2</v>
      </c>
      <c r="N720">
        <v>2.1753419999999999E-2</v>
      </c>
    </row>
    <row r="721" spans="1:14" hidden="1" x14ac:dyDescent="0.35">
      <c r="A721" t="s">
        <v>232</v>
      </c>
      <c r="B721" t="s">
        <v>37</v>
      </c>
      <c r="C721" t="s">
        <v>61</v>
      </c>
      <c r="D721" t="s">
        <v>62</v>
      </c>
      <c r="E721" t="s">
        <v>584</v>
      </c>
      <c r="F721" t="s">
        <v>581</v>
      </c>
      <c r="G721" t="s">
        <v>25</v>
      </c>
      <c r="H721">
        <v>3.6747259999999997E-2</v>
      </c>
      <c r="I721">
        <v>2.3844799999999999E-2</v>
      </c>
      <c r="J721">
        <v>2.0687669999999998E-2</v>
      </c>
      <c r="K721">
        <v>2.0126850000000002E-2</v>
      </c>
      <c r="L721">
        <v>1.910479E-2</v>
      </c>
      <c r="M721">
        <v>1.8657529999999999E-3</v>
      </c>
      <c r="N721">
        <v>1.713699E-3</v>
      </c>
    </row>
    <row r="722" spans="1:14" hidden="1" x14ac:dyDescent="0.35">
      <c r="A722" t="s">
        <v>232</v>
      </c>
      <c r="B722" t="s">
        <v>37</v>
      </c>
      <c r="C722" t="s">
        <v>61</v>
      </c>
      <c r="D722" t="s">
        <v>62</v>
      </c>
      <c r="E722" t="s">
        <v>584</v>
      </c>
      <c r="F722" t="s">
        <v>26</v>
      </c>
      <c r="G722" t="s">
        <v>26</v>
      </c>
      <c r="H722">
        <v>0.70940550000000002</v>
      </c>
      <c r="I722">
        <v>0.57710589999999995</v>
      </c>
      <c r="J722">
        <v>0.50942469999999995</v>
      </c>
      <c r="K722">
        <v>0.21661059999999999</v>
      </c>
      <c r="L722">
        <v>0.18907060000000001</v>
      </c>
      <c r="M722">
        <v>9.7945210000000005E-3</v>
      </c>
      <c r="N722">
        <v>7.4849319999999997E-3</v>
      </c>
    </row>
    <row r="723" spans="1:14" hidden="1" x14ac:dyDescent="0.35">
      <c r="A723" t="s">
        <v>232</v>
      </c>
      <c r="B723" t="s">
        <v>121</v>
      </c>
      <c r="C723" t="s">
        <v>173</v>
      </c>
      <c r="D723" t="s">
        <v>173</v>
      </c>
      <c r="E723" t="s">
        <v>584</v>
      </c>
      <c r="F723" t="s">
        <v>581</v>
      </c>
      <c r="G723" t="s">
        <v>396</v>
      </c>
      <c r="H723">
        <v>6.5003820000000001</v>
      </c>
      <c r="I723">
        <v>6.5422500000000001</v>
      </c>
      <c r="J723">
        <v>6.1176880000000002</v>
      </c>
      <c r="K723">
        <v>5.5200329999999997</v>
      </c>
      <c r="L723">
        <v>4.7584340000000003</v>
      </c>
      <c r="M723">
        <v>4.2284940000000004</v>
      </c>
      <c r="N723">
        <v>3.5028869999999999</v>
      </c>
    </row>
    <row r="724" spans="1:14" hidden="1" x14ac:dyDescent="0.35">
      <c r="A724" t="s">
        <v>232</v>
      </c>
      <c r="B724" t="s">
        <v>121</v>
      </c>
      <c r="C724" t="s">
        <v>173</v>
      </c>
      <c r="D724" t="s">
        <v>173</v>
      </c>
      <c r="E724" t="s">
        <v>584</v>
      </c>
      <c r="F724" t="s">
        <v>581</v>
      </c>
      <c r="G724" t="s">
        <v>24</v>
      </c>
      <c r="H724">
        <v>8.5106319999999993</v>
      </c>
      <c r="I724">
        <v>7.5314680000000003</v>
      </c>
      <c r="J724">
        <v>6.8862170000000003</v>
      </c>
      <c r="K724">
        <v>6.1370440000000004</v>
      </c>
      <c r="L724">
        <v>5.5928389999999997</v>
      </c>
      <c r="M724">
        <v>5.003603</v>
      </c>
      <c r="N724">
        <v>4.2740689999999999</v>
      </c>
    </row>
    <row r="725" spans="1:14" hidden="1" x14ac:dyDescent="0.35">
      <c r="A725" t="s">
        <v>232</v>
      </c>
      <c r="B725" t="s">
        <v>121</v>
      </c>
      <c r="C725" t="s">
        <v>173</v>
      </c>
      <c r="D725" t="s">
        <v>173</v>
      </c>
      <c r="E725" t="s">
        <v>584</v>
      </c>
      <c r="F725" t="s">
        <v>581</v>
      </c>
      <c r="G725" t="s">
        <v>25</v>
      </c>
      <c r="H725">
        <v>0.17012260000000001</v>
      </c>
      <c r="I725">
        <v>0.20594470000000001</v>
      </c>
      <c r="J725">
        <v>0.2004002</v>
      </c>
      <c r="K725">
        <v>0.18304219999999999</v>
      </c>
      <c r="L725">
        <v>0.1615943</v>
      </c>
      <c r="M725">
        <v>0.14250889999999999</v>
      </c>
      <c r="N725">
        <v>0.13291339999999999</v>
      </c>
    </row>
    <row r="726" spans="1:14" hidden="1" x14ac:dyDescent="0.35">
      <c r="A726" t="s">
        <v>232</v>
      </c>
      <c r="B726" t="s">
        <v>121</v>
      </c>
      <c r="C726" t="s">
        <v>173</v>
      </c>
      <c r="D726" t="s">
        <v>173</v>
      </c>
      <c r="E726" t="s">
        <v>584</v>
      </c>
      <c r="F726" t="s">
        <v>26</v>
      </c>
      <c r="G726" t="s">
        <v>26</v>
      </c>
      <c r="H726">
        <v>33.168399999999998</v>
      </c>
      <c r="I726">
        <v>29.95861</v>
      </c>
      <c r="J726">
        <v>27.00459</v>
      </c>
      <c r="K726">
        <v>23.767219999999998</v>
      </c>
      <c r="L726">
        <v>21.49052</v>
      </c>
      <c r="M726">
        <v>19.271989999999999</v>
      </c>
      <c r="N726">
        <v>16.131309999999999</v>
      </c>
    </row>
    <row r="727" spans="1:14" hidden="1" x14ac:dyDescent="0.35">
      <c r="A727" t="s">
        <v>232</v>
      </c>
      <c r="B727" t="s">
        <v>121</v>
      </c>
      <c r="C727" t="s">
        <v>173</v>
      </c>
      <c r="D727" t="s">
        <v>234</v>
      </c>
      <c r="E727" t="s">
        <v>584</v>
      </c>
      <c r="F727" t="s">
        <v>581</v>
      </c>
      <c r="G727" t="s">
        <v>396</v>
      </c>
      <c r="H727">
        <v>1.363931</v>
      </c>
      <c r="I727">
        <v>1.5083</v>
      </c>
      <c r="J727">
        <v>1.258891</v>
      </c>
      <c r="K727">
        <v>1.081307</v>
      </c>
      <c r="L727">
        <v>0.86357410000000001</v>
      </c>
      <c r="M727">
        <v>0.76109479999999996</v>
      </c>
      <c r="N727">
        <v>0.58530119999999997</v>
      </c>
    </row>
    <row r="728" spans="1:14" hidden="1" x14ac:dyDescent="0.35">
      <c r="A728" t="s">
        <v>232</v>
      </c>
      <c r="B728" t="s">
        <v>121</v>
      </c>
      <c r="C728" t="s">
        <v>173</v>
      </c>
      <c r="D728" t="s">
        <v>234</v>
      </c>
      <c r="E728" t="s">
        <v>584</v>
      </c>
      <c r="F728" t="s">
        <v>26</v>
      </c>
      <c r="G728" t="s">
        <v>26</v>
      </c>
      <c r="H728">
        <v>0.2789875</v>
      </c>
      <c r="I728">
        <v>0.30936999999999998</v>
      </c>
      <c r="J728">
        <v>0.2580732</v>
      </c>
      <c r="K728">
        <v>0.2217992</v>
      </c>
      <c r="L728">
        <v>0.1888485</v>
      </c>
      <c r="M728">
        <v>0.16964570000000001</v>
      </c>
      <c r="N728">
        <v>0.1842657</v>
      </c>
    </row>
    <row r="729" spans="1:14" hidden="1" x14ac:dyDescent="0.35">
      <c r="A729" t="s">
        <v>232</v>
      </c>
      <c r="B729" t="s">
        <v>121</v>
      </c>
      <c r="C729" t="s">
        <v>172</v>
      </c>
      <c r="D729" t="s">
        <v>172</v>
      </c>
      <c r="E729" t="s">
        <v>584</v>
      </c>
      <c r="F729" t="s">
        <v>581</v>
      </c>
      <c r="G729" t="s">
        <v>396</v>
      </c>
      <c r="H729">
        <v>22.674569999999999</v>
      </c>
      <c r="I729">
        <v>24.16949</v>
      </c>
      <c r="J729">
        <v>22.420590000000001</v>
      </c>
      <c r="K729">
        <v>20.605499999999999</v>
      </c>
      <c r="L729">
        <v>18.33203</v>
      </c>
      <c r="M729">
        <v>16.355689999999999</v>
      </c>
      <c r="N729">
        <v>14.617190000000001</v>
      </c>
    </row>
    <row r="730" spans="1:14" hidden="1" x14ac:dyDescent="0.35">
      <c r="A730" t="s">
        <v>232</v>
      </c>
      <c r="B730" t="s">
        <v>121</v>
      </c>
      <c r="C730" t="s">
        <v>172</v>
      </c>
      <c r="D730" t="s">
        <v>172</v>
      </c>
      <c r="E730" t="s">
        <v>584</v>
      </c>
      <c r="F730" t="s">
        <v>581</v>
      </c>
      <c r="G730" t="s">
        <v>24</v>
      </c>
      <c r="H730">
        <v>0.17040849999999999</v>
      </c>
      <c r="I730">
        <v>0.2059898</v>
      </c>
      <c r="J730">
        <v>0.1956039</v>
      </c>
      <c r="K730">
        <v>0.18149509999999999</v>
      </c>
      <c r="L730">
        <v>0.15865960000000001</v>
      </c>
      <c r="M730">
        <v>0.14151030000000001</v>
      </c>
      <c r="N730">
        <v>0.16162850000000001</v>
      </c>
    </row>
    <row r="731" spans="1:14" hidden="1" x14ac:dyDescent="0.35">
      <c r="A731" t="s">
        <v>232</v>
      </c>
      <c r="B731" t="s">
        <v>121</v>
      </c>
      <c r="C731" t="s">
        <v>172</v>
      </c>
      <c r="D731" t="s">
        <v>172</v>
      </c>
      <c r="E731" t="s">
        <v>584</v>
      </c>
      <c r="F731" t="s">
        <v>581</v>
      </c>
      <c r="G731" t="s">
        <v>25</v>
      </c>
      <c r="H731">
        <v>0.35606529999999997</v>
      </c>
      <c r="I731">
        <v>0.35784179999999999</v>
      </c>
      <c r="J731">
        <v>0.33736080000000002</v>
      </c>
      <c r="K731">
        <v>0.3116565</v>
      </c>
      <c r="L731">
        <v>0.27296999999999999</v>
      </c>
      <c r="M731">
        <v>0.2382377</v>
      </c>
      <c r="N731">
        <v>0.21197920000000001</v>
      </c>
    </row>
    <row r="732" spans="1:14" hidden="1" x14ac:dyDescent="0.35">
      <c r="A732" t="s">
        <v>232</v>
      </c>
      <c r="B732" t="s">
        <v>121</v>
      </c>
      <c r="C732" t="s">
        <v>172</v>
      </c>
      <c r="D732" t="s">
        <v>172</v>
      </c>
      <c r="E732" t="s">
        <v>584</v>
      </c>
      <c r="F732" t="s">
        <v>26</v>
      </c>
      <c r="G732" t="s">
        <v>26</v>
      </c>
      <c r="H732">
        <v>3.33026</v>
      </c>
      <c r="I732">
        <v>3.6494209999999998</v>
      </c>
      <c r="J732">
        <v>3.4635009999999999</v>
      </c>
      <c r="K732">
        <v>3.2267769999999998</v>
      </c>
      <c r="L732">
        <v>2.8651010000000001</v>
      </c>
      <c r="M732">
        <v>2.5409359999999999</v>
      </c>
      <c r="N732">
        <v>2.2979859999999999</v>
      </c>
    </row>
    <row r="733" spans="1:14" hidden="1" x14ac:dyDescent="0.35">
      <c r="A733" t="s">
        <v>232</v>
      </c>
      <c r="B733" t="s">
        <v>121</v>
      </c>
      <c r="C733" t="s">
        <v>235</v>
      </c>
      <c r="D733" t="s">
        <v>235</v>
      </c>
      <c r="E733" t="s">
        <v>584</v>
      </c>
      <c r="F733" t="s">
        <v>581</v>
      </c>
      <c r="G733" t="s">
        <v>396</v>
      </c>
      <c r="H733">
        <v>17.297029999999999</v>
      </c>
      <c r="I733">
        <v>18.458320000000001</v>
      </c>
      <c r="J733">
        <v>17.47512</v>
      </c>
      <c r="K733">
        <v>15.76346</v>
      </c>
      <c r="L733">
        <v>13.85389</v>
      </c>
      <c r="M733">
        <v>12.11215</v>
      </c>
      <c r="N733">
        <v>10.369669999999999</v>
      </c>
    </row>
    <row r="734" spans="1:14" hidden="1" x14ac:dyDescent="0.35">
      <c r="A734" t="s">
        <v>232</v>
      </c>
      <c r="B734" t="s">
        <v>121</v>
      </c>
      <c r="C734" t="s">
        <v>235</v>
      </c>
      <c r="D734" t="s">
        <v>235</v>
      </c>
      <c r="E734" t="s">
        <v>584</v>
      </c>
      <c r="F734" t="s">
        <v>581</v>
      </c>
      <c r="G734" t="s">
        <v>24</v>
      </c>
      <c r="H734">
        <v>4.1731770000000001E-2</v>
      </c>
      <c r="I734">
        <v>1.5587989999999999E-2</v>
      </c>
      <c r="J734">
        <v>1.4088369999999999E-2</v>
      </c>
      <c r="K734">
        <v>1.274402E-2</v>
      </c>
      <c r="L734">
        <v>1.15677E-2</v>
      </c>
      <c r="M734">
        <v>1.0561259999999999E-2</v>
      </c>
      <c r="N734">
        <v>9.6169199999999993E-3</v>
      </c>
    </row>
    <row r="735" spans="1:14" hidden="1" x14ac:dyDescent="0.35">
      <c r="A735" t="s">
        <v>232</v>
      </c>
      <c r="B735" t="s">
        <v>121</v>
      </c>
      <c r="C735" t="s">
        <v>235</v>
      </c>
      <c r="D735" t="s">
        <v>235</v>
      </c>
      <c r="E735" t="s">
        <v>584</v>
      </c>
      <c r="F735" t="s">
        <v>581</v>
      </c>
      <c r="G735" t="s">
        <v>25</v>
      </c>
      <c r="H735">
        <v>2.4643390000000001E-2</v>
      </c>
      <c r="I735">
        <v>3.4107569999999997E-2</v>
      </c>
      <c r="J735">
        <v>3.0720210000000001E-2</v>
      </c>
      <c r="K735">
        <v>2.7646839999999999E-2</v>
      </c>
      <c r="L735">
        <v>2.4930379999999999E-2</v>
      </c>
      <c r="M735">
        <v>2.2919169999999999E-2</v>
      </c>
      <c r="N735">
        <v>2.093484E-2</v>
      </c>
    </row>
    <row r="736" spans="1:14" hidden="1" x14ac:dyDescent="0.35">
      <c r="A736" t="s">
        <v>232</v>
      </c>
      <c r="B736" t="s">
        <v>121</v>
      </c>
      <c r="C736" t="s">
        <v>235</v>
      </c>
      <c r="D736" t="s">
        <v>235</v>
      </c>
      <c r="E736" t="s">
        <v>584</v>
      </c>
      <c r="F736" t="s">
        <v>26</v>
      </c>
      <c r="G736" t="s">
        <v>26</v>
      </c>
      <c r="H736">
        <v>1.1139969999999999</v>
      </c>
      <c r="I736">
        <v>1.955919</v>
      </c>
      <c r="J736">
        <v>2.3896229999999998</v>
      </c>
      <c r="K736">
        <v>1.4706349999999999</v>
      </c>
      <c r="L736">
        <v>1.3259259999999999</v>
      </c>
      <c r="M736">
        <v>1.208834</v>
      </c>
      <c r="N736">
        <v>1.085202</v>
      </c>
    </row>
    <row r="737" spans="1:14" hidden="1" x14ac:dyDescent="0.35">
      <c r="A737" t="s">
        <v>232</v>
      </c>
      <c r="B737" t="s">
        <v>121</v>
      </c>
      <c r="C737" t="s">
        <v>237</v>
      </c>
      <c r="D737" t="s">
        <v>237</v>
      </c>
      <c r="E737" t="s">
        <v>584</v>
      </c>
      <c r="F737" t="s">
        <v>581</v>
      </c>
      <c r="G737" t="s">
        <v>396</v>
      </c>
      <c r="H737">
        <v>0.60171070000000004</v>
      </c>
      <c r="I737">
        <v>0.57209920000000003</v>
      </c>
      <c r="J737">
        <v>0.52320140000000004</v>
      </c>
      <c r="K737">
        <v>0.4826377</v>
      </c>
      <c r="L737">
        <v>0.45202759999999997</v>
      </c>
      <c r="M737">
        <v>0.44536409999999998</v>
      </c>
      <c r="N737">
        <v>0.39526729999999999</v>
      </c>
    </row>
    <row r="738" spans="1:14" hidden="1" x14ac:dyDescent="0.35">
      <c r="A738" t="s">
        <v>232</v>
      </c>
      <c r="B738" t="s">
        <v>121</v>
      </c>
      <c r="C738" t="s">
        <v>237</v>
      </c>
      <c r="D738" t="s">
        <v>237</v>
      </c>
      <c r="E738" t="s">
        <v>584</v>
      </c>
      <c r="F738" t="s">
        <v>26</v>
      </c>
      <c r="G738" t="s">
        <v>26</v>
      </c>
      <c r="H738">
        <v>8.2191780000000007E-6</v>
      </c>
      <c r="I738">
        <v>2.7397260000000001E-6</v>
      </c>
      <c r="J738">
        <v>2.7397260000000001E-6</v>
      </c>
      <c r="K738">
        <v>3.4520549999999999E-5</v>
      </c>
      <c r="L738">
        <v>1.728767E-4</v>
      </c>
      <c r="M738">
        <v>6.8164379999999995E-4</v>
      </c>
      <c r="N738">
        <v>6.1369859999999997E-4</v>
      </c>
    </row>
    <row r="739" spans="1:14" hidden="1" x14ac:dyDescent="0.35">
      <c r="A739" t="s">
        <v>232</v>
      </c>
      <c r="B739" t="s">
        <v>121</v>
      </c>
      <c r="C739" t="s">
        <v>238</v>
      </c>
      <c r="D739" t="s">
        <v>238</v>
      </c>
      <c r="E739" t="s">
        <v>584</v>
      </c>
      <c r="F739" t="s">
        <v>581</v>
      </c>
      <c r="G739" t="s">
        <v>396</v>
      </c>
      <c r="H739">
        <v>0.15380730000000001</v>
      </c>
      <c r="I739">
        <v>0.14055019999999999</v>
      </c>
      <c r="J739">
        <v>0.16301660000000001</v>
      </c>
      <c r="K739">
        <v>0.1534469</v>
      </c>
      <c r="L739">
        <v>4.7764609999999999E-2</v>
      </c>
      <c r="M739">
        <v>4.0672809999999997E-2</v>
      </c>
      <c r="N739">
        <v>3.2734289999999999E-2</v>
      </c>
    </row>
    <row r="740" spans="1:14" hidden="1" x14ac:dyDescent="0.35">
      <c r="A740" t="s">
        <v>232</v>
      </c>
      <c r="B740" t="s">
        <v>121</v>
      </c>
      <c r="C740" t="s">
        <v>238</v>
      </c>
      <c r="D740" t="s">
        <v>238</v>
      </c>
      <c r="E740" t="s">
        <v>584</v>
      </c>
      <c r="F740" t="s">
        <v>581</v>
      </c>
      <c r="G740" t="s">
        <v>24</v>
      </c>
      <c r="H740">
        <v>1.1574920000000001E-2</v>
      </c>
      <c r="I740">
        <v>0</v>
      </c>
    </row>
    <row r="741" spans="1:14" hidden="1" x14ac:dyDescent="0.35">
      <c r="A741" t="s">
        <v>232</v>
      </c>
      <c r="B741" t="s">
        <v>121</v>
      </c>
      <c r="C741" t="s">
        <v>239</v>
      </c>
      <c r="D741" t="s">
        <v>239</v>
      </c>
      <c r="E741" t="s">
        <v>584</v>
      </c>
      <c r="F741" t="s">
        <v>581</v>
      </c>
      <c r="G741" t="s">
        <v>396</v>
      </c>
      <c r="H741">
        <v>8.3232159999999999E-2</v>
      </c>
      <c r="I741">
        <v>6.2678280000000003E-2</v>
      </c>
      <c r="J741">
        <v>3.306597E-2</v>
      </c>
      <c r="K741">
        <v>2.0101549999999999E-2</v>
      </c>
      <c r="L741">
        <v>1.513892E-2</v>
      </c>
      <c r="M741">
        <v>1.2411429999999999E-2</v>
      </c>
      <c r="N741">
        <v>8.9259860000000003E-3</v>
      </c>
    </row>
    <row r="742" spans="1:14" hidden="1" x14ac:dyDescent="0.35">
      <c r="A742" t="s">
        <v>232</v>
      </c>
      <c r="B742" t="s">
        <v>121</v>
      </c>
      <c r="C742" t="s">
        <v>128</v>
      </c>
      <c r="D742" t="s">
        <v>128</v>
      </c>
      <c r="E742" t="s">
        <v>584</v>
      </c>
      <c r="F742" t="s">
        <v>581</v>
      </c>
      <c r="G742" t="s">
        <v>396</v>
      </c>
      <c r="H742">
        <v>3.598171E-2</v>
      </c>
      <c r="I742">
        <v>2.350437E-2</v>
      </c>
      <c r="J742">
        <v>2.2580119999999999E-2</v>
      </c>
      <c r="K742">
        <v>1.7452929999999998E-2</v>
      </c>
      <c r="L742">
        <v>0</v>
      </c>
    </row>
    <row r="743" spans="1:14" hidden="1" x14ac:dyDescent="0.35">
      <c r="A743" t="s">
        <v>232</v>
      </c>
      <c r="B743" t="s">
        <v>74</v>
      </c>
      <c r="C743" t="s">
        <v>71</v>
      </c>
      <c r="D743" t="s">
        <v>138</v>
      </c>
      <c r="E743" t="s">
        <v>584</v>
      </c>
      <c r="F743" t="s">
        <v>581</v>
      </c>
      <c r="G743" t="s">
        <v>396</v>
      </c>
      <c r="H743">
        <v>10.026619999999999</v>
      </c>
      <c r="I743">
        <v>10.84055</v>
      </c>
      <c r="J743">
        <v>8.2712789999999998</v>
      </c>
      <c r="K743">
        <v>7.1698909999999998</v>
      </c>
      <c r="L743">
        <v>4.9292210000000001</v>
      </c>
      <c r="M743">
        <v>2.6064400000000001</v>
      </c>
      <c r="N743">
        <v>2.3072170000000001</v>
      </c>
    </row>
    <row r="744" spans="1:14" hidden="1" x14ac:dyDescent="0.35">
      <c r="A744" t="s">
        <v>232</v>
      </c>
      <c r="B744" t="s">
        <v>74</v>
      </c>
      <c r="C744" t="s">
        <v>71</v>
      </c>
      <c r="D744" t="s">
        <v>138</v>
      </c>
      <c r="E744" t="s">
        <v>584</v>
      </c>
      <c r="F744" t="s">
        <v>581</v>
      </c>
      <c r="G744" t="s">
        <v>25</v>
      </c>
      <c r="H744">
        <v>1.749188</v>
      </c>
      <c r="I744">
        <v>1.1279999999999999</v>
      </c>
      <c r="J744">
        <v>0.84927200000000003</v>
      </c>
      <c r="K744">
        <v>0.73351739999999999</v>
      </c>
      <c r="L744">
        <v>0.46036379999999999</v>
      </c>
      <c r="M744">
        <v>0.1183988</v>
      </c>
      <c r="N744">
        <v>9.7675789999999998E-2</v>
      </c>
    </row>
    <row r="745" spans="1:14" hidden="1" x14ac:dyDescent="0.35">
      <c r="A745" t="s">
        <v>232</v>
      </c>
      <c r="B745" t="s">
        <v>74</v>
      </c>
      <c r="C745" t="s">
        <v>71</v>
      </c>
      <c r="D745" t="s">
        <v>138</v>
      </c>
      <c r="E745" t="s">
        <v>584</v>
      </c>
      <c r="F745" t="s">
        <v>26</v>
      </c>
      <c r="G745" t="s">
        <v>26</v>
      </c>
      <c r="H745">
        <v>5.5847800000000003</v>
      </c>
      <c r="I745">
        <v>5.6540689999999998</v>
      </c>
      <c r="J745">
        <v>4.3613619999999997</v>
      </c>
      <c r="K745">
        <v>3.7776540000000001</v>
      </c>
      <c r="L745">
        <v>2.5250849999999998</v>
      </c>
      <c r="M745">
        <v>1.0601069999999999</v>
      </c>
      <c r="N745">
        <v>1.1444110000000001</v>
      </c>
    </row>
    <row r="746" spans="1:14" hidden="1" x14ac:dyDescent="0.35">
      <c r="A746" t="s">
        <v>232</v>
      </c>
      <c r="B746" t="s">
        <v>74</v>
      </c>
      <c r="C746" t="s">
        <v>71</v>
      </c>
      <c r="D746" t="s">
        <v>236</v>
      </c>
      <c r="E746" t="s">
        <v>584</v>
      </c>
      <c r="F746" t="s">
        <v>581</v>
      </c>
      <c r="G746" t="s">
        <v>396</v>
      </c>
      <c r="H746">
        <v>3.7084190000000001</v>
      </c>
      <c r="I746">
        <v>6.9214250000000002</v>
      </c>
      <c r="J746">
        <v>5.4653660000000004</v>
      </c>
      <c r="K746">
        <v>4.2485030000000004</v>
      </c>
      <c r="L746">
        <v>2.8391820000000001</v>
      </c>
      <c r="M746">
        <v>2.190035</v>
      </c>
      <c r="N746">
        <v>1.7437469999999999</v>
      </c>
    </row>
    <row r="747" spans="1:14" hidden="1" x14ac:dyDescent="0.35">
      <c r="A747" t="s">
        <v>232</v>
      </c>
      <c r="B747" t="s">
        <v>74</v>
      </c>
      <c r="C747" t="s">
        <v>71</v>
      </c>
      <c r="D747" t="s">
        <v>236</v>
      </c>
      <c r="E747" t="s">
        <v>584</v>
      </c>
      <c r="F747" t="s">
        <v>581</v>
      </c>
      <c r="G747" t="s">
        <v>24</v>
      </c>
      <c r="H747">
        <v>0.18260799999999999</v>
      </c>
      <c r="I747">
        <v>0.25930229999999999</v>
      </c>
      <c r="J747">
        <v>0.2371018</v>
      </c>
      <c r="K747">
        <v>0.1530001</v>
      </c>
      <c r="L747">
        <v>1.6006050000000001E-2</v>
      </c>
      <c r="M747">
        <v>0</v>
      </c>
      <c r="N747">
        <v>0</v>
      </c>
    </row>
    <row r="748" spans="1:14" hidden="1" x14ac:dyDescent="0.35">
      <c r="A748" t="s">
        <v>232</v>
      </c>
      <c r="B748" t="s">
        <v>74</v>
      </c>
      <c r="C748" t="s">
        <v>71</v>
      </c>
      <c r="D748" t="s">
        <v>236</v>
      </c>
      <c r="E748" t="s">
        <v>584</v>
      </c>
      <c r="F748" t="s">
        <v>581</v>
      </c>
      <c r="G748" t="s">
        <v>25</v>
      </c>
      <c r="H748">
        <v>1.6223030000000001</v>
      </c>
      <c r="I748">
        <v>0.65632020000000002</v>
      </c>
      <c r="J748">
        <v>0.61282840000000005</v>
      </c>
      <c r="K748">
        <v>0.58322019999999997</v>
      </c>
      <c r="L748">
        <v>0.4541308</v>
      </c>
      <c r="M748">
        <v>0.36973010000000001</v>
      </c>
      <c r="N748">
        <v>0.305562</v>
      </c>
    </row>
    <row r="749" spans="1:14" hidden="1" x14ac:dyDescent="0.35">
      <c r="A749" t="s">
        <v>232</v>
      </c>
      <c r="B749" t="s">
        <v>74</v>
      </c>
      <c r="C749" t="s">
        <v>71</v>
      </c>
      <c r="D749" t="s">
        <v>236</v>
      </c>
      <c r="E749" t="s">
        <v>584</v>
      </c>
      <c r="F749" t="s">
        <v>26</v>
      </c>
      <c r="G749" t="s">
        <v>26</v>
      </c>
      <c r="H749">
        <v>5.2123109999999997</v>
      </c>
      <c r="I749">
        <v>6.5821620000000003</v>
      </c>
      <c r="J749">
        <v>5.3049540000000004</v>
      </c>
      <c r="K749">
        <v>4.0897730000000001</v>
      </c>
      <c r="L749">
        <v>2.595542</v>
      </c>
      <c r="M749">
        <v>1.9422619999999999</v>
      </c>
      <c r="N749">
        <v>1.5297909999999999</v>
      </c>
    </row>
    <row r="750" spans="1:14" hidden="1" x14ac:dyDescent="0.35">
      <c r="A750" t="s">
        <v>232</v>
      </c>
      <c r="B750" t="s">
        <v>74</v>
      </c>
      <c r="C750" t="s">
        <v>71</v>
      </c>
      <c r="D750" t="s">
        <v>140</v>
      </c>
      <c r="E750" t="s">
        <v>584</v>
      </c>
      <c r="F750" t="s">
        <v>581</v>
      </c>
      <c r="G750" t="s">
        <v>396</v>
      </c>
      <c r="H750">
        <v>3.6164079999999998</v>
      </c>
      <c r="I750">
        <v>4.5545660000000003</v>
      </c>
      <c r="J750">
        <v>3.1060699999999999</v>
      </c>
      <c r="K750">
        <v>2.4369480000000001</v>
      </c>
      <c r="L750">
        <v>1.9595530000000001</v>
      </c>
      <c r="M750">
        <v>1.454631</v>
      </c>
      <c r="N750">
        <v>1.0659110000000001</v>
      </c>
    </row>
    <row r="751" spans="1:14" hidden="1" x14ac:dyDescent="0.35">
      <c r="A751" t="s">
        <v>232</v>
      </c>
      <c r="B751" t="s">
        <v>74</v>
      </c>
      <c r="C751" t="s">
        <v>71</v>
      </c>
      <c r="D751" t="s">
        <v>140</v>
      </c>
      <c r="E751" t="s">
        <v>584</v>
      </c>
      <c r="F751" t="s">
        <v>581</v>
      </c>
      <c r="G751" t="s">
        <v>25</v>
      </c>
      <c r="H751">
        <v>2.4657479999999999E-2</v>
      </c>
      <c r="I751">
        <v>0</v>
      </c>
    </row>
    <row r="752" spans="1:14" hidden="1" x14ac:dyDescent="0.35">
      <c r="A752" t="s">
        <v>232</v>
      </c>
      <c r="B752" t="s">
        <v>74</v>
      </c>
      <c r="C752" t="s">
        <v>71</v>
      </c>
      <c r="D752" t="s">
        <v>140</v>
      </c>
      <c r="E752" t="s">
        <v>584</v>
      </c>
      <c r="F752" t="s">
        <v>26</v>
      </c>
      <c r="G752" t="s">
        <v>26</v>
      </c>
      <c r="H752">
        <v>0.70232209999999995</v>
      </c>
      <c r="I752">
        <v>0.77690119999999996</v>
      </c>
      <c r="J752">
        <v>0.53816989999999998</v>
      </c>
      <c r="K752">
        <v>0.4303572</v>
      </c>
      <c r="L752">
        <v>0.35201549999999998</v>
      </c>
      <c r="M752">
        <v>0.262623</v>
      </c>
      <c r="N752">
        <v>0.192743</v>
      </c>
    </row>
    <row r="753" spans="1:14" hidden="1" x14ac:dyDescent="0.35">
      <c r="A753" t="s">
        <v>232</v>
      </c>
      <c r="B753" t="s">
        <v>74</v>
      </c>
      <c r="C753" t="s">
        <v>87</v>
      </c>
      <c r="D753" t="s">
        <v>91</v>
      </c>
      <c r="E753" t="s">
        <v>584</v>
      </c>
      <c r="F753" t="s">
        <v>581</v>
      </c>
      <c r="G753" t="s">
        <v>396</v>
      </c>
      <c r="H753">
        <v>28.13363</v>
      </c>
      <c r="I753">
        <v>25.930589999999999</v>
      </c>
      <c r="J753">
        <v>19.751349999999999</v>
      </c>
      <c r="K753">
        <v>17.054649999999999</v>
      </c>
      <c r="L753">
        <v>13.79388</v>
      </c>
      <c r="M753">
        <v>11.88067</v>
      </c>
      <c r="N753">
        <v>10.9146</v>
      </c>
    </row>
    <row r="754" spans="1:14" hidden="1" x14ac:dyDescent="0.35">
      <c r="A754" t="s">
        <v>232</v>
      </c>
      <c r="B754" t="s">
        <v>74</v>
      </c>
      <c r="C754" t="s">
        <v>87</v>
      </c>
      <c r="D754" t="s">
        <v>91</v>
      </c>
      <c r="E754" t="s">
        <v>584</v>
      </c>
      <c r="F754" t="s">
        <v>581</v>
      </c>
      <c r="G754" t="s">
        <v>25</v>
      </c>
      <c r="H754">
        <v>1.734084E-2</v>
      </c>
      <c r="I754">
        <v>1.5807379999999999E-2</v>
      </c>
      <c r="J754">
        <v>9.9668069999999994E-3</v>
      </c>
      <c r="K754">
        <v>7.1630360000000002E-3</v>
      </c>
      <c r="L754">
        <v>4.7284370000000003E-3</v>
      </c>
      <c r="M754">
        <v>4.8652169999999998E-3</v>
      </c>
      <c r="N754">
        <v>5.2554050000000003E-3</v>
      </c>
    </row>
    <row r="755" spans="1:14" hidden="1" x14ac:dyDescent="0.35">
      <c r="A755" t="s">
        <v>232</v>
      </c>
      <c r="B755" t="s">
        <v>74</v>
      </c>
      <c r="C755" t="s">
        <v>87</v>
      </c>
      <c r="D755" t="s">
        <v>91</v>
      </c>
      <c r="E755" t="s">
        <v>584</v>
      </c>
      <c r="F755" t="s">
        <v>26</v>
      </c>
      <c r="G755" t="s">
        <v>26</v>
      </c>
      <c r="H755">
        <v>9.8940979999999998E-2</v>
      </c>
      <c r="I755">
        <v>9.3018039999999996E-2</v>
      </c>
      <c r="J755">
        <v>5.8521549999999999E-2</v>
      </c>
      <c r="K755">
        <v>4.194519E-2</v>
      </c>
      <c r="L755">
        <v>2.8589980000000001E-2</v>
      </c>
      <c r="M755">
        <v>4.2442529999999999E-2</v>
      </c>
      <c r="N755">
        <v>5.2873860000000002E-2</v>
      </c>
    </row>
    <row r="756" spans="1:14" hidden="1" x14ac:dyDescent="0.35">
      <c r="A756" t="s">
        <v>232</v>
      </c>
      <c r="B756" t="s">
        <v>74</v>
      </c>
      <c r="C756" t="s">
        <v>87</v>
      </c>
      <c r="D756" t="s">
        <v>87</v>
      </c>
      <c r="E756" t="s">
        <v>584</v>
      </c>
      <c r="F756" t="s">
        <v>581</v>
      </c>
      <c r="G756" t="s">
        <v>396</v>
      </c>
      <c r="H756">
        <v>4.5942459999999997E-2</v>
      </c>
      <c r="I756">
        <v>0.2303616</v>
      </c>
      <c r="J756">
        <v>0.1122411</v>
      </c>
      <c r="K756">
        <v>6.4591780000000001E-2</v>
      </c>
      <c r="L756">
        <v>0</v>
      </c>
      <c r="M756">
        <v>0</v>
      </c>
    </row>
    <row r="757" spans="1:14" hidden="1" x14ac:dyDescent="0.35">
      <c r="A757" t="s">
        <v>232</v>
      </c>
      <c r="B757" t="s">
        <v>74</v>
      </c>
      <c r="C757" t="s">
        <v>146</v>
      </c>
      <c r="D757" t="s">
        <v>197</v>
      </c>
      <c r="E757" t="s">
        <v>584</v>
      </c>
      <c r="F757" t="s">
        <v>581</v>
      </c>
      <c r="G757" t="s">
        <v>396</v>
      </c>
      <c r="H757">
        <v>1.6407419999999999</v>
      </c>
      <c r="I757">
        <v>1.373818</v>
      </c>
      <c r="J757">
        <v>0.91222740000000002</v>
      </c>
      <c r="K757">
        <v>0.70251779999999997</v>
      </c>
      <c r="L757">
        <v>0.1017184</v>
      </c>
      <c r="M757">
        <v>7.7478630000000007E-2</v>
      </c>
      <c r="N757">
        <v>6.0189310000000003E-2</v>
      </c>
    </row>
    <row r="758" spans="1:14" hidden="1" x14ac:dyDescent="0.35">
      <c r="A758" t="s">
        <v>232</v>
      </c>
      <c r="B758" t="s">
        <v>74</v>
      </c>
      <c r="C758" t="s">
        <v>146</v>
      </c>
      <c r="D758" t="s">
        <v>197</v>
      </c>
      <c r="E758" t="s">
        <v>584</v>
      </c>
      <c r="F758" t="s">
        <v>581</v>
      </c>
      <c r="G758" t="s">
        <v>25</v>
      </c>
      <c r="H758">
        <v>1.5971229999999999E-2</v>
      </c>
      <c r="I758">
        <v>1.33726E-2</v>
      </c>
      <c r="J758">
        <v>8.8794519999999995E-3</v>
      </c>
      <c r="K758">
        <v>6.8369870000000001E-3</v>
      </c>
      <c r="L758">
        <v>9.9013700000000009E-4</v>
      </c>
      <c r="M758">
        <v>7.5424659999999996E-4</v>
      </c>
      <c r="N758">
        <v>5.8602730000000003E-4</v>
      </c>
    </row>
    <row r="759" spans="1:14" hidden="1" x14ac:dyDescent="0.35">
      <c r="A759" t="s">
        <v>232</v>
      </c>
      <c r="B759" t="s">
        <v>74</v>
      </c>
      <c r="C759" t="s">
        <v>146</v>
      </c>
      <c r="D759" t="s">
        <v>197</v>
      </c>
      <c r="E759" t="s">
        <v>584</v>
      </c>
      <c r="F759" t="s">
        <v>26</v>
      </c>
      <c r="G759" t="s">
        <v>26</v>
      </c>
      <c r="H759">
        <v>8.8543819999999995E-2</v>
      </c>
      <c r="I759">
        <v>7.4139730000000001E-2</v>
      </c>
      <c r="J759">
        <v>4.9228769999999998E-2</v>
      </c>
      <c r="K759">
        <v>3.7912330000000001E-2</v>
      </c>
      <c r="L759">
        <v>5.4893149999999998E-3</v>
      </c>
      <c r="M759">
        <v>4.1810959999999996E-3</v>
      </c>
      <c r="N759">
        <v>3.2482190000000001E-3</v>
      </c>
    </row>
    <row r="760" spans="1:14" hidden="1" x14ac:dyDescent="0.35">
      <c r="A760" t="s">
        <v>231</v>
      </c>
      <c r="B760" t="s">
        <v>37</v>
      </c>
      <c r="C760" t="s">
        <v>35</v>
      </c>
      <c r="D760" t="s">
        <v>39</v>
      </c>
      <c r="E760" t="s">
        <v>580</v>
      </c>
      <c r="F760" t="s">
        <v>581</v>
      </c>
      <c r="G760" t="s">
        <v>396</v>
      </c>
      <c r="H760">
        <v>18.73096</v>
      </c>
      <c r="I760">
        <v>22.70298</v>
      </c>
      <c r="J760">
        <v>19.759129999999999</v>
      </c>
      <c r="K760">
        <v>16.36477</v>
      </c>
      <c r="L760">
        <v>13.60229</v>
      </c>
      <c r="M760">
        <v>10.307729999999999</v>
      </c>
      <c r="N760">
        <v>8.2725559999999998</v>
      </c>
    </row>
    <row r="761" spans="1:14" hidden="1" x14ac:dyDescent="0.35">
      <c r="A761" t="s">
        <v>231</v>
      </c>
      <c r="B761" t="s">
        <v>37</v>
      </c>
      <c r="C761" t="s">
        <v>35</v>
      </c>
      <c r="D761" t="s">
        <v>39</v>
      </c>
      <c r="E761" t="s">
        <v>580</v>
      </c>
      <c r="F761" t="s">
        <v>581</v>
      </c>
      <c r="G761" t="s">
        <v>25</v>
      </c>
      <c r="H761">
        <v>7.5195889999999999</v>
      </c>
      <c r="I761">
        <v>8.7337930000000004</v>
      </c>
      <c r="J761">
        <v>7.601305</v>
      </c>
      <c r="K761">
        <v>6.2954990000000004</v>
      </c>
      <c r="L761">
        <v>5.23278</v>
      </c>
      <c r="M761">
        <v>3.9653610000000001</v>
      </c>
      <c r="N761">
        <v>3.1824400000000002</v>
      </c>
    </row>
    <row r="762" spans="1:14" hidden="1" x14ac:dyDescent="0.35">
      <c r="A762" t="s">
        <v>231</v>
      </c>
      <c r="B762" t="s">
        <v>37</v>
      </c>
      <c r="C762" t="s">
        <v>35</v>
      </c>
      <c r="D762" t="s">
        <v>39</v>
      </c>
      <c r="E762" t="s">
        <v>580</v>
      </c>
      <c r="F762" t="s">
        <v>26</v>
      </c>
      <c r="G762" t="s">
        <v>26</v>
      </c>
      <c r="H762">
        <v>7.5684930000000001</v>
      </c>
      <c r="I762">
        <v>8.7337959999999999</v>
      </c>
      <c r="J762">
        <v>7.6013060000000001</v>
      </c>
      <c r="K762">
        <v>6.2954990000000004</v>
      </c>
      <c r="L762">
        <v>5.2327760000000003</v>
      </c>
      <c r="M762">
        <v>3.9653640000000001</v>
      </c>
      <c r="N762">
        <v>3.1824370000000002</v>
      </c>
    </row>
    <row r="763" spans="1:14" hidden="1" x14ac:dyDescent="0.35">
      <c r="A763" t="s">
        <v>231</v>
      </c>
      <c r="B763" t="s">
        <v>37</v>
      </c>
      <c r="C763" t="s">
        <v>35</v>
      </c>
      <c r="D763" t="s">
        <v>39</v>
      </c>
      <c r="E763" t="s">
        <v>582</v>
      </c>
      <c r="F763" t="s">
        <v>581</v>
      </c>
      <c r="G763" t="s">
        <v>396</v>
      </c>
      <c r="H763">
        <v>18.191780000000001</v>
      </c>
      <c r="I763">
        <v>15.156040000000001</v>
      </c>
      <c r="J763">
        <v>14.236090000000001</v>
      </c>
      <c r="K763">
        <v>13.15028</v>
      </c>
      <c r="L763">
        <v>10.77745</v>
      </c>
      <c r="M763">
        <v>9.0944719999999997</v>
      </c>
      <c r="N763">
        <v>8.0518780000000003</v>
      </c>
    </row>
    <row r="764" spans="1:14" hidden="1" x14ac:dyDescent="0.35">
      <c r="A764" t="s">
        <v>231</v>
      </c>
      <c r="B764" t="s">
        <v>37</v>
      </c>
      <c r="C764" t="s">
        <v>35</v>
      </c>
      <c r="D764" t="s">
        <v>39</v>
      </c>
      <c r="E764" t="s">
        <v>582</v>
      </c>
      <c r="F764" t="s">
        <v>581</v>
      </c>
      <c r="G764" t="s">
        <v>25</v>
      </c>
      <c r="H764">
        <v>7.3053429999999997</v>
      </c>
      <c r="I764">
        <v>5.8305030000000002</v>
      </c>
      <c r="J764">
        <v>5.4765990000000002</v>
      </c>
      <c r="K764">
        <v>5.0588899999999999</v>
      </c>
      <c r="L764">
        <v>4.1460619999999997</v>
      </c>
      <c r="M764">
        <v>3.4986259999999998</v>
      </c>
      <c r="N764">
        <v>3.0975470000000001</v>
      </c>
    </row>
    <row r="765" spans="1:14" hidden="1" x14ac:dyDescent="0.35">
      <c r="A765" t="s">
        <v>231</v>
      </c>
      <c r="B765" t="s">
        <v>37</v>
      </c>
      <c r="C765" t="s">
        <v>35</v>
      </c>
      <c r="D765" t="s">
        <v>39</v>
      </c>
      <c r="E765" t="s">
        <v>582</v>
      </c>
      <c r="F765" t="s">
        <v>26</v>
      </c>
      <c r="G765" t="s">
        <v>26</v>
      </c>
      <c r="H765">
        <v>7.354247</v>
      </c>
      <c r="I765">
        <v>5.8304999999999998</v>
      </c>
      <c r="J765">
        <v>5.4766019999999997</v>
      </c>
      <c r="K765">
        <v>5.0588899999999999</v>
      </c>
      <c r="L765">
        <v>4.1460650000000001</v>
      </c>
      <c r="M765">
        <v>3.4986299999999999</v>
      </c>
      <c r="N765">
        <v>3.0975440000000001</v>
      </c>
    </row>
    <row r="766" spans="1:14" hidden="1" x14ac:dyDescent="0.35">
      <c r="A766" t="s">
        <v>231</v>
      </c>
      <c r="B766" t="s">
        <v>37</v>
      </c>
      <c r="C766" t="s">
        <v>35</v>
      </c>
      <c r="D766" t="s">
        <v>39</v>
      </c>
      <c r="E766" t="s">
        <v>585</v>
      </c>
      <c r="F766" t="s">
        <v>581</v>
      </c>
      <c r="G766" t="s">
        <v>396</v>
      </c>
      <c r="H766">
        <v>0.57424660000000005</v>
      </c>
      <c r="I766">
        <v>0.38946029999999998</v>
      </c>
      <c r="J766">
        <v>0.33141920000000002</v>
      </c>
      <c r="K766">
        <v>0.28597529999999999</v>
      </c>
      <c r="L766">
        <v>0.24992880000000001</v>
      </c>
      <c r="M766">
        <v>0.2199151</v>
      </c>
      <c r="N766">
        <v>0.1927808</v>
      </c>
    </row>
    <row r="767" spans="1:14" hidden="1" x14ac:dyDescent="0.35">
      <c r="A767" t="s">
        <v>231</v>
      </c>
      <c r="B767" t="s">
        <v>37</v>
      </c>
      <c r="C767" t="s">
        <v>35</v>
      </c>
      <c r="D767" t="s">
        <v>39</v>
      </c>
      <c r="E767" t="s">
        <v>585</v>
      </c>
      <c r="F767" t="s">
        <v>581</v>
      </c>
      <c r="G767" t="s">
        <v>25</v>
      </c>
      <c r="H767">
        <v>0.82438350000000005</v>
      </c>
      <c r="I767">
        <v>0.67715619999999999</v>
      </c>
      <c r="J767">
        <v>0.57621920000000004</v>
      </c>
      <c r="K767">
        <v>0.49720819999999999</v>
      </c>
      <c r="L767">
        <v>0.43453429999999998</v>
      </c>
      <c r="M767">
        <v>0.38235340000000001</v>
      </c>
      <c r="N767">
        <v>0.33517530000000001</v>
      </c>
    </row>
    <row r="768" spans="1:14" hidden="1" x14ac:dyDescent="0.35">
      <c r="A768" t="s">
        <v>231</v>
      </c>
      <c r="B768" t="s">
        <v>37</v>
      </c>
      <c r="C768" t="s">
        <v>35</v>
      </c>
      <c r="D768" t="s">
        <v>39</v>
      </c>
      <c r="E768" t="s">
        <v>585</v>
      </c>
      <c r="F768" t="s">
        <v>26</v>
      </c>
      <c r="G768" t="s">
        <v>26</v>
      </c>
      <c r="H768">
        <v>0.96876720000000005</v>
      </c>
      <c r="I768">
        <v>0.79001370000000004</v>
      </c>
      <c r="J768">
        <v>0.67225199999999996</v>
      </c>
      <c r="K768">
        <v>0.58007660000000005</v>
      </c>
      <c r="L768">
        <v>0.50695619999999997</v>
      </c>
      <c r="M768">
        <v>0.44607950000000002</v>
      </c>
      <c r="N768">
        <v>0.39103280000000001</v>
      </c>
    </row>
    <row r="769" spans="1:14" hidden="1" x14ac:dyDescent="0.35">
      <c r="A769" t="s">
        <v>231</v>
      </c>
      <c r="B769" t="s">
        <v>37</v>
      </c>
      <c r="C769" t="s">
        <v>35</v>
      </c>
      <c r="D769" t="s">
        <v>207</v>
      </c>
      <c r="E769" t="s">
        <v>582</v>
      </c>
      <c r="F769" t="s">
        <v>581</v>
      </c>
      <c r="G769" t="s">
        <v>396</v>
      </c>
      <c r="H769">
        <v>28.3748</v>
      </c>
      <c r="I769">
        <v>34.077530000000003</v>
      </c>
      <c r="J769">
        <v>29.696840000000002</v>
      </c>
      <c r="K769">
        <v>24.334430000000001</v>
      </c>
      <c r="L769">
        <v>20.430060000000001</v>
      </c>
      <c r="M769">
        <v>17.18121</v>
      </c>
      <c r="N769">
        <v>14.95321</v>
      </c>
    </row>
    <row r="770" spans="1:14" hidden="1" x14ac:dyDescent="0.35">
      <c r="A770" t="s">
        <v>231</v>
      </c>
      <c r="B770" t="s">
        <v>37</v>
      </c>
      <c r="C770" t="s">
        <v>35</v>
      </c>
      <c r="D770" t="s">
        <v>207</v>
      </c>
      <c r="E770" t="s">
        <v>582</v>
      </c>
      <c r="F770" t="s">
        <v>581</v>
      </c>
      <c r="G770" t="s">
        <v>25</v>
      </c>
      <c r="H770">
        <v>10.68439</v>
      </c>
      <c r="I770">
        <v>13.10957</v>
      </c>
      <c r="J770">
        <v>11.42432</v>
      </c>
      <c r="K770">
        <v>9.3614119999999996</v>
      </c>
      <c r="L770">
        <v>7.8594010000000001</v>
      </c>
      <c r="M770">
        <v>6.6095839999999999</v>
      </c>
      <c r="N770">
        <v>5.7524759999999997</v>
      </c>
    </row>
    <row r="771" spans="1:14" hidden="1" x14ac:dyDescent="0.35">
      <c r="A771" t="s">
        <v>231</v>
      </c>
      <c r="B771" t="s">
        <v>37</v>
      </c>
      <c r="C771" t="s">
        <v>35</v>
      </c>
      <c r="D771" t="s">
        <v>207</v>
      </c>
      <c r="E771" t="s">
        <v>582</v>
      </c>
      <c r="F771" t="s">
        <v>26</v>
      </c>
      <c r="G771" t="s">
        <v>26</v>
      </c>
      <c r="H771">
        <v>11.49014</v>
      </c>
      <c r="I771">
        <v>13.10957</v>
      </c>
      <c r="J771">
        <v>11.42432</v>
      </c>
      <c r="K771">
        <v>9.3614149999999992</v>
      </c>
      <c r="L771">
        <v>7.859407</v>
      </c>
      <c r="M771">
        <v>6.6095860000000002</v>
      </c>
      <c r="N771">
        <v>5.7524749999999996</v>
      </c>
    </row>
    <row r="772" spans="1:14" hidden="1" x14ac:dyDescent="0.35">
      <c r="A772" t="s">
        <v>231</v>
      </c>
      <c r="B772" t="s">
        <v>37</v>
      </c>
      <c r="C772" t="s">
        <v>35</v>
      </c>
      <c r="D772" t="s">
        <v>207</v>
      </c>
      <c r="E772" t="s">
        <v>613</v>
      </c>
      <c r="F772" t="s">
        <v>581</v>
      </c>
      <c r="G772" t="s">
        <v>396</v>
      </c>
      <c r="H772">
        <v>2.8821919999999999</v>
      </c>
      <c r="I772">
        <v>2.2505310000000001</v>
      </c>
      <c r="J772">
        <v>1.8810960000000001</v>
      </c>
      <c r="K772">
        <v>1.6533100000000001</v>
      </c>
      <c r="L772">
        <v>1.5102120000000001</v>
      </c>
      <c r="M772">
        <v>1.3197540000000001</v>
      </c>
      <c r="N772">
        <v>1.139507</v>
      </c>
    </row>
    <row r="773" spans="1:14" hidden="1" x14ac:dyDescent="0.35">
      <c r="A773" t="s">
        <v>231</v>
      </c>
      <c r="B773" t="s">
        <v>37</v>
      </c>
      <c r="C773" t="s">
        <v>35</v>
      </c>
      <c r="D773" t="s">
        <v>207</v>
      </c>
      <c r="E773" t="s">
        <v>613</v>
      </c>
      <c r="F773" t="s">
        <v>581</v>
      </c>
      <c r="G773" t="s">
        <v>25</v>
      </c>
      <c r="H773">
        <v>0.94082189999999999</v>
      </c>
      <c r="I773">
        <v>0.70086570000000004</v>
      </c>
      <c r="J773">
        <v>0.58581640000000001</v>
      </c>
      <c r="K773">
        <v>0.5148779</v>
      </c>
      <c r="L773">
        <v>0.47031509999999999</v>
      </c>
      <c r="M773">
        <v>0.41099619999999998</v>
      </c>
      <c r="N773">
        <v>0.35486580000000001</v>
      </c>
    </row>
    <row r="774" spans="1:14" hidden="1" x14ac:dyDescent="0.35">
      <c r="A774" t="s">
        <v>231</v>
      </c>
      <c r="B774" t="s">
        <v>37</v>
      </c>
      <c r="C774" t="s">
        <v>35</v>
      </c>
      <c r="D774" t="s">
        <v>207</v>
      </c>
      <c r="E774" t="s">
        <v>613</v>
      </c>
      <c r="F774" t="s">
        <v>26</v>
      </c>
      <c r="G774" t="s">
        <v>26</v>
      </c>
      <c r="H774">
        <v>1.392603</v>
      </c>
      <c r="I774">
        <v>1.0306850000000001</v>
      </c>
      <c r="J774">
        <v>0.86149319999999996</v>
      </c>
      <c r="K774">
        <v>0.75717319999999999</v>
      </c>
      <c r="L774">
        <v>0.69163839999999999</v>
      </c>
      <c r="M774">
        <v>0.6044136</v>
      </c>
      <c r="N774">
        <v>0.52186520000000003</v>
      </c>
    </row>
    <row r="775" spans="1:14" hidden="1" x14ac:dyDescent="0.35">
      <c r="A775" t="s">
        <v>231</v>
      </c>
      <c r="B775" t="s">
        <v>37</v>
      </c>
      <c r="C775" t="s">
        <v>35</v>
      </c>
      <c r="D775" t="s">
        <v>207</v>
      </c>
      <c r="E775" t="s">
        <v>584</v>
      </c>
      <c r="F775" t="s">
        <v>581</v>
      </c>
      <c r="G775" t="s">
        <v>396</v>
      </c>
      <c r="H775">
        <v>1.891507</v>
      </c>
      <c r="I775">
        <v>1.702548</v>
      </c>
      <c r="J775">
        <v>1.5312380000000001</v>
      </c>
      <c r="K775">
        <v>1.3639570000000001</v>
      </c>
      <c r="L775">
        <v>1.1960299999999999</v>
      </c>
      <c r="M775">
        <v>1.021935</v>
      </c>
      <c r="N775">
        <v>0.8740964</v>
      </c>
    </row>
    <row r="776" spans="1:14" hidden="1" x14ac:dyDescent="0.35">
      <c r="A776" t="s">
        <v>231</v>
      </c>
      <c r="B776" t="s">
        <v>37</v>
      </c>
      <c r="C776" t="s">
        <v>35</v>
      </c>
      <c r="D776" t="s">
        <v>207</v>
      </c>
      <c r="E776" t="s">
        <v>584</v>
      </c>
      <c r="F776" t="s">
        <v>581</v>
      </c>
      <c r="G776" t="s">
        <v>24</v>
      </c>
      <c r="H776">
        <v>7.6712329999999995E-2</v>
      </c>
      <c r="I776">
        <v>5.1421920000000003E-2</v>
      </c>
      <c r="J776">
        <v>3.4468489999999997E-2</v>
      </c>
      <c r="K776">
        <v>2.3104110000000001E-2</v>
      </c>
      <c r="L776">
        <v>1.548767E-2</v>
      </c>
      <c r="M776">
        <v>1.0380820000000001E-2</v>
      </c>
      <c r="N776">
        <v>6.9589040000000001E-3</v>
      </c>
    </row>
    <row r="777" spans="1:14" hidden="1" x14ac:dyDescent="0.35">
      <c r="A777" t="s">
        <v>231</v>
      </c>
      <c r="B777" t="s">
        <v>37</v>
      </c>
      <c r="C777" t="s">
        <v>35</v>
      </c>
      <c r="D777" t="s">
        <v>207</v>
      </c>
      <c r="E777" t="s">
        <v>584</v>
      </c>
      <c r="F777" t="s">
        <v>581</v>
      </c>
      <c r="G777" t="s">
        <v>25</v>
      </c>
      <c r="H777">
        <v>0.209589</v>
      </c>
      <c r="I777">
        <v>0.20543829999999999</v>
      </c>
      <c r="J777">
        <v>0.20134189999999999</v>
      </c>
      <c r="K777">
        <v>0.1957469</v>
      </c>
      <c r="L777">
        <v>0.1880038</v>
      </c>
      <c r="M777">
        <v>0.17651069999999999</v>
      </c>
      <c r="N777">
        <v>0.16642899999999999</v>
      </c>
    </row>
    <row r="778" spans="1:14" hidden="1" x14ac:dyDescent="0.35">
      <c r="A778" t="s">
        <v>231</v>
      </c>
      <c r="B778" t="s">
        <v>37</v>
      </c>
      <c r="C778" t="s">
        <v>35</v>
      </c>
      <c r="D778" t="s">
        <v>207</v>
      </c>
      <c r="E778" t="s">
        <v>584</v>
      </c>
      <c r="F778" t="s">
        <v>26</v>
      </c>
      <c r="G778" t="s">
        <v>26</v>
      </c>
      <c r="H778">
        <v>6.0547950000000003E-2</v>
      </c>
      <c r="I778">
        <v>5.9347949999999997E-2</v>
      </c>
      <c r="J778">
        <v>5.8165479999999999E-2</v>
      </c>
      <c r="K778">
        <v>5.6548500000000002E-2</v>
      </c>
      <c r="L778">
        <v>5.4311230000000002E-2</v>
      </c>
      <c r="M778">
        <v>5.0992879999999997E-2</v>
      </c>
      <c r="N778">
        <v>4.8078360000000001E-2</v>
      </c>
    </row>
    <row r="779" spans="1:14" hidden="1" x14ac:dyDescent="0.35">
      <c r="A779" t="s">
        <v>231</v>
      </c>
      <c r="B779" t="s">
        <v>37</v>
      </c>
      <c r="C779" t="s">
        <v>35</v>
      </c>
      <c r="D779" t="s">
        <v>36</v>
      </c>
      <c r="E779" t="s">
        <v>584</v>
      </c>
      <c r="F779" t="s">
        <v>581</v>
      </c>
      <c r="G779" t="s">
        <v>396</v>
      </c>
      <c r="H779">
        <v>3.5112329999999998</v>
      </c>
      <c r="I779">
        <v>2.8945449999999999</v>
      </c>
      <c r="J779">
        <v>2.3826610000000001</v>
      </c>
      <c r="K779">
        <v>1.939255</v>
      </c>
      <c r="L779">
        <v>1.5481780000000001</v>
      </c>
      <c r="M779">
        <v>1.200358</v>
      </c>
      <c r="N779">
        <v>0.92858850000000004</v>
      </c>
    </row>
    <row r="780" spans="1:14" hidden="1" x14ac:dyDescent="0.35">
      <c r="A780" t="s">
        <v>231</v>
      </c>
      <c r="B780" t="s">
        <v>37</v>
      </c>
      <c r="C780" t="s">
        <v>35</v>
      </c>
      <c r="D780" t="s">
        <v>36</v>
      </c>
      <c r="E780" t="s">
        <v>584</v>
      </c>
      <c r="F780" t="s">
        <v>581</v>
      </c>
      <c r="G780" t="s">
        <v>24</v>
      </c>
      <c r="H780">
        <v>0.27178079999999999</v>
      </c>
      <c r="I780">
        <v>0.26186029999999999</v>
      </c>
      <c r="J780">
        <v>0.2522334</v>
      </c>
      <c r="K780">
        <v>0.24093919999999999</v>
      </c>
      <c r="L780">
        <v>0.2272006</v>
      </c>
      <c r="M780">
        <v>0.20930029999999999</v>
      </c>
      <c r="N780">
        <v>0.19350519999999999</v>
      </c>
    </row>
    <row r="781" spans="1:14" hidden="1" x14ac:dyDescent="0.35">
      <c r="A781" t="s">
        <v>231</v>
      </c>
      <c r="B781" t="s">
        <v>37</v>
      </c>
      <c r="C781" t="s">
        <v>35</v>
      </c>
      <c r="D781" t="s">
        <v>36</v>
      </c>
      <c r="E781" t="s">
        <v>584</v>
      </c>
      <c r="F781" t="s">
        <v>581</v>
      </c>
      <c r="G781" t="s">
        <v>25</v>
      </c>
      <c r="H781">
        <v>0.78684659999999995</v>
      </c>
      <c r="I781">
        <v>0.76112599999999997</v>
      </c>
      <c r="J781">
        <v>0.73605750000000003</v>
      </c>
      <c r="K781">
        <v>0.70594849999999998</v>
      </c>
      <c r="L781">
        <v>0.66850790000000004</v>
      </c>
      <c r="M781">
        <v>0.61852280000000004</v>
      </c>
      <c r="N781">
        <v>0.57442959999999998</v>
      </c>
    </row>
    <row r="782" spans="1:14" hidden="1" x14ac:dyDescent="0.35">
      <c r="A782" t="s">
        <v>231</v>
      </c>
      <c r="B782" t="s">
        <v>37</v>
      </c>
      <c r="C782" t="s">
        <v>35</v>
      </c>
      <c r="D782" t="s">
        <v>36</v>
      </c>
      <c r="E782" t="s">
        <v>584</v>
      </c>
      <c r="F782" t="s">
        <v>26</v>
      </c>
      <c r="G782" t="s">
        <v>26</v>
      </c>
      <c r="H782">
        <v>5.0410959999999998E-2</v>
      </c>
      <c r="I782">
        <v>4.9413699999999998E-2</v>
      </c>
      <c r="J782">
        <v>4.8426299999999999E-2</v>
      </c>
      <c r="K782">
        <v>4.7081089999999999E-2</v>
      </c>
      <c r="L782">
        <v>4.5218630000000003E-2</v>
      </c>
      <c r="M782">
        <v>4.2454800000000001E-2</v>
      </c>
      <c r="N782">
        <v>4.0029040000000002E-2</v>
      </c>
    </row>
    <row r="783" spans="1:14" hidden="1" x14ac:dyDescent="0.35">
      <c r="A783" t="s">
        <v>231</v>
      </c>
      <c r="B783" t="s">
        <v>37</v>
      </c>
      <c r="C783" t="s">
        <v>35</v>
      </c>
      <c r="D783" t="s">
        <v>129</v>
      </c>
      <c r="E783" t="s">
        <v>580</v>
      </c>
      <c r="F783" t="s">
        <v>581</v>
      </c>
      <c r="G783" t="s">
        <v>396</v>
      </c>
      <c r="H783">
        <v>0.32657540000000002</v>
      </c>
      <c r="I783">
        <v>0.29895620000000001</v>
      </c>
      <c r="J783">
        <v>0.26070140000000003</v>
      </c>
      <c r="K783">
        <v>0.2409096</v>
      </c>
      <c r="L783">
        <v>0.23540220000000001</v>
      </c>
      <c r="M783">
        <v>0.2019907</v>
      </c>
      <c r="N783">
        <v>0.17172879999999999</v>
      </c>
    </row>
    <row r="784" spans="1:14" hidden="1" x14ac:dyDescent="0.35">
      <c r="A784" t="s">
        <v>231</v>
      </c>
      <c r="B784" t="s">
        <v>37</v>
      </c>
      <c r="C784" t="s">
        <v>35</v>
      </c>
      <c r="D784" t="s">
        <v>129</v>
      </c>
      <c r="E784" t="s">
        <v>580</v>
      </c>
      <c r="F784" t="s">
        <v>581</v>
      </c>
      <c r="G784" t="s">
        <v>25</v>
      </c>
      <c r="H784">
        <v>0.10082190000000001</v>
      </c>
      <c r="I784">
        <v>8.7624649999999998E-2</v>
      </c>
      <c r="J784">
        <v>7.641096E-2</v>
      </c>
      <c r="K784">
        <v>7.0611510000000002E-2</v>
      </c>
      <c r="L784">
        <v>6.8997810000000007E-2</v>
      </c>
      <c r="M784">
        <v>5.9204380000000001E-2</v>
      </c>
      <c r="N784">
        <v>5.0336440000000003E-2</v>
      </c>
    </row>
    <row r="785" spans="1:14" hidden="1" x14ac:dyDescent="0.35">
      <c r="A785" t="s">
        <v>231</v>
      </c>
      <c r="B785" t="s">
        <v>37</v>
      </c>
      <c r="C785" t="s">
        <v>35</v>
      </c>
      <c r="D785" t="s">
        <v>129</v>
      </c>
      <c r="E785" t="s">
        <v>580</v>
      </c>
      <c r="F785" t="s">
        <v>26</v>
      </c>
      <c r="G785" t="s">
        <v>26</v>
      </c>
      <c r="H785">
        <v>0.14904110000000001</v>
      </c>
      <c r="I785">
        <v>0.12886030000000001</v>
      </c>
      <c r="J785">
        <v>0.1123726</v>
      </c>
      <c r="K785">
        <v>0.10384110000000001</v>
      </c>
      <c r="L785">
        <v>0.1014674</v>
      </c>
      <c r="M785">
        <v>8.7065749999999997E-2</v>
      </c>
      <c r="N785">
        <v>7.4022470000000007E-2</v>
      </c>
    </row>
    <row r="786" spans="1:14" hidden="1" x14ac:dyDescent="0.35">
      <c r="A786" t="s">
        <v>231</v>
      </c>
      <c r="B786" t="s">
        <v>37</v>
      </c>
      <c r="C786" t="s">
        <v>70</v>
      </c>
      <c r="D786" t="s">
        <v>70</v>
      </c>
      <c r="E786" t="s">
        <v>652</v>
      </c>
      <c r="F786" t="s">
        <v>581</v>
      </c>
      <c r="G786" t="s">
        <v>25</v>
      </c>
      <c r="H786">
        <v>30.00038</v>
      </c>
      <c r="I786">
        <v>28.908570000000001</v>
      </c>
      <c r="J786">
        <v>24.738939999999999</v>
      </c>
      <c r="K786">
        <v>20.779389999999999</v>
      </c>
      <c r="L786">
        <v>18.053619999999999</v>
      </c>
      <c r="M786">
        <v>15.872590000000001</v>
      </c>
      <c r="N786">
        <v>14.04182</v>
      </c>
    </row>
    <row r="787" spans="1:14" hidden="1" x14ac:dyDescent="0.35">
      <c r="A787" t="s">
        <v>231</v>
      </c>
      <c r="B787" t="s">
        <v>37</v>
      </c>
      <c r="C787" t="s">
        <v>70</v>
      </c>
      <c r="D787" t="s">
        <v>70</v>
      </c>
      <c r="E787" t="s">
        <v>652</v>
      </c>
      <c r="F787" t="s">
        <v>26</v>
      </c>
      <c r="G787" t="s">
        <v>26</v>
      </c>
      <c r="H787">
        <v>57.52214</v>
      </c>
      <c r="I787">
        <v>58.8093</v>
      </c>
      <c r="J787">
        <v>50.383130000000001</v>
      </c>
      <c r="K787">
        <v>42.279809999999998</v>
      </c>
      <c r="L787">
        <v>36.859259999999999</v>
      </c>
      <c r="M787">
        <v>32.429049999999997</v>
      </c>
      <c r="N787">
        <v>28.685749999999999</v>
      </c>
    </row>
    <row r="788" spans="1:14" hidden="1" x14ac:dyDescent="0.35">
      <c r="A788" t="s">
        <v>231</v>
      </c>
      <c r="B788" t="s">
        <v>37</v>
      </c>
      <c r="C788" t="s">
        <v>70</v>
      </c>
      <c r="D788" t="s">
        <v>70</v>
      </c>
      <c r="E788" t="s">
        <v>653</v>
      </c>
      <c r="F788" t="s">
        <v>26</v>
      </c>
      <c r="G788" t="s">
        <v>26</v>
      </c>
      <c r="H788">
        <v>12.228109999999999</v>
      </c>
      <c r="I788">
        <v>11.79823</v>
      </c>
      <c r="J788">
        <v>10.9177</v>
      </c>
      <c r="K788">
        <v>9.5485729999999993</v>
      </c>
      <c r="L788">
        <v>8.446529</v>
      </c>
      <c r="M788">
        <v>7.5238490000000002</v>
      </c>
      <c r="N788">
        <v>6.7078600000000002</v>
      </c>
    </row>
    <row r="789" spans="1:14" hidden="1" x14ac:dyDescent="0.35">
      <c r="A789" t="s">
        <v>231</v>
      </c>
      <c r="B789" t="s">
        <v>37</v>
      </c>
      <c r="C789" t="s">
        <v>105</v>
      </c>
      <c r="D789" t="s">
        <v>105</v>
      </c>
      <c r="E789" t="s">
        <v>632</v>
      </c>
      <c r="F789" t="s">
        <v>581</v>
      </c>
      <c r="G789" t="s">
        <v>24</v>
      </c>
      <c r="H789">
        <v>25.081689999999998</v>
      </c>
      <c r="I789">
        <v>13.67351</v>
      </c>
      <c r="J789">
        <v>10.66037</v>
      </c>
      <c r="K789">
        <v>9.5484489999999997</v>
      </c>
      <c r="L789">
        <v>8.8389500000000005</v>
      </c>
      <c r="M789">
        <v>7.6073009999999996</v>
      </c>
      <c r="N789">
        <v>6.2177889999999998</v>
      </c>
    </row>
    <row r="790" spans="1:14" hidden="1" x14ac:dyDescent="0.35">
      <c r="A790" t="s">
        <v>231</v>
      </c>
      <c r="B790" t="s">
        <v>37</v>
      </c>
      <c r="C790" t="s">
        <v>105</v>
      </c>
      <c r="D790" t="s">
        <v>105</v>
      </c>
      <c r="E790" t="s">
        <v>632</v>
      </c>
      <c r="F790" t="s">
        <v>581</v>
      </c>
      <c r="G790" t="s">
        <v>25</v>
      </c>
      <c r="H790">
        <v>27.79617</v>
      </c>
      <c r="I790">
        <v>19.300719999999998</v>
      </c>
      <c r="J790">
        <v>14.924519999999999</v>
      </c>
      <c r="K790">
        <v>13.36783</v>
      </c>
      <c r="L790">
        <v>12.37454</v>
      </c>
      <c r="M790">
        <v>10.650219999999999</v>
      </c>
      <c r="N790">
        <v>8.7049040000000009</v>
      </c>
    </row>
    <row r="791" spans="1:14" hidden="1" x14ac:dyDescent="0.35">
      <c r="A791" t="s">
        <v>231</v>
      </c>
      <c r="B791" t="s">
        <v>37</v>
      </c>
      <c r="C791" t="s">
        <v>105</v>
      </c>
      <c r="D791" t="s">
        <v>105</v>
      </c>
      <c r="E791" t="s">
        <v>632</v>
      </c>
      <c r="F791" t="s">
        <v>26</v>
      </c>
      <c r="G791" t="s">
        <v>26</v>
      </c>
      <c r="H791">
        <v>35.881639999999997</v>
      </c>
      <c r="I791">
        <v>22.057960000000001</v>
      </c>
      <c r="J791">
        <v>17.0566</v>
      </c>
      <c r="K791">
        <v>15.277520000000001</v>
      </c>
      <c r="L791">
        <v>14.14232</v>
      </c>
      <c r="M791">
        <v>12.17168</v>
      </c>
      <c r="N791">
        <v>9.9484600000000007</v>
      </c>
    </row>
    <row r="792" spans="1:14" hidden="1" x14ac:dyDescent="0.35">
      <c r="A792" t="s">
        <v>231</v>
      </c>
      <c r="B792" t="s">
        <v>37</v>
      </c>
      <c r="C792" t="s">
        <v>105</v>
      </c>
      <c r="D792" t="s">
        <v>105</v>
      </c>
      <c r="E792" t="s">
        <v>633</v>
      </c>
      <c r="F792" t="s">
        <v>581</v>
      </c>
      <c r="G792" t="s">
        <v>24</v>
      </c>
      <c r="H792">
        <v>5.23428</v>
      </c>
      <c r="I792">
        <v>5.0437669999999999</v>
      </c>
      <c r="J792">
        <v>4.3729420000000001</v>
      </c>
      <c r="K792">
        <v>4.079377</v>
      </c>
      <c r="L792">
        <v>3.7761870000000002</v>
      </c>
      <c r="M792">
        <v>3.3220109999999998</v>
      </c>
      <c r="N792">
        <v>2.8824670000000001</v>
      </c>
    </row>
    <row r="793" spans="1:14" hidden="1" x14ac:dyDescent="0.35">
      <c r="A793" t="s">
        <v>231</v>
      </c>
      <c r="B793" t="s">
        <v>37</v>
      </c>
      <c r="C793" t="s">
        <v>105</v>
      </c>
      <c r="D793" t="s">
        <v>105</v>
      </c>
      <c r="E793" t="s">
        <v>633</v>
      </c>
      <c r="F793" t="s">
        <v>581</v>
      </c>
      <c r="G793" t="s">
        <v>25</v>
      </c>
      <c r="H793">
        <v>7.6953430000000003</v>
      </c>
      <c r="I793">
        <v>6.9438259999999996</v>
      </c>
      <c r="J793">
        <v>5.9034769999999996</v>
      </c>
      <c r="K793">
        <v>5.5071560000000002</v>
      </c>
      <c r="L793">
        <v>5.0978490000000001</v>
      </c>
      <c r="M793">
        <v>4.4847149999999996</v>
      </c>
      <c r="N793">
        <v>3.8913329999999999</v>
      </c>
    </row>
    <row r="794" spans="1:14" hidden="1" x14ac:dyDescent="0.35">
      <c r="A794" t="s">
        <v>231</v>
      </c>
      <c r="B794" t="s">
        <v>37</v>
      </c>
      <c r="C794" t="s">
        <v>105</v>
      </c>
      <c r="D794" t="s">
        <v>105</v>
      </c>
      <c r="E794" t="s">
        <v>633</v>
      </c>
      <c r="F794" t="s">
        <v>26</v>
      </c>
      <c r="G794" t="s">
        <v>26</v>
      </c>
      <c r="H794">
        <v>16.534800000000001</v>
      </c>
      <c r="I794">
        <v>13.630470000000001</v>
      </c>
      <c r="J794">
        <v>11.5883</v>
      </c>
      <c r="K794">
        <v>10.81035</v>
      </c>
      <c r="L794">
        <v>10.0069</v>
      </c>
      <c r="M794">
        <v>8.8033330000000003</v>
      </c>
      <c r="N794">
        <v>7.6385379999999996</v>
      </c>
    </row>
    <row r="795" spans="1:14" hidden="1" x14ac:dyDescent="0.35">
      <c r="A795" t="s">
        <v>231</v>
      </c>
      <c r="B795" t="s">
        <v>37</v>
      </c>
      <c r="C795" t="s">
        <v>105</v>
      </c>
      <c r="D795" t="s">
        <v>105</v>
      </c>
      <c r="E795" t="s">
        <v>584</v>
      </c>
      <c r="F795" t="s">
        <v>581</v>
      </c>
      <c r="G795" t="s">
        <v>396</v>
      </c>
      <c r="H795">
        <v>4.3945210000000002E-3</v>
      </c>
      <c r="I795">
        <v>2.9452060000000001E-3</v>
      </c>
      <c r="J795">
        <v>1.9808220000000001E-3</v>
      </c>
      <c r="K795">
        <v>1.328767E-3</v>
      </c>
      <c r="L795">
        <v>8.9041100000000002E-4</v>
      </c>
      <c r="M795">
        <v>0</v>
      </c>
      <c r="N795">
        <v>0</v>
      </c>
    </row>
    <row r="796" spans="1:14" hidden="1" x14ac:dyDescent="0.35">
      <c r="A796" t="s">
        <v>231</v>
      </c>
      <c r="B796" t="s">
        <v>37</v>
      </c>
      <c r="C796" t="s">
        <v>105</v>
      </c>
      <c r="D796" t="s">
        <v>105</v>
      </c>
      <c r="E796" t="s">
        <v>584</v>
      </c>
      <c r="F796" t="s">
        <v>581</v>
      </c>
      <c r="G796" t="s">
        <v>24</v>
      </c>
      <c r="H796">
        <v>0.1534247</v>
      </c>
      <c r="I796">
        <v>0.14032059999999999</v>
      </c>
      <c r="J796">
        <v>0.1282499</v>
      </c>
      <c r="K796">
        <v>0.11613039999999999</v>
      </c>
      <c r="L796">
        <v>0.1035836</v>
      </c>
      <c r="M796">
        <v>1.8485479999999999E-2</v>
      </c>
      <c r="N796">
        <v>1.6275620000000001E-2</v>
      </c>
    </row>
    <row r="797" spans="1:14" hidden="1" x14ac:dyDescent="0.35">
      <c r="A797" t="s">
        <v>231</v>
      </c>
      <c r="B797" t="s">
        <v>37</v>
      </c>
      <c r="C797" t="s">
        <v>79</v>
      </c>
      <c r="D797" t="s">
        <v>79</v>
      </c>
      <c r="E797" t="s">
        <v>600</v>
      </c>
      <c r="F797" t="s">
        <v>581</v>
      </c>
      <c r="G797" t="s">
        <v>396</v>
      </c>
      <c r="H797">
        <v>7.8842470000000002</v>
      </c>
      <c r="I797">
        <v>9.5435859999999995</v>
      </c>
      <c r="J797">
        <v>8.9724160000000008</v>
      </c>
      <c r="K797">
        <v>6.8946699999999996</v>
      </c>
      <c r="L797">
        <v>4.8819530000000002</v>
      </c>
      <c r="M797">
        <v>3.6487270000000001</v>
      </c>
      <c r="N797">
        <v>2.9310109999999998</v>
      </c>
    </row>
    <row r="798" spans="1:14" hidden="1" x14ac:dyDescent="0.35">
      <c r="A798" t="s">
        <v>231</v>
      </c>
      <c r="B798" t="s">
        <v>37</v>
      </c>
      <c r="C798" t="s">
        <v>79</v>
      </c>
      <c r="D798" t="s">
        <v>79</v>
      </c>
      <c r="E798" t="s">
        <v>600</v>
      </c>
      <c r="F798" t="s">
        <v>581</v>
      </c>
      <c r="G798" t="s">
        <v>24</v>
      </c>
      <c r="H798">
        <v>15.646000000000001</v>
      </c>
      <c r="I798">
        <v>16.166229999999999</v>
      </c>
      <c r="J798">
        <v>15.11144</v>
      </c>
      <c r="K798">
        <v>11.612080000000001</v>
      </c>
      <c r="L798">
        <v>8.2222329999999992</v>
      </c>
      <c r="M798">
        <v>6.1452229999999997</v>
      </c>
      <c r="N798">
        <v>4.9364379999999999</v>
      </c>
    </row>
    <row r="799" spans="1:14" hidden="1" x14ac:dyDescent="0.35">
      <c r="A799" t="s">
        <v>231</v>
      </c>
      <c r="B799" t="s">
        <v>37</v>
      </c>
      <c r="C799" t="s">
        <v>79</v>
      </c>
      <c r="D799" t="s">
        <v>79</v>
      </c>
      <c r="E799" t="s">
        <v>600</v>
      </c>
      <c r="F799" t="s">
        <v>581</v>
      </c>
      <c r="G799" t="s">
        <v>25</v>
      </c>
      <c r="H799">
        <v>10.999309999999999</v>
      </c>
      <c r="I799">
        <v>11.54349</v>
      </c>
      <c r="J799">
        <v>10.86135</v>
      </c>
      <c r="K799">
        <v>8.3461770000000008</v>
      </c>
      <c r="L799">
        <v>5.9097309999999998</v>
      </c>
      <c r="M799">
        <v>4.4168799999999999</v>
      </c>
      <c r="N799">
        <v>3.548063</v>
      </c>
    </row>
    <row r="800" spans="1:14" hidden="1" x14ac:dyDescent="0.35">
      <c r="A800" t="s">
        <v>231</v>
      </c>
      <c r="B800" t="s">
        <v>37</v>
      </c>
      <c r="C800" t="s">
        <v>79</v>
      </c>
      <c r="D800" t="s">
        <v>79</v>
      </c>
      <c r="E800" t="s">
        <v>600</v>
      </c>
      <c r="F800" t="s">
        <v>26</v>
      </c>
      <c r="G800" t="s">
        <v>26</v>
      </c>
      <c r="H800">
        <v>13.12397</v>
      </c>
      <c r="I800">
        <v>13.049160000000001</v>
      </c>
      <c r="J800">
        <v>12.27805</v>
      </c>
      <c r="K800">
        <v>9.4348150000000004</v>
      </c>
      <c r="L800">
        <v>6.6805659999999998</v>
      </c>
      <c r="M800">
        <v>4.9929940000000004</v>
      </c>
      <c r="N800">
        <v>4.0108550000000003</v>
      </c>
    </row>
    <row r="801" spans="1:14" hidden="1" x14ac:dyDescent="0.35">
      <c r="A801" t="s">
        <v>231</v>
      </c>
      <c r="B801" t="s">
        <v>37</v>
      </c>
      <c r="C801" t="s">
        <v>115</v>
      </c>
      <c r="D801" t="s">
        <v>115</v>
      </c>
      <c r="E801" t="s">
        <v>597</v>
      </c>
      <c r="F801" t="s">
        <v>581</v>
      </c>
      <c r="G801" t="s">
        <v>396</v>
      </c>
      <c r="H801">
        <v>13.293150000000001</v>
      </c>
      <c r="I801">
        <v>14.29851</v>
      </c>
      <c r="J801">
        <v>12.728070000000001</v>
      </c>
      <c r="K801">
        <v>10.44894</v>
      </c>
      <c r="L801">
        <v>8.7376229999999993</v>
      </c>
      <c r="M801">
        <v>6.9867710000000001</v>
      </c>
      <c r="N801">
        <v>5.6751690000000004</v>
      </c>
    </row>
    <row r="802" spans="1:14" hidden="1" x14ac:dyDescent="0.35">
      <c r="A802" t="s">
        <v>231</v>
      </c>
      <c r="B802" t="s">
        <v>37</v>
      </c>
      <c r="C802" t="s">
        <v>115</v>
      </c>
      <c r="D802" t="s">
        <v>115</v>
      </c>
      <c r="E802" t="s">
        <v>597</v>
      </c>
      <c r="F802" t="s">
        <v>581</v>
      </c>
      <c r="G802" t="s">
        <v>25</v>
      </c>
      <c r="H802">
        <v>1.5463009999999999</v>
      </c>
      <c r="I802">
        <v>1.6421870000000001</v>
      </c>
      <c r="J802">
        <v>1.4620089999999999</v>
      </c>
      <c r="K802">
        <v>1.2002139999999999</v>
      </c>
      <c r="L802">
        <v>1.0036499999999999</v>
      </c>
      <c r="M802">
        <v>0.8025293</v>
      </c>
      <c r="N802">
        <v>0.65188380000000001</v>
      </c>
    </row>
    <row r="803" spans="1:14" hidden="1" x14ac:dyDescent="0.35">
      <c r="A803" t="s">
        <v>231</v>
      </c>
      <c r="B803" t="s">
        <v>37</v>
      </c>
      <c r="C803" t="s">
        <v>115</v>
      </c>
      <c r="D803" t="s">
        <v>115</v>
      </c>
      <c r="E803" t="s">
        <v>597</v>
      </c>
      <c r="F803" t="s">
        <v>26</v>
      </c>
      <c r="G803" t="s">
        <v>26</v>
      </c>
      <c r="H803">
        <v>3.518767</v>
      </c>
      <c r="I803">
        <v>3.694925</v>
      </c>
      <c r="J803">
        <v>3.2895249999999998</v>
      </c>
      <c r="K803">
        <v>2.7004830000000002</v>
      </c>
      <c r="L803">
        <v>2.2582010000000001</v>
      </c>
      <c r="M803">
        <v>1.8057019999999999</v>
      </c>
      <c r="N803">
        <v>1.466723</v>
      </c>
    </row>
    <row r="804" spans="1:14" hidden="1" x14ac:dyDescent="0.35">
      <c r="A804" t="s">
        <v>231</v>
      </c>
      <c r="B804" t="s">
        <v>37</v>
      </c>
      <c r="C804" t="s">
        <v>115</v>
      </c>
      <c r="D804" t="s">
        <v>115</v>
      </c>
      <c r="E804" t="s">
        <v>596</v>
      </c>
      <c r="F804" t="s">
        <v>581</v>
      </c>
      <c r="G804" t="s">
        <v>396</v>
      </c>
      <c r="H804">
        <v>3.7084929999999998</v>
      </c>
      <c r="I804">
        <v>4.1491579999999999</v>
      </c>
      <c r="J804">
        <v>3.5169579999999998</v>
      </c>
      <c r="K804">
        <v>2.7486410000000001</v>
      </c>
      <c r="L804">
        <v>2.162534</v>
      </c>
      <c r="M804">
        <v>1.651111</v>
      </c>
      <c r="N804">
        <v>1.3488830000000001</v>
      </c>
    </row>
    <row r="805" spans="1:14" hidden="1" x14ac:dyDescent="0.35">
      <c r="A805" t="s">
        <v>231</v>
      </c>
      <c r="B805" t="s">
        <v>37</v>
      </c>
      <c r="C805" t="s">
        <v>115</v>
      </c>
      <c r="D805" t="s">
        <v>115</v>
      </c>
      <c r="E805" t="s">
        <v>596</v>
      </c>
      <c r="F805" t="s">
        <v>581</v>
      </c>
      <c r="G805" t="s">
        <v>25</v>
      </c>
      <c r="H805">
        <v>0.45411230000000002</v>
      </c>
      <c r="I805">
        <v>0.55106089999999996</v>
      </c>
      <c r="J805">
        <v>0.46709699999999998</v>
      </c>
      <c r="K805">
        <v>0.3650526</v>
      </c>
      <c r="L805">
        <v>0.28721210000000003</v>
      </c>
      <c r="M805">
        <v>0.21928990000000001</v>
      </c>
      <c r="N805">
        <v>0.1791452</v>
      </c>
    </row>
    <row r="806" spans="1:14" hidden="1" x14ac:dyDescent="0.35">
      <c r="A806" t="s">
        <v>231</v>
      </c>
      <c r="B806" t="s">
        <v>37</v>
      </c>
      <c r="C806" t="s">
        <v>115</v>
      </c>
      <c r="D806" t="s">
        <v>115</v>
      </c>
      <c r="E806" t="s">
        <v>596</v>
      </c>
      <c r="F806" t="s">
        <v>26</v>
      </c>
      <c r="G806" t="s">
        <v>26</v>
      </c>
      <c r="H806">
        <v>0.47972599999999999</v>
      </c>
      <c r="I806">
        <v>0.55106310000000003</v>
      </c>
      <c r="J806">
        <v>0.46709699999999998</v>
      </c>
      <c r="K806">
        <v>0.36505539999999997</v>
      </c>
      <c r="L806">
        <v>0.28721150000000001</v>
      </c>
      <c r="M806">
        <v>0.21928710000000001</v>
      </c>
      <c r="N806">
        <v>0.17914569999999999</v>
      </c>
    </row>
    <row r="807" spans="1:14" hidden="1" x14ac:dyDescent="0.35">
      <c r="A807" t="s">
        <v>231</v>
      </c>
      <c r="B807" t="s">
        <v>37</v>
      </c>
      <c r="C807" t="s">
        <v>115</v>
      </c>
      <c r="D807" t="s">
        <v>115</v>
      </c>
      <c r="E807" t="s">
        <v>584</v>
      </c>
      <c r="F807" t="s">
        <v>581</v>
      </c>
      <c r="G807" t="s">
        <v>396</v>
      </c>
      <c r="H807">
        <v>2.6315069999999999E-2</v>
      </c>
      <c r="I807">
        <v>2.5794520000000001E-2</v>
      </c>
      <c r="J807">
        <v>2.528E-2</v>
      </c>
      <c r="K807">
        <v>2.457589E-2</v>
      </c>
      <c r="L807">
        <v>2.3604380000000001E-2</v>
      </c>
      <c r="M807">
        <v>2.2162189999999998E-2</v>
      </c>
      <c r="N807">
        <v>2.0895339999999998E-2</v>
      </c>
    </row>
    <row r="808" spans="1:14" hidden="1" x14ac:dyDescent="0.35">
      <c r="A808" t="s">
        <v>231</v>
      </c>
      <c r="B808" t="s">
        <v>37</v>
      </c>
      <c r="C808" t="s">
        <v>115</v>
      </c>
      <c r="D808" t="s">
        <v>115</v>
      </c>
      <c r="E808" t="s">
        <v>584</v>
      </c>
      <c r="F808" t="s">
        <v>581</v>
      </c>
      <c r="G808" t="s">
        <v>24</v>
      </c>
      <c r="H808">
        <v>4.9906850000000003E-2</v>
      </c>
      <c r="I808">
        <v>3.3454789999999998E-2</v>
      </c>
      <c r="J808">
        <v>2.2424659999999999E-2</v>
      </c>
      <c r="K808">
        <v>1.503288E-2</v>
      </c>
      <c r="L808">
        <v>1.0076709999999999E-2</v>
      </c>
      <c r="M808">
        <v>6.7534250000000004E-3</v>
      </c>
      <c r="N808">
        <v>4.5452050000000001E-3</v>
      </c>
    </row>
    <row r="809" spans="1:14" hidden="1" x14ac:dyDescent="0.35">
      <c r="A809" t="s">
        <v>231</v>
      </c>
      <c r="B809" t="s">
        <v>37</v>
      </c>
      <c r="C809" t="s">
        <v>115</v>
      </c>
      <c r="D809" t="s">
        <v>115</v>
      </c>
      <c r="E809" t="s">
        <v>584</v>
      </c>
      <c r="F809" t="s">
        <v>581</v>
      </c>
      <c r="G809" t="s">
        <v>25</v>
      </c>
      <c r="H809">
        <v>2.3479450000000002E-3</v>
      </c>
      <c r="I809">
        <v>2.2876709999999998E-3</v>
      </c>
      <c r="J809">
        <v>2.2443839999999999E-3</v>
      </c>
      <c r="K809">
        <v>2.1813700000000002E-3</v>
      </c>
      <c r="L809">
        <v>2.0969859999999999E-3</v>
      </c>
      <c r="M809">
        <v>1.9687670000000002E-3</v>
      </c>
      <c r="N809">
        <v>1.8542470000000001E-3</v>
      </c>
    </row>
    <row r="810" spans="1:14" hidden="1" x14ac:dyDescent="0.35">
      <c r="A810" t="s">
        <v>231</v>
      </c>
      <c r="B810" t="s">
        <v>37</v>
      </c>
      <c r="C810" t="s">
        <v>115</v>
      </c>
      <c r="D810" t="s">
        <v>115</v>
      </c>
      <c r="E810" t="s">
        <v>584</v>
      </c>
      <c r="F810" t="s">
        <v>26</v>
      </c>
      <c r="G810" t="s">
        <v>26</v>
      </c>
      <c r="H810">
        <v>4.6575339999999996E-3</v>
      </c>
      <c r="I810">
        <v>4.6520550000000004E-3</v>
      </c>
      <c r="J810">
        <v>4.6712330000000003E-3</v>
      </c>
      <c r="K810">
        <v>4.6712330000000003E-3</v>
      </c>
      <c r="L810">
        <v>4.6712330000000003E-3</v>
      </c>
      <c r="M810">
        <v>4.6712330000000003E-3</v>
      </c>
      <c r="N810">
        <v>4.6712330000000003E-3</v>
      </c>
    </row>
    <row r="811" spans="1:14" hidden="1" x14ac:dyDescent="0.35">
      <c r="A811" t="s">
        <v>231</v>
      </c>
      <c r="B811" t="s">
        <v>37</v>
      </c>
      <c r="C811" t="s">
        <v>205</v>
      </c>
      <c r="D811" t="s">
        <v>205</v>
      </c>
      <c r="E811" t="s">
        <v>654</v>
      </c>
      <c r="F811" t="s">
        <v>26</v>
      </c>
      <c r="G811" t="s">
        <v>26</v>
      </c>
      <c r="H811">
        <v>6.9863010000000003E-3</v>
      </c>
      <c r="I811">
        <v>1.323666</v>
      </c>
      <c r="J811">
        <v>1.7854030000000001</v>
      </c>
      <c r="K811">
        <v>1.7493719999999999</v>
      </c>
      <c r="L811">
        <v>1.5615110000000001</v>
      </c>
      <c r="M811">
        <v>1.3935660000000001</v>
      </c>
      <c r="N811">
        <v>1.244901</v>
      </c>
    </row>
    <row r="812" spans="1:14" hidden="1" x14ac:dyDescent="0.35">
      <c r="A812" t="s">
        <v>231</v>
      </c>
      <c r="B812" t="s">
        <v>37</v>
      </c>
      <c r="C812" t="s">
        <v>63</v>
      </c>
      <c r="D812" t="s">
        <v>63</v>
      </c>
      <c r="E812" t="s">
        <v>655</v>
      </c>
      <c r="F812" t="s">
        <v>581</v>
      </c>
      <c r="G812" t="s">
        <v>396</v>
      </c>
      <c r="H812">
        <v>9.5890420000000007E-3</v>
      </c>
      <c r="I812">
        <v>4.3945210000000002E-3</v>
      </c>
      <c r="J812">
        <v>1.9980270000000001E-2</v>
      </c>
      <c r="K812">
        <v>4.2526029999999999E-2</v>
      </c>
      <c r="L812">
        <v>6.133918E-2</v>
      </c>
      <c r="M812">
        <v>5.2838360000000001E-2</v>
      </c>
      <c r="N812">
        <v>3.8101379999999997E-2</v>
      </c>
    </row>
    <row r="813" spans="1:14" hidden="1" x14ac:dyDescent="0.35">
      <c r="A813" t="s">
        <v>231</v>
      </c>
      <c r="B813" t="s">
        <v>37</v>
      </c>
      <c r="C813" t="s">
        <v>63</v>
      </c>
      <c r="D813" t="s">
        <v>63</v>
      </c>
      <c r="E813" t="s">
        <v>655</v>
      </c>
      <c r="F813" t="s">
        <v>581</v>
      </c>
      <c r="G813" t="s">
        <v>25</v>
      </c>
      <c r="H813">
        <v>0</v>
      </c>
      <c r="I813">
        <v>2.7671230000000002E-4</v>
      </c>
      <c r="J813">
        <v>1.2498629999999999E-3</v>
      </c>
      <c r="K813">
        <v>2.6547939999999998E-3</v>
      </c>
      <c r="L813">
        <v>3.8350680000000001E-3</v>
      </c>
      <c r="M813">
        <v>3.3041099999999999E-3</v>
      </c>
      <c r="N813">
        <v>2.3824660000000002E-3</v>
      </c>
    </row>
    <row r="814" spans="1:14" hidden="1" x14ac:dyDescent="0.35">
      <c r="A814" t="s">
        <v>231</v>
      </c>
      <c r="B814" t="s">
        <v>37</v>
      </c>
      <c r="C814" t="s">
        <v>63</v>
      </c>
      <c r="D814" t="s">
        <v>63</v>
      </c>
      <c r="E814" t="s">
        <v>655</v>
      </c>
      <c r="F814" t="s">
        <v>26</v>
      </c>
      <c r="G814" t="s">
        <v>26</v>
      </c>
      <c r="H814">
        <v>0</v>
      </c>
      <c r="I814">
        <v>8.2465740000000004E-4</v>
      </c>
      <c r="J814">
        <v>3.7457530000000001E-3</v>
      </c>
      <c r="K814">
        <v>7.9736990000000008E-3</v>
      </c>
      <c r="L814">
        <v>1.1501920000000001E-2</v>
      </c>
      <c r="M814">
        <v>9.9057539999999993E-3</v>
      </c>
      <c r="N814">
        <v>7.143562E-3</v>
      </c>
    </row>
    <row r="815" spans="1:14" hidden="1" x14ac:dyDescent="0.35">
      <c r="A815" t="s">
        <v>231</v>
      </c>
      <c r="B815" t="s">
        <v>34</v>
      </c>
      <c r="C815" t="s">
        <v>33</v>
      </c>
      <c r="D815" t="s">
        <v>33</v>
      </c>
      <c r="E815" t="s">
        <v>622</v>
      </c>
      <c r="F815" t="s">
        <v>26</v>
      </c>
      <c r="G815" t="s">
        <v>26</v>
      </c>
      <c r="H815">
        <v>4.657534E-2</v>
      </c>
      <c r="I815">
        <v>0.5855726</v>
      </c>
      <c r="J815">
        <v>0.52549049999999997</v>
      </c>
      <c r="K815">
        <v>0.47293420000000003</v>
      </c>
      <c r="L815">
        <v>0.42563289999999998</v>
      </c>
      <c r="M815">
        <v>0.38406030000000002</v>
      </c>
      <c r="N815">
        <v>0.34465210000000002</v>
      </c>
    </row>
    <row r="816" spans="1:14" hidden="1" x14ac:dyDescent="0.35">
      <c r="A816" t="s">
        <v>226</v>
      </c>
      <c r="B816" t="s">
        <v>37</v>
      </c>
      <c r="C816" t="s">
        <v>51</v>
      </c>
      <c r="D816" t="s">
        <v>51</v>
      </c>
      <c r="E816" t="s">
        <v>602</v>
      </c>
      <c r="F816" t="s">
        <v>581</v>
      </c>
      <c r="G816" t="s">
        <v>396</v>
      </c>
      <c r="H816">
        <v>86.251720000000006</v>
      </c>
      <c r="I816">
        <v>92.795439999999999</v>
      </c>
      <c r="J816">
        <v>74.723079999999996</v>
      </c>
      <c r="K816">
        <v>55.117280000000001</v>
      </c>
      <c r="L816">
        <v>48.16948</v>
      </c>
      <c r="M816">
        <v>44.699159999999999</v>
      </c>
      <c r="N816">
        <v>40.050530000000002</v>
      </c>
    </row>
    <row r="817" spans="1:14" hidden="1" x14ac:dyDescent="0.35">
      <c r="A817" t="s">
        <v>226</v>
      </c>
      <c r="B817" t="s">
        <v>37</v>
      </c>
      <c r="C817" t="s">
        <v>51</v>
      </c>
      <c r="D817" t="s">
        <v>51</v>
      </c>
      <c r="E817" t="s">
        <v>602</v>
      </c>
      <c r="F817" t="s">
        <v>581</v>
      </c>
      <c r="G817" t="s">
        <v>25</v>
      </c>
      <c r="H817">
        <v>9.0006900000000005</v>
      </c>
      <c r="I817">
        <v>8.9005690000000008</v>
      </c>
      <c r="J817">
        <v>7.1806609999999997</v>
      </c>
      <c r="K817">
        <v>5.2696519999999998</v>
      </c>
      <c r="L817">
        <v>4.6103730000000001</v>
      </c>
      <c r="M817">
        <v>4.29718</v>
      </c>
      <c r="N817">
        <v>3.842835</v>
      </c>
    </row>
    <row r="818" spans="1:14" hidden="1" x14ac:dyDescent="0.35">
      <c r="A818" t="s">
        <v>226</v>
      </c>
      <c r="B818" t="s">
        <v>37</v>
      </c>
      <c r="C818" t="s">
        <v>51</v>
      </c>
      <c r="D818" t="s">
        <v>51</v>
      </c>
      <c r="E818" t="s">
        <v>602</v>
      </c>
      <c r="F818" t="s">
        <v>26</v>
      </c>
      <c r="G818" t="s">
        <v>26</v>
      </c>
      <c r="H818">
        <v>7.6267129999999996</v>
      </c>
      <c r="I818">
        <v>8.0748529999999992</v>
      </c>
      <c r="J818">
        <v>6.505001</v>
      </c>
      <c r="K818">
        <v>4.7945869999999999</v>
      </c>
      <c r="L818">
        <v>4.1905219999999996</v>
      </c>
      <c r="M818">
        <v>3.8904459999999998</v>
      </c>
      <c r="N818">
        <v>3.48543</v>
      </c>
    </row>
    <row r="819" spans="1:14" hidden="1" x14ac:dyDescent="0.35">
      <c r="A819" t="s">
        <v>226</v>
      </c>
      <c r="B819" t="s">
        <v>37</v>
      </c>
      <c r="C819" t="s">
        <v>79</v>
      </c>
      <c r="D819" t="s">
        <v>79</v>
      </c>
      <c r="E819" t="s">
        <v>614</v>
      </c>
      <c r="F819" t="s">
        <v>581</v>
      </c>
      <c r="G819" t="s">
        <v>396</v>
      </c>
      <c r="H819">
        <v>34.163020000000003</v>
      </c>
      <c r="I819">
        <v>37.551279999999998</v>
      </c>
      <c r="J819">
        <v>30.99297</v>
      </c>
      <c r="K819">
        <v>22.406369999999999</v>
      </c>
      <c r="L819">
        <v>17.882079999999998</v>
      </c>
      <c r="M819">
        <v>13.74855</v>
      </c>
      <c r="N819">
        <v>11.105169999999999</v>
      </c>
    </row>
    <row r="820" spans="1:14" hidden="1" x14ac:dyDescent="0.35">
      <c r="A820" t="s">
        <v>226</v>
      </c>
      <c r="B820" t="s">
        <v>37</v>
      </c>
      <c r="C820" t="s">
        <v>79</v>
      </c>
      <c r="D820" t="s">
        <v>79</v>
      </c>
      <c r="E820" t="s">
        <v>614</v>
      </c>
      <c r="F820" t="s">
        <v>581</v>
      </c>
      <c r="G820" t="s">
        <v>25</v>
      </c>
      <c r="H820">
        <v>8.0239729999999998</v>
      </c>
      <c r="I820">
        <v>8.8352280000000007</v>
      </c>
      <c r="J820">
        <v>7.2924639999999998</v>
      </c>
      <c r="K820">
        <v>5.2720849999999997</v>
      </c>
      <c r="L820">
        <v>4.2075459999999998</v>
      </c>
      <c r="M820">
        <v>3.234953</v>
      </c>
      <c r="N820">
        <v>2.612984</v>
      </c>
    </row>
    <row r="821" spans="1:14" hidden="1" x14ac:dyDescent="0.35">
      <c r="A821" t="s">
        <v>226</v>
      </c>
      <c r="B821" t="s">
        <v>37</v>
      </c>
      <c r="C821" t="s">
        <v>79</v>
      </c>
      <c r="D821" t="s">
        <v>79</v>
      </c>
      <c r="E821" t="s">
        <v>614</v>
      </c>
      <c r="F821" t="s">
        <v>26</v>
      </c>
      <c r="G821" t="s">
        <v>26</v>
      </c>
      <c r="H821">
        <v>7.3273970000000004</v>
      </c>
      <c r="I821">
        <v>8.8352260000000005</v>
      </c>
      <c r="J821">
        <v>7.292465</v>
      </c>
      <c r="K821">
        <v>5.2720859999999998</v>
      </c>
      <c r="L821">
        <v>4.2075500000000003</v>
      </c>
      <c r="M821">
        <v>3.2349510000000001</v>
      </c>
      <c r="N821">
        <v>2.612981</v>
      </c>
    </row>
    <row r="822" spans="1:14" hidden="1" x14ac:dyDescent="0.35">
      <c r="A822" t="s">
        <v>226</v>
      </c>
      <c r="B822" t="s">
        <v>37</v>
      </c>
      <c r="C822" t="s">
        <v>79</v>
      </c>
      <c r="D822" t="s">
        <v>79</v>
      </c>
      <c r="E822" t="s">
        <v>600</v>
      </c>
      <c r="F822" t="s">
        <v>581</v>
      </c>
      <c r="G822" t="s">
        <v>396</v>
      </c>
      <c r="H822">
        <v>5.2890420000000002</v>
      </c>
      <c r="I822">
        <v>3.8599399999999999</v>
      </c>
      <c r="J822">
        <v>3.244542</v>
      </c>
      <c r="K822">
        <v>3.1202030000000001</v>
      </c>
      <c r="L822">
        <v>2.8767309999999999</v>
      </c>
      <c r="M822">
        <v>2.4001489999999999</v>
      </c>
      <c r="N822">
        <v>2.0231319999999999</v>
      </c>
    </row>
    <row r="823" spans="1:14" hidden="1" x14ac:dyDescent="0.35">
      <c r="A823" t="s">
        <v>226</v>
      </c>
      <c r="B823" t="s">
        <v>37</v>
      </c>
      <c r="C823" t="s">
        <v>79</v>
      </c>
      <c r="D823" t="s">
        <v>79</v>
      </c>
      <c r="E823" t="s">
        <v>600</v>
      </c>
      <c r="F823" t="s">
        <v>581</v>
      </c>
      <c r="G823" t="s">
        <v>24</v>
      </c>
      <c r="H823">
        <v>16.499890000000001</v>
      </c>
      <c r="I823">
        <v>15.329599999999999</v>
      </c>
      <c r="J823">
        <v>13.24593</v>
      </c>
      <c r="K823">
        <v>9.2245600000000003</v>
      </c>
      <c r="L823">
        <v>7.1377220000000001</v>
      </c>
      <c r="M823">
        <v>5.2589940000000004</v>
      </c>
      <c r="N823">
        <v>4.2132610000000001</v>
      </c>
    </row>
    <row r="824" spans="1:14" hidden="1" x14ac:dyDescent="0.35">
      <c r="A824" t="s">
        <v>226</v>
      </c>
      <c r="B824" t="s">
        <v>37</v>
      </c>
      <c r="C824" t="s">
        <v>79</v>
      </c>
      <c r="D824" t="s">
        <v>79</v>
      </c>
      <c r="E824" t="s">
        <v>600</v>
      </c>
      <c r="F824" t="s">
        <v>581</v>
      </c>
      <c r="G824" t="s">
        <v>25</v>
      </c>
      <c r="H824">
        <v>10.680820000000001</v>
      </c>
      <c r="I824">
        <v>9.7515800000000006</v>
      </c>
      <c r="J824">
        <v>8.4231780000000001</v>
      </c>
      <c r="K824">
        <v>6.2703100000000003</v>
      </c>
      <c r="L824">
        <v>5.0690270000000002</v>
      </c>
      <c r="M824">
        <v>3.8666269999999998</v>
      </c>
      <c r="N824">
        <v>3.1448589999999998</v>
      </c>
    </row>
    <row r="825" spans="1:14" hidden="1" x14ac:dyDescent="0.35">
      <c r="A825" t="s">
        <v>226</v>
      </c>
      <c r="B825" t="s">
        <v>37</v>
      </c>
      <c r="C825" t="s">
        <v>79</v>
      </c>
      <c r="D825" t="s">
        <v>79</v>
      </c>
      <c r="E825" t="s">
        <v>600</v>
      </c>
      <c r="F825" t="s">
        <v>26</v>
      </c>
      <c r="G825" t="s">
        <v>26</v>
      </c>
      <c r="H825">
        <v>10.543150000000001</v>
      </c>
      <c r="I825">
        <v>10.539440000000001</v>
      </c>
      <c r="J825">
        <v>9.1035249999999994</v>
      </c>
      <c r="K825">
        <v>6.7781669999999998</v>
      </c>
      <c r="L825">
        <v>5.4803050000000004</v>
      </c>
      <c r="M825">
        <v>4.1807559999999997</v>
      </c>
      <c r="N825">
        <v>3.40049</v>
      </c>
    </row>
    <row r="826" spans="1:14" hidden="1" x14ac:dyDescent="0.35">
      <c r="A826" t="s">
        <v>226</v>
      </c>
      <c r="B826" t="s">
        <v>37</v>
      </c>
      <c r="C826" t="s">
        <v>79</v>
      </c>
      <c r="D826" t="s">
        <v>79</v>
      </c>
      <c r="E826" t="s">
        <v>601</v>
      </c>
      <c r="F826" t="s">
        <v>581</v>
      </c>
      <c r="G826" t="s">
        <v>396</v>
      </c>
      <c r="J826">
        <v>0</v>
      </c>
      <c r="K826">
        <v>7.8301919999999997E-2</v>
      </c>
      <c r="L826">
        <v>0.1822252</v>
      </c>
      <c r="M826">
        <v>0.1142603</v>
      </c>
      <c r="N826">
        <v>7.1481639999999999E-2</v>
      </c>
    </row>
    <row r="827" spans="1:14" hidden="1" x14ac:dyDescent="0.35">
      <c r="A827" t="s">
        <v>226</v>
      </c>
      <c r="B827" t="s">
        <v>37</v>
      </c>
      <c r="C827" t="s">
        <v>79</v>
      </c>
      <c r="D827" t="s">
        <v>79</v>
      </c>
      <c r="E827" t="s">
        <v>601</v>
      </c>
      <c r="F827" t="s">
        <v>581</v>
      </c>
      <c r="G827" t="s">
        <v>24</v>
      </c>
      <c r="H827">
        <v>7.0750690000000001</v>
      </c>
      <c r="I827">
        <v>5.7831029999999997</v>
      </c>
      <c r="J827">
        <v>5.3339299999999996</v>
      </c>
      <c r="K827">
        <v>4.9373839999999998</v>
      </c>
      <c r="L827">
        <v>3.7854670000000001</v>
      </c>
      <c r="M827">
        <v>2.988451</v>
      </c>
      <c r="N827">
        <v>2.4688650000000001</v>
      </c>
    </row>
    <row r="828" spans="1:14" hidden="1" x14ac:dyDescent="0.35">
      <c r="A828" t="s">
        <v>226</v>
      </c>
      <c r="B828" t="s">
        <v>37</v>
      </c>
      <c r="C828" t="s">
        <v>79</v>
      </c>
      <c r="D828" t="s">
        <v>79</v>
      </c>
      <c r="E828" t="s">
        <v>601</v>
      </c>
      <c r="F828" t="s">
        <v>581</v>
      </c>
      <c r="G828" t="s">
        <v>25</v>
      </c>
      <c r="H828">
        <v>3.2858930000000002</v>
      </c>
      <c r="I828">
        <v>2.7035979999999999</v>
      </c>
      <c r="J828">
        <v>2.4936099999999999</v>
      </c>
      <c r="K828">
        <v>2.3186290000000001</v>
      </c>
      <c r="L828">
        <v>1.7939130000000001</v>
      </c>
      <c r="M828">
        <v>1.412274</v>
      </c>
      <c r="N828">
        <v>1.1636869999999999</v>
      </c>
    </row>
    <row r="829" spans="1:14" hidden="1" x14ac:dyDescent="0.35">
      <c r="A829" t="s">
        <v>226</v>
      </c>
      <c r="B829" t="s">
        <v>37</v>
      </c>
      <c r="C829" t="s">
        <v>79</v>
      </c>
      <c r="D829" t="s">
        <v>79</v>
      </c>
      <c r="E829" t="s">
        <v>601</v>
      </c>
      <c r="F829" t="s">
        <v>26</v>
      </c>
      <c r="G829" t="s">
        <v>26</v>
      </c>
      <c r="H829">
        <v>3.819178</v>
      </c>
      <c r="I829">
        <v>3.4409480000000001</v>
      </c>
      <c r="J829">
        <v>3.1736879999999998</v>
      </c>
      <c r="K829">
        <v>2.948143</v>
      </c>
      <c r="L829">
        <v>2.2765550000000001</v>
      </c>
      <c r="M829">
        <v>1.7933060000000001</v>
      </c>
      <c r="N829">
        <v>1.4784660000000001</v>
      </c>
    </row>
    <row r="830" spans="1:14" hidden="1" x14ac:dyDescent="0.35">
      <c r="A830" t="s">
        <v>226</v>
      </c>
      <c r="B830" t="s">
        <v>37</v>
      </c>
      <c r="C830" t="s">
        <v>79</v>
      </c>
      <c r="D830" t="s">
        <v>79</v>
      </c>
      <c r="E830" t="s">
        <v>615</v>
      </c>
      <c r="F830" t="s">
        <v>581</v>
      </c>
      <c r="G830" t="s">
        <v>396</v>
      </c>
      <c r="H830">
        <v>0.26712330000000001</v>
      </c>
      <c r="I830">
        <v>0.4652328</v>
      </c>
      <c r="J830">
        <v>0.29264390000000001</v>
      </c>
      <c r="K830">
        <v>0.24713589999999999</v>
      </c>
      <c r="L830">
        <v>0.2320477</v>
      </c>
      <c r="M830">
        <v>0.18697430000000001</v>
      </c>
      <c r="N830">
        <v>0.14981430000000001</v>
      </c>
    </row>
    <row r="831" spans="1:14" hidden="1" x14ac:dyDescent="0.35">
      <c r="A831" t="s">
        <v>226</v>
      </c>
      <c r="B831" t="s">
        <v>37</v>
      </c>
      <c r="C831" t="s">
        <v>79</v>
      </c>
      <c r="D831" t="s">
        <v>79</v>
      </c>
      <c r="E831" t="s">
        <v>615</v>
      </c>
      <c r="F831" t="s">
        <v>581</v>
      </c>
      <c r="G831" t="s">
        <v>25</v>
      </c>
      <c r="H831">
        <v>8.2191780000000006E-3</v>
      </c>
      <c r="I831">
        <v>1.5506850000000001E-2</v>
      </c>
      <c r="J831">
        <v>9.7534249999999996E-3</v>
      </c>
      <c r="K831">
        <v>8.2416450000000006E-3</v>
      </c>
      <c r="L831">
        <v>7.7326019999999999E-3</v>
      </c>
      <c r="M831">
        <v>6.2328770000000004E-3</v>
      </c>
      <c r="N831">
        <v>4.9939729999999996E-3</v>
      </c>
    </row>
    <row r="832" spans="1:14" hidden="1" x14ac:dyDescent="0.35">
      <c r="A832" t="s">
        <v>226</v>
      </c>
      <c r="B832" t="s">
        <v>37</v>
      </c>
      <c r="C832" t="s">
        <v>79</v>
      </c>
      <c r="D832" t="s">
        <v>79</v>
      </c>
      <c r="E832" t="s">
        <v>615</v>
      </c>
      <c r="F832" t="s">
        <v>26</v>
      </c>
      <c r="G832" t="s">
        <v>26</v>
      </c>
      <c r="H832">
        <v>1.849315E-2</v>
      </c>
      <c r="I832">
        <v>3.6178080000000001E-2</v>
      </c>
      <c r="J832">
        <v>2.276164E-2</v>
      </c>
      <c r="K832">
        <v>1.9221370000000002E-2</v>
      </c>
      <c r="L832">
        <v>1.8048769999999999E-2</v>
      </c>
      <c r="M832">
        <v>1.4543560000000001E-2</v>
      </c>
      <c r="N832">
        <v>1.1652600000000001E-2</v>
      </c>
    </row>
    <row r="833" spans="1:14" hidden="1" x14ac:dyDescent="0.35">
      <c r="A833" t="s">
        <v>226</v>
      </c>
      <c r="B833" t="s">
        <v>37</v>
      </c>
      <c r="C833" t="s">
        <v>79</v>
      </c>
      <c r="D833" t="s">
        <v>79</v>
      </c>
      <c r="E833" t="s">
        <v>584</v>
      </c>
      <c r="F833" t="s">
        <v>581</v>
      </c>
      <c r="G833" t="s">
        <v>396</v>
      </c>
      <c r="H833">
        <v>2.320548E-3</v>
      </c>
      <c r="I833">
        <v>1.5616440000000001E-3</v>
      </c>
      <c r="J833">
        <v>1.0465749999999999E-3</v>
      </c>
      <c r="K833">
        <v>0</v>
      </c>
    </row>
    <row r="834" spans="1:14" hidden="1" x14ac:dyDescent="0.35">
      <c r="A834" t="s">
        <v>226</v>
      </c>
      <c r="B834" t="s">
        <v>37</v>
      </c>
      <c r="C834" t="s">
        <v>79</v>
      </c>
      <c r="D834" t="s">
        <v>79</v>
      </c>
      <c r="E834" t="s">
        <v>584</v>
      </c>
      <c r="F834" t="s">
        <v>581</v>
      </c>
      <c r="G834" t="s">
        <v>24</v>
      </c>
      <c r="H834">
        <v>4.4767130000000002E-3</v>
      </c>
      <c r="I834">
        <v>4.4027399999999996E-3</v>
      </c>
      <c r="J834">
        <v>4.3128769999999997E-3</v>
      </c>
      <c r="K834">
        <v>4.1945200000000002E-3</v>
      </c>
      <c r="L834">
        <v>4.0273970000000003E-3</v>
      </c>
      <c r="M834">
        <v>7.726028E-4</v>
      </c>
      <c r="N834">
        <v>7.3424660000000002E-4</v>
      </c>
    </row>
    <row r="835" spans="1:14" hidden="1" x14ac:dyDescent="0.35">
      <c r="A835" t="s">
        <v>226</v>
      </c>
      <c r="B835" t="s">
        <v>37</v>
      </c>
      <c r="C835" t="s">
        <v>79</v>
      </c>
      <c r="D835" t="s">
        <v>79</v>
      </c>
      <c r="E835" t="s">
        <v>584</v>
      </c>
      <c r="F835" t="s">
        <v>26</v>
      </c>
      <c r="G835" t="s">
        <v>26</v>
      </c>
      <c r="H835">
        <v>0.19659450000000001</v>
      </c>
      <c r="I835">
        <v>0.17784929999999999</v>
      </c>
      <c r="J835">
        <v>0.1607682</v>
      </c>
      <c r="K835">
        <v>0.1439463</v>
      </c>
      <c r="L835">
        <v>0.12690360000000001</v>
      </c>
      <c r="M835">
        <v>2.239178E-2</v>
      </c>
      <c r="N835">
        <v>1.9477810000000002E-2</v>
      </c>
    </row>
    <row r="836" spans="1:14" hidden="1" x14ac:dyDescent="0.35">
      <c r="A836" t="s">
        <v>226</v>
      </c>
      <c r="B836" t="s">
        <v>37</v>
      </c>
      <c r="C836" t="s">
        <v>79</v>
      </c>
      <c r="D836" t="s">
        <v>79</v>
      </c>
      <c r="E836" t="s">
        <v>598</v>
      </c>
      <c r="F836" t="s">
        <v>581</v>
      </c>
      <c r="G836" t="s">
        <v>25</v>
      </c>
      <c r="H836">
        <v>1.2778080000000001E-2</v>
      </c>
      <c r="I836">
        <v>1.150411E-2</v>
      </c>
      <c r="J836">
        <v>1.0323290000000001E-2</v>
      </c>
      <c r="K836">
        <v>9.2904110000000002E-3</v>
      </c>
      <c r="L836">
        <v>4.043397E-2</v>
      </c>
      <c r="M836">
        <v>3.6178080000000001E-2</v>
      </c>
      <c r="N836">
        <v>2.4918900000000001E-2</v>
      </c>
    </row>
    <row r="837" spans="1:14" hidden="1" x14ac:dyDescent="0.35">
      <c r="A837" t="s">
        <v>226</v>
      </c>
      <c r="B837" t="s">
        <v>37</v>
      </c>
      <c r="C837" t="s">
        <v>79</v>
      </c>
      <c r="D837" t="s">
        <v>79</v>
      </c>
      <c r="E837" t="s">
        <v>598</v>
      </c>
      <c r="F837" t="s">
        <v>26</v>
      </c>
      <c r="G837" t="s">
        <v>26</v>
      </c>
      <c r="H837">
        <v>5.1112329999999997E-2</v>
      </c>
      <c r="I837">
        <v>4.6013699999999998E-2</v>
      </c>
      <c r="J837">
        <v>4.1293150000000001E-2</v>
      </c>
      <c r="K837">
        <v>3.7164389999999999E-2</v>
      </c>
      <c r="L837">
        <v>0.16174079999999999</v>
      </c>
      <c r="M837">
        <v>0.14471339999999999</v>
      </c>
      <c r="N837">
        <v>9.9677260000000004E-2</v>
      </c>
    </row>
    <row r="838" spans="1:14" hidden="1" x14ac:dyDescent="0.35">
      <c r="A838" t="s">
        <v>226</v>
      </c>
      <c r="B838" t="s">
        <v>37</v>
      </c>
      <c r="C838" t="s">
        <v>105</v>
      </c>
      <c r="D838" t="s">
        <v>105</v>
      </c>
      <c r="E838" t="s">
        <v>632</v>
      </c>
      <c r="F838" t="s">
        <v>581</v>
      </c>
      <c r="G838" t="s">
        <v>396</v>
      </c>
      <c r="H838">
        <v>15.344659999999999</v>
      </c>
      <c r="I838">
        <v>11.96625</v>
      </c>
      <c r="J838">
        <v>9.8012650000000008</v>
      </c>
      <c r="K838">
        <v>7.6919570000000004</v>
      </c>
      <c r="L838">
        <v>6.424944</v>
      </c>
      <c r="M838">
        <v>5.7105360000000003</v>
      </c>
      <c r="N838">
        <v>5.1835110000000002</v>
      </c>
    </row>
    <row r="839" spans="1:14" hidden="1" x14ac:dyDescent="0.35">
      <c r="A839" t="s">
        <v>226</v>
      </c>
      <c r="B839" t="s">
        <v>37</v>
      </c>
      <c r="C839" t="s">
        <v>105</v>
      </c>
      <c r="D839" t="s">
        <v>105</v>
      </c>
      <c r="E839" t="s">
        <v>632</v>
      </c>
      <c r="F839" t="s">
        <v>581</v>
      </c>
      <c r="G839" t="s">
        <v>25</v>
      </c>
      <c r="H839">
        <v>11.945209999999999</v>
      </c>
      <c r="I839">
        <v>7.806527</v>
      </c>
      <c r="J839">
        <v>6.3722089999999998</v>
      </c>
      <c r="K839">
        <v>4.9877510000000003</v>
      </c>
      <c r="L839">
        <v>4.1549009999999997</v>
      </c>
      <c r="M839">
        <v>3.688196</v>
      </c>
      <c r="N839">
        <v>3.3442349999999998</v>
      </c>
    </row>
    <row r="840" spans="1:14" hidden="1" x14ac:dyDescent="0.35">
      <c r="A840" t="s">
        <v>226</v>
      </c>
      <c r="B840" t="s">
        <v>37</v>
      </c>
      <c r="C840" t="s">
        <v>105</v>
      </c>
      <c r="D840" t="s">
        <v>105</v>
      </c>
      <c r="E840" t="s">
        <v>632</v>
      </c>
      <c r="F840" t="s">
        <v>26</v>
      </c>
      <c r="G840" t="s">
        <v>26</v>
      </c>
      <c r="H840">
        <v>22.09534</v>
      </c>
      <c r="I840">
        <v>18.138310000000001</v>
      </c>
      <c r="J840">
        <v>14.877750000000001</v>
      </c>
      <c r="K840">
        <v>11.557869999999999</v>
      </c>
      <c r="L840">
        <v>9.5527049999999996</v>
      </c>
      <c r="M840">
        <v>8.4480550000000001</v>
      </c>
      <c r="N840">
        <v>7.63619</v>
      </c>
    </row>
    <row r="841" spans="1:14" hidden="1" x14ac:dyDescent="0.35">
      <c r="A841" t="s">
        <v>226</v>
      </c>
      <c r="B841" t="s">
        <v>37</v>
      </c>
      <c r="C841" t="s">
        <v>105</v>
      </c>
      <c r="D841" t="s">
        <v>105</v>
      </c>
      <c r="E841" t="s">
        <v>619</v>
      </c>
      <c r="F841" t="s">
        <v>581</v>
      </c>
      <c r="G841" t="s">
        <v>24</v>
      </c>
      <c r="H841">
        <v>2.763836</v>
      </c>
      <c r="I841">
        <v>2.9352299999999998</v>
      </c>
      <c r="J841">
        <v>3.1349269999999998</v>
      </c>
      <c r="K841">
        <v>3.199417</v>
      </c>
      <c r="L841">
        <v>2.8552070000000001</v>
      </c>
      <c r="M841">
        <v>2.3242069999999999</v>
      </c>
      <c r="N841">
        <v>1.9469050000000001</v>
      </c>
    </row>
    <row r="842" spans="1:14" hidden="1" x14ac:dyDescent="0.35">
      <c r="A842" t="s">
        <v>226</v>
      </c>
      <c r="B842" t="s">
        <v>37</v>
      </c>
      <c r="C842" t="s">
        <v>105</v>
      </c>
      <c r="D842" t="s">
        <v>105</v>
      </c>
      <c r="E842" t="s">
        <v>619</v>
      </c>
      <c r="F842" t="s">
        <v>581</v>
      </c>
      <c r="G842" t="s">
        <v>25</v>
      </c>
      <c r="H842">
        <v>7.6756159999999998</v>
      </c>
      <c r="I842">
        <v>6.3519319999999997</v>
      </c>
      <c r="J842">
        <v>6.6617179999999996</v>
      </c>
      <c r="K842">
        <v>6.7987630000000001</v>
      </c>
      <c r="L842">
        <v>6.0673170000000001</v>
      </c>
      <c r="M842">
        <v>4.9389440000000002</v>
      </c>
      <c r="N842">
        <v>4.1371779999999996</v>
      </c>
    </row>
    <row r="843" spans="1:14" hidden="1" x14ac:dyDescent="0.35">
      <c r="A843" t="s">
        <v>226</v>
      </c>
      <c r="B843" t="s">
        <v>37</v>
      </c>
      <c r="C843" t="s">
        <v>105</v>
      </c>
      <c r="D843" t="s">
        <v>105</v>
      </c>
      <c r="E843" t="s">
        <v>619</v>
      </c>
      <c r="F843" t="s">
        <v>26</v>
      </c>
      <c r="G843" t="s">
        <v>26</v>
      </c>
      <c r="H843">
        <v>8.9424670000000006</v>
      </c>
      <c r="I843">
        <v>9.3410740000000008</v>
      </c>
      <c r="J843">
        <v>9.7966470000000001</v>
      </c>
      <c r="K843">
        <v>9.9981829999999992</v>
      </c>
      <c r="L843">
        <v>8.9225270000000005</v>
      </c>
      <c r="M843">
        <v>7.263153</v>
      </c>
      <c r="N843">
        <v>6.0840820000000004</v>
      </c>
    </row>
    <row r="844" spans="1:14" hidden="1" x14ac:dyDescent="0.35">
      <c r="A844" t="s">
        <v>226</v>
      </c>
      <c r="B844" t="s">
        <v>37</v>
      </c>
      <c r="C844" t="s">
        <v>105</v>
      </c>
      <c r="D844" t="s">
        <v>105</v>
      </c>
      <c r="E844" t="s">
        <v>633</v>
      </c>
      <c r="F844" t="s">
        <v>581</v>
      </c>
      <c r="G844" t="s">
        <v>24</v>
      </c>
      <c r="H844">
        <v>0.69095890000000004</v>
      </c>
      <c r="I844">
        <v>0.61891229999999997</v>
      </c>
      <c r="J844">
        <v>0.52405749999999995</v>
      </c>
      <c r="K844">
        <v>0.48709039999999998</v>
      </c>
      <c r="L844">
        <v>0.43998739999999997</v>
      </c>
      <c r="M844">
        <v>0.3842197</v>
      </c>
      <c r="N844">
        <v>0.33327180000000001</v>
      </c>
    </row>
    <row r="845" spans="1:14" hidden="1" x14ac:dyDescent="0.35">
      <c r="A845" t="s">
        <v>226</v>
      </c>
      <c r="B845" t="s">
        <v>37</v>
      </c>
      <c r="C845" t="s">
        <v>105</v>
      </c>
      <c r="D845" t="s">
        <v>105</v>
      </c>
      <c r="E845" t="s">
        <v>633</v>
      </c>
      <c r="F845" t="s">
        <v>581</v>
      </c>
      <c r="G845" t="s">
        <v>25</v>
      </c>
      <c r="H845">
        <v>1.5320549999999999</v>
      </c>
      <c r="I845">
        <v>1.068427</v>
      </c>
      <c r="J845">
        <v>0.88686580000000004</v>
      </c>
      <c r="K845">
        <v>0.82430409999999998</v>
      </c>
      <c r="L845">
        <v>0.74459070000000005</v>
      </c>
      <c r="M845">
        <v>0.65021589999999996</v>
      </c>
      <c r="N845">
        <v>0.56400280000000003</v>
      </c>
    </row>
    <row r="846" spans="1:14" hidden="1" x14ac:dyDescent="0.35">
      <c r="A846" t="s">
        <v>226</v>
      </c>
      <c r="B846" t="s">
        <v>37</v>
      </c>
      <c r="C846" t="s">
        <v>105</v>
      </c>
      <c r="D846" t="s">
        <v>105</v>
      </c>
      <c r="E846" t="s">
        <v>633</v>
      </c>
      <c r="F846" t="s">
        <v>26</v>
      </c>
      <c r="G846" t="s">
        <v>26</v>
      </c>
      <c r="H846">
        <v>3.585753</v>
      </c>
      <c r="I846">
        <v>3.1567180000000001</v>
      </c>
      <c r="J846">
        <v>2.620288</v>
      </c>
      <c r="K846">
        <v>2.435441</v>
      </c>
      <c r="L846">
        <v>2.199929</v>
      </c>
      <c r="M846">
        <v>1.9211020000000001</v>
      </c>
      <c r="N846">
        <v>1.666371</v>
      </c>
    </row>
    <row r="847" spans="1:14" hidden="1" x14ac:dyDescent="0.35">
      <c r="A847" t="s">
        <v>226</v>
      </c>
      <c r="B847" t="s">
        <v>37</v>
      </c>
      <c r="C847" t="s">
        <v>105</v>
      </c>
      <c r="D847" t="s">
        <v>105</v>
      </c>
      <c r="E847" t="s">
        <v>656</v>
      </c>
      <c r="F847" t="s">
        <v>581</v>
      </c>
      <c r="G847" t="s">
        <v>396</v>
      </c>
      <c r="H847">
        <v>1.475068</v>
      </c>
      <c r="I847">
        <v>2.389961</v>
      </c>
      <c r="J847">
        <v>2.0625710000000002</v>
      </c>
      <c r="K847">
        <v>1.7164109999999999</v>
      </c>
      <c r="L847">
        <v>1.481589</v>
      </c>
      <c r="M847">
        <v>1.2453069999999999</v>
      </c>
      <c r="N847">
        <v>1.065696</v>
      </c>
    </row>
    <row r="848" spans="1:14" hidden="1" x14ac:dyDescent="0.35">
      <c r="A848" t="s">
        <v>226</v>
      </c>
      <c r="B848" t="s">
        <v>37</v>
      </c>
      <c r="C848" t="s">
        <v>105</v>
      </c>
      <c r="D848" t="s">
        <v>105</v>
      </c>
      <c r="E848" t="s">
        <v>656</v>
      </c>
      <c r="F848" t="s">
        <v>581</v>
      </c>
      <c r="G848" t="s">
        <v>24</v>
      </c>
      <c r="H848">
        <v>0.61589050000000001</v>
      </c>
      <c r="I848">
        <v>0.99581430000000004</v>
      </c>
      <c r="J848">
        <v>0.85940490000000003</v>
      </c>
      <c r="K848">
        <v>0.71516979999999997</v>
      </c>
      <c r="L848">
        <v>0.61733039999999995</v>
      </c>
      <c r="M848">
        <v>0.5188779</v>
      </c>
      <c r="N848">
        <v>0.44404110000000002</v>
      </c>
    </row>
    <row r="849" spans="1:14" hidden="1" x14ac:dyDescent="0.35">
      <c r="A849" t="s">
        <v>226</v>
      </c>
      <c r="B849" t="s">
        <v>37</v>
      </c>
      <c r="C849" t="s">
        <v>105</v>
      </c>
      <c r="D849" t="s">
        <v>105</v>
      </c>
      <c r="E849" t="s">
        <v>656</v>
      </c>
      <c r="F849" t="s">
        <v>581</v>
      </c>
      <c r="G849" t="s">
        <v>25</v>
      </c>
      <c r="H849">
        <v>0.59616709999999995</v>
      </c>
      <c r="I849">
        <v>0.84643889999999999</v>
      </c>
      <c r="J849">
        <v>0.73049310000000001</v>
      </c>
      <c r="K849">
        <v>0.60789099999999996</v>
      </c>
      <c r="L849">
        <v>0.52472660000000004</v>
      </c>
      <c r="M849">
        <v>0.44104880000000002</v>
      </c>
      <c r="N849">
        <v>0.37743569999999999</v>
      </c>
    </row>
    <row r="850" spans="1:14" hidden="1" x14ac:dyDescent="0.35">
      <c r="A850" t="s">
        <v>226</v>
      </c>
      <c r="B850" t="s">
        <v>37</v>
      </c>
      <c r="C850" t="s">
        <v>105</v>
      </c>
      <c r="D850" t="s">
        <v>105</v>
      </c>
      <c r="E850" t="s">
        <v>656</v>
      </c>
      <c r="F850" t="s">
        <v>26</v>
      </c>
      <c r="G850" t="s">
        <v>26</v>
      </c>
      <c r="H850">
        <v>0.41643829999999998</v>
      </c>
      <c r="I850">
        <v>0.74686200000000003</v>
      </c>
      <c r="J850">
        <v>0.64455240000000003</v>
      </c>
      <c r="K850">
        <v>0.53637919999999994</v>
      </c>
      <c r="L850">
        <v>0.46299780000000001</v>
      </c>
      <c r="M850">
        <v>0.38915889999999997</v>
      </c>
      <c r="N850">
        <v>0.33302959999999998</v>
      </c>
    </row>
    <row r="851" spans="1:14" hidden="1" x14ac:dyDescent="0.35">
      <c r="A851" t="s">
        <v>226</v>
      </c>
      <c r="B851" t="s">
        <v>37</v>
      </c>
      <c r="C851" t="s">
        <v>35</v>
      </c>
      <c r="D851" t="s">
        <v>39</v>
      </c>
      <c r="E851" t="s">
        <v>580</v>
      </c>
      <c r="F851" t="s">
        <v>581</v>
      </c>
      <c r="G851" t="s">
        <v>396</v>
      </c>
      <c r="H851">
        <v>16</v>
      </c>
      <c r="I851">
        <v>14.45199</v>
      </c>
      <c r="J851">
        <v>16.267109999999999</v>
      </c>
      <c r="K851">
        <v>14.95717</v>
      </c>
      <c r="L851">
        <v>11.483280000000001</v>
      </c>
      <c r="M851">
        <v>9.3930589999999992</v>
      </c>
      <c r="N851">
        <v>8.2132640000000006</v>
      </c>
    </row>
    <row r="852" spans="1:14" hidden="1" x14ac:dyDescent="0.35">
      <c r="A852" t="s">
        <v>226</v>
      </c>
      <c r="B852" t="s">
        <v>37</v>
      </c>
      <c r="C852" t="s">
        <v>35</v>
      </c>
      <c r="D852" t="s">
        <v>39</v>
      </c>
      <c r="E852" t="s">
        <v>580</v>
      </c>
      <c r="F852" t="s">
        <v>581</v>
      </c>
      <c r="G852" t="s">
        <v>25</v>
      </c>
      <c r="H852">
        <v>5.7497290000000003</v>
      </c>
      <c r="I852">
        <v>5.1200270000000003</v>
      </c>
      <c r="J852">
        <v>5.761266</v>
      </c>
      <c r="K852">
        <v>5.2973299999999997</v>
      </c>
      <c r="L852">
        <v>4.0669950000000004</v>
      </c>
      <c r="M852">
        <v>3.326708</v>
      </c>
      <c r="N852">
        <v>2.9088660000000002</v>
      </c>
    </row>
    <row r="853" spans="1:14" hidden="1" x14ac:dyDescent="0.35">
      <c r="A853" t="s">
        <v>226</v>
      </c>
      <c r="B853" t="s">
        <v>37</v>
      </c>
      <c r="C853" t="s">
        <v>35</v>
      </c>
      <c r="D853" t="s">
        <v>39</v>
      </c>
      <c r="E853" t="s">
        <v>580</v>
      </c>
      <c r="F853" t="s">
        <v>26</v>
      </c>
      <c r="G853" t="s">
        <v>26</v>
      </c>
      <c r="H853">
        <v>6.0827400000000003</v>
      </c>
      <c r="I853">
        <v>5.1200260000000002</v>
      </c>
      <c r="J853">
        <v>5.7612670000000001</v>
      </c>
      <c r="K853">
        <v>5.2973330000000001</v>
      </c>
      <c r="L853">
        <v>4.0669950000000004</v>
      </c>
      <c r="M853">
        <v>3.326708</v>
      </c>
      <c r="N853">
        <v>2.9088660000000002</v>
      </c>
    </row>
    <row r="854" spans="1:14" hidden="1" x14ac:dyDescent="0.35">
      <c r="A854" t="s">
        <v>226</v>
      </c>
      <c r="B854" t="s">
        <v>37</v>
      </c>
      <c r="C854" t="s">
        <v>35</v>
      </c>
      <c r="D854" t="s">
        <v>39</v>
      </c>
      <c r="E854" t="s">
        <v>591</v>
      </c>
      <c r="F854" t="s">
        <v>581</v>
      </c>
      <c r="G854" t="s">
        <v>396</v>
      </c>
      <c r="H854">
        <v>0.52953150000000004</v>
      </c>
      <c r="I854">
        <v>0.46730959999999999</v>
      </c>
      <c r="J854">
        <v>0.41003830000000002</v>
      </c>
      <c r="K854">
        <v>0.36083019999999999</v>
      </c>
      <c r="L854">
        <v>0.31752059999999999</v>
      </c>
      <c r="M854">
        <v>0.28013149999999998</v>
      </c>
      <c r="N854">
        <v>0.2457918</v>
      </c>
    </row>
    <row r="855" spans="1:14" hidden="1" x14ac:dyDescent="0.35">
      <c r="A855" t="s">
        <v>226</v>
      </c>
      <c r="B855" t="s">
        <v>37</v>
      </c>
      <c r="C855" t="s">
        <v>35</v>
      </c>
      <c r="D855" t="s">
        <v>39</v>
      </c>
      <c r="E855" t="s">
        <v>591</v>
      </c>
      <c r="F855" t="s">
        <v>581</v>
      </c>
      <c r="G855" t="s">
        <v>25</v>
      </c>
      <c r="H855">
        <v>6.8769860000000002E-2</v>
      </c>
      <c r="I855">
        <v>6.069041E-2</v>
      </c>
      <c r="J855">
        <v>5.3249310000000001E-2</v>
      </c>
      <c r="K855">
        <v>4.6860270000000002E-2</v>
      </c>
      <c r="L855">
        <v>4.1238360000000002E-2</v>
      </c>
      <c r="M855">
        <v>3.6380830000000003E-2</v>
      </c>
      <c r="N855">
        <v>3.192329E-2</v>
      </c>
    </row>
    <row r="856" spans="1:14" hidden="1" x14ac:dyDescent="0.35">
      <c r="A856" t="s">
        <v>226</v>
      </c>
      <c r="B856" t="s">
        <v>37</v>
      </c>
      <c r="C856" t="s">
        <v>35</v>
      </c>
      <c r="D856" t="s">
        <v>39</v>
      </c>
      <c r="E856" t="s">
        <v>591</v>
      </c>
      <c r="F856" t="s">
        <v>26</v>
      </c>
      <c r="G856" t="s">
        <v>26</v>
      </c>
      <c r="H856">
        <v>8.9402739999999994E-2</v>
      </c>
      <c r="I856">
        <v>7.8898629999999997E-2</v>
      </c>
      <c r="J856">
        <v>6.9227399999999994E-2</v>
      </c>
      <c r="K856">
        <v>6.0920549999999997E-2</v>
      </c>
      <c r="L856">
        <v>5.3608219999999998E-2</v>
      </c>
      <c r="M856">
        <v>4.729589E-2</v>
      </c>
      <c r="N856">
        <v>4.1498630000000002E-2</v>
      </c>
    </row>
    <row r="857" spans="1:14" hidden="1" x14ac:dyDescent="0.35">
      <c r="A857" t="s">
        <v>226</v>
      </c>
      <c r="B857" t="s">
        <v>37</v>
      </c>
      <c r="C857" t="s">
        <v>35</v>
      </c>
      <c r="D857" t="s">
        <v>38</v>
      </c>
      <c r="E857" t="s">
        <v>580</v>
      </c>
      <c r="F857" t="s">
        <v>581</v>
      </c>
      <c r="G857" t="s">
        <v>24</v>
      </c>
      <c r="J857">
        <v>0</v>
      </c>
      <c r="K857">
        <v>3.7875619999999999E-2</v>
      </c>
      <c r="L857">
        <v>5.0209860000000002E-2</v>
      </c>
      <c r="M857">
        <v>3.6993430000000001E-2</v>
      </c>
      <c r="N857">
        <v>2.5346299999999999E-2</v>
      </c>
    </row>
    <row r="858" spans="1:14" hidden="1" x14ac:dyDescent="0.35">
      <c r="A858" t="s">
        <v>226</v>
      </c>
      <c r="B858" t="s">
        <v>37</v>
      </c>
      <c r="C858" t="s">
        <v>35</v>
      </c>
      <c r="D858" t="s">
        <v>38</v>
      </c>
      <c r="E858" t="s">
        <v>580</v>
      </c>
      <c r="F858" t="s">
        <v>581</v>
      </c>
      <c r="G858" t="s">
        <v>25</v>
      </c>
      <c r="J858">
        <v>0</v>
      </c>
      <c r="K858">
        <v>2.235726E-2</v>
      </c>
      <c r="L858">
        <v>2.9632329999999998E-2</v>
      </c>
      <c r="M858">
        <v>2.183562E-2</v>
      </c>
      <c r="N858">
        <v>1.4959449999999999E-2</v>
      </c>
    </row>
    <row r="859" spans="1:14" hidden="1" x14ac:dyDescent="0.35">
      <c r="A859" t="s">
        <v>226</v>
      </c>
      <c r="B859" t="s">
        <v>37</v>
      </c>
      <c r="C859" t="s">
        <v>35</v>
      </c>
      <c r="D859" t="s">
        <v>38</v>
      </c>
      <c r="E859" t="s">
        <v>580</v>
      </c>
      <c r="F859" t="s">
        <v>26</v>
      </c>
      <c r="G859" t="s">
        <v>26</v>
      </c>
      <c r="J859">
        <v>0</v>
      </c>
      <c r="K859">
        <v>2.682959E-2</v>
      </c>
      <c r="L859">
        <v>3.5565479999999997E-2</v>
      </c>
      <c r="M859">
        <v>2.6204379999999999E-2</v>
      </c>
      <c r="N859">
        <v>1.7953429999999999E-2</v>
      </c>
    </row>
    <row r="860" spans="1:14" hidden="1" x14ac:dyDescent="0.35">
      <c r="A860" t="s">
        <v>226</v>
      </c>
      <c r="B860" t="s">
        <v>37</v>
      </c>
      <c r="C860" t="s">
        <v>46</v>
      </c>
      <c r="D860" t="s">
        <v>46</v>
      </c>
      <c r="E860" t="s">
        <v>584</v>
      </c>
      <c r="F860" t="s">
        <v>581</v>
      </c>
      <c r="G860" t="s">
        <v>396</v>
      </c>
      <c r="H860">
        <v>4.2076710000000003E-2</v>
      </c>
      <c r="I860">
        <v>4.0134250000000003E-2</v>
      </c>
      <c r="J860">
        <v>3.1814790000000003E-2</v>
      </c>
      <c r="K860">
        <v>3.0431779999999999E-2</v>
      </c>
      <c r="L860">
        <v>2.8164930000000001E-2</v>
      </c>
      <c r="M860">
        <v>0</v>
      </c>
      <c r="N860">
        <v>0</v>
      </c>
    </row>
    <row r="861" spans="1:14" hidden="1" x14ac:dyDescent="0.35">
      <c r="A861" t="s">
        <v>226</v>
      </c>
      <c r="B861" t="s">
        <v>37</v>
      </c>
      <c r="C861" t="s">
        <v>46</v>
      </c>
      <c r="D861" t="s">
        <v>46</v>
      </c>
      <c r="E861" t="s">
        <v>584</v>
      </c>
      <c r="F861" t="s">
        <v>581</v>
      </c>
      <c r="G861" t="s">
        <v>24</v>
      </c>
      <c r="H861">
        <v>8.4931510000000004E-4</v>
      </c>
      <c r="I861">
        <v>0</v>
      </c>
    </row>
    <row r="862" spans="1:14" hidden="1" x14ac:dyDescent="0.35">
      <c r="A862" t="s">
        <v>226</v>
      </c>
      <c r="B862" t="s">
        <v>37</v>
      </c>
      <c r="C862" t="s">
        <v>46</v>
      </c>
      <c r="D862" t="s">
        <v>46</v>
      </c>
      <c r="E862" t="s">
        <v>584</v>
      </c>
      <c r="F862" t="s">
        <v>581</v>
      </c>
      <c r="G862" t="s">
        <v>25</v>
      </c>
      <c r="H862">
        <v>0.44770140000000003</v>
      </c>
      <c r="I862">
        <v>0.43229590000000001</v>
      </c>
      <c r="J862">
        <v>0.41565039999999998</v>
      </c>
      <c r="K862">
        <v>0.39835009999999998</v>
      </c>
      <c r="L862">
        <v>0.37713590000000002</v>
      </c>
      <c r="M862">
        <v>0.2121468</v>
      </c>
      <c r="N862">
        <v>0.1993183</v>
      </c>
    </row>
    <row r="863" spans="1:14" hidden="1" x14ac:dyDescent="0.35">
      <c r="A863" t="s">
        <v>226</v>
      </c>
      <c r="B863" t="s">
        <v>37</v>
      </c>
      <c r="C863" t="s">
        <v>46</v>
      </c>
      <c r="D863" t="s">
        <v>46</v>
      </c>
      <c r="E863" t="s">
        <v>584</v>
      </c>
      <c r="F863" t="s">
        <v>26</v>
      </c>
      <c r="G863" t="s">
        <v>26</v>
      </c>
      <c r="H863">
        <v>2.5774900000000001</v>
      </c>
      <c r="I863">
        <v>2.412515</v>
      </c>
      <c r="J863">
        <v>2.139135</v>
      </c>
      <c r="K863">
        <v>1.9866839999999999</v>
      </c>
      <c r="L863">
        <v>1.820489</v>
      </c>
      <c r="M863">
        <v>1.023584</v>
      </c>
      <c r="N863">
        <v>0.93392280000000005</v>
      </c>
    </row>
    <row r="864" spans="1:14" hidden="1" x14ac:dyDescent="0.35">
      <c r="A864" t="s">
        <v>226</v>
      </c>
      <c r="B864" t="s">
        <v>37</v>
      </c>
      <c r="C864" t="s">
        <v>205</v>
      </c>
      <c r="D864" t="s">
        <v>205</v>
      </c>
      <c r="E864" t="s">
        <v>657</v>
      </c>
      <c r="F864" t="s">
        <v>581</v>
      </c>
      <c r="G864" t="s">
        <v>24</v>
      </c>
      <c r="H864">
        <v>6.1424649999999997E-3</v>
      </c>
      <c r="I864">
        <v>5.5260270000000002E-3</v>
      </c>
      <c r="J864">
        <v>4.9589040000000001E-3</v>
      </c>
      <c r="K864">
        <v>4.4630140000000004E-3</v>
      </c>
      <c r="L864">
        <v>4.0164379999999998E-3</v>
      </c>
      <c r="M864">
        <v>3.6246579999999998E-3</v>
      </c>
      <c r="N864">
        <v>3.2520549999999998E-3</v>
      </c>
    </row>
    <row r="865" spans="1:14" hidden="1" x14ac:dyDescent="0.35">
      <c r="A865" t="s">
        <v>226</v>
      </c>
      <c r="B865" t="s">
        <v>37</v>
      </c>
      <c r="C865" t="s">
        <v>205</v>
      </c>
      <c r="D865" t="s">
        <v>205</v>
      </c>
      <c r="E865" t="s">
        <v>657</v>
      </c>
      <c r="F865" t="s">
        <v>581</v>
      </c>
      <c r="G865" t="s">
        <v>25</v>
      </c>
      <c r="H865">
        <v>0.17615890000000001</v>
      </c>
      <c r="I865">
        <v>0.1585288</v>
      </c>
      <c r="J865">
        <v>0.14223839999999999</v>
      </c>
      <c r="K865">
        <v>0.12801100000000001</v>
      </c>
      <c r="L865">
        <v>0.1152082</v>
      </c>
      <c r="M865">
        <v>0.1039562</v>
      </c>
      <c r="N865">
        <v>9.3287679999999998E-2</v>
      </c>
    </row>
    <row r="866" spans="1:14" hidden="1" x14ac:dyDescent="0.35">
      <c r="A866" t="s">
        <v>226</v>
      </c>
      <c r="B866" t="s">
        <v>37</v>
      </c>
      <c r="C866" t="s">
        <v>205</v>
      </c>
      <c r="D866" t="s">
        <v>205</v>
      </c>
      <c r="E866" t="s">
        <v>657</v>
      </c>
      <c r="F866" t="s">
        <v>26</v>
      </c>
      <c r="G866" t="s">
        <v>26</v>
      </c>
      <c r="H866">
        <v>0.1435343</v>
      </c>
      <c r="I866">
        <v>0.1291726</v>
      </c>
      <c r="J866">
        <v>0.1158986</v>
      </c>
      <c r="K866">
        <v>0.10430689999999999</v>
      </c>
      <c r="L866">
        <v>9.3873970000000001E-2</v>
      </c>
      <c r="M866">
        <v>8.4704119999999994E-2</v>
      </c>
      <c r="N866">
        <v>7.6013700000000003E-2</v>
      </c>
    </row>
    <row r="867" spans="1:14" hidden="1" x14ac:dyDescent="0.35">
      <c r="A867" t="s">
        <v>226</v>
      </c>
      <c r="B867" t="s">
        <v>37</v>
      </c>
      <c r="C867" t="s">
        <v>109</v>
      </c>
      <c r="D867" t="s">
        <v>109</v>
      </c>
      <c r="E867" t="s">
        <v>584</v>
      </c>
      <c r="F867" t="s">
        <v>581</v>
      </c>
      <c r="G867" t="s">
        <v>396</v>
      </c>
      <c r="H867">
        <v>0</v>
      </c>
      <c r="I867">
        <v>4.4636980000000003E-3</v>
      </c>
      <c r="J867">
        <v>2.9952059999999998E-3</v>
      </c>
      <c r="K867">
        <v>2.0075340000000001E-3</v>
      </c>
      <c r="L867">
        <v>1.35137E-3</v>
      </c>
      <c r="M867">
        <v>9.054795E-4</v>
      </c>
      <c r="N867">
        <v>6.0684930000000001E-4</v>
      </c>
    </row>
    <row r="868" spans="1:14" hidden="1" x14ac:dyDescent="0.35">
      <c r="A868" t="s">
        <v>226</v>
      </c>
      <c r="B868" t="s">
        <v>37</v>
      </c>
      <c r="C868" t="s">
        <v>109</v>
      </c>
      <c r="D868" t="s">
        <v>109</v>
      </c>
      <c r="E868" t="s">
        <v>584</v>
      </c>
      <c r="F868" t="s">
        <v>581</v>
      </c>
      <c r="G868" t="s">
        <v>24</v>
      </c>
      <c r="H868">
        <v>2.5054110000000001E-2</v>
      </c>
      <c r="I868">
        <v>2.398699E-2</v>
      </c>
      <c r="J868">
        <v>2.2965070000000001E-2</v>
      </c>
      <c r="K868">
        <v>2.19863E-2</v>
      </c>
      <c r="L868">
        <v>2.1049999999999999E-2</v>
      </c>
      <c r="M868">
        <v>2.0153419999999998E-2</v>
      </c>
      <c r="N868">
        <v>1.9294519999999999E-2</v>
      </c>
    </row>
    <row r="869" spans="1:14" hidden="1" x14ac:dyDescent="0.35">
      <c r="A869" t="s">
        <v>226</v>
      </c>
      <c r="B869" t="s">
        <v>37</v>
      </c>
      <c r="C869" t="s">
        <v>109</v>
      </c>
      <c r="D869" t="s">
        <v>109</v>
      </c>
      <c r="E869" t="s">
        <v>584</v>
      </c>
      <c r="F869" t="s">
        <v>581</v>
      </c>
      <c r="G869" t="s">
        <v>25</v>
      </c>
      <c r="H869">
        <v>9.239726E-4</v>
      </c>
      <c r="I869">
        <v>9.0205479999999995E-4</v>
      </c>
      <c r="J869">
        <v>8.7739730000000002E-4</v>
      </c>
      <c r="K869">
        <v>8.5479459999999996E-4</v>
      </c>
      <c r="L869">
        <v>8.3219170000000005E-4</v>
      </c>
      <c r="M869">
        <v>8.1095889999999995E-4</v>
      </c>
      <c r="N869">
        <v>7.8972600000000003E-4</v>
      </c>
    </row>
    <row r="870" spans="1:14" hidden="1" x14ac:dyDescent="0.35">
      <c r="A870" t="s">
        <v>226</v>
      </c>
      <c r="B870" t="s">
        <v>37</v>
      </c>
      <c r="C870" t="s">
        <v>109</v>
      </c>
      <c r="D870" t="s">
        <v>109</v>
      </c>
      <c r="E870" t="s">
        <v>584</v>
      </c>
      <c r="F870" t="s">
        <v>26</v>
      </c>
      <c r="G870" t="s">
        <v>26</v>
      </c>
      <c r="H870">
        <v>1.548562E-2</v>
      </c>
      <c r="I870">
        <v>1.467123E-2</v>
      </c>
      <c r="J870">
        <v>1.40363E-2</v>
      </c>
      <c r="K870">
        <v>1.352808E-2</v>
      </c>
      <c r="L870">
        <v>1.310479E-2</v>
      </c>
      <c r="M870">
        <v>1.2741779999999999E-2</v>
      </c>
      <c r="N870">
        <v>1.226986E-2</v>
      </c>
    </row>
    <row r="871" spans="1:14" hidden="1" x14ac:dyDescent="0.35">
      <c r="A871" t="s">
        <v>226</v>
      </c>
      <c r="B871" t="s">
        <v>37</v>
      </c>
      <c r="C871" t="s">
        <v>61</v>
      </c>
      <c r="D871" t="s">
        <v>62</v>
      </c>
      <c r="E871" t="s">
        <v>584</v>
      </c>
      <c r="F871" t="s">
        <v>581</v>
      </c>
      <c r="G871" t="s">
        <v>396</v>
      </c>
      <c r="H871">
        <v>6.0273239999999999E-2</v>
      </c>
      <c r="I871">
        <v>4.0402599999999997E-2</v>
      </c>
      <c r="J871">
        <v>0</v>
      </c>
    </row>
    <row r="872" spans="1:14" hidden="1" x14ac:dyDescent="0.35">
      <c r="A872" t="s">
        <v>226</v>
      </c>
      <c r="B872" t="s">
        <v>37</v>
      </c>
      <c r="C872" t="s">
        <v>61</v>
      </c>
      <c r="D872" t="s">
        <v>62</v>
      </c>
      <c r="E872" t="s">
        <v>584</v>
      </c>
      <c r="F872" t="s">
        <v>581</v>
      </c>
      <c r="G872" t="s">
        <v>25</v>
      </c>
      <c r="H872">
        <v>2.7667630000000002E-3</v>
      </c>
      <c r="I872">
        <v>1.852425E-3</v>
      </c>
      <c r="J872">
        <v>0</v>
      </c>
    </row>
    <row r="873" spans="1:14" hidden="1" x14ac:dyDescent="0.35">
      <c r="A873" t="s">
        <v>226</v>
      </c>
      <c r="B873" t="s">
        <v>37</v>
      </c>
      <c r="C873" t="s">
        <v>61</v>
      </c>
      <c r="D873" t="s">
        <v>62</v>
      </c>
      <c r="E873" t="s">
        <v>584</v>
      </c>
      <c r="F873" t="s">
        <v>26</v>
      </c>
      <c r="G873" t="s">
        <v>26</v>
      </c>
      <c r="H873">
        <v>1.2730399999999999E-2</v>
      </c>
      <c r="I873">
        <v>8.5332140000000008E-3</v>
      </c>
      <c r="J873">
        <v>0</v>
      </c>
    </row>
    <row r="874" spans="1:14" hidden="1" x14ac:dyDescent="0.35">
      <c r="A874" t="s">
        <v>226</v>
      </c>
      <c r="B874" t="s">
        <v>37</v>
      </c>
      <c r="C874" t="s">
        <v>118</v>
      </c>
      <c r="D874" t="s">
        <v>118</v>
      </c>
      <c r="E874" t="s">
        <v>584</v>
      </c>
      <c r="F874" t="s">
        <v>581</v>
      </c>
      <c r="G874" t="s">
        <v>396</v>
      </c>
      <c r="H874">
        <v>8.3561639999999999E-4</v>
      </c>
      <c r="I874">
        <v>8.3835620000000002E-4</v>
      </c>
      <c r="J874">
        <v>8.3835620000000002E-4</v>
      </c>
      <c r="K874">
        <v>8.3835620000000002E-4</v>
      </c>
      <c r="L874">
        <v>8.3835620000000002E-4</v>
      </c>
      <c r="M874">
        <v>8.3835620000000002E-4</v>
      </c>
      <c r="N874">
        <v>8.3835620000000002E-4</v>
      </c>
    </row>
    <row r="875" spans="1:14" hidden="1" x14ac:dyDescent="0.35">
      <c r="A875" t="s">
        <v>226</v>
      </c>
      <c r="B875" t="s">
        <v>43</v>
      </c>
      <c r="C875" t="s">
        <v>42</v>
      </c>
      <c r="D875" t="s">
        <v>42</v>
      </c>
      <c r="E875" t="s">
        <v>584</v>
      </c>
      <c r="F875" t="s">
        <v>581</v>
      </c>
      <c r="G875" t="s">
        <v>24</v>
      </c>
      <c r="H875">
        <v>15.62792</v>
      </c>
      <c r="I875">
        <v>13.77148</v>
      </c>
      <c r="J875">
        <v>14.507540000000001</v>
      </c>
      <c r="K875">
        <v>13.59247</v>
      </c>
      <c r="L875">
        <v>12.501340000000001</v>
      </c>
      <c r="M875">
        <v>11.54716</v>
      </c>
      <c r="N875">
        <v>10.82729</v>
      </c>
    </row>
    <row r="876" spans="1:14" hidden="1" x14ac:dyDescent="0.35">
      <c r="A876" t="s">
        <v>226</v>
      </c>
      <c r="B876" t="s">
        <v>43</v>
      </c>
      <c r="C876" t="s">
        <v>42</v>
      </c>
      <c r="D876" t="s">
        <v>42</v>
      </c>
      <c r="E876" t="s">
        <v>584</v>
      </c>
      <c r="F876" t="s">
        <v>581</v>
      </c>
      <c r="G876" t="s">
        <v>25</v>
      </c>
      <c r="H876">
        <v>9.4340010000000003</v>
      </c>
      <c r="I876">
        <v>8.3177219999999998</v>
      </c>
      <c r="J876">
        <v>8.7608329999999999</v>
      </c>
      <c r="K876">
        <v>8.209956</v>
      </c>
      <c r="L876">
        <v>7.5564470000000004</v>
      </c>
      <c r="M876">
        <v>6.9886220000000003</v>
      </c>
      <c r="N876">
        <v>6.4315199999999999</v>
      </c>
    </row>
    <row r="877" spans="1:14" hidden="1" x14ac:dyDescent="0.35">
      <c r="A877" t="s">
        <v>226</v>
      </c>
      <c r="B877" t="s">
        <v>43</v>
      </c>
      <c r="C877" t="s">
        <v>42</v>
      </c>
      <c r="D877" t="s">
        <v>42</v>
      </c>
      <c r="E877" t="s">
        <v>584</v>
      </c>
      <c r="F877" t="s">
        <v>26</v>
      </c>
      <c r="G877" t="s">
        <v>26</v>
      </c>
      <c r="H877">
        <v>59.704459999999997</v>
      </c>
      <c r="I877">
        <v>52.689190000000004</v>
      </c>
      <c r="J877">
        <v>55.479799999999997</v>
      </c>
      <c r="K877">
        <v>52.01052</v>
      </c>
      <c r="L877">
        <v>47.855600000000003</v>
      </c>
      <c r="M877">
        <v>44.237079999999999</v>
      </c>
      <c r="N877">
        <v>40.99371</v>
      </c>
    </row>
    <row r="878" spans="1:14" hidden="1" x14ac:dyDescent="0.35">
      <c r="A878" t="s">
        <v>226</v>
      </c>
      <c r="B878" t="s">
        <v>43</v>
      </c>
      <c r="C878" t="s">
        <v>229</v>
      </c>
      <c r="D878" t="s">
        <v>229</v>
      </c>
      <c r="E878" t="s">
        <v>584</v>
      </c>
      <c r="F878" t="s">
        <v>26</v>
      </c>
      <c r="G878" t="s">
        <v>26</v>
      </c>
      <c r="H878">
        <v>0</v>
      </c>
      <c r="I878">
        <v>0</v>
      </c>
      <c r="J878">
        <v>0</v>
      </c>
      <c r="K878">
        <v>0</v>
      </c>
      <c r="L878">
        <v>0</v>
      </c>
      <c r="M878">
        <v>0</v>
      </c>
      <c r="N878">
        <v>0</v>
      </c>
    </row>
    <row r="879" spans="1:14" hidden="1" x14ac:dyDescent="0.35">
      <c r="A879" t="s">
        <v>268</v>
      </c>
      <c r="B879" t="s">
        <v>37</v>
      </c>
      <c r="C879" t="s">
        <v>51</v>
      </c>
      <c r="D879" t="s">
        <v>51</v>
      </c>
      <c r="E879" t="s">
        <v>602</v>
      </c>
      <c r="F879" t="s">
        <v>581</v>
      </c>
      <c r="G879" t="s">
        <v>396</v>
      </c>
      <c r="H879">
        <v>148.4657</v>
      </c>
      <c r="I879">
        <v>136.72550000000001</v>
      </c>
      <c r="J879">
        <v>145.97059999999999</v>
      </c>
      <c r="K879">
        <v>122.7724</v>
      </c>
      <c r="L879">
        <v>94.222800000000007</v>
      </c>
      <c r="M879">
        <v>77.799449999999993</v>
      </c>
      <c r="N879">
        <v>67.912030000000001</v>
      </c>
    </row>
    <row r="880" spans="1:14" hidden="1" x14ac:dyDescent="0.35">
      <c r="A880" t="s">
        <v>268</v>
      </c>
      <c r="B880" t="s">
        <v>37</v>
      </c>
      <c r="C880" t="s">
        <v>51</v>
      </c>
      <c r="D880" t="s">
        <v>51</v>
      </c>
      <c r="E880" t="s">
        <v>602</v>
      </c>
      <c r="F880" t="s">
        <v>581</v>
      </c>
      <c r="G880" t="s">
        <v>25</v>
      </c>
      <c r="H880">
        <v>37.772599999999997</v>
      </c>
      <c r="I880">
        <v>35.661700000000003</v>
      </c>
      <c r="J880">
        <v>38.881030000000003</v>
      </c>
      <c r="K880">
        <v>32.817100000000003</v>
      </c>
      <c r="L880">
        <v>25.065660000000001</v>
      </c>
      <c r="M880">
        <v>20.66</v>
      </c>
      <c r="N880">
        <v>18.050280000000001</v>
      </c>
    </row>
    <row r="881" spans="1:14" hidden="1" x14ac:dyDescent="0.35">
      <c r="A881" t="s">
        <v>268</v>
      </c>
      <c r="B881" t="s">
        <v>37</v>
      </c>
      <c r="C881" t="s">
        <v>51</v>
      </c>
      <c r="D881" t="s">
        <v>51</v>
      </c>
      <c r="E881" t="s">
        <v>602</v>
      </c>
      <c r="F881" t="s">
        <v>26</v>
      </c>
      <c r="G881" t="s">
        <v>26</v>
      </c>
      <c r="H881">
        <v>29.908359999999998</v>
      </c>
      <c r="I881">
        <v>28.325890000000001</v>
      </c>
      <c r="J881">
        <v>30.602889999999999</v>
      </c>
      <c r="K881">
        <v>25.82094</v>
      </c>
      <c r="L881">
        <v>19.747109999999999</v>
      </c>
      <c r="M881">
        <v>16.285319999999999</v>
      </c>
      <c r="N881">
        <v>14.22587</v>
      </c>
    </row>
    <row r="882" spans="1:14" hidden="1" x14ac:dyDescent="0.35">
      <c r="A882" t="s">
        <v>268</v>
      </c>
      <c r="B882" t="s">
        <v>37</v>
      </c>
      <c r="C882" t="s">
        <v>51</v>
      </c>
      <c r="D882" t="s">
        <v>51</v>
      </c>
      <c r="E882" t="s">
        <v>584</v>
      </c>
      <c r="F882" t="s">
        <v>581</v>
      </c>
      <c r="G882" t="s">
        <v>396</v>
      </c>
      <c r="H882">
        <v>6.4328760000000003</v>
      </c>
      <c r="I882">
        <v>5.703792</v>
      </c>
      <c r="J882">
        <v>5.1215120000000001</v>
      </c>
      <c r="K882">
        <v>4.6092909999999998</v>
      </c>
      <c r="L882">
        <v>4.1482979999999996</v>
      </c>
      <c r="M882">
        <v>3.7431100000000002</v>
      </c>
      <c r="N882">
        <v>3.3590490000000002</v>
      </c>
    </row>
    <row r="883" spans="1:14" hidden="1" x14ac:dyDescent="0.35">
      <c r="A883" t="s">
        <v>268</v>
      </c>
      <c r="B883" t="s">
        <v>37</v>
      </c>
      <c r="C883" t="s">
        <v>51</v>
      </c>
      <c r="D883" t="s">
        <v>51</v>
      </c>
      <c r="E883" t="s">
        <v>584</v>
      </c>
      <c r="F883" t="s">
        <v>26</v>
      </c>
      <c r="G883" t="s">
        <v>26</v>
      </c>
      <c r="H883">
        <v>0.25616440000000001</v>
      </c>
      <c r="I883">
        <v>0.20216709999999999</v>
      </c>
      <c r="J883">
        <v>0.18142469999999999</v>
      </c>
      <c r="K883">
        <v>0.16327949999999999</v>
      </c>
      <c r="L883">
        <v>0.146948</v>
      </c>
      <c r="M883">
        <v>0.1325945</v>
      </c>
      <c r="N883">
        <v>0.118989</v>
      </c>
    </row>
    <row r="884" spans="1:14" hidden="1" x14ac:dyDescent="0.35">
      <c r="A884" t="s">
        <v>268</v>
      </c>
      <c r="B884" t="s">
        <v>37</v>
      </c>
      <c r="C884" t="s">
        <v>105</v>
      </c>
      <c r="D884" t="s">
        <v>105</v>
      </c>
      <c r="E884" t="s">
        <v>619</v>
      </c>
      <c r="F884" t="s">
        <v>581</v>
      </c>
      <c r="G884" t="s">
        <v>396</v>
      </c>
      <c r="H884">
        <v>11.82709</v>
      </c>
      <c r="I884">
        <v>13.203609999999999</v>
      </c>
      <c r="J884">
        <v>11.23504</v>
      </c>
      <c r="K884">
        <v>8.8225259999999999</v>
      </c>
      <c r="L884">
        <v>7.48665</v>
      </c>
      <c r="M884">
        <v>6.7757639999999997</v>
      </c>
      <c r="N884">
        <v>6.3710459999999998</v>
      </c>
    </row>
    <row r="885" spans="1:14" hidden="1" x14ac:dyDescent="0.35">
      <c r="A885" t="s">
        <v>268</v>
      </c>
      <c r="B885" t="s">
        <v>37</v>
      </c>
      <c r="C885" t="s">
        <v>105</v>
      </c>
      <c r="D885" t="s">
        <v>105</v>
      </c>
      <c r="E885" t="s">
        <v>619</v>
      </c>
      <c r="F885" t="s">
        <v>581</v>
      </c>
      <c r="G885" t="s">
        <v>24</v>
      </c>
      <c r="H885">
        <v>8.4041859999999993</v>
      </c>
      <c r="I885">
        <v>10.25728</v>
      </c>
      <c r="J885">
        <v>8.8600469999999998</v>
      </c>
      <c r="K885">
        <v>7.2377599999999997</v>
      </c>
      <c r="L885">
        <v>6.4112520000000002</v>
      </c>
      <c r="M885">
        <v>6.03261</v>
      </c>
      <c r="N885">
        <v>5.9114990000000001</v>
      </c>
    </row>
    <row r="886" spans="1:14" hidden="1" x14ac:dyDescent="0.35">
      <c r="A886" t="s">
        <v>268</v>
      </c>
      <c r="B886" t="s">
        <v>37</v>
      </c>
      <c r="C886" t="s">
        <v>105</v>
      </c>
      <c r="D886" t="s">
        <v>105</v>
      </c>
      <c r="E886" t="s">
        <v>619</v>
      </c>
      <c r="F886" t="s">
        <v>581</v>
      </c>
      <c r="G886" t="s">
        <v>25</v>
      </c>
      <c r="H886">
        <v>26.71123</v>
      </c>
      <c r="I886">
        <v>29.131789999999999</v>
      </c>
      <c r="J886">
        <v>24.841830000000002</v>
      </c>
      <c r="K886">
        <v>20.372209999999999</v>
      </c>
      <c r="L886">
        <v>18.1233</v>
      </c>
      <c r="M886">
        <v>17.10848</v>
      </c>
      <c r="N886">
        <v>16.820910000000001</v>
      </c>
    </row>
    <row r="887" spans="1:14" hidden="1" x14ac:dyDescent="0.35">
      <c r="A887" t="s">
        <v>268</v>
      </c>
      <c r="B887" t="s">
        <v>37</v>
      </c>
      <c r="C887" t="s">
        <v>105</v>
      </c>
      <c r="D887" t="s">
        <v>105</v>
      </c>
      <c r="E887" t="s">
        <v>619</v>
      </c>
      <c r="F887" t="s">
        <v>26</v>
      </c>
      <c r="G887" t="s">
        <v>26</v>
      </c>
      <c r="H887">
        <v>30.599450000000001</v>
      </c>
      <c r="I887">
        <v>33.290959999999998</v>
      </c>
      <c r="J887">
        <v>28.402699999999999</v>
      </c>
      <c r="K887">
        <v>23.533799999999999</v>
      </c>
      <c r="L887">
        <v>21.557279999999999</v>
      </c>
      <c r="M887">
        <v>20.159300000000002</v>
      </c>
      <c r="N887">
        <v>19.664729999999999</v>
      </c>
    </row>
    <row r="888" spans="1:14" hidden="1" x14ac:dyDescent="0.35">
      <c r="A888" t="s">
        <v>268</v>
      </c>
      <c r="B888" t="s">
        <v>37</v>
      </c>
      <c r="C888" t="s">
        <v>105</v>
      </c>
      <c r="D888" t="s">
        <v>105</v>
      </c>
      <c r="E888" t="s">
        <v>632</v>
      </c>
      <c r="F888" t="s">
        <v>581</v>
      </c>
      <c r="G888" t="s">
        <v>396</v>
      </c>
      <c r="H888">
        <v>10.17863</v>
      </c>
      <c r="I888">
        <v>9.6820679999999992</v>
      </c>
      <c r="J888">
        <v>8.7649840000000001</v>
      </c>
      <c r="K888">
        <v>6.919143</v>
      </c>
      <c r="L888">
        <v>6.0414149999999998</v>
      </c>
      <c r="M888">
        <v>6.0368579999999996</v>
      </c>
      <c r="N888">
        <v>6.7100619999999997</v>
      </c>
    </row>
    <row r="889" spans="1:14" hidden="1" x14ac:dyDescent="0.35">
      <c r="A889" t="s">
        <v>268</v>
      </c>
      <c r="B889" t="s">
        <v>37</v>
      </c>
      <c r="C889" t="s">
        <v>105</v>
      </c>
      <c r="D889" t="s">
        <v>105</v>
      </c>
      <c r="E889" t="s">
        <v>632</v>
      </c>
      <c r="F889" t="s">
        <v>581</v>
      </c>
      <c r="G889" t="s">
        <v>25</v>
      </c>
      <c r="H889">
        <v>18.463560000000001</v>
      </c>
      <c r="I889">
        <v>12.966469999999999</v>
      </c>
      <c r="J889">
        <v>11.686640000000001</v>
      </c>
      <c r="K889">
        <v>9.2255179999999992</v>
      </c>
      <c r="L889">
        <v>8.0552200000000003</v>
      </c>
      <c r="M889">
        <v>8.0491399999999995</v>
      </c>
      <c r="N889">
        <v>8.9467540000000003</v>
      </c>
    </row>
    <row r="890" spans="1:14" hidden="1" x14ac:dyDescent="0.35">
      <c r="A890" t="s">
        <v>268</v>
      </c>
      <c r="B890" t="s">
        <v>37</v>
      </c>
      <c r="C890" t="s">
        <v>105</v>
      </c>
      <c r="D890" t="s">
        <v>105</v>
      </c>
      <c r="E890" t="s">
        <v>632</v>
      </c>
      <c r="F890" t="s">
        <v>26</v>
      </c>
      <c r="G890" t="s">
        <v>26</v>
      </c>
      <c r="H890">
        <v>14.28603</v>
      </c>
      <c r="I890">
        <v>9.7248490000000007</v>
      </c>
      <c r="J890">
        <v>8.7649840000000001</v>
      </c>
      <c r="K890">
        <v>6.919143</v>
      </c>
      <c r="L890">
        <v>6.0414149999999998</v>
      </c>
      <c r="M890">
        <v>6.0368579999999996</v>
      </c>
      <c r="N890">
        <v>6.7100619999999997</v>
      </c>
    </row>
    <row r="891" spans="1:14" hidden="1" x14ac:dyDescent="0.35">
      <c r="A891" t="s">
        <v>268</v>
      </c>
      <c r="B891" t="s">
        <v>37</v>
      </c>
      <c r="C891" t="s">
        <v>105</v>
      </c>
      <c r="D891" t="s">
        <v>105</v>
      </c>
      <c r="E891" t="s">
        <v>656</v>
      </c>
      <c r="F891" t="s">
        <v>581</v>
      </c>
      <c r="G891" t="s">
        <v>396</v>
      </c>
      <c r="H891">
        <v>7.5923290000000003</v>
      </c>
      <c r="I891">
        <v>7.7912220000000003</v>
      </c>
      <c r="J891">
        <v>7.913818</v>
      </c>
      <c r="K891">
        <v>6.6669109999999998</v>
      </c>
      <c r="L891">
        <v>6.003895</v>
      </c>
      <c r="M891">
        <v>5.8377590000000001</v>
      </c>
      <c r="N891">
        <v>5.4828640000000002</v>
      </c>
    </row>
    <row r="892" spans="1:14" hidden="1" x14ac:dyDescent="0.35">
      <c r="A892" t="s">
        <v>268</v>
      </c>
      <c r="B892" t="s">
        <v>37</v>
      </c>
      <c r="C892" t="s">
        <v>105</v>
      </c>
      <c r="D892" t="s">
        <v>105</v>
      </c>
      <c r="E892" t="s">
        <v>656</v>
      </c>
      <c r="F892" t="s">
        <v>581</v>
      </c>
      <c r="G892" t="s">
        <v>24</v>
      </c>
      <c r="H892">
        <v>2.8471229999999998</v>
      </c>
      <c r="I892">
        <v>2.9217089999999999</v>
      </c>
      <c r="J892">
        <v>2.9676830000000001</v>
      </c>
      <c r="K892">
        <v>2.5045250000000001</v>
      </c>
      <c r="L892">
        <v>2.3045330000000002</v>
      </c>
      <c r="M892">
        <v>2.2284130000000002</v>
      </c>
      <c r="N892">
        <v>2.0827309999999999</v>
      </c>
    </row>
    <row r="893" spans="1:14" hidden="1" x14ac:dyDescent="0.35">
      <c r="A893" t="s">
        <v>268</v>
      </c>
      <c r="B893" t="s">
        <v>37</v>
      </c>
      <c r="C893" t="s">
        <v>105</v>
      </c>
      <c r="D893" t="s">
        <v>105</v>
      </c>
      <c r="E893" t="s">
        <v>656</v>
      </c>
      <c r="F893" t="s">
        <v>581</v>
      </c>
      <c r="G893" t="s">
        <v>25</v>
      </c>
      <c r="H893">
        <v>4.2542499999999999</v>
      </c>
      <c r="I893">
        <v>4.2848189999999997</v>
      </c>
      <c r="J893">
        <v>4.3525980000000004</v>
      </c>
      <c r="K893">
        <v>3.6734529999999999</v>
      </c>
      <c r="L893">
        <v>3.381751</v>
      </c>
      <c r="M893">
        <v>3.2696459999999998</v>
      </c>
      <c r="N893">
        <v>3.0555569999999999</v>
      </c>
    </row>
    <row r="894" spans="1:14" hidden="1" x14ac:dyDescent="0.35">
      <c r="A894" t="s">
        <v>268</v>
      </c>
      <c r="B894" t="s">
        <v>37</v>
      </c>
      <c r="C894" t="s">
        <v>105</v>
      </c>
      <c r="D894" t="s">
        <v>105</v>
      </c>
      <c r="E894" t="s">
        <v>656</v>
      </c>
      <c r="F894" t="s">
        <v>26</v>
      </c>
      <c r="G894" t="s">
        <v>26</v>
      </c>
      <c r="H894">
        <v>4.4690409999999998</v>
      </c>
      <c r="I894">
        <v>4.4795889999999998</v>
      </c>
      <c r="J894">
        <v>4.5504470000000001</v>
      </c>
      <c r="K894">
        <v>3.8445610000000001</v>
      </c>
      <c r="L894">
        <v>3.5849229999999999</v>
      </c>
      <c r="M894">
        <v>3.4548420000000002</v>
      </c>
      <c r="N894">
        <v>3.219287</v>
      </c>
    </row>
    <row r="895" spans="1:14" hidden="1" x14ac:dyDescent="0.35">
      <c r="A895" t="s">
        <v>268</v>
      </c>
      <c r="B895" t="s">
        <v>37</v>
      </c>
      <c r="C895" t="s">
        <v>105</v>
      </c>
      <c r="D895" t="s">
        <v>105</v>
      </c>
      <c r="E895" t="s">
        <v>633</v>
      </c>
      <c r="F895" t="s">
        <v>581</v>
      </c>
      <c r="G895" t="s">
        <v>24</v>
      </c>
      <c r="H895">
        <v>0.92482189999999997</v>
      </c>
      <c r="I895">
        <v>0.96646469999999995</v>
      </c>
      <c r="J895">
        <v>1.02105</v>
      </c>
      <c r="K895">
        <v>0.97524549999999999</v>
      </c>
      <c r="L895">
        <v>0.88919890000000001</v>
      </c>
      <c r="M895">
        <v>0.72717200000000004</v>
      </c>
      <c r="N895">
        <v>0.58906570000000003</v>
      </c>
    </row>
    <row r="896" spans="1:14" hidden="1" x14ac:dyDescent="0.35">
      <c r="A896" t="s">
        <v>268</v>
      </c>
      <c r="B896" t="s">
        <v>37</v>
      </c>
      <c r="C896" t="s">
        <v>105</v>
      </c>
      <c r="D896" t="s">
        <v>105</v>
      </c>
      <c r="E896" t="s">
        <v>633</v>
      </c>
      <c r="F896" t="s">
        <v>581</v>
      </c>
      <c r="G896" t="s">
        <v>25</v>
      </c>
      <c r="H896">
        <v>2.132603</v>
      </c>
      <c r="I896">
        <v>1.8224670000000001</v>
      </c>
      <c r="J896">
        <v>1.8962399999999999</v>
      </c>
      <c r="K896">
        <v>1.811172</v>
      </c>
      <c r="L896">
        <v>1.6513709999999999</v>
      </c>
      <c r="M896">
        <v>1.3504620000000001</v>
      </c>
      <c r="N896">
        <v>1.0939829999999999</v>
      </c>
    </row>
    <row r="897" spans="1:14" hidden="1" x14ac:dyDescent="0.35">
      <c r="A897" t="s">
        <v>268</v>
      </c>
      <c r="B897" t="s">
        <v>37</v>
      </c>
      <c r="C897" t="s">
        <v>105</v>
      </c>
      <c r="D897" t="s">
        <v>105</v>
      </c>
      <c r="E897" t="s">
        <v>633</v>
      </c>
      <c r="F897" t="s">
        <v>26</v>
      </c>
      <c r="G897" t="s">
        <v>26</v>
      </c>
      <c r="H897">
        <v>13.36548</v>
      </c>
      <c r="I897">
        <v>11.21519</v>
      </c>
      <c r="J897">
        <v>11.669169999999999</v>
      </c>
      <c r="K897">
        <v>11.145670000000001</v>
      </c>
      <c r="L897">
        <v>10.16229</v>
      </c>
      <c r="M897">
        <v>8.3105349999999998</v>
      </c>
      <c r="N897">
        <v>6.7322030000000002</v>
      </c>
    </row>
    <row r="898" spans="1:14" hidden="1" x14ac:dyDescent="0.35">
      <c r="A898" t="s">
        <v>268</v>
      </c>
      <c r="B898" t="s">
        <v>37</v>
      </c>
      <c r="C898" t="s">
        <v>105</v>
      </c>
      <c r="D898" t="s">
        <v>105</v>
      </c>
      <c r="E898" t="s">
        <v>584</v>
      </c>
      <c r="F898" t="s">
        <v>581</v>
      </c>
      <c r="G898" t="s">
        <v>25</v>
      </c>
      <c r="H898">
        <v>8.5482199999999994E-2</v>
      </c>
      <c r="I898">
        <v>6.8452059999999995E-2</v>
      </c>
      <c r="J898">
        <v>6.1432880000000002E-2</v>
      </c>
      <c r="K898">
        <v>5.5287669999999997E-2</v>
      </c>
      <c r="L898">
        <v>4.9756160000000001E-2</v>
      </c>
      <c r="M898">
        <v>4.4898630000000002E-2</v>
      </c>
      <c r="N898">
        <v>4.0290409999999999E-2</v>
      </c>
    </row>
    <row r="899" spans="1:14" hidden="1" x14ac:dyDescent="0.35">
      <c r="A899" t="s">
        <v>268</v>
      </c>
      <c r="B899" t="s">
        <v>37</v>
      </c>
      <c r="C899" t="s">
        <v>105</v>
      </c>
      <c r="D899" t="s">
        <v>105</v>
      </c>
      <c r="E899" t="s">
        <v>584</v>
      </c>
      <c r="F899" t="s">
        <v>26</v>
      </c>
      <c r="G899" t="s">
        <v>26</v>
      </c>
      <c r="H899">
        <v>0.61369870000000004</v>
      </c>
      <c r="I899">
        <v>0.39345200000000002</v>
      </c>
      <c r="J899">
        <v>0.35308220000000001</v>
      </c>
      <c r="K899">
        <v>0.31776710000000002</v>
      </c>
      <c r="L899">
        <v>0.28598630000000003</v>
      </c>
      <c r="M899">
        <v>0.25805210000000001</v>
      </c>
      <c r="N899">
        <v>0.23157539999999999</v>
      </c>
    </row>
    <row r="900" spans="1:14" hidden="1" x14ac:dyDescent="0.35">
      <c r="A900" t="s">
        <v>268</v>
      </c>
      <c r="B900" t="s">
        <v>37</v>
      </c>
      <c r="C900" t="s">
        <v>105</v>
      </c>
      <c r="D900" t="s">
        <v>105</v>
      </c>
      <c r="E900" t="s">
        <v>658</v>
      </c>
      <c r="F900" t="s">
        <v>581</v>
      </c>
      <c r="G900" t="s">
        <v>25</v>
      </c>
      <c r="H900">
        <v>0</v>
      </c>
      <c r="I900">
        <v>7.6712320000000005E-4</v>
      </c>
      <c r="J900">
        <v>6.8493150000000001E-4</v>
      </c>
      <c r="K900">
        <v>6.1917809999999999E-4</v>
      </c>
      <c r="L900">
        <v>5.5616439999999997E-4</v>
      </c>
      <c r="M900">
        <v>5.0136989999999997E-4</v>
      </c>
      <c r="N900">
        <v>4.4657529999999999E-4</v>
      </c>
    </row>
    <row r="901" spans="1:14" hidden="1" x14ac:dyDescent="0.35">
      <c r="A901" t="s">
        <v>268</v>
      </c>
      <c r="B901" t="s">
        <v>37</v>
      </c>
      <c r="C901" t="s">
        <v>105</v>
      </c>
      <c r="D901" t="s">
        <v>105</v>
      </c>
      <c r="E901" t="s">
        <v>658</v>
      </c>
      <c r="F901" t="s">
        <v>26</v>
      </c>
      <c r="G901" t="s">
        <v>26</v>
      </c>
      <c r="H901">
        <v>1.8082190000000001E-2</v>
      </c>
      <c r="I901">
        <v>1.449863E-2</v>
      </c>
      <c r="J901">
        <v>1.30137E-2</v>
      </c>
      <c r="K901">
        <v>1.1709590000000001E-2</v>
      </c>
      <c r="L901">
        <v>1.0539730000000001E-2</v>
      </c>
      <c r="M901">
        <v>9.5095890000000006E-3</v>
      </c>
      <c r="N901">
        <v>8.534247E-3</v>
      </c>
    </row>
    <row r="902" spans="1:14" hidden="1" x14ac:dyDescent="0.35">
      <c r="A902" t="s">
        <v>268</v>
      </c>
      <c r="B902" t="s">
        <v>37</v>
      </c>
      <c r="C902" t="s">
        <v>86</v>
      </c>
      <c r="D902" t="s">
        <v>86</v>
      </c>
      <c r="E902" t="s">
        <v>619</v>
      </c>
      <c r="F902" t="s">
        <v>581</v>
      </c>
      <c r="G902" t="s">
        <v>24</v>
      </c>
      <c r="H902">
        <v>0.68245480000000003</v>
      </c>
      <c r="I902">
        <v>0.91694640000000005</v>
      </c>
      <c r="J902">
        <v>0.95724500000000001</v>
      </c>
      <c r="K902">
        <v>0.90528059999999999</v>
      </c>
      <c r="L902">
        <v>0.87341270000000004</v>
      </c>
      <c r="M902">
        <v>0.7571869</v>
      </c>
      <c r="N902">
        <v>0.63098030000000005</v>
      </c>
    </row>
    <row r="903" spans="1:14" hidden="1" x14ac:dyDescent="0.35">
      <c r="A903" t="s">
        <v>268</v>
      </c>
      <c r="B903" t="s">
        <v>37</v>
      </c>
      <c r="C903" t="s">
        <v>86</v>
      </c>
      <c r="D903" t="s">
        <v>86</v>
      </c>
      <c r="E903" t="s">
        <v>619</v>
      </c>
      <c r="F903" t="s">
        <v>581</v>
      </c>
      <c r="G903" t="s">
        <v>25</v>
      </c>
      <c r="H903">
        <v>0.26520549999999998</v>
      </c>
      <c r="I903">
        <v>0.3105677</v>
      </c>
      <c r="J903">
        <v>0.3190849</v>
      </c>
      <c r="K903">
        <v>0.30175619999999997</v>
      </c>
      <c r="L903">
        <v>0.29113430000000001</v>
      </c>
      <c r="M903">
        <v>0.25239400000000001</v>
      </c>
      <c r="N903">
        <v>0.21032600000000001</v>
      </c>
    </row>
    <row r="904" spans="1:14" hidden="1" x14ac:dyDescent="0.35">
      <c r="A904" t="s">
        <v>268</v>
      </c>
      <c r="B904" t="s">
        <v>37</v>
      </c>
      <c r="C904" t="s">
        <v>86</v>
      </c>
      <c r="D904" t="s">
        <v>86</v>
      </c>
      <c r="E904" t="s">
        <v>619</v>
      </c>
      <c r="F904" t="s">
        <v>26</v>
      </c>
      <c r="G904" t="s">
        <v>26</v>
      </c>
      <c r="H904">
        <v>1.5934250000000001</v>
      </c>
      <c r="I904">
        <v>1.8634189999999999</v>
      </c>
      <c r="J904">
        <v>1.914487</v>
      </c>
      <c r="K904">
        <v>1.810559</v>
      </c>
      <c r="L904">
        <v>1.7468300000000001</v>
      </c>
      <c r="M904">
        <v>1.5143720000000001</v>
      </c>
      <c r="N904">
        <v>1.2619610000000001</v>
      </c>
    </row>
    <row r="905" spans="1:14" hidden="1" x14ac:dyDescent="0.35">
      <c r="A905" t="s">
        <v>268</v>
      </c>
      <c r="B905" t="s">
        <v>37</v>
      </c>
      <c r="C905" t="s">
        <v>269</v>
      </c>
      <c r="D905" t="s">
        <v>269</v>
      </c>
      <c r="E905" t="s">
        <v>584</v>
      </c>
      <c r="F905" t="s">
        <v>581</v>
      </c>
      <c r="G905" t="s">
        <v>396</v>
      </c>
      <c r="H905">
        <v>7.6712329999999995E-2</v>
      </c>
      <c r="I905">
        <v>9.434795E-2</v>
      </c>
      <c r="J905">
        <v>0.12592329999999999</v>
      </c>
      <c r="K905">
        <v>9.8315070000000004E-2</v>
      </c>
      <c r="L905">
        <v>7.3145210000000002E-2</v>
      </c>
      <c r="M905">
        <v>6.0978079999999997E-2</v>
      </c>
      <c r="N905">
        <v>5.2438350000000002E-2</v>
      </c>
    </row>
    <row r="906" spans="1:14" hidden="1" x14ac:dyDescent="0.35">
      <c r="A906" t="s">
        <v>268</v>
      </c>
      <c r="B906" t="s">
        <v>37</v>
      </c>
      <c r="C906" t="s">
        <v>269</v>
      </c>
      <c r="D906" t="s">
        <v>269</v>
      </c>
      <c r="E906" t="s">
        <v>584</v>
      </c>
      <c r="F906" t="s">
        <v>581</v>
      </c>
      <c r="G906" t="s">
        <v>25</v>
      </c>
      <c r="H906">
        <v>2.1917809999999999E-3</v>
      </c>
      <c r="I906">
        <v>2.5178079999999999E-3</v>
      </c>
      <c r="J906">
        <v>3.361644E-3</v>
      </c>
      <c r="K906">
        <v>2.6191779999999998E-3</v>
      </c>
      <c r="L906">
        <v>1.9561639999999998E-3</v>
      </c>
      <c r="M906">
        <v>1.627397E-3</v>
      </c>
      <c r="N906">
        <v>1.39726E-3</v>
      </c>
    </row>
    <row r="907" spans="1:14" hidden="1" x14ac:dyDescent="0.35">
      <c r="A907" t="s">
        <v>268</v>
      </c>
      <c r="B907" t="s">
        <v>37</v>
      </c>
      <c r="C907" t="s">
        <v>269</v>
      </c>
      <c r="D907" t="s">
        <v>269</v>
      </c>
      <c r="E907" t="s">
        <v>584</v>
      </c>
      <c r="F907" t="s">
        <v>26</v>
      </c>
      <c r="G907" t="s">
        <v>26</v>
      </c>
      <c r="H907">
        <v>2.6301370000000001E-2</v>
      </c>
      <c r="I907">
        <v>2.8934250000000002E-2</v>
      </c>
      <c r="J907">
        <v>3.8616440000000002E-2</v>
      </c>
      <c r="K907">
        <v>3.0150690000000001E-2</v>
      </c>
      <c r="L907">
        <v>2.2430140000000001E-2</v>
      </c>
      <c r="M907">
        <v>1.8698630000000001E-2</v>
      </c>
      <c r="N907">
        <v>1.608219E-2</v>
      </c>
    </row>
    <row r="908" spans="1:14" hidden="1" x14ac:dyDescent="0.35">
      <c r="A908" t="s">
        <v>268</v>
      </c>
      <c r="B908" t="s">
        <v>37</v>
      </c>
      <c r="C908" t="s">
        <v>79</v>
      </c>
      <c r="D908" t="s">
        <v>79</v>
      </c>
      <c r="E908" t="s">
        <v>584</v>
      </c>
      <c r="F908" t="s">
        <v>581</v>
      </c>
      <c r="G908" t="s">
        <v>396</v>
      </c>
      <c r="H908">
        <v>3.0684929999999999E-2</v>
      </c>
      <c r="I908">
        <v>2.6608219999999998E-2</v>
      </c>
      <c r="J908">
        <v>2.3876709999999999E-2</v>
      </c>
      <c r="K908">
        <v>2.1490410000000001E-2</v>
      </c>
      <c r="L908">
        <v>1.9339729999999999E-2</v>
      </c>
      <c r="M908">
        <v>1.745205E-2</v>
      </c>
      <c r="N908">
        <v>1.566027E-2</v>
      </c>
    </row>
    <row r="909" spans="1:14" hidden="1" x14ac:dyDescent="0.35">
      <c r="A909" t="s">
        <v>268</v>
      </c>
      <c r="B909" t="s">
        <v>37</v>
      </c>
      <c r="C909" t="s">
        <v>79</v>
      </c>
      <c r="D909" t="s">
        <v>79</v>
      </c>
      <c r="E909" t="s">
        <v>584</v>
      </c>
      <c r="F909" t="s">
        <v>26</v>
      </c>
      <c r="G909" t="s">
        <v>26</v>
      </c>
      <c r="H909">
        <v>7.890411E-2</v>
      </c>
      <c r="I909">
        <v>6.2084930000000003E-2</v>
      </c>
      <c r="J909">
        <v>5.571508E-2</v>
      </c>
      <c r="K909">
        <v>5.014246E-2</v>
      </c>
      <c r="L909">
        <v>4.5128769999999999E-2</v>
      </c>
      <c r="M909">
        <v>4.0720550000000001E-2</v>
      </c>
      <c r="N909">
        <v>3.6542459999999999E-2</v>
      </c>
    </row>
    <row r="910" spans="1:14" hidden="1" x14ac:dyDescent="0.35">
      <c r="A910" t="s">
        <v>268</v>
      </c>
      <c r="B910" t="s">
        <v>37</v>
      </c>
      <c r="C910" t="s">
        <v>63</v>
      </c>
      <c r="D910" t="s">
        <v>63</v>
      </c>
      <c r="E910" t="s">
        <v>608</v>
      </c>
      <c r="F910" t="s">
        <v>581</v>
      </c>
      <c r="G910" t="s">
        <v>25</v>
      </c>
      <c r="K910">
        <v>0</v>
      </c>
      <c r="L910">
        <v>3.6602740000000003E-4</v>
      </c>
      <c r="M910">
        <v>4.4969859999999997E-3</v>
      </c>
      <c r="N910">
        <v>2.5134250000000001E-3</v>
      </c>
    </row>
    <row r="911" spans="1:14" hidden="1" x14ac:dyDescent="0.35">
      <c r="A911" t="s">
        <v>268</v>
      </c>
      <c r="B911" t="s">
        <v>37</v>
      </c>
      <c r="C911" t="s">
        <v>63</v>
      </c>
      <c r="D911" t="s">
        <v>63</v>
      </c>
      <c r="E911" t="s">
        <v>608</v>
      </c>
      <c r="F911" t="s">
        <v>26</v>
      </c>
      <c r="G911" t="s">
        <v>26</v>
      </c>
      <c r="K911">
        <v>0</v>
      </c>
      <c r="L911">
        <v>1.7977529999999999E-2</v>
      </c>
      <c r="M911">
        <v>0.22042580000000001</v>
      </c>
      <c r="N911">
        <v>0.1231715</v>
      </c>
    </row>
    <row r="912" spans="1:14" hidden="1" x14ac:dyDescent="0.35">
      <c r="A912" t="s">
        <v>268</v>
      </c>
      <c r="B912" t="s">
        <v>37</v>
      </c>
      <c r="C912" t="s">
        <v>251</v>
      </c>
      <c r="D912" t="s">
        <v>251</v>
      </c>
      <c r="E912" t="s">
        <v>584</v>
      </c>
      <c r="F912" t="s">
        <v>581</v>
      </c>
      <c r="G912" t="s">
        <v>396</v>
      </c>
      <c r="H912">
        <v>8.3287669999999999E-4</v>
      </c>
      <c r="I912">
        <v>0</v>
      </c>
    </row>
    <row r="913" spans="1:14" hidden="1" x14ac:dyDescent="0.35">
      <c r="A913" t="s">
        <v>268</v>
      </c>
      <c r="B913" t="s">
        <v>37</v>
      </c>
      <c r="C913" t="s">
        <v>251</v>
      </c>
      <c r="D913" t="s">
        <v>251</v>
      </c>
      <c r="E913" t="s">
        <v>584</v>
      </c>
      <c r="F913" t="s">
        <v>581</v>
      </c>
      <c r="G913" t="s">
        <v>24</v>
      </c>
      <c r="H913">
        <v>8.3561639999999999E-4</v>
      </c>
      <c r="I913">
        <v>0</v>
      </c>
    </row>
    <row r="914" spans="1:14" hidden="1" x14ac:dyDescent="0.35">
      <c r="A914" t="s">
        <v>268</v>
      </c>
      <c r="B914" t="s">
        <v>37</v>
      </c>
      <c r="C914" t="s">
        <v>251</v>
      </c>
      <c r="D914" t="s">
        <v>251</v>
      </c>
      <c r="E914" t="s">
        <v>584</v>
      </c>
      <c r="F914" t="s">
        <v>26</v>
      </c>
      <c r="G914" t="s">
        <v>26</v>
      </c>
      <c r="H914">
        <v>0.10501919999999999</v>
      </c>
      <c r="I914">
        <v>0.1029397</v>
      </c>
      <c r="J914">
        <v>0.1008849</v>
      </c>
      <c r="K914">
        <v>0</v>
      </c>
      <c r="L914">
        <v>0</v>
      </c>
      <c r="M914">
        <v>0</v>
      </c>
      <c r="N914">
        <v>0</v>
      </c>
    </row>
    <row r="915" spans="1:14" hidden="1" x14ac:dyDescent="0.35">
      <c r="A915" t="s">
        <v>268</v>
      </c>
      <c r="B915" t="s">
        <v>37</v>
      </c>
      <c r="C915" t="s">
        <v>118</v>
      </c>
      <c r="D915" t="s">
        <v>118</v>
      </c>
      <c r="E915" t="s">
        <v>659</v>
      </c>
      <c r="F915" t="s">
        <v>581</v>
      </c>
      <c r="G915" t="s">
        <v>25</v>
      </c>
      <c r="L915">
        <v>0</v>
      </c>
      <c r="M915">
        <v>3.1894609999999998E-11</v>
      </c>
      <c r="N915">
        <v>6.3789219999999996E-11</v>
      </c>
    </row>
    <row r="916" spans="1:14" hidden="1" x14ac:dyDescent="0.35">
      <c r="A916" t="s">
        <v>268</v>
      </c>
      <c r="B916" t="s">
        <v>37</v>
      </c>
      <c r="C916" t="s">
        <v>118</v>
      </c>
      <c r="D916" t="s">
        <v>118</v>
      </c>
      <c r="E916" t="s">
        <v>659</v>
      </c>
      <c r="F916" t="s">
        <v>26</v>
      </c>
      <c r="G916" t="s">
        <v>26</v>
      </c>
      <c r="L916">
        <v>0</v>
      </c>
      <c r="M916">
        <v>0</v>
      </c>
      <c r="N916">
        <v>0</v>
      </c>
    </row>
    <row r="917" spans="1:14" hidden="1" x14ac:dyDescent="0.35">
      <c r="A917" t="s">
        <v>268</v>
      </c>
      <c r="B917" t="s">
        <v>37</v>
      </c>
      <c r="C917" t="s">
        <v>205</v>
      </c>
      <c r="D917" t="s">
        <v>205</v>
      </c>
      <c r="E917" t="s">
        <v>611</v>
      </c>
      <c r="F917" t="s">
        <v>581</v>
      </c>
      <c r="G917" t="s">
        <v>25</v>
      </c>
      <c r="M917">
        <v>0</v>
      </c>
      <c r="N917">
        <v>0</v>
      </c>
    </row>
    <row r="918" spans="1:14" hidden="1" x14ac:dyDescent="0.35">
      <c r="A918" t="s">
        <v>268</v>
      </c>
      <c r="B918" t="s">
        <v>37</v>
      </c>
      <c r="C918" t="s">
        <v>205</v>
      </c>
      <c r="D918" t="s">
        <v>205</v>
      </c>
      <c r="E918" t="s">
        <v>611</v>
      </c>
      <c r="F918" t="s">
        <v>26</v>
      </c>
      <c r="G918" t="s">
        <v>26</v>
      </c>
      <c r="M918">
        <v>0</v>
      </c>
      <c r="N918">
        <v>0</v>
      </c>
    </row>
    <row r="919" spans="1:14" hidden="1" x14ac:dyDescent="0.35">
      <c r="A919" t="s">
        <v>250</v>
      </c>
      <c r="B919" t="s">
        <v>37</v>
      </c>
      <c r="C919" t="s">
        <v>35</v>
      </c>
      <c r="D919" t="s">
        <v>36</v>
      </c>
      <c r="E919" t="s">
        <v>589</v>
      </c>
      <c r="F919" t="s">
        <v>581</v>
      </c>
      <c r="G919" t="s">
        <v>396</v>
      </c>
      <c r="H919">
        <v>115.29859999999999</v>
      </c>
      <c r="I919">
        <v>121.1114</v>
      </c>
      <c r="J919">
        <v>139.4365</v>
      </c>
      <c r="K919">
        <v>127.88079999999999</v>
      </c>
      <c r="L919">
        <v>111.0085</v>
      </c>
      <c r="M919">
        <v>94.604619999999997</v>
      </c>
      <c r="N919">
        <v>82.568889999999996</v>
      </c>
    </row>
    <row r="920" spans="1:14" hidden="1" x14ac:dyDescent="0.35">
      <c r="A920" t="s">
        <v>250</v>
      </c>
      <c r="B920" t="s">
        <v>37</v>
      </c>
      <c r="C920" t="s">
        <v>35</v>
      </c>
      <c r="D920" t="s">
        <v>36</v>
      </c>
      <c r="E920" t="s">
        <v>589</v>
      </c>
      <c r="F920" t="s">
        <v>581</v>
      </c>
      <c r="G920" t="s">
        <v>25</v>
      </c>
      <c r="H920">
        <v>39.774239999999999</v>
      </c>
      <c r="I920">
        <v>41.715249999999997</v>
      </c>
      <c r="J920">
        <v>48.002740000000003</v>
      </c>
      <c r="K920">
        <v>44.024529999999999</v>
      </c>
      <c r="L920">
        <v>38.21604</v>
      </c>
      <c r="M920">
        <v>32.568800000000003</v>
      </c>
      <c r="N920">
        <v>28.425350000000002</v>
      </c>
    </row>
    <row r="921" spans="1:14" hidden="1" x14ac:dyDescent="0.35">
      <c r="A921" t="s">
        <v>250</v>
      </c>
      <c r="B921" t="s">
        <v>37</v>
      </c>
      <c r="C921" t="s">
        <v>35</v>
      </c>
      <c r="D921" t="s">
        <v>36</v>
      </c>
      <c r="E921" t="s">
        <v>589</v>
      </c>
      <c r="F921" t="s">
        <v>26</v>
      </c>
      <c r="G921" t="s">
        <v>26</v>
      </c>
      <c r="H921">
        <v>33.229590000000002</v>
      </c>
      <c r="I921">
        <v>35.755929999999999</v>
      </c>
      <c r="J921">
        <v>41.145200000000003</v>
      </c>
      <c r="K921">
        <v>37.735309999999998</v>
      </c>
      <c r="L921">
        <v>32.756619999999998</v>
      </c>
      <c r="M921">
        <v>27.91611</v>
      </c>
      <c r="N921">
        <v>24.36459</v>
      </c>
    </row>
    <row r="922" spans="1:14" hidden="1" x14ac:dyDescent="0.35">
      <c r="A922" t="s">
        <v>250</v>
      </c>
      <c r="B922" t="s">
        <v>37</v>
      </c>
      <c r="C922" t="s">
        <v>35</v>
      </c>
      <c r="D922" t="s">
        <v>36</v>
      </c>
      <c r="E922" t="s">
        <v>590</v>
      </c>
      <c r="F922" t="s">
        <v>581</v>
      </c>
      <c r="G922" t="s">
        <v>396</v>
      </c>
      <c r="H922">
        <v>38.167670000000001</v>
      </c>
      <c r="I922">
        <v>35.012090000000001</v>
      </c>
      <c r="J922">
        <v>29.20241</v>
      </c>
      <c r="K922">
        <v>24.694780000000002</v>
      </c>
      <c r="L922">
        <v>21.292259999999999</v>
      </c>
      <c r="M922">
        <v>18.281890000000001</v>
      </c>
      <c r="N922">
        <v>15.89251</v>
      </c>
    </row>
    <row r="923" spans="1:14" hidden="1" x14ac:dyDescent="0.35">
      <c r="A923" t="s">
        <v>250</v>
      </c>
      <c r="B923" t="s">
        <v>37</v>
      </c>
      <c r="C923" t="s">
        <v>35</v>
      </c>
      <c r="D923" t="s">
        <v>36</v>
      </c>
      <c r="E923" t="s">
        <v>590</v>
      </c>
      <c r="F923" t="s">
        <v>581</v>
      </c>
      <c r="G923" t="s">
        <v>25</v>
      </c>
      <c r="H923">
        <v>12.337529999999999</v>
      </c>
      <c r="I923">
        <v>11.289569999999999</v>
      </c>
      <c r="J923">
        <v>9.4201350000000001</v>
      </c>
      <c r="K923">
        <v>7.9660650000000004</v>
      </c>
      <c r="L923">
        <v>6.8684710000000004</v>
      </c>
      <c r="M923">
        <v>5.8973849999999999</v>
      </c>
      <c r="N923">
        <v>5.1266160000000003</v>
      </c>
    </row>
    <row r="924" spans="1:14" hidden="1" x14ac:dyDescent="0.35">
      <c r="A924" t="s">
        <v>250</v>
      </c>
      <c r="B924" t="s">
        <v>37</v>
      </c>
      <c r="C924" t="s">
        <v>35</v>
      </c>
      <c r="D924" t="s">
        <v>36</v>
      </c>
      <c r="E924" t="s">
        <v>590</v>
      </c>
      <c r="F924" t="s">
        <v>26</v>
      </c>
      <c r="G924" t="s">
        <v>26</v>
      </c>
      <c r="H924">
        <v>10.82301</v>
      </c>
      <c r="I924">
        <v>10.16062</v>
      </c>
      <c r="J924">
        <v>8.4781180000000003</v>
      </c>
      <c r="K924">
        <v>7.1694550000000001</v>
      </c>
      <c r="L924">
        <v>6.1816250000000004</v>
      </c>
      <c r="M924">
        <v>5.3076439999999998</v>
      </c>
      <c r="N924">
        <v>4.6139559999999999</v>
      </c>
    </row>
    <row r="925" spans="1:14" hidden="1" x14ac:dyDescent="0.35">
      <c r="A925" t="s">
        <v>250</v>
      </c>
      <c r="B925" t="s">
        <v>37</v>
      </c>
      <c r="C925" t="s">
        <v>35</v>
      </c>
      <c r="D925" t="s">
        <v>36</v>
      </c>
      <c r="E925" t="s">
        <v>588</v>
      </c>
      <c r="F925" t="s">
        <v>581</v>
      </c>
      <c r="G925" t="s">
        <v>396</v>
      </c>
      <c r="H925">
        <v>35.484929999999999</v>
      </c>
      <c r="I925">
        <v>36.208419999999997</v>
      </c>
      <c r="J925">
        <v>28.80818</v>
      </c>
      <c r="K925">
        <v>23.298010000000001</v>
      </c>
      <c r="L925">
        <v>19.23601</v>
      </c>
      <c r="M925">
        <v>15.51932</v>
      </c>
      <c r="N925">
        <v>13.10829</v>
      </c>
    </row>
    <row r="926" spans="1:14" hidden="1" x14ac:dyDescent="0.35">
      <c r="A926" t="s">
        <v>250</v>
      </c>
      <c r="B926" t="s">
        <v>37</v>
      </c>
      <c r="C926" t="s">
        <v>35</v>
      </c>
      <c r="D926" t="s">
        <v>36</v>
      </c>
      <c r="E926" t="s">
        <v>588</v>
      </c>
      <c r="F926" t="s">
        <v>581</v>
      </c>
      <c r="G926" t="s">
        <v>25</v>
      </c>
      <c r="H926">
        <v>11.850960000000001</v>
      </c>
      <c r="I926">
        <v>12.066319999999999</v>
      </c>
      <c r="J926">
        <v>9.6027240000000003</v>
      </c>
      <c r="K926">
        <v>7.7660010000000002</v>
      </c>
      <c r="L926">
        <v>6.4120030000000003</v>
      </c>
      <c r="M926">
        <v>5.1731090000000002</v>
      </c>
      <c r="N926">
        <v>4.3694300000000004</v>
      </c>
    </row>
    <row r="927" spans="1:14" hidden="1" x14ac:dyDescent="0.35">
      <c r="A927" t="s">
        <v>250</v>
      </c>
      <c r="B927" t="s">
        <v>37</v>
      </c>
      <c r="C927" t="s">
        <v>35</v>
      </c>
      <c r="D927" t="s">
        <v>36</v>
      </c>
      <c r="E927" t="s">
        <v>588</v>
      </c>
      <c r="F927" t="s">
        <v>26</v>
      </c>
      <c r="G927" t="s">
        <v>26</v>
      </c>
      <c r="H927">
        <v>8.8021919999999998</v>
      </c>
      <c r="I927">
        <v>9.1933880000000006</v>
      </c>
      <c r="J927">
        <v>7.3163629999999999</v>
      </c>
      <c r="K927">
        <v>5.9169539999999996</v>
      </c>
      <c r="L927">
        <v>4.8853340000000003</v>
      </c>
      <c r="M927">
        <v>3.9414159999999998</v>
      </c>
      <c r="N927">
        <v>3.329088</v>
      </c>
    </row>
    <row r="928" spans="1:14" hidden="1" x14ac:dyDescent="0.35">
      <c r="A928" t="s">
        <v>250</v>
      </c>
      <c r="B928" t="s">
        <v>37</v>
      </c>
      <c r="C928" t="s">
        <v>35</v>
      </c>
      <c r="D928" t="s">
        <v>36</v>
      </c>
      <c r="E928" t="s">
        <v>584</v>
      </c>
      <c r="F928" t="s">
        <v>581</v>
      </c>
      <c r="G928" t="s">
        <v>396</v>
      </c>
      <c r="H928">
        <v>15.162739999999999</v>
      </c>
      <c r="I928">
        <v>13.9282</v>
      </c>
      <c r="J928">
        <v>13.18661</v>
      </c>
      <c r="K928">
        <v>12.29468</v>
      </c>
      <c r="L928">
        <v>11.194319999999999</v>
      </c>
      <c r="M928">
        <v>10.079359999999999</v>
      </c>
      <c r="N928">
        <v>8.9627119999999998</v>
      </c>
    </row>
    <row r="929" spans="1:14" hidden="1" x14ac:dyDescent="0.35">
      <c r="A929" t="s">
        <v>250</v>
      </c>
      <c r="B929" t="s">
        <v>37</v>
      </c>
      <c r="C929" t="s">
        <v>35</v>
      </c>
      <c r="D929" t="s">
        <v>36</v>
      </c>
      <c r="E929" t="s">
        <v>584</v>
      </c>
      <c r="F929" t="s">
        <v>581</v>
      </c>
      <c r="G929" t="s">
        <v>25</v>
      </c>
      <c r="H929">
        <v>4.7145229999999998</v>
      </c>
      <c r="I929">
        <v>4.2005619999999997</v>
      </c>
      <c r="J929">
        <v>3.976918</v>
      </c>
      <c r="K929">
        <v>3.7079200000000001</v>
      </c>
      <c r="L929">
        <v>3.3760599999999998</v>
      </c>
      <c r="M929">
        <v>3.0398079999999998</v>
      </c>
      <c r="N929">
        <v>2.7030379999999998</v>
      </c>
    </row>
    <row r="930" spans="1:14" hidden="1" x14ac:dyDescent="0.35">
      <c r="A930" t="s">
        <v>250</v>
      </c>
      <c r="B930" t="s">
        <v>37</v>
      </c>
      <c r="C930" t="s">
        <v>35</v>
      </c>
      <c r="D930" t="s">
        <v>36</v>
      </c>
      <c r="E930" t="s">
        <v>584</v>
      </c>
      <c r="F930" t="s">
        <v>26</v>
      </c>
      <c r="G930" t="s">
        <v>26</v>
      </c>
      <c r="H930">
        <v>4.3528770000000003</v>
      </c>
      <c r="I930">
        <v>3.979482</v>
      </c>
      <c r="J930">
        <v>3.7676029999999998</v>
      </c>
      <c r="K930">
        <v>3.5127670000000002</v>
      </c>
      <c r="L930">
        <v>3.198375</v>
      </c>
      <c r="M930">
        <v>2.8798189999999999</v>
      </c>
      <c r="N930">
        <v>2.5607760000000002</v>
      </c>
    </row>
    <row r="931" spans="1:14" hidden="1" x14ac:dyDescent="0.35">
      <c r="A931" t="s">
        <v>250</v>
      </c>
      <c r="B931" t="s">
        <v>37</v>
      </c>
      <c r="C931" t="s">
        <v>35</v>
      </c>
      <c r="D931" t="s">
        <v>36</v>
      </c>
      <c r="E931" t="s">
        <v>660</v>
      </c>
      <c r="F931" t="s">
        <v>581</v>
      </c>
      <c r="G931" t="s">
        <v>396</v>
      </c>
      <c r="H931">
        <v>6.9917809999999996</v>
      </c>
      <c r="I931">
        <v>5.6405260000000004</v>
      </c>
      <c r="J931">
        <v>4.9537370000000003</v>
      </c>
      <c r="K931">
        <v>4.3512029999999999</v>
      </c>
      <c r="L931">
        <v>3.8272059999999999</v>
      </c>
      <c r="M931">
        <v>3.376255</v>
      </c>
      <c r="N931">
        <v>2.9656250000000002</v>
      </c>
    </row>
    <row r="932" spans="1:14" hidden="1" x14ac:dyDescent="0.35">
      <c r="A932" t="s">
        <v>250</v>
      </c>
      <c r="B932" t="s">
        <v>37</v>
      </c>
      <c r="C932" t="s">
        <v>35</v>
      </c>
      <c r="D932" t="s">
        <v>36</v>
      </c>
      <c r="E932" t="s">
        <v>660</v>
      </c>
      <c r="F932" t="s">
        <v>581</v>
      </c>
      <c r="G932" t="s">
        <v>25</v>
      </c>
      <c r="H932">
        <v>2.4460280000000001</v>
      </c>
      <c r="I932">
        <v>1.9697309999999999</v>
      </c>
      <c r="J932">
        <v>1.7298789999999999</v>
      </c>
      <c r="K932">
        <v>1.519466</v>
      </c>
      <c r="L932">
        <v>1.3364819999999999</v>
      </c>
      <c r="M932">
        <v>1.1790080000000001</v>
      </c>
      <c r="N932">
        <v>1.035614</v>
      </c>
    </row>
    <row r="933" spans="1:14" hidden="1" x14ac:dyDescent="0.35">
      <c r="A933" t="s">
        <v>250</v>
      </c>
      <c r="B933" t="s">
        <v>37</v>
      </c>
      <c r="C933" t="s">
        <v>35</v>
      </c>
      <c r="D933" t="s">
        <v>36</v>
      </c>
      <c r="E933" t="s">
        <v>660</v>
      </c>
      <c r="F933" t="s">
        <v>26</v>
      </c>
      <c r="G933" t="s">
        <v>26</v>
      </c>
      <c r="H933">
        <v>1.626301</v>
      </c>
      <c r="I933">
        <v>1.343</v>
      </c>
      <c r="J933">
        <v>1.17946</v>
      </c>
      <c r="K933">
        <v>1.036</v>
      </c>
      <c r="L933">
        <v>0.9112384</v>
      </c>
      <c r="M933">
        <v>0.80387120000000001</v>
      </c>
      <c r="N933">
        <v>0.70610139999999999</v>
      </c>
    </row>
    <row r="934" spans="1:14" hidden="1" x14ac:dyDescent="0.35">
      <c r="A934" t="s">
        <v>250</v>
      </c>
      <c r="B934" t="s">
        <v>37</v>
      </c>
      <c r="C934" t="s">
        <v>114</v>
      </c>
      <c r="D934" t="s">
        <v>114</v>
      </c>
      <c r="E934" t="s">
        <v>584</v>
      </c>
      <c r="F934" t="s">
        <v>581</v>
      </c>
      <c r="G934" t="s">
        <v>396</v>
      </c>
      <c r="H934">
        <v>0.61609590000000003</v>
      </c>
      <c r="I934">
        <v>0.41298079999999998</v>
      </c>
      <c r="J934">
        <v>0.27683010000000002</v>
      </c>
      <c r="K934">
        <v>0.18556439999999999</v>
      </c>
      <c r="L934">
        <v>0.12438630000000001</v>
      </c>
      <c r="M934">
        <v>8.3380819999999994E-2</v>
      </c>
      <c r="N934">
        <v>5.5890410000000001E-2</v>
      </c>
    </row>
    <row r="935" spans="1:14" hidden="1" x14ac:dyDescent="0.35">
      <c r="A935" t="s">
        <v>250</v>
      </c>
      <c r="B935" t="s">
        <v>37</v>
      </c>
      <c r="C935" t="s">
        <v>114</v>
      </c>
      <c r="D935" t="s">
        <v>114</v>
      </c>
      <c r="E935" t="s">
        <v>584</v>
      </c>
      <c r="F935" t="s">
        <v>26</v>
      </c>
      <c r="G935" t="s">
        <v>26</v>
      </c>
      <c r="H935">
        <v>0.50342469999999995</v>
      </c>
      <c r="I935">
        <v>0.3374548</v>
      </c>
      <c r="J935">
        <v>0.22620270000000001</v>
      </c>
      <c r="K935">
        <v>0.1516274</v>
      </c>
      <c r="L935">
        <v>0.1016384</v>
      </c>
      <c r="M935">
        <v>6.8131510000000006E-2</v>
      </c>
      <c r="N935">
        <v>4.5668489999999999E-2</v>
      </c>
    </row>
    <row r="936" spans="1:14" hidden="1" x14ac:dyDescent="0.35">
      <c r="A936" t="s">
        <v>222</v>
      </c>
      <c r="B936" t="s">
        <v>37</v>
      </c>
      <c r="C936" t="s">
        <v>51</v>
      </c>
      <c r="D936" t="s">
        <v>51</v>
      </c>
      <c r="E936" t="s">
        <v>602</v>
      </c>
      <c r="F936" t="s">
        <v>581</v>
      </c>
      <c r="G936" t="s">
        <v>396</v>
      </c>
      <c r="H936">
        <v>93.400540000000007</v>
      </c>
      <c r="I936">
        <v>99.374790000000004</v>
      </c>
      <c r="J936">
        <v>78.757130000000004</v>
      </c>
      <c r="K936">
        <v>58.511789999999998</v>
      </c>
      <c r="L936">
        <v>48.30838</v>
      </c>
      <c r="M936">
        <v>39.574039999999997</v>
      </c>
      <c r="N936">
        <v>32.888330000000003</v>
      </c>
    </row>
    <row r="937" spans="1:14" hidden="1" x14ac:dyDescent="0.35">
      <c r="A937" t="s">
        <v>222</v>
      </c>
      <c r="B937" t="s">
        <v>37</v>
      </c>
      <c r="C937" t="s">
        <v>51</v>
      </c>
      <c r="D937" t="s">
        <v>51</v>
      </c>
      <c r="E937" t="s">
        <v>602</v>
      </c>
      <c r="F937" t="s">
        <v>581</v>
      </c>
      <c r="G937" t="s">
        <v>25</v>
      </c>
      <c r="H937">
        <v>40.622999999999998</v>
      </c>
      <c r="I937">
        <v>43.188409999999998</v>
      </c>
      <c r="J937">
        <v>34.229349999999997</v>
      </c>
      <c r="K937">
        <v>25.435179999999999</v>
      </c>
      <c r="L937">
        <v>21.035959999999999</v>
      </c>
      <c r="M937">
        <v>17.234000000000002</v>
      </c>
      <c r="N937">
        <v>14.316179999999999</v>
      </c>
    </row>
    <row r="938" spans="1:14" hidden="1" x14ac:dyDescent="0.35">
      <c r="A938" t="s">
        <v>222</v>
      </c>
      <c r="B938" t="s">
        <v>37</v>
      </c>
      <c r="C938" t="s">
        <v>51</v>
      </c>
      <c r="D938" t="s">
        <v>51</v>
      </c>
      <c r="E938" t="s">
        <v>602</v>
      </c>
      <c r="F938" t="s">
        <v>26</v>
      </c>
      <c r="G938" t="s">
        <v>26</v>
      </c>
      <c r="H938">
        <v>17.803429999999999</v>
      </c>
      <c r="I938">
        <v>18.48198</v>
      </c>
      <c r="J938">
        <v>14.7005</v>
      </c>
      <c r="K938">
        <v>10.914260000000001</v>
      </c>
      <c r="L938">
        <v>8.9758099999999992</v>
      </c>
      <c r="M938">
        <v>7.3549329999999999</v>
      </c>
      <c r="N938">
        <v>6.1164069999999997</v>
      </c>
    </row>
    <row r="939" spans="1:14" hidden="1" x14ac:dyDescent="0.35">
      <c r="A939" t="s">
        <v>222</v>
      </c>
      <c r="B939" t="s">
        <v>37</v>
      </c>
      <c r="C939" t="s">
        <v>51</v>
      </c>
      <c r="D939" t="s">
        <v>51</v>
      </c>
      <c r="E939" t="s">
        <v>584</v>
      </c>
      <c r="F939" t="s">
        <v>581</v>
      </c>
      <c r="G939" t="s">
        <v>396</v>
      </c>
      <c r="H939">
        <v>3.4816439999999997E-2</v>
      </c>
      <c r="I939">
        <v>3.1509589999999997E-2</v>
      </c>
      <c r="J939">
        <v>0</v>
      </c>
      <c r="K939">
        <v>0</v>
      </c>
      <c r="L939">
        <v>0</v>
      </c>
      <c r="M939">
        <v>0</v>
      </c>
      <c r="N939">
        <v>0</v>
      </c>
    </row>
    <row r="940" spans="1:14" hidden="1" x14ac:dyDescent="0.35">
      <c r="A940" t="s">
        <v>222</v>
      </c>
      <c r="B940" t="s">
        <v>37</v>
      </c>
      <c r="C940" t="s">
        <v>51</v>
      </c>
      <c r="D940" t="s">
        <v>51</v>
      </c>
      <c r="E940" t="s">
        <v>584</v>
      </c>
      <c r="F940" t="s">
        <v>581</v>
      </c>
      <c r="G940" t="s">
        <v>25</v>
      </c>
      <c r="H940">
        <v>0.55956439999999996</v>
      </c>
      <c r="I940">
        <v>0.49589319999999998</v>
      </c>
      <c r="J940">
        <v>0</v>
      </c>
      <c r="K940">
        <v>0</v>
      </c>
      <c r="L940">
        <v>0</v>
      </c>
      <c r="M940">
        <v>0</v>
      </c>
      <c r="N940">
        <v>0</v>
      </c>
    </row>
    <row r="941" spans="1:14" hidden="1" x14ac:dyDescent="0.35">
      <c r="A941" t="s">
        <v>222</v>
      </c>
      <c r="B941" t="s">
        <v>37</v>
      </c>
      <c r="C941" t="s">
        <v>51</v>
      </c>
      <c r="D941" t="s">
        <v>51</v>
      </c>
      <c r="E941" t="s">
        <v>584</v>
      </c>
      <c r="F941" t="s">
        <v>26</v>
      </c>
      <c r="G941" t="s">
        <v>26</v>
      </c>
      <c r="H941">
        <v>0.15247669999999999</v>
      </c>
      <c r="I941">
        <v>0.14945749999999999</v>
      </c>
      <c r="J941">
        <v>0</v>
      </c>
      <c r="K941">
        <v>0</v>
      </c>
      <c r="L941">
        <v>0</v>
      </c>
      <c r="M941">
        <v>0</v>
      </c>
      <c r="N941">
        <v>0</v>
      </c>
    </row>
    <row r="942" spans="1:14" hidden="1" x14ac:dyDescent="0.35">
      <c r="A942" t="s">
        <v>222</v>
      </c>
      <c r="B942" t="s">
        <v>37</v>
      </c>
      <c r="C942" t="s">
        <v>61</v>
      </c>
      <c r="D942" t="s">
        <v>62</v>
      </c>
      <c r="E942" t="s">
        <v>584</v>
      </c>
      <c r="F942" t="s">
        <v>581</v>
      </c>
      <c r="G942" t="s">
        <v>396</v>
      </c>
      <c r="H942">
        <v>30.349889999999998</v>
      </c>
      <c r="I942">
        <v>38.323180000000001</v>
      </c>
      <c r="J942">
        <v>40.280610000000003</v>
      </c>
      <c r="K942">
        <v>38.64705</v>
      </c>
      <c r="L942">
        <v>34.864260000000002</v>
      </c>
      <c r="M942">
        <v>31.21791</v>
      </c>
      <c r="N942">
        <v>26.60463</v>
      </c>
    </row>
    <row r="943" spans="1:14" hidden="1" x14ac:dyDescent="0.35">
      <c r="A943" t="s">
        <v>222</v>
      </c>
      <c r="B943" t="s">
        <v>37</v>
      </c>
      <c r="C943" t="s">
        <v>61</v>
      </c>
      <c r="D943" t="s">
        <v>62</v>
      </c>
      <c r="E943" t="s">
        <v>584</v>
      </c>
      <c r="F943" t="s">
        <v>581</v>
      </c>
      <c r="G943" t="s">
        <v>24</v>
      </c>
      <c r="H943">
        <v>11.07925</v>
      </c>
      <c r="I943">
        <v>8.8491940000000007</v>
      </c>
      <c r="J943">
        <v>7.0877929999999996</v>
      </c>
      <c r="K943">
        <v>5.5520509999999996</v>
      </c>
      <c r="L943">
        <v>4.3223539999999998</v>
      </c>
      <c r="M943">
        <v>3.3098109999999998</v>
      </c>
      <c r="N943">
        <v>2.5059840000000002</v>
      </c>
    </row>
    <row r="944" spans="1:14" hidden="1" x14ac:dyDescent="0.35">
      <c r="A944" t="s">
        <v>222</v>
      </c>
      <c r="B944" t="s">
        <v>37</v>
      </c>
      <c r="C944" t="s">
        <v>61</v>
      </c>
      <c r="D944" t="s">
        <v>62</v>
      </c>
      <c r="E944" t="s">
        <v>584</v>
      </c>
      <c r="F944" t="s">
        <v>581</v>
      </c>
      <c r="G944" t="s">
        <v>25</v>
      </c>
      <c r="H944">
        <v>7.6078210000000004</v>
      </c>
      <c r="I944">
        <v>5.7915409999999996</v>
      </c>
      <c r="J944">
        <v>4.4855549999999997</v>
      </c>
      <c r="K944">
        <v>3.4992030000000001</v>
      </c>
      <c r="L944">
        <v>2.7399830000000001</v>
      </c>
      <c r="M944">
        <v>2.0850960000000001</v>
      </c>
      <c r="N944">
        <v>1.545418</v>
      </c>
    </row>
    <row r="945" spans="1:14" hidden="1" x14ac:dyDescent="0.35">
      <c r="A945" t="s">
        <v>222</v>
      </c>
      <c r="B945" t="s">
        <v>37</v>
      </c>
      <c r="C945" t="s">
        <v>61</v>
      </c>
      <c r="D945" t="s">
        <v>62</v>
      </c>
      <c r="E945" t="s">
        <v>584</v>
      </c>
      <c r="F945" t="s">
        <v>26</v>
      </c>
      <c r="G945" t="s">
        <v>26</v>
      </c>
      <c r="H945">
        <v>12.13134</v>
      </c>
      <c r="I945">
        <v>11.37496</v>
      </c>
      <c r="J945">
        <v>10.1556</v>
      </c>
      <c r="K945">
        <v>8.7722569999999997</v>
      </c>
      <c r="L945">
        <v>7.5619300000000003</v>
      </c>
      <c r="M945">
        <v>6.3544790000000004</v>
      </c>
      <c r="N945">
        <v>5.0643789999999997</v>
      </c>
    </row>
    <row r="946" spans="1:14" hidden="1" x14ac:dyDescent="0.35">
      <c r="A946" t="s">
        <v>222</v>
      </c>
      <c r="B946" t="s">
        <v>37</v>
      </c>
      <c r="C946" t="s">
        <v>109</v>
      </c>
      <c r="D946" t="s">
        <v>109</v>
      </c>
      <c r="E946" t="s">
        <v>584</v>
      </c>
      <c r="F946" t="s">
        <v>581</v>
      </c>
      <c r="G946" t="s">
        <v>396</v>
      </c>
      <c r="H946">
        <v>6.6753430000000002E-3</v>
      </c>
      <c r="I946">
        <v>6.5431500000000002E-3</v>
      </c>
      <c r="J946">
        <v>6.4136990000000001E-3</v>
      </c>
      <c r="K946">
        <v>6.2863010000000002E-3</v>
      </c>
      <c r="L946">
        <v>6.1623290000000002E-3</v>
      </c>
      <c r="M946">
        <v>0</v>
      </c>
      <c r="N946">
        <v>0</v>
      </c>
    </row>
    <row r="947" spans="1:14" hidden="1" x14ac:dyDescent="0.35">
      <c r="A947" t="s">
        <v>222</v>
      </c>
      <c r="B947" t="s">
        <v>37</v>
      </c>
      <c r="C947" t="s">
        <v>109</v>
      </c>
      <c r="D947" t="s">
        <v>109</v>
      </c>
      <c r="E947" t="s">
        <v>584</v>
      </c>
      <c r="F947" t="s">
        <v>26</v>
      </c>
      <c r="G947" t="s">
        <v>26</v>
      </c>
      <c r="H947">
        <v>0</v>
      </c>
    </row>
    <row r="948" spans="1:14" hidden="1" x14ac:dyDescent="0.35">
      <c r="A948" t="s">
        <v>222</v>
      </c>
      <c r="B948" t="s">
        <v>102</v>
      </c>
      <c r="C948" t="s">
        <v>102</v>
      </c>
      <c r="D948" t="s">
        <v>102</v>
      </c>
      <c r="E948" t="s">
        <v>584</v>
      </c>
      <c r="F948" t="s">
        <v>581</v>
      </c>
      <c r="G948" t="s">
        <v>396</v>
      </c>
      <c r="H948">
        <v>0.26956609999999998</v>
      </c>
      <c r="I948">
        <v>25.940359999999998</v>
      </c>
      <c r="J948">
        <v>28.172039999999999</v>
      </c>
      <c r="K948">
        <v>28.261939999999999</v>
      </c>
      <c r="L948">
        <v>64.318600000000004</v>
      </c>
      <c r="M948">
        <v>82.095709999999997</v>
      </c>
      <c r="N948">
        <v>102.2784</v>
      </c>
    </row>
    <row r="949" spans="1:14" hidden="1" x14ac:dyDescent="0.35">
      <c r="A949" t="s">
        <v>222</v>
      </c>
      <c r="B949" t="s">
        <v>223</v>
      </c>
      <c r="C949" t="s">
        <v>58</v>
      </c>
      <c r="D949" t="s">
        <v>58</v>
      </c>
      <c r="E949" t="s">
        <v>584</v>
      </c>
      <c r="F949" t="s">
        <v>581</v>
      </c>
      <c r="G949" t="s">
        <v>24</v>
      </c>
      <c r="H949">
        <v>2.2210899999999998</v>
      </c>
      <c r="I949">
        <v>2.2093259999999999</v>
      </c>
      <c r="J949">
        <v>2.2990179999999998</v>
      </c>
      <c r="K949">
        <v>0.54043450000000004</v>
      </c>
      <c r="L949">
        <v>0.47546709999999998</v>
      </c>
      <c r="M949">
        <v>0.42250900000000002</v>
      </c>
      <c r="N949">
        <v>0.37503229999999999</v>
      </c>
    </row>
    <row r="950" spans="1:14" hidden="1" x14ac:dyDescent="0.35">
      <c r="A950" t="s">
        <v>222</v>
      </c>
      <c r="B950" t="s">
        <v>223</v>
      </c>
      <c r="C950" t="s">
        <v>58</v>
      </c>
      <c r="D950" t="s">
        <v>58</v>
      </c>
      <c r="E950" t="s">
        <v>584</v>
      </c>
      <c r="F950" t="s">
        <v>26</v>
      </c>
      <c r="G950" t="s">
        <v>26</v>
      </c>
      <c r="H950">
        <v>41.80594</v>
      </c>
      <c r="I950">
        <v>41.262790000000003</v>
      </c>
      <c r="J950">
        <v>41.947800000000001</v>
      </c>
      <c r="K950">
        <v>35.923000000000002</v>
      </c>
      <c r="L950">
        <v>32.297330000000002</v>
      </c>
      <c r="M950">
        <v>29.512550000000001</v>
      </c>
      <c r="N950">
        <v>27.08024</v>
      </c>
    </row>
    <row r="951" spans="1:14" hidden="1" x14ac:dyDescent="0.35">
      <c r="A951" t="s">
        <v>222</v>
      </c>
      <c r="B951" t="s">
        <v>59</v>
      </c>
      <c r="C951" t="s">
        <v>58</v>
      </c>
      <c r="D951" t="s">
        <v>58</v>
      </c>
      <c r="E951" t="s">
        <v>584</v>
      </c>
      <c r="F951" t="s">
        <v>581</v>
      </c>
      <c r="G951" t="s">
        <v>24</v>
      </c>
      <c r="H951">
        <v>0.93275059999999999</v>
      </c>
      <c r="I951">
        <v>3.0912410000000001</v>
      </c>
      <c r="J951">
        <v>3.1574589999999998</v>
      </c>
      <c r="K951">
        <v>3.5281020000000001</v>
      </c>
      <c r="L951">
        <v>3.2106249999999998</v>
      </c>
      <c r="M951">
        <v>2.8535949999999999</v>
      </c>
      <c r="N951">
        <v>2.353091</v>
      </c>
    </row>
    <row r="952" spans="1:14" hidden="1" x14ac:dyDescent="0.35">
      <c r="A952" t="s">
        <v>222</v>
      </c>
      <c r="B952" t="s">
        <v>59</v>
      </c>
      <c r="C952" t="s">
        <v>58</v>
      </c>
      <c r="D952" t="s">
        <v>58</v>
      </c>
      <c r="E952" t="s">
        <v>584</v>
      </c>
      <c r="F952" t="s">
        <v>581</v>
      </c>
      <c r="G952" t="s">
        <v>25</v>
      </c>
      <c r="H952">
        <v>0</v>
      </c>
      <c r="I952">
        <v>0.29190270000000001</v>
      </c>
      <c r="J952">
        <v>0.45258769999999998</v>
      </c>
      <c r="K952">
        <v>0.47302660000000002</v>
      </c>
      <c r="L952">
        <v>0.3870847</v>
      </c>
      <c r="M952">
        <v>0.35769529999999999</v>
      </c>
      <c r="N952">
        <v>0.42264770000000002</v>
      </c>
    </row>
    <row r="953" spans="1:14" hidden="1" x14ac:dyDescent="0.35">
      <c r="A953" t="s">
        <v>222</v>
      </c>
      <c r="B953" t="s">
        <v>59</v>
      </c>
      <c r="C953" t="s">
        <v>58</v>
      </c>
      <c r="D953" t="s">
        <v>58</v>
      </c>
      <c r="E953" t="s">
        <v>584</v>
      </c>
      <c r="F953" t="s">
        <v>26</v>
      </c>
      <c r="G953" t="s">
        <v>26</v>
      </c>
      <c r="H953">
        <v>18.21715</v>
      </c>
      <c r="I953">
        <v>25.858540000000001</v>
      </c>
      <c r="J953">
        <v>27.321670000000001</v>
      </c>
      <c r="K953">
        <v>22.716889999999999</v>
      </c>
      <c r="L953">
        <v>22.930869999999999</v>
      </c>
      <c r="M953">
        <v>23.21134</v>
      </c>
      <c r="N953">
        <v>22.52298</v>
      </c>
    </row>
    <row r="954" spans="1:14" hidden="1" x14ac:dyDescent="0.35">
      <c r="A954" t="s">
        <v>222</v>
      </c>
      <c r="B954" t="s">
        <v>210</v>
      </c>
      <c r="C954" t="s">
        <v>209</v>
      </c>
      <c r="D954" t="s">
        <v>209</v>
      </c>
      <c r="E954" t="s">
        <v>584</v>
      </c>
      <c r="F954" t="s">
        <v>581</v>
      </c>
      <c r="G954" t="s">
        <v>396</v>
      </c>
      <c r="H954">
        <v>13.71312</v>
      </c>
      <c r="I954">
        <v>7.9204420000000004</v>
      </c>
      <c r="J954">
        <v>14.286630000000001</v>
      </c>
      <c r="K954">
        <v>14.59116</v>
      </c>
      <c r="L954">
        <v>14.845750000000001</v>
      </c>
      <c r="M954">
        <v>13.073370000000001</v>
      </c>
      <c r="N954">
        <v>11.18688</v>
      </c>
    </row>
    <row r="955" spans="1:14" hidden="1" x14ac:dyDescent="0.35">
      <c r="A955" t="s">
        <v>222</v>
      </c>
      <c r="B955" t="s">
        <v>210</v>
      </c>
      <c r="C955" t="s">
        <v>209</v>
      </c>
      <c r="D955" t="s">
        <v>209</v>
      </c>
      <c r="E955" t="s">
        <v>584</v>
      </c>
      <c r="F955" t="s">
        <v>581</v>
      </c>
      <c r="G955" t="s">
        <v>24</v>
      </c>
      <c r="H955">
        <v>2.8886240000000001E-2</v>
      </c>
      <c r="I955">
        <v>0.2995314</v>
      </c>
      <c r="J955">
        <v>0.78274500000000002</v>
      </c>
      <c r="K955">
        <v>0.82371130000000004</v>
      </c>
      <c r="L955">
        <v>0.82371130000000004</v>
      </c>
      <c r="M955">
        <v>0.82749280000000003</v>
      </c>
      <c r="N955">
        <v>0.72612909999999997</v>
      </c>
    </row>
    <row r="956" spans="1:14" hidden="1" x14ac:dyDescent="0.35">
      <c r="A956" t="s">
        <v>222</v>
      </c>
      <c r="B956" t="s">
        <v>210</v>
      </c>
      <c r="C956" t="s">
        <v>209</v>
      </c>
      <c r="D956" t="s">
        <v>209</v>
      </c>
      <c r="E956" t="s">
        <v>584</v>
      </c>
      <c r="F956" t="s">
        <v>581</v>
      </c>
      <c r="G956" t="s">
        <v>25</v>
      </c>
      <c r="L956">
        <v>0</v>
      </c>
      <c r="M956">
        <v>3.3747829999999999E-2</v>
      </c>
      <c r="N956">
        <v>2.7403730000000001E-2</v>
      </c>
    </row>
    <row r="957" spans="1:14" hidden="1" x14ac:dyDescent="0.35">
      <c r="A957" t="s">
        <v>222</v>
      </c>
      <c r="B957" t="s">
        <v>210</v>
      </c>
      <c r="C957" t="s">
        <v>209</v>
      </c>
      <c r="D957" t="s">
        <v>209</v>
      </c>
      <c r="E957" t="s">
        <v>584</v>
      </c>
      <c r="F957" t="s">
        <v>26</v>
      </c>
      <c r="G957" t="s">
        <v>26</v>
      </c>
      <c r="H957">
        <v>2.5161639999999998</v>
      </c>
      <c r="I957">
        <v>1.3456319999999999</v>
      </c>
      <c r="J957">
        <v>2.564295</v>
      </c>
      <c r="K957">
        <v>2.6160540000000001</v>
      </c>
      <c r="L957">
        <v>2.7137820000000001</v>
      </c>
      <c r="M957">
        <v>2.7706330000000001</v>
      </c>
      <c r="N957">
        <v>2.6054080000000002</v>
      </c>
    </row>
    <row r="958" spans="1:14" hidden="1" x14ac:dyDescent="0.35">
      <c r="A958" t="s">
        <v>222</v>
      </c>
      <c r="B958" t="s">
        <v>168</v>
      </c>
      <c r="C958" t="s">
        <v>87</v>
      </c>
      <c r="D958" t="s">
        <v>87</v>
      </c>
      <c r="E958" t="s">
        <v>584</v>
      </c>
      <c r="F958" t="s">
        <v>581</v>
      </c>
      <c r="G958" t="s">
        <v>396</v>
      </c>
      <c r="H958">
        <v>5.9934700000000003</v>
      </c>
      <c r="I958">
        <v>6.3589320000000003</v>
      </c>
      <c r="J958">
        <v>4.8582859999999997</v>
      </c>
      <c r="K958">
        <v>5.2995950000000001</v>
      </c>
      <c r="L958">
        <v>6.3696020000000004</v>
      </c>
      <c r="M958">
        <v>5.9563269999999999</v>
      </c>
      <c r="N958">
        <v>4.8660560000000004</v>
      </c>
    </row>
    <row r="959" spans="1:14" hidden="1" x14ac:dyDescent="0.35">
      <c r="A959" t="s">
        <v>222</v>
      </c>
      <c r="B959" t="s">
        <v>168</v>
      </c>
      <c r="C959" t="s">
        <v>87</v>
      </c>
      <c r="D959" t="s">
        <v>87</v>
      </c>
      <c r="E959" t="s">
        <v>584</v>
      </c>
      <c r="F959" t="s">
        <v>26</v>
      </c>
      <c r="G959" t="s">
        <v>26</v>
      </c>
      <c r="H959">
        <v>1.649548</v>
      </c>
      <c r="I959">
        <v>1.48611</v>
      </c>
      <c r="J959">
        <v>1.380193</v>
      </c>
      <c r="K959">
        <v>1.387157</v>
      </c>
      <c r="L959">
        <v>1.8082199999999999</v>
      </c>
      <c r="M959">
        <v>1.692404</v>
      </c>
      <c r="N959">
        <v>1.3842909999999999</v>
      </c>
    </row>
    <row r="960" spans="1:14" hidden="1" x14ac:dyDescent="0.35">
      <c r="A960" t="s">
        <v>222</v>
      </c>
      <c r="B960" t="s">
        <v>225</v>
      </c>
      <c r="C960" t="s">
        <v>224</v>
      </c>
      <c r="D960" t="s">
        <v>224</v>
      </c>
      <c r="E960" t="s">
        <v>661</v>
      </c>
      <c r="F960" t="s">
        <v>581</v>
      </c>
      <c r="G960" t="s">
        <v>396</v>
      </c>
      <c r="H960">
        <v>0</v>
      </c>
      <c r="I960">
        <v>4.3132610000000002E-2</v>
      </c>
      <c r="J960">
        <v>0.15086740000000001</v>
      </c>
      <c r="K960">
        <v>0.17638300000000001</v>
      </c>
      <c r="L960">
        <v>0.17018520000000001</v>
      </c>
      <c r="M960">
        <v>0.12659290000000001</v>
      </c>
      <c r="N960">
        <v>9.9373149999999993E-2</v>
      </c>
    </row>
    <row r="961" spans="1:14" hidden="1" x14ac:dyDescent="0.35">
      <c r="A961" t="s">
        <v>222</v>
      </c>
      <c r="B961" t="s">
        <v>225</v>
      </c>
      <c r="C961" t="s">
        <v>224</v>
      </c>
      <c r="D961" t="s">
        <v>224</v>
      </c>
      <c r="E961" t="s">
        <v>661</v>
      </c>
      <c r="F961" t="s">
        <v>581</v>
      </c>
      <c r="G961" t="s">
        <v>25</v>
      </c>
      <c r="H961">
        <v>0</v>
      </c>
      <c r="I961">
        <v>2.5353419999999999E-3</v>
      </c>
      <c r="J961">
        <v>8.8750679999999998E-3</v>
      </c>
      <c r="K961">
        <v>1.037151E-2</v>
      </c>
      <c r="L961">
        <v>1.000767E-2</v>
      </c>
      <c r="M961">
        <v>7.4443840000000001E-3</v>
      </c>
      <c r="N961">
        <v>5.8454800000000001E-3</v>
      </c>
    </row>
    <row r="962" spans="1:14" hidden="1" x14ac:dyDescent="0.35">
      <c r="A962" t="s">
        <v>222</v>
      </c>
      <c r="B962" t="s">
        <v>225</v>
      </c>
      <c r="C962" t="s">
        <v>224</v>
      </c>
      <c r="D962" t="s">
        <v>224</v>
      </c>
      <c r="E962" t="s">
        <v>661</v>
      </c>
      <c r="F962" t="s">
        <v>26</v>
      </c>
      <c r="G962" t="s">
        <v>26</v>
      </c>
      <c r="H962">
        <v>0</v>
      </c>
      <c r="I962">
        <v>5.0739729999999999E-3</v>
      </c>
      <c r="J962">
        <v>1.7750680000000001E-2</v>
      </c>
      <c r="K962">
        <v>2.0750680000000001E-2</v>
      </c>
      <c r="L962">
        <v>2.0022470000000001E-2</v>
      </c>
      <c r="M962">
        <v>1.4893699999999999E-2</v>
      </c>
      <c r="N962">
        <v>1.169096E-2</v>
      </c>
    </row>
    <row r="963" spans="1:14" hidden="1" x14ac:dyDescent="0.35">
      <c r="A963" t="s">
        <v>662</v>
      </c>
      <c r="B963" t="s">
        <v>37</v>
      </c>
      <c r="C963" t="s">
        <v>63</v>
      </c>
      <c r="D963" t="s">
        <v>63</v>
      </c>
      <c r="E963" t="s">
        <v>621</v>
      </c>
      <c r="F963" t="s">
        <v>26</v>
      </c>
      <c r="G963" t="s">
        <v>26</v>
      </c>
      <c r="H963">
        <v>209.5891</v>
      </c>
      <c r="I963">
        <v>209.5891</v>
      </c>
      <c r="J963">
        <v>170.0076</v>
      </c>
      <c r="K963">
        <v>152.1687</v>
      </c>
      <c r="L963">
        <v>138.83709999999999</v>
      </c>
      <c r="M963">
        <v>118.3459</v>
      </c>
      <c r="N963">
        <v>99.550569999999993</v>
      </c>
    </row>
    <row r="964" spans="1:14" hidden="1" x14ac:dyDescent="0.35">
      <c r="A964" t="s">
        <v>662</v>
      </c>
      <c r="B964" t="s">
        <v>37</v>
      </c>
      <c r="C964" t="s">
        <v>63</v>
      </c>
      <c r="D964" t="s">
        <v>63</v>
      </c>
      <c r="E964" t="s">
        <v>610</v>
      </c>
      <c r="F964" t="s">
        <v>581</v>
      </c>
      <c r="G964" t="s">
        <v>24</v>
      </c>
      <c r="H964">
        <v>12.7941</v>
      </c>
      <c r="I964">
        <v>20.703209999999999</v>
      </c>
      <c r="J964">
        <v>19.14217</v>
      </c>
      <c r="K964">
        <v>15.838850000000001</v>
      </c>
      <c r="L964">
        <v>13.48701</v>
      </c>
      <c r="M964">
        <v>11.55322</v>
      </c>
      <c r="N964">
        <v>10.016069999999999</v>
      </c>
    </row>
    <row r="965" spans="1:14" hidden="1" x14ac:dyDescent="0.35">
      <c r="A965" t="s">
        <v>662</v>
      </c>
      <c r="B965" t="s">
        <v>37</v>
      </c>
      <c r="C965" t="s">
        <v>63</v>
      </c>
      <c r="D965" t="s">
        <v>63</v>
      </c>
      <c r="E965" t="s">
        <v>610</v>
      </c>
      <c r="F965" t="s">
        <v>581</v>
      </c>
      <c r="G965" t="s">
        <v>25</v>
      </c>
      <c r="H965">
        <v>64.651219999999995</v>
      </c>
      <c r="I965">
        <v>74.741349999999997</v>
      </c>
      <c r="J965">
        <v>67.329899999999995</v>
      </c>
      <c r="K965">
        <v>56.165439999999997</v>
      </c>
      <c r="L965">
        <v>47.730739999999997</v>
      </c>
      <c r="M965">
        <v>40.994430000000001</v>
      </c>
      <c r="N965">
        <v>35.661250000000003</v>
      </c>
    </row>
    <row r="966" spans="1:14" hidden="1" x14ac:dyDescent="0.35">
      <c r="A966" t="s">
        <v>662</v>
      </c>
      <c r="B966" t="s">
        <v>37</v>
      </c>
      <c r="C966" t="s">
        <v>63</v>
      </c>
      <c r="D966" t="s">
        <v>63</v>
      </c>
      <c r="E966" t="s">
        <v>610</v>
      </c>
      <c r="F966" t="s">
        <v>26</v>
      </c>
      <c r="G966" t="s">
        <v>26</v>
      </c>
      <c r="H966">
        <v>67.704250000000002</v>
      </c>
      <c r="I966">
        <v>72.901330000000002</v>
      </c>
      <c r="J966">
        <v>65.292869999999994</v>
      </c>
      <c r="K966">
        <v>54.635899999999999</v>
      </c>
      <c r="L966">
        <v>46.376730000000002</v>
      </c>
      <c r="M966">
        <v>39.873339999999999</v>
      </c>
      <c r="N966">
        <v>34.735959999999999</v>
      </c>
    </row>
    <row r="967" spans="1:14" hidden="1" x14ac:dyDescent="0.35">
      <c r="A967" t="s">
        <v>662</v>
      </c>
      <c r="B967" t="s">
        <v>37</v>
      </c>
      <c r="C967" t="s">
        <v>63</v>
      </c>
      <c r="D967" t="s">
        <v>63</v>
      </c>
      <c r="E967" t="s">
        <v>609</v>
      </c>
      <c r="F967" t="s">
        <v>581</v>
      </c>
      <c r="G967" t="s">
        <v>25</v>
      </c>
      <c r="H967">
        <v>3.4931509999999999E-2</v>
      </c>
      <c r="I967">
        <v>2.8975339999999999E-2</v>
      </c>
      <c r="J967">
        <v>2.4106849999999999E-2</v>
      </c>
      <c r="K967">
        <v>3.329754E-2</v>
      </c>
      <c r="L967">
        <v>6.1499730000000002E-2</v>
      </c>
      <c r="M967">
        <v>5.4385200000000002E-2</v>
      </c>
      <c r="N967">
        <v>3.8729319999999998E-2</v>
      </c>
    </row>
    <row r="968" spans="1:14" hidden="1" x14ac:dyDescent="0.35">
      <c r="A968" t="s">
        <v>662</v>
      </c>
      <c r="B968" t="s">
        <v>37</v>
      </c>
      <c r="C968" t="s">
        <v>63</v>
      </c>
      <c r="D968" t="s">
        <v>63</v>
      </c>
      <c r="E968" t="s">
        <v>609</v>
      </c>
      <c r="F968" t="s">
        <v>26</v>
      </c>
      <c r="G968" t="s">
        <v>26</v>
      </c>
      <c r="H968">
        <v>0.78945209999999999</v>
      </c>
      <c r="I968">
        <v>0.55053149999999995</v>
      </c>
      <c r="J968">
        <v>0.458063</v>
      </c>
      <c r="K968">
        <v>0.63263290000000005</v>
      </c>
      <c r="L968">
        <v>1.1685030000000001</v>
      </c>
      <c r="M968">
        <v>1.033377</v>
      </c>
      <c r="N968">
        <v>0.73591890000000004</v>
      </c>
    </row>
    <row r="969" spans="1:14" hidden="1" x14ac:dyDescent="0.35">
      <c r="A969" t="s">
        <v>662</v>
      </c>
      <c r="B969" t="s">
        <v>37</v>
      </c>
      <c r="C969" t="s">
        <v>118</v>
      </c>
      <c r="D969" t="s">
        <v>118</v>
      </c>
      <c r="E969" t="s">
        <v>663</v>
      </c>
      <c r="F969" t="s">
        <v>581</v>
      </c>
      <c r="G969" t="s">
        <v>396</v>
      </c>
      <c r="H969">
        <v>0.2881534</v>
      </c>
      <c r="I969">
        <v>0.2340439</v>
      </c>
      <c r="J969">
        <v>0.20040269999999999</v>
      </c>
      <c r="K969">
        <v>0.19501589999999999</v>
      </c>
      <c r="L969">
        <v>0.19871179999999999</v>
      </c>
      <c r="M969">
        <v>0.1689129</v>
      </c>
      <c r="N969">
        <v>0.1434066</v>
      </c>
    </row>
    <row r="970" spans="1:14" hidden="1" x14ac:dyDescent="0.35">
      <c r="A970" t="s">
        <v>662</v>
      </c>
      <c r="B970" t="s">
        <v>37</v>
      </c>
      <c r="C970" t="s">
        <v>118</v>
      </c>
      <c r="D970" t="s">
        <v>118</v>
      </c>
      <c r="E970" t="s">
        <v>663</v>
      </c>
      <c r="F970" t="s">
        <v>581</v>
      </c>
      <c r="G970" t="s">
        <v>24</v>
      </c>
      <c r="H970">
        <v>2.4630139999999998E-2</v>
      </c>
      <c r="I970">
        <v>2.364931E-2</v>
      </c>
      <c r="J970">
        <v>2.114247E-2</v>
      </c>
      <c r="K970">
        <v>1.9038360000000001E-2</v>
      </c>
      <c r="L970">
        <v>1.713808E-2</v>
      </c>
      <c r="M970">
        <v>1.545699E-2</v>
      </c>
      <c r="N970">
        <v>1.3868490000000001E-2</v>
      </c>
    </row>
    <row r="971" spans="1:14" hidden="1" x14ac:dyDescent="0.35">
      <c r="A971" t="s">
        <v>662</v>
      </c>
      <c r="B971" t="s">
        <v>37</v>
      </c>
      <c r="C971" t="s">
        <v>118</v>
      </c>
      <c r="D971" t="s">
        <v>118</v>
      </c>
      <c r="E971" t="s">
        <v>663</v>
      </c>
      <c r="F971" t="s">
        <v>581</v>
      </c>
      <c r="G971" t="s">
        <v>25</v>
      </c>
      <c r="H971">
        <v>0.33655620000000003</v>
      </c>
      <c r="I971">
        <v>0.29229040000000001</v>
      </c>
      <c r="J971">
        <v>0.25817259999999997</v>
      </c>
      <c r="K971">
        <v>0.23762849999999999</v>
      </c>
      <c r="L971">
        <v>0.2221167</v>
      </c>
      <c r="M971">
        <v>0.1966849</v>
      </c>
      <c r="N971">
        <v>0.17358899999999999</v>
      </c>
    </row>
    <row r="972" spans="1:14" hidden="1" x14ac:dyDescent="0.35">
      <c r="A972" t="s">
        <v>662</v>
      </c>
      <c r="B972" t="s">
        <v>37</v>
      </c>
      <c r="C972" t="s">
        <v>118</v>
      </c>
      <c r="D972" t="s">
        <v>118</v>
      </c>
      <c r="E972" t="s">
        <v>663</v>
      </c>
      <c r="F972" t="s">
        <v>26</v>
      </c>
      <c r="G972" t="s">
        <v>26</v>
      </c>
      <c r="H972">
        <v>0.30841370000000001</v>
      </c>
      <c r="I972">
        <v>0.2671617</v>
      </c>
      <c r="J972">
        <v>0.23570959999999999</v>
      </c>
      <c r="K972">
        <v>0.21739890000000001</v>
      </c>
      <c r="L972">
        <v>0.20390469999999999</v>
      </c>
      <c r="M972">
        <v>0.18025859999999999</v>
      </c>
      <c r="N972">
        <v>0.1588532</v>
      </c>
    </row>
    <row r="973" spans="1:14" hidden="1" x14ac:dyDescent="0.35">
      <c r="A973" t="s">
        <v>662</v>
      </c>
      <c r="B973" t="s">
        <v>37</v>
      </c>
      <c r="C973" t="s">
        <v>46</v>
      </c>
      <c r="D973" t="s">
        <v>46</v>
      </c>
      <c r="E973" t="s">
        <v>646</v>
      </c>
      <c r="F973" t="s">
        <v>581</v>
      </c>
      <c r="G973" t="s">
        <v>24</v>
      </c>
      <c r="H973">
        <v>0.34003290000000003</v>
      </c>
      <c r="I973">
        <v>0.27437539999999999</v>
      </c>
      <c r="J973">
        <v>0.23812330000000001</v>
      </c>
      <c r="K973">
        <v>0.21950739999999999</v>
      </c>
      <c r="L973">
        <v>0.21435009999999999</v>
      </c>
      <c r="M973">
        <v>0.19076660000000001</v>
      </c>
      <c r="N973">
        <v>0.16633319999999999</v>
      </c>
    </row>
    <row r="974" spans="1:14" hidden="1" x14ac:dyDescent="0.35">
      <c r="A974" t="s">
        <v>662</v>
      </c>
      <c r="B974" t="s">
        <v>37</v>
      </c>
      <c r="C974" t="s">
        <v>46</v>
      </c>
      <c r="D974" t="s">
        <v>46</v>
      </c>
      <c r="E974" t="s">
        <v>646</v>
      </c>
      <c r="F974" t="s">
        <v>581</v>
      </c>
      <c r="G974" t="s">
        <v>25</v>
      </c>
      <c r="H974">
        <v>2.6156160000000001E-2</v>
      </c>
      <c r="I974">
        <v>2.110685E-2</v>
      </c>
      <c r="J974">
        <v>1.831781E-2</v>
      </c>
      <c r="K974">
        <v>1.6883840000000001E-2</v>
      </c>
      <c r="L974">
        <v>1.6489319999999998E-2</v>
      </c>
      <c r="M974">
        <v>1.467507E-2</v>
      </c>
      <c r="N974">
        <v>1.279343E-2</v>
      </c>
    </row>
    <row r="975" spans="1:14" hidden="1" x14ac:dyDescent="0.35">
      <c r="A975" t="s">
        <v>662</v>
      </c>
      <c r="B975" t="s">
        <v>37</v>
      </c>
      <c r="C975" t="s">
        <v>46</v>
      </c>
      <c r="D975" t="s">
        <v>46</v>
      </c>
      <c r="E975" t="s">
        <v>646</v>
      </c>
      <c r="F975" t="s">
        <v>26</v>
      </c>
      <c r="G975" t="s">
        <v>26</v>
      </c>
      <c r="H975">
        <v>0.15693699999999999</v>
      </c>
      <c r="I975">
        <v>0.12663559999999999</v>
      </c>
      <c r="J975">
        <v>0.1099014</v>
      </c>
      <c r="K975">
        <v>0.1013107</v>
      </c>
      <c r="L975">
        <v>9.8932060000000002E-2</v>
      </c>
      <c r="M975">
        <v>8.8047680000000003E-2</v>
      </c>
      <c r="N975">
        <v>7.6768219999999998E-2</v>
      </c>
    </row>
    <row r="976" spans="1:14" hidden="1" x14ac:dyDescent="0.35">
      <c r="A976" t="s">
        <v>664</v>
      </c>
      <c r="B976" t="s">
        <v>53</v>
      </c>
      <c r="C976" t="s">
        <v>52</v>
      </c>
      <c r="D976" t="s">
        <v>52</v>
      </c>
      <c r="E976" t="s">
        <v>584</v>
      </c>
      <c r="F976" t="s">
        <v>581</v>
      </c>
      <c r="G976" t="s">
        <v>396</v>
      </c>
      <c r="H976">
        <v>12.74564</v>
      </c>
      <c r="I976">
        <v>10.78302</v>
      </c>
      <c r="J976">
        <v>8.9914240000000003</v>
      </c>
      <c r="K976">
        <v>7.6859700000000002</v>
      </c>
      <c r="L976">
        <v>4.921888</v>
      </c>
      <c r="M976">
        <v>3.156647</v>
      </c>
      <c r="N976">
        <v>2.4716490000000002</v>
      </c>
    </row>
    <row r="977" spans="1:14" hidden="1" x14ac:dyDescent="0.35">
      <c r="A977" t="s">
        <v>664</v>
      </c>
      <c r="B977" t="s">
        <v>53</v>
      </c>
      <c r="C977" t="s">
        <v>52</v>
      </c>
      <c r="D977" t="s">
        <v>52</v>
      </c>
      <c r="E977" t="s">
        <v>584</v>
      </c>
      <c r="F977" t="s">
        <v>581</v>
      </c>
      <c r="G977" t="s">
        <v>24</v>
      </c>
      <c r="H977">
        <v>12.714790000000001</v>
      </c>
      <c r="I977">
        <v>12.585050000000001</v>
      </c>
      <c r="J977">
        <v>11.2621</v>
      </c>
      <c r="K977">
        <v>9.7608560000000004</v>
      </c>
      <c r="L977">
        <v>8.3910590000000003</v>
      </c>
      <c r="M977">
        <v>6.1956150000000001</v>
      </c>
      <c r="N977">
        <v>4.6481159999999999</v>
      </c>
    </row>
    <row r="978" spans="1:14" hidden="1" x14ac:dyDescent="0.35">
      <c r="A978" t="s">
        <v>664</v>
      </c>
      <c r="B978" t="s">
        <v>53</v>
      </c>
      <c r="C978" t="s">
        <v>52</v>
      </c>
      <c r="D978" t="s">
        <v>52</v>
      </c>
      <c r="E978" t="s">
        <v>584</v>
      </c>
      <c r="F978" t="s">
        <v>26</v>
      </c>
      <c r="G978" t="s">
        <v>26</v>
      </c>
      <c r="H978">
        <v>91.24736</v>
      </c>
      <c r="I978">
        <v>89.118610000000004</v>
      </c>
      <c r="J978">
        <v>82.243449999999996</v>
      </c>
      <c r="K978">
        <v>73.981610000000003</v>
      </c>
      <c r="L978">
        <v>66.11121</v>
      </c>
      <c r="M978">
        <v>54.04759</v>
      </c>
      <c r="N978">
        <v>45.405419999999999</v>
      </c>
    </row>
    <row r="979" spans="1:14" hidden="1" x14ac:dyDescent="0.35">
      <c r="A979" t="s">
        <v>664</v>
      </c>
      <c r="B979" t="s">
        <v>53</v>
      </c>
      <c r="C979" t="s">
        <v>67</v>
      </c>
      <c r="D979" t="s">
        <v>67</v>
      </c>
      <c r="E979" t="s">
        <v>584</v>
      </c>
      <c r="F979" t="s">
        <v>581</v>
      </c>
      <c r="G979" t="s">
        <v>396</v>
      </c>
      <c r="H979">
        <v>8.2109690000000004</v>
      </c>
      <c r="I979">
        <v>7.963044</v>
      </c>
      <c r="J979">
        <v>7.2131759999999998</v>
      </c>
      <c r="K979">
        <v>5.9495940000000003</v>
      </c>
      <c r="L979">
        <v>2.1509990000000001</v>
      </c>
      <c r="M979">
        <v>1.966126</v>
      </c>
      <c r="N979">
        <v>1.4226479999999999</v>
      </c>
    </row>
    <row r="980" spans="1:14" hidden="1" x14ac:dyDescent="0.35">
      <c r="A980" t="s">
        <v>664</v>
      </c>
      <c r="B980" t="s">
        <v>53</v>
      </c>
      <c r="C980" t="s">
        <v>67</v>
      </c>
      <c r="D980" t="s">
        <v>67</v>
      </c>
      <c r="E980" t="s">
        <v>584</v>
      </c>
      <c r="F980" t="s">
        <v>581</v>
      </c>
      <c r="G980" t="s">
        <v>24</v>
      </c>
      <c r="H980">
        <v>5.4191219999999998</v>
      </c>
      <c r="I980">
        <v>5.7768670000000002</v>
      </c>
      <c r="J980">
        <v>5.6159290000000004</v>
      </c>
      <c r="K980">
        <v>5.1759219999999999</v>
      </c>
      <c r="L980">
        <v>4.2915650000000003</v>
      </c>
      <c r="M980">
        <v>3.5227970000000002</v>
      </c>
      <c r="N980">
        <v>2.9429110000000001</v>
      </c>
    </row>
    <row r="981" spans="1:14" hidden="1" x14ac:dyDescent="0.35">
      <c r="A981" t="s">
        <v>664</v>
      </c>
      <c r="B981" t="s">
        <v>53</v>
      </c>
      <c r="C981" t="s">
        <v>67</v>
      </c>
      <c r="D981" t="s">
        <v>67</v>
      </c>
      <c r="E981" t="s">
        <v>584</v>
      </c>
      <c r="F981" t="s">
        <v>581</v>
      </c>
      <c r="G981" t="s">
        <v>25</v>
      </c>
      <c r="H981">
        <v>14.69314</v>
      </c>
      <c r="I981">
        <v>13.978059999999999</v>
      </c>
      <c r="J981">
        <v>13.10783</v>
      </c>
      <c r="K981">
        <v>11.996980000000001</v>
      </c>
      <c r="L981">
        <v>10.631169999999999</v>
      </c>
      <c r="M981">
        <v>9.3179809999999996</v>
      </c>
      <c r="N981">
        <v>7.6564009999999998</v>
      </c>
    </row>
    <row r="982" spans="1:14" hidden="1" x14ac:dyDescent="0.35">
      <c r="A982" t="s">
        <v>664</v>
      </c>
      <c r="B982" t="s">
        <v>53</v>
      </c>
      <c r="C982" t="s">
        <v>67</v>
      </c>
      <c r="D982" t="s">
        <v>67</v>
      </c>
      <c r="E982" t="s">
        <v>584</v>
      </c>
      <c r="F982" t="s">
        <v>26</v>
      </c>
      <c r="G982" t="s">
        <v>26</v>
      </c>
      <c r="H982">
        <v>52.964080000000003</v>
      </c>
      <c r="I982">
        <v>49.457979999999999</v>
      </c>
      <c r="J982">
        <v>47.782020000000003</v>
      </c>
      <c r="K982">
        <v>47.392609999999998</v>
      </c>
      <c r="L982">
        <v>47.522579999999998</v>
      </c>
      <c r="M982">
        <v>44.744169999999997</v>
      </c>
      <c r="N982">
        <v>40.255409999999998</v>
      </c>
    </row>
    <row r="983" spans="1:14" hidden="1" x14ac:dyDescent="0.35">
      <c r="A983" t="s">
        <v>664</v>
      </c>
      <c r="B983" t="s">
        <v>53</v>
      </c>
      <c r="C983" t="s">
        <v>145</v>
      </c>
      <c r="D983" t="s">
        <v>145</v>
      </c>
      <c r="E983" t="s">
        <v>584</v>
      </c>
      <c r="F983" t="s">
        <v>581</v>
      </c>
      <c r="G983" t="s">
        <v>25</v>
      </c>
      <c r="H983">
        <v>1.478874</v>
      </c>
      <c r="I983">
        <v>1.3405</v>
      </c>
      <c r="J983">
        <v>1.254016</v>
      </c>
      <c r="K983">
        <v>1.1675310000000001</v>
      </c>
      <c r="L983">
        <v>1.1143369999999999</v>
      </c>
      <c r="M983">
        <v>1.039445</v>
      </c>
      <c r="N983">
        <v>0.97350519999999996</v>
      </c>
    </row>
    <row r="984" spans="1:14" hidden="1" x14ac:dyDescent="0.35">
      <c r="A984" t="s">
        <v>664</v>
      </c>
      <c r="B984" t="s">
        <v>53</v>
      </c>
      <c r="C984" t="s">
        <v>665</v>
      </c>
      <c r="D984" t="s">
        <v>665</v>
      </c>
      <c r="E984" t="s">
        <v>584</v>
      </c>
      <c r="F984" t="s">
        <v>581</v>
      </c>
      <c r="G984" t="s">
        <v>24</v>
      </c>
      <c r="H984">
        <v>6.0164380000000003E-2</v>
      </c>
      <c r="I984">
        <v>0</v>
      </c>
    </row>
    <row r="985" spans="1:14" hidden="1" x14ac:dyDescent="0.35">
      <c r="A985" t="s">
        <v>664</v>
      </c>
      <c r="B985" t="s">
        <v>53</v>
      </c>
      <c r="C985" t="s">
        <v>665</v>
      </c>
      <c r="D985" t="s">
        <v>665</v>
      </c>
      <c r="E985" t="s">
        <v>584</v>
      </c>
      <c r="F985" t="s">
        <v>26</v>
      </c>
      <c r="G985" t="s">
        <v>26</v>
      </c>
      <c r="H985">
        <v>2.6260279999999998</v>
      </c>
      <c r="I985">
        <v>0</v>
      </c>
    </row>
    <row r="986" spans="1:14" hidden="1" x14ac:dyDescent="0.35">
      <c r="A986" t="s">
        <v>664</v>
      </c>
      <c r="B986" t="s">
        <v>53</v>
      </c>
      <c r="C986" t="s">
        <v>151</v>
      </c>
      <c r="D986" t="s">
        <v>151</v>
      </c>
      <c r="E986" t="s">
        <v>584</v>
      </c>
      <c r="F986" t="s">
        <v>26</v>
      </c>
      <c r="G986" t="s">
        <v>26</v>
      </c>
      <c r="H986">
        <v>5.2256129999999999E-7</v>
      </c>
      <c r="I986">
        <v>-5.2256129999999999E-7</v>
      </c>
      <c r="J986">
        <v>0</v>
      </c>
      <c r="K986">
        <v>-1.045123E-6</v>
      </c>
      <c r="L986">
        <v>5.2256129999999999E-7</v>
      </c>
      <c r="M986">
        <v>-5.2256129999999999E-7</v>
      </c>
      <c r="N986">
        <v>0</v>
      </c>
    </row>
    <row r="987" spans="1:14" hidden="1" x14ac:dyDescent="0.35">
      <c r="A987" t="s">
        <v>664</v>
      </c>
      <c r="B987" t="s">
        <v>37</v>
      </c>
      <c r="C987" t="s">
        <v>61</v>
      </c>
      <c r="D987" t="s">
        <v>62</v>
      </c>
      <c r="E987" t="s">
        <v>584</v>
      </c>
      <c r="F987" t="s">
        <v>581</v>
      </c>
      <c r="G987" t="s">
        <v>396</v>
      </c>
      <c r="H987">
        <v>69.579480000000004</v>
      </c>
      <c r="I987">
        <v>70.898269999999997</v>
      </c>
      <c r="J987">
        <v>74.51885</v>
      </c>
      <c r="K987">
        <v>78.147390000000001</v>
      </c>
      <c r="L987">
        <v>89.460520000000002</v>
      </c>
      <c r="M987">
        <v>76.412030000000001</v>
      </c>
      <c r="N987">
        <v>66.770520000000005</v>
      </c>
    </row>
    <row r="988" spans="1:14" hidden="1" x14ac:dyDescent="0.35">
      <c r="A988" t="s">
        <v>664</v>
      </c>
      <c r="B988" t="s">
        <v>37</v>
      </c>
      <c r="C988" t="s">
        <v>61</v>
      </c>
      <c r="D988" t="s">
        <v>62</v>
      </c>
      <c r="E988" t="s">
        <v>584</v>
      </c>
      <c r="F988" t="s">
        <v>581</v>
      </c>
      <c r="G988" t="s">
        <v>25</v>
      </c>
      <c r="H988">
        <v>4.3094650000000003</v>
      </c>
      <c r="I988">
        <v>3.9363090000000001</v>
      </c>
      <c r="J988">
        <v>3.5947429999999998</v>
      </c>
      <c r="K988">
        <v>3.2537340000000001</v>
      </c>
      <c r="L988">
        <v>2.902336</v>
      </c>
      <c r="M988">
        <v>2.523355</v>
      </c>
      <c r="N988">
        <v>2.2003119999999998</v>
      </c>
    </row>
    <row r="989" spans="1:14" hidden="1" x14ac:dyDescent="0.35">
      <c r="A989" t="s">
        <v>664</v>
      </c>
      <c r="B989" t="s">
        <v>37</v>
      </c>
      <c r="C989" t="s">
        <v>61</v>
      </c>
      <c r="D989" t="s">
        <v>62</v>
      </c>
      <c r="E989" t="s">
        <v>584</v>
      </c>
      <c r="F989" t="s">
        <v>26</v>
      </c>
      <c r="G989" t="s">
        <v>26</v>
      </c>
      <c r="H989">
        <v>4.9116010000000001</v>
      </c>
      <c r="I989">
        <v>5.1733750000000001</v>
      </c>
      <c r="J989">
        <v>5.9562239999999997</v>
      </c>
      <c r="K989">
        <v>4.8973509999999996</v>
      </c>
      <c r="L989">
        <v>4.0315779999999997</v>
      </c>
      <c r="M989">
        <v>3.0867059999999999</v>
      </c>
      <c r="N989">
        <v>2.227665</v>
      </c>
    </row>
    <row r="990" spans="1:14" hidden="1" x14ac:dyDescent="0.35">
      <c r="A990" t="s">
        <v>664</v>
      </c>
      <c r="B990" t="s">
        <v>37</v>
      </c>
      <c r="C990" t="s">
        <v>109</v>
      </c>
      <c r="D990" t="s">
        <v>109</v>
      </c>
      <c r="E990" t="s">
        <v>584</v>
      </c>
      <c r="F990" t="s">
        <v>581</v>
      </c>
      <c r="G990" t="s">
        <v>396</v>
      </c>
      <c r="H990">
        <v>1.6539640000000001E-2</v>
      </c>
      <c r="I990">
        <v>1.621268E-2</v>
      </c>
      <c r="J990">
        <v>1.5891209999999999E-2</v>
      </c>
      <c r="K990">
        <v>1.557703E-2</v>
      </c>
      <c r="L990">
        <v>0</v>
      </c>
      <c r="M990">
        <v>0</v>
      </c>
      <c r="N990">
        <v>0</v>
      </c>
    </row>
    <row r="991" spans="1:14" hidden="1" x14ac:dyDescent="0.35">
      <c r="A991" t="s">
        <v>664</v>
      </c>
      <c r="B991" t="s">
        <v>37</v>
      </c>
      <c r="C991" t="s">
        <v>109</v>
      </c>
      <c r="D991" t="s">
        <v>109</v>
      </c>
      <c r="E991" t="s">
        <v>584</v>
      </c>
      <c r="F991" t="s">
        <v>581</v>
      </c>
      <c r="G991" t="s">
        <v>24</v>
      </c>
      <c r="H991">
        <v>2.9868160000000001E-2</v>
      </c>
      <c r="I991">
        <v>2.8496400000000002E-2</v>
      </c>
      <c r="J991">
        <v>2.7188569999999999E-2</v>
      </c>
      <c r="K991">
        <v>2.5941019999999999E-2</v>
      </c>
      <c r="L991">
        <v>0</v>
      </c>
      <c r="M991">
        <v>0</v>
      </c>
      <c r="N991">
        <v>0</v>
      </c>
    </row>
    <row r="992" spans="1:14" hidden="1" x14ac:dyDescent="0.35">
      <c r="A992" t="s">
        <v>664</v>
      </c>
      <c r="B992" t="s">
        <v>37</v>
      </c>
      <c r="C992" t="s">
        <v>109</v>
      </c>
      <c r="D992" t="s">
        <v>109</v>
      </c>
      <c r="E992" t="s">
        <v>584</v>
      </c>
      <c r="F992" t="s">
        <v>581</v>
      </c>
      <c r="G992" t="s">
        <v>25</v>
      </c>
      <c r="H992">
        <v>2.8074469999999998E-3</v>
      </c>
      <c r="I992">
        <v>2.750822E-3</v>
      </c>
      <c r="J992">
        <v>2.6960249999999999E-3</v>
      </c>
      <c r="K992">
        <v>2.6412279999999998E-3</v>
      </c>
      <c r="L992">
        <v>0</v>
      </c>
      <c r="M992">
        <v>0</v>
      </c>
      <c r="N992">
        <v>0</v>
      </c>
    </row>
    <row r="993" spans="1:14" hidden="1" x14ac:dyDescent="0.35">
      <c r="A993" t="s">
        <v>664</v>
      </c>
      <c r="B993" t="s">
        <v>37</v>
      </c>
      <c r="C993" t="s">
        <v>109</v>
      </c>
      <c r="D993" t="s">
        <v>109</v>
      </c>
      <c r="E993" t="s">
        <v>584</v>
      </c>
      <c r="F993" t="s">
        <v>26</v>
      </c>
      <c r="G993" t="s">
        <v>26</v>
      </c>
      <c r="H993">
        <v>1.074757E-2</v>
      </c>
      <c r="I993">
        <v>1.009731E-2</v>
      </c>
      <c r="J993">
        <v>9.485406E-3</v>
      </c>
      <c r="K993">
        <v>8.9118610000000001E-3</v>
      </c>
      <c r="L993">
        <v>0</v>
      </c>
      <c r="M993">
        <v>0</v>
      </c>
      <c r="N993">
        <v>0</v>
      </c>
    </row>
    <row r="994" spans="1:14" hidden="1" x14ac:dyDescent="0.35">
      <c r="A994" t="s">
        <v>664</v>
      </c>
      <c r="B994" t="s">
        <v>123</v>
      </c>
      <c r="C994" t="s">
        <v>144</v>
      </c>
      <c r="D994" t="s">
        <v>144</v>
      </c>
      <c r="E994" t="s">
        <v>584</v>
      </c>
      <c r="F994" t="s">
        <v>581</v>
      </c>
      <c r="G994" t="s">
        <v>396</v>
      </c>
      <c r="H994">
        <v>2.152037</v>
      </c>
      <c r="I994">
        <v>1.229168</v>
      </c>
      <c r="J994">
        <v>1.2937399999999999</v>
      </c>
      <c r="K994">
        <v>1.8034589999999999</v>
      </c>
      <c r="L994">
        <v>3.3308689999999999</v>
      </c>
      <c r="M994">
        <v>7.8075369999999999</v>
      </c>
      <c r="N994">
        <v>6.66357</v>
      </c>
    </row>
    <row r="995" spans="1:14" hidden="1" x14ac:dyDescent="0.35">
      <c r="A995" t="s">
        <v>664</v>
      </c>
      <c r="B995" t="s">
        <v>123</v>
      </c>
      <c r="C995" t="s">
        <v>144</v>
      </c>
      <c r="D995" t="s">
        <v>144</v>
      </c>
      <c r="E995" t="s">
        <v>584</v>
      </c>
      <c r="F995" t="s">
        <v>26</v>
      </c>
      <c r="G995" t="s">
        <v>26</v>
      </c>
      <c r="H995">
        <v>19.073440000000002</v>
      </c>
      <c r="I995">
        <v>16.445080000000001</v>
      </c>
      <c r="J995">
        <v>15.323919999999999</v>
      </c>
      <c r="K995">
        <v>16.529</v>
      </c>
      <c r="L995">
        <v>19.86242</v>
      </c>
      <c r="M995">
        <v>18.887609999999999</v>
      </c>
      <c r="N995">
        <v>18.670860000000001</v>
      </c>
    </row>
    <row r="996" spans="1:14" hidden="1" x14ac:dyDescent="0.35">
      <c r="A996" t="s">
        <v>664</v>
      </c>
      <c r="B996" t="s">
        <v>133</v>
      </c>
      <c r="C996" t="s">
        <v>135</v>
      </c>
      <c r="D996" t="s">
        <v>253</v>
      </c>
      <c r="E996" t="s">
        <v>584</v>
      </c>
      <c r="F996" t="s">
        <v>581</v>
      </c>
      <c r="G996" t="s">
        <v>396</v>
      </c>
      <c r="H996">
        <v>10.43683</v>
      </c>
      <c r="I996">
        <v>10.60134</v>
      </c>
      <c r="J996">
        <v>11.06922</v>
      </c>
      <c r="K996">
        <v>10.29308</v>
      </c>
      <c r="L996">
        <v>9.983155</v>
      </c>
      <c r="M996">
        <v>8.1880839999999999</v>
      </c>
      <c r="N996">
        <v>6.708755</v>
      </c>
    </row>
    <row r="997" spans="1:14" hidden="1" x14ac:dyDescent="0.35">
      <c r="A997" t="s">
        <v>666</v>
      </c>
      <c r="B997" t="s">
        <v>37</v>
      </c>
      <c r="C997" t="s">
        <v>63</v>
      </c>
      <c r="D997" t="s">
        <v>63</v>
      </c>
      <c r="E997" t="s">
        <v>608</v>
      </c>
      <c r="F997" t="s">
        <v>581</v>
      </c>
      <c r="G997" t="s">
        <v>25</v>
      </c>
      <c r="H997">
        <v>6.1609559999999997</v>
      </c>
      <c r="I997">
        <v>5.7874610000000004</v>
      </c>
      <c r="J997">
        <v>6.7659289999999999</v>
      </c>
      <c r="K997">
        <v>7.1971720000000001</v>
      </c>
      <c r="L997">
        <v>6.7450489999999999</v>
      </c>
      <c r="M997">
        <v>6.0384890000000002</v>
      </c>
      <c r="N997">
        <v>5.4226380000000001</v>
      </c>
    </row>
    <row r="998" spans="1:14" hidden="1" x14ac:dyDescent="0.35">
      <c r="A998" t="s">
        <v>666</v>
      </c>
      <c r="B998" t="s">
        <v>37</v>
      </c>
      <c r="C998" t="s">
        <v>63</v>
      </c>
      <c r="D998" t="s">
        <v>63</v>
      </c>
      <c r="E998" t="s">
        <v>608</v>
      </c>
      <c r="F998" t="s">
        <v>26</v>
      </c>
      <c r="G998" t="s">
        <v>26</v>
      </c>
      <c r="H998">
        <v>122.3586</v>
      </c>
      <c r="I998">
        <v>113.22499999999999</v>
      </c>
      <c r="J998">
        <v>131.4855</v>
      </c>
      <c r="K998">
        <v>139.31649999999999</v>
      </c>
      <c r="L998">
        <v>130.54329999999999</v>
      </c>
      <c r="M998">
        <v>117.1071</v>
      </c>
      <c r="N998">
        <v>105.06059999999999</v>
      </c>
    </row>
    <row r="999" spans="1:14" hidden="1" x14ac:dyDescent="0.35">
      <c r="A999" t="s">
        <v>666</v>
      </c>
      <c r="B999" t="s">
        <v>37</v>
      </c>
      <c r="C999" t="s">
        <v>63</v>
      </c>
      <c r="D999" t="s">
        <v>63</v>
      </c>
      <c r="E999" t="s">
        <v>609</v>
      </c>
      <c r="F999" t="s">
        <v>581</v>
      </c>
      <c r="G999" t="s">
        <v>25</v>
      </c>
      <c r="H999">
        <v>0</v>
      </c>
      <c r="I999">
        <v>0.60138910000000001</v>
      </c>
      <c r="J999">
        <v>0.5608822</v>
      </c>
      <c r="K999">
        <v>0.56525639999999999</v>
      </c>
      <c r="L999">
        <v>0.61870519999999996</v>
      </c>
      <c r="M999">
        <v>0.61350190000000004</v>
      </c>
      <c r="N999">
        <v>0.59696550000000004</v>
      </c>
    </row>
    <row r="1000" spans="1:14" hidden="1" x14ac:dyDescent="0.35">
      <c r="A1000" t="s">
        <v>666</v>
      </c>
      <c r="B1000" t="s">
        <v>37</v>
      </c>
      <c r="C1000" t="s">
        <v>63</v>
      </c>
      <c r="D1000" t="s">
        <v>63</v>
      </c>
      <c r="E1000" t="s">
        <v>609</v>
      </c>
      <c r="F1000" t="s">
        <v>26</v>
      </c>
      <c r="G1000" t="s">
        <v>26</v>
      </c>
      <c r="H1000">
        <v>51.917879999999997</v>
      </c>
      <c r="I1000">
        <v>59.537109999999998</v>
      </c>
      <c r="J1000">
        <v>55.527760000000001</v>
      </c>
      <c r="K1000">
        <v>53.11627</v>
      </c>
      <c r="L1000">
        <v>53.33231</v>
      </c>
      <c r="M1000">
        <v>52.986150000000002</v>
      </c>
      <c r="N1000">
        <v>54.496859999999998</v>
      </c>
    </row>
    <row r="1001" spans="1:14" hidden="1" x14ac:dyDescent="0.35">
      <c r="A1001" t="s">
        <v>666</v>
      </c>
      <c r="B1001" t="s">
        <v>37</v>
      </c>
      <c r="C1001" t="s">
        <v>63</v>
      </c>
      <c r="D1001" t="s">
        <v>63</v>
      </c>
      <c r="E1001" t="s">
        <v>610</v>
      </c>
      <c r="F1001" t="s">
        <v>581</v>
      </c>
      <c r="G1001" t="s">
        <v>24</v>
      </c>
      <c r="H1001">
        <v>0.498726</v>
      </c>
      <c r="I1001">
        <v>1.1807559999999999</v>
      </c>
      <c r="J1001">
        <v>1.6958390000000001</v>
      </c>
      <c r="K1001">
        <v>2.1635070000000001</v>
      </c>
      <c r="L1001">
        <v>2.2484649999999999</v>
      </c>
      <c r="M1001">
        <v>2.0447129999999998</v>
      </c>
      <c r="N1001">
        <v>1.989565</v>
      </c>
    </row>
    <row r="1002" spans="1:14" hidden="1" x14ac:dyDescent="0.35">
      <c r="A1002" t="s">
        <v>666</v>
      </c>
      <c r="B1002" t="s">
        <v>37</v>
      </c>
      <c r="C1002" t="s">
        <v>63</v>
      </c>
      <c r="D1002" t="s">
        <v>63</v>
      </c>
      <c r="E1002" t="s">
        <v>610</v>
      </c>
      <c r="F1002" t="s">
        <v>581</v>
      </c>
      <c r="G1002" t="s">
        <v>25</v>
      </c>
      <c r="H1002">
        <v>8.5869809999999998</v>
      </c>
      <c r="I1002">
        <v>9.0477749999999997</v>
      </c>
      <c r="J1002">
        <v>11.09333</v>
      </c>
      <c r="K1002">
        <v>12.532769999999999</v>
      </c>
      <c r="L1002">
        <v>12.683770000000001</v>
      </c>
      <c r="M1002">
        <v>11.868359999999999</v>
      </c>
      <c r="N1002">
        <v>11.700060000000001</v>
      </c>
    </row>
    <row r="1003" spans="1:14" hidden="1" x14ac:dyDescent="0.35">
      <c r="A1003" t="s">
        <v>666</v>
      </c>
      <c r="B1003" t="s">
        <v>37</v>
      </c>
      <c r="C1003" t="s">
        <v>63</v>
      </c>
      <c r="D1003" t="s">
        <v>63</v>
      </c>
      <c r="E1003" t="s">
        <v>610</v>
      </c>
      <c r="F1003" t="s">
        <v>26</v>
      </c>
      <c r="G1003" t="s">
        <v>26</v>
      </c>
      <c r="H1003">
        <v>29.308900000000001</v>
      </c>
      <c r="I1003">
        <v>30.729050000000001</v>
      </c>
      <c r="J1003">
        <v>38.367519999999999</v>
      </c>
      <c r="K1003">
        <v>44.088810000000002</v>
      </c>
      <c r="L1003">
        <v>44.796680000000002</v>
      </c>
      <c r="M1003">
        <v>41.739199999999997</v>
      </c>
      <c r="N1003">
        <v>41.06888</v>
      </c>
    </row>
    <row r="1004" spans="1:14" hidden="1" x14ac:dyDescent="0.35">
      <c r="A1004" t="s">
        <v>666</v>
      </c>
      <c r="B1004" t="s">
        <v>37</v>
      </c>
      <c r="C1004" t="s">
        <v>63</v>
      </c>
      <c r="D1004" t="s">
        <v>63</v>
      </c>
      <c r="E1004" t="s">
        <v>584</v>
      </c>
      <c r="F1004" t="s">
        <v>581</v>
      </c>
      <c r="G1004" t="s">
        <v>396</v>
      </c>
      <c r="H1004">
        <v>8.4931510000000004E-4</v>
      </c>
      <c r="I1004">
        <v>0</v>
      </c>
    </row>
    <row r="1005" spans="1:14" hidden="1" x14ac:dyDescent="0.35">
      <c r="A1005" t="s">
        <v>666</v>
      </c>
      <c r="B1005" t="s">
        <v>37</v>
      </c>
      <c r="C1005" t="s">
        <v>63</v>
      </c>
      <c r="D1005" t="s">
        <v>63</v>
      </c>
      <c r="E1005" t="s">
        <v>584</v>
      </c>
      <c r="F1005" t="s">
        <v>26</v>
      </c>
      <c r="G1005" t="s">
        <v>26</v>
      </c>
      <c r="H1005">
        <v>17.333010000000002</v>
      </c>
      <c r="I1005">
        <v>17.332840000000001</v>
      </c>
      <c r="J1005">
        <v>17.332650000000001</v>
      </c>
      <c r="K1005">
        <v>17.323699999999999</v>
      </c>
      <c r="L1005">
        <v>17.323699999999999</v>
      </c>
      <c r="M1005">
        <v>17.323699999999999</v>
      </c>
      <c r="N1005">
        <v>17.323699999999999</v>
      </c>
    </row>
    <row r="1006" spans="1:14" hidden="1" x14ac:dyDescent="0.35">
      <c r="A1006" t="s">
        <v>666</v>
      </c>
      <c r="B1006" t="s">
        <v>37</v>
      </c>
      <c r="C1006" t="s">
        <v>63</v>
      </c>
      <c r="D1006" t="s">
        <v>63</v>
      </c>
      <c r="E1006" t="s">
        <v>611</v>
      </c>
      <c r="F1006" t="s">
        <v>581</v>
      </c>
      <c r="G1006" t="s">
        <v>25</v>
      </c>
      <c r="H1006">
        <v>9.3147949999999993E-2</v>
      </c>
      <c r="I1006">
        <v>7.8849310000000006E-2</v>
      </c>
      <c r="J1006">
        <v>8.018082E-2</v>
      </c>
      <c r="K1006">
        <v>7.3893150000000005E-2</v>
      </c>
      <c r="L1006">
        <v>7.3454249999999999E-2</v>
      </c>
      <c r="M1006">
        <v>6.5475610000000004E-2</v>
      </c>
      <c r="N1006">
        <v>5.5272880000000003E-2</v>
      </c>
    </row>
    <row r="1007" spans="1:14" hidden="1" x14ac:dyDescent="0.35">
      <c r="A1007" t="s">
        <v>666</v>
      </c>
      <c r="B1007" t="s">
        <v>37</v>
      </c>
      <c r="C1007" t="s">
        <v>63</v>
      </c>
      <c r="D1007" t="s">
        <v>63</v>
      </c>
      <c r="E1007" t="s">
        <v>611</v>
      </c>
      <c r="F1007" t="s">
        <v>26</v>
      </c>
      <c r="G1007" t="s">
        <v>26</v>
      </c>
      <c r="H1007">
        <v>1.8024659999999999</v>
      </c>
      <c r="I1007">
        <v>1.498181</v>
      </c>
      <c r="J1007">
        <v>1.523441</v>
      </c>
      <c r="K1007">
        <v>1.4040410000000001</v>
      </c>
      <c r="L1007">
        <v>1.3955850000000001</v>
      </c>
      <c r="M1007">
        <v>1.2440070000000001</v>
      </c>
      <c r="N1007">
        <v>1.0501149999999999</v>
      </c>
    </row>
    <row r="1008" spans="1:14" hidden="1" x14ac:dyDescent="0.35">
      <c r="A1008" t="s">
        <v>666</v>
      </c>
      <c r="B1008" t="s">
        <v>37</v>
      </c>
      <c r="C1008" t="s">
        <v>63</v>
      </c>
      <c r="D1008" t="s">
        <v>63</v>
      </c>
      <c r="E1008" t="s">
        <v>667</v>
      </c>
      <c r="F1008" t="s">
        <v>26</v>
      </c>
      <c r="G1008" t="s">
        <v>26</v>
      </c>
      <c r="H1008">
        <v>7.6849319999999999E-2</v>
      </c>
      <c r="I1008">
        <v>0.19176989999999999</v>
      </c>
      <c r="J1008">
        <v>0.17168220000000001</v>
      </c>
      <c r="K1008">
        <v>0.1544548</v>
      </c>
      <c r="L1008">
        <v>0.1390055</v>
      </c>
      <c r="M1008">
        <v>0.12542739999999999</v>
      </c>
      <c r="N1008">
        <v>0.1125589</v>
      </c>
    </row>
    <row r="1009" spans="1:14" hidden="1" x14ac:dyDescent="0.35">
      <c r="A1009" t="s">
        <v>666</v>
      </c>
      <c r="B1009" t="s">
        <v>37</v>
      </c>
      <c r="C1009" t="s">
        <v>63</v>
      </c>
      <c r="D1009" t="s">
        <v>63</v>
      </c>
      <c r="E1009" t="s">
        <v>668</v>
      </c>
      <c r="F1009" t="s">
        <v>581</v>
      </c>
      <c r="G1009" t="s">
        <v>25</v>
      </c>
      <c r="H1009">
        <v>0</v>
      </c>
      <c r="I1009">
        <v>2.6208220000000001E-2</v>
      </c>
      <c r="J1009">
        <v>2.3506849999999999E-2</v>
      </c>
      <c r="K1009">
        <v>2.1161639999999999E-2</v>
      </c>
      <c r="L1009">
        <v>1.9046569999999999E-2</v>
      </c>
      <c r="M1009">
        <v>1.7180819999999999E-2</v>
      </c>
      <c r="N1009">
        <v>1.5419179999999999E-2</v>
      </c>
    </row>
    <row r="1010" spans="1:14" hidden="1" x14ac:dyDescent="0.35">
      <c r="A1010" t="s">
        <v>666</v>
      </c>
      <c r="B1010" t="s">
        <v>37</v>
      </c>
      <c r="C1010" t="s">
        <v>63</v>
      </c>
      <c r="D1010" t="s">
        <v>63</v>
      </c>
      <c r="E1010" t="s">
        <v>668</v>
      </c>
      <c r="F1010" t="s">
        <v>26</v>
      </c>
      <c r="G1010" t="s">
        <v>26</v>
      </c>
      <c r="H1010">
        <v>4.191781E-2</v>
      </c>
      <c r="I1010">
        <v>0.1048246</v>
      </c>
      <c r="J1010">
        <v>9.4043829999999995E-2</v>
      </c>
      <c r="K1010">
        <v>8.4635619999999995E-2</v>
      </c>
      <c r="L1010">
        <v>7.6172610000000002E-2</v>
      </c>
      <c r="M1010">
        <v>6.8731500000000001E-2</v>
      </c>
      <c r="N1010">
        <v>6.167943E-2</v>
      </c>
    </row>
    <row r="1011" spans="1:14" hidden="1" x14ac:dyDescent="0.35">
      <c r="A1011" t="s">
        <v>666</v>
      </c>
      <c r="B1011" t="s">
        <v>37</v>
      </c>
      <c r="C1011" t="s">
        <v>110</v>
      </c>
      <c r="D1011" t="s">
        <v>110</v>
      </c>
      <c r="E1011" t="s">
        <v>584</v>
      </c>
      <c r="F1011" t="s">
        <v>26</v>
      </c>
      <c r="G1011" t="s">
        <v>26</v>
      </c>
      <c r="H1011">
        <v>7.6989049999999999</v>
      </c>
      <c r="I1011">
        <v>7.4145159999999999</v>
      </c>
      <c r="J1011">
        <v>7.138585</v>
      </c>
      <c r="K1011">
        <v>6.8157329999999998</v>
      </c>
      <c r="L1011">
        <v>6.423997</v>
      </c>
      <c r="M1011">
        <v>5.9148420000000002</v>
      </c>
      <c r="N1011">
        <v>5.4656359999999999</v>
      </c>
    </row>
    <row r="1012" spans="1:14" hidden="1" x14ac:dyDescent="0.35">
      <c r="A1012" t="s">
        <v>666</v>
      </c>
      <c r="B1012" t="s">
        <v>37</v>
      </c>
      <c r="C1012" t="s">
        <v>115</v>
      </c>
      <c r="D1012" t="s">
        <v>115</v>
      </c>
      <c r="E1012" t="s">
        <v>584</v>
      </c>
      <c r="F1012" t="s">
        <v>26</v>
      </c>
      <c r="G1012" t="s">
        <v>26</v>
      </c>
      <c r="H1012">
        <v>0.27167950000000002</v>
      </c>
      <c r="I1012">
        <v>0.24454790000000001</v>
      </c>
      <c r="J1012">
        <v>0.22012880000000001</v>
      </c>
      <c r="K1012">
        <v>0.19814789999999999</v>
      </c>
      <c r="L1012">
        <v>0.17836170000000001</v>
      </c>
      <c r="M1012">
        <v>0.16055069999999999</v>
      </c>
      <c r="N1012">
        <v>0.1445178</v>
      </c>
    </row>
    <row r="1013" spans="1:14" hidden="1" x14ac:dyDescent="0.35">
      <c r="A1013" t="s">
        <v>666</v>
      </c>
      <c r="B1013" t="s">
        <v>37</v>
      </c>
      <c r="C1013" t="s">
        <v>246</v>
      </c>
      <c r="D1013" t="s">
        <v>246</v>
      </c>
      <c r="E1013" t="s">
        <v>647</v>
      </c>
      <c r="F1013" t="s">
        <v>26</v>
      </c>
      <c r="G1013" t="s">
        <v>26</v>
      </c>
      <c r="H1013">
        <v>6.9863019999999998E-3</v>
      </c>
      <c r="I1013">
        <v>1.767123E-2</v>
      </c>
      <c r="J1013">
        <v>1.586301E-2</v>
      </c>
      <c r="K1013">
        <v>1.427671E-2</v>
      </c>
      <c r="L1013">
        <v>6.5559450000000005E-2</v>
      </c>
      <c r="M1013">
        <v>8.7471240000000006E-2</v>
      </c>
      <c r="N1013">
        <v>6.62055E-2</v>
      </c>
    </row>
    <row r="1014" spans="1:14" hidden="1" x14ac:dyDescent="0.35">
      <c r="A1014" t="s">
        <v>669</v>
      </c>
      <c r="B1014" t="s">
        <v>53</v>
      </c>
      <c r="C1014" t="s">
        <v>52</v>
      </c>
      <c r="D1014" t="s">
        <v>52</v>
      </c>
      <c r="E1014" t="s">
        <v>584</v>
      </c>
      <c r="F1014" t="s">
        <v>581</v>
      </c>
      <c r="G1014" t="s">
        <v>396</v>
      </c>
      <c r="H1014">
        <v>15.307829999999999</v>
      </c>
      <c r="I1014">
        <v>32.003070000000001</v>
      </c>
      <c r="J1014">
        <v>29.169319999999999</v>
      </c>
      <c r="K1014">
        <v>24.266570000000002</v>
      </c>
      <c r="L1014">
        <v>17.049710000000001</v>
      </c>
      <c r="M1014">
        <v>10.759819999999999</v>
      </c>
      <c r="N1014">
        <v>7.676774</v>
      </c>
    </row>
    <row r="1015" spans="1:14" hidden="1" x14ac:dyDescent="0.35">
      <c r="A1015" t="s">
        <v>669</v>
      </c>
      <c r="B1015" t="s">
        <v>53</v>
      </c>
      <c r="C1015" t="s">
        <v>52</v>
      </c>
      <c r="D1015" t="s">
        <v>52</v>
      </c>
      <c r="E1015" t="s">
        <v>584</v>
      </c>
      <c r="F1015" t="s">
        <v>581</v>
      </c>
      <c r="G1015" t="s">
        <v>24</v>
      </c>
      <c r="H1015">
        <v>26.195340000000002</v>
      </c>
      <c r="I1015">
        <v>25.318280000000001</v>
      </c>
      <c r="J1015">
        <v>22.65324</v>
      </c>
      <c r="K1015">
        <v>20.825980000000001</v>
      </c>
      <c r="L1015">
        <v>19.38747</v>
      </c>
      <c r="M1015">
        <v>15.882</v>
      </c>
      <c r="N1015">
        <v>12.56307</v>
      </c>
    </row>
    <row r="1016" spans="1:14" hidden="1" x14ac:dyDescent="0.35">
      <c r="A1016" t="s">
        <v>669</v>
      </c>
      <c r="B1016" t="s">
        <v>53</v>
      </c>
      <c r="C1016" t="s">
        <v>52</v>
      </c>
      <c r="D1016" t="s">
        <v>52</v>
      </c>
      <c r="E1016" t="s">
        <v>584</v>
      </c>
      <c r="F1016" t="s">
        <v>26</v>
      </c>
      <c r="G1016" t="s">
        <v>26</v>
      </c>
      <c r="H1016">
        <v>200.02690000000001</v>
      </c>
      <c r="I1016">
        <v>202.52699999999999</v>
      </c>
      <c r="J1016">
        <v>199.64320000000001</v>
      </c>
      <c r="K1016">
        <v>200.58709999999999</v>
      </c>
      <c r="L1016">
        <v>213.26310000000001</v>
      </c>
      <c r="M1016">
        <v>209.20740000000001</v>
      </c>
      <c r="N1016">
        <v>206.19399999999999</v>
      </c>
    </row>
    <row r="1017" spans="1:14" hidden="1" x14ac:dyDescent="0.35">
      <c r="A1017" t="s">
        <v>669</v>
      </c>
      <c r="B1017" t="s">
        <v>53</v>
      </c>
      <c r="C1017" t="s">
        <v>145</v>
      </c>
      <c r="D1017" t="s">
        <v>145</v>
      </c>
      <c r="E1017" t="s">
        <v>584</v>
      </c>
      <c r="F1017" t="s">
        <v>581</v>
      </c>
      <c r="G1017" t="s">
        <v>25</v>
      </c>
      <c r="H1017">
        <v>1.478874</v>
      </c>
      <c r="I1017">
        <v>1.3405</v>
      </c>
      <c r="J1017">
        <v>1.254016</v>
      </c>
      <c r="K1017">
        <v>1.1675310000000001</v>
      </c>
      <c r="L1017">
        <v>1.1143369999999999</v>
      </c>
      <c r="M1017">
        <v>1.039445</v>
      </c>
      <c r="N1017">
        <v>0.97350519999999996</v>
      </c>
    </row>
    <row r="1018" spans="1:14" hidden="1" x14ac:dyDescent="0.35">
      <c r="A1018" t="s">
        <v>669</v>
      </c>
      <c r="B1018" t="s">
        <v>53</v>
      </c>
      <c r="C1018" t="s">
        <v>151</v>
      </c>
      <c r="D1018" t="s">
        <v>151</v>
      </c>
      <c r="E1018" t="s">
        <v>584</v>
      </c>
      <c r="F1018" t="s">
        <v>26</v>
      </c>
      <c r="G1018" t="s">
        <v>26</v>
      </c>
      <c r="H1018">
        <v>5.2256129999999999E-7</v>
      </c>
      <c r="I1018">
        <v>-5.2256129999999999E-7</v>
      </c>
      <c r="J1018">
        <v>0</v>
      </c>
      <c r="K1018">
        <v>0</v>
      </c>
      <c r="L1018">
        <v>1.567684E-6</v>
      </c>
      <c r="M1018">
        <v>-5.2256129999999999E-7</v>
      </c>
      <c r="N1018">
        <v>0</v>
      </c>
    </row>
    <row r="1019" spans="1:14" hidden="1" x14ac:dyDescent="0.35">
      <c r="A1019" t="s">
        <v>669</v>
      </c>
      <c r="B1019" t="s">
        <v>320</v>
      </c>
      <c r="C1019" t="s">
        <v>319</v>
      </c>
      <c r="D1019" t="s">
        <v>319</v>
      </c>
      <c r="E1019" t="s">
        <v>584</v>
      </c>
      <c r="F1019" t="s">
        <v>581</v>
      </c>
      <c r="G1019" t="s">
        <v>396</v>
      </c>
      <c r="K1019">
        <v>0</v>
      </c>
      <c r="L1019">
        <v>10.07281</v>
      </c>
      <c r="M1019">
        <v>26.728940000000001</v>
      </c>
      <c r="N1019">
        <v>27.530139999999999</v>
      </c>
    </row>
    <row r="1020" spans="1:14" hidden="1" x14ac:dyDescent="0.35">
      <c r="A1020" t="s">
        <v>669</v>
      </c>
      <c r="B1020" t="s">
        <v>34</v>
      </c>
      <c r="C1020" t="s">
        <v>33</v>
      </c>
      <c r="D1020" t="s">
        <v>33</v>
      </c>
      <c r="E1020" t="s">
        <v>622</v>
      </c>
      <c r="F1020" t="s">
        <v>26</v>
      </c>
      <c r="G1020" t="s">
        <v>26</v>
      </c>
      <c r="H1020">
        <v>1.1876709999999999</v>
      </c>
      <c r="I1020">
        <v>0</v>
      </c>
      <c r="J1020">
        <v>1.6381749999999999</v>
      </c>
      <c r="K1020">
        <v>1.474334</v>
      </c>
      <c r="L1020">
        <v>1.3268819999999999</v>
      </c>
      <c r="M1020">
        <v>1.1972769999999999</v>
      </c>
      <c r="N1020">
        <v>1.07443</v>
      </c>
    </row>
    <row r="1021" spans="1:14" hidden="1" x14ac:dyDescent="0.35">
      <c r="A1021" t="s">
        <v>669</v>
      </c>
      <c r="B1021" t="s">
        <v>195</v>
      </c>
      <c r="C1021" t="s">
        <v>359</v>
      </c>
      <c r="D1021" t="s">
        <v>359</v>
      </c>
      <c r="E1021" t="s">
        <v>584</v>
      </c>
      <c r="F1021" t="s">
        <v>26</v>
      </c>
      <c r="G1021" t="s">
        <v>26</v>
      </c>
      <c r="N1021">
        <v>0</v>
      </c>
    </row>
    <row r="1022" spans="1:14" x14ac:dyDescent="0.35">
      <c r="A1022" t="s">
        <v>270</v>
      </c>
      <c r="B1022" t="s">
        <v>37</v>
      </c>
      <c r="C1022" t="s">
        <v>35</v>
      </c>
      <c r="D1022" t="s">
        <v>39</v>
      </c>
      <c r="E1022" t="s">
        <v>582</v>
      </c>
      <c r="F1022" t="s">
        <v>581</v>
      </c>
      <c r="G1022" t="s">
        <v>396</v>
      </c>
      <c r="H1022">
        <v>77.676720000000003</v>
      </c>
      <c r="I1022">
        <v>79.248109999999997</v>
      </c>
      <c r="J1022">
        <v>71.119240000000005</v>
      </c>
      <c r="K1022">
        <v>59.15737</v>
      </c>
      <c r="L1022">
        <v>53.181950000000001</v>
      </c>
      <c r="M1022">
        <v>46.775979999999997</v>
      </c>
      <c r="N1022">
        <v>40.673209999999997</v>
      </c>
    </row>
    <row r="1023" spans="1:14" x14ac:dyDescent="0.35">
      <c r="A1023" t="s">
        <v>270</v>
      </c>
      <c r="B1023" t="s">
        <v>37</v>
      </c>
      <c r="C1023" t="s">
        <v>35</v>
      </c>
      <c r="D1023" t="s">
        <v>39</v>
      </c>
      <c r="E1023" t="s">
        <v>582</v>
      </c>
      <c r="F1023" t="s">
        <v>26</v>
      </c>
      <c r="G1023" t="s">
        <v>26</v>
      </c>
      <c r="H1023">
        <v>52.356720000000003</v>
      </c>
      <c r="I1023">
        <v>51.901809999999998</v>
      </c>
      <c r="J1023">
        <v>46.587859999999999</v>
      </c>
      <c r="K1023">
        <v>38.748910000000002</v>
      </c>
      <c r="L1023">
        <v>34.83146</v>
      </c>
      <c r="M1023">
        <v>30.63823</v>
      </c>
      <c r="N1023">
        <v>26.63926</v>
      </c>
    </row>
    <row r="1024" spans="1:14" x14ac:dyDescent="0.35">
      <c r="A1024" t="s">
        <v>270</v>
      </c>
      <c r="B1024" t="s">
        <v>37</v>
      </c>
      <c r="C1024" t="s">
        <v>35</v>
      </c>
      <c r="D1024" t="s">
        <v>36</v>
      </c>
      <c r="E1024" t="s">
        <v>588</v>
      </c>
      <c r="F1024" t="s">
        <v>581</v>
      </c>
      <c r="G1024" t="s">
        <v>396</v>
      </c>
      <c r="H1024">
        <v>39.36</v>
      </c>
      <c r="I1024">
        <v>42.761319999999998</v>
      </c>
      <c r="J1024">
        <v>42.700519999999997</v>
      </c>
      <c r="K1024">
        <v>37.399630000000002</v>
      </c>
      <c r="L1024">
        <v>33.80585</v>
      </c>
      <c r="M1024">
        <v>29.290990000000001</v>
      </c>
      <c r="N1024">
        <v>25.663640000000001</v>
      </c>
    </row>
    <row r="1025" spans="1:14" x14ac:dyDescent="0.35">
      <c r="A1025" t="s">
        <v>270</v>
      </c>
      <c r="B1025" t="s">
        <v>37</v>
      </c>
      <c r="C1025" t="s">
        <v>35</v>
      </c>
      <c r="D1025" t="s">
        <v>36</v>
      </c>
      <c r="E1025" t="s">
        <v>588</v>
      </c>
      <c r="F1025" t="s">
        <v>581</v>
      </c>
      <c r="G1025" t="s">
        <v>25</v>
      </c>
      <c r="H1025">
        <v>0.98287119999999994</v>
      </c>
      <c r="I1025">
        <v>1.1707810000000001</v>
      </c>
      <c r="J1025">
        <v>1.1698789999999999</v>
      </c>
      <c r="K1025">
        <v>1.0246470000000001</v>
      </c>
      <c r="L1025">
        <v>0.92618299999999998</v>
      </c>
      <c r="M1025">
        <v>0.8024926</v>
      </c>
      <c r="N1025">
        <v>0.70311290000000004</v>
      </c>
    </row>
    <row r="1026" spans="1:14" x14ac:dyDescent="0.35">
      <c r="A1026" t="s">
        <v>270</v>
      </c>
      <c r="B1026" t="s">
        <v>37</v>
      </c>
      <c r="C1026" t="s">
        <v>35</v>
      </c>
      <c r="D1026" t="s">
        <v>36</v>
      </c>
      <c r="E1026" t="s">
        <v>588</v>
      </c>
      <c r="F1026" t="s">
        <v>26</v>
      </c>
      <c r="G1026" t="s">
        <v>26</v>
      </c>
      <c r="H1026">
        <v>14.827400000000001</v>
      </c>
      <c r="I1026">
        <v>14.63472</v>
      </c>
      <c r="J1026">
        <v>14.62346</v>
      </c>
      <c r="K1026">
        <v>12.8081</v>
      </c>
      <c r="L1026">
        <v>11.577349999999999</v>
      </c>
      <c r="M1026">
        <v>10.03116</v>
      </c>
      <c r="N1026">
        <v>8.7889180000000007</v>
      </c>
    </row>
    <row r="1027" spans="1:14" x14ac:dyDescent="0.35">
      <c r="A1027" t="s">
        <v>270</v>
      </c>
      <c r="B1027" t="s">
        <v>37</v>
      </c>
      <c r="C1027" t="s">
        <v>35</v>
      </c>
      <c r="D1027" t="s">
        <v>36</v>
      </c>
      <c r="E1027" t="s">
        <v>589</v>
      </c>
      <c r="F1027" t="s">
        <v>581</v>
      </c>
      <c r="G1027" t="s">
        <v>396</v>
      </c>
      <c r="H1027">
        <v>16.414249999999999</v>
      </c>
      <c r="I1027">
        <v>13.28234</v>
      </c>
      <c r="J1027">
        <v>13.54344</v>
      </c>
      <c r="K1027">
        <v>11.111269999999999</v>
      </c>
      <c r="L1027">
        <v>9.6173199999999994</v>
      </c>
      <c r="M1027">
        <v>8.2293240000000001</v>
      </c>
      <c r="N1027">
        <v>7.0337519999999998</v>
      </c>
    </row>
    <row r="1028" spans="1:14" x14ac:dyDescent="0.35">
      <c r="A1028" t="s">
        <v>270</v>
      </c>
      <c r="B1028" t="s">
        <v>37</v>
      </c>
      <c r="C1028" t="s">
        <v>35</v>
      </c>
      <c r="D1028" t="s">
        <v>36</v>
      </c>
      <c r="E1028" t="s">
        <v>589</v>
      </c>
      <c r="F1028" t="s">
        <v>581</v>
      </c>
      <c r="G1028" t="s">
        <v>25</v>
      </c>
      <c r="H1028">
        <v>0.20495620000000001</v>
      </c>
      <c r="I1028">
        <v>0.1816082</v>
      </c>
      <c r="J1028">
        <v>0.1855271</v>
      </c>
      <c r="K1028">
        <v>0.15221209999999999</v>
      </c>
      <c r="L1028">
        <v>0.1317441</v>
      </c>
      <c r="M1028">
        <v>0.11273320000000001</v>
      </c>
      <c r="N1028">
        <v>9.6349580000000004E-2</v>
      </c>
    </row>
    <row r="1029" spans="1:14" x14ac:dyDescent="0.35">
      <c r="A1029" t="s">
        <v>270</v>
      </c>
      <c r="B1029" t="s">
        <v>37</v>
      </c>
      <c r="C1029" t="s">
        <v>35</v>
      </c>
      <c r="D1029" t="s">
        <v>36</v>
      </c>
      <c r="E1029" t="s">
        <v>589</v>
      </c>
      <c r="F1029" t="s">
        <v>26</v>
      </c>
      <c r="G1029" t="s">
        <v>26</v>
      </c>
      <c r="H1029">
        <v>6.4306850000000004</v>
      </c>
      <c r="I1029">
        <v>4.7218830000000001</v>
      </c>
      <c r="J1029">
        <v>4.8236879999999998</v>
      </c>
      <c r="K1029">
        <v>3.9574379999999998</v>
      </c>
      <c r="L1029">
        <v>3.4253439999999999</v>
      </c>
      <c r="M1029">
        <v>2.9309919999999998</v>
      </c>
      <c r="N1029">
        <v>2.5051739999999998</v>
      </c>
    </row>
    <row r="1030" spans="1:14" x14ac:dyDescent="0.35">
      <c r="A1030" t="s">
        <v>270</v>
      </c>
      <c r="B1030" t="s">
        <v>37</v>
      </c>
      <c r="C1030" t="s">
        <v>35</v>
      </c>
      <c r="D1030" t="s">
        <v>36</v>
      </c>
      <c r="E1030" t="s">
        <v>590</v>
      </c>
      <c r="F1030" t="s">
        <v>581</v>
      </c>
      <c r="G1030" t="s">
        <v>396</v>
      </c>
      <c r="H1030">
        <v>11.489319999999999</v>
      </c>
      <c r="I1030">
        <v>11.094889999999999</v>
      </c>
      <c r="J1030">
        <v>11.562720000000001</v>
      </c>
      <c r="K1030">
        <v>11.4579</v>
      </c>
      <c r="L1030">
        <v>10.651339999999999</v>
      </c>
      <c r="M1030">
        <v>8.9199590000000004</v>
      </c>
      <c r="N1030">
        <v>7.9029449999999999</v>
      </c>
    </row>
    <row r="1031" spans="1:14" x14ac:dyDescent="0.35">
      <c r="A1031" t="s">
        <v>270</v>
      </c>
      <c r="B1031" t="s">
        <v>37</v>
      </c>
      <c r="C1031" t="s">
        <v>35</v>
      </c>
      <c r="D1031" t="s">
        <v>36</v>
      </c>
      <c r="E1031" t="s">
        <v>590</v>
      </c>
      <c r="F1031" t="s">
        <v>581</v>
      </c>
      <c r="G1031" t="s">
        <v>25</v>
      </c>
      <c r="H1031">
        <v>0.2949753</v>
      </c>
      <c r="I1031">
        <v>0.3126274</v>
      </c>
      <c r="J1031">
        <v>0.32570900000000003</v>
      </c>
      <c r="K1031">
        <v>0.32275670000000001</v>
      </c>
      <c r="L1031">
        <v>0.30003730000000001</v>
      </c>
      <c r="M1031">
        <v>0.25126470000000001</v>
      </c>
      <c r="N1031">
        <v>0.22261639999999999</v>
      </c>
    </row>
    <row r="1032" spans="1:14" x14ac:dyDescent="0.35">
      <c r="A1032" t="s">
        <v>270</v>
      </c>
      <c r="B1032" t="s">
        <v>37</v>
      </c>
      <c r="C1032" t="s">
        <v>35</v>
      </c>
      <c r="D1032" t="s">
        <v>36</v>
      </c>
      <c r="E1032" t="s">
        <v>590</v>
      </c>
      <c r="F1032" t="s">
        <v>26</v>
      </c>
      <c r="G1032" t="s">
        <v>26</v>
      </c>
      <c r="H1032">
        <v>4.8065749999999996</v>
      </c>
      <c r="I1032">
        <v>4.2204730000000001</v>
      </c>
      <c r="J1032">
        <v>4.3970919999999998</v>
      </c>
      <c r="K1032">
        <v>4.3572300000000004</v>
      </c>
      <c r="L1032">
        <v>4.0505079999999998</v>
      </c>
      <c r="M1032">
        <v>3.3920970000000001</v>
      </c>
      <c r="N1032">
        <v>3.0053450000000002</v>
      </c>
    </row>
    <row r="1033" spans="1:14" x14ac:dyDescent="0.35">
      <c r="A1033" t="s">
        <v>270</v>
      </c>
      <c r="B1033" t="s">
        <v>37</v>
      </c>
      <c r="C1033" t="s">
        <v>35</v>
      </c>
      <c r="D1033" t="s">
        <v>36</v>
      </c>
      <c r="E1033" t="s">
        <v>587</v>
      </c>
      <c r="F1033" t="s">
        <v>581</v>
      </c>
      <c r="G1033" t="s">
        <v>396</v>
      </c>
      <c r="H1033">
        <v>5.7731500000000002</v>
      </c>
      <c r="I1033">
        <v>4.6281780000000001</v>
      </c>
      <c r="J1033">
        <v>4.0860110000000001</v>
      </c>
      <c r="K1033">
        <v>3.646995</v>
      </c>
      <c r="L1033">
        <v>3.2247400000000002</v>
      </c>
      <c r="M1033">
        <v>2.8336250000000001</v>
      </c>
      <c r="N1033">
        <v>2.4773890000000001</v>
      </c>
    </row>
    <row r="1034" spans="1:14" x14ac:dyDescent="0.35">
      <c r="A1034" t="s">
        <v>270</v>
      </c>
      <c r="B1034" t="s">
        <v>37</v>
      </c>
      <c r="C1034" t="s">
        <v>35</v>
      </c>
      <c r="D1034" t="s">
        <v>36</v>
      </c>
      <c r="E1034" t="s">
        <v>587</v>
      </c>
      <c r="F1034" t="s">
        <v>581</v>
      </c>
      <c r="G1034" t="s">
        <v>25</v>
      </c>
      <c r="H1034">
        <v>0.35083569999999997</v>
      </c>
      <c r="I1034">
        <v>0.30857259999999997</v>
      </c>
      <c r="J1034">
        <v>0.2724027</v>
      </c>
      <c r="K1034">
        <v>0.2431315</v>
      </c>
      <c r="L1034">
        <v>0.2149836</v>
      </c>
      <c r="M1034">
        <v>0.18890960000000001</v>
      </c>
      <c r="N1034">
        <v>0.1651589</v>
      </c>
    </row>
    <row r="1035" spans="1:14" x14ac:dyDescent="0.35">
      <c r="A1035" t="s">
        <v>270</v>
      </c>
      <c r="B1035" t="s">
        <v>37</v>
      </c>
      <c r="C1035" t="s">
        <v>35</v>
      </c>
      <c r="D1035" t="s">
        <v>36</v>
      </c>
      <c r="E1035" t="s">
        <v>587</v>
      </c>
      <c r="F1035" t="s">
        <v>26</v>
      </c>
      <c r="G1035" t="s">
        <v>26</v>
      </c>
      <c r="H1035">
        <v>3.8115070000000002</v>
      </c>
      <c r="I1035">
        <v>2.777164</v>
      </c>
      <c r="J1035">
        <v>2.451606</v>
      </c>
      <c r="K1035">
        <v>2.1881970000000002</v>
      </c>
      <c r="L1035">
        <v>1.934844</v>
      </c>
      <c r="M1035">
        <v>1.700175</v>
      </c>
      <c r="N1035">
        <v>1.4864360000000001</v>
      </c>
    </row>
    <row r="1036" spans="1:14" x14ac:dyDescent="0.35">
      <c r="A1036" t="s">
        <v>270</v>
      </c>
      <c r="B1036" t="s">
        <v>37</v>
      </c>
      <c r="C1036" t="s">
        <v>35</v>
      </c>
      <c r="D1036" t="s">
        <v>129</v>
      </c>
      <c r="E1036" t="s">
        <v>580</v>
      </c>
      <c r="F1036" t="s">
        <v>581</v>
      </c>
      <c r="G1036" t="s">
        <v>396</v>
      </c>
      <c r="H1036">
        <v>42.871229999999997</v>
      </c>
      <c r="I1036">
        <v>38.359789999999997</v>
      </c>
      <c r="J1036">
        <v>35.594790000000003</v>
      </c>
      <c r="K1036">
        <v>30.255939999999999</v>
      </c>
      <c r="L1036">
        <v>25.458960000000001</v>
      </c>
      <c r="M1036">
        <v>21.487590000000001</v>
      </c>
      <c r="N1036">
        <v>18.50704</v>
      </c>
    </row>
    <row r="1037" spans="1:14" x14ac:dyDescent="0.35">
      <c r="A1037" t="s">
        <v>270</v>
      </c>
      <c r="B1037" t="s">
        <v>37</v>
      </c>
      <c r="C1037" t="s">
        <v>35</v>
      </c>
      <c r="D1037" t="s">
        <v>129</v>
      </c>
      <c r="E1037" t="s">
        <v>580</v>
      </c>
      <c r="F1037" t="s">
        <v>26</v>
      </c>
      <c r="G1037" t="s">
        <v>26</v>
      </c>
      <c r="H1037">
        <v>25.269449999999999</v>
      </c>
      <c r="I1037">
        <v>21.936360000000001</v>
      </c>
      <c r="J1037">
        <v>20.364329999999999</v>
      </c>
      <c r="K1037">
        <v>17.309889999999999</v>
      </c>
      <c r="L1037">
        <v>14.56546</v>
      </c>
      <c r="M1037">
        <v>12.293380000000001</v>
      </c>
      <c r="N1037">
        <v>10.58817</v>
      </c>
    </row>
    <row r="1038" spans="1:14" x14ac:dyDescent="0.35">
      <c r="A1038" t="s">
        <v>270</v>
      </c>
      <c r="B1038" t="s">
        <v>37</v>
      </c>
      <c r="C1038" t="s">
        <v>35</v>
      </c>
      <c r="D1038" t="s">
        <v>38</v>
      </c>
      <c r="E1038" t="s">
        <v>584</v>
      </c>
      <c r="F1038" t="s">
        <v>581</v>
      </c>
      <c r="G1038" t="s">
        <v>396</v>
      </c>
      <c r="H1038">
        <v>6.4153419999999999</v>
      </c>
      <c r="I1038">
        <v>5.1542380000000003</v>
      </c>
      <c r="J1038">
        <v>4.4169200000000002</v>
      </c>
      <c r="K1038">
        <v>3.8636050000000002</v>
      </c>
      <c r="L1038">
        <v>3.3945340000000002</v>
      </c>
      <c r="M1038">
        <v>3.0264929999999999</v>
      </c>
      <c r="N1038">
        <v>2.6737120000000001</v>
      </c>
    </row>
    <row r="1039" spans="1:14" x14ac:dyDescent="0.35">
      <c r="A1039" t="s">
        <v>270</v>
      </c>
      <c r="B1039" t="s">
        <v>37</v>
      </c>
      <c r="C1039" t="s">
        <v>35</v>
      </c>
      <c r="D1039" t="s">
        <v>38</v>
      </c>
      <c r="E1039" t="s">
        <v>584</v>
      </c>
      <c r="F1039" t="s">
        <v>581</v>
      </c>
      <c r="G1039" t="s">
        <v>25</v>
      </c>
      <c r="H1039">
        <v>0.41026849999999998</v>
      </c>
      <c r="I1039">
        <v>0.36126849999999999</v>
      </c>
      <c r="J1039">
        <v>0.30995889999999998</v>
      </c>
      <c r="K1039">
        <v>0.27113150000000003</v>
      </c>
      <c r="L1039">
        <v>0.23821100000000001</v>
      </c>
      <c r="M1039">
        <v>0.2123863</v>
      </c>
      <c r="N1039">
        <v>0.1876274</v>
      </c>
    </row>
    <row r="1040" spans="1:14" x14ac:dyDescent="0.35">
      <c r="A1040" t="s">
        <v>270</v>
      </c>
      <c r="B1040" t="s">
        <v>37</v>
      </c>
      <c r="C1040" t="s">
        <v>35</v>
      </c>
      <c r="D1040" t="s">
        <v>38</v>
      </c>
      <c r="E1040" t="s">
        <v>584</v>
      </c>
      <c r="F1040" t="s">
        <v>26</v>
      </c>
      <c r="G1040" t="s">
        <v>26</v>
      </c>
      <c r="H1040">
        <v>4.8284940000000001</v>
      </c>
      <c r="I1040">
        <v>3.5223589999999998</v>
      </c>
      <c r="J1040">
        <v>3.0221040000000001</v>
      </c>
      <c r="K1040">
        <v>2.6435209999999998</v>
      </c>
      <c r="L1040">
        <v>2.3225760000000002</v>
      </c>
      <c r="M1040">
        <v>2.0707589999999998</v>
      </c>
      <c r="N1040">
        <v>1.829383</v>
      </c>
    </row>
    <row r="1041" spans="1:14" hidden="1" x14ac:dyDescent="0.35">
      <c r="A1041" t="s">
        <v>670</v>
      </c>
      <c r="B1041" t="s">
        <v>37</v>
      </c>
      <c r="C1041" t="s">
        <v>35</v>
      </c>
      <c r="D1041" t="s">
        <v>36</v>
      </c>
      <c r="E1041" t="s">
        <v>588</v>
      </c>
      <c r="F1041" t="s">
        <v>581</v>
      </c>
      <c r="G1041" t="s">
        <v>396</v>
      </c>
      <c r="H1041">
        <v>48.02411</v>
      </c>
      <c r="I1041">
        <v>48.536299999999997</v>
      </c>
      <c r="J1041">
        <v>43.201000000000001</v>
      </c>
      <c r="K1041">
        <v>35.952820000000003</v>
      </c>
      <c r="L1041">
        <v>32.140279999999997</v>
      </c>
      <c r="M1041">
        <v>32.847290000000001</v>
      </c>
      <c r="N1041">
        <v>33.033549999999998</v>
      </c>
    </row>
    <row r="1042" spans="1:14" hidden="1" x14ac:dyDescent="0.35">
      <c r="A1042" t="s">
        <v>670</v>
      </c>
      <c r="B1042" t="s">
        <v>37</v>
      </c>
      <c r="C1042" t="s">
        <v>35</v>
      </c>
      <c r="D1042" t="s">
        <v>36</v>
      </c>
      <c r="E1042" t="s">
        <v>588</v>
      </c>
      <c r="F1042" t="s">
        <v>581</v>
      </c>
      <c r="G1042" t="s">
        <v>25</v>
      </c>
      <c r="H1042">
        <v>12.0548</v>
      </c>
      <c r="I1042">
        <v>10.5999</v>
      </c>
      <c r="J1042">
        <v>9.4973799999999997</v>
      </c>
      <c r="K1042">
        <v>7.9307749999999997</v>
      </c>
      <c r="L1042">
        <v>7.0470969999999999</v>
      </c>
      <c r="M1042">
        <v>7.1139530000000004</v>
      </c>
      <c r="N1042">
        <v>7.1027329999999997</v>
      </c>
    </row>
    <row r="1043" spans="1:14" hidden="1" x14ac:dyDescent="0.35">
      <c r="A1043" t="s">
        <v>670</v>
      </c>
      <c r="B1043" t="s">
        <v>37</v>
      </c>
      <c r="C1043" t="s">
        <v>35</v>
      </c>
      <c r="D1043" t="s">
        <v>36</v>
      </c>
      <c r="E1043" t="s">
        <v>588</v>
      </c>
      <c r="F1043" t="s">
        <v>26</v>
      </c>
      <c r="G1043" t="s">
        <v>26</v>
      </c>
      <c r="H1043">
        <v>9.6460279999999994</v>
      </c>
      <c r="I1043">
        <v>10.00102</v>
      </c>
      <c r="J1043">
        <v>8.8709469999999992</v>
      </c>
      <c r="K1043">
        <v>7.3774160000000002</v>
      </c>
      <c r="L1043">
        <v>6.6254980000000003</v>
      </c>
      <c r="M1043">
        <v>6.8053059999999999</v>
      </c>
      <c r="N1043">
        <v>6.8709389999999999</v>
      </c>
    </row>
    <row r="1044" spans="1:14" hidden="1" x14ac:dyDescent="0.35">
      <c r="A1044" t="s">
        <v>670</v>
      </c>
      <c r="B1044" t="s">
        <v>37</v>
      </c>
      <c r="C1044" t="s">
        <v>35</v>
      </c>
      <c r="D1044" t="s">
        <v>36</v>
      </c>
      <c r="E1044" t="s">
        <v>589</v>
      </c>
      <c r="F1044" t="s">
        <v>581</v>
      </c>
      <c r="G1044" t="s">
        <v>396</v>
      </c>
      <c r="H1044">
        <v>37.271230000000003</v>
      </c>
      <c r="I1044">
        <v>38.749549999999999</v>
      </c>
      <c r="J1044">
        <v>37.052500000000002</v>
      </c>
      <c r="K1044">
        <v>32.282850000000003</v>
      </c>
      <c r="L1044">
        <v>26.389410000000002</v>
      </c>
      <c r="M1044">
        <v>24.075389999999999</v>
      </c>
      <c r="N1044">
        <v>24.463570000000001</v>
      </c>
    </row>
    <row r="1045" spans="1:14" hidden="1" x14ac:dyDescent="0.35">
      <c r="A1045" t="s">
        <v>670</v>
      </c>
      <c r="B1045" t="s">
        <v>37</v>
      </c>
      <c r="C1045" t="s">
        <v>35</v>
      </c>
      <c r="D1045" t="s">
        <v>36</v>
      </c>
      <c r="E1045" t="s">
        <v>589</v>
      </c>
      <c r="F1045" t="s">
        <v>581</v>
      </c>
      <c r="G1045" t="s">
        <v>25</v>
      </c>
      <c r="H1045">
        <v>7.8947940000000001</v>
      </c>
      <c r="I1045">
        <v>7.7430409999999998</v>
      </c>
      <c r="J1045">
        <v>7.4105020000000001</v>
      </c>
      <c r="K1045">
        <v>6.4565780000000004</v>
      </c>
      <c r="L1045">
        <v>5.2778790000000004</v>
      </c>
      <c r="M1045">
        <v>4.8150760000000004</v>
      </c>
      <c r="N1045">
        <v>4.8927170000000002</v>
      </c>
    </row>
    <row r="1046" spans="1:14" hidden="1" x14ac:dyDescent="0.35">
      <c r="A1046" t="s">
        <v>670</v>
      </c>
      <c r="B1046" t="s">
        <v>37</v>
      </c>
      <c r="C1046" t="s">
        <v>35</v>
      </c>
      <c r="D1046" t="s">
        <v>36</v>
      </c>
      <c r="E1046" t="s">
        <v>589</v>
      </c>
      <c r="F1046" t="s">
        <v>26</v>
      </c>
      <c r="G1046" t="s">
        <v>26</v>
      </c>
      <c r="H1046">
        <v>6.4657530000000003</v>
      </c>
      <c r="I1046">
        <v>8.8491850000000003</v>
      </c>
      <c r="J1046">
        <v>8.4691410000000005</v>
      </c>
      <c r="K1046">
        <v>7.3789400000000001</v>
      </c>
      <c r="L1046">
        <v>6.0318649999999998</v>
      </c>
      <c r="M1046">
        <v>5.5029450000000004</v>
      </c>
      <c r="N1046">
        <v>5.5916740000000003</v>
      </c>
    </row>
    <row r="1047" spans="1:14" hidden="1" x14ac:dyDescent="0.35">
      <c r="A1047" t="s">
        <v>670</v>
      </c>
      <c r="B1047" t="s">
        <v>37</v>
      </c>
      <c r="C1047" t="s">
        <v>35</v>
      </c>
      <c r="D1047" t="s">
        <v>36</v>
      </c>
      <c r="E1047" t="s">
        <v>587</v>
      </c>
      <c r="F1047" t="s">
        <v>581</v>
      </c>
      <c r="G1047" t="s">
        <v>396</v>
      </c>
      <c r="H1047">
        <v>1.7994520000000001</v>
      </c>
      <c r="I1047">
        <v>3.6401590000000001</v>
      </c>
      <c r="J1047">
        <v>3.1349339999999999</v>
      </c>
      <c r="K1047">
        <v>2.7423999999999999</v>
      </c>
      <c r="L1047">
        <v>2.4114339999999999</v>
      </c>
      <c r="M1047">
        <v>2.141864</v>
      </c>
      <c r="N1047">
        <v>1.8809530000000001</v>
      </c>
    </row>
    <row r="1048" spans="1:14" hidden="1" x14ac:dyDescent="0.35">
      <c r="A1048" t="s">
        <v>670</v>
      </c>
      <c r="B1048" t="s">
        <v>37</v>
      </c>
      <c r="C1048" t="s">
        <v>35</v>
      </c>
      <c r="D1048" t="s">
        <v>36</v>
      </c>
      <c r="E1048" t="s">
        <v>587</v>
      </c>
      <c r="F1048" t="s">
        <v>581</v>
      </c>
      <c r="G1048" t="s">
        <v>25</v>
      </c>
      <c r="H1048">
        <v>0.47342469999999998</v>
      </c>
      <c r="I1048">
        <v>0.84431789999999995</v>
      </c>
      <c r="J1048">
        <v>0.72693969999999997</v>
      </c>
      <c r="K1048">
        <v>0.63591779999999998</v>
      </c>
      <c r="L1048">
        <v>0.55917099999999997</v>
      </c>
      <c r="M1048">
        <v>0.4966641</v>
      </c>
      <c r="N1048">
        <v>0.436166</v>
      </c>
    </row>
    <row r="1049" spans="1:14" hidden="1" x14ac:dyDescent="0.35">
      <c r="A1049" t="s">
        <v>670</v>
      </c>
      <c r="B1049" t="s">
        <v>37</v>
      </c>
      <c r="C1049" t="s">
        <v>35</v>
      </c>
      <c r="D1049" t="s">
        <v>36</v>
      </c>
      <c r="E1049" t="s">
        <v>587</v>
      </c>
      <c r="F1049" t="s">
        <v>26</v>
      </c>
      <c r="G1049" t="s">
        <v>26</v>
      </c>
      <c r="H1049">
        <v>0.38136989999999998</v>
      </c>
      <c r="I1049">
        <v>0.79154800000000003</v>
      </c>
      <c r="J1049">
        <v>0.68150690000000003</v>
      </c>
      <c r="K1049">
        <v>0.59617260000000005</v>
      </c>
      <c r="L1049">
        <v>0.52422519999999995</v>
      </c>
      <c r="M1049">
        <v>0.46562409999999999</v>
      </c>
      <c r="N1049">
        <v>0.40890470000000001</v>
      </c>
    </row>
    <row r="1050" spans="1:14" hidden="1" x14ac:dyDescent="0.35">
      <c r="A1050" t="s">
        <v>670</v>
      </c>
      <c r="B1050" t="s">
        <v>37</v>
      </c>
      <c r="C1050" t="s">
        <v>35</v>
      </c>
      <c r="D1050" t="s">
        <v>129</v>
      </c>
      <c r="E1050" t="s">
        <v>580</v>
      </c>
      <c r="F1050" t="s">
        <v>581</v>
      </c>
      <c r="G1050" t="s">
        <v>396</v>
      </c>
      <c r="H1050">
        <v>36.008780000000002</v>
      </c>
      <c r="I1050">
        <v>44.408700000000003</v>
      </c>
      <c r="J1050">
        <v>40.930599999999998</v>
      </c>
      <c r="K1050">
        <v>35.218859999999999</v>
      </c>
      <c r="L1050">
        <v>30.543659999999999</v>
      </c>
      <c r="M1050">
        <v>29.58409</v>
      </c>
      <c r="N1050">
        <v>30.40072</v>
      </c>
    </row>
    <row r="1051" spans="1:14" hidden="1" x14ac:dyDescent="0.35">
      <c r="A1051" t="s">
        <v>670</v>
      </c>
      <c r="B1051" t="s">
        <v>37</v>
      </c>
      <c r="C1051" t="s">
        <v>35</v>
      </c>
      <c r="D1051" t="s">
        <v>129</v>
      </c>
      <c r="E1051" t="s">
        <v>580</v>
      </c>
      <c r="F1051" t="s">
        <v>581</v>
      </c>
      <c r="G1051" t="s">
        <v>25</v>
      </c>
      <c r="H1051">
        <v>9.1156170000000003</v>
      </c>
      <c r="I1051">
        <v>14.802899999999999</v>
      </c>
      <c r="J1051">
        <v>13.64353</v>
      </c>
      <c r="K1051">
        <v>11.73963</v>
      </c>
      <c r="L1051">
        <v>10.18122</v>
      </c>
      <c r="M1051">
        <v>9.8613649999999993</v>
      </c>
      <c r="N1051">
        <v>10.13358</v>
      </c>
    </row>
    <row r="1052" spans="1:14" hidden="1" x14ac:dyDescent="0.35">
      <c r="A1052" t="s">
        <v>670</v>
      </c>
      <c r="B1052" t="s">
        <v>37</v>
      </c>
      <c r="C1052" t="s">
        <v>35</v>
      </c>
      <c r="D1052" t="s">
        <v>129</v>
      </c>
      <c r="E1052" t="s">
        <v>580</v>
      </c>
      <c r="F1052" t="s">
        <v>26</v>
      </c>
      <c r="G1052" t="s">
        <v>26</v>
      </c>
      <c r="H1052">
        <v>8.8745200000000004</v>
      </c>
      <c r="I1052">
        <v>14.802899999999999</v>
      </c>
      <c r="J1052">
        <v>13.64353</v>
      </c>
      <c r="K1052">
        <v>11.73962</v>
      </c>
      <c r="L1052">
        <v>10.18122</v>
      </c>
      <c r="M1052">
        <v>9.8613619999999997</v>
      </c>
      <c r="N1052">
        <v>10.133570000000001</v>
      </c>
    </row>
    <row r="1053" spans="1:14" hidden="1" x14ac:dyDescent="0.35">
      <c r="A1053" t="s">
        <v>670</v>
      </c>
      <c r="B1053" t="s">
        <v>37</v>
      </c>
      <c r="C1053" t="s">
        <v>35</v>
      </c>
      <c r="D1053" t="s">
        <v>129</v>
      </c>
      <c r="E1053" t="s">
        <v>582</v>
      </c>
      <c r="F1053" t="s">
        <v>581</v>
      </c>
      <c r="G1053" t="s">
        <v>396</v>
      </c>
      <c r="H1053">
        <v>1.2449319999999999</v>
      </c>
      <c r="I1053">
        <v>2.899985</v>
      </c>
      <c r="J1053">
        <v>4.0704840000000004</v>
      </c>
      <c r="K1053">
        <v>4.683891</v>
      </c>
      <c r="L1053">
        <v>3.402142</v>
      </c>
      <c r="M1053">
        <v>3.0988310000000001</v>
      </c>
      <c r="N1053">
        <v>3.3733610000000001</v>
      </c>
    </row>
    <row r="1054" spans="1:14" hidden="1" x14ac:dyDescent="0.35">
      <c r="A1054" t="s">
        <v>670</v>
      </c>
      <c r="B1054" t="s">
        <v>37</v>
      </c>
      <c r="C1054" t="s">
        <v>35</v>
      </c>
      <c r="D1054" t="s">
        <v>129</v>
      </c>
      <c r="E1054" t="s">
        <v>582</v>
      </c>
      <c r="F1054" t="s">
        <v>581</v>
      </c>
      <c r="G1054" t="s">
        <v>25</v>
      </c>
      <c r="H1054">
        <v>0.28054800000000002</v>
      </c>
      <c r="I1054">
        <v>0.57183070000000003</v>
      </c>
      <c r="J1054">
        <v>0.80263289999999998</v>
      </c>
      <c r="K1054">
        <v>0.9235852</v>
      </c>
      <c r="L1054">
        <v>0.67084549999999998</v>
      </c>
      <c r="M1054">
        <v>0.61104049999999999</v>
      </c>
      <c r="N1054">
        <v>0.66516989999999998</v>
      </c>
    </row>
    <row r="1055" spans="1:14" hidden="1" x14ac:dyDescent="0.35">
      <c r="A1055" t="s">
        <v>670</v>
      </c>
      <c r="B1055" t="s">
        <v>37</v>
      </c>
      <c r="C1055" t="s">
        <v>35</v>
      </c>
      <c r="D1055" t="s">
        <v>129</v>
      </c>
      <c r="E1055" t="s">
        <v>582</v>
      </c>
      <c r="F1055" t="s">
        <v>26</v>
      </c>
      <c r="G1055" t="s">
        <v>26</v>
      </c>
      <c r="H1055">
        <v>0.25863019999999998</v>
      </c>
      <c r="I1055">
        <v>0.6126741</v>
      </c>
      <c r="J1055">
        <v>0.85995999999999995</v>
      </c>
      <c r="K1055">
        <v>0.98955610000000005</v>
      </c>
      <c r="L1055">
        <v>0.7187616</v>
      </c>
      <c r="M1055">
        <v>0.65468059999999995</v>
      </c>
      <c r="N1055">
        <v>0.71268279999999995</v>
      </c>
    </row>
    <row r="1056" spans="1:14" hidden="1" x14ac:dyDescent="0.35">
      <c r="A1056" t="s">
        <v>670</v>
      </c>
      <c r="B1056" t="s">
        <v>37</v>
      </c>
      <c r="C1056" t="s">
        <v>35</v>
      </c>
      <c r="D1056" t="s">
        <v>267</v>
      </c>
      <c r="E1056" t="s">
        <v>589</v>
      </c>
      <c r="F1056" t="s">
        <v>581</v>
      </c>
      <c r="G1056" t="s">
        <v>396</v>
      </c>
      <c r="H1056">
        <v>32.451500000000003</v>
      </c>
      <c r="I1056">
        <v>28.589659999999999</v>
      </c>
      <c r="J1056">
        <v>22.89545</v>
      </c>
      <c r="K1056">
        <v>18.802250000000001</v>
      </c>
      <c r="L1056">
        <v>15.70046</v>
      </c>
      <c r="M1056">
        <v>13.0937</v>
      </c>
      <c r="N1056">
        <v>11.18005</v>
      </c>
    </row>
    <row r="1057" spans="1:14" hidden="1" x14ac:dyDescent="0.35">
      <c r="A1057" t="s">
        <v>670</v>
      </c>
      <c r="B1057" t="s">
        <v>37</v>
      </c>
      <c r="C1057" t="s">
        <v>35</v>
      </c>
      <c r="D1057" t="s">
        <v>267</v>
      </c>
      <c r="E1057" t="s">
        <v>589</v>
      </c>
      <c r="F1057" t="s">
        <v>581</v>
      </c>
      <c r="G1057" t="s">
        <v>25</v>
      </c>
      <c r="H1057">
        <v>8.5172620000000006</v>
      </c>
      <c r="I1057">
        <v>6.5664949999999997</v>
      </c>
      <c r="J1057">
        <v>5.2835669999999997</v>
      </c>
      <c r="K1057">
        <v>4.3389800000000003</v>
      </c>
      <c r="L1057">
        <v>3.6231849999999999</v>
      </c>
      <c r="M1057">
        <v>3.0216210000000001</v>
      </c>
      <c r="N1057">
        <v>2.5800160000000001</v>
      </c>
    </row>
    <row r="1058" spans="1:14" hidden="1" x14ac:dyDescent="0.35">
      <c r="A1058" t="s">
        <v>670</v>
      </c>
      <c r="B1058" t="s">
        <v>37</v>
      </c>
      <c r="C1058" t="s">
        <v>35</v>
      </c>
      <c r="D1058" t="s">
        <v>267</v>
      </c>
      <c r="E1058" t="s">
        <v>589</v>
      </c>
      <c r="F1058" t="s">
        <v>26</v>
      </c>
      <c r="G1058" t="s">
        <v>26</v>
      </c>
      <c r="H1058">
        <v>9.7556170000000009</v>
      </c>
      <c r="I1058">
        <v>8.7553319999999992</v>
      </c>
      <c r="J1058">
        <v>7.0447550000000003</v>
      </c>
      <c r="K1058">
        <v>5.7853060000000003</v>
      </c>
      <c r="L1058">
        <v>4.8309119999999997</v>
      </c>
      <c r="M1058">
        <v>4.0288310000000003</v>
      </c>
      <c r="N1058">
        <v>3.4400149999999998</v>
      </c>
    </row>
    <row r="1059" spans="1:14" hidden="1" x14ac:dyDescent="0.35">
      <c r="A1059" t="s">
        <v>670</v>
      </c>
      <c r="B1059" t="s">
        <v>37</v>
      </c>
      <c r="C1059" t="s">
        <v>35</v>
      </c>
      <c r="D1059" t="s">
        <v>267</v>
      </c>
      <c r="E1059" t="s">
        <v>588</v>
      </c>
      <c r="F1059" t="s">
        <v>581</v>
      </c>
      <c r="G1059" t="s">
        <v>396</v>
      </c>
      <c r="H1059">
        <v>0.43835619999999997</v>
      </c>
      <c r="I1059">
        <v>0.34655340000000001</v>
      </c>
      <c r="J1059">
        <v>0.4649644</v>
      </c>
      <c r="K1059">
        <v>0.42330570000000001</v>
      </c>
      <c r="L1059">
        <v>0.44125259999999999</v>
      </c>
      <c r="M1059">
        <v>0.38867889999999999</v>
      </c>
      <c r="N1059">
        <v>0.35247620000000002</v>
      </c>
    </row>
    <row r="1060" spans="1:14" hidden="1" x14ac:dyDescent="0.35">
      <c r="A1060" t="s">
        <v>670</v>
      </c>
      <c r="B1060" t="s">
        <v>37</v>
      </c>
      <c r="C1060" t="s">
        <v>35</v>
      </c>
      <c r="D1060" t="s">
        <v>267</v>
      </c>
      <c r="E1060" t="s">
        <v>588</v>
      </c>
      <c r="F1060" t="s">
        <v>581</v>
      </c>
      <c r="G1060" t="s">
        <v>25</v>
      </c>
      <c r="H1060">
        <v>7.890411E-2</v>
      </c>
      <c r="I1060">
        <v>5.5449310000000002E-2</v>
      </c>
      <c r="J1060">
        <v>7.439453E-2</v>
      </c>
      <c r="K1060">
        <v>6.7730960000000007E-2</v>
      </c>
      <c r="L1060">
        <v>7.0603840000000001E-2</v>
      </c>
      <c r="M1060">
        <v>6.2192339999999999E-2</v>
      </c>
      <c r="N1060">
        <v>5.6397259999999998E-2</v>
      </c>
    </row>
    <row r="1061" spans="1:14" hidden="1" x14ac:dyDescent="0.35">
      <c r="A1061" t="s">
        <v>670</v>
      </c>
      <c r="B1061" t="s">
        <v>37</v>
      </c>
      <c r="C1061" t="s">
        <v>35</v>
      </c>
      <c r="D1061" t="s">
        <v>267</v>
      </c>
      <c r="E1061" t="s">
        <v>588</v>
      </c>
      <c r="F1061" t="s">
        <v>26</v>
      </c>
      <c r="G1061" t="s">
        <v>26</v>
      </c>
      <c r="H1061">
        <v>7.4520550000000005E-2</v>
      </c>
      <c r="I1061">
        <v>6.0068499999999997E-2</v>
      </c>
      <c r="J1061">
        <v>8.0594520000000003E-2</v>
      </c>
      <c r="K1061">
        <v>7.3372049999999994E-2</v>
      </c>
      <c r="L1061">
        <v>7.6483830000000003E-2</v>
      </c>
      <c r="M1061">
        <v>6.7371509999999996E-2</v>
      </c>
      <c r="N1061">
        <v>6.1094790000000003E-2</v>
      </c>
    </row>
    <row r="1062" spans="1:14" hidden="1" x14ac:dyDescent="0.35">
      <c r="A1062" t="s">
        <v>670</v>
      </c>
      <c r="B1062" t="s">
        <v>37</v>
      </c>
      <c r="C1062" t="s">
        <v>35</v>
      </c>
      <c r="D1062" t="s">
        <v>163</v>
      </c>
      <c r="E1062" t="s">
        <v>580</v>
      </c>
      <c r="F1062" t="s">
        <v>581</v>
      </c>
      <c r="G1062" t="s">
        <v>396</v>
      </c>
      <c r="H1062">
        <v>22.147950000000002</v>
      </c>
      <c r="I1062">
        <v>20.451599999999999</v>
      </c>
      <c r="J1062">
        <v>16.106269999999999</v>
      </c>
      <c r="K1062">
        <v>13.36647</v>
      </c>
      <c r="L1062">
        <v>10.98113</v>
      </c>
      <c r="M1062">
        <v>8.9219290000000004</v>
      </c>
      <c r="N1062">
        <v>7.5007450000000002</v>
      </c>
    </row>
    <row r="1063" spans="1:14" hidden="1" x14ac:dyDescent="0.35">
      <c r="A1063" t="s">
        <v>670</v>
      </c>
      <c r="B1063" t="s">
        <v>37</v>
      </c>
      <c r="C1063" t="s">
        <v>35</v>
      </c>
      <c r="D1063" t="s">
        <v>163</v>
      </c>
      <c r="E1063" t="s">
        <v>580</v>
      </c>
      <c r="F1063" t="s">
        <v>581</v>
      </c>
      <c r="G1063" t="s">
        <v>25</v>
      </c>
      <c r="H1063">
        <v>10.89096</v>
      </c>
      <c r="I1063">
        <v>8.7556799999999999</v>
      </c>
      <c r="J1063">
        <v>6.9026899999999998</v>
      </c>
      <c r="K1063">
        <v>5.7284930000000003</v>
      </c>
      <c r="L1063">
        <v>4.7062020000000002</v>
      </c>
      <c r="M1063">
        <v>3.8236870000000001</v>
      </c>
      <c r="N1063">
        <v>3.2146059999999999</v>
      </c>
    </row>
    <row r="1064" spans="1:14" hidden="1" x14ac:dyDescent="0.35">
      <c r="A1064" t="s">
        <v>670</v>
      </c>
      <c r="B1064" t="s">
        <v>37</v>
      </c>
      <c r="C1064" t="s">
        <v>35</v>
      </c>
      <c r="D1064" t="s">
        <v>163</v>
      </c>
      <c r="E1064" t="s">
        <v>580</v>
      </c>
      <c r="F1064" t="s">
        <v>26</v>
      </c>
      <c r="G1064" t="s">
        <v>26</v>
      </c>
      <c r="H1064">
        <v>7.7961640000000001</v>
      </c>
      <c r="I1064">
        <v>7.2963990000000001</v>
      </c>
      <c r="J1064">
        <v>5.7522380000000002</v>
      </c>
      <c r="K1064">
        <v>4.7737400000000001</v>
      </c>
      <c r="L1064">
        <v>3.9218350000000002</v>
      </c>
      <c r="M1064">
        <v>3.186404</v>
      </c>
      <c r="N1064">
        <v>2.6788379999999998</v>
      </c>
    </row>
    <row r="1065" spans="1:14" hidden="1" x14ac:dyDescent="0.35">
      <c r="A1065" t="s">
        <v>670</v>
      </c>
      <c r="B1065" t="s">
        <v>37</v>
      </c>
      <c r="C1065" t="s">
        <v>35</v>
      </c>
      <c r="D1065" t="s">
        <v>163</v>
      </c>
      <c r="E1065" t="s">
        <v>583</v>
      </c>
      <c r="F1065" t="s">
        <v>581</v>
      </c>
      <c r="G1065" t="s">
        <v>396</v>
      </c>
      <c r="H1065">
        <v>0.1884932</v>
      </c>
      <c r="I1065">
        <v>0.14537530000000001</v>
      </c>
      <c r="J1065">
        <v>0.1205726</v>
      </c>
      <c r="K1065">
        <v>0.10658629999999999</v>
      </c>
      <c r="L1065">
        <v>9.7935339999999996E-2</v>
      </c>
      <c r="M1065">
        <v>8.7094249999999998E-2</v>
      </c>
      <c r="N1065">
        <v>7.5563829999999998E-2</v>
      </c>
    </row>
    <row r="1066" spans="1:14" hidden="1" x14ac:dyDescent="0.35">
      <c r="A1066" t="s">
        <v>670</v>
      </c>
      <c r="B1066" t="s">
        <v>37</v>
      </c>
      <c r="C1066" t="s">
        <v>35</v>
      </c>
      <c r="D1066" t="s">
        <v>163</v>
      </c>
      <c r="E1066" t="s">
        <v>583</v>
      </c>
      <c r="F1066" t="s">
        <v>581</v>
      </c>
      <c r="G1066" t="s">
        <v>25</v>
      </c>
      <c r="H1066">
        <v>6.5753420000000007E-2</v>
      </c>
      <c r="I1066">
        <v>4.4728759999999999E-2</v>
      </c>
      <c r="J1066">
        <v>3.7101370000000002E-2</v>
      </c>
      <c r="K1066">
        <v>3.2793969999999999E-2</v>
      </c>
      <c r="L1066">
        <v>3.013151E-2</v>
      </c>
      <c r="M1066">
        <v>2.679726E-2</v>
      </c>
      <c r="N1066">
        <v>2.325151E-2</v>
      </c>
    </row>
    <row r="1067" spans="1:14" hidden="1" x14ac:dyDescent="0.35">
      <c r="A1067" t="s">
        <v>670</v>
      </c>
      <c r="B1067" t="s">
        <v>37</v>
      </c>
      <c r="C1067" t="s">
        <v>35</v>
      </c>
      <c r="D1067" t="s">
        <v>163</v>
      </c>
      <c r="E1067" t="s">
        <v>583</v>
      </c>
      <c r="F1067" t="s">
        <v>26</v>
      </c>
      <c r="G1067" t="s">
        <v>26</v>
      </c>
      <c r="H1067">
        <v>4.1643840000000001E-2</v>
      </c>
      <c r="I1067">
        <v>3.354795E-2</v>
      </c>
      <c r="J1067">
        <v>2.7824660000000001E-2</v>
      </c>
      <c r="K1067">
        <v>2.4596170000000001E-2</v>
      </c>
      <c r="L1067">
        <v>2.260274E-2</v>
      </c>
      <c r="M1067">
        <v>2.009973E-2</v>
      </c>
      <c r="N1067">
        <v>1.7436710000000001E-2</v>
      </c>
    </row>
    <row r="1068" spans="1:14" hidden="1" x14ac:dyDescent="0.35">
      <c r="A1068" t="s">
        <v>670</v>
      </c>
      <c r="B1068" t="s">
        <v>37</v>
      </c>
      <c r="C1068" t="s">
        <v>35</v>
      </c>
      <c r="D1068" t="s">
        <v>39</v>
      </c>
      <c r="E1068" t="s">
        <v>582</v>
      </c>
      <c r="F1068" t="s">
        <v>581</v>
      </c>
      <c r="G1068" t="s">
        <v>396</v>
      </c>
      <c r="H1068">
        <v>2.3495889999999999</v>
      </c>
      <c r="I1068">
        <v>1.723066</v>
      </c>
      <c r="J1068">
        <v>1.703956</v>
      </c>
      <c r="K1068">
        <v>1.5862130000000001</v>
      </c>
      <c r="L1068">
        <v>1.337855</v>
      </c>
      <c r="M1068">
        <v>1.106355</v>
      </c>
      <c r="N1068">
        <v>0.92878570000000005</v>
      </c>
    </row>
    <row r="1069" spans="1:14" hidden="1" x14ac:dyDescent="0.35">
      <c r="A1069" t="s">
        <v>670</v>
      </c>
      <c r="B1069" t="s">
        <v>37</v>
      </c>
      <c r="C1069" t="s">
        <v>35</v>
      </c>
      <c r="D1069" t="s">
        <v>39</v>
      </c>
      <c r="E1069" t="s">
        <v>582</v>
      </c>
      <c r="F1069" t="s">
        <v>581</v>
      </c>
      <c r="G1069" t="s">
        <v>25</v>
      </c>
      <c r="H1069">
        <v>0.72191780000000005</v>
      </c>
      <c r="I1069">
        <v>0.46451779999999998</v>
      </c>
      <c r="J1069">
        <v>0.45936440000000001</v>
      </c>
      <c r="K1069">
        <v>0.42762800000000001</v>
      </c>
      <c r="L1069">
        <v>0.36066959999999998</v>
      </c>
      <c r="M1069">
        <v>0.2982592</v>
      </c>
      <c r="N1069">
        <v>0.25038739999999998</v>
      </c>
    </row>
    <row r="1070" spans="1:14" hidden="1" x14ac:dyDescent="0.35">
      <c r="A1070" t="s">
        <v>670</v>
      </c>
      <c r="B1070" t="s">
        <v>37</v>
      </c>
      <c r="C1070" t="s">
        <v>35</v>
      </c>
      <c r="D1070" t="s">
        <v>39</v>
      </c>
      <c r="E1070" t="s">
        <v>582</v>
      </c>
      <c r="F1070" t="s">
        <v>26</v>
      </c>
      <c r="G1070" t="s">
        <v>26</v>
      </c>
      <c r="H1070">
        <v>0.5845205</v>
      </c>
      <c r="I1070">
        <v>0.43719730000000001</v>
      </c>
      <c r="J1070">
        <v>0.43234800000000001</v>
      </c>
      <c r="K1070">
        <v>0.40247179999999999</v>
      </c>
      <c r="L1070">
        <v>0.33945809999999998</v>
      </c>
      <c r="M1070">
        <v>0.28071839999999998</v>
      </c>
      <c r="N1070">
        <v>0.23566139999999999</v>
      </c>
    </row>
    <row r="1071" spans="1:14" hidden="1" x14ac:dyDescent="0.35">
      <c r="A1071" t="s">
        <v>670</v>
      </c>
      <c r="B1071" t="s">
        <v>37</v>
      </c>
      <c r="C1071" t="s">
        <v>35</v>
      </c>
      <c r="D1071" t="s">
        <v>39</v>
      </c>
      <c r="E1071" t="s">
        <v>580</v>
      </c>
      <c r="F1071" t="s">
        <v>581</v>
      </c>
      <c r="G1071" t="s">
        <v>396</v>
      </c>
      <c r="H1071">
        <v>0.81534240000000002</v>
      </c>
      <c r="I1071">
        <v>0.49327399999999999</v>
      </c>
      <c r="J1071">
        <v>0.51179730000000001</v>
      </c>
      <c r="K1071">
        <v>0.56281429999999999</v>
      </c>
      <c r="L1071">
        <v>0.55196440000000002</v>
      </c>
      <c r="M1071">
        <v>0.50384770000000001</v>
      </c>
      <c r="N1071">
        <v>0.47880270000000003</v>
      </c>
    </row>
    <row r="1072" spans="1:14" hidden="1" x14ac:dyDescent="0.35">
      <c r="A1072" t="s">
        <v>670</v>
      </c>
      <c r="B1072" t="s">
        <v>37</v>
      </c>
      <c r="C1072" t="s">
        <v>35</v>
      </c>
      <c r="D1072" t="s">
        <v>39</v>
      </c>
      <c r="E1072" t="s">
        <v>580</v>
      </c>
      <c r="F1072" t="s">
        <v>581</v>
      </c>
      <c r="G1072" t="s">
        <v>25</v>
      </c>
      <c r="H1072">
        <v>0.1513699</v>
      </c>
      <c r="I1072">
        <v>8.0632880000000004E-2</v>
      </c>
      <c r="J1072">
        <v>8.3657540000000002E-2</v>
      </c>
      <c r="K1072">
        <v>9.199562E-2</v>
      </c>
      <c r="L1072">
        <v>9.0221919999999997E-2</v>
      </c>
      <c r="M1072">
        <v>8.2360550000000005E-2</v>
      </c>
      <c r="N1072">
        <v>7.8272880000000003E-2</v>
      </c>
    </row>
    <row r="1073" spans="1:14" hidden="1" x14ac:dyDescent="0.35">
      <c r="A1073" t="s">
        <v>670</v>
      </c>
      <c r="B1073" t="s">
        <v>37</v>
      </c>
      <c r="C1073" t="s">
        <v>35</v>
      </c>
      <c r="D1073" t="s">
        <v>39</v>
      </c>
      <c r="E1073" t="s">
        <v>580</v>
      </c>
      <c r="F1073" t="s">
        <v>26</v>
      </c>
      <c r="G1073" t="s">
        <v>26</v>
      </c>
      <c r="H1073">
        <v>0.1094521</v>
      </c>
      <c r="I1073">
        <v>6.7191780000000007E-2</v>
      </c>
      <c r="J1073">
        <v>6.9715079999999999E-2</v>
      </c>
      <c r="K1073">
        <v>7.6663019999999998E-2</v>
      </c>
      <c r="L1073">
        <v>7.5189049999999993E-2</v>
      </c>
      <c r="M1073">
        <v>6.8633970000000002E-2</v>
      </c>
      <c r="N1073">
        <v>6.5220269999999997E-2</v>
      </c>
    </row>
    <row r="1074" spans="1:14" hidden="1" x14ac:dyDescent="0.35">
      <c r="A1074" t="s">
        <v>670</v>
      </c>
      <c r="B1074" t="s">
        <v>37</v>
      </c>
      <c r="C1074" t="s">
        <v>35</v>
      </c>
      <c r="D1074" t="s">
        <v>38</v>
      </c>
      <c r="E1074" t="s">
        <v>584</v>
      </c>
      <c r="F1074" t="s">
        <v>581</v>
      </c>
      <c r="G1074" t="s">
        <v>396</v>
      </c>
      <c r="H1074">
        <v>3.0509590000000002</v>
      </c>
      <c r="I1074">
        <v>2.4627370000000002</v>
      </c>
      <c r="J1074">
        <v>1.9879230000000001</v>
      </c>
      <c r="K1074">
        <v>1.6046549999999999</v>
      </c>
      <c r="L1074">
        <v>1.29528</v>
      </c>
      <c r="M1074">
        <v>1.0455509999999999</v>
      </c>
      <c r="N1074">
        <v>0.84396990000000005</v>
      </c>
    </row>
    <row r="1075" spans="1:14" hidden="1" x14ac:dyDescent="0.35">
      <c r="A1075" t="s">
        <v>670</v>
      </c>
      <c r="B1075" t="s">
        <v>37</v>
      </c>
      <c r="C1075" t="s">
        <v>35</v>
      </c>
      <c r="D1075" t="s">
        <v>38</v>
      </c>
      <c r="E1075" t="s">
        <v>584</v>
      </c>
      <c r="F1075" t="s">
        <v>26</v>
      </c>
      <c r="G1075" t="s">
        <v>26</v>
      </c>
      <c r="H1075">
        <v>0.13150680000000001</v>
      </c>
      <c r="I1075">
        <v>0.1034712</v>
      </c>
      <c r="J1075">
        <v>8.1413700000000006E-2</v>
      </c>
      <c r="K1075">
        <v>6.4057539999999996E-2</v>
      </c>
      <c r="L1075">
        <v>5.04E-2</v>
      </c>
      <c r="M1075">
        <v>3.9657530000000003E-2</v>
      </c>
      <c r="N1075">
        <v>3.120274E-2</v>
      </c>
    </row>
    <row r="1076" spans="1:14" hidden="1" x14ac:dyDescent="0.35">
      <c r="A1076" t="s">
        <v>670</v>
      </c>
      <c r="B1076" t="s">
        <v>37</v>
      </c>
      <c r="C1076" t="s">
        <v>35</v>
      </c>
      <c r="D1076" t="s">
        <v>164</v>
      </c>
      <c r="E1076" t="s">
        <v>589</v>
      </c>
      <c r="F1076" t="s">
        <v>581</v>
      </c>
      <c r="G1076" t="s">
        <v>396</v>
      </c>
      <c r="H1076">
        <v>3.6347949999999997E-2</v>
      </c>
      <c r="I1076">
        <v>4.3079449999999998E-2</v>
      </c>
      <c r="J1076">
        <v>2.511507E-2</v>
      </c>
      <c r="K1076">
        <v>1.8421920000000001E-2</v>
      </c>
      <c r="L1076">
        <v>1.937589E-2</v>
      </c>
      <c r="M1076">
        <v>1.629918E-2</v>
      </c>
      <c r="N1076">
        <v>1.327562E-2</v>
      </c>
    </row>
    <row r="1077" spans="1:14" hidden="1" x14ac:dyDescent="0.35">
      <c r="A1077" t="s">
        <v>670</v>
      </c>
      <c r="B1077" t="s">
        <v>37</v>
      </c>
      <c r="C1077" t="s">
        <v>35</v>
      </c>
      <c r="D1077" t="s">
        <v>164</v>
      </c>
      <c r="E1077" t="s">
        <v>589</v>
      </c>
      <c r="F1077" t="s">
        <v>581</v>
      </c>
      <c r="G1077" t="s">
        <v>25</v>
      </c>
      <c r="H1077">
        <v>3.533973E-2</v>
      </c>
      <c r="I1077">
        <v>4.188219E-2</v>
      </c>
      <c r="J1077">
        <v>2.4416440000000001E-2</v>
      </c>
      <c r="K1077">
        <v>1.790959E-2</v>
      </c>
      <c r="L1077">
        <v>1.8840550000000001E-2</v>
      </c>
      <c r="M1077">
        <v>1.5849309999999998E-2</v>
      </c>
      <c r="N1077">
        <v>1.290959E-2</v>
      </c>
    </row>
    <row r="1078" spans="1:14" hidden="1" x14ac:dyDescent="0.35">
      <c r="A1078" t="s">
        <v>670</v>
      </c>
      <c r="B1078" t="s">
        <v>37</v>
      </c>
      <c r="C1078" t="s">
        <v>35</v>
      </c>
      <c r="D1078" t="s">
        <v>164</v>
      </c>
      <c r="E1078" t="s">
        <v>589</v>
      </c>
      <c r="F1078" t="s">
        <v>26</v>
      </c>
      <c r="G1078" t="s">
        <v>26</v>
      </c>
      <c r="H1078">
        <v>2.9279449999999999E-2</v>
      </c>
      <c r="I1078">
        <v>3.4704119999999998E-2</v>
      </c>
      <c r="J1078">
        <v>2.0232880000000002E-2</v>
      </c>
      <c r="K1078">
        <v>1.4841099999999999E-2</v>
      </c>
      <c r="L1078">
        <v>1.5607670000000001E-2</v>
      </c>
      <c r="M1078">
        <v>1.313315E-2</v>
      </c>
      <c r="N1078">
        <v>1.069589E-2</v>
      </c>
    </row>
    <row r="1079" spans="1:14" hidden="1" x14ac:dyDescent="0.35">
      <c r="A1079" t="s">
        <v>671</v>
      </c>
      <c r="B1079" t="s">
        <v>37</v>
      </c>
      <c r="C1079" t="s">
        <v>35</v>
      </c>
      <c r="D1079" t="s">
        <v>163</v>
      </c>
      <c r="E1079" t="s">
        <v>580</v>
      </c>
      <c r="F1079" t="s">
        <v>581</v>
      </c>
      <c r="G1079" t="s">
        <v>396</v>
      </c>
      <c r="H1079">
        <v>49.516710000000003</v>
      </c>
      <c r="I1079">
        <v>52.97128</v>
      </c>
      <c r="J1079">
        <v>52.517659999999999</v>
      </c>
      <c r="K1079">
        <v>45.88308</v>
      </c>
      <c r="L1079">
        <v>38.524369999999998</v>
      </c>
      <c r="M1079">
        <v>35.029249999999998</v>
      </c>
      <c r="N1079">
        <v>32.931199999999997</v>
      </c>
    </row>
    <row r="1080" spans="1:14" hidden="1" x14ac:dyDescent="0.35">
      <c r="A1080" t="s">
        <v>671</v>
      </c>
      <c r="B1080" t="s">
        <v>37</v>
      </c>
      <c r="C1080" t="s">
        <v>35</v>
      </c>
      <c r="D1080" t="s">
        <v>163</v>
      </c>
      <c r="E1080" t="s">
        <v>580</v>
      </c>
      <c r="F1080" t="s">
        <v>581</v>
      </c>
      <c r="G1080" t="s">
        <v>25</v>
      </c>
      <c r="H1080">
        <v>34.571910000000003</v>
      </c>
      <c r="I1080">
        <v>36.327219999999997</v>
      </c>
      <c r="J1080">
        <v>36.010779999999997</v>
      </c>
      <c r="K1080">
        <v>31.437539999999998</v>
      </c>
      <c r="L1080">
        <v>26.329889999999999</v>
      </c>
      <c r="M1080">
        <v>23.829550000000001</v>
      </c>
      <c r="N1080">
        <v>22.310400000000001</v>
      </c>
    </row>
    <row r="1081" spans="1:14" hidden="1" x14ac:dyDescent="0.35">
      <c r="A1081" t="s">
        <v>671</v>
      </c>
      <c r="B1081" t="s">
        <v>37</v>
      </c>
      <c r="C1081" t="s">
        <v>35</v>
      </c>
      <c r="D1081" t="s">
        <v>163</v>
      </c>
      <c r="E1081" t="s">
        <v>580</v>
      </c>
      <c r="F1081" t="s">
        <v>26</v>
      </c>
      <c r="G1081" t="s">
        <v>26</v>
      </c>
      <c r="H1081">
        <v>43.706299999999999</v>
      </c>
      <c r="I1081">
        <v>44.77346</v>
      </c>
      <c r="J1081">
        <v>44.305329999999998</v>
      </c>
      <c r="K1081">
        <v>38.856580000000001</v>
      </c>
      <c r="L1081">
        <v>33.031410000000001</v>
      </c>
      <c r="M1081">
        <v>30.725000000000001</v>
      </c>
      <c r="N1081">
        <v>29.453469999999999</v>
      </c>
    </row>
    <row r="1082" spans="1:14" hidden="1" x14ac:dyDescent="0.35">
      <c r="A1082" t="s">
        <v>671</v>
      </c>
      <c r="B1082" t="s">
        <v>37</v>
      </c>
      <c r="C1082" t="s">
        <v>35</v>
      </c>
      <c r="D1082" t="s">
        <v>163</v>
      </c>
      <c r="E1082" t="s">
        <v>582</v>
      </c>
      <c r="F1082" t="s">
        <v>581</v>
      </c>
      <c r="G1082" t="s">
        <v>396</v>
      </c>
      <c r="H1082">
        <v>2.612603</v>
      </c>
      <c r="I1082">
        <v>2.3595350000000002</v>
      </c>
      <c r="J1082">
        <v>2.7792180000000002</v>
      </c>
      <c r="K1082">
        <v>2.6126239999999998</v>
      </c>
      <c r="L1082">
        <v>2.3804880000000002</v>
      </c>
      <c r="M1082">
        <v>2.6907779999999999</v>
      </c>
      <c r="N1082">
        <v>3.2709410000000001</v>
      </c>
    </row>
    <row r="1083" spans="1:14" hidden="1" x14ac:dyDescent="0.35">
      <c r="A1083" t="s">
        <v>671</v>
      </c>
      <c r="B1083" t="s">
        <v>37</v>
      </c>
      <c r="C1083" t="s">
        <v>35</v>
      </c>
      <c r="D1083" t="s">
        <v>163</v>
      </c>
      <c r="E1083" t="s">
        <v>582</v>
      </c>
      <c r="F1083" t="s">
        <v>581</v>
      </c>
      <c r="G1083" t="s">
        <v>25</v>
      </c>
      <c r="H1083">
        <v>1.3227370000000001</v>
      </c>
      <c r="I1083">
        <v>1.1616420000000001</v>
      </c>
      <c r="J1083">
        <v>1.3684259999999999</v>
      </c>
      <c r="K1083">
        <v>1.286397</v>
      </c>
      <c r="L1083">
        <v>1.172099</v>
      </c>
      <c r="M1083">
        <v>1.3248819999999999</v>
      </c>
      <c r="N1083">
        <v>1.610536</v>
      </c>
    </row>
    <row r="1084" spans="1:14" hidden="1" x14ac:dyDescent="0.35">
      <c r="A1084" t="s">
        <v>671</v>
      </c>
      <c r="B1084" t="s">
        <v>37</v>
      </c>
      <c r="C1084" t="s">
        <v>35</v>
      </c>
      <c r="D1084" t="s">
        <v>163</v>
      </c>
      <c r="E1084" t="s">
        <v>582</v>
      </c>
      <c r="F1084" t="s">
        <v>26</v>
      </c>
      <c r="G1084" t="s">
        <v>26</v>
      </c>
      <c r="H1084">
        <v>2.8923290000000001</v>
      </c>
      <c r="I1084">
        <v>2.445554</v>
      </c>
      <c r="J1084">
        <v>2.8808929999999999</v>
      </c>
      <c r="K1084">
        <v>2.7082090000000001</v>
      </c>
      <c r="L1084">
        <v>2.4675750000000001</v>
      </c>
      <c r="M1084">
        <v>2.7892239999999999</v>
      </c>
      <c r="N1084">
        <v>3.3906100000000001</v>
      </c>
    </row>
    <row r="1085" spans="1:14" hidden="1" x14ac:dyDescent="0.35">
      <c r="A1085" t="s">
        <v>671</v>
      </c>
      <c r="B1085" t="s">
        <v>37</v>
      </c>
      <c r="C1085" t="s">
        <v>35</v>
      </c>
      <c r="D1085" t="s">
        <v>39</v>
      </c>
      <c r="E1085" t="s">
        <v>582</v>
      </c>
      <c r="F1085" t="s">
        <v>581</v>
      </c>
      <c r="G1085" t="s">
        <v>396</v>
      </c>
      <c r="H1085">
        <v>10.59726</v>
      </c>
      <c r="I1085">
        <v>11.39026</v>
      </c>
      <c r="J1085">
        <v>10.18155</v>
      </c>
      <c r="K1085">
        <v>8.3788630000000008</v>
      </c>
      <c r="L1085">
        <v>7.540095</v>
      </c>
      <c r="M1085">
        <v>6.915648</v>
      </c>
      <c r="N1085">
        <v>6.1549630000000004</v>
      </c>
    </row>
    <row r="1086" spans="1:14" hidden="1" x14ac:dyDescent="0.35">
      <c r="A1086" t="s">
        <v>671</v>
      </c>
      <c r="B1086" t="s">
        <v>37</v>
      </c>
      <c r="C1086" t="s">
        <v>35</v>
      </c>
      <c r="D1086" t="s">
        <v>39</v>
      </c>
      <c r="E1086" t="s">
        <v>582</v>
      </c>
      <c r="F1086" t="s">
        <v>581</v>
      </c>
      <c r="G1086" t="s">
        <v>25</v>
      </c>
      <c r="H1086">
        <v>7.8735590000000002</v>
      </c>
      <c r="I1086">
        <v>8.2480639999999994</v>
      </c>
      <c r="J1086">
        <v>7.3758489999999997</v>
      </c>
      <c r="K1086">
        <v>6.0699149999999999</v>
      </c>
      <c r="L1086">
        <v>5.462288</v>
      </c>
      <c r="M1086">
        <v>5.0099119999999999</v>
      </c>
      <c r="N1086">
        <v>4.4588510000000001</v>
      </c>
    </row>
    <row r="1087" spans="1:14" hidden="1" x14ac:dyDescent="0.35">
      <c r="A1087" t="s">
        <v>671</v>
      </c>
      <c r="B1087" t="s">
        <v>37</v>
      </c>
      <c r="C1087" t="s">
        <v>35</v>
      </c>
      <c r="D1087" t="s">
        <v>39</v>
      </c>
      <c r="E1087" t="s">
        <v>582</v>
      </c>
      <c r="F1087" t="s">
        <v>26</v>
      </c>
      <c r="G1087" t="s">
        <v>26</v>
      </c>
      <c r="H1087">
        <v>7.0910960000000003</v>
      </c>
      <c r="I1087">
        <v>7.14832</v>
      </c>
      <c r="J1087">
        <v>6.3923990000000002</v>
      </c>
      <c r="K1087">
        <v>5.2605950000000004</v>
      </c>
      <c r="L1087">
        <v>4.733981</v>
      </c>
      <c r="M1087">
        <v>4.341926</v>
      </c>
      <c r="N1087">
        <v>3.8643390000000002</v>
      </c>
    </row>
    <row r="1088" spans="1:14" hidden="1" x14ac:dyDescent="0.35">
      <c r="A1088" t="s">
        <v>671</v>
      </c>
      <c r="B1088" t="s">
        <v>37</v>
      </c>
      <c r="C1088" t="s">
        <v>35</v>
      </c>
      <c r="D1088" t="s">
        <v>39</v>
      </c>
      <c r="E1088" t="s">
        <v>580</v>
      </c>
      <c r="F1088" t="s">
        <v>581</v>
      </c>
      <c r="G1088" t="s">
        <v>396</v>
      </c>
      <c r="H1088">
        <v>5.8389040000000003</v>
      </c>
      <c r="I1088">
        <v>6.6436210000000004</v>
      </c>
      <c r="J1088">
        <v>5.4396110000000002</v>
      </c>
      <c r="K1088">
        <v>4.1690230000000001</v>
      </c>
      <c r="L1088">
        <v>3.54297</v>
      </c>
      <c r="M1088">
        <v>3.0134129999999999</v>
      </c>
      <c r="N1088">
        <v>2.5796199999999998</v>
      </c>
    </row>
    <row r="1089" spans="1:14" hidden="1" x14ac:dyDescent="0.35">
      <c r="A1089" t="s">
        <v>671</v>
      </c>
      <c r="B1089" t="s">
        <v>37</v>
      </c>
      <c r="C1089" t="s">
        <v>35</v>
      </c>
      <c r="D1089" t="s">
        <v>39</v>
      </c>
      <c r="E1089" t="s">
        <v>580</v>
      </c>
      <c r="F1089" t="s">
        <v>581</v>
      </c>
      <c r="G1089" t="s">
        <v>25</v>
      </c>
      <c r="H1089">
        <v>4.4735620000000003</v>
      </c>
      <c r="I1089">
        <v>4.9604670000000004</v>
      </c>
      <c r="J1089">
        <v>4.061331</v>
      </c>
      <c r="K1089">
        <v>3.1126830000000001</v>
      </c>
      <c r="L1089">
        <v>2.6452559999999998</v>
      </c>
      <c r="M1089">
        <v>2.249879</v>
      </c>
      <c r="N1089">
        <v>1.9259999999999999</v>
      </c>
    </row>
    <row r="1090" spans="1:14" hidden="1" x14ac:dyDescent="0.35">
      <c r="A1090" t="s">
        <v>671</v>
      </c>
      <c r="B1090" t="s">
        <v>37</v>
      </c>
      <c r="C1090" t="s">
        <v>35</v>
      </c>
      <c r="D1090" t="s">
        <v>39</v>
      </c>
      <c r="E1090" t="s">
        <v>580</v>
      </c>
      <c r="F1090" t="s">
        <v>26</v>
      </c>
      <c r="G1090" t="s">
        <v>26</v>
      </c>
      <c r="H1090">
        <v>6.6136990000000004</v>
      </c>
      <c r="I1090">
        <v>7.0591239999999997</v>
      </c>
      <c r="J1090">
        <v>5.7795860000000001</v>
      </c>
      <c r="K1090">
        <v>4.4295850000000003</v>
      </c>
      <c r="L1090">
        <v>3.7644060000000001</v>
      </c>
      <c r="M1090">
        <v>3.201749</v>
      </c>
      <c r="N1090">
        <v>2.7408480000000002</v>
      </c>
    </row>
    <row r="1091" spans="1:14" hidden="1" x14ac:dyDescent="0.35">
      <c r="A1091" t="s">
        <v>671</v>
      </c>
      <c r="B1091" t="s">
        <v>37</v>
      </c>
      <c r="C1091" t="s">
        <v>35</v>
      </c>
      <c r="D1091" t="s">
        <v>38</v>
      </c>
      <c r="E1091" t="s">
        <v>584</v>
      </c>
      <c r="F1091" t="s">
        <v>581</v>
      </c>
      <c r="G1091" t="s">
        <v>396</v>
      </c>
      <c r="H1091">
        <v>2.1106850000000001</v>
      </c>
      <c r="I1091">
        <v>2.0688900000000001</v>
      </c>
      <c r="J1091">
        <v>2.0276149999999999</v>
      </c>
      <c r="K1091">
        <v>1.971285</v>
      </c>
      <c r="L1091">
        <v>1.893311</v>
      </c>
      <c r="M1091">
        <v>1.777574</v>
      </c>
      <c r="N1091">
        <v>1.6760250000000001</v>
      </c>
    </row>
    <row r="1092" spans="1:14" hidden="1" x14ac:dyDescent="0.35">
      <c r="A1092" t="s">
        <v>671</v>
      </c>
      <c r="B1092" t="s">
        <v>37</v>
      </c>
      <c r="C1092" t="s">
        <v>35</v>
      </c>
      <c r="D1092" t="s">
        <v>38</v>
      </c>
      <c r="E1092" t="s">
        <v>584</v>
      </c>
      <c r="F1092" t="s">
        <v>581</v>
      </c>
      <c r="G1092" t="s">
        <v>24</v>
      </c>
      <c r="H1092">
        <v>3.0000000000000001E-3</v>
      </c>
      <c r="I1092">
        <v>1.479452E-3</v>
      </c>
      <c r="J1092">
        <v>9.917808000000001E-4</v>
      </c>
      <c r="K1092">
        <v>0</v>
      </c>
    </row>
    <row r="1093" spans="1:14" hidden="1" x14ac:dyDescent="0.35">
      <c r="A1093" t="s">
        <v>671</v>
      </c>
      <c r="B1093" t="s">
        <v>37</v>
      </c>
      <c r="C1093" t="s">
        <v>35</v>
      </c>
      <c r="D1093" t="s">
        <v>38</v>
      </c>
      <c r="E1093" t="s">
        <v>584</v>
      </c>
      <c r="F1093" t="s">
        <v>581</v>
      </c>
      <c r="G1093" t="s">
        <v>25</v>
      </c>
      <c r="H1093">
        <v>2.5080849999999999</v>
      </c>
      <c r="I1093">
        <v>2.2800440000000002</v>
      </c>
      <c r="J1093">
        <v>2.0939899999999998</v>
      </c>
      <c r="K1093">
        <v>1.9225479999999999</v>
      </c>
      <c r="L1093">
        <v>1.751968</v>
      </c>
      <c r="M1093">
        <v>1.5656890000000001</v>
      </c>
      <c r="N1093">
        <v>1.4067369999999999</v>
      </c>
    </row>
    <row r="1094" spans="1:14" hidden="1" x14ac:dyDescent="0.35">
      <c r="A1094" t="s">
        <v>671</v>
      </c>
      <c r="B1094" t="s">
        <v>37</v>
      </c>
      <c r="C1094" t="s">
        <v>35</v>
      </c>
      <c r="D1094" t="s">
        <v>38</v>
      </c>
      <c r="E1094" t="s">
        <v>584</v>
      </c>
      <c r="F1094" t="s">
        <v>26</v>
      </c>
      <c r="G1094" t="s">
        <v>26</v>
      </c>
      <c r="H1094">
        <v>5.2086300000000003</v>
      </c>
      <c r="I1094">
        <v>4.7940820000000004</v>
      </c>
      <c r="J1094">
        <v>4.4123359999999998</v>
      </c>
      <c r="K1094">
        <v>4.0261979999999999</v>
      </c>
      <c r="L1094">
        <v>3.6224349999999998</v>
      </c>
      <c r="M1094">
        <v>3.1807590000000001</v>
      </c>
      <c r="N1094">
        <v>2.8004419999999999</v>
      </c>
    </row>
    <row r="1095" spans="1:14" hidden="1" x14ac:dyDescent="0.35">
      <c r="A1095" t="s">
        <v>671</v>
      </c>
      <c r="B1095" t="s">
        <v>37</v>
      </c>
      <c r="C1095" t="s">
        <v>35</v>
      </c>
      <c r="D1095" t="s">
        <v>38</v>
      </c>
      <c r="E1095" t="s">
        <v>582</v>
      </c>
      <c r="F1095" t="s">
        <v>581</v>
      </c>
      <c r="G1095" t="s">
        <v>396</v>
      </c>
      <c r="H1095">
        <v>4.1556170000000003</v>
      </c>
      <c r="I1095">
        <v>3.3642780000000001</v>
      </c>
      <c r="J1095">
        <v>3.0656509999999999</v>
      </c>
      <c r="K1095">
        <v>2.7382749999999998</v>
      </c>
      <c r="L1095">
        <v>2.5361600000000002</v>
      </c>
      <c r="M1095">
        <v>2.260202</v>
      </c>
      <c r="N1095">
        <v>1.9911639999999999</v>
      </c>
    </row>
    <row r="1096" spans="1:14" hidden="1" x14ac:dyDescent="0.35">
      <c r="A1096" t="s">
        <v>671</v>
      </c>
      <c r="B1096" t="s">
        <v>37</v>
      </c>
      <c r="C1096" t="s">
        <v>35</v>
      </c>
      <c r="D1096" t="s">
        <v>38</v>
      </c>
      <c r="E1096" t="s">
        <v>582</v>
      </c>
      <c r="F1096" t="s">
        <v>581</v>
      </c>
      <c r="G1096" t="s">
        <v>25</v>
      </c>
      <c r="H1096">
        <v>3.0879449999999999</v>
      </c>
      <c r="I1096">
        <v>2.437506</v>
      </c>
      <c r="J1096">
        <v>2.2208549999999998</v>
      </c>
      <c r="K1096">
        <v>1.9836910000000001</v>
      </c>
      <c r="L1096">
        <v>1.8372759999999999</v>
      </c>
      <c r="M1096">
        <v>1.6373629999999999</v>
      </c>
      <c r="N1096">
        <v>1.442464</v>
      </c>
    </row>
    <row r="1097" spans="1:14" hidden="1" x14ac:dyDescent="0.35">
      <c r="A1097" t="s">
        <v>671</v>
      </c>
      <c r="B1097" t="s">
        <v>37</v>
      </c>
      <c r="C1097" t="s">
        <v>35</v>
      </c>
      <c r="D1097" t="s">
        <v>38</v>
      </c>
      <c r="E1097" t="s">
        <v>582</v>
      </c>
      <c r="F1097" t="s">
        <v>26</v>
      </c>
      <c r="G1097" t="s">
        <v>26</v>
      </c>
      <c r="H1097">
        <v>2.780548</v>
      </c>
      <c r="I1097">
        <v>2.1125039999999999</v>
      </c>
      <c r="J1097">
        <v>1.924739</v>
      </c>
      <c r="K1097">
        <v>1.719201</v>
      </c>
      <c r="L1097">
        <v>1.5923039999999999</v>
      </c>
      <c r="M1097">
        <v>1.419046</v>
      </c>
      <c r="N1097">
        <v>1.2501340000000001</v>
      </c>
    </row>
    <row r="1098" spans="1:14" hidden="1" x14ac:dyDescent="0.35">
      <c r="A1098" t="s">
        <v>671</v>
      </c>
      <c r="B1098" t="s">
        <v>37</v>
      </c>
      <c r="C1098" t="s">
        <v>105</v>
      </c>
      <c r="D1098" t="s">
        <v>105</v>
      </c>
      <c r="E1098" t="s">
        <v>633</v>
      </c>
      <c r="F1098" t="s">
        <v>581</v>
      </c>
      <c r="G1098" t="s">
        <v>396</v>
      </c>
      <c r="H1098">
        <v>5.7445259999999996</v>
      </c>
      <c r="I1098">
        <v>5.1440849999999996</v>
      </c>
      <c r="J1098">
        <v>4.5032870000000003</v>
      </c>
      <c r="K1098">
        <v>3.9906030000000001</v>
      </c>
      <c r="L1098">
        <v>3.6032220000000001</v>
      </c>
      <c r="M1098">
        <v>3.2411629999999998</v>
      </c>
      <c r="N1098">
        <v>2.8919649999999999</v>
      </c>
    </row>
    <row r="1099" spans="1:14" hidden="1" x14ac:dyDescent="0.35">
      <c r="A1099" t="s">
        <v>671</v>
      </c>
      <c r="B1099" t="s">
        <v>37</v>
      </c>
      <c r="C1099" t="s">
        <v>105</v>
      </c>
      <c r="D1099" t="s">
        <v>105</v>
      </c>
      <c r="E1099" t="s">
        <v>633</v>
      </c>
      <c r="F1099" t="s">
        <v>581</v>
      </c>
      <c r="G1099" t="s">
        <v>25</v>
      </c>
      <c r="H1099">
        <v>11.52439</v>
      </c>
      <c r="I1099">
        <v>9.6940550000000005</v>
      </c>
      <c r="J1099">
        <v>8.3632519999999992</v>
      </c>
      <c r="K1099">
        <v>7.4111190000000002</v>
      </c>
      <c r="L1099">
        <v>6.6916979999999997</v>
      </c>
      <c r="M1099">
        <v>6.0193110000000001</v>
      </c>
      <c r="N1099">
        <v>5.3707929999999999</v>
      </c>
    </row>
    <row r="1100" spans="1:14" hidden="1" x14ac:dyDescent="0.35">
      <c r="A1100" t="s">
        <v>671</v>
      </c>
      <c r="B1100" t="s">
        <v>37</v>
      </c>
      <c r="C1100" t="s">
        <v>105</v>
      </c>
      <c r="D1100" t="s">
        <v>105</v>
      </c>
      <c r="E1100" t="s">
        <v>633</v>
      </c>
      <c r="F1100" t="s">
        <v>26</v>
      </c>
      <c r="G1100" t="s">
        <v>26</v>
      </c>
      <c r="H1100">
        <v>25.895890000000001</v>
      </c>
      <c r="I1100">
        <v>22.370889999999999</v>
      </c>
      <c r="J1100">
        <v>19.299810000000001</v>
      </c>
      <c r="K1100">
        <v>17.10258</v>
      </c>
      <c r="L1100">
        <v>15.44238</v>
      </c>
      <c r="M1100">
        <v>13.89071</v>
      </c>
      <c r="N1100">
        <v>12.394119999999999</v>
      </c>
    </row>
    <row r="1101" spans="1:14" hidden="1" x14ac:dyDescent="0.35">
      <c r="A1101" t="s">
        <v>671</v>
      </c>
      <c r="B1101" t="s">
        <v>37</v>
      </c>
      <c r="C1101" t="s">
        <v>105</v>
      </c>
      <c r="D1101" t="s">
        <v>105</v>
      </c>
      <c r="E1101" t="s">
        <v>632</v>
      </c>
      <c r="F1101" t="s">
        <v>581</v>
      </c>
      <c r="G1101" t="s">
        <v>396</v>
      </c>
      <c r="H1101">
        <v>7.3512320000000004</v>
      </c>
      <c r="I1101">
        <v>5.2450770000000002</v>
      </c>
      <c r="J1101">
        <v>4.000826</v>
      </c>
      <c r="K1101">
        <v>3.3163840000000002</v>
      </c>
      <c r="L1101">
        <v>2.9293239999999998</v>
      </c>
      <c r="M1101">
        <v>2.5478830000000001</v>
      </c>
      <c r="N1101">
        <v>2.2176710000000002</v>
      </c>
    </row>
    <row r="1102" spans="1:14" hidden="1" x14ac:dyDescent="0.35">
      <c r="A1102" t="s">
        <v>671</v>
      </c>
      <c r="B1102" t="s">
        <v>37</v>
      </c>
      <c r="C1102" t="s">
        <v>105</v>
      </c>
      <c r="D1102" t="s">
        <v>105</v>
      </c>
      <c r="E1102" t="s">
        <v>632</v>
      </c>
      <c r="F1102" t="s">
        <v>581</v>
      </c>
      <c r="G1102" t="s">
        <v>25</v>
      </c>
      <c r="H1102">
        <v>10.10849</v>
      </c>
      <c r="I1102">
        <v>7.2490629999999996</v>
      </c>
      <c r="J1102">
        <v>5.5011320000000001</v>
      </c>
      <c r="K1102">
        <v>4.5600250000000004</v>
      </c>
      <c r="L1102">
        <v>4.0278219999999996</v>
      </c>
      <c r="M1102">
        <v>3.5033449999999999</v>
      </c>
      <c r="N1102">
        <v>3.0492949999999999</v>
      </c>
    </row>
    <row r="1103" spans="1:14" hidden="1" x14ac:dyDescent="0.35">
      <c r="A1103" t="s">
        <v>671</v>
      </c>
      <c r="B1103" t="s">
        <v>37</v>
      </c>
      <c r="C1103" t="s">
        <v>105</v>
      </c>
      <c r="D1103" t="s">
        <v>105</v>
      </c>
      <c r="E1103" t="s">
        <v>632</v>
      </c>
      <c r="F1103" t="s">
        <v>26</v>
      </c>
      <c r="G1103" t="s">
        <v>26</v>
      </c>
      <c r="H1103">
        <v>12.824109999999999</v>
      </c>
      <c r="I1103">
        <v>9.4457450000000005</v>
      </c>
      <c r="J1103">
        <v>7.1681489999999997</v>
      </c>
      <c r="K1103">
        <v>5.9418490000000004</v>
      </c>
      <c r="L1103">
        <v>5.2483709999999997</v>
      </c>
      <c r="M1103">
        <v>4.5649600000000001</v>
      </c>
      <c r="N1103">
        <v>3.9733269999999998</v>
      </c>
    </row>
    <row r="1104" spans="1:14" hidden="1" x14ac:dyDescent="0.35">
      <c r="A1104" t="s">
        <v>671</v>
      </c>
      <c r="B1104" t="s">
        <v>37</v>
      </c>
      <c r="C1104" t="s">
        <v>105</v>
      </c>
      <c r="D1104" t="s">
        <v>105</v>
      </c>
      <c r="E1104" t="s">
        <v>584</v>
      </c>
      <c r="F1104" t="s">
        <v>581</v>
      </c>
      <c r="G1104" t="s">
        <v>396</v>
      </c>
      <c r="H1104">
        <v>0.1279315</v>
      </c>
      <c r="I1104">
        <v>0.124463</v>
      </c>
      <c r="J1104">
        <v>0.12183620000000001</v>
      </c>
      <c r="K1104">
        <v>0.1183211</v>
      </c>
      <c r="L1104">
        <v>0.1135167</v>
      </c>
      <c r="M1104">
        <v>0.10547289999999999</v>
      </c>
      <c r="N1104">
        <v>9.9429589999999998E-2</v>
      </c>
    </row>
    <row r="1105" spans="1:14" hidden="1" x14ac:dyDescent="0.35">
      <c r="A1105" t="s">
        <v>671</v>
      </c>
      <c r="B1105" t="s">
        <v>37</v>
      </c>
      <c r="C1105" t="s">
        <v>105</v>
      </c>
      <c r="D1105" t="s">
        <v>105</v>
      </c>
      <c r="E1105" t="s">
        <v>584</v>
      </c>
      <c r="F1105" t="s">
        <v>581</v>
      </c>
      <c r="G1105" t="s">
        <v>24</v>
      </c>
      <c r="H1105">
        <v>2.491233E-2</v>
      </c>
      <c r="I1105">
        <v>1.6178080000000001E-2</v>
      </c>
      <c r="J1105">
        <v>1.084658E-2</v>
      </c>
      <c r="K1105">
        <v>7.2904110000000001E-3</v>
      </c>
      <c r="L1105">
        <v>4.8849319999999998E-3</v>
      </c>
      <c r="M1105">
        <v>1.369863E-3</v>
      </c>
      <c r="N1105">
        <v>3.194521E-4</v>
      </c>
    </row>
    <row r="1106" spans="1:14" hidden="1" x14ac:dyDescent="0.35">
      <c r="A1106" t="s">
        <v>671</v>
      </c>
      <c r="B1106" t="s">
        <v>37</v>
      </c>
      <c r="C1106" t="s">
        <v>105</v>
      </c>
      <c r="D1106" t="s">
        <v>105</v>
      </c>
      <c r="E1106" t="s">
        <v>584</v>
      </c>
      <c r="F1106" t="s">
        <v>581</v>
      </c>
      <c r="G1106" t="s">
        <v>25</v>
      </c>
      <c r="H1106">
        <v>3.4213719999999999</v>
      </c>
      <c r="I1106">
        <v>2.78071</v>
      </c>
      <c r="J1106">
        <v>2.2674289999999999</v>
      </c>
      <c r="K1106">
        <v>1.836625</v>
      </c>
      <c r="L1106">
        <v>1.465654</v>
      </c>
      <c r="M1106">
        <v>1.0780050000000001</v>
      </c>
      <c r="N1106">
        <v>0.20483999999999999</v>
      </c>
    </row>
    <row r="1107" spans="1:14" hidden="1" x14ac:dyDescent="0.35">
      <c r="A1107" t="s">
        <v>671</v>
      </c>
      <c r="B1107" t="s">
        <v>37</v>
      </c>
      <c r="C1107" t="s">
        <v>105</v>
      </c>
      <c r="D1107" t="s">
        <v>105</v>
      </c>
      <c r="E1107" t="s">
        <v>584</v>
      </c>
      <c r="F1107" t="s">
        <v>26</v>
      </c>
      <c r="G1107" t="s">
        <v>26</v>
      </c>
      <c r="H1107">
        <v>7.3073980000000001</v>
      </c>
      <c r="I1107">
        <v>6.7140709999999997</v>
      </c>
      <c r="J1107">
        <v>6.166372</v>
      </c>
      <c r="K1107">
        <v>5.6139780000000004</v>
      </c>
      <c r="L1107">
        <v>5.0393840000000001</v>
      </c>
      <c r="M1107">
        <v>3.1181169999999998</v>
      </c>
      <c r="N1107">
        <v>0.80891670000000004</v>
      </c>
    </row>
    <row r="1108" spans="1:14" hidden="1" x14ac:dyDescent="0.35">
      <c r="A1108" t="s">
        <v>671</v>
      </c>
      <c r="B1108" t="s">
        <v>37</v>
      </c>
      <c r="C1108" t="s">
        <v>105</v>
      </c>
      <c r="D1108" t="s">
        <v>105</v>
      </c>
      <c r="E1108" t="s">
        <v>643</v>
      </c>
      <c r="F1108" t="s">
        <v>581</v>
      </c>
      <c r="G1108" t="s">
        <v>24</v>
      </c>
      <c r="H1108">
        <v>0.1445699</v>
      </c>
      <c r="I1108">
        <v>6.3580819999999996E-2</v>
      </c>
      <c r="J1108">
        <v>5.8298629999999997E-2</v>
      </c>
      <c r="K1108">
        <v>5.2090409999999997E-2</v>
      </c>
      <c r="L1108">
        <v>4.6767120000000002E-2</v>
      </c>
      <c r="M1108">
        <v>4.2172609999999999E-2</v>
      </c>
      <c r="N1108">
        <v>3.7841100000000003E-2</v>
      </c>
    </row>
    <row r="1109" spans="1:14" hidden="1" x14ac:dyDescent="0.35">
      <c r="A1109" t="s">
        <v>671</v>
      </c>
      <c r="B1109" t="s">
        <v>37</v>
      </c>
      <c r="C1109" t="s">
        <v>105</v>
      </c>
      <c r="D1109" t="s">
        <v>105</v>
      </c>
      <c r="E1109" t="s">
        <v>643</v>
      </c>
      <c r="F1109" t="s">
        <v>581</v>
      </c>
      <c r="G1109" t="s">
        <v>25</v>
      </c>
      <c r="H1109">
        <v>0.3120521</v>
      </c>
      <c r="I1109">
        <v>9.9263009999999999E-2</v>
      </c>
      <c r="J1109">
        <v>8.7750679999999998E-2</v>
      </c>
      <c r="K1109">
        <v>7.840548E-2</v>
      </c>
      <c r="L1109">
        <v>7.0397260000000003E-2</v>
      </c>
      <c r="M1109">
        <v>6.3479450000000007E-2</v>
      </c>
      <c r="N1109">
        <v>5.69589E-2</v>
      </c>
    </row>
    <row r="1110" spans="1:14" hidden="1" x14ac:dyDescent="0.35">
      <c r="A1110" t="s">
        <v>671</v>
      </c>
      <c r="B1110" t="s">
        <v>37</v>
      </c>
      <c r="C1110" t="s">
        <v>105</v>
      </c>
      <c r="D1110" t="s">
        <v>105</v>
      </c>
      <c r="E1110" t="s">
        <v>643</v>
      </c>
      <c r="F1110" t="s">
        <v>26</v>
      </c>
      <c r="G1110" t="s">
        <v>26</v>
      </c>
      <c r="H1110">
        <v>1.2715069999999999</v>
      </c>
      <c r="I1110">
        <v>0.41456989999999999</v>
      </c>
      <c r="J1110">
        <v>0.36649039999999999</v>
      </c>
      <c r="K1110">
        <v>0.32745479999999999</v>
      </c>
      <c r="L1110">
        <v>0.29399730000000002</v>
      </c>
      <c r="M1110">
        <v>0.26511509999999999</v>
      </c>
      <c r="N1110">
        <v>0.23788490000000001</v>
      </c>
    </row>
    <row r="1111" spans="1:14" hidden="1" x14ac:dyDescent="0.35">
      <c r="A1111" t="s">
        <v>671</v>
      </c>
      <c r="B1111" t="s">
        <v>37</v>
      </c>
      <c r="C1111" t="s">
        <v>86</v>
      </c>
      <c r="D1111" t="s">
        <v>86</v>
      </c>
      <c r="E1111" t="s">
        <v>584</v>
      </c>
      <c r="F1111" t="s">
        <v>581</v>
      </c>
      <c r="G1111" t="s">
        <v>396</v>
      </c>
      <c r="H1111">
        <v>0.16438359999999999</v>
      </c>
      <c r="I1111">
        <v>0.16112879999999999</v>
      </c>
      <c r="J1111">
        <v>0.15791340000000001</v>
      </c>
      <c r="K1111">
        <v>0.15352769999999999</v>
      </c>
      <c r="L1111">
        <v>0.1474548</v>
      </c>
      <c r="M1111">
        <v>0.13843949999999999</v>
      </c>
      <c r="N1111">
        <v>0.13053210000000001</v>
      </c>
    </row>
    <row r="1112" spans="1:14" hidden="1" x14ac:dyDescent="0.35">
      <c r="A1112" t="s">
        <v>671</v>
      </c>
      <c r="B1112" t="s">
        <v>37</v>
      </c>
      <c r="C1112" t="s">
        <v>86</v>
      </c>
      <c r="D1112" t="s">
        <v>86</v>
      </c>
      <c r="E1112" t="s">
        <v>584</v>
      </c>
      <c r="F1112" t="s">
        <v>581</v>
      </c>
      <c r="G1112" t="s">
        <v>24</v>
      </c>
      <c r="H1112">
        <v>8.0273970000000004E-4</v>
      </c>
      <c r="I1112">
        <v>0</v>
      </c>
    </row>
    <row r="1113" spans="1:14" hidden="1" x14ac:dyDescent="0.35">
      <c r="A1113" t="s">
        <v>671</v>
      </c>
      <c r="B1113" t="s">
        <v>37</v>
      </c>
      <c r="C1113" t="s">
        <v>86</v>
      </c>
      <c r="D1113" t="s">
        <v>86</v>
      </c>
      <c r="E1113" t="s">
        <v>584</v>
      </c>
      <c r="F1113" t="s">
        <v>581</v>
      </c>
      <c r="G1113" t="s">
        <v>25</v>
      </c>
      <c r="H1113">
        <v>6.5917809999999997E-3</v>
      </c>
      <c r="I1113">
        <v>6.4630140000000004E-3</v>
      </c>
      <c r="J1113">
        <v>6.3320549999999996E-3</v>
      </c>
      <c r="K1113">
        <v>6.1567119999999999E-3</v>
      </c>
      <c r="L1113">
        <v>5.9128770000000004E-3</v>
      </c>
      <c r="M1113">
        <v>5.5528770000000003E-3</v>
      </c>
      <c r="N1113">
        <v>5.2361650000000001E-3</v>
      </c>
    </row>
    <row r="1114" spans="1:14" hidden="1" x14ac:dyDescent="0.35">
      <c r="A1114" t="s">
        <v>671</v>
      </c>
      <c r="B1114" t="s">
        <v>37</v>
      </c>
      <c r="C1114" t="s">
        <v>86</v>
      </c>
      <c r="D1114" t="s">
        <v>86</v>
      </c>
      <c r="E1114" t="s">
        <v>584</v>
      </c>
      <c r="F1114" t="s">
        <v>26</v>
      </c>
      <c r="G1114" t="s">
        <v>26</v>
      </c>
      <c r="H1114">
        <v>0.59397259999999996</v>
      </c>
      <c r="I1114">
        <v>0.55006310000000003</v>
      </c>
      <c r="J1114">
        <v>0.50910409999999995</v>
      </c>
      <c r="K1114">
        <v>0.46692660000000002</v>
      </c>
      <c r="L1114">
        <v>0.42206690000000002</v>
      </c>
      <c r="M1114">
        <v>0.37215229999999999</v>
      </c>
      <c r="N1114">
        <v>0.32883620000000002</v>
      </c>
    </row>
    <row r="1115" spans="1:14" hidden="1" x14ac:dyDescent="0.35">
      <c r="A1115" t="s">
        <v>671</v>
      </c>
      <c r="B1115" t="s">
        <v>37</v>
      </c>
      <c r="C1115" t="s">
        <v>95</v>
      </c>
      <c r="D1115" t="s">
        <v>95</v>
      </c>
      <c r="E1115" t="s">
        <v>584</v>
      </c>
      <c r="F1115" t="s">
        <v>26</v>
      </c>
      <c r="G1115" t="s">
        <v>26</v>
      </c>
      <c r="H1115">
        <v>0.27616439999999998</v>
      </c>
      <c r="I1115">
        <v>0.25574789999999997</v>
      </c>
      <c r="J1115">
        <v>0.2368384</v>
      </c>
      <c r="K1115">
        <v>0.21932879999999999</v>
      </c>
      <c r="L1115">
        <v>0.2031123</v>
      </c>
      <c r="M1115">
        <v>0.18809590000000001</v>
      </c>
      <c r="N1115">
        <v>0.17418900000000001</v>
      </c>
    </row>
    <row r="1116" spans="1:14" hidden="1" x14ac:dyDescent="0.35">
      <c r="A1116" t="s">
        <v>671</v>
      </c>
      <c r="B1116" t="s">
        <v>37</v>
      </c>
      <c r="C1116" t="s">
        <v>70</v>
      </c>
      <c r="D1116" t="s">
        <v>70</v>
      </c>
      <c r="E1116" t="s">
        <v>584</v>
      </c>
      <c r="F1116" t="s">
        <v>581</v>
      </c>
      <c r="G1116" t="s">
        <v>396</v>
      </c>
      <c r="H1116">
        <v>4.6027390000000001E-2</v>
      </c>
      <c r="I1116">
        <v>3.7575339999999999E-2</v>
      </c>
      <c r="J1116">
        <v>3.0627399999999999E-2</v>
      </c>
      <c r="K1116">
        <v>2.4681100000000001E-2</v>
      </c>
      <c r="L1116">
        <v>1.9498629999999999E-2</v>
      </c>
      <c r="M1116">
        <v>1.495616E-2</v>
      </c>
      <c r="N1116">
        <v>1.144219E-2</v>
      </c>
    </row>
    <row r="1117" spans="1:14" hidden="1" x14ac:dyDescent="0.35">
      <c r="A1117" t="s">
        <v>671</v>
      </c>
      <c r="B1117" t="s">
        <v>37</v>
      </c>
      <c r="C1117" t="s">
        <v>70</v>
      </c>
      <c r="D1117" t="s">
        <v>70</v>
      </c>
      <c r="E1117" t="s">
        <v>584</v>
      </c>
      <c r="F1117" t="s">
        <v>581</v>
      </c>
      <c r="G1117" t="s">
        <v>24</v>
      </c>
      <c r="H1117">
        <v>8.0273970000000004E-4</v>
      </c>
      <c r="I1117">
        <v>0</v>
      </c>
    </row>
    <row r="1118" spans="1:14" hidden="1" x14ac:dyDescent="0.35">
      <c r="A1118" t="s">
        <v>671</v>
      </c>
      <c r="B1118" t="s">
        <v>37</v>
      </c>
      <c r="C1118" t="s">
        <v>70</v>
      </c>
      <c r="D1118" t="s">
        <v>70</v>
      </c>
      <c r="E1118" t="s">
        <v>584</v>
      </c>
      <c r="F1118" t="s">
        <v>581</v>
      </c>
      <c r="G1118" t="s">
        <v>25</v>
      </c>
      <c r="H1118">
        <v>4.3945199999999998E-3</v>
      </c>
      <c r="I1118">
        <v>4.1095890000000003E-3</v>
      </c>
      <c r="J1118">
        <v>3.8383559999999998E-3</v>
      </c>
      <c r="K1118">
        <v>3.5528769999999999E-3</v>
      </c>
      <c r="L1118">
        <v>3.2427390000000001E-3</v>
      </c>
      <c r="M1118">
        <v>2.888767E-3</v>
      </c>
      <c r="N1118">
        <v>2.5791780000000001E-3</v>
      </c>
    </row>
    <row r="1119" spans="1:14" hidden="1" x14ac:dyDescent="0.35">
      <c r="A1119" t="s">
        <v>671</v>
      </c>
      <c r="B1119" t="s">
        <v>37</v>
      </c>
      <c r="C1119" t="s">
        <v>70</v>
      </c>
      <c r="D1119" t="s">
        <v>70</v>
      </c>
      <c r="E1119" t="s">
        <v>584</v>
      </c>
      <c r="F1119" t="s">
        <v>26</v>
      </c>
      <c r="G1119" t="s">
        <v>26</v>
      </c>
      <c r="H1119">
        <v>1.315069E-2</v>
      </c>
      <c r="I1119">
        <v>1.218904E-2</v>
      </c>
      <c r="J1119">
        <v>1.1291509999999999E-2</v>
      </c>
      <c r="K1119">
        <v>1.0364379999999999E-2</v>
      </c>
      <c r="L1119">
        <v>9.3758910000000008E-3</v>
      </c>
      <c r="M1119">
        <v>8.2739730000000004E-3</v>
      </c>
      <c r="N1119">
        <v>7.3178080000000003E-3</v>
      </c>
    </row>
    <row r="1120" spans="1:14" hidden="1" x14ac:dyDescent="0.35">
      <c r="A1120" t="s">
        <v>671</v>
      </c>
      <c r="B1120" t="s">
        <v>37</v>
      </c>
      <c r="C1120" t="s">
        <v>205</v>
      </c>
      <c r="D1120" t="s">
        <v>205</v>
      </c>
      <c r="E1120" t="s">
        <v>584</v>
      </c>
      <c r="F1120" t="s">
        <v>581</v>
      </c>
      <c r="G1120" t="s">
        <v>396</v>
      </c>
      <c r="H1120">
        <v>4.9424660000000004E-3</v>
      </c>
      <c r="I1120">
        <v>3.3260270000000001E-3</v>
      </c>
      <c r="J1120">
        <v>2.2301370000000001E-3</v>
      </c>
      <c r="K1120">
        <v>1.4958910000000001E-3</v>
      </c>
      <c r="L1120">
        <v>1.00274E-3</v>
      </c>
      <c r="M1120">
        <v>0</v>
      </c>
    </row>
    <row r="1121" spans="1:14" hidden="1" x14ac:dyDescent="0.35">
      <c r="A1121" t="s">
        <v>671</v>
      </c>
      <c r="B1121" t="s">
        <v>37</v>
      </c>
      <c r="C1121" t="s">
        <v>205</v>
      </c>
      <c r="D1121" t="s">
        <v>205</v>
      </c>
      <c r="E1121" t="s">
        <v>584</v>
      </c>
      <c r="F1121" t="s">
        <v>581</v>
      </c>
      <c r="G1121" t="s">
        <v>24</v>
      </c>
      <c r="H1121">
        <v>3.545479E-2</v>
      </c>
      <c r="I1121">
        <v>3.4356159999999997E-2</v>
      </c>
      <c r="J1121">
        <v>3.3290420000000001E-2</v>
      </c>
      <c r="K1121">
        <v>3.2260270000000001E-2</v>
      </c>
      <c r="L1121">
        <v>3.126027E-2</v>
      </c>
      <c r="M1121">
        <v>3.029041E-2</v>
      </c>
      <c r="N1121">
        <v>2.9350680000000001E-2</v>
      </c>
    </row>
    <row r="1122" spans="1:14" hidden="1" x14ac:dyDescent="0.35">
      <c r="A1122" t="s">
        <v>671</v>
      </c>
      <c r="B1122" t="s">
        <v>37</v>
      </c>
      <c r="C1122" t="s">
        <v>109</v>
      </c>
      <c r="D1122" t="s">
        <v>109</v>
      </c>
      <c r="E1122" t="s">
        <v>584</v>
      </c>
      <c r="F1122" t="s">
        <v>581</v>
      </c>
      <c r="G1122" t="s">
        <v>396</v>
      </c>
      <c r="H1122">
        <v>4.0273970000000002E-4</v>
      </c>
      <c r="I1122">
        <v>3.9616439999999998E-4</v>
      </c>
      <c r="J1122">
        <v>3.8794520000000001E-4</v>
      </c>
      <c r="K1122">
        <v>3.7972599999999999E-4</v>
      </c>
      <c r="L1122">
        <v>3.7232880000000001E-4</v>
      </c>
      <c r="M1122">
        <v>3.6493149999999999E-4</v>
      </c>
      <c r="N1122">
        <v>3.575343E-4</v>
      </c>
    </row>
    <row r="1123" spans="1:14" hidden="1" x14ac:dyDescent="0.35">
      <c r="A1123" t="s">
        <v>671</v>
      </c>
      <c r="B1123" t="s">
        <v>37</v>
      </c>
      <c r="C1123" t="s">
        <v>109</v>
      </c>
      <c r="D1123" t="s">
        <v>109</v>
      </c>
      <c r="E1123" t="s">
        <v>584</v>
      </c>
      <c r="F1123" t="s">
        <v>581</v>
      </c>
      <c r="G1123" t="s">
        <v>24</v>
      </c>
      <c r="H1123">
        <v>0</v>
      </c>
      <c r="I1123">
        <v>1.828767E-3</v>
      </c>
      <c r="J1123">
        <v>1.3758900000000001E-3</v>
      </c>
      <c r="K1123">
        <v>1.0282189999999999E-3</v>
      </c>
      <c r="L1123">
        <v>7.6931510000000005E-4</v>
      </c>
      <c r="M1123">
        <v>5.7534239999999998E-4</v>
      </c>
      <c r="N1123">
        <v>4.3068490000000001E-4</v>
      </c>
    </row>
    <row r="1124" spans="1:14" hidden="1" x14ac:dyDescent="0.35">
      <c r="A1124" t="s">
        <v>671</v>
      </c>
      <c r="B1124" t="s">
        <v>37</v>
      </c>
      <c r="C1124" t="s">
        <v>109</v>
      </c>
      <c r="D1124" t="s">
        <v>109</v>
      </c>
      <c r="E1124" t="s">
        <v>584</v>
      </c>
      <c r="F1124" t="s">
        <v>581</v>
      </c>
      <c r="G1124" t="s">
        <v>25</v>
      </c>
      <c r="H1124">
        <v>3.666575E-3</v>
      </c>
      <c r="I1124">
        <v>2.4550689999999998E-3</v>
      </c>
      <c r="J1124">
        <v>1.6479450000000001E-3</v>
      </c>
      <c r="K1124">
        <v>1.1087670000000001E-3</v>
      </c>
      <c r="L1124">
        <v>7.4301369999999996E-4</v>
      </c>
      <c r="M1124">
        <v>4.9808209999999999E-4</v>
      </c>
      <c r="N1124">
        <v>3.3369859999999999E-4</v>
      </c>
    </row>
    <row r="1125" spans="1:14" hidden="1" x14ac:dyDescent="0.35">
      <c r="A1125" t="s">
        <v>671</v>
      </c>
      <c r="B1125" t="s">
        <v>37</v>
      </c>
      <c r="C1125" t="s">
        <v>109</v>
      </c>
      <c r="D1125" t="s">
        <v>109</v>
      </c>
      <c r="E1125" t="s">
        <v>584</v>
      </c>
      <c r="F1125" t="s">
        <v>26</v>
      </c>
      <c r="G1125" t="s">
        <v>26</v>
      </c>
      <c r="H1125">
        <v>2.2848489999999999E-2</v>
      </c>
      <c r="I1125">
        <v>1.531562E-2</v>
      </c>
      <c r="J1125">
        <v>1.0266580000000001E-2</v>
      </c>
      <c r="K1125">
        <v>6.8819179999999999E-3</v>
      </c>
      <c r="L1125">
        <v>4.613425E-3</v>
      </c>
      <c r="M1125">
        <v>3.0920549999999998E-3</v>
      </c>
      <c r="N1125">
        <v>2.0728769999999999E-3</v>
      </c>
    </row>
    <row r="1126" spans="1:14" hidden="1" x14ac:dyDescent="0.35">
      <c r="A1126" t="s">
        <v>671</v>
      </c>
      <c r="B1126" t="s">
        <v>37</v>
      </c>
      <c r="C1126" t="s">
        <v>118</v>
      </c>
      <c r="D1126" t="s">
        <v>118</v>
      </c>
      <c r="E1126" t="s">
        <v>584</v>
      </c>
      <c r="F1126" t="s">
        <v>26</v>
      </c>
      <c r="G1126" t="s">
        <v>26</v>
      </c>
      <c r="H1126">
        <v>1.3731510000000001E-2</v>
      </c>
      <c r="I1126">
        <v>1.1904110000000001E-2</v>
      </c>
      <c r="J1126">
        <v>1.0323290000000001E-2</v>
      </c>
      <c r="K1126">
        <v>8.9506849999999999E-3</v>
      </c>
      <c r="L1126">
        <v>7.758905E-3</v>
      </c>
      <c r="M1126">
        <v>6.7506850000000002E-3</v>
      </c>
      <c r="N1126">
        <v>5.8520550000000001E-3</v>
      </c>
    </row>
    <row r="1127" spans="1:14" hidden="1" x14ac:dyDescent="0.35">
      <c r="A1127" t="s">
        <v>672</v>
      </c>
      <c r="B1127" t="s">
        <v>73</v>
      </c>
      <c r="C1127" t="s">
        <v>87</v>
      </c>
      <c r="D1127" t="s">
        <v>132</v>
      </c>
      <c r="E1127" t="s">
        <v>584</v>
      </c>
      <c r="F1127" t="s">
        <v>581</v>
      </c>
      <c r="G1127" t="s">
        <v>396</v>
      </c>
      <c r="H1127">
        <v>32.401910000000001</v>
      </c>
      <c r="I1127">
        <v>49.358690000000003</v>
      </c>
      <c r="J1127">
        <v>59.809240000000003</v>
      </c>
      <c r="K1127">
        <v>53.067070000000001</v>
      </c>
      <c r="L1127">
        <v>46.324910000000003</v>
      </c>
      <c r="M1127">
        <v>39.582740000000001</v>
      </c>
      <c r="N1127">
        <v>46.898629999999997</v>
      </c>
    </row>
    <row r="1128" spans="1:14" hidden="1" x14ac:dyDescent="0.35">
      <c r="A1128" t="s">
        <v>672</v>
      </c>
      <c r="B1128" t="s">
        <v>73</v>
      </c>
      <c r="C1128" t="s">
        <v>87</v>
      </c>
      <c r="D1128" t="s">
        <v>132</v>
      </c>
      <c r="E1128" t="s">
        <v>584</v>
      </c>
      <c r="F1128" t="s">
        <v>581</v>
      </c>
      <c r="G1128" t="s">
        <v>25</v>
      </c>
      <c r="H1128">
        <v>1.5456110000000001</v>
      </c>
      <c r="I1128">
        <v>2.3544640000000001</v>
      </c>
      <c r="J1128">
        <v>2.8529680000000002</v>
      </c>
      <c r="K1128">
        <v>2.5313599999999998</v>
      </c>
      <c r="L1128">
        <v>2.2097509999999998</v>
      </c>
      <c r="M1128">
        <v>1.8881410000000001</v>
      </c>
      <c r="N1128">
        <v>2.2371189999999999</v>
      </c>
    </row>
    <row r="1129" spans="1:14" hidden="1" x14ac:dyDescent="0.35">
      <c r="A1129" t="s">
        <v>672</v>
      </c>
      <c r="B1129" t="s">
        <v>73</v>
      </c>
      <c r="C1129" t="s">
        <v>87</v>
      </c>
      <c r="D1129" t="s">
        <v>132</v>
      </c>
      <c r="E1129" t="s">
        <v>584</v>
      </c>
      <c r="F1129" t="s">
        <v>26</v>
      </c>
      <c r="G1129" t="s">
        <v>26</v>
      </c>
      <c r="H1129">
        <v>4.9645400000000004</v>
      </c>
      <c r="I1129">
        <v>7.5626189999999998</v>
      </c>
      <c r="J1129">
        <v>9.1638269999999995</v>
      </c>
      <c r="K1129">
        <v>8.130808</v>
      </c>
      <c r="L1129">
        <v>7.0977930000000002</v>
      </c>
      <c r="M1129">
        <v>6.0647719999999996</v>
      </c>
      <c r="N1129">
        <v>7.1856939999999998</v>
      </c>
    </row>
    <row r="1130" spans="1:14" hidden="1" x14ac:dyDescent="0.35">
      <c r="A1130" t="s">
        <v>672</v>
      </c>
      <c r="B1130" t="s">
        <v>73</v>
      </c>
      <c r="C1130" t="s">
        <v>87</v>
      </c>
      <c r="D1130" t="s">
        <v>131</v>
      </c>
      <c r="E1130" t="s">
        <v>584</v>
      </c>
      <c r="F1130" t="s">
        <v>581</v>
      </c>
      <c r="G1130" t="s">
        <v>396</v>
      </c>
      <c r="H1130">
        <v>6.2122780000000004</v>
      </c>
      <c r="I1130">
        <v>7.5852729999999999</v>
      </c>
      <c r="J1130">
        <v>7.4795470000000002</v>
      </c>
      <c r="K1130">
        <v>10.803879999999999</v>
      </c>
      <c r="L1130">
        <v>17.98123</v>
      </c>
      <c r="M1130">
        <v>16.824110000000001</v>
      </c>
      <c r="N1130">
        <v>10.86243</v>
      </c>
    </row>
    <row r="1131" spans="1:14" hidden="1" x14ac:dyDescent="0.35">
      <c r="A1131" t="s">
        <v>672</v>
      </c>
      <c r="B1131" t="s">
        <v>73</v>
      </c>
      <c r="C1131" t="s">
        <v>87</v>
      </c>
      <c r="D1131" t="s">
        <v>131</v>
      </c>
      <c r="E1131" t="s">
        <v>584</v>
      </c>
      <c r="F1131" t="s">
        <v>581</v>
      </c>
      <c r="G1131" t="s">
        <v>24</v>
      </c>
      <c r="N1131">
        <v>0</v>
      </c>
    </row>
    <row r="1132" spans="1:14" hidden="1" x14ac:dyDescent="0.35">
      <c r="A1132" t="s">
        <v>672</v>
      </c>
      <c r="B1132" t="s">
        <v>73</v>
      </c>
      <c r="C1132" t="s">
        <v>87</v>
      </c>
      <c r="D1132" t="s">
        <v>131</v>
      </c>
      <c r="E1132" t="s">
        <v>584</v>
      </c>
      <c r="F1132" t="s">
        <v>581</v>
      </c>
      <c r="G1132" t="s">
        <v>25</v>
      </c>
      <c r="H1132">
        <v>0.40923530000000002</v>
      </c>
      <c r="I1132">
        <v>0.47229290000000002</v>
      </c>
      <c r="J1132">
        <v>0.55821759999999998</v>
      </c>
      <c r="K1132">
        <v>0.83465350000000005</v>
      </c>
      <c r="L1132">
        <v>0.96826679999999998</v>
      </c>
      <c r="M1132">
        <v>6.9291320000000003E-2</v>
      </c>
      <c r="N1132">
        <v>3.632846E-2</v>
      </c>
    </row>
    <row r="1133" spans="1:14" hidden="1" x14ac:dyDescent="0.35">
      <c r="A1133" t="s">
        <v>672</v>
      </c>
      <c r="B1133" t="s">
        <v>73</v>
      </c>
      <c r="C1133" t="s">
        <v>87</v>
      </c>
      <c r="D1133" t="s">
        <v>131</v>
      </c>
      <c r="E1133" t="s">
        <v>584</v>
      </c>
      <c r="F1133" t="s">
        <v>26</v>
      </c>
      <c r="G1133" t="s">
        <v>26</v>
      </c>
      <c r="N1133">
        <v>0</v>
      </c>
    </row>
    <row r="1134" spans="1:14" hidden="1" x14ac:dyDescent="0.35">
      <c r="A1134" t="s">
        <v>672</v>
      </c>
      <c r="B1134" t="s">
        <v>73</v>
      </c>
      <c r="C1134" t="s">
        <v>87</v>
      </c>
      <c r="D1134" t="s">
        <v>87</v>
      </c>
      <c r="E1134" t="s">
        <v>584</v>
      </c>
      <c r="F1134" t="s">
        <v>581</v>
      </c>
      <c r="G1134" t="s">
        <v>396</v>
      </c>
      <c r="N1134">
        <v>0</v>
      </c>
    </row>
    <row r="1135" spans="1:14" hidden="1" x14ac:dyDescent="0.35">
      <c r="A1135" t="s">
        <v>672</v>
      </c>
      <c r="B1135" t="s">
        <v>73</v>
      </c>
      <c r="C1135" t="s">
        <v>87</v>
      </c>
      <c r="D1135" t="s">
        <v>87</v>
      </c>
      <c r="E1135" t="s">
        <v>584</v>
      </c>
      <c r="F1135" t="s">
        <v>26</v>
      </c>
      <c r="G1135" t="s">
        <v>26</v>
      </c>
      <c r="N1135">
        <v>0</v>
      </c>
    </row>
    <row r="1136" spans="1:14" hidden="1" x14ac:dyDescent="0.35">
      <c r="A1136" t="s">
        <v>672</v>
      </c>
      <c r="B1136" t="s">
        <v>73</v>
      </c>
      <c r="C1136" t="s">
        <v>71</v>
      </c>
      <c r="D1136" t="s">
        <v>140</v>
      </c>
      <c r="E1136" t="s">
        <v>584</v>
      </c>
      <c r="F1136" t="s">
        <v>581</v>
      </c>
      <c r="G1136" t="s">
        <v>396</v>
      </c>
      <c r="H1136">
        <v>32.126359999999998</v>
      </c>
      <c r="I1136">
        <v>27.903590000000001</v>
      </c>
      <c r="J1136">
        <v>25.667459999999998</v>
      </c>
      <c r="K1136">
        <v>22.287600000000001</v>
      </c>
      <c r="L1136">
        <v>18.954339999999998</v>
      </c>
      <c r="M1136">
        <v>15.93085</v>
      </c>
      <c r="N1136">
        <v>13.452719999999999</v>
      </c>
    </row>
    <row r="1137" spans="1:14" hidden="1" x14ac:dyDescent="0.35">
      <c r="A1137" t="s">
        <v>672</v>
      </c>
      <c r="B1137" t="s">
        <v>73</v>
      </c>
      <c r="C1137" t="s">
        <v>71</v>
      </c>
      <c r="D1137" t="s">
        <v>140</v>
      </c>
      <c r="E1137" t="s">
        <v>584</v>
      </c>
      <c r="F1137" t="s">
        <v>26</v>
      </c>
      <c r="G1137" t="s">
        <v>26</v>
      </c>
      <c r="H1137">
        <v>6.9089159999999996</v>
      </c>
      <c r="I1137">
        <v>6.0007890000000002</v>
      </c>
      <c r="J1137">
        <v>5.5199020000000001</v>
      </c>
      <c r="K1137">
        <v>5.1352180000000001</v>
      </c>
      <c r="L1137">
        <v>4.3672129999999996</v>
      </c>
      <c r="M1137">
        <v>3.6705779999999999</v>
      </c>
      <c r="N1137">
        <v>3.099602</v>
      </c>
    </row>
    <row r="1138" spans="1:14" hidden="1" x14ac:dyDescent="0.35">
      <c r="A1138" t="s">
        <v>672</v>
      </c>
      <c r="B1138" t="s">
        <v>73</v>
      </c>
      <c r="C1138" t="s">
        <v>71</v>
      </c>
      <c r="D1138" t="s">
        <v>142</v>
      </c>
      <c r="E1138" t="s">
        <v>584</v>
      </c>
      <c r="F1138" t="s">
        <v>581</v>
      </c>
      <c r="G1138" t="s">
        <v>396</v>
      </c>
      <c r="H1138">
        <v>18.735119999999998</v>
      </c>
      <c r="I1138">
        <v>18.395040000000002</v>
      </c>
      <c r="J1138">
        <v>16.846139999999998</v>
      </c>
      <c r="K1138">
        <v>18.459969999999998</v>
      </c>
      <c r="L1138">
        <v>20.134409999999999</v>
      </c>
      <c r="M1138">
        <v>16.93036</v>
      </c>
      <c r="N1138">
        <v>14.32756</v>
      </c>
    </row>
    <row r="1139" spans="1:14" hidden="1" x14ac:dyDescent="0.35">
      <c r="A1139" t="s">
        <v>672</v>
      </c>
      <c r="B1139" t="s">
        <v>73</v>
      </c>
      <c r="C1139" t="s">
        <v>71</v>
      </c>
      <c r="D1139" t="s">
        <v>142</v>
      </c>
      <c r="E1139" t="s">
        <v>584</v>
      </c>
      <c r="F1139" t="s">
        <v>581</v>
      </c>
      <c r="G1139" t="s">
        <v>25</v>
      </c>
      <c r="H1139">
        <v>0.85475599999999996</v>
      </c>
      <c r="I1139">
        <v>1.0069630000000001</v>
      </c>
      <c r="J1139">
        <v>0.95218990000000003</v>
      </c>
      <c r="K1139">
        <v>0.8195711</v>
      </c>
      <c r="L1139">
        <v>0.76206359999999995</v>
      </c>
      <c r="M1139">
        <v>0.61673789999999995</v>
      </c>
      <c r="N1139">
        <v>0.47803230000000002</v>
      </c>
    </row>
    <row r="1140" spans="1:14" hidden="1" x14ac:dyDescent="0.35">
      <c r="A1140" t="s">
        <v>672</v>
      </c>
      <c r="B1140" t="s">
        <v>73</v>
      </c>
      <c r="C1140" t="s">
        <v>71</v>
      </c>
      <c r="D1140" t="s">
        <v>142</v>
      </c>
      <c r="E1140" t="s">
        <v>584</v>
      </c>
      <c r="F1140" t="s">
        <v>26</v>
      </c>
      <c r="G1140" t="s">
        <v>26</v>
      </c>
      <c r="H1140">
        <v>2.3306830000000001</v>
      </c>
      <c r="I1140">
        <v>2.444194</v>
      </c>
      <c r="J1140">
        <v>2.5378780000000001</v>
      </c>
      <c r="K1140">
        <v>2.551517</v>
      </c>
      <c r="L1140">
        <v>2.28417</v>
      </c>
      <c r="M1140">
        <v>1.7830349999999999</v>
      </c>
      <c r="N1140">
        <v>1.3460350000000001</v>
      </c>
    </row>
    <row r="1141" spans="1:14" hidden="1" x14ac:dyDescent="0.35">
      <c r="A1141" t="s">
        <v>672</v>
      </c>
      <c r="B1141" t="s">
        <v>73</v>
      </c>
      <c r="C1141" t="s">
        <v>71</v>
      </c>
      <c r="D1141" t="s">
        <v>139</v>
      </c>
      <c r="E1141" t="s">
        <v>584</v>
      </c>
      <c r="F1141" t="s">
        <v>581</v>
      </c>
      <c r="G1141" t="s">
        <v>396</v>
      </c>
      <c r="H1141">
        <v>8.3935340000000007</v>
      </c>
      <c r="I1141">
        <v>8.7656290000000006</v>
      </c>
      <c r="J1141">
        <v>9.9678100000000001</v>
      </c>
      <c r="K1141">
        <v>7.1760440000000001</v>
      </c>
      <c r="L1141">
        <v>4.3998480000000004</v>
      </c>
      <c r="M1141">
        <v>2.794667</v>
      </c>
      <c r="N1141">
        <v>3.3648560000000001</v>
      </c>
    </row>
    <row r="1142" spans="1:14" hidden="1" x14ac:dyDescent="0.35">
      <c r="A1142" t="s">
        <v>672</v>
      </c>
      <c r="B1142" t="s">
        <v>73</v>
      </c>
      <c r="C1142" t="s">
        <v>71</v>
      </c>
      <c r="D1142" t="s">
        <v>139</v>
      </c>
      <c r="E1142" t="s">
        <v>584</v>
      </c>
      <c r="F1142" t="s">
        <v>26</v>
      </c>
      <c r="G1142" t="s">
        <v>26</v>
      </c>
      <c r="H1142">
        <v>1.7750250000000001</v>
      </c>
      <c r="I1142">
        <v>1.228847</v>
      </c>
      <c r="J1142">
        <v>0.88096370000000002</v>
      </c>
      <c r="K1142">
        <v>0.66956059999999995</v>
      </c>
      <c r="L1142">
        <v>0.50888770000000005</v>
      </c>
      <c r="M1142">
        <v>0.38676959999999999</v>
      </c>
      <c r="N1142">
        <v>5.4608910000000002</v>
      </c>
    </row>
    <row r="1143" spans="1:14" hidden="1" x14ac:dyDescent="0.35">
      <c r="A1143" t="s">
        <v>672</v>
      </c>
      <c r="B1143" t="s">
        <v>73</v>
      </c>
      <c r="C1143" t="s">
        <v>71</v>
      </c>
      <c r="D1143" t="s">
        <v>143</v>
      </c>
      <c r="E1143" t="s">
        <v>584</v>
      </c>
      <c r="F1143" t="s">
        <v>581</v>
      </c>
      <c r="G1143" t="s">
        <v>396</v>
      </c>
      <c r="H1143">
        <v>2.3976630000000001</v>
      </c>
      <c r="I1143">
        <v>2.954555</v>
      </c>
      <c r="J1143">
        <v>2.4068860000000001</v>
      </c>
      <c r="K1143">
        <v>1.9500759999999999</v>
      </c>
      <c r="L1143">
        <v>1.6931510000000001</v>
      </c>
      <c r="M1143">
        <v>2.0502750000000001</v>
      </c>
      <c r="N1143">
        <v>2.5246300000000002</v>
      </c>
    </row>
    <row r="1144" spans="1:14" hidden="1" x14ac:dyDescent="0.35">
      <c r="A1144" t="s">
        <v>672</v>
      </c>
      <c r="B1144" t="s">
        <v>73</v>
      </c>
      <c r="C1144" t="s">
        <v>71</v>
      </c>
      <c r="D1144" t="s">
        <v>143</v>
      </c>
      <c r="E1144" t="s">
        <v>584</v>
      </c>
      <c r="F1144" t="s">
        <v>26</v>
      </c>
      <c r="G1144" t="s">
        <v>26</v>
      </c>
      <c r="H1144">
        <v>0.1872838</v>
      </c>
      <c r="I1144">
        <v>0.37943399999999999</v>
      </c>
      <c r="J1144">
        <v>2.1552709999999999E-2</v>
      </c>
      <c r="K1144">
        <v>1.444643E-2</v>
      </c>
      <c r="L1144">
        <v>9.6840699999999995E-3</v>
      </c>
      <c r="M1144">
        <v>2.3767409999999999E-2</v>
      </c>
      <c r="N1144">
        <v>4.1472500000000002E-2</v>
      </c>
    </row>
    <row r="1145" spans="1:14" hidden="1" x14ac:dyDescent="0.35">
      <c r="A1145" t="s">
        <v>672</v>
      </c>
      <c r="B1145" t="s">
        <v>73</v>
      </c>
      <c r="C1145" t="s">
        <v>71</v>
      </c>
      <c r="D1145" t="s">
        <v>141</v>
      </c>
      <c r="E1145" t="s">
        <v>584</v>
      </c>
      <c r="F1145" t="s">
        <v>581</v>
      </c>
      <c r="G1145" t="s">
        <v>396</v>
      </c>
      <c r="H1145">
        <v>0</v>
      </c>
      <c r="I1145">
        <v>1.698534</v>
      </c>
      <c r="J1145">
        <v>4.5605339999999996</v>
      </c>
      <c r="K1145">
        <v>3.0409510000000002</v>
      </c>
      <c r="L1145">
        <v>1.907967</v>
      </c>
      <c r="M1145">
        <v>1.2712490000000001</v>
      </c>
      <c r="N1145">
        <v>0.88114360000000003</v>
      </c>
    </row>
    <row r="1146" spans="1:14" hidden="1" x14ac:dyDescent="0.35">
      <c r="A1146" t="s">
        <v>672</v>
      </c>
      <c r="B1146" t="s">
        <v>73</v>
      </c>
      <c r="C1146" t="s">
        <v>71</v>
      </c>
      <c r="D1146" t="s">
        <v>141</v>
      </c>
      <c r="E1146" t="s">
        <v>584</v>
      </c>
      <c r="F1146" t="s">
        <v>26</v>
      </c>
      <c r="G1146" t="s">
        <v>26</v>
      </c>
      <c r="H1146">
        <v>0</v>
      </c>
      <c r="I1146">
        <v>0.1077967</v>
      </c>
      <c r="J1146">
        <v>0.45987410000000001</v>
      </c>
      <c r="K1146">
        <v>0.31864779999999998</v>
      </c>
      <c r="L1146">
        <v>0.19845479999999999</v>
      </c>
      <c r="M1146">
        <v>0.1314727</v>
      </c>
      <c r="N1146">
        <v>9.0713290000000002E-2</v>
      </c>
    </row>
    <row r="1147" spans="1:14" hidden="1" x14ac:dyDescent="0.35">
      <c r="A1147" t="s">
        <v>672</v>
      </c>
      <c r="B1147" t="s">
        <v>73</v>
      </c>
      <c r="C1147" t="s">
        <v>71</v>
      </c>
      <c r="D1147" t="s">
        <v>75</v>
      </c>
      <c r="E1147" t="s">
        <v>584</v>
      </c>
      <c r="F1147" t="s">
        <v>581</v>
      </c>
      <c r="G1147" t="s">
        <v>396</v>
      </c>
      <c r="H1147">
        <v>1.8347949999999998E-2</v>
      </c>
      <c r="I1147">
        <v>1.6438359999999999E-2</v>
      </c>
      <c r="J1147">
        <v>1.322219E-2</v>
      </c>
      <c r="K1147">
        <v>0</v>
      </c>
    </row>
    <row r="1148" spans="1:14" hidden="1" x14ac:dyDescent="0.35">
      <c r="A1148" t="s">
        <v>672</v>
      </c>
      <c r="B1148" t="s">
        <v>73</v>
      </c>
      <c r="C1148" t="s">
        <v>71</v>
      </c>
      <c r="D1148" t="s">
        <v>72</v>
      </c>
      <c r="E1148" t="s">
        <v>584</v>
      </c>
      <c r="F1148" t="s">
        <v>581</v>
      </c>
      <c r="G1148" t="s">
        <v>396</v>
      </c>
      <c r="M1148">
        <v>0</v>
      </c>
      <c r="N1148">
        <v>9.2607130000000003E-3</v>
      </c>
    </row>
    <row r="1149" spans="1:14" hidden="1" x14ac:dyDescent="0.35">
      <c r="A1149" t="s">
        <v>672</v>
      </c>
      <c r="B1149" t="s">
        <v>73</v>
      </c>
      <c r="C1149" t="s">
        <v>71</v>
      </c>
      <c r="D1149" t="s">
        <v>72</v>
      </c>
      <c r="E1149" t="s">
        <v>584</v>
      </c>
      <c r="F1149" t="s">
        <v>581</v>
      </c>
      <c r="G1149" t="s">
        <v>24</v>
      </c>
      <c r="M1149">
        <v>0</v>
      </c>
      <c r="N1149">
        <v>5.9616439999999997E-5</v>
      </c>
    </row>
    <row r="1150" spans="1:14" hidden="1" x14ac:dyDescent="0.35">
      <c r="A1150" t="s">
        <v>672</v>
      </c>
      <c r="B1150" t="s">
        <v>73</v>
      </c>
      <c r="C1150" t="s">
        <v>71</v>
      </c>
      <c r="D1150" t="s">
        <v>72</v>
      </c>
      <c r="E1150" t="s">
        <v>584</v>
      </c>
      <c r="F1150" t="s">
        <v>581</v>
      </c>
      <c r="G1150" t="s">
        <v>25</v>
      </c>
      <c r="M1150">
        <v>0</v>
      </c>
      <c r="N1150">
        <v>2.1041089999999999E-4</v>
      </c>
    </row>
    <row r="1151" spans="1:14" hidden="1" x14ac:dyDescent="0.35">
      <c r="A1151" t="s">
        <v>672</v>
      </c>
      <c r="B1151" t="s">
        <v>73</v>
      </c>
      <c r="C1151" t="s">
        <v>71</v>
      </c>
      <c r="D1151" t="s">
        <v>72</v>
      </c>
      <c r="E1151" t="s">
        <v>584</v>
      </c>
      <c r="F1151" t="s">
        <v>26</v>
      </c>
      <c r="G1151" t="s">
        <v>26</v>
      </c>
      <c r="M1151">
        <v>0</v>
      </c>
      <c r="N1151">
        <v>5.067397E-4</v>
      </c>
    </row>
    <row r="1152" spans="1:14" hidden="1" x14ac:dyDescent="0.35">
      <c r="A1152" t="s">
        <v>672</v>
      </c>
      <c r="B1152" t="s">
        <v>73</v>
      </c>
      <c r="C1152" t="s">
        <v>97</v>
      </c>
      <c r="D1152" t="s">
        <v>98</v>
      </c>
      <c r="E1152" t="s">
        <v>584</v>
      </c>
      <c r="F1152" t="s">
        <v>581</v>
      </c>
      <c r="G1152" t="s">
        <v>396</v>
      </c>
      <c r="H1152">
        <v>7.4268660000000004</v>
      </c>
      <c r="I1152">
        <v>50.886479999999999</v>
      </c>
      <c r="J1152">
        <v>54.193660000000001</v>
      </c>
      <c r="K1152">
        <v>53.141170000000002</v>
      </c>
      <c r="L1152">
        <v>75.681749999999994</v>
      </c>
      <c r="M1152">
        <v>75.785910000000001</v>
      </c>
      <c r="N1152">
        <v>75.784099999999995</v>
      </c>
    </row>
    <row r="1153" spans="1:14" hidden="1" x14ac:dyDescent="0.35">
      <c r="A1153" t="s">
        <v>672</v>
      </c>
      <c r="B1153" t="s">
        <v>73</v>
      </c>
      <c r="C1153" t="s">
        <v>97</v>
      </c>
      <c r="D1153" t="s">
        <v>98</v>
      </c>
      <c r="E1153" t="s">
        <v>584</v>
      </c>
      <c r="F1153" t="s">
        <v>581</v>
      </c>
      <c r="G1153" t="s">
        <v>25</v>
      </c>
      <c r="H1153">
        <v>0.27167669999999999</v>
      </c>
      <c r="I1153">
        <v>1.861442</v>
      </c>
      <c r="J1153">
        <v>1.9824200000000001</v>
      </c>
      <c r="K1153">
        <v>1.9415370000000001</v>
      </c>
      <c r="L1153">
        <v>2.4804650000000001</v>
      </c>
      <c r="M1153">
        <v>2.6011329999999999</v>
      </c>
      <c r="N1153">
        <v>2.5134259999999999</v>
      </c>
    </row>
    <row r="1154" spans="1:14" hidden="1" x14ac:dyDescent="0.35">
      <c r="A1154" t="s">
        <v>672</v>
      </c>
      <c r="B1154" t="s">
        <v>73</v>
      </c>
      <c r="C1154" t="s">
        <v>97</v>
      </c>
      <c r="D1154" t="s">
        <v>98</v>
      </c>
      <c r="E1154" t="s">
        <v>584</v>
      </c>
      <c r="F1154" t="s">
        <v>26</v>
      </c>
      <c r="G1154" t="s">
        <v>26</v>
      </c>
      <c r="H1154">
        <v>0.26743869999999997</v>
      </c>
      <c r="I1154">
        <v>1.8324039999999999</v>
      </c>
      <c r="J1154">
        <v>1.9514940000000001</v>
      </c>
      <c r="K1154">
        <v>1.907195</v>
      </c>
      <c r="L1154">
        <v>1.941479</v>
      </c>
      <c r="M1154">
        <v>2.0001690000000001</v>
      </c>
      <c r="N1154">
        <v>2.0232999999999999</v>
      </c>
    </row>
    <row r="1155" spans="1:14" hidden="1" x14ac:dyDescent="0.35">
      <c r="A1155" t="s">
        <v>672</v>
      </c>
      <c r="B1155" t="s">
        <v>73</v>
      </c>
      <c r="C1155" t="s">
        <v>80</v>
      </c>
      <c r="D1155" t="s">
        <v>152</v>
      </c>
      <c r="E1155" t="s">
        <v>584</v>
      </c>
      <c r="F1155" t="s">
        <v>581</v>
      </c>
      <c r="G1155" t="s">
        <v>396</v>
      </c>
      <c r="H1155">
        <v>5.2743070000000003</v>
      </c>
      <c r="I1155">
        <v>4.787077</v>
      </c>
      <c r="J1155">
        <v>4.8970149999999997</v>
      </c>
      <c r="K1155">
        <v>5.0385260000000001</v>
      </c>
      <c r="L1155">
        <v>5.5128570000000003</v>
      </c>
      <c r="M1155">
        <v>5.5251890000000001</v>
      </c>
      <c r="N1155">
        <v>4.5918749999999999</v>
      </c>
    </row>
    <row r="1156" spans="1:14" hidden="1" x14ac:dyDescent="0.35">
      <c r="A1156" t="s">
        <v>672</v>
      </c>
      <c r="B1156" t="s">
        <v>73</v>
      </c>
      <c r="C1156" t="s">
        <v>80</v>
      </c>
      <c r="D1156" t="s">
        <v>152</v>
      </c>
      <c r="E1156" t="s">
        <v>584</v>
      </c>
      <c r="F1156" t="s">
        <v>581</v>
      </c>
      <c r="G1156" t="s">
        <v>25</v>
      </c>
      <c r="H1156">
        <v>3.0226449999999998</v>
      </c>
      <c r="I1156">
        <v>3.4692959999999999</v>
      </c>
      <c r="J1156">
        <v>5.1661239999999999</v>
      </c>
      <c r="K1156">
        <v>5.0970490000000002</v>
      </c>
      <c r="L1156">
        <v>5.7892659999999996</v>
      </c>
      <c r="M1156">
        <v>4.3784929999999997</v>
      </c>
      <c r="N1156">
        <v>3.4230139999999998</v>
      </c>
    </row>
    <row r="1157" spans="1:14" hidden="1" x14ac:dyDescent="0.35">
      <c r="A1157" t="s">
        <v>672</v>
      </c>
      <c r="B1157" t="s">
        <v>73</v>
      </c>
      <c r="C1157" t="s">
        <v>80</v>
      </c>
      <c r="D1157" t="s">
        <v>152</v>
      </c>
      <c r="E1157" t="s">
        <v>584</v>
      </c>
      <c r="F1157" t="s">
        <v>26</v>
      </c>
      <c r="G1157" t="s">
        <v>26</v>
      </c>
      <c r="H1157">
        <v>13.84535</v>
      </c>
      <c r="I1157">
        <v>14.797599999999999</v>
      </c>
      <c r="J1157">
        <v>22.49755</v>
      </c>
      <c r="K1157">
        <v>21.586939999999998</v>
      </c>
      <c r="L1157">
        <v>25.722159999999999</v>
      </c>
      <c r="M1157">
        <v>22.901009999999999</v>
      </c>
      <c r="N1157">
        <v>17.78266</v>
      </c>
    </row>
    <row r="1158" spans="1:14" hidden="1" x14ac:dyDescent="0.35">
      <c r="A1158" t="s">
        <v>672</v>
      </c>
      <c r="B1158" t="s">
        <v>73</v>
      </c>
      <c r="C1158" t="s">
        <v>80</v>
      </c>
      <c r="D1158" t="s">
        <v>347</v>
      </c>
      <c r="E1158" t="s">
        <v>584</v>
      </c>
      <c r="F1158" t="s">
        <v>581</v>
      </c>
      <c r="G1158" t="s">
        <v>396</v>
      </c>
      <c r="M1158">
        <v>0</v>
      </c>
      <c r="N1158">
        <v>0.34561330000000001</v>
      </c>
    </row>
    <row r="1159" spans="1:14" hidden="1" x14ac:dyDescent="0.35">
      <c r="A1159" t="s">
        <v>672</v>
      </c>
      <c r="B1159" t="s">
        <v>73</v>
      </c>
      <c r="C1159" t="s">
        <v>80</v>
      </c>
      <c r="D1159" t="s">
        <v>347</v>
      </c>
      <c r="E1159" t="s">
        <v>584</v>
      </c>
      <c r="F1159" t="s">
        <v>581</v>
      </c>
      <c r="G1159" t="s">
        <v>24</v>
      </c>
      <c r="N1159">
        <v>0</v>
      </c>
    </row>
    <row r="1160" spans="1:14" hidden="1" x14ac:dyDescent="0.35">
      <c r="A1160" t="s">
        <v>672</v>
      </c>
      <c r="B1160" t="s">
        <v>73</v>
      </c>
      <c r="C1160" t="s">
        <v>80</v>
      </c>
      <c r="D1160" t="s">
        <v>347</v>
      </c>
      <c r="E1160" t="s">
        <v>584</v>
      </c>
      <c r="F1160" t="s">
        <v>581</v>
      </c>
      <c r="G1160" t="s">
        <v>25</v>
      </c>
      <c r="M1160">
        <v>0</v>
      </c>
      <c r="N1160">
        <v>0.25329049999999997</v>
      </c>
    </row>
    <row r="1161" spans="1:14" hidden="1" x14ac:dyDescent="0.35">
      <c r="A1161" t="s">
        <v>672</v>
      </c>
      <c r="B1161" t="s">
        <v>73</v>
      </c>
      <c r="C1161" t="s">
        <v>80</v>
      </c>
      <c r="D1161" t="s">
        <v>347</v>
      </c>
      <c r="E1161" t="s">
        <v>584</v>
      </c>
      <c r="F1161" t="s">
        <v>26</v>
      </c>
      <c r="G1161" t="s">
        <v>26</v>
      </c>
      <c r="M1161">
        <v>0</v>
      </c>
      <c r="N1161">
        <v>1.198027</v>
      </c>
    </row>
    <row r="1162" spans="1:14" hidden="1" x14ac:dyDescent="0.35">
      <c r="A1162" t="s">
        <v>672</v>
      </c>
      <c r="B1162" t="s">
        <v>73</v>
      </c>
      <c r="C1162" t="s">
        <v>155</v>
      </c>
      <c r="D1162" t="s">
        <v>155</v>
      </c>
      <c r="E1162" t="s">
        <v>584</v>
      </c>
      <c r="F1162" t="s">
        <v>581</v>
      </c>
      <c r="G1162" t="s">
        <v>396</v>
      </c>
      <c r="H1162">
        <v>1.69326</v>
      </c>
      <c r="I1162">
        <v>4.4917579999999999</v>
      </c>
      <c r="J1162">
        <v>3.0231699999999999</v>
      </c>
      <c r="K1162">
        <v>1.4583569999999999</v>
      </c>
      <c r="L1162">
        <v>1.0414650000000001</v>
      </c>
      <c r="M1162">
        <v>0.71477970000000002</v>
      </c>
      <c r="N1162">
        <v>0.47460409999999997</v>
      </c>
    </row>
    <row r="1163" spans="1:14" hidden="1" x14ac:dyDescent="0.35">
      <c r="A1163" t="s">
        <v>672</v>
      </c>
      <c r="B1163" t="s">
        <v>73</v>
      </c>
      <c r="C1163" t="s">
        <v>155</v>
      </c>
      <c r="D1163" t="s">
        <v>155</v>
      </c>
      <c r="E1163" t="s">
        <v>584</v>
      </c>
      <c r="F1163" t="s">
        <v>581</v>
      </c>
      <c r="G1163" t="s">
        <v>25</v>
      </c>
      <c r="H1163">
        <v>3.627698E-2</v>
      </c>
      <c r="I1163">
        <v>0.1163573</v>
      </c>
      <c r="J1163">
        <v>0</v>
      </c>
    </row>
    <row r="1164" spans="1:14" hidden="1" x14ac:dyDescent="0.35">
      <c r="A1164" t="s">
        <v>672</v>
      </c>
      <c r="B1164" t="s">
        <v>73</v>
      </c>
      <c r="C1164" t="s">
        <v>155</v>
      </c>
      <c r="D1164" t="s">
        <v>155</v>
      </c>
      <c r="E1164" t="s">
        <v>584</v>
      </c>
      <c r="F1164" t="s">
        <v>26</v>
      </c>
      <c r="G1164" t="s">
        <v>26</v>
      </c>
      <c r="I1164">
        <v>0</v>
      </c>
      <c r="J1164">
        <v>0.1304486</v>
      </c>
      <c r="K1164">
        <v>6.2927269999999993E-2</v>
      </c>
      <c r="L1164">
        <v>4.4938770000000003E-2</v>
      </c>
      <c r="M1164">
        <v>3.084247E-2</v>
      </c>
      <c r="N1164">
        <v>2.0478900000000001E-2</v>
      </c>
    </row>
    <row r="1165" spans="1:14" hidden="1" x14ac:dyDescent="0.35">
      <c r="A1165" t="s">
        <v>673</v>
      </c>
      <c r="B1165" t="s">
        <v>37</v>
      </c>
      <c r="C1165" t="s">
        <v>46</v>
      </c>
      <c r="D1165" t="s">
        <v>46</v>
      </c>
      <c r="E1165" t="s">
        <v>641</v>
      </c>
      <c r="F1165" t="s">
        <v>26</v>
      </c>
      <c r="G1165" t="s">
        <v>26</v>
      </c>
      <c r="H1165">
        <v>182.0147</v>
      </c>
      <c r="I1165">
        <v>203.5805</v>
      </c>
      <c r="J1165">
        <v>198.00020000000001</v>
      </c>
      <c r="K1165">
        <v>186.6748</v>
      </c>
      <c r="L1165">
        <v>185.77590000000001</v>
      </c>
      <c r="M1165">
        <v>194.4924</v>
      </c>
      <c r="N1165">
        <v>206.72800000000001</v>
      </c>
    </row>
    <row r="1166" spans="1:14" hidden="1" x14ac:dyDescent="0.35">
      <c r="A1166" t="s">
        <v>673</v>
      </c>
      <c r="B1166" t="s">
        <v>37</v>
      </c>
      <c r="C1166" t="s">
        <v>46</v>
      </c>
      <c r="D1166" t="s">
        <v>46</v>
      </c>
      <c r="E1166" t="s">
        <v>584</v>
      </c>
      <c r="F1166" t="s">
        <v>581</v>
      </c>
      <c r="G1166" t="s">
        <v>396</v>
      </c>
      <c r="H1166">
        <v>0.24183009999999999</v>
      </c>
      <c r="I1166">
        <v>0.22453699999999999</v>
      </c>
      <c r="J1166">
        <v>0.20010739999999999</v>
      </c>
      <c r="K1166">
        <v>0.1783786</v>
      </c>
      <c r="L1166">
        <v>0.15968879999999999</v>
      </c>
      <c r="M1166">
        <v>0.1437293</v>
      </c>
      <c r="N1166">
        <v>0.1288164</v>
      </c>
    </row>
    <row r="1167" spans="1:14" hidden="1" x14ac:dyDescent="0.35">
      <c r="A1167" t="s">
        <v>673</v>
      </c>
      <c r="B1167" t="s">
        <v>37</v>
      </c>
      <c r="C1167" t="s">
        <v>46</v>
      </c>
      <c r="D1167" t="s">
        <v>46</v>
      </c>
      <c r="E1167" t="s">
        <v>584</v>
      </c>
      <c r="F1167" t="s">
        <v>581</v>
      </c>
      <c r="G1167" t="s">
        <v>25</v>
      </c>
      <c r="H1167">
        <v>0.47091230000000001</v>
      </c>
      <c r="I1167">
        <v>0.4427644</v>
      </c>
      <c r="J1167">
        <v>0.39347890000000002</v>
      </c>
      <c r="K1167">
        <v>0.34925699999999998</v>
      </c>
      <c r="L1167">
        <v>0.31191999999999998</v>
      </c>
      <c r="M1167">
        <v>0.28041700000000003</v>
      </c>
      <c r="N1167">
        <v>0.25118629999999997</v>
      </c>
    </row>
    <row r="1168" spans="1:14" hidden="1" x14ac:dyDescent="0.35">
      <c r="A1168" t="s">
        <v>673</v>
      </c>
      <c r="B1168" t="s">
        <v>37</v>
      </c>
      <c r="C1168" t="s">
        <v>46</v>
      </c>
      <c r="D1168" t="s">
        <v>46</v>
      </c>
      <c r="E1168" t="s">
        <v>584</v>
      </c>
      <c r="F1168" t="s">
        <v>26</v>
      </c>
      <c r="G1168" t="s">
        <v>26</v>
      </c>
      <c r="H1168">
        <v>18.587759999999999</v>
      </c>
      <c r="I1168">
        <v>14.83372</v>
      </c>
      <c r="J1168">
        <v>13.21974</v>
      </c>
      <c r="K1168">
        <v>12.48738</v>
      </c>
      <c r="L1168">
        <v>11.1616</v>
      </c>
      <c r="M1168">
        <v>9.8928349999999998</v>
      </c>
      <c r="N1168">
        <v>9.4767150000000004</v>
      </c>
    </row>
    <row r="1169" spans="1:14" hidden="1" x14ac:dyDescent="0.35">
      <c r="A1169" t="s">
        <v>673</v>
      </c>
      <c r="B1169" t="s">
        <v>37</v>
      </c>
      <c r="C1169" t="s">
        <v>51</v>
      </c>
      <c r="D1169" t="s">
        <v>51</v>
      </c>
      <c r="E1169" t="s">
        <v>602</v>
      </c>
      <c r="F1169" t="s">
        <v>581</v>
      </c>
      <c r="G1169" t="s">
        <v>396</v>
      </c>
      <c r="H1169">
        <v>6.7539730000000002</v>
      </c>
      <c r="I1169">
        <v>7.1785249999999996</v>
      </c>
      <c r="J1169">
        <v>6.6167959999999999</v>
      </c>
      <c r="K1169">
        <v>5.6967460000000001</v>
      </c>
      <c r="L1169">
        <v>5.1129680000000004</v>
      </c>
      <c r="M1169">
        <v>4.5050619999999997</v>
      </c>
      <c r="N1169">
        <v>4.1818960000000001</v>
      </c>
    </row>
    <row r="1170" spans="1:14" hidden="1" x14ac:dyDescent="0.35">
      <c r="A1170" t="s">
        <v>673</v>
      </c>
      <c r="B1170" t="s">
        <v>37</v>
      </c>
      <c r="C1170" t="s">
        <v>51</v>
      </c>
      <c r="D1170" t="s">
        <v>51</v>
      </c>
      <c r="E1170" t="s">
        <v>602</v>
      </c>
      <c r="F1170" t="s">
        <v>581</v>
      </c>
      <c r="G1170" t="s">
        <v>25</v>
      </c>
      <c r="H1170">
        <v>1.972699</v>
      </c>
      <c r="I1170">
        <v>1.4584760000000001</v>
      </c>
      <c r="J1170">
        <v>1.3482829999999999</v>
      </c>
      <c r="K1170">
        <v>1.1608050000000001</v>
      </c>
      <c r="L1170">
        <v>1.0418559999999999</v>
      </c>
      <c r="M1170">
        <v>0.91798630000000003</v>
      </c>
      <c r="N1170">
        <v>0.85213260000000002</v>
      </c>
    </row>
    <row r="1171" spans="1:14" hidden="1" x14ac:dyDescent="0.35">
      <c r="A1171" t="s">
        <v>673</v>
      </c>
      <c r="B1171" t="s">
        <v>37</v>
      </c>
      <c r="C1171" t="s">
        <v>51</v>
      </c>
      <c r="D1171" t="s">
        <v>51</v>
      </c>
      <c r="E1171" t="s">
        <v>602</v>
      </c>
      <c r="F1171" t="s">
        <v>26</v>
      </c>
      <c r="G1171" t="s">
        <v>26</v>
      </c>
      <c r="H1171">
        <v>1.972699</v>
      </c>
      <c r="I1171">
        <v>1.3543000000000001</v>
      </c>
      <c r="J1171">
        <v>1.2519800000000001</v>
      </c>
      <c r="K1171">
        <v>1.077893</v>
      </c>
      <c r="L1171">
        <v>0.96743829999999997</v>
      </c>
      <c r="M1171">
        <v>0.85241140000000004</v>
      </c>
      <c r="N1171">
        <v>0.7912669</v>
      </c>
    </row>
    <row r="1172" spans="1:14" hidden="1" x14ac:dyDescent="0.35">
      <c r="A1172" t="s">
        <v>673</v>
      </c>
      <c r="B1172" t="s">
        <v>37</v>
      </c>
      <c r="C1172" t="s">
        <v>79</v>
      </c>
      <c r="D1172" t="s">
        <v>79</v>
      </c>
      <c r="E1172" t="s">
        <v>615</v>
      </c>
      <c r="F1172" t="s">
        <v>581</v>
      </c>
      <c r="G1172" t="s">
        <v>396</v>
      </c>
      <c r="H1172">
        <v>0.14447670000000001</v>
      </c>
      <c r="I1172">
        <v>0.16104660000000001</v>
      </c>
      <c r="J1172">
        <v>0.11725149999999999</v>
      </c>
      <c r="K1172">
        <v>0.1185967</v>
      </c>
      <c r="L1172">
        <v>0.13958190000000001</v>
      </c>
      <c r="M1172">
        <v>9.3033969999999994E-2</v>
      </c>
      <c r="N1172">
        <v>6.7355070000000003E-2</v>
      </c>
    </row>
    <row r="1173" spans="1:14" hidden="1" x14ac:dyDescent="0.35">
      <c r="A1173" t="s">
        <v>673</v>
      </c>
      <c r="B1173" t="s">
        <v>37</v>
      </c>
      <c r="C1173" t="s">
        <v>79</v>
      </c>
      <c r="D1173" t="s">
        <v>79</v>
      </c>
      <c r="E1173" t="s">
        <v>615</v>
      </c>
      <c r="F1173" t="s">
        <v>581</v>
      </c>
      <c r="G1173" t="s">
        <v>25</v>
      </c>
      <c r="H1173">
        <v>8.3013700000000006E-3</v>
      </c>
      <c r="I1173">
        <v>9.2575350000000008E-3</v>
      </c>
      <c r="J1173">
        <v>6.7342460000000002E-3</v>
      </c>
      <c r="K1173">
        <v>6.8136990000000003E-3</v>
      </c>
      <c r="L1173">
        <v>8.0213709999999994E-3</v>
      </c>
      <c r="M1173">
        <v>5.3468489999999999E-3</v>
      </c>
      <c r="N1173">
        <v>3.8745199999999998E-3</v>
      </c>
    </row>
    <row r="1174" spans="1:14" hidden="1" x14ac:dyDescent="0.35">
      <c r="A1174" t="s">
        <v>673</v>
      </c>
      <c r="B1174" t="s">
        <v>37</v>
      </c>
      <c r="C1174" t="s">
        <v>79</v>
      </c>
      <c r="D1174" t="s">
        <v>79</v>
      </c>
      <c r="E1174" t="s">
        <v>615</v>
      </c>
      <c r="F1174" t="s">
        <v>26</v>
      </c>
      <c r="G1174" t="s">
        <v>26</v>
      </c>
      <c r="H1174">
        <v>1.328493E-2</v>
      </c>
      <c r="I1174">
        <v>1.480822E-2</v>
      </c>
      <c r="J1174">
        <v>1.078082E-2</v>
      </c>
      <c r="K1174">
        <v>1.090466E-2</v>
      </c>
      <c r="L1174">
        <v>1.283342E-2</v>
      </c>
      <c r="M1174">
        <v>8.5545210000000007E-3</v>
      </c>
      <c r="N1174">
        <v>6.1939719999999998E-3</v>
      </c>
    </row>
    <row r="1175" spans="1:14" hidden="1" x14ac:dyDescent="0.35">
      <c r="A1175" t="s">
        <v>673</v>
      </c>
      <c r="B1175" t="s">
        <v>37</v>
      </c>
      <c r="C1175" t="s">
        <v>110</v>
      </c>
      <c r="D1175" t="s">
        <v>110</v>
      </c>
      <c r="E1175" t="s">
        <v>584</v>
      </c>
      <c r="F1175" t="s">
        <v>26</v>
      </c>
      <c r="G1175" t="s">
        <v>26</v>
      </c>
      <c r="H1175">
        <v>0.17812049999999999</v>
      </c>
      <c r="I1175">
        <v>0.1513041</v>
      </c>
      <c r="J1175">
        <v>0.128526</v>
      </c>
      <c r="K1175">
        <v>0.1091781</v>
      </c>
      <c r="L1175">
        <v>9.2739719999999998E-2</v>
      </c>
      <c r="M1175">
        <v>7.877808E-2</v>
      </c>
      <c r="N1175">
        <v>6.6920549999999995E-2</v>
      </c>
    </row>
    <row r="1176" spans="1:14" hidden="1" x14ac:dyDescent="0.35">
      <c r="A1176" t="s">
        <v>674</v>
      </c>
      <c r="B1176" t="s">
        <v>34</v>
      </c>
      <c r="C1176" t="s">
        <v>33</v>
      </c>
      <c r="D1176" t="s">
        <v>33</v>
      </c>
      <c r="E1176" t="s">
        <v>675</v>
      </c>
      <c r="F1176" t="s">
        <v>581</v>
      </c>
      <c r="G1176" t="s">
        <v>396</v>
      </c>
      <c r="H1176">
        <v>2.4065859999999999</v>
      </c>
      <c r="I1176">
        <v>2.3206259999999999</v>
      </c>
      <c r="J1176">
        <v>2.087126</v>
      </c>
      <c r="K1176">
        <v>1.7572920000000001</v>
      </c>
      <c r="L1176">
        <v>1.429527</v>
      </c>
      <c r="M1176">
        <v>1.2209939999999999</v>
      </c>
      <c r="N1176">
        <v>1.06772</v>
      </c>
    </row>
    <row r="1177" spans="1:14" hidden="1" x14ac:dyDescent="0.35">
      <c r="A1177" t="s">
        <v>674</v>
      </c>
      <c r="B1177" t="s">
        <v>34</v>
      </c>
      <c r="C1177" t="s">
        <v>33</v>
      </c>
      <c r="D1177" t="s">
        <v>33</v>
      </c>
      <c r="E1177" t="s">
        <v>675</v>
      </c>
      <c r="F1177" t="s">
        <v>581</v>
      </c>
      <c r="G1177" t="s">
        <v>24</v>
      </c>
      <c r="H1177">
        <v>0.24573429999999999</v>
      </c>
      <c r="I1177">
        <v>0.25395509999999999</v>
      </c>
      <c r="J1177">
        <v>0.24275840000000001</v>
      </c>
      <c r="K1177">
        <v>0.184394</v>
      </c>
      <c r="L1177">
        <v>0.14644219999999999</v>
      </c>
      <c r="M1177">
        <v>0.1235107</v>
      </c>
      <c r="N1177">
        <v>0.1071616</v>
      </c>
    </row>
    <row r="1178" spans="1:14" hidden="1" x14ac:dyDescent="0.35">
      <c r="A1178" t="s">
        <v>674</v>
      </c>
      <c r="B1178" t="s">
        <v>34</v>
      </c>
      <c r="C1178" t="s">
        <v>33</v>
      </c>
      <c r="D1178" t="s">
        <v>33</v>
      </c>
      <c r="E1178" t="s">
        <v>675</v>
      </c>
      <c r="F1178" t="s">
        <v>581</v>
      </c>
      <c r="G1178" t="s">
        <v>25</v>
      </c>
      <c r="H1178">
        <v>20.189399999999999</v>
      </c>
      <c r="I1178">
        <v>19.58323</v>
      </c>
      <c r="J1178">
        <v>18.022729999999999</v>
      </c>
      <c r="K1178">
        <v>15.243220000000001</v>
      </c>
      <c r="L1178">
        <v>12.2392</v>
      </c>
      <c r="M1178">
        <v>10.47378</v>
      </c>
      <c r="N1178">
        <v>9.1642569999999992</v>
      </c>
    </row>
    <row r="1179" spans="1:14" hidden="1" x14ac:dyDescent="0.35">
      <c r="A1179" t="s">
        <v>674</v>
      </c>
      <c r="B1179" t="s">
        <v>34</v>
      </c>
      <c r="C1179" t="s">
        <v>33</v>
      </c>
      <c r="D1179" t="s">
        <v>33</v>
      </c>
      <c r="E1179" t="s">
        <v>675</v>
      </c>
      <c r="F1179" t="s">
        <v>26</v>
      </c>
      <c r="G1179" t="s">
        <v>26</v>
      </c>
      <c r="H1179">
        <v>133.59950000000001</v>
      </c>
      <c r="I1179">
        <v>126.86579999999999</v>
      </c>
      <c r="J1179">
        <v>116.50620000000001</v>
      </c>
      <c r="K1179">
        <v>98.404589999999999</v>
      </c>
      <c r="L1179">
        <v>79.111369999999994</v>
      </c>
      <c r="M1179">
        <v>67.678889999999996</v>
      </c>
      <c r="N1179">
        <v>59.209629999999997</v>
      </c>
    </row>
    <row r="1180" spans="1:14" hidden="1" x14ac:dyDescent="0.35">
      <c r="A1180" t="s">
        <v>674</v>
      </c>
      <c r="B1180" t="s">
        <v>34</v>
      </c>
      <c r="C1180" t="s">
        <v>33</v>
      </c>
      <c r="D1180" t="s">
        <v>33</v>
      </c>
      <c r="E1180" t="s">
        <v>605</v>
      </c>
      <c r="F1180" t="s">
        <v>581</v>
      </c>
      <c r="G1180" t="s">
        <v>396</v>
      </c>
      <c r="H1180">
        <v>6.9441089999999997E-2</v>
      </c>
      <c r="I1180">
        <v>6.3922740000000006E-2</v>
      </c>
      <c r="J1180">
        <v>5.7223570000000001E-2</v>
      </c>
      <c r="K1180">
        <v>5.1500820000000003E-2</v>
      </c>
      <c r="L1180">
        <v>4.6350130000000003E-2</v>
      </c>
      <c r="M1180">
        <v>4.1821369999999997E-2</v>
      </c>
      <c r="N1180">
        <v>3.7530960000000002E-2</v>
      </c>
    </row>
    <row r="1181" spans="1:14" hidden="1" x14ac:dyDescent="0.35">
      <c r="A1181" t="s">
        <v>674</v>
      </c>
      <c r="B1181" t="s">
        <v>34</v>
      </c>
      <c r="C1181" t="s">
        <v>33</v>
      </c>
      <c r="D1181" t="s">
        <v>33</v>
      </c>
      <c r="E1181" t="s">
        <v>605</v>
      </c>
      <c r="F1181" t="s">
        <v>581</v>
      </c>
      <c r="G1181" t="s">
        <v>24</v>
      </c>
      <c r="H1181">
        <v>0.95840840000000005</v>
      </c>
      <c r="I1181">
        <v>1.0331459999999999</v>
      </c>
      <c r="J1181">
        <v>0.92755460000000001</v>
      </c>
      <c r="K1181">
        <v>0.77128229999999998</v>
      </c>
      <c r="L1181">
        <v>0.65049369999999995</v>
      </c>
      <c r="M1181">
        <v>0.56993260000000001</v>
      </c>
      <c r="N1181">
        <v>0.50765420000000006</v>
      </c>
    </row>
    <row r="1182" spans="1:14" hidden="1" x14ac:dyDescent="0.35">
      <c r="A1182" t="s">
        <v>674</v>
      </c>
      <c r="B1182" t="s">
        <v>34</v>
      </c>
      <c r="C1182" t="s">
        <v>33</v>
      </c>
      <c r="D1182" t="s">
        <v>33</v>
      </c>
      <c r="E1182" t="s">
        <v>605</v>
      </c>
      <c r="F1182" t="s">
        <v>581</v>
      </c>
      <c r="G1182" t="s">
        <v>25</v>
      </c>
      <c r="H1182">
        <v>4.4705979999999998</v>
      </c>
      <c r="I1182">
        <v>4.8169170000000001</v>
      </c>
      <c r="J1182">
        <v>4.3245719999999999</v>
      </c>
      <c r="K1182">
        <v>3.5967579999999999</v>
      </c>
      <c r="L1182">
        <v>3.0340760000000002</v>
      </c>
      <c r="M1182">
        <v>2.658547</v>
      </c>
      <c r="N1182">
        <v>2.3680910000000002</v>
      </c>
    </row>
    <row r="1183" spans="1:14" hidden="1" x14ac:dyDescent="0.35">
      <c r="A1183" t="s">
        <v>674</v>
      </c>
      <c r="B1183" t="s">
        <v>34</v>
      </c>
      <c r="C1183" t="s">
        <v>33</v>
      </c>
      <c r="D1183" t="s">
        <v>33</v>
      </c>
      <c r="E1183" t="s">
        <v>605</v>
      </c>
      <c r="F1183" t="s">
        <v>26</v>
      </c>
      <c r="G1183" t="s">
        <v>26</v>
      </c>
      <c r="H1183">
        <v>50.531010000000002</v>
      </c>
      <c r="I1183">
        <v>54.401519999999998</v>
      </c>
      <c r="J1183">
        <v>48.840600000000002</v>
      </c>
      <c r="K1183">
        <v>40.633740000000003</v>
      </c>
      <c r="L1183">
        <v>34.286479999999997</v>
      </c>
      <c r="M1183">
        <v>30.04683</v>
      </c>
      <c r="N1183">
        <v>26.765059999999998</v>
      </c>
    </row>
    <row r="1184" spans="1:14" hidden="1" x14ac:dyDescent="0.35">
      <c r="A1184" t="s">
        <v>674</v>
      </c>
      <c r="B1184" t="s">
        <v>34</v>
      </c>
      <c r="C1184" t="s">
        <v>33</v>
      </c>
      <c r="D1184" t="s">
        <v>33</v>
      </c>
      <c r="E1184" t="s">
        <v>604</v>
      </c>
      <c r="F1184" t="s">
        <v>581</v>
      </c>
      <c r="G1184" t="s">
        <v>396</v>
      </c>
      <c r="H1184">
        <v>1.4053640000000001</v>
      </c>
      <c r="I1184">
        <v>1.3322970000000001</v>
      </c>
      <c r="J1184">
        <v>0.9439381</v>
      </c>
      <c r="K1184">
        <v>0.70114200000000004</v>
      </c>
      <c r="L1184">
        <v>0.53634190000000004</v>
      </c>
      <c r="M1184">
        <v>0.42733589999999999</v>
      </c>
      <c r="N1184">
        <v>0.35656270000000001</v>
      </c>
    </row>
    <row r="1185" spans="1:14" hidden="1" x14ac:dyDescent="0.35">
      <c r="A1185" t="s">
        <v>674</v>
      </c>
      <c r="B1185" t="s">
        <v>34</v>
      </c>
      <c r="C1185" t="s">
        <v>33</v>
      </c>
      <c r="D1185" t="s">
        <v>33</v>
      </c>
      <c r="E1185" t="s">
        <v>604</v>
      </c>
      <c r="F1185" t="s">
        <v>581</v>
      </c>
      <c r="G1185" t="s">
        <v>24</v>
      </c>
      <c r="H1185">
        <v>2.7074549999999999</v>
      </c>
      <c r="I1185">
        <v>3.581569</v>
      </c>
      <c r="J1185">
        <v>3.1273590000000002</v>
      </c>
      <c r="K1185">
        <v>2.385672</v>
      </c>
      <c r="L1185">
        <v>1.9302379999999999</v>
      </c>
      <c r="M1185">
        <v>1.6328510000000001</v>
      </c>
      <c r="N1185">
        <v>1.4258470000000001</v>
      </c>
    </row>
    <row r="1186" spans="1:14" hidden="1" x14ac:dyDescent="0.35">
      <c r="A1186" t="s">
        <v>674</v>
      </c>
      <c r="B1186" t="s">
        <v>34</v>
      </c>
      <c r="C1186" t="s">
        <v>33</v>
      </c>
      <c r="D1186" t="s">
        <v>33</v>
      </c>
      <c r="E1186" t="s">
        <v>604</v>
      </c>
      <c r="F1186" t="s">
        <v>581</v>
      </c>
      <c r="G1186" t="s">
        <v>25</v>
      </c>
      <c r="H1186">
        <v>6.515142</v>
      </c>
      <c r="I1186">
        <v>8.2938290000000006</v>
      </c>
      <c r="J1186">
        <v>7.1103750000000003</v>
      </c>
      <c r="K1186">
        <v>5.4127039999999997</v>
      </c>
      <c r="L1186">
        <v>4.3608310000000001</v>
      </c>
      <c r="M1186">
        <v>3.6731509999999998</v>
      </c>
      <c r="N1186">
        <v>3.197527</v>
      </c>
    </row>
    <row r="1187" spans="1:14" hidden="1" x14ac:dyDescent="0.35">
      <c r="A1187" t="s">
        <v>674</v>
      </c>
      <c r="B1187" t="s">
        <v>34</v>
      </c>
      <c r="C1187" t="s">
        <v>33</v>
      </c>
      <c r="D1187" t="s">
        <v>33</v>
      </c>
      <c r="E1187" t="s">
        <v>604</v>
      </c>
      <c r="F1187" t="s">
        <v>26</v>
      </c>
      <c r="G1187" t="s">
        <v>26</v>
      </c>
      <c r="H1187">
        <v>26.164560000000002</v>
      </c>
      <c r="I1187">
        <v>33.226869999999998</v>
      </c>
      <c r="J1187">
        <v>28.477989999999998</v>
      </c>
      <c r="K1187">
        <v>21.677949999999999</v>
      </c>
      <c r="L1187">
        <v>17.46407</v>
      </c>
      <c r="M1187">
        <v>14.70912</v>
      </c>
      <c r="N1187">
        <v>12.803890000000001</v>
      </c>
    </row>
    <row r="1188" spans="1:14" hidden="1" x14ac:dyDescent="0.35">
      <c r="A1188" t="s">
        <v>674</v>
      </c>
      <c r="B1188" t="s">
        <v>34</v>
      </c>
      <c r="C1188" t="s">
        <v>33</v>
      </c>
      <c r="D1188" t="s">
        <v>33</v>
      </c>
      <c r="E1188" t="s">
        <v>584</v>
      </c>
      <c r="F1188" t="s">
        <v>581</v>
      </c>
      <c r="G1188" t="s">
        <v>396</v>
      </c>
      <c r="H1188">
        <v>0.80329870000000003</v>
      </c>
      <c r="I1188">
        <v>0.76994569999999996</v>
      </c>
      <c r="J1188">
        <v>0.65883610000000004</v>
      </c>
      <c r="K1188">
        <v>0.5106849</v>
      </c>
      <c r="L1188">
        <v>0.45421539999999999</v>
      </c>
      <c r="M1188">
        <v>0.42175020000000002</v>
      </c>
      <c r="N1188">
        <v>0.3935304</v>
      </c>
    </row>
    <row r="1189" spans="1:14" hidden="1" x14ac:dyDescent="0.35">
      <c r="A1189" t="s">
        <v>674</v>
      </c>
      <c r="B1189" t="s">
        <v>34</v>
      </c>
      <c r="C1189" t="s">
        <v>33</v>
      </c>
      <c r="D1189" t="s">
        <v>33</v>
      </c>
      <c r="E1189" t="s">
        <v>584</v>
      </c>
      <c r="F1189" t="s">
        <v>581</v>
      </c>
      <c r="G1189" t="s">
        <v>24</v>
      </c>
      <c r="H1189">
        <v>1.251507E-2</v>
      </c>
      <c r="I1189">
        <v>9.9643830000000003E-3</v>
      </c>
      <c r="J1189">
        <v>9.8794509999999992E-3</v>
      </c>
      <c r="K1189">
        <v>3.627945E-3</v>
      </c>
      <c r="L1189">
        <v>3.4635619999999999E-3</v>
      </c>
      <c r="M1189">
        <v>3.4263010000000001E-3</v>
      </c>
      <c r="N1189">
        <v>3.3890410000000002E-3</v>
      </c>
    </row>
    <row r="1190" spans="1:14" hidden="1" x14ac:dyDescent="0.35">
      <c r="A1190" t="s">
        <v>674</v>
      </c>
      <c r="B1190" t="s">
        <v>34</v>
      </c>
      <c r="C1190" t="s">
        <v>33</v>
      </c>
      <c r="D1190" t="s">
        <v>33</v>
      </c>
      <c r="E1190" t="s">
        <v>584</v>
      </c>
      <c r="F1190" t="s">
        <v>581</v>
      </c>
      <c r="G1190" t="s">
        <v>25</v>
      </c>
      <c r="H1190">
        <v>1.0703560000000001</v>
      </c>
      <c r="I1190">
        <v>0.79314790000000002</v>
      </c>
      <c r="J1190">
        <v>0.60598909999999995</v>
      </c>
      <c r="K1190">
        <v>0.3152488</v>
      </c>
      <c r="L1190">
        <v>0.19949420000000001</v>
      </c>
      <c r="M1190">
        <v>0.17557590000000001</v>
      </c>
      <c r="N1190">
        <v>0.15664110000000001</v>
      </c>
    </row>
    <row r="1191" spans="1:14" hidden="1" x14ac:dyDescent="0.35">
      <c r="A1191" t="s">
        <v>674</v>
      </c>
      <c r="B1191" t="s">
        <v>34</v>
      </c>
      <c r="C1191" t="s">
        <v>33</v>
      </c>
      <c r="D1191" t="s">
        <v>33</v>
      </c>
      <c r="E1191" t="s">
        <v>584</v>
      </c>
      <c r="F1191" t="s">
        <v>26</v>
      </c>
      <c r="G1191" t="s">
        <v>26</v>
      </c>
      <c r="H1191">
        <v>10.518409999999999</v>
      </c>
      <c r="I1191">
        <v>8.9002599999999994</v>
      </c>
      <c r="J1191">
        <v>7.9364790000000003</v>
      </c>
      <c r="K1191">
        <v>5.693695</v>
      </c>
      <c r="L1191">
        <v>5.3378519999999998</v>
      </c>
      <c r="M1191">
        <v>5.0209669999999997</v>
      </c>
      <c r="N1191">
        <v>4.7437639999999996</v>
      </c>
    </row>
    <row r="1192" spans="1:14" hidden="1" x14ac:dyDescent="0.35">
      <c r="A1192" t="s">
        <v>674</v>
      </c>
      <c r="B1192" t="s">
        <v>34</v>
      </c>
      <c r="C1192" t="s">
        <v>33</v>
      </c>
      <c r="D1192" t="s">
        <v>33</v>
      </c>
      <c r="E1192" t="s">
        <v>676</v>
      </c>
      <c r="F1192" t="s">
        <v>581</v>
      </c>
      <c r="G1192" t="s">
        <v>396</v>
      </c>
      <c r="H1192">
        <v>6.8623649999999996</v>
      </c>
      <c r="I1192">
        <v>6.5917190000000003</v>
      </c>
      <c r="J1192">
        <v>5.2555909999999999</v>
      </c>
      <c r="K1192">
        <v>4.1552110000000004</v>
      </c>
      <c r="L1192">
        <v>3.4547400000000001</v>
      </c>
      <c r="M1192">
        <v>2.948242</v>
      </c>
      <c r="N1192">
        <v>2.540845</v>
      </c>
    </row>
    <row r="1193" spans="1:14" hidden="1" x14ac:dyDescent="0.35">
      <c r="A1193" t="s">
        <v>674</v>
      </c>
      <c r="B1193" t="s">
        <v>34</v>
      </c>
      <c r="C1193" t="s">
        <v>33</v>
      </c>
      <c r="D1193" t="s">
        <v>33</v>
      </c>
      <c r="E1193" t="s">
        <v>676</v>
      </c>
      <c r="F1193" t="s">
        <v>26</v>
      </c>
      <c r="G1193" t="s">
        <v>26</v>
      </c>
      <c r="H1193">
        <v>4.8273700000000002</v>
      </c>
      <c r="I1193">
        <v>4.049855</v>
      </c>
      <c r="J1193">
        <v>3.204561</v>
      </c>
      <c r="K1193">
        <v>2.5338310000000002</v>
      </c>
      <c r="L1193">
        <v>2.1068440000000002</v>
      </c>
      <c r="M1193">
        <v>1.7978479999999999</v>
      </c>
      <c r="N1193">
        <v>1.5493159999999999</v>
      </c>
    </row>
    <row r="1194" spans="1:14" hidden="1" x14ac:dyDescent="0.35">
      <c r="A1194" t="s">
        <v>674</v>
      </c>
      <c r="B1194" t="s">
        <v>34</v>
      </c>
      <c r="C1194" t="s">
        <v>33</v>
      </c>
      <c r="D1194" t="s">
        <v>33</v>
      </c>
      <c r="E1194" t="s">
        <v>677</v>
      </c>
      <c r="F1194" t="s">
        <v>581</v>
      </c>
      <c r="G1194" t="s">
        <v>396</v>
      </c>
      <c r="H1194">
        <v>0.2050932</v>
      </c>
      <c r="I1194">
        <v>0.23711289999999999</v>
      </c>
      <c r="J1194">
        <v>0.1751934</v>
      </c>
      <c r="K1194">
        <v>0.12666079999999999</v>
      </c>
      <c r="L1194">
        <v>9.8860279999999995E-2</v>
      </c>
      <c r="M1194">
        <v>7.8512330000000005E-2</v>
      </c>
      <c r="N1194">
        <v>6.5345210000000001E-2</v>
      </c>
    </row>
    <row r="1195" spans="1:14" hidden="1" x14ac:dyDescent="0.35">
      <c r="A1195" t="s">
        <v>674</v>
      </c>
      <c r="B1195" t="s">
        <v>34</v>
      </c>
      <c r="C1195" t="s">
        <v>33</v>
      </c>
      <c r="D1195" t="s">
        <v>33</v>
      </c>
      <c r="E1195" t="s">
        <v>677</v>
      </c>
      <c r="F1195" t="s">
        <v>581</v>
      </c>
      <c r="G1195" t="s">
        <v>25</v>
      </c>
      <c r="H1195">
        <v>0.39901920000000002</v>
      </c>
      <c r="I1195">
        <v>0.44801210000000002</v>
      </c>
      <c r="J1195">
        <v>0.33101259999999999</v>
      </c>
      <c r="K1195">
        <v>0.23931340000000001</v>
      </c>
      <c r="L1195">
        <v>0.18678790000000001</v>
      </c>
      <c r="M1195">
        <v>0.1483381</v>
      </c>
      <c r="N1195">
        <v>0.12345920000000001</v>
      </c>
    </row>
    <row r="1196" spans="1:14" hidden="1" x14ac:dyDescent="0.35">
      <c r="A1196" t="s">
        <v>674</v>
      </c>
      <c r="B1196" t="s">
        <v>34</v>
      </c>
      <c r="C1196" t="s">
        <v>33</v>
      </c>
      <c r="D1196" t="s">
        <v>33</v>
      </c>
      <c r="E1196" t="s">
        <v>677</v>
      </c>
      <c r="F1196" t="s">
        <v>26</v>
      </c>
      <c r="G1196" t="s">
        <v>26</v>
      </c>
      <c r="H1196">
        <v>3.597718</v>
      </c>
      <c r="I1196">
        <v>4.0850210000000002</v>
      </c>
      <c r="J1196">
        <v>3.018249</v>
      </c>
      <c r="K1196">
        <v>2.1820919999999999</v>
      </c>
      <c r="L1196">
        <v>1.7031849999999999</v>
      </c>
      <c r="M1196">
        <v>1.352624</v>
      </c>
      <c r="N1196">
        <v>1.1257600000000001</v>
      </c>
    </row>
    <row r="1197" spans="1:14" hidden="1" x14ac:dyDescent="0.35">
      <c r="A1197" t="s">
        <v>674</v>
      </c>
      <c r="B1197" t="s">
        <v>34</v>
      </c>
      <c r="C1197" t="s">
        <v>230</v>
      </c>
      <c r="D1197" t="s">
        <v>230</v>
      </c>
      <c r="E1197" t="s">
        <v>584</v>
      </c>
      <c r="F1197" t="s">
        <v>581</v>
      </c>
      <c r="G1197" t="s">
        <v>396</v>
      </c>
      <c r="H1197">
        <v>8.1649319999999997E-2</v>
      </c>
      <c r="I1197">
        <v>8.6034520000000003E-2</v>
      </c>
      <c r="J1197">
        <v>8.3358909999999994E-2</v>
      </c>
      <c r="K1197">
        <v>7.7641639999999998E-2</v>
      </c>
      <c r="L1197">
        <v>7.2317809999999996E-2</v>
      </c>
      <c r="M1197">
        <v>6.7358360000000006E-2</v>
      </c>
      <c r="N1197">
        <v>6.2736990000000006E-2</v>
      </c>
    </row>
    <row r="1198" spans="1:14" hidden="1" x14ac:dyDescent="0.35">
      <c r="A1198" t="s">
        <v>674</v>
      </c>
      <c r="B1198" t="s">
        <v>34</v>
      </c>
      <c r="C1198" t="s">
        <v>230</v>
      </c>
      <c r="D1198" t="s">
        <v>230</v>
      </c>
      <c r="E1198" t="s">
        <v>584</v>
      </c>
      <c r="F1198" t="s">
        <v>581</v>
      </c>
      <c r="G1198" t="s">
        <v>25</v>
      </c>
      <c r="H1198">
        <v>3.8246579999999999E-3</v>
      </c>
      <c r="I1198">
        <v>3.6712329999999999E-3</v>
      </c>
      <c r="J1198">
        <v>3.5232879999999999E-3</v>
      </c>
      <c r="K1198">
        <v>3.3808219999999999E-3</v>
      </c>
      <c r="L1198">
        <v>3.249315E-3</v>
      </c>
      <c r="M1198">
        <v>3.1150689999999998E-3</v>
      </c>
      <c r="N1198">
        <v>2.9917810000000002E-3</v>
      </c>
    </row>
    <row r="1199" spans="1:14" hidden="1" x14ac:dyDescent="0.35">
      <c r="A1199" t="s">
        <v>678</v>
      </c>
      <c r="B1199" t="s">
        <v>37</v>
      </c>
      <c r="C1199" t="s">
        <v>218</v>
      </c>
      <c r="D1199" t="s">
        <v>218</v>
      </c>
      <c r="E1199" t="s">
        <v>593</v>
      </c>
      <c r="F1199" t="s">
        <v>581</v>
      </c>
      <c r="G1199" t="s">
        <v>396</v>
      </c>
      <c r="H1199">
        <v>64.572059999999993</v>
      </c>
      <c r="I1199">
        <v>55.533000000000001</v>
      </c>
      <c r="J1199">
        <v>69.043049999999994</v>
      </c>
      <c r="K1199">
        <v>73.550160000000005</v>
      </c>
      <c r="L1199">
        <v>65.751940000000005</v>
      </c>
      <c r="M1199">
        <v>53.10463</v>
      </c>
      <c r="N1199">
        <v>43.994230000000002</v>
      </c>
    </row>
    <row r="1200" spans="1:14" hidden="1" x14ac:dyDescent="0.35">
      <c r="A1200" t="s">
        <v>678</v>
      </c>
      <c r="B1200" t="s">
        <v>37</v>
      </c>
      <c r="C1200" t="s">
        <v>218</v>
      </c>
      <c r="D1200" t="s">
        <v>218</v>
      </c>
      <c r="E1200" t="s">
        <v>593</v>
      </c>
      <c r="F1200" t="s">
        <v>581</v>
      </c>
      <c r="G1200" t="s">
        <v>24</v>
      </c>
      <c r="H1200">
        <v>0.86104119999999995</v>
      </c>
      <c r="I1200">
        <v>2.8247420000000001</v>
      </c>
      <c r="J1200">
        <v>3.328973</v>
      </c>
      <c r="K1200">
        <v>3.2606899999999999</v>
      </c>
      <c r="L1200">
        <v>2.8691360000000001</v>
      </c>
      <c r="M1200">
        <v>2.3802629999999998</v>
      </c>
      <c r="N1200">
        <v>2.0192260000000002</v>
      </c>
    </row>
    <row r="1201" spans="1:14" hidden="1" x14ac:dyDescent="0.35">
      <c r="A1201" t="s">
        <v>678</v>
      </c>
      <c r="B1201" t="s">
        <v>37</v>
      </c>
      <c r="C1201" t="s">
        <v>218</v>
      </c>
      <c r="D1201" t="s">
        <v>218</v>
      </c>
      <c r="E1201" t="s">
        <v>593</v>
      </c>
      <c r="F1201" t="s">
        <v>581</v>
      </c>
      <c r="G1201" t="s">
        <v>25</v>
      </c>
      <c r="H1201">
        <v>34.600819999999999</v>
      </c>
      <c r="I1201">
        <v>31.947220000000002</v>
      </c>
      <c r="J1201">
        <v>42.275829999999999</v>
      </c>
      <c r="K1201">
        <v>45.052590000000002</v>
      </c>
      <c r="L1201">
        <v>40.23771</v>
      </c>
      <c r="M1201">
        <v>32.452129999999997</v>
      </c>
      <c r="N1201">
        <v>26.884370000000001</v>
      </c>
    </row>
    <row r="1202" spans="1:14" hidden="1" x14ac:dyDescent="0.35">
      <c r="A1202" t="s">
        <v>678</v>
      </c>
      <c r="B1202" t="s">
        <v>37</v>
      </c>
      <c r="C1202" t="s">
        <v>218</v>
      </c>
      <c r="D1202" t="s">
        <v>218</v>
      </c>
      <c r="E1202" t="s">
        <v>593</v>
      </c>
      <c r="F1202" t="s">
        <v>26</v>
      </c>
      <c r="G1202" t="s">
        <v>26</v>
      </c>
      <c r="H1202">
        <v>63.563690000000001</v>
      </c>
      <c r="I1202">
        <v>55.591459999999998</v>
      </c>
      <c r="J1202">
        <v>73.63682</v>
      </c>
      <c r="K1202">
        <v>78.751220000000004</v>
      </c>
      <c r="L1202">
        <v>70.441370000000006</v>
      </c>
      <c r="M1202">
        <v>56.814419999999998</v>
      </c>
      <c r="N1202">
        <v>47.017220000000002</v>
      </c>
    </row>
    <row r="1203" spans="1:14" hidden="1" x14ac:dyDescent="0.35">
      <c r="A1203" t="s">
        <v>678</v>
      </c>
      <c r="B1203" t="s">
        <v>37</v>
      </c>
      <c r="C1203" t="s">
        <v>218</v>
      </c>
      <c r="D1203" t="s">
        <v>218</v>
      </c>
      <c r="E1203" t="s">
        <v>584</v>
      </c>
      <c r="F1203" t="s">
        <v>581</v>
      </c>
      <c r="G1203" t="s">
        <v>396</v>
      </c>
      <c r="H1203">
        <v>0.96000010000000002</v>
      </c>
      <c r="I1203">
        <v>0.75778909999999999</v>
      </c>
      <c r="J1203">
        <v>0.60555619999999999</v>
      </c>
      <c r="K1203">
        <v>0.48716710000000002</v>
      </c>
      <c r="L1203">
        <v>0.39439180000000001</v>
      </c>
      <c r="M1203">
        <v>0.32173970000000002</v>
      </c>
      <c r="N1203">
        <v>0.26364379999999998</v>
      </c>
    </row>
    <row r="1204" spans="1:14" hidden="1" x14ac:dyDescent="0.35">
      <c r="A1204" t="s">
        <v>678</v>
      </c>
      <c r="B1204" t="s">
        <v>37</v>
      </c>
      <c r="C1204" t="s">
        <v>218</v>
      </c>
      <c r="D1204" t="s">
        <v>218</v>
      </c>
      <c r="E1204" t="s">
        <v>584</v>
      </c>
      <c r="F1204" t="s">
        <v>581</v>
      </c>
      <c r="G1204" t="s">
        <v>24</v>
      </c>
      <c r="H1204">
        <v>0.16056980000000001</v>
      </c>
      <c r="I1204">
        <v>0.13139999999999999</v>
      </c>
      <c r="J1204">
        <v>0.10752879999999999</v>
      </c>
      <c r="K1204">
        <v>8.7994520000000007E-2</v>
      </c>
      <c r="L1204">
        <v>7.2008219999999998E-2</v>
      </c>
      <c r="M1204">
        <v>5.8926029999999997E-2</v>
      </c>
      <c r="N1204">
        <v>4.8221920000000001E-2</v>
      </c>
    </row>
    <row r="1205" spans="1:14" hidden="1" x14ac:dyDescent="0.35">
      <c r="A1205" t="s">
        <v>678</v>
      </c>
      <c r="B1205" t="s">
        <v>37</v>
      </c>
      <c r="C1205" t="s">
        <v>218</v>
      </c>
      <c r="D1205" t="s">
        <v>218</v>
      </c>
      <c r="E1205" t="s">
        <v>584</v>
      </c>
      <c r="F1205" t="s">
        <v>581</v>
      </c>
      <c r="G1205" t="s">
        <v>25</v>
      </c>
      <c r="H1205">
        <v>0.2584959</v>
      </c>
      <c r="I1205">
        <v>0.2456795</v>
      </c>
      <c r="J1205">
        <v>0.22933429999999999</v>
      </c>
      <c r="K1205">
        <v>0.2145041</v>
      </c>
      <c r="L1205">
        <v>0.20079179999999999</v>
      </c>
      <c r="M1205">
        <v>0.18826850000000001</v>
      </c>
      <c r="N1205">
        <v>0.17636160000000001</v>
      </c>
    </row>
    <row r="1206" spans="1:14" hidden="1" x14ac:dyDescent="0.35">
      <c r="A1206" t="s">
        <v>678</v>
      </c>
      <c r="B1206" t="s">
        <v>37</v>
      </c>
      <c r="C1206" t="s">
        <v>218</v>
      </c>
      <c r="D1206" t="s">
        <v>218</v>
      </c>
      <c r="E1206" t="s">
        <v>584</v>
      </c>
      <c r="F1206" t="s">
        <v>26</v>
      </c>
      <c r="G1206" t="s">
        <v>26</v>
      </c>
      <c r="H1206">
        <v>0.93616440000000001</v>
      </c>
      <c r="I1206">
        <v>0.90011779999999997</v>
      </c>
      <c r="J1206">
        <v>0.87370689999999995</v>
      </c>
      <c r="K1206">
        <v>0.80193700000000001</v>
      </c>
      <c r="L1206">
        <v>0.73484930000000004</v>
      </c>
      <c r="M1206">
        <v>0.67389049999999995</v>
      </c>
      <c r="N1206">
        <v>0.61720819999999998</v>
      </c>
    </row>
    <row r="1207" spans="1:14" hidden="1" x14ac:dyDescent="0.35">
      <c r="A1207" t="s">
        <v>678</v>
      </c>
      <c r="B1207" t="s">
        <v>37</v>
      </c>
      <c r="C1207" t="s">
        <v>218</v>
      </c>
      <c r="D1207" t="s">
        <v>218</v>
      </c>
      <c r="E1207" t="s">
        <v>594</v>
      </c>
      <c r="F1207" t="s">
        <v>581</v>
      </c>
      <c r="G1207" t="s">
        <v>396</v>
      </c>
      <c r="J1207">
        <v>0</v>
      </c>
      <c r="K1207">
        <v>2.8163839999999999E-2</v>
      </c>
      <c r="L1207">
        <v>0.1168</v>
      </c>
      <c r="M1207">
        <v>7.7155070000000006E-2</v>
      </c>
      <c r="N1207">
        <v>5.076493E-2</v>
      </c>
    </row>
    <row r="1208" spans="1:14" hidden="1" x14ac:dyDescent="0.35">
      <c r="A1208" t="s">
        <v>678</v>
      </c>
      <c r="B1208" t="s">
        <v>37</v>
      </c>
      <c r="C1208" t="s">
        <v>218</v>
      </c>
      <c r="D1208" t="s">
        <v>218</v>
      </c>
      <c r="E1208" t="s">
        <v>594</v>
      </c>
      <c r="F1208" t="s">
        <v>581</v>
      </c>
      <c r="G1208" t="s">
        <v>25</v>
      </c>
      <c r="J1208">
        <v>0</v>
      </c>
      <c r="K1208">
        <v>3.4164379999999999E-3</v>
      </c>
      <c r="L1208">
        <v>1.1357809999999999E-2</v>
      </c>
      <c r="M1208">
        <v>7.7473969999999996E-3</v>
      </c>
      <c r="N1208">
        <v>5.1873980000000002E-3</v>
      </c>
    </row>
    <row r="1209" spans="1:14" hidden="1" x14ac:dyDescent="0.35">
      <c r="A1209" t="s">
        <v>678</v>
      </c>
      <c r="B1209" t="s">
        <v>37</v>
      </c>
      <c r="C1209" t="s">
        <v>218</v>
      </c>
      <c r="D1209" t="s">
        <v>218</v>
      </c>
      <c r="E1209" t="s">
        <v>594</v>
      </c>
      <c r="F1209" t="s">
        <v>26</v>
      </c>
      <c r="G1209" t="s">
        <v>26</v>
      </c>
      <c r="J1209">
        <v>0</v>
      </c>
      <c r="K1209">
        <v>3.7041090000000001E-3</v>
      </c>
      <c r="L1209">
        <v>1.504986E-2</v>
      </c>
      <c r="M1209">
        <v>9.9693149999999994E-3</v>
      </c>
      <c r="N1209">
        <v>6.5698629999999996E-3</v>
      </c>
    </row>
    <row r="1210" spans="1:14" hidden="1" x14ac:dyDescent="0.35">
      <c r="A1210" t="s">
        <v>678</v>
      </c>
      <c r="B1210" t="s">
        <v>37</v>
      </c>
      <c r="C1210" t="s">
        <v>35</v>
      </c>
      <c r="D1210" t="s">
        <v>164</v>
      </c>
      <c r="E1210" t="s">
        <v>580</v>
      </c>
      <c r="F1210" t="s">
        <v>581</v>
      </c>
      <c r="G1210" t="s">
        <v>396</v>
      </c>
      <c r="H1210">
        <v>12.81315</v>
      </c>
      <c r="I1210">
        <v>11.77745</v>
      </c>
      <c r="J1210">
        <v>11.397270000000001</v>
      </c>
      <c r="K1210">
        <v>10.04218</v>
      </c>
      <c r="L1210">
        <v>8.4854249999999993</v>
      </c>
      <c r="M1210">
        <v>7.0244859999999996</v>
      </c>
      <c r="N1210">
        <v>5.8707989999999999</v>
      </c>
    </row>
    <row r="1211" spans="1:14" hidden="1" x14ac:dyDescent="0.35">
      <c r="A1211" t="s">
        <v>678</v>
      </c>
      <c r="B1211" t="s">
        <v>37</v>
      </c>
      <c r="C1211" t="s">
        <v>35</v>
      </c>
      <c r="D1211" t="s">
        <v>164</v>
      </c>
      <c r="E1211" t="s">
        <v>580</v>
      </c>
      <c r="F1211" t="s">
        <v>581</v>
      </c>
      <c r="G1211" t="s">
        <v>25</v>
      </c>
      <c r="H1211">
        <v>7.4660279999999997</v>
      </c>
      <c r="I1211">
        <v>7.3112820000000003</v>
      </c>
      <c r="J1211">
        <v>7.088546</v>
      </c>
      <c r="K1211">
        <v>6.2457500000000001</v>
      </c>
      <c r="L1211">
        <v>5.27752</v>
      </c>
      <c r="M1211">
        <v>4.3688840000000004</v>
      </c>
      <c r="N1211">
        <v>3.651348</v>
      </c>
    </row>
    <row r="1212" spans="1:14" hidden="1" x14ac:dyDescent="0.35">
      <c r="A1212" t="s">
        <v>678</v>
      </c>
      <c r="B1212" t="s">
        <v>37</v>
      </c>
      <c r="C1212" t="s">
        <v>35</v>
      </c>
      <c r="D1212" t="s">
        <v>164</v>
      </c>
      <c r="E1212" t="s">
        <v>580</v>
      </c>
      <c r="F1212" t="s">
        <v>26</v>
      </c>
      <c r="G1212" t="s">
        <v>26</v>
      </c>
      <c r="H1212">
        <v>11.0337</v>
      </c>
      <c r="I1212">
        <v>10.66229</v>
      </c>
      <c r="J1212">
        <v>10.33746</v>
      </c>
      <c r="K1212">
        <v>9.1083789999999993</v>
      </c>
      <c r="L1212">
        <v>7.6963840000000001</v>
      </c>
      <c r="M1212">
        <v>6.3712929999999997</v>
      </c>
      <c r="N1212">
        <v>5.3248860000000002</v>
      </c>
    </row>
    <row r="1213" spans="1:14" hidden="1" x14ac:dyDescent="0.35">
      <c r="A1213" t="s">
        <v>679</v>
      </c>
      <c r="B1213" t="s">
        <v>37</v>
      </c>
      <c r="C1213" t="s">
        <v>63</v>
      </c>
      <c r="D1213" t="s">
        <v>63</v>
      </c>
      <c r="E1213" t="s">
        <v>609</v>
      </c>
      <c r="F1213" t="s">
        <v>26</v>
      </c>
      <c r="G1213" t="s">
        <v>26</v>
      </c>
      <c r="H1213">
        <v>156.9151</v>
      </c>
      <c r="I1213">
        <v>144.72649999999999</v>
      </c>
      <c r="J1213">
        <v>127.6383</v>
      </c>
      <c r="K1213">
        <v>106.1562</v>
      </c>
      <c r="L1213">
        <v>87.703289999999996</v>
      </c>
      <c r="M1213">
        <v>81.459500000000006</v>
      </c>
      <c r="N1213">
        <v>76.942959999999999</v>
      </c>
    </row>
    <row r="1214" spans="1:14" hidden="1" x14ac:dyDescent="0.35">
      <c r="A1214" t="s">
        <v>679</v>
      </c>
      <c r="B1214" t="s">
        <v>37</v>
      </c>
      <c r="C1214" t="s">
        <v>63</v>
      </c>
      <c r="D1214" t="s">
        <v>63</v>
      </c>
      <c r="E1214" t="s">
        <v>612</v>
      </c>
      <c r="F1214" t="s">
        <v>581</v>
      </c>
      <c r="G1214" t="s">
        <v>24</v>
      </c>
      <c r="H1214">
        <v>0.67602739999999995</v>
      </c>
      <c r="I1214">
        <v>1.1831290000000001</v>
      </c>
      <c r="J1214">
        <v>1.38625</v>
      </c>
      <c r="K1214">
        <v>1.3568249999999999</v>
      </c>
      <c r="L1214">
        <v>1.2195020000000001</v>
      </c>
      <c r="M1214">
        <v>1.087334</v>
      </c>
      <c r="N1214">
        <v>1.048027</v>
      </c>
    </row>
    <row r="1215" spans="1:14" hidden="1" x14ac:dyDescent="0.35">
      <c r="A1215" t="s">
        <v>679</v>
      </c>
      <c r="B1215" t="s">
        <v>37</v>
      </c>
      <c r="C1215" t="s">
        <v>63</v>
      </c>
      <c r="D1215" t="s">
        <v>63</v>
      </c>
      <c r="E1215" t="s">
        <v>612</v>
      </c>
      <c r="F1215" t="s">
        <v>581</v>
      </c>
      <c r="G1215" t="s">
        <v>25</v>
      </c>
      <c r="H1215">
        <v>4.9647240000000004</v>
      </c>
      <c r="I1215">
        <v>7.5740230000000004</v>
      </c>
      <c r="J1215">
        <v>8.6554059999999993</v>
      </c>
      <c r="K1215">
        <v>9.4058919999999997</v>
      </c>
      <c r="L1215">
        <v>8.29664</v>
      </c>
      <c r="M1215">
        <v>7.6176269999999997</v>
      </c>
      <c r="N1215">
        <v>7.9896130000000003</v>
      </c>
    </row>
    <row r="1216" spans="1:14" hidden="1" x14ac:dyDescent="0.35">
      <c r="A1216" t="s">
        <v>679</v>
      </c>
      <c r="B1216" t="s">
        <v>37</v>
      </c>
      <c r="C1216" t="s">
        <v>63</v>
      </c>
      <c r="D1216" t="s">
        <v>63</v>
      </c>
      <c r="E1216" t="s">
        <v>612</v>
      </c>
      <c r="F1216" t="s">
        <v>26</v>
      </c>
      <c r="G1216" t="s">
        <v>26</v>
      </c>
      <c r="H1216">
        <v>20.01473</v>
      </c>
      <c r="I1216">
        <v>16.110530000000001</v>
      </c>
      <c r="J1216">
        <v>18.355070000000001</v>
      </c>
      <c r="K1216">
        <v>20.180260000000001</v>
      </c>
      <c r="L1216">
        <v>17.764939999999999</v>
      </c>
      <c r="M1216">
        <v>16.36157</v>
      </c>
      <c r="N1216">
        <v>17.304870000000001</v>
      </c>
    </row>
    <row r="1217" spans="1:14" hidden="1" x14ac:dyDescent="0.35">
      <c r="A1217" t="s">
        <v>679</v>
      </c>
      <c r="B1217" t="s">
        <v>37</v>
      </c>
      <c r="C1217" t="s">
        <v>105</v>
      </c>
      <c r="D1217" t="s">
        <v>105</v>
      </c>
      <c r="E1217" t="s">
        <v>619</v>
      </c>
      <c r="F1217" t="s">
        <v>581</v>
      </c>
      <c r="G1217" t="s">
        <v>396</v>
      </c>
      <c r="H1217">
        <v>3.9395289999999998</v>
      </c>
      <c r="I1217">
        <v>3.056775</v>
      </c>
      <c r="J1217">
        <v>2.6333959999999998</v>
      </c>
      <c r="K1217">
        <v>2.3047499999999999</v>
      </c>
      <c r="L1217">
        <v>2.203144</v>
      </c>
      <c r="M1217">
        <v>2.3255859999999999</v>
      </c>
      <c r="N1217">
        <v>2.3966090000000002</v>
      </c>
    </row>
    <row r="1218" spans="1:14" hidden="1" x14ac:dyDescent="0.35">
      <c r="A1218" t="s">
        <v>679</v>
      </c>
      <c r="B1218" t="s">
        <v>37</v>
      </c>
      <c r="C1218" t="s">
        <v>105</v>
      </c>
      <c r="D1218" t="s">
        <v>105</v>
      </c>
      <c r="E1218" t="s">
        <v>619</v>
      </c>
      <c r="F1218" t="s">
        <v>581</v>
      </c>
      <c r="G1218" t="s">
        <v>25</v>
      </c>
      <c r="H1218">
        <v>8.7627400000000009</v>
      </c>
      <c r="I1218">
        <v>8.5325980000000001</v>
      </c>
      <c r="J1218">
        <v>7.2418380000000004</v>
      </c>
      <c r="K1218">
        <v>6.3380590000000003</v>
      </c>
      <c r="L1218">
        <v>6.0586450000000003</v>
      </c>
      <c r="M1218">
        <v>6.3953600000000002</v>
      </c>
      <c r="N1218">
        <v>6.5906729999999998</v>
      </c>
    </row>
    <row r="1219" spans="1:14" hidden="1" x14ac:dyDescent="0.35">
      <c r="A1219" t="s">
        <v>679</v>
      </c>
      <c r="B1219" t="s">
        <v>37</v>
      </c>
      <c r="C1219" t="s">
        <v>105</v>
      </c>
      <c r="D1219" t="s">
        <v>105</v>
      </c>
      <c r="E1219" t="s">
        <v>619</v>
      </c>
      <c r="F1219" t="s">
        <v>26</v>
      </c>
      <c r="G1219" t="s">
        <v>26</v>
      </c>
      <c r="H1219">
        <v>31.888210000000001</v>
      </c>
      <c r="I1219">
        <v>27.149170000000002</v>
      </c>
      <c r="J1219">
        <v>23.042210000000001</v>
      </c>
      <c r="K1219">
        <v>20.166550000000001</v>
      </c>
      <c r="L1219">
        <v>19.277509999999999</v>
      </c>
      <c r="M1219">
        <v>20.348890000000001</v>
      </c>
      <c r="N1219">
        <v>20.970320000000001</v>
      </c>
    </row>
    <row r="1220" spans="1:14" hidden="1" x14ac:dyDescent="0.35">
      <c r="A1220" t="s">
        <v>679</v>
      </c>
      <c r="B1220" t="s">
        <v>37</v>
      </c>
      <c r="C1220" t="s">
        <v>105</v>
      </c>
      <c r="D1220" t="s">
        <v>105</v>
      </c>
      <c r="E1220" t="s">
        <v>656</v>
      </c>
      <c r="F1220" t="s">
        <v>581</v>
      </c>
      <c r="G1220" t="s">
        <v>396</v>
      </c>
      <c r="H1220">
        <v>0.35068490000000002</v>
      </c>
      <c r="I1220">
        <v>0.3284532</v>
      </c>
      <c r="J1220">
        <v>0.38329429999999998</v>
      </c>
      <c r="K1220">
        <v>0.39454030000000001</v>
      </c>
      <c r="L1220">
        <v>0.48240060000000001</v>
      </c>
      <c r="M1220">
        <v>0.42663069999999997</v>
      </c>
      <c r="N1220">
        <v>0.33172059999999998</v>
      </c>
    </row>
    <row r="1221" spans="1:14" hidden="1" x14ac:dyDescent="0.35">
      <c r="A1221" t="s">
        <v>679</v>
      </c>
      <c r="B1221" t="s">
        <v>37</v>
      </c>
      <c r="C1221" t="s">
        <v>105</v>
      </c>
      <c r="D1221" t="s">
        <v>105</v>
      </c>
      <c r="E1221" t="s">
        <v>656</v>
      </c>
      <c r="F1221" t="s">
        <v>581</v>
      </c>
      <c r="G1221" t="s">
        <v>25</v>
      </c>
      <c r="H1221">
        <v>0.16657530000000001</v>
      </c>
      <c r="I1221">
        <v>0.21253040000000001</v>
      </c>
      <c r="J1221">
        <v>0.24801319999999999</v>
      </c>
      <c r="K1221">
        <v>0.2552932</v>
      </c>
      <c r="L1221">
        <v>0.31214190000000003</v>
      </c>
      <c r="M1221">
        <v>0.276057</v>
      </c>
      <c r="N1221">
        <v>0.21464549999999999</v>
      </c>
    </row>
    <row r="1222" spans="1:14" hidden="1" x14ac:dyDescent="0.35">
      <c r="A1222" t="s">
        <v>679</v>
      </c>
      <c r="B1222" t="s">
        <v>37</v>
      </c>
      <c r="C1222" t="s">
        <v>105</v>
      </c>
      <c r="D1222" t="s">
        <v>105</v>
      </c>
      <c r="E1222" t="s">
        <v>656</v>
      </c>
      <c r="F1222" t="s">
        <v>26</v>
      </c>
      <c r="G1222" t="s">
        <v>26</v>
      </c>
      <c r="H1222">
        <v>0.37917800000000002</v>
      </c>
      <c r="I1222">
        <v>0.42505809999999999</v>
      </c>
      <c r="J1222">
        <v>0.49603019999999998</v>
      </c>
      <c r="K1222">
        <v>0.51058139999999996</v>
      </c>
      <c r="L1222">
        <v>0.62428159999999999</v>
      </c>
      <c r="M1222">
        <v>0.55211010000000005</v>
      </c>
      <c r="N1222">
        <v>0.42928500000000003</v>
      </c>
    </row>
    <row r="1223" spans="1:14" hidden="1" x14ac:dyDescent="0.35">
      <c r="A1223" t="s">
        <v>679</v>
      </c>
      <c r="B1223" t="s">
        <v>37</v>
      </c>
      <c r="C1223" t="s">
        <v>79</v>
      </c>
      <c r="D1223" t="s">
        <v>79</v>
      </c>
      <c r="E1223" t="s">
        <v>584</v>
      </c>
      <c r="F1223" t="s">
        <v>581</v>
      </c>
      <c r="G1223" t="s">
        <v>396</v>
      </c>
      <c r="H1223">
        <v>0.74958899999999995</v>
      </c>
      <c r="I1223">
        <v>0.9349343</v>
      </c>
      <c r="J1223">
        <v>0.8846794</v>
      </c>
      <c r="K1223">
        <v>0.83558739999999998</v>
      </c>
      <c r="L1223">
        <v>0.78407170000000004</v>
      </c>
      <c r="M1223">
        <v>0.2480137</v>
      </c>
      <c r="N1223">
        <v>0.22256709999999999</v>
      </c>
    </row>
    <row r="1224" spans="1:14" hidden="1" x14ac:dyDescent="0.35">
      <c r="A1224" t="s">
        <v>679</v>
      </c>
      <c r="B1224" t="s">
        <v>37</v>
      </c>
      <c r="C1224" t="s">
        <v>79</v>
      </c>
      <c r="D1224" t="s">
        <v>79</v>
      </c>
      <c r="E1224" t="s">
        <v>584</v>
      </c>
      <c r="F1224" t="s">
        <v>581</v>
      </c>
      <c r="G1224" t="s">
        <v>25</v>
      </c>
      <c r="H1224">
        <v>0</v>
      </c>
      <c r="I1224">
        <v>3.1317810000000001E-2</v>
      </c>
      <c r="J1224">
        <v>2.8079449999999999E-2</v>
      </c>
      <c r="K1224">
        <v>2.5268490000000001E-2</v>
      </c>
      <c r="L1224">
        <v>2.2742459999999999E-2</v>
      </c>
      <c r="M1224">
        <v>2.052329E-2</v>
      </c>
      <c r="N1224">
        <v>1.8413700000000002E-2</v>
      </c>
    </row>
    <row r="1225" spans="1:14" hidden="1" x14ac:dyDescent="0.35">
      <c r="A1225" t="s">
        <v>679</v>
      </c>
      <c r="B1225" t="s">
        <v>37</v>
      </c>
      <c r="C1225" t="s">
        <v>79</v>
      </c>
      <c r="D1225" t="s">
        <v>79</v>
      </c>
      <c r="E1225" t="s">
        <v>584</v>
      </c>
      <c r="F1225" t="s">
        <v>26</v>
      </c>
      <c r="G1225" t="s">
        <v>26</v>
      </c>
      <c r="H1225">
        <v>0</v>
      </c>
      <c r="I1225">
        <v>1.8630139999999999E-4</v>
      </c>
      <c r="J1225">
        <v>1.671233E-4</v>
      </c>
      <c r="K1225">
        <v>1.506849E-4</v>
      </c>
      <c r="L1225">
        <v>1.3698630000000001E-4</v>
      </c>
      <c r="M1225">
        <v>1.232877E-4</v>
      </c>
      <c r="N1225">
        <v>1.123288E-4</v>
      </c>
    </row>
    <row r="1226" spans="1:14" hidden="1" x14ac:dyDescent="0.35">
      <c r="A1226" t="s">
        <v>679</v>
      </c>
      <c r="B1226" t="s">
        <v>37</v>
      </c>
      <c r="C1226" t="s">
        <v>99</v>
      </c>
      <c r="D1226" t="s">
        <v>100</v>
      </c>
      <c r="E1226" t="s">
        <v>634</v>
      </c>
      <c r="F1226" t="s">
        <v>581</v>
      </c>
      <c r="G1226" t="s">
        <v>396</v>
      </c>
      <c r="H1226">
        <v>3.726028E-2</v>
      </c>
      <c r="I1226">
        <v>0.15144820000000001</v>
      </c>
      <c r="J1226">
        <v>0.1795003</v>
      </c>
      <c r="K1226">
        <v>0.1620405</v>
      </c>
      <c r="L1226">
        <v>0.15393370000000001</v>
      </c>
      <c r="M1226">
        <v>0.13132440000000001</v>
      </c>
      <c r="N1226">
        <v>0.1106992</v>
      </c>
    </row>
    <row r="1227" spans="1:14" hidden="1" x14ac:dyDescent="0.35">
      <c r="A1227" t="s">
        <v>680</v>
      </c>
      <c r="B1227" t="s">
        <v>73</v>
      </c>
      <c r="C1227" t="s">
        <v>97</v>
      </c>
      <c r="D1227" t="s">
        <v>98</v>
      </c>
      <c r="E1227" t="s">
        <v>584</v>
      </c>
      <c r="F1227" t="s">
        <v>581</v>
      </c>
      <c r="G1227" t="s">
        <v>396</v>
      </c>
      <c r="H1227">
        <v>68.816010000000006</v>
      </c>
      <c r="I1227">
        <v>139.21969999999999</v>
      </c>
      <c r="J1227">
        <v>151.70189999999999</v>
      </c>
      <c r="K1227">
        <v>141.50120000000001</v>
      </c>
      <c r="L1227">
        <v>174.98519999999999</v>
      </c>
      <c r="M1227">
        <v>171.50120000000001</v>
      </c>
      <c r="N1227">
        <v>168.82429999999999</v>
      </c>
    </row>
    <row r="1228" spans="1:14" hidden="1" x14ac:dyDescent="0.35">
      <c r="A1228" t="s">
        <v>680</v>
      </c>
      <c r="B1228" t="s">
        <v>73</v>
      </c>
      <c r="C1228" t="s">
        <v>97</v>
      </c>
      <c r="D1228" t="s">
        <v>98</v>
      </c>
      <c r="E1228" t="s">
        <v>584</v>
      </c>
      <c r="F1228" t="s">
        <v>581</v>
      </c>
      <c r="G1228" t="s">
        <v>25</v>
      </c>
      <c r="H1228">
        <v>3.2622040000000001</v>
      </c>
      <c r="I1228">
        <v>6.2983570000000002</v>
      </c>
      <c r="J1228">
        <v>6.7461929999999999</v>
      </c>
      <c r="K1228">
        <v>6.3323229999999997</v>
      </c>
      <c r="L1228">
        <v>7.0490060000000003</v>
      </c>
      <c r="M1228">
        <v>7.2575180000000001</v>
      </c>
      <c r="N1228">
        <v>7.1065880000000003</v>
      </c>
    </row>
    <row r="1229" spans="1:14" hidden="1" x14ac:dyDescent="0.35">
      <c r="A1229" t="s">
        <v>680</v>
      </c>
      <c r="B1229" t="s">
        <v>73</v>
      </c>
      <c r="C1229" t="s">
        <v>97</v>
      </c>
      <c r="D1229" t="s">
        <v>98</v>
      </c>
      <c r="E1229" t="s">
        <v>584</v>
      </c>
      <c r="F1229" t="s">
        <v>26</v>
      </c>
      <c r="G1229" t="s">
        <v>26</v>
      </c>
      <c r="H1229">
        <v>6.0541679999999998</v>
      </c>
      <c r="I1229">
        <v>8.3389559999999996</v>
      </c>
      <c r="J1229">
        <v>9.2848290000000002</v>
      </c>
      <c r="K1229">
        <v>8.4010960000000008</v>
      </c>
      <c r="L1229">
        <v>8.0999940000000006</v>
      </c>
      <c r="M1229">
        <v>8.2013829999999999</v>
      </c>
      <c r="N1229">
        <v>8.2425090000000001</v>
      </c>
    </row>
    <row r="1230" spans="1:14" hidden="1" x14ac:dyDescent="0.35">
      <c r="A1230" t="s">
        <v>680</v>
      </c>
      <c r="B1230" t="s">
        <v>73</v>
      </c>
      <c r="C1230" t="s">
        <v>71</v>
      </c>
      <c r="D1230" t="s">
        <v>140</v>
      </c>
      <c r="E1230" t="s">
        <v>584</v>
      </c>
      <c r="F1230" t="s">
        <v>581</v>
      </c>
      <c r="G1230" t="s">
        <v>396</v>
      </c>
      <c r="H1230">
        <v>7.4137750000000002</v>
      </c>
      <c r="I1230">
        <v>6.4392899999999997</v>
      </c>
      <c r="J1230">
        <v>5.9232610000000001</v>
      </c>
      <c r="K1230">
        <v>5.1432919999999998</v>
      </c>
      <c r="L1230">
        <v>4.3740779999999999</v>
      </c>
      <c r="M1230">
        <v>3.6763509999999999</v>
      </c>
      <c r="N1230">
        <v>3.1044740000000002</v>
      </c>
    </row>
    <row r="1231" spans="1:14" hidden="1" x14ac:dyDescent="0.35">
      <c r="A1231" t="s">
        <v>680</v>
      </c>
      <c r="B1231" t="s">
        <v>73</v>
      </c>
      <c r="C1231" t="s">
        <v>71</v>
      </c>
      <c r="D1231" t="s">
        <v>140</v>
      </c>
      <c r="E1231" t="s">
        <v>584</v>
      </c>
      <c r="F1231" t="s">
        <v>26</v>
      </c>
      <c r="G1231" t="s">
        <v>26</v>
      </c>
      <c r="H1231">
        <v>1.594365</v>
      </c>
      <c r="I1231">
        <v>1.3847970000000001</v>
      </c>
      <c r="J1231">
        <v>1.2738229999999999</v>
      </c>
      <c r="K1231">
        <v>1.1850499999999999</v>
      </c>
      <c r="L1231">
        <v>1.0078180000000001</v>
      </c>
      <c r="M1231">
        <v>0.84705660000000005</v>
      </c>
      <c r="N1231">
        <v>0.71529279999999995</v>
      </c>
    </row>
    <row r="1232" spans="1:14" hidden="1" x14ac:dyDescent="0.35">
      <c r="A1232" t="s">
        <v>680</v>
      </c>
      <c r="B1232" t="s">
        <v>73</v>
      </c>
      <c r="C1232" t="s">
        <v>71</v>
      </c>
      <c r="D1232" t="s">
        <v>139</v>
      </c>
      <c r="E1232" t="s">
        <v>584</v>
      </c>
      <c r="F1232" t="s">
        <v>581</v>
      </c>
      <c r="G1232" t="s">
        <v>396</v>
      </c>
      <c r="H1232">
        <v>4.1571670000000003</v>
      </c>
      <c r="I1232">
        <v>4.3452159999999997</v>
      </c>
      <c r="J1232">
        <v>4.5366739999999997</v>
      </c>
      <c r="K1232">
        <v>3.3771610000000001</v>
      </c>
      <c r="L1232">
        <v>2.2974770000000002</v>
      </c>
      <c r="M1232">
        <v>1.5043580000000001</v>
      </c>
      <c r="N1232">
        <v>1.3526020000000001</v>
      </c>
    </row>
    <row r="1233" spans="1:14" hidden="1" x14ac:dyDescent="0.35">
      <c r="A1233" t="s">
        <v>680</v>
      </c>
      <c r="B1233" t="s">
        <v>73</v>
      </c>
      <c r="C1233" t="s">
        <v>71</v>
      </c>
      <c r="D1233" t="s">
        <v>139</v>
      </c>
      <c r="E1233" t="s">
        <v>584</v>
      </c>
      <c r="F1233" t="s">
        <v>26</v>
      </c>
      <c r="G1233" t="s">
        <v>26</v>
      </c>
      <c r="H1233">
        <v>0.9070414</v>
      </c>
      <c r="I1233">
        <v>0.62861409999999995</v>
      </c>
      <c r="J1233">
        <v>0.47436509999999998</v>
      </c>
      <c r="K1233">
        <v>0.36053259999999998</v>
      </c>
      <c r="L1233">
        <v>0.27401639999999999</v>
      </c>
      <c r="M1233">
        <v>0.20826059999999999</v>
      </c>
      <c r="N1233">
        <v>1.350654</v>
      </c>
    </row>
    <row r="1234" spans="1:14" hidden="1" x14ac:dyDescent="0.35">
      <c r="A1234" t="s">
        <v>680</v>
      </c>
      <c r="B1234" t="s">
        <v>73</v>
      </c>
      <c r="C1234" t="s">
        <v>71</v>
      </c>
      <c r="D1234" t="s">
        <v>142</v>
      </c>
      <c r="E1234" t="s">
        <v>584</v>
      </c>
      <c r="F1234" t="s">
        <v>581</v>
      </c>
      <c r="G1234" t="s">
        <v>396</v>
      </c>
      <c r="H1234">
        <v>0.74593200000000004</v>
      </c>
      <c r="I1234">
        <v>0.73239169999999998</v>
      </c>
      <c r="J1234">
        <v>0.67072270000000001</v>
      </c>
      <c r="K1234">
        <v>0.65337959999999995</v>
      </c>
      <c r="L1234">
        <v>0.6746683</v>
      </c>
      <c r="M1234">
        <v>0.58576499999999998</v>
      </c>
      <c r="N1234">
        <v>0.50861290000000003</v>
      </c>
    </row>
    <row r="1235" spans="1:14" hidden="1" x14ac:dyDescent="0.35">
      <c r="A1235" t="s">
        <v>680</v>
      </c>
      <c r="B1235" t="s">
        <v>73</v>
      </c>
      <c r="C1235" t="s">
        <v>71</v>
      </c>
      <c r="D1235" t="s">
        <v>142</v>
      </c>
      <c r="E1235" t="s">
        <v>584</v>
      </c>
      <c r="F1235" t="s">
        <v>581</v>
      </c>
      <c r="G1235" t="s">
        <v>25</v>
      </c>
      <c r="H1235">
        <v>3.4031800000000001E-2</v>
      </c>
      <c r="I1235">
        <v>4.0091880000000003E-2</v>
      </c>
      <c r="J1235">
        <v>3.7911090000000001E-2</v>
      </c>
      <c r="K1235">
        <v>2.8651630000000001E-2</v>
      </c>
      <c r="L1235">
        <v>2.41116E-2</v>
      </c>
      <c r="M1235">
        <v>1.9228809999999999E-2</v>
      </c>
      <c r="N1235">
        <v>1.533499E-2</v>
      </c>
    </row>
    <row r="1236" spans="1:14" hidden="1" x14ac:dyDescent="0.35">
      <c r="A1236" t="s">
        <v>680</v>
      </c>
      <c r="B1236" t="s">
        <v>73</v>
      </c>
      <c r="C1236" t="s">
        <v>71</v>
      </c>
      <c r="D1236" t="s">
        <v>142</v>
      </c>
      <c r="E1236" t="s">
        <v>584</v>
      </c>
      <c r="F1236" t="s">
        <v>26</v>
      </c>
      <c r="G1236" t="s">
        <v>26</v>
      </c>
      <c r="H1236">
        <v>9.2795299999999997E-2</v>
      </c>
      <c r="I1236">
        <v>9.7314700000000004E-2</v>
      </c>
      <c r="J1236">
        <v>0.1010447</v>
      </c>
      <c r="K1236">
        <v>9.1108930000000005E-2</v>
      </c>
      <c r="L1236">
        <v>7.3771890000000007E-2</v>
      </c>
      <c r="M1236">
        <v>5.667022E-2</v>
      </c>
      <c r="N1236">
        <v>4.3533019999999999E-2</v>
      </c>
    </row>
    <row r="1237" spans="1:14" hidden="1" x14ac:dyDescent="0.35">
      <c r="A1237" t="s">
        <v>680</v>
      </c>
      <c r="B1237" t="s">
        <v>73</v>
      </c>
      <c r="C1237" t="s">
        <v>155</v>
      </c>
      <c r="D1237" t="s">
        <v>358</v>
      </c>
      <c r="E1237" t="s">
        <v>584</v>
      </c>
      <c r="F1237" t="s">
        <v>581</v>
      </c>
      <c r="G1237" t="s">
        <v>396</v>
      </c>
      <c r="H1237">
        <v>0</v>
      </c>
      <c r="N1237">
        <v>0</v>
      </c>
    </row>
    <row r="1238" spans="1:14" hidden="1" x14ac:dyDescent="0.35">
      <c r="A1238" t="s">
        <v>680</v>
      </c>
      <c r="B1238" t="s">
        <v>73</v>
      </c>
      <c r="C1238" t="s">
        <v>155</v>
      </c>
      <c r="D1238" t="s">
        <v>358</v>
      </c>
      <c r="E1238" t="s">
        <v>584</v>
      </c>
      <c r="F1238" t="s">
        <v>581</v>
      </c>
      <c r="G1238" t="s">
        <v>24</v>
      </c>
      <c r="N1238">
        <v>0</v>
      </c>
    </row>
    <row r="1239" spans="1:14" hidden="1" x14ac:dyDescent="0.35">
      <c r="A1239" t="s">
        <v>680</v>
      </c>
      <c r="B1239" t="s">
        <v>73</v>
      </c>
      <c r="C1239" t="s">
        <v>155</v>
      </c>
      <c r="D1239" t="s">
        <v>358</v>
      </c>
      <c r="E1239" t="s">
        <v>584</v>
      </c>
      <c r="F1239" t="s">
        <v>581</v>
      </c>
      <c r="G1239" t="s">
        <v>25</v>
      </c>
      <c r="N1239">
        <v>0</v>
      </c>
    </row>
    <row r="1240" spans="1:14" hidden="1" x14ac:dyDescent="0.35">
      <c r="A1240" t="s">
        <v>680</v>
      </c>
      <c r="B1240" t="s">
        <v>73</v>
      </c>
      <c r="C1240" t="s">
        <v>155</v>
      </c>
      <c r="D1240" t="s">
        <v>358</v>
      </c>
      <c r="E1240" t="s">
        <v>584</v>
      </c>
      <c r="F1240" t="s">
        <v>26</v>
      </c>
      <c r="G1240" t="s">
        <v>26</v>
      </c>
      <c r="N1240">
        <v>0</v>
      </c>
    </row>
    <row r="1241" spans="1:14" hidden="1" x14ac:dyDescent="0.35">
      <c r="A1241" t="s">
        <v>681</v>
      </c>
      <c r="B1241" t="s">
        <v>37</v>
      </c>
      <c r="C1241" t="s">
        <v>35</v>
      </c>
      <c r="D1241" t="s">
        <v>129</v>
      </c>
      <c r="E1241" t="s">
        <v>580</v>
      </c>
      <c r="F1241" t="s">
        <v>581</v>
      </c>
      <c r="G1241" t="s">
        <v>396</v>
      </c>
      <c r="H1241">
        <v>70.136989999999997</v>
      </c>
      <c r="I1241">
        <v>74.364810000000006</v>
      </c>
      <c r="J1241">
        <v>68.7517</v>
      </c>
      <c r="K1241">
        <v>57.795729999999999</v>
      </c>
      <c r="L1241">
        <v>50.161720000000003</v>
      </c>
      <c r="M1241">
        <v>42.776910000000001</v>
      </c>
      <c r="N1241">
        <v>36.816980000000001</v>
      </c>
    </row>
    <row r="1242" spans="1:14" hidden="1" x14ac:dyDescent="0.35">
      <c r="A1242" t="s">
        <v>681</v>
      </c>
      <c r="B1242" t="s">
        <v>37</v>
      </c>
      <c r="C1242" t="s">
        <v>35</v>
      </c>
      <c r="D1242" t="s">
        <v>129</v>
      </c>
      <c r="E1242" t="s">
        <v>580</v>
      </c>
      <c r="F1242" t="s">
        <v>581</v>
      </c>
      <c r="G1242" t="s">
        <v>25</v>
      </c>
      <c r="H1242">
        <v>19.30959</v>
      </c>
      <c r="I1242">
        <v>19.72719</v>
      </c>
      <c r="J1242">
        <v>18.05649</v>
      </c>
      <c r="K1242">
        <v>15.114369999999999</v>
      </c>
      <c r="L1242">
        <v>13.056940000000001</v>
      </c>
      <c r="M1242">
        <v>11.087260000000001</v>
      </c>
      <c r="N1242">
        <v>9.4894700000000007</v>
      </c>
    </row>
    <row r="1243" spans="1:14" hidden="1" x14ac:dyDescent="0.35">
      <c r="A1243" t="s">
        <v>681</v>
      </c>
      <c r="B1243" t="s">
        <v>37</v>
      </c>
      <c r="C1243" t="s">
        <v>35</v>
      </c>
      <c r="D1243" t="s">
        <v>129</v>
      </c>
      <c r="E1243" t="s">
        <v>580</v>
      </c>
      <c r="F1243" t="s">
        <v>26</v>
      </c>
      <c r="G1243" t="s">
        <v>26</v>
      </c>
      <c r="H1243">
        <v>29.457529999999998</v>
      </c>
      <c r="I1243">
        <v>27.44436</v>
      </c>
      <c r="J1243">
        <v>25.013339999999999</v>
      </c>
      <c r="K1243">
        <v>20.900089999999999</v>
      </c>
      <c r="L1243">
        <v>18.019480000000001</v>
      </c>
      <c r="M1243">
        <v>15.273400000000001</v>
      </c>
      <c r="N1243">
        <v>13.04111</v>
      </c>
    </row>
    <row r="1244" spans="1:14" hidden="1" x14ac:dyDescent="0.35">
      <c r="A1244" t="s">
        <v>681</v>
      </c>
      <c r="B1244" t="s">
        <v>37</v>
      </c>
      <c r="C1244" t="s">
        <v>35</v>
      </c>
      <c r="D1244" t="s">
        <v>129</v>
      </c>
      <c r="E1244" t="s">
        <v>582</v>
      </c>
      <c r="F1244" t="s">
        <v>581</v>
      </c>
      <c r="G1244" t="s">
        <v>396</v>
      </c>
      <c r="H1244">
        <v>2.5117560000000001</v>
      </c>
      <c r="I1244">
        <v>4.1284159999999996</v>
      </c>
      <c r="J1244">
        <v>4.428642</v>
      </c>
      <c r="K1244">
        <v>4.4113509999999998</v>
      </c>
      <c r="L1244">
        <v>3.7150660000000002</v>
      </c>
      <c r="M1244">
        <v>3.0054110000000001</v>
      </c>
      <c r="N1244">
        <v>2.4550640000000001</v>
      </c>
    </row>
    <row r="1245" spans="1:14" hidden="1" x14ac:dyDescent="0.35">
      <c r="A1245" t="s">
        <v>681</v>
      </c>
      <c r="B1245" t="s">
        <v>37</v>
      </c>
      <c r="C1245" t="s">
        <v>35</v>
      </c>
      <c r="D1245" t="s">
        <v>129</v>
      </c>
      <c r="E1245" t="s">
        <v>582</v>
      </c>
      <c r="F1245" t="s">
        <v>581</v>
      </c>
      <c r="G1245" t="s">
        <v>25</v>
      </c>
      <c r="H1245">
        <v>0.86945209999999995</v>
      </c>
      <c r="I1245">
        <v>1.4252009999999999</v>
      </c>
      <c r="J1245">
        <v>1.5329930000000001</v>
      </c>
      <c r="K1245">
        <v>1.527004</v>
      </c>
      <c r="L1245">
        <v>1.285984</v>
      </c>
      <c r="M1245">
        <v>1.0403340000000001</v>
      </c>
      <c r="N1245">
        <v>0.84983399999999998</v>
      </c>
    </row>
    <row r="1246" spans="1:14" hidden="1" x14ac:dyDescent="0.35">
      <c r="A1246" t="s">
        <v>681</v>
      </c>
      <c r="B1246" t="s">
        <v>37</v>
      </c>
      <c r="C1246" t="s">
        <v>35</v>
      </c>
      <c r="D1246" t="s">
        <v>129</v>
      </c>
      <c r="E1246" t="s">
        <v>582</v>
      </c>
      <c r="F1246" t="s">
        <v>26</v>
      </c>
      <c r="G1246" t="s">
        <v>26</v>
      </c>
      <c r="H1246">
        <v>1.44909</v>
      </c>
      <c r="I1246">
        <v>2.3753350000000002</v>
      </c>
      <c r="J1246">
        <v>2.554986</v>
      </c>
      <c r="K1246">
        <v>2.54501</v>
      </c>
      <c r="L1246">
        <v>2.1433070000000001</v>
      </c>
      <c r="M1246">
        <v>1.7338910000000001</v>
      </c>
      <c r="N1246">
        <v>1.4163840000000001</v>
      </c>
    </row>
    <row r="1247" spans="1:14" hidden="1" x14ac:dyDescent="0.35">
      <c r="A1247" t="s">
        <v>681</v>
      </c>
      <c r="B1247" t="s">
        <v>37</v>
      </c>
      <c r="C1247" t="s">
        <v>35</v>
      </c>
      <c r="D1247" t="s">
        <v>129</v>
      </c>
      <c r="E1247" t="s">
        <v>584</v>
      </c>
      <c r="F1247" t="s">
        <v>581</v>
      </c>
      <c r="G1247" t="s">
        <v>396</v>
      </c>
      <c r="H1247">
        <v>0.40869860000000002</v>
      </c>
      <c r="I1247">
        <v>0.3767124</v>
      </c>
      <c r="J1247">
        <v>0.33734789999999998</v>
      </c>
      <c r="K1247">
        <v>0.30056329999999998</v>
      </c>
      <c r="L1247">
        <v>0.26936660000000001</v>
      </c>
      <c r="M1247">
        <v>0.2420477</v>
      </c>
      <c r="N1247">
        <v>0.21662629999999999</v>
      </c>
    </row>
    <row r="1248" spans="1:14" hidden="1" x14ac:dyDescent="0.35">
      <c r="A1248" t="s">
        <v>681</v>
      </c>
      <c r="B1248" t="s">
        <v>37</v>
      </c>
      <c r="C1248" t="s">
        <v>35</v>
      </c>
      <c r="D1248" t="s">
        <v>129</v>
      </c>
      <c r="E1248" t="s">
        <v>584</v>
      </c>
      <c r="F1248" t="s">
        <v>581</v>
      </c>
      <c r="G1248" t="s">
        <v>25</v>
      </c>
      <c r="H1248">
        <v>5.4495889999999998E-2</v>
      </c>
      <c r="I1248">
        <v>5.023068E-2</v>
      </c>
      <c r="J1248">
        <v>4.498137E-2</v>
      </c>
      <c r="K1248">
        <v>4.0075069999999997E-2</v>
      </c>
      <c r="L1248">
        <v>3.5915620000000002E-2</v>
      </c>
      <c r="M1248">
        <v>3.2269039999999999E-2</v>
      </c>
      <c r="N1248">
        <v>2.8887670000000001E-2</v>
      </c>
    </row>
    <row r="1249" spans="1:14" hidden="1" x14ac:dyDescent="0.35">
      <c r="A1249" t="s">
        <v>681</v>
      </c>
      <c r="B1249" t="s">
        <v>37</v>
      </c>
      <c r="C1249" t="s">
        <v>35</v>
      </c>
      <c r="D1249" t="s">
        <v>129</v>
      </c>
      <c r="E1249" t="s">
        <v>584</v>
      </c>
      <c r="F1249" t="s">
        <v>26</v>
      </c>
      <c r="G1249" t="s">
        <v>26</v>
      </c>
      <c r="H1249">
        <v>8.1739729999999997E-2</v>
      </c>
      <c r="I1249">
        <v>7.5340820000000003E-2</v>
      </c>
      <c r="J1249">
        <v>6.7470130000000003E-2</v>
      </c>
      <c r="K1249">
        <v>6.0110690000000001E-2</v>
      </c>
      <c r="L1249">
        <v>5.3872879999999998E-2</v>
      </c>
      <c r="M1249">
        <v>4.8409859999999999E-2</v>
      </c>
      <c r="N1249">
        <v>4.3324380000000003E-2</v>
      </c>
    </row>
    <row r="1250" spans="1:14" hidden="1" x14ac:dyDescent="0.35">
      <c r="A1250" t="s">
        <v>681</v>
      </c>
      <c r="B1250" t="s">
        <v>37</v>
      </c>
      <c r="C1250" t="s">
        <v>35</v>
      </c>
      <c r="D1250" t="s">
        <v>39</v>
      </c>
      <c r="E1250" t="s">
        <v>580</v>
      </c>
      <c r="F1250" t="s">
        <v>581</v>
      </c>
      <c r="G1250" t="s">
        <v>396</v>
      </c>
      <c r="H1250">
        <v>5.7355119999999999</v>
      </c>
      <c r="I1250">
        <v>5.2196290000000003</v>
      </c>
      <c r="J1250">
        <v>4.5760959999999997</v>
      </c>
      <c r="K1250">
        <v>3.8320110000000001</v>
      </c>
      <c r="L1250">
        <v>3.6215609999999998</v>
      </c>
      <c r="M1250">
        <v>3.4463539999999999</v>
      </c>
      <c r="N1250">
        <v>3.1406239999999999</v>
      </c>
    </row>
    <row r="1251" spans="1:14" hidden="1" x14ac:dyDescent="0.35">
      <c r="A1251" t="s">
        <v>681</v>
      </c>
      <c r="B1251" t="s">
        <v>37</v>
      </c>
      <c r="C1251" t="s">
        <v>35</v>
      </c>
      <c r="D1251" t="s">
        <v>39</v>
      </c>
      <c r="E1251" t="s">
        <v>580</v>
      </c>
      <c r="F1251" t="s">
        <v>581</v>
      </c>
      <c r="G1251" t="s">
        <v>25</v>
      </c>
      <c r="H1251">
        <v>2.5391560000000002</v>
      </c>
      <c r="I1251">
        <v>2.3214980000000001</v>
      </c>
      <c r="J1251">
        <v>2.0258799999999999</v>
      </c>
      <c r="K1251">
        <v>1.6964600000000001</v>
      </c>
      <c r="L1251">
        <v>1.603294</v>
      </c>
      <c r="M1251">
        <v>1.525728</v>
      </c>
      <c r="N1251">
        <v>1.3903829999999999</v>
      </c>
    </row>
    <row r="1252" spans="1:14" hidden="1" x14ac:dyDescent="0.35">
      <c r="A1252" t="s">
        <v>681</v>
      </c>
      <c r="B1252" t="s">
        <v>37</v>
      </c>
      <c r="C1252" t="s">
        <v>35</v>
      </c>
      <c r="D1252" t="s">
        <v>39</v>
      </c>
      <c r="E1252" t="s">
        <v>580</v>
      </c>
      <c r="F1252" t="s">
        <v>26</v>
      </c>
      <c r="G1252" t="s">
        <v>26</v>
      </c>
      <c r="H1252">
        <v>4.0626519999999999</v>
      </c>
      <c r="I1252">
        <v>3.7143959999999998</v>
      </c>
      <c r="J1252">
        <v>3.2414000000000001</v>
      </c>
      <c r="K1252">
        <v>2.7143410000000001</v>
      </c>
      <c r="L1252">
        <v>2.5652720000000002</v>
      </c>
      <c r="M1252">
        <v>2.4411689999999999</v>
      </c>
      <c r="N1252">
        <v>2.224612</v>
      </c>
    </row>
    <row r="1253" spans="1:14" hidden="1" x14ac:dyDescent="0.35">
      <c r="A1253" t="s">
        <v>681</v>
      </c>
      <c r="B1253" t="s">
        <v>37</v>
      </c>
      <c r="C1253" t="s">
        <v>35</v>
      </c>
      <c r="D1253" t="s">
        <v>39</v>
      </c>
      <c r="E1253" t="s">
        <v>582</v>
      </c>
      <c r="F1253" t="s">
        <v>581</v>
      </c>
      <c r="G1253" t="s">
        <v>396</v>
      </c>
      <c r="H1253">
        <v>1.3549640000000001</v>
      </c>
      <c r="I1253">
        <v>1.352927</v>
      </c>
      <c r="J1253">
        <v>1.2173</v>
      </c>
      <c r="K1253">
        <v>1.0008220000000001</v>
      </c>
      <c r="L1253">
        <v>0.85697869999999998</v>
      </c>
      <c r="M1253">
        <v>0.70677259999999997</v>
      </c>
      <c r="N1253">
        <v>0.58889749999999996</v>
      </c>
    </row>
    <row r="1254" spans="1:14" hidden="1" x14ac:dyDescent="0.35">
      <c r="A1254" t="s">
        <v>681</v>
      </c>
      <c r="B1254" t="s">
        <v>37</v>
      </c>
      <c r="C1254" t="s">
        <v>35</v>
      </c>
      <c r="D1254" t="s">
        <v>39</v>
      </c>
      <c r="E1254" t="s">
        <v>582</v>
      </c>
      <c r="F1254" t="s">
        <v>581</v>
      </c>
      <c r="G1254" t="s">
        <v>25</v>
      </c>
      <c r="H1254">
        <v>0.70450959999999996</v>
      </c>
      <c r="I1254">
        <v>0.70344930000000006</v>
      </c>
      <c r="J1254">
        <v>0.63292870000000001</v>
      </c>
      <c r="K1254">
        <v>0.5203759</v>
      </c>
      <c r="L1254">
        <v>0.44558189999999998</v>
      </c>
      <c r="M1254">
        <v>0.36748439999999999</v>
      </c>
      <c r="N1254">
        <v>0.30619400000000002</v>
      </c>
    </row>
    <row r="1255" spans="1:14" hidden="1" x14ac:dyDescent="0.35">
      <c r="A1255" t="s">
        <v>681</v>
      </c>
      <c r="B1255" t="s">
        <v>37</v>
      </c>
      <c r="C1255" t="s">
        <v>35</v>
      </c>
      <c r="D1255" t="s">
        <v>39</v>
      </c>
      <c r="E1255" t="s">
        <v>582</v>
      </c>
      <c r="F1255" t="s">
        <v>26</v>
      </c>
      <c r="G1255" t="s">
        <v>26</v>
      </c>
      <c r="H1255">
        <v>0.91892609999999997</v>
      </c>
      <c r="I1255">
        <v>0.91754530000000001</v>
      </c>
      <c r="J1255">
        <v>0.82556269999999998</v>
      </c>
      <c r="K1255">
        <v>0.67874630000000002</v>
      </c>
      <c r="L1255">
        <v>0.58119399999999999</v>
      </c>
      <c r="M1255">
        <v>0.4793288</v>
      </c>
      <c r="N1255">
        <v>0.3993835</v>
      </c>
    </row>
    <row r="1256" spans="1:14" hidden="1" x14ac:dyDescent="0.35">
      <c r="A1256" t="s">
        <v>681</v>
      </c>
      <c r="B1256" t="s">
        <v>37</v>
      </c>
      <c r="C1256" t="s">
        <v>35</v>
      </c>
      <c r="D1256" t="s">
        <v>207</v>
      </c>
      <c r="E1256" t="s">
        <v>585</v>
      </c>
      <c r="F1256" t="s">
        <v>581</v>
      </c>
      <c r="G1256" t="s">
        <v>396</v>
      </c>
      <c r="H1256">
        <v>0.8370959</v>
      </c>
      <c r="I1256">
        <v>0.73694789999999999</v>
      </c>
      <c r="J1256">
        <v>0.64623560000000002</v>
      </c>
      <c r="K1256">
        <v>0.57631180000000004</v>
      </c>
      <c r="L1256">
        <v>0.52038689999999999</v>
      </c>
      <c r="M1256">
        <v>0.4583797</v>
      </c>
      <c r="N1256">
        <v>0.39884059999999999</v>
      </c>
    </row>
    <row r="1257" spans="1:14" hidden="1" x14ac:dyDescent="0.35">
      <c r="A1257" t="s">
        <v>681</v>
      </c>
      <c r="B1257" t="s">
        <v>37</v>
      </c>
      <c r="C1257" t="s">
        <v>35</v>
      </c>
      <c r="D1257" t="s">
        <v>207</v>
      </c>
      <c r="E1257" t="s">
        <v>585</v>
      </c>
      <c r="F1257" t="s">
        <v>581</v>
      </c>
      <c r="G1257" t="s">
        <v>25</v>
      </c>
      <c r="H1257">
        <v>9.1221919999999998E-2</v>
      </c>
      <c r="I1257">
        <v>8.030959E-2</v>
      </c>
      <c r="J1257">
        <v>7.0421919999999999E-2</v>
      </c>
      <c r="K1257">
        <v>6.2804390000000002E-2</v>
      </c>
      <c r="L1257">
        <v>5.670795E-2</v>
      </c>
      <c r="M1257">
        <v>4.9951780000000001E-2</v>
      </c>
      <c r="N1257">
        <v>4.346357E-2</v>
      </c>
    </row>
    <row r="1258" spans="1:14" hidden="1" x14ac:dyDescent="0.35">
      <c r="A1258" t="s">
        <v>681</v>
      </c>
      <c r="B1258" t="s">
        <v>37</v>
      </c>
      <c r="C1258" t="s">
        <v>35</v>
      </c>
      <c r="D1258" t="s">
        <v>207</v>
      </c>
      <c r="E1258" t="s">
        <v>585</v>
      </c>
      <c r="F1258" t="s">
        <v>26</v>
      </c>
      <c r="G1258" t="s">
        <v>26</v>
      </c>
      <c r="H1258">
        <v>0.15963840000000001</v>
      </c>
      <c r="I1258">
        <v>0.14053969999999999</v>
      </c>
      <c r="J1258">
        <v>0.12324110000000001</v>
      </c>
      <c r="K1258">
        <v>0.1099058</v>
      </c>
      <c r="L1258">
        <v>9.9239450000000007E-2</v>
      </c>
      <c r="M1258">
        <v>8.7415350000000003E-2</v>
      </c>
      <c r="N1258">
        <v>7.6060820000000001E-2</v>
      </c>
    </row>
    <row r="1259" spans="1:14" hidden="1" x14ac:dyDescent="0.35">
      <c r="A1259" t="s">
        <v>681</v>
      </c>
      <c r="B1259" t="s">
        <v>37</v>
      </c>
      <c r="C1259" t="s">
        <v>51</v>
      </c>
      <c r="D1259" t="s">
        <v>51</v>
      </c>
      <c r="E1259" t="s">
        <v>602</v>
      </c>
      <c r="F1259" t="s">
        <v>581</v>
      </c>
      <c r="G1259" t="s">
        <v>396</v>
      </c>
      <c r="H1259">
        <v>56.226309999999998</v>
      </c>
      <c r="I1259">
        <v>59.123989999999999</v>
      </c>
      <c r="J1259">
        <v>54.029969999999999</v>
      </c>
      <c r="K1259">
        <v>45.715069999999997</v>
      </c>
      <c r="L1259">
        <v>40.76999</v>
      </c>
      <c r="M1259">
        <v>38.181310000000003</v>
      </c>
      <c r="N1259">
        <v>35.486060000000002</v>
      </c>
    </row>
    <row r="1260" spans="1:14" hidden="1" x14ac:dyDescent="0.35">
      <c r="A1260" t="s">
        <v>681</v>
      </c>
      <c r="B1260" t="s">
        <v>37</v>
      </c>
      <c r="C1260" t="s">
        <v>51</v>
      </c>
      <c r="D1260" t="s">
        <v>51</v>
      </c>
      <c r="E1260" t="s">
        <v>602</v>
      </c>
      <c r="F1260" t="s">
        <v>581</v>
      </c>
      <c r="G1260" t="s">
        <v>25</v>
      </c>
      <c r="H1260">
        <v>6.4778820000000001</v>
      </c>
      <c r="I1260">
        <v>6.80898</v>
      </c>
      <c r="J1260">
        <v>6.224837</v>
      </c>
      <c r="K1260">
        <v>5.2668730000000004</v>
      </c>
      <c r="L1260">
        <v>4.6971449999999999</v>
      </c>
      <c r="M1260">
        <v>4.3988959999999997</v>
      </c>
      <c r="N1260">
        <v>4.0883789999999998</v>
      </c>
    </row>
    <row r="1261" spans="1:14" hidden="1" x14ac:dyDescent="0.35">
      <c r="A1261" t="s">
        <v>681</v>
      </c>
      <c r="B1261" t="s">
        <v>37</v>
      </c>
      <c r="C1261" t="s">
        <v>51</v>
      </c>
      <c r="D1261" t="s">
        <v>51</v>
      </c>
      <c r="E1261" t="s">
        <v>602</v>
      </c>
      <c r="F1261" t="s">
        <v>26</v>
      </c>
      <c r="G1261" t="s">
        <v>26</v>
      </c>
      <c r="H1261">
        <v>5.7581179999999996</v>
      </c>
      <c r="I1261">
        <v>6.0524250000000004</v>
      </c>
      <c r="J1261">
        <v>5.5331890000000001</v>
      </c>
      <c r="K1261">
        <v>4.6816630000000004</v>
      </c>
      <c r="L1261">
        <v>4.1752390000000004</v>
      </c>
      <c r="M1261">
        <v>3.9101340000000002</v>
      </c>
      <c r="N1261">
        <v>3.6341130000000001</v>
      </c>
    </row>
    <row r="1262" spans="1:14" hidden="1" x14ac:dyDescent="0.35">
      <c r="A1262" t="s">
        <v>682</v>
      </c>
      <c r="B1262" t="s">
        <v>37</v>
      </c>
      <c r="C1262" t="s">
        <v>61</v>
      </c>
      <c r="D1262" t="s">
        <v>62</v>
      </c>
      <c r="E1262" t="s">
        <v>584</v>
      </c>
      <c r="F1262" t="s">
        <v>581</v>
      </c>
      <c r="G1262" t="s">
        <v>396</v>
      </c>
      <c r="H1262">
        <v>57.63982</v>
      </c>
      <c r="I1262">
        <v>56.875169999999997</v>
      </c>
      <c r="J1262">
        <v>54.901389999999999</v>
      </c>
      <c r="K1262">
        <v>52.138210000000001</v>
      </c>
      <c r="L1262">
        <v>57.082389999999997</v>
      </c>
      <c r="M1262">
        <v>57.339390000000002</v>
      </c>
      <c r="N1262">
        <v>51.667769999999997</v>
      </c>
    </row>
    <row r="1263" spans="1:14" hidden="1" x14ac:dyDescent="0.35">
      <c r="A1263" t="s">
        <v>682</v>
      </c>
      <c r="B1263" t="s">
        <v>37</v>
      </c>
      <c r="C1263" t="s">
        <v>61</v>
      </c>
      <c r="D1263" t="s">
        <v>62</v>
      </c>
      <c r="E1263" t="s">
        <v>584</v>
      </c>
      <c r="F1263" t="s">
        <v>581</v>
      </c>
      <c r="G1263" t="s">
        <v>24</v>
      </c>
      <c r="H1263">
        <v>2.027298</v>
      </c>
      <c r="I1263">
        <v>1.3604639999999999</v>
      </c>
      <c r="J1263">
        <v>0.91594039999999999</v>
      </c>
      <c r="K1263">
        <v>0.6170118</v>
      </c>
      <c r="L1263">
        <v>0.4149216</v>
      </c>
      <c r="M1263">
        <v>0.27930149999999998</v>
      </c>
      <c r="N1263">
        <v>3.7697679999999997E-2</v>
      </c>
    </row>
    <row r="1264" spans="1:14" hidden="1" x14ac:dyDescent="0.35">
      <c r="A1264" t="s">
        <v>682</v>
      </c>
      <c r="B1264" t="s">
        <v>37</v>
      </c>
      <c r="C1264" t="s">
        <v>61</v>
      </c>
      <c r="D1264" t="s">
        <v>62</v>
      </c>
      <c r="E1264" t="s">
        <v>584</v>
      </c>
      <c r="F1264" t="s">
        <v>581</v>
      </c>
      <c r="G1264" t="s">
        <v>25</v>
      </c>
      <c r="H1264">
        <v>0.80196149999999999</v>
      </c>
      <c r="I1264">
        <v>0.76563809999999999</v>
      </c>
      <c r="J1264">
        <v>0.71279870000000001</v>
      </c>
      <c r="K1264">
        <v>0.66624859999999997</v>
      </c>
      <c r="L1264">
        <v>0.60256560000000003</v>
      </c>
      <c r="M1264">
        <v>0.52581979999999995</v>
      </c>
      <c r="N1264">
        <v>0.4354885</v>
      </c>
    </row>
    <row r="1265" spans="1:14" hidden="1" x14ac:dyDescent="0.35">
      <c r="A1265" t="s">
        <v>682</v>
      </c>
      <c r="B1265" t="s">
        <v>37</v>
      </c>
      <c r="C1265" t="s">
        <v>61</v>
      </c>
      <c r="D1265" t="s">
        <v>62</v>
      </c>
      <c r="E1265" t="s">
        <v>584</v>
      </c>
      <c r="F1265" t="s">
        <v>26</v>
      </c>
      <c r="G1265" t="s">
        <v>26</v>
      </c>
      <c r="H1265">
        <v>11.047040000000001</v>
      </c>
      <c r="I1265">
        <v>13.46862</v>
      </c>
      <c r="J1265">
        <v>12.739520000000001</v>
      </c>
      <c r="K1265">
        <v>11.03711</v>
      </c>
      <c r="L1265">
        <v>10.5982</v>
      </c>
      <c r="M1265">
        <v>9.3171680000000006</v>
      </c>
      <c r="N1265">
        <v>7.8655720000000002</v>
      </c>
    </row>
    <row r="1266" spans="1:14" hidden="1" x14ac:dyDescent="0.35">
      <c r="A1266" t="s">
        <v>682</v>
      </c>
      <c r="B1266" t="s">
        <v>37</v>
      </c>
      <c r="C1266" t="s">
        <v>79</v>
      </c>
      <c r="D1266" t="s">
        <v>79</v>
      </c>
      <c r="E1266" t="s">
        <v>600</v>
      </c>
      <c r="F1266" t="s">
        <v>581</v>
      </c>
      <c r="G1266" t="s">
        <v>24</v>
      </c>
      <c r="H1266">
        <v>11.73617</v>
      </c>
      <c r="I1266">
        <v>11.00742</v>
      </c>
      <c r="J1266">
        <v>9.2651819999999994</v>
      </c>
      <c r="K1266">
        <v>7.1575559999999996</v>
      </c>
      <c r="L1266">
        <v>5.7655810000000001</v>
      </c>
      <c r="M1266">
        <v>4.7586909999999998</v>
      </c>
      <c r="N1266">
        <v>4.025188</v>
      </c>
    </row>
    <row r="1267" spans="1:14" hidden="1" x14ac:dyDescent="0.35">
      <c r="A1267" t="s">
        <v>682</v>
      </c>
      <c r="B1267" t="s">
        <v>37</v>
      </c>
      <c r="C1267" t="s">
        <v>79</v>
      </c>
      <c r="D1267" t="s">
        <v>79</v>
      </c>
      <c r="E1267" t="s">
        <v>600</v>
      </c>
      <c r="F1267" t="s">
        <v>581</v>
      </c>
      <c r="G1267" t="s">
        <v>25</v>
      </c>
      <c r="H1267">
        <v>3.328767</v>
      </c>
      <c r="I1267">
        <v>4.9696639999999999</v>
      </c>
      <c r="J1267">
        <v>4.2114450000000003</v>
      </c>
      <c r="K1267">
        <v>3.2534329999999998</v>
      </c>
      <c r="L1267">
        <v>2.6207199999999999</v>
      </c>
      <c r="M1267">
        <v>2.1630449999999999</v>
      </c>
      <c r="N1267">
        <v>1.8296300000000001</v>
      </c>
    </row>
    <row r="1268" spans="1:14" hidden="1" x14ac:dyDescent="0.35">
      <c r="A1268" t="s">
        <v>682</v>
      </c>
      <c r="B1268" t="s">
        <v>37</v>
      </c>
      <c r="C1268" t="s">
        <v>79</v>
      </c>
      <c r="D1268" t="s">
        <v>79</v>
      </c>
      <c r="E1268" t="s">
        <v>600</v>
      </c>
      <c r="F1268" t="s">
        <v>26</v>
      </c>
      <c r="G1268" t="s">
        <v>26</v>
      </c>
      <c r="H1268">
        <v>2.3219180000000001</v>
      </c>
      <c r="I1268">
        <v>3.9757340000000001</v>
      </c>
      <c r="J1268">
        <v>3.369157</v>
      </c>
      <c r="K1268">
        <v>2.6027490000000002</v>
      </c>
      <c r="L1268">
        <v>2.0965750000000001</v>
      </c>
      <c r="M1268">
        <v>1.7304330000000001</v>
      </c>
      <c r="N1268">
        <v>1.463705</v>
      </c>
    </row>
    <row r="1269" spans="1:14" hidden="1" x14ac:dyDescent="0.35">
      <c r="A1269" t="s">
        <v>682</v>
      </c>
      <c r="B1269" t="s">
        <v>37</v>
      </c>
      <c r="C1269" t="s">
        <v>79</v>
      </c>
      <c r="D1269" t="s">
        <v>79</v>
      </c>
      <c r="E1269" t="s">
        <v>614</v>
      </c>
      <c r="F1269" t="s">
        <v>581</v>
      </c>
      <c r="G1269" t="s">
        <v>396</v>
      </c>
      <c r="H1269">
        <v>9.4109590000000001</v>
      </c>
      <c r="I1269">
        <v>10.31578</v>
      </c>
      <c r="J1269">
        <v>11.71733</v>
      </c>
      <c r="K1269">
        <v>8.7271269999999994</v>
      </c>
      <c r="L1269">
        <v>8.7472399999999997</v>
      </c>
      <c r="M1269">
        <v>5.6561599999999999</v>
      </c>
      <c r="N1269">
        <v>3.315248</v>
      </c>
    </row>
    <row r="1270" spans="1:14" hidden="1" x14ac:dyDescent="0.35">
      <c r="A1270" t="s">
        <v>682</v>
      </c>
      <c r="B1270" t="s">
        <v>37</v>
      </c>
      <c r="C1270" t="s">
        <v>79</v>
      </c>
      <c r="D1270" t="s">
        <v>79</v>
      </c>
      <c r="E1270" t="s">
        <v>614</v>
      </c>
      <c r="F1270" t="s">
        <v>581</v>
      </c>
      <c r="G1270" t="s">
        <v>25</v>
      </c>
      <c r="H1270">
        <v>0.82191780000000003</v>
      </c>
      <c r="I1270">
        <v>1.292311</v>
      </c>
      <c r="J1270">
        <v>1.464663</v>
      </c>
      <c r="K1270">
        <v>1.0908949999999999</v>
      </c>
      <c r="L1270">
        <v>1.093404</v>
      </c>
      <c r="M1270">
        <v>0.70701919999999996</v>
      </c>
      <c r="N1270">
        <v>0.41441040000000001</v>
      </c>
    </row>
    <row r="1271" spans="1:14" hidden="1" x14ac:dyDescent="0.35">
      <c r="A1271" t="s">
        <v>682</v>
      </c>
      <c r="B1271" t="s">
        <v>37</v>
      </c>
      <c r="C1271" t="s">
        <v>79</v>
      </c>
      <c r="D1271" t="s">
        <v>79</v>
      </c>
      <c r="E1271" t="s">
        <v>614</v>
      </c>
      <c r="F1271" t="s">
        <v>26</v>
      </c>
      <c r="G1271" t="s">
        <v>26</v>
      </c>
      <c r="H1271">
        <v>0.71917810000000004</v>
      </c>
      <c r="I1271">
        <v>1.2923089999999999</v>
      </c>
      <c r="J1271">
        <v>1.4646680000000001</v>
      </c>
      <c r="K1271">
        <v>1.0908910000000001</v>
      </c>
      <c r="L1271">
        <v>1.0934060000000001</v>
      </c>
      <c r="M1271">
        <v>0.70702200000000004</v>
      </c>
      <c r="N1271">
        <v>0.414406</v>
      </c>
    </row>
    <row r="1272" spans="1:14" hidden="1" x14ac:dyDescent="0.35">
      <c r="A1272" t="s">
        <v>682</v>
      </c>
      <c r="B1272" t="s">
        <v>37</v>
      </c>
      <c r="C1272" t="s">
        <v>79</v>
      </c>
      <c r="D1272" t="s">
        <v>79</v>
      </c>
      <c r="E1272" t="s">
        <v>615</v>
      </c>
      <c r="F1272" t="s">
        <v>581</v>
      </c>
      <c r="G1272" t="s">
        <v>396</v>
      </c>
      <c r="H1272">
        <v>10.643840000000001</v>
      </c>
      <c r="I1272">
        <v>8.0547620000000002</v>
      </c>
      <c r="J1272">
        <v>6.459606</v>
      </c>
      <c r="K1272">
        <v>5.3439290000000002</v>
      </c>
      <c r="L1272">
        <v>4.4109230000000004</v>
      </c>
      <c r="M1272">
        <v>3.3615089999999999</v>
      </c>
      <c r="N1272">
        <v>2.7554319999999999</v>
      </c>
    </row>
    <row r="1273" spans="1:14" hidden="1" x14ac:dyDescent="0.35">
      <c r="A1273" t="s">
        <v>682</v>
      </c>
      <c r="B1273" t="s">
        <v>37</v>
      </c>
      <c r="C1273" t="s">
        <v>79</v>
      </c>
      <c r="D1273" t="s">
        <v>79</v>
      </c>
      <c r="E1273" t="s">
        <v>615</v>
      </c>
      <c r="F1273" t="s">
        <v>581</v>
      </c>
      <c r="G1273" t="s">
        <v>25</v>
      </c>
      <c r="H1273">
        <v>1.191781</v>
      </c>
      <c r="I1273">
        <v>1.2782420000000001</v>
      </c>
      <c r="J1273">
        <v>1.0335350000000001</v>
      </c>
      <c r="K1273">
        <v>0.85502959999999995</v>
      </c>
      <c r="L1273">
        <v>0.7057485</v>
      </c>
      <c r="M1273">
        <v>0.53784160000000003</v>
      </c>
      <c r="N1273">
        <v>0.44087009999999999</v>
      </c>
    </row>
    <row r="1274" spans="1:14" hidden="1" x14ac:dyDescent="0.35">
      <c r="A1274" t="s">
        <v>682</v>
      </c>
      <c r="B1274" t="s">
        <v>37</v>
      </c>
      <c r="C1274" t="s">
        <v>79</v>
      </c>
      <c r="D1274" t="s">
        <v>79</v>
      </c>
      <c r="E1274" t="s">
        <v>615</v>
      </c>
      <c r="F1274" t="s">
        <v>26</v>
      </c>
      <c r="G1274" t="s">
        <v>26</v>
      </c>
      <c r="H1274">
        <v>1.1301369999999999</v>
      </c>
      <c r="I1274">
        <v>1.384765</v>
      </c>
      <c r="J1274">
        <v>1.1196680000000001</v>
      </c>
      <c r="K1274">
        <v>0.92628219999999994</v>
      </c>
      <c r="L1274">
        <v>0.76456000000000002</v>
      </c>
      <c r="M1274">
        <v>0.58266030000000002</v>
      </c>
      <c r="N1274">
        <v>0.4776088</v>
      </c>
    </row>
    <row r="1275" spans="1:14" hidden="1" x14ac:dyDescent="0.35">
      <c r="A1275" t="s">
        <v>682</v>
      </c>
      <c r="B1275" t="s">
        <v>37</v>
      </c>
      <c r="C1275" t="s">
        <v>79</v>
      </c>
      <c r="D1275" t="s">
        <v>79</v>
      </c>
      <c r="E1275" t="s">
        <v>601</v>
      </c>
      <c r="F1275" t="s">
        <v>581</v>
      </c>
      <c r="G1275" t="s">
        <v>396</v>
      </c>
      <c r="H1275">
        <v>1.819178</v>
      </c>
      <c r="I1275">
        <v>2.0216219999999998</v>
      </c>
      <c r="J1275">
        <v>2.0674260000000002</v>
      </c>
      <c r="K1275">
        <v>1.9692639999999999</v>
      </c>
      <c r="L1275">
        <v>1.8863080000000001</v>
      </c>
      <c r="M1275">
        <v>1.643203</v>
      </c>
      <c r="N1275">
        <v>1.5257179999999999</v>
      </c>
    </row>
    <row r="1276" spans="1:14" hidden="1" x14ac:dyDescent="0.35">
      <c r="A1276" t="s">
        <v>682</v>
      </c>
      <c r="B1276" t="s">
        <v>37</v>
      </c>
      <c r="C1276" t="s">
        <v>79</v>
      </c>
      <c r="D1276" t="s">
        <v>79</v>
      </c>
      <c r="E1276" t="s">
        <v>601</v>
      </c>
      <c r="F1276" t="s">
        <v>581</v>
      </c>
      <c r="G1276" t="s">
        <v>25</v>
      </c>
      <c r="H1276">
        <v>0.1972603</v>
      </c>
      <c r="I1276">
        <v>0.32597369999999998</v>
      </c>
      <c r="J1276">
        <v>0.32908379999999998</v>
      </c>
      <c r="K1276">
        <v>0.30846030000000002</v>
      </c>
      <c r="L1276">
        <v>0.29557810000000001</v>
      </c>
      <c r="M1276">
        <v>0.25467889999999999</v>
      </c>
      <c r="N1276">
        <v>0.23460710000000001</v>
      </c>
    </row>
    <row r="1277" spans="1:14" hidden="1" x14ac:dyDescent="0.35">
      <c r="A1277" t="s">
        <v>682</v>
      </c>
      <c r="B1277" t="s">
        <v>37</v>
      </c>
      <c r="C1277" t="s">
        <v>79</v>
      </c>
      <c r="D1277" t="s">
        <v>79</v>
      </c>
      <c r="E1277" t="s">
        <v>601</v>
      </c>
      <c r="F1277" t="s">
        <v>26</v>
      </c>
      <c r="G1277" t="s">
        <v>26</v>
      </c>
      <c r="H1277">
        <v>0.17534250000000001</v>
      </c>
      <c r="I1277">
        <v>0.32597480000000001</v>
      </c>
      <c r="J1277">
        <v>0.32907350000000002</v>
      </c>
      <c r="K1277">
        <v>0.30846249999999997</v>
      </c>
      <c r="L1277">
        <v>0.29558299999999998</v>
      </c>
      <c r="M1277">
        <v>0.25467840000000003</v>
      </c>
      <c r="N1277">
        <v>0.23460929999999999</v>
      </c>
    </row>
    <row r="1278" spans="1:14" hidden="1" x14ac:dyDescent="0.35">
      <c r="A1278" t="s">
        <v>682</v>
      </c>
      <c r="B1278" t="s">
        <v>37</v>
      </c>
      <c r="C1278" t="s">
        <v>79</v>
      </c>
      <c r="D1278" t="s">
        <v>79</v>
      </c>
      <c r="E1278" t="s">
        <v>617</v>
      </c>
      <c r="F1278" t="s">
        <v>581</v>
      </c>
      <c r="G1278" t="s">
        <v>25</v>
      </c>
      <c r="H1278">
        <v>4.1095890000000003E-2</v>
      </c>
      <c r="I1278">
        <v>4.3893149999999999E-2</v>
      </c>
      <c r="J1278">
        <v>3.2057540000000002E-2</v>
      </c>
      <c r="K1278">
        <v>3.1868500000000001E-2</v>
      </c>
      <c r="L1278">
        <v>3.1877259999999998E-2</v>
      </c>
      <c r="M1278">
        <v>2.6003289999999998E-2</v>
      </c>
      <c r="N1278">
        <v>2.1991779999999999E-2</v>
      </c>
    </row>
    <row r="1279" spans="1:14" hidden="1" x14ac:dyDescent="0.35">
      <c r="A1279" t="s">
        <v>682</v>
      </c>
      <c r="B1279" t="s">
        <v>37</v>
      </c>
      <c r="C1279" t="s">
        <v>79</v>
      </c>
      <c r="D1279" t="s">
        <v>79</v>
      </c>
      <c r="E1279" t="s">
        <v>617</v>
      </c>
      <c r="F1279" t="s">
        <v>26</v>
      </c>
      <c r="G1279" t="s">
        <v>26</v>
      </c>
      <c r="H1279">
        <v>0.67808219999999997</v>
      </c>
      <c r="I1279">
        <v>0.83391230000000005</v>
      </c>
      <c r="J1279">
        <v>0.60903010000000002</v>
      </c>
      <c r="K1279">
        <v>0.60548279999999999</v>
      </c>
      <c r="L1279">
        <v>0.60569419999999996</v>
      </c>
      <c r="M1279">
        <v>0.4940696</v>
      </c>
      <c r="N1279">
        <v>0.41778910000000002</v>
      </c>
    </row>
    <row r="1280" spans="1:14" hidden="1" x14ac:dyDescent="0.35">
      <c r="A1280" t="s">
        <v>682</v>
      </c>
      <c r="B1280" t="s">
        <v>37</v>
      </c>
      <c r="C1280" t="s">
        <v>109</v>
      </c>
      <c r="D1280" t="s">
        <v>109</v>
      </c>
      <c r="E1280" t="s">
        <v>584</v>
      </c>
      <c r="F1280" t="s">
        <v>581</v>
      </c>
      <c r="G1280" t="s">
        <v>396</v>
      </c>
      <c r="H1280">
        <v>2.6768219999999999E-2</v>
      </c>
      <c r="I1280">
        <v>2.480274E-2</v>
      </c>
      <c r="J1280">
        <v>2.2981919999999999E-2</v>
      </c>
      <c r="K1280">
        <v>2.1294790000000001E-2</v>
      </c>
      <c r="L1280">
        <v>1.9731510000000001E-2</v>
      </c>
      <c r="M1280">
        <v>0</v>
      </c>
      <c r="N1280">
        <v>0</v>
      </c>
    </row>
    <row r="1281" spans="1:14" hidden="1" x14ac:dyDescent="0.35">
      <c r="A1281" t="s">
        <v>682</v>
      </c>
      <c r="B1281" t="s">
        <v>37</v>
      </c>
      <c r="C1281" t="s">
        <v>109</v>
      </c>
      <c r="D1281" t="s">
        <v>109</v>
      </c>
      <c r="E1281" t="s">
        <v>584</v>
      </c>
      <c r="F1281" t="s">
        <v>581</v>
      </c>
      <c r="G1281" t="s">
        <v>24</v>
      </c>
      <c r="H1281">
        <v>0.32349660000000002</v>
      </c>
      <c r="I1281">
        <v>0.22210189999999999</v>
      </c>
      <c r="J1281">
        <v>0.15388850000000001</v>
      </c>
      <c r="K1281">
        <v>0.107794</v>
      </c>
      <c r="L1281">
        <v>7.6445139999999995E-2</v>
      </c>
      <c r="M1281">
        <v>5.4823459999999997E-2</v>
      </c>
      <c r="N1281">
        <v>0</v>
      </c>
    </row>
    <row r="1282" spans="1:14" hidden="1" x14ac:dyDescent="0.35">
      <c r="A1282" t="s">
        <v>682</v>
      </c>
      <c r="B1282" t="s">
        <v>37</v>
      </c>
      <c r="C1282" t="s">
        <v>109</v>
      </c>
      <c r="D1282" t="s">
        <v>109</v>
      </c>
      <c r="E1282" t="s">
        <v>584</v>
      </c>
      <c r="F1282" t="s">
        <v>581</v>
      </c>
      <c r="G1282" t="s">
        <v>25</v>
      </c>
      <c r="H1282">
        <v>0.21459010000000001</v>
      </c>
      <c r="I1282">
        <v>0.15527579999999999</v>
      </c>
      <c r="J1282">
        <v>0.1147145</v>
      </c>
      <c r="K1282">
        <v>8.6559319999999995E-2</v>
      </c>
      <c r="L1282">
        <v>6.6605849999999994E-2</v>
      </c>
      <c r="M1282">
        <v>5.1906319999999999E-2</v>
      </c>
      <c r="N1282">
        <v>0</v>
      </c>
    </row>
    <row r="1283" spans="1:14" hidden="1" x14ac:dyDescent="0.35">
      <c r="A1283" t="s">
        <v>682</v>
      </c>
      <c r="B1283" t="s">
        <v>37</v>
      </c>
      <c r="C1283" t="s">
        <v>109</v>
      </c>
      <c r="D1283" t="s">
        <v>109</v>
      </c>
      <c r="E1283" t="s">
        <v>584</v>
      </c>
      <c r="F1283" t="s">
        <v>26</v>
      </c>
      <c r="G1283" t="s">
        <v>26</v>
      </c>
      <c r="H1283">
        <v>2.4612759999999998</v>
      </c>
      <c r="I1283">
        <v>1.73048</v>
      </c>
      <c r="J1283">
        <v>1.234515</v>
      </c>
      <c r="K1283">
        <v>0.89440609999999998</v>
      </c>
      <c r="L1283">
        <v>0.65137270000000003</v>
      </c>
      <c r="M1283">
        <v>0.48267900000000002</v>
      </c>
      <c r="N1283">
        <v>2.1090850000000001E-3</v>
      </c>
    </row>
    <row r="1284" spans="1:14" hidden="1" x14ac:dyDescent="0.35">
      <c r="A1284" t="s">
        <v>682</v>
      </c>
      <c r="B1284" t="s">
        <v>37</v>
      </c>
      <c r="C1284" t="s">
        <v>35</v>
      </c>
      <c r="D1284" t="s">
        <v>36</v>
      </c>
      <c r="E1284" t="s">
        <v>589</v>
      </c>
      <c r="F1284" t="s">
        <v>581</v>
      </c>
      <c r="G1284" t="s">
        <v>396</v>
      </c>
      <c r="H1284">
        <v>1.2712330000000001</v>
      </c>
      <c r="I1284">
        <v>0.74383010000000005</v>
      </c>
      <c r="J1284">
        <v>0.56161640000000002</v>
      </c>
      <c r="K1284">
        <v>0.52360660000000003</v>
      </c>
      <c r="L1284">
        <v>0.57627450000000002</v>
      </c>
      <c r="M1284">
        <v>0.56842190000000004</v>
      </c>
      <c r="N1284">
        <v>0.57587889999999997</v>
      </c>
    </row>
    <row r="1285" spans="1:14" hidden="1" x14ac:dyDescent="0.35">
      <c r="A1285" t="s">
        <v>682</v>
      </c>
      <c r="B1285" t="s">
        <v>37</v>
      </c>
      <c r="C1285" t="s">
        <v>35</v>
      </c>
      <c r="D1285" t="s">
        <v>36</v>
      </c>
      <c r="E1285" t="s">
        <v>589</v>
      </c>
      <c r="F1285" t="s">
        <v>581</v>
      </c>
      <c r="G1285" t="s">
        <v>25</v>
      </c>
      <c r="H1285">
        <v>0.10958900000000001</v>
      </c>
      <c r="I1285">
        <v>9.298083E-2</v>
      </c>
      <c r="J1285">
        <v>7.020274E-2</v>
      </c>
      <c r="K1285">
        <v>6.54526E-2</v>
      </c>
      <c r="L1285">
        <v>7.2035619999999995E-2</v>
      </c>
      <c r="M1285">
        <v>7.1052599999999994E-2</v>
      </c>
      <c r="N1285">
        <v>7.1986300000000003E-2</v>
      </c>
    </row>
    <row r="1286" spans="1:14" hidden="1" x14ac:dyDescent="0.35">
      <c r="A1286" t="s">
        <v>682</v>
      </c>
      <c r="B1286" t="s">
        <v>37</v>
      </c>
      <c r="C1286" t="s">
        <v>35</v>
      </c>
      <c r="D1286" t="s">
        <v>36</v>
      </c>
      <c r="E1286" t="s">
        <v>589</v>
      </c>
      <c r="F1286" t="s">
        <v>26</v>
      </c>
      <c r="G1286" t="s">
        <v>26</v>
      </c>
      <c r="H1286">
        <v>8.7671239999999998E-2</v>
      </c>
      <c r="I1286">
        <v>9.2978080000000005E-2</v>
      </c>
      <c r="J1286">
        <v>7.020274E-2</v>
      </c>
      <c r="K1286">
        <v>6.5452049999999998E-2</v>
      </c>
      <c r="L1286">
        <v>7.2033970000000003E-2</v>
      </c>
      <c r="M1286">
        <v>7.1050409999999994E-2</v>
      </c>
      <c r="N1286">
        <v>7.1984099999999995E-2</v>
      </c>
    </row>
    <row r="1287" spans="1:14" hidden="1" x14ac:dyDescent="0.35">
      <c r="A1287" t="s">
        <v>682</v>
      </c>
      <c r="B1287" t="s">
        <v>37</v>
      </c>
      <c r="C1287" t="s">
        <v>57</v>
      </c>
      <c r="D1287" t="s">
        <v>57</v>
      </c>
      <c r="E1287" t="s">
        <v>584</v>
      </c>
      <c r="F1287" t="s">
        <v>581</v>
      </c>
      <c r="G1287" t="s">
        <v>396</v>
      </c>
      <c r="H1287">
        <v>9.9137700000000006E-3</v>
      </c>
      <c r="I1287">
        <v>9.5803099999999999E-3</v>
      </c>
      <c r="J1287">
        <v>9.2556570000000005E-3</v>
      </c>
      <c r="K1287">
        <v>8.8681679999999992E-3</v>
      </c>
      <c r="L1287">
        <v>1.700942E-3</v>
      </c>
      <c r="M1287">
        <v>1.5853569999999999E-3</v>
      </c>
      <c r="N1287">
        <v>1.4834959999999999E-3</v>
      </c>
    </row>
    <row r="1288" spans="1:14" hidden="1" x14ac:dyDescent="0.35">
      <c r="A1288" t="s">
        <v>682</v>
      </c>
      <c r="B1288" t="s">
        <v>37</v>
      </c>
      <c r="C1288" t="s">
        <v>57</v>
      </c>
      <c r="D1288" t="s">
        <v>57</v>
      </c>
      <c r="E1288" t="s">
        <v>584</v>
      </c>
      <c r="F1288" t="s">
        <v>581</v>
      </c>
      <c r="G1288" t="s">
        <v>25</v>
      </c>
      <c r="H1288">
        <v>3.0626630000000002E-3</v>
      </c>
      <c r="I1288">
        <v>2.5501759999999999E-3</v>
      </c>
      <c r="J1288">
        <v>2.1204840000000002E-3</v>
      </c>
      <c r="K1288">
        <v>1.7437049999999999E-3</v>
      </c>
      <c r="L1288">
        <v>2.8688390000000002E-4</v>
      </c>
      <c r="M1288">
        <v>2.277646E-4</v>
      </c>
      <c r="N1288">
        <v>1.807623E-4</v>
      </c>
    </row>
    <row r="1289" spans="1:14" hidden="1" x14ac:dyDescent="0.35">
      <c r="A1289" t="s">
        <v>682</v>
      </c>
      <c r="B1289" t="s">
        <v>34</v>
      </c>
      <c r="C1289" t="s">
        <v>33</v>
      </c>
      <c r="D1289" t="s">
        <v>33</v>
      </c>
      <c r="E1289" t="s">
        <v>605</v>
      </c>
      <c r="F1289" t="s">
        <v>581</v>
      </c>
      <c r="G1289" t="s">
        <v>25</v>
      </c>
      <c r="N1289">
        <v>0</v>
      </c>
    </row>
    <row r="1290" spans="1:14" hidden="1" x14ac:dyDescent="0.35">
      <c r="A1290" t="s">
        <v>682</v>
      </c>
      <c r="B1290" t="s">
        <v>34</v>
      </c>
      <c r="C1290" t="s">
        <v>33</v>
      </c>
      <c r="D1290" t="s">
        <v>33</v>
      </c>
      <c r="E1290" t="s">
        <v>605</v>
      </c>
      <c r="F1290" t="s">
        <v>26</v>
      </c>
      <c r="G1290" t="s">
        <v>26</v>
      </c>
      <c r="H1290">
        <v>40.29119</v>
      </c>
      <c r="I1290">
        <v>39.492229999999999</v>
      </c>
      <c r="J1290">
        <v>44.705060000000003</v>
      </c>
      <c r="K1290">
        <v>42.545369999999998</v>
      </c>
      <c r="L1290">
        <v>38.00864</v>
      </c>
      <c r="M1290">
        <v>33.857909999999997</v>
      </c>
      <c r="N1290">
        <v>30.27515</v>
      </c>
    </row>
    <row r="1291" spans="1:14" hidden="1" x14ac:dyDescent="0.35">
      <c r="A1291" t="s">
        <v>682</v>
      </c>
      <c r="B1291" t="s">
        <v>34</v>
      </c>
      <c r="C1291" t="s">
        <v>33</v>
      </c>
      <c r="D1291" t="s">
        <v>33</v>
      </c>
      <c r="E1291" t="s">
        <v>636</v>
      </c>
      <c r="F1291" t="s">
        <v>581</v>
      </c>
      <c r="G1291" t="s">
        <v>396</v>
      </c>
      <c r="H1291">
        <v>0.3531589</v>
      </c>
      <c r="I1291">
        <v>0.24999669999999999</v>
      </c>
      <c r="J1291">
        <v>0.22477920000000001</v>
      </c>
      <c r="K1291">
        <v>0.1722175</v>
      </c>
      <c r="L1291">
        <v>0.1483748</v>
      </c>
      <c r="M1291">
        <v>0.13356219999999999</v>
      </c>
      <c r="N1291">
        <v>0.1183874</v>
      </c>
    </row>
    <row r="1292" spans="1:14" hidden="1" x14ac:dyDescent="0.35">
      <c r="A1292" t="s">
        <v>682</v>
      </c>
      <c r="B1292" t="s">
        <v>34</v>
      </c>
      <c r="C1292" t="s">
        <v>33</v>
      </c>
      <c r="D1292" t="s">
        <v>33</v>
      </c>
      <c r="E1292" t="s">
        <v>636</v>
      </c>
      <c r="F1292" t="s">
        <v>581</v>
      </c>
      <c r="G1292" t="s">
        <v>24</v>
      </c>
      <c r="H1292">
        <v>5.0875209999999997</v>
      </c>
      <c r="I1292">
        <v>3.1638130000000002</v>
      </c>
      <c r="J1292">
        <v>2.7210369999999999</v>
      </c>
      <c r="K1292">
        <v>2.1350709999999999</v>
      </c>
      <c r="L1292">
        <v>1.8460220000000001</v>
      </c>
      <c r="M1292">
        <v>1.6902950000000001</v>
      </c>
      <c r="N1292">
        <v>1.5440700000000001</v>
      </c>
    </row>
    <row r="1293" spans="1:14" hidden="1" x14ac:dyDescent="0.35">
      <c r="A1293" t="s">
        <v>682</v>
      </c>
      <c r="B1293" t="s">
        <v>34</v>
      </c>
      <c r="C1293" t="s">
        <v>33</v>
      </c>
      <c r="D1293" t="s">
        <v>33</v>
      </c>
      <c r="E1293" t="s">
        <v>636</v>
      </c>
      <c r="F1293" t="s">
        <v>581</v>
      </c>
      <c r="G1293" t="s">
        <v>25</v>
      </c>
      <c r="H1293">
        <v>0.91079180000000004</v>
      </c>
      <c r="I1293">
        <v>0.69396760000000002</v>
      </c>
      <c r="J1293">
        <v>0.60335939999999999</v>
      </c>
      <c r="K1293">
        <v>0.47066249999999998</v>
      </c>
      <c r="L1293">
        <v>0.406588</v>
      </c>
      <c r="M1293">
        <v>0.37075999999999998</v>
      </c>
      <c r="N1293">
        <v>0.33626679999999998</v>
      </c>
    </row>
    <row r="1294" spans="1:14" hidden="1" x14ac:dyDescent="0.35">
      <c r="A1294" t="s">
        <v>682</v>
      </c>
      <c r="B1294" t="s">
        <v>34</v>
      </c>
      <c r="C1294" t="s">
        <v>33</v>
      </c>
      <c r="D1294" t="s">
        <v>33</v>
      </c>
      <c r="E1294" t="s">
        <v>636</v>
      </c>
      <c r="F1294" t="s">
        <v>26</v>
      </c>
      <c r="G1294" t="s">
        <v>26</v>
      </c>
      <c r="H1294">
        <v>3.6016599999999999</v>
      </c>
      <c r="I1294">
        <v>2.8469190000000002</v>
      </c>
      <c r="J1294">
        <v>2.497582</v>
      </c>
      <c r="K1294">
        <v>1.938852</v>
      </c>
      <c r="L1294">
        <v>1.6737109999999999</v>
      </c>
      <c r="M1294">
        <v>1.520975</v>
      </c>
      <c r="N1294">
        <v>1.3712</v>
      </c>
    </row>
    <row r="1295" spans="1:14" hidden="1" x14ac:dyDescent="0.35">
      <c r="A1295" t="s">
        <v>682</v>
      </c>
      <c r="B1295" t="s">
        <v>34</v>
      </c>
      <c r="C1295" t="s">
        <v>33</v>
      </c>
      <c r="D1295" t="s">
        <v>33</v>
      </c>
      <c r="E1295" t="s">
        <v>604</v>
      </c>
      <c r="F1295" t="s">
        <v>581</v>
      </c>
      <c r="G1295" t="s">
        <v>396</v>
      </c>
      <c r="H1295">
        <v>0.77690409999999999</v>
      </c>
      <c r="I1295">
        <v>0.77492550000000004</v>
      </c>
      <c r="J1295">
        <v>0.90415509999999999</v>
      </c>
      <c r="K1295">
        <v>0.71215830000000002</v>
      </c>
      <c r="L1295">
        <v>0.57525809999999999</v>
      </c>
      <c r="M1295">
        <v>0.49203180000000002</v>
      </c>
      <c r="N1295">
        <v>0.42978139999999998</v>
      </c>
    </row>
    <row r="1296" spans="1:14" hidden="1" x14ac:dyDescent="0.35">
      <c r="A1296" t="s">
        <v>682</v>
      </c>
      <c r="B1296" t="s">
        <v>34</v>
      </c>
      <c r="C1296" t="s">
        <v>33</v>
      </c>
      <c r="D1296" t="s">
        <v>33</v>
      </c>
      <c r="E1296" t="s">
        <v>604</v>
      </c>
      <c r="F1296" t="s">
        <v>581</v>
      </c>
      <c r="G1296" t="s">
        <v>25</v>
      </c>
      <c r="H1296">
        <v>0.1960356</v>
      </c>
      <c r="I1296">
        <v>0.1076318</v>
      </c>
      <c r="J1296">
        <v>0.12558140000000001</v>
      </c>
      <c r="K1296">
        <v>9.8915059999999999E-2</v>
      </c>
      <c r="L1296">
        <v>7.989425E-2</v>
      </c>
      <c r="M1296">
        <v>6.8338629999999997E-2</v>
      </c>
      <c r="N1296">
        <v>5.9693709999999997E-2</v>
      </c>
    </row>
    <row r="1297" spans="1:14" hidden="1" x14ac:dyDescent="0.35">
      <c r="A1297" t="s">
        <v>682</v>
      </c>
      <c r="B1297" t="s">
        <v>34</v>
      </c>
      <c r="C1297" t="s">
        <v>33</v>
      </c>
      <c r="D1297" t="s">
        <v>33</v>
      </c>
      <c r="E1297" t="s">
        <v>604</v>
      </c>
      <c r="F1297" t="s">
        <v>26</v>
      </c>
      <c r="G1297" t="s">
        <v>26</v>
      </c>
      <c r="H1297">
        <v>1.335164</v>
      </c>
      <c r="I1297">
        <v>1.290511</v>
      </c>
      <c r="J1297">
        <v>1.5057069999999999</v>
      </c>
      <c r="K1297">
        <v>1.1859729999999999</v>
      </c>
      <c r="L1297">
        <v>0.9579879</v>
      </c>
      <c r="M1297">
        <v>0.81939019999999996</v>
      </c>
      <c r="N1297">
        <v>0.71572060000000004</v>
      </c>
    </row>
    <row r="1298" spans="1:14" hidden="1" x14ac:dyDescent="0.35">
      <c r="A1298" t="s">
        <v>682</v>
      </c>
      <c r="B1298" t="s">
        <v>34</v>
      </c>
      <c r="C1298" t="s">
        <v>33</v>
      </c>
      <c r="D1298" t="s">
        <v>33</v>
      </c>
      <c r="E1298" t="s">
        <v>683</v>
      </c>
      <c r="F1298" t="s">
        <v>581</v>
      </c>
      <c r="G1298" t="s">
        <v>396</v>
      </c>
      <c r="H1298">
        <v>0</v>
      </c>
      <c r="I1298">
        <v>0</v>
      </c>
      <c r="J1298">
        <v>0</v>
      </c>
      <c r="K1298">
        <v>0</v>
      </c>
      <c r="L1298">
        <v>0</v>
      </c>
      <c r="M1298">
        <v>0</v>
      </c>
      <c r="N1298">
        <v>0</v>
      </c>
    </row>
    <row r="1299" spans="1:14" hidden="1" x14ac:dyDescent="0.35">
      <c r="A1299" t="s">
        <v>682</v>
      </c>
      <c r="B1299" t="s">
        <v>34</v>
      </c>
      <c r="C1299" t="s">
        <v>33</v>
      </c>
      <c r="D1299" t="s">
        <v>33</v>
      </c>
      <c r="E1299" t="s">
        <v>683</v>
      </c>
      <c r="F1299" t="s">
        <v>581</v>
      </c>
      <c r="G1299" t="s">
        <v>25</v>
      </c>
      <c r="H1299">
        <v>0</v>
      </c>
      <c r="I1299">
        <v>0</v>
      </c>
      <c r="J1299">
        <v>0</v>
      </c>
      <c r="K1299">
        <v>0</v>
      </c>
      <c r="L1299">
        <v>0</v>
      </c>
      <c r="M1299">
        <v>0</v>
      </c>
      <c r="N1299">
        <v>0</v>
      </c>
    </row>
    <row r="1300" spans="1:14" hidden="1" x14ac:dyDescent="0.35">
      <c r="A1300" t="s">
        <v>682</v>
      </c>
      <c r="B1300" t="s">
        <v>34</v>
      </c>
      <c r="C1300" t="s">
        <v>33</v>
      </c>
      <c r="D1300" t="s">
        <v>33</v>
      </c>
      <c r="E1300" t="s">
        <v>683</v>
      </c>
      <c r="F1300" t="s">
        <v>26</v>
      </c>
      <c r="G1300" t="s">
        <v>26</v>
      </c>
      <c r="H1300">
        <v>0</v>
      </c>
      <c r="I1300">
        <v>0</v>
      </c>
      <c r="J1300">
        <v>0</v>
      </c>
      <c r="K1300">
        <v>0</v>
      </c>
      <c r="L1300">
        <v>0</v>
      </c>
      <c r="M1300">
        <v>0</v>
      </c>
      <c r="N1300">
        <v>0</v>
      </c>
    </row>
    <row r="1301" spans="1:14" hidden="1" x14ac:dyDescent="0.35">
      <c r="A1301" t="s">
        <v>682</v>
      </c>
      <c r="B1301" t="s">
        <v>34</v>
      </c>
      <c r="C1301" t="s">
        <v>66</v>
      </c>
      <c r="D1301" t="s">
        <v>66</v>
      </c>
      <c r="E1301" t="s">
        <v>584</v>
      </c>
      <c r="F1301" t="s">
        <v>581</v>
      </c>
      <c r="G1301" t="s">
        <v>396</v>
      </c>
      <c r="H1301">
        <v>8.9214070000000003</v>
      </c>
      <c r="I1301">
        <v>7.2884380000000002</v>
      </c>
      <c r="J1301">
        <v>8.2586130000000004</v>
      </c>
      <c r="K1301">
        <v>7.8315869999999999</v>
      </c>
      <c r="L1301">
        <v>6.8425719999999997</v>
      </c>
      <c r="M1301">
        <v>5.7550350000000003</v>
      </c>
      <c r="N1301">
        <v>4.9644430000000002</v>
      </c>
    </row>
    <row r="1302" spans="1:14" hidden="1" x14ac:dyDescent="0.35">
      <c r="A1302" t="s">
        <v>682</v>
      </c>
      <c r="B1302" t="s">
        <v>154</v>
      </c>
      <c r="C1302" t="s">
        <v>261</v>
      </c>
      <c r="D1302" t="s">
        <v>261</v>
      </c>
      <c r="E1302" t="s">
        <v>584</v>
      </c>
      <c r="F1302" t="s">
        <v>581</v>
      </c>
      <c r="G1302" t="s">
        <v>396</v>
      </c>
      <c r="L1302">
        <v>0</v>
      </c>
      <c r="M1302">
        <v>2.1225909999999999</v>
      </c>
      <c r="N1302">
        <v>7.9300930000000003</v>
      </c>
    </row>
    <row r="1303" spans="1:14" hidden="1" x14ac:dyDescent="0.35">
      <c r="A1303" t="s">
        <v>682</v>
      </c>
      <c r="B1303" t="s">
        <v>154</v>
      </c>
      <c r="C1303" t="s">
        <v>153</v>
      </c>
      <c r="D1303" t="s">
        <v>153</v>
      </c>
      <c r="E1303" t="s">
        <v>584</v>
      </c>
      <c r="F1303" t="s">
        <v>581</v>
      </c>
      <c r="G1303" t="s">
        <v>396</v>
      </c>
      <c r="M1303">
        <v>0</v>
      </c>
      <c r="N1303">
        <v>0</v>
      </c>
    </row>
    <row r="1304" spans="1:14" hidden="1" x14ac:dyDescent="0.35">
      <c r="A1304" t="s">
        <v>682</v>
      </c>
      <c r="B1304" t="s">
        <v>162</v>
      </c>
      <c r="C1304" t="s">
        <v>161</v>
      </c>
      <c r="D1304" t="s">
        <v>161</v>
      </c>
      <c r="E1304" t="s">
        <v>584</v>
      </c>
      <c r="F1304" t="s">
        <v>26</v>
      </c>
      <c r="G1304" t="s">
        <v>26</v>
      </c>
      <c r="N1304">
        <v>0</v>
      </c>
    </row>
    <row r="1305" spans="1:14" hidden="1" x14ac:dyDescent="0.35">
      <c r="A1305" t="s">
        <v>684</v>
      </c>
      <c r="B1305" t="s">
        <v>245</v>
      </c>
      <c r="C1305" t="s">
        <v>244</v>
      </c>
      <c r="D1305" t="s">
        <v>244</v>
      </c>
      <c r="E1305" t="s">
        <v>584</v>
      </c>
      <c r="F1305" t="s">
        <v>581</v>
      </c>
      <c r="G1305" t="s">
        <v>396</v>
      </c>
      <c r="K1305">
        <v>0</v>
      </c>
      <c r="L1305">
        <v>1.363412E-3</v>
      </c>
      <c r="M1305">
        <v>8.8581170000000004E-3</v>
      </c>
      <c r="N1305">
        <v>5.937515E-3</v>
      </c>
    </row>
    <row r="1306" spans="1:14" hidden="1" x14ac:dyDescent="0.35">
      <c r="A1306" t="s">
        <v>684</v>
      </c>
      <c r="B1306" t="s">
        <v>245</v>
      </c>
      <c r="C1306" t="s">
        <v>244</v>
      </c>
      <c r="D1306" t="s">
        <v>244</v>
      </c>
      <c r="E1306" t="s">
        <v>584</v>
      </c>
      <c r="F1306" t="s">
        <v>581</v>
      </c>
      <c r="G1306" t="s">
        <v>24</v>
      </c>
      <c r="H1306">
        <v>0.26419500000000001</v>
      </c>
      <c r="I1306">
        <v>1.110077</v>
      </c>
      <c r="J1306">
        <v>2.9158339999999998</v>
      </c>
      <c r="K1306">
        <v>2.957236</v>
      </c>
      <c r="L1306">
        <v>3.0130029999999999</v>
      </c>
      <c r="M1306">
        <v>3.0439699999999998</v>
      </c>
      <c r="N1306">
        <v>2.8161870000000002</v>
      </c>
    </row>
    <row r="1307" spans="1:14" hidden="1" x14ac:dyDescent="0.35">
      <c r="A1307" t="s">
        <v>684</v>
      </c>
      <c r="B1307" t="s">
        <v>245</v>
      </c>
      <c r="C1307" t="s">
        <v>244</v>
      </c>
      <c r="D1307" t="s">
        <v>244</v>
      </c>
      <c r="E1307" t="s">
        <v>584</v>
      </c>
      <c r="F1307" t="s">
        <v>581</v>
      </c>
      <c r="G1307" t="s">
        <v>25</v>
      </c>
      <c r="H1307">
        <v>0</v>
      </c>
      <c r="I1307">
        <v>0</v>
      </c>
      <c r="K1307">
        <v>0</v>
      </c>
      <c r="L1307">
        <v>2.8718680000000001E-3</v>
      </c>
      <c r="M1307">
        <v>1.6407359999999999E-2</v>
      </c>
      <c r="N1307">
        <v>1.907965E-2</v>
      </c>
    </row>
    <row r="1308" spans="1:14" hidden="1" x14ac:dyDescent="0.35">
      <c r="A1308" t="s">
        <v>684</v>
      </c>
      <c r="B1308" t="s">
        <v>245</v>
      </c>
      <c r="C1308" t="s">
        <v>244</v>
      </c>
      <c r="D1308" t="s">
        <v>244</v>
      </c>
      <c r="E1308" t="s">
        <v>584</v>
      </c>
      <c r="F1308" t="s">
        <v>26</v>
      </c>
      <c r="G1308" t="s">
        <v>26</v>
      </c>
      <c r="H1308">
        <v>32.150669999999998</v>
      </c>
      <c r="I1308">
        <v>82.468220000000002</v>
      </c>
      <c r="J1308">
        <v>102.8914</v>
      </c>
      <c r="K1308">
        <v>103.8143</v>
      </c>
      <c r="L1308">
        <v>104.96</v>
      </c>
      <c r="M1308">
        <v>105.6532</v>
      </c>
      <c r="N1308">
        <v>107.32510000000001</v>
      </c>
    </row>
    <row r="1309" spans="1:14" hidden="1" x14ac:dyDescent="0.35">
      <c r="A1309" t="s">
        <v>684</v>
      </c>
      <c r="B1309" t="s">
        <v>245</v>
      </c>
      <c r="C1309" t="s">
        <v>247</v>
      </c>
      <c r="D1309" t="s">
        <v>247</v>
      </c>
      <c r="E1309" t="s">
        <v>584</v>
      </c>
      <c r="F1309" t="s">
        <v>26</v>
      </c>
      <c r="G1309" t="s">
        <v>26</v>
      </c>
      <c r="H1309">
        <v>1.0613269999999999</v>
      </c>
      <c r="I1309">
        <v>0.99528779999999994</v>
      </c>
      <c r="J1309">
        <v>0.93295130000000004</v>
      </c>
      <c r="K1309">
        <v>0.86695370000000005</v>
      </c>
      <c r="L1309">
        <v>0.1714302</v>
      </c>
      <c r="M1309">
        <v>0.1558119</v>
      </c>
      <c r="N1309">
        <v>0.1421268</v>
      </c>
    </row>
    <row r="1310" spans="1:14" hidden="1" x14ac:dyDescent="0.35">
      <c r="A1310" t="s">
        <v>684</v>
      </c>
      <c r="B1310" t="s">
        <v>74</v>
      </c>
      <c r="C1310" t="s">
        <v>146</v>
      </c>
      <c r="D1310" t="s">
        <v>196</v>
      </c>
      <c r="E1310" t="s">
        <v>584</v>
      </c>
      <c r="F1310" t="s">
        <v>581</v>
      </c>
      <c r="G1310" t="s">
        <v>396</v>
      </c>
      <c r="H1310">
        <v>23.772210000000001</v>
      </c>
      <c r="I1310">
        <v>24.120560000000001</v>
      </c>
      <c r="J1310">
        <v>21.87959</v>
      </c>
      <c r="K1310">
        <v>17.954049999999999</v>
      </c>
      <c r="L1310">
        <v>14.79087</v>
      </c>
      <c r="M1310">
        <v>12.173450000000001</v>
      </c>
      <c r="N1310">
        <v>10.27866</v>
      </c>
    </row>
    <row r="1311" spans="1:14" hidden="1" x14ac:dyDescent="0.35">
      <c r="A1311" t="s">
        <v>684</v>
      </c>
      <c r="B1311" t="s">
        <v>74</v>
      </c>
      <c r="C1311" t="s">
        <v>146</v>
      </c>
      <c r="D1311" t="s">
        <v>196</v>
      </c>
      <c r="E1311" t="s">
        <v>584</v>
      </c>
      <c r="F1311" t="s">
        <v>581</v>
      </c>
      <c r="G1311" t="s">
        <v>25</v>
      </c>
      <c r="H1311">
        <v>0.44690669999999999</v>
      </c>
      <c r="I1311">
        <v>0.4534552</v>
      </c>
      <c r="J1311">
        <v>0.56965509999999997</v>
      </c>
      <c r="K1311">
        <v>0.46744829999999998</v>
      </c>
      <c r="L1311">
        <v>0.38509379999999999</v>
      </c>
      <c r="M1311">
        <v>0.31694709999999998</v>
      </c>
      <c r="N1311">
        <v>0.2676135</v>
      </c>
    </row>
    <row r="1312" spans="1:14" hidden="1" x14ac:dyDescent="0.35">
      <c r="A1312" t="s">
        <v>684</v>
      </c>
      <c r="B1312" t="s">
        <v>74</v>
      </c>
      <c r="C1312" t="s">
        <v>146</v>
      </c>
      <c r="D1312" t="s">
        <v>196</v>
      </c>
      <c r="E1312" t="s">
        <v>584</v>
      </c>
      <c r="F1312" t="s">
        <v>26</v>
      </c>
      <c r="G1312" t="s">
        <v>26</v>
      </c>
      <c r="H1312">
        <v>0.7435427</v>
      </c>
      <c r="I1312">
        <v>0.75443669999999996</v>
      </c>
      <c r="J1312">
        <v>0.7168812</v>
      </c>
      <c r="K1312">
        <v>0.58826239999999996</v>
      </c>
      <c r="L1312">
        <v>0.48462250000000001</v>
      </c>
      <c r="M1312">
        <v>0.39886329999999998</v>
      </c>
      <c r="N1312">
        <v>0.33678029999999998</v>
      </c>
    </row>
    <row r="1313" spans="1:14" hidden="1" x14ac:dyDescent="0.35">
      <c r="A1313" t="s">
        <v>684</v>
      </c>
      <c r="B1313" t="s">
        <v>74</v>
      </c>
      <c r="C1313" t="s">
        <v>146</v>
      </c>
      <c r="D1313" t="s">
        <v>147</v>
      </c>
      <c r="E1313" t="s">
        <v>584</v>
      </c>
      <c r="F1313" t="s">
        <v>581</v>
      </c>
      <c r="G1313" t="s">
        <v>396</v>
      </c>
      <c r="H1313">
        <v>4.2349949999999996</v>
      </c>
      <c r="I1313">
        <v>4.0804099999999996</v>
      </c>
      <c r="J1313">
        <v>4.2477660000000004</v>
      </c>
      <c r="K1313">
        <v>3.4365049999999999</v>
      </c>
      <c r="L1313">
        <v>2.410409</v>
      </c>
      <c r="M1313">
        <v>1.6996720000000001</v>
      </c>
      <c r="N1313">
        <v>1.368746</v>
      </c>
    </row>
    <row r="1314" spans="1:14" hidden="1" x14ac:dyDescent="0.35">
      <c r="A1314" t="s">
        <v>684</v>
      </c>
      <c r="B1314" t="s">
        <v>74</v>
      </c>
      <c r="C1314" t="s">
        <v>146</v>
      </c>
      <c r="D1314" t="s">
        <v>147</v>
      </c>
      <c r="E1314" t="s">
        <v>584</v>
      </c>
      <c r="F1314" t="s">
        <v>581</v>
      </c>
      <c r="G1314" t="s">
        <v>24</v>
      </c>
      <c r="H1314">
        <v>1.7222980000000001</v>
      </c>
      <c r="I1314">
        <v>1.419807</v>
      </c>
      <c r="J1314">
        <v>0.96034430000000004</v>
      </c>
      <c r="K1314">
        <v>0.75622999999999996</v>
      </c>
      <c r="L1314">
        <v>0.42098780000000002</v>
      </c>
      <c r="M1314">
        <v>0.16354469999999999</v>
      </c>
      <c r="N1314">
        <v>7.2444499999999995E-2</v>
      </c>
    </row>
    <row r="1315" spans="1:14" hidden="1" x14ac:dyDescent="0.35">
      <c r="A1315" t="s">
        <v>684</v>
      </c>
      <c r="B1315" t="s">
        <v>74</v>
      </c>
      <c r="C1315" t="s">
        <v>146</v>
      </c>
      <c r="D1315" t="s">
        <v>147</v>
      </c>
      <c r="E1315" t="s">
        <v>584</v>
      </c>
      <c r="F1315" t="s">
        <v>581</v>
      </c>
      <c r="G1315" t="s">
        <v>25</v>
      </c>
      <c r="H1315">
        <v>8.793768</v>
      </c>
      <c r="I1315">
        <v>1.981598</v>
      </c>
      <c r="J1315">
        <v>1.361807</v>
      </c>
      <c r="K1315">
        <v>1.091842</v>
      </c>
      <c r="L1315">
        <v>0.61934820000000002</v>
      </c>
      <c r="M1315">
        <v>0.23456060000000001</v>
      </c>
      <c r="N1315">
        <v>0.10373499999999999</v>
      </c>
    </row>
    <row r="1316" spans="1:14" hidden="1" x14ac:dyDescent="0.35">
      <c r="A1316" t="s">
        <v>684</v>
      </c>
      <c r="B1316" t="s">
        <v>74</v>
      </c>
      <c r="C1316" t="s">
        <v>146</v>
      </c>
      <c r="D1316" t="s">
        <v>147</v>
      </c>
      <c r="E1316" t="s">
        <v>584</v>
      </c>
      <c r="F1316" t="s">
        <v>26</v>
      </c>
      <c r="G1316" t="s">
        <v>26</v>
      </c>
      <c r="H1316">
        <v>15.28637</v>
      </c>
      <c r="I1316">
        <v>9.6243099999999995</v>
      </c>
      <c r="J1316">
        <v>6.5332670000000004</v>
      </c>
      <c r="K1316">
        <v>5.0417389999999997</v>
      </c>
      <c r="L1316">
        <v>2.7073999999999998</v>
      </c>
      <c r="M1316">
        <v>0.91799699999999995</v>
      </c>
      <c r="N1316">
        <v>0.42277379999999998</v>
      </c>
    </row>
    <row r="1317" spans="1:14" hidden="1" x14ac:dyDescent="0.35">
      <c r="A1317" t="s">
        <v>684</v>
      </c>
      <c r="B1317" t="s">
        <v>74</v>
      </c>
      <c r="C1317" t="s">
        <v>146</v>
      </c>
      <c r="D1317" t="s">
        <v>197</v>
      </c>
      <c r="E1317" t="s">
        <v>584</v>
      </c>
      <c r="F1317" t="s">
        <v>581</v>
      </c>
      <c r="G1317" t="s">
        <v>24</v>
      </c>
      <c r="H1317">
        <v>0.26313300000000001</v>
      </c>
      <c r="I1317">
        <v>0.30045529999999998</v>
      </c>
      <c r="J1317">
        <v>0.20295160000000001</v>
      </c>
      <c r="K1317">
        <v>0.1739279</v>
      </c>
      <c r="L1317">
        <v>0</v>
      </c>
    </row>
    <row r="1318" spans="1:14" hidden="1" x14ac:dyDescent="0.35">
      <c r="A1318" t="s">
        <v>684</v>
      </c>
      <c r="B1318" t="s">
        <v>74</v>
      </c>
      <c r="C1318" t="s">
        <v>146</v>
      </c>
      <c r="D1318" t="s">
        <v>197</v>
      </c>
      <c r="E1318" t="s">
        <v>584</v>
      </c>
      <c r="F1318" t="s">
        <v>581</v>
      </c>
      <c r="G1318" t="s">
        <v>25</v>
      </c>
      <c r="H1318">
        <v>8.1986299999999998E-2</v>
      </c>
      <c r="I1318">
        <v>7.5952400000000003E-2</v>
      </c>
      <c r="J1318">
        <v>5.1304450000000001E-2</v>
      </c>
      <c r="K1318">
        <v>4.3967470000000002E-2</v>
      </c>
      <c r="L1318">
        <v>0</v>
      </c>
    </row>
    <row r="1319" spans="1:14" hidden="1" x14ac:dyDescent="0.35">
      <c r="A1319" t="s">
        <v>684</v>
      </c>
      <c r="B1319" t="s">
        <v>74</v>
      </c>
      <c r="C1319" t="s">
        <v>146</v>
      </c>
      <c r="D1319" t="s">
        <v>197</v>
      </c>
      <c r="E1319" t="s">
        <v>584</v>
      </c>
      <c r="F1319" t="s">
        <v>26</v>
      </c>
      <c r="G1319" t="s">
        <v>26</v>
      </c>
      <c r="H1319">
        <v>0.78256130000000002</v>
      </c>
      <c r="I1319">
        <v>0.83769709999999997</v>
      </c>
      <c r="J1319">
        <v>0.56584789999999996</v>
      </c>
      <c r="K1319">
        <v>0.4849272</v>
      </c>
      <c r="L1319">
        <v>0</v>
      </c>
    </row>
    <row r="1320" spans="1:14" hidden="1" x14ac:dyDescent="0.35">
      <c r="A1320" t="s">
        <v>684</v>
      </c>
      <c r="B1320" t="s">
        <v>74</v>
      </c>
      <c r="C1320" t="s">
        <v>87</v>
      </c>
      <c r="D1320" t="s">
        <v>88</v>
      </c>
      <c r="E1320" t="s">
        <v>584</v>
      </c>
      <c r="F1320" t="s">
        <v>581</v>
      </c>
      <c r="G1320" t="s">
        <v>396</v>
      </c>
      <c r="H1320">
        <v>2.1238990000000002</v>
      </c>
      <c r="I1320">
        <v>3.3576329999999999</v>
      </c>
      <c r="J1320">
        <v>5.6992839999999996</v>
      </c>
      <c r="K1320">
        <v>4.3256750000000004</v>
      </c>
      <c r="L1320">
        <v>3.4954399999999999</v>
      </c>
      <c r="M1320">
        <v>2.8390520000000001</v>
      </c>
      <c r="N1320">
        <v>2.4081440000000001</v>
      </c>
    </row>
    <row r="1321" spans="1:14" hidden="1" x14ac:dyDescent="0.35">
      <c r="A1321" t="s">
        <v>684</v>
      </c>
      <c r="B1321" t="s">
        <v>74</v>
      </c>
      <c r="C1321" t="s">
        <v>87</v>
      </c>
      <c r="D1321" t="s">
        <v>88</v>
      </c>
      <c r="E1321" t="s">
        <v>584</v>
      </c>
      <c r="F1321" t="s">
        <v>581</v>
      </c>
      <c r="G1321" t="s">
        <v>24</v>
      </c>
      <c r="H1321">
        <v>2.152272</v>
      </c>
      <c r="I1321">
        <v>2.1425900000000002</v>
      </c>
      <c r="J1321">
        <v>1.702583</v>
      </c>
      <c r="K1321">
        <v>1.5891029999999999</v>
      </c>
      <c r="L1321">
        <v>1.404285</v>
      </c>
      <c r="M1321">
        <v>1.205983</v>
      </c>
      <c r="N1321">
        <v>1.0509790000000001</v>
      </c>
    </row>
    <row r="1322" spans="1:14" hidden="1" x14ac:dyDescent="0.35">
      <c r="A1322" t="s">
        <v>684</v>
      </c>
      <c r="B1322" t="s">
        <v>74</v>
      </c>
      <c r="C1322" t="s">
        <v>87</v>
      </c>
      <c r="D1322" t="s">
        <v>88</v>
      </c>
      <c r="E1322" t="s">
        <v>584</v>
      </c>
      <c r="F1322" t="s">
        <v>581</v>
      </c>
      <c r="G1322" t="s">
        <v>25</v>
      </c>
      <c r="H1322">
        <v>7.6633149999999999</v>
      </c>
      <c r="I1322">
        <v>4.7983750000000001</v>
      </c>
      <c r="J1322">
        <v>4.4872529999999999</v>
      </c>
      <c r="K1322">
        <v>3.358422</v>
      </c>
      <c r="L1322">
        <v>3.2205729999999999</v>
      </c>
      <c r="M1322">
        <v>2.622007</v>
      </c>
      <c r="N1322">
        <v>2.2224879999999998</v>
      </c>
    </row>
    <row r="1323" spans="1:14" hidden="1" x14ac:dyDescent="0.35">
      <c r="A1323" t="s">
        <v>684</v>
      </c>
      <c r="B1323" t="s">
        <v>74</v>
      </c>
      <c r="C1323" t="s">
        <v>87</v>
      </c>
      <c r="D1323" t="s">
        <v>88</v>
      </c>
      <c r="E1323" t="s">
        <v>584</v>
      </c>
      <c r="F1323" t="s">
        <v>26</v>
      </c>
      <c r="G1323" t="s">
        <v>26</v>
      </c>
      <c r="H1323">
        <v>9.3743069999999999</v>
      </c>
      <c r="I1323">
        <v>9.0885560000000005</v>
      </c>
      <c r="J1323">
        <v>10.617789999999999</v>
      </c>
      <c r="K1323">
        <v>8.6659579999999998</v>
      </c>
      <c r="L1323">
        <v>7.7672109999999996</v>
      </c>
      <c r="M1323">
        <v>6.9211140000000002</v>
      </c>
      <c r="N1323">
        <v>6.4244909999999997</v>
      </c>
    </row>
    <row r="1324" spans="1:14" hidden="1" x14ac:dyDescent="0.35">
      <c r="A1324" t="s">
        <v>684</v>
      </c>
      <c r="B1324" t="s">
        <v>74</v>
      </c>
      <c r="C1324" t="s">
        <v>87</v>
      </c>
      <c r="D1324" t="s">
        <v>130</v>
      </c>
      <c r="E1324" t="s">
        <v>584</v>
      </c>
      <c r="F1324" t="s">
        <v>581</v>
      </c>
      <c r="G1324" t="s">
        <v>396</v>
      </c>
      <c r="H1324">
        <v>0.88031890000000002</v>
      </c>
      <c r="I1324">
        <v>0.74414910000000001</v>
      </c>
      <c r="J1324">
        <v>0.63067949999999995</v>
      </c>
      <c r="K1324">
        <v>0.49366769999999999</v>
      </c>
      <c r="L1324">
        <v>0.4071804</v>
      </c>
      <c r="M1324">
        <v>0.3695078</v>
      </c>
      <c r="N1324">
        <v>0.35210180000000002</v>
      </c>
    </row>
    <row r="1325" spans="1:14" hidden="1" x14ac:dyDescent="0.35">
      <c r="A1325" t="s">
        <v>684</v>
      </c>
      <c r="B1325" t="s">
        <v>74</v>
      </c>
      <c r="C1325" t="s">
        <v>87</v>
      </c>
      <c r="D1325" t="s">
        <v>130</v>
      </c>
      <c r="E1325" t="s">
        <v>584</v>
      </c>
      <c r="F1325" t="s">
        <v>581</v>
      </c>
      <c r="G1325" t="s">
        <v>24</v>
      </c>
      <c r="H1325">
        <v>3.4135740000000001</v>
      </c>
      <c r="I1325">
        <v>2.5621330000000002</v>
      </c>
      <c r="J1325">
        <v>1.9355990000000001</v>
      </c>
      <c r="K1325">
        <v>1.8194509999999999</v>
      </c>
      <c r="L1325">
        <v>1.762189</v>
      </c>
      <c r="M1325">
        <v>1.5645039999999999</v>
      </c>
      <c r="N1325">
        <v>1.388957</v>
      </c>
    </row>
    <row r="1326" spans="1:14" hidden="1" x14ac:dyDescent="0.35">
      <c r="A1326" t="s">
        <v>684</v>
      </c>
      <c r="B1326" t="s">
        <v>74</v>
      </c>
      <c r="C1326" t="s">
        <v>87</v>
      </c>
      <c r="D1326" t="s">
        <v>130</v>
      </c>
      <c r="E1326" t="s">
        <v>584</v>
      </c>
      <c r="F1326" t="s">
        <v>581</v>
      </c>
      <c r="G1326" t="s">
        <v>25</v>
      </c>
      <c r="H1326">
        <v>0.2285411</v>
      </c>
      <c r="I1326">
        <v>0.171537</v>
      </c>
      <c r="J1326">
        <v>0.12959039999999999</v>
      </c>
      <c r="K1326">
        <v>0.12542110000000001</v>
      </c>
      <c r="L1326">
        <v>0.1482011</v>
      </c>
      <c r="M1326">
        <v>0.13513749999999999</v>
      </c>
      <c r="N1326">
        <v>0.1819016</v>
      </c>
    </row>
    <row r="1327" spans="1:14" hidden="1" x14ac:dyDescent="0.35">
      <c r="A1327" t="s">
        <v>684</v>
      </c>
      <c r="B1327" t="s">
        <v>74</v>
      </c>
      <c r="C1327" t="s">
        <v>87</v>
      </c>
      <c r="D1327" t="s">
        <v>130</v>
      </c>
      <c r="E1327" t="s">
        <v>584</v>
      </c>
      <c r="F1327" t="s">
        <v>26</v>
      </c>
      <c r="G1327" t="s">
        <v>26</v>
      </c>
      <c r="H1327">
        <v>2.8371379999999999</v>
      </c>
      <c r="I1327">
        <v>2.1294770000000001</v>
      </c>
      <c r="J1327">
        <v>1.608741</v>
      </c>
      <c r="K1327">
        <v>2.8079960000000002</v>
      </c>
      <c r="L1327">
        <v>3.4600059999999999</v>
      </c>
      <c r="M1327">
        <v>3.2381479999999998</v>
      </c>
      <c r="N1327">
        <v>2.844652</v>
      </c>
    </row>
    <row r="1328" spans="1:14" hidden="1" x14ac:dyDescent="0.35">
      <c r="A1328" t="s">
        <v>684</v>
      </c>
      <c r="B1328" t="s">
        <v>74</v>
      </c>
      <c r="C1328" t="s">
        <v>87</v>
      </c>
      <c r="D1328" t="s">
        <v>89</v>
      </c>
      <c r="E1328" t="s">
        <v>584</v>
      </c>
      <c r="F1328" t="s">
        <v>581</v>
      </c>
      <c r="G1328" t="s">
        <v>396</v>
      </c>
      <c r="H1328">
        <v>2.3373330000000001</v>
      </c>
      <c r="I1328">
        <v>2.2605200000000001</v>
      </c>
      <c r="J1328">
        <v>2.2612709999999998</v>
      </c>
      <c r="K1328">
        <v>2.2612709999999998</v>
      </c>
      <c r="L1328">
        <v>2.157327</v>
      </c>
      <c r="M1328">
        <v>0.3747162</v>
      </c>
      <c r="N1328">
        <v>0.32310850000000002</v>
      </c>
    </row>
    <row r="1329" spans="1:14" hidden="1" x14ac:dyDescent="0.35">
      <c r="A1329" t="s">
        <v>684</v>
      </c>
      <c r="B1329" t="s">
        <v>74</v>
      </c>
      <c r="C1329" t="s">
        <v>87</v>
      </c>
      <c r="D1329" t="s">
        <v>89</v>
      </c>
      <c r="E1329" t="s">
        <v>584</v>
      </c>
      <c r="F1329" t="s">
        <v>581</v>
      </c>
      <c r="G1329" t="s">
        <v>25</v>
      </c>
      <c r="H1329">
        <v>0.20729400000000001</v>
      </c>
      <c r="I1329">
        <v>0.1100867</v>
      </c>
      <c r="J1329">
        <v>0.110122</v>
      </c>
      <c r="K1329">
        <v>0.110122</v>
      </c>
      <c r="L1329">
        <v>0.1050596</v>
      </c>
      <c r="M1329">
        <v>1.8248500000000001E-2</v>
      </c>
      <c r="N1329">
        <v>1.573517E-2</v>
      </c>
    </row>
    <row r="1330" spans="1:14" hidden="1" x14ac:dyDescent="0.35">
      <c r="A1330" t="s">
        <v>684</v>
      </c>
      <c r="B1330" t="s">
        <v>74</v>
      </c>
      <c r="C1330" t="s">
        <v>87</v>
      </c>
      <c r="D1330" t="s">
        <v>89</v>
      </c>
      <c r="E1330" t="s">
        <v>584</v>
      </c>
      <c r="F1330" t="s">
        <v>26</v>
      </c>
      <c r="G1330" t="s">
        <v>26</v>
      </c>
      <c r="H1330">
        <v>0.60171850000000004</v>
      </c>
      <c r="I1330">
        <v>0.49510599999999999</v>
      </c>
      <c r="J1330">
        <v>0.49527060000000001</v>
      </c>
      <c r="K1330">
        <v>0.49527060000000001</v>
      </c>
      <c r="L1330">
        <v>0.47250379999999997</v>
      </c>
      <c r="M1330">
        <v>8.2071539999999998E-2</v>
      </c>
      <c r="N1330">
        <v>7.0768410000000004E-2</v>
      </c>
    </row>
    <row r="1331" spans="1:14" hidden="1" x14ac:dyDescent="0.35">
      <c r="A1331" t="s">
        <v>684</v>
      </c>
      <c r="B1331" t="s">
        <v>74</v>
      </c>
      <c r="C1331" t="s">
        <v>87</v>
      </c>
      <c r="D1331" t="s">
        <v>199</v>
      </c>
      <c r="E1331" t="s">
        <v>584</v>
      </c>
      <c r="F1331" t="s">
        <v>581</v>
      </c>
      <c r="G1331" t="s">
        <v>24</v>
      </c>
      <c r="H1331">
        <v>0.36493740000000002</v>
      </c>
      <c r="I1331">
        <v>0.35650349999999997</v>
      </c>
      <c r="J1331">
        <v>0.2704725</v>
      </c>
      <c r="K1331">
        <v>9.3118419999999993E-2</v>
      </c>
      <c r="L1331">
        <v>0.1563698</v>
      </c>
      <c r="M1331">
        <v>0.2341115</v>
      </c>
      <c r="N1331">
        <v>0.23793059999999999</v>
      </c>
    </row>
    <row r="1332" spans="1:14" hidden="1" x14ac:dyDescent="0.35">
      <c r="A1332" t="s">
        <v>684</v>
      </c>
      <c r="B1332" t="s">
        <v>74</v>
      </c>
      <c r="C1332" t="s">
        <v>87</v>
      </c>
      <c r="D1332" t="s">
        <v>199</v>
      </c>
      <c r="E1332" t="s">
        <v>584</v>
      </c>
      <c r="F1332" t="s">
        <v>581</v>
      </c>
      <c r="G1332" t="s">
        <v>25</v>
      </c>
      <c r="H1332">
        <v>0.24571229999999999</v>
      </c>
      <c r="I1332">
        <v>0.24003360000000001</v>
      </c>
      <c r="J1332">
        <v>0.1821094</v>
      </c>
      <c r="K1332">
        <v>6.2696500000000002E-2</v>
      </c>
      <c r="L1332">
        <v>0.1011368</v>
      </c>
      <c r="M1332">
        <v>0.1495543</v>
      </c>
      <c r="N1332">
        <v>0.1517376</v>
      </c>
    </row>
    <row r="1333" spans="1:14" hidden="1" x14ac:dyDescent="0.35">
      <c r="A1333" t="s">
        <v>684</v>
      </c>
      <c r="B1333" t="s">
        <v>74</v>
      </c>
      <c r="C1333" t="s">
        <v>87</v>
      </c>
      <c r="D1333" t="s">
        <v>199</v>
      </c>
      <c r="E1333" t="s">
        <v>584</v>
      </c>
      <c r="F1333" t="s">
        <v>26</v>
      </c>
      <c r="G1333" t="s">
        <v>26</v>
      </c>
      <c r="H1333">
        <v>1.234022</v>
      </c>
      <c r="I1333">
        <v>1.2055020000000001</v>
      </c>
      <c r="J1333">
        <v>0.91459159999999995</v>
      </c>
      <c r="K1333">
        <v>0.31487660000000001</v>
      </c>
      <c r="L1333">
        <v>0.46114480000000002</v>
      </c>
      <c r="M1333">
        <v>0.66001189999999998</v>
      </c>
      <c r="N1333">
        <v>0.66659959999999996</v>
      </c>
    </row>
    <row r="1334" spans="1:14" hidden="1" x14ac:dyDescent="0.35">
      <c r="A1334" t="s">
        <v>684</v>
      </c>
      <c r="B1334" t="s">
        <v>74</v>
      </c>
      <c r="C1334" t="s">
        <v>87</v>
      </c>
      <c r="D1334" t="s">
        <v>90</v>
      </c>
      <c r="E1334" t="s">
        <v>584</v>
      </c>
      <c r="F1334" t="s">
        <v>581</v>
      </c>
      <c r="G1334" t="s">
        <v>396</v>
      </c>
      <c r="L1334">
        <v>0</v>
      </c>
      <c r="M1334">
        <v>0.30496600000000001</v>
      </c>
      <c r="N1334">
        <v>0.27998519999999999</v>
      </c>
    </row>
    <row r="1335" spans="1:14" hidden="1" x14ac:dyDescent="0.35">
      <c r="A1335" t="s">
        <v>684</v>
      </c>
      <c r="B1335" t="s">
        <v>74</v>
      </c>
      <c r="C1335" t="s">
        <v>87</v>
      </c>
      <c r="D1335" t="s">
        <v>90</v>
      </c>
      <c r="E1335" t="s">
        <v>584</v>
      </c>
      <c r="F1335" t="s">
        <v>581</v>
      </c>
      <c r="G1335" t="s">
        <v>25</v>
      </c>
      <c r="L1335">
        <v>0</v>
      </c>
      <c r="M1335">
        <v>9.3356709999999996E-2</v>
      </c>
      <c r="N1335">
        <v>8.5710149999999999E-2</v>
      </c>
    </row>
    <row r="1336" spans="1:14" hidden="1" x14ac:dyDescent="0.35">
      <c r="A1336" t="s">
        <v>684</v>
      </c>
      <c r="B1336" t="s">
        <v>74</v>
      </c>
      <c r="C1336" t="s">
        <v>87</v>
      </c>
      <c r="D1336" t="s">
        <v>90</v>
      </c>
      <c r="E1336" t="s">
        <v>584</v>
      </c>
      <c r="F1336" t="s">
        <v>26</v>
      </c>
      <c r="G1336" t="s">
        <v>26</v>
      </c>
      <c r="L1336">
        <v>0</v>
      </c>
      <c r="M1336">
        <v>0.45122519999999999</v>
      </c>
      <c r="N1336">
        <v>0.41426350000000001</v>
      </c>
    </row>
    <row r="1337" spans="1:14" hidden="1" x14ac:dyDescent="0.35">
      <c r="A1337" t="s">
        <v>684</v>
      </c>
      <c r="B1337" t="s">
        <v>74</v>
      </c>
      <c r="C1337" t="s">
        <v>71</v>
      </c>
      <c r="D1337" t="s">
        <v>77</v>
      </c>
      <c r="E1337" t="s">
        <v>584</v>
      </c>
      <c r="F1337" t="s">
        <v>581</v>
      </c>
      <c r="G1337" t="s">
        <v>396</v>
      </c>
      <c r="H1337">
        <v>1.6472100000000001</v>
      </c>
      <c r="I1337">
        <v>1.1205989999999999</v>
      </c>
      <c r="J1337">
        <v>0.87337140000000002</v>
      </c>
      <c r="K1337">
        <v>0.71877570000000002</v>
      </c>
      <c r="L1337">
        <v>0.47107329999999997</v>
      </c>
      <c r="M1337">
        <v>0.39712989999999998</v>
      </c>
      <c r="N1337">
        <v>0.33689750000000002</v>
      </c>
    </row>
    <row r="1338" spans="1:14" hidden="1" x14ac:dyDescent="0.35">
      <c r="A1338" t="s">
        <v>684</v>
      </c>
      <c r="B1338" t="s">
        <v>74</v>
      </c>
      <c r="C1338" t="s">
        <v>71</v>
      </c>
      <c r="D1338" t="s">
        <v>77</v>
      </c>
      <c r="E1338" t="s">
        <v>584</v>
      </c>
      <c r="F1338" t="s">
        <v>581</v>
      </c>
      <c r="G1338" t="s">
        <v>25</v>
      </c>
      <c r="H1338">
        <v>2.3063319999999998E-2</v>
      </c>
      <c r="I1338">
        <v>1.459617E-2</v>
      </c>
      <c r="J1338">
        <v>1.4231229999999999E-2</v>
      </c>
      <c r="K1338">
        <v>1.289206E-2</v>
      </c>
      <c r="L1338">
        <v>1.0615889999999999E-2</v>
      </c>
      <c r="M1338">
        <v>8.9698629999999998E-3</v>
      </c>
      <c r="N1338">
        <v>7.6098629999999997E-3</v>
      </c>
    </row>
    <row r="1339" spans="1:14" hidden="1" x14ac:dyDescent="0.35">
      <c r="A1339" t="s">
        <v>684</v>
      </c>
      <c r="B1339" t="s">
        <v>74</v>
      </c>
      <c r="C1339" t="s">
        <v>71</v>
      </c>
      <c r="D1339" t="s">
        <v>76</v>
      </c>
      <c r="E1339" t="s">
        <v>584</v>
      </c>
      <c r="F1339" t="s">
        <v>581</v>
      </c>
      <c r="G1339" t="s">
        <v>396</v>
      </c>
      <c r="H1339">
        <v>5.401425E-2</v>
      </c>
      <c r="I1339">
        <v>4.7203290000000002E-2</v>
      </c>
      <c r="J1339">
        <v>4.7220819999999997E-2</v>
      </c>
      <c r="K1339">
        <v>3.3265749999999997E-2</v>
      </c>
      <c r="L1339">
        <v>0</v>
      </c>
      <c r="M1339">
        <v>0</v>
      </c>
      <c r="N1339">
        <v>0</v>
      </c>
    </row>
    <row r="1340" spans="1:14" hidden="1" x14ac:dyDescent="0.35">
      <c r="A1340" t="s">
        <v>685</v>
      </c>
      <c r="B1340" t="s">
        <v>37</v>
      </c>
      <c r="C1340" t="s">
        <v>35</v>
      </c>
      <c r="D1340" t="s">
        <v>36</v>
      </c>
      <c r="E1340" t="s">
        <v>589</v>
      </c>
      <c r="F1340" t="s">
        <v>581</v>
      </c>
      <c r="G1340" t="s">
        <v>396</v>
      </c>
      <c r="H1340">
        <v>24.094249999999999</v>
      </c>
      <c r="I1340">
        <v>27.717220000000001</v>
      </c>
      <c r="J1340">
        <v>31.70627</v>
      </c>
      <c r="K1340">
        <v>33.116999999999997</v>
      </c>
      <c r="L1340">
        <v>30.607790000000001</v>
      </c>
      <c r="M1340">
        <v>25.723490000000002</v>
      </c>
      <c r="N1340">
        <v>22.07742</v>
      </c>
    </row>
    <row r="1341" spans="1:14" hidden="1" x14ac:dyDescent="0.35">
      <c r="A1341" t="s">
        <v>685</v>
      </c>
      <c r="B1341" t="s">
        <v>37</v>
      </c>
      <c r="C1341" t="s">
        <v>35</v>
      </c>
      <c r="D1341" t="s">
        <v>36</v>
      </c>
      <c r="E1341" t="s">
        <v>589</v>
      </c>
      <c r="F1341" t="s">
        <v>581</v>
      </c>
      <c r="G1341" t="s">
        <v>25</v>
      </c>
      <c r="H1341">
        <v>10.67178</v>
      </c>
      <c r="I1341">
        <v>10.95998</v>
      </c>
      <c r="J1341">
        <v>12.581860000000001</v>
      </c>
      <c r="K1341">
        <v>13.14167</v>
      </c>
      <c r="L1341">
        <v>12.145949999999999</v>
      </c>
      <c r="M1341">
        <v>10.207739999999999</v>
      </c>
      <c r="N1341">
        <v>8.7608820000000005</v>
      </c>
    </row>
    <row r="1342" spans="1:14" hidden="1" x14ac:dyDescent="0.35">
      <c r="A1342" t="s">
        <v>685</v>
      </c>
      <c r="B1342" t="s">
        <v>37</v>
      </c>
      <c r="C1342" t="s">
        <v>35</v>
      </c>
      <c r="D1342" t="s">
        <v>36</v>
      </c>
      <c r="E1342" t="s">
        <v>589</v>
      </c>
      <c r="F1342" t="s">
        <v>26</v>
      </c>
      <c r="G1342" t="s">
        <v>26</v>
      </c>
      <c r="H1342">
        <v>6.0668490000000004</v>
      </c>
      <c r="I1342">
        <v>5.2607869999999997</v>
      </c>
      <c r="J1342">
        <v>6.0392890000000001</v>
      </c>
      <c r="K1342">
        <v>6.3079999999999998</v>
      </c>
      <c r="L1342">
        <v>5.8300530000000004</v>
      </c>
      <c r="M1342">
        <v>4.8997109999999999</v>
      </c>
      <c r="N1342">
        <v>4.205222</v>
      </c>
    </row>
    <row r="1343" spans="1:14" hidden="1" x14ac:dyDescent="0.35">
      <c r="A1343" t="s">
        <v>685</v>
      </c>
      <c r="B1343" t="s">
        <v>37</v>
      </c>
      <c r="C1343" t="s">
        <v>35</v>
      </c>
      <c r="D1343" t="s">
        <v>36</v>
      </c>
      <c r="E1343" t="s">
        <v>590</v>
      </c>
      <c r="F1343" t="s">
        <v>581</v>
      </c>
      <c r="G1343" t="s">
        <v>396</v>
      </c>
      <c r="H1343">
        <v>33.821370000000002</v>
      </c>
      <c r="I1343">
        <v>33.705170000000003</v>
      </c>
      <c r="J1343">
        <v>28.326070000000001</v>
      </c>
      <c r="K1343">
        <v>24.22634</v>
      </c>
      <c r="L1343">
        <v>21.225290000000001</v>
      </c>
      <c r="M1343">
        <v>18.73263</v>
      </c>
      <c r="N1343">
        <v>16.6816</v>
      </c>
    </row>
    <row r="1344" spans="1:14" hidden="1" x14ac:dyDescent="0.35">
      <c r="A1344" t="s">
        <v>685</v>
      </c>
      <c r="B1344" t="s">
        <v>37</v>
      </c>
      <c r="C1344" t="s">
        <v>35</v>
      </c>
      <c r="D1344" t="s">
        <v>36</v>
      </c>
      <c r="E1344" t="s">
        <v>590</v>
      </c>
      <c r="F1344" t="s">
        <v>581</v>
      </c>
      <c r="G1344" t="s">
        <v>25</v>
      </c>
      <c r="H1344">
        <v>12.977539999999999</v>
      </c>
      <c r="I1344">
        <v>11.5829</v>
      </c>
      <c r="J1344">
        <v>9.7370839999999994</v>
      </c>
      <c r="K1344">
        <v>8.3278060000000007</v>
      </c>
      <c r="L1344">
        <v>7.2961929999999997</v>
      </c>
      <c r="M1344">
        <v>6.4393380000000002</v>
      </c>
      <c r="N1344">
        <v>5.7343010000000003</v>
      </c>
    </row>
    <row r="1345" spans="1:14" hidden="1" x14ac:dyDescent="0.35">
      <c r="A1345" t="s">
        <v>685</v>
      </c>
      <c r="B1345" t="s">
        <v>37</v>
      </c>
      <c r="C1345" t="s">
        <v>35</v>
      </c>
      <c r="D1345" t="s">
        <v>36</v>
      </c>
      <c r="E1345" t="s">
        <v>590</v>
      </c>
      <c r="F1345" t="s">
        <v>26</v>
      </c>
      <c r="G1345" t="s">
        <v>26</v>
      </c>
      <c r="H1345">
        <v>9.7797269999999994</v>
      </c>
      <c r="I1345">
        <v>7.3709379999999998</v>
      </c>
      <c r="J1345">
        <v>6.1963280000000003</v>
      </c>
      <c r="K1345">
        <v>5.2995109999999999</v>
      </c>
      <c r="L1345">
        <v>4.6430319999999998</v>
      </c>
      <c r="M1345">
        <v>4.0977629999999996</v>
      </c>
      <c r="N1345">
        <v>3.6490999999999998</v>
      </c>
    </row>
    <row r="1346" spans="1:14" hidden="1" x14ac:dyDescent="0.35">
      <c r="A1346" t="s">
        <v>685</v>
      </c>
      <c r="B1346" t="s">
        <v>37</v>
      </c>
      <c r="C1346" t="s">
        <v>35</v>
      </c>
      <c r="D1346" t="s">
        <v>36</v>
      </c>
      <c r="E1346" t="s">
        <v>588</v>
      </c>
      <c r="F1346" t="s">
        <v>581</v>
      </c>
      <c r="G1346" t="s">
        <v>396</v>
      </c>
      <c r="H1346">
        <v>6.6673970000000002</v>
      </c>
      <c r="I1346">
        <v>7.48346</v>
      </c>
      <c r="J1346">
        <v>6.51485</v>
      </c>
      <c r="K1346">
        <v>5.5294639999999999</v>
      </c>
      <c r="L1346">
        <v>4.6414600000000004</v>
      </c>
      <c r="M1346">
        <v>3.9943960000000001</v>
      </c>
      <c r="N1346">
        <v>3.8666049999999998</v>
      </c>
    </row>
    <row r="1347" spans="1:14" hidden="1" x14ac:dyDescent="0.35">
      <c r="A1347" t="s">
        <v>685</v>
      </c>
      <c r="B1347" t="s">
        <v>37</v>
      </c>
      <c r="C1347" t="s">
        <v>35</v>
      </c>
      <c r="D1347" t="s">
        <v>36</v>
      </c>
      <c r="E1347" t="s">
        <v>588</v>
      </c>
      <c r="F1347" t="s">
        <v>581</v>
      </c>
      <c r="G1347" t="s">
        <v>25</v>
      </c>
      <c r="H1347">
        <v>1.152879</v>
      </c>
      <c r="I1347">
        <v>1.1594120000000001</v>
      </c>
      <c r="J1347">
        <v>1.0093369999999999</v>
      </c>
      <c r="K1347">
        <v>0.8566821</v>
      </c>
      <c r="L1347">
        <v>0.71910090000000004</v>
      </c>
      <c r="M1347">
        <v>0.61885259999999997</v>
      </c>
      <c r="N1347">
        <v>0.59904659999999998</v>
      </c>
    </row>
    <row r="1348" spans="1:14" hidden="1" x14ac:dyDescent="0.35">
      <c r="A1348" t="s">
        <v>685</v>
      </c>
      <c r="B1348" t="s">
        <v>37</v>
      </c>
      <c r="C1348" t="s">
        <v>35</v>
      </c>
      <c r="D1348" t="s">
        <v>36</v>
      </c>
      <c r="E1348" t="s">
        <v>588</v>
      </c>
      <c r="F1348" t="s">
        <v>26</v>
      </c>
      <c r="G1348" t="s">
        <v>26</v>
      </c>
      <c r="H1348">
        <v>2.233425</v>
      </c>
      <c r="I1348">
        <v>1.897214</v>
      </c>
      <c r="J1348">
        <v>1.6516519999999999</v>
      </c>
      <c r="K1348">
        <v>1.401834</v>
      </c>
      <c r="L1348">
        <v>1.1767080000000001</v>
      </c>
      <c r="M1348">
        <v>1.0126630000000001</v>
      </c>
      <c r="N1348">
        <v>0.98026630000000003</v>
      </c>
    </row>
    <row r="1349" spans="1:14" hidden="1" x14ac:dyDescent="0.35">
      <c r="A1349" t="s">
        <v>685</v>
      </c>
      <c r="B1349" t="s">
        <v>37</v>
      </c>
      <c r="C1349" t="s">
        <v>35</v>
      </c>
      <c r="D1349" t="s">
        <v>36</v>
      </c>
      <c r="E1349" t="s">
        <v>587</v>
      </c>
      <c r="F1349" t="s">
        <v>581</v>
      </c>
      <c r="G1349" t="s">
        <v>396</v>
      </c>
      <c r="H1349">
        <v>2.9698630000000001</v>
      </c>
      <c r="I1349">
        <v>2.9177559999999998</v>
      </c>
      <c r="J1349">
        <v>2.5577100000000002</v>
      </c>
      <c r="K1349">
        <v>2.2503069999999998</v>
      </c>
      <c r="L1349">
        <v>1.9801839999999999</v>
      </c>
      <c r="M1349">
        <v>1.7470159999999999</v>
      </c>
      <c r="N1349">
        <v>1.5328660000000001</v>
      </c>
    </row>
    <row r="1350" spans="1:14" hidden="1" x14ac:dyDescent="0.35">
      <c r="A1350" t="s">
        <v>685</v>
      </c>
      <c r="B1350" t="s">
        <v>37</v>
      </c>
      <c r="C1350" t="s">
        <v>35</v>
      </c>
      <c r="D1350" t="s">
        <v>36</v>
      </c>
      <c r="E1350" t="s">
        <v>587</v>
      </c>
      <c r="F1350" t="s">
        <v>581</v>
      </c>
      <c r="G1350" t="s">
        <v>25</v>
      </c>
      <c r="H1350">
        <v>1.768767</v>
      </c>
      <c r="I1350">
        <v>1.5561339999999999</v>
      </c>
      <c r="J1350">
        <v>1.364107</v>
      </c>
      <c r="K1350">
        <v>1.200162</v>
      </c>
      <c r="L1350">
        <v>1.0560989999999999</v>
      </c>
      <c r="M1350">
        <v>0.93174239999999997</v>
      </c>
      <c r="N1350">
        <v>0.81752599999999997</v>
      </c>
    </row>
    <row r="1351" spans="1:14" hidden="1" x14ac:dyDescent="0.35">
      <c r="A1351" t="s">
        <v>685</v>
      </c>
      <c r="B1351" t="s">
        <v>37</v>
      </c>
      <c r="C1351" t="s">
        <v>35</v>
      </c>
      <c r="D1351" t="s">
        <v>36</v>
      </c>
      <c r="E1351" t="s">
        <v>587</v>
      </c>
      <c r="F1351" t="s">
        <v>26</v>
      </c>
      <c r="G1351" t="s">
        <v>26</v>
      </c>
      <c r="H1351">
        <v>2.7046579999999998</v>
      </c>
      <c r="I1351">
        <v>2.0100060000000002</v>
      </c>
      <c r="J1351">
        <v>1.761978</v>
      </c>
      <c r="K1351">
        <v>1.550211</v>
      </c>
      <c r="L1351">
        <v>1.3641259999999999</v>
      </c>
      <c r="M1351">
        <v>1.2035009999999999</v>
      </c>
      <c r="N1351">
        <v>1.0559750000000001</v>
      </c>
    </row>
    <row r="1352" spans="1:14" hidden="1" x14ac:dyDescent="0.35">
      <c r="A1352" t="s">
        <v>685</v>
      </c>
      <c r="B1352" t="s">
        <v>37</v>
      </c>
      <c r="C1352" t="s">
        <v>35</v>
      </c>
      <c r="D1352" t="s">
        <v>129</v>
      </c>
      <c r="E1352" t="s">
        <v>580</v>
      </c>
      <c r="F1352" t="s">
        <v>581</v>
      </c>
      <c r="G1352" t="s">
        <v>396</v>
      </c>
      <c r="H1352">
        <v>51.14669</v>
      </c>
      <c r="I1352">
        <v>40.508989999999997</v>
      </c>
      <c r="J1352">
        <v>36.787199999999999</v>
      </c>
      <c r="K1352">
        <v>32.616370000000003</v>
      </c>
      <c r="L1352">
        <v>28.413879999999999</v>
      </c>
      <c r="M1352">
        <v>24.176410000000001</v>
      </c>
      <c r="N1352">
        <v>20.70534</v>
      </c>
    </row>
    <row r="1353" spans="1:14" hidden="1" x14ac:dyDescent="0.35">
      <c r="A1353" t="s">
        <v>685</v>
      </c>
      <c r="B1353" t="s">
        <v>37</v>
      </c>
      <c r="C1353" t="s">
        <v>35</v>
      </c>
      <c r="D1353" t="s">
        <v>129</v>
      </c>
      <c r="E1353" t="s">
        <v>580</v>
      </c>
      <c r="F1353" t="s">
        <v>581</v>
      </c>
      <c r="G1353" t="s">
        <v>25</v>
      </c>
      <c r="H1353">
        <v>8.5513100000000009</v>
      </c>
      <c r="I1353">
        <v>8.2066700000000008</v>
      </c>
      <c r="J1353">
        <v>7.8110020000000002</v>
      </c>
      <c r="K1353">
        <v>7.203131</v>
      </c>
      <c r="L1353">
        <v>6.3142529999999999</v>
      </c>
      <c r="M1353">
        <v>5.3887090000000004</v>
      </c>
      <c r="N1353">
        <v>4.6301379999999996</v>
      </c>
    </row>
    <row r="1354" spans="1:14" hidden="1" x14ac:dyDescent="0.35">
      <c r="A1354" t="s">
        <v>685</v>
      </c>
      <c r="B1354" t="s">
        <v>37</v>
      </c>
      <c r="C1354" t="s">
        <v>35</v>
      </c>
      <c r="D1354" t="s">
        <v>129</v>
      </c>
      <c r="E1354" t="s">
        <v>580</v>
      </c>
      <c r="F1354" t="s">
        <v>26</v>
      </c>
      <c r="G1354" t="s">
        <v>26</v>
      </c>
      <c r="H1354">
        <v>7.4942250000000001</v>
      </c>
      <c r="I1354">
        <v>7.1974299999999998</v>
      </c>
      <c r="J1354">
        <v>6.8041619999999998</v>
      </c>
      <c r="K1354">
        <v>6.2397280000000004</v>
      </c>
      <c r="L1354">
        <v>5.4649979999999996</v>
      </c>
      <c r="M1354">
        <v>4.6619970000000004</v>
      </c>
      <c r="N1354">
        <v>4.0039179999999996</v>
      </c>
    </row>
    <row r="1355" spans="1:14" hidden="1" x14ac:dyDescent="0.35">
      <c r="A1355" t="s">
        <v>686</v>
      </c>
      <c r="B1355" t="s">
        <v>34</v>
      </c>
      <c r="C1355" t="s">
        <v>33</v>
      </c>
      <c r="D1355" t="s">
        <v>33</v>
      </c>
      <c r="E1355" t="s">
        <v>605</v>
      </c>
      <c r="F1355" t="s">
        <v>581</v>
      </c>
      <c r="G1355" t="s">
        <v>24</v>
      </c>
      <c r="H1355">
        <v>51.919710000000002</v>
      </c>
      <c r="I1355">
        <v>52.157200000000003</v>
      </c>
      <c r="J1355">
        <v>39.866430000000001</v>
      </c>
      <c r="K1355">
        <v>28.163160000000001</v>
      </c>
      <c r="L1355">
        <v>23.761430000000001</v>
      </c>
      <c r="M1355">
        <v>22.298030000000001</v>
      </c>
      <c r="N1355">
        <v>19.280930000000001</v>
      </c>
    </row>
    <row r="1356" spans="1:14" hidden="1" x14ac:dyDescent="0.35">
      <c r="A1356" t="s">
        <v>686</v>
      </c>
      <c r="B1356" t="s">
        <v>34</v>
      </c>
      <c r="C1356" t="s">
        <v>33</v>
      </c>
      <c r="D1356" t="s">
        <v>33</v>
      </c>
      <c r="E1356" t="s">
        <v>605</v>
      </c>
      <c r="F1356" t="s">
        <v>581</v>
      </c>
      <c r="G1356" t="s">
        <v>25</v>
      </c>
      <c r="H1356">
        <v>27.559889999999999</v>
      </c>
      <c r="I1356">
        <v>30.227699999999999</v>
      </c>
      <c r="J1356">
        <v>23.245069999999998</v>
      </c>
      <c r="K1356">
        <v>16.567499999999999</v>
      </c>
      <c r="L1356">
        <v>14.09671</v>
      </c>
      <c r="M1356">
        <v>13.380100000000001</v>
      </c>
      <c r="N1356">
        <v>12.13477</v>
      </c>
    </row>
    <row r="1357" spans="1:14" hidden="1" x14ac:dyDescent="0.35">
      <c r="A1357" t="s">
        <v>686</v>
      </c>
      <c r="B1357" t="s">
        <v>34</v>
      </c>
      <c r="C1357" t="s">
        <v>33</v>
      </c>
      <c r="D1357" t="s">
        <v>33</v>
      </c>
      <c r="E1357" t="s">
        <v>605</v>
      </c>
      <c r="F1357" t="s">
        <v>26</v>
      </c>
      <c r="G1357" t="s">
        <v>26</v>
      </c>
      <c r="H1357">
        <v>47.916980000000002</v>
      </c>
      <c r="I1357">
        <v>50.737270000000002</v>
      </c>
      <c r="J1357">
        <v>39.157899999999998</v>
      </c>
      <c r="K1357">
        <v>27.947050000000001</v>
      </c>
      <c r="L1357">
        <v>23.767990000000001</v>
      </c>
      <c r="M1357">
        <v>22.59355</v>
      </c>
      <c r="N1357">
        <v>20.97728</v>
      </c>
    </row>
    <row r="1358" spans="1:14" hidden="1" x14ac:dyDescent="0.35">
      <c r="A1358" t="s">
        <v>686</v>
      </c>
      <c r="B1358" t="s">
        <v>34</v>
      </c>
      <c r="C1358" t="s">
        <v>33</v>
      </c>
      <c r="D1358" t="s">
        <v>33</v>
      </c>
      <c r="E1358" t="s">
        <v>604</v>
      </c>
      <c r="F1358" t="s">
        <v>581</v>
      </c>
      <c r="G1358" t="s">
        <v>24</v>
      </c>
      <c r="H1358">
        <v>15.56701</v>
      </c>
      <c r="I1358">
        <v>12.83953</v>
      </c>
      <c r="J1358">
        <v>9.1384380000000007</v>
      </c>
      <c r="K1358">
        <v>6.7503190000000002</v>
      </c>
      <c r="L1358">
        <v>5.4141339999999998</v>
      </c>
      <c r="M1358">
        <v>4.6121610000000004</v>
      </c>
      <c r="N1358">
        <v>3.9990640000000002</v>
      </c>
    </row>
    <row r="1359" spans="1:14" hidden="1" x14ac:dyDescent="0.35">
      <c r="A1359" t="s">
        <v>686</v>
      </c>
      <c r="B1359" t="s">
        <v>34</v>
      </c>
      <c r="C1359" t="s">
        <v>33</v>
      </c>
      <c r="D1359" t="s">
        <v>33</v>
      </c>
      <c r="E1359" t="s">
        <v>604</v>
      </c>
      <c r="F1359" t="s">
        <v>581</v>
      </c>
      <c r="G1359" t="s">
        <v>25</v>
      </c>
      <c r="H1359">
        <v>12.810790000000001</v>
      </c>
      <c r="I1359">
        <v>11.358219999999999</v>
      </c>
      <c r="J1359">
        <v>8.0841100000000008</v>
      </c>
      <c r="K1359">
        <v>5.9715199999999999</v>
      </c>
      <c r="L1359">
        <v>4.7894930000000002</v>
      </c>
      <c r="M1359">
        <v>4.0800450000000001</v>
      </c>
      <c r="N1359">
        <v>3.5376840000000001</v>
      </c>
    </row>
    <row r="1360" spans="1:14" hidden="1" x14ac:dyDescent="0.35">
      <c r="A1360" t="s">
        <v>686</v>
      </c>
      <c r="B1360" t="s">
        <v>34</v>
      </c>
      <c r="C1360" t="s">
        <v>33</v>
      </c>
      <c r="D1360" t="s">
        <v>33</v>
      </c>
      <c r="E1360" t="s">
        <v>604</v>
      </c>
      <c r="F1360" t="s">
        <v>26</v>
      </c>
      <c r="G1360" t="s">
        <v>26</v>
      </c>
      <c r="H1360">
        <v>30.649709999999999</v>
      </c>
      <c r="I1360">
        <v>25.591709999999999</v>
      </c>
      <c r="J1360">
        <v>18.214469999999999</v>
      </c>
      <c r="K1360">
        <v>13.454549999999999</v>
      </c>
      <c r="L1360">
        <v>10.7913</v>
      </c>
      <c r="M1360">
        <v>9.1928429999999999</v>
      </c>
      <c r="N1360">
        <v>7.9708370000000004</v>
      </c>
    </row>
    <row r="1361" spans="1:14" hidden="1" x14ac:dyDescent="0.35">
      <c r="A1361" t="s">
        <v>687</v>
      </c>
      <c r="B1361" t="s">
        <v>160</v>
      </c>
      <c r="C1361" t="s">
        <v>159</v>
      </c>
      <c r="D1361" t="s">
        <v>159</v>
      </c>
      <c r="E1361" t="s">
        <v>584</v>
      </c>
      <c r="F1361" t="s">
        <v>581</v>
      </c>
      <c r="G1361" t="s">
        <v>396</v>
      </c>
      <c r="H1361">
        <v>65.881159999999994</v>
      </c>
      <c r="I1361">
        <v>76.242639999999994</v>
      </c>
      <c r="J1361">
        <v>84.063839999999999</v>
      </c>
      <c r="K1361">
        <v>83.837720000000004</v>
      </c>
      <c r="L1361">
        <v>87.593890000000002</v>
      </c>
      <c r="M1361">
        <v>91.650599999999997</v>
      </c>
      <c r="N1361">
        <v>89.248450000000005</v>
      </c>
    </row>
    <row r="1362" spans="1:14" hidden="1" x14ac:dyDescent="0.35">
      <c r="A1362" t="s">
        <v>687</v>
      </c>
      <c r="B1362" t="s">
        <v>160</v>
      </c>
      <c r="C1362" t="s">
        <v>159</v>
      </c>
      <c r="D1362" t="s">
        <v>159</v>
      </c>
      <c r="E1362" t="s">
        <v>584</v>
      </c>
      <c r="F1362" t="s">
        <v>26</v>
      </c>
      <c r="G1362" t="s">
        <v>26</v>
      </c>
      <c r="H1362">
        <v>6.085324</v>
      </c>
      <c r="I1362">
        <v>5.9783600000000003</v>
      </c>
      <c r="J1362">
        <v>8.356363</v>
      </c>
      <c r="K1362">
        <v>9.0434769999999993</v>
      </c>
      <c r="L1362">
        <v>9.3723949999999991</v>
      </c>
      <c r="M1362">
        <v>10.144869999999999</v>
      </c>
      <c r="N1362">
        <v>9.8086920000000006</v>
      </c>
    </row>
    <row r="1363" spans="1:14" hidden="1" x14ac:dyDescent="0.35">
      <c r="A1363" t="s">
        <v>687</v>
      </c>
      <c r="B1363" t="s">
        <v>160</v>
      </c>
      <c r="C1363" t="s">
        <v>298</v>
      </c>
      <c r="D1363" t="s">
        <v>688</v>
      </c>
      <c r="E1363" t="s">
        <v>584</v>
      </c>
      <c r="F1363" t="s">
        <v>581</v>
      </c>
      <c r="G1363" t="s">
        <v>396</v>
      </c>
      <c r="H1363">
        <v>5.5220409999999998E-2</v>
      </c>
      <c r="I1363">
        <v>5.8186300000000003E-2</v>
      </c>
      <c r="J1363">
        <v>4.8035340000000003E-2</v>
      </c>
      <c r="K1363">
        <v>4.4963009999999998E-2</v>
      </c>
      <c r="L1363">
        <v>3.443425E-2</v>
      </c>
      <c r="M1363">
        <v>2.7192600000000001E-2</v>
      </c>
      <c r="N1363">
        <v>2.1631919999999999E-2</v>
      </c>
    </row>
    <row r="1364" spans="1:14" hidden="1" x14ac:dyDescent="0.35">
      <c r="A1364" t="s">
        <v>687</v>
      </c>
      <c r="B1364" t="s">
        <v>160</v>
      </c>
      <c r="C1364" t="s">
        <v>309</v>
      </c>
      <c r="D1364" t="s">
        <v>689</v>
      </c>
      <c r="E1364" t="s">
        <v>584</v>
      </c>
      <c r="F1364" t="s">
        <v>581</v>
      </c>
      <c r="G1364" t="s">
        <v>24</v>
      </c>
      <c r="H1364">
        <v>5.1965890000000001E-2</v>
      </c>
      <c r="I1364">
        <v>4.8972189999999999E-2</v>
      </c>
      <c r="J1364">
        <v>1.4520679999999999E-2</v>
      </c>
      <c r="K1364">
        <v>0</v>
      </c>
    </row>
    <row r="1365" spans="1:14" hidden="1" x14ac:dyDescent="0.35">
      <c r="A1365" t="s">
        <v>687</v>
      </c>
      <c r="B1365" t="s">
        <v>160</v>
      </c>
      <c r="C1365" t="s">
        <v>309</v>
      </c>
      <c r="D1365" t="s">
        <v>689</v>
      </c>
      <c r="E1365" t="s">
        <v>584</v>
      </c>
      <c r="F1365" t="s">
        <v>26</v>
      </c>
      <c r="G1365" t="s">
        <v>26</v>
      </c>
      <c r="I1365">
        <v>0</v>
      </c>
      <c r="J1365">
        <v>2.6874249999999999E-2</v>
      </c>
      <c r="K1365">
        <v>0</v>
      </c>
    </row>
    <row r="1366" spans="1:14" hidden="1" x14ac:dyDescent="0.35">
      <c r="A1366" t="s">
        <v>687</v>
      </c>
      <c r="B1366" t="s">
        <v>45</v>
      </c>
      <c r="C1366" t="s">
        <v>44</v>
      </c>
      <c r="D1366" t="s">
        <v>44</v>
      </c>
      <c r="E1366" t="s">
        <v>584</v>
      </c>
      <c r="F1366" t="s">
        <v>581</v>
      </c>
      <c r="G1366" t="s">
        <v>396</v>
      </c>
      <c r="H1366">
        <v>11.270759999999999</v>
      </c>
      <c r="I1366">
        <v>12.3651</v>
      </c>
      <c r="J1366">
        <v>11.977790000000001</v>
      </c>
      <c r="K1366">
        <v>11.332079999999999</v>
      </c>
      <c r="L1366">
        <v>9.6857799999999994</v>
      </c>
      <c r="M1366">
        <v>8.1136409999999994</v>
      </c>
      <c r="N1366">
        <v>6.9378229999999999</v>
      </c>
    </row>
    <row r="1367" spans="1:14" hidden="1" x14ac:dyDescent="0.35">
      <c r="A1367" t="s">
        <v>687</v>
      </c>
      <c r="B1367" t="s">
        <v>295</v>
      </c>
      <c r="C1367" t="s">
        <v>294</v>
      </c>
      <c r="D1367" t="s">
        <v>294</v>
      </c>
      <c r="E1367" t="s">
        <v>584</v>
      </c>
      <c r="F1367" t="s">
        <v>581</v>
      </c>
      <c r="G1367" t="s">
        <v>24</v>
      </c>
      <c r="J1367">
        <v>0</v>
      </c>
      <c r="K1367">
        <v>4.167123E-3</v>
      </c>
      <c r="L1367">
        <v>0.33255479999999998</v>
      </c>
      <c r="M1367">
        <v>0.45178109999999999</v>
      </c>
      <c r="N1367">
        <v>0.45178089999999999</v>
      </c>
    </row>
    <row r="1368" spans="1:14" hidden="1" x14ac:dyDescent="0.35">
      <c r="A1368" t="s">
        <v>687</v>
      </c>
      <c r="B1368" t="s">
        <v>295</v>
      </c>
      <c r="C1368" t="s">
        <v>294</v>
      </c>
      <c r="D1368" t="s">
        <v>294</v>
      </c>
      <c r="E1368" t="s">
        <v>584</v>
      </c>
      <c r="F1368" t="s">
        <v>26</v>
      </c>
      <c r="G1368" t="s">
        <v>26</v>
      </c>
      <c r="J1368">
        <v>0</v>
      </c>
      <c r="K1368">
        <v>3.0561100000000001E-2</v>
      </c>
      <c r="L1368">
        <v>4.8718599999999999</v>
      </c>
      <c r="M1368">
        <v>7.0011989999999997</v>
      </c>
      <c r="N1368">
        <v>6.980823</v>
      </c>
    </row>
    <row r="1369" spans="1:14" hidden="1" x14ac:dyDescent="0.35">
      <c r="A1369" t="s">
        <v>687</v>
      </c>
      <c r="B1369" t="s">
        <v>192</v>
      </c>
      <c r="C1369" t="s">
        <v>44</v>
      </c>
      <c r="D1369" t="s">
        <v>44</v>
      </c>
      <c r="E1369" t="s">
        <v>584</v>
      </c>
      <c r="F1369" t="s">
        <v>581</v>
      </c>
      <c r="G1369" t="s">
        <v>396</v>
      </c>
      <c r="H1369">
        <v>0.74169859999999999</v>
      </c>
      <c r="I1369">
        <v>0.62640879999999999</v>
      </c>
      <c r="J1369">
        <v>0.52984489999999995</v>
      </c>
      <c r="K1369">
        <v>0.44916159999999999</v>
      </c>
      <c r="L1369">
        <v>0.38377250000000002</v>
      </c>
      <c r="M1369">
        <v>0.33109539999999998</v>
      </c>
      <c r="N1369">
        <v>0.28594999999999998</v>
      </c>
    </row>
    <row r="1370" spans="1:14" hidden="1" x14ac:dyDescent="0.35">
      <c r="A1370" t="s">
        <v>687</v>
      </c>
      <c r="B1370" t="s">
        <v>282</v>
      </c>
      <c r="C1370" t="s">
        <v>365</v>
      </c>
      <c r="D1370" t="s">
        <v>365</v>
      </c>
      <c r="E1370" t="s">
        <v>584</v>
      </c>
      <c r="F1370" t="s">
        <v>581</v>
      </c>
      <c r="G1370" t="s">
        <v>24</v>
      </c>
      <c r="N1370">
        <v>0</v>
      </c>
    </row>
    <row r="1371" spans="1:14" hidden="1" x14ac:dyDescent="0.35">
      <c r="A1371" t="s">
        <v>687</v>
      </c>
      <c r="B1371" t="s">
        <v>282</v>
      </c>
      <c r="C1371" t="s">
        <v>365</v>
      </c>
      <c r="D1371" t="s">
        <v>365</v>
      </c>
      <c r="E1371" t="s">
        <v>584</v>
      </c>
      <c r="F1371" t="s">
        <v>581</v>
      </c>
      <c r="G1371" t="s">
        <v>25</v>
      </c>
      <c r="N1371">
        <v>0</v>
      </c>
    </row>
    <row r="1372" spans="1:14" hidden="1" x14ac:dyDescent="0.35">
      <c r="A1372" t="s">
        <v>687</v>
      </c>
      <c r="B1372" t="s">
        <v>282</v>
      </c>
      <c r="C1372" t="s">
        <v>365</v>
      </c>
      <c r="D1372" t="s">
        <v>365</v>
      </c>
      <c r="E1372" t="s">
        <v>584</v>
      </c>
      <c r="F1372" t="s">
        <v>26</v>
      </c>
      <c r="G1372" t="s">
        <v>26</v>
      </c>
      <c r="N1372">
        <v>0</v>
      </c>
    </row>
    <row r="1373" spans="1:14" hidden="1" x14ac:dyDescent="0.35">
      <c r="A1373" t="s">
        <v>690</v>
      </c>
      <c r="B1373" t="s">
        <v>37</v>
      </c>
      <c r="C1373" t="s">
        <v>118</v>
      </c>
      <c r="D1373" t="s">
        <v>118</v>
      </c>
      <c r="E1373" t="s">
        <v>584</v>
      </c>
      <c r="F1373" t="s">
        <v>581</v>
      </c>
      <c r="G1373" t="s">
        <v>24</v>
      </c>
      <c r="H1373">
        <v>4.1770250000000004</v>
      </c>
      <c r="I1373">
        <v>4.4476319999999996</v>
      </c>
      <c r="J1373">
        <v>4.4102690000000004</v>
      </c>
      <c r="K1373">
        <v>4.1083590000000001</v>
      </c>
      <c r="L1373">
        <v>3.7722500000000001</v>
      </c>
      <c r="M1373">
        <v>3.6356839999999999</v>
      </c>
      <c r="N1373">
        <v>3.5044689999999998</v>
      </c>
    </row>
    <row r="1374" spans="1:14" hidden="1" x14ac:dyDescent="0.35">
      <c r="A1374" t="s">
        <v>690</v>
      </c>
      <c r="B1374" t="s">
        <v>37</v>
      </c>
      <c r="C1374" t="s">
        <v>118</v>
      </c>
      <c r="D1374" t="s">
        <v>118</v>
      </c>
      <c r="E1374" t="s">
        <v>584</v>
      </c>
      <c r="F1374" t="s">
        <v>26</v>
      </c>
      <c r="G1374" t="s">
        <v>26</v>
      </c>
      <c r="H1374">
        <v>106.01900000000001</v>
      </c>
      <c r="I1374">
        <v>106.6639</v>
      </c>
      <c r="J1374">
        <v>104.74460000000001</v>
      </c>
      <c r="K1374">
        <v>97.648449999999997</v>
      </c>
      <c r="L1374">
        <v>89.767849999999996</v>
      </c>
      <c r="M1374">
        <v>86.63297</v>
      </c>
      <c r="N1374">
        <v>83.581900000000005</v>
      </c>
    </row>
    <row r="1375" spans="1:14" hidden="1" x14ac:dyDescent="0.35">
      <c r="A1375" t="s">
        <v>691</v>
      </c>
      <c r="B1375" t="s">
        <v>34</v>
      </c>
      <c r="C1375" t="s">
        <v>33</v>
      </c>
      <c r="D1375" t="s">
        <v>33</v>
      </c>
      <c r="E1375" t="s">
        <v>605</v>
      </c>
      <c r="F1375" t="s">
        <v>581</v>
      </c>
      <c r="G1375" t="s">
        <v>396</v>
      </c>
      <c r="H1375">
        <v>0.16109589999999999</v>
      </c>
      <c r="I1375">
        <v>0.19198029999999999</v>
      </c>
      <c r="J1375">
        <v>0.19550960000000001</v>
      </c>
      <c r="K1375">
        <v>0.1550636</v>
      </c>
      <c r="L1375">
        <v>0.12724930000000001</v>
      </c>
      <c r="M1375">
        <v>0.1093233</v>
      </c>
      <c r="N1375">
        <v>9.552165E-2</v>
      </c>
    </row>
    <row r="1376" spans="1:14" hidden="1" x14ac:dyDescent="0.35">
      <c r="A1376" t="s">
        <v>691</v>
      </c>
      <c r="B1376" t="s">
        <v>34</v>
      </c>
      <c r="C1376" t="s">
        <v>33</v>
      </c>
      <c r="D1376" t="s">
        <v>33</v>
      </c>
      <c r="E1376" t="s">
        <v>605</v>
      </c>
      <c r="F1376" t="s">
        <v>581</v>
      </c>
      <c r="G1376" t="s">
        <v>25</v>
      </c>
      <c r="H1376">
        <v>10.08986</v>
      </c>
      <c r="I1376">
        <v>9.4049150000000008</v>
      </c>
      <c r="J1376">
        <v>9.3142639999999997</v>
      </c>
      <c r="K1376">
        <v>7.6591659999999999</v>
      </c>
      <c r="L1376">
        <v>6.2573699999999999</v>
      </c>
      <c r="M1376">
        <v>5.4065859999999999</v>
      </c>
      <c r="N1376">
        <v>4.657502</v>
      </c>
    </row>
    <row r="1377" spans="1:14" hidden="1" x14ac:dyDescent="0.35">
      <c r="A1377" t="s">
        <v>691</v>
      </c>
      <c r="B1377" t="s">
        <v>34</v>
      </c>
      <c r="C1377" t="s">
        <v>33</v>
      </c>
      <c r="D1377" t="s">
        <v>33</v>
      </c>
      <c r="E1377" t="s">
        <v>605</v>
      </c>
      <c r="F1377" t="s">
        <v>26</v>
      </c>
      <c r="G1377" t="s">
        <v>26</v>
      </c>
      <c r="H1377">
        <v>75.521100000000004</v>
      </c>
      <c r="I1377">
        <v>80.734200000000001</v>
      </c>
      <c r="J1377">
        <v>75.014340000000004</v>
      </c>
      <c r="K1377">
        <v>62.421950000000002</v>
      </c>
      <c r="L1377">
        <v>53.990949999999998</v>
      </c>
      <c r="M1377">
        <v>47.869390000000003</v>
      </c>
      <c r="N1377">
        <v>42.300629999999998</v>
      </c>
    </row>
    <row r="1378" spans="1:14" hidden="1" x14ac:dyDescent="0.35">
      <c r="A1378" t="s">
        <v>691</v>
      </c>
      <c r="B1378" t="s">
        <v>34</v>
      </c>
      <c r="C1378" t="s">
        <v>33</v>
      </c>
      <c r="D1378" t="s">
        <v>33</v>
      </c>
      <c r="E1378" t="s">
        <v>604</v>
      </c>
      <c r="F1378" t="s">
        <v>581</v>
      </c>
      <c r="G1378" t="s">
        <v>396</v>
      </c>
      <c r="H1378">
        <v>8.1389370000000003</v>
      </c>
      <c r="I1378">
        <v>9.5816970000000001</v>
      </c>
      <c r="J1378">
        <v>8.7951940000000004</v>
      </c>
      <c r="K1378">
        <v>7.4502230000000003</v>
      </c>
      <c r="L1378">
        <v>6.4732459999999996</v>
      </c>
      <c r="M1378">
        <v>5.6571480000000003</v>
      </c>
      <c r="N1378">
        <v>4.9955360000000004</v>
      </c>
    </row>
    <row r="1379" spans="1:14" hidden="1" x14ac:dyDescent="0.35">
      <c r="A1379" t="s">
        <v>691</v>
      </c>
      <c r="B1379" t="s">
        <v>34</v>
      </c>
      <c r="C1379" t="s">
        <v>33</v>
      </c>
      <c r="D1379" t="s">
        <v>33</v>
      </c>
      <c r="E1379" t="s">
        <v>604</v>
      </c>
      <c r="F1379" t="s">
        <v>581</v>
      </c>
      <c r="G1379" t="s">
        <v>25</v>
      </c>
      <c r="H1379">
        <v>5.7216060000000004</v>
      </c>
      <c r="I1379">
        <v>3.5125000000000002</v>
      </c>
      <c r="J1379">
        <v>3.1941449999999998</v>
      </c>
      <c r="K1379">
        <v>2.6964239999999999</v>
      </c>
      <c r="L1379">
        <v>2.3382350000000001</v>
      </c>
      <c r="M1379">
        <v>2.0455459999999999</v>
      </c>
      <c r="N1379">
        <v>1.8088649999999999</v>
      </c>
    </row>
    <row r="1380" spans="1:14" hidden="1" x14ac:dyDescent="0.35">
      <c r="A1380" t="s">
        <v>691</v>
      </c>
      <c r="B1380" t="s">
        <v>34</v>
      </c>
      <c r="C1380" t="s">
        <v>33</v>
      </c>
      <c r="D1380" t="s">
        <v>33</v>
      </c>
      <c r="E1380" t="s">
        <v>604</v>
      </c>
      <c r="F1380" t="s">
        <v>26</v>
      </c>
      <c r="G1380" t="s">
        <v>26</v>
      </c>
      <c r="H1380">
        <v>18.98574</v>
      </c>
      <c r="I1380">
        <v>16.160640000000001</v>
      </c>
      <c r="J1380">
        <v>14.734629999999999</v>
      </c>
      <c r="K1380">
        <v>12.45274</v>
      </c>
      <c r="L1380">
        <v>10.805859999999999</v>
      </c>
      <c r="M1380">
        <v>9.4509749999999997</v>
      </c>
      <c r="N1380">
        <v>8.3542799999999993</v>
      </c>
    </row>
    <row r="1381" spans="1:14" hidden="1" x14ac:dyDescent="0.35">
      <c r="A1381" t="s">
        <v>691</v>
      </c>
      <c r="B1381" t="s">
        <v>34</v>
      </c>
      <c r="C1381" t="s">
        <v>33</v>
      </c>
      <c r="D1381" t="s">
        <v>33</v>
      </c>
      <c r="E1381" t="s">
        <v>692</v>
      </c>
      <c r="F1381" t="s">
        <v>581</v>
      </c>
      <c r="G1381" t="s">
        <v>396</v>
      </c>
      <c r="H1381">
        <v>3.9653670000000001</v>
      </c>
      <c r="I1381">
        <v>3.4177249999999999</v>
      </c>
      <c r="J1381">
        <v>2.8955920000000002</v>
      </c>
      <c r="K1381">
        <v>2.4802059999999999</v>
      </c>
      <c r="L1381">
        <v>2.138862</v>
      </c>
      <c r="M1381">
        <v>1.8257319999999999</v>
      </c>
      <c r="N1381">
        <v>1.581256</v>
      </c>
    </row>
    <row r="1382" spans="1:14" hidden="1" x14ac:dyDescent="0.35">
      <c r="A1382" t="s">
        <v>691</v>
      </c>
      <c r="B1382" t="s">
        <v>34</v>
      </c>
      <c r="C1382" t="s">
        <v>33</v>
      </c>
      <c r="D1382" t="s">
        <v>33</v>
      </c>
      <c r="E1382" t="s">
        <v>692</v>
      </c>
      <c r="F1382" t="s">
        <v>581</v>
      </c>
      <c r="G1382" t="s">
        <v>25</v>
      </c>
      <c r="H1382">
        <v>0.38816709999999999</v>
      </c>
      <c r="I1382">
        <v>0.32288220000000001</v>
      </c>
      <c r="J1382">
        <v>0.27354580000000001</v>
      </c>
      <c r="K1382">
        <v>0.2343025</v>
      </c>
      <c r="L1382">
        <v>0.2020575</v>
      </c>
      <c r="M1382">
        <v>0.1724723</v>
      </c>
      <c r="N1382">
        <v>0.14938360000000001</v>
      </c>
    </row>
    <row r="1383" spans="1:14" hidden="1" x14ac:dyDescent="0.35">
      <c r="A1383" t="s">
        <v>691</v>
      </c>
      <c r="B1383" t="s">
        <v>34</v>
      </c>
      <c r="C1383" t="s">
        <v>33</v>
      </c>
      <c r="D1383" t="s">
        <v>33</v>
      </c>
      <c r="E1383" t="s">
        <v>692</v>
      </c>
      <c r="F1383" t="s">
        <v>26</v>
      </c>
      <c r="G1383" t="s">
        <v>26</v>
      </c>
      <c r="H1383">
        <v>0.6176218</v>
      </c>
      <c r="I1383">
        <v>0.51954469999999997</v>
      </c>
      <c r="J1383">
        <v>0.44016820000000001</v>
      </c>
      <c r="K1383">
        <v>0.377023</v>
      </c>
      <c r="L1383">
        <v>0.32513540000000002</v>
      </c>
      <c r="M1383">
        <v>0.27753369999999999</v>
      </c>
      <c r="N1383">
        <v>0.2403699</v>
      </c>
    </row>
    <row r="1384" spans="1:14" hidden="1" x14ac:dyDescent="0.35">
      <c r="A1384" t="s">
        <v>691</v>
      </c>
      <c r="B1384" t="s">
        <v>34</v>
      </c>
      <c r="C1384" t="s">
        <v>33</v>
      </c>
      <c r="D1384" t="s">
        <v>33</v>
      </c>
      <c r="E1384" t="s">
        <v>584</v>
      </c>
      <c r="F1384" t="s">
        <v>581</v>
      </c>
      <c r="G1384" t="s">
        <v>396</v>
      </c>
      <c r="H1384">
        <v>2.7064110000000001</v>
      </c>
      <c r="I1384">
        <v>2.7085340000000002</v>
      </c>
      <c r="J1384">
        <v>2.4031220000000002</v>
      </c>
      <c r="K1384">
        <v>2.2528969999999999</v>
      </c>
      <c r="L1384">
        <v>0.42276819999999998</v>
      </c>
      <c r="M1384">
        <v>0.38513429999999998</v>
      </c>
      <c r="N1384">
        <v>0.3520279</v>
      </c>
    </row>
    <row r="1385" spans="1:14" hidden="1" x14ac:dyDescent="0.35">
      <c r="A1385" t="s">
        <v>691</v>
      </c>
      <c r="B1385" t="s">
        <v>34</v>
      </c>
      <c r="C1385" t="s">
        <v>33</v>
      </c>
      <c r="D1385" t="s">
        <v>33</v>
      </c>
      <c r="E1385" t="s">
        <v>584</v>
      </c>
      <c r="F1385" t="s">
        <v>581</v>
      </c>
      <c r="G1385" t="s">
        <v>24</v>
      </c>
      <c r="H1385">
        <v>1.3216439999999999E-2</v>
      </c>
      <c r="I1385">
        <v>9.3506849999999992E-3</v>
      </c>
      <c r="J1385">
        <v>6.268493E-3</v>
      </c>
      <c r="K1385">
        <v>4.2191779999999996E-3</v>
      </c>
      <c r="L1385">
        <v>2.8273970000000002E-3</v>
      </c>
      <c r="M1385">
        <v>3.7917810000000001E-4</v>
      </c>
      <c r="N1385">
        <v>2.5424660000000001E-4</v>
      </c>
    </row>
    <row r="1386" spans="1:14" hidden="1" x14ac:dyDescent="0.35">
      <c r="A1386" t="s">
        <v>691</v>
      </c>
      <c r="B1386" t="s">
        <v>34</v>
      </c>
      <c r="C1386" t="s">
        <v>33</v>
      </c>
      <c r="D1386" t="s">
        <v>33</v>
      </c>
      <c r="E1386" t="s">
        <v>584</v>
      </c>
      <c r="F1386" t="s">
        <v>581</v>
      </c>
      <c r="G1386" t="s">
        <v>25</v>
      </c>
      <c r="H1386">
        <v>0.1395151</v>
      </c>
      <c r="I1386">
        <v>9.9487660000000006E-2</v>
      </c>
      <c r="J1386">
        <v>7.2528770000000006E-2</v>
      </c>
      <c r="K1386">
        <v>5.4199450000000003E-2</v>
      </c>
      <c r="L1386">
        <v>2.2119449999999999E-2</v>
      </c>
      <c r="M1386">
        <v>1.9464660000000002E-2</v>
      </c>
      <c r="N1386">
        <v>2.1824660000000001E-3</v>
      </c>
    </row>
    <row r="1387" spans="1:14" hidden="1" x14ac:dyDescent="0.35">
      <c r="A1387" t="s">
        <v>691</v>
      </c>
      <c r="B1387" t="s">
        <v>34</v>
      </c>
      <c r="C1387" t="s">
        <v>33</v>
      </c>
      <c r="D1387" t="s">
        <v>33</v>
      </c>
      <c r="E1387" t="s">
        <v>584</v>
      </c>
      <c r="F1387" t="s">
        <v>26</v>
      </c>
      <c r="G1387" t="s">
        <v>26</v>
      </c>
      <c r="H1387">
        <v>1.461811</v>
      </c>
      <c r="I1387">
        <v>1.0574030000000001</v>
      </c>
      <c r="J1387">
        <v>0.75008710000000001</v>
      </c>
      <c r="K1387">
        <v>0.4592986</v>
      </c>
      <c r="L1387">
        <v>0.1627468</v>
      </c>
      <c r="M1387">
        <v>0.1178811</v>
      </c>
      <c r="N1387">
        <v>2.1983559999999999E-2</v>
      </c>
    </row>
    <row r="1388" spans="1:14" hidden="1" x14ac:dyDescent="0.35">
      <c r="A1388" t="s">
        <v>693</v>
      </c>
      <c r="B1388" t="s">
        <v>37</v>
      </c>
      <c r="C1388" t="s">
        <v>63</v>
      </c>
      <c r="D1388" t="s">
        <v>63</v>
      </c>
      <c r="E1388" t="s">
        <v>609</v>
      </c>
      <c r="F1388" t="s">
        <v>581</v>
      </c>
      <c r="G1388" t="s">
        <v>25</v>
      </c>
      <c r="H1388">
        <v>9.3147949999999993E-2</v>
      </c>
      <c r="I1388">
        <v>4.4630139999999999E-2</v>
      </c>
      <c r="J1388">
        <v>3.4887670000000003E-2</v>
      </c>
      <c r="K1388">
        <v>3.2804930000000003E-2</v>
      </c>
      <c r="L1388">
        <v>3.7897529999999999E-2</v>
      </c>
      <c r="M1388">
        <v>3.6794519999999997E-2</v>
      </c>
      <c r="N1388">
        <v>2.8063020000000001E-2</v>
      </c>
    </row>
    <row r="1389" spans="1:14" hidden="1" x14ac:dyDescent="0.35">
      <c r="A1389" t="s">
        <v>693</v>
      </c>
      <c r="B1389" t="s">
        <v>37</v>
      </c>
      <c r="C1389" t="s">
        <v>63</v>
      </c>
      <c r="D1389" t="s">
        <v>63</v>
      </c>
      <c r="E1389" t="s">
        <v>609</v>
      </c>
      <c r="F1389" t="s">
        <v>26</v>
      </c>
      <c r="G1389" t="s">
        <v>26</v>
      </c>
      <c r="H1389">
        <v>50.49465</v>
      </c>
      <c r="I1389">
        <v>60.5062</v>
      </c>
      <c r="J1389">
        <v>71.134469999999993</v>
      </c>
      <c r="K1389">
        <v>71.981859999999998</v>
      </c>
      <c r="L1389">
        <v>56.483089999999997</v>
      </c>
      <c r="M1389">
        <v>43.377600000000001</v>
      </c>
      <c r="N1389">
        <v>33.62388</v>
      </c>
    </row>
    <row r="1390" spans="1:14" hidden="1" x14ac:dyDescent="0.35">
      <c r="A1390" t="s">
        <v>693</v>
      </c>
      <c r="B1390" t="s">
        <v>37</v>
      </c>
      <c r="C1390" t="s">
        <v>63</v>
      </c>
      <c r="D1390" t="s">
        <v>63</v>
      </c>
      <c r="E1390" t="s">
        <v>612</v>
      </c>
      <c r="F1390" t="s">
        <v>581</v>
      </c>
      <c r="G1390" t="s">
        <v>24</v>
      </c>
      <c r="H1390">
        <v>7.06548</v>
      </c>
      <c r="I1390">
        <v>6.9585239999999997</v>
      </c>
      <c r="J1390">
        <v>5.9148310000000004</v>
      </c>
      <c r="K1390">
        <v>5.7071990000000001</v>
      </c>
      <c r="L1390">
        <v>5.6579129999999997</v>
      </c>
      <c r="M1390">
        <v>5.5652059999999999</v>
      </c>
      <c r="N1390">
        <v>5.3505649999999996</v>
      </c>
    </row>
    <row r="1391" spans="1:14" hidden="1" x14ac:dyDescent="0.35">
      <c r="A1391" t="s">
        <v>693</v>
      </c>
      <c r="B1391" t="s">
        <v>37</v>
      </c>
      <c r="C1391" t="s">
        <v>63</v>
      </c>
      <c r="D1391" t="s">
        <v>63</v>
      </c>
      <c r="E1391" t="s">
        <v>612</v>
      </c>
      <c r="F1391" t="s">
        <v>581</v>
      </c>
      <c r="G1391" t="s">
        <v>25</v>
      </c>
      <c r="H1391">
        <v>11.061640000000001</v>
      </c>
      <c r="I1391">
        <v>6.9589489999999996</v>
      </c>
      <c r="J1391">
        <v>5.9148269999999998</v>
      </c>
      <c r="K1391">
        <v>5.7071990000000001</v>
      </c>
      <c r="L1391">
        <v>5.6579160000000002</v>
      </c>
      <c r="M1391">
        <v>5.5652030000000003</v>
      </c>
      <c r="N1391">
        <v>5.3505659999999997</v>
      </c>
    </row>
    <row r="1392" spans="1:14" hidden="1" x14ac:dyDescent="0.35">
      <c r="A1392" t="s">
        <v>693</v>
      </c>
      <c r="B1392" t="s">
        <v>37</v>
      </c>
      <c r="C1392" t="s">
        <v>63</v>
      </c>
      <c r="D1392" t="s">
        <v>63</v>
      </c>
      <c r="E1392" t="s">
        <v>612</v>
      </c>
      <c r="F1392" t="s">
        <v>26</v>
      </c>
      <c r="G1392" t="s">
        <v>26</v>
      </c>
      <c r="H1392">
        <v>13.530139999999999</v>
      </c>
      <c r="I1392">
        <v>11.85599</v>
      </c>
      <c r="J1392">
        <v>10.077120000000001</v>
      </c>
      <c r="K1392">
        <v>9.7233739999999997</v>
      </c>
      <c r="L1392">
        <v>9.6394079999999995</v>
      </c>
      <c r="M1392">
        <v>9.4814589999999992</v>
      </c>
      <c r="N1392">
        <v>9.1157780000000006</v>
      </c>
    </row>
    <row r="1393" spans="1:14" hidden="1" x14ac:dyDescent="0.35">
      <c r="A1393" t="s">
        <v>693</v>
      </c>
      <c r="B1393" t="s">
        <v>37</v>
      </c>
      <c r="C1393" t="s">
        <v>63</v>
      </c>
      <c r="D1393" t="s">
        <v>63</v>
      </c>
      <c r="E1393" t="s">
        <v>610</v>
      </c>
      <c r="F1393" t="s">
        <v>581</v>
      </c>
      <c r="G1393" t="s">
        <v>24</v>
      </c>
      <c r="H1393">
        <v>1.2360850000000001</v>
      </c>
      <c r="I1393">
        <v>1.796862</v>
      </c>
      <c r="J1393">
        <v>1.7749189999999999</v>
      </c>
      <c r="K1393">
        <v>1.7246330000000001</v>
      </c>
      <c r="L1393">
        <v>1.4530320000000001</v>
      </c>
      <c r="M1393">
        <v>1.171306</v>
      </c>
      <c r="N1393">
        <v>0.97856560000000004</v>
      </c>
    </row>
    <row r="1394" spans="1:14" hidden="1" x14ac:dyDescent="0.35">
      <c r="A1394" t="s">
        <v>693</v>
      </c>
      <c r="B1394" t="s">
        <v>37</v>
      </c>
      <c r="C1394" t="s">
        <v>63</v>
      </c>
      <c r="D1394" t="s">
        <v>63</v>
      </c>
      <c r="E1394" t="s">
        <v>610</v>
      </c>
      <c r="F1394" t="s">
        <v>581</v>
      </c>
      <c r="G1394" t="s">
        <v>25</v>
      </c>
      <c r="H1394">
        <v>2.0074000000000001</v>
      </c>
      <c r="I1394">
        <v>4.4714989999999997</v>
      </c>
      <c r="J1394">
        <v>4.7948890000000004</v>
      </c>
      <c r="K1394">
        <v>4.6996820000000001</v>
      </c>
      <c r="L1394">
        <v>3.9555940000000001</v>
      </c>
      <c r="M1394">
        <v>3.1698249999999999</v>
      </c>
      <c r="N1394">
        <v>2.6371280000000001</v>
      </c>
    </row>
    <row r="1395" spans="1:14" hidden="1" x14ac:dyDescent="0.35">
      <c r="A1395" t="s">
        <v>693</v>
      </c>
      <c r="B1395" t="s">
        <v>37</v>
      </c>
      <c r="C1395" t="s">
        <v>63</v>
      </c>
      <c r="D1395" t="s">
        <v>63</v>
      </c>
      <c r="E1395" t="s">
        <v>610</v>
      </c>
      <c r="F1395" t="s">
        <v>26</v>
      </c>
      <c r="G1395" t="s">
        <v>26</v>
      </c>
      <c r="H1395">
        <v>7.6756159999999998</v>
      </c>
      <c r="I1395">
        <v>10.56184</v>
      </c>
      <c r="J1395">
        <v>11.17937</v>
      </c>
      <c r="K1395">
        <v>10.821999999999999</v>
      </c>
      <c r="L1395">
        <v>9.1217120000000005</v>
      </c>
      <c r="M1395">
        <v>7.3719409999999996</v>
      </c>
      <c r="N1395">
        <v>6.1699710000000003</v>
      </c>
    </row>
    <row r="1396" spans="1:14" hidden="1" x14ac:dyDescent="0.35">
      <c r="A1396" t="s">
        <v>693</v>
      </c>
      <c r="B1396" t="s">
        <v>37</v>
      </c>
      <c r="C1396" t="s">
        <v>63</v>
      </c>
      <c r="D1396" t="s">
        <v>63</v>
      </c>
      <c r="E1396" t="s">
        <v>655</v>
      </c>
      <c r="F1396" t="s">
        <v>581</v>
      </c>
      <c r="G1396" t="s">
        <v>396</v>
      </c>
      <c r="J1396">
        <v>0</v>
      </c>
      <c r="K1396">
        <v>4.0136989999999999E-3</v>
      </c>
      <c r="L1396">
        <v>6.6264110000000001E-2</v>
      </c>
      <c r="M1396">
        <v>4.9401639999999997E-2</v>
      </c>
      <c r="N1396">
        <v>3.1253700000000002E-2</v>
      </c>
    </row>
    <row r="1397" spans="1:14" hidden="1" x14ac:dyDescent="0.35">
      <c r="A1397" t="s">
        <v>693</v>
      </c>
      <c r="B1397" t="s">
        <v>37</v>
      </c>
      <c r="C1397" t="s">
        <v>63</v>
      </c>
      <c r="D1397" t="s">
        <v>63</v>
      </c>
      <c r="E1397" t="s">
        <v>655</v>
      </c>
      <c r="F1397" t="s">
        <v>581</v>
      </c>
      <c r="G1397" t="s">
        <v>25</v>
      </c>
      <c r="J1397">
        <v>0</v>
      </c>
      <c r="K1397">
        <v>8.5917809999999997E-4</v>
      </c>
      <c r="L1397">
        <v>1.4200000000000001E-2</v>
      </c>
      <c r="M1397">
        <v>1.058685E-2</v>
      </c>
      <c r="N1397">
        <v>6.6953430000000003E-3</v>
      </c>
    </row>
    <row r="1398" spans="1:14" hidden="1" x14ac:dyDescent="0.35">
      <c r="A1398" t="s">
        <v>693</v>
      </c>
      <c r="B1398" t="s">
        <v>37</v>
      </c>
      <c r="C1398" t="s">
        <v>63</v>
      </c>
      <c r="D1398" t="s">
        <v>63</v>
      </c>
      <c r="E1398" t="s">
        <v>655</v>
      </c>
      <c r="F1398" t="s">
        <v>26</v>
      </c>
      <c r="G1398" t="s">
        <v>26</v>
      </c>
      <c r="J1398">
        <v>0</v>
      </c>
      <c r="K1398">
        <v>8.5917800000000005E-4</v>
      </c>
      <c r="L1398">
        <v>1.4200000000000001E-2</v>
      </c>
      <c r="M1398">
        <v>1.05863E-2</v>
      </c>
      <c r="N1398">
        <v>6.6975339999999998E-3</v>
      </c>
    </row>
    <row r="1399" spans="1:14" hidden="1" x14ac:dyDescent="0.35">
      <c r="A1399" t="s">
        <v>693</v>
      </c>
      <c r="B1399" t="s">
        <v>37</v>
      </c>
      <c r="C1399" t="s">
        <v>109</v>
      </c>
      <c r="D1399" t="s">
        <v>109</v>
      </c>
      <c r="E1399" t="s">
        <v>584</v>
      </c>
      <c r="F1399" t="s">
        <v>581</v>
      </c>
      <c r="G1399" t="s">
        <v>24</v>
      </c>
      <c r="H1399">
        <v>1.2847249999999999E-2</v>
      </c>
      <c r="I1399">
        <v>1.1718650000000001E-2</v>
      </c>
      <c r="J1399">
        <v>1.068996E-2</v>
      </c>
      <c r="K1399">
        <v>9.7523120000000008E-3</v>
      </c>
      <c r="L1399">
        <v>8.8964409999999997E-3</v>
      </c>
      <c r="M1399">
        <v>4.2150679999999999E-4</v>
      </c>
      <c r="N1399">
        <v>0</v>
      </c>
    </row>
    <row r="1400" spans="1:14" hidden="1" x14ac:dyDescent="0.35">
      <c r="A1400" t="s">
        <v>693</v>
      </c>
      <c r="B1400" t="s">
        <v>37</v>
      </c>
      <c r="C1400" t="s">
        <v>109</v>
      </c>
      <c r="D1400" t="s">
        <v>109</v>
      </c>
      <c r="E1400" t="s">
        <v>584</v>
      </c>
      <c r="F1400" t="s">
        <v>581</v>
      </c>
      <c r="G1400" t="s">
        <v>25</v>
      </c>
      <c r="H1400">
        <v>2.0386620000000001E-2</v>
      </c>
      <c r="I1400">
        <v>1.9816940000000002E-2</v>
      </c>
      <c r="J1400">
        <v>1.9281550000000001E-2</v>
      </c>
      <c r="K1400">
        <v>1.8763559999999999E-2</v>
      </c>
      <c r="L1400">
        <v>1.826935E-2</v>
      </c>
      <c r="M1400">
        <v>5.0254920000000003E-3</v>
      </c>
      <c r="N1400">
        <v>1.210959E-3</v>
      </c>
    </row>
    <row r="1401" spans="1:14" hidden="1" x14ac:dyDescent="0.35">
      <c r="A1401" t="s">
        <v>693</v>
      </c>
      <c r="B1401" t="s">
        <v>37</v>
      </c>
      <c r="C1401" t="s">
        <v>109</v>
      </c>
      <c r="D1401" t="s">
        <v>109</v>
      </c>
      <c r="E1401" t="s">
        <v>584</v>
      </c>
      <c r="F1401" t="s">
        <v>26</v>
      </c>
      <c r="G1401" t="s">
        <v>26</v>
      </c>
      <c r="H1401">
        <v>0.1081671</v>
      </c>
      <c r="I1401">
        <v>9.2395840000000007E-2</v>
      </c>
      <c r="J1401">
        <v>7.9359810000000003E-2</v>
      </c>
      <c r="K1401">
        <v>6.8561990000000003E-2</v>
      </c>
      <c r="L1401">
        <v>5.9595580000000002E-2</v>
      </c>
      <c r="M1401">
        <v>2.5696759999999999E-2</v>
      </c>
      <c r="N1401">
        <v>7.5649319999999999E-3</v>
      </c>
    </row>
    <row r="1402" spans="1:14" hidden="1" x14ac:dyDescent="0.35">
      <c r="A1402" t="s">
        <v>694</v>
      </c>
      <c r="B1402" t="s">
        <v>37</v>
      </c>
      <c r="C1402" t="s">
        <v>51</v>
      </c>
      <c r="D1402" t="s">
        <v>51</v>
      </c>
      <c r="E1402" t="s">
        <v>602</v>
      </c>
      <c r="F1402" t="s">
        <v>581</v>
      </c>
      <c r="G1402" t="s">
        <v>396</v>
      </c>
      <c r="H1402">
        <v>71.280810000000002</v>
      </c>
      <c r="I1402">
        <v>55.057070000000003</v>
      </c>
      <c r="J1402">
        <v>60.177219999999998</v>
      </c>
      <c r="K1402">
        <v>49.974850000000004</v>
      </c>
      <c r="L1402">
        <v>40.390479999999997</v>
      </c>
      <c r="M1402">
        <v>32.323349999999998</v>
      </c>
      <c r="N1402">
        <v>26.635919999999999</v>
      </c>
    </row>
    <row r="1403" spans="1:14" hidden="1" x14ac:dyDescent="0.35">
      <c r="A1403" t="s">
        <v>694</v>
      </c>
      <c r="B1403" t="s">
        <v>37</v>
      </c>
      <c r="C1403" t="s">
        <v>51</v>
      </c>
      <c r="D1403" t="s">
        <v>51</v>
      </c>
      <c r="E1403" t="s">
        <v>602</v>
      </c>
      <c r="F1403" t="s">
        <v>581</v>
      </c>
      <c r="G1403" t="s">
        <v>25</v>
      </c>
      <c r="H1403">
        <v>19.766580000000001</v>
      </c>
      <c r="I1403">
        <v>17.19163</v>
      </c>
      <c r="J1403">
        <v>17.306629999999998</v>
      </c>
      <c r="K1403">
        <v>14.45431</v>
      </c>
      <c r="L1403">
        <v>11.68779</v>
      </c>
      <c r="M1403">
        <v>9.3306369999999994</v>
      </c>
      <c r="N1403">
        <v>7.674067</v>
      </c>
    </row>
    <row r="1404" spans="1:14" hidden="1" x14ac:dyDescent="0.35">
      <c r="A1404" t="s">
        <v>694</v>
      </c>
      <c r="B1404" t="s">
        <v>37</v>
      </c>
      <c r="C1404" t="s">
        <v>51</v>
      </c>
      <c r="D1404" t="s">
        <v>51</v>
      </c>
      <c r="E1404" t="s">
        <v>602</v>
      </c>
      <c r="F1404" t="s">
        <v>26</v>
      </c>
      <c r="G1404" t="s">
        <v>26</v>
      </c>
      <c r="H1404">
        <v>19.619859999999999</v>
      </c>
      <c r="I1404">
        <v>16.8504</v>
      </c>
      <c r="J1404">
        <v>16.819140000000001</v>
      </c>
      <c r="K1404">
        <v>13.92381</v>
      </c>
      <c r="L1404">
        <v>11.234389999999999</v>
      </c>
      <c r="M1404">
        <v>8.9717450000000003</v>
      </c>
      <c r="N1404">
        <v>7.3817149999999998</v>
      </c>
    </row>
    <row r="1405" spans="1:14" hidden="1" x14ac:dyDescent="0.35">
      <c r="A1405" t="s">
        <v>694</v>
      </c>
      <c r="B1405" t="s">
        <v>37</v>
      </c>
      <c r="C1405" t="s">
        <v>51</v>
      </c>
      <c r="D1405" t="s">
        <v>51</v>
      </c>
      <c r="E1405" t="s">
        <v>584</v>
      </c>
      <c r="F1405" t="s">
        <v>581</v>
      </c>
      <c r="G1405" t="s">
        <v>396</v>
      </c>
      <c r="H1405">
        <v>8.4731500000000001E-2</v>
      </c>
      <c r="I1405">
        <v>7.5961650000000006E-2</v>
      </c>
      <c r="J1405">
        <v>6.8610969999999993E-2</v>
      </c>
      <c r="K1405">
        <v>6.1747950000000003E-2</v>
      </c>
      <c r="L1405">
        <v>5.5572610000000001E-2</v>
      </c>
      <c r="M1405">
        <v>5.0145210000000003E-2</v>
      </c>
      <c r="N1405">
        <v>4.4999999999999998E-2</v>
      </c>
    </row>
    <row r="1406" spans="1:14" hidden="1" x14ac:dyDescent="0.35">
      <c r="A1406" t="s">
        <v>694</v>
      </c>
      <c r="B1406" t="s">
        <v>37</v>
      </c>
      <c r="C1406" t="s">
        <v>51</v>
      </c>
      <c r="D1406" t="s">
        <v>51</v>
      </c>
      <c r="E1406" t="s">
        <v>584</v>
      </c>
      <c r="F1406" t="s">
        <v>581</v>
      </c>
      <c r="G1406" t="s">
        <v>25</v>
      </c>
      <c r="H1406">
        <v>1.9369859999999999E-3</v>
      </c>
      <c r="I1406">
        <v>1.7452050000000001E-3</v>
      </c>
      <c r="J1406">
        <v>1.5698629999999999E-3</v>
      </c>
      <c r="K1406">
        <v>1.4082190000000001E-3</v>
      </c>
      <c r="L1406">
        <v>1.2684930000000001E-3</v>
      </c>
      <c r="M1406">
        <v>1.147945E-3</v>
      </c>
      <c r="N1406">
        <v>1.027397E-3</v>
      </c>
    </row>
    <row r="1407" spans="1:14" hidden="1" x14ac:dyDescent="0.35">
      <c r="A1407" t="s">
        <v>694</v>
      </c>
      <c r="B1407" t="s">
        <v>37</v>
      </c>
      <c r="C1407" t="s">
        <v>51</v>
      </c>
      <c r="D1407" t="s">
        <v>51</v>
      </c>
      <c r="E1407" t="s">
        <v>584</v>
      </c>
      <c r="F1407" t="s">
        <v>26</v>
      </c>
      <c r="G1407" t="s">
        <v>26</v>
      </c>
      <c r="H1407">
        <v>4.8410959999999996E-3</v>
      </c>
      <c r="I1407">
        <v>4.3671229999999997E-3</v>
      </c>
      <c r="J1407">
        <v>3.9205480000000003E-3</v>
      </c>
      <c r="K1407">
        <v>3.5260280000000001E-3</v>
      </c>
      <c r="L1407">
        <v>3.1753419999999998E-3</v>
      </c>
      <c r="M1407">
        <v>2.8657539999999999E-3</v>
      </c>
      <c r="N1407">
        <v>2.5698629999999999E-3</v>
      </c>
    </row>
    <row r="1408" spans="1:14" hidden="1" x14ac:dyDescent="0.35">
      <c r="A1408" t="s">
        <v>694</v>
      </c>
      <c r="B1408" t="s">
        <v>37</v>
      </c>
      <c r="C1408" t="s">
        <v>218</v>
      </c>
      <c r="D1408" t="s">
        <v>218</v>
      </c>
      <c r="E1408" t="s">
        <v>594</v>
      </c>
      <c r="F1408" t="s">
        <v>581</v>
      </c>
      <c r="G1408" t="s">
        <v>396</v>
      </c>
      <c r="H1408">
        <v>10.44384</v>
      </c>
      <c r="I1408">
        <v>8.9323720000000009</v>
      </c>
      <c r="J1408">
        <v>9.5772480000000009</v>
      </c>
      <c r="K1408">
        <v>10.0853</v>
      </c>
      <c r="L1408">
        <v>8.5335319999999992</v>
      </c>
      <c r="M1408">
        <v>7.4395100000000003</v>
      </c>
      <c r="N1408">
        <v>6.4274610000000001</v>
      </c>
    </row>
    <row r="1409" spans="1:14" hidden="1" x14ac:dyDescent="0.35">
      <c r="A1409" t="s">
        <v>694</v>
      </c>
      <c r="B1409" t="s">
        <v>37</v>
      </c>
      <c r="C1409" t="s">
        <v>218</v>
      </c>
      <c r="D1409" t="s">
        <v>218</v>
      </c>
      <c r="E1409" t="s">
        <v>594</v>
      </c>
      <c r="F1409" t="s">
        <v>581</v>
      </c>
      <c r="G1409" t="s">
        <v>25</v>
      </c>
      <c r="H1409">
        <v>1.052603</v>
      </c>
      <c r="I1409">
        <v>0.76950960000000002</v>
      </c>
      <c r="J1409">
        <v>0.82484990000000002</v>
      </c>
      <c r="K1409">
        <v>0.86628660000000002</v>
      </c>
      <c r="L1409">
        <v>0.73221429999999998</v>
      </c>
      <c r="M1409">
        <v>0.63861540000000006</v>
      </c>
      <c r="N1409">
        <v>0.55207620000000002</v>
      </c>
    </row>
    <row r="1410" spans="1:14" hidden="1" x14ac:dyDescent="0.35">
      <c r="A1410" t="s">
        <v>694</v>
      </c>
      <c r="B1410" t="s">
        <v>37</v>
      </c>
      <c r="C1410" t="s">
        <v>218</v>
      </c>
      <c r="D1410" t="s">
        <v>218</v>
      </c>
      <c r="E1410" t="s">
        <v>594</v>
      </c>
      <c r="F1410" t="s">
        <v>26</v>
      </c>
      <c r="G1410" t="s">
        <v>26</v>
      </c>
      <c r="H1410">
        <v>3.4395899999999999</v>
      </c>
      <c r="I1410">
        <v>2.5650379999999999</v>
      </c>
      <c r="J1410">
        <v>2.7492549999999998</v>
      </c>
      <c r="K1410">
        <v>2.8847960000000001</v>
      </c>
      <c r="L1410">
        <v>2.437392</v>
      </c>
      <c r="M1410">
        <v>2.1261420000000002</v>
      </c>
      <c r="N1410">
        <v>1.838411</v>
      </c>
    </row>
    <row r="1411" spans="1:14" hidden="1" x14ac:dyDescent="0.35">
      <c r="A1411" t="s">
        <v>694</v>
      </c>
      <c r="B1411" t="s">
        <v>37</v>
      </c>
      <c r="C1411" t="s">
        <v>205</v>
      </c>
      <c r="D1411" t="s">
        <v>205</v>
      </c>
      <c r="E1411" t="s">
        <v>654</v>
      </c>
      <c r="F1411" t="s">
        <v>26</v>
      </c>
      <c r="G1411" t="s">
        <v>26</v>
      </c>
      <c r="H1411">
        <v>0.1047945</v>
      </c>
      <c r="I1411">
        <v>0.55324660000000003</v>
      </c>
      <c r="J1411">
        <v>0.49647950000000002</v>
      </c>
      <c r="K1411">
        <v>0.44682189999999999</v>
      </c>
      <c r="L1411">
        <v>0.40213700000000002</v>
      </c>
      <c r="M1411">
        <v>0.3628575</v>
      </c>
      <c r="N1411">
        <v>0.32562740000000001</v>
      </c>
    </row>
    <row r="1412" spans="1:14" hidden="1" x14ac:dyDescent="0.35">
      <c r="A1412" t="s">
        <v>694</v>
      </c>
      <c r="B1412" t="s">
        <v>37</v>
      </c>
      <c r="C1412" t="s">
        <v>205</v>
      </c>
      <c r="D1412" t="s">
        <v>205</v>
      </c>
      <c r="E1412" t="s">
        <v>584</v>
      </c>
      <c r="F1412" t="s">
        <v>581</v>
      </c>
      <c r="G1412" t="s">
        <v>396</v>
      </c>
      <c r="H1412">
        <v>0.1169699</v>
      </c>
      <c r="I1412">
        <v>0.1055068</v>
      </c>
      <c r="J1412">
        <v>9.4679440000000004E-2</v>
      </c>
      <c r="K1412">
        <v>8.5210960000000002E-2</v>
      </c>
      <c r="L1412">
        <v>7.6687669999999999E-2</v>
      </c>
      <c r="M1412">
        <v>6.9197259999999997E-2</v>
      </c>
      <c r="N1412">
        <v>6.2095890000000001E-2</v>
      </c>
    </row>
    <row r="1413" spans="1:14" hidden="1" x14ac:dyDescent="0.35">
      <c r="A1413" t="s">
        <v>694</v>
      </c>
      <c r="B1413" t="s">
        <v>37</v>
      </c>
      <c r="C1413" t="s">
        <v>205</v>
      </c>
      <c r="D1413" t="s">
        <v>205</v>
      </c>
      <c r="E1413" t="s">
        <v>584</v>
      </c>
      <c r="F1413" t="s">
        <v>26</v>
      </c>
      <c r="G1413" t="s">
        <v>26</v>
      </c>
      <c r="H1413">
        <v>2.5454790000000001E-2</v>
      </c>
      <c r="I1413">
        <v>2.2958900000000001E-2</v>
      </c>
      <c r="J1413">
        <v>2.0602740000000001E-2</v>
      </c>
      <c r="K1413">
        <v>1.854246E-2</v>
      </c>
      <c r="L1413">
        <v>1.6687670000000002E-2</v>
      </c>
      <c r="M1413">
        <v>1.505753E-2</v>
      </c>
      <c r="N1413">
        <v>1.3512329999999999E-2</v>
      </c>
    </row>
    <row r="1414" spans="1:14" hidden="1" x14ac:dyDescent="0.35">
      <c r="A1414" t="s">
        <v>694</v>
      </c>
      <c r="B1414" t="s">
        <v>37</v>
      </c>
      <c r="C1414" t="s">
        <v>105</v>
      </c>
      <c r="D1414" t="s">
        <v>105</v>
      </c>
      <c r="E1414" t="s">
        <v>584</v>
      </c>
      <c r="F1414" t="s">
        <v>581</v>
      </c>
      <c r="G1414" t="s">
        <v>396</v>
      </c>
      <c r="H1414">
        <v>0.59519449999999996</v>
      </c>
      <c r="I1414">
        <v>0.53706030000000005</v>
      </c>
      <c r="J1414">
        <v>0.4819562</v>
      </c>
      <c r="K1414">
        <v>0.43375350000000001</v>
      </c>
      <c r="L1414">
        <v>0.39037260000000001</v>
      </c>
      <c r="M1414">
        <v>0.35224109999999997</v>
      </c>
      <c r="N1414">
        <v>0.31609860000000001</v>
      </c>
    </row>
    <row r="1415" spans="1:14" hidden="1" x14ac:dyDescent="0.35">
      <c r="A1415" t="s">
        <v>694</v>
      </c>
      <c r="B1415" t="s">
        <v>37</v>
      </c>
      <c r="C1415" t="s">
        <v>105</v>
      </c>
      <c r="D1415" t="s">
        <v>105</v>
      </c>
      <c r="E1415" t="s">
        <v>584</v>
      </c>
      <c r="F1415" t="s">
        <v>581</v>
      </c>
      <c r="G1415" t="s">
        <v>25</v>
      </c>
      <c r="H1415">
        <v>3.8273970000000002E-3</v>
      </c>
      <c r="I1415">
        <v>3.457534E-3</v>
      </c>
      <c r="J1415">
        <v>3.0986299999999998E-3</v>
      </c>
      <c r="K1415">
        <v>2.7917810000000001E-3</v>
      </c>
      <c r="L1415">
        <v>2.509589E-3</v>
      </c>
      <c r="M1415">
        <v>2.2630139999999998E-3</v>
      </c>
      <c r="N1415">
        <v>2.0328759999999999E-3</v>
      </c>
    </row>
    <row r="1416" spans="1:14" hidden="1" x14ac:dyDescent="0.35">
      <c r="A1416" t="s">
        <v>694</v>
      </c>
      <c r="B1416" t="s">
        <v>37</v>
      </c>
      <c r="C1416" t="s">
        <v>105</v>
      </c>
      <c r="D1416" t="s">
        <v>105</v>
      </c>
      <c r="E1416" t="s">
        <v>584</v>
      </c>
      <c r="F1416" t="s">
        <v>26</v>
      </c>
      <c r="G1416" t="s">
        <v>26</v>
      </c>
      <c r="H1416">
        <v>4.7928770000000002E-2</v>
      </c>
      <c r="I1416">
        <v>4.3246569999999998E-2</v>
      </c>
      <c r="J1416">
        <v>3.8810959999999999E-2</v>
      </c>
      <c r="K1416">
        <v>3.4928769999999998E-2</v>
      </c>
      <c r="L1416">
        <v>3.1435619999999997E-2</v>
      </c>
      <c r="M1416">
        <v>2.8364380000000002E-2</v>
      </c>
      <c r="N1416">
        <v>2.54548E-2</v>
      </c>
    </row>
    <row r="1417" spans="1:14" hidden="1" x14ac:dyDescent="0.35">
      <c r="A1417" t="s">
        <v>694</v>
      </c>
      <c r="B1417" t="s">
        <v>37</v>
      </c>
      <c r="C1417" t="s">
        <v>46</v>
      </c>
      <c r="D1417" t="s">
        <v>46</v>
      </c>
      <c r="E1417" t="s">
        <v>584</v>
      </c>
      <c r="F1417" t="s">
        <v>581</v>
      </c>
      <c r="G1417" t="s">
        <v>396</v>
      </c>
      <c r="H1417">
        <v>0.2050959</v>
      </c>
      <c r="I1417">
        <v>0.18490690000000001</v>
      </c>
      <c r="J1417">
        <v>0.16592879999999999</v>
      </c>
      <c r="K1417">
        <v>0.14933150000000001</v>
      </c>
      <c r="L1417">
        <v>0.1343973</v>
      </c>
      <c r="M1417">
        <v>0.1212685</v>
      </c>
      <c r="N1417">
        <v>0.1088247</v>
      </c>
    </row>
    <row r="1418" spans="1:14" hidden="1" x14ac:dyDescent="0.35">
      <c r="A1418" t="s">
        <v>694</v>
      </c>
      <c r="B1418" t="s">
        <v>37</v>
      </c>
      <c r="C1418" t="s">
        <v>46</v>
      </c>
      <c r="D1418" t="s">
        <v>46</v>
      </c>
      <c r="E1418" t="s">
        <v>584</v>
      </c>
      <c r="F1418" t="s">
        <v>26</v>
      </c>
      <c r="G1418" t="s">
        <v>26</v>
      </c>
      <c r="H1418">
        <v>3.3997260000000001E-2</v>
      </c>
      <c r="I1418">
        <v>3.0641100000000001E-2</v>
      </c>
      <c r="J1418">
        <v>2.7495889999999999E-2</v>
      </c>
      <c r="K1418">
        <v>2.474521E-2</v>
      </c>
      <c r="L1418">
        <v>2.2271229999999999E-2</v>
      </c>
      <c r="M1418">
        <v>2.0095890000000002E-2</v>
      </c>
      <c r="N1418">
        <v>1.8032869999999999E-2</v>
      </c>
    </row>
    <row r="1419" spans="1:14" hidden="1" x14ac:dyDescent="0.35">
      <c r="A1419" t="s">
        <v>694</v>
      </c>
      <c r="B1419" t="s">
        <v>37</v>
      </c>
      <c r="C1419" t="s">
        <v>95</v>
      </c>
      <c r="D1419" t="s">
        <v>95</v>
      </c>
      <c r="E1419" t="s">
        <v>584</v>
      </c>
      <c r="F1419" t="s">
        <v>581</v>
      </c>
      <c r="G1419" t="s">
        <v>396</v>
      </c>
      <c r="H1419">
        <v>0.1678849</v>
      </c>
      <c r="I1419">
        <v>0.15148490000000001</v>
      </c>
      <c r="J1419">
        <v>0.13594249999999999</v>
      </c>
      <c r="K1419">
        <v>0.1223452</v>
      </c>
      <c r="L1419">
        <v>0.1101096</v>
      </c>
      <c r="M1419">
        <v>9.9356169999999994E-2</v>
      </c>
      <c r="N1419">
        <v>8.9161630000000006E-2</v>
      </c>
    </row>
    <row r="1420" spans="1:14" hidden="1" x14ac:dyDescent="0.35">
      <c r="A1420" t="s">
        <v>694</v>
      </c>
      <c r="B1420" t="s">
        <v>37</v>
      </c>
      <c r="C1420" t="s">
        <v>95</v>
      </c>
      <c r="D1420" t="s">
        <v>95</v>
      </c>
      <c r="E1420" t="s">
        <v>584</v>
      </c>
      <c r="F1420" t="s">
        <v>26</v>
      </c>
      <c r="G1420" t="s">
        <v>26</v>
      </c>
      <c r="H1420">
        <v>9.3890420000000002E-3</v>
      </c>
      <c r="I1420">
        <v>8.4712329999999999E-3</v>
      </c>
      <c r="J1420">
        <v>7.6027400000000002E-3</v>
      </c>
      <c r="K1420">
        <v>6.841097E-3</v>
      </c>
      <c r="L1420">
        <v>6.1561640000000004E-3</v>
      </c>
      <c r="M1420">
        <v>5.5561650000000001E-3</v>
      </c>
      <c r="N1420">
        <v>4.9863019999999997E-3</v>
      </c>
    </row>
    <row r="1421" spans="1:14" hidden="1" x14ac:dyDescent="0.35">
      <c r="A1421" t="s">
        <v>694</v>
      </c>
      <c r="B1421" t="s">
        <v>37</v>
      </c>
      <c r="C1421" t="s">
        <v>99</v>
      </c>
      <c r="D1421" t="s">
        <v>100</v>
      </c>
      <c r="E1421" t="s">
        <v>584</v>
      </c>
      <c r="F1421" t="s">
        <v>581</v>
      </c>
      <c r="G1421" t="s">
        <v>396</v>
      </c>
      <c r="H1421">
        <v>2.713699E-2</v>
      </c>
      <c r="I1421">
        <v>2.4484929999999999E-2</v>
      </c>
      <c r="J1421">
        <v>2.1972599999999998E-2</v>
      </c>
      <c r="K1421">
        <v>1.9775339999999999E-2</v>
      </c>
      <c r="L1421">
        <v>1.7797259999999999E-2</v>
      </c>
      <c r="M1421">
        <v>1.6060270000000001E-2</v>
      </c>
      <c r="N1421">
        <v>1.441096E-2</v>
      </c>
    </row>
    <row r="1422" spans="1:14" hidden="1" x14ac:dyDescent="0.35">
      <c r="A1422" t="s">
        <v>694</v>
      </c>
      <c r="B1422" t="s">
        <v>37</v>
      </c>
      <c r="C1422" t="s">
        <v>99</v>
      </c>
      <c r="D1422" t="s">
        <v>100</v>
      </c>
      <c r="E1422" t="s">
        <v>584</v>
      </c>
      <c r="F1422" t="s">
        <v>581</v>
      </c>
      <c r="G1422" t="s">
        <v>25</v>
      </c>
      <c r="H1422">
        <v>8.6520550000000005E-3</v>
      </c>
      <c r="I1422">
        <v>7.8027390000000004E-3</v>
      </c>
      <c r="J1422">
        <v>7.0027400000000004E-3</v>
      </c>
      <c r="K1422">
        <v>6.3041099999999999E-3</v>
      </c>
      <c r="L1422">
        <v>5.6767120000000004E-3</v>
      </c>
      <c r="M1422">
        <v>5.1178079999999997E-3</v>
      </c>
      <c r="N1422">
        <v>4.5917809999999996E-3</v>
      </c>
    </row>
    <row r="1423" spans="1:14" hidden="1" x14ac:dyDescent="0.35">
      <c r="A1423" t="s">
        <v>694</v>
      </c>
      <c r="B1423" t="s">
        <v>37</v>
      </c>
      <c r="C1423" t="s">
        <v>99</v>
      </c>
      <c r="D1423" t="s">
        <v>100</v>
      </c>
      <c r="E1423" t="s">
        <v>584</v>
      </c>
      <c r="F1423" t="s">
        <v>26</v>
      </c>
      <c r="G1423" t="s">
        <v>26</v>
      </c>
      <c r="H1423">
        <v>5.8627400000000003E-2</v>
      </c>
      <c r="I1423">
        <v>5.2901370000000003E-2</v>
      </c>
      <c r="J1423">
        <v>4.7471230000000003E-2</v>
      </c>
      <c r="K1423">
        <v>4.2723289999999997E-2</v>
      </c>
      <c r="L1423">
        <v>3.8452060000000003E-2</v>
      </c>
      <c r="M1423">
        <v>3.469589E-2</v>
      </c>
      <c r="N1423">
        <v>3.113699E-2</v>
      </c>
    </row>
    <row r="1424" spans="1:14" hidden="1" x14ac:dyDescent="0.35">
      <c r="A1424" t="s">
        <v>694</v>
      </c>
      <c r="B1424" t="s">
        <v>37</v>
      </c>
      <c r="C1424" t="s">
        <v>99</v>
      </c>
      <c r="D1424" t="s">
        <v>101</v>
      </c>
      <c r="E1424" t="s">
        <v>584</v>
      </c>
      <c r="F1424" t="s">
        <v>581</v>
      </c>
      <c r="G1424" t="s">
        <v>396</v>
      </c>
      <c r="H1424">
        <v>1.4602739999999999E-3</v>
      </c>
      <c r="I1424">
        <v>1.317808E-3</v>
      </c>
      <c r="J1424">
        <v>1.183562E-3</v>
      </c>
      <c r="K1424">
        <v>1.0630139999999999E-3</v>
      </c>
      <c r="L1424">
        <v>9.5890419999999997E-4</v>
      </c>
      <c r="M1424">
        <v>8.6301379999999999E-4</v>
      </c>
      <c r="N1424">
        <v>7.7534239999999996E-4</v>
      </c>
    </row>
    <row r="1425" spans="1:14" hidden="1" x14ac:dyDescent="0.35">
      <c r="A1425" t="s">
        <v>694</v>
      </c>
      <c r="B1425" t="s">
        <v>37</v>
      </c>
      <c r="C1425" t="s">
        <v>99</v>
      </c>
      <c r="D1425" t="s">
        <v>101</v>
      </c>
      <c r="E1425" t="s">
        <v>584</v>
      </c>
      <c r="F1425" t="s">
        <v>581</v>
      </c>
      <c r="G1425" t="s">
        <v>25</v>
      </c>
      <c r="H1425">
        <v>1.0084930000000001E-2</v>
      </c>
      <c r="I1425">
        <v>9.0986299999999999E-3</v>
      </c>
      <c r="J1425">
        <v>8.1643830000000008E-3</v>
      </c>
      <c r="K1425">
        <v>7.350685E-3</v>
      </c>
      <c r="L1425">
        <v>6.6109589999999996E-3</v>
      </c>
      <c r="M1425">
        <v>5.9698629999999997E-3</v>
      </c>
      <c r="N1425">
        <v>5.3561650000000004E-3</v>
      </c>
    </row>
    <row r="1426" spans="1:14" hidden="1" x14ac:dyDescent="0.35">
      <c r="A1426" t="s">
        <v>694</v>
      </c>
      <c r="B1426" t="s">
        <v>37</v>
      </c>
      <c r="C1426" t="s">
        <v>99</v>
      </c>
      <c r="D1426" t="s">
        <v>101</v>
      </c>
      <c r="E1426" t="s">
        <v>584</v>
      </c>
      <c r="F1426" t="s">
        <v>26</v>
      </c>
      <c r="G1426" t="s">
        <v>26</v>
      </c>
      <c r="H1426">
        <v>6.5926029999999997E-2</v>
      </c>
      <c r="I1426">
        <v>5.9487680000000001E-2</v>
      </c>
      <c r="J1426">
        <v>5.3383559999999997E-2</v>
      </c>
      <c r="K1426">
        <v>4.8043839999999997E-2</v>
      </c>
      <c r="L1426">
        <v>4.3238360000000003E-2</v>
      </c>
      <c r="M1426">
        <v>3.9016439999999999E-2</v>
      </c>
      <c r="N1426">
        <v>3.5013700000000002E-2</v>
      </c>
    </row>
    <row r="1427" spans="1:14" hidden="1" x14ac:dyDescent="0.35">
      <c r="A1427" t="s">
        <v>694</v>
      </c>
      <c r="B1427" t="s">
        <v>37</v>
      </c>
      <c r="C1427" t="s">
        <v>79</v>
      </c>
      <c r="D1427" t="s">
        <v>79</v>
      </c>
      <c r="E1427" t="s">
        <v>584</v>
      </c>
      <c r="F1427" t="s">
        <v>581</v>
      </c>
      <c r="G1427" t="s">
        <v>396</v>
      </c>
      <c r="H1427">
        <v>2.5350689999999999E-2</v>
      </c>
      <c r="I1427">
        <v>2.2849319999999999E-2</v>
      </c>
      <c r="J1427">
        <v>2.0495889999999999E-2</v>
      </c>
      <c r="K1427">
        <v>1.8441099999999998E-2</v>
      </c>
      <c r="L1427">
        <v>1.66E-2</v>
      </c>
      <c r="M1427">
        <v>1.497534E-2</v>
      </c>
      <c r="N1427">
        <v>1.3441099999999999E-2</v>
      </c>
    </row>
    <row r="1428" spans="1:14" hidden="1" x14ac:dyDescent="0.35">
      <c r="A1428" t="s">
        <v>694</v>
      </c>
      <c r="B1428" t="s">
        <v>37</v>
      </c>
      <c r="C1428" t="s">
        <v>79</v>
      </c>
      <c r="D1428" t="s">
        <v>79</v>
      </c>
      <c r="E1428" t="s">
        <v>584</v>
      </c>
      <c r="F1428" t="s">
        <v>581</v>
      </c>
      <c r="G1428" t="s">
        <v>25</v>
      </c>
      <c r="H1428">
        <v>1.4504110000000001E-2</v>
      </c>
      <c r="I1428">
        <v>1.3073970000000001E-2</v>
      </c>
      <c r="J1428">
        <v>1.172603E-2</v>
      </c>
      <c r="K1428">
        <v>1.0553430000000001E-2</v>
      </c>
      <c r="L1428">
        <v>9.4986299999999992E-3</v>
      </c>
      <c r="M1428">
        <v>8.5671229999999994E-3</v>
      </c>
      <c r="N1428">
        <v>7.6876720000000004E-3</v>
      </c>
    </row>
    <row r="1429" spans="1:14" hidden="1" x14ac:dyDescent="0.35">
      <c r="A1429" t="s">
        <v>694</v>
      </c>
      <c r="B1429" t="s">
        <v>37</v>
      </c>
      <c r="C1429" t="s">
        <v>79</v>
      </c>
      <c r="D1429" t="s">
        <v>79</v>
      </c>
      <c r="E1429" t="s">
        <v>584</v>
      </c>
      <c r="F1429" t="s">
        <v>26</v>
      </c>
      <c r="G1429" t="s">
        <v>26</v>
      </c>
      <c r="H1429">
        <v>9.1663019999999998E-2</v>
      </c>
      <c r="I1429">
        <v>8.2616439999999999E-2</v>
      </c>
      <c r="J1429">
        <v>7.4101379999999994E-2</v>
      </c>
      <c r="K1429">
        <v>6.6682190000000002E-2</v>
      </c>
      <c r="L1429">
        <v>6.0013700000000003E-2</v>
      </c>
      <c r="M1429">
        <v>5.4153420000000001E-2</v>
      </c>
      <c r="N1429">
        <v>4.8597260000000003E-2</v>
      </c>
    </row>
    <row r="1430" spans="1:14" hidden="1" x14ac:dyDescent="0.35">
      <c r="A1430" t="s">
        <v>694</v>
      </c>
      <c r="B1430" t="s">
        <v>37</v>
      </c>
      <c r="C1430" t="s">
        <v>251</v>
      </c>
      <c r="D1430" t="s">
        <v>251</v>
      </c>
      <c r="E1430" t="s">
        <v>584</v>
      </c>
      <c r="F1430" t="s">
        <v>581</v>
      </c>
      <c r="G1430" t="s">
        <v>396</v>
      </c>
      <c r="H1430">
        <v>9.4769870000000006E-2</v>
      </c>
      <c r="I1430">
        <v>8.5501369999999993E-2</v>
      </c>
      <c r="J1430">
        <v>7.6728759999999993E-2</v>
      </c>
      <c r="K1430">
        <v>6.90548E-2</v>
      </c>
      <c r="L1430">
        <v>6.214795E-2</v>
      </c>
      <c r="M1430">
        <v>5.6076710000000002E-2</v>
      </c>
      <c r="N1430">
        <v>5.032329E-2</v>
      </c>
    </row>
    <row r="1431" spans="1:14" hidden="1" x14ac:dyDescent="0.35">
      <c r="A1431" t="s">
        <v>694</v>
      </c>
      <c r="B1431" t="s">
        <v>37</v>
      </c>
      <c r="C1431" t="s">
        <v>251</v>
      </c>
      <c r="D1431" t="s">
        <v>251</v>
      </c>
      <c r="E1431" t="s">
        <v>584</v>
      </c>
      <c r="F1431" t="s">
        <v>581</v>
      </c>
      <c r="G1431" t="s">
        <v>25</v>
      </c>
      <c r="H1431">
        <v>2.178082E-3</v>
      </c>
      <c r="I1431">
        <v>1.964384E-3</v>
      </c>
      <c r="J1431">
        <v>1.7643839999999999E-3</v>
      </c>
      <c r="K1431">
        <v>1.586301E-3</v>
      </c>
      <c r="L1431">
        <v>1.4301369999999999E-3</v>
      </c>
      <c r="M1431">
        <v>1.290411E-3</v>
      </c>
      <c r="N1431">
        <v>1.1561640000000001E-3</v>
      </c>
    </row>
    <row r="1432" spans="1:14" hidden="1" x14ac:dyDescent="0.35">
      <c r="A1432" t="s">
        <v>694</v>
      </c>
      <c r="B1432" t="s">
        <v>37</v>
      </c>
      <c r="C1432" t="s">
        <v>251</v>
      </c>
      <c r="D1432" t="s">
        <v>251</v>
      </c>
      <c r="E1432" t="s">
        <v>584</v>
      </c>
      <c r="F1432" t="s">
        <v>26</v>
      </c>
      <c r="G1432" t="s">
        <v>26</v>
      </c>
      <c r="H1432">
        <v>1.1983560000000001E-2</v>
      </c>
      <c r="I1432">
        <v>1.081096E-2</v>
      </c>
      <c r="J1432">
        <v>9.7013700000000008E-3</v>
      </c>
      <c r="K1432">
        <v>8.7315069999999995E-3</v>
      </c>
      <c r="L1432">
        <v>7.8575339999999994E-3</v>
      </c>
      <c r="M1432">
        <v>7.0904109999999996E-3</v>
      </c>
      <c r="N1432">
        <v>6.3616439999999996E-3</v>
      </c>
    </row>
    <row r="1433" spans="1:14" hidden="1" x14ac:dyDescent="0.35">
      <c r="A1433" t="s">
        <v>694</v>
      </c>
      <c r="B1433" t="s">
        <v>37</v>
      </c>
      <c r="C1433" t="s">
        <v>54</v>
      </c>
      <c r="D1433" t="s">
        <v>54</v>
      </c>
      <c r="E1433" t="s">
        <v>584</v>
      </c>
      <c r="F1433" t="s">
        <v>581</v>
      </c>
      <c r="G1433" t="s">
        <v>396</v>
      </c>
      <c r="H1433">
        <v>1.8978080000000001E-2</v>
      </c>
      <c r="I1433">
        <v>1.7123289999999999E-2</v>
      </c>
      <c r="J1433">
        <v>1.536712E-2</v>
      </c>
      <c r="K1433">
        <v>1.38274E-2</v>
      </c>
      <c r="L1433">
        <v>1.2446570000000001E-2</v>
      </c>
      <c r="M1433">
        <v>1.123014E-2</v>
      </c>
      <c r="N1433">
        <v>1.007945E-2</v>
      </c>
    </row>
    <row r="1434" spans="1:14" hidden="1" x14ac:dyDescent="0.35">
      <c r="A1434" t="s">
        <v>694</v>
      </c>
      <c r="B1434" t="s">
        <v>37</v>
      </c>
      <c r="C1434" t="s">
        <v>54</v>
      </c>
      <c r="D1434" t="s">
        <v>54</v>
      </c>
      <c r="E1434" t="s">
        <v>584</v>
      </c>
      <c r="F1434" t="s">
        <v>581</v>
      </c>
      <c r="G1434" t="s">
        <v>25</v>
      </c>
      <c r="H1434">
        <v>6.0356170000000001E-3</v>
      </c>
      <c r="I1434">
        <v>5.4465759999999998E-3</v>
      </c>
      <c r="J1434">
        <v>4.887672E-3</v>
      </c>
      <c r="K1434">
        <v>4.4000000000000003E-3</v>
      </c>
      <c r="L1434">
        <v>3.9589040000000001E-3</v>
      </c>
      <c r="M1434">
        <v>3.5726030000000002E-3</v>
      </c>
      <c r="N1434">
        <v>3.208219E-3</v>
      </c>
    </row>
    <row r="1435" spans="1:14" hidden="1" x14ac:dyDescent="0.35">
      <c r="A1435" t="s">
        <v>694</v>
      </c>
      <c r="B1435" t="s">
        <v>37</v>
      </c>
      <c r="C1435" t="s">
        <v>54</v>
      </c>
      <c r="D1435" t="s">
        <v>54</v>
      </c>
      <c r="E1435" t="s">
        <v>584</v>
      </c>
      <c r="F1435" t="s">
        <v>26</v>
      </c>
      <c r="G1435" t="s">
        <v>26</v>
      </c>
      <c r="H1435">
        <v>5.3747950000000003E-2</v>
      </c>
      <c r="I1435">
        <v>4.849589E-2</v>
      </c>
      <c r="J1435">
        <v>4.3517809999999997E-2</v>
      </c>
      <c r="K1435">
        <v>3.916712E-2</v>
      </c>
      <c r="L1435">
        <v>3.5249309999999999E-2</v>
      </c>
      <c r="M1435">
        <v>3.1805479999999997E-2</v>
      </c>
      <c r="N1435">
        <v>2.8542459999999999E-2</v>
      </c>
    </row>
    <row r="1436" spans="1:14" hidden="1" x14ac:dyDescent="0.35">
      <c r="A1436" t="s">
        <v>694</v>
      </c>
      <c r="B1436" t="s">
        <v>37</v>
      </c>
      <c r="C1436" t="s">
        <v>118</v>
      </c>
      <c r="D1436" t="s">
        <v>118</v>
      </c>
      <c r="E1436" t="s">
        <v>584</v>
      </c>
      <c r="F1436" t="s">
        <v>581</v>
      </c>
      <c r="G1436" t="s">
        <v>396</v>
      </c>
      <c r="H1436">
        <v>1.2386299999999999E-2</v>
      </c>
      <c r="I1436">
        <v>1.1175340000000001E-2</v>
      </c>
      <c r="J1436">
        <v>1.0027400000000001E-2</v>
      </c>
      <c r="K1436">
        <v>9.0246570000000002E-3</v>
      </c>
      <c r="L1436">
        <v>8.1232879999999993E-3</v>
      </c>
      <c r="M1436">
        <v>7.3287680000000003E-3</v>
      </c>
      <c r="N1436">
        <v>6.5780819999999999E-3</v>
      </c>
    </row>
    <row r="1437" spans="1:14" hidden="1" x14ac:dyDescent="0.35">
      <c r="A1437" t="s">
        <v>694</v>
      </c>
      <c r="B1437" t="s">
        <v>37</v>
      </c>
      <c r="C1437" t="s">
        <v>118</v>
      </c>
      <c r="D1437" t="s">
        <v>118</v>
      </c>
      <c r="E1437" t="s">
        <v>584</v>
      </c>
      <c r="F1437" t="s">
        <v>581</v>
      </c>
      <c r="G1437" t="s">
        <v>25</v>
      </c>
      <c r="H1437">
        <v>3.2767120000000002E-3</v>
      </c>
      <c r="I1437">
        <v>2.9561639999999998E-3</v>
      </c>
      <c r="J1437">
        <v>2.6547939999999998E-3</v>
      </c>
      <c r="K1437">
        <v>2.3890410000000002E-3</v>
      </c>
      <c r="L1437">
        <v>2.1479450000000001E-3</v>
      </c>
      <c r="M1437">
        <v>1.9424659999999999E-3</v>
      </c>
      <c r="N1437">
        <v>1.739726E-3</v>
      </c>
    </row>
    <row r="1438" spans="1:14" hidden="1" x14ac:dyDescent="0.35">
      <c r="A1438" t="s">
        <v>694</v>
      </c>
      <c r="B1438" t="s">
        <v>37</v>
      </c>
      <c r="C1438" t="s">
        <v>118</v>
      </c>
      <c r="D1438" t="s">
        <v>118</v>
      </c>
      <c r="E1438" t="s">
        <v>584</v>
      </c>
      <c r="F1438" t="s">
        <v>26</v>
      </c>
      <c r="G1438" t="s">
        <v>26</v>
      </c>
      <c r="H1438">
        <v>2.0761640000000001E-2</v>
      </c>
      <c r="I1438">
        <v>1.8734239999999999E-2</v>
      </c>
      <c r="J1438">
        <v>1.6813700000000001E-2</v>
      </c>
      <c r="K1438">
        <v>1.5131510000000001E-2</v>
      </c>
      <c r="L1438">
        <v>1.361644E-2</v>
      </c>
      <c r="M1438">
        <v>1.2287670000000001E-2</v>
      </c>
      <c r="N1438">
        <v>1.10274E-2</v>
      </c>
    </row>
    <row r="1439" spans="1:14" hidden="1" x14ac:dyDescent="0.35">
      <c r="A1439" t="s">
        <v>694</v>
      </c>
      <c r="B1439" t="s">
        <v>37</v>
      </c>
      <c r="C1439" t="s">
        <v>118</v>
      </c>
      <c r="D1439" t="s">
        <v>118</v>
      </c>
      <c r="E1439" t="s">
        <v>695</v>
      </c>
      <c r="F1439" t="s">
        <v>581</v>
      </c>
      <c r="G1439" t="s">
        <v>25</v>
      </c>
      <c r="H1439">
        <v>2.7671230000000002E-4</v>
      </c>
      <c r="I1439">
        <v>3.5890409999999998E-4</v>
      </c>
      <c r="J1439">
        <v>6.5424660000000003E-4</v>
      </c>
      <c r="K1439">
        <v>8.3452060000000004E-4</v>
      </c>
      <c r="L1439">
        <v>1.1090410000000001E-3</v>
      </c>
      <c r="M1439">
        <v>9.3041089999999999E-4</v>
      </c>
      <c r="N1439">
        <v>6.8986290000000005E-4</v>
      </c>
    </row>
    <row r="1440" spans="1:14" hidden="1" x14ac:dyDescent="0.35">
      <c r="A1440" t="s">
        <v>694</v>
      </c>
      <c r="B1440" t="s">
        <v>37</v>
      </c>
      <c r="C1440" t="s">
        <v>118</v>
      </c>
      <c r="D1440" t="s">
        <v>118</v>
      </c>
      <c r="E1440" t="s">
        <v>695</v>
      </c>
      <c r="F1440" t="s">
        <v>26</v>
      </c>
      <c r="G1440" t="s">
        <v>26</v>
      </c>
      <c r="H1440">
        <v>5.2493150000000001E-3</v>
      </c>
      <c r="I1440">
        <v>6.7791780000000003E-3</v>
      </c>
      <c r="J1440">
        <v>1.24537E-2</v>
      </c>
      <c r="K1440">
        <v>1.579945E-2</v>
      </c>
      <c r="L1440">
        <v>2.1098080000000002E-2</v>
      </c>
      <c r="M1440">
        <v>1.760548E-2</v>
      </c>
      <c r="N1440">
        <v>1.315726E-2</v>
      </c>
    </row>
    <row r="1441" spans="1:14" hidden="1" x14ac:dyDescent="0.35">
      <c r="A1441" t="s">
        <v>694</v>
      </c>
      <c r="B1441" t="s">
        <v>37</v>
      </c>
      <c r="C1441" t="s">
        <v>252</v>
      </c>
      <c r="D1441" t="s">
        <v>252</v>
      </c>
      <c r="E1441" t="s">
        <v>584</v>
      </c>
      <c r="F1441" t="s">
        <v>26</v>
      </c>
      <c r="G1441" t="s">
        <v>26</v>
      </c>
      <c r="H1441">
        <v>1.8093149999999999E-2</v>
      </c>
      <c r="I1441">
        <v>1.6326029999999998E-2</v>
      </c>
      <c r="J1441">
        <v>1.465206E-2</v>
      </c>
      <c r="K1441">
        <v>1.31863E-2</v>
      </c>
      <c r="L1441">
        <v>1.186575E-2</v>
      </c>
      <c r="M1441">
        <v>1.070685E-2</v>
      </c>
      <c r="N1441">
        <v>9.6082189999999994E-3</v>
      </c>
    </row>
    <row r="1442" spans="1:14" hidden="1" x14ac:dyDescent="0.35">
      <c r="A1442" t="s">
        <v>694</v>
      </c>
      <c r="B1442" t="s">
        <v>37</v>
      </c>
      <c r="C1442" t="s">
        <v>35</v>
      </c>
      <c r="D1442" t="s">
        <v>38</v>
      </c>
      <c r="E1442" t="s">
        <v>584</v>
      </c>
      <c r="F1442" t="s">
        <v>581</v>
      </c>
      <c r="G1442" t="s">
        <v>396</v>
      </c>
      <c r="H1442">
        <v>1.0504110000000001E-2</v>
      </c>
      <c r="I1442">
        <v>9.4767129999999995E-3</v>
      </c>
      <c r="J1442">
        <v>8.5041100000000005E-3</v>
      </c>
      <c r="K1442">
        <v>7.6547949999999998E-3</v>
      </c>
      <c r="L1442">
        <v>6.8876720000000001E-3</v>
      </c>
      <c r="M1442">
        <v>6.2164380000000003E-3</v>
      </c>
      <c r="N1442">
        <v>5.5780819999999998E-3</v>
      </c>
    </row>
    <row r="1443" spans="1:14" hidden="1" x14ac:dyDescent="0.35">
      <c r="A1443" t="s">
        <v>694</v>
      </c>
      <c r="B1443" t="s">
        <v>37</v>
      </c>
      <c r="C1443" t="s">
        <v>35</v>
      </c>
      <c r="D1443" t="s">
        <v>38</v>
      </c>
      <c r="E1443" t="s">
        <v>584</v>
      </c>
      <c r="F1443" t="s">
        <v>581</v>
      </c>
      <c r="G1443" t="s">
        <v>25</v>
      </c>
      <c r="H1443">
        <v>5.2328770000000001E-4</v>
      </c>
      <c r="I1443">
        <v>4.7123290000000001E-4</v>
      </c>
      <c r="J1443">
        <v>4.2191780000000001E-4</v>
      </c>
      <c r="K1443">
        <v>3.835617E-4</v>
      </c>
      <c r="L1443">
        <v>3.4246569999999999E-4</v>
      </c>
      <c r="M1443">
        <v>3.0958910000000001E-4</v>
      </c>
      <c r="N1443">
        <v>2.7671230000000002E-4</v>
      </c>
    </row>
    <row r="1444" spans="1:14" hidden="1" x14ac:dyDescent="0.35">
      <c r="A1444" t="s">
        <v>694</v>
      </c>
      <c r="B1444" t="s">
        <v>37</v>
      </c>
      <c r="C1444" t="s">
        <v>35</v>
      </c>
      <c r="D1444" t="s">
        <v>38</v>
      </c>
      <c r="E1444" t="s">
        <v>584</v>
      </c>
      <c r="F1444" t="s">
        <v>26</v>
      </c>
      <c r="G1444" t="s">
        <v>26</v>
      </c>
      <c r="H1444">
        <v>3.5287669999999999E-3</v>
      </c>
      <c r="I1444">
        <v>3.183562E-3</v>
      </c>
      <c r="J1444">
        <v>2.8575340000000001E-3</v>
      </c>
      <c r="K1444">
        <v>2.5726030000000001E-3</v>
      </c>
      <c r="L1444">
        <v>2.315068E-3</v>
      </c>
      <c r="M1444">
        <v>2.0876710000000001E-3</v>
      </c>
      <c r="N1444">
        <v>1.8739729999999999E-3</v>
      </c>
    </row>
    <row r="1445" spans="1:14" hidden="1" x14ac:dyDescent="0.35">
      <c r="A1445" t="s">
        <v>694</v>
      </c>
      <c r="B1445" t="s">
        <v>37</v>
      </c>
      <c r="C1445" t="s">
        <v>115</v>
      </c>
      <c r="D1445" t="s">
        <v>115</v>
      </c>
      <c r="E1445" t="s">
        <v>584</v>
      </c>
      <c r="F1445" t="s">
        <v>581</v>
      </c>
      <c r="G1445" t="s">
        <v>396</v>
      </c>
      <c r="H1445">
        <v>1.0487669999999999E-2</v>
      </c>
      <c r="I1445">
        <v>9.4630140000000005E-3</v>
      </c>
      <c r="J1445">
        <v>8.4931520000000003E-3</v>
      </c>
      <c r="K1445">
        <v>7.6438360000000002E-3</v>
      </c>
      <c r="L1445">
        <v>6.8794520000000003E-3</v>
      </c>
      <c r="M1445">
        <v>6.2054800000000002E-3</v>
      </c>
      <c r="N1445">
        <v>5.5698639999999999E-3</v>
      </c>
    </row>
    <row r="1446" spans="1:14" hidden="1" x14ac:dyDescent="0.35">
      <c r="A1446" t="s">
        <v>694</v>
      </c>
      <c r="B1446" t="s">
        <v>37</v>
      </c>
      <c r="C1446" t="s">
        <v>115</v>
      </c>
      <c r="D1446" t="s">
        <v>115</v>
      </c>
      <c r="E1446" t="s">
        <v>584</v>
      </c>
      <c r="F1446" t="s">
        <v>581</v>
      </c>
      <c r="G1446" t="s">
        <v>25</v>
      </c>
      <c r="H1446">
        <v>2.5205479999999998E-4</v>
      </c>
      <c r="I1446">
        <v>2.273973E-4</v>
      </c>
      <c r="J1446">
        <v>2.0273970000000001E-4</v>
      </c>
      <c r="K1446">
        <v>1.8356159999999999E-4</v>
      </c>
      <c r="L1446">
        <v>1.643836E-4</v>
      </c>
      <c r="M1446">
        <v>1.4794520000000001E-4</v>
      </c>
      <c r="N1446">
        <v>1.3150689999999999E-4</v>
      </c>
    </row>
    <row r="1447" spans="1:14" hidden="1" x14ac:dyDescent="0.35">
      <c r="A1447" t="s">
        <v>694</v>
      </c>
      <c r="B1447" t="s">
        <v>37</v>
      </c>
      <c r="C1447" t="s">
        <v>115</v>
      </c>
      <c r="D1447" t="s">
        <v>115</v>
      </c>
      <c r="E1447" t="s">
        <v>584</v>
      </c>
      <c r="F1447" t="s">
        <v>26</v>
      </c>
      <c r="G1447" t="s">
        <v>26</v>
      </c>
      <c r="H1447">
        <v>1.7479450000000001E-3</v>
      </c>
      <c r="I1447">
        <v>1.578082E-3</v>
      </c>
      <c r="J1447">
        <v>1.4164379999999999E-3</v>
      </c>
      <c r="K1447">
        <v>1.2739730000000001E-3</v>
      </c>
      <c r="L1447">
        <v>1.1452050000000001E-3</v>
      </c>
      <c r="M1447">
        <v>1.0356160000000001E-3</v>
      </c>
      <c r="N1447">
        <v>9.2876709999999997E-4</v>
      </c>
    </row>
    <row r="1448" spans="1:14" hidden="1" x14ac:dyDescent="0.35">
      <c r="A1448" t="s">
        <v>696</v>
      </c>
      <c r="B1448" t="s">
        <v>34</v>
      </c>
      <c r="C1448" t="s">
        <v>230</v>
      </c>
      <c r="D1448" t="s">
        <v>230</v>
      </c>
      <c r="E1448" t="s">
        <v>697</v>
      </c>
      <c r="F1448" t="s">
        <v>581</v>
      </c>
      <c r="G1448" t="s">
        <v>396</v>
      </c>
      <c r="H1448">
        <v>29.91563</v>
      </c>
      <c r="I1448">
        <v>28.220949999999998</v>
      </c>
      <c r="J1448">
        <v>23.627800000000001</v>
      </c>
      <c r="K1448">
        <v>19.156870000000001</v>
      </c>
      <c r="L1448">
        <v>16.28088</v>
      </c>
      <c r="M1448">
        <v>13.96969</v>
      </c>
      <c r="N1448">
        <v>12.07944</v>
      </c>
    </row>
    <row r="1449" spans="1:14" hidden="1" x14ac:dyDescent="0.35">
      <c r="A1449" t="s">
        <v>696</v>
      </c>
      <c r="B1449" t="s">
        <v>34</v>
      </c>
      <c r="C1449" t="s">
        <v>230</v>
      </c>
      <c r="D1449" t="s">
        <v>230</v>
      </c>
      <c r="E1449" t="s">
        <v>697</v>
      </c>
      <c r="F1449" t="s">
        <v>581</v>
      </c>
      <c r="G1449" t="s">
        <v>25</v>
      </c>
      <c r="H1449">
        <v>6.5929529999999996</v>
      </c>
      <c r="I1449">
        <v>5.9117069999999998</v>
      </c>
      <c r="J1449">
        <v>4.8499990000000004</v>
      </c>
      <c r="K1449">
        <v>3.9203730000000001</v>
      </c>
      <c r="L1449">
        <v>3.3234599999999999</v>
      </c>
      <c r="M1449">
        <v>2.8488920000000002</v>
      </c>
      <c r="N1449">
        <v>2.4635180000000001</v>
      </c>
    </row>
    <row r="1450" spans="1:14" hidden="1" x14ac:dyDescent="0.35">
      <c r="A1450" t="s">
        <v>696</v>
      </c>
      <c r="B1450" t="s">
        <v>34</v>
      </c>
      <c r="C1450" t="s">
        <v>230</v>
      </c>
      <c r="D1450" t="s">
        <v>230</v>
      </c>
      <c r="E1450" t="s">
        <v>697</v>
      </c>
      <c r="F1450" t="s">
        <v>26</v>
      </c>
      <c r="G1450" t="s">
        <v>26</v>
      </c>
      <c r="H1450">
        <v>3.844754</v>
      </c>
      <c r="I1450">
        <v>3.4771299999999998</v>
      </c>
      <c r="J1450">
        <v>2.8709790000000002</v>
      </c>
      <c r="K1450">
        <v>2.340554</v>
      </c>
      <c r="L1450">
        <v>1.9981279999999999</v>
      </c>
      <c r="M1450">
        <v>1.717069</v>
      </c>
      <c r="N1450">
        <v>1.484202</v>
      </c>
    </row>
    <row r="1451" spans="1:14" hidden="1" x14ac:dyDescent="0.35">
      <c r="A1451" t="s">
        <v>696</v>
      </c>
      <c r="B1451" t="s">
        <v>34</v>
      </c>
      <c r="C1451" t="s">
        <v>230</v>
      </c>
      <c r="D1451" t="s">
        <v>230</v>
      </c>
      <c r="E1451" t="s">
        <v>584</v>
      </c>
      <c r="F1451" t="s">
        <v>581</v>
      </c>
      <c r="G1451" t="s">
        <v>396</v>
      </c>
      <c r="H1451">
        <v>19.3156</v>
      </c>
      <c r="I1451">
        <v>19.050129999999999</v>
      </c>
      <c r="J1451">
        <v>17.92529</v>
      </c>
      <c r="K1451">
        <v>16.5503</v>
      </c>
      <c r="L1451">
        <v>15.094010000000001</v>
      </c>
      <c r="M1451">
        <v>13.48124</v>
      </c>
      <c r="N1451">
        <v>12.08123</v>
      </c>
    </row>
    <row r="1452" spans="1:14" hidden="1" x14ac:dyDescent="0.35">
      <c r="A1452" t="s">
        <v>696</v>
      </c>
      <c r="B1452" t="s">
        <v>34</v>
      </c>
      <c r="C1452" t="s">
        <v>230</v>
      </c>
      <c r="D1452" t="s">
        <v>230</v>
      </c>
      <c r="E1452" t="s">
        <v>584</v>
      </c>
      <c r="F1452" t="s">
        <v>581</v>
      </c>
      <c r="G1452" t="s">
        <v>25</v>
      </c>
      <c r="H1452">
        <v>5.450501</v>
      </c>
      <c r="I1452">
        <v>5.4454570000000002</v>
      </c>
      <c r="J1452">
        <v>4.7866679999999997</v>
      </c>
      <c r="K1452">
        <v>4.0227760000000004</v>
      </c>
      <c r="L1452">
        <v>3.3210250000000001</v>
      </c>
      <c r="M1452">
        <v>2.6664530000000002</v>
      </c>
      <c r="N1452">
        <v>2.1391979999999999</v>
      </c>
    </row>
    <row r="1453" spans="1:14" hidden="1" x14ac:dyDescent="0.35">
      <c r="A1453" t="s">
        <v>696</v>
      </c>
      <c r="B1453" t="s">
        <v>34</v>
      </c>
      <c r="C1453" t="s">
        <v>230</v>
      </c>
      <c r="D1453" t="s">
        <v>230</v>
      </c>
      <c r="E1453" t="s">
        <v>584</v>
      </c>
      <c r="F1453" t="s">
        <v>26</v>
      </c>
      <c r="G1453" t="s">
        <v>26</v>
      </c>
      <c r="H1453">
        <v>2.4439310000000001</v>
      </c>
      <c r="I1453">
        <v>1.910005</v>
      </c>
      <c r="J1453">
        <v>1.5483709999999999</v>
      </c>
      <c r="K1453">
        <v>1.301806</v>
      </c>
      <c r="L1453">
        <v>1.0876749999999999</v>
      </c>
      <c r="M1453">
        <v>0.87328260000000002</v>
      </c>
      <c r="N1453">
        <v>0.70993280000000003</v>
      </c>
    </row>
    <row r="1454" spans="1:14" hidden="1" x14ac:dyDescent="0.35">
      <c r="A1454" t="s">
        <v>696</v>
      </c>
      <c r="B1454" t="s">
        <v>34</v>
      </c>
      <c r="C1454" t="s">
        <v>230</v>
      </c>
      <c r="D1454" t="s">
        <v>230</v>
      </c>
      <c r="E1454" t="s">
        <v>698</v>
      </c>
      <c r="F1454" t="s">
        <v>581</v>
      </c>
      <c r="G1454" t="s">
        <v>396</v>
      </c>
      <c r="H1454">
        <v>16.1252</v>
      </c>
      <c r="I1454">
        <v>16.882110000000001</v>
      </c>
      <c r="J1454">
        <v>14.025119999999999</v>
      </c>
      <c r="K1454">
        <v>11.098459999999999</v>
      </c>
      <c r="L1454">
        <v>9.1230239999999991</v>
      </c>
      <c r="M1454">
        <v>7.6561630000000003</v>
      </c>
      <c r="N1454">
        <v>6.5775980000000001</v>
      </c>
    </row>
    <row r="1455" spans="1:14" hidden="1" x14ac:dyDescent="0.35">
      <c r="A1455" t="s">
        <v>696</v>
      </c>
      <c r="B1455" t="s">
        <v>34</v>
      </c>
      <c r="C1455" t="s">
        <v>230</v>
      </c>
      <c r="D1455" t="s">
        <v>230</v>
      </c>
      <c r="E1455" t="s">
        <v>698</v>
      </c>
      <c r="F1455" t="s">
        <v>581</v>
      </c>
      <c r="G1455" t="s">
        <v>25</v>
      </c>
      <c r="H1455">
        <v>0.18585209999999999</v>
      </c>
      <c r="I1455">
        <v>0.1757814</v>
      </c>
      <c r="J1455">
        <v>0.1434203</v>
      </c>
      <c r="K1455">
        <v>0.11353969999999999</v>
      </c>
      <c r="L1455">
        <v>9.3345750000000005E-2</v>
      </c>
      <c r="M1455">
        <v>7.8327679999999997E-2</v>
      </c>
      <c r="N1455">
        <v>6.7282739999999994E-2</v>
      </c>
    </row>
    <row r="1456" spans="1:14" hidden="1" x14ac:dyDescent="0.35">
      <c r="A1456" t="s">
        <v>696</v>
      </c>
      <c r="B1456" t="s">
        <v>34</v>
      </c>
      <c r="C1456" t="s">
        <v>230</v>
      </c>
      <c r="D1456" t="s">
        <v>230</v>
      </c>
      <c r="E1456" t="s">
        <v>698</v>
      </c>
      <c r="F1456" t="s">
        <v>26</v>
      </c>
      <c r="G1456" t="s">
        <v>26</v>
      </c>
      <c r="H1456">
        <v>1.6123510000000001</v>
      </c>
      <c r="I1456">
        <v>1.406236</v>
      </c>
      <c r="J1456">
        <v>1.1473850000000001</v>
      </c>
      <c r="K1456">
        <v>0.90831229999999996</v>
      </c>
      <c r="L1456">
        <v>0.74675349999999996</v>
      </c>
      <c r="M1456">
        <v>0.62662019999999996</v>
      </c>
      <c r="N1456">
        <v>0.53828549999999997</v>
      </c>
    </row>
    <row r="1457" spans="1:14" hidden="1" x14ac:dyDescent="0.35">
      <c r="A1457" t="s">
        <v>696</v>
      </c>
      <c r="B1457" t="s">
        <v>34</v>
      </c>
      <c r="C1457" t="s">
        <v>230</v>
      </c>
      <c r="D1457" t="s">
        <v>230</v>
      </c>
      <c r="E1457" t="s">
        <v>699</v>
      </c>
      <c r="F1457" t="s">
        <v>581</v>
      </c>
      <c r="G1457" t="s">
        <v>396</v>
      </c>
      <c r="H1457">
        <v>7.8524269999999996</v>
      </c>
      <c r="I1457">
        <v>8.6341090000000005</v>
      </c>
      <c r="J1457">
        <v>6.4690570000000003</v>
      </c>
      <c r="K1457">
        <v>5.0568929999999996</v>
      </c>
      <c r="L1457">
        <v>4.1094629999999999</v>
      </c>
      <c r="M1457">
        <v>3.3950939999999998</v>
      </c>
      <c r="N1457">
        <v>2.8904329999999998</v>
      </c>
    </row>
    <row r="1458" spans="1:14" hidden="1" x14ac:dyDescent="0.35">
      <c r="A1458" t="s">
        <v>696</v>
      </c>
      <c r="B1458" t="s">
        <v>34</v>
      </c>
      <c r="C1458" t="s">
        <v>230</v>
      </c>
      <c r="D1458" t="s">
        <v>230</v>
      </c>
      <c r="E1458" t="s">
        <v>699</v>
      </c>
      <c r="F1458" t="s">
        <v>581</v>
      </c>
      <c r="G1458" t="s">
        <v>25</v>
      </c>
      <c r="H1458">
        <v>9.0819179999999999E-2</v>
      </c>
      <c r="I1458">
        <v>8.7436710000000001E-2</v>
      </c>
      <c r="J1458">
        <v>6.5019179999999996E-2</v>
      </c>
      <c r="K1458">
        <v>5.082685E-2</v>
      </c>
      <c r="L1458">
        <v>4.1308499999999998E-2</v>
      </c>
      <c r="M1458">
        <v>3.4122739999999999E-2</v>
      </c>
      <c r="N1458">
        <v>2.9050409999999999E-2</v>
      </c>
    </row>
    <row r="1459" spans="1:14" hidden="1" x14ac:dyDescent="0.35">
      <c r="A1459" t="s">
        <v>696</v>
      </c>
      <c r="B1459" t="s">
        <v>34</v>
      </c>
      <c r="C1459" t="s">
        <v>230</v>
      </c>
      <c r="D1459" t="s">
        <v>230</v>
      </c>
      <c r="E1459" t="s">
        <v>699</v>
      </c>
      <c r="F1459" t="s">
        <v>26</v>
      </c>
      <c r="G1459" t="s">
        <v>26</v>
      </c>
      <c r="H1459">
        <v>0.72890410000000005</v>
      </c>
      <c r="I1459">
        <v>0.69948429999999995</v>
      </c>
      <c r="J1459">
        <v>0.52015619999999996</v>
      </c>
      <c r="K1459">
        <v>0.4066477</v>
      </c>
      <c r="L1459">
        <v>0.33045920000000001</v>
      </c>
      <c r="M1459">
        <v>0.27299889999999999</v>
      </c>
      <c r="N1459">
        <v>0.23241590000000001</v>
      </c>
    </row>
    <row r="1460" spans="1:14" hidden="1" x14ac:dyDescent="0.35">
      <c r="A1460" t="s">
        <v>696</v>
      </c>
      <c r="B1460" t="s">
        <v>34</v>
      </c>
      <c r="C1460" t="s">
        <v>230</v>
      </c>
      <c r="D1460" t="s">
        <v>230</v>
      </c>
      <c r="E1460" t="s">
        <v>700</v>
      </c>
      <c r="F1460" t="s">
        <v>581</v>
      </c>
      <c r="G1460" t="s">
        <v>396</v>
      </c>
      <c r="H1460">
        <v>0.70086570000000004</v>
      </c>
      <c r="I1460">
        <v>0.58619120000000002</v>
      </c>
      <c r="J1460">
        <v>0.52466480000000004</v>
      </c>
      <c r="K1460">
        <v>0.47213240000000001</v>
      </c>
      <c r="L1460">
        <v>0.4249134</v>
      </c>
      <c r="M1460">
        <v>0.38340940000000001</v>
      </c>
      <c r="N1460">
        <v>0.34406979999999998</v>
      </c>
    </row>
    <row r="1461" spans="1:14" hidden="1" x14ac:dyDescent="0.35">
      <c r="A1461" t="s">
        <v>696</v>
      </c>
      <c r="B1461" t="s">
        <v>34</v>
      </c>
      <c r="C1461" t="s">
        <v>230</v>
      </c>
      <c r="D1461" t="s">
        <v>230</v>
      </c>
      <c r="E1461" t="s">
        <v>700</v>
      </c>
      <c r="F1461" t="s">
        <v>581</v>
      </c>
      <c r="G1461" t="s">
        <v>25</v>
      </c>
      <c r="H1461">
        <v>6.9164389999999999E-3</v>
      </c>
      <c r="I1461">
        <v>6.3549870000000003E-3</v>
      </c>
      <c r="J1461">
        <v>5.6877539999999997E-3</v>
      </c>
      <c r="K1461">
        <v>5.1181639999999997E-3</v>
      </c>
      <c r="L1461">
        <v>4.6055339999999997E-3</v>
      </c>
      <c r="M1461">
        <v>4.1580000000000002E-3</v>
      </c>
      <c r="N1461">
        <v>3.7294519999999999E-3</v>
      </c>
    </row>
    <row r="1462" spans="1:14" hidden="1" x14ac:dyDescent="0.35">
      <c r="A1462" t="s">
        <v>696</v>
      </c>
      <c r="B1462" t="s">
        <v>34</v>
      </c>
      <c r="C1462" t="s">
        <v>230</v>
      </c>
      <c r="D1462" t="s">
        <v>230</v>
      </c>
      <c r="E1462" t="s">
        <v>700</v>
      </c>
      <c r="F1462" t="s">
        <v>26</v>
      </c>
      <c r="G1462" t="s">
        <v>26</v>
      </c>
      <c r="H1462">
        <v>6.9164389999999999E-3</v>
      </c>
      <c r="I1462">
        <v>6.354986E-3</v>
      </c>
      <c r="J1462">
        <v>5.6877539999999997E-3</v>
      </c>
      <c r="K1462">
        <v>5.1181639999999997E-3</v>
      </c>
      <c r="L1462">
        <v>4.6055339999999997E-3</v>
      </c>
      <c r="M1462">
        <v>4.1580000000000002E-3</v>
      </c>
      <c r="N1462">
        <v>3.7294519999999999E-3</v>
      </c>
    </row>
    <row r="1463" spans="1:14" hidden="1" x14ac:dyDescent="0.35">
      <c r="A1463" t="s">
        <v>696</v>
      </c>
      <c r="B1463" t="s">
        <v>34</v>
      </c>
      <c r="C1463" t="s">
        <v>33</v>
      </c>
      <c r="D1463" t="s">
        <v>33</v>
      </c>
      <c r="E1463" t="s">
        <v>701</v>
      </c>
      <c r="F1463" t="s">
        <v>581</v>
      </c>
      <c r="G1463" t="s">
        <v>396</v>
      </c>
      <c r="H1463">
        <v>4.138083</v>
      </c>
      <c r="I1463">
        <v>4.0590109999999999</v>
      </c>
      <c r="J1463">
        <v>3.3953509999999998</v>
      </c>
      <c r="K1463">
        <v>2.8869129999999998</v>
      </c>
      <c r="L1463">
        <v>2.5317280000000002</v>
      </c>
      <c r="M1463">
        <v>2.217285</v>
      </c>
      <c r="N1463">
        <v>1.941462</v>
      </c>
    </row>
    <row r="1464" spans="1:14" hidden="1" x14ac:dyDescent="0.35">
      <c r="A1464" t="s">
        <v>696</v>
      </c>
      <c r="B1464" t="s">
        <v>34</v>
      </c>
      <c r="C1464" t="s">
        <v>33</v>
      </c>
      <c r="D1464" t="s">
        <v>33</v>
      </c>
      <c r="E1464" t="s">
        <v>701</v>
      </c>
      <c r="F1464" t="s">
        <v>581</v>
      </c>
      <c r="G1464" t="s">
        <v>25</v>
      </c>
      <c r="H1464">
        <v>0.57520819999999995</v>
      </c>
      <c r="I1464">
        <v>0.49218299999999998</v>
      </c>
      <c r="J1464">
        <v>0.4085529</v>
      </c>
      <c r="K1464">
        <v>0.34739120000000001</v>
      </c>
      <c r="L1464">
        <v>0.30467559999999999</v>
      </c>
      <c r="M1464">
        <v>0.26682790000000001</v>
      </c>
      <c r="N1464">
        <v>0.23362520000000001</v>
      </c>
    </row>
    <row r="1465" spans="1:14" hidden="1" x14ac:dyDescent="0.35">
      <c r="A1465" t="s">
        <v>696</v>
      </c>
      <c r="B1465" t="s">
        <v>34</v>
      </c>
      <c r="C1465" t="s">
        <v>33</v>
      </c>
      <c r="D1465" t="s">
        <v>33</v>
      </c>
      <c r="E1465" t="s">
        <v>701</v>
      </c>
      <c r="F1465" t="s">
        <v>26</v>
      </c>
      <c r="G1465" t="s">
        <v>26</v>
      </c>
      <c r="H1465">
        <v>0.80342469999999999</v>
      </c>
      <c r="I1465">
        <v>0.68905479999999997</v>
      </c>
      <c r="J1465">
        <v>0.57197480000000001</v>
      </c>
      <c r="K1465">
        <v>0.48634630000000001</v>
      </c>
      <c r="L1465">
        <v>0.42653750000000001</v>
      </c>
      <c r="M1465">
        <v>0.37355559999999999</v>
      </c>
      <c r="N1465">
        <v>0.32707449999999999</v>
      </c>
    </row>
    <row r="1466" spans="1:14" hidden="1" x14ac:dyDescent="0.35">
      <c r="A1466" t="s">
        <v>696</v>
      </c>
      <c r="B1466" t="s">
        <v>34</v>
      </c>
      <c r="C1466" t="s">
        <v>33</v>
      </c>
      <c r="D1466" t="s">
        <v>33</v>
      </c>
      <c r="E1466" t="s">
        <v>584</v>
      </c>
      <c r="F1466" t="s">
        <v>581</v>
      </c>
      <c r="G1466" t="s">
        <v>396</v>
      </c>
      <c r="H1466">
        <v>2.8878900000000001</v>
      </c>
      <c r="I1466">
        <v>2.0433560000000002</v>
      </c>
      <c r="J1466">
        <v>1.369704</v>
      </c>
      <c r="K1466">
        <v>0.9181397</v>
      </c>
      <c r="L1466">
        <v>0.61544659999999995</v>
      </c>
      <c r="M1466">
        <v>0.41254800000000003</v>
      </c>
      <c r="N1466">
        <v>3.3585209999999997E-2</v>
      </c>
    </row>
    <row r="1467" spans="1:14" hidden="1" x14ac:dyDescent="0.35">
      <c r="A1467" t="s">
        <v>696</v>
      </c>
      <c r="B1467" t="s">
        <v>34</v>
      </c>
      <c r="C1467" t="s">
        <v>33</v>
      </c>
      <c r="D1467" t="s">
        <v>33</v>
      </c>
      <c r="E1467" t="s">
        <v>584</v>
      </c>
      <c r="F1467" t="s">
        <v>581</v>
      </c>
      <c r="G1467" t="s">
        <v>25</v>
      </c>
      <c r="H1467">
        <v>1.298959</v>
      </c>
      <c r="I1467">
        <v>0.87072050000000001</v>
      </c>
      <c r="J1467">
        <v>0.58366030000000002</v>
      </c>
      <c r="K1467">
        <v>0.39123839999999999</v>
      </c>
      <c r="L1467">
        <v>0.26225759999999998</v>
      </c>
      <c r="M1467">
        <v>0.17579449999999999</v>
      </c>
      <c r="N1467">
        <v>0</v>
      </c>
    </row>
    <row r="1468" spans="1:14" hidden="1" x14ac:dyDescent="0.35">
      <c r="A1468" t="s">
        <v>696</v>
      </c>
      <c r="B1468" t="s">
        <v>34</v>
      </c>
      <c r="C1468" t="s">
        <v>33</v>
      </c>
      <c r="D1468" t="s">
        <v>33</v>
      </c>
      <c r="E1468" t="s">
        <v>584</v>
      </c>
      <c r="F1468" t="s">
        <v>26</v>
      </c>
      <c r="G1468" t="s">
        <v>26</v>
      </c>
      <c r="H1468">
        <v>0.24295340000000001</v>
      </c>
      <c r="I1468">
        <v>0.2300219</v>
      </c>
      <c r="J1468">
        <v>0.21785209999999999</v>
      </c>
      <c r="K1468">
        <v>0.20639730000000001</v>
      </c>
      <c r="L1468">
        <v>0.19560820000000001</v>
      </c>
      <c r="M1468">
        <v>0.18543560000000001</v>
      </c>
      <c r="N1468">
        <v>3.3402739999999998E-3</v>
      </c>
    </row>
    <row r="1469" spans="1:14" hidden="1" x14ac:dyDescent="0.35">
      <c r="A1469" t="s">
        <v>696</v>
      </c>
      <c r="B1469" t="s">
        <v>34</v>
      </c>
      <c r="C1469" t="s">
        <v>33</v>
      </c>
      <c r="D1469" t="s">
        <v>33</v>
      </c>
      <c r="E1469" t="s">
        <v>702</v>
      </c>
      <c r="F1469" t="s">
        <v>581</v>
      </c>
      <c r="G1469" t="s">
        <v>396</v>
      </c>
      <c r="H1469">
        <v>0.81999730000000004</v>
      </c>
      <c r="I1469">
        <v>1.158925</v>
      </c>
      <c r="J1469">
        <v>0.95907120000000001</v>
      </c>
      <c r="K1469">
        <v>0.87726630000000005</v>
      </c>
      <c r="L1469">
        <v>0.86153369999999996</v>
      </c>
      <c r="M1469">
        <v>0.62976940000000003</v>
      </c>
      <c r="N1469">
        <v>0.49391279999999999</v>
      </c>
    </row>
    <row r="1470" spans="1:14" hidden="1" x14ac:dyDescent="0.35">
      <c r="A1470" t="s">
        <v>696</v>
      </c>
      <c r="B1470" t="s">
        <v>34</v>
      </c>
      <c r="C1470" t="s">
        <v>33</v>
      </c>
      <c r="D1470" t="s">
        <v>33</v>
      </c>
      <c r="E1470" t="s">
        <v>702</v>
      </c>
      <c r="F1470" t="s">
        <v>581</v>
      </c>
      <c r="G1470" t="s">
        <v>25</v>
      </c>
      <c r="H1470">
        <v>8.9342469999999993E-3</v>
      </c>
      <c r="I1470">
        <v>1.2597809999999999E-2</v>
      </c>
      <c r="J1470">
        <v>1.042247E-2</v>
      </c>
      <c r="K1470">
        <v>9.5353420000000005E-3</v>
      </c>
      <c r="L1470">
        <v>9.3627399999999996E-3</v>
      </c>
      <c r="M1470">
        <v>6.8443840000000002E-3</v>
      </c>
      <c r="N1470">
        <v>5.367124E-3</v>
      </c>
    </row>
    <row r="1471" spans="1:14" hidden="1" x14ac:dyDescent="0.35">
      <c r="A1471" t="s">
        <v>696</v>
      </c>
      <c r="B1471" t="s">
        <v>34</v>
      </c>
      <c r="C1471" t="s">
        <v>33</v>
      </c>
      <c r="D1471" t="s">
        <v>33</v>
      </c>
      <c r="E1471" t="s">
        <v>702</v>
      </c>
      <c r="F1471" t="s">
        <v>26</v>
      </c>
      <c r="G1471" t="s">
        <v>26</v>
      </c>
      <c r="H1471">
        <v>6.3172599999999995E-2</v>
      </c>
      <c r="I1471">
        <v>8.8646030000000001E-2</v>
      </c>
      <c r="J1471">
        <v>7.3361099999999999E-2</v>
      </c>
      <c r="K1471">
        <v>6.7100820000000005E-2</v>
      </c>
      <c r="L1471">
        <v>6.5901920000000003E-2</v>
      </c>
      <c r="M1471">
        <v>4.8172060000000003E-2</v>
      </c>
      <c r="N1471">
        <v>3.778082E-2</v>
      </c>
    </row>
    <row r="1472" spans="1:14" hidden="1" x14ac:dyDescent="0.35">
      <c r="A1472" t="s">
        <v>696</v>
      </c>
      <c r="B1472" t="s">
        <v>34</v>
      </c>
      <c r="C1472" t="s">
        <v>33</v>
      </c>
      <c r="D1472" t="s">
        <v>33</v>
      </c>
      <c r="E1472" t="s">
        <v>703</v>
      </c>
      <c r="F1472" t="s">
        <v>581</v>
      </c>
      <c r="G1472" t="s">
        <v>396</v>
      </c>
      <c r="H1472">
        <v>0.65590689999999996</v>
      </c>
      <c r="I1472">
        <v>0.59625379999999994</v>
      </c>
      <c r="J1472">
        <v>0.52884929999999997</v>
      </c>
      <c r="K1472">
        <v>0.47449370000000002</v>
      </c>
      <c r="L1472">
        <v>0.42691950000000001</v>
      </c>
      <c r="M1472">
        <v>0.3852159</v>
      </c>
      <c r="N1472">
        <v>0.34569040000000001</v>
      </c>
    </row>
    <row r="1473" spans="1:14" hidden="1" x14ac:dyDescent="0.35">
      <c r="A1473" t="s">
        <v>696</v>
      </c>
      <c r="B1473" t="s">
        <v>34</v>
      </c>
      <c r="C1473" t="s">
        <v>33</v>
      </c>
      <c r="D1473" t="s">
        <v>33</v>
      </c>
      <c r="E1473" t="s">
        <v>703</v>
      </c>
      <c r="F1473" t="s">
        <v>581</v>
      </c>
      <c r="G1473" t="s">
        <v>25</v>
      </c>
      <c r="H1473">
        <v>5.3372599999999999E-2</v>
      </c>
      <c r="I1473">
        <v>4.7602739999999998E-2</v>
      </c>
      <c r="J1473">
        <v>4.2219180000000002E-2</v>
      </c>
      <c r="K1473">
        <v>3.7879450000000002E-2</v>
      </c>
      <c r="L1473">
        <v>3.4082189999999998E-2</v>
      </c>
      <c r="M1473">
        <v>3.075342E-2</v>
      </c>
      <c r="N1473">
        <v>2.7597259999999998E-2</v>
      </c>
    </row>
    <row r="1474" spans="1:14" hidden="1" x14ac:dyDescent="0.35">
      <c r="A1474" t="s">
        <v>696</v>
      </c>
      <c r="B1474" t="s">
        <v>34</v>
      </c>
      <c r="C1474" t="s">
        <v>33</v>
      </c>
      <c r="D1474" t="s">
        <v>33</v>
      </c>
      <c r="E1474" t="s">
        <v>703</v>
      </c>
      <c r="F1474" t="s">
        <v>26</v>
      </c>
      <c r="G1474" t="s">
        <v>26</v>
      </c>
      <c r="H1474">
        <v>0.21873970000000001</v>
      </c>
      <c r="I1474">
        <v>0.1957468</v>
      </c>
      <c r="J1474">
        <v>0.1736153</v>
      </c>
      <c r="K1474">
        <v>0.15577150000000001</v>
      </c>
      <c r="L1474">
        <v>0.14015230000000001</v>
      </c>
      <c r="M1474">
        <v>0.12646189999999999</v>
      </c>
      <c r="N1474">
        <v>0.11348660000000001</v>
      </c>
    </row>
    <row r="1475" spans="1:14" hidden="1" x14ac:dyDescent="0.35">
      <c r="A1475" t="s">
        <v>696</v>
      </c>
      <c r="B1475" t="s">
        <v>34</v>
      </c>
      <c r="C1475" t="s">
        <v>33</v>
      </c>
      <c r="D1475" t="s">
        <v>33</v>
      </c>
      <c r="E1475" t="s">
        <v>683</v>
      </c>
      <c r="F1475" t="s">
        <v>581</v>
      </c>
      <c r="G1475" t="s">
        <v>396</v>
      </c>
      <c r="H1475">
        <v>0.1225343</v>
      </c>
      <c r="I1475">
        <v>0.114131</v>
      </c>
      <c r="J1475">
        <v>8.2277810000000007E-2</v>
      </c>
      <c r="K1475">
        <v>6.5128759999999994E-2</v>
      </c>
      <c r="L1475">
        <v>6.4727129999999994E-2</v>
      </c>
      <c r="M1475">
        <v>5.8149590000000001E-2</v>
      </c>
      <c r="N1475">
        <v>4.7191230000000001E-2</v>
      </c>
    </row>
    <row r="1476" spans="1:14" hidden="1" x14ac:dyDescent="0.35">
      <c r="A1476" t="s">
        <v>696</v>
      </c>
      <c r="B1476" t="s">
        <v>34</v>
      </c>
      <c r="C1476" t="s">
        <v>33</v>
      </c>
      <c r="D1476" t="s">
        <v>33</v>
      </c>
      <c r="E1476" t="s">
        <v>683</v>
      </c>
      <c r="F1476" t="s">
        <v>26</v>
      </c>
      <c r="G1476" t="s">
        <v>26</v>
      </c>
      <c r="H1476">
        <v>1.9320549999999999E-2</v>
      </c>
      <c r="I1476">
        <v>1.571726E-2</v>
      </c>
      <c r="J1476">
        <v>1.124548E-2</v>
      </c>
      <c r="K1476">
        <v>8.9057540000000001E-3</v>
      </c>
      <c r="L1476">
        <v>8.8515079999999993E-3</v>
      </c>
      <c r="M1476">
        <v>7.9473979999999996E-3</v>
      </c>
      <c r="N1476">
        <v>6.450959E-3</v>
      </c>
    </row>
    <row r="1477" spans="1:14" hidden="1" x14ac:dyDescent="0.35">
      <c r="A1477" t="s">
        <v>696</v>
      </c>
      <c r="B1477" t="s">
        <v>34</v>
      </c>
      <c r="C1477" t="s">
        <v>33</v>
      </c>
      <c r="D1477" t="s">
        <v>33</v>
      </c>
      <c r="E1477" t="s">
        <v>704</v>
      </c>
      <c r="F1477" t="s">
        <v>581</v>
      </c>
      <c r="G1477" t="s">
        <v>396</v>
      </c>
      <c r="H1477">
        <v>1.9835620000000002E-2</v>
      </c>
      <c r="I1477">
        <v>1.7898629999999999E-2</v>
      </c>
      <c r="J1477">
        <v>1.6063020000000001E-2</v>
      </c>
      <c r="K1477">
        <v>1.44548E-2</v>
      </c>
      <c r="L1477">
        <v>1.301096E-2</v>
      </c>
      <c r="M1477">
        <v>1.173972E-2</v>
      </c>
      <c r="N1477">
        <v>1.053425E-2</v>
      </c>
    </row>
    <row r="1478" spans="1:14" hidden="1" x14ac:dyDescent="0.35">
      <c r="A1478" t="s">
        <v>696</v>
      </c>
      <c r="B1478" t="s">
        <v>34</v>
      </c>
      <c r="C1478" t="s">
        <v>33</v>
      </c>
      <c r="D1478" t="s">
        <v>33</v>
      </c>
      <c r="E1478" t="s">
        <v>704</v>
      </c>
      <c r="F1478" t="s">
        <v>581</v>
      </c>
      <c r="G1478" t="s">
        <v>25</v>
      </c>
      <c r="H1478">
        <v>2.164383E-4</v>
      </c>
      <c r="I1478">
        <v>1.9452050000000001E-4</v>
      </c>
      <c r="J1478">
        <v>1.7260269999999999E-4</v>
      </c>
      <c r="K1478">
        <v>1.5616440000000001E-4</v>
      </c>
      <c r="L1478">
        <v>1.4246570000000001E-4</v>
      </c>
      <c r="M1478">
        <v>1.2876709999999999E-4</v>
      </c>
      <c r="N1478">
        <v>1.123288E-4</v>
      </c>
    </row>
    <row r="1479" spans="1:14" hidden="1" x14ac:dyDescent="0.35">
      <c r="A1479" t="s">
        <v>696</v>
      </c>
      <c r="B1479" t="s">
        <v>34</v>
      </c>
      <c r="C1479" t="s">
        <v>33</v>
      </c>
      <c r="D1479" t="s">
        <v>33</v>
      </c>
      <c r="E1479" t="s">
        <v>704</v>
      </c>
      <c r="F1479" t="s">
        <v>26</v>
      </c>
      <c r="G1479" t="s">
        <v>26</v>
      </c>
      <c r="H1479">
        <v>2.136986E-4</v>
      </c>
      <c r="I1479">
        <v>1.9452059999999999E-4</v>
      </c>
      <c r="J1479">
        <v>1.753425E-4</v>
      </c>
      <c r="K1479">
        <v>1.5616440000000001E-4</v>
      </c>
      <c r="L1479">
        <v>1.3972600000000001E-4</v>
      </c>
      <c r="M1479">
        <v>1.2602739999999999E-4</v>
      </c>
      <c r="N1479">
        <v>1.150685E-4</v>
      </c>
    </row>
    <row r="1480" spans="1:14" hidden="1" x14ac:dyDescent="0.35">
      <c r="A1480" t="s">
        <v>696</v>
      </c>
      <c r="B1480" t="s">
        <v>37</v>
      </c>
      <c r="C1480" t="s">
        <v>51</v>
      </c>
      <c r="D1480" t="s">
        <v>51</v>
      </c>
      <c r="E1480" t="s">
        <v>602</v>
      </c>
      <c r="F1480" t="s">
        <v>581</v>
      </c>
      <c r="G1480" t="s">
        <v>396</v>
      </c>
      <c r="H1480">
        <v>11.02685</v>
      </c>
      <c r="I1480">
        <v>10.81255</v>
      </c>
      <c r="J1480">
        <v>11.14349</v>
      </c>
      <c r="K1480">
        <v>8.9231099999999994</v>
      </c>
      <c r="L1480">
        <v>6.6440640000000002</v>
      </c>
      <c r="M1480">
        <v>5.1909099999999997</v>
      </c>
      <c r="N1480">
        <v>4.2422079999999998</v>
      </c>
    </row>
    <row r="1481" spans="1:14" hidden="1" x14ac:dyDescent="0.35">
      <c r="A1481" t="s">
        <v>696</v>
      </c>
      <c r="B1481" t="s">
        <v>37</v>
      </c>
      <c r="C1481" t="s">
        <v>51</v>
      </c>
      <c r="D1481" t="s">
        <v>51</v>
      </c>
      <c r="E1481" t="s">
        <v>602</v>
      </c>
      <c r="F1481" t="s">
        <v>581</v>
      </c>
      <c r="G1481" t="s">
        <v>25</v>
      </c>
      <c r="H1481">
        <v>3.090274</v>
      </c>
      <c r="I1481">
        <v>2.914326</v>
      </c>
      <c r="J1481">
        <v>2.9994519999999998</v>
      </c>
      <c r="K1481">
        <v>2.4018060000000001</v>
      </c>
      <c r="L1481">
        <v>1.788357</v>
      </c>
      <c r="M1481">
        <v>1.3972169999999999</v>
      </c>
      <c r="N1481">
        <v>1.1418600000000001</v>
      </c>
    </row>
    <row r="1482" spans="1:14" hidden="1" x14ac:dyDescent="0.35">
      <c r="A1482" t="s">
        <v>696</v>
      </c>
      <c r="B1482" t="s">
        <v>37</v>
      </c>
      <c r="C1482" t="s">
        <v>51</v>
      </c>
      <c r="D1482" t="s">
        <v>51</v>
      </c>
      <c r="E1482" t="s">
        <v>602</v>
      </c>
      <c r="F1482" t="s">
        <v>26</v>
      </c>
      <c r="G1482" t="s">
        <v>26</v>
      </c>
      <c r="H1482">
        <v>1.4438359999999999</v>
      </c>
      <c r="I1482">
        <v>0.92031339999999995</v>
      </c>
      <c r="J1482">
        <v>0.94719880000000001</v>
      </c>
      <c r="K1482">
        <v>0.75846469999999999</v>
      </c>
      <c r="L1482">
        <v>0.56474690000000005</v>
      </c>
      <c r="M1482">
        <v>0.44122630000000002</v>
      </c>
      <c r="N1482">
        <v>0.36059010000000002</v>
      </c>
    </row>
    <row r="1483" spans="1:14" hidden="1" x14ac:dyDescent="0.35">
      <c r="A1483" t="s">
        <v>696</v>
      </c>
      <c r="B1483" t="s">
        <v>37</v>
      </c>
      <c r="C1483" t="s">
        <v>51</v>
      </c>
      <c r="D1483" t="s">
        <v>51</v>
      </c>
      <c r="E1483" t="s">
        <v>705</v>
      </c>
      <c r="F1483" t="s">
        <v>581</v>
      </c>
      <c r="G1483" t="s">
        <v>396</v>
      </c>
      <c r="H1483">
        <v>0.59835609999999995</v>
      </c>
      <c r="I1483">
        <v>0.52795890000000001</v>
      </c>
      <c r="J1483">
        <v>0.46877540000000001</v>
      </c>
      <c r="K1483">
        <v>0.42009859999999999</v>
      </c>
      <c r="L1483">
        <v>0.37761650000000002</v>
      </c>
      <c r="M1483">
        <v>0.34071240000000003</v>
      </c>
      <c r="N1483">
        <v>0.30575340000000001</v>
      </c>
    </row>
    <row r="1484" spans="1:14" hidden="1" x14ac:dyDescent="0.35">
      <c r="A1484" t="s">
        <v>706</v>
      </c>
      <c r="B1484" t="s">
        <v>37</v>
      </c>
      <c r="C1484" t="s">
        <v>85</v>
      </c>
      <c r="D1484" t="s">
        <v>85</v>
      </c>
      <c r="E1484" t="s">
        <v>584</v>
      </c>
      <c r="F1484" t="s">
        <v>581</v>
      </c>
      <c r="G1484" t="s">
        <v>396</v>
      </c>
      <c r="H1484">
        <v>49.525480000000002</v>
      </c>
      <c r="I1484">
        <v>39.609859999999998</v>
      </c>
      <c r="J1484">
        <v>32.958350000000003</v>
      </c>
      <c r="K1484">
        <v>28.213149999999999</v>
      </c>
      <c r="L1484">
        <v>24.630210000000002</v>
      </c>
      <c r="M1484">
        <v>21.593910000000001</v>
      </c>
      <c r="N1484">
        <v>19.318999999999999</v>
      </c>
    </row>
    <row r="1485" spans="1:14" hidden="1" x14ac:dyDescent="0.35">
      <c r="A1485" t="s">
        <v>706</v>
      </c>
      <c r="B1485" t="s">
        <v>37</v>
      </c>
      <c r="C1485" t="s">
        <v>85</v>
      </c>
      <c r="D1485" t="s">
        <v>85</v>
      </c>
      <c r="E1485" t="s">
        <v>584</v>
      </c>
      <c r="F1485" t="s">
        <v>581</v>
      </c>
      <c r="G1485" t="s">
        <v>24</v>
      </c>
      <c r="H1485">
        <v>0.81315059999999995</v>
      </c>
      <c r="I1485">
        <v>0.79342469999999998</v>
      </c>
      <c r="J1485">
        <v>0.77759509999999998</v>
      </c>
      <c r="K1485">
        <v>0.75599459999999996</v>
      </c>
      <c r="L1485">
        <v>0.72608879999999998</v>
      </c>
      <c r="M1485">
        <v>0.68170410000000004</v>
      </c>
      <c r="N1485">
        <v>0.64276049999999996</v>
      </c>
    </row>
    <row r="1486" spans="1:14" hidden="1" x14ac:dyDescent="0.35">
      <c r="A1486" t="s">
        <v>706</v>
      </c>
      <c r="B1486" t="s">
        <v>37</v>
      </c>
      <c r="C1486" t="s">
        <v>85</v>
      </c>
      <c r="D1486" t="s">
        <v>85</v>
      </c>
      <c r="E1486" t="s">
        <v>584</v>
      </c>
      <c r="F1486" t="s">
        <v>581</v>
      </c>
      <c r="G1486" t="s">
        <v>25</v>
      </c>
      <c r="H1486">
        <v>14.76904</v>
      </c>
      <c r="I1486">
        <v>13.693149999999999</v>
      </c>
      <c r="J1486">
        <v>9.1787910000000004</v>
      </c>
      <c r="K1486">
        <v>6.1527289999999999</v>
      </c>
      <c r="L1486">
        <v>4.124301</v>
      </c>
      <c r="M1486">
        <v>2.7646000000000002</v>
      </c>
      <c r="N1486">
        <v>1.853167</v>
      </c>
    </row>
    <row r="1487" spans="1:14" hidden="1" x14ac:dyDescent="0.35">
      <c r="A1487" t="s">
        <v>706</v>
      </c>
      <c r="B1487" t="s">
        <v>37</v>
      </c>
      <c r="C1487" t="s">
        <v>85</v>
      </c>
      <c r="D1487" t="s">
        <v>85</v>
      </c>
      <c r="E1487" t="s">
        <v>584</v>
      </c>
      <c r="F1487" t="s">
        <v>26</v>
      </c>
      <c r="G1487" t="s">
        <v>26</v>
      </c>
      <c r="H1487">
        <v>26.806439999999998</v>
      </c>
      <c r="I1487">
        <v>30.883179999999999</v>
      </c>
      <c r="J1487">
        <v>20.701619999999998</v>
      </c>
      <c r="K1487">
        <v>13.876709999999999</v>
      </c>
      <c r="L1487">
        <v>9.3018319999999992</v>
      </c>
      <c r="M1487">
        <v>6.2352059999999998</v>
      </c>
      <c r="N1487">
        <v>4.1795840000000002</v>
      </c>
    </row>
    <row r="1488" spans="1:14" hidden="1" x14ac:dyDescent="0.35">
      <c r="A1488" t="s">
        <v>706</v>
      </c>
      <c r="B1488" t="s">
        <v>37</v>
      </c>
      <c r="C1488" t="s">
        <v>85</v>
      </c>
      <c r="D1488" t="s">
        <v>85</v>
      </c>
      <c r="E1488" t="s">
        <v>707</v>
      </c>
      <c r="F1488" t="s">
        <v>581</v>
      </c>
      <c r="G1488" t="s">
        <v>396</v>
      </c>
      <c r="H1488">
        <v>1.659178</v>
      </c>
      <c r="I1488">
        <v>1.0448299999999999</v>
      </c>
      <c r="J1488">
        <v>0.91831989999999997</v>
      </c>
      <c r="K1488">
        <v>0.82811020000000002</v>
      </c>
      <c r="L1488">
        <v>0.75190630000000003</v>
      </c>
      <c r="M1488">
        <v>0.6777704</v>
      </c>
      <c r="N1488">
        <v>0.60260550000000002</v>
      </c>
    </row>
    <row r="1489" spans="1:14" hidden="1" x14ac:dyDescent="0.35">
      <c r="A1489" t="s">
        <v>706</v>
      </c>
      <c r="B1489" t="s">
        <v>37</v>
      </c>
      <c r="C1489" t="s">
        <v>85</v>
      </c>
      <c r="D1489" t="s">
        <v>85</v>
      </c>
      <c r="E1489" t="s">
        <v>707</v>
      </c>
      <c r="F1489" t="s">
        <v>581</v>
      </c>
      <c r="G1489" t="s">
        <v>25</v>
      </c>
      <c r="H1489">
        <v>0.2305479</v>
      </c>
      <c r="I1489">
        <v>0.1151205</v>
      </c>
      <c r="J1489">
        <v>0.1011425</v>
      </c>
      <c r="K1489">
        <v>9.1204380000000002E-2</v>
      </c>
      <c r="L1489">
        <v>8.2809869999999994E-2</v>
      </c>
      <c r="M1489">
        <v>7.4648220000000001E-2</v>
      </c>
      <c r="N1489">
        <v>6.6368769999999994E-2</v>
      </c>
    </row>
    <row r="1490" spans="1:14" hidden="1" x14ac:dyDescent="0.35">
      <c r="A1490" t="s">
        <v>706</v>
      </c>
      <c r="B1490" t="s">
        <v>37</v>
      </c>
      <c r="C1490" t="s">
        <v>85</v>
      </c>
      <c r="D1490" t="s">
        <v>85</v>
      </c>
      <c r="E1490" t="s">
        <v>707</v>
      </c>
      <c r="F1490" t="s">
        <v>26</v>
      </c>
      <c r="G1490" t="s">
        <v>26</v>
      </c>
      <c r="H1490">
        <v>0.19328770000000001</v>
      </c>
      <c r="I1490">
        <v>0.128663</v>
      </c>
      <c r="J1490">
        <v>0.11304110000000001</v>
      </c>
      <c r="K1490">
        <v>0.1019359</v>
      </c>
      <c r="L1490">
        <v>9.2555600000000002E-2</v>
      </c>
      <c r="M1490">
        <v>8.3430690000000002E-2</v>
      </c>
      <c r="N1490">
        <v>7.4177530000000005E-2</v>
      </c>
    </row>
    <row r="1491" spans="1:14" hidden="1" x14ac:dyDescent="0.35">
      <c r="A1491" t="s">
        <v>706</v>
      </c>
      <c r="B1491" t="s">
        <v>37</v>
      </c>
      <c r="C1491" t="s">
        <v>273</v>
      </c>
      <c r="D1491" t="s">
        <v>273</v>
      </c>
      <c r="E1491" t="s">
        <v>584</v>
      </c>
      <c r="F1491" t="s">
        <v>581</v>
      </c>
      <c r="G1491" t="s">
        <v>396</v>
      </c>
      <c r="H1491">
        <v>24.457830000000001</v>
      </c>
      <c r="I1491">
        <v>31.760549999999999</v>
      </c>
      <c r="J1491">
        <v>31.008690000000001</v>
      </c>
      <c r="K1491">
        <v>27.057539999999999</v>
      </c>
      <c r="L1491">
        <v>25.87687</v>
      </c>
      <c r="M1491">
        <v>24.188330000000001</v>
      </c>
      <c r="N1491">
        <v>5.1951029999999996</v>
      </c>
    </row>
    <row r="1492" spans="1:14" hidden="1" x14ac:dyDescent="0.35">
      <c r="A1492" t="s">
        <v>706</v>
      </c>
      <c r="B1492" t="s">
        <v>37</v>
      </c>
      <c r="C1492" t="s">
        <v>273</v>
      </c>
      <c r="D1492" t="s">
        <v>273</v>
      </c>
      <c r="E1492" t="s">
        <v>584</v>
      </c>
      <c r="F1492" t="s">
        <v>581</v>
      </c>
      <c r="G1492" t="s">
        <v>24</v>
      </c>
      <c r="H1492">
        <v>7.1506849999999997E-4</v>
      </c>
      <c r="I1492">
        <v>1.00274E-3</v>
      </c>
      <c r="J1492">
        <v>0</v>
      </c>
    </row>
    <row r="1493" spans="1:14" hidden="1" x14ac:dyDescent="0.35">
      <c r="A1493" t="s">
        <v>706</v>
      </c>
      <c r="B1493" t="s">
        <v>37</v>
      </c>
      <c r="C1493" t="s">
        <v>273</v>
      </c>
      <c r="D1493" t="s">
        <v>273</v>
      </c>
      <c r="E1493" t="s">
        <v>584</v>
      </c>
      <c r="F1493" t="s">
        <v>26</v>
      </c>
      <c r="G1493" t="s">
        <v>26</v>
      </c>
      <c r="H1493">
        <v>0.17017260000000001</v>
      </c>
      <c r="I1493">
        <v>0.250274</v>
      </c>
      <c r="J1493">
        <v>0.24528050000000001</v>
      </c>
      <c r="K1493">
        <v>0.23846580000000001</v>
      </c>
      <c r="L1493">
        <v>0.2290345</v>
      </c>
      <c r="M1493">
        <v>0.2150329</v>
      </c>
      <c r="N1493">
        <v>4.175616E-2</v>
      </c>
    </row>
    <row r="1494" spans="1:14" hidden="1" x14ac:dyDescent="0.35">
      <c r="A1494" t="s">
        <v>706</v>
      </c>
      <c r="B1494" t="s">
        <v>37</v>
      </c>
      <c r="C1494" t="s">
        <v>111</v>
      </c>
      <c r="D1494" t="s">
        <v>111</v>
      </c>
      <c r="E1494" t="s">
        <v>584</v>
      </c>
      <c r="F1494" t="s">
        <v>581</v>
      </c>
      <c r="G1494" t="s">
        <v>396</v>
      </c>
      <c r="H1494">
        <v>4</v>
      </c>
      <c r="I1494">
        <v>3.8465750000000001</v>
      </c>
      <c r="J1494">
        <v>3.7218339999999999</v>
      </c>
      <c r="K1494">
        <v>3.571504</v>
      </c>
      <c r="L1494">
        <v>3.3839630000000001</v>
      </c>
      <c r="M1494">
        <v>3.132749</v>
      </c>
      <c r="N1494">
        <v>2.9111570000000002</v>
      </c>
    </row>
    <row r="1495" spans="1:14" hidden="1" x14ac:dyDescent="0.35">
      <c r="A1495" t="s">
        <v>706</v>
      </c>
      <c r="B1495" t="s">
        <v>37</v>
      </c>
      <c r="C1495" t="s">
        <v>111</v>
      </c>
      <c r="D1495" t="s">
        <v>111</v>
      </c>
      <c r="E1495" t="s">
        <v>584</v>
      </c>
      <c r="F1495" t="s">
        <v>581</v>
      </c>
      <c r="G1495" t="s">
        <v>25</v>
      </c>
      <c r="H1495">
        <v>0</v>
      </c>
    </row>
    <row r="1496" spans="1:14" hidden="1" x14ac:dyDescent="0.35">
      <c r="A1496" t="s">
        <v>706</v>
      </c>
      <c r="B1496" t="s">
        <v>37</v>
      </c>
      <c r="C1496" t="s">
        <v>111</v>
      </c>
      <c r="D1496" t="s">
        <v>111</v>
      </c>
      <c r="E1496" t="s">
        <v>584</v>
      </c>
      <c r="F1496" t="s">
        <v>26</v>
      </c>
      <c r="G1496" t="s">
        <v>26</v>
      </c>
      <c r="H1496">
        <v>0.83369870000000001</v>
      </c>
      <c r="I1496">
        <v>0.87538360000000004</v>
      </c>
      <c r="J1496">
        <v>0.76812329999999995</v>
      </c>
      <c r="K1496">
        <v>0.6672302</v>
      </c>
      <c r="L1496">
        <v>0.56998959999999999</v>
      </c>
      <c r="M1496">
        <v>0.47402080000000002</v>
      </c>
      <c r="N1496">
        <v>0.39426139999999998</v>
      </c>
    </row>
    <row r="1497" spans="1:14" hidden="1" x14ac:dyDescent="0.35">
      <c r="A1497" t="s">
        <v>706</v>
      </c>
      <c r="B1497" t="s">
        <v>37</v>
      </c>
      <c r="C1497" t="s">
        <v>252</v>
      </c>
      <c r="D1497" t="s">
        <v>252</v>
      </c>
      <c r="E1497" t="s">
        <v>584</v>
      </c>
      <c r="F1497" t="s">
        <v>581</v>
      </c>
      <c r="G1497" t="s">
        <v>396</v>
      </c>
      <c r="H1497">
        <v>1.469315E-2</v>
      </c>
      <c r="I1497">
        <v>9.8493150000000008E-3</v>
      </c>
      <c r="J1497">
        <v>0</v>
      </c>
      <c r="K1497">
        <v>0</v>
      </c>
      <c r="L1497">
        <v>0</v>
      </c>
      <c r="M1497">
        <v>0</v>
      </c>
      <c r="N1497">
        <v>0</v>
      </c>
    </row>
    <row r="1498" spans="1:14" hidden="1" x14ac:dyDescent="0.35">
      <c r="A1498" t="s">
        <v>706</v>
      </c>
      <c r="B1498" t="s">
        <v>37</v>
      </c>
      <c r="C1498" t="s">
        <v>252</v>
      </c>
      <c r="D1498" t="s">
        <v>252</v>
      </c>
      <c r="E1498" t="s">
        <v>584</v>
      </c>
      <c r="F1498" t="s">
        <v>26</v>
      </c>
      <c r="G1498" t="s">
        <v>26</v>
      </c>
      <c r="H1498">
        <v>3.225066</v>
      </c>
      <c r="I1498">
        <v>2.1618249999999999</v>
      </c>
      <c r="J1498">
        <v>0</v>
      </c>
      <c r="K1498">
        <v>0</v>
      </c>
      <c r="L1498">
        <v>0</v>
      </c>
      <c r="M1498">
        <v>0</v>
      </c>
      <c r="N1498">
        <v>0</v>
      </c>
    </row>
    <row r="1499" spans="1:14" hidden="1" x14ac:dyDescent="0.35">
      <c r="A1499" t="s">
        <v>708</v>
      </c>
      <c r="B1499" t="s">
        <v>37</v>
      </c>
      <c r="C1499" t="s">
        <v>35</v>
      </c>
      <c r="D1499" t="s">
        <v>267</v>
      </c>
      <c r="E1499" t="s">
        <v>588</v>
      </c>
      <c r="F1499" t="s">
        <v>581</v>
      </c>
      <c r="G1499" t="s">
        <v>396</v>
      </c>
      <c r="H1499">
        <v>49.838909999999998</v>
      </c>
      <c r="I1499">
        <v>41.323819999999998</v>
      </c>
      <c r="J1499">
        <v>43.667560000000002</v>
      </c>
      <c r="K1499">
        <v>30.49821</v>
      </c>
      <c r="L1499">
        <v>25.529229999999998</v>
      </c>
      <c r="M1499">
        <v>19.44237</v>
      </c>
      <c r="N1499">
        <v>14.814450000000001</v>
      </c>
    </row>
    <row r="1500" spans="1:14" hidden="1" x14ac:dyDescent="0.35">
      <c r="A1500" t="s">
        <v>708</v>
      </c>
      <c r="B1500" t="s">
        <v>37</v>
      </c>
      <c r="C1500" t="s">
        <v>35</v>
      </c>
      <c r="D1500" t="s">
        <v>267</v>
      </c>
      <c r="E1500" t="s">
        <v>588</v>
      </c>
      <c r="F1500" t="s">
        <v>26</v>
      </c>
      <c r="G1500" t="s">
        <v>26</v>
      </c>
      <c r="H1500">
        <v>12.48452</v>
      </c>
      <c r="I1500">
        <v>8.3655639999999991</v>
      </c>
      <c r="J1500">
        <v>8.8374839999999999</v>
      </c>
      <c r="K1500">
        <v>6.172256</v>
      </c>
      <c r="L1500">
        <v>5.1666299999999996</v>
      </c>
      <c r="M1500">
        <v>3.9347650000000001</v>
      </c>
      <c r="N1500">
        <v>2.9981650000000002</v>
      </c>
    </row>
    <row r="1501" spans="1:14" hidden="1" x14ac:dyDescent="0.35">
      <c r="A1501" t="s">
        <v>708</v>
      </c>
      <c r="B1501" t="s">
        <v>37</v>
      </c>
      <c r="C1501" t="s">
        <v>35</v>
      </c>
      <c r="D1501" t="s">
        <v>267</v>
      </c>
      <c r="E1501" t="s">
        <v>587</v>
      </c>
      <c r="F1501" t="s">
        <v>581</v>
      </c>
      <c r="G1501" t="s">
        <v>396</v>
      </c>
      <c r="H1501">
        <v>0.5808219</v>
      </c>
      <c r="I1501">
        <v>0.54494299999999996</v>
      </c>
      <c r="J1501">
        <v>0.48851620000000001</v>
      </c>
      <c r="K1501">
        <v>0.45237040000000001</v>
      </c>
      <c r="L1501">
        <v>0.40569149999999998</v>
      </c>
      <c r="M1501">
        <v>0.34574139999999998</v>
      </c>
      <c r="N1501">
        <v>0.29968440000000002</v>
      </c>
    </row>
    <row r="1502" spans="1:14" hidden="1" x14ac:dyDescent="0.35">
      <c r="A1502" t="s">
        <v>708</v>
      </c>
      <c r="B1502" t="s">
        <v>37</v>
      </c>
      <c r="C1502" t="s">
        <v>35</v>
      </c>
      <c r="D1502" t="s">
        <v>267</v>
      </c>
      <c r="E1502" t="s">
        <v>587</v>
      </c>
      <c r="F1502" t="s">
        <v>581</v>
      </c>
      <c r="G1502" t="s">
        <v>25</v>
      </c>
      <c r="H1502">
        <v>0</v>
      </c>
      <c r="I1502">
        <v>0.20077429999999999</v>
      </c>
      <c r="J1502">
        <v>0.17998030000000001</v>
      </c>
      <c r="K1502">
        <v>0.16666249999999999</v>
      </c>
      <c r="L1502">
        <v>0.14946580000000001</v>
      </c>
      <c r="M1502">
        <v>0.1273764</v>
      </c>
      <c r="N1502">
        <v>0.1104088</v>
      </c>
    </row>
    <row r="1503" spans="1:14" hidden="1" x14ac:dyDescent="0.35">
      <c r="A1503" t="s">
        <v>708</v>
      </c>
      <c r="B1503" t="s">
        <v>37</v>
      </c>
      <c r="C1503" t="s">
        <v>35</v>
      </c>
      <c r="D1503" t="s">
        <v>267</v>
      </c>
      <c r="E1503" t="s">
        <v>587</v>
      </c>
      <c r="F1503" t="s">
        <v>26</v>
      </c>
      <c r="G1503" t="s">
        <v>26</v>
      </c>
      <c r="H1503">
        <v>0.27616439999999998</v>
      </c>
      <c r="I1503">
        <v>0.2103293</v>
      </c>
      <c r="J1503">
        <v>0.18855179999999999</v>
      </c>
      <c r="K1503">
        <v>0.1746017</v>
      </c>
      <c r="L1503">
        <v>0.156583</v>
      </c>
      <c r="M1503">
        <v>0.1334466</v>
      </c>
      <c r="N1503">
        <v>0.1156669</v>
      </c>
    </row>
    <row r="1504" spans="1:14" hidden="1" x14ac:dyDescent="0.35">
      <c r="A1504" t="s">
        <v>708</v>
      </c>
      <c r="B1504" t="s">
        <v>37</v>
      </c>
      <c r="C1504" t="s">
        <v>35</v>
      </c>
      <c r="D1504" t="s">
        <v>36</v>
      </c>
      <c r="E1504" t="s">
        <v>589</v>
      </c>
      <c r="F1504" t="s">
        <v>581</v>
      </c>
      <c r="G1504" t="s">
        <v>396</v>
      </c>
      <c r="H1504">
        <v>5.3654789999999997</v>
      </c>
      <c r="I1504">
        <v>4.4226929999999998</v>
      </c>
      <c r="J1504">
        <v>4.7524389999999999</v>
      </c>
      <c r="K1504">
        <v>4.7181059999999997</v>
      </c>
      <c r="L1504">
        <v>3.8220999999999998</v>
      </c>
      <c r="M1504">
        <v>2.8079239999999999</v>
      </c>
      <c r="N1504">
        <v>2.2321200000000001</v>
      </c>
    </row>
    <row r="1505" spans="1:14" hidden="1" x14ac:dyDescent="0.35">
      <c r="A1505" t="s">
        <v>708</v>
      </c>
      <c r="B1505" t="s">
        <v>37</v>
      </c>
      <c r="C1505" t="s">
        <v>35</v>
      </c>
      <c r="D1505" t="s">
        <v>36</v>
      </c>
      <c r="E1505" t="s">
        <v>589</v>
      </c>
      <c r="F1505" t="s">
        <v>26</v>
      </c>
      <c r="G1505" t="s">
        <v>26</v>
      </c>
      <c r="H1505">
        <v>2.713425</v>
      </c>
      <c r="I1505">
        <v>1.8064499999999999</v>
      </c>
      <c r="J1505">
        <v>1.941136</v>
      </c>
      <c r="K1505">
        <v>1.9271130000000001</v>
      </c>
      <c r="L1505">
        <v>1.5611390000000001</v>
      </c>
      <c r="M1505">
        <v>1.146898</v>
      </c>
      <c r="N1505">
        <v>0.91170790000000002</v>
      </c>
    </row>
    <row r="1506" spans="1:14" hidden="1" x14ac:dyDescent="0.35">
      <c r="A1506" t="s">
        <v>708</v>
      </c>
      <c r="B1506" t="s">
        <v>37</v>
      </c>
      <c r="C1506" t="s">
        <v>35</v>
      </c>
      <c r="D1506" t="s">
        <v>38</v>
      </c>
      <c r="E1506" t="s">
        <v>584</v>
      </c>
      <c r="F1506" t="s">
        <v>581</v>
      </c>
      <c r="G1506" t="s">
        <v>396</v>
      </c>
      <c r="H1506">
        <v>0.37917800000000002</v>
      </c>
      <c r="I1506">
        <v>0.34107399999999999</v>
      </c>
      <c r="J1506">
        <v>0.3059288</v>
      </c>
      <c r="K1506">
        <v>0.27533150000000001</v>
      </c>
      <c r="L1506">
        <v>0.2477945</v>
      </c>
      <c r="M1506">
        <v>0.22359180000000001</v>
      </c>
      <c r="N1506">
        <v>0.2006493</v>
      </c>
    </row>
    <row r="1507" spans="1:14" hidden="1" x14ac:dyDescent="0.35">
      <c r="A1507" t="s">
        <v>708</v>
      </c>
      <c r="B1507" t="s">
        <v>37</v>
      </c>
      <c r="C1507" t="s">
        <v>35</v>
      </c>
      <c r="D1507" t="s">
        <v>38</v>
      </c>
      <c r="E1507" t="s">
        <v>584</v>
      </c>
      <c r="F1507" t="s">
        <v>26</v>
      </c>
      <c r="G1507" t="s">
        <v>26</v>
      </c>
      <c r="H1507">
        <v>0.23520550000000001</v>
      </c>
      <c r="I1507">
        <v>0.17053699999999999</v>
      </c>
      <c r="J1507">
        <v>0.1529644</v>
      </c>
      <c r="K1507">
        <v>0.1376658</v>
      </c>
      <c r="L1507">
        <v>0.1238986</v>
      </c>
      <c r="M1507">
        <v>0.1117945</v>
      </c>
      <c r="N1507">
        <v>0.100326</v>
      </c>
    </row>
    <row r="1508" spans="1:14" hidden="1" x14ac:dyDescent="0.35">
      <c r="A1508" t="s">
        <v>708</v>
      </c>
      <c r="B1508" t="s">
        <v>37</v>
      </c>
      <c r="C1508" t="s">
        <v>79</v>
      </c>
      <c r="D1508" t="s">
        <v>79</v>
      </c>
      <c r="E1508" t="s">
        <v>617</v>
      </c>
      <c r="F1508" t="s">
        <v>581</v>
      </c>
      <c r="G1508" t="s">
        <v>396</v>
      </c>
      <c r="H1508">
        <v>3.560959</v>
      </c>
      <c r="I1508">
        <v>2.5583360000000002</v>
      </c>
      <c r="J1508">
        <v>2.1639719999999998</v>
      </c>
      <c r="K1508">
        <v>1.893454</v>
      </c>
      <c r="L1508">
        <v>1.706917</v>
      </c>
      <c r="M1508">
        <v>1.4281509999999999</v>
      </c>
      <c r="N1508">
        <v>1.237242</v>
      </c>
    </row>
    <row r="1509" spans="1:14" hidden="1" x14ac:dyDescent="0.35">
      <c r="A1509" t="s">
        <v>708</v>
      </c>
      <c r="B1509" t="s">
        <v>37</v>
      </c>
      <c r="C1509" t="s">
        <v>79</v>
      </c>
      <c r="D1509" t="s">
        <v>79</v>
      </c>
      <c r="E1509" t="s">
        <v>617</v>
      </c>
      <c r="F1509" t="s">
        <v>581</v>
      </c>
      <c r="G1509" t="s">
        <v>25</v>
      </c>
      <c r="H1509">
        <v>22.191780000000001</v>
      </c>
      <c r="I1509">
        <v>15.350289999999999</v>
      </c>
      <c r="J1509">
        <v>12.983829999999999</v>
      </c>
      <c r="K1509">
        <v>11.360709999999999</v>
      </c>
      <c r="L1509">
        <v>10.241479999999999</v>
      </c>
      <c r="M1509">
        <v>8.5689109999999999</v>
      </c>
      <c r="N1509">
        <v>7.4234600000000004</v>
      </c>
    </row>
    <row r="1510" spans="1:14" hidden="1" x14ac:dyDescent="0.35">
      <c r="A1510" t="s">
        <v>708</v>
      </c>
      <c r="B1510" t="s">
        <v>37</v>
      </c>
      <c r="C1510" t="s">
        <v>79</v>
      </c>
      <c r="D1510" t="s">
        <v>79</v>
      </c>
      <c r="E1510" t="s">
        <v>617</v>
      </c>
      <c r="F1510" t="s">
        <v>26</v>
      </c>
      <c r="G1510" t="s">
        <v>26</v>
      </c>
      <c r="H1510">
        <v>34.430140000000002</v>
      </c>
      <c r="I1510">
        <v>24.731020000000001</v>
      </c>
      <c r="J1510">
        <v>20.918379999999999</v>
      </c>
      <c r="K1510">
        <v>18.303370000000001</v>
      </c>
      <c r="L1510">
        <v>16.500160000000001</v>
      </c>
      <c r="M1510">
        <v>13.80547</v>
      </c>
      <c r="N1510">
        <v>11.96002</v>
      </c>
    </row>
    <row r="1511" spans="1:14" hidden="1" x14ac:dyDescent="0.35">
      <c r="A1511" t="s">
        <v>708</v>
      </c>
      <c r="B1511" t="s">
        <v>37</v>
      </c>
      <c r="C1511" t="s">
        <v>61</v>
      </c>
      <c r="D1511" t="s">
        <v>62</v>
      </c>
      <c r="E1511" t="s">
        <v>584</v>
      </c>
      <c r="F1511" t="s">
        <v>581</v>
      </c>
      <c r="G1511" t="s">
        <v>396</v>
      </c>
      <c r="H1511">
        <v>0.11970740000000001</v>
      </c>
      <c r="I1511">
        <v>8.9236850000000006E-2</v>
      </c>
      <c r="J1511">
        <v>6.6521919999999998E-2</v>
      </c>
      <c r="K1511">
        <v>4.9589179999999997E-2</v>
      </c>
      <c r="L1511">
        <v>3.6966579999999999E-2</v>
      </c>
      <c r="M1511">
        <v>0</v>
      </c>
      <c r="N1511">
        <v>0</v>
      </c>
    </row>
    <row r="1512" spans="1:14" hidden="1" x14ac:dyDescent="0.35">
      <c r="A1512" t="s">
        <v>708</v>
      </c>
      <c r="B1512" t="s">
        <v>37</v>
      </c>
      <c r="C1512" t="s">
        <v>61</v>
      </c>
      <c r="D1512" t="s">
        <v>62</v>
      </c>
      <c r="E1512" t="s">
        <v>584</v>
      </c>
      <c r="F1512" t="s">
        <v>581</v>
      </c>
      <c r="G1512" t="s">
        <v>25</v>
      </c>
      <c r="H1512">
        <v>3.3875340000000002E-3</v>
      </c>
      <c r="I1512">
        <v>2.8684930000000002E-3</v>
      </c>
      <c r="J1512">
        <v>2.4291780000000002E-3</v>
      </c>
      <c r="K1512">
        <v>1.628219E-3</v>
      </c>
      <c r="L1512">
        <v>1.091507E-3</v>
      </c>
      <c r="M1512">
        <v>0</v>
      </c>
      <c r="N1512">
        <v>0</v>
      </c>
    </row>
    <row r="1513" spans="1:14" hidden="1" x14ac:dyDescent="0.35">
      <c r="A1513" t="s">
        <v>708</v>
      </c>
      <c r="B1513" t="s">
        <v>37</v>
      </c>
      <c r="C1513" t="s">
        <v>61</v>
      </c>
      <c r="D1513" t="s">
        <v>62</v>
      </c>
      <c r="E1513" t="s">
        <v>584</v>
      </c>
      <c r="F1513" t="s">
        <v>26</v>
      </c>
      <c r="G1513" t="s">
        <v>26</v>
      </c>
      <c r="H1513">
        <v>2.058041E-2</v>
      </c>
      <c r="I1513">
        <v>1.379384E-2</v>
      </c>
      <c r="J1513">
        <v>9.2465759999999994E-3</v>
      </c>
      <c r="K1513">
        <v>6.1980819999999997E-3</v>
      </c>
      <c r="L1513">
        <v>4.1547950000000002E-3</v>
      </c>
      <c r="M1513">
        <v>0</v>
      </c>
      <c r="N1513">
        <v>0</v>
      </c>
    </row>
    <row r="1514" spans="1:14" hidden="1" x14ac:dyDescent="0.35">
      <c r="A1514" t="s">
        <v>709</v>
      </c>
      <c r="B1514" t="s">
        <v>59</v>
      </c>
      <c r="C1514" t="s">
        <v>161</v>
      </c>
      <c r="D1514" t="s">
        <v>161</v>
      </c>
      <c r="E1514" t="s">
        <v>584</v>
      </c>
      <c r="F1514" t="s">
        <v>581</v>
      </c>
      <c r="G1514" t="s">
        <v>396</v>
      </c>
      <c r="H1514">
        <v>0.1023975</v>
      </c>
      <c r="I1514">
        <v>2.2712780000000001</v>
      </c>
      <c r="J1514">
        <v>0.34087859999999998</v>
      </c>
      <c r="K1514">
        <v>1.48188E-2</v>
      </c>
      <c r="L1514">
        <v>1.2459059999999999E-2</v>
      </c>
      <c r="M1514">
        <v>0</v>
      </c>
    </row>
    <row r="1515" spans="1:14" hidden="1" x14ac:dyDescent="0.35">
      <c r="A1515" t="s">
        <v>709</v>
      </c>
      <c r="B1515" t="s">
        <v>59</v>
      </c>
      <c r="C1515" t="s">
        <v>161</v>
      </c>
      <c r="D1515" t="s">
        <v>161</v>
      </c>
      <c r="E1515" t="s">
        <v>584</v>
      </c>
      <c r="F1515" t="s">
        <v>581</v>
      </c>
      <c r="G1515" t="s">
        <v>24</v>
      </c>
      <c r="H1515">
        <v>2.3562940000000001</v>
      </c>
      <c r="I1515">
        <v>5.3510470000000003</v>
      </c>
      <c r="J1515">
        <v>4.8320309999999997</v>
      </c>
      <c r="K1515">
        <v>5.0139750000000003</v>
      </c>
      <c r="L1515">
        <v>4.5250849999999998</v>
      </c>
      <c r="M1515">
        <v>3.8931640000000001</v>
      </c>
      <c r="N1515">
        <v>3.4385509999999999</v>
      </c>
    </row>
    <row r="1516" spans="1:14" hidden="1" x14ac:dyDescent="0.35">
      <c r="A1516" t="s">
        <v>709</v>
      </c>
      <c r="B1516" t="s">
        <v>59</v>
      </c>
      <c r="C1516" t="s">
        <v>161</v>
      </c>
      <c r="D1516" t="s">
        <v>161</v>
      </c>
      <c r="E1516" t="s">
        <v>584</v>
      </c>
      <c r="F1516" t="s">
        <v>581</v>
      </c>
      <c r="G1516" t="s">
        <v>25</v>
      </c>
      <c r="H1516">
        <v>0.40120349999999999</v>
      </c>
      <c r="I1516">
        <v>0.51997749999999998</v>
      </c>
      <c r="J1516">
        <v>0.40926469999999998</v>
      </c>
      <c r="K1516">
        <v>0.39527329999999999</v>
      </c>
      <c r="L1516">
        <v>0.33369110000000002</v>
      </c>
      <c r="M1516">
        <v>0.28904600000000003</v>
      </c>
      <c r="N1516">
        <v>0.25323329999999999</v>
      </c>
    </row>
    <row r="1517" spans="1:14" hidden="1" x14ac:dyDescent="0.35">
      <c r="A1517" t="s">
        <v>709</v>
      </c>
      <c r="B1517" t="s">
        <v>59</v>
      </c>
      <c r="C1517" t="s">
        <v>161</v>
      </c>
      <c r="D1517" t="s">
        <v>161</v>
      </c>
      <c r="E1517" t="s">
        <v>584</v>
      </c>
      <c r="F1517" t="s">
        <v>26</v>
      </c>
      <c r="G1517" t="s">
        <v>26</v>
      </c>
      <c r="H1517">
        <v>18.187249999999999</v>
      </c>
      <c r="I1517">
        <v>19.430330000000001</v>
      </c>
      <c r="J1517">
        <v>17.4329</v>
      </c>
      <c r="K1517">
        <v>17.624939999999999</v>
      </c>
      <c r="L1517">
        <v>16.651160000000001</v>
      </c>
      <c r="M1517">
        <v>14.186489999999999</v>
      </c>
      <c r="N1517">
        <v>12.89005</v>
      </c>
    </row>
    <row r="1518" spans="1:14" hidden="1" x14ac:dyDescent="0.35">
      <c r="A1518" t="s">
        <v>709</v>
      </c>
      <c r="B1518" t="s">
        <v>59</v>
      </c>
      <c r="C1518" t="s">
        <v>165</v>
      </c>
      <c r="D1518" t="s">
        <v>165</v>
      </c>
      <c r="E1518" t="s">
        <v>584</v>
      </c>
      <c r="F1518" t="s">
        <v>581</v>
      </c>
      <c r="G1518" t="s">
        <v>24</v>
      </c>
      <c r="H1518">
        <v>0.44262620000000003</v>
      </c>
      <c r="I1518">
        <v>0.48463669999999998</v>
      </c>
      <c r="J1518">
        <v>0.48757109999999998</v>
      </c>
      <c r="K1518">
        <v>0.48284929999999998</v>
      </c>
      <c r="L1518">
        <v>0.4163405</v>
      </c>
      <c r="M1518">
        <v>0.38131670000000001</v>
      </c>
      <c r="N1518">
        <v>0.30544650000000001</v>
      </c>
    </row>
    <row r="1519" spans="1:14" hidden="1" x14ac:dyDescent="0.35">
      <c r="A1519" t="s">
        <v>709</v>
      </c>
      <c r="B1519" t="s">
        <v>59</v>
      </c>
      <c r="C1519" t="s">
        <v>165</v>
      </c>
      <c r="D1519" t="s">
        <v>165</v>
      </c>
      <c r="E1519" t="s">
        <v>584</v>
      </c>
      <c r="F1519" t="s">
        <v>26</v>
      </c>
      <c r="G1519" t="s">
        <v>26</v>
      </c>
      <c r="H1519">
        <v>4.6858909999999998</v>
      </c>
      <c r="I1519">
        <v>4.298025</v>
      </c>
      <c r="J1519">
        <v>4.3280269999999996</v>
      </c>
      <c r="K1519">
        <v>4.2985369999999996</v>
      </c>
      <c r="L1519">
        <v>3.7205900000000001</v>
      </c>
      <c r="M1519">
        <v>3.4326479999999999</v>
      </c>
      <c r="N1519">
        <v>2.7135419999999999</v>
      </c>
    </row>
    <row r="1520" spans="1:14" hidden="1" x14ac:dyDescent="0.35">
      <c r="A1520" t="s">
        <v>709</v>
      </c>
      <c r="B1520" t="s">
        <v>74</v>
      </c>
      <c r="C1520" t="s">
        <v>87</v>
      </c>
      <c r="D1520" t="s">
        <v>88</v>
      </c>
      <c r="E1520" t="s">
        <v>584</v>
      </c>
      <c r="F1520" t="s">
        <v>581</v>
      </c>
      <c r="G1520" t="s">
        <v>24</v>
      </c>
      <c r="H1520">
        <v>0.80107399999999995</v>
      </c>
      <c r="I1520">
        <v>2.2339289999999998</v>
      </c>
      <c r="J1520">
        <v>2.409319</v>
      </c>
      <c r="K1520">
        <v>2.175681</v>
      </c>
      <c r="L1520">
        <v>1.7877130000000001</v>
      </c>
      <c r="M1520">
        <v>1.4725680000000001</v>
      </c>
      <c r="N1520">
        <v>1.2063390000000001</v>
      </c>
    </row>
    <row r="1521" spans="1:14" hidden="1" x14ac:dyDescent="0.35">
      <c r="A1521" t="s">
        <v>709</v>
      </c>
      <c r="B1521" t="s">
        <v>74</v>
      </c>
      <c r="C1521" t="s">
        <v>87</v>
      </c>
      <c r="D1521" t="s">
        <v>88</v>
      </c>
      <c r="E1521" t="s">
        <v>584</v>
      </c>
      <c r="F1521" t="s">
        <v>26</v>
      </c>
      <c r="G1521" t="s">
        <v>26</v>
      </c>
      <c r="H1521">
        <v>5.7844899999999999</v>
      </c>
      <c r="I1521">
        <v>14.823309999999999</v>
      </c>
      <c r="J1521">
        <v>14.859640000000001</v>
      </c>
      <c r="K1521">
        <v>13.083729999999999</v>
      </c>
      <c r="L1521">
        <v>10.750640000000001</v>
      </c>
      <c r="M1521">
        <v>8.8554770000000005</v>
      </c>
      <c r="N1521">
        <v>7.2544690000000003</v>
      </c>
    </row>
    <row r="1522" spans="1:14" hidden="1" x14ac:dyDescent="0.35">
      <c r="A1522" t="s">
        <v>709</v>
      </c>
      <c r="B1522" t="s">
        <v>74</v>
      </c>
      <c r="C1522" t="s">
        <v>87</v>
      </c>
      <c r="D1522" t="s">
        <v>91</v>
      </c>
      <c r="E1522" t="s">
        <v>584</v>
      </c>
      <c r="F1522" t="s">
        <v>581</v>
      </c>
      <c r="G1522" t="s">
        <v>396</v>
      </c>
      <c r="H1522">
        <v>0.72981430000000003</v>
      </c>
      <c r="I1522">
        <v>0.63505440000000002</v>
      </c>
      <c r="J1522">
        <v>0.57010229999999995</v>
      </c>
      <c r="K1522">
        <v>0.52059730000000004</v>
      </c>
      <c r="L1522">
        <v>0.48447370000000001</v>
      </c>
      <c r="M1522">
        <v>8.2671960000000003E-2</v>
      </c>
      <c r="N1522">
        <v>7.0272119999999993E-2</v>
      </c>
    </row>
    <row r="1523" spans="1:14" hidden="1" x14ac:dyDescent="0.35">
      <c r="A1523" t="s">
        <v>709</v>
      </c>
      <c r="B1523" t="s">
        <v>74</v>
      </c>
      <c r="C1523" t="s">
        <v>87</v>
      </c>
      <c r="D1523" t="s">
        <v>91</v>
      </c>
      <c r="E1523" t="s">
        <v>584</v>
      </c>
      <c r="F1523" t="s">
        <v>581</v>
      </c>
      <c r="G1523" t="s">
        <v>25</v>
      </c>
      <c r="H1523">
        <v>5.9443509999999998E-2</v>
      </c>
      <c r="I1523">
        <v>1.258279E-2</v>
      </c>
      <c r="J1523">
        <v>1.129548E-2</v>
      </c>
      <c r="K1523">
        <v>1.03144E-2</v>
      </c>
      <c r="L1523">
        <v>9.5987520000000003E-3</v>
      </c>
      <c r="M1523">
        <v>1.638069E-3</v>
      </c>
      <c r="N1523">
        <v>1.392351E-3</v>
      </c>
    </row>
    <row r="1524" spans="1:14" hidden="1" x14ac:dyDescent="0.35">
      <c r="A1524" t="s">
        <v>709</v>
      </c>
      <c r="B1524" t="s">
        <v>74</v>
      </c>
      <c r="C1524" t="s">
        <v>87</v>
      </c>
      <c r="D1524" t="s">
        <v>91</v>
      </c>
      <c r="E1524" t="s">
        <v>584</v>
      </c>
      <c r="F1524" t="s">
        <v>26</v>
      </c>
      <c r="G1524" t="s">
        <v>26</v>
      </c>
      <c r="H1524">
        <v>0.13373489999999999</v>
      </c>
      <c r="I1524">
        <v>9.0940129999999994E-2</v>
      </c>
      <c r="J1524">
        <v>8.1638989999999995E-2</v>
      </c>
      <c r="K1524">
        <v>7.4549820000000003E-2</v>
      </c>
      <c r="L1524">
        <v>6.9376699999999999E-2</v>
      </c>
      <c r="M1524">
        <v>1.1838670000000001E-2</v>
      </c>
      <c r="N1524">
        <v>1.0062979999999999E-2</v>
      </c>
    </row>
    <row r="1525" spans="1:14" hidden="1" x14ac:dyDescent="0.35">
      <c r="A1525" t="s">
        <v>709</v>
      </c>
      <c r="B1525" t="s">
        <v>74</v>
      </c>
      <c r="C1525" t="s">
        <v>87</v>
      </c>
      <c r="D1525" t="s">
        <v>92</v>
      </c>
      <c r="E1525" t="s">
        <v>584</v>
      </c>
      <c r="F1525" t="s">
        <v>581</v>
      </c>
      <c r="G1525" t="s">
        <v>396</v>
      </c>
      <c r="H1525">
        <v>7.3622480000000001E-3</v>
      </c>
      <c r="I1525">
        <v>1.244081E-2</v>
      </c>
      <c r="J1525">
        <v>2.5527760000000001E-3</v>
      </c>
      <c r="K1525">
        <v>2.1392120000000001E-3</v>
      </c>
      <c r="L1525">
        <v>0</v>
      </c>
      <c r="M1525">
        <v>0</v>
      </c>
    </row>
    <row r="1526" spans="1:14" hidden="1" x14ac:dyDescent="0.35">
      <c r="A1526" t="s">
        <v>709</v>
      </c>
      <c r="B1526" t="s">
        <v>74</v>
      </c>
      <c r="C1526" t="s">
        <v>87</v>
      </c>
      <c r="D1526" t="s">
        <v>92</v>
      </c>
      <c r="E1526" t="s">
        <v>584</v>
      </c>
      <c r="F1526" t="s">
        <v>581</v>
      </c>
      <c r="G1526" t="s">
        <v>25</v>
      </c>
      <c r="H1526">
        <v>2.2238789999999998E-3</v>
      </c>
      <c r="I1526">
        <v>3.7586070000000002E-3</v>
      </c>
      <c r="J1526">
        <v>7.7126569999999995E-4</v>
      </c>
      <c r="K1526">
        <v>6.4627049999999996E-4</v>
      </c>
      <c r="L1526">
        <v>0</v>
      </c>
      <c r="M1526">
        <v>0</v>
      </c>
    </row>
    <row r="1527" spans="1:14" hidden="1" x14ac:dyDescent="0.35">
      <c r="A1527" t="s">
        <v>709</v>
      </c>
      <c r="B1527" t="s">
        <v>74</v>
      </c>
      <c r="C1527" t="s">
        <v>87</v>
      </c>
      <c r="D1527" t="s">
        <v>92</v>
      </c>
      <c r="E1527" t="s">
        <v>584</v>
      </c>
      <c r="F1527" t="s">
        <v>26</v>
      </c>
      <c r="G1527" t="s">
        <v>26</v>
      </c>
      <c r="H1527">
        <v>4.0029100000000001E-3</v>
      </c>
      <c r="I1527">
        <v>6.764618E-3</v>
      </c>
      <c r="J1527">
        <v>1.388074E-3</v>
      </c>
      <c r="K1527">
        <v>1.16317E-3</v>
      </c>
      <c r="L1527">
        <v>0</v>
      </c>
      <c r="M1527">
        <v>0</v>
      </c>
    </row>
    <row r="1528" spans="1:14" hidden="1" x14ac:dyDescent="0.35">
      <c r="A1528" t="s">
        <v>709</v>
      </c>
      <c r="B1528" t="s">
        <v>74</v>
      </c>
      <c r="C1528" t="s">
        <v>227</v>
      </c>
      <c r="D1528" t="s">
        <v>227</v>
      </c>
      <c r="E1528" t="s">
        <v>584</v>
      </c>
      <c r="F1528" t="s">
        <v>581</v>
      </c>
      <c r="G1528" t="s">
        <v>396</v>
      </c>
      <c r="H1528">
        <v>1.4059379999999999</v>
      </c>
      <c r="I1528">
        <v>6.6816149999999999</v>
      </c>
      <c r="J1528">
        <v>10.788539999999999</v>
      </c>
      <c r="K1528">
        <v>10.9589</v>
      </c>
      <c r="L1528">
        <v>10.9589</v>
      </c>
      <c r="M1528">
        <v>10.9589</v>
      </c>
      <c r="N1528">
        <v>10.9589</v>
      </c>
    </row>
    <row r="1529" spans="1:14" hidden="1" x14ac:dyDescent="0.35">
      <c r="A1529" t="s">
        <v>709</v>
      </c>
      <c r="B1529" t="s">
        <v>74</v>
      </c>
      <c r="C1529" t="s">
        <v>227</v>
      </c>
      <c r="D1529" t="s">
        <v>227</v>
      </c>
      <c r="E1529" t="s">
        <v>584</v>
      </c>
      <c r="F1529" t="s">
        <v>581</v>
      </c>
      <c r="G1529" t="s">
        <v>25</v>
      </c>
      <c r="H1529">
        <v>1.490959E-2</v>
      </c>
      <c r="I1529">
        <v>0</v>
      </c>
      <c r="J1529">
        <v>1.6684930000000001E-3</v>
      </c>
      <c r="K1529">
        <v>2.373151E-3</v>
      </c>
      <c r="L1529">
        <v>3.6191779999999998E-3</v>
      </c>
      <c r="M1529">
        <v>8.2663010000000002E-3</v>
      </c>
      <c r="N1529">
        <v>7.1528759999999999E-3</v>
      </c>
    </row>
    <row r="1530" spans="1:14" hidden="1" x14ac:dyDescent="0.35">
      <c r="A1530" t="s">
        <v>709</v>
      </c>
      <c r="B1530" t="s">
        <v>74</v>
      </c>
      <c r="C1530" t="s">
        <v>227</v>
      </c>
      <c r="D1530" t="s">
        <v>228</v>
      </c>
      <c r="E1530" t="s">
        <v>584</v>
      </c>
      <c r="F1530" t="s">
        <v>581</v>
      </c>
      <c r="G1530" t="s">
        <v>396</v>
      </c>
      <c r="H1530">
        <v>0.50214800000000004</v>
      </c>
      <c r="I1530">
        <v>0.50841899999999995</v>
      </c>
      <c r="J1530">
        <v>0.36748550000000002</v>
      </c>
      <c r="K1530">
        <v>0.33086840000000001</v>
      </c>
      <c r="L1530">
        <v>0.28201700000000002</v>
      </c>
      <c r="M1530">
        <v>0.24889539999999999</v>
      </c>
      <c r="N1530">
        <v>0</v>
      </c>
    </row>
    <row r="1531" spans="1:14" hidden="1" x14ac:dyDescent="0.35">
      <c r="A1531" t="s">
        <v>709</v>
      </c>
      <c r="B1531" t="s">
        <v>74</v>
      </c>
      <c r="C1531" t="s">
        <v>227</v>
      </c>
      <c r="D1531" t="s">
        <v>228</v>
      </c>
      <c r="E1531" t="s">
        <v>584</v>
      </c>
      <c r="F1531" t="s">
        <v>581</v>
      </c>
      <c r="G1531" t="s">
        <v>25</v>
      </c>
      <c r="H1531">
        <v>4.9210770000000003E-3</v>
      </c>
      <c r="I1531">
        <v>3.6253140000000001E-3</v>
      </c>
      <c r="J1531">
        <v>2.544475E-3</v>
      </c>
      <c r="K1531">
        <v>2.3197460000000001E-3</v>
      </c>
      <c r="L1531">
        <v>1.9846210000000002E-3</v>
      </c>
      <c r="M1531">
        <v>1.7012069999999999E-3</v>
      </c>
      <c r="N1531">
        <v>2.5545210000000001E-5</v>
      </c>
    </row>
    <row r="1532" spans="1:14" hidden="1" x14ac:dyDescent="0.35">
      <c r="A1532" t="s">
        <v>709</v>
      </c>
      <c r="B1532" t="s">
        <v>74</v>
      </c>
      <c r="C1532" t="s">
        <v>227</v>
      </c>
      <c r="D1532" t="s">
        <v>228</v>
      </c>
      <c r="E1532" t="s">
        <v>584</v>
      </c>
      <c r="F1532" t="s">
        <v>26</v>
      </c>
      <c r="G1532" t="s">
        <v>26</v>
      </c>
      <c r="H1532">
        <v>4.894271E-2</v>
      </c>
      <c r="I1532">
        <v>5.1283769999999999E-2</v>
      </c>
      <c r="J1532">
        <v>3.7685389999999999E-2</v>
      </c>
      <c r="K1532">
        <v>3.3594119999999998E-2</v>
      </c>
      <c r="L1532">
        <v>2.8580080000000001E-2</v>
      </c>
      <c r="M1532">
        <v>2.4624090000000001E-2</v>
      </c>
      <c r="N1532">
        <v>0</v>
      </c>
    </row>
    <row r="1533" spans="1:14" hidden="1" x14ac:dyDescent="0.35">
      <c r="A1533" t="s">
        <v>709</v>
      </c>
      <c r="B1533" t="s">
        <v>74</v>
      </c>
      <c r="C1533" t="s">
        <v>71</v>
      </c>
      <c r="D1533" t="s">
        <v>75</v>
      </c>
      <c r="E1533" t="s">
        <v>584</v>
      </c>
      <c r="F1533" t="s">
        <v>581</v>
      </c>
      <c r="G1533" t="s">
        <v>396</v>
      </c>
      <c r="H1533">
        <v>2.6625700000000001</v>
      </c>
      <c r="I1533">
        <v>1.972048</v>
      </c>
      <c r="J1533">
        <v>1.391602</v>
      </c>
      <c r="K1533">
        <v>1.139256</v>
      </c>
      <c r="L1533">
        <v>1.1295599999999999</v>
      </c>
      <c r="M1533">
        <v>0.96012629999999999</v>
      </c>
      <c r="N1533">
        <v>0.74062070000000002</v>
      </c>
    </row>
    <row r="1534" spans="1:14" hidden="1" x14ac:dyDescent="0.35">
      <c r="A1534" t="s">
        <v>709</v>
      </c>
      <c r="B1534" t="s">
        <v>74</v>
      </c>
      <c r="C1534" t="s">
        <v>71</v>
      </c>
      <c r="D1534" t="s">
        <v>75</v>
      </c>
      <c r="E1534" t="s">
        <v>584</v>
      </c>
      <c r="F1534" t="s">
        <v>581</v>
      </c>
      <c r="G1534" t="s">
        <v>25</v>
      </c>
      <c r="H1534">
        <v>3.875116E-2</v>
      </c>
      <c r="I1534">
        <v>8.558866E-3</v>
      </c>
      <c r="J1534">
        <v>6.0382450000000002E-3</v>
      </c>
      <c r="K1534">
        <v>4.9460179999999999E-3</v>
      </c>
      <c r="L1534">
        <v>4.932077E-3</v>
      </c>
      <c r="M1534">
        <v>4.1884679999999999E-3</v>
      </c>
      <c r="N1534">
        <v>3.2303969999999999E-3</v>
      </c>
    </row>
    <row r="1535" spans="1:14" hidden="1" x14ac:dyDescent="0.35">
      <c r="A1535" t="s">
        <v>709</v>
      </c>
      <c r="B1535" t="s">
        <v>74</v>
      </c>
      <c r="C1535" t="s">
        <v>71</v>
      </c>
      <c r="D1535" t="s">
        <v>75</v>
      </c>
      <c r="E1535" t="s">
        <v>584</v>
      </c>
      <c r="F1535" t="s">
        <v>26</v>
      </c>
      <c r="G1535" t="s">
        <v>26</v>
      </c>
      <c r="H1535">
        <v>0.1468469</v>
      </c>
      <c r="I1535">
        <v>0.16844770000000001</v>
      </c>
      <c r="J1535">
        <v>0.11886529999999999</v>
      </c>
      <c r="K1535">
        <v>9.7314620000000004E-2</v>
      </c>
      <c r="L1535">
        <v>9.650765E-2</v>
      </c>
      <c r="M1535">
        <v>8.2031560000000003E-2</v>
      </c>
      <c r="N1535">
        <v>6.3277319999999998E-2</v>
      </c>
    </row>
    <row r="1536" spans="1:14" hidden="1" x14ac:dyDescent="0.35">
      <c r="A1536" t="s">
        <v>709</v>
      </c>
      <c r="B1536" t="s">
        <v>74</v>
      </c>
      <c r="C1536" t="s">
        <v>71</v>
      </c>
      <c r="D1536" t="s">
        <v>78</v>
      </c>
      <c r="E1536" t="s">
        <v>584</v>
      </c>
      <c r="F1536" t="s">
        <v>581</v>
      </c>
      <c r="G1536" t="s">
        <v>24</v>
      </c>
      <c r="H1536">
        <v>5.3813899999999998E-2</v>
      </c>
      <c r="I1536">
        <v>4.2270439999999999E-2</v>
      </c>
      <c r="J1536">
        <v>3.068131E-2</v>
      </c>
      <c r="K1536">
        <v>7.9461549999999999E-3</v>
      </c>
      <c r="L1536">
        <v>3.9090219999999998E-3</v>
      </c>
      <c r="M1536">
        <v>0</v>
      </c>
    </row>
    <row r="1537" spans="1:14" hidden="1" x14ac:dyDescent="0.35">
      <c r="A1537" t="s">
        <v>709</v>
      </c>
      <c r="B1537" t="s">
        <v>74</v>
      </c>
      <c r="C1537" t="s">
        <v>71</v>
      </c>
      <c r="D1537" t="s">
        <v>78</v>
      </c>
      <c r="E1537" t="s">
        <v>584</v>
      </c>
      <c r="F1537" t="s">
        <v>581</v>
      </c>
      <c r="G1537" t="s">
        <v>25</v>
      </c>
      <c r="H1537">
        <v>6.2980750000000002E-2</v>
      </c>
      <c r="I1537">
        <v>4.0115999999999999E-2</v>
      </c>
      <c r="J1537">
        <v>2.7102279999999999E-2</v>
      </c>
      <c r="K1537">
        <v>1.8006680000000001E-2</v>
      </c>
      <c r="L1537">
        <v>8.8582859999999999E-3</v>
      </c>
      <c r="M1537">
        <v>0</v>
      </c>
    </row>
    <row r="1538" spans="1:14" hidden="1" x14ac:dyDescent="0.35">
      <c r="A1538" t="s">
        <v>709</v>
      </c>
      <c r="B1538" t="s">
        <v>74</v>
      </c>
      <c r="C1538" t="s">
        <v>71</v>
      </c>
      <c r="D1538" t="s">
        <v>78</v>
      </c>
      <c r="E1538" t="s">
        <v>584</v>
      </c>
      <c r="F1538" t="s">
        <v>26</v>
      </c>
      <c r="G1538" t="s">
        <v>26</v>
      </c>
      <c r="H1538">
        <v>0.37511450000000002</v>
      </c>
      <c r="I1538">
        <v>0.26207629999999998</v>
      </c>
      <c r="J1538">
        <v>0.18320700000000001</v>
      </c>
      <c r="K1538">
        <v>8.5707110000000003E-2</v>
      </c>
      <c r="L1538">
        <v>4.2162650000000003E-2</v>
      </c>
      <c r="M1538">
        <v>0</v>
      </c>
    </row>
    <row r="1539" spans="1:14" hidden="1" x14ac:dyDescent="0.35">
      <c r="A1539" t="s">
        <v>709</v>
      </c>
      <c r="B1539" t="s">
        <v>74</v>
      </c>
      <c r="C1539" t="s">
        <v>71</v>
      </c>
      <c r="D1539" t="s">
        <v>137</v>
      </c>
      <c r="E1539" t="s">
        <v>584</v>
      </c>
      <c r="F1539" t="s">
        <v>581</v>
      </c>
      <c r="G1539" t="s">
        <v>396</v>
      </c>
      <c r="H1539">
        <v>0.32316820000000002</v>
      </c>
      <c r="I1539">
        <v>0.19316549999999999</v>
      </c>
      <c r="J1539">
        <v>0.13172880000000001</v>
      </c>
      <c r="K1539">
        <v>0.1087356</v>
      </c>
      <c r="L1539">
        <v>8.3342470000000002E-2</v>
      </c>
      <c r="M1539">
        <v>6.4290420000000001E-2</v>
      </c>
      <c r="N1539">
        <v>4.950657E-2</v>
      </c>
    </row>
    <row r="1540" spans="1:14" hidden="1" x14ac:dyDescent="0.35">
      <c r="A1540" t="s">
        <v>709</v>
      </c>
      <c r="B1540" t="s">
        <v>74</v>
      </c>
      <c r="C1540" t="s">
        <v>71</v>
      </c>
      <c r="D1540" t="s">
        <v>137</v>
      </c>
      <c r="E1540" t="s">
        <v>584</v>
      </c>
      <c r="F1540" t="s">
        <v>581</v>
      </c>
      <c r="G1540" t="s">
        <v>25</v>
      </c>
      <c r="H1540">
        <v>3.394521E-4</v>
      </c>
      <c r="I1540">
        <v>2.0301370000000001E-4</v>
      </c>
      <c r="J1540">
        <v>1.380822E-4</v>
      </c>
      <c r="K1540">
        <v>1.142466E-4</v>
      </c>
      <c r="L1540">
        <v>8.7123280000000005E-5</v>
      </c>
      <c r="M1540">
        <v>6.7397249999999996E-5</v>
      </c>
      <c r="N1540">
        <v>5.1780819999999999E-5</v>
      </c>
    </row>
    <row r="1541" spans="1:14" hidden="1" x14ac:dyDescent="0.35">
      <c r="A1541" t="s">
        <v>709</v>
      </c>
      <c r="B1541" t="s">
        <v>74</v>
      </c>
      <c r="C1541" t="s">
        <v>71</v>
      </c>
      <c r="D1541" t="s">
        <v>137</v>
      </c>
      <c r="E1541" t="s">
        <v>584</v>
      </c>
      <c r="F1541" t="s">
        <v>26</v>
      </c>
      <c r="G1541" t="s">
        <v>26</v>
      </c>
      <c r="H1541">
        <v>2.1782470000000002E-2</v>
      </c>
      <c r="I1541">
        <v>1.302E-2</v>
      </c>
      <c r="J1541">
        <v>8.8791779999999997E-3</v>
      </c>
      <c r="K1541">
        <v>7.329042E-3</v>
      </c>
      <c r="L1541">
        <v>5.6178080000000002E-3</v>
      </c>
      <c r="M1541">
        <v>4.3331510000000004E-3</v>
      </c>
      <c r="N1541">
        <v>3.3369860000000001E-3</v>
      </c>
    </row>
    <row r="1542" spans="1:14" hidden="1" x14ac:dyDescent="0.35">
      <c r="A1542" t="s">
        <v>709</v>
      </c>
      <c r="B1542" t="s">
        <v>74</v>
      </c>
      <c r="C1542" t="s">
        <v>146</v>
      </c>
      <c r="D1542" t="s">
        <v>147</v>
      </c>
      <c r="E1542" t="s">
        <v>584</v>
      </c>
      <c r="F1542" t="s">
        <v>581</v>
      </c>
      <c r="G1542" t="s">
        <v>396</v>
      </c>
      <c r="H1542">
        <v>0.38346330000000001</v>
      </c>
      <c r="I1542">
        <v>0.41422619999999999</v>
      </c>
      <c r="J1542">
        <v>0.28406389999999998</v>
      </c>
      <c r="K1542">
        <v>0.17769299999999999</v>
      </c>
      <c r="L1542">
        <v>8.735909E-2</v>
      </c>
      <c r="M1542">
        <v>0.12792049999999999</v>
      </c>
      <c r="N1542">
        <v>0.32768449999999999</v>
      </c>
    </row>
    <row r="1543" spans="1:14" hidden="1" x14ac:dyDescent="0.35">
      <c r="A1543" t="s">
        <v>709</v>
      </c>
      <c r="B1543" t="s">
        <v>74</v>
      </c>
      <c r="C1543" t="s">
        <v>146</v>
      </c>
      <c r="D1543" t="s">
        <v>147</v>
      </c>
      <c r="E1543" t="s">
        <v>584</v>
      </c>
      <c r="F1543" t="s">
        <v>581</v>
      </c>
      <c r="G1543" t="s">
        <v>24</v>
      </c>
      <c r="K1543">
        <v>0</v>
      </c>
      <c r="L1543">
        <v>5.2200089999999998E-2</v>
      </c>
      <c r="M1543">
        <v>0.1572914</v>
      </c>
      <c r="N1543">
        <v>0.13836899999999999</v>
      </c>
    </row>
    <row r="1544" spans="1:14" hidden="1" x14ac:dyDescent="0.35">
      <c r="A1544" t="s">
        <v>709</v>
      </c>
      <c r="B1544" t="s">
        <v>74</v>
      </c>
      <c r="C1544" t="s">
        <v>146</v>
      </c>
      <c r="D1544" t="s">
        <v>147</v>
      </c>
      <c r="E1544" t="s">
        <v>584</v>
      </c>
      <c r="F1544" t="s">
        <v>581</v>
      </c>
      <c r="G1544" t="s">
        <v>25</v>
      </c>
      <c r="H1544">
        <v>5.5753260000000002E-3</v>
      </c>
      <c r="I1544">
        <v>6.0167780000000004E-3</v>
      </c>
      <c r="J1544">
        <v>4.1282280000000003E-3</v>
      </c>
      <c r="K1544">
        <v>2.5761260000000002E-3</v>
      </c>
      <c r="L1544">
        <v>1.2659430000000001E-3</v>
      </c>
      <c r="M1544">
        <v>5.6075510000000002E-2</v>
      </c>
      <c r="N1544">
        <v>0.2419945</v>
      </c>
    </row>
    <row r="1545" spans="1:14" hidden="1" x14ac:dyDescent="0.35">
      <c r="A1545" t="s">
        <v>709</v>
      </c>
      <c r="B1545" t="s">
        <v>74</v>
      </c>
      <c r="C1545" t="s">
        <v>146</v>
      </c>
      <c r="D1545" t="s">
        <v>147</v>
      </c>
      <c r="E1545" t="s">
        <v>584</v>
      </c>
      <c r="F1545" t="s">
        <v>26</v>
      </c>
      <c r="G1545" t="s">
        <v>26</v>
      </c>
      <c r="H1545">
        <v>0.52590110000000001</v>
      </c>
      <c r="I1545">
        <v>0.57763920000000002</v>
      </c>
      <c r="J1545">
        <v>0.39213310000000001</v>
      </c>
      <c r="K1545">
        <v>0.2564845</v>
      </c>
      <c r="L1545">
        <v>0.77181339999999998</v>
      </c>
      <c r="M1545">
        <v>2.0455420000000002</v>
      </c>
      <c r="N1545">
        <v>2.0562330000000002</v>
      </c>
    </row>
    <row r="1546" spans="1:14" hidden="1" x14ac:dyDescent="0.35">
      <c r="A1546" t="s">
        <v>709</v>
      </c>
      <c r="B1546" t="s">
        <v>74</v>
      </c>
      <c r="C1546" t="s">
        <v>146</v>
      </c>
      <c r="D1546" t="s">
        <v>146</v>
      </c>
      <c r="E1546" t="s">
        <v>584</v>
      </c>
      <c r="F1546" t="s">
        <v>581</v>
      </c>
      <c r="G1546" t="s">
        <v>396</v>
      </c>
      <c r="H1546">
        <v>0.2064414</v>
      </c>
      <c r="I1546">
        <v>0.1154067</v>
      </c>
      <c r="J1546">
        <v>3.0540270000000001E-2</v>
      </c>
      <c r="K1546">
        <v>0</v>
      </c>
    </row>
    <row r="1547" spans="1:14" hidden="1" x14ac:dyDescent="0.35">
      <c r="A1547" t="s">
        <v>709</v>
      </c>
      <c r="B1547" t="s">
        <v>74</v>
      </c>
      <c r="C1547" t="s">
        <v>146</v>
      </c>
      <c r="D1547" t="s">
        <v>146</v>
      </c>
      <c r="E1547" t="s">
        <v>584</v>
      </c>
      <c r="F1547" t="s">
        <v>581</v>
      </c>
      <c r="G1547" t="s">
        <v>25</v>
      </c>
      <c r="H1547">
        <v>2.1919999999999999E-4</v>
      </c>
      <c r="I1547">
        <v>0</v>
      </c>
    </row>
    <row r="1548" spans="1:14" hidden="1" x14ac:dyDescent="0.35">
      <c r="A1548" t="s">
        <v>709</v>
      </c>
      <c r="B1548" t="s">
        <v>32</v>
      </c>
      <c r="C1548" t="s">
        <v>30</v>
      </c>
      <c r="D1548" t="s">
        <v>30</v>
      </c>
      <c r="E1548" t="s">
        <v>584</v>
      </c>
      <c r="F1548" t="s">
        <v>581</v>
      </c>
      <c r="G1548" t="s">
        <v>396</v>
      </c>
      <c r="H1548">
        <v>13.05301</v>
      </c>
      <c r="I1548">
        <v>12.65479</v>
      </c>
      <c r="J1548">
        <v>12.280900000000001</v>
      </c>
      <c r="K1548">
        <v>11.87861</v>
      </c>
      <c r="L1548">
        <v>9.3918180000000007</v>
      </c>
      <c r="M1548">
        <v>8.6731619999999996</v>
      </c>
      <c r="N1548">
        <v>8.4048599999999993</v>
      </c>
    </row>
    <row r="1549" spans="1:14" hidden="1" x14ac:dyDescent="0.35">
      <c r="A1549" t="s">
        <v>709</v>
      </c>
      <c r="B1549" t="s">
        <v>69</v>
      </c>
      <c r="C1549" t="s">
        <v>68</v>
      </c>
      <c r="D1549" t="s">
        <v>68</v>
      </c>
      <c r="E1549" t="s">
        <v>584</v>
      </c>
      <c r="F1549" t="s">
        <v>581</v>
      </c>
      <c r="G1549" t="s">
        <v>396</v>
      </c>
      <c r="H1549">
        <v>0.4448395</v>
      </c>
      <c r="I1549">
        <v>0.54186840000000003</v>
      </c>
      <c r="J1549">
        <v>0.45154300000000003</v>
      </c>
      <c r="K1549">
        <v>0.41174309999999997</v>
      </c>
      <c r="L1549">
        <v>0.37066209999999999</v>
      </c>
      <c r="M1549">
        <v>0.32592460000000001</v>
      </c>
      <c r="N1549">
        <v>1.6939710000000001E-3</v>
      </c>
    </row>
    <row r="1550" spans="1:14" hidden="1" x14ac:dyDescent="0.35">
      <c r="A1550" t="s">
        <v>709</v>
      </c>
      <c r="B1550" t="s">
        <v>69</v>
      </c>
      <c r="C1550" t="s">
        <v>68</v>
      </c>
      <c r="D1550" t="s">
        <v>68</v>
      </c>
      <c r="E1550" t="s">
        <v>584</v>
      </c>
      <c r="F1550" t="s">
        <v>581</v>
      </c>
      <c r="G1550" t="s">
        <v>24</v>
      </c>
      <c r="H1550">
        <v>1.001852</v>
      </c>
      <c r="I1550">
        <v>0.88816209999999995</v>
      </c>
      <c r="J1550">
        <v>0.91716710000000001</v>
      </c>
      <c r="K1550">
        <v>0.85985610000000001</v>
      </c>
      <c r="L1550">
        <v>0.79822079999999995</v>
      </c>
      <c r="M1550">
        <v>0.75489099999999998</v>
      </c>
      <c r="N1550">
        <v>0.77797740000000004</v>
      </c>
    </row>
    <row r="1551" spans="1:14" hidden="1" x14ac:dyDescent="0.35">
      <c r="A1551" t="s">
        <v>709</v>
      </c>
      <c r="B1551" t="s">
        <v>69</v>
      </c>
      <c r="C1551" t="s">
        <v>68</v>
      </c>
      <c r="D1551" t="s">
        <v>68</v>
      </c>
      <c r="E1551" t="s">
        <v>584</v>
      </c>
      <c r="F1551" t="s">
        <v>581</v>
      </c>
      <c r="G1551" t="s">
        <v>25</v>
      </c>
      <c r="H1551">
        <v>0.1019178</v>
      </c>
      <c r="I1551">
        <v>0.1303134</v>
      </c>
      <c r="J1551">
        <v>0.18606909999999999</v>
      </c>
      <c r="K1551">
        <v>0.21067379999999999</v>
      </c>
      <c r="L1551">
        <v>0.23143610000000001</v>
      </c>
      <c r="M1551">
        <v>0.25759880000000002</v>
      </c>
      <c r="N1551">
        <v>0.27617170000000002</v>
      </c>
    </row>
    <row r="1552" spans="1:14" hidden="1" x14ac:dyDescent="0.35">
      <c r="A1552" t="s">
        <v>709</v>
      </c>
      <c r="B1552" t="s">
        <v>69</v>
      </c>
      <c r="C1552" t="s">
        <v>68</v>
      </c>
      <c r="D1552" t="s">
        <v>68</v>
      </c>
      <c r="E1552" t="s">
        <v>584</v>
      </c>
      <c r="F1552" t="s">
        <v>26</v>
      </c>
      <c r="G1552" t="s">
        <v>26</v>
      </c>
      <c r="H1552">
        <v>7.4807670000000002</v>
      </c>
      <c r="I1552">
        <v>7.3022689999999999</v>
      </c>
      <c r="J1552">
        <v>7.6049100000000003</v>
      </c>
      <c r="K1552">
        <v>7.1584690000000002</v>
      </c>
      <c r="L1552">
        <v>6.7486490000000003</v>
      </c>
      <c r="M1552">
        <v>6.5231960000000004</v>
      </c>
      <c r="N1552">
        <v>6.445379</v>
      </c>
    </row>
    <row r="1553" spans="1:14" hidden="1" x14ac:dyDescent="0.35">
      <c r="A1553" t="s">
        <v>709</v>
      </c>
      <c r="B1553" t="s">
        <v>154</v>
      </c>
      <c r="C1553" t="s">
        <v>261</v>
      </c>
      <c r="D1553" t="s">
        <v>261</v>
      </c>
      <c r="E1553" t="s">
        <v>584</v>
      </c>
      <c r="F1553" t="s">
        <v>581</v>
      </c>
      <c r="G1553" t="s">
        <v>396</v>
      </c>
      <c r="H1553">
        <v>3.868182</v>
      </c>
      <c r="I1553">
        <v>4.391521</v>
      </c>
      <c r="J1553">
        <v>4.1115139999999997</v>
      </c>
      <c r="K1553">
        <v>2.3574809999999999</v>
      </c>
      <c r="L1553">
        <v>1.1341680000000001</v>
      </c>
      <c r="M1553">
        <v>0.74753020000000003</v>
      </c>
      <c r="N1553">
        <v>6.4646469999999998E-2</v>
      </c>
    </row>
    <row r="1554" spans="1:14" hidden="1" x14ac:dyDescent="0.35">
      <c r="A1554" t="s">
        <v>709</v>
      </c>
      <c r="B1554" t="s">
        <v>154</v>
      </c>
      <c r="C1554" t="s">
        <v>261</v>
      </c>
      <c r="D1554" t="s">
        <v>261</v>
      </c>
      <c r="E1554" t="s">
        <v>584</v>
      </c>
      <c r="F1554" t="s">
        <v>26</v>
      </c>
      <c r="G1554" t="s">
        <v>26</v>
      </c>
      <c r="H1554">
        <v>0</v>
      </c>
      <c r="I1554">
        <v>0</v>
      </c>
      <c r="J1554">
        <v>0</v>
      </c>
      <c r="K1554">
        <v>0.18295810000000001</v>
      </c>
      <c r="L1554">
        <v>0</v>
      </c>
    </row>
    <row r="1555" spans="1:14" hidden="1" x14ac:dyDescent="0.35">
      <c r="A1555" t="s">
        <v>709</v>
      </c>
      <c r="B1555" t="s">
        <v>37</v>
      </c>
      <c r="C1555" t="s">
        <v>61</v>
      </c>
      <c r="D1555" t="s">
        <v>62</v>
      </c>
      <c r="E1555" t="s">
        <v>584</v>
      </c>
      <c r="F1555" t="s">
        <v>581</v>
      </c>
      <c r="G1555" t="s">
        <v>396</v>
      </c>
      <c r="H1555">
        <v>1.988491</v>
      </c>
      <c r="I1555">
        <v>1.988491</v>
      </c>
      <c r="J1555">
        <v>1.833358</v>
      </c>
      <c r="K1555">
        <v>1.617456</v>
      </c>
      <c r="L1555">
        <v>1.404217</v>
      </c>
      <c r="M1555">
        <v>1.1874690000000001</v>
      </c>
      <c r="N1555">
        <v>1.0048779999999999</v>
      </c>
    </row>
    <row r="1556" spans="1:14" hidden="1" x14ac:dyDescent="0.35">
      <c r="A1556" t="s">
        <v>709</v>
      </c>
      <c r="B1556" t="s">
        <v>37</v>
      </c>
      <c r="C1556" t="s">
        <v>61</v>
      </c>
      <c r="D1556" t="s">
        <v>62</v>
      </c>
      <c r="E1556" t="s">
        <v>584</v>
      </c>
      <c r="F1556" t="s">
        <v>581</v>
      </c>
      <c r="G1556" t="s">
        <v>24</v>
      </c>
      <c r="H1556">
        <v>7.6337530000000005E-4</v>
      </c>
      <c r="I1556">
        <v>5.1135350000000004E-4</v>
      </c>
      <c r="J1556">
        <v>3.44822E-4</v>
      </c>
      <c r="K1556">
        <v>2.3072880000000001E-4</v>
      </c>
      <c r="L1556">
        <v>1.547726E-4</v>
      </c>
      <c r="M1556">
        <v>1.036055E-4</v>
      </c>
      <c r="N1556">
        <v>0</v>
      </c>
    </row>
    <row r="1557" spans="1:14" hidden="1" x14ac:dyDescent="0.35">
      <c r="A1557" t="s">
        <v>709</v>
      </c>
      <c r="B1557" t="s">
        <v>37</v>
      </c>
      <c r="C1557" t="s">
        <v>61</v>
      </c>
      <c r="D1557" t="s">
        <v>62</v>
      </c>
      <c r="E1557" t="s">
        <v>584</v>
      </c>
      <c r="F1557" t="s">
        <v>26</v>
      </c>
      <c r="G1557" t="s">
        <v>26</v>
      </c>
      <c r="H1557">
        <v>7.3701000000000003E-2</v>
      </c>
      <c r="I1557">
        <v>8.8279499999999997E-2</v>
      </c>
      <c r="J1557">
        <v>8.8279499999999997E-2</v>
      </c>
      <c r="K1557">
        <v>8.7956859999999998E-2</v>
      </c>
      <c r="L1557">
        <v>8.5793350000000004E-2</v>
      </c>
      <c r="M1557">
        <v>7.8844029999999996E-2</v>
      </c>
      <c r="N1557">
        <v>7.2713559999999997E-2</v>
      </c>
    </row>
    <row r="1558" spans="1:14" hidden="1" x14ac:dyDescent="0.35">
      <c r="A1558" t="s">
        <v>709</v>
      </c>
      <c r="B1558" t="s">
        <v>37</v>
      </c>
      <c r="C1558" t="s">
        <v>79</v>
      </c>
      <c r="D1558" t="s">
        <v>79</v>
      </c>
      <c r="E1558" t="s">
        <v>584</v>
      </c>
      <c r="F1558" t="s">
        <v>581</v>
      </c>
      <c r="G1558" t="s">
        <v>396</v>
      </c>
      <c r="H1558">
        <v>3.1271229999999997E-2</v>
      </c>
      <c r="I1558">
        <v>3.0652059999999998E-2</v>
      </c>
      <c r="J1558">
        <v>3.0039449999999999E-2</v>
      </c>
      <c r="K1558">
        <v>2.920439E-2</v>
      </c>
      <c r="L1558">
        <v>2.8049319999999999E-2</v>
      </c>
      <c r="M1558">
        <v>2.6335339999999999E-2</v>
      </c>
      <c r="N1558">
        <v>2.4831229999999999E-2</v>
      </c>
    </row>
    <row r="1559" spans="1:14" hidden="1" x14ac:dyDescent="0.35">
      <c r="A1559" t="s">
        <v>709</v>
      </c>
      <c r="B1559" t="s">
        <v>37</v>
      </c>
      <c r="C1559" t="s">
        <v>79</v>
      </c>
      <c r="D1559" t="s">
        <v>79</v>
      </c>
      <c r="E1559" t="s">
        <v>584</v>
      </c>
      <c r="F1559" t="s">
        <v>26</v>
      </c>
      <c r="G1559" t="s">
        <v>26</v>
      </c>
      <c r="H1559">
        <v>0.68655069999999996</v>
      </c>
      <c r="I1559">
        <v>0.61233970000000004</v>
      </c>
      <c r="J1559">
        <v>0.54567339999999998</v>
      </c>
      <c r="K1559">
        <v>0.4815179</v>
      </c>
      <c r="L1559">
        <v>0.41813040000000001</v>
      </c>
      <c r="M1559">
        <v>0.35367340000000003</v>
      </c>
      <c r="N1559">
        <v>0.29936269999999998</v>
      </c>
    </row>
    <row r="1560" spans="1:14" hidden="1" x14ac:dyDescent="0.35">
      <c r="A1560" t="s">
        <v>709</v>
      </c>
      <c r="B1560" t="s">
        <v>37</v>
      </c>
      <c r="C1560" t="s">
        <v>109</v>
      </c>
      <c r="D1560" t="s">
        <v>109</v>
      </c>
      <c r="E1560" t="s">
        <v>584</v>
      </c>
      <c r="F1560" t="s">
        <v>581</v>
      </c>
      <c r="G1560" t="s">
        <v>396</v>
      </c>
      <c r="H1560">
        <v>0.23392850000000001</v>
      </c>
      <c r="I1560">
        <v>0.21029729999999999</v>
      </c>
      <c r="J1560">
        <v>0.18890080000000001</v>
      </c>
      <c r="K1560">
        <v>0.1680497</v>
      </c>
      <c r="L1560">
        <v>0.1471643</v>
      </c>
      <c r="M1560">
        <v>0.12556980000000001</v>
      </c>
      <c r="N1560">
        <v>0.1072519</v>
      </c>
    </row>
    <row r="1561" spans="1:14" hidden="1" x14ac:dyDescent="0.35">
      <c r="A1561" t="s">
        <v>709</v>
      </c>
      <c r="B1561" t="s">
        <v>37</v>
      </c>
      <c r="C1561" t="s">
        <v>109</v>
      </c>
      <c r="D1561" t="s">
        <v>109</v>
      </c>
      <c r="E1561" t="s">
        <v>584</v>
      </c>
      <c r="F1561" t="s">
        <v>581</v>
      </c>
      <c r="G1561" t="s">
        <v>24</v>
      </c>
      <c r="H1561">
        <v>1.246575E-5</v>
      </c>
      <c r="I1561">
        <v>0</v>
      </c>
    </row>
    <row r="1562" spans="1:14" hidden="1" x14ac:dyDescent="0.35">
      <c r="A1562" t="s">
        <v>709</v>
      </c>
      <c r="B1562" t="s">
        <v>37</v>
      </c>
      <c r="C1562" t="s">
        <v>109</v>
      </c>
      <c r="D1562" t="s">
        <v>109</v>
      </c>
      <c r="E1562" t="s">
        <v>584</v>
      </c>
      <c r="F1562" t="s">
        <v>581</v>
      </c>
      <c r="G1562" t="s">
        <v>25</v>
      </c>
      <c r="H1562">
        <v>2.2917810000000001E-3</v>
      </c>
      <c r="I1562">
        <v>2.2361640000000001E-3</v>
      </c>
      <c r="J1562">
        <v>2.1747939999999999E-3</v>
      </c>
      <c r="K1562">
        <v>2.0980819999999998E-3</v>
      </c>
      <c r="L1562">
        <v>1.9985480000000002E-3</v>
      </c>
      <c r="M1562">
        <v>1.862575E-3</v>
      </c>
      <c r="N1562">
        <v>1.7402190000000001E-3</v>
      </c>
    </row>
    <row r="1563" spans="1:14" hidden="1" x14ac:dyDescent="0.35">
      <c r="A1563" t="s">
        <v>709</v>
      </c>
      <c r="B1563" t="s">
        <v>37</v>
      </c>
      <c r="C1563" t="s">
        <v>109</v>
      </c>
      <c r="D1563" t="s">
        <v>109</v>
      </c>
      <c r="E1563" t="s">
        <v>584</v>
      </c>
      <c r="F1563" t="s">
        <v>26</v>
      </c>
      <c r="G1563" t="s">
        <v>26</v>
      </c>
      <c r="H1563">
        <v>2.6773559999999998E-2</v>
      </c>
      <c r="I1563">
        <v>2.6217399999999998E-2</v>
      </c>
      <c r="J1563">
        <v>2.566775E-2</v>
      </c>
      <c r="K1563">
        <v>2.492921E-2</v>
      </c>
      <c r="L1563">
        <v>2.391776E-2</v>
      </c>
      <c r="M1563">
        <v>2.24303E-2</v>
      </c>
      <c r="N1563">
        <v>2.1125040000000001E-2</v>
      </c>
    </row>
    <row r="1564" spans="1:14" hidden="1" x14ac:dyDescent="0.35">
      <c r="A1564" t="s">
        <v>709</v>
      </c>
      <c r="B1564" t="s">
        <v>31</v>
      </c>
      <c r="C1564" t="s">
        <v>30</v>
      </c>
      <c r="D1564" t="s">
        <v>30</v>
      </c>
      <c r="E1564" t="s">
        <v>584</v>
      </c>
      <c r="F1564" t="s">
        <v>581</v>
      </c>
      <c r="G1564" t="s">
        <v>396</v>
      </c>
      <c r="H1564">
        <v>2.1917810000000002</v>
      </c>
      <c r="I1564">
        <v>2.1229900000000002</v>
      </c>
      <c r="J1564">
        <v>2.05586</v>
      </c>
      <c r="K1564">
        <v>1.9745010000000001</v>
      </c>
      <c r="L1564">
        <v>0.37962390000000001</v>
      </c>
      <c r="M1564">
        <v>0.35471449999999999</v>
      </c>
      <c r="N1564">
        <v>0.3327792</v>
      </c>
    </row>
    <row r="1565" spans="1:14" hidden="1" x14ac:dyDescent="0.35">
      <c r="A1565" t="s">
        <v>709</v>
      </c>
      <c r="B1565" t="s">
        <v>195</v>
      </c>
      <c r="C1565" t="s">
        <v>710</v>
      </c>
      <c r="D1565" t="s">
        <v>710</v>
      </c>
      <c r="E1565" t="s">
        <v>584</v>
      </c>
      <c r="F1565" t="s">
        <v>581</v>
      </c>
      <c r="G1565" t="s">
        <v>24</v>
      </c>
      <c r="H1565">
        <v>0.1835493</v>
      </c>
      <c r="I1565">
        <v>0.1439802</v>
      </c>
      <c r="J1565">
        <v>0.1394003</v>
      </c>
      <c r="K1565">
        <v>0.13454679999999999</v>
      </c>
      <c r="L1565">
        <v>0.1234867</v>
      </c>
      <c r="M1565">
        <v>0.1056182</v>
      </c>
      <c r="N1565">
        <v>7.6721639999999994E-2</v>
      </c>
    </row>
    <row r="1566" spans="1:14" hidden="1" x14ac:dyDescent="0.35">
      <c r="A1566" t="s">
        <v>709</v>
      </c>
      <c r="B1566" t="s">
        <v>195</v>
      </c>
      <c r="C1566" t="s">
        <v>710</v>
      </c>
      <c r="D1566" t="s">
        <v>710</v>
      </c>
      <c r="E1566" t="s">
        <v>584</v>
      </c>
      <c r="F1566" t="s">
        <v>26</v>
      </c>
      <c r="G1566" t="s">
        <v>26</v>
      </c>
      <c r="H1566">
        <v>1.3052490000000001</v>
      </c>
      <c r="I1566">
        <v>1.093729</v>
      </c>
      <c r="J1566">
        <v>1.052359</v>
      </c>
      <c r="K1566">
        <v>0.98669609999999996</v>
      </c>
      <c r="L1566">
        <v>0.89492649999999996</v>
      </c>
      <c r="M1566">
        <v>0.77192320000000003</v>
      </c>
      <c r="N1566">
        <v>0.59240479999999995</v>
      </c>
    </row>
    <row r="1567" spans="1:14" hidden="1" x14ac:dyDescent="0.35">
      <c r="A1567" t="s">
        <v>709</v>
      </c>
      <c r="B1567" t="s">
        <v>60</v>
      </c>
      <c r="C1567" t="s">
        <v>126</v>
      </c>
      <c r="D1567" t="s">
        <v>126</v>
      </c>
      <c r="E1567" t="s">
        <v>584</v>
      </c>
      <c r="F1567" t="s">
        <v>26</v>
      </c>
      <c r="G1567" t="s">
        <v>26</v>
      </c>
      <c r="H1567">
        <v>0</v>
      </c>
      <c r="I1567">
        <v>0</v>
      </c>
      <c r="J1567">
        <v>0</v>
      </c>
      <c r="K1567">
        <v>0.58489550000000001</v>
      </c>
      <c r="L1567">
        <v>0.72228179999999997</v>
      </c>
      <c r="M1567">
        <v>0.78137449999999997</v>
      </c>
      <c r="N1567">
        <v>0.77923980000000004</v>
      </c>
    </row>
    <row r="1568" spans="1:14" hidden="1" x14ac:dyDescent="0.35">
      <c r="A1568" t="s">
        <v>709</v>
      </c>
      <c r="B1568" t="s">
        <v>625</v>
      </c>
      <c r="C1568" t="s">
        <v>626</v>
      </c>
      <c r="D1568" t="s">
        <v>626</v>
      </c>
      <c r="E1568" t="s">
        <v>584</v>
      </c>
      <c r="F1568" t="s">
        <v>581</v>
      </c>
      <c r="G1568" t="s">
        <v>24</v>
      </c>
      <c r="H1568">
        <v>1.228767E-3</v>
      </c>
      <c r="I1568">
        <v>1.20411E-3</v>
      </c>
      <c r="J1568">
        <v>1.1797260000000001E-3</v>
      </c>
      <c r="K1568">
        <v>1.1468489999999999E-3</v>
      </c>
      <c r="L1568">
        <v>1.1021920000000001E-3</v>
      </c>
      <c r="M1568">
        <v>1.0345210000000001E-3</v>
      </c>
      <c r="N1568">
        <v>9.7561659999999999E-4</v>
      </c>
    </row>
    <row r="1569" spans="1:14" hidden="1" x14ac:dyDescent="0.35">
      <c r="A1569" t="s">
        <v>709</v>
      </c>
      <c r="B1569" t="s">
        <v>625</v>
      </c>
      <c r="C1569" t="s">
        <v>626</v>
      </c>
      <c r="D1569" t="s">
        <v>626</v>
      </c>
      <c r="E1569" t="s">
        <v>584</v>
      </c>
      <c r="F1569" t="s">
        <v>581</v>
      </c>
      <c r="G1569" t="s">
        <v>25</v>
      </c>
      <c r="H1569">
        <v>1.1520549999999999E-3</v>
      </c>
      <c r="I1569">
        <v>7.7123290000000004E-4</v>
      </c>
      <c r="J1569">
        <v>5.1643839999999995E-4</v>
      </c>
      <c r="K1569">
        <v>0</v>
      </c>
    </row>
    <row r="1570" spans="1:14" hidden="1" x14ac:dyDescent="0.35">
      <c r="A1570" t="s">
        <v>709</v>
      </c>
      <c r="B1570" t="s">
        <v>625</v>
      </c>
      <c r="C1570" t="s">
        <v>626</v>
      </c>
      <c r="D1570" t="s">
        <v>626</v>
      </c>
      <c r="E1570" t="s">
        <v>584</v>
      </c>
      <c r="F1570" t="s">
        <v>26</v>
      </c>
      <c r="G1570" t="s">
        <v>26</v>
      </c>
      <c r="H1570">
        <v>7.2206839999999994E-2</v>
      </c>
      <c r="I1570">
        <v>6.755891E-2</v>
      </c>
      <c r="J1570">
        <v>6.3177810000000001E-2</v>
      </c>
      <c r="K1570">
        <v>5.8556440000000001E-2</v>
      </c>
      <c r="L1570">
        <v>5.3513430000000001E-2</v>
      </c>
      <c r="M1570">
        <v>4.772274E-2</v>
      </c>
      <c r="N1570">
        <v>4.2665750000000002E-2</v>
      </c>
    </row>
    <row r="1571" spans="1:14" hidden="1" x14ac:dyDescent="0.35">
      <c r="A1571" t="s">
        <v>709</v>
      </c>
      <c r="B1571" t="s">
        <v>53</v>
      </c>
      <c r="C1571" t="s">
        <v>52</v>
      </c>
      <c r="D1571" t="s">
        <v>52</v>
      </c>
      <c r="E1571" t="s">
        <v>584</v>
      </c>
      <c r="F1571" t="s">
        <v>581</v>
      </c>
      <c r="G1571" t="s">
        <v>396</v>
      </c>
      <c r="H1571">
        <v>0</v>
      </c>
    </row>
    <row r="1572" spans="1:14" hidden="1" x14ac:dyDescent="0.35">
      <c r="A1572" t="s">
        <v>711</v>
      </c>
      <c r="B1572" t="s">
        <v>74</v>
      </c>
      <c r="C1572" t="s">
        <v>87</v>
      </c>
      <c r="D1572" t="s">
        <v>87</v>
      </c>
      <c r="E1572" t="s">
        <v>584</v>
      </c>
      <c r="F1572" t="s">
        <v>581</v>
      </c>
      <c r="G1572" t="s">
        <v>396</v>
      </c>
      <c r="H1572">
        <v>31.457599999999999</v>
      </c>
      <c r="I1572">
        <v>20.78285</v>
      </c>
      <c r="J1572">
        <v>14.36491</v>
      </c>
      <c r="K1572">
        <v>11.99494</v>
      </c>
      <c r="L1572">
        <v>9.453068</v>
      </c>
      <c r="M1572">
        <v>6.7810600000000001</v>
      </c>
      <c r="N1572">
        <v>5.1927209999999997</v>
      </c>
    </row>
    <row r="1573" spans="1:14" hidden="1" x14ac:dyDescent="0.35">
      <c r="A1573" t="s">
        <v>711</v>
      </c>
      <c r="B1573" t="s">
        <v>74</v>
      </c>
      <c r="C1573" t="s">
        <v>87</v>
      </c>
      <c r="D1573" t="s">
        <v>87</v>
      </c>
      <c r="E1573" t="s">
        <v>584</v>
      </c>
      <c r="F1573" t="s">
        <v>581</v>
      </c>
      <c r="G1573" t="s">
        <v>25</v>
      </c>
      <c r="H1573">
        <v>0.19553699999999999</v>
      </c>
      <c r="I1573">
        <v>0.1110616</v>
      </c>
      <c r="J1573">
        <v>7.0431510000000003E-2</v>
      </c>
      <c r="K1573">
        <v>4.9519180000000003E-2</v>
      </c>
      <c r="L1573">
        <v>3.5883560000000002E-2</v>
      </c>
      <c r="M1573">
        <v>2.682329E-2</v>
      </c>
      <c r="N1573">
        <v>2.0427399999999998E-2</v>
      </c>
    </row>
    <row r="1574" spans="1:14" hidden="1" x14ac:dyDescent="0.35">
      <c r="A1574" t="s">
        <v>711</v>
      </c>
      <c r="B1574" t="s">
        <v>74</v>
      </c>
      <c r="C1574" t="s">
        <v>87</v>
      </c>
      <c r="D1574" t="s">
        <v>87</v>
      </c>
      <c r="E1574" t="s">
        <v>584</v>
      </c>
      <c r="F1574" t="s">
        <v>26</v>
      </c>
      <c r="G1574" t="s">
        <v>26</v>
      </c>
      <c r="H1574">
        <v>1.4662599999999999</v>
      </c>
      <c r="I1574">
        <v>0.77715590000000001</v>
      </c>
      <c r="J1574">
        <v>0.33876270000000003</v>
      </c>
      <c r="K1574">
        <v>0.28751779999999999</v>
      </c>
      <c r="L1574">
        <v>0.2404915</v>
      </c>
      <c r="M1574">
        <v>0.16790959999999999</v>
      </c>
      <c r="N1574">
        <v>0.1265088</v>
      </c>
    </row>
    <row r="1575" spans="1:14" hidden="1" x14ac:dyDescent="0.35">
      <c r="A1575" t="s">
        <v>711</v>
      </c>
      <c r="B1575" t="s">
        <v>74</v>
      </c>
      <c r="C1575" t="s">
        <v>87</v>
      </c>
      <c r="D1575" t="s">
        <v>88</v>
      </c>
      <c r="E1575" t="s">
        <v>584</v>
      </c>
      <c r="F1575" t="s">
        <v>581</v>
      </c>
      <c r="G1575" t="s">
        <v>396</v>
      </c>
      <c r="H1575">
        <v>0.15576470000000001</v>
      </c>
      <c r="I1575">
        <v>0.16515750000000001</v>
      </c>
      <c r="J1575">
        <v>0.1206199</v>
      </c>
      <c r="K1575">
        <v>0.100817</v>
      </c>
      <c r="L1575">
        <v>7.4298520000000007E-2</v>
      </c>
      <c r="M1575">
        <v>3.7838509999999999E-2</v>
      </c>
      <c r="N1575">
        <v>3.7734999999999998E-2</v>
      </c>
    </row>
    <row r="1576" spans="1:14" hidden="1" x14ac:dyDescent="0.35">
      <c r="A1576" t="s">
        <v>711</v>
      </c>
      <c r="B1576" t="s">
        <v>74</v>
      </c>
      <c r="C1576" t="s">
        <v>87</v>
      </c>
      <c r="D1576" t="s">
        <v>88</v>
      </c>
      <c r="E1576" t="s">
        <v>584</v>
      </c>
      <c r="F1576" t="s">
        <v>581</v>
      </c>
      <c r="G1576" t="s">
        <v>24</v>
      </c>
      <c r="H1576">
        <v>4.7328070000000002</v>
      </c>
      <c r="I1576">
        <v>4.9584530000000004</v>
      </c>
      <c r="J1576">
        <v>4.076295</v>
      </c>
      <c r="K1576">
        <v>3.8280620000000001</v>
      </c>
      <c r="L1576">
        <v>3.5445449999999998</v>
      </c>
      <c r="M1576">
        <v>3.2537739999999999</v>
      </c>
      <c r="N1576">
        <v>3.0162019999999998</v>
      </c>
    </row>
    <row r="1577" spans="1:14" hidden="1" x14ac:dyDescent="0.35">
      <c r="A1577" t="s">
        <v>711</v>
      </c>
      <c r="B1577" t="s">
        <v>74</v>
      </c>
      <c r="C1577" t="s">
        <v>87</v>
      </c>
      <c r="D1577" t="s">
        <v>88</v>
      </c>
      <c r="E1577" t="s">
        <v>584</v>
      </c>
      <c r="F1577" t="s">
        <v>581</v>
      </c>
      <c r="G1577" t="s">
        <v>25</v>
      </c>
      <c r="H1577">
        <v>0.72822200000000004</v>
      </c>
      <c r="I1577">
        <v>0.57417980000000002</v>
      </c>
      <c r="J1577">
        <v>0.45350370000000001</v>
      </c>
      <c r="K1577">
        <v>0.41898160000000001</v>
      </c>
      <c r="L1577">
        <v>0.37235309999999999</v>
      </c>
      <c r="M1577">
        <v>0.32372820000000002</v>
      </c>
      <c r="N1577">
        <v>0.28212680000000001</v>
      </c>
    </row>
    <row r="1578" spans="1:14" hidden="1" x14ac:dyDescent="0.35">
      <c r="A1578" t="s">
        <v>711</v>
      </c>
      <c r="B1578" t="s">
        <v>74</v>
      </c>
      <c r="C1578" t="s">
        <v>87</v>
      </c>
      <c r="D1578" t="s">
        <v>88</v>
      </c>
      <c r="E1578" t="s">
        <v>584</v>
      </c>
      <c r="F1578" t="s">
        <v>26</v>
      </c>
      <c r="G1578" t="s">
        <v>26</v>
      </c>
      <c r="H1578">
        <v>3.722315</v>
      </c>
      <c r="I1578">
        <v>4.1890780000000003</v>
      </c>
      <c r="J1578">
        <v>3.4992190000000001</v>
      </c>
      <c r="K1578">
        <v>3.295865</v>
      </c>
      <c r="L1578">
        <v>3.0749819999999999</v>
      </c>
      <c r="M1578">
        <v>2.8239329999999998</v>
      </c>
      <c r="N1578">
        <v>2.7943009999999999</v>
      </c>
    </row>
    <row r="1579" spans="1:14" hidden="1" x14ac:dyDescent="0.35">
      <c r="A1579" t="s">
        <v>711</v>
      </c>
      <c r="B1579" t="s">
        <v>74</v>
      </c>
      <c r="C1579" t="s">
        <v>87</v>
      </c>
      <c r="D1579" t="s">
        <v>92</v>
      </c>
      <c r="E1579" t="s">
        <v>584</v>
      </c>
      <c r="F1579" t="s">
        <v>581</v>
      </c>
      <c r="G1579" t="s">
        <v>396</v>
      </c>
      <c r="H1579">
        <v>4.9698000000000002</v>
      </c>
      <c r="I1579">
        <v>0.73672610000000005</v>
      </c>
      <c r="J1579">
        <v>0</v>
      </c>
    </row>
    <row r="1580" spans="1:14" hidden="1" x14ac:dyDescent="0.35">
      <c r="A1580" t="s">
        <v>711</v>
      </c>
      <c r="B1580" t="s">
        <v>74</v>
      </c>
      <c r="C1580" t="s">
        <v>87</v>
      </c>
      <c r="D1580" t="s">
        <v>92</v>
      </c>
      <c r="E1580" t="s">
        <v>584</v>
      </c>
      <c r="F1580" t="s">
        <v>581</v>
      </c>
      <c r="G1580" t="s">
        <v>25</v>
      </c>
      <c r="H1580">
        <v>0.45772610000000002</v>
      </c>
      <c r="I1580">
        <v>6.7852060000000006E-2</v>
      </c>
      <c r="J1580">
        <v>0</v>
      </c>
    </row>
    <row r="1581" spans="1:14" hidden="1" x14ac:dyDescent="0.35">
      <c r="A1581" t="s">
        <v>711</v>
      </c>
      <c r="B1581" t="s">
        <v>74</v>
      </c>
      <c r="C1581" t="s">
        <v>87</v>
      </c>
      <c r="D1581" t="s">
        <v>92</v>
      </c>
      <c r="E1581" t="s">
        <v>584</v>
      </c>
      <c r="F1581" t="s">
        <v>26</v>
      </c>
      <c r="G1581" t="s">
        <v>26</v>
      </c>
      <c r="H1581">
        <v>0.62459730000000002</v>
      </c>
      <c r="I1581">
        <v>9.2589039999999997E-2</v>
      </c>
      <c r="J1581">
        <v>0</v>
      </c>
    </row>
    <row r="1582" spans="1:14" hidden="1" x14ac:dyDescent="0.35">
      <c r="A1582" t="s">
        <v>711</v>
      </c>
      <c r="B1582" t="s">
        <v>74</v>
      </c>
      <c r="C1582" t="s">
        <v>87</v>
      </c>
      <c r="D1582" t="s">
        <v>89</v>
      </c>
      <c r="E1582" t="s">
        <v>584</v>
      </c>
      <c r="F1582" t="s">
        <v>581</v>
      </c>
      <c r="G1582" t="s">
        <v>396</v>
      </c>
      <c r="H1582">
        <v>0.50104990000000005</v>
      </c>
      <c r="I1582">
        <v>7.5753420000000002E-2</v>
      </c>
      <c r="J1582">
        <v>0</v>
      </c>
    </row>
    <row r="1583" spans="1:14" hidden="1" x14ac:dyDescent="0.35">
      <c r="A1583" t="s">
        <v>711</v>
      </c>
      <c r="B1583" t="s">
        <v>74</v>
      </c>
      <c r="C1583" t="s">
        <v>87</v>
      </c>
      <c r="D1583" t="s">
        <v>89</v>
      </c>
      <c r="E1583" t="s">
        <v>584</v>
      </c>
      <c r="F1583" t="s">
        <v>581</v>
      </c>
      <c r="G1583" t="s">
        <v>25</v>
      </c>
      <c r="H1583">
        <v>1.486027E-3</v>
      </c>
      <c r="I1583">
        <v>2.246575E-4</v>
      </c>
      <c r="J1583">
        <v>0</v>
      </c>
    </row>
    <row r="1584" spans="1:14" hidden="1" x14ac:dyDescent="0.35">
      <c r="A1584" t="s">
        <v>711</v>
      </c>
      <c r="B1584" t="s">
        <v>74</v>
      </c>
      <c r="C1584" t="s">
        <v>87</v>
      </c>
      <c r="D1584" t="s">
        <v>89</v>
      </c>
      <c r="E1584" t="s">
        <v>584</v>
      </c>
      <c r="F1584" t="s">
        <v>26</v>
      </c>
      <c r="G1584" t="s">
        <v>26</v>
      </c>
      <c r="H1584">
        <v>0.82191780000000003</v>
      </c>
      <c r="I1584">
        <v>0.1242663</v>
      </c>
      <c r="J1584">
        <v>0</v>
      </c>
    </row>
    <row r="1585" spans="1:14" hidden="1" x14ac:dyDescent="0.35">
      <c r="A1585" t="s">
        <v>711</v>
      </c>
      <c r="B1585" t="s">
        <v>74</v>
      </c>
      <c r="C1585" t="s">
        <v>87</v>
      </c>
      <c r="D1585" t="s">
        <v>91</v>
      </c>
      <c r="E1585" t="s">
        <v>584</v>
      </c>
      <c r="F1585" t="s">
        <v>581</v>
      </c>
      <c r="G1585" t="s">
        <v>396</v>
      </c>
      <c r="H1585">
        <v>0.12755050000000001</v>
      </c>
      <c r="I1585">
        <v>0.1199149</v>
      </c>
      <c r="J1585">
        <v>7.5443220000000005E-2</v>
      </c>
      <c r="K1585">
        <v>5.4073839999999998E-2</v>
      </c>
      <c r="L1585">
        <v>3.6857529999999999E-2</v>
      </c>
      <c r="M1585">
        <v>5.5619370000000001E-2</v>
      </c>
      <c r="N1585">
        <v>6.9627309999999998E-2</v>
      </c>
    </row>
    <row r="1586" spans="1:14" hidden="1" x14ac:dyDescent="0.35">
      <c r="A1586" t="s">
        <v>711</v>
      </c>
      <c r="B1586" t="s">
        <v>74</v>
      </c>
      <c r="C1586" t="s">
        <v>87</v>
      </c>
      <c r="D1586" t="s">
        <v>91</v>
      </c>
      <c r="E1586" t="s">
        <v>584</v>
      </c>
      <c r="F1586" t="s">
        <v>581</v>
      </c>
      <c r="G1586" t="s">
        <v>25</v>
      </c>
      <c r="H1586">
        <v>2.3567449999999999E-3</v>
      </c>
      <c r="I1586">
        <v>2.2156680000000001E-3</v>
      </c>
      <c r="J1586">
        <v>1.3939449999999999E-3</v>
      </c>
      <c r="K1586">
        <v>9.9909260000000002E-4</v>
      </c>
      <c r="L1586">
        <v>6.8076370000000005E-4</v>
      </c>
      <c r="M1586">
        <v>7.0045630000000001E-4</v>
      </c>
      <c r="N1586">
        <v>7.5663249999999998E-4</v>
      </c>
    </row>
    <row r="1587" spans="1:14" hidden="1" x14ac:dyDescent="0.35">
      <c r="A1587" t="s">
        <v>711</v>
      </c>
      <c r="B1587" t="s">
        <v>74</v>
      </c>
      <c r="C1587" t="s">
        <v>87</v>
      </c>
      <c r="D1587" t="s">
        <v>91</v>
      </c>
      <c r="E1587" t="s">
        <v>584</v>
      </c>
      <c r="F1587" t="s">
        <v>26</v>
      </c>
      <c r="G1587" t="s">
        <v>26</v>
      </c>
      <c r="H1587">
        <v>1.424476E-2</v>
      </c>
      <c r="I1587">
        <v>1.3392019999999999E-2</v>
      </c>
      <c r="J1587">
        <v>8.4254780000000001E-3</v>
      </c>
      <c r="K1587">
        <v>6.0389429999999997E-3</v>
      </c>
      <c r="L1587">
        <v>4.1161629999999999E-3</v>
      </c>
      <c r="M1587">
        <v>6.110547E-3</v>
      </c>
      <c r="N1587">
        <v>7.6123689999999999E-3</v>
      </c>
    </row>
    <row r="1588" spans="1:14" hidden="1" x14ac:dyDescent="0.35">
      <c r="A1588" t="s">
        <v>711</v>
      </c>
      <c r="B1588" t="s">
        <v>74</v>
      </c>
      <c r="C1588" t="s">
        <v>96</v>
      </c>
      <c r="D1588" t="s">
        <v>348</v>
      </c>
      <c r="E1588" t="s">
        <v>584</v>
      </c>
      <c r="F1588" t="s">
        <v>581</v>
      </c>
      <c r="G1588" t="s">
        <v>25</v>
      </c>
      <c r="H1588">
        <v>0</v>
      </c>
      <c r="I1588">
        <v>1.0294519999999999E-3</v>
      </c>
      <c r="J1588">
        <v>2.0736970000000001</v>
      </c>
      <c r="K1588">
        <v>1.8220259999999999</v>
      </c>
      <c r="L1588">
        <v>1.344454</v>
      </c>
      <c r="M1588">
        <v>0.9946931</v>
      </c>
      <c r="N1588">
        <v>0.75079110000000004</v>
      </c>
    </row>
    <row r="1589" spans="1:14" hidden="1" x14ac:dyDescent="0.35">
      <c r="A1589" t="s">
        <v>711</v>
      </c>
      <c r="B1589" t="s">
        <v>74</v>
      </c>
      <c r="C1589" t="s">
        <v>96</v>
      </c>
      <c r="D1589" t="s">
        <v>348</v>
      </c>
      <c r="E1589" t="s">
        <v>584</v>
      </c>
      <c r="F1589" t="s">
        <v>26</v>
      </c>
      <c r="G1589" t="s">
        <v>26</v>
      </c>
      <c r="H1589">
        <v>0</v>
      </c>
      <c r="I1589">
        <v>1.1621920000000001E-2</v>
      </c>
      <c r="J1589">
        <v>29.241430000000001</v>
      </c>
      <c r="K1589">
        <v>32.821710000000003</v>
      </c>
      <c r="L1589">
        <v>24.847090000000001</v>
      </c>
      <c r="M1589">
        <v>18.33005</v>
      </c>
      <c r="N1589">
        <v>25.802610000000001</v>
      </c>
    </row>
    <row r="1590" spans="1:14" hidden="1" x14ac:dyDescent="0.35">
      <c r="A1590" t="s">
        <v>711</v>
      </c>
      <c r="B1590" t="s">
        <v>74</v>
      </c>
      <c r="C1590" t="s">
        <v>96</v>
      </c>
      <c r="D1590" t="s">
        <v>96</v>
      </c>
      <c r="E1590" t="s">
        <v>584</v>
      </c>
      <c r="F1590" t="s">
        <v>581</v>
      </c>
      <c r="G1590" t="s">
        <v>24</v>
      </c>
      <c r="H1590">
        <v>9.1185210000000003E-4</v>
      </c>
      <c r="I1590">
        <v>7.0142469999999999E-6</v>
      </c>
      <c r="J1590">
        <v>4.6761640000000001E-6</v>
      </c>
      <c r="K1590">
        <v>2.338082E-6</v>
      </c>
      <c r="L1590">
        <v>1.169041E-6</v>
      </c>
      <c r="M1590">
        <v>1.169041E-6</v>
      </c>
      <c r="N1590">
        <v>1.169041E-6</v>
      </c>
    </row>
    <row r="1591" spans="1:14" hidden="1" x14ac:dyDescent="0.35">
      <c r="A1591" t="s">
        <v>711</v>
      </c>
      <c r="B1591" t="s">
        <v>74</v>
      </c>
      <c r="C1591" t="s">
        <v>96</v>
      </c>
      <c r="D1591" t="s">
        <v>96</v>
      </c>
      <c r="E1591" t="s">
        <v>584</v>
      </c>
      <c r="F1591" t="s">
        <v>26</v>
      </c>
      <c r="G1591" t="s">
        <v>26</v>
      </c>
      <c r="H1591">
        <v>1.5087539999999999</v>
      </c>
      <c r="I1591">
        <v>2.1497419999999998</v>
      </c>
      <c r="J1591">
        <v>2.2228520000000001</v>
      </c>
      <c r="K1591">
        <v>0.95070299999999996</v>
      </c>
      <c r="L1591">
        <v>2.6495149999999999E-2</v>
      </c>
      <c r="M1591">
        <v>1.6806129999999999E-2</v>
      </c>
      <c r="N1591">
        <v>1.072478E-2</v>
      </c>
    </row>
    <row r="1592" spans="1:14" hidden="1" x14ac:dyDescent="0.35">
      <c r="A1592" t="s">
        <v>711</v>
      </c>
      <c r="B1592" t="s">
        <v>74</v>
      </c>
      <c r="C1592" t="s">
        <v>71</v>
      </c>
      <c r="D1592" t="s">
        <v>75</v>
      </c>
      <c r="E1592" t="s">
        <v>584</v>
      </c>
      <c r="F1592" t="s">
        <v>581</v>
      </c>
      <c r="G1592" t="s">
        <v>396</v>
      </c>
      <c r="H1592">
        <v>8.8738499999999991</v>
      </c>
      <c r="I1592">
        <v>6.5711019999999998</v>
      </c>
      <c r="J1592">
        <v>4.6337890000000002</v>
      </c>
      <c r="K1592">
        <v>3.7985980000000001</v>
      </c>
      <c r="L1592">
        <v>3.7944149999999999</v>
      </c>
      <c r="M1592">
        <v>3.2252540000000001</v>
      </c>
      <c r="N1592">
        <v>2.4878909999999999</v>
      </c>
    </row>
    <row r="1593" spans="1:14" hidden="1" x14ac:dyDescent="0.35">
      <c r="A1593" t="s">
        <v>711</v>
      </c>
      <c r="B1593" t="s">
        <v>74</v>
      </c>
      <c r="C1593" t="s">
        <v>71</v>
      </c>
      <c r="D1593" t="s">
        <v>75</v>
      </c>
      <c r="E1593" t="s">
        <v>584</v>
      </c>
      <c r="F1593" t="s">
        <v>581</v>
      </c>
      <c r="G1593" t="s">
        <v>25</v>
      </c>
      <c r="H1593">
        <v>0.1299612</v>
      </c>
      <c r="I1593">
        <v>2.8590310000000001E-2</v>
      </c>
      <c r="J1593">
        <v>2.016016E-2</v>
      </c>
      <c r="K1593">
        <v>1.652884E-2</v>
      </c>
      <c r="L1593">
        <v>1.6509840000000001E-2</v>
      </c>
      <c r="M1593">
        <v>1.403337E-2</v>
      </c>
      <c r="N1593">
        <v>1.082429E-2</v>
      </c>
    </row>
    <row r="1594" spans="1:14" hidden="1" x14ac:dyDescent="0.35">
      <c r="A1594" t="s">
        <v>711</v>
      </c>
      <c r="B1594" t="s">
        <v>74</v>
      </c>
      <c r="C1594" t="s">
        <v>71</v>
      </c>
      <c r="D1594" t="s">
        <v>75</v>
      </c>
      <c r="E1594" t="s">
        <v>584</v>
      </c>
      <c r="F1594" t="s">
        <v>26</v>
      </c>
      <c r="G1594" t="s">
        <v>26</v>
      </c>
      <c r="H1594">
        <v>0.48746260000000002</v>
      </c>
      <c r="I1594">
        <v>0.56142119999999995</v>
      </c>
      <c r="J1594">
        <v>0.39590259999999999</v>
      </c>
      <c r="K1594">
        <v>0.32454509999999998</v>
      </c>
      <c r="L1594">
        <v>0.32418829999999998</v>
      </c>
      <c r="M1594">
        <v>0.27556019999999998</v>
      </c>
      <c r="N1594">
        <v>0.212561</v>
      </c>
    </row>
    <row r="1595" spans="1:14" hidden="1" x14ac:dyDescent="0.35">
      <c r="A1595" t="s">
        <v>711</v>
      </c>
      <c r="B1595" t="s">
        <v>74</v>
      </c>
      <c r="C1595" t="s">
        <v>71</v>
      </c>
      <c r="D1595" t="s">
        <v>137</v>
      </c>
      <c r="E1595" t="s">
        <v>584</v>
      </c>
      <c r="F1595" t="s">
        <v>581</v>
      </c>
      <c r="G1595" t="s">
        <v>396</v>
      </c>
      <c r="H1595">
        <v>6.4043400000000004</v>
      </c>
      <c r="I1595">
        <v>5.0495919999999996</v>
      </c>
      <c r="J1595">
        <v>3.6982379999999999</v>
      </c>
      <c r="K1595">
        <v>3.1689790000000002</v>
      </c>
      <c r="L1595">
        <v>3.012343</v>
      </c>
      <c r="M1595">
        <v>2.5484249999999999</v>
      </c>
      <c r="N1595">
        <v>2.1020289999999999</v>
      </c>
    </row>
    <row r="1596" spans="1:14" hidden="1" x14ac:dyDescent="0.35">
      <c r="A1596" t="s">
        <v>711</v>
      </c>
      <c r="B1596" t="s">
        <v>74</v>
      </c>
      <c r="C1596" t="s">
        <v>71</v>
      </c>
      <c r="D1596" t="s">
        <v>137</v>
      </c>
      <c r="E1596" t="s">
        <v>584</v>
      </c>
      <c r="F1596" t="s">
        <v>581</v>
      </c>
      <c r="G1596" t="s">
        <v>25</v>
      </c>
      <c r="H1596">
        <v>1.1445210000000001E-2</v>
      </c>
      <c r="I1596">
        <v>4.6013699999999996E-3</v>
      </c>
      <c r="J1596">
        <v>3.936986E-3</v>
      </c>
      <c r="K1596">
        <v>4.0561649999999996E-3</v>
      </c>
      <c r="L1596">
        <v>3.8849319999999998E-3</v>
      </c>
      <c r="M1596">
        <v>3.758904E-3</v>
      </c>
      <c r="N1596">
        <v>2.8232880000000002E-3</v>
      </c>
    </row>
    <row r="1597" spans="1:14" hidden="1" x14ac:dyDescent="0.35">
      <c r="A1597" t="s">
        <v>711</v>
      </c>
      <c r="B1597" t="s">
        <v>74</v>
      </c>
      <c r="C1597" t="s">
        <v>71</v>
      </c>
      <c r="D1597" t="s">
        <v>137</v>
      </c>
      <c r="E1597" t="s">
        <v>584</v>
      </c>
      <c r="F1597" t="s">
        <v>26</v>
      </c>
      <c r="G1597" t="s">
        <v>26</v>
      </c>
      <c r="H1597">
        <v>9.8071220000000001E-2</v>
      </c>
      <c r="I1597">
        <v>6.9987670000000002E-2</v>
      </c>
      <c r="J1597">
        <v>3.8735619999999998E-2</v>
      </c>
      <c r="K1597">
        <v>3.1047950000000001E-2</v>
      </c>
      <c r="L1597">
        <v>2.316027E-2</v>
      </c>
      <c r="M1597">
        <v>1.724384E-2</v>
      </c>
      <c r="N1597">
        <v>1.371781E-2</v>
      </c>
    </row>
    <row r="1598" spans="1:14" hidden="1" x14ac:dyDescent="0.35">
      <c r="A1598" t="s">
        <v>711</v>
      </c>
      <c r="B1598" t="s">
        <v>74</v>
      </c>
      <c r="C1598" t="s">
        <v>146</v>
      </c>
      <c r="D1598" t="s">
        <v>147</v>
      </c>
      <c r="E1598" t="s">
        <v>584</v>
      </c>
      <c r="F1598" t="s">
        <v>581</v>
      </c>
      <c r="G1598" t="s">
        <v>396</v>
      </c>
      <c r="H1598">
        <v>1.679951</v>
      </c>
      <c r="I1598">
        <v>1.573334</v>
      </c>
      <c r="J1598">
        <v>1.031525</v>
      </c>
      <c r="K1598">
        <v>0.41910910000000001</v>
      </c>
      <c r="L1598">
        <v>0.20013810000000001</v>
      </c>
      <c r="M1598">
        <v>0.29306349999999998</v>
      </c>
      <c r="N1598">
        <v>0.75071929999999998</v>
      </c>
    </row>
    <row r="1599" spans="1:14" hidden="1" x14ac:dyDescent="0.35">
      <c r="A1599" t="s">
        <v>711</v>
      </c>
      <c r="B1599" t="s">
        <v>74</v>
      </c>
      <c r="C1599" t="s">
        <v>146</v>
      </c>
      <c r="D1599" t="s">
        <v>147</v>
      </c>
      <c r="E1599" t="s">
        <v>584</v>
      </c>
      <c r="F1599" t="s">
        <v>581</v>
      </c>
      <c r="G1599" t="s">
        <v>24</v>
      </c>
      <c r="K1599">
        <v>0</v>
      </c>
      <c r="L1599">
        <v>0.1383808</v>
      </c>
      <c r="M1599">
        <v>0.41697440000000002</v>
      </c>
      <c r="N1599">
        <v>0.36681180000000002</v>
      </c>
    </row>
    <row r="1600" spans="1:14" hidden="1" x14ac:dyDescent="0.35">
      <c r="A1600" t="s">
        <v>711</v>
      </c>
      <c r="B1600" t="s">
        <v>74</v>
      </c>
      <c r="C1600" t="s">
        <v>146</v>
      </c>
      <c r="D1600" t="s">
        <v>147</v>
      </c>
      <c r="E1600" t="s">
        <v>584</v>
      </c>
      <c r="F1600" t="s">
        <v>581</v>
      </c>
      <c r="G1600" t="s">
        <v>25</v>
      </c>
      <c r="H1600">
        <v>1.8984640000000001E-2</v>
      </c>
      <c r="I1600">
        <v>1.8608619999999999E-2</v>
      </c>
      <c r="J1600">
        <v>1.2524840000000001E-2</v>
      </c>
      <c r="K1600">
        <v>5.9994660000000002E-3</v>
      </c>
      <c r="L1600">
        <v>2.9002530000000002E-3</v>
      </c>
      <c r="M1600">
        <v>0.128468</v>
      </c>
      <c r="N1600">
        <v>0.55440500000000004</v>
      </c>
    </row>
    <row r="1601" spans="1:14" hidden="1" x14ac:dyDescent="0.35">
      <c r="A1601" t="s">
        <v>711</v>
      </c>
      <c r="B1601" t="s">
        <v>74</v>
      </c>
      <c r="C1601" t="s">
        <v>146</v>
      </c>
      <c r="D1601" t="s">
        <v>147</v>
      </c>
      <c r="E1601" t="s">
        <v>584</v>
      </c>
      <c r="F1601" t="s">
        <v>26</v>
      </c>
      <c r="G1601" t="s">
        <v>26</v>
      </c>
      <c r="H1601">
        <v>1.3068299999999999</v>
      </c>
      <c r="I1601">
        <v>1.4027890000000001</v>
      </c>
      <c r="J1601">
        <v>0.94704200000000005</v>
      </c>
      <c r="K1601">
        <v>0.58914120000000003</v>
      </c>
      <c r="L1601">
        <v>2.0005380000000001</v>
      </c>
      <c r="M1601">
        <v>5.3616409999999997</v>
      </c>
      <c r="N1601">
        <v>5.3048919999999997</v>
      </c>
    </row>
    <row r="1602" spans="1:14" hidden="1" x14ac:dyDescent="0.35">
      <c r="A1602" t="s">
        <v>711</v>
      </c>
      <c r="B1602" t="s">
        <v>74</v>
      </c>
      <c r="C1602" t="s">
        <v>146</v>
      </c>
      <c r="D1602" t="s">
        <v>146</v>
      </c>
      <c r="E1602" t="s">
        <v>584</v>
      </c>
      <c r="F1602" t="s">
        <v>581</v>
      </c>
      <c r="G1602" t="s">
        <v>396</v>
      </c>
      <c r="H1602">
        <v>0.37980999999999998</v>
      </c>
      <c r="I1602">
        <v>0.46356000000000003</v>
      </c>
      <c r="J1602">
        <v>0.2502856</v>
      </c>
      <c r="K1602">
        <v>2.8770340000000001E-3</v>
      </c>
      <c r="L1602">
        <v>0</v>
      </c>
    </row>
    <row r="1603" spans="1:14" hidden="1" x14ac:dyDescent="0.35">
      <c r="A1603" t="s">
        <v>711</v>
      </c>
      <c r="B1603" t="s">
        <v>74</v>
      </c>
      <c r="C1603" t="s">
        <v>127</v>
      </c>
      <c r="D1603" t="s">
        <v>127</v>
      </c>
      <c r="E1603" t="s">
        <v>584</v>
      </c>
      <c r="F1603" t="s">
        <v>581</v>
      </c>
      <c r="G1603" t="s">
        <v>396</v>
      </c>
      <c r="H1603">
        <v>3.4355859999999998</v>
      </c>
      <c r="I1603">
        <v>2.7184710000000001</v>
      </c>
      <c r="J1603">
        <v>2.2593269999999999</v>
      </c>
      <c r="K1603">
        <v>1.971279</v>
      </c>
      <c r="L1603">
        <v>2.0844299999999998</v>
      </c>
      <c r="M1603">
        <v>1.827971</v>
      </c>
      <c r="N1603">
        <v>1.5860909999999999</v>
      </c>
    </row>
    <row r="1604" spans="1:14" hidden="1" x14ac:dyDescent="0.35">
      <c r="A1604" t="s">
        <v>711</v>
      </c>
      <c r="B1604" t="s">
        <v>154</v>
      </c>
      <c r="C1604" t="s">
        <v>153</v>
      </c>
      <c r="D1604" t="s">
        <v>153</v>
      </c>
      <c r="E1604" t="s">
        <v>584</v>
      </c>
      <c r="F1604" t="s">
        <v>581</v>
      </c>
      <c r="G1604" t="s">
        <v>396</v>
      </c>
      <c r="H1604">
        <v>7.2963269999999998</v>
      </c>
      <c r="I1604">
        <v>7.4610370000000001</v>
      </c>
      <c r="J1604">
        <v>7.9874869999999998</v>
      </c>
      <c r="K1604">
        <v>7.0843999999999996</v>
      </c>
      <c r="L1604">
        <v>7.0174950000000003</v>
      </c>
      <c r="M1604">
        <v>6.5128870000000001</v>
      </c>
      <c r="N1604">
        <v>5.6409370000000001</v>
      </c>
    </row>
    <row r="1605" spans="1:14" hidden="1" x14ac:dyDescent="0.35">
      <c r="A1605" t="s">
        <v>711</v>
      </c>
      <c r="B1605" t="s">
        <v>154</v>
      </c>
      <c r="C1605" t="s">
        <v>153</v>
      </c>
      <c r="D1605" t="s">
        <v>153</v>
      </c>
      <c r="E1605" t="s">
        <v>584</v>
      </c>
      <c r="F1605" t="s">
        <v>26</v>
      </c>
      <c r="G1605" t="s">
        <v>26</v>
      </c>
      <c r="H1605">
        <v>0.97084700000000002</v>
      </c>
      <c r="I1605">
        <v>0.92790919999999999</v>
      </c>
      <c r="J1605">
        <v>0.94277789999999995</v>
      </c>
      <c r="K1605">
        <v>0.33600989999999997</v>
      </c>
      <c r="L1605">
        <v>0.2779721</v>
      </c>
      <c r="M1605">
        <v>0.25798490000000002</v>
      </c>
      <c r="N1605">
        <v>0.22344520000000001</v>
      </c>
    </row>
    <row r="1606" spans="1:14" hidden="1" x14ac:dyDescent="0.35">
      <c r="A1606" t="s">
        <v>711</v>
      </c>
      <c r="B1606" t="s">
        <v>60</v>
      </c>
      <c r="C1606" t="s">
        <v>58</v>
      </c>
      <c r="D1606" t="s">
        <v>58</v>
      </c>
      <c r="E1606" t="s">
        <v>584</v>
      </c>
      <c r="F1606" t="s">
        <v>581</v>
      </c>
      <c r="G1606" t="s">
        <v>396</v>
      </c>
      <c r="H1606">
        <v>0.1236655</v>
      </c>
      <c r="I1606">
        <v>0.1117176</v>
      </c>
      <c r="J1606">
        <v>0.1021555</v>
      </c>
      <c r="K1606">
        <v>9.3291840000000001E-2</v>
      </c>
      <c r="L1606">
        <v>5.662259E-2</v>
      </c>
      <c r="M1606">
        <v>5.6857270000000001E-2</v>
      </c>
      <c r="N1606">
        <v>5.703681E-2</v>
      </c>
    </row>
    <row r="1607" spans="1:14" hidden="1" x14ac:dyDescent="0.35">
      <c r="A1607" t="s">
        <v>711</v>
      </c>
      <c r="B1607" t="s">
        <v>60</v>
      </c>
      <c r="C1607" t="s">
        <v>58</v>
      </c>
      <c r="D1607" t="s">
        <v>58</v>
      </c>
      <c r="E1607" t="s">
        <v>584</v>
      </c>
      <c r="F1607" t="s">
        <v>581</v>
      </c>
      <c r="G1607" t="s">
        <v>24</v>
      </c>
      <c r="H1607">
        <v>0.1826865</v>
      </c>
      <c r="I1607">
        <v>0.45753949999999999</v>
      </c>
      <c r="J1607">
        <v>0.35667939999999998</v>
      </c>
      <c r="K1607">
        <v>0.26898709999999998</v>
      </c>
      <c r="L1607">
        <v>0.19919829999999999</v>
      </c>
      <c r="M1607">
        <v>0.16913909999999999</v>
      </c>
      <c r="N1607">
        <v>0.15029600000000001</v>
      </c>
    </row>
    <row r="1608" spans="1:14" hidden="1" x14ac:dyDescent="0.35">
      <c r="A1608" t="s">
        <v>711</v>
      </c>
      <c r="B1608" t="s">
        <v>60</v>
      </c>
      <c r="C1608" t="s">
        <v>58</v>
      </c>
      <c r="D1608" t="s">
        <v>58</v>
      </c>
      <c r="E1608" t="s">
        <v>584</v>
      </c>
      <c r="F1608" t="s">
        <v>26</v>
      </c>
      <c r="G1608" t="s">
        <v>26</v>
      </c>
      <c r="H1608">
        <v>7.5975450000000002</v>
      </c>
      <c r="I1608">
        <v>11.406610000000001</v>
      </c>
      <c r="J1608">
        <v>9.3246120000000001</v>
      </c>
      <c r="K1608">
        <v>7.445856</v>
      </c>
      <c r="L1608">
        <v>5.7449159999999999</v>
      </c>
      <c r="M1608">
        <v>4.8324689999999997</v>
      </c>
      <c r="N1608">
        <v>4.1716480000000002</v>
      </c>
    </row>
    <row r="1609" spans="1:14" hidden="1" x14ac:dyDescent="0.35">
      <c r="A1609" t="s">
        <v>711</v>
      </c>
      <c r="B1609" t="s">
        <v>60</v>
      </c>
      <c r="C1609" t="s">
        <v>153</v>
      </c>
      <c r="D1609" t="s">
        <v>153</v>
      </c>
      <c r="E1609" t="s">
        <v>584</v>
      </c>
      <c r="F1609" t="s">
        <v>581</v>
      </c>
      <c r="G1609" t="s">
        <v>24</v>
      </c>
      <c r="L1609">
        <v>0</v>
      </c>
      <c r="M1609">
        <v>0</v>
      </c>
      <c r="N1609">
        <v>-6.5320160000000003E-8</v>
      </c>
    </row>
    <row r="1610" spans="1:14" hidden="1" x14ac:dyDescent="0.35">
      <c r="A1610" t="s">
        <v>711</v>
      </c>
      <c r="B1610" t="s">
        <v>60</v>
      </c>
      <c r="C1610" t="s">
        <v>153</v>
      </c>
      <c r="D1610" t="s">
        <v>153</v>
      </c>
      <c r="E1610" t="s">
        <v>584</v>
      </c>
      <c r="F1610" t="s">
        <v>26</v>
      </c>
      <c r="G1610" t="s">
        <v>26</v>
      </c>
      <c r="L1610">
        <v>0</v>
      </c>
      <c r="M1610">
        <v>0</v>
      </c>
      <c r="N1610">
        <v>0</v>
      </c>
    </row>
    <row r="1611" spans="1:14" hidden="1" x14ac:dyDescent="0.35">
      <c r="A1611" t="s">
        <v>711</v>
      </c>
      <c r="B1611" t="s">
        <v>387</v>
      </c>
      <c r="C1611" t="s">
        <v>386</v>
      </c>
      <c r="D1611" t="s">
        <v>386</v>
      </c>
      <c r="E1611" t="s">
        <v>584</v>
      </c>
      <c r="F1611" t="s">
        <v>581</v>
      </c>
      <c r="G1611" t="s">
        <v>396</v>
      </c>
      <c r="M1611">
        <v>0</v>
      </c>
      <c r="N1611">
        <v>11.27252</v>
      </c>
    </row>
    <row r="1612" spans="1:14" hidden="1" x14ac:dyDescent="0.35">
      <c r="A1612" t="s">
        <v>711</v>
      </c>
      <c r="B1612" t="s">
        <v>150</v>
      </c>
      <c r="C1612" t="s">
        <v>148</v>
      </c>
      <c r="D1612" t="s">
        <v>149</v>
      </c>
      <c r="E1612" t="s">
        <v>584</v>
      </c>
      <c r="F1612" t="s">
        <v>581</v>
      </c>
      <c r="G1612" t="s">
        <v>396</v>
      </c>
      <c r="M1612">
        <v>0</v>
      </c>
      <c r="N1612">
        <v>7.4720709999999997</v>
      </c>
    </row>
    <row r="1613" spans="1:14" hidden="1" x14ac:dyDescent="0.35">
      <c r="A1613" t="s">
        <v>711</v>
      </c>
      <c r="B1613" t="s">
        <v>150</v>
      </c>
      <c r="C1613" t="s">
        <v>148</v>
      </c>
      <c r="D1613" t="s">
        <v>149</v>
      </c>
      <c r="E1613" t="s">
        <v>584</v>
      </c>
      <c r="F1613" t="s">
        <v>26</v>
      </c>
      <c r="G1613" t="s">
        <v>26</v>
      </c>
      <c r="M1613">
        <v>0</v>
      </c>
      <c r="N1613">
        <v>0.29100140000000002</v>
      </c>
    </row>
    <row r="1614" spans="1:14" hidden="1" x14ac:dyDescent="0.35">
      <c r="A1614" t="s">
        <v>711</v>
      </c>
      <c r="B1614" t="s">
        <v>312</v>
      </c>
      <c r="C1614" t="s">
        <v>319</v>
      </c>
      <c r="D1614" t="s">
        <v>319</v>
      </c>
      <c r="E1614" t="s">
        <v>584</v>
      </c>
      <c r="F1614" t="s">
        <v>581</v>
      </c>
      <c r="G1614" t="s">
        <v>396</v>
      </c>
      <c r="H1614">
        <v>0</v>
      </c>
    </row>
    <row r="1615" spans="1:14" hidden="1" x14ac:dyDescent="0.35">
      <c r="A1615" t="s">
        <v>712</v>
      </c>
      <c r="B1615" t="s">
        <v>34</v>
      </c>
      <c r="C1615" t="s">
        <v>230</v>
      </c>
      <c r="D1615" t="s">
        <v>230</v>
      </c>
      <c r="E1615" t="s">
        <v>584</v>
      </c>
      <c r="F1615" t="s">
        <v>581</v>
      </c>
      <c r="G1615" t="s">
        <v>396</v>
      </c>
      <c r="H1615">
        <v>12.55786</v>
      </c>
      <c r="I1615">
        <v>15.863390000000001</v>
      </c>
      <c r="J1615">
        <v>19.220600000000001</v>
      </c>
      <c r="K1615">
        <v>20.053319999999999</v>
      </c>
      <c r="L1615">
        <v>18.989930000000001</v>
      </c>
      <c r="M1615">
        <v>18.939240000000002</v>
      </c>
      <c r="N1615">
        <v>17.745090000000001</v>
      </c>
    </row>
    <row r="1616" spans="1:14" hidden="1" x14ac:dyDescent="0.35">
      <c r="A1616" t="s">
        <v>712</v>
      </c>
      <c r="B1616" t="s">
        <v>34</v>
      </c>
      <c r="C1616" t="s">
        <v>230</v>
      </c>
      <c r="D1616" t="s">
        <v>230</v>
      </c>
      <c r="E1616" t="s">
        <v>584</v>
      </c>
      <c r="F1616" t="s">
        <v>581</v>
      </c>
      <c r="G1616" t="s">
        <v>25</v>
      </c>
      <c r="H1616">
        <v>0.28367949999999997</v>
      </c>
      <c r="I1616">
        <v>0.1901534</v>
      </c>
      <c r="J1616">
        <v>0.12746579999999999</v>
      </c>
      <c r="K1616">
        <v>8.5441110000000001E-2</v>
      </c>
      <c r="L1616">
        <v>1.1454789999999999E-2</v>
      </c>
      <c r="M1616">
        <v>7.6789049999999998E-3</v>
      </c>
      <c r="N1616">
        <v>5.1463009999999998E-3</v>
      </c>
    </row>
    <row r="1617" spans="1:14" hidden="1" x14ac:dyDescent="0.35">
      <c r="A1617" t="s">
        <v>712</v>
      </c>
      <c r="B1617" t="s">
        <v>34</v>
      </c>
      <c r="C1617" t="s">
        <v>230</v>
      </c>
      <c r="D1617" t="s">
        <v>230</v>
      </c>
      <c r="E1617" t="s">
        <v>584</v>
      </c>
      <c r="F1617" t="s">
        <v>26</v>
      </c>
      <c r="G1617" t="s">
        <v>26</v>
      </c>
      <c r="H1617">
        <v>0.68691239999999998</v>
      </c>
      <c r="I1617">
        <v>0.46045199999999997</v>
      </c>
      <c r="J1617">
        <v>0.30864940000000002</v>
      </c>
      <c r="K1617">
        <v>0.2068932</v>
      </c>
      <c r="L1617">
        <v>2.773699E-2</v>
      </c>
      <c r="M1617">
        <v>1.8592879999999999E-2</v>
      </c>
      <c r="N1617">
        <v>1.246301E-2</v>
      </c>
    </row>
    <row r="1618" spans="1:14" hidden="1" x14ac:dyDescent="0.35">
      <c r="A1618" t="s">
        <v>712</v>
      </c>
      <c r="B1618" t="s">
        <v>34</v>
      </c>
      <c r="C1618" t="s">
        <v>230</v>
      </c>
      <c r="D1618" t="s">
        <v>230</v>
      </c>
      <c r="E1618" t="s">
        <v>697</v>
      </c>
      <c r="F1618" t="s">
        <v>581</v>
      </c>
      <c r="G1618" t="s">
        <v>396</v>
      </c>
      <c r="H1618">
        <v>6.8307539999999998</v>
      </c>
      <c r="I1618">
        <v>7.9162439999999998</v>
      </c>
      <c r="J1618">
        <v>6.7020419999999996</v>
      </c>
      <c r="K1618">
        <v>5.5581079999999998</v>
      </c>
      <c r="L1618">
        <v>4.7458900000000002</v>
      </c>
      <c r="M1618">
        <v>3.882641</v>
      </c>
      <c r="N1618">
        <v>3.3406690000000001</v>
      </c>
    </row>
    <row r="1619" spans="1:14" hidden="1" x14ac:dyDescent="0.35">
      <c r="A1619" t="s">
        <v>712</v>
      </c>
      <c r="B1619" t="s">
        <v>34</v>
      </c>
      <c r="C1619" t="s">
        <v>230</v>
      </c>
      <c r="D1619" t="s">
        <v>230</v>
      </c>
      <c r="E1619" t="s">
        <v>697</v>
      </c>
      <c r="F1619" t="s">
        <v>581</v>
      </c>
      <c r="G1619" t="s">
        <v>25</v>
      </c>
      <c r="H1619">
        <v>0.144148</v>
      </c>
      <c r="I1619">
        <v>0.1130192</v>
      </c>
      <c r="J1619">
        <v>9.9472870000000005E-2</v>
      </c>
      <c r="K1619">
        <v>8.3241099999999998E-2</v>
      </c>
      <c r="L1619">
        <v>7.2818640000000004E-2</v>
      </c>
      <c r="M1619">
        <v>6.1595070000000002E-2</v>
      </c>
      <c r="N1619">
        <v>5.3175890000000003E-2</v>
      </c>
    </row>
    <row r="1620" spans="1:14" hidden="1" x14ac:dyDescent="0.35">
      <c r="A1620" t="s">
        <v>712</v>
      </c>
      <c r="B1620" t="s">
        <v>34</v>
      </c>
      <c r="C1620" t="s">
        <v>230</v>
      </c>
      <c r="D1620" t="s">
        <v>230</v>
      </c>
      <c r="E1620" t="s">
        <v>697</v>
      </c>
      <c r="F1620" t="s">
        <v>26</v>
      </c>
      <c r="G1620" t="s">
        <v>26</v>
      </c>
      <c r="H1620">
        <v>0.28829589999999999</v>
      </c>
      <c r="I1620">
        <v>0.2260384</v>
      </c>
      <c r="J1620">
        <v>0.19894300000000001</v>
      </c>
      <c r="K1620">
        <v>0.1664844</v>
      </c>
      <c r="L1620">
        <v>0.1456373</v>
      </c>
      <c r="M1620">
        <v>0.1231907</v>
      </c>
      <c r="N1620">
        <v>0.10634689999999999</v>
      </c>
    </row>
    <row r="1621" spans="1:14" hidden="1" x14ac:dyDescent="0.35">
      <c r="A1621" t="s">
        <v>712</v>
      </c>
      <c r="B1621" t="s">
        <v>34</v>
      </c>
      <c r="C1621" t="s">
        <v>33</v>
      </c>
      <c r="D1621" t="s">
        <v>33</v>
      </c>
      <c r="E1621" t="s">
        <v>713</v>
      </c>
      <c r="F1621" t="s">
        <v>581</v>
      </c>
      <c r="G1621" t="s">
        <v>24</v>
      </c>
      <c r="H1621">
        <v>0.20562469999999999</v>
      </c>
      <c r="I1621">
        <v>0.2358307</v>
      </c>
      <c r="J1621">
        <v>0.20470079999999999</v>
      </c>
      <c r="K1621">
        <v>0.17227619999999999</v>
      </c>
      <c r="L1621">
        <v>0.15168110000000001</v>
      </c>
      <c r="M1621">
        <v>0.13413310000000001</v>
      </c>
      <c r="N1621">
        <v>0.11786190000000001</v>
      </c>
    </row>
    <row r="1622" spans="1:14" hidden="1" x14ac:dyDescent="0.35">
      <c r="A1622" t="s">
        <v>712</v>
      </c>
      <c r="B1622" t="s">
        <v>34</v>
      </c>
      <c r="C1622" t="s">
        <v>33</v>
      </c>
      <c r="D1622" t="s">
        <v>33</v>
      </c>
      <c r="E1622" t="s">
        <v>713</v>
      </c>
      <c r="F1622" t="s">
        <v>581</v>
      </c>
      <c r="G1622" t="s">
        <v>25</v>
      </c>
      <c r="H1622">
        <v>4.5163399999999996</v>
      </c>
      <c r="I1622">
        <v>3.8912689999999999</v>
      </c>
      <c r="J1622">
        <v>3.3775930000000001</v>
      </c>
      <c r="K1622">
        <v>2.8426</v>
      </c>
      <c r="L1622">
        <v>2.5027740000000001</v>
      </c>
      <c r="M1622">
        <v>2.2132239999999999</v>
      </c>
      <c r="N1622">
        <v>1.944742</v>
      </c>
    </row>
    <row r="1623" spans="1:14" hidden="1" x14ac:dyDescent="0.35">
      <c r="A1623" t="s">
        <v>712</v>
      </c>
      <c r="B1623" t="s">
        <v>34</v>
      </c>
      <c r="C1623" t="s">
        <v>33</v>
      </c>
      <c r="D1623" t="s">
        <v>33</v>
      </c>
      <c r="E1623" t="s">
        <v>713</v>
      </c>
      <c r="F1623" t="s">
        <v>26</v>
      </c>
      <c r="G1623" t="s">
        <v>26</v>
      </c>
      <c r="H1623">
        <v>11.711119999999999</v>
      </c>
      <c r="I1623">
        <v>10.93051</v>
      </c>
      <c r="J1623">
        <v>6.7420530000000003</v>
      </c>
      <c r="K1623">
        <v>5.6741299999999999</v>
      </c>
      <c r="L1623">
        <v>4.9957950000000002</v>
      </c>
      <c r="M1623">
        <v>4.4178059999999997</v>
      </c>
      <c r="N1623">
        <v>3.8818839999999999</v>
      </c>
    </row>
    <row r="1624" spans="1:14" hidden="1" x14ac:dyDescent="0.35">
      <c r="A1624" t="s">
        <v>712</v>
      </c>
      <c r="B1624" t="s">
        <v>34</v>
      </c>
      <c r="C1624" t="s">
        <v>33</v>
      </c>
      <c r="D1624" t="s">
        <v>33</v>
      </c>
      <c r="E1624" t="s">
        <v>675</v>
      </c>
      <c r="F1624" t="s">
        <v>581</v>
      </c>
      <c r="G1624" t="s">
        <v>396</v>
      </c>
      <c r="H1624">
        <v>4.991781E-2</v>
      </c>
      <c r="I1624">
        <v>4.3218640000000003E-2</v>
      </c>
      <c r="J1624">
        <v>3.2503560000000001E-2</v>
      </c>
      <c r="K1624">
        <v>2.6146849999999999E-2</v>
      </c>
      <c r="L1624">
        <v>2.227726E-2</v>
      </c>
      <c r="M1624">
        <v>1.9612600000000001E-2</v>
      </c>
      <c r="N1624">
        <v>1.744658E-2</v>
      </c>
    </row>
    <row r="1625" spans="1:14" hidden="1" x14ac:dyDescent="0.35">
      <c r="A1625" t="s">
        <v>712</v>
      </c>
      <c r="B1625" t="s">
        <v>34</v>
      </c>
      <c r="C1625" t="s">
        <v>33</v>
      </c>
      <c r="D1625" t="s">
        <v>33</v>
      </c>
      <c r="E1625" t="s">
        <v>675</v>
      </c>
      <c r="F1625" t="s">
        <v>581</v>
      </c>
      <c r="G1625" t="s">
        <v>25</v>
      </c>
      <c r="H1625">
        <v>1.25454</v>
      </c>
      <c r="I1625">
        <v>1.0372710000000001</v>
      </c>
      <c r="J1625">
        <v>0.78008379999999999</v>
      </c>
      <c r="K1625">
        <v>0.6275655</v>
      </c>
      <c r="L1625">
        <v>0.53469710000000004</v>
      </c>
      <c r="M1625">
        <v>0.47068599999999999</v>
      </c>
      <c r="N1625">
        <v>0.4187227</v>
      </c>
    </row>
    <row r="1626" spans="1:14" hidden="1" x14ac:dyDescent="0.35">
      <c r="A1626" t="s">
        <v>712</v>
      </c>
      <c r="B1626" t="s">
        <v>34</v>
      </c>
      <c r="C1626" t="s">
        <v>33</v>
      </c>
      <c r="D1626" t="s">
        <v>33</v>
      </c>
      <c r="E1626" t="s">
        <v>675</v>
      </c>
      <c r="F1626" t="s">
        <v>26</v>
      </c>
      <c r="G1626" t="s">
        <v>26</v>
      </c>
      <c r="H1626">
        <v>6.2459309999999997</v>
      </c>
      <c r="I1626">
        <v>5.2050080000000003</v>
      </c>
      <c r="J1626">
        <v>2.4704579999999998</v>
      </c>
      <c r="K1626">
        <v>1.9874480000000001</v>
      </c>
      <c r="L1626">
        <v>1.6933240000000001</v>
      </c>
      <c r="M1626">
        <v>1.4906060000000001</v>
      </c>
      <c r="N1626">
        <v>1.326047</v>
      </c>
    </row>
    <row r="1627" spans="1:14" hidden="1" x14ac:dyDescent="0.35">
      <c r="A1627" t="s">
        <v>712</v>
      </c>
      <c r="B1627" t="s">
        <v>34</v>
      </c>
      <c r="C1627" t="s">
        <v>33</v>
      </c>
      <c r="D1627" t="s">
        <v>33</v>
      </c>
      <c r="E1627" t="s">
        <v>714</v>
      </c>
      <c r="F1627" t="s">
        <v>581</v>
      </c>
      <c r="G1627" t="s">
        <v>396</v>
      </c>
      <c r="H1627">
        <v>2.7433339999999999</v>
      </c>
      <c r="I1627">
        <v>3.4322710000000001</v>
      </c>
      <c r="J1627">
        <v>2.9463910000000002</v>
      </c>
      <c r="K1627">
        <v>2.5752190000000001</v>
      </c>
      <c r="L1627">
        <v>2.3171819999999999</v>
      </c>
      <c r="M1627">
        <v>2.0400520000000002</v>
      </c>
      <c r="N1627">
        <v>1.8595079999999999</v>
      </c>
    </row>
    <row r="1628" spans="1:14" hidden="1" x14ac:dyDescent="0.35">
      <c r="A1628" t="s">
        <v>712</v>
      </c>
      <c r="B1628" t="s">
        <v>34</v>
      </c>
      <c r="C1628" t="s">
        <v>33</v>
      </c>
      <c r="D1628" t="s">
        <v>33</v>
      </c>
      <c r="E1628" t="s">
        <v>714</v>
      </c>
      <c r="F1628" t="s">
        <v>26</v>
      </c>
      <c r="G1628" t="s">
        <v>26</v>
      </c>
      <c r="H1628">
        <v>0.85357530000000004</v>
      </c>
      <c r="I1628">
        <v>0.71243670000000003</v>
      </c>
      <c r="J1628">
        <v>0.61157539999999999</v>
      </c>
      <c r="K1628">
        <v>0.5345299</v>
      </c>
      <c r="L1628">
        <v>0.48097210000000001</v>
      </c>
      <c r="M1628">
        <v>0.42344880000000001</v>
      </c>
      <c r="N1628">
        <v>0.38597369999999998</v>
      </c>
    </row>
    <row r="1629" spans="1:14" hidden="1" x14ac:dyDescent="0.35">
      <c r="A1629" t="s">
        <v>712</v>
      </c>
      <c r="B1629" t="s">
        <v>34</v>
      </c>
      <c r="C1629" t="s">
        <v>33</v>
      </c>
      <c r="D1629" t="s">
        <v>33</v>
      </c>
      <c r="E1629" t="s">
        <v>584</v>
      </c>
      <c r="F1629" t="s">
        <v>581</v>
      </c>
      <c r="G1629" t="s">
        <v>396</v>
      </c>
      <c r="H1629">
        <v>0.34664109999999998</v>
      </c>
      <c r="I1629">
        <v>0.25718360000000001</v>
      </c>
      <c r="J1629">
        <v>0.18406410000000001</v>
      </c>
      <c r="K1629">
        <v>0.13453100000000001</v>
      </c>
      <c r="L1629">
        <v>0.1005962</v>
      </c>
      <c r="M1629">
        <v>7.6690960000000002E-2</v>
      </c>
      <c r="N1629">
        <v>2.970685E-2</v>
      </c>
    </row>
    <row r="1630" spans="1:14" hidden="1" x14ac:dyDescent="0.35">
      <c r="A1630" t="s">
        <v>712</v>
      </c>
      <c r="B1630" t="s">
        <v>34</v>
      </c>
      <c r="C1630" t="s">
        <v>33</v>
      </c>
      <c r="D1630" t="s">
        <v>33</v>
      </c>
      <c r="E1630" t="s">
        <v>584</v>
      </c>
      <c r="F1630" t="s">
        <v>581</v>
      </c>
      <c r="G1630" t="s">
        <v>25</v>
      </c>
      <c r="H1630">
        <v>0.2272603</v>
      </c>
      <c r="I1630">
        <v>0.14628769999999999</v>
      </c>
      <c r="J1630">
        <v>0.13456770000000001</v>
      </c>
      <c r="K1630">
        <v>0.12336709999999999</v>
      </c>
      <c r="L1630">
        <v>4.6496990000000002E-2</v>
      </c>
      <c r="M1630">
        <v>3.9306309999999997E-2</v>
      </c>
      <c r="N1630">
        <v>0</v>
      </c>
    </row>
    <row r="1631" spans="1:14" hidden="1" x14ac:dyDescent="0.35">
      <c r="A1631" t="s">
        <v>712</v>
      </c>
      <c r="B1631" t="s">
        <v>34</v>
      </c>
      <c r="C1631" t="s">
        <v>33</v>
      </c>
      <c r="D1631" t="s">
        <v>33</v>
      </c>
      <c r="E1631" t="s">
        <v>584</v>
      </c>
      <c r="F1631" t="s">
        <v>26</v>
      </c>
      <c r="G1631" t="s">
        <v>26</v>
      </c>
      <c r="H1631">
        <v>2.890482</v>
      </c>
      <c r="I1631">
        <v>2.1567509999999999</v>
      </c>
      <c r="J1631">
        <v>1.9120280000000001</v>
      </c>
      <c r="K1631">
        <v>1.6795310000000001</v>
      </c>
      <c r="L1631">
        <v>1.43068</v>
      </c>
      <c r="M1631">
        <v>1.2024220000000001</v>
      </c>
      <c r="N1631">
        <v>0</v>
      </c>
    </row>
    <row r="1632" spans="1:14" hidden="1" x14ac:dyDescent="0.35">
      <c r="A1632" t="s">
        <v>712</v>
      </c>
      <c r="B1632" t="s">
        <v>34</v>
      </c>
      <c r="C1632" t="s">
        <v>33</v>
      </c>
      <c r="D1632" t="s">
        <v>33</v>
      </c>
      <c r="E1632" t="s">
        <v>699</v>
      </c>
      <c r="F1632" t="s">
        <v>581</v>
      </c>
      <c r="G1632" t="s">
        <v>396</v>
      </c>
      <c r="H1632">
        <v>1.2136990000000001</v>
      </c>
      <c r="I1632">
        <v>0.97253369999999995</v>
      </c>
      <c r="J1632">
        <v>0.76988009999999996</v>
      </c>
      <c r="K1632">
        <v>0.7081134</v>
      </c>
      <c r="L1632">
        <v>0.61939900000000003</v>
      </c>
      <c r="M1632">
        <v>0.50012330000000005</v>
      </c>
      <c r="N1632">
        <v>0.40948879999999999</v>
      </c>
    </row>
    <row r="1633" spans="1:14" hidden="1" x14ac:dyDescent="0.35">
      <c r="A1633" t="s">
        <v>712</v>
      </c>
      <c r="B1633" t="s">
        <v>34</v>
      </c>
      <c r="C1633" t="s">
        <v>33</v>
      </c>
      <c r="D1633" t="s">
        <v>33</v>
      </c>
      <c r="E1633" t="s">
        <v>638</v>
      </c>
      <c r="F1633" t="s">
        <v>581</v>
      </c>
      <c r="G1633" t="s">
        <v>396</v>
      </c>
      <c r="H1633">
        <v>8.8821920000000006E-3</v>
      </c>
      <c r="I1633">
        <v>6.4328759999999997E-3</v>
      </c>
      <c r="J1633">
        <v>5.3041090000000004E-3</v>
      </c>
      <c r="K1633">
        <v>5.9205480000000003E-3</v>
      </c>
      <c r="L1633">
        <v>1.1272330000000001E-2</v>
      </c>
      <c r="M1633">
        <v>8.1747950000000003E-3</v>
      </c>
      <c r="N1633">
        <v>6.2186300000000002E-3</v>
      </c>
    </row>
    <row r="1634" spans="1:14" hidden="1" x14ac:dyDescent="0.35">
      <c r="A1634" t="s">
        <v>712</v>
      </c>
      <c r="B1634" t="s">
        <v>34</v>
      </c>
      <c r="C1634" t="s">
        <v>33</v>
      </c>
      <c r="D1634" t="s">
        <v>33</v>
      </c>
      <c r="E1634" t="s">
        <v>638</v>
      </c>
      <c r="F1634" t="s">
        <v>581</v>
      </c>
      <c r="G1634" t="s">
        <v>24</v>
      </c>
      <c r="H1634">
        <v>6.216986E-2</v>
      </c>
      <c r="I1634">
        <v>4.5032330000000002E-2</v>
      </c>
      <c r="J1634">
        <v>3.7134250000000001E-2</v>
      </c>
      <c r="K1634">
        <v>4.1448220000000001E-2</v>
      </c>
      <c r="L1634">
        <v>7.8916159999999999E-2</v>
      </c>
      <c r="M1634">
        <v>5.7238900000000002E-2</v>
      </c>
      <c r="N1634">
        <v>4.3544659999999999E-2</v>
      </c>
    </row>
    <row r="1635" spans="1:14" hidden="1" x14ac:dyDescent="0.35">
      <c r="A1635" t="s">
        <v>712</v>
      </c>
      <c r="B1635" t="s">
        <v>34</v>
      </c>
      <c r="C1635" t="s">
        <v>33</v>
      </c>
      <c r="D1635" t="s">
        <v>33</v>
      </c>
      <c r="E1635" t="s">
        <v>638</v>
      </c>
      <c r="F1635" t="s">
        <v>581</v>
      </c>
      <c r="G1635" t="s">
        <v>25</v>
      </c>
      <c r="H1635">
        <v>8.9013700000000005E-3</v>
      </c>
      <c r="I1635">
        <v>6.4328759999999997E-3</v>
      </c>
      <c r="J1635">
        <v>5.3041099999999999E-3</v>
      </c>
      <c r="K1635">
        <v>5.9227389999999998E-3</v>
      </c>
      <c r="L1635">
        <v>1.127562E-2</v>
      </c>
      <c r="M1635">
        <v>8.1753420000000004E-3</v>
      </c>
      <c r="N1635">
        <v>6.220822E-3</v>
      </c>
    </row>
    <row r="1636" spans="1:14" hidden="1" x14ac:dyDescent="0.35">
      <c r="A1636" t="s">
        <v>712</v>
      </c>
      <c r="B1636" t="s">
        <v>34</v>
      </c>
      <c r="C1636" t="s">
        <v>33</v>
      </c>
      <c r="D1636" t="s">
        <v>33</v>
      </c>
      <c r="E1636" t="s">
        <v>638</v>
      </c>
      <c r="F1636" t="s">
        <v>26</v>
      </c>
      <c r="G1636" t="s">
        <v>26</v>
      </c>
      <c r="H1636">
        <v>9.89178E-2</v>
      </c>
      <c r="I1636">
        <v>7.1139720000000004E-2</v>
      </c>
      <c r="J1636">
        <v>5.8665200000000001E-2</v>
      </c>
      <c r="K1636">
        <v>6.5479999999999997E-2</v>
      </c>
      <c r="L1636">
        <v>0.12466629999999999</v>
      </c>
      <c r="M1636">
        <v>9.0421920000000003E-2</v>
      </c>
      <c r="N1636">
        <v>6.8791229999999995E-2</v>
      </c>
    </row>
    <row r="1637" spans="1:14" hidden="1" x14ac:dyDescent="0.35">
      <c r="A1637" t="s">
        <v>712</v>
      </c>
      <c r="B1637" t="s">
        <v>48</v>
      </c>
      <c r="C1637" t="s">
        <v>47</v>
      </c>
      <c r="D1637" t="s">
        <v>47</v>
      </c>
      <c r="E1637" t="s">
        <v>584</v>
      </c>
      <c r="F1637" t="s">
        <v>581</v>
      </c>
      <c r="G1637" t="s">
        <v>396</v>
      </c>
      <c r="M1637">
        <v>0</v>
      </c>
      <c r="N1637">
        <v>4.1095309999999996E-3</v>
      </c>
    </row>
    <row r="1638" spans="1:14" hidden="1" x14ac:dyDescent="0.35">
      <c r="A1638" t="s">
        <v>712</v>
      </c>
      <c r="B1638" t="s">
        <v>48</v>
      </c>
      <c r="C1638" t="s">
        <v>47</v>
      </c>
      <c r="D1638" t="s">
        <v>47</v>
      </c>
      <c r="E1638" t="s">
        <v>584</v>
      </c>
      <c r="F1638" t="s">
        <v>581</v>
      </c>
      <c r="G1638" t="s">
        <v>24</v>
      </c>
      <c r="H1638">
        <v>0.1073591</v>
      </c>
      <c r="I1638">
        <v>8.3131430000000006E-2</v>
      </c>
      <c r="J1638">
        <v>7.736084E-2</v>
      </c>
      <c r="K1638">
        <v>7.0941950000000004E-2</v>
      </c>
      <c r="L1638">
        <v>6.4717990000000003E-2</v>
      </c>
      <c r="M1638">
        <v>5.9113310000000002E-2</v>
      </c>
      <c r="N1638">
        <v>8.5203319999999999E-2</v>
      </c>
    </row>
    <row r="1639" spans="1:14" hidden="1" x14ac:dyDescent="0.35">
      <c r="A1639" t="s">
        <v>712</v>
      </c>
      <c r="B1639" t="s">
        <v>48</v>
      </c>
      <c r="C1639" t="s">
        <v>47</v>
      </c>
      <c r="D1639" t="s">
        <v>47</v>
      </c>
      <c r="E1639" t="s">
        <v>584</v>
      </c>
      <c r="F1639" t="s">
        <v>581</v>
      </c>
      <c r="G1639" t="s">
        <v>25</v>
      </c>
      <c r="H1639">
        <v>1.5806380000000001E-4</v>
      </c>
      <c r="I1639">
        <v>1.262762E-4</v>
      </c>
      <c r="J1639">
        <v>1.099825E-4</v>
      </c>
      <c r="K1639">
        <v>8.8257530000000002E-5</v>
      </c>
      <c r="L1639">
        <v>7.0606029999999997E-5</v>
      </c>
      <c r="M1639">
        <v>5.8385750000000003E-5</v>
      </c>
      <c r="N1639">
        <v>4.8881100000000002E-5</v>
      </c>
    </row>
    <row r="1640" spans="1:14" hidden="1" x14ac:dyDescent="0.35">
      <c r="A1640" t="s">
        <v>712</v>
      </c>
      <c r="B1640" t="s">
        <v>48</v>
      </c>
      <c r="C1640" t="s">
        <v>47</v>
      </c>
      <c r="D1640" t="s">
        <v>47</v>
      </c>
      <c r="E1640" t="s">
        <v>584</v>
      </c>
      <c r="F1640" t="s">
        <v>26</v>
      </c>
      <c r="G1640" t="s">
        <v>26</v>
      </c>
      <c r="H1640">
        <v>8.5939879999999995</v>
      </c>
      <c r="I1640">
        <v>9.7414939999999994</v>
      </c>
      <c r="J1640">
        <v>9.4447100000000006</v>
      </c>
      <c r="K1640">
        <v>8.8696629999999992</v>
      </c>
      <c r="L1640">
        <v>7.562163</v>
      </c>
      <c r="M1640">
        <v>6.8140660000000004</v>
      </c>
      <c r="N1640">
        <v>8.1249479999999998</v>
      </c>
    </row>
    <row r="1641" spans="1:14" hidden="1" x14ac:dyDescent="0.35">
      <c r="A1641" t="s">
        <v>712</v>
      </c>
      <c r="B1641" t="s">
        <v>48</v>
      </c>
      <c r="C1641" t="s">
        <v>47</v>
      </c>
      <c r="D1641" t="s">
        <v>50</v>
      </c>
      <c r="E1641" t="s">
        <v>584</v>
      </c>
      <c r="F1641" t="s">
        <v>581</v>
      </c>
      <c r="G1641" t="s">
        <v>24</v>
      </c>
      <c r="H1641">
        <v>2.7295890000000001E-3</v>
      </c>
      <c r="I1641">
        <v>2.8442459999999999E-3</v>
      </c>
      <c r="J1641">
        <v>2.4028769999999999E-3</v>
      </c>
      <c r="K1641">
        <v>2.0268489999999998E-3</v>
      </c>
      <c r="L1641">
        <v>2.675342E-4</v>
      </c>
      <c r="M1641">
        <v>1.5780819999999999E-4</v>
      </c>
      <c r="N1641">
        <v>9.2465760000000002E-5</v>
      </c>
    </row>
    <row r="1642" spans="1:14" hidden="1" x14ac:dyDescent="0.35">
      <c r="A1642" t="s">
        <v>712</v>
      </c>
      <c r="B1642" t="s">
        <v>48</v>
      </c>
      <c r="C1642" t="s">
        <v>47</v>
      </c>
      <c r="D1642" t="s">
        <v>50</v>
      </c>
      <c r="E1642" t="s">
        <v>584</v>
      </c>
      <c r="F1642" t="s">
        <v>26</v>
      </c>
      <c r="G1642" t="s">
        <v>26</v>
      </c>
      <c r="H1642">
        <v>0.123586</v>
      </c>
      <c r="I1642">
        <v>0.12966530000000001</v>
      </c>
      <c r="J1642">
        <v>0.10927969999999999</v>
      </c>
      <c r="K1642">
        <v>9.1996019999999998E-2</v>
      </c>
      <c r="L1642">
        <v>0</v>
      </c>
      <c r="M1642">
        <v>0</v>
      </c>
      <c r="N1642">
        <v>0</v>
      </c>
    </row>
    <row r="1643" spans="1:14" hidden="1" x14ac:dyDescent="0.35">
      <c r="A1643" t="s">
        <v>712</v>
      </c>
      <c r="B1643" t="s">
        <v>48</v>
      </c>
      <c r="C1643" t="s">
        <v>96</v>
      </c>
      <c r="D1643" t="s">
        <v>96</v>
      </c>
      <c r="E1643" t="s">
        <v>584</v>
      </c>
      <c r="F1643" t="s">
        <v>581</v>
      </c>
      <c r="G1643" t="s">
        <v>396</v>
      </c>
      <c r="M1643">
        <v>0</v>
      </c>
      <c r="N1643">
        <v>3.2118490000000001E-3</v>
      </c>
    </row>
    <row r="1644" spans="1:14" hidden="1" x14ac:dyDescent="0.35">
      <c r="A1644" t="s">
        <v>712</v>
      </c>
      <c r="B1644" t="s">
        <v>48</v>
      </c>
      <c r="C1644" t="s">
        <v>96</v>
      </c>
      <c r="D1644" t="s">
        <v>96</v>
      </c>
      <c r="E1644" t="s">
        <v>584</v>
      </c>
      <c r="F1644" t="s">
        <v>581</v>
      </c>
      <c r="G1644" t="s">
        <v>24</v>
      </c>
      <c r="H1644">
        <v>4.5057020000000003E-3</v>
      </c>
      <c r="I1644">
        <v>2.1823550000000001E-2</v>
      </c>
      <c r="J1644">
        <v>5.3545069999999997E-3</v>
      </c>
      <c r="K1644">
        <v>2.0611969999999999E-3</v>
      </c>
      <c r="L1644">
        <v>1.290327E-3</v>
      </c>
      <c r="M1644">
        <v>8.7770410000000002E-4</v>
      </c>
      <c r="N1644">
        <v>8.4555649999999997E-4</v>
      </c>
    </row>
    <row r="1645" spans="1:14" hidden="1" x14ac:dyDescent="0.35">
      <c r="A1645" t="s">
        <v>712</v>
      </c>
      <c r="B1645" t="s">
        <v>48</v>
      </c>
      <c r="C1645" t="s">
        <v>96</v>
      </c>
      <c r="D1645" t="s">
        <v>96</v>
      </c>
      <c r="E1645" t="s">
        <v>584</v>
      </c>
      <c r="F1645" t="s">
        <v>26</v>
      </c>
      <c r="G1645" t="s">
        <v>26</v>
      </c>
      <c r="H1645">
        <v>0.33301979999999998</v>
      </c>
      <c r="I1645">
        <v>0.48277779999999998</v>
      </c>
      <c r="J1645">
        <v>0.28421479999999999</v>
      </c>
      <c r="K1645">
        <v>0.1899691</v>
      </c>
      <c r="L1645">
        <v>0.16992769999999999</v>
      </c>
      <c r="M1645">
        <v>0.15274889999999999</v>
      </c>
      <c r="N1645">
        <v>0.13286049999999999</v>
      </c>
    </row>
    <row r="1646" spans="1:14" hidden="1" x14ac:dyDescent="0.35">
      <c r="A1646" t="s">
        <v>712</v>
      </c>
      <c r="B1646" t="s">
        <v>225</v>
      </c>
      <c r="C1646" t="s">
        <v>224</v>
      </c>
      <c r="D1646" t="s">
        <v>224</v>
      </c>
      <c r="E1646" t="s">
        <v>584</v>
      </c>
      <c r="F1646" t="s">
        <v>581</v>
      </c>
      <c r="G1646" t="s">
        <v>396</v>
      </c>
      <c r="H1646">
        <v>6.5033659999999998</v>
      </c>
      <c r="I1646">
        <v>6.124816</v>
      </c>
      <c r="J1646">
        <v>5.8959710000000003</v>
      </c>
      <c r="K1646">
        <v>5.2834240000000001</v>
      </c>
      <c r="L1646">
        <v>4.5259739999999997</v>
      </c>
      <c r="M1646">
        <v>3.832363</v>
      </c>
      <c r="N1646">
        <v>2.920207</v>
      </c>
    </row>
    <row r="1647" spans="1:14" hidden="1" x14ac:dyDescent="0.35">
      <c r="A1647" t="s">
        <v>712</v>
      </c>
      <c r="B1647" t="s">
        <v>225</v>
      </c>
      <c r="C1647" t="s">
        <v>715</v>
      </c>
      <c r="D1647" t="s">
        <v>715</v>
      </c>
      <c r="E1647" t="s">
        <v>584</v>
      </c>
      <c r="F1647" t="s">
        <v>581</v>
      </c>
      <c r="G1647" t="s">
        <v>396</v>
      </c>
      <c r="H1647">
        <v>4.6579800000000002</v>
      </c>
      <c r="I1647">
        <v>4.3596450000000004</v>
      </c>
      <c r="J1647">
        <v>4.0873619999999997</v>
      </c>
      <c r="K1647">
        <v>3.7713359999999998</v>
      </c>
      <c r="L1647">
        <v>3.4879820000000001</v>
      </c>
      <c r="M1647">
        <v>2.2234750000000001</v>
      </c>
      <c r="N1647">
        <v>1.543722</v>
      </c>
    </row>
    <row r="1648" spans="1:14" hidden="1" x14ac:dyDescent="0.35">
      <c r="A1648" t="s">
        <v>712</v>
      </c>
      <c r="B1648" t="s">
        <v>225</v>
      </c>
      <c r="C1648" t="s">
        <v>715</v>
      </c>
      <c r="D1648" t="s">
        <v>715</v>
      </c>
      <c r="E1648" t="s">
        <v>584</v>
      </c>
      <c r="F1648" t="s">
        <v>26</v>
      </c>
      <c r="G1648" t="s">
        <v>26</v>
      </c>
      <c r="H1648">
        <v>3.2876710000000003E-2</v>
      </c>
      <c r="I1648">
        <v>3.2876710000000003E-2</v>
      </c>
      <c r="J1648">
        <v>3.2876710000000003E-2</v>
      </c>
      <c r="K1648">
        <v>3.2876710000000003E-2</v>
      </c>
      <c r="L1648">
        <v>3.2876710000000003E-2</v>
      </c>
      <c r="M1648">
        <v>3.2876710000000003E-2</v>
      </c>
      <c r="N1648">
        <v>3.2876710000000003E-2</v>
      </c>
    </row>
    <row r="1649" spans="1:14" hidden="1" x14ac:dyDescent="0.35">
      <c r="A1649" t="s">
        <v>712</v>
      </c>
      <c r="B1649" t="s">
        <v>280</v>
      </c>
      <c r="C1649" t="s">
        <v>716</v>
      </c>
      <c r="D1649" t="s">
        <v>716</v>
      </c>
      <c r="E1649" t="s">
        <v>584</v>
      </c>
      <c r="F1649" t="s">
        <v>26</v>
      </c>
      <c r="G1649" t="s">
        <v>26</v>
      </c>
      <c r="H1649">
        <v>7.7643849999999999</v>
      </c>
      <c r="I1649">
        <v>6.6849309999999997</v>
      </c>
      <c r="J1649">
        <v>5.6988589999999997</v>
      </c>
      <c r="K1649">
        <v>4.8067960000000003</v>
      </c>
      <c r="L1649">
        <v>3.9825149999999998</v>
      </c>
      <c r="M1649">
        <v>3.2087150000000002</v>
      </c>
      <c r="N1649">
        <v>2.5828159999999998</v>
      </c>
    </row>
    <row r="1650" spans="1:14" hidden="1" x14ac:dyDescent="0.35">
      <c r="A1650" t="s">
        <v>712</v>
      </c>
      <c r="B1650" t="s">
        <v>53</v>
      </c>
      <c r="C1650" t="s">
        <v>52</v>
      </c>
      <c r="D1650" t="s">
        <v>52</v>
      </c>
      <c r="E1650" t="s">
        <v>584</v>
      </c>
      <c r="F1650" t="s">
        <v>581</v>
      </c>
      <c r="G1650" t="s">
        <v>396</v>
      </c>
      <c r="H1650">
        <v>5.661918</v>
      </c>
      <c r="I1650">
        <v>5.0011859999999997</v>
      </c>
      <c r="J1650">
        <v>4.4133880000000003</v>
      </c>
      <c r="K1650">
        <v>3.8559420000000002</v>
      </c>
      <c r="L1650">
        <v>3.3138719999999999</v>
      </c>
      <c r="M1650">
        <v>2.773145</v>
      </c>
      <c r="N1650">
        <v>2.3214440000000001</v>
      </c>
    </row>
    <row r="1651" spans="1:14" hidden="1" x14ac:dyDescent="0.35">
      <c r="A1651" t="s">
        <v>712</v>
      </c>
      <c r="B1651" t="s">
        <v>49</v>
      </c>
      <c r="C1651" t="s">
        <v>47</v>
      </c>
      <c r="D1651" t="s">
        <v>50</v>
      </c>
      <c r="E1651" t="s">
        <v>584</v>
      </c>
      <c r="F1651" t="s">
        <v>581</v>
      </c>
      <c r="G1651" t="s">
        <v>396</v>
      </c>
      <c r="H1651">
        <v>0.56550959999999995</v>
      </c>
      <c r="I1651">
        <v>0.52118629999999999</v>
      </c>
      <c r="J1651">
        <v>0.48168060000000001</v>
      </c>
      <c r="K1651">
        <v>0.44528869999999998</v>
      </c>
      <c r="L1651">
        <v>0.41098899999999999</v>
      </c>
      <c r="M1651">
        <v>0.37712770000000001</v>
      </c>
      <c r="N1651">
        <v>0.34719509999999998</v>
      </c>
    </row>
    <row r="1652" spans="1:14" hidden="1" x14ac:dyDescent="0.35">
      <c r="A1652" t="s">
        <v>712</v>
      </c>
      <c r="B1652" t="s">
        <v>49</v>
      </c>
      <c r="C1652" t="s">
        <v>47</v>
      </c>
      <c r="D1652" t="s">
        <v>50</v>
      </c>
      <c r="E1652" t="s">
        <v>584</v>
      </c>
      <c r="F1652" t="s">
        <v>26</v>
      </c>
      <c r="G1652" t="s">
        <v>26</v>
      </c>
      <c r="H1652">
        <v>1.0366550000000001</v>
      </c>
      <c r="I1652">
        <v>1.354649</v>
      </c>
      <c r="J1652">
        <v>0.9676226</v>
      </c>
      <c r="K1652">
        <v>0.70324160000000002</v>
      </c>
      <c r="L1652">
        <v>0.42662149999999999</v>
      </c>
      <c r="M1652">
        <v>0.12506529999999999</v>
      </c>
      <c r="N1652">
        <v>1.1381779999999999E-2</v>
      </c>
    </row>
    <row r="1653" spans="1:14" hidden="1" x14ac:dyDescent="0.35">
      <c r="A1653" t="s">
        <v>712</v>
      </c>
      <c r="B1653" t="s">
        <v>49</v>
      </c>
      <c r="C1653" t="s">
        <v>47</v>
      </c>
      <c r="D1653" t="s">
        <v>47</v>
      </c>
      <c r="E1653" t="s">
        <v>584</v>
      </c>
      <c r="F1653" t="s">
        <v>581</v>
      </c>
      <c r="G1653" t="s">
        <v>396</v>
      </c>
      <c r="H1653">
        <v>0.17894930000000001</v>
      </c>
      <c r="I1653">
        <v>0.15392600000000001</v>
      </c>
      <c r="J1653">
        <v>0.13338030000000001</v>
      </c>
      <c r="K1653">
        <v>0.1143888</v>
      </c>
      <c r="L1653">
        <v>9.6426029999999996E-2</v>
      </c>
      <c r="M1653">
        <v>7.9094250000000005E-2</v>
      </c>
      <c r="N1653">
        <v>6.4855899999999994E-2</v>
      </c>
    </row>
    <row r="1654" spans="1:14" hidden="1" x14ac:dyDescent="0.35">
      <c r="A1654" t="s">
        <v>712</v>
      </c>
      <c r="B1654" t="s">
        <v>49</v>
      </c>
      <c r="C1654" t="s">
        <v>47</v>
      </c>
      <c r="D1654" t="s">
        <v>47</v>
      </c>
      <c r="E1654" t="s">
        <v>584</v>
      </c>
      <c r="F1654" t="s">
        <v>26</v>
      </c>
      <c r="G1654" t="s">
        <v>26</v>
      </c>
      <c r="H1654">
        <v>0.62798770000000004</v>
      </c>
      <c r="I1654">
        <v>0.57035340000000001</v>
      </c>
      <c r="J1654">
        <v>0.51858740000000003</v>
      </c>
      <c r="K1654">
        <v>0.46963779999999999</v>
      </c>
      <c r="L1654">
        <v>0.4223924</v>
      </c>
      <c r="M1654">
        <v>0.37558279999999999</v>
      </c>
      <c r="N1654">
        <v>0.3349589</v>
      </c>
    </row>
    <row r="1655" spans="1:14" hidden="1" x14ac:dyDescent="0.35">
      <c r="A1655" t="s">
        <v>712</v>
      </c>
      <c r="B1655" t="s">
        <v>49</v>
      </c>
      <c r="C1655" t="s">
        <v>120</v>
      </c>
      <c r="D1655" t="s">
        <v>120</v>
      </c>
      <c r="E1655" t="s">
        <v>584</v>
      </c>
      <c r="F1655" t="s">
        <v>581</v>
      </c>
      <c r="G1655" t="s">
        <v>396</v>
      </c>
      <c r="H1655">
        <v>0.20036029999999999</v>
      </c>
      <c r="I1655">
        <v>0.16325480000000001</v>
      </c>
      <c r="J1655">
        <v>0.13709589999999999</v>
      </c>
      <c r="K1655">
        <v>0.11833150000000001</v>
      </c>
      <c r="L1655">
        <v>0.10457950000000001</v>
      </c>
      <c r="M1655">
        <v>9.4238359999999993E-2</v>
      </c>
      <c r="N1655">
        <v>8.6234249999999998E-2</v>
      </c>
    </row>
    <row r="1656" spans="1:14" hidden="1" x14ac:dyDescent="0.35">
      <c r="A1656" t="s">
        <v>712</v>
      </c>
      <c r="B1656" t="s">
        <v>49</v>
      </c>
      <c r="C1656" t="s">
        <v>120</v>
      </c>
      <c r="D1656" t="s">
        <v>120</v>
      </c>
      <c r="E1656" t="s">
        <v>584</v>
      </c>
      <c r="F1656" t="s">
        <v>26</v>
      </c>
      <c r="G1656" t="s">
        <v>26</v>
      </c>
      <c r="H1656">
        <v>9.4931509999999998E-4</v>
      </c>
      <c r="I1656">
        <v>8.0821919999999995E-4</v>
      </c>
      <c r="J1656">
        <v>6.8630130000000005E-4</v>
      </c>
      <c r="K1656">
        <v>0</v>
      </c>
    </row>
    <row r="1657" spans="1:14" hidden="1" x14ac:dyDescent="0.35">
      <c r="A1657" t="s">
        <v>712</v>
      </c>
      <c r="B1657" t="s">
        <v>37</v>
      </c>
      <c r="C1657" t="s">
        <v>115</v>
      </c>
      <c r="D1657" t="s">
        <v>115</v>
      </c>
      <c r="E1657" t="s">
        <v>595</v>
      </c>
      <c r="F1657" t="s">
        <v>581</v>
      </c>
      <c r="G1657" t="s">
        <v>396</v>
      </c>
      <c r="H1657">
        <v>1.753425</v>
      </c>
      <c r="I1657">
        <v>1.825067</v>
      </c>
      <c r="J1657">
        <v>1.5230079999999999</v>
      </c>
      <c r="K1657">
        <v>1.165149</v>
      </c>
      <c r="L1657">
        <v>0.91683840000000005</v>
      </c>
      <c r="M1657">
        <v>0.66207450000000001</v>
      </c>
      <c r="N1657">
        <v>0.48486580000000001</v>
      </c>
    </row>
    <row r="1658" spans="1:14" hidden="1" x14ac:dyDescent="0.35">
      <c r="A1658" t="s">
        <v>712</v>
      </c>
      <c r="B1658" t="s">
        <v>37</v>
      </c>
      <c r="C1658" t="s">
        <v>115</v>
      </c>
      <c r="D1658" t="s">
        <v>115</v>
      </c>
      <c r="E1658" t="s">
        <v>595</v>
      </c>
      <c r="F1658" t="s">
        <v>581</v>
      </c>
      <c r="G1658" t="s">
        <v>25</v>
      </c>
      <c r="H1658">
        <v>0.18630140000000001</v>
      </c>
      <c r="I1658">
        <v>0.1182373</v>
      </c>
      <c r="J1658">
        <v>9.866685E-2</v>
      </c>
      <c r="K1658">
        <v>7.5487670000000007E-2</v>
      </c>
      <c r="L1658">
        <v>5.9399449999999999E-2</v>
      </c>
      <c r="M1658">
        <v>4.2895889999999999E-2</v>
      </c>
      <c r="N1658">
        <v>3.1415350000000002E-2</v>
      </c>
    </row>
    <row r="1659" spans="1:14" hidden="1" x14ac:dyDescent="0.35">
      <c r="A1659" t="s">
        <v>712</v>
      </c>
      <c r="B1659" t="s">
        <v>37</v>
      </c>
      <c r="C1659" t="s">
        <v>115</v>
      </c>
      <c r="D1659" t="s">
        <v>115</v>
      </c>
      <c r="E1659" t="s">
        <v>595</v>
      </c>
      <c r="F1659" t="s">
        <v>26</v>
      </c>
      <c r="G1659" t="s">
        <v>26</v>
      </c>
      <c r="H1659">
        <v>1.3972599999999999</v>
      </c>
      <c r="I1659">
        <v>0.30742360000000002</v>
      </c>
      <c r="J1659">
        <v>0.2565403</v>
      </c>
      <c r="K1659">
        <v>0.19626469999999999</v>
      </c>
      <c r="L1659">
        <v>0.1544362</v>
      </c>
      <c r="M1659">
        <v>0.1115227</v>
      </c>
      <c r="N1659">
        <v>8.1673419999999997E-2</v>
      </c>
    </row>
    <row r="1660" spans="1:14" hidden="1" x14ac:dyDescent="0.35">
      <c r="A1660" t="s">
        <v>712</v>
      </c>
      <c r="B1660" t="s">
        <v>717</v>
      </c>
      <c r="C1660" t="s">
        <v>718</v>
      </c>
      <c r="D1660" t="s">
        <v>718</v>
      </c>
      <c r="E1660" t="s">
        <v>584</v>
      </c>
      <c r="F1660" t="s">
        <v>26</v>
      </c>
      <c r="G1660" t="s">
        <v>26</v>
      </c>
      <c r="H1660">
        <v>0.14907119999999999</v>
      </c>
      <c r="I1660">
        <v>9.9923289999999998E-2</v>
      </c>
      <c r="J1660">
        <v>6.6980819999999996E-2</v>
      </c>
      <c r="K1660">
        <v>4.4898630000000002E-2</v>
      </c>
      <c r="L1660">
        <v>3.009589E-2</v>
      </c>
      <c r="M1660">
        <v>2.017534E-2</v>
      </c>
      <c r="N1660">
        <v>1.352329E-2</v>
      </c>
    </row>
    <row r="1661" spans="1:14" hidden="1" x14ac:dyDescent="0.35">
      <c r="A1661" t="s">
        <v>719</v>
      </c>
      <c r="B1661" t="s">
        <v>37</v>
      </c>
      <c r="C1661" t="s">
        <v>35</v>
      </c>
      <c r="D1661" t="s">
        <v>163</v>
      </c>
      <c r="E1661" t="s">
        <v>580</v>
      </c>
      <c r="F1661" t="s">
        <v>581</v>
      </c>
      <c r="G1661" t="s">
        <v>396</v>
      </c>
      <c r="H1661">
        <v>15.918900000000001</v>
      </c>
      <c r="I1661">
        <v>15.36769</v>
      </c>
      <c r="J1661">
        <v>11.49874</v>
      </c>
      <c r="K1661">
        <v>8.4569480000000006</v>
      </c>
      <c r="L1661">
        <v>7.4077719999999996</v>
      </c>
      <c r="M1661">
        <v>5.8108709999999997</v>
      </c>
      <c r="N1661">
        <v>4.5758340000000004</v>
      </c>
    </row>
    <row r="1662" spans="1:14" hidden="1" x14ac:dyDescent="0.35">
      <c r="A1662" t="s">
        <v>719</v>
      </c>
      <c r="B1662" t="s">
        <v>37</v>
      </c>
      <c r="C1662" t="s">
        <v>35</v>
      </c>
      <c r="D1662" t="s">
        <v>163</v>
      </c>
      <c r="E1662" t="s">
        <v>580</v>
      </c>
      <c r="F1662" t="s">
        <v>581</v>
      </c>
      <c r="G1662" t="s">
        <v>25</v>
      </c>
      <c r="H1662">
        <v>0.14466029999999999</v>
      </c>
      <c r="I1662">
        <v>4.3821159999999999</v>
      </c>
      <c r="J1662">
        <v>3.2853500000000002</v>
      </c>
      <c r="K1662">
        <v>2.4162720000000002</v>
      </c>
      <c r="L1662">
        <v>2.1165069999999999</v>
      </c>
      <c r="M1662">
        <v>1.66025</v>
      </c>
      <c r="N1662">
        <v>1.3073760000000001</v>
      </c>
    </row>
    <row r="1663" spans="1:14" hidden="1" x14ac:dyDescent="0.35">
      <c r="A1663" t="s">
        <v>719</v>
      </c>
      <c r="B1663" t="s">
        <v>37</v>
      </c>
      <c r="C1663" t="s">
        <v>35</v>
      </c>
      <c r="D1663" t="s">
        <v>163</v>
      </c>
      <c r="E1663" t="s">
        <v>580</v>
      </c>
      <c r="F1663" t="s">
        <v>26</v>
      </c>
      <c r="G1663" t="s">
        <v>26</v>
      </c>
      <c r="H1663">
        <v>6.5380820000000002</v>
      </c>
      <c r="I1663">
        <v>4.6255689999999996</v>
      </c>
      <c r="J1663">
        <v>3.4678719999999998</v>
      </c>
      <c r="K1663">
        <v>2.5505080000000002</v>
      </c>
      <c r="L1663">
        <v>2.234089</v>
      </c>
      <c r="M1663">
        <v>1.7524839999999999</v>
      </c>
      <c r="N1663">
        <v>1.380012</v>
      </c>
    </row>
    <row r="1664" spans="1:14" hidden="1" x14ac:dyDescent="0.35">
      <c r="A1664" t="s">
        <v>719</v>
      </c>
      <c r="B1664" t="s">
        <v>37</v>
      </c>
      <c r="C1664" t="s">
        <v>35</v>
      </c>
      <c r="D1664" t="s">
        <v>129</v>
      </c>
      <c r="E1664" t="s">
        <v>580</v>
      </c>
      <c r="F1664" t="s">
        <v>581</v>
      </c>
      <c r="G1664" t="s">
        <v>396</v>
      </c>
      <c r="H1664">
        <v>13.58685</v>
      </c>
      <c r="I1664">
        <v>14.966749999999999</v>
      </c>
      <c r="J1664">
        <v>12.60923</v>
      </c>
      <c r="K1664">
        <v>9.8914310000000008</v>
      </c>
      <c r="L1664">
        <v>8.1518010000000007</v>
      </c>
      <c r="M1664">
        <v>6.4337590000000002</v>
      </c>
      <c r="N1664">
        <v>5.3049900000000001</v>
      </c>
    </row>
    <row r="1665" spans="1:14" hidden="1" x14ac:dyDescent="0.35">
      <c r="A1665" t="s">
        <v>719</v>
      </c>
      <c r="B1665" t="s">
        <v>37</v>
      </c>
      <c r="C1665" t="s">
        <v>35</v>
      </c>
      <c r="D1665" t="s">
        <v>129</v>
      </c>
      <c r="E1665" t="s">
        <v>580</v>
      </c>
      <c r="F1665" t="s">
        <v>581</v>
      </c>
      <c r="G1665" t="s">
        <v>25</v>
      </c>
      <c r="H1665">
        <v>9.6438360000000001E-2</v>
      </c>
      <c r="I1665">
        <v>3.3218359999999998</v>
      </c>
      <c r="J1665">
        <v>2.8020520000000002</v>
      </c>
      <c r="K1665">
        <v>2.1980970000000002</v>
      </c>
      <c r="L1665">
        <v>1.811512</v>
      </c>
      <c r="M1665">
        <v>1.4297219999999999</v>
      </c>
      <c r="N1665">
        <v>1.178885</v>
      </c>
    </row>
    <row r="1666" spans="1:14" hidden="1" x14ac:dyDescent="0.35">
      <c r="A1666" t="s">
        <v>719</v>
      </c>
      <c r="B1666" t="s">
        <v>37</v>
      </c>
      <c r="C1666" t="s">
        <v>35</v>
      </c>
      <c r="D1666" t="s">
        <v>129</v>
      </c>
      <c r="E1666" t="s">
        <v>580</v>
      </c>
      <c r="F1666" t="s">
        <v>26</v>
      </c>
      <c r="G1666" t="s">
        <v>26</v>
      </c>
      <c r="H1666">
        <v>2.991781</v>
      </c>
      <c r="I1666">
        <v>2.4913799999999999</v>
      </c>
      <c r="J1666">
        <v>2.101537</v>
      </c>
      <c r="K1666">
        <v>1.6485719999999999</v>
      </c>
      <c r="L1666">
        <v>1.3586339999999999</v>
      </c>
      <c r="M1666">
        <v>1.0722929999999999</v>
      </c>
      <c r="N1666">
        <v>0.88416609999999995</v>
      </c>
    </row>
    <row r="1667" spans="1:14" hidden="1" x14ac:dyDescent="0.35">
      <c r="A1667" t="s">
        <v>719</v>
      </c>
      <c r="B1667" t="s">
        <v>37</v>
      </c>
      <c r="C1667" t="s">
        <v>35</v>
      </c>
      <c r="D1667" t="s">
        <v>267</v>
      </c>
      <c r="E1667" t="s">
        <v>589</v>
      </c>
      <c r="F1667" t="s">
        <v>581</v>
      </c>
      <c r="G1667" t="s">
        <v>396</v>
      </c>
      <c r="H1667">
        <v>7.3578089999999996</v>
      </c>
      <c r="I1667">
        <v>7.1558739999999998</v>
      </c>
      <c r="J1667">
        <v>5.9801489999999999</v>
      </c>
      <c r="K1667">
        <v>4.9004570000000003</v>
      </c>
      <c r="L1667">
        <v>4.2426719999999998</v>
      </c>
      <c r="M1667">
        <v>3.430577</v>
      </c>
      <c r="N1667">
        <v>2.8955340000000001</v>
      </c>
    </row>
    <row r="1668" spans="1:14" hidden="1" x14ac:dyDescent="0.35">
      <c r="A1668" t="s">
        <v>719</v>
      </c>
      <c r="B1668" t="s">
        <v>37</v>
      </c>
      <c r="C1668" t="s">
        <v>35</v>
      </c>
      <c r="D1668" t="s">
        <v>267</v>
      </c>
      <c r="E1668" t="s">
        <v>589</v>
      </c>
      <c r="F1668" t="s">
        <v>581</v>
      </c>
      <c r="G1668" t="s">
        <v>25</v>
      </c>
      <c r="H1668">
        <v>8.1095890000000004E-2</v>
      </c>
      <c r="I1668">
        <v>2.4208020000000001</v>
      </c>
      <c r="J1668">
        <v>2.024051</v>
      </c>
      <c r="K1668">
        <v>1.658614</v>
      </c>
      <c r="L1668">
        <v>1.43598</v>
      </c>
      <c r="M1668">
        <v>1.1611180000000001</v>
      </c>
      <c r="N1668">
        <v>0.98002900000000004</v>
      </c>
    </row>
    <row r="1669" spans="1:14" hidden="1" x14ac:dyDescent="0.35">
      <c r="A1669" t="s">
        <v>719</v>
      </c>
      <c r="B1669" t="s">
        <v>37</v>
      </c>
      <c r="C1669" t="s">
        <v>35</v>
      </c>
      <c r="D1669" t="s">
        <v>267</v>
      </c>
      <c r="E1669" t="s">
        <v>589</v>
      </c>
      <c r="F1669" t="s">
        <v>26</v>
      </c>
      <c r="G1669" t="s">
        <v>26</v>
      </c>
      <c r="H1669">
        <v>1.941918</v>
      </c>
      <c r="I1669">
        <v>1.4304779999999999</v>
      </c>
      <c r="J1669">
        <v>1.1960310000000001</v>
      </c>
      <c r="K1669">
        <v>0.98009210000000002</v>
      </c>
      <c r="L1669">
        <v>0.84853480000000003</v>
      </c>
      <c r="M1669">
        <v>0.68611449999999996</v>
      </c>
      <c r="N1669">
        <v>0.57910569999999995</v>
      </c>
    </row>
    <row r="1670" spans="1:14" hidden="1" x14ac:dyDescent="0.35">
      <c r="A1670" t="s">
        <v>719</v>
      </c>
      <c r="B1670" t="s">
        <v>37</v>
      </c>
      <c r="C1670" t="s">
        <v>35</v>
      </c>
      <c r="D1670" t="s">
        <v>36</v>
      </c>
      <c r="E1670" t="s">
        <v>589</v>
      </c>
      <c r="F1670" t="s">
        <v>581</v>
      </c>
      <c r="G1670" t="s">
        <v>396</v>
      </c>
      <c r="H1670">
        <v>7.5857530000000004</v>
      </c>
      <c r="I1670">
        <v>6.358263</v>
      </c>
      <c r="J1670">
        <v>5.3485339999999999</v>
      </c>
      <c r="K1670">
        <v>4.4664539999999997</v>
      </c>
      <c r="L1670">
        <v>3.851283</v>
      </c>
      <c r="M1670">
        <v>3.0151659999999998</v>
      </c>
      <c r="N1670">
        <v>2.4814340000000001</v>
      </c>
    </row>
    <row r="1671" spans="1:14" hidden="1" x14ac:dyDescent="0.35">
      <c r="A1671" t="s">
        <v>719</v>
      </c>
      <c r="B1671" t="s">
        <v>37</v>
      </c>
      <c r="C1671" t="s">
        <v>35</v>
      </c>
      <c r="D1671" t="s">
        <v>36</v>
      </c>
      <c r="E1671" t="s">
        <v>589</v>
      </c>
      <c r="F1671" t="s">
        <v>581</v>
      </c>
      <c r="G1671" t="s">
        <v>25</v>
      </c>
      <c r="H1671">
        <v>5.9175350000000002E-2</v>
      </c>
      <c r="I1671">
        <v>1.522402</v>
      </c>
      <c r="J1671">
        <v>1.2806360000000001</v>
      </c>
      <c r="K1671">
        <v>1.0694319999999999</v>
      </c>
      <c r="L1671">
        <v>0.92213750000000005</v>
      </c>
      <c r="M1671">
        <v>0.72194190000000003</v>
      </c>
      <c r="N1671">
        <v>0.59414579999999995</v>
      </c>
    </row>
    <row r="1672" spans="1:14" hidden="1" x14ac:dyDescent="0.35">
      <c r="A1672" t="s">
        <v>719</v>
      </c>
      <c r="B1672" t="s">
        <v>37</v>
      </c>
      <c r="C1672" t="s">
        <v>35</v>
      </c>
      <c r="D1672" t="s">
        <v>36</v>
      </c>
      <c r="E1672" t="s">
        <v>589</v>
      </c>
      <c r="F1672" t="s">
        <v>26</v>
      </c>
      <c r="G1672" t="s">
        <v>26</v>
      </c>
      <c r="H1672">
        <v>1.6832879999999999</v>
      </c>
      <c r="I1672">
        <v>1.0746370000000001</v>
      </c>
      <c r="J1672">
        <v>0.90397810000000001</v>
      </c>
      <c r="K1672">
        <v>0.75489479999999998</v>
      </c>
      <c r="L1672">
        <v>0.65092280000000002</v>
      </c>
      <c r="M1672">
        <v>0.50960550000000004</v>
      </c>
      <c r="N1672">
        <v>0.4193962</v>
      </c>
    </row>
    <row r="1673" spans="1:14" hidden="1" x14ac:dyDescent="0.35">
      <c r="A1673" t="s">
        <v>719</v>
      </c>
      <c r="B1673" t="s">
        <v>37</v>
      </c>
      <c r="C1673" t="s">
        <v>35</v>
      </c>
      <c r="D1673" t="s">
        <v>36</v>
      </c>
      <c r="E1673" t="s">
        <v>587</v>
      </c>
      <c r="F1673" t="s">
        <v>581</v>
      </c>
      <c r="G1673" t="s">
        <v>396</v>
      </c>
      <c r="H1673">
        <v>0.79123290000000002</v>
      </c>
      <c r="I1673">
        <v>0.69045480000000004</v>
      </c>
      <c r="J1673">
        <v>0.6314246</v>
      </c>
      <c r="K1673">
        <v>0.56494250000000001</v>
      </c>
      <c r="L1673">
        <v>0.4865699</v>
      </c>
      <c r="M1673">
        <v>0.42489589999999999</v>
      </c>
      <c r="N1673">
        <v>0.37162469999999997</v>
      </c>
    </row>
    <row r="1674" spans="1:14" hidden="1" x14ac:dyDescent="0.35">
      <c r="A1674" t="s">
        <v>719</v>
      </c>
      <c r="B1674" t="s">
        <v>37</v>
      </c>
      <c r="C1674" t="s">
        <v>35</v>
      </c>
      <c r="D1674" t="s">
        <v>36</v>
      </c>
      <c r="E1674" t="s">
        <v>587</v>
      </c>
      <c r="F1674" t="s">
        <v>581</v>
      </c>
      <c r="G1674" t="s">
        <v>25</v>
      </c>
      <c r="H1674">
        <v>2.1917809999999999E-3</v>
      </c>
      <c r="I1674">
        <v>3.3950689999999999E-2</v>
      </c>
      <c r="J1674">
        <v>3.1052050000000001E-2</v>
      </c>
      <c r="K1674">
        <v>2.7783559999999999E-2</v>
      </c>
      <c r="L1674">
        <v>2.3928769999999999E-2</v>
      </c>
      <c r="M1674">
        <v>2.0893149999999999E-2</v>
      </c>
      <c r="N1674">
        <v>1.8276710000000002E-2</v>
      </c>
    </row>
    <row r="1675" spans="1:14" hidden="1" x14ac:dyDescent="0.35">
      <c r="A1675" t="s">
        <v>719</v>
      </c>
      <c r="B1675" t="s">
        <v>37</v>
      </c>
      <c r="C1675" t="s">
        <v>35</v>
      </c>
      <c r="D1675" t="s">
        <v>36</v>
      </c>
      <c r="E1675" t="s">
        <v>587</v>
      </c>
      <c r="F1675" t="s">
        <v>26</v>
      </c>
      <c r="G1675" t="s">
        <v>26</v>
      </c>
      <c r="H1675">
        <v>0.64876710000000004</v>
      </c>
      <c r="I1675">
        <v>0.40743839999999998</v>
      </c>
      <c r="J1675">
        <v>0.3726411</v>
      </c>
      <c r="K1675">
        <v>0.33340819999999999</v>
      </c>
      <c r="L1675">
        <v>0.28715619999999997</v>
      </c>
      <c r="M1675">
        <v>0.25075890000000001</v>
      </c>
      <c r="N1675">
        <v>0.2193206</v>
      </c>
    </row>
    <row r="1676" spans="1:14" hidden="1" x14ac:dyDescent="0.35">
      <c r="A1676" t="s">
        <v>719</v>
      </c>
      <c r="B1676" t="s">
        <v>37</v>
      </c>
      <c r="C1676" t="s">
        <v>79</v>
      </c>
      <c r="D1676" t="s">
        <v>79</v>
      </c>
      <c r="E1676" t="s">
        <v>615</v>
      </c>
      <c r="F1676" t="s">
        <v>581</v>
      </c>
      <c r="G1676" t="s">
        <v>396</v>
      </c>
      <c r="H1676">
        <v>27.269179999999999</v>
      </c>
      <c r="I1676">
        <v>27.32199</v>
      </c>
      <c r="J1676">
        <v>22.48394</v>
      </c>
      <c r="K1676">
        <v>17.016349999999999</v>
      </c>
      <c r="L1676">
        <v>12.53609</v>
      </c>
      <c r="M1676">
        <v>9.3154679999999992</v>
      </c>
      <c r="N1676">
        <v>7.3084850000000001</v>
      </c>
    </row>
    <row r="1677" spans="1:14" hidden="1" x14ac:dyDescent="0.35">
      <c r="A1677" t="s">
        <v>719</v>
      </c>
      <c r="B1677" t="s">
        <v>37</v>
      </c>
      <c r="C1677" t="s">
        <v>79</v>
      </c>
      <c r="D1677" t="s">
        <v>79</v>
      </c>
      <c r="E1677" t="s">
        <v>615</v>
      </c>
      <c r="F1677" t="s">
        <v>581</v>
      </c>
      <c r="G1677" t="s">
        <v>25</v>
      </c>
      <c r="H1677">
        <v>3.8178109999999998</v>
      </c>
      <c r="I1677">
        <v>6.8185630000000002</v>
      </c>
      <c r="J1677">
        <v>5.6110930000000003</v>
      </c>
      <c r="K1677">
        <v>4.2466290000000004</v>
      </c>
      <c r="L1677">
        <v>3.1284519999999998</v>
      </c>
      <c r="M1677">
        <v>2.3247010000000001</v>
      </c>
      <c r="N1677">
        <v>1.8238540000000001</v>
      </c>
    </row>
    <row r="1678" spans="1:14" hidden="1" x14ac:dyDescent="0.35">
      <c r="A1678" t="s">
        <v>719</v>
      </c>
      <c r="B1678" t="s">
        <v>37</v>
      </c>
      <c r="C1678" t="s">
        <v>79</v>
      </c>
      <c r="D1678" t="s">
        <v>79</v>
      </c>
      <c r="E1678" t="s">
        <v>615</v>
      </c>
      <c r="F1678" t="s">
        <v>26</v>
      </c>
      <c r="G1678" t="s">
        <v>26</v>
      </c>
      <c r="H1678">
        <v>3.5445199999999999</v>
      </c>
      <c r="I1678">
        <v>8.4734200000000008</v>
      </c>
      <c r="J1678">
        <v>6.9742810000000004</v>
      </c>
      <c r="K1678">
        <v>5.2784449999999996</v>
      </c>
      <c r="L1678">
        <v>3.8882910000000002</v>
      </c>
      <c r="M1678">
        <v>2.889192</v>
      </c>
      <c r="N1678">
        <v>2.2667630000000001</v>
      </c>
    </row>
    <row r="1679" spans="1:14" hidden="1" x14ac:dyDescent="0.35">
      <c r="A1679" t="s">
        <v>719</v>
      </c>
      <c r="B1679" t="s">
        <v>37</v>
      </c>
      <c r="C1679" t="s">
        <v>79</v>
      </c>
      <c r="D1679" t="s">
        <v>79</v>
      </c>
      <c r="E1679" t="s">
        <v>584</v>
      </c>
      <c r="F1679" t="s">
        <v>581</v>
      </c>
      <c r="G1679" t="s">
        <v>396</v>
      </c>
      <c r="H1679">
        <v>4.0164379999999998E-3</v>
      </c>
      <c r="I1679">
        <v>3.9506849999999998E-3</v>
      </c>
      <c r="J1679">
        <v>2.1178080000000001E-3</v>
      </c>
      <c r="K1679">
        <v>2.060274E-3</v>
      </c>
      <c r="L1679">
        <v>1.9764380000000001E-3</v>
      </c>
      <c r="M1679">
        <v>1.856438E-3</v>
      </c>
      <c r="N1679">
        <v>1.7501369999999999E-3</v>
      </c>
    </row>
    <row r="1680" spans="1:14" hidden="1" x14ac:dyDescent="0.35">
      <c r="A1680" t="s">
        <v>719</v>
      </c>
      <c r="B1680" t="s">
        <v>37</v>
      </c>
      <c r="C1680" t="s">
        <v>79</v>
      </c>
      <c r="D1680" t="s">
        <v>79</v>
      </c>
      <c r="E1680" t="s">
        <v>584</v>
      </c>
      <c r="F1680" t="s">
        <v>581</v>
      </c>
      <c r="G1680" t="s">
        <v>24</v>
      </c>
      <c r="H1680">
        <v>3.4712319999999999E-3</v>
      </c>
      <c r="I1680">
        <v>2.7342460000000001E-3</v>
      </c>
      <c r="J1680">
        <v>9.917808000000001E-4</v>
      </c>
      <c r="K1680">
        <v>0</v>
      </c>
      <c r="L1680">
        <v>0</v>
      </c>
      <c r="M1680">
        <v>0</v>
      </c>
      <c r="N1680">
        <v>0</v>
      </c>
    </row>
    <row r="1681" spans="1:14" hidden="1" x14ac:dyDescent="0.35">
      <c r="A1681" t="s">
        <v>719</v>
      </c>
      <c r="B1681" t="s">
        <v>37</v>
      </c>
      <c r="C1681" t="s">
        <v>204</v>
      </c>
      <c r="D1681" t="s">
        <v>204</v>
      </c>
      <c r="E1681" t="s">
        <v>720</v>
      </c>
      <c r="F1681" t="s">
        <v>581</v>
      </c>
      <c r="G1681" t="s">
        <v>25</v>
      </c>
      <c r="L1681">
        <v>0</v>
      </c>
      <c r="M1681">
        <v>0</v>
      </c>
      <c r="N1681">
        <v>0</v>
      </c>
    </row>
    <row r="1682" spans="1:14" hidden="1" x14ac:dyDescent="0.35">
      <c r="A1682" t="s">
        <v>719</v>
      </c>
      <c r="B1682" t="s">
        <v>37</v>
      </c>
      <c r="C1682" t="s">
        <v>204</v>
      </c>
      <c r="D1682" t="s">
        <v>204</v>
      </c>
      <c r="E1682" t="s">
        <v>720</v>
      </c>
      <c r="F1682" t="s">
        <v>26</v>
      </c>
      <c r="G1682" t="s">
        <v>26</v>
      </c>
      <c r="L1682">
        <v>0</v>
      </c>
      <c r="M1682">
        <v>0</v>
      </c>
      <c r="N1682">
        <v>0</v>
      </c>
    </row>
    <row r="1683" spans="1:14" hidden="1" x14ac:dyDescent="0.35">
      <c r="A1683" t="s">
        <v>719</v>
      </c>
      <c r="B1683" t="s">
        <v>37</v>
      </c>
      <c r="C1683" t="s">
        <v>95</v>
      </c>
      <c r="D1683" t="s">
        <v>95</v>
      </c>
      <c r="E1683" t="s">
        <v>721</v>
      </c>
      <c r="F1683" t="s">
        <v>26</v>
      </c>
      <c r="G1683" t="s">
        <v>26</v>
      </c>
      <c r="L1683">
        <v>0</v>
      </c>
      <c r="M1683">
        <v>0</v>
      </c>
      <c r="N1683">
        <v>0</v>
      </c>
    </row>
    <row r="1684" spans="1:14" hidden="1" x14ac:dyDescent="0.35">
      <c r="A1684" t="s">
        <v>722</v>
      </c>
      <c r="B1684" t="s">
        <v>307</v>
      </c>
      <c r="C1684" t="s">
        <v>306</v>
      </c>
      <c r="D1684" t="s">
        <v>306</v>
      </c>
      <c r="E1684" t="s">
        <v>584</v>
      </c>
      <c r="F1684" t="s">
        <v>581</v>
      </c>
      <c r="G1684" t="s">
        <v>396</v>
      </c>
      <c r="H1684">
        <v>55.182960000000001</v>
      </c>
      <c r="I1684">
        <v>45.816809999999997</v>
      </c>
      <c r="J1684">
        <v>47.338279999999997</v>
      </c>
      <c r="K1684">
        <v>51.973750000000003</v>
      </c>
      <c r="L1684">
        <v>45.344230000000003</v>
      </c>
      <c r="M1684">
        <v>43.07385</v>
      </c>
      <c r="N1684">
        <v>38.317540000000001</v>
      </c>
    </row>
    <row r="1685" spans="1:14" hidden="1" x14ac:dyDescent="0.35">
      <c r="A1685" t="s">
        <v>722</v>
      </c>
      <c r="B1685" t="s">
        <v>307</v>
      </c>
      <c r="C1685" t="s">
        <v>306</v>
      </c>
      <c r="D1685" t="s">
        <v>306</v>
      </c>
      <c r="E1685" t="s">
        <v>584</v>
      </c>
      <c r="F1685" t="s">
        <v>581</v>
      </c>
      <c r="G1685" t="s">
        <v>24</v>
      </c>
      <c r="H1685">
        <v>1.350627</v>
      </c>
      <c r="I1685">
        <v>3.768373</v>
      </c>
      <c r="J1685">
        <v>2.389481</v>
      </c>
      <c r="K1685">
        <v>1.543361</v>
      </c>
      <c r="L1685">
        <v>1.0055000000000001</v>
      </c>
      <c r="M1685">
        <v>0.69010309999999997</v>
      </c>
      <c r="N1685">
        <v>0.48993120000000001</v>
      </c>
    </row>
    <row r="1686" spans="1:14" hidden="1" x14ac:dyDescent="0.35">
      <c r="A1686" t="s">
        <v>722</v>
      </c>
      <c r="B1686" t="s">
        <v>307</v>
      </c>
      <c r="C1686" t="s">
        <v>306</v>
      </c>
      <c r="D1686" t="s">
        <v>306</v>
      </c>
      <c r="E1686" t="s">
        <v>584</v>
      </c>
      <c r="F1686" t="s">
        <v>26</v>
      </c>
      <c r="G1686" t="s">
        <v>26</v>
      </c>
      <c r="H1686">
        <v>2.0960160000000001</v>
      </c>
      <c r="I1686">
        <v>2.254089</v>
      </c>
      <c r="J1686">
        <v>4.6025159999999996</v>
      </c>
      <c r="K1686">
        <v>5.9482980000000003</v>
      </c>
      <c r="L1686">
        <v>8.2032779999999992</v>
      </c>
      <c r="M1686">
        <v>7.6305480000000001</v>
      </c>
      <c r="N1686">
        <v>6.7305669999999997</v>
      </c>
    </row>
    <row r="1687" spans="1:14" hidden="1" x14ac:dyDescent="0.35">
      <c r="A1687" t="s">
        <v>722</v>
      </c>
      <c r="B1687" t="s">
        <v>265</v>
      </c>
      <c r="C1687" t="s">
        <v>265</v>
      </c>
      <c r="D1687" t="s">
        <v>265</v>
      </c>
      <c r="E1687" t="s">
        <v>584</v>
      </c>
      <c r="F1687" t="s">
        <v>581</v>
      </c>
      <c r="G1687" t="s">
        <v>396</v>
      </c>
      <c r="H1687">
        <v>11.823779999999999</v>
      </c>
      <c r="I1687">
        <v>11.99727</v>
      </c>
      <c r="J1687">
        <v>10.016550000000001</v>
      </c>
      <c r="K1687">
        <v>9.1961969999999997</v>
      </c>
      <c r="L1687">
        <v>7.8136650000000003</v>
      </c>
      <c r="M1687">
        <v>4.3662489999999998</v>
      </c>
      <c r="N1687">
        <v>3.8706489999999998</v>
      </c>
    </row>
    <row r="1688" spans="1:14" hidden="1" x14ac:dyDescent="0.35">
      <c r="A1688" t="s">
        <v>722</v>
      </c>
      <c r="B1688" t="s">
        <v>265</v>
      </c>
      <c r="C1688" t="s">
        <v>44</v>
      </c>
      <c r="D1688" t="s">
        <v>44</v>
      </c>
      <c r="E1688" t="s">
        <v>584</v>
      </c>
      <c r="F1688" t="s">
        <v>581</v>
      </c>
      <c r="G1688" t="s">
        <v>396</v>
      </c>
      <c r="H1688">
        <v>1.915594</v>
      </c>
      <c r="I1688">
        <v>2.5982050000000001</v>
      </c>
      <c r="J1688">
        <v>2.6312880000000001</v>
      </c>
      <c r="K1688">
        <v>2.541801</v>
      </c>
      <c r="L1688">
        <v>3.3338640000000002</v>
      </c>
      <c r="M1688">
        <v>3.269911</v>
      </c>
      <c r="N1688">
        <v>2.6287829999999999</v>
      </c>
    </row>
    <row r="1689" spans="1:14" hidden="1" x14ac:dyDescent="0.35">
      <c r="A1689" t="s">
        <v>722</v>
      </c>
      <c r="B1689" t="s">
        <v>43</v>
      </c>
      <c r="C1689" t="s">
        <v>229</v>
      </c>
      <c r="D1689" t="s">
        <v>229</v>
      </c>
      <c r="E1689" t="s">
        <v>584</v>
      </c>
      <c r="F1689" t="s">
        <v>581</v>
      </c>
      <c r="G1689" t="s">
        <v>396</v>
      </c>
      <c r="H1689">
        <v>4.0868370000000001</v>
      </c>
      <c r="I1689">
        <v>3.5276239999999999</v>
      </c>
      <c r="J1689">
        <v>3.0430269999999999</v>
      </c>
      <c r="K1689">
        <v>2.9053179999999998</v>
      </c>
      <c r="L1689">
        <v>2.8739029999999999</v>
      </c>
      <c r="M1689">
        <v>2.1652499999999999</v>
      </c>
      <c r="N1689">
        <v>1.9213769999999999</v>
      </c>
    </row>
    <row r="1690" spans="1:14" hidden="1" x14ac:dyDescent="0.35">
      <c r="A1690" t="s">
        <v>722</v>
      </c>
      <c r="B1690" t="s">
        <v>264</v>
      </c>
      <c r="C1690" t="s">
        <v>264</v>
      </c>
      <c r="D1690" t="s">
        <v>264</v>
      </c>
      <c r="E1690" t="s">
        <v>584</v>
      </c>
      <c r="F1690" t="s">
        <v>581</v>
      </c>
      <c r="G1690" t="s">
        <v>396</v>
      </c>
      <c r="H1690">
        <v>1.21732</v>
      </c>
      <c r="I1690">
        <v>0.80977509999999997</v>
      </c>
      <c r="J1690">
        <v>0.81005899999999997</v>
      </c>
      <c r="K1690">
        <v>0.81005899999999997</v>
      </c>
      <c r="L1690">
        <v>0.79110930000000002</v>
      </c>
      <c r="M1690">
        <v>0.72268330000000003</v>
      </c>
      <c r="N1690">
        <v>0.64291299999999996</v>
      </c>
    </row>
    <row r="1691" spans="1:14" hidden="1" x14ac:dyDescent="0.35">
      <c r="A1691" t="s">
        <v>722</v>
      </c>
      <c r="B1691" t="s">
        <v>264</v>
      </c>
      <c r="C1691" t="s">
        <v>264</v>
      </c>
      <c r="D1691" t="s">
        <v>264</v>
      </c>
      <c r="E1691" t="s">
        <v>584</v>
      </c>
      <c r="F1691" t="s">
        <v>26</v>
      </c>
      <c r="G1691" t="s">
        <v>26</v>
      </c>
      <c r="H1691">
        <v>0.47666180000000002</v>
      </c>
      <c r="I1691">
        <v>0.37526130000000002</v>
      </c>
      <c r="J1691">
        <v>0.37539339999999999</v>
      </c>
      <c r="K1691">
        <v>0.37539280000000003</v>
      </c>
      <c r="L1691">
        <v>0.36661189999999999</v>
      </c>
      <c r="M1691">
        <v>0.33490199999999998</v>
      </c>
      <c r="N1691">
        <v>0.29793570000000003</v>
      </c>
    </row>
    <row r="1692" spans="1:14" hidden="1" x14ac:dyDescent="0.35">
      <c r="A1692" t="s">
        <v>722</v>
      </c>
      <c r="B1692" t="s">
        <v>366</v>
      </c>
      <c r="C1692" t="s">
        <v>723</v>
      </c>
      <c r="D1692" t="s">
        <v>724</v>
      </c>
      <c r="E1692" t="s">
        <v>584</v>
      </c>
      <c r="F1692" t="s">
        <v>581</v>
      </c>
      <c r="G1692" t="s">
        <v>396</v>
      </c>
      <c r="H1692">
        <v>0.62970689999999996</v>
      </c>
      <c r="I1692">
        <v>0.65749809999999997</v>
      </c>
      <c r="J1692">
        <v>0.44360189999999999</v>
      </c>
      <c r="K1692">
        <v>0.29930709999999999</v>
      </c>
      <c r="L1692">
        <v>0.21044280000000001</v>
      </c>
      <c r="M1692">
        <v>0.15482219999999999</v>
      </c>
      <c r="N1692">
        <v>1.292918</v>
      </c>
    </row>
    <row r="1693" spans="1:14" hidden="1" x14ac:dyDescent="0.35">
      <c r="A1693" t="s">
        <v>722</v>
      </c>
      <c r="B1693" t="s">
        <v>312</v>
      </c>
      <c r="C1693" t="s">
        <v>319</v>
      </c>
      <c r="D1693" t="s">
        <v>319</v>
      </c>
      <c r="E1693" t="s">
        <v>584</v>
      </c>
      <c r="F1693" t="s">
        <v>581</v>
      </c>
      <c r="G1693" t="s">
        <v>396</v>
      </c>
      <c r="H1693">
        <v>0</v>
      </c>
    </row>
    <row r="1694" spans="1:14" hidden="1" x14ac:dyDescent="0.35">
      <c r="A1694" t="s">
        <v>722</v>
      </c>
      <c r="B1694" t="s">
        <v>74</v>
      </c>
      <c r="C1694" t="s">
        <v>96</v>
      </c>
      <c r="D1694" t="s">
        <v>96</v>
      </c>
      <c r="E1694" t="s">
        <v>584</v>
      </c>
      <c r="F1694" t="s">
        <v>581</v>
      </c>
      <c r="G1694" t="s">
        <v>24</v>
      </c>
      <c r="H1694">
        <v>0</v>
      </c>
    </row>
    <row r="1695" spans="1:14" hidden="1" x14ac:dyDescent="0.35">
      <c r="A1695" t="s">
        <v>722</v>
      </c>
      <c r="B1695" t="s">
        <v>282</v>
      </c>
      <c r="C1695" t="s">
        <v>281</v>
      </c>
      <c r="D1695" t="s">
        <v>281</v>
      </c>
      <c r="E1695" t="s">
        <v>584</v>
      </c>
      <c r="F1695" t="s">
        <v>581</v>
      </c>
      <c r="G1695" t="s">
        <v>24</v>
      </c>
      <c r="N1695">
        <v>0</v>
      </c>
    </row>
    <row r="1696" spans="1:14" hidden="1" x14ac:dyDescent="0.35">
      <c r="A1696" t="s">
        <v>722</v>
      </c>
      <c r="B1696" t="s">
        <v>282</v>
      </c>
      <c r="C1696" t="s">
        <v>281</v>
      </c>
      <c r="D1696" t="s">
        <v>281</v>
      </c>
      <c r="E1696" t="s">
        <v>584</v>
      </c>
      <c r="F1696" t="s">
        <v>581</v>
      </c>
      <c r="G1696" t="s">
        <v>25</v>
      </c>
      <c r="N1696">
        <v>0</v>
      </c>
    </row>
    <row r="1697" spans="1:14" hidden="1" x14ac:dyDescent="0.35">
      <c r="A1697" t="s">
        <v>722</v>
      </c>
      <c r="B1697" t="s">
        <v>74</v>
      </c>
      <c r="C1697" t="s">
        <v>96</v>
      </c>
      <c r="D1697" t="s">
        <v>96</v>
      </c>
      <c r="E1697" t="s">
        <v>584</v>
      </c>
      <c r="F1697" t="s">
        <v>26</v>
      </c>
      <c r="G1697" t="s">
        <v>26</v>
      </c>
      <c r="H1697">
        <v>0</v>
      </c>
    </row>
    <row r="1698" spans="1:14" hidden="1" x14ac:dyDescent="0.35">
      <c r="A1698" t="s">
        <v>722</v>
      </c>
      <c r="B1698" t="s">
        <v>282</v>
      </c>
      <c r="C1698" t="s">
        <v>281</v>
      </c>
      <c r="D1698" t="s">
        <v>281</v>
      </c>
      <c r="E1698" t="s">
        <v>584</v>
      </c>
      <c r="F1698" t="s">
        <v>26</v>
      </c>
      <c r="G1698" t="s">
        <v>26</v>
      </c>
      <c r="N1698">
        <v>0</v>
      </c>
    </row>
    <row r="1699" spans="1:14" hidden="1" x14ac:dyDescent="0.35">
      <c r="A1699" t="s">
        <v>725</v>
      </c>
      <c r="B1699" t="s">
        <v>37</v>
      </c>
      <c r="C1699" t="s">
        <v>51</v>
      </c>
      <c r="D1699" t="s">
        <v>51</v>
      </c>
      <c r="E1699" t="s">
        <v>602</v>
      </c>
      <c r="F1699" t="s">
        <v>581</v>
      </c>
      <c r="G1699" t="s">
        <v>396</v>
      </c>
      <c r="H1699">
        <v>56.815390000000001</v>
      </c>
      <c r="I1699">
        <v>49.973129999999998</v>
      </c>
      <c r="J1699">
        <v>45.594639999999998</v>
      </c>
      <c r="K1699">
        <v>38.134700000000002</v>
      </c>
      <c r="L1699">
        <v>29.533059999999999</v>
      </c>
      <c r="M1699">
        <v>23.930350000000001</v>
      </c>
      <c r="N1699">
        <v>20.003779999999999</v>
      </c>
    </row>
    <row r="1700" spans="1:14" hidden="1" x14ac:dyDescent="0.35">
      <c r="A1700" t="s">
        <v>725</v>
      </c>
      <c r="B1700" t="s">
        <v>37</v>
      </c>
      <c r="C1700" t="s">
        <v>51</v>
      </c>
      <c r="D1700" t="s">
        <v>51</v>
      </c>
      <c r="E1700" t="s">
        <v>602</v>
      </c>
      <c r="F1700" t="s">
        <v>581</v>
      </c>
      <c r="G1700" t="s">
        <v>25</v>
      </c>
      <c r="H1700">
        <v>11.781230000000001</v>
      </c>
      <c r="I1700">
        <v>11.14306</v>
      </c>
      <c r="J1700">
        <v>10.232810000000001</v>
      </c>
      <c r="K1700">
        <v>8.555771</v>
      </c>
      <c r="L1700">
        <v>6.5948310000000001</v>
      </c>
      <c r="M1700">
        <v>5.3297340000000002</v>
      </c>
      <c r="N1700">
        <v>4.4487569999999996</v>
      </c>
    </row>
    <row r="1701" spans="1:14" hidden="1" x14ac:dyDescent="0.35">
      <c r="A1701" t="s">
        <v>725</v>
      </c>
      <c r="B1701" t="s">
        <v>37</v>
      </c>
      <c r="C1701" t="s">
        <v>51</v>
      </c>
      <c r="D1701" t="s">
        <v>51</v>
      </c>
      <c r="E1701" t="s">
        <v>602</v>
      </c>
      <c r="F1701" t="s">
        <v>26</v>
      </c>
      <c r="G1701" t="s">
        <v>26</v>
      </c>
      <c r="H1701">
        <v>19.203009999999999</v>
      </c>
      <c r="I1701">
        <v>17.894400000000001</v>
      </c>
      <c r="J1701">
        <v>16.37602</v>
      </c>
      <c r="K1701">
        <v>13.686489999999999</v>
      </c>
      <c r="L1701">
        <v>10.570510000000001</v>
      </c>
      <c r="M1701">
        <v>8.5527420000000003</v>
      </c>
      <c r="N1701">
        <v>7.1436320000000002</v>
      </c>
    </row>
    <row r="1702" spans="1:14" hidden="1" x14ac:dyDescent="0.35">
      <c r="A1702" t="s">
        <v>725</v>
      </c>
      <c r="B1702" t="s">
        <v>37</v>
      </c>
      <c r="C1702" t="s">
        <v>35</v>
      </c>
      <c r="D1702" t="s">
        <v>129</v>
      </c>
      <c r="E1702" t="s">
        <v>580</v>
      </c>
      <c r="F1702" t="s">
        <v>581</v>
      </c>
      <c r="G1702" t="s">
        <v>396</v>
      </c>
      <c r="H1702">
        <v>5.753425</v>
      </c>
      <c r="I1702">
        <v>7.2416640000000001</v>
      </c>
      <c r="J1702">
        <v>6.9839359999999999</v>
      </c>
      <c r="K1702">
        <v>5.8815609999999996</v>
      </c>
      <c r="L1702">
        <v>4.8621189999999999</v>
      </c>
      <c r="M1702">
        <v>4.1006619999999998</v>
      </c>
      <c r="N1702">
        <v>3.4623620000000002</v>
      </c>
    </row>
    <row r="1703" spans="1:14" hidden="1" x14ac:dyDescent="0.35">
      <c r="A1703" t="s">
        <v>725</v>
      </c>
      <c r="B1703" t="s">
        <v>37</v>
      </c>
      <c r="C1703" t="s">
        <v>35</v>
      </c>
      <c r="D1703" t="s">
        <v>129</v>
      </c>
      <c r="E1703" t="s">
        <v>580</v>
      </c>
      <c r="F1703" t="s">
        <v>581</v>
      </c>
      <c r="G1703" t="s">
        <v>25</v>
      </c>
      <c r="H1703">
        <v>0.74082190000000003</v>
      </c>
      <c r="I1703">
        <v>0.96548219999999996</v>
      </c>
      <c r="J1703">
        <v>0.93119620000000003</v>
      </c>
      <c r="K1703">
        <v>0.78420820000000002</v>
      </c>
      <c r="L1703">
        <v>0.64828280000000005</v>
      </c>
      <c r="M1703">
        <v>0.54675620000000003</v>
      </c>
      <c r="N1703">
        <v>0.46165040000000002</v>
      </c>
    </row>
    <row r="1704" spans="1:14" hidden="1" x14ac:dyDescent="0.35">
      <c r="A1704" t="s">
        <v>725</v>
      </c>
      <c r="B1704" t="s">
        <v>37</v>
      </c>
      <c r="C1704" t="s">
        <v>35</v>
      </c>
      <c r="D1704" t="s">
        <v>129</v>
      </c>
      <c r="E1704" t="s">
        <v>580</v>
      </c>
      <c r="F1704" t="s">
        <v>26</v>
      </c>
      <c r="G1704" t="s">
        <v>26</v>
      </c>
      <c r="H1704">
        <v>1.0958909999999999</v>
      </c>
      <c r="I1704">
        <v>1.4482189999999999</v>
      </c>
      <c r="J1704">
        <v>1.3967879999999999</v>
      </c>
      <c r="K1704">
        <v>1.176312</v>
      </c>
      <c r="L1704">
        <v>0.97242459999999997</v>
      </c>
      <c r="M1704">
        <v>0.82013309999999995</v>
      </c>
      <c r="N1704">
        <v>0.69247340000000002</v>
      </c>
    </row>
    <row r="1705" spans="1:14" hidden="1" x14ac:dyDescent="0.35">
      <c r="A1705" t="s">
        <v>726</v>
      </c>
      <c r="B1705" t="s">
        <v>34</v>
      </c>
      <c r="C1705" t="s">
        <v>33</v>
      </c>
      <c r="D1705" t="s">
        <v>33</v>
      </c>
      <c r="E1705" t="s">
        <v>675</v>
      </c>
      <c r="F1705" t="s">
        <v>581</v>
      </c>
      <c r="G1705" t="s">
        <v>25</v>
      </c>
      <c r="H1705">
        <v>4.2363809999999997</v>
      </c>
      <c r="I1705">
        <v>2.9704709999999999</v>
      </c>
      <c r="J1705">
        <v>2.8474810000000002</v>
      </c>
      <c r="K1705">
        <v>2.6989399999999999</v>
      </c>
      <c r="L1705">
        <v>2.538316</v>
      </c>
      <c r="M1705">
        <v>2.4468100000000002</v>
      </c>
      <c r="N1705">
        <v>2.3473630000000001</v>
      </c>
    </row>
    <row r="1706" spans="1:14" hidden="1" x14ac:dyDescent="0.35">
      <c r="A1706" t="s">
        <v>726</v>
      </c>
      <c r="B1706" t="s">
        <v>34</v>
      </c>
      <c r="C1706" t="s">
        <v>33</v>
      </c>
      <c r="D1706" t="s">
        <v>33</v>
      </c>
      <c r="E1706" t="s">
        <v>675</v>
      </c>
      <c r="F1706" t="s">
        <v>26</v>
      </c>
      <c r="G1706" t="s">
        <v>26</v>
      </c>
      <c r="H1706">
        <v>45.160710000000002</v>
      </c>
      <c r="I1706">
        <v>45.601149999999997</v>
      </c>
      <c r="J1706">
        <v>43.815559999999998</v>
      </c>
      <c r="K1706">
        <v>41.732799999999997</v>
      </c>
      <c r="L1706">
        <v>39.322400000000002</v>
      </c>
      <c r="M1706">
        <v>37.48113</v>
      </c>
      <c r="N1706">
        <v>35.453949999999999</v>
      </c>
    </row>
    <row r="1707" spans="1:14" hidden="1" x14ac:dyDescent="0.35">
      <c r="A1707" t="s">
        <v>726</v>
      </c>
      <c r="B1707" t="s">
        <v>34</v>
      </c>
      <c r="C1707" t="s">
        <v>33</v>
      </c>
      <c r="D1707" t="s">
        <v>33</v>
      </c>
      <c r="E1707" t="s">
        <v>677</v>
      </c>
      <c r="F1707" t="s">
        <v>581</v>
      </c>
      <c r="G1707" t="s">
        <v>396</v>
      </c>
      <c r="H1707">
        <v>0</v>
      </c>
    </row>
    <row r="1708" spans="1:14" hidden="1" x14ac:dyDescent="0.35">
      <c r="A1708" t="s">
        <v>726</v>
      </c>
      <c r="B1708" t="s">
        <v>34</v>
      </c>
      <c r="C1708" t="s">
        <v>33</v>
      </c>
      <c r="D1708" t="s">
        <v>33</v>
      </c>
      <c r="E1708" t="s">
        <v>677</v>
      </c>
      <c r="F1708" t="s">
        <v>581</v>
      </c>
      <c r="G1708" t="s">
        <v>24</v>
      </c>
      <c r="H1708">
        <v>5.4630140000000004E-3</v>
      </c>
      <c r="I1708">
        <v>0.87533689999999997</v>
      </c>
      <c r="J1708">
        <v>0.75875400000000004</v>
      </c>
      <c r="K1708">
        <v>0.63585259999999999</v>
      </c>
      <c r="L1708">
        <v>0.55964060000000004</v>
      </c>
      <c r="M1708">
        <v>0.46654459999999998</v>
      </c>
      <c r="N1708">
        <v>0.40456160000000002</v>
      </c>
    </row>
    <row r="1709" spans="1:14" hidden="1" x14ac:dyDescent="0.35">
      <c r="A1709" t="s">
        <v>726</v>
      </c>
      <c r="B1709" t="s">
        <v>34</v>
      </c>
      <c r="C1709" t="s">
        <v>33</v>
      </c>
      <c r="D1709" t="s">
        <v>33</v>
      </c>
      <c r="E1709" t="s">
        <v>677</v>
      </c>
      <c r="F1709" t="s">
        <v>581</v>
      </c>
      <c r="G1709" t="s">
        <v>25</v>
      </c>
      <c r="H1709">
        <v>3.7069640000000001</v>
      </c>
      <c r="I1709">
        <v>3.5708350000000002</v>
      </c>
      <c r="J1709">
        <v>3.1161080000000001</v>
      </c>
      <c r="K1709">
        <v>2.6048290000000001</v>
      </c>
      <c r="L1709">
        <v>2.2871190000000001</v>
      </c>
      <c r="M1709">
        <v>1.9083600000000001</v>
      </c>
      <c r="N1709">
        <v>1.6547879999999999</v>
      </c>
    </row>
    <row r="1710" spans="1:14" hidden="1" x14ac:dyDescent="0.35">
      <c r="A1710" t="s">
        <v>726</v>
      </c>
      <c r="B1710" t="s">
        <v>34</v>
      </c>
      <c r="C1710" t="s">
        <v>33</v>
      </c>
      <c r="D1710" t="s">
        <v>33</v>
      </c>
      <c r="E1710" t="s">
        <v>677</v>
      </c>
      <c r="F1710" t="s">
        <v>26</v>
      </c>
      <c r="G1710" t="s">
        <v>26</v>
      </c>
      <c r="H1710">
        <v>11.343629999999999</v>
      </c>
      <c r="I1710">
        <v>13.429970000000001</v>
      </c>
      <c r="J1710">
        <v>11.705120000000001</v>
      </c>
      <c r="K1710">
        <v>9.7892679999999999</v>
      </c>
      <c r="L1710">
        <v>8.5991689999999998</v>
      </c>
      <c r="M1710">
        <v>7.1739649999999999</v>
      </c>
      <c r="N1710">
        <v>6.2207749999999997</v>
      </c>
    </row>
    <row r="1711" spans="1:14" hidden="1" x14ac:dyDescent="0.35">
      <c r="A1711" t="s">
        <v>726</v>
      </c>
      <c r="B1711" t="s">
        <v>34</v>
      </c>
      <c r="C1711" t="s">
        <v>33</v>
      </c>
      <c r="D1711" t="s">
        <v>33</v>
      </c>
      <c r="E1711" t="s">
        <v>584</v>
      </c>
      <c r="F1711" t="s">
        <v>581</v>
      </c>
      <c r="G1711" t="s">
        <v>396</v>
      </c>
      <c r="H1711">
        <v>7.2054789999999997E-4</v>
      </c>
      <c r="I1711">
        <v>0</v>
      </c>
    </row>
    <row r="1712" spans="1:14" hidden="1" x14ac:dyDescent="0.35">
      <c r="A1712" t="s">
        <v>726</v>
      </c>
      <c r="B1712" t="s">
        <v>34</v>
      </c>
      <c r="C1712" t="s">
        <v>33</v>
      </c>
      <c r="D1712" t="s">
        <v>33</v>
      </c>
      <c r="E1712" t="s">
        <v>584</v>
      </c>
      <c r="F1712" t="s">
        <v>581</v>
      </c>
      <c r="G1712" t="s">
        <v>24</v>
      </c>
      <c r="H1712">
        <v>0</v>
      </c>
    </row>
    <row r="1713" spans="1:14" hidden="1" x14ac:dyDescent="0.35">
      <c r="A1713" t="s">
        <v>726</v>
      </c>
      <c r="B1713" t="s">
        <v>34</v>
      </c>
      <c r="C1713" t="s">
        <v>33</v>
      </c>
      <c r="D1713" t="s">
        <v>33</v>
      </c>
      <c r="E1713" t="s">
        <v>584</v>
      </c>
      <c r="F1713" t="s">
        <v>581</v>
      </c>
      <c r="G1713" t="s">
        <v>25</v>
      </c>
      <c r="H1713">
        <v>1.4971399999999999</v>
      </c>
      <c r="I1713">
        <v>1.405052</v>
      </c>
      <c r="J1713">
        <v>1.3312120000000001</v>
      </c>
      <c r="K1713">
        <v>1.2616700000000001</v>
      </c>
      <c r="L1713">
        <v>1.1892400000000001</v>
      </c>
      <c r="M1713">
        <v>1.1023609999999999</v>
      </c>
      <c r="N1713">
        <v>1.0294270000000001</v>
      </c>
    </row>
    <row r="1714" spans="1:14" hidden="1" x14ac:dyDescent="0.35">
      <c r="A1714" t="s">
        <v>726</v>
      </c>
      <c r="B1714" t="s">
        <v>34</v>
      </c>
      <c r="C1714" t="s">
        <v>33</v>
      </c>
      <c r="D1714" t="s">
        <v>33</v>
      </c>
      <c r="E1714" t="s">
        <v>584</v>
      </c>
      <c r="F1714" t="s">
        <v>26</v>
      </c>
      <c r="G1714" t="s">
        <v>26</v>
      </c>
      <c r="H1714">
        <v>6.4560380000000004</v>
      </c>
      <c r="I1714">
        <v>5.8965180000000004</v>
      </c>
      <c r="J1714">
        <v>5.4021280000000003</v>
      </c>
      <c r="K1714">
        <v>4.9323160000000001</v>
      </c>
      <c r="L1714">
        <v>4.4692470000000002</v>
      </c>
      <c r="M1714">
        <v>3.9893930000000002</v>
      </c>
      <c r="N1714">
        <v>3.579386</v>
      </c>
    </row>
    <row r="1715" spans="1:14" hidden="1" x14ac:dyDescent="0.35">
      <c r="A1715" t="s">
        <v>726</v>
      </c>
      <c r="B1715" t="s">
        <v>34</v>
      </c>
      <c r="C1715" t="s">
        <v>33</v>
      </c>
      <c r="D1715" t="s">
        <v>33</v>
      </c>
      <c r="E1715" t="s">
        <v>727</v>
      </c>
      <c r="F1715" t="s">
        <v>581</v>
      </c>
      <c r="G1715" t="s">
        <v>25</v>
      </c>
      <c r="H1715">
        <v>0.3380959</v>
      </c>
      <c r="I1715">
        <v>0.19677810000000001</v>
      </c>
      <c r="J1715">
        <v>0.2016877</v>
      </c>
      <c r="K1715">
        <v>0.1795342</v>
      </c>
      <c r="L1715">
        <v>0.150811</v>
      </c>
      <c r="M1715">
        <v>0.1322931</v>
      </c>
      <c r="N1715">
        <v>0.1170658</v>
      </c>
    </row>
    <row r="1716" spans="1:14" hidden="1" x14ac:dyDescent="0.35">
      <c r="A1716" t="s">
        <v>726</v>
      </c>
      <c r="B1716" t="s">
        <v>34</v>
      </c>
      <c r="C1716" t="s">
        <v>33</v>
      </c>
      <c r="D1716" t="s">
        <v>33</v>
      </c>
      <c r="E1716" t="s">
        <v>727</v>
      </c>
      <c r="F1716" t="s">
        <v>26</v>
      </c>
      <c r="G1716" t="s">
        <v>26</v>
      </c>
      <c r="H1716">
        <v>2.425211</v>
      </c>
      <c r="I1716">
        <v>2.614331</v>
      </c>
      <c r="J1716">
        <v>2.679586</v>
      </c>
      <c r="K1716">
        <v>2.3852190000000002</v>
      </c>
      <c r="L1716">
        <v>2.0036139999999998</v>
      </c>
      <c r="M1716">
        <v>1.757614</v>
      </c>
      <c r="N1716">
        <v>1.555323</v>
      </c>
    </row>
    <row r="1717" spans="1:14" hidden="1" x14ac:dyDescent="0.35">
      <c r="A1717" t="s">
        <v>726</v>
      </c>
      <c r="B1717" t="s">
        <v>34</v>
      </c>
      <c r="C1717" t="s">
        <v>33</v>
      </c>
      <c r="D1717" t="s">
        <v>33</v>
      </c>
      <c r="E1717" t="s">
        <v>605</v>
      </c>
      <c r="F1717" t="s">
        <v>581</v>
      </c>
      <c r="G1717" t="s">
        <v>24</v>
      </c>
      <c r="I1717">
        <v>0</v>
      </c>
      <c r="J1717">
        <v>1.7594520000000001E-3</v>
      </c>
      <c r="K1717">
        <v>3.9024659999999998E-3</v>
      </c>
      <c r="L1717">
        <v>5.4454799999999999E-3</v>
      </c>
      <c r="M1717">
        <v>4.8235609999999996E-3</v>
      </c>
      <c r="N1717">
        <v>3.9950690000000004E-3</v>
      </c>
    </row>
    <row r="1718" spans="1:14" hidden="1" x14ac:dyDescent="0.35">
      <c r="A1718" t="s">
        <v>726</v>
      </c>
      <c r="B1718" t="s">
        <v>34</v>
      </c>
      <c r="C1718" t="s">
        <v>33</v>
      </c>
      <c r="D1718" t="s">
        <v>33</v>
      </c>
      <c r="E1718" t="s">
        <v>605</v>
      </c>
      <c r="F1718" t="s">
        <v>581</v>
      </c>
      <c r="G1718" t="s">
        <v>25</v>
      </c>
      <c r="I1718">
        <v>0</v>
      </c>
      <c r="J1718">
        <v>3.5194520000000002E-3</v>
      </c>
      <c r="K1718">
        <v>7.8032880000000002E-3</v>
      </c>
      <c r="L1718">
        <v>1.089096E-2</v>
      </c>
      <c r="M1718">
        <v>9.6493150000000003E-3</v>
      </c>
      <c r="N1718">
        <v>7.9901369999999996E-3</v>
      </c>
    </row>
    <row r="1719" spans="1:14" hidden="1" x14ac:dyDescent="0.35">
      <c r="A1719" t="s">
        <v>726</v>
      </c>
      <c r="B1719" t="s">
        <v>34</v>
      </c>
      <c r="C1719" t="s">
        <v>33</v>
      </c>
      <c r="D1719" t="s">
        <v>33</v>
      </c>
      <c r="E1719" t="s">
        <v>605</v>
      </c>
      <c r="F1719" t="s">
        <v>26</v>
      </c>
      <c r="G1719" t="s">
        <v>26</v>
      </c>
      <c r="I1719">
        <v>0</v>
      </c>
      <c r="J1719">
        <v>3.0389590000000001E-2</v>
      </c>
      <c r="K1719">
        <v>6.7403290000000005E-2</v>
      </c>
      <c r="L1719">
        <v>9.4056429999999996E-2</v>
      </c>
      <c r="M1719">
        <v>8.3325490000000002E-2</v>
      </c>
      <c r="N1719">
        <v>6.9012599999999993E-2</v>
      </c>
    </row>
    <row r="1720" spans="1:14" hidden="1" x14ac:dyDescent="0.35">
      <c r="A1720" t="s">
        <v>728</v>
      </c>
      <c r="B1720" t="s">
        <v>37</v>
      </c>
      <c r="C1720" t="s">
        <v>63</v>
      </c>
      <c r="D1720" t="s">
        <v>63</v>
      </c>
      <c r="E1720" t="s">
        <v>584</v>
      </c>
      <c r="F1720" t="s">
        <v>581</v>
      </c>
      <c r="G1720" t="s">
        <v>396</v>
      </c>
      <c r="H1720">
        <v>0.91808769999999995</v>
      </c>
      <c r="I1720">
        <v>0.79222740000000003</v>
      </c>
      <c r="J1720">
        <v>0.69004010000000005</v>
      </c>
      <c r="K1720">
        <v>0.60527399999999998</v>
      </c>
      <c r="L1720">
        <v>0.53138019999999997</v>
      </c>
      <c r="M1720">
        <v>0.46479890000000001</v>
      </c>
      <c r="N1720">
        <v>0.40721540000000001</v>
      </c>
    </row>
    <row r="1721" spans="1:14" hidden="1" x14ac:dyDescent="0.35">
      <c r="A1721" t="s">
        <v>728</v>
      </c>
      <c r="B1721" t="s">
        <v>37</v>
      </c>
      <c r="C1721" t="s">
        <v>63</v>
      </c>
      <c r="D1721" t="s">
        <v>63</v>
      </c>
      <c r="E1721" t="s">
        <v>584</v>
      </c>
      <c r="F1721" t="s">
        <v>581</v>
      </c>
      <c r="G1721" t="s">
        <v>25</v>
      </c>
      <c r="H1721">
        <v>2.842803</v>
      </c>
      <c r="I1721">
        <v>2.6830189999999998</v>
      </c>
      <c r="J1721">
        <v>2.532797</v>
      </c>
      <c r="K1721">
        <v>2.3770310000000001</v>
      </c>
      <c r="L1721">
        <v>2.207214</v>
      </c>
      <c r="M1721">
        <v>2.0099269999999998</v>
      </c>
      <c r="N1721">
        <v>1.8351249999999999</v>
      </c>
    </row>
    <row r="1722" spans="1:14" hidden="1" x14ac:dyDescent="0.35">
      <c r="A1722" t="s">
        <v>728</v>
      </c>
      <c r="B1722" t="s">
        <v>37</v>
      </c>
      <c r="C1722" t="s">
        <v>63</v>
      </c>
      <c r="D1722" t="s">
        <v>63</v>
      </c>
      <c r="E1722" t="s">
        <v>584</v>
      </c>
      <c r="F1722" t="s">
        <v>26</v>
      </c>
      <c r="G1722" t="s">
        <v>26</v>
      </c>
      <c r="H1722">
        <v>32.944740000000003</v>
      </c>
      <c r="I1722">
        <v>31.125540000000001</v>
      </c>
      <c r="J1722">
        <v>29.4178</v>
      </c>
      <c r="K1722">
        <v>27.744800000000001</v>
      </c>
      <c r="L1722">
        <v>26.01642</v>
      </c>
      <c r="M1722">
        <v>24.134830000000001</v>
      </c>
      <c r="N1722">
        <v>22.43694</v>
      </c>
    </row>
    <row r="1723" spans="1:14" hidden="1" x14ac:dyDescent="0.35">
      <c r="A1723" t="s">
        <v>728</v>
      </c>
      <c r="B1723" t="s">
        <v>37</v>
      </c>
      <c r="C1723" t="s">
        <v>63</v>
      </c>
      <c r="D1723" t="s">
        <v>63</v>
      </c>
      <c r="E1723" t="s">
        <v>608</v>
      </c>
      <c r="F1723" t="s">
        <v>581</v>
      </c>
      <c r="G1723" t="s">
        <v>25</v>
      </c>
      <c r="H1723">
        <v>1.8766</v>
      </c>
      <c r="I1723">
        <v>1.76814</v>
      </c>
      <c r="J1723">
        <v>1.8528549999999999</v>
      </c>
      <c r="K1723">
        <v>1.6904300000000001</v>
      </c>
      <c r="L1723">
        <v>1.4615670000000001</v>
      </c>
      <c r="M1723">
        <v>1.336327</v>
      </c>
      <c r="N1723">
        <v>1.300945</v>
      </c>
    </row>
    <row r="1724" spans="1:14" hidden="1" x14ac:dyDescent="0.35">
      <c r="A1724" t="s">
        <v>728</v>
      </c>
      <c r="B1724" t="s">
        <v>37</v>
      </c>
      <c r="C1724" t="s">
        <v>63</v>
      </c>
      <c r="D1724" t="s">
        <v>63</v>
      </c>
      <c r="E1724" t="s">
        <v>608</v>
      </c>
      <c r="F1724" t="s">
        <v>26</v>
      </c>
      <c r="G1724" t="s">
        <v>26</v>
      </c>
      <c r="H1724">
        <v>17.571429999999999</v>
      </c>
      <c r="I1724">
        <v>16.44595</v>
      </c>
      <c r="J1724">
        <v>16.90926</v>
      </c>
      <c r="K1724">
        <v>15.403269999999999</v>
      </c>
      <c r="L1724">
        <v>13.37889</v>
      </c>
      <c r="M1724">
        <v>12.230090000000001</v>
      </c>
      <c r="N1724">
        <v>11.91048</v>
      </c>
    </row>
    <row r="1725" spans="1:14" hidden="1" x14ac:dyDescent="0.35">
      <c r="A1725" t="s">
        <v>728</v>
      </c>
      <c r="B1725" t="s">
        <v>37</v>
      </c>
      <c r="C1725" t="s">
        <v>63</v>
      </c>
      <c r="D1725" t="s">
        <v>63</v>
      </c>
      <c r="E1725" t="s">
        <v>609</v>
      </c>
      <c r="F1725" t="s">
        <v>26</v>
      </c>
      <c r="G1725" t="s">
        <v>26</v>
      </c>
      <c r="H1725">
        <v>11.469900000000001</v>
      </c>
      <c r="I1725">
        <v>8.992521</v>
      </c>
      <c r="J1725">
        <v>9.6439909999999998</v>
      </c>
      <c r="K1725">
        <v>8.068206</v>
      </c>
      <c r="L1725">
        <v>6.09877</v>
      </c>
      <c r="M1725">
        <v>5.4166259999999999</v>
      </c>
      <c r="N1725">
        <v>5.6387770000000002</v>
      </c>
    </row>
    <row r="1726" spans="1:14" hidden="1" x14ac:dyDescent="0.35">
      <c r="A1726" t="s">
        <v>728</v>
      </c>
      <c r="B1726" t="s">
        <v>37</v>
      </c>
      <c r="C1726" t="s">
        <v>63</v>
      </c>
      <c r="D1726" t="s">
        <v>63</v>
      </c>
      <c r="E1726" t="s">
        <v>668</v>
      </c>
      <c r="F1726" t="s">
        <v>581</v>
      </c>
      <c r="G1726" t="s">
        <v>25</v>
      </c>
      <c r="H1726">
        <v>2.0979199999999998</v>
      </c>
      <c r="I1726">
        <v>1.885038</v>
      </c>
      <c r="J1726">
        <v>1.690118</v>
      </c>
      <c r="K1726">
        <v>1.5210440000000001</v>
      </c>
      <c r="L1726">
        <v>1.3689150000000001</v>
      </c>
      <c r="M1726">
        <v>1.2352080000000001</v>
      </c>
      <c r="N1726">
        <v>1.1084689999999999</v>
      </c>
    </row>
    <row r="1727" spans="1:14" hidden="1" x14ac:dyDescent="0.35">
      <c r="A1727" t="s">
        <v>728</v>
      </c>
      <c r="B1727" t="s">
        <v>37</v>
      </c>
      <c r="C1727" t="s">
        <v>63</v>
      </c>
      <c r="D1727" t="s">
        <v>63</v>
      </c>
      <c r="E1727" t="s">
        <v>668</v>
      </c>
      <c r="F1727" t="s">
        <v>26</v>
      </c>
      <c r="G1727" t="s">
        <v>26</v>
      </c>
      <c r="H1727">
        <v>8.3916880000000003</v>
      </c>
      <c r="I1727">
        <v>7.5401639999999999</v>
      </c>
      <c r="J1727">
        <v>6.7604660000000001</v>
      </c>
      <c r="K1727">
        <v>6.0841719999999997</v>
      </c>
      <c r="L1727">
        <v>5.4756710000000002</v>
      </c>
      <c r="M1727">
        <v>4.9408300000000001</v>
      </c>
      <c r="N1727">
        <v>4.4338800000000003</v>
      </c>
    </row>
    <row r="1728" spans="1:14" hidden="1" x14ac:dyDescent="0.35">
      <c r="A1728" t="s">
        <v>728</v>
      </c>
      <c r="B1728" t="s">
        <v>37</v>
      </c>
      <c r="C1728" t="s">
        <v>63</v>
      </c>
      <c r="D1728" t="s">
        <v>63</v>
      </c>
      <c r="E1728" t="s">
        <v>667</v>
      </c>
      <c r="F1728" t="s">
        <v>26</v>
      </c>
      <c r="G1728" t="s">
        <v>26</v>
      </c>
      <c r="H1728">
        <v>0.235874</v>
      </c>
      <c r="I1728">
        <v>0.42726409999999998</v>
      </c>
      <c r="J1728">
        <v>0.59089270000000005</v>
      </c>
      <c r="K1728">
        <v>0.47107290000000002</v>
      </c>
      <c r="L1728">
        <v>0.3568614</v>
      </c>
      <c r="M1728">
        <v>0.29497479999999998</v>
      </c>
      <c r="N1728">
        <v>0.25326850000000001</v>
      </c>
    </row>
    <row r="1729" spans="1:14" hidden="1" x14ac:dyDescent="0.35">
      <c r="A1729" t="s">
        <v>729</v>
      </c>
      <c r="B1729" t="s">
        <v>37</v>
      </c>
      <c r="C1729" t="s">
        <v>218</v>
      </c>
      <c r="D1729" t="s">
        <v>218</v>
      </c>
      <c r="E1729" t="s">
        <v>593</v>
      </c>
      <c r="F1729" t="s">
        <v>581</v>
      </c>
      <c r="G1729" t="s">
        <v>396</v>
      </c>
      <c r="H1729">
        <v>41.293149999999997</v>
      </c>
      <c r="I1729">
        <v>39.293410000000002</v>
      </c>
      <c r="J1729">
        <v>34.02628</v>
      </c>
      <c r="K1729">
        <v>27.780049999999999</v>
      </c>
      <c r="L1729">
        <v>24.276450000000001</v>
      </c>
      <c r="M1729">
        <v>21.056539999999998</v>
      </c>
      <c r="N1729">
        <v>19.073440000000002</v>
      </c>
    </row>
    <row r="1730" spans="1:14" hidden="1" x14ac:dyDescent="0.35">
      <c r="A1730" t="s">
        <v>729</v>
      </c>
      <c r="B1730" t="s">
        <v>37</v>
      </c>
      <c r="C1730" t="s">
        <v>218</v>
      </c>
      <c r="D1730" t="s">
        <v>218</v>
      </c>
      <c r="E1730" t="s">
        <v>593</v>
      </c>
      <c r="F1730" t="s">
        <v>581</v>
      </c>
      <c r="G1730" t="s">
        <v>25</v>
      </c>
      <c r="H1730">
        <v>16.69726</v>
      </c>
      <c r="I1730">
        <v>17.520320000000002</v>
      </c>
      <c r="J1730">
        <v>15.184240000000001</v>
      </c>
      <c r="K1730">
        <v>12.396850000000001</v>
      </c>
      <c r="L1730">
        <v>10.833360000000001</v>
      </c>
      <c r="M1730">
        <v>9.3964770000000009</v>
      </c>
      <c r="N1730">
        <v>8.5115239999999996</v>
      </c>
    </row>
    <row r="1731" spans="1:14" hidden="1" x14ac:dyDescent="0.35">
      <c r="A1731" t="s">
        <v>729</v>
      </c>
      <c r="B1731" t="s">
        <v>37</v>
      </c>
      <c r="C1731" t="s">
        <v>218</v>
      </c>
      <c r="D1731" t="s">
        <v>218</v>
      </c>
      <c r="E1731" t="s">
        <v>593</v>
      </c>
      <c r="F1731" t="s">
        <v>26</v>
      </c>
      <c r="G1731" t="s">
        <v>26</v>
      </c>
      <c r="H1731">
        <v>29.319179999999999</v>
      </c>
      <c r="I1731">
        <v>24.19472</v>
      </c>
      <c r="J1731">
        <v>20.968699999999998</v>
      </c>
      <c r="K1731">
        <v>17.119450000000001</v>
      </c>
      <c r="L1731">
        <v>14.960369999999999</v>
      </c>
      <c r="M1731">
        <v>12.976089999999999</v>
      </c>
      <c r="N1731">
        <v>11.754009999999999</v>
      </c>
    </row>
    <row r="1732" spans="1:14" hidden="1" x14ac:dyDescent="0.35">
      <c r="A1732" t="s">
        <v>729</v>
      </c>
      <c r="B1732" t="s">
        <v>37</v>
      </c>
      <c r="C1732" t="s">
        <v>218</v>
      </c>
      <c r="D1732" t="s">
        <v>218</v>
      </c>
      <c r="E1732" t="s">
        <v>730</v>
      </c>
      <c r="F1732" t="s">
        <v>581</v>
      </c>
      <c r="G1732" t="s">
        <v>396</v>
      </c>
      <c r="H1732">
        <v>0.6794521</v>
      </c>
      <c r="I1732">
        <v>0.887965</v>
      </c>
      <c r="J1732">
        <v>0.88393480000000002</v>
      </c>
      <c r="K1732">
        <v>0.83216380000000001</v>
      </c>
      <c r="L1732">
        <v>0.65489160000000002</v>
      </c>
      <c r="M1732">
        <v>0.48305100000000001</v>
      </c>
      <c r="N1732">
        <v>0.35947449999999997</v>
      </c>
    </row>
    <row r="1733" spans="1:14" hidden="1" x14ac:dyDescent="0.35">
      <c r="A1733" t="s">
        <v>729</v>
      </c>
      <c r="B1733" t="s">
        <v>37</v>
      </c>
      <c r="C1733" t="s">
        <v>218</v>
      </c>
      <c r="D1733" t="s">
        <v>218</v>
      </c>
      <c r="E1733" t="s">
        <v>730</v>
      </c>
      <c r="F1733" t="s">
        <v>581</v>
      </c>
      <c r="G1733" t="s">
        <v>25</v>
      </c>
      <c r="H1733">
        <v>0.13972599999999999</v>
      </c>
      <c r="I1733">
        <v>0.20216439999999999</v>
      </c>
      <c r="J1733">
        <v>0.2012515</v>
      </c>
      <c r="K1733">
        <v>0.18946850000000001</v>
      </c>
      <c r="L1733">
        <v>0.14909919999999999</v>
      </c>
      <c r="M1733">
        <v>0.1099847</v>
      </c>
      <c r="N1733">
        <v>8.1840560000000007E-2</v>
      </c>
    </row>
    <row r="1734" spans="1:14" hidden="1" x14ac:dyDescent="0.35">
      <c r="A1734" t="s">
        <v>729</v>
      </c>
      <c r="B1734" t="s">
        <v>37</v>
      </c>
      <c r="C1734" t="s">
        <v>218</v>
      </c>
      <c r="D1734" t="s">
        <v>218</v>
      </c>
      <c r="E1734" t="s">
        <v>730</v>
      </c>
      <c r="F1734" t="s">
        <v>26</v>
      </c>
      <c r="G1734" t="s">
        <v>26</v>
      </c>
      <c r="H1734">
        <v>0.18630140000000001</v>
      </c>
      <c r="I1734">
        <v>0.20217209999999999</v>
      </c>
      <c r="J1734">
        <v>0.20125370000000001</v>
      </c>
      <c r="K1734">
        <v>0.18946579999999999</v>
      </c>
      <c r="L1734">
        <v>0.1491063</v>
      </c>
      <c r="M1734">
        <v>0.1099797</v>
      </c>
      <c r="N1734">
        <v>8.1846020000000005E-2</v>
      </c>
    </row>
    <row r="1735" spans="1:14" hidden="1" x14ac:dyDescent="0.35">
      <c r="A1735" t="s">
        <v>729</v>
      </c>
      <c r="B1735" t="s">
        <v>37</v>
      </c>
      <c r="C1735" t="s">
        <v>218</v>
      </c>
      <c r="D1735" t="s">
        <v>218</v>
      </c>
      <c r="E1735" t="s">
        <v>594</v>
      </c>
      <c r="F1735" t="s">
        <v>581</v>
      </c>
      <c r="G1735" t="s">
        <v>396</v>
      </c>
      <c r="H1735">
        <v>0.32876719999999998</v>
      </c>
      <c r="I1735">
        <v>0.40175290000000002</v>
      </c>
      <c r="J1735">
        <v>0.40589150000000002</v>
      </c>
      <c r="K1735">
        <v>0.38993040000000001</v>
      </c>
      <c r="L1735">
        <v>0.40041589999999999</v>
      </c>
      <c r="M1735">
        <v>0.30616500000000002</v>
      </c>
      <c r="N1735">
        <v>0.24672820000000001</v>
      </c>
    </row>
    <row r="1736" spans="1:14" hidden="1" x14ac:dyDescent="0.35">
      <c r="A1736" t="s">
        <v>729</v>
      </c>
      <c r="B1736" t="s">
        <v>37</v>
      </c>
      <c r="C1736" t="s">
        <v>218</v>
      </c>
      <c r="D1736" t="s">
        <v>218</v>
      </c>
      <c r="E1736" t="s">
        <v>594</v>
      </c>
      <c r="F1736" t="s">
        <v>581</v>
      </c>
      <c r="G1736" t="s">
        <v>25</v>
      </c>
      <c r="H1736">
        <v>4.657534E-2</v>
      </c>
      <c r="I1736">
        <v>5.3352330000000003E-2</v>
      </c>
      <c r="J1736">
        <v>5.3912880000000003E-2</v>
      </c>
      <c r="K1736">
        <v>5.1785749999999998E-2</v>
      </c>
      <c r="L1736">
        <v>5.3178629999999998E-2</v>
      </c>
      <c r="M1736">
        <v>4.066082E-2</v>
      </c>
      <c r="N1736">
        <v>3.2770960000000002E-2</v>
      </c>
    </row>
    <row r="1737" spans="1:14" hidden="1" x14ac:dyDescent="0.35">
      <c r="A1737" t="s">
        <v>729</v>
      </c>
      <c r="B1737" t="s">
        <v>37</v>
      </c>
      <c r="C1737" t="s">
        <v>218</v>
      </c>
      <c r="D1737" t="s">
        <v>218</v>
      </c>
      <c r="E1737" t="s">
        <v>594</v>
      </c>
      <c r="F1737" t="s">
        <v>26</v>
      </c>
      <c r="G1737" t="s">
        <v>26</v>
      </c>
      <c r="H1737">
        <v>4.657534E-2</v>
      </c>
      <c r="I1737">
        <v>5.3357259999999997E-2</v>
      </c>
      <c r="J1737">
        <v>5.3907400000000001E-2</v>
      </c>
      <c r="K1737">
        <v>5.1789040000000001E-2</v>
      </c>
      <c r="L1737">
        <v>5.3180819999999997E-2</v>
      </c>
      <c r="M1737">
        <v>4.0664110000000003E-2</v>
      </c>
      <c r="N1737">
        <v>3.277041E-2</v>
      </c>
    </row>
    <row r="1738" spans="1:14" hidden="1" x14ac:dyDescent="0.35">
      <c r="A1738" t="s">
        <v>731</v>
      </c>
      <c r="B1738" t="s">
        <v>307</v>
      </c>
      <c r="C1738" t="s">
        <v>306</v>
      </c>
      <c r="D1738" t="s">
        <v>306</v>
      </c>
      <c r="E1738" t="s">
        <v>584</v>
      </c>
      <c r="F1738" t="s">
        <v>581</v>
      </c>
      <c r="G1738" t="s">
        <v>396</v>
      </c>
      <c r="H1738">
        <v>29.456510000000002</v>
      </c>
      <c r="I1738">
        <v>25.639589999999998</v>
      </c>
      <c r="J1738">
        <v>26.281500000000001</v>
      </c>
      <c r="K1738">
        <v>27.49925</v>
      </c>
      <c r="L1738">
        <v>25.308150000000001</v>
      </c>
      <c r="M1738">
        <v>25.19312</v>
      </c>
      <c r="N1738">
        <v>23.050560000000001</v>
      </c>
    </row>
    <row r="1739" spans="1:14" hidden="1" x14ac:dyDescent="0.35">
      <c r="A1739" t="s">
        <v>731</v>
      </c>
      <c r="B1739" t="s">
        <v>307</v>
      </c>
      <c r="C1739" t="s">
        <v>306</v>
      </c>
      <c r="D1739" t="s">
        <v>306</v>
      </c>
      <c r="E1739" t="s">
        <v>584</v>
      </c>
      <c r="F1739" t="s">
        <v>581</v>
      </c>
      <c r="G1739" t="s">
        <v>24</v>
      </c>
      <c r="H1739">
        <v>0.48671229999999999</v>
      </c>
      <c r="I1739">
        <v>1.357972</v>
      </c>
      <c r="J1739">
        <v>0.86107429999999996</v>
      </c>
      <c r="K1739">
        <v>0.55616600000000005</v>
      </c>
      <c r="L1739">
        <v>0.3623422</v>
      </c>
      <c r="M1739">
        <v>0.24868580000000001</v>
      </c>
      <c r="N1739">
        <v>0.17655180000000001</v>
      </c>
    </row>
    <row r="1740" spans="1:14" hidden="1" x14ac:dyDescent="0.35">
      <c r="A1740" t="s">
        <v>731</v>
      </c>
      <c r="B1740" t="s">
        <v>307</v>
      </c>
      <c r="C1740" t="s">
        <v>306</v>
      </c>
      <c r="D1740" t="s">
        <v>306</v>
      </c>
      <c r="E1740" t="s">
        <v>584</v>
      </c>
      <c r="F1740" t="s">
        <v>26</v>
      </c>
      <c r="G1740" t="s">
        <v>26</v>
      </c>
      <c r="H1740">
        <v>1.3837520000000001</v>
      </c>
      <c r="I1740">
        <v>1.331205</v>
      </c>
      <c r="J1740">
        <v>2.7264900000000001</v>
      </c>
      <c r="K1740">
        <v>3.320783</v>
      </c>
      <c r="L1740">
        <v>4.2537349999999998</v>
      </c>
      <c r="M1740">
        <v>3.8879609999999998</v>
      </c>
      <c r="N1740">
        <v>3.386933</v>
      </c>
    </row>
    <row r="1741" spans="1:14" hidden="1" x14ac:dyDescent="0.35">
      <c r="A1741" t="s">
        <v>731</v>
      </c>
      <c r="B1741" t="s">
        <v>37</v>
      </c>
      <c r="C1741" t="s">
        <v>61</v>
      </c>
      <c r="D1741" t="s">
        <v>62</v>
      </c>
      <c r="E1741" t="s">
        <v>584</v>
      </c>
      <c r="F1741" t="s">
        <v>581</v>
      </c>
      <c r="G1741" t="s">
        <v>396</v>
      </c>
      <c r="H1741">
        <v>22.369299999999999</v>
      </c>
      <c r="I1741">
        <v>22.91441</v>
      </c>
      <c r="J1741">
        <v>21.005189999999999</v>
      </c>
      <c r="K1741">
        <v>18.500389999999999</v>
      </c>
      <c r="L1741">
        <v>15.234</v>
      </c>
      <c r="M1741">
        <v>12.13838</v>
      </c>
      <c r="N1741">
        <v>9.6854320000000005</v>
      </c>
    </row>
    <row r="1742" spans="1:14" hidden="1" x14ac:dyDescent="0.35">
      <c r="A1742" t="s">
        <v>731</v>
      </c>
      <c r="B1742" t="s">
        <v>37</v>
      </c>
      <c r="C1742" t="s">
        <v>61</v>
      </c>
      <c r="D1742" t="s">
        <v>62</v>
      </c>
      <c r="E1742" t="s">
        <v>584</v>
      </c>
      <c r="F1742" t="s">
        <v>581</v>
      </c>
      <c r="G1742" t="s">
        <v>24</v>
      </c>
      <c r="H1742">
        <v>0.22828709999999999</v>
      </c>
      <c r="I1742">
        <v>0.49579620000000002</v>
      </c>
      <c r="J1742">
        <v>0.49255789999999999</v>
      </c>
      <c r="K1742">
        <v>0.3894553</v>
      </c>
      <c r="L1742">
        <v>0.26802690000000001</v>
      </c>
      <c r="M1742">
        <v>0.17622460000000001</v>
      </c>
      <c r="N1742">
        <v>0.12031509999999999</v>
      </c>
    </row>
    <row r="1743" spans="1:14" hidden="1" x14ac:dyDescent="0.35">
      <c r="A1743" t="s">
        <v>731</v>
      </c>
      <c r="B1743" t="s">
        <v>37</v>
      </c>
      <c r="C1743" t="s">
        <v>61</v>
      </c>
      <c r="D1743" t="s">
        <v>62</v>
      </c>
      <c r="E1743" t="s">
        <v>584</v>
      </c>
      <c r="F1743" t="s">
        <v>581</v>
      </c>
      <c r="G1743" t="s">
        <v>25</v>
      </c>
      <c r="H1743">
        <v>0.19443060000000001</v>
      </c>
      <c r="I1743">
        <v>0.14807210000000001</v>
      </c>
      <c r="J1743">
        <v>0.11606950000000001</v>
      </c>
      <c r="K1743">
        <v>9.3299889999999996E-2</v>
      </c>
      <c r="L1743">
        <v>7.5823619999999994E-2</v>
      </c>
      <c r="M1743">
        <v>5.6835620000000003E-2</v>
      </c>
      <c r="N1743">
        <v>4.7297020000000002E-2</v>
      </c>
    </row>
    <row r="1744" spans="1:14" hidden="1" x14ac:dyDescent="0.35">
      <c r="A1744" t="s">
        <v>731</v>
      </c>
      <c r="B1744" t="s">
        <v>37</v>
      </c>
      <c r="C1744" t="s">
        <v>61</v>
      </c>
      <c r="D1744" t="s">
        <v>62</v>
      </c>
      <c r="E1744" t="s">
        <v>584</v>
      </c>
      <c r="F1744" t="s">
        <v>26</v>
      </c>
      <c r="G1744" t="s">
        <v>26</v>
      </c>
      <c r="H1744">
        <v>3.7111339999999999</v>
      </c>
      <c r="I1744">
        <v>3.6314730000000002</v>
      </c>
      <c r="J1744">
        <v>2.9398620000000002</v>
      </c>
      <c r="K1744">
        <v>2.3351009999999999</v>
      </c>
      <c r="L1744">
        <v>1.7932570000000001</v>
      </c>
      <c r="M1744">
        <v>1.245455</v>
      </c>
      <c r="N1744">
        <v>0.92552979999999996</v>
      </c>
    </row>
    <row r="1745" spans="1:14" hidden="1" x14ac:dyDescent="0.35">
      <c r="A1745" t="s">
        <v>731</v>
      </c>
      <c r="B1745" t="s">
        <v>37</v>
      </c>
      <c r="C1745" t="s">
        <v>109</v>
      </c>
      <c r="D1745" t="s">
        <v>109</v>
      </c>
      <c r="E1745" t="s">
        <v>584</v>
      </c>
      <c r="F1745" t="s">
        <v>581</v>
      </c>
      <c r="G1745" t="s">
        <v>24</v>
      </c>
      <c r="H1745">
        <v>1.254247E-3</v>
      </c>
      <c r="I1745">
        <v>1.14411E-3</v>
      </c>
      <c r="J1745">
        <v>1.0397259999999999E-3</v>
      </c>
      <c r="K1745">
        <v>1.892055E-4</v>
      </c>
      <c r="L1745">
        <v>1.7194519999999999E-4</v>
      </c>
      <c r="M1745">
        <v>1.5632880000000001E-4</v>
      </c>
      <c r="N1745">
        <v>1.4219180000000001E-4</v>
      </c>
    </row>
    <row r="1746" spans="1:14" hidden="1" x14ac:dyDescent="0.35">
      <c r="A1746" t="s">
        <v>731</v>
      </c>
      <c r="B1746" t="s">
        <v>37</v>
      </c>
      <c r="C1746" t="s">
        <v>109</v>
      </c>
      <c r="D1746" t="s">
        <v>109</v>
      </c>
      <c r="E1746" t="s">
        <v>584</v>
      </c>
      <c r="F1746" t="s">
        <v>26</v>
      </c>
      <c r="G1746" t="s">
        <v>26</v>
      </c>
      <c r="H1746">
        <v>3.1002740000000001E-3</v>
      </c>
      <c r="I1746">
        <v>2.8660270000000002E-3</v>
      </c>
      <c r="J1746">
        <v>2.649041E-3</v>
      </c>
      <c r="K1746">
        <v>4.8969859999999999E-4</v>
      </c>
      <c r="L1746">
        <v>4.527124E-4</v>
      </c>
      <c r="M1746">
        <v>4.1967129999999998E-4</v>
      </c>
      <c r="N1746">
        <v>3.8794520000000001E-4</v>
      </c>
    </row>
    <row r="1747" spans="1:14" hidden="1" x14ac:dyDescent="0.35">
      <c r="A1747" t="s">
        <v>731</v>
      </c>
      <c r="B1747" t="s">
        <v>43</v>
      </c>
      <c r="C1747" t="s">
        <v>229</v>
      </c>
      <c r="D1747" t="s">
        <v>229</v>
      </c>
      <c r="E1747" t="s">
        <v>584</v>
      </c>
      <c r="F1747" t="s">
        <v>581</v>
      </c>
      <c r="G1747" t="s">
        <v>396</v>
      </c>
      <c r="H1747">
        <v>11.579370000000001</v>
      </c>
      <c r="I1747">
        <v>9.9949340000000007</v>
      </c>
      <c r="J1747">
        <v>8.6219110000000008</v>
      </c>
      <c r="K1747">
        <v>8.2317339999999994</v>
      </c>
      <c r="L1747">
        <v>8.1427239999999994</v>
      </c>
      <c r="M1747">
        <v>6.1348760000000002</v>
      </c>
      <c r="N1747">
        <v>5.4439010000000003</v>
      </c>
    </row>
    <row r="1748" spans="1:14" hidden="1" x14ac:dyDescent="0.35">
      <c r="A1748" t="s">
        <v>731</v>
      </c>
      <c r="B1748" t="s">
        <v>312</v>
      </c>
      <c r="C1748" t="s">
        <v>319</v>
      </c>
      <c r="D1748" t="s">
        <v>319</v>
      </c>
      <c r="E1748" t="s">
        <v>584</v>
      </c>
      <c r="F1748" t="s">
        <v>581</v>
      </c>
      <c r="G1748" t="s">
        <v>24</v>
      </c>
      <c r="K1748">
        <v>0</v>
      </c>
      <c r="L1748">
        <v>0.31169219999999997</v>
      </c>
      <c r="M1748">
        <v>1.9177900000000001</v>
      </c>
      <c r="N1748">
        <v>2.839318</v>
      </c>
    </row>
    <row r="1749" spans="1:14" hidden="1" x14ac:dyDescent="0.35">
      <c r="A1749" t="s">
        <v>731</v>
      </c>
      <c r="B1749" t="s">
        <v>312</v>
      </c>
      <c r="C1749" t="s">
        <v>319</v>
      </c>
      <c r="D1749" t="s">
        <v>319</v>
      </c>
      <c r="E1749" t="s">
        <v>584</v>
      </c>
      <c r="F1749" t="s">
        <v>26</v>
      </c>
      <c r="G1749" t="s">
        <v>26</v>
      </c>
      <c r="K1749">
        <v>0</v>
      </c>
      <c r="L1749">
        <v>1.110317</v>
      </c>
      <c r="M1749">
        <v>7.484089</v>
      </c>
      <c r="N1749">
        <v>12.5197</v>
      </c>
    </row>
    <row r="1750" spans="1:14" hidden="1" x14ac:dyDescent="0.35">
      <c r="A1750" t="s">
        <v>731</v>
      </c>
      <c r="B1750" t="s">
        <v>320</v>
      </c>
      <c r="C1750" t="s">
        <v>311</v>
      </c>
      <c r="D1750" t="s">
        <v>311</v>
      </c>
      <c r="E1750" t="s">
        <v>584</v>
      </c>
      <c r="F1750" t="s">
        <v>26</v>
      </c>
      <c r="G1750" t="s">
        <v>26</v>
      </c>
      <c r="M1750">
        <v>0</v>
      </c>
      <c r="N1750">
        <v>0</v>
      </c>
    </row>
    <row r="1751" spans="1:14" hidden="1" x14ac:dyDescent="0.35">
      <c r="A1751" t="s">
        <v>732</v>
      </c>
      <c r="B1751" t="s">
        <v>37</v>
      </c>
      <c r="C1751" t="s">
        <v>35</v>
      </c>
      <c r="D1751" t="s">
        <v>189</v>
      </c>
      <c r="E1751" t="s">
        <v>590</v>
      </c>
      <c r="F1751" t="s">
        <v>581</v>
      </c>
      <c r="G1751" t="s">
        <v>396</v>
      </c>
      <c r="H1751">
        <v>18.5137</v>
      </c>
      <c r="I1751">
        <v>16.1419</v>
      </c>
      <c r="J1751">
        <v>13.581480000000001</v>
      </c>
      <c r="K1751">
        <v>11.06484</v>
      </c>
      <c r="L1751">
        <v>9.8919519999999999</v>
      </c>
      <c r="M1751">
        <v>8.4620689999999996</v>
      </c>
      <c r="N1751">
        <v>7.1628249999999998</v>
      </c>
    </row>
    <row r="1752" spans="1:14" hidden="1" x14ac:dyDescent="0.35">
      <c r="A1752" t="s">
        <v>732</v>
      </c>
      <c r="B1752" t="s">
        <v>37</v>
      </c>
      <c r="C1752" t="s">
        <v>35</v>
      </c>
      <c r="D1752" t="s">
        <v>189</v>
      </c>
      <c r="E1752" t="s">
        <v>590</v>
      </c>
      <c r="F1752" t="s">
        <v>581</v>
      </c>
      <c r="G1752" t="s">
        <v>25</v>
      </c>
      <c r="H1752">
        <v>16.0274</v>
      </c>
      <c r="I1752">
        <v>15.159090000000001</v>
      </c>
      <c r="J1752">
        <v>12.75836</v>
      </c>
      <c r="K1752">
        <v>10.39425</v>
      </c>
      <c r="L1752">
        <v>9.2924469999999992</v>
      </c>
      <c r="M1752">
        <v>7.9492159999999998</v>
      </c>
      <c r="N1752">
        <v>6.7287160000000004</v>
      </c>
    </row>
    <row r="1753" spans="1:14" hidden="1" x14ac:dyDescent="0.35">
      <c r="A1753" t="s">
        <v>732</v>
      </c>
      <c r="B1753" t="s">
        <v>37</v>
      </c>
      <c r="C1753" t="s">
        <v>35</v>
      </c>
      <c r="D1753" t="s">
        <v>189</v>
      </c>
      <c r="E1753" t="s">
        <v>590</v>
      </c>
      <c r="F1753" t="s">
        <v>26</v>
      </c>
      <c r="G1753" t="s">
        <v>26</v>
      </c>
      <c r="H1753">
        <v>17.860279999999999</v>
      </c>
      <c r="I1753">
        <v>17.604109999999999</v>
      </c>
      <c r="J1753">
        <v>14.81616</v>
      </c>
      <c r="K1753">
        <v>12.070740000000001</v>
      </c>
      <c r="L1753">
        <v>10.791219999999999</v>
      </c>
      <c r="M1753">
        <v>9.2313489999999998</v>
      </c>
      <c r="N1753">
        <v>7.8139909999999997</v>
      </c>
    </row>
    <row r="1754" spans="1:14" hidden="1" x14ac:dyDescent="0.35">
      <c r="A1754" t="s">
        <v>732</v>
      </c>
      <c r="B1754" t="s">
        <v>37</v>
      </c>
      <c r="C1754" t="s">
        <v>35</v>
      </c>
      <c r="D1754" t="s">
        <v>189</v>
      </c>
      <c r="E1754" t="s">
        <v>589</v>
      </c>
      <c r="F1754" t="s">
        <v>581</v>
      </c>
      <c r="G1754" t="s">
        <v>396</v>
      </c>
      <c r="H1754">
        <v>8.5294509999999999</v>
      </c>
      <c r="I1754">
        <v>8.6853909999999992</v>
      </c>
      <c r="J1754">
        <v>7.473287</v>
      </c>
      <c r="K1754">
        <v>6.2050879999999999</v>
      </c>
      <c r="L1754">
        <v>5.6930310000000004</v>
      </c>
      <c r="M1754">
        <v>4.9265540000000003</v>
      </c>
      <c r="N1754">
        <v>4.1057499999999996</v>
      </c>
    </row>
    <row r="1755" spans="1:14" hidden="1" x14ac:dyDescent="0.35">
      <c r="A1755" t="s">
        <v>732</v>
      </c>
      <c r="B1755" t="s">
        <v>37</v>
      </c>
      <c r="C1755" t="s">
        <v>35</v>
      </c>
      <c r="D1755" t="s">
        <v>189</v>
      </c>
      <c r="E1755" t="s">
        <v>589</v>
      </c>
      <c r="F1755" t="s">
        <v>581</v>
      </c>
      <c r="G1755" t="s">
        <v>25</v>
      </c>
      <c r="H1755">
        <v>6.7684930000000003</v>
      </c>
      <c r="I1755">
        <v>7.4392110000000002</v>
      </c>
      <c r="J1755">
        <v>6.4056800000000003</v>
      </c>
      <c r="K1755">
        <v>5.318651</v>
      </c>
      <c r="L1755">
        <v>4.8797389999999998</v>
      </c>
      <c r="M1755">
        <v>4.2227579999999998</v>
      </c>
      <c r="N1755">
        <v>3.519215</v>
      </c>
    </row>
    <row r="1756" spans="1:14" hidden="1" x14ac:dyDescent="0.35">
      <c r="A1756" t="s">
        <v>732</v>
      </c>
      <c r="B1756" t="s">
        <v>37</v>
      </c>
      <c r="C1756" t="s">
        <v>35</v>
      </c>
      <c r="D1756" t="s">
        <v>189</v>
      </c>
      <c r="E1756" t="s">
        <v>589</v>
      </c>
      <c r="F1756" t="s">
        <v>26</v>
      </c>
      <c r="G1756" t="s">
        <v>26</v>
      </c>
      <c r="H1756">
        <v>7.5513700000000004</v>
      </c>
      <c r="I1756">
        <v>8.6790789999999998</v>
      </c>
      <c r="J1756">
        <v>7.473287</v>
      </c>
      <c r="K1756">
        <v>6.2050879999999999</v>
      </c>
      <c r="L1756">
        <v>5.6930310000000004</v>
      </c>
      <c r="M1756">
        <v>4.9265540000000003</v>
      </c>
      <c r="N1756">
        <v>4.1057499999999996</v>
      </c>
    </row>
    <row r="1757" spans="1:14" hidden="1" x14ac:dyDescent="0.35">
      <c r="A1757" t="s">
        <v>732</v>
      </c>
      <c r="B1757" t="s">
        <v>37</v>
      </c>
      <c r="C1757" t="s">
        <v>35</v>
      </c>
      <c r="D1757" t="s">
        <v>267</v>
      </c>
      <c r="E1757" t="s">
        <v>587</v>
      </c>
      <c r="F1757" t="s">
        <v>581</v>
      </c>
      <c r="G1757" t="s">
        <v>396</v>
      </c>
      <c r="H1757">
        <v>1.3849320000000001</v>
      </c>
      <c r="I1757">
        <v>0.99878619999999996</v>
      </c>
      <c r="J1757">
        <v>0.90360549999999995</v>
      </c>
      <c r="K1757">
        <v>0.78861369999999997</v>
      </c>
      <c r="L1757">
        <v>0.68903289999999995</v>
      </c>
      <c r="M1757">
        <v>0.6065699</v>
      </c>
      <c r="N1757">
        <v>0.53190420000000005</v>
      </c>
    </row>
    <row r="1758" spans="1:14" hidden="1" x14ac:dyDescent="0.35">
      <c r="A1758" t="s">
        <v>732</v>
      </c>
      <c r="B1758" t="s">
        <v>37</v>
      </c>
      <c r="C1758" t="s">
        <v>35</v>
      </c>
      <c r="D1758" t="s">
        <v>267</v>
      </c>
      <c r="E1758" t="s">
        <v>587</v>
      </c>
      <c r="F1758" t="s">
        <v>581</v>
      </c>
      <c r="G1758" t="s">
        <v>25</v>
      </c>
      <c r="H1758">
        <v>2.186299</v>
      </c>
      <c r="I1758">
        <v>1.815984</v>
      </c>
      <c r="J1758">
        <v>1.6429149999999999</v>
      </c>
      <c r="K1758">
        <v>1.4338409999999999</v>
      </c>
      <c r="L1758">
        <v>1.2527889999999999</v>
      </c>
      <c r="M1758">
        <v>1.1028579999999999</v>
      </c>
      <c r="N1758">
        <v>0.96709860000000003</v>
      </c>
    </row>
    <row r="1759" spans="1:14" hidden="1" x14ac:dyDescent="0.35">
      <c r="A1759" t="s">
        <v>732</v>
      </c>
      <c r="B1759" t="s">
        <v>37</v>
      </c>
      <c r="C1759" t="s">
        <v>35</v>
      </c>
      <c r="D1759" t="s">
        <v>267</v>
      </c>
      <c r="E1759" t="s">
        <v>587</v>
      </c>
      <c r="F1759" t="s">
        <v>26</v>
      </c>
      <c r="G1759" t="s">
        <v>26</v>
      </c>
      <c r="H1759">
        <v>2.0650689999999998</v>
      </c>
      <c r="I1759">
        <v>1.7251840000000001</v>
      </c>
      <c r="J1759">
        <v>1.56077</v>
      </c>
      <c r="K1759">
        <v>1.3621479999999999</v>
      </c>
      <c r="L1759">
        <v>1.190148</v>
      </c>
      <c r="M1759">
        <v>1.047712</v>
      </c>
      <c r="N1759">
        <v>0.91874520000000004</v>
      </c>
    </row>
    <row r="1760" spans="1:14" hidden="1" x14ac:dyDescent="0.35">
      <c r="A1760" t="s">
        <v>733</v>
      </c>
      <c r="B1760" t="s">
        <v>37</v>
      </c>
      <c r="C1760" t="s">
        <v>35</v>
      </c>
      <c r="D1760" t="s">
        <v>36</v>
      </c>
      <c r="E1760" t="s">
        <v>588</v>
      </c>
      <c r="F1760" t="s">
        <v>581</v>
      </c>
      <c r="G1760" t="s">
        <v>396</v>
      </c>
      <c r="H1760">
        <v>15.84219</v>
      </c>
      <c r="I1760">
        <v>16.836279999999999</v>
      </c>
      <c r="J1760">
        <v>15.264099999999999</v>
      </c>
      <c r="K1760">
        <v>11.618309999999999</v>
      </c>
      <c r="L1760">
        <v>9.2908919999999995</v>
      </c>
      <c r="M1760">
        <v>7.4797989999999999</v>
      </c>
      <c r="N1760">
        <v>6.2079389999999997</v>
      </c>
    </row>
    <row r="1761" spans="1:14" hidden="1" x14ac:dyDescent="0.35">
      <c r="A1761" t="s">
        <v>733</v>
      </c>
      <c r="B1761" t="s">
        <v>37</v>
      </c>
      <c r="C1761" t="s">
        <v>35</v>
      </c>
      <c r="D1761" t="s">
        <v>36</v>
      </c>
      <c r="E1761" t="s">
        <v>588</v>
      </c>
      <c r="F1761" t="s">
        <v>581</v>
      </c>
      <c r="G1761" t="s">
        <v>25</v>
      </c>
      <c r="H1761">
        <v>4.192876</v>
      </c>
      <c r="I1761">
        <v>5.5244070000000001</v>
      </c>
      <c r="J1761">
        <v>5.0085329999999999</v>
      </c>
      <c r="K1761">
        <v>3.8122590000000001</v>
      </c>
      <c r="L1761">
        <v>3.0485720000000001</v>
      </c>
      <c r="M1761">
        <v>2.45431</v>
      </c>
      <c r="N1761">
        <v>2.036978</v>
      </c>
    </row>
    <row r="1762" spans="1:14" hidden="1" x14ac:dyDescent="0.35">
      <c r="A1762" t="s">
        <v>733</v>
      </c>
      <c r="B1762" t="s">
        <v>37</v>
      </c>
      <c r="C1762" t="s">
        <v>35</v>
      </c>
      <c r="D1762" t="s">
        <v>36</v>
      </c>
      <c r="E1762" t="s">
        <v>588</v>
      </c>
      <c r="F1762" t="s">
        <v>26</v>
      </c>
      <c r="G1762" t="s">
        <v>26</v>
      </c>
      <c r="H1762">
        <v>3.2131509999999999</v>
      </c>
      <c r="I1762">
        <v>3.9460069999999998</v>
      </c>
      <c r="J1762">
        <v>3.5775229999999998</v>
      </c>
      <c r="K1762">
        <v>2.7230430000000001</v>
      </c>
      <c r="L1762">
        <v>2.1775540000000002</v>
      </c>
      <c r="M1762">
        <v>1.7530779999999999</v>
      </c>
      <c r="N1762">
        <v>1.4549859999999999</v>
      </c>
    </row>
    <row r="1763" spans="1:14" hidden="1" x14ac:dyDescent="0.35">
      <c r="A1763" t="s">
        <v>733</v>
      </c>
      <c r="B1763" t="s">
        <v>37</v>
      </c>
      <c r="C1763" t="s">
        <v>35</v>
      </c>
      <c r="D1763" t="s">
        <v>36</v>
      </c>
      <c r="E1763" t="s">
        <v>587</v>
      </c>
      <c r="F1763" t="s">
        <v>581</v>
      </c>
      <c r="G1763" t="s">
        <v>396</v>
      </c>
      <c r="H1763">
        <v>5.979177</v>
      </c>
      <c r="I1763">
        <v>5.2509959999999998</v>
      </c>
      <c r="J1763">
        <v>4.621283</v>
      </c>
      <c r="K1763">
        <v>4.0536260000000004</v>
      </c>
      <c r="L1763">
        <v>3.5633080000000001</v>
      </c>
      <c r="M1763">
        <v>3.154334</v>
      </c>
      <c r="N1763">
        <v>2.76552</v>
      </c>
    </row>
    <row r="1764" spans="1:14" hidden="1" x14ac:dyDescent="0.35">
      <c r="A1764" t="s">
        <v>733</v>
      </c>
      <c r="B1764" t="s">
        <v>37</v>
      </c>
      <c r="C1764" t="s">
        <v>35</v>
      </c>
      <c r="D1764" t="s">
        <v>36</v>
      </c>
      <c r="E1764" t="s">
        <v>587</v>
      </c>
      <c r="F1764" t="s">
        <v>581</v>
      </c>
      <c r="G1764" t="s">
        <v>25</v>
      </c>
      <c r="H1764">
        <v>1.0739730000000001</v>
      </c>
      <c r="I1764">
        <v>0.65637310000000004</v>
      </c>
      <c r="J1764">
        <v>0.57766189999999995</v>
      </c>
      <c r="K1764">
        <v>0.50670029999999999</v>
      </c>
      <c r="L1764">
        <v>0.44541589999999998</v>
      </c>
      <c r="M1764">
        <v>0.39428930000000001</v>
      </c>
      <c r="N1764">
        <v>0.345692</v>
      </c>
    </row>
    <row r="1765" spans="1:14" hidden="1" x14ac:dyDescent="0.35">
      <c r="A1765" t="s">
        <v>733</v>
      </c>
      <c r="B1765" t="s">
        <v>37</v>
      </c>
      <c r="C1765" t="s">
        <v>35</v>
      </c>
      <c r="D1765" t="s">
        <v>36</v>
      </c>
      <c r="E1765" t="s">
        <v>587</v>
      </c>
      <c r="F1765" t="s">
        <v>26</v>
      </c>
      <c r="G1765" t="s">
        <v>26</v>
      </c>
      <c r="H1765">
        <v>1.1528769999999999</v>
      </c>
      <c r="I1765">
        <v>0.65637590000000001</v>
      </c>
      <c r="J1765">
        <v>0.57765750000000005</v>
      </c>
      <c r="K1765">
        <v>0.50670309999999996</v>
      </c>
      <c r="L1765">
        <v>0.44541370000000002</v>
      </c>
      <c r="M1765">
        <v>0.39429209999999998</v>
      </c>
      <c r="N1765">
        <v>0.34569040000000001</v>
      </c>
    </row>
    <row r="1766" spans="1:14" hidden="1" x14ac:dyDescent="0.35">
      <c r="A1766" t="s">
        <v>733</v>
      </c>
      <c r="B1766" t="s">
        <v>37</v>
      </c>
      <c r="C1766" t="s">
        <v>35</v>
      </c>
      <c r="D1766" t="s">
        <v>36</v>
      </c>
      <c r="E1766" t="s">
        <v>584</v>
      </c>
      <c r="F1766" t="s">
        <v>581</v>
      </c>
      <c r="G1766" t="s">
        <v>396</v>
      </c>
      <c r="H1766">
        <v>0.14684929999999999</v>
      </c>
      <c r="I1766">
        <v>0.1039984</v>
      </c>
      <c r="J1766">
        <v>0.141377</v>
      </c>
      <c r="K1766">
        <v>0.1193512</v>
      </c>
      <c r="L1766">
        <v>8.8483290000000006E-2</v>
      </c>
      <c r="M1766">
        <v>6.9549589999999994E-2</v>
      </c>
      <c r="N1766">
        <v>5.665042E-2</v>
      </c>
    </row>
    <row r="1767" spans="1:14" hidden="1" x14ac:dyDescent="0.35">
      <c r="A1767" t="s">
        <v>733</v>
      </c>
      <c r="B1767" t="s">
        <v>37</v>
      </c>
      <c r="C1767" t="s">
        <v>35</v>
      </c>
      <c r="D1767" t="s">
        <v>36</v>
      </c>
      <c r="E1767" t="s">
        <v>584</v>
      </c>
      <c r="F1767" t="s">
        <v>581</v>
      </c>
      <c r="G1767" t="s">
        <v>25</v>
      </c>
      <c r="H1767">
        <v>3.2873979999999997E-2</v>
      </c>
      <c r="I1767">
        <v>1.6638900000000002E-2</v>
      </c>
      <c r="J1767">
        <v>2.26126E-2</v>
      </c>
      <c r="K1767">
        <v>1.9099729999999999E-2</v>
      </c>
      <c r="L1767">
        <v>1.415726E-2</v>
      </c>
      <c r="M1767">
        <v>1.113425E-2</v>
      </c>
      <c r="N1767">
        <v>9.0646579999999997E-3</v>
      </c>
    </row>
    <row r="1768" spans="1:14" hidden="1" x14ac:dyDescent="0.35">
      <c r="A1768" t="s">
        <v>733</v>
      </c>
      <c r="B1768" t="s">
        <v>37</v>
      </c>
      <c r="C1768" t="s">
        <v>35</v>
      </c>
      <c r="D1768" t="s">
        <v>36</v>
      </c>
      <c r="E1768" t="s">
        <v>584</v>
      </c>
      <c r="F1768" t="s">
        <v>26</v>
      </c>
      <c r="G1768" t="s">
        <v>26</v>
      </c>
      <c r="H1768">
        <v>3.9452050000000002E-2</v>
      </c>
      <c r="I1768">
        <v>1.8027399999999999E-2</v>
      </c>
      <c r="J1768">
        <v>2.4505209999999999E-2</v>
      </c>
      <c r="K1768">
        <v>2.0689309999999999E-2</v>
      </c>
      <c r="L1768">
        <v>1.533589E-2</v>
      </c>
      <c r="M1768">
        <v>1.2054250000000001E-2</v>
      </c>
      <c r="N1768">
        <v>9.8180820000000005E-3</v>
      </c>
    </row>
    <row r="1769" spans="1:14" hidden="1" x14ac:dyDescent="0.35">
      <c r="A1769" t="s">
        <v>733</v>
      </c>
      <c r="B1769" t="s">
        <v>37</v>
      </c>
      <c r="C1769" t="s">
        <v>35</v>
      </c>
      <c r="D1769" t="s">
        <v>189</v>
      </c>
      <c r="E1769" t="s">
        <v>589</v>
      </c>
      <c r="F1769" t="s">
        <v>581</v>
      </c>
      <c r="G1769" t="s">
        <v>396</v>
      </c>
      <c r="H1769">
        <v>15.07945</v>
      </c>
      <c r="I1769">
        <v>10.045120000000001</v>
      </c>
      <c r="J1769">
        <v>7.6897469999999997</v>
      </c>
      <c r="K1769">
        <v>6.1157060000000003</v>
      </c>
      <c r="L1769">
        <v>5.1433039999999997</v>
      </c>
      <c r="M1769">
        <v>4.121092</v>
      </c>
      <c r="N1769">
        <v>3.4067020000000001</v>
      </c>
    </row>
    <row r="1770" spans="1:14" hidden="1" x14ac:dyDescent="0.35">
      <c r="A1770" t="s">
        <v>733</v>
      </c>
      <c r="B1770" t="s">
        <v>37</v>
      </c>
      <c r="C1770" t="s">
        <v>35</v>
      </c>
      <c r="D1770" t="s">
        <v>189</v>
      </c>
      <c r="E1770" t="s">
        <v>589</v>
      </c>
      <c r="F1770" t="s">
        <v>581</v>
      </c>
      <c r="G1770" t="s">
        <v>25</v>
      </c>
      <c r="H1770">
        <v>3.088219</v>
      </c>
      <c r="I1770">
        <v>2.5697179999999999</v>
      </c>
      <c r="J1770">
        <v>1.961972</v>
      </c>
      <c r="K1770">
        <v>1.555588</v>
      </c>
      <c r="L1770">
        <v>1.303388</v>
      </c>
      <c r="M1770">
        <v>1.0435559999999999</v>
      </c>
      <c r="N1770">
        <v>0.86258239999999997</v>
      </c>
    </row>
    <row r="1771" spans="1:14" hidden="1" x14ac:dyDescent="0.35">
      <c r="A1771" t="s">
        <v>733</v>
      </c>
      <c r="B1771" t="s">
        <v>37</v>
      </c>
      <c r="C1771" t="s">
        <v>35</v>
      </c>
      <c r="D1771" t="s">
        <v>189</v>
      </c>
      <c r="E1771" t="s">
        <v>589</v>
      </c>
      <c r="F1771" t="s">
        <v>26</v>
      </c>
      <c r="G1771" t="s">
        <v>26</v>
      </c>
      <c r="H1771">
        <v>3.3117809999999999</v>
      </c>
      <c r="I1771">
        <v>2.5697220000000001</v>
      </c>
      <c r="J1771">
        <v>1.961973</v>
      </c>
      <c r="K1771">
        <v>1.5555890000000001</v>
      </c>
      <c r="L1771">
        <v>1.303383</v>
      </c>
      <c r="M1771">
        <v>1.04355</v>
      </c>
      <c r="N1771">
        <v>0.86259509999999995</v>
      </c>
    </row>
    <row r="1772" spans="1:14" hidden="1" x14ac:dyDescent="0.35">
      <c r="A1772" t="s">
        <v>733</v>
      </c>
      <c r="B1772" t="s">
        <v>37</v>
      </c>
      <c r="C1772" t="s">
        <v>51</v>
      </c>
      <c r="D1772" t="s">
        <v>51</v>
      </c>
      <c r="E1772" t="s">
        <v>602</v>
      </c>
      <c r="F1772" t="s">
        <v>581</v>
      </c>
      <c r="G1772" t="s">
        <v>396</v>
      </c>
      <c r="H1772">
        <v>21.89808</v>
      </c>
      <c r="I1772">
        <v>20.14188</v>
      </c>
      <c r="J1772">
        <v>16.944099999999999</v>
      </c>
      <c r="K1772">
        <v>14.54237</v>
      </c>
      <c r="L1772">
        <v>12.46007</v>
      </c>
      <c r="M1772">
        <v>10.72833</v>
      </c>
      <c r="N1772">
        <v>9.0932870000000001</v>
      </c>
    </row>
    <row r="1773" spans="1:14" hidden="1" x14ac:dyDescent="0.35">
      <c r="A1773" t="s">
        <v>733</v>
      </c>
      <c r="B1773" t="s">
        <v>37</v>
      </c>
      <c r="C1773" t="s">
        <v>51</v>
      </c>
      <c r="D1773" t="s">
        <v>51</v>
      </c>
      <c r="E1773" t="s">
        <v>602</v>
      </c>
      <c r="F1773" t="s">
        <v>581</v>
      </c>
      <c r="G1773" t="s">
        <v>25</v>
      </c>
      <c r="H1773">
        <v>5.6775320000000002</v>
      </c>
      <c r="I1773">
        <v>4.3781350000000003</v>
      </c>
      <c r="J1773">
        <v>3.650026</v>
      </c>
      <c r="K1773">
        <v>3.146712</v>
      </c>
      <c r="L1773">
        <v>2.6765850000000002</v>
      </c>
      <c r="M1773">
        <v>2.2688649999999999</v>
      </c>
      <c r="N1773">
        <v>1.915673</v>
      </c>
    </row>
    <row r="1774" spans="1:14" hidden="1" x14ac:dyDescent="0.35">
      <c r="A1774" t="s">
        <v>733</v>
      </c>
      <c r="B1774" t="s">
        <v>37</v>
      </c>
      <c r="C1774" t="s">
        <v>51</v>
      </c>
      <c r="D1774" t="s">
        <v>51</v>
      </c>
      <c r="E1774" t="s">
        <v>602</v>
      </c>
      <c r="F1774" t="s">
        <v>26</v>
      </c>
      <c r="G1774" t="s">
        <v>26</v>
      </c>
      <c r="H1774">
        <v>6.3901370000000002</v>
      </c>
      <c r="I1774">
        <v>5.8088730000000002</v>
      </c>
      <c r="J1774">
        <v>4.8808470000000002</v>
      </c>
      <c r="K1774">
        <v>4.2255000000000003</v>
      </c>
      <c r="L1774">
        <v>3.5984370000000001</v>
      </c>
      <c r="M1774">
        <v>3.0505969999999998</v>
      </c>
      <c r="N1774">
        <v>2.5738240000000001</v>
      </c>
    </row>
    <row r="1775" spans="1:14" hidden="1" x14ac:dyDescent="0.35">
      <c r="A1775" t="s">
        <v>734</v>
      </c>
      <c r="B1775" t="s">
        <v>37</v>
      </c>
      <c r="C1775" t="s">
        <v>51</v>
      </c>
      <c r="D1775" t="s">
        <v>51</v>
      </c>
      <c r="E1775" t="s">
        <v>602</v>
      </c>
      <c r="F1775" t="s">
        <v>581</v>
      </c>
      <c r="G1775" t="s">
        <v>396</v>
      </c>
      <c r="H1775">
        <v>30.249600000000001</v>
      </c>
      <c r="I1775">
        <v>29.764779999999998</v>
      </c>
      <c r="J1775">
        <v>27.588940000000001</v>
      </c>
      <c r="K1775">
        <v>21.309519999999999</v>
      </c>
      <c r="L1775">
        <v>15.75482</v>
      </c>
      <c r="M1775">
        <v>12.1256</v>
      </c>
      <c r="N1775">
        <v>9.8600960000000004</v>
      </c>
    </row>
    <row r="1776" spans="1:14" hidden="1" x14ac:dyDescent="0.35">
      <c r="A1776" t="s">
        <v>734</v>
      </c>
      <c r="B1776" t="s">
        <v>37</v>
      </c>
      <c r="C1776" t="s">
        <v>51</v>
      </c>
      <c r="D1776" t="s">
        <v>51</v>
      </c>
      <c r="E1776" t="s">
        <v>602</v>
      </c>
      <c r="F1776" t="s">
        <v>581</v>
      </c>
      <c r="G1776" t="s">
        <v>25</v>
      </c>
      <c r="H1776">
        <v>3.391499</v>
      </c>
      <c r="I1776">
        <v>3.4824809999999999</v>
      </c>
      <c r="J1776">
        <v>3.2173060000000002</v>
      </c>
      <c r="K1776">
        <v>2.485023</v>
      </c>
      <c r="L1776">
        <v>1.8372630000000001</v>
      </c>
      <c r="M1776">
        <v>1.4140349999999999</v>
      </c>
      <c r="N1776">
        <v>1.1498459999999999</v>
      </c>
    </row>
    <row r="1777" spans="1:14" hidden="1" x14ac:dyDescent="0.35">
      <c r="A1777" t="s">
        <v>734</v>
      </c>
      <c r="B1777" t="s">
        <v>37</v>
      </c>
      <c r="C1777" t="s">
        <v>51</v>
      </c>
      <c r="D1777" t="s">
        <v>51</v>
      </c>
      <c r="E1777" t="s">
        <v>602</v>
      </c>
      <c r="F1777" t="s">
        <v>26</v>
      </c>
      <c r="G1777" t="s">
        <v>26</v>
      </c>
      <c r="H1777">
        <v>3.2410489999999998</v>
      </c>
      <c r="I1777">
        <v>3.4824809999999999</v>
      </c>
      <c r="J1777">
        <v>3.2173060000000002</v>
      </c>
      <c r="K1777">
        <v>2.4850270000000001</v>
      </c>
      <c r="L1777">
        <v>1.837262</v>
      </c>
      <c r="M1777">
        <v>1.414037</v>
      </c>
      <c r="N1777">
        <v>1.1498429999999999</v>
      </c>
    </row>
    <row r="1778" spans="1:14" hidden="1" x14ac:dyDescent="0.35">
      <c r="A1778" t="s">
        <v>734</v>
      </c>
      <c r="B1778" t="s">
        <v>37</v>
      </c>
      <c r="C1778" t="s">
        <v>63</v>
      </c>
      <c r="D1778" t="s">
        <v>63</v>
      </c>
      <c r="E1778" t="s">
        <v>621</v>
      </c>
      <c r="F1778" t="s">
        <v>26</v>
      </c>
      <c r="G1778" t="s">
        <v>26</v>
      </c>
      <c r="H1778">
        <v>32.114699999999999</v>
      </c>
      <c r="I1778">
        <v>26.0623</v>
      </c>
      <c r="J1778">
        <v>24.455549999999999</v>
      </c>
      <c r="K1778">
        <v>22.29513</v>
      </c>
      <c r="L1778">
        <v>19.504100000000001</v>
      </c>
      <c r="M1778">
        <v>17.63252</v>
      </c>
      <c r="N1778">
        <v>16.556619999999999</v>
      </c>
    </row>
    <row r="1779" spans="1:14" hidden="1" x14ac:dyDescent="0.35">
      <c r="A1779" t="s">
        <v>734</v>
      </c>
      <c r="B1779" t="s">
        <v>37</v>
      </c>
      <c r="C1779" t="s">
        <v>248</v>
      </c>
      <c r="D1779" t="s">
        <v>248</v>
      </c>
      <c r="E1779" t="s">
        <v>584</v>
      </c>
      <c r="F1779" t="s">
        <v>581</v>
      </c>
      <c r="G1779" t="s">
        <v>396</v>
      </c>
      <c r="H1779">
        <v>1.8408</v>
      </c>
      <c r="I1779">
        <v>1.542575</v>
      </c>
      <c r="J1779">
        <v>1.2909280000000001</v>
      </c>
      <c r="K1779">
        <v>1.068522</v>
      </c>
      <c r="L1779">
        <v>0.1769578</v>
      </c>
      <c r="M1779">
        <v>0.14145920000000001</v>
      </c>
      <c r="N1779">
        <v>0.11306190000000001</v>
      </c>
    </row>
    <row r="1780" spans="1:14" hidden="1" x14ac:dyDescent="0.35">
      <c r="A1780" t="s">
        <v>734</v>
      </c>
      <c r="B1780" t="s">
        <v>37</v>
      </c>
      <c r="C1780" t="s">
        <v>248</v>
      </c>
      <c r="D1780" t="s">
        <v>248</v>
      </c>
      <c r="E1780" t="s">
        <v>584</v>
      </c>
      <c r="F1780" t="s">
        <v>26</v>
      </c>
      <c r="G1780" t="s">
        <v>26</v>
      </c>
      <c r="H1780">
        <v>0.70464919999999998</v>
      </c>
      <c r="I1780">
        <v>0.47233979999999998</v>
      </c>
      <c r="J1780">
        <v>0.31661919999999999</v>
      </c>
      <c r="K1780">
        <v>0.2122356</v>
      </c>
      <c r="L1780">
        <v>2.845315E-2</v>
      </c>
      <c r="M1780">
        <v>1.907288E-2</v>
      </c>
      <c r="N1780">
        <v>1.278466E-2</v>
      </c>
    </row>
    <row r="1781" spans="1:14" hidden="1" x14ac:dyDescent="0.35">
      <c r="A1781" t="s">
        <v>734</v>
      </c>
      <c r="B1781" t="s">
        <v>37</v>
      </c>
      <c r="C1781" t="s">
        <v>218</v>
      </c>
      <c r="D1781" t="s">
        <v>218</v>
      </c>
      <c r="E1781" t="s">
        <v>593</v>
      </c>
      <c r="F1781" t="s">
        <v>581</v>
      </c>
      <c r="G1781" t="s">
        <v>396</v>
      </c>
      <c r="H1781">
        <v>0.7712</v>
      </c>
      <c r="I1781">
        <v>1.10121</v>
      </c>
      <c r="J1781">
        <v>1.092571</v>
      </c>
      <c r="K1781">
        <v>0.83838140000000005</v>
      </c>
      <c r="L1781">
        <v>0.71267499999999995</v>
      </c>
      <c r="M1781">
        <v>0.58315510000000004</v>
      </c>
      <c r="N1781">
        <v>0.459119</v>
      </c>
    </row>
    <row r="1782" spans="1:14" hidden="1" x14ac:dyDescent="0.35">
      <c r="A1782" t="s">
        <v>734</v>
      </c>
      <c r="B1782" t="s">
        <v>34</v>
      </c>
      <c r="C1782" t="s">
        <v>33</v>
      </c>
      <c r="D1782" t="s">
        <v>33</v>
      </c>
      <c r="E1782" t="s">
        <v>584</v>
      </c>
      <c r="F1782" t="s">
        <v>581</v>
      </c>
      <c r="G1782" t="s">
        <v>396</v>
      </c>
      <c r="H1782">
        <v>1.7339119999999999</v>
      </c>
      <c r="I1782">
        <v>1.8115889999999999</v>
      </c>
      <c r="J1782">
        <v>1.650145</v>
      </c>
      <c r="K1782">
        <v>1.5532809999999999</v>
      </c>
      <c r="L1782">
        <v>1.451929</v>
      </c>
      <c r="M1782">
        <v>0.62845320000000005</v>
      </c>
      <c r="N1782">
        <v>0.61996709999999999</v>
      </c>
    </row>
    <row r="1783" spans="1:14" hidden="1" x14ac:dyDescent="0.35">
      <c r="A1783" t="s">
        <v>734</v>
      </c>
      <c r="B1783" t="s">
        <v>34</v>
      </c>
      <c r="C1783" t="s">
        <v>33</v>
      </c>
      <c r="D1783" t="s">
        <v>33</v>
      </c>
      <c r="E1783" t="s">
        <v>584</v>
      </c>
      <c r="F1783" t="s">
        <v>581</v>
      </c>
      <c r="G1783" t="s">
        <v>25</v>
      </c>
      <c r="H1783">
        <v>0.60144390000000003</v>
      </c>
      <c r="I1783">
        <v>0.72883019999999998</v>
      </c>
      <c r="J1783">
        <v>0.76208549999999997</v>
      </c>
      <c r="K1783">
        <v>0.73477360000000003</v>
      </c>
      <c r="L1783">
        <v>0.71541540000000003</v>
      </c>
      <c r="M1783">
        <v>0.6797069</v>
      </c>
      <c r="N1783">
        <v>0.65324329999999997</v>
      </c>
    </row>
    <row r="1784" spans="1:14" hidden="1" x14ac:dyDescent="0.35">
      <c r="A1784" t="s">
        <v>734</v>
      </c>
      <c r="B1784" t="s">
        <v>34</v>
      </c>
      <c r="C1784" t="s">
        <v>33</v>
      </c>
      <c r="D1784" t="s">
        <v>33</v>
      </c>
      <c r="E1784" t="s">
        <v>584</v>
      </c>
      <c r="F1784" t="s">
        <v>26</v>
      </c>
      <c r="G1784" t="s">
        <v>26</v>
      </c>
      <c r="H1784">
        <v>2.6044849999999999</v>
      </c>
      <c r="I1784">
        <v>2.0581010000000002</v>
      </c>
      <c r="J1784">
        <v>1.467274</v>
      </c>
      <c r="K1784">
        <v>1.2606360000000001</v>
      </c>
      <c r="L1784">
        <v>1.1179349999999999</v>
      </c>
      <c r="M1784">
        <v>0.82205810000000001</v>
      </c>
      <c r="N1784">
        <v>0.7039704</v>
      </c>
    </row>
    <row r="1785" spans="1:14" hidden="1" x14ac:dyDescent="0.35">
      <c r="A1785" t="s">
        <v>734</v>
      </c>
      <c r="B1785" t="s">
        <v>34</v>
      </c>
      <c r="C1785" t="s">
        <v>33</v>
      </c>
      <c r="D1785" t="s">
        <v>33</v>
      </c>
      <c r="E1785" t="s">
        <v>604</v>
      </c>
      <c r="F1785" t="s">
        <v>581</v>
      </c>
      <c r="G1785" t="s">
        <v>396</v>
      </c>
      <c r="H1785">
        <v>0.85360279999999999</v>
      </c>
      <c r="I1785">
        <v>1.4233100000000001</v>
      </c>
      <c r="J1785">
        <v>1.3431679999999999</v>
      </c>
      <c r="K1785">
        <v>1.2323900000000001</v>
      </c>
      <c r="L1785">
        <v>1.0948850000000001</v>
      </c>
      <c r="M1785">
        <v>0.97564329999999999</v>
      </c>
      <c r="N1785">
        <v>0.88395449999999998</v>
      </c>
    </row>
    <row r="1786" spans="1:14" hidden="1" x14ac:dyDescent="0.35">
      <c r="A1786" t="s">
        <v>734</v>
      </c>
      <c r="B1786" t="s">
        <v>34</v>
      </c>
      <c r="C1786" t="s">
        <v>33</v>
      </c>
      <c r="D1786" t="s">
        <v>33</v>
      </c>
      <c r="E1786" t="s">
        <v>604</v>
      </c>
      <c r="F1786" t="s">
        <v>581</v>
      </c>
      <c r="G1786" t="s">
        <v>25</v>
      </c>
      <c r="H1786">
        <v>5.5471230000000003E-2</v>
      </c>
      <c r="I1786">
        <v>2.093151E-2</v>
      </c>
      <c r="J1786">
        <v>1.9747939999999999E-2</v>
      </c>
      <c r="K1786">
        <v>1.8123839999999999E-2</v>
      </c>
      <c r="L1786">
        <v>1.610027E-2</v>
      </c>
      <c r="M1786">
        <v>1.4345210000000001E-2</v>
      </c>
      <c r="N1786">
        <v>1.2999449999999999E-2</v>
      </c>
    </row>
    <row r="1787" spans="1:14" hidden="1" x14ac:dyDescent="0.35">
      <c r="A1787" t="s">
        <v>734</v>
      </c>
      <c r="B1787" t="s">
        <v>34</v>
      </c>
      <c r="C1787" t="s">
        <v>33</v>
      </c>
      <c r="D1787" t="s">
        <v>33</v>
      </c>
      <c r="E1787" t="s">
        <v>604</v>
      </c>
      <c r="F1787" t="s">
        <v>26</v>
      </c>
      <c r="G1787" t="s">
        <v>26</v>
      </c>
      <c r="H1787">
        <v>0.34300819999999999</v>
      </c>
      <c r="I1787">
        <v>0.65933319999999995</v>
      </c>
      <c r="J1787">
        <v>0.62220220000000004</v>
      </c>
      <c r="K1787">
        <v>0.57088439999999996</v>
      </c>
      <c r="L1787">
        <v>0.50718790000000002</v>
      </c>
      <c r="M1787">
        <v>0.45195229999999997</v>
      </c>
      <c r="N1787">
        <v>0.40947670000000003</v>
      </c>
    </row>
    <row r="1788" spans="1:14" hidden="1" x14ac:dyDescent="0.35">
      <c r="A1788" t="s">
        <v>734</v>
      </c>
      <c r="B1788" t="s">
        <v>34</v>
      </c>
      <c r="C1788" t="s">
        <v>33</v>
      </c>
      <c r="D1788" t="s">
        <v>33</v>
      </c>
      <c r="E1788" t="s">
        <v>636</v>
      </c>
      <c r="F1788" t="s">
        <v>581</v>
      </c>
      <c r="G1788" t="s">
        <v>396</v>
      </c>
      <c r="H1788">
        <v>0</v>
      </c>
      <c r="I1788">
        <v>7.5890409999999995E-4</v>
      </c>
      <c r="J1788">
        <v>6.684932E-4</v>
      </c>
      <c r="K1788">
        <v>5.9999999999999995E-4</v>
      </c>
      <c r="L1788">
        <v>8.4054789999999996E-4</v>
      </c>
      <c r="M1788">
        <v>6.5315070000000004E-4</v>
      </c>
      <c r="N1788">
        <v>5.4465749999999999E-4</v>
      </c>
    </row>
    <row r="1789" spans="1:14" hidden="1" x14ac:dyDescent="0.35">
      <c r="A1789" t="s">
        <v>734</v>
      </c>
      <c r="B1789" t="s">
        <v>34</v>
      </c>
      <c r="C1789" t="s">
        <v>33</v>
      </c>
      <c r="D1789" t="s">
        <v>33</v>
      </c>
      <c r="E1789" t="s">
        <v>636</v>
      </c>
      <c r="F1789" t="s">
        <v>581</v>
      </c>
      <c r="G1789" t="s">
        <v>25</v>
      </c>
      <c r="H1789">
        <v>2.3090409999999999E-2</v>
      </c>
      <c r="I1789">
        <v>3.5621920000000001E-2</v>
      </c>
      <c r="J1789">
        <v>3.1416439999999997E-2</v>
      </c>
      <c r="K1789">
        <v>2.8189039999999999E-2</v>
      </c>
      <c r="L1789">
        <v>3.9492600000000003E-2</v>
      </c>
      <c r="M1789">
        <v>3.066576E-2</v>
      </c>
      <c r="N1789">
        <v>2.5497530000000001E-2</v>
      </c>
    </row>
    <row r="1790" spans="1:14" hidden="1" x14ac:dyDescent="0.35">
      <c r="A1790" t="s">
        <v>734</v>
      </c>
      <c r="B1790" t="s">
        <v>34</v>
      </c>
      <c r="C1790" t="s">
        <v>33</v>
      </c>
      <c r="D1790" t="s">
        <v>33</v>
      </c>
      <c r="E1790" t="s">
        <v>636</v>
      </c>
      <c r="F1790" t="s">
        <v>26</v>
      </c>
      <c r="G1790" t="s">
        <v>26</v>
      </c>
      <c r="H1790">
        <v>1.554795E-2</v>
      </c>
      <c r="I1790">
        <v>3.9621919999999998E-2</v>
      </c>
      <c r="J1790">
        <v>3.493972E-2</v>
      </c>
      <c r="K1790">
        <v>3.1355620000000001E-2</v>
      </c>
      <c r="L1790">
        <v>4.392219E-2</v>
      </c>
      <c r="M1790">
        <v>3.4107949999999998E-2</v>
      </c>
      <c r="N1790">
        <v>2.8362189999999999E-2</v>
      </c>
    </row>
    <row r="1791" spans="1:14" hidden="1" x14ac:dyDescent="0.35">
      <c r="A1791" t="s">
        <v>734</v>
      </c>
      <c r="B1791" t="s">
        <v>34</v>
      </c>
      <c r="C1791" t="s">
        <v>230</v>
      </c>
      <c r="D1791" t="s">
        <v>230</v>
      </c>
      <c r="E1791" t="s">
        <v>697</v>
      </c>
      <c r="F1791" t="s">
        <v>581</v>
      </c>
      <c r="G1791" t="s">
        <v>396</v>
      </c>
      <c r="H1791">
        <v>2.2965119999999999</v>
      </c>
      <c r="I1791">
        <v>0.98437529999999995</v>
      </c>
      <c r="J1791">
        <v>0.87141210000000002</v>
      </c>
      <c r="K1791">
        <v>0.75153859999999995</v>
      </c>
      <c r="L1791">
        <v>0.65674949999999999</v>
      </c>
      <c r="M1791">
        <v>0.57529969999999997</v>
      </c>
      <c r="N1791">
        <v>0.502668</v>
      </c>
    </row>
    <row r="1792" spans="1:14" hidden="1" x14ac:dyDescent="0.35">
      <c r="A1792" t="s">
        <v>734</v>
      </c>
      <c r="B1792" t="s">
        <v>34</v>
      </c>
      <c r="C1792" t="s">
        <v>230</v>
      </c>
      <c r="D1792" t="s">
        <v>230</v>
      </c>
      <c r="E1792" t="s">
        <v>584</v>
      </c>
      <c r="F1792" t="s">
        <v>581</v>
      </c>
      <c r="G1792" t="s">
        <v>396</v>
      </c>
      <c r="H1792">
        <v>1.810079</v>
      </c>
      <c r="I1792">
        <v>1.28074</v>
      </c>
      <c r="J1792">
        <v>0.85850689999999996</v>
      </c>
      <c r="K1792">
        <v>0.57547400000000004</v>
      </c>
      <c r="L1792">
        <v>0.3857507</v>
      </c>
      <c r="M1792">
        <v>0.25857809999999998</v>
      </c>
      <c r="N1792">
        <v>0.17332880000000001</v>
      </c>
    </row>
    <row r="1793" spans="1:14" hidden="1" x14ac:dyDescent="0.35">
      <c r="A1793" t="s">
        <v>734</v>
      </c>
      <c r="B1793" t="s">
        <v>34</v>
      </c>
      <c r="C1793" t="s">
        <v>230</v>
      </c>
      <c r="D1793" t="s">
        <v>230</v>
      </c>
      <c r="E1793" t="s">
        <v>584</v>
      </c>
      <c r="F1793" t="s">
        <v>26</v>
      </c>
      <c r="G1793" t="s">
        <v>26</v>
      </c>
      <c r="H1793">
        <v>3.9509589999999997E-2</v>
      </c>
      <c r="I1793">
        <v>3.9509589999999997E-2</v>
      </c>
      <c r="J1793">
        <v>3.9509589999999997E-2</v>
      </c>
      <c r="K1793">
        <v>3.9509589999999997E-2</v>
      </c>
      <c r="L1793">
        <v>3.9509589999999997E-2</v>
      </c>
      <c r="M1793">
        <v>3.9509589999999997E-2</v>
      </c>
      <c r="N1793">
        <v>3.9509589999999997E-2</v>
      </c>
    </row>
    <row r="1794" spans="1:14" hidden="1" x14ac:dyDescent="0.35">
      <c r="A1794" t="s">
        <v>735</v>
      </c>
      <c r="B1794" t="s">
        <v>37</v>
      </c>
      <c r="C1794" t="s">
        <v>35</v>
      </c>
      <c r="D1794" t="s">
        <v>39</v>
      </c>
      <c r="E1794" t="s">
        <v>580</v>
      </c>
      <c r="F1794" t="s">
        <v>581</v>
      </c>
      <c r="G1794" t="s">
        <v>396</v>
      </c>
      <c r="H1794">
        <v>14.59726</v>
      </c>
      <c r="I1794">
        <v>13.96852</v>
      </c>
      <c r="J1794">
        <v>16.112020000000001</v>
      </c>
      <c r="K1794">
        <v>14.112220000000001</v>
      </c>
      <c r="L1794">
        <v>11.138870000000001</v>
      </c>
      <c r="M1794">
        <v>8.5731979999999997</v>
      </c>
      <c r="N1794">
        <v>6.9643649999999999</v>
      </c>
    </row>
    <row r="1795" spans="1:14" hidden="1" x14ac:dyDescent="0.35">
      <c r="A1795" t="s">
        <v>735</v>
      </c>
      <c r="B1795" t="s">
        <v>37</v>
      </c>
      <c r="C1795" t="s">
        <v>35</v>
      </c>
      <c r="D1795" t="s">
        <v>39</v>
      </c>
      <c r="E1795" t="s">
        <v>580</v>
      </c>
      <c r="F1795" t="s">
        <v>581</v>
      </c>
      <c r="G1795" t="s">
        <v>25</v>
      </c>
      <c r="H1795">
        <v>4.7437009999999997</v>
      </c>
      <c r="I1795">
        <v>5.3969319999999996</v>
      </c>
      <c r="J1795">
        <v>6.2250949999999996</v>
      </c>
      <c r="K1795">
        <v>5.4524499999999998</v>
      </c>
      <c r="L1795">
        <v>4.3036539999999999</v>
      </c>
      <c r="M1795">
        <v>3.312373</v>
      </c>
      <c r="N1795">
        <v>2.6907779999999999</v>
      </c>
    </row>
    <row r="1796" spans="1:14" hidden="1" x14ac:dyDescent="0.35">
      <c r="A1796" t="s">
        <v>735</v>
      </c>
      <c r="B1796" t="s">
        <v>37</v>
      </c>
      <c r="C1796" t="s">
        <v>35</v>
      </c>
      <c r="D1796" t="s">
        <v>39</v>
      </c>
      <c r="E1796" t="s">
        <v>580</v>
      </c>
      <c r="F1796" t="s">
        <v>26</v>
      </c>
      <c r="G1796" t="s">
        <v>26</v>
      </c>
      <c r="H1796">
        <v>6.1409589999999996</v>
      </c>
      <c r="I1796">
        <v>6.7461609999999999</v>
      </c>
      <c r="J1796">
        <v>7.7813720000000002</v>
      </c>
      <c r="K1796">
        <v>6.8155619999999999</v>
      </c>
      <c r="L1796">
        <v>5.3795700000000002</v>
      </c>
      <c r="M1796">
        <v>4.1404649999999998</v>
      </c>
      <c r="N1796">
        <v>3.3634719999999998</v>
      </c>
    </row>
    <row r="1797" spans="1:14" hidden="1" x14ac:dyDescent="0.35">
      <c r="A1797" t="s">
        <v>735</v>
      </c>
      <c r="B1797" t="s">
        <v>37</v>
      </c>
      <c r="C1797" t="s">
        <v>35</v>
      </c>
      <c r="D1797" t="s">
        <v>39</v>
      </c>
      <c r="E1797" t="s">
        <v>582</v>
      </c>
      <c r="F1797" t="s">
        <v>581</v>
      </c>
      <c r="G1797" t="s">
        <v>396</v>
      </c>
      <c r="H1797">
        <v>1.7863009999999999</v>
      </c>
      <c r="I1797">
        <v>2.7569219999999999</v>
      </c>
      <c r="J1797">
        <v>2.8889170000000002</v>
      </c>
      <c r="K1797">
        <v>2.4346899999999998</v>
      </c>
      <c r="L1797">
        <v>2.097575</v>
      </c>
      <c r="M1797">
        <v>1.591518</v>
      </c>
      <c r="N1797">
        <v>1.250988</v>
      </c>
    </row>
    <row r="1798" spans="1:14" hidden="1" x14ac:dyDescent="0.35">
      <c r="A1798" t="s">
        <v>735</v>
      </c>
      <c r="B1798" t="s">
        <v>37</v>
      </c>
      <c r="C1798" t="s">
        <v>35</v>
      </c>
      <c r="D1798" t="s">
        <v>39</v>
      </c>
      <c r="E1798" t="s">
        <v>582</v>
      </c>
      <c r="F1798" t="s">
        <v>581</v>
      </c>
      <c r="G1798" t="s">
        <v>25</v>
      </c>
      <c r="H1798">
        <v>0.21424660000000001</v>
      </c>
      <c r="I1798">
        <v>0.39056930000000001</v>
      </c>
      <c r="J1798">
        <v>0.40926360000000001</v>
      </c>
      <c r="K1798">
        <v>0.34492109999999998</v>
      </c>
      <c r="L1798">
        <v>0.29716110000000001</v>
      </c>
      <c r="M1798">
        <v>0.22546469999999999</v>
      </c>
      <c r="N1798">
        <v>0.17722470000000001</v>
      </c>
    </row>
    <row r="1799" spans="1:14" hidden="1" x14ac:dyDescent="0.35">
      <c r="A1799" t="s">
        <v>735</v>
      </c>
      <c r="B1799" t="s">
        <v>37</v>
      </c>
      <c r="C1799" t="s">
        <v>35</v>
      </c>
      <c r="D1799" t="s">
        <v>39</v>
      </c>
      <c r="E1799" t="s">
        <v>582</v>
      </c>
      <c r="F1799" t="s">
        <v>26</v>
      </c>
      <c r="G1799" t="s">
        <v>26</v>
      </c>
      <c r="H1799">
        <v>0.3306849</v>
      </c>
      <c r="I1799">
        <v>0.58584769999999997</v>
      </c>
      <c r="J1799">
        <v>0.61389479999999996</v>
      </c>
      <c r="K1799">
        <v>0.5173721</v>
      </c>
      <c r="L1799">
        <v>0.44573370000000001</v>
      </c>
      <c r="M1799">
        <v>0.33819840000000001</v>
      </c>
      <c r="N1799">
        <v>0.26583509999999999</v>
      </c>
    </row>
    <row r="1800" spans="1:14" hidden="1" x14ac:dyDescent="0.35">
      <c r="A1800" t="s">
        <v>735</v>
      </c>
      <c r="B1800" t="s">
        <v>37</v>
      </c>
      <c r="C1800" t="s">
        <v>35</v>
      </c>
      <c r="D1800" t="s">
        <v>207</v>
      </c>
      <c r="E1800" t="s">
        <v>580</v>
      </c>
      <c r="F1800" t="s">
        <v>581</v>
      </c>
      <c r="G1800" t="s">
        <v>396</v>
      </c>
      <c r="H1800">
        <v>9.6832879999999992</v>
      </c>
      <c r="I1800">
        <v>9.7633259999999993</v>
      </c>
      <c r="J1800">
        <v>7.8277669999999997</v>
      </c>
      <c r="K1800">
        <v>6.4747029999999999</v>
      </c>
      <c r="L1800">
        <v>5.542249</v>
      </c>
      <c r="M1800">
        <v>4.3230919999999999</v>
      </c>
      <c r="N1800">
        <v>3.4996640000000001</v>
      </c>
    </row>
    <row r="1801" spans="1:14" hidden="1" x14ac:dyDescent="0.35">
      <c r="A1801" t="s">
        <v>735</v>
      </c>
      <c r="B1801" t="s">
        <v>37</v>
      </c>
      <c r="C1801" t="s">
        <v>35</v>
      </c>
      <c r="D1801" t="s">
        <v>207</v>
      </c>
      <c r="E1801" t="s">
        <v>580</v>
      </c>
      <c r="F1801" t="s">
        <v>581</v>
      </c>
      <c r="G1801" t="s">
        <v>25</v>
      </c>
      <c r="H1801">
        <v>2.214658</v>
      </c>
      <c r="I1801">
        <v>2.6492100000000001</v>
      </c>
      <c r="J1801">
        <v>2.127472</v>
      </c>
      <c r="K1801">
        <v>1.7743819999999999</v>
      </c>
      <c r="L1801">
        <v>1.528357</v>
      </c>
      <c r="M1801">
        <v>1.196672</v>
      </c>
      <c r="N1801">
        <v>0.96960930000000001</v>
      </c>
    </row>
    <row r="1802" spans="1:14" hidden="1" x14ac:dyDescent="0.35">
      <c r="A1802" t="s">
        <v>735</v>
      </c>
      <c r="B1802" t="s">
        <v>37</v>
      </c>
      <c r="C1802" t="s">
        <v>35</v>
      </c>
      <c r="D1802" t="s">
        <v>207</v>
      </c>
      <c r="E1802" t="s">
        <v>580</v>
      </c>
      <c r="F1802" t="s">
        <v>26</v>
      </c>
      <c r="G1802" t="s">
        <v>26</v>
      </c>
      <c r="H1802">
        <v>2.1517810000000002</v>
      </c>
      <c r="I1802">
        <v>2.483851</v>
      </c>
      <c r="J1802">
        <v>1.994518</v>
      </c>
      <c r="K1802">
        <v>1.6568909999999999</v>
      </c>
      <c r="L1802">
        <v>1.4229080000000001</v>
      </c>
      <c r="M1802">
        <v>1.112104</v>
      </c>
      <c r="N1802">
        <v>0.90070130000000004</v>
      </c>
    </row>
    <row r="1803" spans="1:14" hidden="1" x14ac:dyDescent="0.35">
      <c r="A1803" t="s">
        <v>735</v>
      </c>
      <c r="B1803" t="s">
        <v>37</v>
      </c>
      <c r="C1803" t="s">
        <v>35</v>
      </c>
      <c r="D1803" t="s">
        <v>207</v>
      </c>
      <c r="E1803" t="s">
        <v>582</v>
      </c>
      <c r="F1803" t="s">
        <v>581</v>
      </c>
      <c r="G1803" t="s">
        <v>396</v>
      </c>
      <c r="H1803">
        <v>2.6235620000000002</v>
      </c>
      <c r="I1803">
        <v>2.7251189999999998</v>
      </c>
      <c r="J1803">
        <v>3.0744030000000002</v>
      </c>
      <c r="K1803">
        <v>2.8055720000000002</v>
      </c>
      <c r="L1803">
        <v>2.318295</v>
      </c>
      <c r="M1803">
        <v>1.9207590000000001</v>
      </c>
      <c r="N1803">
        <v>1.712513</v>
      </c>
    </row>
    <row r="1804" spans="1:14" hidden="1" x14ac:dyDescent="0.35">
      <c r="A1804" t="s">
        <v>735</v>
      </c>
      <c r="B1804" t="s">
        <v>37</v>
      </c>
      <c r="C1804" t="s">
        <v>35</v>
      </c>
      <c r="D1804" t="s">
        <v>207</v>
      </c>
      <c r="E1804" t="s">
        <v>582</v>
      </c>
      <c r="F1804" t="s">
        <v>581</v>
      </c>
      <c r="G1804" t="s">
        <v>25</v>
      </c>
      <c r="H1804">
        <v>0.29342469999999998</v>
      </c>
      <c r="I1804">
        <v>0.361931</v>
      </c>
      <c r="J1804">
        <v>0.40832059999999998</v>
      </c>
      <c r="K1804">
        <v>0.37261749999999999</v>
      </c>
      <c r="L1804">
        <v>0.30789539999999999</v>
      </c>
      <c r="M1804">
        <v>0.25510359999999999</v>
      </c>
      <c r="N1804">
        <v>0.22743940000000001</v>
      </c>
    </row>
    <row r="1805" spans="1:14" hidden="1" x14ac:dyDescent="0.35">
      <c r="A1805" t="s">
        <v>735</v>
      </c>
      <c r="B1805" t="s">
        <v>37</v>
      </c>
      <c r="C1805" t="s">
        <v>35</v>
      </c>
      <c r="D1805" t="s">
        <v>207</v>
      </c>
      <c r="E1805" t="s">
        <v>582</v>
      </c>
      <c r="F1805" t="s">
        <v>26</v>
      </c>
      <c r="G1805" t="s">
        <v>26</v>
      </c>
      <c r="H1805">
        <v>0.3027397</v>
      </c>
      <c r="I1805">
        <v>0.36192879999999999</v>
      </c>
      <c r="J1805">
        <v>0.40831889999999998</v>
      </c>
      <c r="K1805">
        <v>0.37261480000000002</v>
      </c>
      <c r="L1805">
        <v>0.30790030000000002</v>
      </c>
      <c r="M1805">
        <v>0.25509860000000001</v>
      </c>
      <c r="N1805">
        <v>0.2274427</v>
      </c>
    </row>
    <row r="1806" spans="1:14" hidden="1" x14ac:dyDescent="0.35">
      <c r="A1806" t="s">
        <v>735</v>
      </c>
      <c r="B1806" t="s">
        <v>37</v>
      </c>
      <c r="C1806" t="s">
        <v>35</v>
      </c>
      <c r="D1806" t="s">
        <v>207</v>
      </c>
      <c r="E1806" t="s">
        <v>584</v>
      </c>
      <c r="F1806" t="s">
        <v>581</v>
      </c>
      <c r="G1806" t="s">
        <v>25</v>
      </c>
      <c r="H1806">
        <v>7.0109589999999998E-3</v>
      </c>
      <c r="I1806">
        <v>6.8630139999999997E-3</v>
      </c>
      <c r="J1806">
        <v>6.7315059999999999E-3</v>
      </c>
      <c r="K1806">
        <v>6.5972599999999998E-3</v>
      </c>
      <c r="L1806">
        <v>6.4684929999999996E-3</v>
      </c>
      <c r="M1806">
        <v>6.3397260000000004E-3</v>
      </c>
      <c r="N1806">
        <v>6.2136980000000001E-3</v>
      </c>
    </row>
    <row r="1807" spans="1:14" hidden="1" x14ac:dyDescent="0.35">
      <c r="A1807" t="s">
        <v>735</v>
      </c>
      <c r="B1807" t="s">
        <v>37</v>
      </c>
      <c r="C1807" t="s">
        <v>35</v>
      </c>
      <c r="D1807" t="s">
        <v>207</v>
      </c>
      <c r="E1807" t="s">
        <v>584</v>
      </c>
      <c r="F1807" t="s">
        <v>26</v>
      </c>
      <c r="G1807" t="s">
        <v>26</v>
      </c>
      <c r="H1807">
        <v>0.31438359999999999</v>
      </c>
      <c r="I1807">
        <v>0.2943151</v>
      </c>
      <c r="J1807">
        <v>0.27552599999999999</v>
      </c>
      <c r="K1807">
        <v>0.25793700000000003</v>
      </c>
      <c r="L1807">
        <v>0.2414713</v>
      </c>
      <c r="M1807">
        <v>0.2260548</v>
      </c>
      <c r="N1807">
        <v>0.2116247</v>
      </c>
    </row>
    <row r="1808" spans="1:14" hidden="1" x14ac:dyDescent="0.35">
      <c r="A1808" t="s">
        <v>735</v>
      </c>
      <c r="B1808" t="s">
        <v>37</v>
      </c>
      <c r="C1808" t="s">
        <v>35</v>
      </c>
      <c r="D1808" t="s">
        <v>129</v>
      </c>
      <c r="E1808" t="s">
        <v>580</v>
      </c>
      <c r="F1808" t="s">
        <v>581</v>
      </c>
      <c r="G1808" t="s">
        <v>396</v>
      </c>
      <c r="H1808">
        <v>6.4964389999999996</v>
      </c>
      <c r="I1808">
        <v>5.7258259999999996</v>
      </c>
      <c r="J1808">
        <v>4.7600020000000001</v>
      </c>
      <c r="K1808">
        <v>5.3690309999999997</v>
      </c>
      <c r="L1808">
        <v>4.869961</v>
      </c>
      <c r="M1808">
        <v>3.8754729999999999</v>
      </c>
      <c r="N1808">
        <v>3.2637719999999999</v>
      </c>
    </row>
    <row r="1809" spans="1:14" hidden="1" x14ac:dyDescent="0.35">
      <c r="A1809" t="s">
        <v>735</v>
      </c>
      <c r="B1809" t="s">
        <v>37</v>
      </c>
      <c r="C1809" t="s">
        <v>35</v>
      </c>
      <c r="D1809" t="s">
        <v>129</v>
      </c>
      <c r="E1809" t="s">
        <v>580</v>
      </c>
      <c r="F1809" t="s">
        <v>581</v>
      </c>
      <c r="G1809" t="s">
        <v>25</v>
      </c>
      <c r="H1809">
        <v>1.816986</v>
      </c>
      <c r="I1809">
        <v>1.9086099999999999</v>
      </c>
      <c r="J1809">
        <v>1.586668</v>
      </c>
      <c r="K1809">
        <v>1.7896719999999999</v>
      </c>
      <c r="L1809">
        <v>1.623319</v>
      </c>
      <c r="M1809">
        <v>1.2918270000000001</v>
      </c>
      <c r="N1809">
        <v>1.0879289999999999</v>
      </c>
    </row>
    <row r="1810" spans="1:14" hidden="1" x14ac:dyDescent="0.35">
      <c r="A1810" t="s">
        <v>735</v>
      </c>
      <c r="B1810" t="s">
        <v>37</v>
      </c>
      <c r="C1810" t="s">
        <v>35</v>
      </c>
      <c r="D1810" t="s">
        <v>129</v>
      </c>
      <c r="E1810" t="s">
        <v>580</v>
      </c>
      <c r="F1810" t="s">
        <v>26</v>
      </c>
      <c r="G1810" t="s">
        <v>26</v>
      </c>
      <c r="H1810">
        <v>1.8827400000000001</v>
      </c>
      <c r="I1810">
        <v>1.9086099999999999</v>
      </c>
      <c r="J1810">
        <v>1.5866659999999999</v>
      </c>
      <c r="K1810">
        <v>1.7896780000000001</v>
      </c>
      <c r="L1810">
        <v>1.6233200000000001</v>
      </c>
      <c r="M1810">
        <v>1.2918240000000001</v>
      </c>
      <c r="N1810">
        <v>1.087923</v>
      </c>
    </row>
    <row r="1811" spans="1:14" hidden="1" x14ac:dyDescent="0.35">
      <c r="A1811" t="s">
        <v>735</v>
      </c>
      <c r="B1811" t="s">
        <v>37</v>
      </c>
      <c r="C1811" t="s">
        <v>79</v>
      </c>
      <c r="D1811" t="s">
        <v>79</v>
      </c>
      <c r="E1811" t="s">
        <v>615</v>
      </c>
      <c r="F1811" t="s">
        <v>581</v>
      </c>
      <c r="G1811" t="s">
        <v>396</v>
      </c>
      <c r="H1811">
        <v>2.7164380000000001</v>
      </c>
      <c r="I1811">
        <v>1.7903640000000001</v>
      </c>
      <c r="J1811">
        <v>2.4400770000000001</v>
      </c>
      <c r="K1811">
        <v>2.797393</v>
      </c>
      <c r="L1811">
        <v>2.8816980000000001</v>
      </c>
      <c r="M1811">
        <v>2.3323860000000001</v>
      </c>
      <c r="N1811">
        <v>1.563869</v>
      </c>
    </row>
    <row r="1812" spans="1:14" hidden="1" x14ac:dyDescent="0.35">
      <c r="A1812" t="s">
        <v>735</v>
      </c>
      <c r="B1812" t="s">
        <v>37</v>
      </c>
      <c r="C1812" t="s">
        <v>79</v>
      </c>
      <c r="D1812" t="s">
        <v>79</v>
      </c>
      <c r="E1812" t="s">
        <v>615</v>
      </c>
      <c r="F1812" t="s">
        <v>581</v>
      </c>
      <c r="G1812" t="s">
        <v>24</v>
      </c>
      <c r="H1812">
        <v>0.40165210000000001</v>
      </c>
      <c r="I1812">
        <v>0.34160489999999999</v>
      </c>
      <c r="J1812">
        <v>0.46277479999999999</v>
      </c>
      <c r="K1812">
        <v>0.53054250000000003</v>
      </c>
      <c r="L1812">
        <v>0.54653050000000003</v>
      </c>
      <c r="M1812">
        <v>0.44234849999999998</v>
      </c>
      <c r="N1812">
        <v>0.29659669999999999</v>
      </c>
    </row>
    <row r="1813" spans="1:14" hidden="1" x14ac:dyDescent="0.35">
      <c r="A1813" t="s">
        <v>735</v>
      </c>
      <c r="B1813" t="s">
        <v>37</v>
      </c>
      <c r="C1813" t="s">
        <v>79</v>
      </c>
      <c r="D1813" t="s">
        <v>79</v>
      </c>
      <c r="E1813" t="s">
        <v>615</v>
      </c>
      <c r="F1813" t="s">
        <v>581</v>
      </c>
      <c r="G1813" t="s">
        <v>25</v>
      </c>
      <c r="H1813">
        <v>0.1458904</v>
      </c>
      <c r="I1813">
        <v>0.15482470000000001</v>
      </c>
      <c r="J1813">
        <v>0.21035229999999999</v>
      </c>
      <c r="K1813">
        <v>0.24115619999999999</v>
      </c>
      <c r="L1813">
        <v>0.2484208</v>
      </c>
      <c r="M1813">
        <v>0.20106679999999999</v>
      </c>
      <c r="N1813">
        <v>0.13481480000000001</v>
      </c>
    </row>
    <row r="1814" spans="1:14" hidden="1" x14ac:dyDescent="0.35">
      <c r="A1814" t="s">
        <v>735</v>
      </c>
      <c r="B1814" t="s">
        <v>37</v>
      </c>
      <c r="C1814" t="s">
        <v>79</v>
      </c>
      <c r="D1814" t="s">
        <v>79</v>
      </c>
      <c r="E1814" t="s">
        <v>615</v>
      </c>
      <c r="F1814" t="s">
        <v>26</v>
      </c>
      <c r="G1814" t="s">
        <v>26</v>
      </c>
      <c r="H1814">
        <v>0.76643839999999996</v>
      </c>
      <c r="I1814">
        <v>0.80508049999999998</v>
      </c>
      <c r="J1814">
        <v>1.093826</v>
      </c>
      <c r="K1814">
        <v>1.2540039999999999</v>
      </c>
      <c r="L1814">
        <v>1.2917959999999999</v>
      </c>
      <c r="M1814">
        <v>1.045553</v>
      </c>
      <c r="N1814">
        <v>0.70104319999999998</v>
      </c>
    </row>
    <row r="1815" spans="1:14" hidden="1" x14ac:dyDescent="0.35">
      <c r="A1815" t="s">
        <v>735</v>
      </c>
      <c r="B1815" t="s">
        <v>37</v>
      </c>
      <c r="C1815" t="s">
        <v>46</v>
      </c>
      <c r="D1815" t="s">
        <v>46</v>
      </c>
      <c r="E1815" t="s">
        <v>641</v>
      </c>
      <c r="F1815" t="s">
        <v>26</v>
      </c>
      <c r="G1815" t="s">
        <v>26</v>
      </c>
      <c r="H1815">
        <v>6.3472600000000003</v>
      </c>
      <c r="I1815">
        <v>3.6997949999999999</v>
      </c>
      <c r="J1815">
        <v>3.1521400000000002</v>
      </c>
      <c r="K1815">
        <v>2.933897</v>
      </c>
      <c r="L1815">
        <v>3.3248500000000001</v>
      </c>
      <c r="M1815">
        <v>2.9520590000000002</v>
      </c>
      <c r="N1815">
        <v>2.2053739999999999</v>
      </c>
    </row>
    <row r="1816" spans="1:14" hidden="1" x14ac:dyDescent="0.35">
      <c r="A1816" t="s">
        <v>735</v>
      </c>
      <c r="B1816" t="s">
        <v>37</v>
      </c>
      <c r="C1816" t="s">
        <v>46</v>
      </c>
      <c r="D1816" t="s">
        <v>46</v>
      </c>
      <c r="E1816" t="s">
        <v>584</v>
      </c>
      <c r="F1816" t="s">
        <v>581</v>
      </c>
      <c r="G1816" t="s">
        <v>396</v>
      </c>
      <c r="H1816">
        <v>1.315069E-2</v>
      </c>
      <c r="I1816">
        <v>8.8164390000000006E-3</v>
      </c>
      <c r="J1816">
        <v>5.9095889999999998E-3</v>
      </c>
      <c r="K1816">
        <v>3.9753419999999998E-3</v>
      </c>
      <c r="L1816">
        <v>2.6657529999999999E-3</v>
      </c>
      <c r="M1816">
        <v>3.5726030000000003E-4</v>
      </c>
      <c r="N1816">
        <v>2.394521E-4</v>
      </c>
    </row>
    <row r="1817" spans="1:14" hidden="1" x14ac:dyDescent="0.35">
      <c r="A1817" t="s">
        <v>735</v>
      </c>
      <c r="B1817" t="s">
        <v>37</v>
      </c>
      <c r="C1817" t="s">
        <v>46</v>
      </c>
      <c r="D1817" t="s">
        <v>46</v>
      </c>
      <c r="E1817" t="s">
        <v>584</v>
      </c>
      <c r="F1817" t="s">
        <v>26</v>
      </c>
      <c r="G1817" t="s">
        <v>26</v>
      </c>
      <c r="H1817">
        <v>0.22821920000000001</v>
      </c>
      <c r="I1817">
        <v>0.1529808</v>
      </c>
      <c r="J1817">
        <v>0.1025452</v>
      </c>
      <c r="K1817">
        <v>6.8736989999999998E-2</v>
      </c>
      <c r="L1817">
        <v>4.607671E-2</v>
      </c>
      <c r="M1817">
        <v>6.1769859999999998E-3</v>
      </c>
      <c r="N1817">
        <v>4.1408219999999997E-3</v>
      </c>
    </row>
    <row r="1818" spans="1:14" hidden="1" x14ac:dyDescent="0.35">
      <c r="A1818" t="s">
        <v>736</v>
      </c>
      <c r="B1818" t="s">
        <v>34</v>
      </c>
      <c r="C1818" t="s">
        <v>33</v>
      </c>
      <c r="D1818" t="s">
        <v>33</v>
      </c>
      <c r="E1818" t="s">
        <v>605</v>
      </c>
      <c r="F1818" t="s">
        <v>581</v>
      </c>
      <c r="G1818" t="s">
        <v>396</v>
      </c>
      <c r="H1818">
        <v>0</v>
      </c>
    </row>
    <row r="1819" spans="1:14" hidden="1" x14ac:dyDescent="0.35">
      <c r="A1819" t="s">
        <v>736</v>
      </c>
      <c r="B1819" t="s">
        <v>34</v>
      </c>
      <c r="C1819" t="s">
        <v>33</v>
      </c>
      <c r="D1819" t="s">
        <v>33</v>
      </c>
      <c r="E1819" t="s">
        <v>605</v>
      </c>
      <c r="F1819" t="s">
        <v>581</v>
      </c>
      <c r="G1819" t="s">
        <v>25</v>
      </c>
      <c r="H1819">
        <v>4.3871950000000002</v>
      </c>
      <c r="I1819">
        <v>4.1499350000000002</v>
      </c>
      <c r="J1819">
        <v>3.6788669999999999</v>
      </c>
      <c r="K1819">
        <v>3.1191209999999998</v>
      </c>
      <c r="L1819">
        <v>2.740923</v>
      </c>
      <c r="M1819">
        <v>2.365488</v>
      </c>
      <c r="N1819">
        <v>2.0423580000000001</v>
      </c>
    </row>
    <row r="1820" spans="1:14" hidden="1" x14ac:dyDescent="0.35">
      <c r="A1820" t="s">
        <v>736</v>
      </c>
      <c r="B1820" t="s">
        <v>34</v>
      </c>
      <c r="C1820" t="s">
        <v>33</v>
      </c>
      <c r="D1820" t="s">
        <v>33</v>
      </c>
      <c r="E1820" t="s">
        <v>605</v>
      </c>
      <c r="F1820" t="s">
        <v>26</v>
      </c>
      <c r="G1820" t="s">
        <v>26</v>
      </c>
      <c r="H1820">
        <v>42.064019999999999</v>
      </c>
      <c r="I1820">
        <v>41.74991</v>
      </c>
      <c r="J1820">
        <v>36.939830000000001</v>
      </c>
      <c r="K1820">
        <v>31.259740000000001</v>
      </c>
      <c r="L1820">
        <v>27.406970000000001</v>
      </c>
      <c r="M1820">
        <v>23.63175</v>
      </c>
      <c r="N1820">
        <v>20.403379999999999</v>
      </c>
    </row>
    <row r="1821" spans="1:14" hidden="1" x14ac:dyDescent="0.35">
      <c r="A1821" t="s">
        <v>736</v>
      </c>
      <c r="B1821" t="s">
        <v>34</v>
      </c>
      <c r="C1821" t="s">
        <v>33</v>
      </c>
      <c r="D1821" t="s">
        <v>33</v>
      </c>
      <c r="E1821" t="s">
        <v>604</v>
      </c>
      <c r="F1821" t="s">
        <v>581</v>
      </c>
      <c r="G1821" t="s">
        <v>396</v>
      </c>
      <c r="H1821">
        <v>4.2273449999999997</v>
      </c>
      <c r="I1821">
        <v>4.6273660000000003</v>
      </c>
      <c r="J1821">
        <v>3.7300200000000001</v>
      </c>
      <c r="K1821">
        <v>2.9443299999999999</v>
      </c>
      <c r="L1821">
        <v>2.4641799999999998</v>
      </c>
      <c r="M1821">
        <v>2.1447530000000001</v>
      </c>
      <c r="N1821">
        <v>1.907184</v>
      </c>
    </row>
    <row r="1822" spans="1:14" hidden="1" x14ac:dyDescent="0.35">
      <c r="A1822" t="s">
        <v>736</v>
      </c>
      <c r="B1822" t="s">
        <v>34</v>
      </c>
      <c r="C1822" t="s">
        <v>33</v>
      </c>
      <c r="D1822" t="s">
        <v>33</v>
      </c>
      <c r="E1822" t="s">
        <v>604</v>
      </c>
      <c r="F1822" t="s">
        <v>581</v>
      </c>
      <c r="G1822" t="s">
        <v>25</v>
      </c>
      <c r="H1822">
        <v>6.8314219999999999</v>
      </c>
      <c r="I1822">
        <v>6.9411519999999998</v>
      </c>
      <c r="J1822">
        <v>5.5951029999999999</v>
      </c>
      <c r="K1822">
        <v>4.4165530000000004</v>
      </c>
      <c r="L1822">
        <v>3.6963180000000002</v>
      </c>
      <c r="M1822">
        <v>3.217177</v>
      </c>
      <c r="N1822">
        <v>2.8608180000000001</v>
      </c>
    </row>
    <row r="1823" spans="1:14" hidden="1" x14ac:dyDescent="0.35">
      <c r="A1823" t="s">
        <v>736</v>
      </c>
      <c r="B1823" t="s">
        <v>34</v>
      </c>
      <c r="C1823" t="s">
        <v>33</v>
      </c>
      <c r="D1823" t="s">
        <v>33</v>
      </c>
      <c r="E1823" t="s">
        <v>604</v>
      </c>
      <c r="F1823" t="s">
        <v>26</v>
      </c>
      <c r="G1823" t="s">
        <v>26</v>
      </c>
      <c r="H1823">
        <v>14.206659999999999</v>
      </c>
      <c r="I1823">
        <v>14.367369999999999</v>
      </c>
      <c r="J1823">
        <v>11.58108</v>
      </c>
      <c r="K1823">
        <v>9.1416540000000008</v>
      </c>
      <c r="L1823">
        <v>7.650868</v>
      </c>
      <c r="M1823">
        <v>6.6591019999999999</v>
      </c>
      <c r="N1823">
        <v>5.9215</v>
      </c>
    </row>
    <row r="1824" spans="1:14" hidden="1" x14ac:dyDescent="0.35">
      <c r="A1824" t="s">
        <v>736</v>
      </c>
      <c r="B1824" t="s">
        <v>34</v>
      </c>
      <c r="C1824" t="s">
        <v>33</v>
      </c>
      <c r="D1824" t="s">
        <v>33</v>
      </c>
      <c r="E1824" t="s">
        <v>584</v>
      </c>
      <c r="F1824" t="s">
        <v>581</v>
      </c>
      <c r="G1824" t="s">
        <v>396</v>
      </c>
      <c r="H1824">
        <v>7.0520549999999998E-3</v>
      </c>
      <c r="I1824">
        <v>6.268493E-3</v>
      </c>
      <c r="J1824">
        <v>5.4438359999999996E-3</v>
      </c>
      <c r="K1824">
        <v>1.7824659999999999E-3</v>
      </c>
      <c r="L1824">
        <v>7.4410950000000002E-4</v>
      </c>
      <c r="M1824">
        <v>7.0410959999999995E-4</v>
      </c>
      <c r="N1824">
        <v>6.6958899999999995E-4</v>
      </c>
    </row>
    <row r="1825" spans="1:14" hidden="1" x14ac:dyDescent="0.35">
      <c r="A1825" t="s">
        <v>736</v>
      </c>
      <c r="B1825" t="s">
        <v>34</v>
      </c>
      <c r="C1825" t="s">
        <v>33</v>
      </c>
      <c r="D1825" t="s">
        <v>33</v>
      </c>
      <c r="E1825" t="s">
        <v>584</v>
      </c>
      <c r="F1825" t="s">
        <v>581</v>
      </c>
      <c r="G1825" t="s">
        <v>24</v>
      </c>
      <c r="H1825">
        <v>0</v>
      </c>
    </row>
    <row r="1826" spans="1:14" hidden="1" x14ac:dyDescent="0.35">
      <c r="A1826" t="s">
        <v>736</v>
      </c>
      <c r="B1826" t="s">
        <v>34</v>
      </c>
      <c r="C1826" t="s">
        <v>33</v>
      </c>
      <c r="D1826" t="s">
        <v>33</v>
      </c>
      <c r="E1826" t="s">
        <v>584</v>
      </c>
      <c r="F1826" t="s">
        <v>581</v>
      </c>
      <c r="G1826" t="s">
        <v>25</v>
      </c>
      <c r="H1826">
        <v>4.6216439999999998E-2</v>
      </c>
      <c r="I1826">
        <v>4.5309589999999997E-2</v>
      </c>
      <c r="J1826">
        <v>4.440438E-2</v>
      </c>
      <c r="K1826">
        <v>4.2290410000000001E-2</v>
      </c>
      <c r="L1826">
        <v>4.062027E-2</v>
      </c>
      <c r="M1826">
        <v>3.8135339999999997E-2</v>
      </c>
      <c r="N1826">
        <v>3.5959449999999997E-2</v>
      </c>
    </row>
    <row r="1827" spans="1:14" hidden="1" x14ac:dyDescent="0.35">
      <c r="A1827" t="s">
        <v>736</v>
      </c>
      <c r="B1827" t="s">
        <v>34</v>
      </c>
      <c r="C1827" t="s">
        <v>33</v>
      </c>
      <c r="D1827" t="s">
        <v>33</v>
      </c>
      <c r="E1827" t="s">
        <v>584</v>
      </c>
      <c r="F1827" t="s">
        <v>26</v>
      </c>
      <c r="G1827" t="s">
        <v>26</v>
      </c>
      <c r="H1827">
        <v>0.78166579999999997</v>
      </c>
      <c r="I1827">
        <v>0.78088769999999996</v>
      </c>
      <c r="J1827">
        <v>0.78009969999999995</v>
      </c>
      <c r="K1827">
        <v>0.74893960000000004</v>
      </c>
      <c r="L1827">
        <v>0.74869640000000004</v>
      </c>
      <c r="M1827">
        <v>0.74830350000000001</v>
      </c>
      <c r="N1827">
        <v>0.74796050000000003</v>
      </c>
    </row>
    <row r="1828" spans="1:14" hidden="1" x14ac:dyDescent="0.35">
      <c r="A1828" t="s">
        <v>737</v>
      </c>
      <c r="B1828" t="s">
        <v>34</v>
      </c>
      <c r="C1828" t="s">
        <v>33</v>
      </c>
      <c r="D1828" t="s">
        <v>33</v>
      </c>
      <c r="E1828" t="s">
        <v>584</v>
      </c>
      <c r="F1828" t="s">
        <v>581</v>
      </c>
      <c r="G1828" t="s">
        <v>396</v>
      </c>
      <c r="H1828">
        <v>21.083320000000001</v>
      </c>
      <c r="I1828">
        <v>21.367360000000001</v>
      </c>
      <c r="J1828">
        <v>20.503160000000001</v>
      </c>
      <c r="K1828">
        <v>19.278580000000002</v>
      </c>
      <c r="L1828">
        <v>15.330859999999999</v>
      </c>
      <c r="M1828">
        <v>5.5728770000000001</v>
      </c>
      <c r="N1828">
        <v>5.3042480000000003</v>
      </c>
    </row>
    <row r="1829" spans="1:14" hidden="1" x14ac:dyDescent="0.35">
      <c r="A1829" t="s">
        <v>737</v>
      </c>
      <c r="B1829" t="s">
        <v>34</v>
      </c>
      <c r="C1829" t="s">
        <v>33</v>
      </c>
      <c r="D1829" t="s">
        <v>33</v>
      </c>
      <c r="E1829" t="s">
        <v>584</v>
      </c>
      <c r="F1829" t="s">
        <v>581</v>
      </c>
      <c r="G1829" t="s">
        <v>24</v>
      </c>
      <c r="H1829">
        <v>7.6936989999999997E-2</v>
      </c>
      <c r="I1829">
        <v>5.5126029999999999E-2</v>
      </c>
      <c r="J1829">
        <v>3.7641099999999997E-2</v>
      </c>
      <c r="K1829">
        <v>2.5917800000000001E-2</v>
      </c>
      <c r="L1829">
        <v>1.8063010000000001E-2</v>
      </c>
      <c r="M1829">
        <v>1.279452E-2</v>
      </c>
      <c r="N1829">
        <v>9.2657529999999998E-3</v>
      </c>
    </row>
    <row r="1830" spans="1:14" hidden="1" x14ac:dyDescent="0.35">
      <c r="A1830" t="s">
        <v>737</v>
      </c>
      <c r="B1830" t="s">
        <v>34</v>
      </c>
      <c r="C1830" t="s">
        <v>33</v>
      </c>
      <c r="D1830" t="s">
        <v>33</v>
      </c>
      <c r="E1830" t="s">
        <v>584</v>
      </c>
      <c r="F1830" t="s">
        <v>581</v>
      </c>
      <c r="G1830" t="s">
        <v>25</v>
      </c>
      <c r="H1830">
        <v>0.63023560000000001</v>
      </c>
      <c r="I1830">
        <v>0.46246579999999998</v>
      </c>
      <c r="J1830">
        <v>0.3470531</v>
      </c>
      <c r="K1830">
        <v>0.17938519999999999</v>
      </c>
      <c r="L1830">
        <v>0.15033969999999999</v>
      </c>
      <c r="M1830">
        <v>0.1207891</v>
      </c>
      <c r="N1830">
        <v>0.1037047</v>
      </c>
    </row>
    <row r="1831" spans="1:14" hidden="1" x14ac:dyDescent="0.35">
      <c r="A1831" t="s">
        <v>737</v>
      </c>
      <c r="B1831" t="s">
        <v>34</v>
      </c>
      <c r="C1831" t="s">
        <v>33</v>
      </c>
      <c r="D1831" t="s">
        <v>33</v>
      </c>
      <c r="E1831" t="s">
        <v>584</v>
      </c>
      <c r="F1831" t="s">
        <v>26</v>
      </c>
      <c r="G1831" t="s">
        <v>26</v>
      </c>
      <c r="H1831">
        <v>5.142836</v>
      </c>
      <c r="I1831">
        <v>3.6055839999999999</v>
      </c>
      <c r="J1831">
        <v>2.565623</v>
      </c>
      <c r="K1831">
        <v>1.717867</v>
      </c>
      <c r="L1831">
        <v>1.290141</v>
      </c>
      <c r="M1831">
        <v>0.77958570000000005</v>
      </c>
      <c r="N1831">
        <v>0.55991999999999997</v>
      </c>
    </row>
    <row r="1832" spans="1:14" hidden="1" x14ac:dyDescent="0.35">
      <c r="A1832" t="s">
        <v>737</v>
      </c>
      <c r="B1832" t="s">
        <v>34</v>
      </c>
      <c r="C1832" t="s">
        <v>33</v>
      </c>
      <c r="D1832" t="s">
        <v>33</v>
      </c>
      <c r="E1832" t="s">
        <v>699</v>
      </c>
      <c r="F1832" t="s">
        <v>581</v>
      </c>
      <c r="G1832" t="s">
        <v>396</v>
      </c>
      <c r="H1832">
        <v>12.816660000000001</v>
      </c>
      <c r="I1832">
        <v>9.5663619999999998</v>
      </c>
      <c r="J1832">
        <v>9.163475</v>
      </c>
      <c r="K1832">
        <v>7.4902420000000003</v>
      </c>
      <c r="L1832">
        <v>6.2399820000000004</v>
      </c>
      <c r="M1832">
        <v>5.2363429999999997</v>
      </c>
      <c r="N1832">
        <v>4.4929959999999998</v>
      </c>
    </row>
    <row r="1833" spans="1:14" hidden="1" x14ac:dyDescent="0.35">
      <c r="A1833" t="s">
        <v>737</v>
      </c>
      <c r="B1833" t="s">
        <v>34</v>
      </c>
      <c r="C1833" t="s">
        <v>33</v>
      </c>
      <c r="D1833" t="s">
        <v>33</v>
      </c>
      <c r="E1833" t="s">
        <v>699</v>
      </c>
      <c r="F1833" t="s">
        <v>581</v>
      </c>
      <c r="G1833" t="s">
        <v>25</v>
      </c>
      <c r="H1833">
        <v>7.4824660000000001E-2</v>
      </c>
      <c r="I1833">
        <v>0.52093809999999996</v>
      </c>
      <c r="J1833">
        <v>0.48996329999999999</v>
      </c>
      <c r="K1833">
        <v>0.40058470000000002</v>
      </c>
      <c r="L1833">
        <v>0.33372170000000001</v>
      </c>
      <c r="M1833">
        <v>0.28002139999999998</v>
      </c>
      <c r="N1833">
        <v>0.2402482</v>
      </c>
    </row>
    <row r="1834" spans="1:14" hidden="1" x14ac:dyDescent="0.35">
      <c r="A1834" t="s">
        <v>737</v>
      </c>
      <c r="B1834" t="s">
        <v>34</v>
      </c>
      <c r="C1834" t="s">
        <v>33</v>
      </c>
      <c r="D1834" t="s">
        <v>33</v>
      </c>
      <c r="E1834" t="s">
        <v>699</v>
      </c>
      <c r="F1834" t="s">
        <v>26</v>
      </c>
      <c r="G1834" t="s">
        <v>26</v>
      </c>
      <c r="H1834">
        <v>0.86893149999999997</v>
      </c>
      <c r="I1834">
        <v>0.83350959999999996</v>
      </c>
      <c r="J1834">
        <v>0.78392329999999999</v>
      </c>
      <c r="K1834">
        <v>0.6409338</v>
      </c>
      <c r="L1834">
        <v>0.53397479999999997</v>
      </c>
      <c r="M1834">
        <v>0.44803890000000002</v>
      </c>
      <c r="N1834">
        <v>0.38441540000000002</v>
      </c>
    </row>
    <row r="1835" spans="1:14" hidden="1" x14ac:dyDescent="0.35">
      <c r="A1835" t="s">
        <v>737</v>
      </c>
      <c r="B1835" t="s">
        <v>34</v>
      </c>
      <c r="C1835" t="s">
        <v>33</v>
      </c>
      <c r="D1835" t="s">
        <v>33</v>
      </c>
      <c r="E1835" t="s">
        <v>702</v>
      </c>
      <c r="F1835" t="s">
        <v>581</v>
      </c>
      <c r="G1835" t="s">
        <v>396</v>
      </c>
      <c r="H1835">
        <v>0.86753979999999997</v>
      </c>
      <c r="I1835">
        <v>0.84662139999999997</v>
      </c>
      <c r="J1835">
        <v>0.86863729999999995</v>
      </c>
      <c r="K1835">
        <v>0.65745480000000001</v>
      </c>
      <c r="L1835">
        <v>0.55540060000000002</v>
      </c>
      <c r="M1835">
        <v>0.43077199999999999</v>
      </c>
      <c r="N1835">
        <v>0.35242079999999998</v>
      </c>
    </row>
    <row r="1836" spans="1:14" hidden="1" x14ac:dyDescent="0.35">
      <c r="A1836" t="s">
        <v>737</v>
      </c>
      <c r="B1836" t="s">
        <v>34</v>
      </c>
      <c r="C1836" t="s">
        <v>33</v>
      </c>
      <c r="D1836" t="s">
        <v>33</v>
      </c>
      <c r="E1836" t="s">
        <v>702</v>
      </c>
      <c r="F1836" t="s">
        <v>581</v>
      </c>
      <c r="G1836" t="s">
        <v>25</v>
      </c>
      <c r="H1836">
        <v>0.4592466</v>
      </c>
      <c r="I1836">
        <v>0.28220659999999997</v>
      </c>
      <c r="J1836">
        <v>0.28954849999999999</v>
      </c>
      <c r="K1836">
        <v>0.2191545</v>
      </c>
      <c r="L1836">
        <v>0.18513370000000001</v>
      </c>
      <c r="M1836">
        <v>0.1435901</v>
      </c>
      <c r="N1836">
        <v>0.11747779999999999</v>
      </c>
    </row>
    <row r="1837" spans="1:14" hidden="1" x14ac:dyDescent="0.35">
      <c r="A1837" t="s">
        <v>737</v>
      </c>
      <c r="B1837" t="s">
        <v>34</v>
      </c>
      <c r="C1837" t="s">
        <v>33</v>
      </c>
      <c r="D1837" t="s">
        <v>33</v>
      </c>
      <c r="E1837" t="s">
        <v>702</v>
      </c>
      <c r="F1837" t="s">
        <v>26</v>
      </c>
      <c r="G1837" t="s">
        <v>26</v>
      </c>
      <c r="H1837">
        <v>0.25392880000000001</v>
      </c>
      <c r="I1837">
        <v>0.2161545</v>
      </c>
      <c r="J1837">
        <v>0.22177530000000001</v>
      </c>
      <c r="K1837">
        <v>0.16785700000000001</v>
      </c>
      <c r="L1837">
        <v>0.1418027</v>
      </c>
      <c r="M1837">
        <v>0.10998189999999999</v>
      </c>
      <c r="N1837">
        <v>8.9979190000000001E-2</v>
      </c>
    </row>
    <row r="1838" spans="1:14" hidden="1" x14ac:dyDescent="0.35">
      <c r="A1838" t="s">
        <v>737</v>
      </c>
      <c r="B1838" t="s">
        <v>34</v>
      </c>
      <c r="C1838" t="s">
        <v>33</v>
      </c>
      <c r="D1838" t="s">
        <v>33</v>
      </c>
      <c r="E1838" t="s">
        <v>738</v>
      </c>
      <c r="F1838" t="s">
        <v>581</v>
      </c>
      <c r="G1838" t="s">
        <v>396</v>
      </c>
      <c r="H1838">
        <v>0.78904110000000005</v>
      </c>
      <c r="I1838">
        <v>0.5340395</v>
      </c>
      <c r="J1838">
        <v>0.44232060000000001</v>
      </c>
      <c r="K1838">
        <v>0.34984929999999997</v>
      </c>
      <c r="L1838">
        <v>0.28176879999999999</v>
      </c>
      <c r="M1838">
        <v>0.2380756</v>
      </c>
      <c r="N1838">
        <v>0.2066345</v>
      </c>
    </row>
    <row r="1839" spans="1:14" hidden="1" x14ac:dyDescent="0.35">
      <c r="A1839" t="s">
        <v>737</v>
      </c>
      <c r="B1839" t="s">
        <v>34</v>
      </c>
      <c r="C1839" t="s">
        <v>33</v>
      </c>
      <c r="D1839" t="s">
        <v>33</v>
      </c>
      <c r="E1839" t="s">
        <v>738</v>
      </c>
      <c r="F1839" t="s">
        <v>581</v>
      </c>
      <c r="G1839" t="s">
        <v>25</v>
      </c>
      <c r="H1839">
        <v>1.4430139999999999E-2</v>
      </c>
      <c r="I1839">
        <v>8.6590139999999996E-2</v>
      </c>
      <c r="J1839">
        <v>7.1718900000000002E-2</v>
      </c>
      <c r="K1839">
        <v>5.6726029999999997E-2</v>
      </c>
      <c r="L1839">
        <v>4.5686030000000002E-2</v>
      </c>
      <c r="M1839">
        <v>3.8601099999999999E-2</v>
      </c>
      <c r="N1839">
        <v>3.3502459999999998E-2</v>
      </c>
    </row>
    <row r="1840" spans="1:14" hidden="1" x14ac:dyDescent="0.35">
      <c r="A1840" t="s">
        <v>737</v>
      </c>
      <c r="B1840" t="s">
        <v>34</v>
      </c>
      <c r="C1840" t="s">
        <v>33</v>
      </c>
      <c r="D1840" t="s">
        <v>33</v>
      </c>
      <c r="E1840" t="s">
        <v>738</v>
      </c>
      <c r="F1840" t="s">
        <v>26</v>
      </c>
      <c r="G1840" t="s">
        <v>26</v>
      </c>
      <c r="H1840">
        <v>0.45704109999999998</v>
      </c>
      <c r="I1840">
        <v>0.37883230000000001</v>
      </c>
      <c r="J1840">
        <v>0.3137704</v>
      </c>
      <c r="K1840">
        <v>0.24817429999999999</v>
      </c>
      <c r="L1840">
        <v>0.19987940000000001</v>
      </c>
      <c r="M1840">
        <v>0.16888549999999999</v>
      </c>
      <c r="N1840">
        <v>0.1465814</v>
      </c>
    </row>
    <row r="1841" spans="1:14" hidden="1" x14ac:dyDescent="0.35">
      <c r="A1841" t="s">
        <v>737</v>
      </c>
      <c r="B1841" t="s">
        <v>34</v>
      </c>
      <c r="C1841" t="s">
        <v>33</v>
      </c>
      <c r="D1841" t="s">
        <v>33</v>
      </c>
      <c r="E1841" t="s">
        <v>714</v>
      </c>
      <c r="F1841" t="s">
        <v>581</v>
      </c>
      <c r="G1841" t="s">
        <v>396</v>
      </c>
      <c r="H1841">
        <v>5.2372599999999998E-2</v>
      </c>
      <c r="I1841">
        <v>8.2647109999999996E-2</v>
      </c>
      <c r="J1841">
        <v>8.2199449999999993E-2</v>
      </c>
      <c r="K1841">
        <v>8.3809869999999995E-2</v>
      </c>
      <c r="L1841">
        <v>8.1225199999999997E-2</v>
      </c>
      <c r="M1841">
        <v>8.0492060000000004E-2</v>
      </c>
      <c r="N1841">
        <v>6.5220269999999997E-2</v>
      </c>
    </row>
    <row r="1842" spans="1:14" hidden="1" x14ac:dyDescent="0.35">
      <c r="A1842" t="s">
        <v>737</v>
      </c>
      <c r="B1842" t="s">
        <v>34</v>
      </c>
      <c r="C1842" t="s">
        <v>33</v>
      </c>
      <c r="D1842" t="s">
        <v>33</v>
      </c>
      <c r="E1842" t="s">
        <v>714</v>
      </c>
      <c r="F1842" t="s">
        <v>581</v>
      </c>
      <c r="G1842" t="s">
        <v>25</v>
      </c>
      <c r="H1842">
        <v>2.183562E-2</v>
      </c>
      <c r="I1842">
        <v>1.952164E-2</v>
      </c>
      <c r="J1842">
        <v>1.9410960000000001E-2</v>
      </c>
      <c r="K1842">
        <v>1.9793430000000001E-2</v>
      </c>
      <c r="L1842">
        <v>1.9184659999999999E-2</v>
      </c>
      <c r="M1842">
        <v>1.9013149999999999E-2</v>
      </c>
      <c r="N1842">
        <v>1.5401639999999999E-2</v>
      </c>
    </row>
    <row r="1843" spans="1:14" hidden="1" x14ac:dyDescent="0.35">
      <c r="A1843" t="s">
        <v>737</v>
      </c>
      <c r="B1843" t="s">
        <v>34</v>
      </c>
      <c r="C1843" t="s">
        <v>33</v>
      </c>
      <c r="D1843" t="s">
        <v>33</v>
      </c>
      <c r="E1843" t="s">
        <v>714</v>
      </c>
      <c r="F1843" t="s">
        <v>26</v>
      </c>
      <c r="G1843" t="s">
        <v>26</v>
      </c>
      <c r="H1843">
        <v>4.1175339999999998E-2</v>
      </c>
      <c r="I1843">
        <v>3.489863E-2</v>
      </c>
      <c r="J1843">
        <v>3.4711230000000003E-2</v>
      </c>
      <c r="K1843">
        <v>3.5391230000000003E-2</v>
      </c>
      <c r="L1843">
        <v>3.4298629999999997E-2</v>
      </c>
      <c r="M1843">
        <v>3.3986849999999999E-2</v>
      </c>
      <c r="N1843">
        <v>2.7537539999999999E-2</v>
      </c>
    </row>
    <row r="1844" spans="1:14" hidden="1" x14ac:dyDescent="0.35">
      <c r="A1844" t="s">
        <v>737</v>
      </c>
      <c r="B1844" t="s">
        <v>34</v>
      </c>
      <c r="C1844" t="s">
        <v>33</v>
      </c>
      <c r="D1844" t="s">
        <v>33</v>
      </c>
      <c r="E1844" t="s">
        <v>739</v>
      </c>
      <c r="F1844" t="s">
        <v>581</v>
      </c>
      <c r="G1844" t="s">
        <v>396</v>
      </c>
      <c r="H1844">
        <v>1.9950679999999998E-2</v>
      </c>
      <c r="I1844">
        <v>3.2403830000000002E-2</v>
      </c>
      <c r="J1844">
        <v>3.3041090000000002E-2</v>
      </c>
      <c r="K1844">
        <v>3.3993969999999998E-2</v>
      </c>
      <c r="L1844">
        <v>3.159178E-2</v>
      </c>
      <c r="M1844">
        <v>2.8711779999999999E-2</v>
      </c>
      <c r="N1844">
        <v>2.4442189999999999E-2</v>
      </c>
    </row>
    <row r="1845" spans="1:14" hidden="1" x14ac:dyDescent="0.35">
      <c r="A1845" t="s">
        <v>737</v>
      </c>
      <c r="B1845" t="s">
        <v>34</v>
      </c>
      <c r="C1845" t="s">
        <v>33</v>
      </c>
      <c r="D1845" t="s">
        <v>33</v>
      </c>
      <c r="E1845" t="s">
        <v>739</v>
      </c>
      <c r="F1845" t="s">
        <v>581</v>
      </c>
      <c r="G1845" t="s">
        <v>25</v>
      </c>
      <c r="H1845">
        <v>4.8520550000000001E-3</v>
      </c>
      <c r="I1845">
        <v>4.373699E-3</v>
      </c>
      <c r="J1845">
        <v>4.4619179999999996E-3</v>
      </c>
      <c r="K1845">
        <v>4.5906849999999997E-3</v>
      </c>
      <c r="L1845">
        <v>4.260822E-3</v>
      </c>
      <c r="M1845">
        <v>3.8745210000000001E-3</v>
      </c>
      <c r="N1845">
        <v>3.297534E-3</v>
      </c>
    </row>
    <row r="1846" spans="1:14" hidden="1" x14ac:dyDescent="0.35">
      <c r="A1846" t="s">
        <v>737</v>
      </c>
      <c r="B1846" t="s">
        <v>34</v>
      </c>
      <c r="C1846" t="s">
        <v>33</v>
      </c>
      <c r="D1846" t="s">
        <v>33</v>
      </c>
      <c r="E1846" t="s">
        <v>739</v>
      </c>
      <c r="F1846" t="s">
        <v>26</v>
      </c>
      <c r="G1846" t="s">
        <v>26</v>
      </c>
      <c r="H1846">
        <v>1.0293149999999999E-2</v>
      </c>
      <c r="I1846">
        <v>9.3830130000000008E-3</v>
      </c>
      <c r="J1846">
        <v>9.5649319999999999E-3</v>
      </c>
      <c r="K1846">
        <v>9.8427400000000009E-3</v>
      </c>
      <c r="L1846">
        <v>9.1468509999999992E-3</v>
      </c>
      <c r="M1846">
        <v>8.3139730000000005E-3</v>
      </c>
      <c r="N1846">
        <v>7.0772600000000001E-3</v>
      </c>
    </row>
    <row r="1847" spans="1:14" hidden="1" x14ac:dyDescent="0.35">
      <c r="A1847" t="s">
        <v>737</v>
      </c>
      <c r="B1847" t="s">
        <v>34</v>
      </c>
      <c r="C1847" t="s">
        <v>230</v>
      </c>
      <c r="D1847" t="s">
        <v>230</v>
      </c>
      <c r="E1847" t="s">
        <v>699</v>
      </c>
      <c r="F1847" t="s">
        <v>581</v>
      </c>
      <c r="G1847" t="s">
        <v>396</v>
      </c>
      <c r="H1847">
        <v>4.4178629999999997</v>
      </c>
      <c r="I1847">
        <v>3.9291700000000001</v>
      </c>
      <c r="J1847">
        <v>3.8315839999999999</v>
      </c>
      <c r="K1847">
        <v>3.1325029999999998</v>
      </c>
      <c r="L1847">
        <v>2.7032799999999999</v>
      </c>
      <c r="M1847">
        <v>2.3786139999999998</v>
      </c>
      <c r="N1847">
        <v>2.0032399999999999</v>
      </c>
    </row>
    <row r="1848" spans="1:14" hidden="1" x14ac:dyDescent="0.35">
      <c r="A1848" t="s">
        <v>737</v>
      </c>
      <c r="B1848" t="s">
        <v>34</v>
      </c>
      <c r="C1848" t="s">
        <v>230</v>
      </c>
      <c r="D1848" t="s">
        <v>230</v>
      </c>
      <c r="E1848" t="s">
        <v>699</v>
      </c>
      <c r="F1848" t="s">
        <v>581</v>
      </c>
      <c r="G1848" t="s">
        <v>25</v>
      </c>
      <c r="H1848">
        <v>2.4136979999999999E-2</v>
      </c>
      <c r="I1848">
        <v>0.21396599999999999</v>
      </c>
      <c r="J1848">
        <v>0.20484440000000001</v>
      </c>
      <c r="K1848">
        <v>0.16750789999999999</v>
      </c>
      <c r="L1848">
        <v>0.14458579999999999</v>
      </c>
      <c r="M1848">
        <v>0.1272016</v>
      </c>
      <c r="N1848">
        <v>0.1071255</v>
      </c>
    </row>
    <row r="1849" spans="1:14" hidden="1" x14ac:dyDescent="0.35">
      <c r="A1849" t="s">
        <v>737</v>
      </c>
      <c r="B1849" t="s">
        <v>34</v>
      </c>
      <c r="C1849" t="s">
        <v>230</v>
      </c>
      <c r="D1849" t="s">
        <v>230</v>
      </c>
      <c r="E1849" t="s">
        <v>699</v>
      </c>
      <c r="F1849" t="s">
        <v>26</v>
      </c>
      <c r="G1849" t="s">
        <v>26</v>
      </c>
      <c r="H1849">
        <v>0.31378080000000003</v>
      </c>
      <c r="I1849">
        <v>0.34235070000000001</v>
      </c>
      <c r="J1849">
        <v>0.3277485</v>
      </c>
      <c r="K1849">
        <v>0.2680148</v>
      </c>
      <c r="L1849">
        <v>0.2313375</v>
      </c>
      <c r="M1849">
        <v>0.2035255</v>
      </c>
      <c r="N1849">
        <v>0.17139509999999999</v>
      </c>
    </row>
    <row r="1850" spans="1:14" hidden="1" x14ac:dyDescent="0.35">
      <c r="A1850" t="s">
        <v>737</v>
      </c>
      <c r="B1850" t="s">
        <v>37</v>
      </c>
      <c r="C1850" t="s">
        <v>79</v>
      </c>
      <c r="D1850" t="s">
        <v>79</v>
      </c>
      <c r="E1850" t="s">
        <v>600</v>
      </c>
      <c r="F1850" t="s">
        <v>581</v>
      </c>
      <c r="G1850" t="s">
        <v>396</v>
      </c>
      <c r="H1850">
        <v>9.1232869999999995</v>
      </c>
      <c r="I1850">
        <v>9.1690380000000005</v>
      </c>
      <c r="J1850">
        <v>8.142315</v>
      </c>
      <c r="K1850">
        <v>6.4397650000000004</v>
      </c>
      <c r="L1850">
        <v>5.3280620000000001</v>
      </c>
      <c r="M1850">
        <v>4.5727229999999999</v>
      </c>
      <c r="N1850">
        <v>3.9814959999999999</v>
      </c>
    </row>
    <row r="1851" spans="1:14" hidden="1" x14ac:dyDescent="0.35">
      <c r="A1851" t="s">
        <v>737</v>
      </c>
      <c r="B1851" t="s">
        <v>37</v>
      </c>
      <c r="C1851" t="s">
        <v>79</v>
      </c>
      <c r="D1851" t="s">
        <v>79</v>
      </c>
      <c r="E1851" t="s">
        <v>600</v>
      </c>
      <c r="F1851" t="s">
        <v>581</v>
      </c>
      <c r="G1851" t="s">
        <v>24</v>
      </c>
      <c r="H1851">
        <v>6.9253119999999999</v>
      </c>
      <c r="I1851">
        <v>5.9692749999999997</v>
      </c>
      <c r="J1851">
        <v>5.2685560000000002</v>
      </c>
      <c r="K1851">
        <v>4.1669070000000001</v>
      </c>
      <c r="L1851">
        <v>3.4475690000000001</v>
      </c>
      <c r="M1851">
        <v>2.9588230000000002</v>
      </c>
      <c r="N1851">
        <v>2.5762610000000001</v>
      </c>
    </row>
    <row r="1852" spans="1:14" hidden="1" x14ac:dyDescent="0.35">
      <c r="A1852" t="s">
        <v>737</v>
      </c>
      <c r="B1852" t="s">
        <v>37</v>
      </c>
      <c r="C1852" t="s">
        <v>79</v>
      </c>
      <c r="D1852" t="s">
        <v>79</v>
      </c>
      <c r="E1852" t="s">
        <v>600</v>
      </c>
      <c r="F1852" t="s">
        <v>581</v>
      </c>
      <c r="G1852" t="s">
        <v>25</v>
      </c>
      <c r="H1852">
        <v>6.5753430000000002</v>
      </c>
      <c r="I1852">
        <v>6.201206</v>
      </c>
      <c r="J1852">
        <v>5.5080410000000004</v>
      </c>
      <c r="K1852">
        <v>4.3563109999999998</v>
      </c>
      <c r="L1852">
        <v>3.6042770000000002</v>
      </c>
      <c r="M1852">
        <v>3.0933130000000002</v>
      </c>
      <c r="N1852">
        <v>2.6933609999999999</v>
      </c>
    </row>
    <row r="1853" spans="1:14" hidden="1" x14ac:dyDescent="0.35">
      <c r="A1853" t="s">
        <v>737</v>
      </c>
      <c r="B1853" t="s">
        <v>37</v>
      </c>
      <c r="C1853" t="s">
        <v>79</v>
      </c>
      <c r="D1853" t="s">
        <v>79</v>
      </c>
      <c r="E1853" t="s">
        <v>600</v>
      </c>
      <c r="F1853" t="s">
        <v>26</v>
      </c>
      <c r="G1853" t="s">
        <v>26</v>
      </c>
      <c r="H1853">
        <v>6.1438360000000003</v>
      </c>
      <c r="I1853">
        <v>5.6619710000000003</v>
      </c>
      <c r="J1853">
        <v>5.029077</v>
      </c>
      <c r="K1853">
        <v>3.9775019999999999</v>
      </c>
      <c r="L1853">
        <v>3.290864</v>
      </c>
      <c r="M1853">
        <v>2.8243290000000001</v>
      </c>
      <c r="N1853">
        <v>2.4591590000000001</v>
      </c>
    </row>
    <row r="1854" spans="1:14" hidden="1" x14ac:dyDescent="0.35">
      <c r="A1854" t="s">
        <v>737</v>
      </c>
      <c r="B1854" t="s">
        <v>37</v>
      </c>
      <c r="C1854" t="s">
        <v>79</v>
      </c>
      <c r="D1854" t="s">
        <v>79</v>
      </c>
      <c r="E1854" t="s">
        <v>584</v>
      </c>
      <c r="F1854" t="s">
        <v>581</v>
      </c>
      <c r="G1854" t="s">
        <v>396</v>
      </c>
      <c r="H1854">
        <v>6.575343E-3</v>
      </c>
      <c r="I1854">
        <v>5.49863E-3</v>
      </c>
      <c r="J1854">
        <v>4.5791779999999997E-3</v>
      </c>
      <c r="K1854">
        <v>3.7693150000000001E-3</v>
      </c>
      <c r="L1854">
        <v>3.0449320000000002E-3</v>
      </c>
      <c r="M1854">
        <v>2.3917809999999999E-3</v>
      </c>
      <c r="N1854">
        <v>1.8739729999999999E-3</v>
      </c>
    </row>
    <row r="1855" spans="1:14" hidden="1" x14ac:dyDescent="0.35">
      <c r="A1855" t="s">
        <v>737</v>
      </c>
      <c r="B1855" t="s">
        <v>37</v>
      </c>
      <c r="C1855" t="s">
        <v>79</v>
      </c>
      <c r="D1855" t="s">
        <v>79</v>
      </c>
      <c r="E1855" t="s">
        <v>584</v>
      </c>
      <c r="F1855" t="s">
        <v>581</v>
      </c>
      <c r="G1855" t="s">
        <v>24</v>
      </c>
      <c r="H1855">
        <v>2.1972599999999999E-3</v>
      </c>
      <c r="I1855">
        <v>1.9726029999999999E-3</v>
      </c>
      <c r="J1855">
        <v>1.7616439999999999E-3</v>
      </c>
      <c r="K1855">
        <v>1.5589040000000001E-3</v>
      </c>
      <c r="L1855">
        <v>1.3567119999999999E-3</v>
      </c>
      <c r="M1855">
        <v>1.150685E-3</v>
      </c>
      <c r="N1855">
        <v>9.7698639999999992E-4</v>
      </c>
    </row>
    <row r="1856" spans="1:14" hidden="1" x14ac:dyDescent="0.35">
      <c r="A1856" t="s">
        <v>737</v>
      </c>
      <c r="B1856" t="s">
        <v>37</v>
      </c>
      <c r="C1856" t="s">
        <v>79</v>
      </c>
      <c r="D1856" t="s">
        <v>79</v>
      </c>
      <c r="E1856" t="s">
        <v>584</v>
      </c>
      <c r="F1856" t="s">
        <v>581</v>
      </c>
      <c r="G1856" t="s">
        <v>25</v>
      </c>
      <c r="H1856">
        <v>7.0134249999999995E-2</v>
      </c>
      <c r="I1856">
        <v>6.796439E-2</v>
      </c>
      <c r="J1856">
        <v>6.5838359999999999E-2</v>
      </c>
      <c r="K1856">
        <v>6.3256439999999997E-2</v>
      </c>
      <c r="L1856">
        <v>6.0013700000000003E-2</v>
      </c>
      <c r="M1856">
        <v>5.5633429999999998E-2</v>
      </c>
      <c r="N1856">
        <v>5.1772609999999997E-2</v>
      </c>
    </row>
    <row r="1857" spans="1:14" hidden="1" x14ac:dyDescent="0.35">
      <c r="A1857" t="s">
        <v>737</v>
      </c>
      <c r="B1857" t="s">
        <v>37</v>
      </c>
      <c r="C1857" t="s">
        <v>79</v>
      </c>
      <c r="D1857" t="s">
        <v>79</v>
      </c>
      <c r="E1857" t="s">
        <v>584</v>
      </c>
      <c r="F1857" t="s">
        <v>26</v>
      </c>
      <c r="G1857" t="s">
        <v>26</v>
      </c>
      <c r="H1857">
        <v>0.61808220000000003</v>
      </c>
      <c r="I1857">
        <v>0.60804930000000001</v>
      </c>
      <c r="J1857">
        <v>0.59839500000000001</v>
      </c>
      <c r="K1857">
        <v>0.58752660000000001</v>
      </c>
      <c r="L1857">
        <v>0.57483340000000005</v>
      </c>
      <c r="M1857">
        <v>0.55902850000000004</v>
      </c>
      <c r="N1857">
        <v>0.54510519999999996</v>
      </c>
    </row>
    <row r="1858" spans="1:14" hidden="1" x14ac:dyDescent="0.35">
      <c r="A1858" t="s">
        <v>740</v>
      </c>
      <c r="B1858" t="s">
        <v>37</v>
      </c>
      <c r="C1858" t="s">
        <v>79</v>
      </c>
      <c r="D1858" t="s">
        <v>79</v>
      </c>
      <c r="E1858" t="s">
        <v>600</v>
      </c>
      <c r="F1858" t="s">
        <v>581</v>
      </c>
      <c r="G1858" t="s">
        <v>396</v>
      </c>
      <c r="H1858">
        <v>18.191099999999999</v>
      </c>
      <c r="I1858">
        <v>13.30875</v>
      </c>
      <c r="J1858">
        <v>11.49296</v>
      </c>
      <c r="K1858">
        <v>9.0909110000000002</v>
      </c>
      <c r="L1858">
        <v>7.0204380000000004</v>
      </c>
      <c r="M1858">
        <v>5.7600600000000002</v>
      </c>
      <c r="N1858">
        <v>4.8662400000000003</v>
      </c>
    </row>
    <row r="1859" spans="1:14" hidden="1" x14ac:dyDescent="0.35">
      <c r="A1859" t="s">
        <v>740</v>
      </c>
      <c r="B1859" t="s">
        <v>37</v>
      </c>
      <c r="C1859" t="s">
        <v>79</v>
      </c>
      <c r="D1859" t="s">
        <v>79</v>
      </c>
      <c r="E1859" t="s">
        <v>600</v>
      </c>
      <c r="F1859" t="s">
        <v>581</v>
      </c>
      <c r="G1859" t="s">
        <v>24</v>
      </c>
      <c r="H1859">
        <v>3.4461119999999998</v>
      </c>
      <c r="I1859">
        <v>2.4814020000000001</v>
      </c>
      <c r="J1859">
        <v>2.1283259999999999</v>
      </c>
      <c r="K1859">
        <v>1.6835020000000001</v>
      </c>
      <c r="L1859">
        <v>1.300081</v>
      </c>
      <c r="M1859">
        <v>1.0666789999999999</v>
      </c>
      <c r="N1859">
        <v>0.90115610000000002</v>
      </c>
    </row>
    <row r="1860" spans="1:14" hidden="1" x14ac:dyDescent="0.35">
      <c r="A1860" t="s">
        <v>740</v>
      </c>
      <c r="B1860" t="s">
        <v>37</v>
      </c>
      <c r="C1860" t="s">
        <v>79</v>
      </c>
      <c r="D1860" t="s">
        <v>79</v>
      </c>
      <c r="E1860" t="s">
        <v>600</v>
      </c>
      <c r="F1860" t="s">
        <v>581</v>
      </c>
      <c r="G1860" t="s">
        <v>25</v>
      </c>
      <c r="H1860">
        <v>5.8068470000000003</v>
      </c>
      <c r="I1860">
        <v>4.6864340000000002</v>
      </c>
      <c r="J1860">
        <v>4.0438169999999998</v>
      </c>
      <c r="K1860">
        <v>3.1986539999999999</v>
      </c>
      <c r="L1860">
        <v>2.4701569999999999</v>
      </c>
      <c r="M1860">
        <v>2.0266850000000001</v>
      </c>
      <c r="N1860">
        <v>1.7121949999999999</v>
      </c>
    </row>
    <row r="1861" spans="1:14" hidden="1" x14ac:dyDescent="0.35">
      <c r="A1861" t="s">
        <v>740</v>
      </c>
      <c r="B1861" t="s">
        <v>37</v>
      </c>
      <c r="C1861" t="s">
        <v>79</v>
      </c>
      <c r="D1861" t="s">
        <v>79</v>
      </c>
      <c r="E1861" t="s">
        <v>600</v>
      </c>
      <c r="F1861" t="s">
        <v>26</v>
      </c>
      <c r="G1861" t="s">
        <v>26</v>
      </c>
      <c r="H1861">
        <v>5.4698630000000001</v>
      </c>
      <c r="I1861">
        <v>4.1931229999999999</v>
      </c>
      <c r="J1861">
        <v>3.6181540000000001</v>
      </c>
      <c r="K1861">
        <v>2.8619530000000002</v>
      </c>
      <c r="L1861">
        <v>2.2101380000000002</v>
      </c>
      <c r="M1861">
        <v>1.81335</v>
      </c>
      <c r="N1861">
        <v>1.531962</v>
      </c>
    </row>
    <row r="1862" spans="1:14" hidden="1" x14ac:dyDescent="0.35">
      <c r="A1862" t="s">
        <v>740</v>
      </c>
      <c r="B1862" t="s">
        <v>37</v>
      </c>
      <c r="C1862" t="s">
        <v>79</v>
      </c>
      <c r="D1862" t="s">
        <v>79</v>
      </c>
      <c r="E1862" t="s">
        <v>615</v>
      </c>
      <c r="F1862" t="s">
        <v>581</v>
      </c>
      <c r="G1862" t="s">
        <v>396</v>
      </c>
      <c r="H1862">
        <v>0.62260280000000001</v>
      </c>
      <c r="I1862">
        <v>0.55472869999999996</v>
      </c>
      <c r="J1862">
        <v>0.48572320000000002</v>
      </c>
      <c r="K1862">
        <v>0.44498850000000001</v>
      </c>
      <c r="L1862">
        <v>0.45104109999999997</v>
      </c>
      <c r="M1862">
        <v>0.38307289999999999</v>
      </c>
      <c r="N1862">
        <v>0.32630520000000002</v>
      </c>
    </row>
    <row r="1863" spans="1:14" hidden="1" x14ac:dyDescent="0.35">
      <c r="A1863" t="s">
        <v>740</v>
      </c>
      <c r="B1863" t="s">
        <v>37</v>
      </c>
      <c r="C1863" t="s">
        <v>79</v>
      </c>
      <c r="D1863" t="s">
        <v>79</v>
      </c>
      <c r="E1863" t="s">
        <v>615</v>
      </c>
      <c r="F1863" t="s">
        <v>581</v>
      </c>
      <c r="G1863" t="s">
        <v>25</v>
      </c>
      <c r="H1863">
        <v>6.1643839999999998E-2</v>
      </c>
      <c r="I1863">
        <v>6.1638360000000003E-2</v>
      </c>
      <c r="J1863">
        <v>5.3969860000000001E-2</v>
      </c>
      <c r="K1863">
        <v>4.9441100000000002E-2</v>
      </c>
      <c r="L1863">
        <v>5.0110679999999998E-2</v>
      </c>
      <c r="M1863">
        <v>4.2565480000000003E-2</v>
      </c>
      <c r="N1863">
        <v>3.6258079999999998E-2</v>
      </c>
    </row>
    <row r="1864" spans="1:14" hidden="1" x14ac:dyDescent="0.35">
      <c r="A1864" t="s">
        <v>740</v>
      </c>
      <c r="B1864" t="s">
        <v>37</v>
      </c>
      <c r="C1864" t="s">
        <v>79</v>
      </c>
      <c r="D1864" t="s">
        <v>79</v>
      </c>
      <c r="E1864" t="s">
        <v>615</v>
      </c>
      <c r="F1864" t="s">
        <v>26</v>
      </c>
      <c r="G1864" t="s">
        <v>26</v>
      </c>
      <c r="H1864">
        <v>0.16438359999999999</v>
      </c>
      <c r="I1864">
        <v>0.15409039999999999</v>
      </c>
      <c r="J1864">
        <v>0.1349233</v>
      </c>
      <c r="K1864">
        <v>0.1236082</v>
      </c>
      <c r="L1864">
        <v>0.1252904</v>
      </c>
      <c r="M1864">
        <v>0.1064104</v>
      </c>
      <c r="N1864">
        <v>9.0641089999999994E-2</v>
      </c>
    </row>
    <row r="1865" spans="1:14" hidden="1" x14ac:dyDescent="0.35">
      <c r="A1865" t="s">
        <v>740</v>
      </c>
      <c r="B1865" t="s">
        <v>37</v>
      </c>
      <c r="C1865" t="s">
        <v>35</v>
      </c>
      <c r="D1865" t="s">
        <v>189</v>
      </c>
      <c r="E1865" t="s">
        <v>590</v>
      </c>
      <c r="F1865" t="s">
        <v>581</v>
      </c>
      <c r="G1865" t="s">
        <v>396</v>
      </c>
      <c r="H1865">
        <v>6.147945</v>
      </c>
      <c r="I1865">
        <v>7.9998209999999998</v>
      </c>
      <c r="J1865">
        <v>8.2171769999999995</v>
      </c>
      <c r="K1865">
        <v>8.4827379999999994</v>
      </c>
      <c r="L1865">
        <v>7.6700210000000002</v>
      </c>
      <c r="M1865">
        <v>6.3396749999999997</v>
      </c>
      <c r="N1865">
        <v>5.3418089999999996</v>
      </c>
    </row>
    <row r="1866" spans="1:14" hidden="1" x14ac:dyDescent="0.35">
      <c r="A1866" t="s">
        <v>740</v>
      </c>
      <c r="B1866" t="s">
        <v>37</v>
      </c>
      <c r="C1866" t="s">
        <v>35</v>
      </c>
      <c r="D1866" t="s">
        <v>189</v>
      </c>
      <c r="E1866" t="s">
        <v>590</v>
      </c>
      <c r="F1866" t="s">
        <v>581</v>
      </c>
      <c r="G1866" t="s">
        <v>25</v>
      </c>
      <c r="H1866">
        <v>7.2284940000000004</v>
      </c>
      <c r="I1866">
        <v>4.9998870000000002</v>
      </c>
      <c r="J1866">
        <v>5.1357340000000002</v>
      </c>
      <c r="K1866">
        <v>5.3017120000000002</v>
      </c>
      <c r="L1866">
        <v>4.7937620000000001</v>
      </c>
      <c r="M1866">
        <v>3.9622959999999998</v>
      </c>
      <c r="N1866">
        <v>3.3386369999999999</v>
      </c>
    </row>
    <row r="1867" spans="1:14" hidden="1" x14ac:dyDescent="0.35">
      <c r="A1867" t="s">
        <v>740</v>
      </c>
      <c r="B1867" t="s">
        <v>37</v>
      </c>
      <c r="C1867" t="s">
        <v>35</v>
      </c>
      <c r="D1867" t="s">
        <v>189</v>
      </c>
      <c r="E1867" t="s">
        <v>590</v>
      </c>
      <c r="F1867" t="s">
        <v>26</v>
      </c>
      <c r="G1867" t="s">
        <v>26</v>
      </c>
      <c r="H1867">
        <v>8.0613700000000001</v>
      </c>
      <c r="I1867">
        <v>6.9998469999999999</v>
      </c>
      <c r="J1867">
        <v>7.190029</v>
      </c>
      <c r="K1867">
        <v>7.4223970000000001</v>
      </c>
      <c r="L1867">
        <v>6.7112660000000002</v>
      </c>
      <c r="M1867">
        <v>5.5472149999999996</v>
      </c>
      <c r="N1867">
        <v>4.6740820000000003</v>
      </c>
    </row>
    <row r="1868" spans="1:14" hidden="1" x14ac:dyDescent="0.35">
      <c r="A1868" t="s">
        <v>740</v>
      </c>
      <c r="B1868" t="s">
        <v>37</v>
      </c>
      <c r="C1868" t="s">
        <v>35</v>
      </c>
      <c r="D1868" t="s">
        <v>38</v>
      </c>
      <c r="E1868" t="s">
        <v>584</v>
      </c>
      <c r="F1868" t="s">
        <v>581</v>
      </c>
      <c r="G1868" t="s">
        <v>396</v>
      </c>
      <c r="H1868">
        <v>1.534247E-2</v>
      </c>
      <c r="I1868">
        <v>1.5608220000000001E-2</v>
      </c>
      <c r="J1868">
        <v>1.397808E-2</v>
      </c>
      <c r="K1868">
        <v>1.257808E-2</v>
      </c>
      <c r="L1868">
        <v>1.132055E-2</v>
      </c>
      <c r="M1868">
        <v>1.021644E-2</v>
      </c>
      <c r="N1868">
        <v>9.1671240000000005E-3</v>
      </c>
    </row>
    <row r="1869" spans="1:14" hidden="1" x14ac:dyDescent="0.35">
      <c r="A1869" t="s">
        <v>740</v>
      </c>
      <c r="B1869" t="s">
        <v>37</v>
      </c>
      <c r="C1869" t="s">
        <v>35</v>
      </c>
      <c r="D1869" t="s">
        <v>38</v>
      </c>
      <c r="E1869" t="s">
        <v>584</v>
      </c>
      <c r="F1869" t="s">
        <v>581</v>
      </c>
      <c r="G1869" t="s">
        <v>25</v>
      </c>
      <c r="H1869">
        <v>0</v>
      </c>
      <c r="I1869">
        <v>8.9041100000000002E-4</v>
      </c>
      <c r="J1869">
        <v>8.0273970000000004E-4</v>
      </c>
      <c r="K1869">
        <v>7.2054789999999997E-4</v>
      </c>
      <c r="L1869">
        <v>6.4657539999999996E-4</v>
      </c>
      <c r="M1869">
        <v>5.8356170000000004E-4</v>
      </c>
      <c r="N1869">
        <v>5.2328770000000001E-4</v>
      </c>
    </row>
    <row r="1870" spans="1:14" hidden="1" x14ac:dyDescent="0.35">
      <c r="A1870" t="s">
        <v>740</v>
      </c>
      <c r="B1870" t="s">
        <v>37</v>
      </c>
      <c r="C1870" t="s">
        <v>35</v>
      </c>
      <c r="D1870" t="s">
        <v>38</v>
      </c>
      <c r="E1870" t="s">
        <v>584</v>
      </c>
      <c r="F1870" t="s">
        <v>26</v>
      </c>
      <c r="G1870" t="s">
        <v>26</v>
      </c>
      <c r="H1870">
        <v>9.3150690000000005E-3</v>
      </c>
      <c r="I1870">
        <v>8.0356170000000001E-3</v>
      </c>
      <c r="J1870">
        <v>7.1972599999999996E-3</v>
      </c>
      <c r="K1870">
        <v>6.4767119999999999E-3</v>
      </c>
      <c r="L1870">
        <v>5.830137E-3</v>
      </c>
      <c r="M1870">
        <v>5.2602739999999997E-3</v>
      </c>
      <c r="N1870">
        <v>4.7205479999999998E-3</v>
      </c>
    </row>
    <row r="1871" spans="1:14" hidden="1" x14ac:dyDescent="0.35">
      <c r="A1871" t="s">
        <v>740</v>
      </c>
      <c r="B1871" t="s">
        <v>37</v>
      </c>
      <c r="C1871" t="s">
        <v>99</v>
      </c>
      <c r="D1871" t="s">
        <v>101</v>
      </c>
      <c r="E1871" t="s">
        <v>634</v>
      </c>
      <c r="F1871" t="s">
        <v>581</v>
      </c>
      <c r="G1871" t="s">
        <v>396</v>
      </c>
      <c r="H1871">
        <v>8.3791779999999996</v>
      </c>
      <c r="I1871">
        <v>8.077693</v>
      </c>
      <c r="J1871">
        <v>8.1068840000000009</v>
      </c>
      <c r="K1871">
        <v>7.3960299999999997</v>
      </c>
      <c r="L1871">
        <v>6.3618459999999999</v>
      </c>
      <c r="M1871">
        <v>4.9942279999999997</v>
      </c>
      <c r="N1871">
        <v>4.1469750000000003</v>
      </c>
    </row>
    <row r="1872" spans="1:14" hidden="1" x14ac:dyDescent="0.35">
      <c r="A1872" t="s">
        <v>740</v>
      </c>
      <c r="B1872" t="s">
        <v>37</v>
      </c>
      <c r="C1872" t="s">
        <v>99</v>
      </c>
      <c r="D1872" t="s">
        <v>101</v>
      </c>
      <c r="E1872" t="s">
        <v>634</v>
      </c>
      <c r="F1872" t="s">
        <v>26</v>
      </c>
      <c r="G1872" t="s">
        <v>26</v>
      </c>
      <c r="H1872">
        <v>3.6305480000000001</v>
      </c>
      <c r="I1872">
        <v>3.1461950000000001</v>
      </c>
      <c r="J1872">
        <v>3.0193080000000001</v>
      </c>
      <c r="K1872">
        <v>2.7469640000000002</v>
      </c>
      <c r="L1872">
        <v>2.4173490000000002</v>
      </c>
      <c r="M1872">
        <v>1.968766</v>
      </c>
      <c r="N1872">
        <v>1.6661410000000001</v>
      </c>
    </row>
    <row r="1873" spans="1:14" hidden="1" x14ac:dyDescent="0.35">
      <c r="A1873" t="s">
        <v>740</v>
      </c>
      <c r="B1873" t="s">
        <v>37</v>
      </c>
      <c r="C1873" t="s">
        <v>99</v>
      </c>
      <c r="D1873" t="s">
        <v>101</v>
      </c>
      <c r="E1873" t="s">
        <v>584</v>
      </c>
      <c r="F1873" t="s">
        <v>581</v>
      </c>
      <c r="G1873" t="s">
        <v>396</v>
      </c>
      <c r="H1873">
        <v>1.8410960000000001</v>
      </c>
      <c r="I1873">
        <v>1.779833</v>
      </c>
      <c r="J1873">
        <v>1.720162</v>
      </c>
      <c r="K1873">
        <v>1.6487799999999999</v>
      </c>
      <c r="L1873">
        <v>1.560327</v>
      </c>
      <c r="M1873">
        <v>1.4427000000000001</v>
      </c>
      <c r="N1873">
        <v>1.338929</v>
      </c>
    </row>
    <row r="1874" spans="1:14" hidden="1" x14ac:dyDescent="0.35">
      <c r="A1874" t="s">
        <v>740</v>
      </c>
      <c r="B1874" t="s">
        <v>37</v>
      </c>
      <c r="C1874" t="s">
        <v>99</v>
      </c>
      <c r="D1874" t="s">
        <v>101</v>
      </c>
      <c r="E1874" t="s">
        <v>584</v>
      </c>
      <c r="F1874" t="s">
        <v>26</v>
      </c>
      <c r="G1874" t="s">
        <v>26</v>
      </c>
      <c r="H1874">
        <v>1.8350679999999999</v>
      </c>
      <c r="I1874">
        <v>1.7144600000000001</v>
      </c>
      <c r="J1874">
        <v>1.6009519999999999</v>
      </c>
      <c r="K1874">
        <v>1.481662</v>
      </c>
      <c r="L1874">
        <v>1.3519810000000001</v>
      </c>
      <c r="M1874">
        <v>1.2037629999999999</v>
      </c>
      <c r="N1874">
        <v>1.074424</v>
      </c>
    </row>
    <row r="1875" spans="1:14" hidden="1" x14ac:dyDescent="0.35">
      <c r="A1875" t="s">
        <v>741</v>
      </c>
      <c r="B1875" t="s">
        <v>34</v>
      </c>
      <c r="C1875" t="s">
        <v>33</v>
      </c>
      <c r="D1875" t="s">
        <v>33</v>
      </c>
      <c r="E1875" t="s">
        <v>604</v>
      </c>
      <c r="F1875" t="s">
        <v>581</v>
      </c>
      <c r="G1875" t="s">
        <v>396</v>
      </c>
      <c r="H1875">
        <v>5.0732499999999998</v>
      </c>
      <c r="I1875">
        <v>4.6155109999999997</v>
      </c>
      <c r="J1875">
        <v>4.469913</v>
      </c>
      <c r="K1875">
        <v>4.0455819999999996</v>
      </c>
      <c r="L1875">
        <v>3.5075069999999999</v>
      </c>
      <c r="M1875">
        <v>3.0850759999999999</v>
      </c>
      <c r="N1875">
        <v>2.73542</v>
      </c>
    </row>
    <row r="1876" spans="1:14" hidden="1" x14ac:dyDescent="0.35">
      <c r="A1876" t="s">
        <v>741</v>
      </c>
      <c r="B1876" t="s">
        <v>34</v>
      </c>
      <c r="C1876" t="s">
        <v>33</v>
      </c>
      <c r="D1876" t="s">
        <v>33</v>
      </c>
      <c r="E1876" t="s">
        <v>604</v>
      </c>
      <c r="F1876" t="s">
        <v>581</v>
      </c>
      <c r="G1876" t="s">
        <v>24</v>
      </c>
      <c r="H1876">
        <v>0.66345209999999999</v>
      </c>
      <c r="I1876">
        <v>0.56314799999999998</v>
      </c>
      <c r="J1876">
        <v>0.49965749999999998</v>
      </c>
      <c r="K1876">
        <v>0.43027840000000001</v>
      </c>
      <c r="L1876">
        <v>0.36808160000000001</v>
      </c>
      <c r="M1876">
        <v>0.3242274</v>
      </c>
      <c r="N1876">
        <v>0.28747889999999998</v>
      </c>
    </row>
    <row r="1877" spans="1:14" hidden="1" x14ac:dyDescent="0.35">
      <c r="A1877" t="s">
        <v>741</v>
      </c>
      <c r="B1877" t="s">
        <v>34</v>
      </c>
      <c r="C1877" t="s">
        <v>33</v>
      </c>
      <c r="D1877" t="s">
        <v>33</v>
      </c>
      <c r="E1877" t="s">
        <v>604</v>
      </c>
      <c r="F1877" t="s">
        <v>581</v>
      </c>
      <c r="G1877" t="s">
        <v>25</v>
      </c>
      <c r="H1877">
        <v>14.72706</v>
      </c>
      <c r="I1877">
        <v>15.082229999999999</v>
      </c>
      <c r="J1877">
        <v>17.25084</v>
      </c>
      <c r="K1877">
        <v>14.492419999999999</v>
      </c>
      <c r="L1877">
        <v>11.005850000000001</v>
      </c>
      <c r="M1877">
        <v>8.884703</v>
      </c>
      <c r="N1877">
        <v>7.4781430000000002</v>
      </c>
    </row>
    <row r="1878" spans="1:14" hidden="1" x14ac:dyDescent="0.35">
      <c r="A1878" t="s">
        <v>741</v>
      </c>
      <c r="B1878" t="s">
        <v>34</v>
      </c>
      <c r="C1878" t="s">
        <v>33</v>
      </c>
      <c r="D1878" t="s">
        <v>33</v>
      </c>
      <c r="E1878" t="s">
        <v>604</v>
      </c>
      <c r="F1878" t="s">
        <v>26</v>
      </c>
      <c r="G1878" t="s">
        <v>26</v>
      </c>
      <c r="H1878">
        <v>16.081320000000002</v>
      </c>
      <c r="I1878">
        <v>17.66235</v>
      </c>
      <c r="J1878">
        <v>19.626259999999998</v>
      </c>
      <c r="K1878">
        <v>16.671659999999999</v>
      </c>
      <c r="L1878">
        <v>12.954470000000001</v>
      </c>
      <c r="M1878">
        <v>10.6343</v>
      </c>
      <c r="N1878">
        <v>9.0472439999999992</v>
      </c>
    </row>
    <row r="1879" spans="1:14" hidden="1" x14ac:dyDescent="0.35">
      <c r="A1879" t="s">
        <v>741</v>
      </c>
      <c r="B1879" t="s">
        <v>34</v>
      </c>
      <c r="C1879" t="s">
        <v>33</v>
      </c>
      <c r="D1879" t="s">
        <v>33</v>
      </c>
      <c r="E1879" t="s">
        <v>584</v>
      </c>
      <c r="F1879" t="s">
        <v>581</v>
      </c>
      <c r="G1879" t="s">
        <v>396</v>
      </c>
      <c r="H1879">
        <v>1.1245559999999999</v>
      </c>
      <c r="I1879">
        <v>0.97596439999999995</v>
      </c>
      <c r="J1879">
        <v>0.77510409999999996</v>
      </c>
      <c r="K1879">
        <v>0.2275518</v>
      </c>
      <c r="L1879">
        <v>0.1817764</v>
      </c>
      <c r="M1879">
        <v>0.13227120000000001</v>
      </c>
      <c r="N1879">
        <v>9.1478909999999997E-2</v>
      </c>
    </row>
    <row r="1880" spans="1:14" hidden="1" x14ac:dyDescent="0.35">
      <c r="A1880" t="s">
        <v>741</v>
      </c>
      <c r="B1880" t="s">
        <v>34</v>
      </c>
      <c r="C1880" t="s">
        <v>33</v>
      </c>
      <c r="D1880" t="s">
        <v>33</v>
      </c>
      <c r="E1880" t="s">
        <v>584</v>
      </c>
      <c r="F1880" t="s">
        <v>581</v>
      </c>
      <c r="G1880" t="s">
        <v>24</v>
      </c>
      <c r="H1880">
        <v>3.953425E-3</v>
      </c>
      <c r="I1880">
        <v>4.1753420000000003E-3</v>
      </c>
      <c r="J1880">
        <v>4.1753420000000003E-3</v>
      </c>
      <c r="K1880">
        <v>4.1753420000000003E-3</v>
      </c>
      <c r="L1880">
        <v>4.1753420000000003E-3</v>
      </c>
      <c r="M1880">
        <v>4.1753420000000003E-3</v>
      </c>
      <c r="N1880">
        <v>4.1753420000000003E-3</v>
      </c>
    </row>
    <row r="1881" spans="1:14" hidden="1" x14ac:dyDescent="0.35">
      <c r="A1881" t="s">
        <v>741</v>
      </c>
      <c r="B1881" t="s">
        <v>34</v>
      </c>
      <c r="C1881" t="s">
        <v>33</v>
      </c>
      <c r="D1881" t="s">
        <v>33</v>
      </c>
      <c r="E1881" t="s">
        <v>584</v>
      </c>
      <c r="F1881" t="s">
        <v>581</v>
      </c>
      <c r="G1881" t="s">
        <v>25</v>
      </c>
      <c r="H1881">
        <v>0.82767939999999995</v>
      </c>
      <c r="I1881">
        <v>0.77294799999999997</v>
      </c>
      <c r="J1881">
        <v>0.70857579999999998</v>
      </c>
      <c r="K1881">
        <v>0.40718569999999998</v>
      </c>
      <c r="L1881">
        <v>0.38538410000000001</v>
      </c>
      <c r="M1881">
        <v>0.1714849</v>
      </c>
      <c r="N1881">
        <v>5.6425210000000003E-2</v>
      </c>
    </row>
    <row r="1882" spans="1:14" hidden="1" x14ac:dyDescent="0.35">
      <c r="A1882" t="s">
        <v>741</v>
      </c>
      <c r="B1882" t="s">
        <v>34</v>
      </c>
      <c r="C1882" t="s">
        <v>33</v>
      </c>
      <c r="D1882" t="s">
        <v>33</v>
      </c>
      <c r="E1882" t="s">
        <v>584</v>
      </c>
      <c r="F1882" t="s">
        <v>26</v>
      </c>
      <c r="G1882" t="s">
        <v>26</v>
      </c>
      <c r="H1882">
        <v>10.78712</v>
      </c>
      <c r="I1882">
        <v>9.6580600000000008</v>
      </c>
      <c r="J1882">
        <v>8.5658849999999997</v>
      </c>
      <c r="K1882">
        <v>6.0652499999999998</v>
      </c>
      <c r="L1882">
        <v>5.4178850000000001</v>
      </c>
      <c r="M1882">
        <v>2.6451600000000002</v>
      </c>
      <c r="N1882">
        <v>0.85448659999999999</v>
      </c>
    </row>
    <row r="1883" spans="1:14" hidden="1" x14ac:dyDescent="0.35">
      <c r="A1883" t="s">
        <v>741</v>
      </c>
      <c r="B1883" t="s">
        <v>34</v>
      </c>
      <c r="C1883" t="s">
        <v>33</v>
      </c>
      <c r="D1883" t="s">
        <v>33</v>
      </c>
      <c r="E1883" t="s">
        <v>605</v>
      </c>
      <c r="F1883" t="s">
        <v>581</v>
      </c>
      <c r="G1883" t="s">
        <v>396</v>
      </c>
      <c r="H1883">
        <v>0.27935070000000001</v>
      </c>
      <c r="I1883">
        <v>0.2971008</v>
      </c>
      <c r="J1883">
        <v>0.3391863</v>
      </c>
      <c r="K1883">
        <v>0.3100252</v>
      </c>
      <c r="L1883">
        <v>0.27372439999999998</v>
      </c>
      <c r="M1883">
        <v>0.22517419999999999</v>
      </c>
      <c r="N1883">
        <v>0.19521040000000001</v>
      </c>
    </row>
    <row r="1884" spans="1:14" hidden="1" x14ac:dyDescent="0.35">
      <c r="A1884" t="s">
        <v>741</v>
      </c>
      <c r="B1884" t="s">
        <v>34</v>
      </c>
      <c r="C1884" t="s">
        <v>33</v>
      </c>
      <c r="D1884" t="s">
        <v>33</v>
      </c>
      <c r="E1884" t="s">
        <v>605</v>
      </c>
      <c r="F1884" t="s">
        <v>581</v>
      </c>
      <c r="G1884" t="s">
        <v>24</v>
      </c>
      <c r="H1884">
        <v>4.4498629999999997E-2</v>
      </c>
      <c r="I1884">
        <v>3.968986E-2</v>
      </c>
      <c r="J1884">
        <v>3.5172059999999998E-2</v>
      </c>
      <c r="K1884">
        <v>3.1514519999999997E-2</v>
      </c>
      <c r="L1884">
        <v>2.83337E-2</v>
      </c>
      <c r="M1884">
        <v>2.5566579999999998E-2</v>
      </c>
      <c r="N1884">
        <v>2.2941920000000001E-2</v>
      </c>
    </row>
    <row r="1885" spans="1:14" hidden="1" x14ac:dyDescent="0.35">
      <c r="A1885" t="s">
        <v>741</v>
      </c>
      <c r="B1885" t="s">
        <v>34</v>
      </c>
      <c r="C1885" t="s">
        <v>33</v>
      </c>
      <c r="D1885" t="s">
        <v>33</v>
      </c>
      <c r="E1885" t="s">
        <v>605</v>
      </c>
      <c r="F1885" t="s">
        <v>581</v>
      </c>
      <c r="G1885" t="s">
        <v>25</v>
      </c>
      <c r="H1885">
        <v>0.53814249999999997</v>
      </c>
      <c r="I1885">
        <v>0.49197649999999998</v>
      </c>
      <c r="J1885">
        <v>0.46025650000000001</v>
      </c>
      <c r="K1885">
        <v>0.41436109999999998</v>
      </c>
      <c r="L1885">
        <v>0.37093419999999999</v>
      </c>
      <c r="M1885">
        <v>0.32771349999999999</v>
      </c>
      <c r="N1885">
        <v>0.29189480000000001</v>
      </c>
    </row>
    <row r="1886" spans="1:14" hidden="1" x14ac:dyDescent="0.35">
      <c r="A1886" t="s">
        <v>741</v>
      </c>
      <c r="B1886" t="s">
        <v>34</v>
      </c>
      <c r="C1886" t="s">
        <v>33</v>
      </c>
      <c r="D1886" t="s">
        <v>33</v>
      </c>
      <c r="E1886" t="s">
        <v>605</v>
      </c>
      <c r="F1886" t="s">
        <v>26</v>
      </c>
      <c r="G1886" t="s">
        <v>26</v>
      </c>
      <c r="H1886">
        <v>4.8374030000000001</v>
      </c>
      <c r="I1886">
        <v>4.3984509999999997</v>
      </c>
      <c r="J1886">
        <v>4.104355</v>
      </c>
      <c r="K1886">
        <v>3.6943100000000002</v>
      </c>
      <c r="L1886">
        <v>3.3078439999999998</v>
      </c>
      <c r="M1886">
        <v>2.9252250000000002</v>
      </c>
      <c r="N1886">
        <v>2.6063969999999999</v>
      </c>
    </row>
    <row r="1887" spans="1:14" hidden="1" x14ac:dyDescent="0.35">
      <c r="A1887" t="s">
        <v>741</v>
      </c>
      <c r="B1887" t="s">
        <v>34</v>
      </c>
      <c r="C1887" t="s">
        <v>33</v>
      </c>
      <c r="D1887" t="s">
        <v>33</v>
      </c>
      <c r="E1887" t="s">
        <v>636</v>
      </c>
      <c r="F1887" t="s">
        <v>581</v>
      </c>
      <c r="G1887" t="s">
        <v>396</v>
      </c>
      <c r="H1887">
        <v>0.35571779999999997</v>
      </c>
      <c r="I1887">
        <v>0.3015989</v>
      </c>
      <c r="J1887">
        <v>0.22893869999999999</v>
      </c>
      <c r="K1887">
        <v>0.1959901</v>
      </c>
      <c r="L1887">
        <v>0.1803989</v>
      </c>
      <c r="M1887">
        <v>0.1600888</v>
      </c>
      <c r="N1887">
        <v>0.1365101</v>
      </c>
    </row>
    <row r="1888" spans="1:14" hidden="1" x14ac:dyDescent="0.35">
      <c r="A1888" t="s">
        <v>741</v>
      </c>
      <c r="B1888" t="s">
        <v>34</v>
      </c>
      <c r="C1888" t="s">
        <v>33</v>
      </c>
      <c r="D1888" t="s">
        <v>33</v>
      </c>
      <c r="E1888" t="s">
        <v>636</v>
      </c>
      <c r="F1888" t="s">
        <v>581</v>
      </c>
      <c r="G1888" t="s">
        <v>24</v>
      </c>
      <c r="H1888">
        <v>1.0543560000000001</v>
      </c>
      <c r="I1888">
        <v>0.84679170000000004</v>
      </c>
      <c r="J1888">
        <v>0.73675889999999999</v>
      </c>
      <c r="K1888">
        <v>0.66409309999999999</v>
      </c>
      <c r="L1888">
        <v>0.61221429999999999</v>
      </c>
      <c r="M1888">
        <v>0.5496702</v>
      </c>
      <c r="N1888">
        <v>0.45479399999999998</v>
      </c>
    </row>
    <row r="1889" spans="1:14" hidden="1" x14ac:dyDescent="0.35">
      <c r="A1889" t="s">
        <v>741</v>
      </c>
      <c r="B1889" t="s">
        <v>34</v>
      </c>
      <c r="C1889" t="s">
        <v>33</v>
      </c>
      <c r="D1889" t="s">
        <v>33</v>
      </c>
      <c r="E1889" t="s">
        <v>636</v>
      </c>
      <c r="F1889" t="s">
        <v>581</v>
      </c>
      <c r="G1889" t="s">
        <v>25</v>
      </c>
      <c r="H1889">
        <v>0.3540548</v>
      </c>
      <c r="I1889">
        <v>0.2933134</v>
      </c>
      <c r="J1889">
        <v>0.2360767</v>
      </c>
      <c r="K1889">
        <v>0.20686470000000001</v>
      </c>
      <c r="L1889">
        <v>0.19054409999999999</v>
      </c>
      <c r="M1889">
        <v>0.1700033</v>
      </c>
      <c r="N1889">
        <v>0.14297860000000001</v>
      </c>
    </row>
    <row r="1890" spans="1:14" hidden="1" x14ac:dyDescent="0.35">
      <c r="A1890" t="s">
        <v>741</v>
      </c>
      <c r="B1890" t="s">
        <v>34</v>
      </c>
      <c r="C1890" t="s">
        <v>33</v>
      </c>
      <c r="D1890" t="s">
        <v>33</v>
      </c>
      <c r="E1890" t="s">
        <v>636</v>
      </c>
      <c r="F1890" t="s">
        <v>26</v>
      </c>
      <c r="G1890" t="s">
        <v>26</v>
      </c>
      <c r="H1890">
        <v>2.9875669999999999</v>
      </c>
      <c r="I1890">
        <v>2.4266890000000001</v>
      </c>
      <c r="J1890">
        <v>2.004013</v>
      </c>
      <c r="K1890">
        <v>1.7730939999999999</v>
      </c>
      <c r="L1890">
        <v>1.633691</v>
      </c>
      <c r="M1890">
        <v>1.460764</v>
      </c>
      <c r="N1890">
        <v>1.221625</v>
      </c>
    </row>
    <row r="1891" spans="1:14" hidden="1" x14ac:dyDescent="0.35">
      <c r="A1891" t="s">
        <v>741</v>
      </c>
      <c r="B1891" t="s">
        <v>34</v>
      </c>
      <c r="C1891" t="s">
        <v>33</v>
      </c>
      <c r="D1891" t="s">
        <v>33</v>
      </c>
      <c r="E1891" t="s">
        <v>727</v>
      </c>
      <c r="F1891" t="s">
        <v>581</v>
      </c>
      <c r="G1891" t="s">
        <v>396</v>
      </c>
      <c r="H1891">
        <v>0.2184904</v>
      </c>
      <c r="I1891">
        <v>0.2163167</v>
      </c>
      <c r="J1891">
        <v>0.19271669999999999</v>
      </c>
      <c r="K1891">
        <v>0.1726203</v>
      </c>
      <c r="L1891">
        <v>0.15510740000000001</v>
      </c>
      <c r="M1891">
        <v>0.13985590000000001</v>
      </c>
      <c r="N1891">
        <v>0.12549099999999999</v>
      </c>
    </row>
    <row r="1892" spans="1:14" hidden="1" x14ac:dyDescent="0.35">
      <c r="A1892" t="s">
        <v>741</v>
      </c>
      <c r="B1892" t="s">
        <v>34</v>
      </c>
      <c r="C1892" t="s">
        <v>33</v>
      </c>
      <c r="D1892" t="s">
        <v>33</v>
      </c>
      <c r="E1892" t="s">
        <v>727</v>
      </c>
      <c r="F1892" t="s">
        <v>581</v>
      </c>
      <c r="G1892" t="s">
        <v>25</v>
      </c>
      <c r="H1892">
        <v>0.40753420000000001</v>
      </c>
      <c r="I1892">
        <v>0.35881370000000001</v>
      </c>
      <c r="J1892">
        <v>0.31720549999999997</v>
      </c>
      <c r="K1892">
        <v>0.28412880000000001</v>
      </c>
      <c r="L1892">
        <v>0.25530140000000001</v>
      </c>
      <c r="M1892">
        <v>0.23019729999999999</v>
      </c>
      <c r="N1892">
        <v>0.2065507</v>
      </c>
    </row>
    <row r="1893" spans="1:14" hidden="1" x14ac:dyDescent="0.35">
      <c r="A1893" t="s">
        <v>741</v>
      </c>
      <c r="B1893" t="s">
        <v>34</v>
      </c>
      <c r="C1893" t="s">
        <v>33</v>
      </c>
      <c r="D1893" t="s">
        <v>33</v>
      </c>
      <c r="E1893" t="s">
        <v>727</v>
      </c>
      <c r="F1893" t="s">
        <v>26</v>
      </c>
      <c r="G1893" t="s">
        <v>26</v>
      </c>
      <c r="H1893">
        <v>1.6487670000000001</v>
      </c>
      <c r="I1893">
        <v>1.43526</v>
      </c>
      <c r="J1893">
        <v>1.2688219999999999</v>
      </c>
      <c r="K1893">
        <v>1.136504</v>
      </c>
      <c r="L1893">
        <v>1.0211969999999999</v>
      </c>
      <c r="M1893">
        <v>0.92078079999999995</v>
      </c>
      <c r="N1893">
        <v>0.82620819999999995</v>
      </c>
    </row>
    <row r="1894" spans="1:14" hidden="1" x14ac:dyDescent="0.35">
      <c r="A1894" t="s">
        <v>741</v>
      </c>
      <c r="B1894" t="s">
        <v>34</v>
      </c>
      <c r="C1894" t="s">
        <v>33</v>
      </c>
      <c r="D1894" t="s">
        <v>33</v>
      </c>
      <c r="E1894" t="s">
        <v>742</v>
      </c>
      <c r="F1894" t="s">
        <v>26</v>
      </c>
      <c r="G1894" t="s">
        <v>26</v>
      </c>
      <c r="H1894">
        <v>0.7663972</v>
      </c>
      <c r="I1894">
        <v>0.62179180000000001</v>
      </c>
      <c r="J1894">
        <v>0.55527400000000005</v>
      </c>
      <c r="K1894">
        <v>0.49950139999999998</v>
      </c>
      <c r="L1894">
        <v>0.44954519999999998</v>
      </c>
      <c r="M1894">
        <v>0.40563559999999999</v>
      </c>
      <c r="N1894">
        <v>0.3640137</v>
      </c>
    </row>
    <row r="1895" spans="1:14" hidden="1" x14ac:dyDescent="0.35">
      <c r="A1895" t="s">
        <v>741</v>
      </c>
      <c r="B1895" t="s">
        <v>34</v>
      </c>
      <c r="C1895" t="s">
        <v>33</v>
      </c>
      <c r="D1895" t="s">
        <v>33</v>
      </c>
      <c r="E1895" t="s">
        <v>638</v>
      </c>
      <c r="F1895" t="s">
        <v>581</v>
      </c>
      <c r="G1895" t="s">
        <v>396</v>
      </c>
      <c r="H1895">
        <v>1.1772599999999999E-2</v>
      </c>
      <c r="I1895">
        <v>1.1276710000000001E-2</v>
      </c>
      <c r="J1895">
        <v>1.1551779999999999E-2</v>
      </c>
      <c r="K1895">
        <v>1.230411E-2</v>
      </c>
      <c r="L1895">
        <v>1.447123E-2</v>
      </c>
      <c r="M1895">
        <v>1.236219E-2</v>
      </c>
      <c r="N1895">
        <v>1.0041639999999999E-2</v>
      </c>
    </row>
    <row r="1896" spans="1:14" hidden="1" x14ac:dyDescent="0.35">
      <c r="A1896" t="s">
        <v>741</v>
      </c>
      <c r="B1896" t="s">
        <v>34</v>
      </c>
      <c r="C1896" t="s">
        <v>33</v>
      </c>
      <c r="D1896" t="s">
        <v>33</v>
      </c>
      <c r="E1896" t="s">
        <v>638</v>
      </c>
      <c r="F1896" t="s">
        <v>581</v>
      </c>
      <c r="G1896" t="s">
        <v>24</v>
      </c>
      <c r="H1896">
        <v>0.17401920000000001</v>
      </c>
      <c r="I1896">
        <v>0.13532269999999999</v>
      </c>
      <c r="J1896">
        <v>0.1386203</v>
      </c>
      <c r="K1896">
        <v>0.14763180000000001</v>
      </c>
      <c r="L1896">
        <v>0.17364879999999999</v>
      </c>
      <c r="M1896">
        <v>0.14832880000000001</v>
      </c>
      <c r="N1896">
        <v>0.120503</v>
      </c>
    </row>
    <row r="1897" spans="1:14" hidden="1" x14ac:dyDescent="0.35">
      <c r="A1897" t="s">
        <v>741</v>
      </c>
      <c r="B1897" t="s">
        <v>34</v>
      </c>
      <c r="C1897" t="s">
        <v>33</v>
      </c>
      <c r="D1897" t="s">
        <v>33</v>
      </c>
      <c r="E1897" t="s">
        <v>638</v>
      </c>
      <c r="F1897" t="s">
        <v>581</v>
      </c>
      <c r="G1897" t="s">
        <v>25</v>
      </c>
      <c r="H1897">
        <v>2.4375339999999999E-2</v>
      </c>
      <c r="I1897">
        <v>1.57863E-2</v>
      </c>
      <c r="J1897">
        <v>1.6176989999999999E-2</v>
      </c>
      <c r="K1897">
        <v>1.7225750000000001E-2</v>
      </c>
      <c r="L1897">
        <v>2.0256980000000001E-2</v>
      </c>
      <c r="M1897">
        <v>1.7305750000000002E-2</v>
      </c>
      <c r="N1897">
        <v>1.4059179999999999E-2</v>
      </c>
    </row>
    <row r="1898" spans="1:14" hidden="1" x14ac:dyDescent="0.35">
      <c r="A1898" t="s">
        <v>741</v>
      </c>
      <c r="B1898" t="s">
        <v>34</v>
      </c>
      <c r="C1898" t="s">
        <v>33</v>
      </c>
      <c r="D1898" t="s">
        <v>33</v>
      </c>
      <c r="E1898" t="s">
        <v>638</v>
      </c>
      <c r="F1898" t="s">
        <v>26</v>
      </c>
      <c r="G1898" t="s">
        <v>26</v>
      </c>
      <c r="H1898">
        <v>8.9394520000000005E-2</v>
      </c>
      <c r="I1898">
        <v>6.3484940000000004E-2</v>
      </c>
      <c r="J1898">
        <v>6.5031240000000004E-2</v>
      </c>
      <c r="K1898">
        <v>6.9261370000000003E-2</v>
      </c>
      <c r="L1898">
        <v>8.1466849999999993E-2</v>
      </c>
      <c r="M1898">
        <v>6.9587389999999999E-2</v>
      </c>
      <c r="N1898">
        <v>5.6532060000000002E-2</v>
      </c>
    </row>
    <row r="1899" spans="1:14" hidden="1" x14ac:dyDescent="0.35">
      <c r="A1899" t="s">
        <v>741</v>
      </c>
      <c r="B1899" t="s">
        <v>34</v>
      </c>
      <c r="C1899" t="s">
        <v>33</v>
      </c>
      <c r="D1899" t="s">
        <v>33</v>
      </c>
      <c r="E1899" t="s">
        <v>622</v>
      </c>
      <c r="F1899" t="s">
        <v>26</v>
      </c>
      <c r="G1899" t="s">
        <v>26</v>
      </c>
    </row>
    <row r="1900" spans="1:14" hidden="1" x14ac:dyDescent="0.35">
      <c r="A1900" t="s">
        <v>743</v>
      </c>
      <c r="B1900" t="s">
        <v>37</v>
      </c>
      <c r="C1900" t="s">
        <v>35</v>
      </c>
      <c r="D1900" t="s">
        <v>129</v>
      </c>
      <c r="E1900" t="s">
        <v>580</v>
      </c>
      <c r="F1900" t="s">
        <v>581</v>
      </c>
      <c r="G1900" t="s">
        <v>396</v>
      </c>
      <c r="H1900">
        <v>34.187399999999997</v>
      </c>
      <c r="I1900">
        <v>30.239519999999999</v>
      </c>
      <c r="J1900">
        <v>27.308890000000002</v>
      </c>
      <c r="K1900">
        <v>22.691279999999999</v>
      </c>
      <c r="L1900">
        <v>17.70656</v>
      </c>
      <c r="M1900">
        <v>14.08229</v>
      </c>
      <c r="N1900">
        <v>11.703989999999999</v>
      </c>
    </row>
    <row r="1901" spans="1:14" hidden="1" x14ac:dyDescent="0.35">
      <c r="A1901" t="s">
        <v>743</v>
      </c>
      <c r="B1901" t="s">
        <v>37</v>
      </c>
      <c r="C1901" t="s">
        <v>35</v>
      </c>
      <c r="D1901" t="s">
        <v>129</v>
      </c>
      <c r="E1901" t="s">
        <v>580</v>
      </c>
      <c r="F1901" t="s">
        <v>581</v>
      </c>
      <c r="G1901" t="s">
        <v>25</v>
      </c>
      <c r="H1901">
        <v>11.487120000000001</v>
      </c>
      <c r="I1901">
        <v>10.6051</v>
      </c>
      <c r="J1901">
        <v>9.5820679999999996</v>
      </c>
      <c r="K1901">
        <v>7.9618520000000004</v>
      </c>
      <c r="L1901">
        <v>6.2128310000000004</v>
      </c>
      <c r="M1901">
        <v>4.9411589999999999</v>
      </c>
      <c r="N1901">
        <v>4.106662</v>
      </c>
    </row>
    <row r="1902" spans="1:14" hidden="1" x14ac:dyDescent="0.35">
      <c r="A1902" t="s">
        <v>743</v>
      </c>
      <c r="B1902" t="s">
        <v>37</v>
      </c>
      <c r="C1902" t="s">
        <v>35</v>
      </c>
      <c r="D1902" t="s">
        <v>129</v>
      </c>
      <c r="E1902" t="s">
        <v>580</v>
      </c>
      <c r="F1902" t="s">
        <v>26</v>
      </c>
      <c r="G1902" t="s">
        <v>26</v>
      </c>
      <c r="H1902">
        <v>15.252599999999999</v>
      </c>
      <c r="I1902">
        <v>12.195869999999999</v>
      </c>
      <c r="J1902">
        <v>11.01938</v>
      </c>
      <c r="K1902">
        <v>9.1561310000000002</v>
      </c>
      <c r="L1902">
        <v>7.1447529999999997</v>
      </c>
      <c r="M1902">
        <v>5.6823290000000002</v>
      </c>
      <c r="N1902">
        <v>4.7226600000000003</v>
      </c>
    </row>
    <row r="1903" spans="1:14" hidden="1" x14ac:dyDescent="0.35">
      <c r="A1903" t="s">
        <v>743</v>
      </c>
      <c r="B1903" t="s">
        <v>37</v>
      </c>
      <c r="C1903" t="s">
        <v>35</v>
      </c>
      <c r="D1903" t="s">
        <v>39</v>
      </c>
      <c r="E1903" t="s">
        <v>582</v>
      </c>
      <c r="F1903" t="s">
        <v>581</v>
      </c>
      <c r="G1903" t="s">
        <v>396</v>
      </c>
      <c r="H1903">
        <v>8.5019179999999999</v>
      </c>
      <c r="I1903">
        <v>7.8034290000000004</v>
      </c>
      <c r="J1903">
        <v>5.9660450000000003</v>
      </c>
      <c r="K1903">
        <v>4.7139480000000002</v>
      </c>
      <c r="L1903">
        <v>3.8062339999999999</v>
      </c>
      <c r="M1903">
        <v>3.0642100000000001</v>
      </c>
      <c r="N1903">
        <v>2.5264530000000001</v>
      </c>
    </row>
    <row r="1904" spans="1:14" hidden="1" x14ac:dyDescent="0.35">
      <c r="A1904" t="s">
        <v>743</v>
      </c>
      <c r="B1904" t="s">
        <v>37</v>
      </c>
      <c r="C1904" t="s">
        <v>35</v>
      </c>
      <c r="D1904" t="s">
        <v>39</v>
      </c>
      <c r="E1904" t="s">
        <v>582</v>
      </c>
      <c r="F1904" t="s">
        <v>581</v>
      </c>
      <c r="G1904" t="s">
        <v>25</v>
      </c>
      <c r="H1904">
        <v>2.8536990000000002</v>
      </c>
      <c r="I1904">
        <v>2.7380439999999999</v>
      </c>
      <c r="J1904">
        <v>2.09335</v>
      </c>
      <c r="K1904">
        <v>1.6540170000000001</v>
      </c>
      <c r="L1904">
        <v>1.335518</v>
      </c>
      <c r="M1904">
        <v>1.075164</v>
      </c>
      <c r="N1904">
        <v>0.88647240000000005</v>
      </c>
    </row>
    <row r="1905" spans="1:14" hidden="1" x14ac:dyDescent="0.35">
      <c r="A1905" t="s">
        <v>743</v>
      </c>
      <c r="B1905" t="s">
        <v>37</v>
      </c>
      <c r="C1905" t="s">
        <v>35</v>
      </c>
      <c r="D1905" t="s">
        <v>39</v>
      </c>
      <c r="E1905" t="s">
        <v>582</v>
      </c>
      <c r="F1905" t="s">
        <v>26</v>
      </c>
      <c r="G1905" t="s">
        <v>26</v>
      </c>
      <c r="H1905">
        <v>3.78959</v>
      </c>
      <c r="I1905">
        <v>3.148752</v>
      </c>
      <c r="J1905">
        <v>2.4073519999999999</v>
      </c>
      <c r="K1905">
        <v>1.9021189999999999</v>
      </c>
      <c r="L1905">
        <v>1.5358510000000001</v>
      </c>
      <c r="M1905">
        <v>1.236434</v>
      </c>
      <c r="N1905">
        <v>1.019447</v>
      </c>
    </row>
    <row r="1906" spans="1:14" hidden="1" x14ac:dyDescent="0.35">
      <c r="A1906" t="s">
        <v>744</v>
      </c>
      <c r="B1906" t="s">
        <v>34</v>
      </c>
      <c r="C1906" t="s">
        <v>33</v>
      </c>
      <c r="D1906" t="s">
        <v>33</v>
      </c>
      <c r="E1906" t="s">
        <v>584</v>
      </c>
      <c r="F1906" t="s">
        <v>581</v>
      </c>
      <c r="G1906" t="s">
        <v>396</v>
      </c>
      <c r="H1906">
        <v>4.7736980000000004</v>
      </c>
      <c r="I1906">
        <v>4.991765</v>
      </c>
      <c r="J1906">
        <v>4.9454859999999998</v>
      </c>
      <c r="K1906">
        <v>4.8879380000000001</v>
      </c>
      <c r="L1906">
        <v>4.8139820000000002</v>
      </c>
      <c r="M1906">
        <v>4.7111219999999996</v>
      </c>
      <c r="N1906">
        <v>4.3654820000000001</v>
      </c>
    </row>
    <row r="1907" spans="1:14" hidden="1" x14ac:dyDescent="0.35">
      <c r="A1907" t="s">
        <v>744</v>
      </c>
      <c r="B1907" t="s">
        <v>34</v>
      </c>
      <c r="C1907" t="s">
        <v>33</v>
      </c>
      <c r="D1907" t="s">
        <v>33</v>
      </c>
      <c r="E1907" t="s">
        <v>584</v>
      </c>
      <c r="F1907" t="s">
        <v>581</v>
      </c>
      <c r="G1907" t="s">
        <v>24</v>
      </c>
      <c r="H1907">
        <v>0</v>
      </c>
    </row>
    <row r="1908" spans="1:14" hidden="1" x14ac:dyDescent="0.35">
      <c r="A1908" t="s">
        <v>744</v>
      </c>
      <c r="B1908" t="s">
        <v>34</v>
      </c>
      <c r="C1908" t="s">
        <v>33</v>
      </c>
      <c r="D1908" t="s">
        <v>33</v>
      </c>
      <c r="E1908" t="s">
        <v>584</v>
      </c>
      <c r="F1908" t="s">
        <v>581</v>
      </c>
      <c r="G1908" t="s">
        <v>25</v>
      </c>
      <c r="H1908">
        <v>0.91408769999999995</v>
      </c>
      <c r="I1908">
        <v>0.78396710000000003</v>
      </c>
      <c r="J1908">
        <v>0.69037479999999996</v>
      </c>
      <c r="K1908">
        <v>0.62054799999999999</v>
      </c>
      <c r="L1908">
        <v>0.56635290000000005</v>
      </c>
      <c r="M1908">
        <v>0.52142359999999999</v>
      </c>
      <c r="N1908">
        <v>0.31097320000000001</v>
      </c>
    </row>
    <row r="1909" spans="1:14" hidden="1" x14ac:dyDescent="0.35">
      <c r="A1909" t="s">
        <v>744</v>
      </c>
      <c r="B1909" t="s">
        <v>34</v>
      </c>
      <c r="C1909" t="s">
        <v>33</v>
      </c>
      <c r="D1909" t="s">
        <v>33</v>
      </c>
      <c r="E1909" t="s">
        <v>584</v>
      </c>
      <c r="F1909" t="s">
        <v>26</v>
      </c>
      <c r="G1909" t="s">
        <v>26</v>
      </c>
      <c r="H1909">
        <v>2.878606</v>
      </c>
      <c r="I1909">
        <v>2.666296</v>
      </c>
      <c r="J1909">
        <v>2.4981749999999998</v>
      </c>
      <c r="K1909">
        <v>2.3535240000000002</v>
      </c>
      <c r="L1909">
        <v>2.2225290000000002</v>
      </c>
      <c r="M1909">
        <v>2.0936340000000002</v>
      </c>
      <c r="N1909">
        <v>1.358347</v>
      </c>
    </row>
    <row r="1910" spans="1:14" hidden="1" x14ac:dyDescent="0.35">
      <c r="A1910" t="s">
        <v>744</v>
      </c>
      <c r="B1910" t="s">
        <v>34</v>
      </c>
      <c r="C1910" t="s">
        <v>33</v>
      </c>
      <c r="D1910" t="s">
        <v>33</v>
      </c>
      <c r="E1910" t="s">
        <v>699</v>
      </c>
      <c r="F1910" t="s">
        <v>581</v>
      </c>
      <c r="G1910" t="s">
        <v>396</v>
      </c>
      <c r="H1910">
        <v>6.9815560000000003</v>
      </c>
      <c r="I1910">
        <v>5.7460750000000003</v>
      </c>
      <c r="J1910">
        <v>4.7654569999999996</v>
      </c>
      <c r="K1910">
        <v>3.7389770000000002</v>
      </c>
      <c r="L1910">
        <v>2.7270759999999998</v>
      </c>
      <c r="M1910">
        <v>1.9281729999999999</v>
      </c>
      <c r="N1910">
        <v>1.452277</v>
      </c>
    </row>
    <row r="1911" spans="1:14" hidden="1" x14ac:dyDescent="0.35">
      <c r="A1911" t="s">
        <v>744</v>
      </c>
      <c r="B1911" t="s">
        <v>34</v>
      </c>
      <c r="C1911" t="s">
        <v>33</v>
      </c>
      <c r="D1911" t="s">
        <v>33</v>
      </c>
      <c r="E1911" t="s">
        <v>699</v>
      </c>
      <c r="F1911" t="s">
        <v>581</v>
      </c>
      <c r="G1911" t="s">
        <v>25</v>
      </c>
      <c r="H1911">
        <v>0.24802740000000001</v>
      </c>
      <c r="I1911">
        <v>0.1986291</v>
      </c>
      <c r="J1911">
        <v>0.15844159999999999</v>
      </c>
      <c r="K1911">
        <v>0.1244526</v>
      </c>
      <c r="L1911">
        <v>9.0892589999999995E-2</v>
      </c>
      <c r="M1911">
        <v>6.4224660000000003E-2</v>
      </c>
      <c r="N1911">
        <v>4.8340279999999999E-2</v>
      </c>
    </row>
    <row r="1912" spans="1:14" hidden="1" x14ac:dyDescent="0.35">
      <c r="A1912" t="s">
        <v>744</v>
      </c>
      <c r="B1912" t="s">
        <v>34</v>
      </c>
      <c r="C1912" t="s">
        <v>33</v>
      </c>
      <c r="D1912" t="s">
        <v>33</v>
      </c>
      <c r="E1912" t="s">
        <v>699</v>
      </c>
      <c r="F1912" t="s">
        <v>26</v>
      </c>
      <c r="G1912" t="s">
        <v>26</v>
      </c>
      <c r="H1912">
        <v>1.082301</v>
      </c>
      <c r="I1912">
        <v>0.92693650000000005</v>
      </c>
      <c r="J1912">
        <v>0.73939560000000004</v>
      </c>
      <c r="K1912">
        <v>0.58076939999999999</v>
      </c>
      <c r="L1912">
        <v>0.42416110000000001</v>
      </c>
      <c r="M1912">
        <v>0.29973919999999998</v>
      </c>
      <c r="N1912">
        <v>0.22557640000000001</v>
      </c>
    </row>
    <row r="1913" spans="1:14" hidden="1" x14ac:dyDescent="0.35">
      <c r="A1913" t="s">
        <v>744</v>
      </c>
      <c r="B1913" t="s">
        <v>34</v>
      </c>
      <c r="C1913" t="s">
        <v>33</v>
      </c>
      <c r="D1913" t="s">
        <v>33</v>
      </c>
      <c r="E1913" t="s">
        <v>692</v>
      </c>
      <c r="F1913" t="s">
        <v>581</v>
      </c>
      <c r="G1913" t="s">
        <v>396</v>
      </c>
      <c r="H1913">
        <v>4.9484519999999996</v>
      </c>
      <c r="I1913">
        <v>4.5222810000000004</v>
      </c>
      <c r="J1913">
        <v>3.90957</v>
      </c>
      <c r="K1913">
        <v>3.5059480000000001</v>
      </c>
      <c r="L1913">
        <v>3.1815869999999999</v>
      </c>
      <c r="M1913">
        <v>2.927934</v>
      </c>
      <c r="N1913">
        <v>2.6756859999999998</v>
      </c>
    </row>
    <row r="1914" spans="1:14" hidden="1" x14ac:dyDescent="0.35">
      <c r="A1914" t="s">
        <v>744</v>
      </c>
      <c r="B1914" t="s">
        <v>34</v>
      </c>
      <c r="C1914" t="s">
        <v>33</v>
      </c>
      <c r="D1914" t="s">
        <v>33</v>
      </c>
      <c r="E1914" t="s">
        <v>692</v>
      </c>
      <c r="F1914" t="s">
        <v>581</v>
      </c>
      <c r="G1914" t="s">
        <v>25</v>
      </c>
      <c r="H1914">
        <v>0.1106603</v>
      </c>
      <c r="I1914">
        <v>9.8214250000000003E-2</v>
      </c>
      <c r="J1914">
        <v>8.4905759999999997E-2</v>
      </c>
      <c r="K1914">
        <v>7.6140819999999998E-2</v>
      </c>
      <c r="L1914">
        <v>6.9093150000000006E-2</v>
      </c>
      <c r="M1914">
        <v>6.3587950000000004E-2</v>
      </c>
      <c r="N1914">
        <v>5.8105200000000003E-2</v>
      </c>
    </row>
    <row r="1915" spans="1:14" hidden="1" x14ac:dyDescent="0.35">
      <c r="A1915" t="s">
        <v>744</v>
      </c>
      <c r="B1915" t="s">
        <v>34</v>
      </c>
      <c r="C1915" t="s">
        <v>33</v>
      </c>
      <c r="D1915" t="s">
        <v>33</v>
      </c>
      <c r="E1915" t="s">
        <v>692</v>
      </c>
      <c r="F1915" t="s">
        <v>26</v>
      </c>
      <c r="G1915" t="s">
        <v>26</v>
      </c>
      <c r="H1915">
        <v>0.6456054</v>
      </c>
      <c r="I1915">
        <v>0.57946140000000002</v>
      </c>
      <c r="J1915">
        <v>0.50094470000000002</v>
      </c>
      <c r="K1915">
        <v>0.44922800000000002</v>
      </c>
      <c r="L1915">
        <v>0.40766469999999999</v>
      </c>
      <c r="M1915">
        <v>0.37516549999999999</v>
      </c>
      <c r="N1915">
        <v>0.34284219999999999</v>
      </c>
    </row>
    <row r="1916" spans="1:14" hidden="1" x14ac:dyDescent="0.35">
      <c r="A1916" t="s">
        <v>744</v>
      </c>
      <c r="B1916" t="s">
        <v>34</v>
      </c>
      <c r="C1916" t="s">
        <v>33</v>
      </c>
      <c r="D1916" t="s">
        <v>33</v>
      </c>
      <c r="E1916" t="s">
        <v>745</v>
      </c>
      <c r="F1916" t="s">
        <v>581</v>
      </c>
      <c r="G1916" t="s">
        <v>396</v>
      </c>
      <c r="H1916">
        <v>3.5302880000000001</v>
      </c>
      <c r="I1916">
        <v>3.6375609999999998</v>
      </c>
      <c r="J1916">
        <v>2.80871</v>
      </c>
      <c r="K1916">
        <v>2.3296519999999998</v>
      </c>
      <c r="L1916">
        <v>2.0274100000000002</v>
      </c>
      <c r="M1916">
        <v>1.9495020000000001</v>
      </c>
      <c r="N1916">
        <v>1.7055800000000001</v>
      </c>
    </row>
    <row r="1917" spans="1:14" hidden="1" x14ac:dyDescent="0.35">
      <c r="A1917" t="s">
        <v>744</v>
      </c>
      <c r="B1917" t="s">
        <v>34</v>
      </c>
      <c r="C1917" t="s">
        <v>33</v>
      </c>
      <c r="D1917" t="s">
        <v>33</v>
      </c>
      <c r="E1917" t="s">
        <v>745</v>
      </c>
      <c r="F1917" t="s">
        <v>581</v>
      </c>
      <c r="G1917" t="s">
        <v>25</v>
      </c>
      <c r="H1917">
        <v>0.18563009999999999</v>
      </c>
      <c r="I1917">
        <v>0.18575559999999999</v>
      </c>
      <c r="J1917">
        <v>0.14342740000000001</v>
      </c>
      <c r="K1917">
        <v>0.1189627</v>
      </c>
      <c r="L1917">
        <v>0.1035315</v>
      </c>
      <c r="M1917">
        <v>9.954905E-2</v>
      </c>
      <c r="N1917">
        <v>8.7090409999999993E-2</v>
      </c>
    </row>
    <row r="1918" spans="1:14" hidden="1" x14ac:dyDescent="0.35">
      <c r="A1918" t="s">
        <v>744</v>
      </c>
      <c r="B1918" t="s">
        <v>34</v>
      </c>
      <c r="C1918" t="s">
        <v>33</v>
      </c>
      <c r="D1918" t="s">
        <v>33</v>
      </c>
      <c r="E1918" t="s">
        <v>745</v>
      </c>
      <c r="F1918" t="s">
        <v>26</v>
      </c>
      <c r="G1918" t="s">
        <v>26</v>
      </c>
      <c r="H1918">
        <v>1.082994</v>
      </c>
      <c r="I1918">
        <v>1.0959589999999999</v>
      </c>
      <c r="J1918">
        <v>0.8462269</v>
      </c>
      <c r="K1918">
        <v>0.70189259999999998</v>
      </c>
      <c r="L1918">
        <v>0.61083229999999999</v>
      </c>
      <c r="M1918">
        <v>0.58735839999999995</v>
      </c>
      <c r="N1918">
        <v>0.51386909999999997</v>
      </c>
    </row>
    <row r="1919" spans="1:14" hidden="1" x14ac:dyDescent="0.35">
      <c r="A1919" t="s">
        <v>744</v>
      </c>
      <c r="B1919" t="s">
        <v>34</v>
      </c>
      <c r="C1919" t="s">
        <v>33</v>
      </c>
      <c r="D1919" t="s">
        <v>33</v>
      </c>
      <c r="E1919" t="s">
        <v>746</v>
      </c>
      <c r="F1919" t="s">
        <v>581</v>
      </c>
      <c r="G1919" t="s">
        <v>396</v>
      </c>
      <c r="H1919">
        <v>2.1518030000000001</v>
      </c>
      <c r="I1919">
        <v>1.9393180000000001</v>
      </c>
      <c r="J1919">
        <v>1.987277</v>
      </c>
      <c r="K1919">
        <v>1.801898</v>
      </c>
      <c r="L1919">
        <v>1.558948</v>
      </c>
      <c r="M1919">
        <v>1.3099609999999999</v>
      </c>
      <c r="N1919">
        <v>1.1137790000000001</v>
      </c>
    </row>
    <row r="1920" spans="1:14" hidden="1" x14ac:dyDescent="0.35">
      <c r="A1920" t="s">
        <v>744</v>
      </c>
      <c r="B1920" t="s">
        <v>34</v>
      </c>
      <c r="C1920" t="s">
        <v>33</v>
      </c>
      <c r="D1920" t="s">
        <v>33</v>
      </c>
      <c r="E1920" t="s">
        <v>746</v>
      </c>
      <c r="F1920" t="s">
        <v>581</v>
      </c>
      <c r="G1920" t="s">
        <v>25</v>
      </c>
      <c r="H1920">
        <v>0.32203290000000001</v>
      </c>
      <c r="I1920">
        <v>0.28186349999999999</v>
      </c>
      <c r="J1920">
        <v>0.28882910000000001</v>
      </c>
      <c r="K1920">
        <v>0.26188159999999999</v>
      </c>
      <c r="L1920">
        <v>0.22657640000000001</v>
      </c>
      <c r="M1920">
        <v>0.19038630000000001</v>
      </c>
      <c r="N1920">
        <v>0.16187289999999999</v>
      </c>
    </row>
    <row r="1921" spans="1:14" hidden="1" x14ac:dyDescent="0.35">
      <c r="A1921" t="s">
        <v>744</v>
      </c>
      <c r="B1921" t="s">
        <v>34</v>
      </c>
      <c r="C1921" t="s">
        <v>33</v>
      </c>
      <c r="D1921" t="s">
        <v>33</v>
      </c>
      <c r="E1921" t="s">
        <v>746</v>
      </c>
      <c r="F1921" t="s">
        <v>26</v>
      </c>
      <c r="G1921" t="s">
        <v>26</v>
      </c>
      <c r="H1921">
        <v>1.707986</v>
      </c>
      <c r="I1921">
        <v>1.5118180000000001</v>
      </c>
      <c r="J1921">
        <v>1.5491820000000001</v>
      </c>
      <c r="K1921">
        <v>1.4046719999999999</v>
      </c>
      <c r="L1921">
        <v>1.2152780000000001</v>
      </c>
      <c r="M1921">
        <v>1.021182</v>
      </c>
      <c r="N1921">
        <v>0.86824710000000005</v>
      </c>
    </row>
    <row r="1922" spans="1:14" hidden="1" x14ac:dyDescent="0.35">
      <c r="A1922" t="s">
        <v>744</v>
      </c>
      <c r="B1922" t="s">
        <v>34</v>
      </c>
      <c r="C1922" t="s">
        <v>33</v>
      </c>
      <c r="D1922" t="s">
        <v>33</v>
      </c>
      <c r="E1922" t="s">
        <v>747</v>
      </c>
      <c r="F1922" t="s">
        <v>581</v>
      </c>
      <c r="G1922" t="s">
        <v>396</v>
      </c>
      <c r="H1922">
        <v>1.3966080000000001</v>
      </c>
      <c r="I1922">
        <v>2.2566850000000001</v>
      </c>
      <c r="J1922">
        <v>2.0141990000000001</v>
      </c>
      <c r="K1922">
        <v>1.8017510000000001</v>
      </c>
      <c r="L1922">
        <v>1.6642859999999999</v>
      </c>
      <c r="M1922">
        <v>1.5675509999999999</v>
      </c>
      <c r="N1922">
        <v>1.5444389999999999</v>
      </c>
    </row>
    <row r="1923" spans="1:14" hidden="1" x14ac:dyDescent="0.35">
      <c r="A1923" t="s">
        <v>744</v>
      </c>
      <c r="B1923" t="s">
        <v>34</v>
      </c>
      <c r="C1923" t="s">
        <v>33</v>
      </c>
      <c r="D1923" t="s">
        <v>33</v>
      </c>
      <c r="E1923" t="s">
        <v>747</v>
      </c>
      <c r="F1923" t="s">
        <v>581</v>
      </c>
      <c r="G1923" t="s">
        <v>25</v>
      </c>
      <c r="H1923">
        <v>0.42654520000000001</v>
      </c>
      <c r="I1923">
        <v>0.29014960000000001</v>
      </c>
      <c r="J1923">
        <v>0.25897320000000001</v>
      </c>
      <c r="K1923">
        <v>0.23165810000000001</v>
      </c>
      <c r="L1923">
        <v>0.2139858</v>
      </c>
      <c r="M1923">
        <v>0.2015458</v>
      </c>
      <c r="N1923">
        <v>0.19857759999999999</v>
      </c>
    </row>
    <row r="1924" spans="1:14" hidden="1" x14ac:dyDescent="0.35">
      <c r="A1924" t="s">
        <v>744</v>
      </c>
      <c r="B1924" t="s">
        <v>34</v>
      </c>
      <c r="C1924" t="s">
        <v>33</v>
      </c>
      <c r="D1924" t="s">
        <v>33</v>
      </c>
      <c r="E1924" t="s">
        <v>747</v>
      </c>
      <c r="F1924" t="s">
        <v>26</v>
      </c>
      <c r="G1924" t="s">
        <v>26</v>
      </c>
      <c r="H1924">
        <v>0.70266850000000003</v>
      </c>
      <c r="I1924">
        <v>0.68610729999999998</v>
      </c>
      <c r="J1924">
        <v>0.61237039999999998</v>
      </c>
      <c r="K1924">
        <v>0.5477803</v>
      </c>
      <c r="L1924">
        <v>0.50598739999999998</v>
      </c>
      <c r="M1924">
        <v>0.47657480000000002</v>
      </c>
      <c r="N1924">
        <v>0.4695512</v>
      </c>
    </row>
    <row r="1925" spans="1:14" hidden="1" x14ac:dyDescent="0.35">
      <c r="A1925" t="s">
        <v>744</v>
      </c>
      <c r="B1925" t="s">
        <v>34</v>
      </c>
      <c r="C1925" t="s">
        <v>33</v>
      </c>
      <c r="D1925" t="s">
        <v>33</v>
      </c>
      <c r="E1925" t="s">
        <v>604</v>
      </c>
      <c r="F1925" t="s">
        <v>581</v>
      </c>
      <c r="G1925" t="s">
        <v>396</v>
      </c>
      <c r="H1925">
        <v>7.4164380000000002E-2</v>
      </c>
      <c r="I1925">
        <v>0.1147666</v>
      </c>
      <c r="J1925">
        <v>9.8644380000000004E-2</v>
      </c>
      <c r="K1925">
        <v>8.4585759999999996E-2</v>
      </c>
      <c r="L1925">
        <v>7.7143009999999998E-2</v>
      </c>
      <c r="M1925">
        <v>6.9332060000000001E-2</v>
      </c>
      <c r="N1925">
        <v>6.2381369999999998E-2</v>
      </c>
    </row>
    <row r="1926" spans="1:14" hidden="1" x14ac:dyDescent="0.35">
      <c r="A1926" t="s">
        <v>744</v>
      </c>
      <c r="B1926" t="s">
        <v>34</v>
      </c>
      <c r="C1926" t="s">
        <v>33</v>
      </c>
      <c r="D1926" t="s">
        <v>33</v>
      </c>
      <c r="E1926" t="s">
        <v>604</v>
      </c>
      <c r="F1926" t="s">
        <v>581</v>
      </c>
      <c r="G1926" t="s">
        <v>24</v>
      </c>
      <c r="H1926">
        <v>7.4164380000000002E-2</v>
      </c>
      <c r="I1926">
        <v>0.1147666</v>
      </c>
      <c r="J1926">
        <v>9.8644380000000004E-2</v>
      </c>
      <c r="K1926">
        <v>8.4585759999999996E-2</v>
      </c>
      <c r="L1926">
        <v>7.7143009999999998E-2</v>
      </c>
      <c r="M1926">
        <v>6.9332060000000001E-2</v>
      </c>
      <c r="N1926">
        <v>6.2381369999999998E-2</v>
      </c>
    </row>
    <row r="1927" spans="1:14" hidden="1" x14ac:dyDescent="0.35">
      <c r="A1927" t="s">
        <v>744</v>
      </c>
      <c r="B1927" t="s">
        <v>34</v>
      </c>
      <c r="C1927" t="s">
        <v>33</v>
      </c>
      <c r="D1927" t="s">
        <v>33</v>
      </c>
      <c r="E1927" t="s">
        <v>604</v>
      </c>
      <c r="F1927" t="s">
        <v>581</v>
      </c>
      <c r="G1927" t="s">
        <v>25</v>
      </c>
      <c r="H1927">
        <v>0.1993123</v>
      </c>
      <c r="I1927">
        <v>0.1377255</v>
      </c>
      <c r="J1927">
        <v>0.11837259999999999</v>
      </c>
      <c r="K1927">
        <v>0.1015025</v>
      </c>
      <c r="L1927">
        <v>9.2570949999999999E-2</v>
      </c>
      <c r="M1927">
        <v>8.3201650000000002E-2</v>
      </c>
      <c r="N1927">
        <v>7.4857530000000005E-2</v>
      </c>
    </row>
    <row r="1928" spans="1:14" hidden="1" x14ac:dyDescent="0.35">
      <c r="A1928" t="s">
        <v>744</v>
      </c>
      <c r="B1928" t="s">
        <v>34</v>
      </c>
      <c r="C1928" t="s">
        <v>33</v>
      </c>
      <c r="D1928" t="s">
        <v>33</v>
      </c>
      <c r="E1928" t="s">
        <v>604</v>
      </c>
      <c r="F1928" t="s">
        <v>26</v>
      </c>
      <c r="G1928" t="s">
        <v>26</v>
      </c>
      <c r="H1928">
        <v>0.4108192</v>
      </c>
      <c r="I1928">
        <v>0.4042811</v>
      </c>
      <c r="J1928">
        <v>0.34748879999999999</v>
      </c>
      <c r="K1928">
        <v>0.29795890000000003</v>
      </c>
      <c r="L1928">
        <v>0.27173700000000001</v>
      </c>
      <c r="M1928">
        <v>0.2442252</v>
      </c>
      <c r="N1928">
        <v>0.21974079999999999</v>
      </c>
    </row>
    <row r="1929" spans="1:14" hidden="1" x14ac:dyDescent="0.35">
      <c r="A1929" t="s">
        <v>744</v>
      </c>
      <c r="B1929" t="s">
        <v>34</v>
      </c>
      <c r="C1929" t="s">
        <v>230</v>
      </c>
      <c r="D1929" t="s">
        <v>230</v>
      </c>
      <c r="E1929" t="s">
        <v>584</v>
      </c>
      <c r="F1929" t="s">
        <v>581</v>
      </c>
      <c r="G1929" t="s">
        <v>396</v>
      </c>
      <c r="H1929">
        <v>20.095649999999999</v>
      </c>
      <c r="I1929">
        <v>22.52413</v>
      </c>
      <c r="J1929">
        <v>23.095559999999999</v>
      </c>
      <c r="K1929">
        <v>22.835789999999999</v>
      </c>
      <c r="L1929">
        <v>22.621739999999999</v>
      </c>
      <c r="M1929">
        <v>22.363900000000001</v>
      </c>
      <c r="N1929">
        <v>22.138339999999999</v>
      </c>
    </row>
    <row r="1930" spans="1:14" hidden="1" x14ac:dyDescent="0.35">
      <c r="A1930" t="s">
        <v>744</v>
      </c>
      <c r="B1930" t="s">
        <v>34</v>
      </c>
      <c r="C1930" t="s">
        <v>230</v>
      </c>
      <c r="D1930" t="s">
        <v>230</v>
      </c>
      <c r="E1930" t="s">
        <v>584</v>
      </c>
      <c r="F1930" t="s">
        <v>26</v>
      </c>
      <c r="G1930" t="s">
        <v>26</v>
      </c>
      <c r="H1930">
        <v>0.16083310000000001</v>
      </c>
      <c r="I1930">
        <v>0.14174990000000001</v>
      </c>
      <c r="J1930">
        <v>0.1176989</v>
      </c>
      <c r="K1930">
        <v>0.1025799</v>
      </c>
      <c r="L1930">
        <v>8.8201050000000003E-2</v>
      </c>
      <c r="M1930">
        <v>7.4084150000000001E-2</v>
      </c>
      <c r="N1930">
        <v>6.2476700000000003E-2</v>
      </c>
    </row>
    <row r="1931" spans="1:14" hidden="1" x14ac:dyDescent="0.35">
      <c r="A1931" t="s">
        <v>748</v>
      </c>
      <c r="B1931" t="s">
        <v>74</v>
      </c>
      <c r="C1931" t="s">
        <v>71</v>
      </c>
      <c r="D1931" t="s">
        <v>77</v>
      </c>
      <c r="E1931" t="s">
        <v>584</v>
      </c>
      <c r="F1931" t="s">
        <v>581</v>
      </c>
      <c r="G1931" t="s">
        <v>396</v>
      </c>
      <c r="H1931">
        <v>23.475380000000001</v>
      </c>
      <c r="I1931">
        <v>14.92116</v>
      </c>
      <c r="J1931">
        <v>14.996980000000001</v>
      </c>
      <c r="K1931">
        <v>15.21576</v>
      </c>
      <c r="L1931">
        <v>15.77712</v>
      </c>
      <c r="M1931">
        <v>13.93253</v>
      </c>
      <c r="N1931">
        <v>11.173209999999999</v>
      </c>
    </row>
    <row r="1932" spans="1:14" hidden="1" x14ac:dyDescent="0.35">
      <c r="A1932" t="s">
        <v>748</v>
      </c>
      <c r="B1932" t="s">
        <v>74</v>
      </c>
      <c r="C1932" t="s">
        <v>71</v>
      </c>
      <c r="D1932" t="s">
        <v>77</v>
      </c>
      <c r="E1932" t="s">
        <v>584</v>
      </c>
      <c r="F1932" t="s">
        <v>581</v>
      </c>
      <c r="G1932" t="s">
        <v>25</v>
      </c>
      <c r="H1932">
        <v>1.2086950000000001</v>
      </c>
      <c r="I1932">
        <v>0.84789970000000003</v>
      </c>
      <c r="J1932">
        <v>0.89679880000000001</v>
      </c>
      <c r="K1932">
        <v>0.93242570000000002</v>
      </c>
      <c r="L1932">
        <v>0.99038079999999995</v>
      </c>
      <c r="M1932">
        <v>0.87593529999999997</v>
      </c>
      <c r="N1932">
        <v>0.63176770000000004</v>
      </c>
    </row>
    <row r="1933" spans="1:14" hidden="1" x14ac:dyDescent="0.35">
      <c r="A1933" t="s">
        <v>748</v>
      </c>
      <c r="B1933" t="s">
        <v>74</v>
      </c>
      <c r="C1933" t="s">
        <v>71</v>
      </c>
      <c r="D1933" t="s">
        <v>77</v>
      </c>
      <c r="E1933" t="s">
        <v>584</v>
      </c>
      <c r="F1933" t="s">
        <v>26</v>
      </c>
      <c r="G1933" t="s">
        <v>26</v>
      </c>
      <c r="H1933">
        <v>4.4029449999999999</v>
      </c>
      <c r="I1933">
        <v>4.2094529999999999</v>
      </c>
      <c r="J1933">
        <v>4.4614279999999997</v>
      </c>
      <c r="K1933">
        <v>4.6532270000000002</v>
      </c>
      <c r="L1933">
        <v>4.9659700000000004</v>
      </c>
      <c r="M1933">
        <v>4.3953509999999998</v>
      </c>
      <c r="N1933">
        <v>3.4289619999999998</v>
      </c>
    </row>
    <row r="1934" spans="1:14" hidden="1" x14ac:dyDescent="0.35">
      <c r="A1934" t="s">
        <v>748</v>
      </c>
      <c r="B1934" t="s">
        <v>74</v>
      </c>
      <c r="C1934" t="s">
        <v>71</v>
      </c>
      <c r="D1934" t="s">
        <v>76</v>
      </c>
      <c r="E1934" t="s">
        <v>584</v>
      </c>
      <c r="F1934" t="s">
        <v>581</v>
      </c>
      <c r="G1934" t="s">
        <v>396</v>
      </c>
      <c r="H1934">
        <v>8.1021369999999995E-2</v>
      </c>
      <c r="I1934">
        <v>7.0804930000000002E-2</v>
      </c>
      <c r="J1934">
        <v>7.0831240000000004E-2</v>
      </c>
      <c r="K1934">
        <v>4.9898629999999999E-2</v>
      </c>
      <c r="L1934">
        <v>0</v>
      </c>
      <c r="M1934">
        <v>0</v>
      </c>
      <c r="N1934">
        <v>0</v>
      </c>
    </row>
    <row r="1935" spans="1:14" hidden="1" x14ac:dyDescent="0.35">
      <c r="A1935" t="s">
        <v>748</v>
      </c>
      <c r="B1935" t="s">
        <v>74</v>
      </c>
      <c r="C1935" t="s">
        <v>227</v>
      </c>
      <c r="D1935" t="s">
        <v>227</v>
      </c>
      <c r="E1935" t="s">
        <v>584</v>
      </c>
      <c r="F1935" t="s">
        <v>581</v>
      </c>
      <c r="G1935" t="s">
        <v>396</v>
      </c>
      <c r="H1935">
        <v>24.800470000000001</v>
      </c>
      <c r="I1935">
        <v>23.860479999999999</v>
      </c>
      <c r="J1935">
        <v>20.17962</v>
      </c>
      <c r="K1935">
        <v>16.681239999999999</v>
      </c>
      <c r="L1935">
        <v>14.075760000000001</v>
      </c>
      <c r="M1935">
        <v>12.19961</v>
      </c>
      <c r="N1935">
        <v>11.55</v>
      </c>
    </row>
    <row r="1936" spans="1:14" hidden="1" x14ac:dyDescent="0.35">
      <c r="A1936" t="s">
        <v>748</v>
      </c>
      <c r="B1936" t="s">
        <v>74</v>
      </c>
      <c r="C1936" t="s">
        <v>227</v>
      </c>
      <c r="D1936" t="s">
        <v>227</v>
      </c>
      <c r="E1936" t="s">
        <v>584</v>
      </c>
      <c r="F1936" t="s">
        <v>26</v>
      </c>
      <c r="G1936" t="s">
        <v>26</v>
      </c>
      <c r="H1936">
        <v>0.48397380000000001</v>
      </c>
      <c r="I1936">
        <v>0.4656303</v>
      </c>
      <c r="J1936">
        <v>0.39379950000000002</v>
      </c>
      <c r="K1936">
        <v>0.3255284</v>
      </c>
      <c r="L1936">
        <v>0.28072829999999999</v>
      </c>
      <c r="M1936">
        <v>0.25595479999999998</v>
      </c>
      <c r="N1936">
        <v>0.29322939999999997</v>
      </c>
    </row>
    <row r="1937" spans="1:14" hidden="1" x14ac:dyDescent="0.35">
      <c r="A1937" t="s">
        <v>748</v>
      </c>
      <c r="B1937" t="s">
        <v>74</v>
      </c>
      <c r="C1937" t="s">
        <v>87</v>
      </c>
      <c r="D1937" t="s">
        <v>87</v>
      </c>
      <c r="E1937" t="s">
        <v>584</v>
      </c>
      <c r="F1937" t="s">
        <v>581</v>
      </c>
      <c r="G1937" t="s">
        <v>396</v>
      </c>
      <c r="H1937">
        <v>5.0058259999999999</v>
      </c>
      <c r="I1937">
        <v>3.824341</v>
      </c>
      <c r="J1937">
        <v>2.3991600000000002</v>
      </c>
      <c r="K1937">
        <v>1.9789749999999999</v>
      </c>
      <c r="L1937">
        <v>1.7304040000000001</v>
      </c>
      <c r="M1937">
        <v>2.2968389999999999</v>
      </c>
      <c r="N1937">
        <v>1.3924030000000001</v>
      </c>
    </row>
    <row r="1938" spans="1:14" hidden="1" x14ac:dyDescent="0.35">
      <c r="A1938" t="s">
        <v>748</v>
      </c>
      <c r="B1938" t="s">
        <v>74</v>
      </c>
      <c r="C1938" t="s">
        <v>87</v>
      </c>
      <c r="D1938" t="s">
        <v>87</v>
      </c>
      <c r="E1938" t="s">
        <v>584</v>
      </c>
      <c r="F1938" t="s">
        <v>581</v>
      </c>
      <c r="G1938" t="s">
        <v>25</v>
      </c>
      <c r="H1938">
        <v>7.0309449999999996E-2</v>
      </c>
      <c r="I1938">
        <v>5.9306980000000002E-2</v>
      </c>
      <c r="J1938">
        <v>0.10564519999999999</v>
      </c>
      <c r="K1938">
        <v>9.0297260000000004E-2</v>
      </c>
      <c r="L1938">
        <v>8.214109E-2</v>
      </c>
      <c r="M1938">
        <v>2.5275619999999999E-2</v>
      </c>
      <c r="N1938">
        <v>1.139452E-2</v>
      </c>
    </row>
    <row r="1939" spans="1:14" hidden="1" x14ac:dyDescent="0.35">
      <c r="A1939" t="s">
        <v>748</v>
      </c>
      <c r="B1939" t="s">
        <v>74</v>
      </c>
      <c r="C1939" t="s">
        <v>87</v>
      </c>
      <c r="D1939" t="s">
        <v>87</v>
      </c>
      <c r="E1939" t="s">
        <v>584</v>
      </c>
      <c r="F1939" t="s">
        <v>26</v>
      </c>
      <c r="G1939" t="s">
        <v>26</v>
      </c>
      <c r="H1939">
        <v>0.14039589999999999</v>
      </c>
      <c r="I1939">
        <v>0.1470137</v>
      </c>
      <c r="J1939">
        <v>0.16709180000000001</v>
      </c>
      <c r="K1939">
        <v>0.13993559999999999</v>
      </c>
      <c r="L1939">
        <v>0.12881200000000001</v>
      </c>
      <c r="M1939">
        <v>0.1247055</v>
      </c>
      <c r="N1939">
        <v>6.8453700000000006E-2</v>
      </c>
    </row>
    <row r="1940" spans="1:14" hidden="1" x14ac:dyDescent="0.35">
      <c r="A1940" t="s">
        <v>748</v>
      </c>
      <c r="B1940" t="s">
        <v>74</v>
      </c>
      <c r="C1940" t="s">
        <v>87</v>
      </c>
      <c r="D1940" t="s">
        <v>89</v>
      </c>
      <c r="E1940" t="s">
        <v>584</v>
      </c>
      <c r="F1940" t="s">
        <v>581</v>
      </c>
      <c r="G1940" t="s">
        <v>396</v>
      </c>
      <c r="H1940">
        <v>0.62898220000000005</v>
      </c>
      <c r="I1940">
        <v>0.64123839999999999</v>
      </c>
      <c r="J1940">
        <v>0.499863</v>
      </c>
      <c r="K1940">
        <v>0.44456030000000002</v>
      </c>
      <c r="L1940">
        <v>0.37260280000000001</v>
      </c>
      <c r="M1940">
        <v>0.60589559999999998</v>
      </c>
      <c r="N1940">
        <v>1.6946490000000001</v>
      </c>
    </row>
    <row r="1941" spans="1:14" hidden="1" x14ac:dyDescent="0.35">
      <c r="A1941" t="s">
        <v>748</v>
      </c>
      <c r="B1941" t="s">
        <v>74</v>
      </c>
      <c r="C1941" t="s">
        <v>87</v>
      </c>
      <c r="D1941" t="s">
        <v>89</v>
      </c>
      <c r="E1941" t="s">
        <v>584</v>
      </c>
      <c r="F1941" t="s">
        <v>581</v>
      </c>
      <c r="G1941" t="s">
        <v>25</v>
      </c>
      <c r="H1941">
        <v>5.0000000000000001E-4</v>
      </c>
      <c r="I1941">
        <v>5.1095890000000003E-4</v>
      </c>
      <c r="J1941">
        <v>3.9726030000000002E-4</v>
      </c>
      <c r="K1941">
        <v>3.5342460000000001E-4</v>
      </c>
      <c r="L1941">
        <v>3.0630140000000001E-4</v>
      </c>
      <c r="M1941">
        <v>9.356166E-4</v>
      </c>
      <c r="N1941">
        <v>3.5060270000000001E-3</v>
      </c>
    </row>
    <row r="1942" spans="1:14" hidden="1" x14ac:dyDescent="0.35">
      <c r="A1942" t="s">
        <v>748</v>
      </c>
      <c r="B1942" t="s">
        <v>74</v>
      </c>
      <c r="C1942" t="s">
        <v>87</v>
      </c>
      <c r="D1942" t="s">
        <v>89</v>
      </c>
      <c r="E1942" t="s">
        <v>584</v>
      </c>
      <c r="F1942" t="s">
        <v>26</v>
      </c>
      <c r="G1942" t="s">
        <v>26</v>
      </c>
      <c r="H1942">
        <v>5.874658E-2</v>
      </c>
      <c r="I1942">
        <v>5.989042E-2</v>
      </c>
      <c r="J1942">
        <v>4.66863E-2</v>
      </c>
      <c r="K1942">
        <v>4.1520540000000002E-2</v>
      </c>
      <c r="L1942">
        <v>3.4791509999999998E-2</v>
      </c>
      <c r="M1942">
        <v>5.6195889999999998E-2</v>
      </c>
      <c r="N1942">
        <v>0.15640799999999999</v>
      </c>
    </row>
    <row r="1943" spans="1:14" hidden="1" x14ac:dyDescent="0.35">
      <c r="A1943" t="s">
        <v>748</v>
      </c>
      <c r="B1943" t="s">
        <v>74</v>
      </c>
      <c r="C1943" t="s">
        <v>146</v>
      </c>
      <c r="D1943" t="s">
        <v>147</v>
      </c>
      <c r="E1943" t="s">
        <v>584</v>
      </c>
      <c r="F1943" t="s">
        <v>581</v>
      </c>
      <c r="G1943" t="s">
        <v>396</v>
      </c>
      <c r="H1943">
        <v>0.79953099999999999</v>
      </c>
      <c r="I1943">
        <v>0.89863020000000005</v>
      </c>
      <c r="J1943">
        <v>1.139799</v>
      </c>
      <c r="K1943">
        <v>0.91915829999999998</v>
      </c>
      <c r="L1943">
        <v>0.70821210000000001</v>
      </c>
      <c r="M1943">
        <v>0.58183030000000002</v>
      </c>
      <c r="N1943">
        <v>0.46854810000000002</v>
      </c>
    </row>
    <row r="1944" spans="1:14" hidden="1" x14ac:dyDescent="0.35">
      <c r="A1944" t="s">
        <v>748</v>
      </c>
      <c r="B1944" t="s">
        <v>74</v>
      </c>
      <c r="C1944" t="s">
        <v>146</v>
      </c>
      <c r="D1944" t="s">
        <v>147</v>
      </c>
      <c r="E1944" t="s">
        <v>584</v>
      </c>
      <c r="F1944" t="s">
        <v>581</v>
      </c>
      <c r="G1944" t="s">
        <v>25</v>
      </c>
      <c r="H1944">
        <v>3.491002E-2</v>
      </c>
      <c r="I1944">
        <v>0</v>
      </c>
    </row>
    <row r="1945" spans="1:14" hidden="1" x14ac:dyDescent="0.35">
      <c r="A1945" t="s">
        <v>748</v>
      </c>
      <c r="B1945" t="s">
        <v>74</v>
      </c>
      <c r="C1945" t="s">
        <v>146</v>
      </c>
      <c r="D1945" t="s">
        <v>147</v>
      </c>
      <c r="E1945" t="s">
        <v>584</v>
      </c>
      <c r="F1945" t="s">
        <v>26</v>
      </c>
      <c r="G1945" t="s">
        <v>26</v>
      </c>
      <c r="H1945">
        <v>4.869238E-2</v>
      </c>
      <c r="I1945">
        <v>5.4727669999999999E-2</v>
      </c>
      <c r="J1945">
        <v>6.9415229999999994E-2</v>
      </c>
      <c r="K1945">
        <v>7.1849029999999994E-2</v>
      </c>
      <c r="L1945">
        <v>5.5359829999999999E-2</v>
      </c>
      <c r="M1945">
        <v>4.5480810000000003E-2</v>
      </c>
      <c r="N1945">
        <v>3.6625579999999998E-2</v>
      </c>
    </row>
    <row r="1946" spans="1:14" hidden="1" x14ac:dyDescent="0.35">
      <c r="A1946" t="s">
        <v>748</v>
      </c>
      <c r="B1946" t="s">
        <v>74</v>
      </c>
      <c r="C1946" t="s">
        <v>146</v>
      </c>
      <c r="D1946" t="s">
        <v>197</v>
      </c>
      <c r="E1946" t="s">
        <v>584</v>
      </c>
      <c r="F1946" t="s">
        <v>581</v>
      </c>
      <c r="G1946" t="s">
        <v>396</v>
      </c>
      <c r="H1946">
        <v>0.74152200000000001</v>
      </c>
      <c r="I1946">
        <v>2.1922039999999998</v>
      </c>
      <c r="J1946">
        <v>1.1704829999999999</v>
      </c>
      <c r="K1946">
        <v>0.73564980000000002</v>
      </c>
      <c r="L1946">
        <v>0.46347339999999998</v>
      </c>
      <c r="M1946">
        <v>0.2871512</v>
      </c>
      <c r="N1946">
        <v>0.18271589999999999</v>
      </c>
    </row>
    <row r="1947" spans="1:14" hidden="1" x14ac:dyDescent="0.35">
      <c r="A1947" t="s">
        <v>748</v>
      </c>
      <c r="B1947" t="s">
        <v>74</v>
      </c>
      <c r="C1947" t="s">
        <v>146</v>
      </c>
      <c r="D1947" t="s">
        <v>197</v>
      </c>
      <c r="E1947" t="s">
        <v>584</v>
      </c>
      <c r="F1947" t="s">
        <v>26</v>
      </c>
      <c r="G1947" t="s">
        <v>26</v>
      </c>
      <c r="H1947">
        <v>0</v>
      </c>
      <c r="I1947">
        <v>1.219726E-2</v>
      </c>
      <c r="J1947">
        <v>6.641096E-3</v>
      </c>
      <c r="K1947">
        <v>7.9890410000000005E-3</v>
      </c>
      <c r="L1947">
        <v>2.3766579999999999E-2</v>
      </c>
      <c r="M1947">
        <v>1.7562189999999998E-2</v>
      </c>
      <c r="N1947">
        <v>1.231178E-2</v>
      </c>
    </row>
    <row r="1948" spans="1:14" hidden="1" x14ac:dyDescent="0.35">
      <c r="A1948" t="s">
        <v>748</v>
      </c>
      <c r="B1948" t="s">
        <v>59</v>
      </c>
      <c r="C1948" t="s">
        <v>58</v>
      </c>
      <c r="D1948" t="s">
        <v>58</v>
      </c>
      <c r="E1948" t="s">
        <v>584</v>
      </c>
      <c r="F1948" t="s">
        <v>581</v>
      </c>
      <c r="G1948" t="s">
        <v>396</v>
      </c>
      <c r="H1948">
        <v>3.8478189999999999</v>
      </c>
      <c r="I1948">
        <v>3.1747969999999999</v>
      </c>
      <c r="J1948">
        <v>2.5793050000000002</v>
      </c>
      <c r="K1948">
        <v>0</v>
      </c>
      <c r="L1948">
        <v>0</v>
      </c>
      <c r="M1948">
        <v>0</v>
      </c>
      <c r="N1948">
        <v>0</v>
      </c>
    </row>
    <row r="1949" spans="1:14" hidden="1" x14ac:dyDescent="0.35">
      <c r="A1949" t="s">
        <v>748</v>
      </c>
      <c r="B1949" t="s">
        <v>59</v>
      </c>
      <c r="C1949" t="s">
        <v>58</v>
      </c>
      <c r="D1949" t="s">
        <v>58</v>
      </c>
      <c r="E1949" t="s">
        <v>584</v>
      </c>
      <c r="F1949" t="s">
        <v>581</v>
      </c>
      <c r="G1949" t="s">
        <v>24</v>
      </c>
      <c r="H1949">
        <v>0.1018329</v>
      </c>
      <c r="I1949">
        <v>8.0702739999999995E-2</v>
      </c>
      <c r="J1949">
        <v>6.0250690000000003E-2</v>
      </c>
      <c r="K1949">
        <v>0</v>
      </c>
      <c r="L1949">
        <v>0</v>
      </c>
      <c r="M1949">
        <v>0</v>
      </c>
      <c r="N1949">
        <v>0</v>
      </c>
    </row>
    <row r="1950" spans="1:14" hidden="1" x14ac:dyDescent="0.35">
      <c r="A1950" t="s">
        <v>748</v>
      </c>
      <c r="B1950" t="s">
        <v>59</v>
      </c>
      <c r="C1950" t="s">
        <v>58</v>
      </c>
      <c r="D1950" t="s">
        <v>58</v>
      </c>
      <c r="E1950" t="s">
        <v>584</v>
      </c>
      <c r="F1950" t="s">
        <v>581</v>
      </c>
      <c r="G1950" t="s">
        <v>25</v>
      </c>
      <c r="H1950">
        <v>5.1365750000000002E-2</v>
      </c>
      <c r="I1950">
        <v>3.894657E-2</v>
      </c>
      <c r="J1950">
        <v>2.9073970000000001E-2</v>
      </c>
      <c r="K1950">
        <v>1.369863E-6</v>
      </c>
      <c r="L1950">
        <v>0</v>
      </c>
      <c r="M1950">
        <v>0</v>
      </c>
      <c r="N1950">
        <v>0</v>
      </c>
    </row>
    <row r="1951" spans="1:14" hidden="1" x14ac:dyDescent="0.35">
      <c r="A1951" t="s">
        <v>748</v>
      </c>
      <c r="B1951" t="s">
        <v>59</v>
      </c>
      <c r="C1951" t="s">
        <v>58</v>
      </c>
      <c r="D1951" t="s">
        <v>58</v>
      </c>
      <c r="E1951" t="s">
        <v>584</v>
      </c>
      <c r="F1951" t="s">
        <v>26</v>
      </c>
      <c r="G1951" t="s">
        <v>26</v>
      </c>
      <c r="H1951">
        <v>0.13366159999999999</v>
      </c>
      <c r="I1951">
        <v>0</v>
      </c>
    </row>
    <row r="1952" spans="1:14" hidden="1" x14ac:dyDescent="0.35">
      <c r="A1952" t="s">
        <v>748</v>
      </c>
      <c r="B1952" t="s">
        <v>59</v>
      </c>
      <c r="C1952" t="s">
        <v>161</v>
      </c>
      <c r="D1952" t="s">
        <v>161</v>
      </c>
      <c r="E1952" t="s">
        <v>584</v>
      </c>
      <c r="F1952" t="s">
        <v>581</v>
      </c>
      <c r="G1952" t="s">
        <v>396</v>
      </c>
      <c r="H1952">
        <v>1.0556000000000001</v>
      </c>
      <c r="I1952">
        <v>0.53364549999999999</v>
      </c>
      <c r="J1952">
        <v>0.38469120000000001</v>
      </c>
      <c r="K1952">
        <v>0.26734439999999998</v>
      </c>
      <c r="L1952">
        <v>4.0141639999999999E-2</v>
      </c>
      <c r="M1952">
        <v>0</v>
      </c>
    </row>
    <row r="1953" spans="1:14" hidden="1" x14ac:dyDescent="0.35">
      <c r="A1953" t="s">
        <v>748</v>
      </c>
      <c r="B1953" t="s">
        <v>59</v>
      </c>
      <c r="C1953" t="s">
        <v>161</v>
      </c>
      <c r="D1953" t="s">
        <v>161</v>
      </c>
      <c r="E1953" t="s">
        <v>584</v>
      </c>
      <c r="F1953" t="s">
        <v>26</v>
      </c>
      <c r="G1953" t="s">
        <v>26</v>
      </c>
      <c r="H1953">
        <v>0.22909560000000001</v>
      </c>
      <c r="I1953">
        <v>0.4102345</v>
      </c>
      <c r="J1953">
        <v>0.29572789999999999</v>
      </c>
      <c r="K1953">
        <v>0.20551810000000001</v>
      </c>
      <c r="L1953">
        <v>3.085945E-2</v>
      </c>
      <c r="M1953">
        <v>0</v>
      </c>
    </row>
    <row r="1954" spans="1:14" hidden="1" x14ac:dyDescent="0.35">
      <c r="A1954" t="s">
        <v>749</v>
      </c>
      <c r="B1954" t="s">
        <v>37</v>
      </c>
      <c r="C1954" t="s">
        <v>79</v>
      </c>
      <c r="D1954" t="s">
        <v>79</v>
      </c>
      <c r="E1954" t="s">
        <v>600</v>
      </c>
      <c r="F1954" t="s">
        <v>581</v>
      </c>
      <c r="G1954" t="s">
        <v>396</v>
      </c>
      <c r="H1954">
        <v>1.069312</v>
      </c>
      <c r="I1954">
        <v>0.97470959999999995</v>
      </c>
      <c r="J1954">
        <v>0.82142680000000001</v>
      </c>
      <c r="K1954">
        <v>0.68462250000000002</v>
      </c>
      <c r="L1954">
        <v>0.60332220000000003</v>
      </c>
      <c r="M1954">
        <v>0.52596109999999996</v>
      </c>
      <c r="N1954">
        <v>0.44319229999999998</v>
      </c>
    </row>
    <row r="1955" spans="1:14" hidden="1" x14ac:dyDescent="0.35">
      <c r="A1955" t="s">
        <v>749</v>
      </c>
      <c r="B1955" t="s">
        <v>37</v>
      </c>
      <c r="C1955" t="s">
        <v>79</v>
      </c>
      <c r="D1955" t="s">
        <v>79</v>
      </c>
      <c r="E1955" t="s">
        <v>600</v>
      </c>
      <c r="F1955" t="s">
        <v>581</v>
      </c>
      <c r="G1955" t="s">
        <v>24</v>
      </c>
      <c r="H1955">
        <v>20.37115</v>
      </c>
      <c r="I1955">
        <v>15.790509999999999</v>
      </c>
      <c r="J1955">
        <v>14.006309999999999</v>
      </c>
      <c r="K1955">
        <v>11.55142</v>
      </c>
      <c r="L1955">
        <v>9.7726279999999992</v>
      </c>
      <c r="M1955">
        <v>8.3781549999999996</v>
      </c>
      <c r="N1955">
        <v>6.9419269999999997</v>
      </c>
    </row>
    <row r="1956" spans="1:14" hidden="1" x14ac:dyDescent="0.35">
      <c r="A1956" t="s">
        <v>749</v>
      </c>
      <c r="B1956" t="s">
        <v>37</v>
      </c>
      <c r="C1956" t="s">
        <v>79</v>
      </c>
      <c r="D1956" t="s">
        <v>79</v>
      </c>
      <c r="E1956" t="s">
        <v>600</v>
      </c>
      <c r="F1956" t="s">
        <v>581</v>
      </c>
      <c r="G1956" t="s">
        <v>25</v>
      </c>
      <c r="H1956">
        <v>21.71191</v>
      </c>
      <c r="I1956">
        <v>19.87799</v>
      </c>
      <c r="J1956">
        <v>17.985710000000001</v>
      </c>
      <c r="K1956">
        <v>14.791679999999999</v>
      </c>
      <c r="L1956">
        <v>12.373710000000001</v>
      </c>
      <c r="M1956">
        <v>10.55735</v>
      </c>
      <c r="N1956">
        <v>8.7045700000000004</v>
      </c>
    </row>
    <row r="1957" spans="1:14" hidden="1" x14ac:dyDescent="0.35">
      <c r="A1957" t="s">
        <v>749</v>
      </c>
      <c r="B1957" t="s">
        <v>37</v>
      </c>
      <c r="C1957" t="s">
        <v>79</v>
      </c>
      <c r="D1957" t="s">
        <v>79</v>
      </c>
      <c r="E1957" t="s">
        <v>600</v>
      </c>
      <c r="F1957" t="s">
        <v>26</v>
      </c>
      <c r="G1957" t="s">
        <v>26</v>
      </c>
      <c r="H1957">
        <v>20.502510000000001</v>
      </c>
      <c r="I1957">
        <v>18.771100000000001</v>
      </c>
      <c r="J1957">
        <v>16.989650000000001</v>
      </c>
      <c r="K1957">
        <v>13.971690000000001</v>
      </c>
      <c r="L1957">
        <v>11.68502</v>
      </c>
      <c r="M1957">
        <v>9.96875</v>
      </c>
      <c r="N1957">
        <v>8.2184139999999992</v>
      </c>
    </row>
    <row r="1958" spans="1:14" hidden="1" x14ac:dyDescent="0.35">
      <c r="A1958" t="s">
        <v>749</v>
      </c>
      <c r="B1958" t="s">
        <v>37</v>
      </c>
      <c r="C1958" t="s">
        <v>79</v>
      </c>
      <c r="D1958" t="s">
        <v>79</v>
      </c>
      <c r="E1958" t="s">
        <v>615</v>
      </c>
      <c r="F1958" t="s">
        <v>581</v>
      </c>
      <c r="G1958" t="s">
        <v>396</v>
      </c>
      <c r="H1958">
        <v>2.3950659999999999</v>
      </c>
      <c r="I1958">
        <v>1.1688190000000001</v>
      </c>
      <c r="J1958">
        <v>0.93826030000000005</v>
      </c>
      <c r="K1958">
        <v>0.73908229999999997</v>
      </c>
      <c r="L1958">
        <v>0.59784780000000004</v>
      </c>
      <c r="M1958">
        <v>0.4719584</v>
      </c>
      <c r="N1958">
        <v>0.37545980000000001</v>
      </c>
    </row>
    <row r="1959" spans="1:14" hidden="1" x14ac:dyDescent="0.35">
      <c r="A1959" t="s">
        <v>749</v>
      </c>
      <c r="B1959" t="s">
        <v>37</v>
      </c>
      <c r="C1959" t="s">
        <v>79</v>
      </c>
      <c r="D1959" t="s">
        <v>79</v>
      </c>
      <c r="E1959" t="s">
        <v>615</v>
      </c>
      <c r="F1959" t="s">
        <v>581</v>
      </c>
      <c r="G1959" t="s">
        <v>25</v>
      </c>
      <c r="H1959">
        <v>7.7265749999999994E-2</v>
      </c>
      <c r="I1959">
        <v>3.7676710000000002E-2</v>
      </c>
      <c r="J1959">
        <v>3.0265750000000001E-2</v>
      </c>
      <c r="K1959">
        <v>2.38411E-2</v>
      </c>
      <c r="L1959">
        <v>1.9282190000000001E-2</v>
      </c>
      <c r="M1959">
        <v>1.5225209999999999E-2</v>
      </c>
      <c r="N1959">
        <v>1.211014E-2</v>
      </c>
    </row>
    <row r="1960" spans="1:14" hidden="1" x14ac:dyDescent="0.35">
      <c r="A1960" t="s">
        <v>749</v>
      </c>
      <c r="B1960" t="s">
        <v>37</v>
      </c>
      <c r="C1960" t="s">
        <v>79</v>
      </c>
      <c r="D1960" t="s">
        <v>79</v>
      </c>
      <c r="E1960" t="s">
        <v>615</v>
      </c>
      <c r="F1960" t="s">
        <v>26</v>
      </c>
      <c r="G1960" t="s">
        <v>26</v>
      </c>
      <c r="H1960">
        <v>0.1030137</v>
      </c>
      <c r="I1960">
        <v>5.0238350000000001E-2</v>
      </c>
      <c r="J1960">
        <v>4.0353430000000003E-2</v>
      </c>
      <c r="K1960">
        <v>3.1789039999999998E-2</v>
      </c>
      <c r="L1960">
        <v>2.571507E-2</v>
      </c>
      <c r="M1960">
        <v>2.0297530000000001E-2</v>
      </c>
      <c r="N1960">
        <v>1.614904E-2</v>
      </c>
    </row>
    <row r="1961" spans="1:14" hidden="1" x14ac:dyDescent="0.35">
      <c r="A1961" t="s">
        <v>749</v>
      </c>
      <c r="B1961" t="s">
        <v>37</v>
      </c>
      <c r="C1961" t="s">
        <v>79</v>
      </c>
      <c r="D1961" t="s">
        <v>79</v>
      </c>
      <c r="E1961" t="s">
        <v>614</v>
      </c>
      <c r="F1961" t="s">
        <v>581</v>
      </c>
      <c r="G1961" t="s">
        <v>396</v>
      </c>
      <c r="H1961">
        <v>0.76712610000000003</v>
      </c>
      <c r="I1961">
        <v>0.725074</v>
      </c>
      <c r="J1961">
        <v>0.74251670000000003</v>
      </c>
      <c r="K1961">
        <v>0.65570300000000004</v>
      </c>
      <c r="L1961">
        <v>0.61989470000000002</v>
      </c>
      <c r="M1961">
        <v>0.50594570000000005</v>
      </c>
      <c r="N1961">
        <v>0.41931230000000003</v>
      </c>
    </row>
    <row r="1962" spans="1:14" hidden="1" x14ac:dyDescent="0.35">
      <c r="A1962" t="s">
        <v>749</v>
      </c>
      <c r="B1962" t="s">
        <v>37</v>
      </c>
      <c r="C1962" t="s">
        <v>79</v>
      </c>
      <c r="D1962" t="s">
        <v>79</v>
      </c>
      <c r="E1962" t="s">
        <v>614</v>
      </c>
      <c r="F1962" t="s">
        <v>581</v>
      </c>
      <c r="G1962" t="s">
        <v>25</v>
      </c>
      <c r="H1962">
        <v>0.16438079999999999</v>
      </c>
      <c r="I1962">
        <v>0.1553726</v>
      </c>
      <c r="J1962">
        <v>0.15910630000000001</v>
      </c>
      <c r="K1962">
        <v>0.14050799999999999</v>
      </c>
      <c r="L1962">
        <v>0.13283339999999999</v>
      </c>
      <c r="M1962">
        <v>0.1084186</v>
      </c>
      <c r="N1962">
        <v>8.9849319999999996E-2</v>
      </c>
    </row>
    <row r="1963" spans="1:14" hidden="1" x14ac:dyDescent="0.35">
      <c r="A1963" t="s">
        <v>749</v>
      </c>
      <c r="B1963" t="s">
        <v>37</v>
      </c>
      <c r="C1963" t="s">
        <v>79</v>
      </c>
      <c r="D1963" t="s">
        <v>79</v>
      </c>
      <c r="E1963" t="s">
        <v>614</v>
      </c>
      <c r="F1963" t="s">
        <v>26</v>
      </c>
      <c r="G1963" t="s">
        <v>26</v>
      </c>
      <c r="H1963">
        <v>0.16438359999999999</v>
      </c>
      <c r="I1963">
        <v>0.1553726</v>
      </c>
      <c r="J1963">
        <v>0.1591118</v>
      </c>
      <c r="K1963">
        <v>0.14050799999999999</v>
      </c>
      <c r="L1963">
        <v>0.1328329</v>
      </c>
      <c r="M1963">
        <v>0.108417</v>
      </c>
      <c r="N1963">
        <v>8.9852059999999997E-2</v>
      </c>
    </row>
    <row r="1964" spans="1:14" hidden="1" x14ac:dyDescent="0.35">
      <c r="A1964" t="s">
        <v>749</v>
      </c>
      <c r="B1964" t="s">
        <v>37</v>
      </c>
      <c r="C1964" t="s">
        <v>79</v>
      </c>
      <c r="D1964" t="s">
        <v>79</v>
      </c>
      <c r="E1964" t="s">
        <v>750</v>
      </c>
      <c r="F1964" t="s">
        <v>581</v>
      </c>
      <c r="G1964" t="s">
        <v>396</v>
      </c>
      <c r="H1964">
        <v>4.7802740000000003E-2</v>
      </c>
      <c r="I1964">
        <v>4.1186300000000002E-2</v>
      </c>
      <c r="J1964">
        <v>3.589589E-2</v>
      </c>
      <c r="K1964">
        <v>3.1578090000000003E-2</v>
      </c>
      <c r="L1964">
        <v>2.7789040000000001E-2</v>
      </c>
      <c r="M1964">
        <v>2.451507E-2</v>
      </c>
      <c r="N1964">
        <v>2.1509589999999999E-2</v>
      </c>
    </row>
    <row r="1965" spans="1:14" hidden="1" x14ac:dyDescent="0.35">
      <c r="A1965" t="s">
        <v>749</v>
      </c>
      <c r="B1965" t="s">
        <v>37</v>
      </c>
      <c r="C1965" t="s">
        <v>79</v>
      </c>
      <c r="D1965" t="s">
        <v>79</v>
      </c>
      <c r="E1965" t="s">
        <v>750</v>
      </c>
      <c r="F1965" t="s">
        <v>26</v>
      </c>
      <c r="G1965" t="s">
        <v>26</v>
      </c>
      <c r="H1965">
        <v>5.3123290000000002E-3</v>
      </c>
      <c r="I1965">
        <v>4.5753419999999996E-3</v>
      </c>
      <c r="J1965">
        <v>3.9890409999999996E-3</v>
      </c>
      <c r="K1965">
        <v>3.509589E-3</v>
      </c>
      <c r="L1965">
        <v>3.0876710000000002E-3</v>
      </c>
      <c r="M1965">
        <v>2.7232879999999999E-3</v>
      </c>
      <c r="N1965">
        <v>2.3890410000000002E-3</v>
      </c>
    </row>
    <row r="1966" spans="1:14" hidden="1" x14ac:dyDescent="0.35">
      <c r="A1966" t="s">
        <v>749</v>
      </c>
      <c r="B1966" t="s">
        <v>37</v>
      </c>
      <c r="C1966" t="s">
        <v>46</v>
      </c>
      <c r="D1966" t="s">
        <v>46</v>
      </c>
      <c r="E1966" t="s">
        <v>750</v>
      </c>
      <c r="F1966" t="s">
        <v>581</v>
      </c>
      <c r="G1966" t="s">
        <v>396</v>
      </c>
      <c r="H1966">
        <v>7.8704109999999994E-2</v>
      </c>
      <c r="I1966">
        <v>6.7920560000000005E-2</v>
      </c>
      <c r="J1966">
        <v>8.0801100000000001E-2</v>
      </c>
      <c r="K1966">
        <v>9.4163280000000002E-2</v>
      </c>
      <c r="L1966">
        <v>0.11553099999999999</v>
      </c>
      <c r="M1966">
        <v>8.6713970000000001E-2</v>
      </c>
      <c r="N1966">
        <v>6.6444929999999999E-2</v>
      </c>
    </row>
    <row r="1967" spans="1:14" hidden="1" x14ac:dyDescent="0.35">
      <c r="A1967" t="s">
        <v>749</v>
      </c>
      <c r="B1967" t="s">
        <v>37</v>
      </c>
      <c r="C1967" t="s">
        <v>46</v>
      </c>
      <c r="D1967" t="s">
        <v>46</v>
      </c>
      <c r="E1967" t="s">
        <v>750</v>
      </c>
      <c r="F1967" t="s">
        <v>26</v>
      </c>
      <c r="G1967" t="s">
        <v>26</v>
      </c>
      <c r="H1967">
        <v>8.7452060000000002E-3</v>
      </c>
      <c r="I1967">
        <v>7.5479450000000003E-3</v>
      </c>
      <c r="J1967">
        <v>8.9786299999999996E-3</v>
      </c>
      <c r="K1967">
        <v>1.046411E-2</v>
      </c>
      <c r="L1967">
        <v>1.283726E-2</v>
      </c>
      <c r="M1967">
        <v>9.6356170000000008E-3</v>
      </c>
      <c r="N1967">
        <v>7.3841100000000002E-3</v>
      </c>
    </row>
    <row r="1968" spans="1:14" hidden="1" x14ac:dyDescent="0.35">
      <c r="A1968" t="s">
        <v>751</v>
      </c>
      <c r="B1968" t="s">
        <v>245</v>
      </c>
      <c r="C1968" t="s">
        <v>244</v>
      </c>
      <c r="D1968" t="s">
        <v>244</v>
      </c>
      <c r="E1968" t="s">
        <v>584</v>
      </c>
      <c r="F1968" t="s">
        <v>581</v>
      </c>
      <c r="G1968" t="s">
        <v>24</v>
      </c>
      <c r="H1968">
        <v>0.33564640000000001</v>
      </c>
      <c r="I1968">
        <v>0.3143454</v>
      </c>
      <c r="J1968">
        <v>0.30302440000000003</v>
      </c>
      <c r="K1968">
        <v>0.35713080000000003</v>
      </c>
      <c r="L1968">
        <v>0.42385070000000002</v>
      </c>
      <c r="M1968">
        <v>0.43403550000000002</v>
      </c>
      <c r="N1968">
        <v>0.3742279</v>
      </c>
    </row>
    <row r="1969" spans="1:14" hidden="1" x14ac:dyDescent="0.35">
      <c r="A1969" t="s">
        <v>751</v>
      </c>
      <c r="B1969" t="s">
        <v>245</v>
      </c>
      <c r="C1969" t="s">
        <v>244</v>
      </c>
      <c r="D1969" t="s">
        <v>244</v>
      </c>
      <c r="E1969" t="s">
        <v>584</v>
      </c>
      <c r="F1969" t="s">
        <v>26</v>
      </c>
      <c r="G1969" t="s">
        <v>26</v>
      </c>
      <c r="H1969">
        <v>41.993699999999997</v>
      </c>
      <c r="I1969">
        <v>41.99371</v>
      </c>
      <c r="J1969">
        <v>42.134169999999997</v>
      </c>
      <c r="K1969">
        <v>43.340229999999998</v>
      </c>
      <c r="L1969">
        <v>44.780209999999997</v>
      </c>
      <c r="M1969">
        <v>45.439770000000003</v>
      </c>
      <c r="N1969">
        <v>47.35539</v>
      </c>
    </row>
    <row r="1970" spans="1:14" hidden="1" x14ac:dyDescent="0.35">
      <c r="A1970" t="s">
        <v>752</v>
      </c>
      <c r="B1970" t="s">
        <v>34</v>
      </c>
      <c r="C1970" t="s">
        <v>33</v>
      </c>
      <c r="D1970" t="s">
        <v>33</v>
      </c>
      <c r="E1970" t="s">
        <v>753</v>
      </c>
      <c r="F1970" t="s">
        <v>581</v>
      </c>
      <c r="G1970" t="s">
        <v>396</v>
      </c>
      <c r="H1970">
        <v>6.841643E-2</v>
      </c>
      <c r="I1970">
        <v>7.2501919999999997E-2</v>
      </c>
      <c r="J1970">
        <v>6.4315620000000004E-2</v>
      </c>
      <c r="K1970">
        <v>5.6784109999999999E-2</v>
      </c>
      <c r="L1970">
        <v>5.1267399999999998E-2</v>
      </c>
      <c r="M1970">
        <v>4.5025750000000003E-2</v>
      </c>
      <c r="N1970">
        <v>3.9599450000000001E-2</v>
      </c>
    </row>
    <row r="1971" spans="1:14" hidden="1" x14ac:dyDescent="0.35">
      <c r="A1971" t="s">
        <v>752</v>
      </c>
      <c r="B1971" t="s">
        <v>34</v>
      </c>
      <c r="C1971" t="s">
        <v>33</v>
      </c>
      <c r="D1971" t="s">
        <v>33</v>
      </c>
      <c r="E1971" t="s">
        <v>753</v>
      </c>
      <c r="F1971" t="s">
        <v>581</v>
      </c>
      <c r="G1971" t="s">
        <v>24</v>
      </c>
      <c r="H1971">
        <v>9.049316E-3</v>
      </c>
      <c r="I1971">
        <v>9.6164370000000002E-3</v>
      </c>
      <c r="J1971">
        <v>7.9857529999999999E-3</v>
      </c>
      <c r="K1971">
        <v>6.3742470000000004E-3</v>
      </c>
      <c r="L1971">
        <v>5.2810959999999999E-3</v>
      </c>
      <c r="M1971">
        <v>4.7550689999999998E-3</v>
      </c>
      <c r="N1971">
        <v>4.2268499999999999E-3</v>
      </c>
    </row>
    <row r="1972" spans="1:14" hidden="1" x14ac:dyDescent="0.35">
      <c r="A1972" t="s">
        <v>752</v>
      </c>
      <c r="B1972" t="s">
        <v>34</v>
      </c>
      <c r="C1972" t="s">
        <v>33</v>
      </c>
      <c r="D1972" t="s">
        <v>33</v>
      </c>
      <c r="E1972" t="s">
        <v>753</v>
      </c>
      <c r="F1972" t="s">
        <v>581</v>
      </c>
      <c r="G1972" t="s">
        <v>25</v>
      </c>
      <c r="H1972">
        <v>8.9934650000000005</v>
      </c>
      <c r="I1972">
        <v>8.3629850000000001</v>
      </c>
      <c r="J1972">
        <v>7.225714</v>
      </c>
      <c r="K1972">
        <v>6.2920980000000002</v>
      </c>
      <c r="L1972">
        <v>5.5958069999999998</v>
      </c>
      <c r="M1972">
        <v>4.9034190000000004</v>
      </c>
      <c r="N1972">
        <v>4.3081370000000003</v>
      </c>
    </row>
    <row r="1973" spans="1:14" hidden="1" x14ac:dyDescent="0.35">
      <c r="A1973" t="s">
        <v>752</v>
      </c>
      <c r="B1973" t="s">
        <v>34</v>
      </c>
      <c r="C1973" t="s">
        <v>33</v>
      </c>
      <c r="D1973" t="s">
        <v>33</v>
      </c>
      <c r="E1973" t="s">
        <v>753</v>
      </c>
      <c r="F1973" t="s">
        <v>26</v>
      </c>
      <c r="G1973" t="s">
        <v>26</v>
      </c>
      <c r="H1973">
        <v>11.43075</v>
      </c>
      <c r="I1973">
        <v>11.51233</v>
      </c>
      <c r="J1973">
        <v>9.6519370000000002</v>
      </c>
      <c r="K1973">
        <v>8.2507549999999998</v>
      </c>
      <c r="L1973">
        <v>7.1633610000000001</v>
      </c>
      <c r="M1973">
        <v>6.2340669999999996</v>
      </c>
      <c r="N1973">
        <v>5.4611099999999997</v>
      </c>
    </row>
    <row r="1974" spans="1:14" hidden="1" x14ac:dyDescent="0.35">
      <c r="A1974" t="s">
        <v>752</v>
      </c>
      <c r="B1974" t="s">
        <v>34</v>
      </c>
      <c r="C1974" t="s">
        <v>33</v>
      </c>
      <c r="D1974" t="s">
        <v>33</v>
      </c>
      <c r="E1974" t="s">
        <v>675</v>
      </c>
      <c r="F1974" t="s">
        <v>581</v>
      </c>
      <c r="G1974" t="s">
        <v>396</v>
      </c>
      <c r="H1974">
        <v>2.2446580000000001E-2</v>
      </c>
      <c r="I1974">
        <v>2.0255889999999999E-2</v>
      </c>
      <c r="J1974">
        <v>1.889151E-2</v>
      </c>
      <c r="K1974">
        <v>1.5285480000000001E-2</v>
      </c>
      <c r="L1974">
        <v>1.3444380000000001E-2</v>
      </c>
      <c r="M1974">
        <v>1.115123E-2</v>
      </c>
      <c r="N1974">
        <v>9.3978080000000006E-3</v>
      </c>
    </row>
    <row r="1975" spans="1:14" hidden="1" x14ac:dyDescent="0.35">
      <c r="A1975" t="s">
        <v>752</v>
      </c>
      <c r="B1975" t="s">
        <v>34</v>
      </c>
      <c r="C1975" t="s">
        <v>33</v>
      </c>
      <c r="D1975" t="s">
        <v>33</v>
      </c>
      <c r="E1975" t="s">
        <v>675</v>
      </c>
      <c r="F1975" t="s">
        <v>581</v>
      </c>
      <c r="G1975" t="s">
        <v>25</v>
      </c>
      <c r="H1975">
        <v>2.601915</v>
      </c>
      <c r="I1975">
        <v>2.400623</v>
      </c>
      <c r="J1975">
        <v>2.021493</v>
      </c>
      <c r="K1975">
        <v>1.64924</v>
      </c>
      <c r="L1975">
        <v>1.415446</v>
      </c>
      <c r="M1975">
        <v>1.197468</v>
      </c>
      <c r="N1975">
        <v>1.0324610000000001</v>
      </c>
    </row>
    <row r="1976" spans="1:14" hidden="1" x14ac:dyDescent="0.35">
      <c r="A1976" t="s">
        <v>752</v>
      </c>
      <c r="B1976" t="s">
        <v>34</v>
      </c>
      <c r="C1976" t="s">
        <v>33</v>
      </c>
      <c r="D1976" t="s">
        <v>33</v>
      </c>
      <c r="E1976" t="s">
        <v>675</v>
      </c>
      <c r="F1976" t="s">
        <v>26</v>
      </c>
      <c r="G1976" t="s">
        <v>26</v>
      </c>
      <c r="H1976">
        <v>16.523350000000001</v>
      </c>
      <c r="I1976">
        <v>14.9741</v>
      </c>
      <c r="J1976">
        <v>12.397640000000001</v>
      </c>
      <c r="K1976">
        <v>10.13654</v>
      </c>
      <c r="L1976">
        <v>8.655189</v>
      </c>
      <c r="M1976">
        <v>7.3505409999999998</v>
      </c>
      <c r="N1976">
        <v>6.367953</v>
      </c>
    </row>
    <row r="1977" spans="1:14" hidden="1" x14ac:dyDescent="0.35">
      <c r="A1977" t="s">
        <v>752</v>
      </c>
      <c r="B1977" t="s">
        <v>34</v>
      </c>
      <c r="C1977" t="s">
        <v>33</v>
      </c>
      <c r="D1977" t="s">
        <v>33</v>
      </c>
      <c r="E1977" t="s">
        <v>584</v>
      </c>
      <c r="F1977" t="s">
        <v>581</v>
      </c>
      <c r="G1977" t="s">
        <v>396</v>
      </c>
      <c r="H1977">
        <v>1.124619</v>
      </c>
      <c r="I1977">
        <v>1.1065640000000001</v>
      </c>
      <c r="J1977">
        <v>1.0422579999999999</v>
      </c>
      <c r="K1977">
        <v>0.97471569999999996</v>
      </c>
      <c r="L1977">
        <v>0.8309375</v>
      </c>
      <c r="M1977">
        <v>0.48719669999999998</v>
      </c>
      <c r="N1977">
        <v>6.5736439999999993E-2</v>
      </c>
    </row>
    <row r="1978" spans="1:14" hidden="1" x14ac:dyDescent="0.35">
      <c r="A1978" t="s">
        <v>752</v>
      </c>
      <c r="B1978" t="s">
        <v>34</v>
      </c>
      <c r="C1978" t="s">
        <v>33</v>
      </c>
      <c r="D1978" t="s">
        <v>33</v>
      </c>
      <c r="E1978" t="s">
        <v>584</v>
      </c>
      <c r="F1978" t="s">
        <v>581</v>
      </c>
      <c r="G1978" t="s">
        <v>24</v>
      </c>
      <c r="H1978">
        <v>1.9928769999999998E-2</v>
      </c>
      <c r="I1978">
        <v>2.1035620000000001E-2</v>
      </c>
      <c r="J1978">
        <v>2.1035620000000001E-2</v>
      </c>
      <c r="K1978">
        <v>2.1035620000000001E-2</v>
      </c>
      <c r="L1978">
        <v>2.1035620000000001E-2</v>
      </c>
      <c r="M1978">
        <v>1.9365480000000001E-2</v>
      </c>
      <c r="N1978">
        <v>1.9365480000000001E-2</v>
      </c>
    </row>
    <row r="1979" spans="1:14" hidden="1" x14ac:dyDescent="0.35">
      <c r="A1979" t="s">
        <v>752</v>
      </c>
      <c r="B1979" t="s">
        <v>34</v>
      </c>
      <c r="C1979" t="s">
        <v>33</v>
      </c>
      <c r="D1979" t="s">
        <v>33</v>
      </c>
      <c r="E1979" t="s">
        <v>584</v>
      </c>
      <c r="F1979" t="s">
        <v>581</v>
      </c>
      <c r="G1979" t="s">
        <v>25</v>
      </c>
      <c r="H1979">
        <v>3.13517</v>
      </c>
      <c r="I1979">
        <v>2.374784</v>
      </c>
      <c r="J1979">
        <v>1.8250139999999999</v>
      </c>
      <c r="K1979">
        <v>1.397427</v>
      </c>
      <c r="L1979">
        <v>1.045404</v>
      </c>
      <c r="M1979">
        <v>0.66042520000000005</v>
      </c>
      <c r="N1979">
        <v>6.2185209999999998E-2</v>
      </c>
    </row>
    <row r="1980" spans="1:14" hidden="1" x14ac:dyDescent="0.35">
      <c r="A1980" t="s">
        <v>752</v>
      </c>
      <c r="B1980" t="s">
        <v>34</v>
      </c>
      <c r="C1980" t="s">
        <v>33</v>
      </c>
      <c r="D1980" t="s">
        <v>33</v>
      </c>
      <c r="E1980" t="s">
        <v>584</v>
      </c>
      <c r="F1980" t="s">
        <v>26</v>
      </c>
      <c r="G1980" t="s">
        <v>26</v>
      </c>
      <c r="H1980">
        <v>15.70853</v>
      </c>
      <c r="I1980">
        <v>13.61961</v>
      </c>
      <c r="J1980">
        <v>11.92056</v>
      </c>
      <c r="K1980">
        <v>10.39425</v>
      </c>
      <c r="L1980">
        <v>8.0661729999999991</v>
      </c>
      <c r="M1980">
        <v>4.6923000000000004</v>
      </c>
      <c r="N1980">
        <v>0.2255627</v>
      </c>
    </row>
    <row r="1981" spans="1:14" hidden="1" x14ac:dyDescent="0.35">
      <c r="A1981" t="s">
        <v>752</v>
      </c>
      <c r="B1981" t="s">
        <v>34</v>
      </c>
      <c r="C1981" t="s">
        <v>33</v>
      </c>
      <c r="D1981" t="s">
        <v>33</v>
      </c>
      <c r="E1981" t="s">
        <v>727</v>
      </c>
      <c r="F1981" t="s">
        <v>581</v>
      </c>
      <c r="G1981" t="s">
        <v>396</v>
      </c>
      <c r="H1981">
        <v>1.8539730000000001E-2</v>
      </c>
      <c r="I1981">
        <v>2.5630690000000001E-2</v>
      </c>
      <c r="J1981">
        <v>2.159726E-2</v>
      </c>
      <c r="K1981">
        <v>1.9634519999999999E-2</v>
      </c>
      <c r="L1981">
        <v>1.614575E-2</v>
      </c>
      <c r="M1981">
        <v>1.372493E-2</v>
      </c>
      <c r="N1981">
        <v>1.1956710000000001E-2</v>
      </c>
    </row>
    <row r="1982" spans="1:14" hidden="1" x14ac:dyDescent="0.35">
      <c r="A1982" t="s">
        <v>752</v>
      </c>
      <c r="B1982" t="s">
        <v>34</v>
      </c>
      <c r="C1982" t="s">
        <v>33</v>
      </c>
      <c r="D1982" t="s">
        <v>33</v>
      </c>
      <c r="E1982" t="s">
        <v>727</v>
      </c>
      <c r="F1982" t="s">
        <v>581</v>
      </c>
      <c r="G1982" t="s">
        <v>25</v>
      </c>
      <c r="H1982">
        <v>0.25383289999999997</v>
      </c>
      <c r="I1982">
        <v>0.30705369999999998</v>
      </c>
      <c r="J1982">
        <v>0.25677749999999999</v>
      </c>
      <c r="K1982">
        <v>0.23342579999999999</v>
      </c>
      <c r="L1982">
        <v>0.19195889999999999</v>
      </c>
      <c r="M1982">
        <v>0.1631562</v>
      </c>
      <c r="N1982">
        <v>0.14215620000000001</v>
      </c>
    </row>
    <row r="1983" spans="1:14" hidden="1" x14ac:dyDescent="0.35">
      <c r="A1983" t="s">
        <v>752</v>
      </c>
      <c r="B1983" t="s">
        <v>34</v>
      </c>
      <c r="C1983" t="s">
        <v>33</v>
      </c>
      <c r="D1983" t="s">
        <v>33</v>
      </c>
      <c r="E1983" t="s">
        <v>727</v>
      </c>
      <c r="F1983" t="s">
        <v>26</v>
      </c>
      <c r="G1983" t="s">
        <v>26</v>
      </c>
      <c r="H1983">
        <v>1.6836990000000001</v>
      </c>
      <c r="I1983">
        <v>2.0312939999999999</v>
      </c>
      <c r="J1983">
        <v>1.6986950000000001</v>
      </c>
      <c r="K1983">
        <v>1.5441879999999999</v>
      </c>
      <c r="L1983">
        <v>1.26989</v>
      </c>
      <c r="M1983">
        <v>1.079353</v>
      </c>
      <c r="N1983">
        <v>0.9404323</v>
      </c>
    </row>
    <row r="1984" spans="1:14" hidden="1" x14ac:dyDescent="0.35">
      <c r="A1984" t="s">
        <v>752</v>
      </c>
      <c r="B1984" t="s">
        <v>34</v>
      </c>
      <c r="C1984" t="s">
        <v>33</v>
      </c>
      <c r="D1984" t="s">
        <v>33</v>
      </c>
      <c r="E1984" t="s">
        <v>739</v>
      </c>
      <c r="F1984" t="s">
        <v>581</v>
      </c>
      <c r="G1984" t="s">
        <v>396</v>
      </c>
      <c r="H1984">
        <v>0.73546299999999998</v>
      </c>
      <c r="I1984">
        <v>0.69627399999999995</v>
      </c>
      <c r="J1984">
        <v>0.63451729999999995</v>
      </c>
      <c r="K1984">
        <v>0.56521480000000002</v>
      </c>
      <c r="L1984">
        <v>0.51200990000000002</v>
      </c>
      <c r="M1984">
        <v>0.43774410000000002</v>
      </c>
      <c r="N1984">
        <v>0.37734679999999998</v>
      </c>
    </row>
    <row r="1985" spans="1:14" hidden="1" x14ac:dyDescent="0.35">
      <c r="A1985" t="s">
        <v>752</v>
      </c>
      <c r="B1985" t="s">
        <v>34</v>
      </c>
      <c r="C1985" t="s">
        <v>33</v>
      </c>
      <c r="D1985" t="s">
        <v>33</v>
      </c>
      <c r="E1985" t="s">
        <v>739</v>
      </c>
      <c r="F1985" t="s">
        <v>581</v>
      </c>
      <c r="G1985" t="s">
        <v>25</v>
      </c>
      <c r="H1985">
        <v>0.2134877</v>
      </c>
      <c r="I1985">
        <v>0.1834537</v>
      </c>
      <c r="J1985">
        <v>0.16307779999999999</v>
      </c>
      <c r="K1985">
        <v>0.1447331</v>
      </c>
      <c r="L1985">
        <v>0.12936329999999999</v>
      </c>
      <c r="M1985">
        <v>0.1116904</v>
      </c>
      <c r="N1985">
        <v>9.6997260000000002E-2</v>
      </c>
    </row>
    <row r="1986" spans="1:14" hidden="1" x14ac:dyDescent="0.35">
      <c r="A1986" t="s">
        <v>752</v>
      </c>
      <c r="B1986" t="s">
        <v>34</v>
      </c>
      <c r="C1986" t="s">
        <v>33</v>
      </c>
      <c r="D1986" t="s">
        <v>33</v>
      </c>
      <c r="E1986" t="s">
        <v>739</v>
      </c>
      <c r="F1986" t="s">
        <v>26</v>
      </c>
      <c r="G1986" t="s">
        <v>26</v>
      </c>
      <c r="H1986">
        <v>0.89735350000000003</v>
      </c>
      <c r="I1986">
        <v>0.80689869999999997</v>
      </c>
      <c r="J1986">
        <v>0.72559669999999998</v>
      </c>
      <c r="K1986">
        <v>0.64506799999999997</v>
      </c>
      <c r="L1986">
        <v>0.58021100000000003</v>
      </c>
      <c r="M1986">
        <v>0.49864439999999999</v>
      </c>
      <c r="N1986">
        <v>0.4315408</v>
      </c>
    </row>
    <row r="1987" spans="1:14" hidden="1" x14ac:dyDescent="0.35">
      <c r="A1987" t="s">
        <v>752</v>
      </c>
      <c r="B1987" t="s">
        <v>34</v>
      </c>
      <c r="C1987" t="s">
        <v>33</v>
      </c>
      <c r="D1987" t="s">
        <v>33</v>
      </c>
      <c r="E1987" t="s">
        <v>754</v>
      </c>
      <c r="F1987" t="s">
        <v>581</v>
      </c>
      <c r="G1987" t="s">
        <v>396</v>
      </c>
      <c r="H1987">
        <v>5.5616440000000003E-2</v>
      </c>
      <c r="I1987">
        <v>6.0199999999999997E-2</v>
      </c>
      <c r="J1987">
        <v>4.9854250000000003E-2</v>
      </c>
      <c r="K1987">
        <v>4.2671779999999999E-2</v>
      </c>
      <c r="L1987">
        <v>3.737973E-2</v>
      </c>
      <c r="M1987">
        <v>3.3260270000000002E-2</v>
      </c>
      <c r="N1987">
        <v>2.9651509999999999E-2</v>
      </c>
    </row>
    <row r="1988" spans="1:14" hidden="1" x14ac:dyDescent="0.35">
      <c r="A1988" t="s">
        <v>752</v>
      </c>
      <c r="B1988" t="s">
        <v>34</v>
      </c>
      <c r="C1988" t="s">
        <v>33</v>
      </c>
      <c r="D1988" t="s">
        <v>33</v>
      </c>
      <c r="E1988" t="s">
        <v>754</v>
      </c>
      <c r="F1988" t="s">
        <v>581</v>
      </c>
      <c r="G1988" t="s">
        <v>25</v>
      </c>
      <c r="H1988">
        <v>0.42150409999999999</v>
      </c>
      <c r="I1988">
        <v>0.4486964</v>
      </c>
      <c r="J1988">
        <v>0.45400990000000002</v>
      </c>
      <c r="K1988">
        <v>0.41545749999999998</v>
      </c>
      <c r="L1988">
        <v>0.39554299999999998</v>
      </c>
      <c r="M1988">
        <v>0.34735290000000002</v>
      </c>
      <c r="N1988">
        <v>0.29874790000000001</v>
      </c>
    </row>
    <row r="1989" spans="1:14" hidden="1" x14ac:dyDescent="0.35">
      <c r="A1989" t="s">
        <v>752</v>
      </c>
      <c r="B1989" t="s">
        <v>34</v>
      </c>
      <c r="C1989" t="s">
        <v>33</v>
      </c>
      <c r="D1989" t="s">
        <v>33</v>
      </c>
      <c r="E1989" t="s">
        <v>754</v>
      </c>
      <c r="F1989" t="s">
        <v>26</v>
      </c>
      <c r="G1989" t="s">
        <v>26</v>
      </c>
      <c r="H1989">
        <v>0.43035610000000002</v>
      </c>
      <c r="I1989">
        <v>0.53148280000000003</v>
      </c>
      <c r="J1989">
        <v>0.52914410000000001</v>
      </c>
      <c r="K1989">
        <v>0.48199999999999998</v>
      </c>
      <c r="L1989">
        <v>0.45647290000000001</v>
      </c>
      <c r="M1989">
        <v>0.40117700000000001</v>
      </c>
      <c r="N1989">
        <v>0.345829</v>
      </c>
    </row>
    <row r="1990" spans="1:14" hidden="1" x14ac:dyDescent="0.35">
      <c r="A1990" t="s">
        <v>752</v>
      </c>
      <c r="B1990" t="s">
        <v>34</v>
      </c>
      <c r="C1990" t="s">
        <v>33</v>
      </c>
      <c r="D1990" t="s">
        <v>33</v>
      </c>
      <c r="E1990" t="s">
        <v>746</v>
      </c>
      <c r="F1990" t="s">
        <v>581</v>
      </c>
      <c r="G1990" t="s">
        <v>396</v>
      </c>
      <c r="H1990">
        <v>1.670959E-2</v>
      </c>
      <c r="I1990">
        <v>1.8408219999999999E-2</v>
      </c>
      <c r="J1990">
        <v>1.6142469999999999E-2</v>
      </c>
      <c r="K1990">
        <v>1.4204929999999999E-2</v>
      </c>
      <c r="L1990">
        <v>1.2500819999999999E-2</v>
      </c>
      <c r="M1990">
        <v>1.10274E-2</v>
      </c>
      <c r="N1990">
        <v>9.6761650000000005E-3</v>
      </c>
    </row>
    <row r="1991" spans="1:14" hidden="1" x14ac:dyDescent="0.35">
      <c r="A1991" t="s">
        <v>752</v>
      </c>
      <c r="B1991" t="s">
        <v>34</v>
      </c>
      <c r="C1991" t="s">
        <v>33</v>
      </c>
      <c r="D1991" t="s">
        <v>33</v>
      </c>
      <c r="E1991" t="s">
        <v>746</v>
      </c>
      <c r="F1991" t="s">
        <v>26</v>
      </c>
      <c r="G1991" t="s">
        <v>26</v>
      </c>
      <c r="H1991">
        <v>1.5441099999999999E-2</v>
      </c>
      <c r="I1991">
        <v>1.243562E-2</v>
      </c>
      <c r="J1991">
        <v>1.0906849999999999E-2</v>
      </c>
      <c r="K1991">
        <v>9.5972609999999993E-3</v>
      </c>
      <c r="L1991">
        <v>8.4460279999999995E-3</v>
      </c>
      <c r="M1991">
        <v>7.4493149999999998E-3</v>
      </c>
      <c r="N1991">
        <v>6.5369859999999998E-3</v>
      </c>
    </row>
    <row r="1992" spans="1:14" hidden="1" x14ac:dyDescent="0.35">
      <c r="A1992" t="s">
        <v>755</v>
      </c>
      <c r="B1992" t="s">
        <v>37</v>
      </c>
      <c r="C1992" t="s">
        <v>46</v>
      </c>
      <c r="D1992" t="s">
        <v>46</v>
      </c>
      <c r="E1992" t="s">
        <v>584</v>
      </c>
      <c r="F1992" t="s">
        <v>581</v>
      </c>
      <c r="G1992" t="s">
        <v>396</v>
      </c>
      <c r="H1992">
        <v>19.272300000000001</v>
      </c>
      <c r="I1992">
        <v>16.262280000000001</v>
      </c>
      <c r="J1992">
        <v>16.203800000000001</v>
      </c>
      <c r="K1992">
        <v>15.74131</v>
      </c>
      <c r="L1992">
        <v>14.55387</v>
      </c>
      <c r="M1992">
        <v>13.126849999999999</v>
      </c>
      <c r="N1992">
        <v>11.501760000000001</v>
      </c>
    </row>
    <row r="1993" spans="1:14" hidden="1" x14ac:dyDescent="0.35">
      <c r="A1993" t="s">
        <v>755</v>
      </c>
      <c r="B1993" t="s">
        <v>37</v>
      </c>
      <c r="C1993" t="s">
        <v>46</v>
      </c>
      <c r="D1993" t="s">
        <v>46</v>
      </c>
      <c r="E1993" t="s">
        <v>584</v>
      </c>
      <c r="F1993" t="s">
        <v>26</v>
      </c>
      <c r="G1993" t="s">
        <v>26</v>
      </c>
      <c r="H1993">
        <v>0.37396980000000002</v>
      </c>
      <c r="I1993">
        <v>1.7298629999999999E-2</v>
      </c>
      <c r="J1993">
        <v>1.552329E-2</v>
      </c>
      <c r="K1993">
        <v>1.3969860000000001E-2</v>
      </c>
      <c r="L1993">
        <v>1.25726E-2</v>
      </c>
      <c r="M1993">
        <v>1.134521E-2</v>
      </c>
      <c r="N1993">
        <v>1.018082E-2</v>
      </c>
    </row>
    <row r="1994" spans="1:14" hidden="1" x14ac:dyDescent="0.35">
      <c r="A1994" t="s">
        <v>755</v>
      </c>
      <c r="B1994" t="s">
        <v>37</v>
      </c>
      <c r="C1994" t="s">
        <v>51</v>
      </c>
      <c r="D1994" t="s">
        <v>51</v>
      </c>
      <c r="E1994" t="s">
        <v>584</v>
      </c>
      <c r="F1994" t="s">
        <v>581</v>
      </c>
      <c r="G1994" t="s">
        <v>396</v>
      </c>
      <c r="H1994">
        <v>13.818</v>
      </c>
      <c r="I1994">
        <v>12.70332</v>
      </c>
      <c r="J1994">
        <v>11.67109</v>
      </c>
      <c r="K1994">
        <v>13.57845</v>
      </c>
      <c r="L1994">
        <v>14.19745</v>
      </c>
      <c r="M1994">
        <v>15.80931</v>
      </c>
      <c r="N1994">
        <v>8.8629320000000007</v>
      </c>
    </row>
    <row r="1995" spans="1:14" hidden="1" x14ac:dyDescent="0.35">
      <c r="A1995" t="s">
        <v>755</v>
      </c>
      <c r="B1995" t="s">
        <v>37</v>
      </c>
      <c r="C1995" t="s">
        <v>51</v>
      </c>
      <c r="D1995" t="s">
        <v>51</v>
      </c>
      <c r="E1995" t="s">
        <v>584</v>
      </c>
      <c r="F1995" t="s">
        <v>26</v>
      </c>
      <c r="G1995" t="s">
        <v>26</v>
      </c>
      <c r="H1995">
        <v>0.27246579999999998</v>
      </c>
      <c r="I1995">
        <v>0.1826383</v>
      </c>
      <c r="J1995">
        <v>0.12242740000000001</v>
      </c>
      <c r="K1995">
        <v>8.2065750000000007E-2</v>
      </c>
      <c r="L1995">
        <v>5.5010959999999998E-2</v>
      </c>
      <c r="M1995">
        <v>3.6873969999999999E-2</v>
      </c>
      <c r="N1995">
        <v>0</v>
      </c>
    </row>
    <row r="1996" spans="1:14" hidden="1" x14ac:dyDescent="0.35">
      <c r="A1996" t="s">
        <v>755</v>
      </c>
      <c r="B1996" t="s">
        <v>37</v>
      </c>
      <c r="C1996" t="s">
        <v>79</v>
      </c>
      <c r="D1996" t="s">
        <v>79</v>
      </c>
      <c r="E1996" t="s">
        <v>584</v>
      </c>
      <c r="F1996" t="s">
        <v>581</v>
      </c>
      <c r="G1996" t="s">
        <v>396</v>
      </c>
      <c r="H1996">
        <v>11.68219</v>
      </c>
      <c r="I1996">
        <v>8.6306790000000007</v>
      </c>
      <c r="J1996">
        <v>6.7778660000000004</v>
      </c>
      <c r="K1996">
        <v>5.4783720000000002</v>
      </c>
      <c r="L1996">
        <v>4.4565349999999997</v>
      </c>
      <c r="M1996">
        <v>3.779595</v>
      </c>
      <c r="N1996">
        <v>2.6503369999999999</v>
      </c>
    </row>
    <row r="1997" spans="1:14" hidden="1" x14ac:dyDescent="0.35">
      <c r="A1997" t="s">
        <v>755</v>
      </c>
      <c r="B1997" t="s">
        <v>37</v>
      </c>
      <c r="C1997" t="s">
        <v>79</v>
      </c>
      <c r="D1997" t="s">
        <v>79</v>
      </c>
      <c r="E1997" t="s">
        <v>584</v>
      </c>
      <c r="F1997" t="s">
        <v>26</v>
      </c>
      <c r="G1997" t="s">
        <v>26</v>
      </c>
      <c r="H1997">
        <v>0.2235616</v>
      </c>
      <c r="I1997">
        <v>0.21121090000000001</v>
      </c>
      <c r="J1997">
        <v>0.1994581</v>
      </c>
      <c r="K1997">
        <v>0.18672330000000001</v>
      </c>
      <c r="L1997">
        <v>0.17242299999999999</v>
      </c>
      <c r="M1997">
        <v>0.15542410000000001</v>
      </c>
      <c r="N1997">
        <v>2.9046579999999999E-2</v>
      </c>
    </row>
    <row r="1998" spans="1:14" hidden="1" x14ac:dyDescent="0.35">
      <c r="A1998" t="s">
        <v>755</v>
      </c>
      <c r="B1998" t="s">
        <v>37</v>
      </c>
      <c r="C1998" t="s">
        <v>115</v>
      </c>
      <c r="D1998" t="s">
        <v>115</v>
      </c>
      <c r="E1998" t="s">
        <v>584</v>
      </c>
      <c r="F1998" t="s">
        <v>581</v>
      </c>
      <c r="G1998" t="s">
        <v>396</v>
      </c>
      <c r="H1998">
        <v>8.2302630000000008</v>
      </c>
      <c r="I1998">
        <v>4.4285649999999999</v>
      </c>
      <c r="J1998">
        <v>3.78403</v>
      </c>
      <c r="K1998">
        <v>3.4048400000000001</v>
      </c>
      <c r="L1998">
        <v>3.0236730000000001</v>
      </c>
      <c r="M1998">
        <v>2.702604</v>
      </c>
      <c r="N1998">
        <v>2.4176899999999999</v>
      </c>
    </row>
    <row r="1999" spans="1:14" hidden="1" x14ac:dyDescent="0.35">
      <c r="A1999" t="s">
        <v>755</v>
      </c>
      <c r="B1999" t="s">
        <v>37</v>
      </c>
      <c r="C1999" t="s">
        <v>115</v>
      </c>
      <c r="D1999" t="s">
        <v>115</v>
      </c>
      <c r="E1999" t="s">
        <v>584</v>
      </c>
      <c r="F1999" t="s">
        <v>26</v>
      </c>
      <c r="G1999" t="s">
        <v>26</v>
      </c>
      <c r="H1999">
        <v>0.45660279999999998</v>
      </c>
      <c r="I1999">
        <v>0.93951510000000005</v>
      </c>
      <c r="J1999">
        <v>0.89587410000000001</v>
      </c>
      <c r="K1999">
        <v>0.85800270000000001</v>
      </c>
      <c r="L1999">
        <v>0.82393150000000004</v>
      </c>
      <c r="M1999">
        <v>0.79348220000000003</v>
      </c>
      <c r="N1999">
        <v>0.7641753</v>
      </c>
    </row>
    <row r="2000" spans="1:14" hidden="1" x14ac:dyDescent="0.35">
      <c r="A2000" t="s">
        <v>756</v>
      </c>
      <c r="B2000" t="s">
        <v>34</v>
      </c>
      <c r="C2000" t="s">
        <v>33</v>
      </c>
      <c r="D2000" t="s">
        <v>33</v>
      </c>
      <c r="E2000" t="s">
        <v>605</v>
      </c>
      <c r="F2000" t="s">
        <v>581</v>
      </c>
      <c r="G2000" t="s">
        <v>24</v>
      </c>
      <c r="H2000">
        <v>13.136089999999999</v>
      </c>
      <c r="I2000">
        <v>13.75292</v>
      </c>
      <c r="J2000">
        <v>12.32516</v>
      </c>
      <c r="K2000">
        <v>9.8984450000000006</v>
      </c>
      <c r="L2000">
        <v>8.1360569999999992</v>
      </c>
      <c r="M2000">
        <v>6.9324669999999999</v>
      </c>
      <c r="N2000">
        <v>6.1043729999999998</v>
      </c>
    </row>
    <row r="2001" spans="1:14" hidden="1" x14ac:dyDescent="0.35">
      <c r="A2001" t="s">
        <v>756</v>
      </c>
      <c r="B2001" t="s">
        <v>34</v>
      </c>
      <c r="C2001" t="s">
        <v>33</v>
      </c>
      <c r="D2001" t="s">
        <v>33</v>
      </c>
      <c r="E2001" t="s">
        <v>605</v>
      </c>
      <c r="F2001" t="s">
        <v>581</v>
      </c>
      <c r="G2001" t="s">
        <v>25</v>
      </c>
      <c r="H2001">
        <v>4.4504140000000003</v>
      </c>
      <c r="I2001">
        <v>5.2000500000000001</v>
      </c>
      <c r="J2001">
        <v>4.9485650000000003</v>
      </c>
      <c r="K2001">
        <v>3.9514070000000001</v>
      </c>
      <c r="L2001">
        <v>3.2592690000000002</v>
      </c>
      <c r="M2001">
        <v>2.8236330000000001</v>
      </c>
      <c r="N2001">
        <v>2.534729</v>
      </c>
    </row>
    <row r="2002" spans="1:14" hidden="1" x14ac:dyDescent="0.35">
      <c r="A2002" t="s">
        <v>756</v>
      </c>
      <c r="B2002" t="s">
        <v>34</v>
      </c>
      <c r="C2002" t="s">
        <v>33</v>
      </c>
      <c r="D2002" t="s">
        <v>33</v>
      </c>
      <c r="E2002" t="s">
        <v>605</v>
      </c>
      <c r="F2002" t="s">
        <v>26</v>
      </c>
      <c r="G2002" t="s">
        <v>26</v>
      </c>
      <c r="H2002">
        <v>27.187660000000001</v>
      </c>
      <c r="I2002">
        <v>28.922619999999998</v>
      </c>
      <c r="J2002">
        <v>26.24175</v>
      </c>
      <c r="K2002">
        <v>20.97007</v>
      </c>
      <c r="L2002">
        <v>17.184660000000001</v>
      </c>
      <c r="M2002">
        <v>14.67042</v>
      </c>
      <c r="N2002">
        <v>12.93927</v>
      </c>
    </row>
    <row r="2003" spans="1:14" hidden="1" x14ac:dyDescent="0.35">
      <c r="A2003" t="s">
        <v>756</v>
      </c>
      <c r="B2003" t="s">
        <v>34</v>
      </c>
      <c r="C2003" t="s">
        <v>33</v>
      </c>
      <c r="D2003" t="s">
        <v>33</v>
      </c>
      <c r="E2003" t="s">
        <v>584</v>
      </c>
      <c r="F2003" t="s">
        <v>581</v>
      </c>
      <c r="G2003" t="s">
        <v>396</v>
      </c>
      <c r="H2003">
        <v>0.3103206</v>
      </c>
      <c r="I2003">
        <v>0.32755889999999999</v>
      </c>
      <c r="J2003">
        <v>0.32520270000000001</v>
      </c>
      <c r="K2003">
        <v>0.23736160000000001</v>
      </c>
      <c r="L2003">
        <v>0.1732466</v>
      </c>
      <c r="M2003">
        <v>0.12645210000000001</v>
      </c>
      <c r="N2003">
        <v>9.2295890000000005E-2</v>
      </c>
    </row>
    <row r="2004" spans="1:14" hidden="1" x14ac:dyDescent="0.35">
      <c r="A2004" t="s">
        <v>756</v>
      </c>
      <c r="B2004" t="s">
        <v>34</v>
      </c>
      <c r="C2004" t="s">
        <v>33</v>
      </c>
      <c r="D2004" t="s">
        <v>33</v>
      </c>
      <c r="E2004" t="s">
        <v>584</v>
      </c>
      <c r="F2004" t="s">
        <v>581</v>
      </c>
      <c r="G2004" t="s">
        <v>24</v>
      </c>
      <c r="H2004">
        <v>0.12887950000000001</v>
      </c>
      <c r="I2004">
        <v>0.14703830000000001</v>
      </c>
      <c r="J2004">
        <v>0.16187950000000001</v>
      </c>
      <c r="K2004">
        <v>0.1823014</v>
      </c>
      <c r="L2004">
        <v>0.16428770000000001</v>
      </c>
      <c r="M2004">
        <v>0.13898350000000001</v>
      </c>
      <c r="N2004">
        <v>0.1175781</v>
      </c>
    </row>
    <row r="2005" spans="1:14" hidden="1" x14ac:dyDescent="0.35">
      <c r="A2005" t="s">
        <v>756</v>
      </c>
      <c r="B2005" t="s">
        <v>34</v>
      </c>
      <c r="C2005" t="s">
        <v>33</v>
      </c>
      <c r="D2005" t="s">
        <v>33</v>
      </c>
      <c r="E2005" t="s">
        <v>584</v>
      </c>
      <c r="F2005" t="s">
        <v>581</v>
      </c>
      <c r="G2005" t="s">
        <v>25</v>
      </c>
      <c r="H2005">
        <v>0.30817810000000001</v>
      </c>
      <c r="I2005">
        <v>0.30840279999999998</v>
      </c>
      <c r="J2005">
        <v>0.30735889999999999</v>
      </c>
      <c r="K2005">
        <v>0.30817810000000001</v>
      </c>
      <c r="L2005">
        <v>0.30719449999999998</v>
      </c>
      <c r="M2005">
        <v>0.27086850000000001</v>
      </c>
      <c r="N2005">
        <v>0.23883560000000001</v>
      </c>
    </row>
    <row r="2006" spans="1:14" hidden="1" x14ac:dyDescent="0.35">
      <c r="A2006" t="s">
        <v>756</v>
      </c>
      <c r="B2006" t="s">
        <v>34</v>
      </c>
      <c r="C2006" t="s">
        <v>33</v>
      </c>
      <c r="D2006" t="s">
        <v>33</v>
      </c>
      <c r="E2006" t="s">
        <v>584</v>
      </c>
      <c r="F2006" t="s">
        <v>26</v>
      </c>
      <c r="G2006" t="s">
        <v>26</v>
      </c>
      <c r="H2006">
        <v>1.204318</v>
      </c>
      <c r="I2006">
        <v>1.2023010000000001</v>
      </c>
      <c r="J2006">
        <v>1.200323</v>
      </c>
      <c r="K2006">
        <v>1.0449839999999999</v>
      </c>
      <c r="L2006">
        <v>0.88701090000000005</v>
      </c>
      <c r="M2006">
        <v>0.75291779999999997</v>
      </c>
      <c r="N2006">
        <v>0.63909859999999996</v>
      </c>
    </row>
    <row r="2007" spans="1:14" hidden="1" x14ac:dyDescent="0.35">
      <c r="A2007" t="s">
        <v>757</v>
      </c>
      <c r="B2007" t="s">
        <v>168</v>
      </c>
      <c r="C2007" t="s">
        <v>87</v>
      </c>
      <c r="D2007" t="s">
        <v>87</v>
      </c>
      <c r="E2007" t="s">
        <v>584</v>
      </c>
      <c r="F2007" t="s">
        <v>581</v>
      </c>
      <c r="G2007" t="s">
        <v>396</v>
      </c>
      <c r="H2007">
        <v>28.104109999999999</v>
      </c>
      <c r="I2007">
        <v>23.382210000000001</v>
      </c>
      <c r="J2007">
        <v>22.57255</v>
      </c>
      <c r="K2007">
        <v>24.59395</v>
      </c>
      <c r="L2007">
        <v>21.652529999999999</v>
      </c>
      <c r="M2007">
        <v>17.25816</v>
      </c>
      <c r="N2007">
        <v>14.365180000000001</v>
      </c>
    </row>
    <row r="2008" spans="1:14" hidden="1" x14ac:dyDescent="0.35">
      <c r="A2008" t="s">
        <v>757</v>
      </c>
      <c r="B2008" t="s">
        <v>168</v>
      </c>
      <c r="C2008" t="s">
        <v>87</v>
      </c>
      <c r="D2008" t="s">
        <v>87</v>
      </c>
      <c r="E2008" t="s">
        <v>584</v>
      </c>
      <c r="F2008" t="s">
        <v>581</v>
      </c>
      <c r="G2008" t="s">
        <v>24</v>
      </c>
      <c r="H2008">
        <v>2.9691749999999999</v>
      </c>
      <c r="I2008">
        <v>0</v>
      </c>
      <c r="J2008">
        <v>0</v>
      </c>
      <c r="K2008">
        <v>1.0777859999999999</v>
      </c>
      <c r="L2008">
        <v>5.1520000000000001</v>
      </c>
      <c r="M2008">
        <v>4.7890410000000001</v>
      </c>
      <c r="N2008">
        <v>4.4160000000000004</v>
      </c>
    </row>
    <row r="2009" spans="1:14" hidden="1" x14ac:dyDescent="0.35">
      <c r="A2009" t="s">
        <v>757</v>
      </c>
      <c r="B2009" t="s">
        <v>168</v>
      </c>
      <c r="C2009" t="s">
        <v>87</v>
      </c>
      <c r="D2009" t="s">
        <v>87</v>
      </c>
      <c r="E2009" t="s">
        <v>584</v>
      </c>
      <c r="F2009" t="s">
        <v>26</v>
      </c>
      <c r="G2009" t="s">
        <v>26</v>
      </c>
      <c r="H2009">
        <v>13.76763</v>
      </c>
      <c r="I2009">
        <v>4.5445979999999997</v>
      </c>
      <c r="J2009">
        <v>3.293571</v>
      </c>
      <c r="K2009">
        <v>7.9937110000000002</v>
      </c>
      <c r="L2009">
        <v>16.602830000000001</v>
      </c>
      <c r="M2009">
        <v>14.793850000000001</v>
      </c>
      <c r="N2009">
        <v>17.006640000000001</v>
      </c>
    </row>
    <row r="2010" spans="1:14" hidden="1" x14ac:dyDescent="0.35">
      <c r="A2010" t="s">
        <v>757</v>
      </c>
      <c r="B2010" t="s">
        <v>168</v>
      </c>
      <c r="C2010" t="s">
        <v>87</v>
      </c>
      <c r="D2010" t="s">
        <v>169</v>
      </c>
      <c r="E2010" t="s">
        <v>584</v>
      </c>
      <c r="F2010" t="s">
        <v>581</v>
      </c>
      <c r="G2010" t="s">
        <v>396</v>
      </c>
      <c r="H2010">
        <v>0.11531180000000001</v>
      </c>
      <c r="I2010">
        <v>0.79559290000000005</v>
      </c>
      <c r="J2010">
        <v>0.1253957</v>
      </c>
      <c r="K2010">
        <v>7.5473969999999995E-4</v>
      </c>
      <c r="L2010">
        <v>0</v>
      </c>
    </row>
    <row r="2011" spans="1:14" hidden="1" x14ac:dyDescent="0.35">
      <c r="A2011" t="s">
        <v>757</v>
      </c>
      <c r="B2011" t="s">
        <v>168</v>
      </c>
      <c r="C2011" t="s">
        <v>87</v>
      </c>
      <c r="D2011" t="s">
        <v>169</v>
      </c>
      <c r="E2011" t="s">
        <v>584</v>
      </c>
      <c r="F2011" t="s">
        <v>581</v>
      </c>
      <c r="G2011" t="s">
        <v>24</v>
      </c>
      <c r="H2011">
        <v>5.3233969999999999E-2</v>
      </c>
      <c r="I2011">
        <v>0</v>
      </c>
      <c r="J2011">
        <v>0</v>
      </c>
      <c r="K2011">
        <v>1.008219E-2</v>
      </c>
      <c r="L2011">
        <v>9.0739730000000005E-2</v>
      </c>
      <c r="M2011">
        <v>4.5769120000000003E-2</v>
      </c>
      <c r="N2011">
        <v>0</v>
      </c>
    </row>
    <row r="2012" spans="1:14" hidden="1" x14ac:dyDescent="0.35">
      <c r="A2012" t="s">
        <v>757</v>
      </c>
      <c r="B2012" t="s">
        <v>168</v>
      </c>
      <c r="C2012" t="s">
        <v>87</v>
      </c>
      <c r="D2012" t="s">
        <v>169</v>
      </c>
      <c r="E2012" t="s">
        <v>584</v>
      </c>
      <c r="F2012" t="s">
        <v>26</v>
      </c>
      <c r="G2012" t="s">
        <v>26</v>
      </c>
      <c r="H2012">
        <v>1.0631870000000001</v>
      </c>
      <c r="I2012">
        <v>0.49021350000000002</v>
      </c>
      <c r="J2012">
        <v>7.7264340000000001E-2</v>
      </c>
      <c r="K2012">
        <v>0.41544819999999999</v>
      </c>
      <c r="L2012">
        <v>1.512329</v>
      </c>
      <c r="M2012">
        <v>0.76281049999999995</v>
      </c>
      <c r="N2012">
        <v>0</v>
      </c>
    </row>
    <row r="2013" spans="1:14" hidden="1" x14ac:dyDescent="0.35">
      <c r="A2013" t="s">
        <v>757</v>
      </c>
      <c r="B2013" t="s">
        <v>168</v>
      </c>
      <c r="C2013" t="s">
        <v>262</v>
      </c>
      <c r="D2013" t="s">
        <v>758</v>
      </c>
      <c r="E2013" t="s">
        <v>584</v>
      </c>
      <c r="F2013" t="s">
        <v>581</v>
      </c>
      <c r="G2013" t="s">
        <v>396</v>
      </c>
      <c r="N2013">
        <v>0</v>
      </c>
    </row>
    <row r="2014" spans="1:14" hidden="1" x14ac:dyDescent="0.35">
      <c r="A2014" t="s">
        <v>759</v>
      </c>
      <c r="B2014" t="s">
        <v>37</v>
      </c>
      <c r="C2014" t="s">
        <v>61</v>
      </c>
      <c r="D2014" t="s">
        <v>62</v>
      </c>
      <c r="E2014" t="s">
        <v>584</v>
      </c>
      <c r="F2014" t="s">
        <v>581</v>
      </c>
      <c r="G2014" t="s">
        <v>396</v>
      </c>
      <c r="H2014">
        <v>29.302980000000002</v>
      </c>
      <c r="I2014">
        <v>29.017859999999999</v>
      </c>
      <c r="J2014">
        <v>27.234089999999998</v>
      </c>
      <c r="K2014">
        <v>21.422910000000002</v>
      </c>
      <c r="L2014">
        <v>16.861350000000002</v>
      </c>
      <c r="M2014">
        <v>10.71834</v>
      </c>
      <c r="N2014">
        <v>8.3966650000000005</v>
      </c>
    </row>
    <row r="2015" spans="1:14" hidden="1" x14ac:dyDescent="0.35">
      <c r="A2015" t="s">
        <v>759</v>
      </c>
      <c r="B2015" t="s">
        <v>37</v>
      </c>
      <c r="C2015" t="s">
        <v>61</v>
      </c>
      <c r="D2015" t="s">
        <v>62</v>
      </c>
      <c r="E2015" t="s">
        <v>584</v>
      </c>
      <c r="F2015" t="s">
        <v>581</v>
      </c>
      <c r="G2015" t="s">
        <v>24</v>
      </c>
      <c r="H2015">
        <v>0.20901330000000001</v>
      </c>
      <c r="I2015">
        <v>0.1580173</v>
      </c>
      <c r="J2015">
        <v>8.6145020000000003E-2</v>
      </c>
      <c r="K2015">
        <v>5.2278060000000001E-2</v>
      </c>
      <c r="L2015">
        <v>3.6046139999999997E-2</v>
      </c>
      <c r="M2015">
        <v>3.610959E-3</v>
      </c>
      <c r="N2015">
        <v>2.4219179999999999E-3</v>
      </c>
    </row>
    <row r="2016" spans="1:14" hidden="1" x14ac:dyDescent="0.35">
      <c r="A2016" t="s">
        <v>759</v>
      </c>
      <c r="B2016" t="s">
        <v>37</v>
      </c>
      <c r="C2016" t="s">
        <v>61</v>
      </c>
      <c r="D2016" t="s">
        <v>62</v>
      </c>
      <c r="E2016" t="s">
        <v>584</v>
      </c>
      <c r="F2016" t="s">
        <v>581</v>
      </c>
      <c r="G2016" t="s">
        <v>25</v>
      </c>
      <c r="H2016">
        <v>0.72353460000000003</v>
      </c>
      <c r="I2016">
        <v>0.54650900000000002</v>
      </c>
      <c r="J2016">
        <v>0.31468930000000001</v>
      </c>
      <c r="K2016">
        <v>0.20335329999999999</v>
      </c>
      <c r="L2016">
        <v>0.15134990000000001</v>
      </c>
      <c r="M2016">
        <v>3.4760260000000001E-2</v>
      </c>
      <c r="N2016">
        <v>2.465038E-2</v>
      </c>
    </row>
    <row r="2017" spans="1:14" hidden="1" x14ac:dyDescent="0.35">
      <c r="A2017" t="s">
        <v>759</v>
      </c>
      <c r="B2017" t="s">
        <v>37</v>
      </c>
      <c r="C2017" t="s">
        <v>61</v>
      </c>
      <c r="D2017" t="s">
        <v>62</v>
      </c>
      <c r="E2017" t="s">
        <v>584</v>
      </c>
      <c r="F2017" t="s">
        <v>26</v>
      </c>
      <c r="G2017" t="s">
        <v>26</v>
      </c>
      <c r="H2017">
        <v>8.1852850000000004</v>
      </c>
      <c r="I2017">
        <v>7.7628659999999998</v>
      </c>
      <c r="J2017">
        <v>5.7077419999999996</v>
      </c>
      <c r="K2017">
        <v>4.60426</v>
      </c>
      <c r="L2017">
        <v>3.7603719999999998</v>
      </c>
      <c r="M2017">
        <v>1.779218</v>
      </c>
      <c r="N2017">
        <v>1.3260989999999999</v>
      </c>
    </row>
    <row r="2018" spans="1:14" hidden="1" x14ac:dyDescent="0.35">
      <c r="A2018" t="s">
        <v>759</v>
      </c>
      <c r="B2018" t="s">
        <v>37</v>
      </c>
      <c r="C2018" t="s">
        <v>109</v>
      </c>
      <c r="D2018" t="s">
        <v>109</v>
      </c>
      <c r="E2018" t="s">
        <v>584</v>
      </c>
      <c r="F2018" t="s">
        <v>581</v>
      </c>
      <c r="G2018" t="s">
        <v>396</v>
      </c>
      <c r="H2018">
        <v>6.5980270000000001</v>
      </c>
      <c r="I2018">
        <v>5.6953050000000003</v>
      </c>
      <c r="J2018">
        <v>4.2422009999999997</v>
      </c>
      <c r="K2018">
        <v>3.8033090000000001</v>
      </c>
      <c r="L2018">
        <v>3.3908309999999999</v>
      </c>
      <c r="M2018">
        <v>1.3796710000000001</v>
      </c>
      <c r="N2018">
        <v>0.89441749999999998</v>
      </c>
    </row>
    <row r="2019" spans="1:14" hidden="1" x14ac:dyDescent="0.35">
      <c r="A2019" t="s">
        <v>759</v>
      </c>
      <c r="B2019" t="s">
        <v>37</v>
      </c>
      <c r="C2019" t="s">
        <v>109</v>
      </c>
      <c r="D2019" t="s">
        <v>109</v>
      </c>
      <c r="E2019" t="s">
        <v>584</v>
      </c>
      <c r="F2019" t="s">
        <v>581</v>
      </c>
      <c r="G2019" t="s">
        <v>24</v>
      </c>
      <c r="H2019">
        <v>0.98526919999999996</v>
      </c>
      <c r="I2019">
        <v>0.85735870000000003</v>
      </c>
      <c r="J2019">
        <v>0.68553169999999997</v>
      </c>
      <c r="K2019">
        <v>0.56226100000000001</v>
      </c>
      <c r="L2019">
        <v>0.46062199999999998</v>
      </c>
      <c r="M2019">
        <v>0.26028380000000001</v>
      </c>
      <c r="N2019">
        <v>0.1716569</v>
      </c>
    </row>
    <row r="2020" spans="1:14" hidden="1" x14ac:dyDescent="0.35">
      <c r="A2020" t="s">
        <v>759</v>
      </c>
      <c r="B2020" t="s">
        <v>37</v>
      </c>
      <c r="C2020" t="s">
        <v>109</v>
      </c>
      <c r="D2020" t="s">
        <v>109</v>
      </c>
      <c r="E2020" t="s">
        <v>584</v>
      </c>
      <c r="F2020" t="s">
        <v>581</v>
      </c>
      <c r="G2020" t="s">
        <v>25</v>
      </c>
      <c r="H2020">
        <v>0.58803530000000004</v>
      </c>
      <c r="I2020">
        <v>0.4863767</v>
      </c>
      <c r="J2020">
        <v>0.3665293</v>
      </c>
      <c r="K2020">
        <v>0.31317390000000001</v>
      </c>
      <c r="L2020">
        <v>0.2252248</v>
      </c>
      <c r="M2020">
        <v>0.15766160000000001</v>
      </c>
      <c r="N2020">
        <v>0.1149524</v>
      </c>
    </row>
    <row r="2021" spans="1:14" hidden="1" x14ac:dyDescent="0.35">
      <c r="A2021" t="s">
        <v>759</v>
      </c>
      <c r="B2021" t="s">
        <v>37</v>
      </c>
      <c r="C2021" t="s">
        <v>109</v>
      </c>
      <c r="D2021" t="s">
        <v>109</v>
      </c>
      <c r="E2021" t="s">
        <v>584</v>
      </c>
      <c r="F2021" t="s">
        <v>26</v>
      </c>
      <c r="G2021" t="s">
        <v>26</v>
      </c>
      <c r="H2021">
        <v>4.0404340000000003</v>
      </c>
      <c r="I2021">
        <v>3.4259119999999998</v>
      </c>
      <c r="J2021">
        <v>2.6662219999999999</v>
      </c>
      <c r="K2021">
        <v>2.2672330000000001</v>
      </c>
      <c r="L2021">
        <v>1.781714</v>
      </c>
      <c r="M2021">
        <v>1.2859419999999999</v>
      </c>
      <c r="N2021">
        <v>0.81570849999999995</v>
      </c>
    </row>
    <row r="2022" spans="1:14" hidden="1" x14ac:dyDescent="0.35">
      <c r="A2022" t="s">
        <v>759</v>
      </c>
      <c r="B2022" t="s">
        <v>37</v>
      </c>
      <c r="C2022" t="s">
        <v>266</v>
      </c>
      <c r="D2022" t="s">
        <v>266</v>
      </c>
      <c r="E2022" t="s">
        <v>584</v>
      </c>
      <c r="F2022" t="s">
        <v>581</v>
      </c>
      <c r="G2022" t="s">
        <v>396</v>
      </c>
      <c r="H2022">
        <v>0.85892060000000003</v>
      </c>
      <c r="I2022">
        <v>0.57575350000000003</v>
      </c>
      <c r="J2022">
        <v>0.3859397</v>
      </c>
      <c r="K2022">
        <v>0.25870140000000003</v>
      </c>
      <c r="L2022">
        <v>0.1734137</v>
      </c>
      <c r="M2022">
        <v>0.1162411</v>
      </c>
      <c r="N2022">
        <v>7.7920550000000005E-2</v>
      </c>
    </row>
    <row r="2023" spans="1:14" hidden="1" x14ac:dyDescent="0.35">
      <c r="A2023" t="s">
        <v>759</v>
      </c>
      <c r="B2023" t="s">
        <v>37</v>
      </c>
      <c r="C2023" t="s">
        <v>266</v>
      </c>
      <c r="D2023" t="s">
        <v>266</v>
      </c>
      <c r="E2023" t="s">
        <v>584</v>
      </c>
      <c r="F2023" t="s">
        <v>26</v>
      </c>
      <c r="G2023" t="s">
        <v>26</v>
      </c>
      <c r="H2023">
        <v>1.1750689999999999E-2</v>
      </c>
      <c r="I2023">
        <v>9.6219180000000001E-3</v>
      </c>
      <c r="J2023">
        <v>7.8794520000000003E-3</v>
      </c>
      <c r="K2023">
        <v>6.4712329999999998E-3</v>
      </c>
      <c r="L2023">
        <v>5.2986300000000004E-3</v>
      </c>
      <c r="M2023">
        <v>4.3397260000000003E-3</v>
      </c>
      <c r="N2023">
        <v>3.5534249999999998E-3</v>
      </c>
    </row>
    <row r="2024" spans="1:14" hidden="1" x14ac:dyDescent="0.35">
      <c r="A2024" t="s">
        <v>759</v>
      </c>
      <c r="B2024" t="s">
        <v>37</v>
      </c>
      <c r="C2024" t="s">
        <v>79</v>
      </c>
      <c r="D2024" t="s">
        <v>79</v>
      </c>
      <c r="E2024" t="s">
        <v>600</v>
      </c>
      <c r="F2024" t="s">
        <v>581</v>
      </c>
      <c r="G2024" t="s">
        <v>396</v>
      </c>
      <c r="H2024">
        <v>8.199178E-2</v>
      </c>
      <c r="I2024">
        <v>7.607672E-2</v>
      </c>
      <c r="J2024">
        <v>7.7076710000000007E-2</v>
      </c>
      <c r="K2024">
        <v>7.0499179999999995E-2</v>
      </c>
      <c r="L2024">
        <v>6.4601640000000002E-2</v>
      </c>
      <c r="M2024">
        <v>5.4357809999999999E-2</v>
      </c>
      <c r="N2024">
        <v>4.5803829999999997E-2</v>
      </c>
    </row>
    <row r="2025" spans="1:14" hidden="1" x14ac:dyDescent="0.35">
      <c r="A2025" t="s">
        <v>759</v>
      </c>
      <c r="B2025" t="s">
        <v>37</v>
      </c>
      <c r="C2025" t="s">
        <v>79</v>
      </c>
      <c r="D2025" t="s">
        <v>79</v>
      </c>
      <c r="E2025" t="s">
        <v>600</v>
      </c>
      <c r="F2025" t="s">
        <v>581</v>
      </c>
      <c r="G2025" t="s">
        <v>24</v>
      </c>
      <c r="H2025">
        <v>3.1904109999999999E-2</v>
      </c>
      <c r="I2025">
        <v>2.7819730000000001E-2</v>
      </c>
      <c r="J2025">
        <v>2.8027949999999999E-2</v>
      </c>
      <c r="K2025">
        <v>2.5634520000000001E-2</v>
      </c>
      <c r="L2025">
        <v>2.349041E-2</v>
      </c>
      <c r="M2025">
        <v>1.9765479999999998E-2</v>
      </c>
      <c r="N2025">
        <v>1.665589E-2</v>
      </c>
    </row>
    <row r="2026" spans="1:14" hidden="1" x14ac:dyDescent="0.35">
      <c r="A2026" t="s">
        <v>759</v>
      </c>
      <c r="B2026" t="s">
        <v>37</v>
      </c>
      <c r="C2026" t="s">
        <v>79</v>
      </c>
      <c r="D2026" t="s">
        <v>79</v>
      </c>
      <c r="E2026" t="s">
        <v>600</v>
      </c>
      <c r="F2026" t="s">
        <v>581</v>
      </c>
      <c r="G2026" t="s">
        <v>25</v>
      </c>
      <c r="H2026">
        <v>4.9693149999999998E-2</v>
      </c>
      <c r="I2026">
        <v>4.6108499999999997E-2</v>
      </c>
      <c r="J2026">
        <v>4.671616E-2</v>
      </c>
      <c r="K2026">
        <v>4.2724930000000001E-2</v>
      </c>
      <c r="L2026">
        <v>3.9152329999999999E-2</v>
      </c>
      <c r="M2026">
        <v>3.2943010000000002E-2</v>
      </c>
      <c r="N2026">
        <v>2.776493E-2</v>
      </c>
    </row>
    <row r="2027" spans="1:14" hidden="1" x14ac:dyDescent="0.35">
      <c r="A2027" t="s">
        <v>759</v>
      </c>
      <c r="B2027" t="s">
        <v>37</v>
      </c>
      <c r="C2027" t="s">
        <v>79</v>
      </c>
      <c r="D2027" t="s">
        <v>79</v>
      </c>
      <c r="E2027" t="s">
        <v>600</v>
      </c>
      <c r="F2027" t="s">
        <v>26</v>
      </c>
      <c r="G2027" t="s">
        <v>26</v>
      </c>
      <c r="H2027">
        <v>8.6961650000000001E-2</v>
      </c>
      <c r="I2027">
        <v>8.0688220000000005E-2</v>
      </c>
      <c r="J2027">
        <v>8.17441E-2</v>
      </c>
      <c r="K2027">
        <v>7.4769859999999994E-2</v>
      </c>
      <c r="L2027">
        <v>6.8515060000000003E-2</v>
      </c>
      <c r="M2027">
        <v>5.7652050000000003E-2</v>
      </c>
      <c r="N2027">
        <v>4.857918E-2</v>
      </c>
    </row>
    <row r="2028" spans="1:14" hidden="1" x14ac:dyDescent="0.35">
      <c r="A2028" t="s">
        <v>759</v>
      </c>
      <c r="B2028" t="s">
        <v>37</v>
      </c>
      <c r="C2028" t="s">
        <v>46</v>
      </c>
      <c r="D2028" t="s">
        <v>46</v>
      </c>
      <c r="E2028" t="s">
        <v>584</v>
      </c>
      <c r="F2028" t="s">
        <v>581</v>
      </c>
      <c r="G2028" t="s">
        <v>396</v>
      </c>
      <c r="H2028">
        <v>3.7358910000000002E-2</v>
      </c>
      <c r="I2028">
        <v>3.5657540000000001E-2</v>
      </c>
      <c r="J2028">
        <v>3.4018630000000001E-2</v>
      </c>
      <c r="K2028">
        <v>3.2181920000000003E-2</v>
      </c>
      <c r="L2028">
        <v>3.0041100000000001E-2</v>
      </c>
      <c r="M2028">
        <v>2.7386299999999999E-2</v>
      </c>
      <c r="N2028">
        <v>2.5047670000000001E-2</v>
      </c>
    </row>
    <row r="2029" spans="1:14" hidden="1" x14ac:dyDescent="0.35">
      <c r="A2029" t="s">
        <v>759</v>
      </c>
      <c r="B2029" t="s">
        <v>37</v>
      </c>
      <c r="C2029" t="s">
        <v>46</v>
      </c>
      <c r="D2029" t="s">
        <v>46</v>
      </c>
      <c r="E2029" t="s">
        <v>584</v>
      </c>
      <c r="F2029" t="s">
        <v>581</v>
      </c>
      <c r="G2029" t="s">
        <v>24</v>
      </c>
      <c r="H2029">
        <v>9.2328769999999998E-4</v>
      </c>
      <c r="I2029">
        <v>0</v>
      </c>
    </row>
    <row r="2030" spans="1:14" hidden="1" x14ac:dyDescent="0.35">
      <c r="A2030" t="s">
        <v>759</v>
      </c>
      <c r="B2030" t="s">
        <v>37</v>
      </c>
      <c r="C2030" t="s">
        <v>46</v>
      </c>
      <c r="D2030" t="s">
        <v>46</v>
      </c>
      <c r="E2030" t="s">
        <v>584</v>
      </c>
      <c r="F2030" t="s">
        <v>581</v>
      </c>
      <c r="G2030" t="s">
        <v>25</v>
      </c>
      <c r="H2030">
        <v>4.4383560000000001E-3</v>
      </c>
      <c r="I2030">
        <v>2.9753430000000001E-3</v>
      </c>
      <c r="J2030">
        <v>1.994521E-3</v>
      </c>
      <c r="K2030">
        <v>1.334247E-3</v>
      </c>
      <c r="L2030">
        <v>8.9589040000000002E-4</v>
      </c>
      <c r="M2030">
        <v>0</v>
      </c>
      <c r="N2030">
        <v>0</v>
      </c>
    </row>
    <row r="2031" spans="1:14" hidden="1" x14ac:dyDescent="0.35">
      <c r="A2031" t="s">
        <v>759</v>
      </c>
      <c r="B2031" t="s">
        <v>37</v>
      </c>
      <c r="C2031" t="s">
        <v>46</v>
      </c>
      <c r="D2031" t="s">
        <v>46</v>
      </c>
      <c r="E2031" t="s">
        <v>584</v>
      </c>
      <c r="F2031" t="s">
        <v>26</v>
      </c>
      <c r="G2031" t="s">
        <v>26</v>
      </c>
      <c r="H2031">
        <v>0.12882189999999999</v>
      </c>
      <c r="I2031">
        <v>0.1262712</v>
      </c>
      <c r="J2031">
        <v>0.1237534</v>
      </c>
      <c r="K2031">
        <v>0.12031509999999999</v>
      </c>
      <c r="L2031">
        <v>0.11555509999999999</v>
      </c>
      <c r="M2031">
        <v>0.10849259999999999</v>
      </c>
      <c r="N2031">
        <v>0.10229480000000001</v>
      </c>
    </row>
    <row r="2032" spans="1:14" hidden="1" x14ac:dyDescent="0.35">
      <c r="A2032" t="s">
        <v>759</v>
      </c>
      <c r="B2032" t="s">
        <v>37</v>
      </c>
      <c r="C2032" t="s">
        <v>248</v>
      </c>
      <c r="D2032" t="s">
        <v>248</v>
      </c>
      <c r="E2032" t="s">
        <v>635</v>
      </c>
      <c r="F2032" t="s">
        <v>581</v>
      </c>
      <c r="G2032" t="s">
        <v>396</v>
      </c>
      <c r="H2032">
        <v>7.9298629999999995E-2</v>
      </c>
      <c r="I2032">
        <v>0.1250636</v>
      </c>
      <c r="J2032">
        <v>0.14403289999999999</v>
      </c>
      <c r="K2032">
        <v>0.14125650000000001</v>
      </c>
      <c r="L2032">
        <v>0.13282849999999999</v>
      </c>
      <c r="M2032">
        <v>0.10850849999999999</v>
      </c>
      <c r="N2032">
        <v>8.72367E-2</v>
      </c>
    </row>
    <row r="2033" spans="1:14" hidden="1" x14ac:dyDescent="0.35">
      <c r="A2033" t="s">
        <v>759</v>
      </c>
      <c r="B2033" t="s">
        <v>37</v>
      </c>
      <c r="C2033" t="s">
        <v>248</v>
      </c>
      <c r="D2033" t="s">
        <v>248</v>
      </c>
      <c r="E2033" t="s">
        <v>635</v>
      </c>
      <c r="F2033" t="s">
        <v>581</v>
      </c>
      <c r="G2033" t="s">
        <v>24</v>
      </c>
      <c r="H2033">
        <v>3.10685E-3</v>
      </c>
      <c r="I2033">
        <v>5.2854800000000004E-3</v>
      </c>
      <c r="J2033">
        <v>6.0641100000000002E-3</v>
      </c>
      <c r="K2033">
        <v>5.9495889999999999E-3</v>
      </c>
      <c r="L2033">
        <v>5.5950679999999999E-3</v>
      </c>
      <c r="M2033">
        <v>4.5698630000000004E-3</v>
      </c>
      <c r="N2033">
        <v>3.6728770000000002E-3</v>
      </c>
    </row>
    <row r="2034" spans="1:14" hidden="1" x14ac:dyDescent="0.35">
      <c r="A2034" t="s">
        <v>759</v>
      </c>
      <c r="B2034" t="s">
        <v>37</v>
      </c>
      <c r="C2034" t="s">
        <v>248</v>
      </c>
      <c r="D2034" t="s">
        <v>248</v>
      </c>
      <c r="E2034" t="s">
        <v>635</v>
      </c>
      <c r="F2034" t="s">
        <v>26</v>
      </c>
      <c r="G2034" t="s">
        <v>26</v>
      </c>
      <c r="H2034">
        <v>8.8767130000000003E-4</v>
      </c>
      <c r="I2034">
        <v>1.402192E-3</v>
      </c>
      <c r="J2034">
        <v>1.6109589999999999E-3</v>
      </c>
      <c r="K2034">
        <v>1.5791780000000001E-3</v>
      </c>
      <c r="L2034">
        <v>1.4871229999999999E-3</v>
      </c>
      <c r="M2034">
        <v>1.2120550000000001E-3</v>
      </c>
      <c r="N2034">
        <v>9.7589040000000001E-4</v>
      </c>
    </row>
    <row r="2035" spans="1:14" hidden="1" x14ac:dyDescent="0.35">
      <c r="A2035" t="s">
        <v>759</v>
      </c>
      <c r="B2035" t="s">
        <v>150</v>
      </c>
      <c r="C2035" t="s">
        <v>148</v>
      </c>
      <c r="D2035" t="s">
        <v>149</v>
      </c>
      <c r="E2035" t="s">
        <v>584</v>
      </c>
      <c r="F2035" t="s">
        <v>581</v>
      </c>
      <c r="G2035" t="s">
        <v>396</v>
      </c>
      <c r="M2035">
        <v>0</v>
      </c>
      <c r="N2035">
        <v>10.460900000000001</v>
      </c>
    </row>
    <row r="2036" spans="1:14" hidden="1" x14ac:dyDescent="0.35">
      <c r="A2036" t="s">
        <v>759</v>
      </c>
      <c r="B2036" t="s">
        <v>150</v>
      </c>
      <c r="C2036" t="s">
        <v>148</v>
      </c>
      <c r="D2036" t="s">
        <v>149</v>
      </c>
      <c r="E2036" t="s">
        <v>584</v>
      </c>
      <c r="F2036" t="s">
        <v>26</v>
      </c>
      <c r="G2036" t="s">
        <v>26</v>
      </c>
      <c r="M2036">
        <v>0</v>
      </c>
      <c r="N2036">
        <v>0.40740189999999998</v>
      </c>
    </row>
    <row r="2037" spans="1:14" hidden="1" x14ac:dyDescent="0.35">
      <c r="A2037" t="s">
        <v>760</v>
      </c>
      <c r="B2037" t="s">
        <v>34</v>
      </c>
      <c r="C2037" t="s">
        <v>33</v>
      </c>
      <c r="D2037" t="s">
        <v>33</v>
      </c>
      <c r="E2037" t="s">
        <v>605</v>
      </c>
      <c r="F2037" t="s">
        <v>581</v>
      </c>
      <c r="G2037" t="s">
        <v>25</v>
      </c>
      <c r="H2037">
        <v>1.8685510000000001</v>
      </c>
      <c r="I2037">
        <v>0.78510740000000001</v>
      </c>
      <c r="J2037">
        <v>0.78342520000000004</v>
      </c>
      <c r="K2037">
        <v>0.63157209999999997</v>
      </c>
      <c r="L2037">
        <v>0.54596109999999998</v>
      </c>
      <c r="M2037">
        <v>0.46745809999999999</v>
      </c>
      <c r="N2037">
        <v>0.40849540000000001</v>
      </c>
    </row>
    <row r="2038" spans="1:14" hidden="1" x14ac:dyDescent="0.35">
      <c r="A2038" t="s">
        <v>760</v>
      </c>
      <c r="B2038" t="s">
        <v>34</v>
      </c>
      <c r="C2038" t="s">
        <v>33</v>
      </c>
      <c r="D2038" t="s">
        <v>33</v>
      </c>
      <c r="E2038" t="s">
        <v>605</v>
      </c>
      <c r="F2038" t="s">
        <v>26</v>
      </c>
      <c r="G2038" t="s">
        <v>26</v>
      </c>
      <c r="H2038">
        <v>35.407510000000002</v>
      </c>
      <c r="I2038">
        <v>30.427009999999999</v>
      </c>
      <c r="J2038">
        <v>28.911660000000001</v>
      </c>
      <c r="K2038">
        <v>25.593920000000001</v>
      </c>
      <c r="L2038">
        <v>22.72972</v>
      </c>
      <c r="M2038">
        <v>20.16751</v>
      </c>
      <c r="N2038">
        <v>17.951640000000001</v>
      </c>
    </row>
    <row r="2039" spans="1:14" hidden="1" x14ac:dyDescent="0.35">
      <c r="A2039" t="s">
        <v>760</v>
      </c>
      <c r="B2039" t="s">
        <v>34</v>
      </c>
      <c r="C2039" t="s">
        <v>33</v>
      </c>
      <c r="D2039" t="s">
        <v>33</v>
      </c>
      <c r="E2039" t="s">
        <v>604</v>
      </c>
      <c r="F2039" t="s">
        <v>581</v>
      </c>
      <c r="G2039" t="s">
        <v>396</v>
      </c>
      <c r="H2039">
        <v>3.7082190000000001E-2</v>
      </c>
      <c r="I2039">
        <v>1.8562380000000001</v>
      </c>
      <c r="J2039">
        <v>1.8541840000000001</v>
      </c>
      <c r="K2039">
        <v>1.5365169999999999</v>
      </c>
      <c r="L2039">
        <v>1.296524</v>
      </c>
      <c r="M2039">
        <v>1.0696289999999999</v>
      </c>
      <c r="N2039">
        <v>0.92420709999999995</v>
      </c>
    </row>
    <row r="2040" spans="1:14" hidden="1" x14ac:dyDescent="0.35">
      <c r="A2040" t="s">
        <v>760</v>
      </c>
      <c r="B2040" t="s">
        <v>34</v>
      </c>
      <c r="C2040" t="s">
        <v>33</v>
      </c>
      <c r="D2040" t="s">
        <v>33</v>
      </c>
      <c r="E2040" t="s">
        <v>604</v>
      </c>
      <c r="F2040" t="s">
        <v>581</v>
      </c>
      <c r="G2040" t="s">
        <v>25</v>
      </c>
      <c r="H2040">
        <v>0.55558079999999999</v>
      </c>
      <c r="I2040">
        <v>1.6706380000000001</v>
      </c>
      <c r="J2040">
        <v>1.6687890000000001</v>
      </c>
      <c r="K2040">
        <v>1.3828849999999999</v>
      </c>
      <c r="L2040">
        <v>1.166887</v>
      </c>
      <c r="M2040">
        <v>0.96267939999999996</v>
      </c>
      <c r="N2040">
        <v>0.83179449999999999</v>
      </c>
    </row>
    <row r="2041" spans="1:14" hidden="1" x14ac:dyDescent="0.35">
      <c r="A2041" t="s">
        <v>760</v>
      </c>
      <c r="B2041" t="s">
        <v>34</v>
      </c>
      <c r="C2041" t="s">
        <v>33</v>
      </c>
      <c r="D2041" t="s">
        <v>33</v>
      </c>
      <c r="E2041" t="s">
        <v>604</v>
      </c>
      <c r="F2041" t="s">
        <v>26</v>
      </c>
      <c r="G2041" t="s">
        <v>26</v>
      </c>
      <c r="H2041">
        <v>3.5844</v>
      </c>
      <c r="I2041">
        <v>5.847207</v>
      </c>
      <c r="J2041">
        <v>5.8406609999999999</v>
      </c>
      <c r="K2041">
        <v>4.8400239999999997</v>
      </c>
      <c r="L2041">
        <v>4.0840490000000003</v>
      </c>
      <c r="M2041">
        <v>3.3693279999999999</v>
      </c>
      <c r="N2041">
        <v>2.9112619999999998</v>
      </c>
    </row>
    <row r="2042" spans="1:14" hidden="1" x14ac:dyDescent="0.35">
      <c r="A2042" t="s">
        <v>761</v>
      </c>
      <c r="B2042" t="s">
        <v>34</v>
      </c>
      <c r="C2042" t="s">
        <v>33</v>
      </c>
      <c r="D2042" t="s">
        <v>33</v>
      </c>
      <c r="E2042" t="s">
        <v>605</v>
      </c>
      <c r="F2042" t="s">
        <v>581</v>
      </c>
      <c r="G2042" t="s">
        <v>25</v>
      </c>
      <c r="H2042">
        <v>3.8983539999999999</v>
      </c>
      <c r="I2042">
        <v>3.5397620000000001</v>
      </c>
      <c r="J2042">
        <v>3.0919140000000001</v>
      </c>
      <c r="K2042">
        <v>2.6630400000000001</v>
      </c>
      <c r="L2042">
        <v>2.3192249999999999</v>
      </c>
      <c r="M2042">
        <v>2.0554039999999998</v>
      </c>
      <c r="N2042">
        <v>1.8302339999999999</v>
      </c>
    </row>
    <row r="2043" spans="1:14" hidden="1" x14ac:dyDescent="0.35">
      <c r="A2043" t="s">
        <v>761</v>
      </c>
      <c r="B2043" t="s">
        <v>34</v>
      </c>
      <c r="C2043" t="s">
        <v>33</v>
      </c>
      <c r="D2043" t="s">
        <v>33</v>
      </c>
      <c r="E2043" t="s">
        <v>605</v>
      </c>
      <c r="F2043" t="s">
        <v>26</v>
      </c>
      <c r="G2043" t="s">
        <v>26</v>
      </c>
      <c r="H2043">
        <v>41.633420000000001</v>
      </c>
      <c r="I2043">
        <v>39.265419999999999</v>
      </c>
      <c r="J2043">
        <v>34.049250000000001</v>
      </c>
      <c r="K2043">
        <v>29.211030000000001</v>
      </c>
      <c r="L2043">
        <v>25.468730000000001</v>
      </c>
      <c r="M2043">
        <v>22.58615</v>
      </c>
      <c r="N2043">
        <v>20.119589999999999</v>
      </c>
    </row>
    <row r="2044" spans="1:14" hidden="1" x14ac:dyDescent="0.35">
      <c r="A2044" t="s">
        <v>762</v>
      </c>
      <c r="B2044" t="s">
        <v>37</v>
      </c>
      <c r="C2044" t="s">
        <v>79</v>
      </c>
      <c r="D2044" t="s">
        <v>79</v>
      </c>
      <c r="E2044" t="s">
        <v>601</v>
      </c>
      <c r="F2044" t="s">
        <v>581</v>
      </c>
      <c r="G2044" t="s">
        <v>396</v>
      </c>
      <c r="H2044">
        <v>9.9470880000000008</v>
      </c>
      <c r="I2044">
        <v>9.4906480000000002</v>
      </c>
      <c r="J2044">
        <v>7.4003709999999998</v>
      </c>
      <c r="K2044">
        <v>5.7880950000000002</v>
      </c>
      <c r="L2044">
        <v>5.2228199999999996</v>
      </c>
      <c r="M2044">
        <v>4.7062429999999997</v>
      </c>
      <c r="N2044">
        <v>4.440245</v>
      </c>
    </row>
    <row r="2045" spans="1:14" hidden="1" x14ac:dyDescent="0.35">
      <c r="A2045" t="s">
        <v>762</v>
      </c>
      <c r="B2045" t="s">
        <v>37</v>
      </c>
      <c r="C2045" t="s">
        <v>79</v>
      </c>
      <c r="D2045" t="s">
        <v>79</v>
      </c>
      <c r="E2045" t="s">
        <v>601</v>
      </c>
      <c r="F2045" t="s">
        <v>581</v>
      </c>
      <c r="G2045" t="s">
        <v>25</v>
      </c>
      <c r="H2045">
        <v>2.4389509999999999</v>
      </c>
      <c r="I2045">
        <v>2.3241309999999999</v>
      </c>
      <c r="J2045">
        <v>1.814513</v>
      </c>
      <c r="K2045">
        <v>1.4191940000000001</v>
      </c>
      <c r="L2045">
        <v>1.2805979999999999</v>
      </c>
      <c r="M2045">
        <v>1.1539299999999999</v>
      </c>
      <c r="N2045">
        <v>1.088716</v>
      </c>
    </row>
    <row r="2046" spans="1:14" hidden="1" x14ac:dyDescent="0.35">
      <c r="A2046" t="s">
        <v>762</v>
      </c>
      <c r="B2046" t="s">
        <v>37</v>
      </c>
      <c r="C2046" t="s">
        <v>79</v>
      </c>
      <c r="D2046" t="s">
        <v>79</v>
      </c>
      <c r="E2046" t="s">
        <v>601</v>
      </c>
      <c r="F2046" t="s">
        <v>26</v>
      </c>
      <c r="G2046" t="s">
        <v>26</v>
      </c>
      <c r="H2046">
        <v>3.2519309999999999</v>
      </c>
      <c r="I2046">
        <v>3.098843</v>
      </c>
      <c r="J2046">
        <v>2.4193530000000001</v>
      </c>
      <c r="K2046">
        <v>1.892261</v>
      </c>
      <c r="L2046">
        <v>1.7074579999999999</v>
      </c>
      <c r="M2046">
        <v>1.538581</v>
      </c>
      <c r="N2046">
        <v>1.4516210000000001</v>
      </c>
    </row>
    <row r="2047" spans="1:14" hidden="1" x14ac:dyDescent="0.35">
      <c r="A2047" t="s">
        <v>762</v>
      </c>
      <c r="B2047" t="s">
        <v>37</v>
      </c>
      <c r="C2047" t="s">
        <v>79</v>
      </c>
      <c r="D2047" t="s">
        <v>79</v>
      </c>
      <c r="E2047" t="s">
        <v>614</v>
      </c>
      <c r="F2047" t="s">
        <v>581</v>
      </c>
      <c r="G2047" t="s">
        <v>396</v>
      </c>
      <c r="H2047">
        <v>12.41473</v>
      </c>
      <c r="I2047">
        <v>11.484690000000001</v>
      </c>
      <c r="J2047">
        <v>8.7663530000000005</v>
      </c>
      <c r="K2047">
        <v>6.9036600000000004</v>
      </c>
      <c r="L2047">
        <v>6.793329</v>
      </c>
      <c r="M2047">
        <v>4.9826180000000004</v>
      </c>
      <c r="N2047">
        <v>3.5763790000000002</v>
      </c>
    </row>
    <row r="2048" spans="1:14" hidden="1" x14ac:dyDescent="0.35">
      <c r="A2048" t="s">
        <v>762</v>
      </c>
      <c r="B2048" t="s">
        <v>37</v>
      </c>
      <c r="C2048" t="s">
        <v>79</v>
      </c>
      <c r="D2048" t="s">
        <v>79</v>
      </c>
      <c r="E2048" t="s">
        <v>614</v>
      </c>
      <c r="F2048" t="s">
        <v>581</v>
      </c>
      <c r="G2048" t="s">
        <v>25</v>
      </c>
      <c r="H2048">
        <v>1.629723</v>
      </c>
      <c r="I2048">
        <v>1.5081549999999999</v>
      </c>
      <c r="J2048">
        <v>1.1570549999999999</v>
      </c>
      <c r="K2048">
        <v>0.90904660000000004</v>
      </c>
      <c r="L2048">
        <v>0.89576769999999994</v>
      </c>
      <c r="M2048">
        <v>0.65688990000000003</v>
      </c>
      <c r="N2048">
        <v>0.47051009999999999</v>
      </c>
    </row>
    <row r="2049" spans="1:14" hidden="1" x14ac:dyDescent="0.35">
      <c r="A2049" t="s">
        <v>762</v>
      </c>
      <c r="B2049" t="s">
        <v>37</v>
      </c>
      <c r="C2049" t="s">
        <v>79</v>
      </c>
      <c r="D2049" t="s">
        <v>79</v>
      </c>
      <c r="E2049" t="s">
        <v>614</v>
      </c>
      <c r="F2049" t="s">
        <v>26</v>
      </c>
      <c r="G2049" t="s">
        <v>26</v>
      </c>
      <c r="H2049">
        <v>2.2527560000000002</v>
      </c>
      <c r="I2049">
        <v>2.122344</v>
      </c>
      <c r="J2049">
        <v>1.6471750000000001</v>
      </c>
      <c r="K2049">
        <v>1.2777639999999999</v>
      </c>
      <c r="L2049">
        <v>1.268643</v>
      </c>
      <c r="M2049">
        <v>0.92939780000000005</v>
      </c>
      <c r="N2049">
        <v>0.65821479999999999</v>
      </c>
    </row>
    <row r="2050" spans="1:14" hidden="1" x14ac:dyDescent="0.35">
      <c r="A2050" t="s">
        <v>762</v>
      </c>
      <c r="B2050" t="s">
        <v>37</v>
      </c>
      <c r="C2050" t="s">
        <v>79</v>
      </c>
      <c r="D2050" t="s">
        <v>79</v>
      </c>
      <c r="E2050" t="s">
        <v>584</v>
      </c>
      <c r="F2050" t="s">
        <v>581</v>
      </c>
      <c r="G2050" t="s">
        <v>396</v>
      </c>
      <c r="H2050">
        <v>3.457392</v>
      </c>
      <c r="I2050">
        <v>3.4209689999999999</v>
      </c>
      <c r="J2050">
        <v>3.101499</v>
      </c>
      <c r="K2050">
        <v>2.598875</v>
      </c>
      <c r="L2050">
        <v>2.3448730000000002</v>
      </c>
      <c r="M2050">
        <v>1.955989</v>
      </c>
      <c r="N2050">
        <v>1.7111000000000001</v>
      </c>
    </row>
    <row r="2051" spans="1:14" hidden="1" x14ac:dyDescent="0.35">
      <c r="A2051" t="s">
        <v>762</v>
      </c>
      <c r="B2051" t="s">
        <v>37</v>
      </c>
      <c r="C2051" t="s">
        <v>79</v>
      </c>
      <c r="D2051" t="s">
        <v>79</v>
      </c>
      <c r="E2051" t="s">
        <v>584</v>
      </c>
      <c r="F2051" t="s">
        <v>581</v>
      </c>
      <c r="G2051" t="s">
        <v>24</v>
      </c>
      <c r="H2051">
        <v>3.5926029999999998E-2</v>
      </c>
      <c r="I2051">
        <v>3.4728769999999999E-2</v>
      </c>
      <c r="J2051">
        <v>3.356986E-2</v>
      </c>
      <c r="K2051">
        <v>3.2452050000000003E-2</v>
      </c>
      <c r="L2051">
        <v>3.1369859999999999E-2</v>
      </c>
      <c r="M2051">
        <v>3.0323289999999999E-2</v>
      </c>
      <c r="N2051">
        <v>2.9315069999999999E-2</v>
      </c>
    </row>
    <row r="2052" spans="1:14" hidden="1" x14ac:dyDescent="0.35">
      <c r="A2052" t="s">
        <v>762</v>
      </c>
      <c r="B2052" t="s">
        <v>37</v>
      </c>
      <c r="C2052" t="s">
        <v>79</v>
      </c>
      <c r="D2052" t="s">
        <v>79</v>
      </c>
      <c r="E2052" t="s">
        <v>584</v>
      </c>
      <c r="F2052" t="s">
        <v>581</v>
      </c>
      <c r="G2052" t="s">
        <v>25</v>
      </c>
      <c r="H2052">
        <v>1.70617</v>
      </c>
      <c r="I2052">
        <v>1.5575369999999999</v>
      </c>
      <c r="J2052">
        <v>1.346554</v>
      </c>
      <c r="K2052">
        <v>1.098406</v>
      </c>
      <c r="L2052">
        <v>0.95809319999999998</v>
      </c>
      <c r="M2052">
        <v>0.78423069999999995</v>
      </c>
      <c r="N2052">
        <v>0.6715776</v>
      </c>
    </row>
    <row r="2053" spans="1:14" hidden="1" x14ac:dyDescent="0.35">
      <c r="A2053" t="s">
        <v>762</v>
      </c>
      <c r="B2053" t="s">
        <v>37</v>
      </c>
      <c r="C2053" t="s">
        <v>79</v>
      </c>
      <c r="D2053" t="s">
        <v>79</v>
      </c>
      <c r="E2053" t="s">
        <v>584</v>
      </c>
      <c r="F2053" t="s">
        <v>26</v>
      </c>
      <c r="G2053" t="s">
        <v>26</v>
      </c>
      <c r="H2053">
        <v>7.5793780000000002</v>
      </c>
      <c r="I2053">
        <v>7.5502060000000002</v>
      </c>
      <c r="J2053">
        <v>6.8913399999999996</v>
      </c>
      <c r="K2053">
        <v>5.8277900000000002</v>
      </c>
      <c r="L2053">
        <v>5.2822789999999999</v>
      </c>
      <c r="M2053">
        <v>4.4439970000000004</v>
      </c>
      <c r="N2053">
        <v>3.908258</v>
      </c>
    </row>
    <row r="2054" spans="1:14" hidden="1" x14ac:dyDescent="0.35">
      <c r="A2054" t="s">
        <v>762</v>
      </c>
      <c r="B2054" t="s">
        <v>37</v>
      </c>
      <c r="C2054" t="s">
        <v>79</v>
      </c>
      <c r="D2054" t="s">
        <v>79</v>
      </c>
      <c r="E2054" t="s">
        <v>640</v>
      </c>
      <c r="F2054" t="s">
        <v>581</v>
      </c>
      <c r="G2054" t="s">
        <v>396</v>
      </c>
      <c r="H2054">
        <v>1.3678380000000001</v>
      </c>
      <c r="I2054">
        <v>1.292502</v>
      </c>
      <c r="J2054">
        <v>1.0472170000000001</v>
      </c>
      <c r="K2054">
        <v>0.89604709999999999</v>
      </c>
      <c r="L2054">
        <v>0.80967719999999999</v>
      </c>
      <c r="M2054">
        <v>0.68508380000000002</v>
      </c>
      <c r="N2054">
        <v>0.58578839999999999</v>
      </c>
    </row>
    <row r="2055" spans="1:14" hidden="1" x14ac:dyDescent="0.35">
      <c r="A2055" t="s">
        <v>762</v>
      </c>
      <c r="B2055" t="s">
        <v>37</v>
      </c>
      <c r="C2055" t="s">
        <v>79</v>
      </c>
      <c r="D2055" t="s">
        <v>79</v>
      </c>
      <c r="E2055" t="s">
        <v>640</v>
      </c>
      <c r="F2055" t="s">
        <v>581</v>
      </c>
      <c r="G2055" t="s">
        <v>25</v>
      </c>
      <c r="H2055">
        <v>4.365753E-2</v>
      </c>
      <c r="I2055">
        <v>4.1252610000000002E-2</v>
      </c>
      <c r="J2055">
        <v>3.3422470000000003E-2</v>
      </c>
      <c r="K2055">
        <v>2.8597259999999999E-2</v>
      </c>
      <c r="L2055">
        <v>2.5839999999999998E-2</v>
      </c>
      <c r="M2055">
        <v>2.1864109999999999E-2</v>
      </c>
      <c r="N2055">
        <v>1.86926E-2</v>
      </c>
    </row>
    <row r="2056" spans="1:14" hidden="1" x14ac:dyDescent="0.35">
      <c r="A2056" t="s">
        <v>762</v>
      </c>
      <c r="B2056" t="s">
        <v>37</v>
      </c>
      <c r="C2056" t="s">
        <v>79</v>
      </c>
      <c r="D2056" t="s">
        <v>79</v>
      </c>
      <c r="E2056" t="s">
        <v>640</v>
      </c>
      <c r="F2056" t="s">
        <v>26</v>
      </c>
      <c r="G2056" t="s">
        <v>26</v>
      </c>
      <c r="H2056">
        <v>4.3654800000000001E-2</v>
      </c>
      <c r="I2056">
        <v>4.1249859999999999E-2</v>
      </c>
      <c r="J2056">
        <v>3.341918E-2</v>
      </c>
      <c r="K2056">
        <v>2.8596710000000001E-2</v>
      </c>
      <c r="L2056">
        <v>2.5839999999999998E-2</v>
      </c>
      <c r="M2056">
        <v>2.1864660000000001E-2</v>
      </c>
      <c r="N2056">
        <v>1.8695340000000001E-2</v>
      </c>
    </row>
    <row r="2057" spans="1:14" hidden="1" x14ac:dyDescent="0.35">
      <c r="A2057" t="s">
        <v>762</v>
      </c>
      <c r="B2057" t="s">
        <v>37</v>
      </c>
      <c r="C2057" t="s">
        <v>46</v>
      </c>
      <c r="D2057" t="s">
        <v>46</v>
      </c>
      <c r="E2057" t="s">
        <v>584</v>
      </c>
      <c r="F2057" t="s">
        <v>581</v>
      </c>
      <c r="G2057" t="s">
        <v>396</v>
      </c>
      <c r="H2057">
        <v>0.35992059999999998</v>
      </c>
      <c r="I2057">
        <v>0.3240384</v>
      </c>
      <c r="J2057">
        <v>0.29079169999999999</v>
      </c>
      <c r="K2057">
        <v>0.26170690000000002</v>
      </c>
      <c r="L2057">
        <v>0.2355343</v>
      </c>
      <c r="M2057">
        <v>0.21252599999999999</v>
      </c>
      <c r="N2057">
        <v>0.19072049999999999</v>
      </c>
    </row>
    <row r="2058" spans="1:14" hidden="1" x14ac:dyDescent="0.35">
      <c r="A2058" t="s">
        <v>762</v>
      </c>
      <c r="B2058" t="s">
        <v>37</v>
      </c>
      <c r="C2058" t="s">
        <v>46</v>
      </c>
      <c r="D2058" t="s">
        <v>46</v>
      </c>
      <c r="E2058" t="s">
        <v>584</v>
      </c>
      <c r="F2058" t="s">
        <v>581</v>
      </c>
      <c r="G2058" t="s">
        <v>24</v>
      </c>
      <c r="H2058">
        <v>2.852055E-3</v>
      </c>
      <c r="I2058">
        <v>2.8E-3</v>
      </c>
      <c r="J2058">
        <v>2.7479449999999999E-3</v>
      </c>
      <c r="K2058">
        <v>2.6931500000000001E-3</v>
      </c>
      <c r="L2058">
        <v>2.6383560000000001E-3</v>
      </c>
      <c r="M2058">
        <v>2.586302E-3</v>
      </c>
      <c r="N2058">
        <v>2.5369860000000002E-3</v>
      </c>
    </row>
    <row r="2059" spans="1:14" hidden="1" x14ac:dyDescent="0.35">
      <c r="A2059" t="s">
        <v>762</v>
      </c>
      <c r="B2059" t="s">
        <v>37</v>
      </c>
      <c r="C2059" t="s">
        <v>46</v>
      </c>
      <c r="D2059" t="s">
        <v>46</v>
      </c>
      <c r="E2059" t="s">
        <v>584</v>
      </c>
      <c r="F2059" t="s">
        <v>581</v>
      </c>
      <c r="G2059" t="s">
        <v>25</v>
      </c>
      <c r="H2059">
        <v>0.24722740000000001</v>
      </c>
      <c r="I2059">
        <v>0.20194519999999999</v>
      </c>
      <c r="J2059">
        <v>0.1673589</v>
      </c>
      <c r="K2059">
        <v>0.14122190000000001</v>
      </c>
      <c r="L2059">
        <v>0.1207945</v>
      </c>
      <c r="M2059">
        <v>0.104737</v>
      </c>
      <c r="N2059">
        <v>9.1183570000000005E-2</v>
      </c>
    </row>
    <row r="2060" spans="1:14" hidden="1" x14ac:dyDescent="0.35">
      <c r="A2060" t="s">
        <v>762</v>
      </c>
      <c r="B2060" t="s">
        <v>37</v>
      </c>
      <c r="C2060" t="s">
        <v>46</v>
      </c>
      <c r="D2060" t="s">
        <v>46</v>
      </c>
      <c r="E2060" t="s">
        <v>584</v>
      </c>
      <c r="F2060" t="s">
        <v>26</v>
      </c>
      <c r="G2060" t="s">
        <v>26</v>
      </c>
      <c r="H2060">
        <v>1.077353</v>
      </c>
      <c r="I2060">
        <v>0.97563840000000002</v>
      </c>
      <c r="J2060">
        <v>0.87893429999999995</v>
      </c>
      <c r="K2060">
        <v>0.79426030000000003</v>
      </c>
      <c r="L2060">
        <v>0.71799179999999996</v>
      </c>
      <c r="M2060">
        <v>0.65087390000000001</v>
      </c>
      <c r="N2060">
        <v>0.5872328</v>
      </c>
    </row>
    <row r="2061" spans="1:14" hidden="1" x14ac:dyDescent="0.35">
      <c r="A2061" t="s">
        <v>763</v>
      </c>
      <c r="B2061" t="s">
        <v>201</v>
      </c>
      <c r="C2061" t="s">
        <v>220</v>
      </c>
      <c r="D2061" t="s">
        <v>220</v>
      </c>
      <c r="E2061" t="s">
        <v>584</v>
      </c>
      <c r="F2061" t="s">
        <v>581</v>
      </c>
      <c r="G2061" t="s">
        <v>396</v>
      </c>
      <c r="H2061">
        <v>16.956720000000001</v>
      </c>
      <c r="I2061">
        <v>20.081969999999998</v>
      </c>
      <c r="J2061">
        <v>19.636520000000001</v>
      </c>
      <c r="K2061">
        <v>19.831440000000001</v>
      </c>
      <c r="L2061">
        <v>19.47418</v>
      </c>
      <c r="M2061">
        <v>18.94407</v>
      </c>
      <c r="N2061">
        <v>17.961379999999998</v>
      </c>
    </row>
    <row r="2062" spans="1:14" hidden="1" x14ac:dyDescent="0.35">
      <c r="A2062" t="s">
        <v>763</v>
      </c>
      <c r="B2062" t="s">
        <v>201</v>
      </c>
      <c r="C2062" t="s">
        <v>220</v>
      </c>
      <c r="D2062" t="s">
        <v>220</v>
      </c>
      <c r="E2062" t="s">
        <v>606</v>
      </c>
      <c r="F2062" t="s">
        <v>581</v>
      </c>
      <c r="G2062" t="s">
        <v>396</v>
      </c>
      <c r="N2062">
        <v>0</v>
      </c>
    </row>
    <row r="2063" spans="1:14" hidden="1" x14ac:dyDescent="0.35">
      <c r="A2063" t="s">
        <v>763</v>
      </c>
      <c r="B2063" t="s">
        <v>201</v>
      </c>
      <c r="C2063" t="s">
        <v>220</v>
      </c>
      <c r="D2063" t="s">
        <v>220</v>
      </c>
      <c r="E2063" t="s">
        <v>606</v>
      </c>
      <c r="F2063" t="s">
        <v>581</v>
      </c>
      <c r="G2063" t="s">
        <v>24</v>
      </c>
      <c r="N2063">
        <v>0</v>
      </c>
    </row>
    <row r="2064" spans="1:14" hidden="1" x14ac:dyDescent="0.35">
      <c r="A2064" t="s">
        <v>763</v>
      </c>
      <c r="B2064" t="s">
        <v>201</v>
      </c>
      <c r="C2064" t="s">
        <v>220</v>
      </c>
      <c r="D2064" t="s">
        <v>220</v>
      </c>
      <c r="E2064" t="s">
        <v>606</v>
      </c>
      <c r="F2064" t="s">
        <v>581</v>
      </c>
      <c r="G2064" t="s">
        <v>25</v>
      </c>
      <c r="N2064">
        <v>0</v>
      </c>
    </row>
    <row r="2065" spans="1:14" hidden="1" x14ac:dyDescent="0.35">
      <c r="A2065" t="s">
        <v>763</v>
      </c>
      <c r="B2065" t="s">
        <v>201</v>
      </c>
      <c r="C2065" t="s">
        <v>220</v>
      </c>
      <c r="D2065" t="s">
        <v>220</v>
      </c>
      <c r="E2065" t="s">
        <v>606</v>
      </c>
      <c r="F2065" t="s">
        <v>26</v>
      </c>
      <c r="G2065" t="s">
        <v>26</v>
      </c>
      <c r="N2065">
        <v>0</v>
      </c>
    </row>
    <row r="2066" spans="1:14" hidden="1" x14ac:dyDescent="0.35">
      <c r="A2066" t="s">
        <v>763</v>
      </c>
      <c r="B2066" t="s">
        <v>201</v>
      </c>
      <c r="C2066" t="s">
        <v>216</v>
      </c>
      <c r="D2066" t="s">
        <v>216</v>
      </c>
      <c r="E2066" t="s">
        <v>584</v>
      </c>
      <c r="F2066" t="s">
        <v>581</v>
      </c>
      <c r="G2066" t="s">
        <v>396</v>
      </c>
      <c r="H2066">
        <v>14.15931</v>
      </c>
      <c r="I2066">
        <v>16.3903</v>
      </c>
      <c r="J2066">
        <v>15.354229999999999</v>
      </c>
      <c r="K2066">
        <v>14.918990000000001</v>
      </c>
      <c r="L2066">
        <v>13.72378</v>
      </c>
      <c r="M2066">
        <v>12.36037</v>
      </c>
      <c r="N2066">
        <v>3.830892</v>
      </c>
    </row>
    <row r="2067" spans="1:14" hidden="1" x14ac:dyDescent="0.35">
      <c r="A2067" t="s">
        <v>763</v>
      </c>
      <c r="B2067" t="s">
        <v>201</v>
      </c>
      <c r="C2067" t="s">
        <v>216</v>
      </c>
      <c r="D2067" t="s">
        <v>216</v>
      </c>
      <c r="E2067" t="s">
        <v>584</v>
      </c>
      <c r="F2067" t="s">
        <v>581</v>
      </c>
      <c r="G2067" t="s">
        <v>24</v>
      </c>
      <c r="N2067">
        <v>0</v>
      </c>
    </row>
    <row r="2068" spans="1:14" hidden="1" x14ac:dyDescent="0.35">
      <c r="A2068" t="s">
        <v>763</v>
      </c>
      <c r="B2068" t="s">
        <v>201</v>
      </c>
      <c r="C2068" t="s">
        <v>216</v>
      </c>
      <c r="D2068" t="s">
        <v>216</v>
      </c>
      <c r="E2068" t="s">
        <v>584</v>
      </c>
      <c r="F2068" t="s">
        <v>581</v>
      </c>
      <c r="G2068" t="s">
        <v>25</v>
      </c>
      <c r="N2068">
        <v>0</v>
      </c>
    </row>
    <row r="2069" spans="1:14" hidden="1" x14ac:dyDescent="0.35">
      <c r="A2069" t="s">
        <v>763</v>
      </c>
      <c r="B2069" t="s">
        <v>201</v>
      </c>
      <c r="C2069" t="s">
        <v>216</v>
      </c>
      <c r="D2069" t="s">
        <v>216</v>
      </c>
      <c r="E2069" t="s">
        <v>584</v>
      </c>
      <c r="F2069" t="s">
        <v>26</v>
      </c>
      <c r="G2069" t="s">
        <v>26</v>
      </c>
      <c r="H2069">
        <v>0.20821919999999999</v>
      </c>
      <c r="I2069">
        <v>0.22156439999999999</v>
      </c>
      <c r="J2069">
        <v>0.17275070000000001</v>
      </c>
      <c r="K2069">
        <v>0.1626493</v>
      </c>
      <c r="L2069">
        <v>0.1245233</v>
      </c>
      <c r="M2069">
        <v>0.1123151</v>
      </c>
      <c r="N2069">
        <v>2.0224659999999998E-2</v>
      </c>
    </row>
    <row r="2070" spans="1:14" hidden="1" x14ac:dyDescent="0.35">
      <c r="A2070" t="s">
        <v>763</v>
      </c>
      <c r="B2070" t="s">
        <v>201</v>
      </c>
      <c r="C2070" t="s">
        <v>257</v>
      </c>
      <c r="D2070" t="s">
        <v>257</v>
      </c>
      <c r="E2070" t="s">
        <v>584</v>
      </c>
      <c r="F2070" t="s">
        <v>581</v>
      </c>
      <c r="G2070" t="s">
        <v>396</v>
      </c>
      <c r="H2070">
        <v>0.91250500000000001</v>
      </c>
      <c r="I2070">
        <v>0.73629860000000003</v>
      </c>
      <c r="J2070">
        <v>0.63560919999999999</v>
      </c>
      <c r="K2070">
        <v>0.58350519999999995</v>
      </c>
      <c r="L2070">
        <v>0.58279999999999998</v>
      </c>
      <c r="M2070">
        <v>0.58886799999999995</v>
      </c>
      <c r="N2070">
        <v>0.50782360000000004</v>
      </c>
    </row>
    <row r="2071" spans="1:14" hidden="1" x14ac:dyDescent="0.35">
      <c r="A2071" t="s">
        <v>763</v>
      </c>
      <c r="B2071" t="s">
        <v>201</v>
      </c>
      <c r="C2071" t="s">
        <v>257</v>
      </c>
      <c r="D2071" t="s">
        <v>257</v>
      </c>
      <c r="E2071" t="s">
        <v>584</v>
      </c>
      <c r="F2071" t="s">
        <v>581</v>
      </c>
      <c r="G2071" t="s">
        <v>24</v>
      </c>
      <c r="K2071">
        <v>0</v>
      </c>
      <c r="L2071">
        <v>1.8345200000000001E-3</v>
      </c>
      <c r="M2071">
        <v>3.699726E-3</v>
      </c>
      <c r="N2071">
        <v>2.9457540000000001E-3</v>
      </c>
    </row>
    <row r="2072" spans="1:14" hidden="1" x14ac:dyDescent="0.35">
      <c r="A2072" t="s">
        <v>763</v>
      </c>
      <c r="B2072" t="s">
        <v>201</v>
      </c>
      <c r="C2072" t="s">
        <v>257</v>
      </c>
      <c r="D2072" t="s">
        <v>257</v>
      </c>
      <c r="E2072" t="s">
        <v>584</v>
      </c>
      <c r="F2072" t="s">
        <v>581</v>
      </c>
      <c r="G2072" t="s">
        <v>25</v>
      </c>
      <c r="K2072">
        <v>0</v>
      </c>
      <c r="L2072">
        <v>2.30137E-4</v>
      </c>
      <c r="M2072">
        <v>4.9753419999999996E-4</v>
      </c>
      <c r="N2072">
        <v>0</v>
      </c>
    </row>
    <row r="2073" spans="1:14" hidden="1" x14ac:dyDescent="0.35">
      <c r="A2073" t="s">
        <v>763</v>
      </c>
      <c r="B2073" t="s">
        <v>201</v>
      </c>
      <c r="C2073" t="s">
        <v>257</v>
      </c>
      <c r="D2073" t="s">
        <v>257</v>
      </c>
      <c r="E2073" t="s">
        <v>584</v>
      </c>
      <c r="F2073" t="s">
        <v>26</v>
      </c>
      <c r="G2073" t="s">
        <v>26</v>
      </c>
      <c r="H2073">
        <v>0.20342460000000001</v>
      </c>
      <c r="I2073">
        <v>0.1050325</v>
      </c>
      <c r="J2073">
        <v>0.1050411</v>
      </c>
      <c r="K2073">
        <v>0.1050411</v>
      </c>
      <c r="L2073">
        <v>0.1105907</v>
      </c>
      <c r="M2073">
        <v>0.1171543</v>
      </c>
      <c r="N2073">
        <v>0.11138380000000001</v>
      </c>
    </row>
    <row r="2074" spans="1:14" hidden="1" x14ac:dyDescent="0.35">
      <c r="A2074" t="s">
        <v>764</v>
      </c>
      <c r="B2074" t="s">
        <v>37</v>
      </c>
      <c r="C2074" t="s">
        <v>79</v>
      </c>
      <c r="D2074" t="s">
        <v>79</v>
      </c>
      <c r="E2074" t="s">
        <v>617</v>
      </c>
      <c r="F2074" t="s">
        <v>581</v>
      </c>
      <c r="G2074" t="s">
        <v>25</v>
      </c>
      <c r="H2074">
        <v>1.095205</v>
      </c>
      <c r="I2074">
        <v>0.8599561</v>
      </c>
      <c r="J2074">
        <v>0.78682079999999999</v>
      </c>
      <c r="K2074">
        <v>0.63600599999999996</v>
      </c>
      <c r="L2074">
        <v>0.65758910000000004</v>
      </c>
      <c r="M2074">
        <v>0.5588033</v>
      </c>
      <c r="N2074">
        <v>0.39755560000000001</v>
      </c>
    </row>
    <row r="2075" spans="1:14" hidden="1" x14ac:dyDescent="0.35">
      <c r="A2075" t="s">
        <v>764</v>
      </c>
      <c r="B2075" t="s">
        <v>37</v>
      </c>
      <c r="C2075" t="s">
        <v>79</v>
      </c>
      <c r="D2075" t="s">
        <v>79</v>
      </c>
      <c r="E2075" t="s">
        <v>617</v>
      </c>
      <c r="F2075" t="s">
        <v>26</v>
      </c>
      <c r="G2075" t="s">
        <v>26</v>
      </c>
      <c r="H2075">
        <v>25.302119999999999</v>
      </c>
      <c r="I2075">
        <v>21.29729</v>
      </c>
      <c r="J2075">
        <v>21.302759999999999</v>
      </c>
      <c r="K2075">
        <v>20.45402</v>
      </c>
      <c r="L2075">
        <v>21.085439999999998</v>
      </c>
      <c r="M2075">
        <v>22.46312</v>
      </c>
      <c r="N2075">
        <v>24.230049999999999</v>
      </c>
    </row>
    <row r="2076" spans="1:14" hidden="1" x14ac:dyDescent="0.35">
      <c r="A2076" t="s">
        <v>764</v>
      </c>
      <c r="B2076" t="s">
        <v>37</v>
      </c>
      <c r="C2076" t="s">
        <v>79</v>
      </c>
      <c r="D2076" t="s">
        <v>79</v>
      </c>
      <c r="E2076" t="s">
        <v>600</v>
      </c>
      <c r="F2076" t="s">
        <v>581</v>
      </c>
      <c r="G2076" t="s">
        <v>24</v>
      </c>
      <c r="H2076">
        <v>1.993638</v>
      </c>
      <c r="I2076">
        <v>1.8903099999999999</v>
      </c>
      <c r="J2076">
        <v>1.5841989999999999</v>
      </c>
      <c r="K2076">
        <v>1.4525220000000001</v>
      </c>
      <c r="L2076">
        <v>1.328438</v>
      </c>
      <c r="M2076">
        <v>0.98725529999999995</v>
      </c>
      <c r="N2076">
        <v>0.90145589999999998</v>
      </c>
    </row>
    <row r="2077" spans="1:14" hidden="1" x14ac:dyDescent="0.35">
      <c r="A2077" t="s">
        <v>764</v>
      </c>
      <c r="B2077" t="s">
        <v>37</v>
      </c>
      <c r="C2077" t="s">
        <v>79</v>
      </c>
      <c r="D2077" t="s">
        <v>79</v>
      </c>
      <c r="E2077" t="s">
        <v>600</v>
      </c>
      <c r="F2077" t="s">
        <v>581</v>
      </c>
      <c r="G2077" t="s">
        <v>25</v>
      </c>
      <c r="H2077">
        <v>3.271239</v>
      </c>
      <c r="I2077">
        <v>2.59443</v>
      </c>
      <c r="J2077">
        <v>2.1687609999999999</v>
      </c>
      <c r="K2077">
        <v>1.9474739999999999</v>
      </c>
      <c r="L2077">
        <v>1.7565999999999999</v>
      </c>
      <c r="M2077">
        <v>1.3101210000000001</v>
      </c>
      <c r="N2077">
        <v>1.140363</v>
      </c>
    </row>
    <row r="2078" spans="1:14" hidden="1" x14ac:dyDescent="0.35">
      <c r="A2078" t="s">
        <v>764</v>
      </c>
      <c r="B2078" t="s">
        <v>37</v>
      </c>
      <c r="C2078" t="s">
        <v>79</v>
      </c>
      <c r="D2078" t="s">
        <v>79</v>
      </c>
      <c r="E2078" t="s">
        <v>600</v>
      </c>
      <c r="F2078" t="s">
        <v>26</v>
      </c>
      <c r="G2078" t="s">
        <v>26</v>
      </c>
      <c r="H2078">
        <v>3.8856169999999999</v>
      </c>
      <c r="I2078">
        <v>3.4093830000000001</v>
      </c>
      <c r="J2078">
        <v>3.043231</v>
      </c>
      <c r="K2078">
        <v>2.7249490000000001</v>
      </c>
      <c r="L2078">
        <v>2.4531390000000002</v>
      </c>
      <c r="M2078">
        <v>1.8305309999999999</v>
      </c>
      <c r="N2078">
        <v>1.582414</v>
      </c>
    </row>
    <row r="2079" spans="1:14" hidden="1" x14ac:dyDescent="0.35">
      <c r="A2079" t="s">
        <v>764</v>
      </c>
      <c r="B2079" t="s">
        <v>37</v>
      </c>
      <c r="C2079" t="s">
        <v>79</v>
      </c>
      <c r="D2079" t="s">
        <v>79</v>
      </c>
      <c r="E2079" t="s">
        <v>614</v>
      </c>
      <c r="F2079" t="s">
        <v>581</v>
      </c>
      <c r="G2079" t="s">
        <v>396</v>
      </c>
      <c r="H2079">
        <v>2.2726030000000002</v>
      </c>
      <c r="I2079">
        <v>3.9708600000000001</v>
      </c>
      <c r="J2079">
        <v>4.2119790000000004</v>
      </c>
      <c r="K2079">
        <v>3.2321339999999998</v>
      </c>
      <c r="L2079">
        <v>2.4573559999999999</v>
      </c>
      <c r="M2079">
        <v>1.9620820000000001</v>
      </c>
      <c r="N2079">
        <v>1.690528</v>
      </c>
    </row>
    <row r="2080" spans="1:14" hidden="1" x14ac:dyDescent="0.35">
      <c r="A2080" t="s">
        <v>764</v>
      </c>
      <c r="B2080" t="s">
        <v>37</v>
      </c>
      <c r="C2080" t="s">
        <v>79</v>
      </c>
      <c r="D2080" t="s">
        <v>79</v>
      </c>
      <c r="E2080" t="s">
        <v>614</v>
      </c>
      <c r="F2080" t="s">
        <v>581</v>
      </c>
      <c r="G2080" t="s">
        <v>25</v>
      </c>
      <c r="H2080">
        <v>0.19109309999999999</v>
      </c>
      <c r="I2080">
        <v>0.22578899999999999</v>
      </c>
      <c r="J2080">
        <v>0.2340005</v>
      </c>
      <c r="K2080">
        <v>0.17956269999999999</v>
      </c>
      <c r="L2080">
        <v>0.1365227</v>
      </c>
      <c r="M2080">
        <v>0.1090049</v>
      </c>
      <c r="N2080">
        <v>9.3916159999999999E-2</v>
      </c>
    </row>
    <row r="2081" spans="1:14" hidden="1" x14ac:dyDescent="0.35">
      <c r="A2081" t="s">
        <v>764</v>
      </c>
      <c r="B2081" t="s">
        <v>37</v>
      </c>
      <c r="C2081" t="s">
        <v>79</v>
      </c>
      <c r="D2081" t="s">
        <v>79</v>
      </c>
      <c r="E2081" t="s">
        <v>614</v>
      </c>
      <c r="F2081" t="s">
        <v>26</v>
      </c>
      <c r="G2081" t="s">
        <v>26</v>
      </c>
      <c r="H2081">
        <v>0.1623288</v>
      </c>
      <c r="I2081">
        <v>0.22578899999999999</v>
      </c>
      <c r="J2081">
        <v>0.2340005</v>
      </c>
      <c r="K2081">
        <v>0.17956549999999999</v>
      </c>
      <c r="L2081">
        <v>0.13652</v>
      </c>
      <c r="M2081">
        <v>0.10900170000000001</v>
      </c>
      <c r="N2081">
        <v>9.3916159999999999E-2</v>
      </c>
    </row>
    <row r="2082" spans="1:14" hidden="1" x14ac:dyDescent="0.35">
      <c r="A2082" t="s">
        <v>764</v>
      </c>
      <c r="B2082" t="s">
        <v>37</v>
      </c>
      <c r="C2082" t="s">
        <v>79</v>
      </c>
      <c r="D2082" t="s">
        <v>79</v>
      </c>
      <c r="E2082" t="s">
        <v>615</v>
      </c>
      <c r="F2082" t="s">
        <v>581</v>
      </c>
      <c r="G2082" t="s">
        <v>396</v>
      </c>
      <c r="H2082">
        <v>0.12883559999999999</v>
      </c>
      <c r="I2082">
        <v>0.29029529999999998</v>
      </c>
      <c r="J2082">
        <v>0.2832537</v>
      </c>
      <c r="K2082">
        <v>0.29252270000000002</v>
      </c>
      <c r="L2082">
        <v>0.31241099999999999</v>
      </c>
      <c r="M2082">
        <v>0.22918250000000001</v>
      </c>
      <c r="N2082">
        <v>0.1695277</v>
      </c>
    </row>
    <row r="2083" spans="1:14" hidden="1" x14ac:dyDescent="0.35">
      <c r="A2083" t="s">
        <v>764</v>
      </c>
      <c r="B2083" t="s">
        <v>37</v>
      </c>
      <c r="C2083" t="s">
        <v>79</v>
      </c>
      <c r="D2083" t="s">
        <v>79</v>
      </c>
      <c r="E2083" t="s">
        <v>615</v>
      </c>
      <c r="F2083" t="s">
        <v>581</v>
      </c>
      <c r="G2083" t="s">
        <v>25</v>
      </c>
      <c r="H2083">
        <v>0.1095206</v>
      </c>
      <c r="I2083">
        <v>0.11712930000000001</v>
      </c>
      <c r="J2083">
        <v>0.1142915</v>
      </c>
      <c r="K2083">
        <v>0.1180373</v>
      </c>
      <c r="L2083">
        <v>0.12605810000000001</v>
      </c>
      <c r="M2083">
        <v>9.2478900000000003E-2</v>
      </c>
      <c r="N2083">
        <v>6.8409869999999998E-2</v>
      </c>
    </row>
    <row r="2084" spans="1:14" hidden="1" x14ac:dyDescent="0.35">
      <c r="A2084" t="s">
        <v>764</v>
      </c>
      <c r="B2084" t="s">
        <v>37</v>
      </c>
      <c r="C2084" t="s">
        <v>79</v>
      </c>
      <c r="D2084" t="s">
        <v>79</v>
      </c>
      <c r="E2084" t="s">
        <v>615</v>
      </c>
      <c r="F2084" t="s">
        <v>26</v>
      </c>
      <c r="G2084" t="s">
        <v>26</v>
      </c>
      <c r="H2084">
        <v>0.12883559999999999</v>
      </c>
      <c r="I2084">
        <v>0.101857</v>
      </c>
      <c r="J2084">
        <v>9.9385200000000007E-2</v>
      </c>
      <c r="K2084">
        <v>0.10263890000000001</v>
      </c>
      <c r="L2084">
        <v>0.1096164</v>
      </c>
      <c r="M2084">
        <v>8.0416440000000006E-2</v>
      </c>
      <c r="N2084">
        <v>5.9484929999999998E-2</v>
      </c>
    </row>
    <row r="2085" spans="1:14" hidden="1" x14ac:dyDescent="0.35">
      <c r="A2085" t="s">
        <v>765</v>
      </c>
      <c r="B2085" t="s">
        <v>37</v>
      </c>
      <c r="C2085" t="s">
        <v>51</v>
      </c>
      <c r="D2085" t="s">
        <v>51</v>
      </c>
      <c r="E2085" t="s">
        <v>602</v>
      </c>
      <c r="F2085" t="s">
        <v>581</v>
      </c>
      <c r="G2085" t="s">
        <v>396</v>
      </c>
      <c r="H2085">
        <v>30.657489999999999</v>
      </c>
      <c r="I2085">
        <v>29.387509999999999</v>
      </c>
      <c r="J2085">
        <v>23.938009999999998</v>
      </c>
      <c r="K2085">
        <v>19.49973</v>
      </c>
      <c r="L2085">
        <v>16.465330000000002</v>
      </c>
      <c r="M2085">
        <v>13.991540000000001</v>
      </c>
      <c r="N2085">
        <v>12.07785</v>
      </c>
    </row>
    <row r="2086" spans="1:14" hidden="1" x14ac:dyDescent="0.35">
      <c r="A2086" t="s">
        <v>765</v>
      </c>
      <c r="B2086" t="s">
        <v>37</v>
      </c>
      <c r="C2086" t="s">
        <v>51</v>
      </c>
      <c r="D2086" t="s">
        <v>51</v>
      </c>
      <c r="E2086" t="s">
        <v>602</v>
      </c>
      <c r="F2086" t="s">
        <v>581</v>
      </c>
      <c r="G2086" t="s">
        <v>25</v>
      </c>
      <c r="H2086">
        <v>5.1860169999999997</v>
      </c>
      <c r="I2086">
        <v>4.8980969999999999</v>
      </c>
      <c r="J2086">
        <v>4.0194799999999997</v>
      </c>
      <c r="K2086">
        <v>3.2941180000000001</v>
      </c>
      <c r="L2086">
        <v>2.8000639999999999</v>
      </c>
      <c r="M2086">
        <v>2.38944</v>
      </c>
      <c r="N2086">
        <v>2.0655899999999998</v>
      </c>
    </row>
    <row r="2087" spans="1:14" hidden="1" x14ac:dyDescent="0.35">
      <c r="A2087" t="s">
        <v>765</v>
      </c>
      <c r="B2087" t="s">
        <v>37</v>
      </c>
      <c r="C2087" t="s">
        <v>51</v>
      </c>
      <c r="D2087" t="s">
        <v>51</v>
      </c>
      <c r="E2087" t="s">
        <v>602</v>
      </c>
      <c r="F2087" t="s">
        <v>26</v>
      </c>
      <c r="G2087" t="s">
        <v>26</v>
      </c>
      <c r="H2087">
        <v>5.8653719999999998</v>
      </c>
      <c r="I2087">
        <v>5.5589940000000002</v>
      </c>
      <c r="J2087">
        <v>4.5554420000000002</v>
      </c>
      <c r="K2087">
        <v>3.728478</v>
      </c>
      <c r="L2087">
        <v>3.1650689999999999</v>
      </c>
      <c r="M2087">
        <v>2.6980659999999999</v>
      </c>
      <c r="N2087">
        <v>2.3314360000000001</v>
      </c>
    </row>
    <row r="2088" spans="1:14" hidden="1" x14ac:dyDescent="0.35">
      <c r="A2088" t="s">
        <v>766</v>
      </c>
      <c r="B2088" t="s">
        <v>37</v>
      </c>
      <c r="C2088" t="s">
        <v>218</v>
      </c>
      <c r="D2088" t="s">
        <v>218</v>
      </c>
      <c r="E2088" t="s">
        <v>593</v>
      </c>
      <c r="F2088" t="s">
        <v>581</v>
      </c>
      <c r="G2088" t="s">
        <v>396</v>
      </c>
      <c r="H2088">
        <v>14.73096</v>
      </c>
      <c r="I2088">
        <v>11.43242</v>
      </c>
      <c r="J2088">
        <v>9.8894000000000002</v>
      </c>
      <c r="K2088">
        <v>9.2080020000000005</v>
      </c>
      <c r="L2088">
        <v>6.7044009999999998</v>
      </c>
      <c r="M2088">
        <v>5.1849090000000002</v>
      </c>
      <c r="N2088">
        <v>3.862012</v>
      </c>
    </row>
    <row r="2089" spans="1:14" hidden="1" x14ac:dyDescent="0.35">
      <c r="A2089" t="s">
        <v>766</v>
      </c>
      <c r="B2089" t="s">
        <v>37</v>
      </c>
      <c r="C2089" t="s">
        <v>218</v>
      </c>
      <c r="D2089" t="s">
        <v>218</v>
      </c>
      <c r="E2089" t="s">
        <v>593</v>
      </c>
      <c r="F2089" t="s">
        <v>581</v>
      </c>
      <c r="G2089" t="s">
        <v>24</v>
      </c>
      <c r="H2089">
        <v>4.2520550000000002E-3</v>
      </c>
      <c r="I2089">
        <v>1.9449859999999999E-2</v>
      </c>
      <c r="J2089">
        <v>2.7924930000000001E-2</v>
      </c>
      <c r="K2089">
        <v>2.9512879999999998E-2</v>
      </c>
      <c r="L2089">
        <v>2.3781920000000002E-2</v>
      </c>
      <c r="M2089">
        <v>2.1013150000000001E-2</v>
      </c>
      <c r="N2089">
        <v>1.5920549999999999E-2</v>
      </c>
    </row>
    <row r="2090" spans="1:14" hidden="1" x14ac:dyDescent="0.35">
      <c r="A2090" t="s">
        <v>766</v>
      </c>
      <c r="B2090" t="s">
        <v>37</v>
      </c>
      <c r="C2090" t="s">
        <v>218</v>
      </c>
      <c r="D2090" t="s">
        <v>218</v>
      </c>
      <c r="E2090" t="s">
        <v>593</v>
      </c>
      <c r="F2090" t="s">
        <v>581</v>
      </c>
      <c r="G2090" t="s">
        <v>25</v>
      </c>
      <c r="H2090">
        <v>4.6878089999999997</v>
      </c>
      <c r="I2090">
        <v>3.9932889999999999</v>
      </c>
      <c r="J2090">
        <v>3.3640330000000001</v>
      </c>
      <c r="K2090">
        <v>3.1148349999999998</v>
      </c>
      <c r="L2090">
        <v>2.256561</v>
      </c>
      <c r="M2090">
        <v>1.7321279999999999</v>
      </c>
      <c r="N2090">
        <v>1.2888550000000001</v>
      </c>
    </row>
    <row r="2091" spans="1:14" hidden="1" x14ac:dyDescent="0.35">
      <c r="A2091" t="s">
        <v>766</v>
      </c>
      <c r="B2091" t="s">
        <v>37</v>
      </c>
      <c r="C2091" t="s">
        <v>218</v>
      </c>
      <c r="D2091" t="s">
        <v>218</v>
      </c>
      <c r="E2091" t="s">
        <v>593</v>
      </c>
      <c r="F2091" t="s">
        <v>26</v>
      </c>
      <c r="G2091" t="s">
        <v>26</v>
      </c>
      <c r="H2091">
        <v>6.313288</v>
      </c>
      <c r="I2091">
        <v>6.249352</v>
      </c>
      <c r="J2091">
        <v>5.2823900000000004</v>
      </c>
      <c r="K2091">
        <v>4.897564</v>
      </c>
      <c r="L2091">
        <v>3.552311</v>
      </c>
      <c r="M2091">
        <v>2.7316379999999998</v>
      </c>
      <c r="N2091">
        <v>2.033077</v>
      </c>
    </row>
    <row r="2092" spans="1:14" hidden="1" x14ac:dyDescent="0.35">
      <c r="A2092" t="s">
        <v>766</v>
      </c>
      <c r="B2092" t="s">
        <v>37</v>
      </c>
      <c r="C2092" t="s">
        <v>218</v>
      </c>
      <c r="D2092" t="s">
        <v>218</v>
      </c>
      <c r="E2092" t="s">
        <v>594</v>
      </c>
      <c r="F2092" t="s">
        <v>581</v>
      </c>
      <c r="G2092" t="s">
        <v>396</v>
      </c>
      <c r="H2092">
        <v>5.6394520000000004</v>
      </c>
      <c r="I2092">
        <v>4.2597100000000001</v>
      </c>
      <c r="J2092">
        <v>4.2776500000000004</v>
      </c>
      <c r="K2092">
        <v>5.4498220000000002</v>
      </c>
      <c r="L2092">
        <v>5.0486870000000001</v>
      </c>
      <c r="M2092">
        <v>3.4308649999999998</v>
      </c>
      <c r="N2092">
        <v>2.7040449999999998</v>
      </c>
    </row>
    <row r="2093" spans="1:14" hidden="1" x14ac:dyDescent="0.35">
      <c r="A2093" t="s">
        <v>766</v>
      </c>
      <c r="B2093" t="s">
        <v>37</v>
      </c>
      <c r="C2093" t="s">
        <v>218</v>
      </c>
      <c r="D2093" t="s">
        <v>218</v>
      </c>
      <c r="E2093" t="s">
        <v>594</v>
      </c>
      <c r="F2093" t="s">
        <v>581</v>
      </c>
      <c r="G2093" t="s">
        <v>25</v>
      </c>
      <c r="H2093">
        <v>0.8663014</v>
      </c>
      <c r="I2093">
        <v>0.73545479999999996</v>
      </c>
      <c r="J2093">
        <v>0.73856379999999999</v>
      </c>
      <c r="K2093">
        <v>0.94095019999999996</v>
      </c>
      <c r="L2093">
        <v>0.87168880000000004</v>
      </c>
      <c r="M2093">
        <v>0.59236060000000001</v>
      </c>
      <c r="N2093">
        <v>0.46687339999999999</v>
      </c>
    </row>
    <row r="2094" spans="1:14" hidden="1" x14ac:dyDescent="0.35">
      <c r="A2094" t="s">
        <v>766</v>
      </c>
      <c r="B2094" t="s">
        <v>37</v>
      </c>
      <c r="C2094" t="s">
        <v>218</v>
      </c>
      <c r="D2094" t="s">
        <v>218</v>
      </c>
      <c r="E2094" t="s">
        <v>594</v>
      </c>
      <c r="F2094" t="s">
        <v>26</v>
      </c>
      <c r="G2094" t="s">
        <v>26</v>
      </c>
      <c r="H2094">
        <v>0.71027390000000001</v>
      </c>
      <c r="I2094">
        <v>0.39601370000000002</v>
      </c>
      <c r="J2094">
        <v>0.3976904</v>
      </c>
      <c r="K2094">
        <v>0.50666469999999997</v>
      </c>
      <c r="L2094">
        <v>0.46936879999999997</v>
      </c>
      <c r="M2094">
        <v>0.31896600000000003</v>
      </c>
      <c r="N2094">
        <v>0.2513918</v>
      </c>
    </row>
    <row r="2095" spans="1:14" hidden="1" x14ac:dyDescent="0.35">
      <c r="A2095" t="s">
        <v>766</v>
      </c>
      <c r="B2095" t="s">
        <v>37</v>
      </c>
      <c r="C2095" t="s">
        <v>218</v>
      </c>
      <c r="D2095" t="s">
        <v>218</v>
      </c>
      <c r="E2095" t="s">
        <v>584</v>
      </c>
      <c r="F2095" t="s">
        <v>581</v>
      </c>
      <c r="G2095" t="s">
        <v>396</v>
      </c>
      <c r="H2095">
        <v>0.6334246</v>
      </c>
      <c r="I2095">
        <v>0.62619999999999998</v>
      </c>
      <c r="J2095">
        <v>0.61704110000000001</v>
      </c>
      <c r="K2095">
        <v>0.60855619999999999</v>
      </c>
      <c r="L2095">
        <v>0.60058630000000002</v>
      </c>
      <c r="M2095">
        <v>0.59315890000000004</v>
      </c>
      <c r="N2095">
        <v>0.57348220000000005</v>
      </c>
    </row>
    <row r="2096" spans="1:14" hidden="1" x14ac:dyDescent="0.35">
      <c r="A2096" t="s">
        <v>766</v>
      </c>
      <c r="B2096" t="s">
        <v>37</v>
      </c>
      <c r="C2096" t="s">
        <v>218</v>
      </c>
      <c r="D2096" t="s">
        <v>218</v>
      </c>
      <c r="E2096" t="s">
        <v>584</v>
      </c>
      <c r="F2096" t="s">
        <v>581</v>
      </c>
      <c r="G2096" t="s">
        <v>25</v>
      </c>
      <c r="H2096">
        <v>0.17698630000000001</v>
      </c>
      <c r="I2096">
        <v>0.1512192</v>
      </c>
      <c r="J2096">
        <v>0.12865209999999999</v>
      </c>
      <c r="K2096">
        <v>0.1095343</v>
      </c>
      <c r="L2096">
        <v>9.3339729999999996E-2</v>
      </c>
      <c r="M2096">
        <v>7.9597260000000003E-2</v>
      </c>
      <c r="N2096">
        <v>6.7931500000000006E-2</v>
      </c>
    </row>
    <row r="2097" spans="1:14" hidden="1" x14ac:dyDescent="0.35">
      <c r="A2097" t="s">
        <v>766</v>
      </c>
      <c r="B2097" t="s">
        <v>37</v>
      </c>
      <c r="C2097" t="s">
        <v>218</v>
      </c>
      <c r="D2097" t="s">
        <v>218</v>
      </c>
      <c r="E2097" t="s">
        <v>584</v>
      </c>
      <c r="F2097" t="s">
        <v>26</v>
      </c>
      <c r="G2097" t="s">
        <v>26</v>
      </c>
      <c r="H2097">
        <v>0.54493150000000001</v>
      </c>
      <c r="I2097">
        <v>0.53175890000000003</v>
      </c>
      <c r="J2097">
        <v>0.52138079999999998</v>
      </c>
      <c r="K2097">
        <v>0.5126657</v>
      </c>
      <c r="L2097">
        <v>0.48682740000000002</v>
      </c>
      <c r="M2097">
        <v>0.45011230000000002</v>
      </c>
      <c r="N2097">
        <v>0.41643560000000002</v>
      </c>
    </row>
    <row r="2098" spans="1:14" hidden="1" x14ac:dyDescent="0.35">
      <c r="A2098" t="s">
        <v>766</v>
      </c>
      <c r="B2098" t="s">
        <v>37</v>
      </c>
      <c r="C2098" t="s">
        <v>218</v>
      </c>
      <c r="D2098" t="s">
        <v>218</v>
      </c>
      <c r="E2098" t="s">
        <v>730</v>
      </c>
      <c r="F2098" t="s">
        <v>581</v>
      </c>
      <c r="G2098" t="s">
        <v>396</v>
      </c>
      <c r="K2098">
        <v>0</v>
      </c>
      <c r="L2098">
        <v>6.3068490000000004E-4</v>
      </c>
      <c r="M2098">
        <v>4.2136989999999998E-4</v>
      </c>
      <c r="N2098">
        <v>2.0602740000000001E-4</v>
      </c>
    </row>
    <row r="2099" spans="1:14" hidden="1" x14ac:dyDescent="0.35">
      <c r="A2099" t="s">
        <v>766</v>
      </c>
      <c r="B2099" t="s">
        <v>37</v>
      </c>
      <c r="C2099" t="s">
        <v>218</v>
      </c>
      <c r="D2099" t="s">
        <v>218</v>
      </c>
      <c r="E2099" t="s">
        <v>730</v>
      </c>
      <c r="F2099" t="s">
        <v>581</v>
      </c>
      <c r="G2099" t="s">
        <v>25</v>
      </c>
      <c r="K2099">
        <v>0</v>
      </c>
      <c r="L2099">
        <v>9.1506850000000006E-5</v>
      </c>
      <c r="M2099">
        <v>5.9726029999999999E-5</v>
      </c>
      <c r="N2099">
        <v>2.6849310000000001E-5</v>
      </c>
    </row>
    <row r="2100" spans="1:14" hidden="1" x14ac:dyDescent="0.35">
      <c r="A2100" t="s">
        <v>766</v>
      </c>
      <c r="B2100" t="s">
        <v>37</v>
      </c>
      <c r="C2100" t="s">
        <v>218</v>
      </c>
      <c r="D2100" t="s">
        <v>218</v>
      </c>
      <c r="E2100" t="s">
        <v>730</v>
      </c>
      <c r="F2100" t="s">
        <v>26</v>
      </c>
      <c r="G2100" t="s">
        <v>26</v>
      </c>
      <c r="K2100">
        <v>0</v>
      </c>
      <c r="L2100">
        <v>1.3315070000000001E-4</v>
      </c>
      <c r="M2100">
        <v>8.8767119999999994E-5</v>
      </c>
      <c r="N2100">
        <v>4.4383559999999997E-5</v>
      </c>
    </row>
    <row r="2101" spans="1:14" hidden="1" x14ac:dyDescent="0.35">
      <c r="A2101" t="s">
        <v>766</v>
      </c>
      <c r="B2101" t="s">
        <v>37</v>
      </c>
      <c r="C2101" t="s">
        <v>266</v>
      </c>
      <c r="D2101" t="s">
        <v>266</v>
      </c>
      <c r="E2101" t="s">
        <v>767</v>
      </c>
      <c r="F2101" t="s">
        <v>581</v>
      </c>
      <c r="G2101" t="s">
        <v>25</v>
      </c>
      <c r="H2101">
        <v>2.5619179999999998E-2</v>
      </c>
      <c r="I2101">
        <v>2.031233E-2</v>
      </c>
      <c r="J2101">
        <v>1.8202739999999999E-2</v>
      </c>
      <c r="K2101">
        <v>1.6380820000000001E-2</v>
      </c>
      <c r="L2101">
        <v>1.4742470000000001E-2</v>
      </c>
      <c r="M2101">
        <v>1.330137E-2</v>
      </c>
      <c r="N2101">
        <v>1.193699E-2</v>
      </c>
    </row>
    <row r="2102" spans="1:14" hidden="1" x14ac:dyDescent="0.35">
      <c r="A2102" t="s">
        <v>766</v>
      </c>
      <c r="B2102" t="s">
        <v>37</v>
      </c>
      <c r="C2102" t="s">
        <v>266</v>
      </c>
      <c r="D2102" t="s">
        <v>266</v>
      </c>
      <c r="E2102" t="s">
        <v>767</v>
      </c>
      <c r="F2102" t="s">
        <v>26</v>
      </c>
      <c r="G2102" t="s">
        <v>26</v>
      </c>
      <c r="H2102">
        <v>1.863014E-2</v>
      </c>
      <c r="I2102">
        <v>1.6619180000000001E-2</v>
      </c>
      <c r="J2102">
        <v>1.4893150000000001E-2</v>
      </c>
      <c r="K2102">
        <v>1.340274E-2</v>
      </c>
      <c r="L2102">
        <v>1.2063010000000001E-2</v>
      </c>
      <c r="M2102">
        <v>1.0884929999999999E-2</v>
      </c>
      <c r="N2102">
        <v>9.7671230000000008E-3</v>
      </c>
    </row>
    <row r="2103" spans="1:14" hidden="1" x14ac:dyDescent="0.35">
      <c r="A2103" t="s">
        <v>766</v>
      </c>
      <c r="B2103" t="s">
        <v>37</v>
      </c>
      <c r="C2103" t="s">
        <v>266</v>
      </c>
      <c r="D2103" t="s">
        <v>266</v>
      </c>
      <c r="E2103" t="s">
        <v>768</v>
      </c>
      <c r="F2103" t="s">
        <v>581</v>
      </c>
      <c r="G2103" t="s">
        <v>25</v>
      </c>
      <c r="M2103">
        <v>0</v>
      </c>
      <c r="N2103">
        <v>0</v>
      </c>
    </row>
    <row r="2104" spans="1:14" hidden="1" x14ac:dyDescent="0.35">
      <c r="A2104" t="s">
        <v>766</v>
      </c>
      <c r="B2104" t="s">
        <v>37</v>
      </c>
      <c r="C2104" t="s">
        <v>266</v>
      </c>
      <c r="D2104" t="s">
        <v>266</v>
      </c>
      <c r="E2104" t="s">
        <v>768</v>
      </c>
      <c r="F2104" t="s">
        <v>26</v>
      </c>
      <c r="G2104" t="s">
        <v>26</v>
      </c>
      <c r="M2104">
        <v>0</v>
      </c>
      <c r="N2104">
        <v>0</v>
      </c>
    </row>
    <row r="2105" spans="1:14" hidden="1" x14ac:dyDescent="0.35">
      <c r="A2105" t="s">
        <v>769</v>
      </c>
      <c r="B2105" t="s">
        <v>37</v>
      </c>
      <c r="C2105" t="s">
        <v>109</v>
      </c>
      <c r="D2105" t="s">
        <v>109</v>
      </c>
      <c r="E2105" t="s">
        <v>584</v>
      </c>
      <c r="F2105" t="s">
        <v>581</v>
      </c>
      <c r="G2105" t="s">
        <v>396</v>
      </c>
      <c r="H2105">
        <v>8.7793589999999995</v>
      </c>
      <c r="I2105">
        <v>6.5466490000000004</v>
      </c>
      <c r="J2105">
        <v>4.9140389999999998</v>
      </c>
      <c r="K2105">
        <v>3.806019</v>
      </c>
      <c r="L2105">
        <v>3.0258060000000002</v>
      </c>
      <c r="M2105">
        <v>0.53576360000000001</v>
      </c>
      <c r="N2105">
        <v>0.4072733</v>
      </c>
    </row>
    <row r="2106" spans="1:14" hidden="1" x14ac:dyDescent="0.35">
      <c r="A2106" t="s">
        <v>769</v>
      </c>
      <c r="B2106" t="s">
        <v>37</v>
      </c>
      <c r="C2106" t="s">
        <v>109</v>
      </c>
      <c r="D2106" t="s">
        <v>109</v>
      </c>
      <c r="E2106" t="s">
        <v>584</v>
      </c>
      <c r="F2106" t="s">
        <v>581</v>
      </c>
      <c r="G2106" t="s">
        <v>24</v>
      </c>
      <c r="H2106">
        <v>3.7958069999999999</v>
      </c>
      <c r="I2106">
        <v>3.0493990000000002</v>
      </c>
      <c r="J2106">
        <v>2.1326619999999998</v>
      </c>
      <c r="K2106">
        <v>1.5321359999999999</v>
      </c>
      <c r="L2106">
        <v>1.1069469999999999</v>
      </c>
      <c r="M2106">
        <v>0.46344560000000001</v>
      </c>
      <c r="N2106">
        <v>0.18680189999999999</v>
      </c>
    </row>
    <row r="2107" spans="1:14" hidden="1" x14ac:dyDescent="0.35">
      <c r="A2107" t="s">
        <v>769</v>
      </c>
      <c r="B2107" t="s">
        <v>37</v>
      </c>
      <c r="C2107" t="s">
        <v>109</v>
      </c>
      <c r="D2107" t="s">
        <v>109</v>
      </c>
      <c r="E2107" t="s">
        <v>584</v>
      </c>
      <c r="F2107" t="s">
        <v>581</v>
      </c>
      <c r="G2107" t="s">
        <v>25</v>
      </c>
      <c r="H2107">
        <v>2.7439</v>
      </c>
      <c r="I2107">
        <v>2.1633969999999998</v>
      </c>
      <c r="J2107">
        <v>1.74329</v>
      </c>
      <c r="K2107">
        <v>1.4434990000000001</v>
      </c>
      <c r="L2107">
        <v>1.208628</v>
      </c>
      <c r="M2107">
        <v>0.44901249999999998</v>
      </c>
      <c r="N2107">
        <v>0.23236960000000001</v>
      </c>
    </row>
    <row r="2108" spans="1:14" hidden="1" x14ac:dyDescent="0.35">
      <c r="A2108" t="s">
        <v>769</v>
      </c>
      <c r="B2108" t="s">
        <v>37</v>
      </c>
      <c r="C2108" t="s">
        <v>109</v>
      </c>
      <c r="D2108" t="s">
        <v>109</v>
      </c>
      <c r="E2108" t="s">
        <v>584</v>
      </c>
      <c r="F2108" t="s">
        <v>26</v>
      </c>
      <c r="G2108" t="s">
        <v>26</v>
      </c>
      <c r="H2108">
        <v>15.070029999999999</v>
      </c>
      <c r="I2108">
        <v>12.870509999999999</v>
      </c>
      <c r="J2108">
        <v>10.95875</v>
      </c>
      <c r="K2108">
        <v>9.5396599999999996</v>
      </c>
      <c r="L2108">
        <v>8.3367909999999998</v>
      </c>
      <c r="M2108">
        <v>3.535307</v>
      </c>
      <c r="N2108">
        <v>1.742043</v>
      </c>
    </row>
    <row r="2109" spans="1:14" hidden="1" x14ac:dyDescent="0.35">
      <c r="A2109" t="s">
        <v>769</v>
      </c>
      <c r="B2109" t="s">
        <v>37</v>
      </c>
      <c r="C2109" t="s">
        <v>61</v>
      </c>
      <c r="D2109" t="s">
        <v>62</v>
      </c>
      <c r="E2109" t="s">
        <v>584</v>
      </c>
      <c r="F2109" t="s">
        <v>581</v>
      </c>
      <c r="G2109" t="s">
        <v>396</v>
      </c>
      <c r="H2109">
        <v>6.6392009999999999</v>
      </c>
      <c r="I2109">
        <v>6.4378149999999996</v>
      </c>
      <c r="J2109">
        <v>5.7407500000000002</v>
      </c>
      <c r="K2109">
        <v>4.9528999999999996</v>
      </c>
      <c r="L2109">
        <v>3.5198360000000002</v>
      </c>
      <c r="M2109">
        <v>2.0638339999999999</v>
      </c>
      <c r="N2109">
        <v>1.0806929999999999</v>
      </c>
    </row>
    <row r="2110" spans="1:14" hidden="1" x14ac:dyDescent="0.35">
      <c r="A2110" t="s">
        <v>769</v>
      </c>
      <c r="B2110" t="s">
        <v>37</v>
      </c>
      <c r="C2110" t="s">
        <v>61</v>
      </c>
      <c r="D2110" t="s">
        <v>62</v>
      </c>
      <c r="E2110" t="s">
        <v>584</v>
      </c>
      <c r="F2110" t="s">
        <v>581</v>
      </c>
      <c r="G2110" t="s">
        <v>24</v>
      </c>
      <c r="H2110">
        <v>0.68491590000000002</v>
      </c>
      <c r="I2110">
        <v>1.453387</v>
      </c>
      <c r="J2110">
        <v>1.4434720000000001</v>
      </c>
      <c r="K2110">
        <v>1.146263</v>
      </c>
      <c r="L2110">
        <v>0.79423359999999998</v>
      </c>
      <c r="M2110">
        <v>0.52885800000000005</v>
      </c>
      <c r="N2110">
        <v>0.36253489999999999</v>
      </c>
    </row>
    <row r="2111" spans="1:14" hidden="1" x14ac:dyDescent="0.35">
      <c r="A2111" t="s">
        <v>769</v>
      </c>
      <c r="B2111" t="s">
        <v>37</v>
      </c>
      <c r="C2111" t="s">
        <v>61</v>
      </c>
      <c r="D2111" t="s">
        <v>62</v>
      </c>
      <c r="E2111" t="s">
        <v>584</v>
      </c>
      <c r="F2111" t="s">
        <v>581</v>
      </c>
      <c r="G2111" t="s">
        <v>25</v>
      </c>
      <c r="H2111">
        <v>0.1165998</v>
      </c>
      <c r="I2111">
        <v>9.4518169999999999E-2</v>
      </c>
      <c r="J2111">
        <v>8.1802550000000002E-2</v>
      </c>
      <c r="K2111">
        <v>7.6846440000000002E-2</v>
      </c>
      <c r="L2111">
        <v>7.1518380000000006E-2</v>
      </c>
      <c r="M2111">
        <v>3.8125859999999998E-2</v>
      </c>
      <c r="N2111">
        <v>2.199282E-2</v>
      </c>
    </row>
    <row r="2112" spans="1:14" hidden="1" x14ac:dyDescent="0.35">
      <c r="A2112" t="s">
        <v>769</v>
      </c>
      <c r="B2112" t="s">
        <v>37</v>
      </c>
      <c r="C2112" t="s">
        <v>61</v>
      </c>
      <c r="D2112" t="s">
        <v>62</v>
      </c>
      <c r="E2112" t="s">
        <v>584</v>
      </c>
      <c r="F2112" t="s">
        <v>26</v>
      </c>
      <c r="G2112" t="s">
        <v>26</v>
      </c>
      <c r="H2112">
        <v>1.8657189999999999</v>
      </c>
      <c r="I2112">
        <v>1.920925</v>
      </c>
      <c r="J2112">
        <v>1.7343200000000001</v>
      </c>
      <c r="K2112">
        <v>1.5371889999999999</v>
      </c>
      <c r="L2112">
        <v>1.0047600000000001</v>
      </c>
      <c r="M2112">
        <v>0.68449400000000005</v>
      </c>
      <c r="N2112">
        <v>0.41135890000000003</v>
      </c>
    </row>
    <row r="2113" spans="1:14" hidden="1" x14ac:dyDescent="0.35">
      <c r="A2113" t="s">
        <v>769</v>
      </c>
      <c r="B2113" t="s">
        <v>37</v>
      </c>
      <c r="C2113" t="s">
        <v>79</v>
      </c>
      <c r="D2113" t="s">
        <v>79</v>
      </c>
      <c r="E2113" t="s">
        <v>584</v>
      </c>
      <c r="F2113" t="s">
        <v>581</v>
      </c>
      <c r="G2113" t="s">
        <v>24</v>
      </c>
      <c r="H2113">
        <v>5.2739730000000004E-3</v>
      </c>
      <c r="I2113">
        <v>0</v>
      </c>
    </row>
    <row r="2114" spans="1:14" hidden="1" x14ac:dyDescent="0.35">
      <c r="A2114" t="s">
        <v>769</v>
      </c>
      <c r="B2114" t="s">
        <v>37</v>
      </c>
      <c r="C2114" t="s">
        <v>79</v>
      </c>
      <c r="D2114" t="s">
        <v>79</v>
      </c>
      <c r="E2114" t="s">
        <v>584</v>
      </c>
      <c r="F2114" t="s">
        <v>581</v>
      </c>
      <c r="G2114" t="s">
        <v>25</v>
      </c>
      <c r="H2114">
        <v>3.3534250000000002E-3</v>
      </c>
      <c r="I2114">
        <v>0</v>
      </c>
    </row>
    <row r="2115" spans="1:14" hidden="1" x14ac:dyDescent="0.35">
      <c r="A2115" t="s">
        <v>769</v>
      </c>
      <c r="B2115" t="s">
        <v>37</v>
      </c>
      <c r="C2115" t="s">
        <v>79</v>
      </c>
      <c r="D2115" t="s">
        <v>79</v>
      </c>
      <c r="E2115" t="s">
        <v>584</v>
      </c>
      <c r="F2115" t="s">
        <v>26</v>
      </c>
      <c r="G2115" t="s">
        <v>26</v>
      </c>
      <c r="H2115">
        <v>6.2265750000000002E-2</v>
      </c>
      <c r="I2115">
        <v>4.4917810000000002E-2</v>
      </c>
      <c r="J2115">
        <v>4.4027400000000001E-2</v>
      </c>
      <c r="K2115">
        <v>4.3156170000000001E-2</v>
      </c>
      <c r="L2115">
        <v>4.2301369999999998E-2</v>
      </c>
      <c r="M2115">
        <v>0</v>
      </c>
    </row>
    <row r="2116" spans="1:14" hidden="1" x14ac:dyDescent="0.35">
      <c r="A2116" t="s">
        <v>770</v>
      </c>
      <c r="B2116" t="s">
        <v>34</v>
      </c>
      <c r="C2116" t="s">
        <v>33</v>
      </c>
      <c r="D2116" t="s">
        <v>33</v>
      </c>
      <c r="E2116" t="s">
        <v>675</v>
      </c>
      <c r="F2116" t="s">
        <v>581</v>
      </c>
      <c r="G2116" t="s">
        <v>396</v>
      </c>
      <c r="H2116">
        <v>3.8142469999999998E-2</v>
      </c>
      <c r="I2116">
        <v>3.5252600000000002E-2</v>
      </c>
      <c r="J2116">
        <v>2.820603E-2</v>
      </c>
      <c r="K2116">
        <v>2.3401640000000001E-2</v>
      </c>
      <c r="L2116">
        <v>1.964219E-2</v>
      </c>
      <c r="M2116">
        <v>1.6504660000000001E-2</v>
      </c>
      <c r="N2116">
        <v>1.4168770000000001E-2</v>
      </c>
    </row>
    <row r="2117" spans="1:14" hidden="1" x14ac:dyDescent="0.35">
      <c r="A2117" t="s">
        <v>770</v>
      </c>
      <c r="B2117" t="s">
        <v>34</v>
      </c>
      <c r="C2117" t="s">
        <v>33</v>
      </c>
      <c r="D2117" t="s">
        <v>33</v>
      </c>
      <c r="E2117" t="s">
        <v>675</v>
      </c>
      <c r="F2117" t="s">
        <v>581</v>
      </c>
      <c r="G2117" t="s">
        <v>25</v>
      </c>
      <c r="H2117">
        <v>7.539167</v>
      </c>
      <c r="I2117">
        <v>6.8474680000000001</v>
      </c>
      <c r="J2117">
        <v>5.8782449999999997</v>
      </c>
      <c r="K2117">
        <v>4.5887960000000003</v>
      </c>
      <c r="L2117">
        <v>3.7370760000000001</v>
      </c>
      <c r="M2117">
        <v>3.1693989999999999</v>
      </c>
      <c r="N2117">
        <v>2.7481059999999999</v>
      </c>
    </row>
    <row r="2118" spans="1:14" hidden="1" x14ac:dyDescent="0.35">
      <c r="A2118" t="s">
        <v>770</v>
      </c>
      <c r="B2118" t="s">
        <v>34</v>
      </c>
      <c r="C2118" t="s">
        <v>33</v>
      </c>
      <c r="D2118" t="s">
        <v>33</v>
      </c>
      <c r="E2118" t="s">
        <v>675</v>
      </c>
      <c r="F2118" t="s">
        <v>26</v>
      </c>
      <c r="G2118" t="s">
        <v>26</v>
      </c>
      <c r="H2118">
        <v>17.0123</v>
      </c>
      <c r="I2118">
        <v>15.084390000000001</v>
      </c>
      <c r="J2118">
        <v>13.01375</v>
      </c>
      <c r="K2118">
        <v>10.11556</v>
      </c>
      <c r="L2118">
        <v>8.2196400000000001</v>
      </c>
      <c r="M2118">
        <v>6.9758129999999996</v>
      </c>
      <c r="N2118">
        <v>6.0530600000000003</v>
      </c>
    </row>
    <row r="2119" spans="1:14" hidden="1" x14ac:dyDescent="0.35">
      <c r="A2119" t="s">
        <v>770</v>
      </c>
      <c r="B2119" t="s">
        <v>34</v>
      </c>
      <c r="C2119" t="s">
        <v>33</v>
      </c>
      <c r="D2119" t="s">
        <v>33</v>
      </c>
      <c r="E2119" t="s">
        <v>771</v>
      </c>
      <c r="F2119" t="s">
        <v>581</v>
      </c>
      <c r="G2119" t="s">
        <v>396</v>
      </c>
      <c r="H2119">
        <v>0.29814249999999998</v>
      </c>
      <c r="I2119">
        <v>0.28988930000000002</v>
      </c>
      <c r="J2119">
        <v>0.26972160000000001</v>
      </c>
      <c r="K2119">
        <v>0.2387611</v>
      </c>
      <c r="L2119">
        <v>0.20497370000000001</v>
      </c>
      <c r="M2119">
        <v>0.1762822</v>
      </c>
      <c r="N2119">
        <v>0.15305859999999999</v>
      </c>
    </row>
    <row r="2120" spans="1:14" hidden="1" x14ac:dyDescent="0.35">
      <c r="A2120" t="s">
        <v>770</v>
      </c>
      <c r="B2120" t="s">
        <v>34</v>
      </c>
      <c r="C2120" t="s">
        <v>33</v>
      </c>
      <c r="D2120" t="s">
        <v>33</v>
      </c>
      <c r="E2120" t="s">
        <v>771</v>
      </c>
      <c r="F2120" t="s">
        <v>581</v>
      </c>
      <c r="G2120" t="s">
        <v>25</v>
      </c>
      <c r="H2120">
        <v>0.5386164</v>
      </c>
      <c r="I2120">
        <v>0.50860490000000003</v>
      </c>
      <c r="J2120">
        <v>0.4732094</v>
      </c>
      <c r="K2120">
        <v>0.4188943</v>
      </c>
      <c r="L2120">
        <v>0.35961700000000002</v>
      </c>
      <c r="M2120">
        <v>0.30927890000000002</v>
      </c>
      <c r="N2120">
        <v>0.26853529999999998</v>
      </c>
    </row>
    <row r="2121" spans="1:14" hidden="1" x14ac:dyDescent="0.35">
      <c r="A2121" t="s">
        <v>770</v>
      </c>
      <c r="B2121" t="s">
        <v>34</v>
      </c>
      <c r="C2121" t="s">
        <v>33</v>
      </c>
      <c r="D2121" t="s">
        <v>33</v>
      </c>
      <c r="E2121" t="s">
        <v>771</v>
      </c>
      <c r="F2121" t="s">
        <v>26</v>
      </c>
      <c r="G2121" t="s">
        <v>26</v>
      </c>
      <c r="H2121">
        <v>3.5159500000000001</v>
      </c>
      <c r="I2121">
        <v>3.3574980000000001</v>
      </c>
      <c r="J2121">
        <v>3.1238839999999999</v>
      </c>
      <c r="K2121">
        <v>2.765333</v>
      </c>
      <c r="L2121">
        <v>2.3739970000000001</v>
      </c>
      <c r="M2121">
        <v>2.0416840000000001</v>
      </c>
      <c r="N2121">
        <v>1.7727170000000001</v>
      </c>
    </row>
    <row r="2122" spans="1:14" hidden="1" x14ac:dyDescent="0.35">
      <c r="A2122" t="s">
        <v>770</v>
      </c>
      <c r="B2122" t="s">
        <v>34</v>
      </c>
      <c r="C2122" t="s">
        <v>33</v>
      </c>
      <c r="D2122" t="s">
        <v>33</v>
      </c>
      <c r="E2122" t="s">
        <v>584</v>
      </c>
      <c r="F2122" t="s">
        <v>581</v>
      </c>
      <c r="G2122" t="s">
        <v>396</v>
      </c>
      <c r="H2122">
        <v>0.12844659999999999</v>
      </c>
      <c r="I2122">
        <v>0.1158658</v>
      </c>
      <c r="J2122">
        <v>0.1003863</v>
      </c>
      <c r="K2122">
        <v>8.8273969999999993E-2</v>
      </c>
      <c r="L2122">
        <v>5.9005479999999999E-2</v>
      </c>
      <c r="M2122">
        <v>5.3243829999999999E-2</v>
      </c>
      <c r="N2122">
        <v>4.7780820000000002E-2</v>
      </c>
    </row>
    <row r="2123" spans="1:14" hidden="1" x14ac:dyDescent="0.35">
      <c r="A2123" t="s">
        <v>770</v>
      </c>
      <c r="B2123" t="s">
        <v>34</v>
      </c>
      <c r="C2123" t="s">
        <v>33</v>
      </c>
      <c r="D2123" t="s">
        <v>33</v>
      </c>
      <c r="E2123" t="s">
        <v>584</v>
      </c>
      <c r="F2123" t="s">
        <v>581</v>
      </c>
      <c r="G2123" t="s">
        <v>24</v>
      </c>
      <c r="H2123">
        <v>0.12775890000000001</v>
      </c>
      <c r="I2123">
        <v>0.1093206</v>
      </c>
      <c r="J2123">
        <v>9.1394520000000007E-2</v>
      </c>
      <c r="K2123">
        <v>7.7000009999999994E-2</v>
      </c>
      <c r="L2123">
        <v>4.4991780000000002E-2</v>
      </c>
      <c r="M2123">
        <v>4.044383E-2</v>
      </c>
      <c r="N2123">
        <v>3.8523290000000002E-2</v>
      </c>
    </row>
    <row r="2124" spans="1:14" hidden="1" x14ac:dyDescent="0.35">
      <c r="A2124" t="s">
        <v>770</v>
      </c>
      <c r="B2124" t="s">
        <v>34</v>
      </c>
      <c r="C2124" t="s">
        <v>33</v>
      </c>
      <c r="D2124" t="s">
        <v>33</v>
      </c>
      <c r="E2124" t="s">
        <v>584</v>
      </c>
      <c r="F2124" t="s">
        <v>581</v>
      </c>
      <c r="G2124" t="s">
        <v>25</v>
      </c>
      <c r="H2124">
        <v>0.324463</v>
      </c>
      <c r="I2124">
        <v>0.30660270000000001</v>
      </c>
      <c r="J2124">
        <v>0.29315609999999998</v>
      </c>
      <c r="K2124">
        <v>0.2710959</v>
      </c>
      <c r="L2124">
        <v>0.18924930000000001</v>
      </c>
      <c r="M2124">
        <v>0.1585616</v>
      </c>
      <c r="N2124">
        <v>0.1581534</v>
      </c>
    </row>
    <row r="2125" spans="1:14" hidden="1" x14ac:dyDescent="0.35">
      <c r="A2125" t="s">
        <v>770</v>
      </c>
      <c r="B2125" t="s">
        <v>34</v>
      </c>
      <c r="C2125" t="s">
        <v>33</v>
      </c>
      <c r="D2125" t="s">
        <v>33</v>
      </c>
      <c r="E2125" t="s">
        <v>584</v>
      </c>
      <c r="F2125" t="s">
        <v>26</v>
      </c>
      <c r="G2125" t="s">
        <v>26</v>
      </c>
      <c r="H2125">
        <v>2.3026270000000002</v>
      </c>
      <c r="I2125">
        <v>2.2078519999999999</v>
      </c>
      <c r="J2125">
        <v>2.1594329999999999</v>
      </c>
      <c r="K2125">
        <v>1.9726030000000001</v>
      </c>
      <c r="L2125">
        <v>1.6797530000000001</v>
      </c>
      <c r="M2125">
        <v>1.2367509999999999</v>
      </c>
      <c r="N2125">
        <v>1.172984</v>
      </c>
    </row>
    <row r="2126" spans="1:14" hidden="1" x14ac:dyDescent="0.35">
      <c r="A2126" t="s">
        <v>770</v>
      </c>
      <c r="B2126" t="s">
        <v>34</v>
      </c>
      <c r="C2126" t="s">
        <v>33</v>
      </c>
      <c r="D2126" t="s">
        <v>33</v>
      </c>
      <c r="E2126" t="s">
        <v>739</v>
      </c>
      <c r="F2126" t="s">
        <v>581</v>
      </c>
      <c r="G2126" t="s">
        <v>396</v>
      </c>
      <c r="H2126">
        <v>4.6364379999999997E-2</v>
      </c>
      <c r="I2126">
        <v>4.1878909999999998E-2</v>
      </c>
      <c r="J2126">
        <v>3.6736440000000002E-2</v>
      </c>
      <c r="K2126">
        <v>3.2328219999999998E-2</v>
      </c>
      <c r="L2126">
        <v>2.844876E-2</v>
      </c>
      <c r="M2126">
        <v>2.5098079999999998E-2</v>
      </c>
      <c r="N2126">
        <v>2.2021369999999998E-2</v>
      </c>
    </row>
    <row r="2127" spans="1:14" hidden="1" x14ac:dyDescent="0.35">
      <c r="A2127" t="s">
        <v>770</v>
      </c>
      <c r="B2127" t="s">
        <v>34</v>
      </c>
      <c r="C2127" t="s">
        <v>33</v>
      </c>
      <c r="D2127" t="s">
        <v>33</v>
      </c>
      <c r="E2127" t="s">
        <v>739</v>
      </c>
      <c r="F2127" t="s">
        <v>581</v>
      </c>
      <c r="G2127" t="s">
        <v>25</v>
      </c>
      <c r="H2127">
        <v>3.1835620000000002E-2</v>
      </c>
      <c r="I2127">
        <v>2.7928769999999999E-2</v>
      </c>
      <c r="J2127">
        <v>2.449863E-2</v>
      </c>
      <c r="K2127">
        <v>2.1556169999999999E-2</v>
      </c>
      <c r="L2127">
        <v>1.8972599999999999E-2</v>
      </c>
      <c r="M2127">
        <v>1.6739730000000001E-2</v>
      </c>
      <c r="N2127">
        <v>1.4684930000000001E-2</v>
      </c>
    </row>
    <row r="2128" spans="1:14" hidden="1" x14ac:dyDescent="0.35">
      <c r="A2128" t="s">
        <v>770</v>
      </c>
      <c r="B2128" t="s">
        <v>34</v>
      </c>
      <c r="C2128" t="s">
        <v>33</v>
      </c>
      <c r="D2128" t="s">
        <v>33</v>
      </c>
      <c r="E2128" t="s">
        <v>739</v>
      </c>
      <c r="F2128" t="s">
        <v>26</v>
      </c>
      <c r="G2128" t="s">
        <v>26</v>
      </c>
      <c r="H2128">
        <v>0.19981650000000001</v>
      </c>
      <c r="I2128">
        <v>0.17725920000000001</v>
      </c>
      <c r="J2128">
        <v>0.1554893</v>
      </c>
      <c r="K2128">
        <v>0.13682630000000001</v>
      </c>
      <c r="L2128">
        <v>0.1204049</v>
      </c>
      <c r="M2128">
        <v>0.1062263</v>
      </c>
      <c r="N2128">
        <v>9.3204380000000003E-2</v>
      </c>
    </row>
    <row r="2129" spans="1:14" hidden="1" x14ac:dyDescent="0.35">
      <c r="A2129" t="s">
        <v>770</v>
      </c>
      <c r="B2129" t="s">
        <v>34</v>
      </c>
      <c r="C2129" t="s">
        <v>33</v>
      </c>
      <c r="D2129" t="s">
        <v>33</v>
      </c>
      <c r="E2129" t="s">
        <v>638</v>
      </c>
      <c r="F2129" t="s">
        <v>581</v>
      </c>
      <c r="G2129" t="s">
        <v>24</v>
      </c>
      <c r="H2129">
        <v>1.7838360000000001E-2</v>
      </c>
      <c r="I2129">
        <v>1.6282189999999998E-2</v>
      </c>
      <c r="J2129">
        <v>1.4610959999999999E-2</v>
      </c>
      <c r="K2129">
        <v>1.315069E-2</v>
      </c>
      <c r="L2129">
        <v>1.183562E-2</v>
      </c>
      <c r="M2129">
        <v>1.067945E-2</v>
      </c>
      <c r="N2129">
        <v>9.5835620000000003E-3</v>
      </c>
    </row>
    <row r="2130" spans="1:14" hidden="1" x14ac:dyDescent="0.35">
      <c r="A2130" t="s">
        <v>770</v>
      </c>
      <c r="B2130" t="s">
        <v>34</v>
      </c>
      <c r="C2130" t="s">
        <v>33</v>
      </c>
      <c r="D2130" t="s">
        <v>33</v>
      </c>
      <c r="E2130" t="s">
        <v>638</v>
      </c>
      <c r="F2130" t="s">
        <v>581</v>
      </c>
      <c r="G2130" t="s">
        <v>25</v>
      </c>
      <c r="H2130">
        <v>7.1534240000000002E-3</v>
      </c>
      <c r="I2130">
        <v>6.5123289999999999E-3</v>
      </c>
      <c r="J2130">
        <v>5.8465749999999997E-3</v>
      </c>
      <c r="K2130">
        <v>5.2602739999999997E-3</v>
      </c>
      <c r="L2130">
        <v>4.7342469999999996E-3</v>
      </c>
      <c r="M2130">
        <v>4.273972E-3</v>
      </c>
      <c r="N2130">
        <v>3.8328770000000002E-3</v>
      </c>
    </row>
    <row r="2131" spans="1:14" hidden="1" x14ac:dyDescent="0.35">
      <c r="A2131" t="s">
        <v>770</v>
      </c>
      <c r="B2131" t="s">
        <v>34</v>
      </c>
      <c r="C2131" t="s">
        <v>33</v>
      </c>
      <c r="D2131" t="s">
        <v>33</v>
      </c>
      <c r="E2131" t="s">
        <v>638</v>
      </c>
      <c r="F2131" t="s">
        <v>26</v>
      </c>
      <c r="G2131" t="s">
        <v>26</v>
      </c>
      <c r="H2131">
        <v>4.6956159999999997E-2</v>
      </c>
      <c r="I2131">
        <v>4.2558350000000002E-2</v>
      </c>
      <c r="J2131">
        <v>3.8191780000000002E-2</v>
      </c>
      <c r="K2131">
        <v>3.4372050000000001E-2</v>
      </c>
      <c r="L2131">
        <v>3.093425E-2</v>
      </c>
      <c r="M2131">
        <v>2.7912329999999999E-2</v>
      </c>
      <c r="N2131">
        <v>2.504932E-2</v>
      </c>
    </row>
    <row r="2132" spans="1:14" hidden="1" x14ac:dyDescent="0.35">
      <c r="A2132" t="s">
        <v>772</v>
      </c>
      <c r="B2132" t="s">
        <v>37</v>
      </c>
      <c r="C2132" t="s">
        <v>46</v>
      </c>
      <c r="D2132" t="s">
        <v>46</v>
      </c>
      <c r="E2132" t="s">
        <v>584</v>
      </c>
      <c r="F2132" t="s">
        <v>581</v>
      </c>
      <c r="G2132" t="s">
        <v>396</v>
      </c>
      <c r="H2132">
        <v>0.12561639999999999</v>
      </c>
      <c r="I2132">
        <v>0.1148356</v>
      </c>
      <c r="J2132">
        <v>0.10286579999999999</v>
      </c>
      <c r="K2132">
        <v>9.2350680000000004E-2</v>
      </c>
      <c r="L2132">
        <v>8.3021919999999999E-2</v>
      </c>
      <c r="M2132">
        <v>7.4871229999999997E-2</v>
      </c>
      <c r="N2132">
        <v>6.7172599999999999E-2</v>
      </c>
    </row>
    <row r="2133" spans="1:14" hidden="1" x14ac:dyDescent="0.35">
      <c r="A2133" t="s">
        <v>772</v>
      </c>
      <c r="B2133" t="s">
        <v>37</v>
      </c>
      <c r="C2133" t="s">
        <v>46</v>
      </c>
      <c r="D2133" t="s">
        <v>46</v>
      </c>
      <c r="E2133" t="s">
        <v>584</v>
      </c>
      <c r="F2133" t="s">
        <v>581</v>
      </c>
      <c r="G2133" t="s">
        <v>25</v>
      </c>
      <c r="H2133">
        <v>0.22341920000000001</v>
      </c>
      <c r="I2133">
        <v>0.24419450000000001</v>
      </c>
      <c r="J2133">
        <v>0.22122520000000001</v>
      </c>
      <c r="K2133">
        <v>0.19979230000000001</v>
      </c>
      <c r="L2133">
        <v>0.17707780000000001</v>
      </c>
      <c r="M2133">
        <v>0.15681639999999999</v>
      </c>
      <c r="N2133">
        <v>0.13876769999999999</v>
      </c>
    </row>
    <row r="2134" spans="1:14" hidden="1" x14ac:dyDescent="0.35">
      <c r="A2134" t="s">
        <v>772</v>
      </c>
      <c r="B2134" t="s">
        <v>37</v>
      </c>
      <c r="C2134" t="s">
        <v>46</v>
      </c>
      <c r="D2134" t="s">
        <v>46</v>
      </c>
      <c r="E2134" t="s">
        <v>584</v>
      </c>
      <c r="F2134" t="s">
        <v>26</v>
      </c>
      <c r="G2134" t="s">
        <v>26</v>
      </c>
      <c r="H2134">
        <v>10.798769999999999</v>
      </c>
      <c r="I2134">
        <v>9.5617429999999999</v>
      </c>
      <c r="J2134">
        <v>8.6998750000000005</v>
      </c>
      <c r="K2134">
        <v>7.8856419999999998</v>
      </c>
      <c r="L2134">
        <v>6.9716839999999998</v>
      </c>
      <c r="M2134">
        <v>6.1493209999999996</v>
      </c>
      <c r="N2134">
        <v>5.4240690000000003</v>
      </c>
    </row>
    <row r="2135" spans="1:14" hidden="1" x14ac:dyDescent="0.35">
      <c r="A2135" t="s">
        <v>772</v>
      </c>
      <c r="B2135" t="s">
        <v>37</v>
      </c>
      <c r="C2135" t="s">
        <v>105</v>
      </c>
      <c r="D2135" t="s">
        <v>105</v>
      </c>
      <c r="E2135" t="s">
        <v>633</v>
      </c>
      <c r="F2135" t="s">
        <v>581</v>
      </c>
      <c r="G2135" t="s">
        <v>396</v>
      </c>
      <c r="H2135">
        <v>1.22034</v>
      </c>
      <c r="I2135">
        <v>1.2091829999999999</v>
      </c>
      <c r="J2135">
        <v>0.94307399999999997</v>
      </c>
      <c r="K2135">
        <v>0.82238730000000004</v>
      </c>
      <c r="L2135">
        <v>0.76991949999999998</v>
      </c>
      <c r="M2135">
        <v>0.61725479999999999</v>
      </c>
      <c r="N2135">
        <v>0.50614459999999994</v>
      </c>
    </row>
    <row r="2136" spans="1:14" hidden="1" x14ac:dyDescent="0.35">
      <c r="A2136" t="s">
        <v>772</v>
      </c>
      <c r="B2136" t="s">
        <v>37</v>
      </c>
      <c r="C2136" t="s">
        <v>105</v>
      </c>
      <c r="D2136" t="s">
        <v>105</v>
      </c>
      <c r="E2136" t="s">
        <v>633</v>
      </c>
      <c r="F2136" t="s">
        <v>581</v>
      </c>
      <c r="G2136" t="s">
        <v>25</v>
      </c>
      <c r="H2136">
        <v>1.5079450000000001</v>
      </c>
      <c r="I2136">
        <v>1.4620649999999999</v>
      </c>
      <c r="J2136">
        <v>1.122706</v>
      </c>
      <c r="K2136">
        <v>0.97903070000000003</v>
      </c>
      <c r="L2136">
        <v>0.91656939999999998</v>
      </c>
      <c r="M2136">
        <v>0.7348285</v>
      </c>
      <c r="N2136">
        <v>0.60255559999999997</v>
      </c>
    </row>
    <row r="2137" spans="1:14" hidden="1" x14ac:dyDescent="0.35">
      <c r="A2137" t="s">
        <v>772</v>
      </c>
      <c r="B2137" t="s">
        <v>37</v>
      </c>
      <c r="C2137" t="s">
        <v>105</v>
      </c>
      <c r="D2137" t="s">
        <v>105</v>
      </c>
      <c r="E2137" t="s">
        <v>633</v>
      </c>
      <c r="F2137" t="s">
        <v>26</v>
      </c>
      <c r="G2137" t="s">
        <v>26</v>
      </c>
      <c r="H2137">
        <v>3.2350680000000001</v>
      </c>
      <c r="I2137">
        <v>3.1580689999999998</v>
      </c>
      <c r="J2137">
        <v>2.4250500000000001</v>
      </c>
      <c r="K2137">
        <v>2.1147049999999998</v>
      </c>
      <c r="L2137">
        <v>1.9797899999999999</v>
      </c>
      <c r="M2137">
        <v>1.5872250000000001</v>
      </c>
      <c r="N2137">
        <v>1.301517</v>
      </c>
    </row>
    <row r="2138" spans="1:14" hidden="1" x14ac:dyDescent="0.35">
      <c r="A2138" t="s">
        <v>772</v>
      </c>
      <c r="B2138" t="s">
        <v>37</v>
      </c>
      <c r="C2138" t="s">
        <v>99</v>
      </c>
      <c r="D2138" t="s">
        <v>101</v>
      </c>
      <c r="E2138" t="s">
        <v>584</v>
      </c>
      <c r="F2138" t="s">
        <v>581</v>
      </c>
      <c r="G2138" t="s">
        <v>25</v>
      </c>
      <c r="H2138">
        <v>0.44945200000000002</v>
      </c>
      <c r="I2138">
        <v>0.37042409999999998</v>
      </c>
      <c r="J2138">
        <v>0.33532990000000001</v>
      </c>
      <c r="K2138">
        <v>0.29566249999999999</v>
      </c>
      <c r="L2138">
        <v>0.2633606</v>
      </c>
      <c r="M2138">
        <v>0.23670189999999999</v>
      </c>
      <c r="N2138">
        <v>0.21206630000000001</v>
      </c>
    </row>
    <row r="2139" spans="1:14" hidden="1" x14ac:dyDescent="0.35">
      <c r="A2139" t="s">
        <v>772</v>
      </c>
      <c r="B2139" t="s">
        <v>37</v>
      </c>
      <c r="C2139" t="s">
        <v>99</v>
      </c>
      <c r="D2139" t="s">
        <v>101</v>
      </c>
      <c r="E2139" t="s">
        <v>584</v>
      </c>
      <c r="F2139" t="s">
        <v>26</v>
      </c>
      <c r="G2139" t="s">
        <v>26</v>
      </c>
      <c r="H2139">
        <v>2.5499999999999998</v>
      </c>
      <c r="I2139">
        <v>2.099062</v>
      </c>
      <c r="J2139">
        <v>1.9002129999999999</v>
      </c>
      <c r="K2139">
        <v>1.67544</v>
      </c>
      <c r="L2139">
        <v>1.4923550000000001</v>
      </c>
      <c r="M2139">
        <v>1.3413090000000001</v>
      </c>
      <c r="N2139">
        <v>1.201722</v>
      </c>
    </row>
    <row r="2141" spans="1:14" ht="150" customHeight="1" x14ac:dyDescent="0.35">
      <c r="A2141" s="484" t="s">
        <v>818</v>
      </c>
      <c r="B2141" s="485"/>
      <c r="C2141" s="485"/>
      <c r="D2141" s="485"/>
      <c r="E2141" s="485"/>
      <c r="F2141" s="485"/>
      <c r="G2141" s="485"/>
      <c r="H2141" s="485"/>
      <c r="I2141" s="485"/>
      <c r="J2141" s="485"/>
      <c r="K2141" s="485"/>
      <c r="L2141" s="485"/>
      <c r="M2141" s="485"/>
      <c r="N2141" s="485"/>
    </row>
    <row r="2143" spans="1:14" ht="15" thickBot="1" x14ac:dyDescent="0.4"/>
    <row r="2144" spans="1:14" ht="15.5" thickTop="1" thickBot="1" x14ac:dyDescent="0.4">
      <c r="A2144" s="162" t="s">
        <v>773</v>
      </c>
      <c r="C2144" s="486" t="s">
        <v>774</v>
      </c>
      <c r="D2144" s="487"/>
      <c r="E2144" s="487"/>
      <c r="F2144" s="487"/>
      <c r="G2144" s="487"/>
      <c r="H2144" s="487"/>
      <c r="I2144" s="488"/>
      <c r="K2144" s="486" t="s">
        <v>775</v>
      </c>
      <c r="L2144" s="488"/>
      <c r="N2144" s="163" t="s">
        <v>776</v>
      </c>
    </row>
    <row r="2145" spans="1:14" ht="15" thickBot="1" x14ac:dyDescent="0.4">
      <c r="A2145" s="164" t="s">
        <v>777</v>
      </c>
      <c r="C2145" s="165" t="s">
        <v>576</v>
      </c>
      <c r="D2145" s="166" t="s">
        <v>29</v>
      </c>
      <c r="E2145" s="166" t="s">
        <v>27</v>
      </c>
      <c r="F2145" s="166" t="s">
        <v>28</v>
      </c>
      <c r="G2145" s="166" t="s">
        <v>577</v>
      </c>
      <c r="H2145" s="166" t="s">
        <v>578</v>
      </c>
      <c r="I2145" s="167" t="s">
        <v>23</v>
      </c>
      <c r="K2145" s="165" t="s">
        <v>22</v>
      </c>
      <c r="L2145" s="167" t="s">
        <v>778</v>
      </c>
      <c r="N2145" s="168" t="s">
        <v>779</v>
      </c>
    </row>
    <row r="2146" spans="1:14" ht="15.5" thickTop="1" thickBot="1" x14ac:dyDescent="0.4">
      <c r="C2146" s="169" t="s">
        <v>780</v>
      </c>
      <c r="D2146" s="170" t="s">
        <v>781</v>
      </c>
      <c r="E2146" s="170" t="s">
        <v>782</v>
      </c>
      <c r="F2146" s="170" t="s">
        <v>783</v>
      </c>
      <c r="G2146" s="170" t="s">
        <v>784</v>
      </c>
      <c r="H2146" s="170" t="s">
        <v>785</v>
      </c>
      <c r="I2146" s="171" t="s">
        <v>786</v>
      </c>
      <c r="K2146" s="169" t="s">
        <v>787</v>
      </c>
      <c r="L2146" s="172" t="s">
        <v>788</v>
      </c>
      <c r="N2146" s="173" t="s">
        <v>789</v>
      </c>
    </row>
    <row r="2147" spans="1:14" ht="15.5" thickTop="1" thickBot="1" x14ac:dyDescent="0.4">
      <c r="A2147" s="174" t="s">
        <v>790</v>
      </c>
      <c r="C2147" s="175" t="s">
        <v>206</v>
      </c>
      <c r="D2147" s="176"/>
      <c r="E2147" s="176"/>
      <c r="F2147" s="176"/>
      <c r="G2147" s="176"/>
      <c r="H2147" s="176"/>
      <c r="I2147" s="177" t="s">
        <v>791</v>
      </c>
      <c r="K2147" s="175" t="s">
        <v>792</v>
      </c>
      <c r="L2147" s="178"/>
      <c r="N2147" s="179" t="s">
        <v>576</v>
      </c>
    </row>
    <row r="2148" spans="1:14" ht="15.5" thickTop="1" thickBot="1" x14ac:dyDescent="0.4">
      <c r="C2148" s="175" t="s">
        <v>623</v>
      </c>
      <c r="D2148" s="176"/>
      <c r="E2148" s="176"/>
      <c r="F2148" s="176"/>
      <c r="G2148" s="176"/>
      <c r="H2148" s="176"/>
      <c r="I2148" s="177" t="s">
        <v>793</v>
      </c>
      <c r="K2148" s="175" t="s">
        <v>794</v>
      </c>
      <c r="L2148" s="178"/>
      <c r="N2148" s="180" t="s">
        <v>795</v>
      </c>
    </row>
    <row r="2149" spans="1:14" ht="15" thickTop="1" x14ac:dyDescent="0.35">
      <c r="C2149" s="175" t="s">
        <v>222</v>
      </c>
      <c r="D2149" s="176"/>
      <c r="E2149" s="176"/>
      <c r="F2149" s="176"/>
      <c r="G2149" s="176"/>
      <c r="H2149" s="176"/>
      <c r="I2149" s="177" t="s">
        <v>796</v>
      </c>
      <c r="K2149" s="175" t="s">
        <v>797</v>
      </c>
      <c r="L2149" s="178"/>
    </row>
    <row r="2150" spans="1:14" x14ac:dyDescent="0.35">
      <c r="C2150" s="175" t="s">
        <v>226</v>
      </c>
      <c r="D2150" s="176"/>
      <c r="E2150" s="176"/>
      <c r="F2150" s="176"/>
      <c r="G2150" s="176"/>
      <c r="H2150" s="176"/>
      <c r="I2150" s="177" t="s">
        <v>798</v>
      </c>
      <c r="K2150" s="175" t="s">
        <v>799</v>
      </c>
      <c r="L2150" s="178"/>
    </row>
    <row r="2151" spans="1:14" x14ac:dyDescent="0.35">
      <c r="C2151" s="175" t="s">
        <v>682</v>
      </c>
      <c r="D2151" s="176"/>
      <c r="E2151" s="176"/>
      <c r="F2151" s="176"/>
      <c r="G2151" s="176"/>
      <c r="H2151" s="176"/>
      <c r="I2151" s="172" t="s">
        <v>800</v>
      </c>
      <c r="K2151" s="175" t="s">
        <v>801</v>
      </c>
      <c r="L2151" s="178"/>
    </row>
    <row r="2152" spans="1:14" x14ac:dyDescent="0.35">
      <c r="C2152" s="175" t="s">
        <v>607</v>
      </c>
      <c r="D2152" s="176"/>
      <c r="E2152" s="176"/>
      <c r="F2152" s="176"/>
      <c r="G2152" s="176"/>
      <c r="H2152" s="176"/>
      <c r="I2152" s="178"/>
      <c r="K2152" s="175" t="s">
        <v>802</v>
      </c>
      <c r="L2152" s="178"/>
    </row>
    <row r="2153" spans="1:14" x14ac:dyDescent="0.35">
      <c r="C2153" s="175" t="s">
        <v>231</v>
      </c>
      <c r="D2153" s="176"/>
      <c r="E2153" s="176"/>
      <c r="F2153" s="176"/>
      <c r="G2153" s="176"/>
      <c r="H2153" s="176"/>
      <c r="I2153" s="178"/>
      <c r="K2153" s="175" t="s">
        <v>803</v>
      </c>
      <c r="L2153" s="178"/>
    </row>
    <row r="2154" spans="1:14" ht="15" thickBot="1" x14ac:dyDescent="0.4">
      <c r="C2154" s="175" t="s">
        <v>232</v>
      </c>
      <c r="D2154" s="176"/>
      <c r="E2154" s="176"/>
      <c r="F2154" s="176"/>
      <c r="G2154" s="176"/>
      <c r="H2154" s="176"/>
      <c r="I2154" s="178"/>
      <c r="K2154" s="181" t="s">
        <v>804</v>
      </c>
      <c r="L2154" s="182"/>
    </row>
    <row r="2155" spans="1:14" ht="15" thickTop="1" x14ac:dyDescent="0.35">
      <c r="C2155" s="175" t="s">
        <v>240</v>
      </c>
      <c r="D2155" s="176"/>
      <c r="E2155" s="176"/>
      <c r="F2155" s="176"/>
      <c r="G2155" s="176"/>
      <c r="H2155" s="176"/>
      <c r="I2155" s="178"/>
    </row>
    <row r="2156" spans="1:14" x14ac:dyDescent="0.35">
      <c r="C2156" s="175" t="s">
        <v>242</v>
      </c>
      <c r="D2156" s="176"/>
      <c r="E2156" s="176"/>
      <c r="F2156" s="176"/>
      <c r="G2156" s="176"/>
      <c r="H2156" s="176"/>
      <c r="I2156" s="178"/>
    </row>
    <row r="2157" spans="1:14" x14ac:dyDescent="0.35">
      <c r="C2157" s="175" t="s">
        <v>669</v>
      </c>
      <c r="D2157" s="176"/>
      <c r="E2157" s="176"/>
      <c r="F2157" s="176"/>
      <c r="G2157" s="176"/>
      <c r="H2157" s="176"/>
      <c r="I2157" s="178"/>
    </row>
    <row r="2158" spans="1:14" x14ac:dyDescent="0.35">
      <c r="C2158" s="175" t="s">
        <v>243</v>
      </c>
      <c r="D2158" s="176"/>
      <c r="E2158" s="176"/>
      <c r="F2158" s="176"/>
      <c r="G2158" s="176"/>
      <c r="H2158" s="176"/>
      <c r="I2158" s="178"/>
    </row>
    <row r="2159" spans="1:14" x14ac:dyDescent="0.35">
      <c r="C2159" s="175" t="s">
        <v>250</v>
      </c>
      <c r="D2159" s="176"/>
      <c r="E2159" s="176"/>
      <c r="F2159" s="176"/>
      <c r="G2159" s="176"/>
      <c r="H2159" s="176"/>
      <c r="I2159" s="178"/>
    </row>
    <row r="2160" spans="1:14" x14ac:dyDescent="0.35">
      <c r="C2160" s="175" t="s">
        <v>722</v>
      </c>
      <c r="D2160" s="176"/>
      <c r="E2160" s="176"/>
      <c r="F2160" s="176"/>
      <c r="G2160" s="176"/>
      <c r="H2160" s="176"/>
      <c r="I2160" s="178"/>
    </row>
    <row r="2161" spans="3:9" x14ac:dyDescent="0.35">
      <c r="C2161" s="175" t="s">
        <v>648</v>
      </c>
      <c r="D2161" s="176"/>
      <c r="E2161" s="176"/>
      <c r="F2161" s="176"/>
      <c r="G2161" s="176"/>
      <c r="H2161" s="176"/>
      <c r="I2161" s="178"/>
    </row>
    <row r="2162" spans="3:9" x14ac:dyDescent="0.35">
      <c r="C2162" s="175" t="s">
        <v>690</v>
      </c>
      <c r="D2162" s="176"/>
      <c r="E2162" s="176"/>
      <c r="F2162" s="176"/>
      <c r="G2162" s="176"/>
      <c r="H2162" s="176"/>
      <c r="I2162" s="178"/>
    </row>
    <row r="2163" spans="3:9" x14ac:dyDescent="0.35">
      <c r="C2163" s="175" t="s">
        <v>711</v>
      </c>
      <c r="D2163" s="176"/>
      <c r="E2163" s="176"/>
      <c r="F2163" s="176"/>
      <c r="G2163" s="176"/>
      <c r="H2163" s="176"/>
      <c r="I2163" s="178"/>
    </row>
    <row r="2164" spans="3:9" x14ac:dyDescent="0.35">
      <c r="C2164" s="175" t="s">
        <v>680</v>
      </c>
      <c r="D2164" s="176"/>
      <c r="E2164" s="176"/>
      <c r="F2164" s="176"/>
      <c r="G2164" s="176"/>
      <c r="H2164" s="176"/>
      <c r="I2164" s="178"/>
    </row>
    <row r="2165" spans="3:9" x14ac:dyDescent="0.35">
      <c r="C2165" s="175" t="s">
        <v>645</v>
      </c>
      <c r="D2165" s="176"/>
      <c r="E2165" s="176"/>
      <c r="F2165" s="176"/>
      <c r="G2165" s="176"/>
      <c r="H2165" s="176"/>
      <c r="I2165" s="178"/>
    </row>
    <row r="2166" spans="3:9" x14ac:dyDescent="0.35">
      <c r="C2166" s="175" t="s">
        <v>694</v>
      </c>
      <c r="D2166" s="176"/>
      <c r="E2166" s="176"/>
      <c r="F2166" s="176"/>
      <c r="G2166" s="176"/>
      <c r="H2166" s="176"/>
      <c r="I2166" s="178"/>
    </row>
    <row r="2167" spans="3:9" x14ac:dyDescent="0.35">
      <c r="C2167" s="175" t="s">
        <v>805</v>
      </c>
      <c r="D2167" s="176"/>
      <c r="E2167" s="176"/>
      <c r="F2167" s="176"/>
      <c r="G2167" s="176"/>
      <c r="H2167" s="176"/>
      <c r="I2167" s="178"/>
    </row>
    <row r="2168" spans="3:9" x14ac:dyDescent="0.35">
      <c r="C2168" s="183" t="s">
        <v>806</v>
      </c>
      <c r="D2168" s="176"/>
      <c r="E2168" s="176"/>
      <c r="F2168" s="176"/>
      <c r="G2168" s="176"/>
      <c r="H2168" s="176"/>
      <c r="I2168" s="178"/>
    </row>
    <row r="2169" spans="3:9" x14ac:dyDescent="0.35">
      <c r="C2169" s="184"/>
      <c r="D2169" s="176"/>
      <c r="E2169" s="176"/>
      <c r="F2169" s="176"/>
      <c r="G2169" s="176"/>
      <c r="H2169" s="176"/>
      <c r="I2169" s="178"/>
    </row>
    <row r="2170" spans="3:9" x14ac:dyDescent="0.35">
      <c r="C2170" s="184"/>
      <c r="D2170" s="176"/>
      <c r="E2170" s="176"/>
      <c r="F2170" s="176"/>
      <c r="G2170" s="176"/>
      <c r="H2170" s="176"/>
      <c r="I2170" s="178"/>
    </row>
    <row r="2171" spans="3:9" x14ac:dyDescent="0.35">
      <c r="C2171" s="184"/>
      <c r="D2171" s="176"/>
      <c r="E2171" s="176"/>
      <c r="F2171" s="176"/>
      <c r="G2171" s="176"/>
      <c r="H2171" s="176"/>
      <c r="I2171" s="178"/>
    </row>
    <row r="2172" spans="3:9" x14ac:dyDescent="0.35">
      <c r="C2172" s="184"/>
      <c r="D2172" s="176"/>
      <c r="E2172" s="176"/>
      <c r="F2172" s="176"/>
      <c r="G2172" s="176"/>
      <c r="H2172" s="176"/>
      <c r="I2172" s="178"/>
    </row>
    <row r="2173" spans="3:9" x14ac:dyDescent="0.35">
      <c r="C2173" s="184"/>
      <c r="D2173" s="176"/>
      <c r="E2173" s="176"/>
      <c r="F2173" s="176"/>
      <c r="G2173" s="176"/>
      <c r="H2173" s="176"/>
      <c r="I2173" s="178"/>
    </row>
    <row r="2174" spans="3:9" x14ac:dyDescent="0.35">
      <c r="C2174" s="184"/>
      <c r="D2174" s="176"/>
      <c r="E2174" s="176"/>
      <c r="F2174" s="176"/>
      <c r="G2174" s="176"/>
      <c r="H2174" s="176"/>
      <c r="I2174" s="178"/>
    </row>
    <row r="2175" spans="3:9" x14ac:dyDescent="0.35">
      <c r="C2175" s="184"/>
      <c r="D2175" s="176"/>
      <c r="E2175" s="176"/>
      <c r="F2175" s="176"/>
      <c r="G2175" s="176"/>
      <c r="H2175" s="176"/>
      <c r="I2175" s="178"/>
    </row>
    <row r="2176" spans="3:9" x14ac:dyDescent="0.35">
      <c r="C2176" s="184"/>
      <c r="D2176" s="176"/>
      <c r="E2176" s="176"/>
      <c r="F2176" s="176"/>
      <c r="G2176" s="176"/>
      <c r="H2176" s="176"/>
      <c r="I2176" s="178"/>
    </row>
    <row r="2177" spans="3:9" x14ac:dyDescent="0.35">
      <c r="C2177" s="184"/>
      <c r="D2177" s="176"/>
      <c r="E2177" s="176"/>
      <c r="F2177" s="176"/>
      <c r="G2177" s="176"/>
      <c r="H2177" s="176"/>
      <c r="I2177" s="178"/>
    </row>
    <row r="2178" spans="3:9" x14ac:dyDescent="0.35">
      <c r="C2178" s="184"/>
      <c r="D2178" s="176"/>
      <c r="E2178" s="176"/>
      <c r="F2178" s="176"/>
      <c r="G2178" s="176"/>
      <c r="H2178" s="176"/>
      <c r="I2178" s="178"/>
    </row>
    <row r="2179" spans="3:9" x14ac:dyDescent="0.35">
      <c r="C2179" s="184"/>
      <c r="D2179" s="176"/>
      <c r="E2179" s="176"/>
      <c r="F2179" s="176"/>
      <c r="G2179" s="176"/>
      <c r="H2179" s="176"/>
      <c r="I2179" s="178"/>
    </row>
    <row r="2180" spans="3:9" x14ac:dyDescent="0.35">
      <c r="C2180" s="184"/>
      <c r="D2180" s="176"/>
      <c r="E2180" s="176"/>
      <c r="F2180" s="176"/>
      <c r="G2180" s="176"/>
      <c r="H2180" s="176"/>
      <c r="I2180" s="178"/>
    </row>
    <row r="2181" spans="3:9" x14ac:dyDescent="0.35">
      <c r="C2181" s="184"/>
      <c r="D2181" s="176"/>
      <c r="E2181" s="176"/>
      <c r="F2181" s="176"/>
      <c r="G2181" s="176"/>
      <c r="H2181" s="176"/>
      <c r="I2181" s="178"/>
    </row>
    <row r="2182" spans="3:9" x14ac:dyDescent="0.35">
      <c r="C2182" s="184"/>
      <c r="D2182" s="176"/>
      <c r="E2182" s="176"/>
      <c r="F2182" s="176"/>
      <c r="G2182" s="176"/>
      <c r="H2182" s="176"/>
      <c r="I2182" s="178"/>
    </row>
    <row r="2183" spans="3:9" x14ac:dyDescent="0.35">
      <c r="C2183" s="184"/>
      <c r="D2183" s="176"/>
      <c r="E2183" s="176"/>
      <c r="F2183" s="176"/>
      <c r="G2183" s="176"/>
      <c r="H2183" s="176"/>
      <c r="I2183" s="178"/>
    </row>
    <row r="2184" spans="3:9" x14ac:dyDescent="0.35">
      <c r="C2184" s="184"/>
      <c r="D2184" s="176"/>
      <c r="E2184" s="176"/>
      <c r="F2184" s="176"/>
      <c r="G2184" s="176"/>
      <c r="H2184" s="176"/>
      <c r="I2184" s="178"/>
    </row>
    <row r="2185" spans="3:9" x14ac:dyDescent="0.35">
      <c r="C2185" s="184"/>
      <c r="D2185" s="176"/>
      <c r="E2185" s="176"/>
      <c r="F2185" s="176"/>
      <c r="G2185" s="176"/>
      <c r="H2185" s="176"/>
      <c r="I2185" s="178"/>
    </row>
    <row r="2186" spans="3:9" x14ac:dyDescent="0.35">
      <c r="C2186" s="184"/>
      <c r="D2186" s="176"/>
      <c r="E2186" s="176"/>
      <c r="F2186" s="176"/>
      <c r="G2186" s="176"/>
      <c r="H2186" s="176"/>
      <c r="I2186" s="178"/>
    </row>
    <row r="2187" spans="3:9" x14ac:dyDescent="0.35">
      <c r="C2187" s="184"/>
      <c r="D2187" s="176"/>
      <c r="E2187" s="176"/>
      <c r="F2187" s="176"/>
      <c r="G2187" s="176"/>
      <c r="H2187" s="176"/>
      <c r="I2187" s="178"/>
    </row>
    <row r="2188" spans="3:9" x14ac:dyDescent="0.35">
      <c r="C2188" s="184"/>
      <c r="D2188" s="176"/>
      <c r="E2188" s="176"/>
      <c r="F2188" s="176"/>
      <c r="G2188" s="176"/>
      <c r="H2188" s="176"/>
      <c r="I2188" s="178"/>
    </row>
    <row r="2189" spans="3:9" x14ac:dyDescent="0.35">
      <c r="C2189" s="184"/>
      <c r="D2189" s="176"/>
      <c r="E2189" s="176"/>
      <c r="F2189" s="176"/>
      <c r="G2189" s="176"/>
      <c r="H2189" s="176"/>
      <c r="I2189" s="178"/>
    </row>
    <row r="2190" spans="3:9" x14ac:dyDescent="0.35">
      <c r="C2190" s="184"/>
      <c r="D2190" s="176"/>
      <c r="E2190" s="176"/>
      <c r="F2190" s="176"/>
      <c r="G2190" s="176"/>
      <c r="H2190" s="176"/>
      <c r="I2190" s="178"/>
    </row>
    <row r="2191" spans="3:9" x14ac:dyDescent="0.35">
      <c r="C2191" s="184"/>
      <c r="D2191" s="176"/>
      <c r="E2191" s="176"/>
      <c r="F2191" s="176"/>
      <c r="G2191" s="176"/>
      <c r="H2191" s="176"/>
      <c r="I2191" s="178"/>
    </row>
    <row r="2192" spans="3:9" x14ac:dyDescent="0.35">
      <c r="C2192" s="184"/>
      <c r="D2192" s="176"/>
      <c r="E2192" s="176"/>
      <c r="F2192" s="176"/>
      <c r="G2192" s="176"/>
      <c r="H2192" s="176"/>
      <c r="I2192" s="178"/>
    </row>
    <row r="2193" spans="3:9" x14ac:dyDescent="0.35">
      <c r="C2193" s="184"/>
      <c r="D2193" s="176"/>
      <c r="E2193" s="176"/>
      <c r="F2193" s="176"/>
      <c r="G2193" s="176"/>
      <c r="H2193" s="176"/>
      <c r="I2193" s="178"/>
    </row>
    <row r="2194" spans="3:9" x14ac:dyDescent="0.35">
      <c r="C2194" s="184"/>
      <c r="D2194" s="176"/>
      <c r="E2194" s="176"/>
      <c r="F2194" s="176"/>
      <c r="G2194" s="176"/>
      <c r="H2194" s="176"/>
      <c r="I2194" s="178"/>
    </row>
    <row r="2195" spans="3:9" x14ac:dyDescent="0.35">
      <c r="C2195" s="184"/>
      <c r="D2195" s="176"/>
      <c r="E2195" s="176"/>
      <c r="F2195" s="176"/>
      <c r="G2195" s="176"/>
      <c r="H2195" s="176"/>
      <c r="I2195" s="178"/>
    </row>
    <row r="2196" spans="3:9" x14ac:dyDescent="0.35">
      <c r="C2196" s="184"/>
      <c r="D2196" s="176"/>
      <c r="E2196" s="176"/>
      <c r="F2196" s="176"/>
      <c r="G2196" s="176"/>
      <c r="H2196" s="176"/>
      <c r="I2196" s="178"/>
    </row>
    <row r="2197" spans="3:9" x14ac:dyDescent="0.35">
      <c r="C2197" s="184"/>
      <c r="D2197" s="176"/>
      <c r="E2197" s="176"/>
      <c r="F2197" s="176"/>
      <c r="G2197" s="176"/>
      <c r="H2197" s="176"/>
      <c r="I2197" s="178"/>
    </row>
    <row r="2198" spans="3:9" x14ac:dyDescent="0.35">
      <c r="C2198" s="184"/>
      <c r="D2198" s="176"/>
      <c r="E2198" s="176"/>
      <c r="F2198" s="176"/>
      <c r="G2198" s="176"/>
      <c r="H2198" s="176"/>
      <c r="I2198" s="178"/>
    </row>
    <row r="2199" spans="3:9" x14ac:dyDescent="0.35">
      <c r="C2199" s="184"/>
      <c r="D2199" s="176"/>
      <c r="E2199" s="176"/>
      <c r="F2199" s="176"/>
      <c r="G2199" s="176"/>
      <c r="H2199" s="176"/>
      <c r="I2199" s="178"/>
    </row>
    <row r="2200" spans="3:9" x14ac:dyDescent="0.35">
      <c r="C2200" s="184"/>
      <c r="D2200" s="176"/>
      <c r="E2200" s="176"/>
      <c r="F2200" s="176"/>
      <c r="G2200" s="176"/>
      <c r="H2200" s="176"/>
      <c r="I2200" s="178"/>
    </row>
    <row r="2201" spans="3:9" x14ac:dyDescent="0.35">
      <c r="C2201" s="184"/>
      <c r="D2201" s="176"/>
      <c r="E2201" s="176"/>
      <c r="F2201" s="176"/>
      <c r="G2201" s="176"/>
      <c r="H2201" s="176"/>
      <c r="I2201" s="178"/>
    </row>
    <row r="2202" spans="3:9" x14ac:dyDescent="0.35">
      <c r="C2202" s="184"/>
      <c r="D2202" s="176"/>
      <c r="E2202" s="176"/>
      <c r="F2202" s="176"/>
      <c r="G2202" s="176"/>
      <c r="H2202" s="176"/>
      <c r="I2202" s="178"/>
    </row>
    <row r="2203" spans="3:9" x14ac:dyDescent="0.35">
      <c r="C2203" s="184"/>
      <c r="D2203" s="176"/>
      <c r="E2203" s="176"/>
      <c r="F2203" s="176"/>
      <c r="G2203" s="176"/>
      <c r="H2203" s="176"/>
      <c r="I2203" s="178"/>
    </row>
    <row r="2204" spans="3:9" x14ac:dyDescent="0.35">
      <c r="C2204" s="184"/>
      <c r="D2204" s="176"/>
      <c r="E2204" s="176"/>
      <c r="F2204" s="176"/>
      <c r="G2204" s="176"/>
      <c r="H2204" s="176"/>
      <c r="I2204" s="178"/>
    </row>
    <row r="2205" spans="3:9" x14ac:dyDescent="0.35">
      <c r="C2205" s="184"/>
      <c r="D2205" s="176"/>
      <c r="E2205" s="176"/>
      <c r="F2205" s="176"/>
      <c r="G2205" s="176"/>
      <c r="H2205" s="176"/>
      <c r="I2205" s="178"/>
    </row>
    <row r="2206" spans="3:9" x14ac:dyDescent="0.35">
      <c r="C2206" s="184"/>
      <c r="D2206" s="176"/>
      <c r="E2206" s="176"/>
      <c r="F2206" s="176"/>
      <c r="G2206" s="176"/>
      <c r="H2206" s="176"/>
      <c r="I2206" s="178"/>
    </row>
    <row r="2207" spans="3:9" x14ac:dyDescent="0.35">
      <c r="C2207" s="184"/>
      <c r="D2207" s="176"/>
      <c r="E2207" s="176"/>
      <c r="F2207" s="176"/>
      <c r="G2207" s="176"/>
      <c r="H2207" s="176"/>
      <c r="I2207" s="178"/>
    </row>
    <row r="2208" spans="3:9" x14ac:dyDescent="0.35">
      <c r="C2208" s="184"/>
      <c r="D2208" s="176"/>
      <c r="E2208" s="176"/>
      <c r="F2208" s="176"/>
      <c r="G2208" s="176"/>
      <c r="H2208" s="176"/>
      <c r="I2208" s="178"/>
    </row>
    <row r="2209" spans="3:9" x14ac:dyDescent="0.35">
      <c r="C2209" s="184"/>
      <c r="D2209" s="176"/>
      <c r="E2209" s="176"/>
      <c r="F2209" s="176"/>
      <c r="G2209" s="176"/>
      <c r="H2209" s="176"/>
      <c r="I2209" s="178"/>
    </row>
    <row r="2210" spans="3:9" x14ac:dyDescent="0.35">
      <c r="C2210" s="184"/>
      <c r="D2210" s="176"/>
      <c r="E2210" s="176"/>
      <c r="F2210" s="176"/>
      <c r="G2210" s="176"/>
      <c r="H2210" s="176"/>
      <c r="I2210" s="178"/>
    </row>
    <row r="2211" spans="3:9" x14ac:dyDescent="0.35">
      <c r="C2211" s="184"/>
      <c r="D2211" s="176"/>
      <c r="E2211" s="176"/>
      <c r="F2211" s="176"/>
      <c r="G2211" s="176"/>
      <c r="H2211" s="176"/>
      <c r="I2211" s="178"/>
    </row>
    <row r="2212" spans="3:9" x14ac:dyDescent="0.35">
      <c r="C2212" s="184"/>
      <c r="D2212" s="176"/>
      <c r="E2212" s="176"/>
      <c r="F2212" s="176"/>
      <c r="G2212" s="176"/>
      <c r="H2212" s="176"/>
      <c r="I2212" s="178"/>
    </row>
    <row r="2213" spans="3:9" x14ac:dyDescent="0.35">
      <c r="C2213" s="184"/>
      <c r="D2213" s="176"/>
      <c r="E2213" s="176"/>
      <c r="F2213" s="176"/>
      <c r="G2213" s="176"/>
      <c r="H2213" s="176"/>
      <c r="I2213" s="178"/>
    </row>
    <row r="2214" spans="3:9" x14ac:dyDescent="0.35">
      <c r="C2214" s="184"/>
      <c r="D2214" s="176"/>
      <c r="E2214" s="176"/>
      <c r="F2214" s="176"/>
      <c r="G2214" s="176"/>
      <c r="H2214" s="176"/>
      <c r="I2214" s="178"/>
    </row>
    <row r="2215" spans="3:9" x14ac:dyDescent="0.35">
      <c r="C2215" s="184"/>
      <c r="D2215" s="176"/>
      <c r="E2215" s="176"/>
      <c r="F2215" s="176"/>
      <c r="G2215" s="176"/>
      <c r="H2215" s="176"/>
      <c r="I2215" s="178"/>
    </row>
    <row r="2216" spans="3:9" x14ac:dyDescent="0.35">
      <c r="C2216" s="184"/>
      <c r="D2216" s="176"/>
      <c r="E2216" s="176"/>
      <c r="F2216" s="176"/>
      <c r="G2216" s="176"/>
      <c r="H2216" s="176"/>
      <c r="I2216" s="178"/>
    </row>
    <row r="2217" spans="3:9" x14ac:dyDescent="0.35">
      <c r="C2217" s="184"/>
      <c r="D2217" s="176"/>
      <c r="E2217" s="176"/>
      <c r="F2217" s="176"/>
      <c r="G2217" s="176"/>
      <c r="H2217" s="176"/>
      <c r="I2217" s="178"/>
    </row>
    <row r="2218" spans="3:9" x14ac:dyDescent="0.35">
      <c r="C2218" s="184"/>
      <c r="D2218" s="176"/>
      <c r="E2218" s="176"/>
      <c r="F2218" s="176"/>
      <c r="G2218" s="176"/>
      <c r="H2218" s="176"/>
      <c r="I2218" s="178"/>
    </row>
    <row r="2219" spans="3:9" x14ac:dyDescent="0.35">
      <c r="C2219" s="184"/>
      <c r="D2219" s="176"/>
      <c r="E2219" s="176"/>
      <c r="F2219" s="176"/>
      <c r="G2219" s="176"/>
      <c r="H2219" s="176"/>
      <c r="I2219" s="178"/>
    </row>
    <row r="2220" spans="3:9" x14ac:dyDescent="0.35">
      <c r="C2220" s="184"/>
      <c r="D2220" s="176"/>
      <c r="E2220" s="176"/>
      <c r="F2220" s="176"/>
      <c r="G2220" s="176"/>
      <c r="H2220" s="176"/>
      <c r="I2220" s="178"/>
    </row>
    <row r="2221" spans="3:9" x14ac:dyDescent="0.35">
      <c r="C2221" s="184"/>
      <c r="D2221" s="176"/>
      <c r="E2221" s="176"/>
      <c r="F2221" s="176"/>
      <c r="G2221" s="176"/>
      <c r="H2221" s="176"/>
      <c r="I2221" s="178"/>
    </row>
    <row r="2222" spans="3:9" x14ac:dyDescent="0.35">
      <c r="C2222" s="184"/>
      <c r="D2222" s="176"/>
      <c r="E2222" s="176"/>
      <c r="F2222" s="176"/>
      <c r="G2222" s="176"/>
      <c r="H2222" s="176"/>
      <c r="I2222" s="178"/>
    </row>
    <row r="2223" spans="3:9" x14ac:dyDescent="0.35">
      <c r="C2223" s="184"/>
      <c r="D2223" s="176"/>
      <c r="E2223" s="176"/>
      <c r="F2223" s="176"/>
      <c r="G2223" s="176"/>
      <c r="H2223" s="176"/>
      <c r="I2223" s="178"/>
    </row>
    <row r="2224" spans="3:9" x14ac:dyDescent="0.35">
      <c r="C2224" s="184"/>
      <c r="D2224" s="176"/>
      <c r="E2224" s="176"/>
      <c r="F2224" s="176"/>
      <c r="G2224" s="176"/>
      <c r="H2224" s="176"/>
      <c r="I2224" s="178"/>
    </row>
    <row r="2225" spans="3:9" x14ac:dyDescent="0.35">
      <c r="C2225" s="184"/>
      <c r="D2225" s="176"/>
      <c r="E2225" s="176"/>
      <c r="F2225" s="176"/>
      <c r="G2225" s="176"/>
      <c r="H2225" s="176"/>
      <c r="I2225" s="178"/>
    </row>
    <row r="2226" spans="3:9" x14ac:dyDescent="0.35">
      <c r="C2226" s="184"/>
      <c r="D2226" s="176"/>
      <c r="E2226" s="176"/>
      <c r="F2226" s="176"/>
      <c r="G2226" s="176"/>
      <c r="H2226" s="176"/>
      <c r="I2226" s="178"/>
    </row>
    <row r="2227" spans="3:9" x14ac:dyDescent="0.35">
      <c r="C2227" s="184"/>
      <c r="D2227" s="176"/>
      <c r="E2227" s="176"/>
      <c r="F2227" s="176"/>
      <c r="G2227" s="176"/>
      <c r="H2227" s="176"/>
      <c r="I2227" s="178"/>
    </row>
    <row r="2228" spans="3:9" x14ac:dyDescent="0.35">
      <c r="C2228" s="184"/>
      <c r="D2228" s="176"/>
      <c r="E2228" s="176"/>
      <c r="F2228" s="176"/>
      <c r="G2228" s="176"/>
      <c r="H2228" s="176"/>
      <c r="I2228" s="178"/>
    </row>
    <row r="2229" spans="3:9" ht="15" thickBot="1" x14ac:dyDescent="0.4">
      <c r="C2229" s="185"/>
      <c r="D2229" s="186"/>
      <c r="E2229" s="186"/>
      <c r="F2229" s="186"/>
      <c r="G2229" s="186"/>
      <c r="H2229" s="186"/>
      <c r="I2229" s="182"/>
    </row>
    <row r="2230" spans="3:9" ht="15" thickTop="1" x14ac:dyDescent="0.35"/>
  </sheetData>
  <autoFilter ref="A8:N2139" xr:uid="{E358E123-CBE1-4401-ACDD-54093AFEB2FD}">
    <filterColumn colId="0">
      <filters>
        <filter val="Concho Resources"/>
      </filters>
    </filterColumn>
  </autoFilter>
  <mergeCells count="3">
    <mergeCell ref="A2141:N2141"/>
    <mergeCell ref="C2144:I2144"/>
    <mergeCell ref="K2144:L2144"/>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21C01-1F58-4AAB-8509-DE42D3640B52}">
  <sheetPr filterMode="1"/>
  <dimension ref="A1:N2230"/>
  <sheetViews>
    <sheetView zoomScale="66" zoomScaleNormal="70" workbookViewId="0">
      <selection activeCell="I802" sqref="I802"/>
    </sheetView>
  </sheetViews>
  <sheetFormatPr defaultRowHeight="14.5" x14ac:dyDescent="0.35"/>
  <cols>
    <col min="1" max="1" width="12.54296875" bestFit="1" customWidth="1"/>
    <col min="3" max="3" width="22.90625" bestFit="1" customWidth="1"/>
    <col min="4" max="5" width="14.90625" bestFit="1" customWidth="1"/>
    <col min="6" max="6" width="15.90625" bestFit="1" customWidth="1"/>
    <col min="7" max="7" width="14.90625" bestFit="1" customWidth="1"/>
    <col min="8" max="8" width="15.6328125" bestFit="1" customWidth="1"/>
    <col min="9" max="9" width="18.36328125" bestFit="1" customWidth="1"/>
    <col min="11" max="11" width="14.6328125" bestFit="1" customWidth="1"/>
    <col min="12" max="12" width="12.81640625" bestFit="1" customWidth="1"/>
    <col min="14" max="14" width="12.54296875" bestFit="1" customWidth="1"/>
  </cols>
  <sheetData>
    <row r="1" spans="1:14" x14ac:dyDescent="0.35">
      <c r="A1" t="s">
        <v>573</v>
      </c>
    </row>
    <row r="2" spans="1:14" x14ac:dyDescent="0.35">
      <c r="A2" t="s">
        <v>574</v>
      </c>
    </row>
    <row r="3" spans="1:14" x14ac:dyDescent="0.35">
      <c r="A3" t="s">
        <v>807</v>
      </c>
    </row>
    <row r="8" spans="1:14" s="35" customFormat="1" x14ac:dyDescent="0.35">
      <c r="A8" s="35" t="s">
        <v>576</v>
      </c>
      <c r="B8" s="35" t="s">
        <v>29</v>
      </c>
      <c r="C8" s="35" t="s">
        <v>27</v>
      </c>
      <c r="D8" s="35" t="s">
        <v>28</v>
      </c>
      <c r="E8" s="35" t="s">
        <v>577</v>
      </c>
      <c r="F8" s="35" t="s">
        <v>578</v>
      </c>
      <c r="G8" s="35" t="s">
        <v>23</v>
      </c>
      <c r="H8" s="35">
        <v>2019</v>
      </c>
      <c r="I8" s="35">
        <v>2020</v>
      </c>
      <c r="J8" s="35">
        <v>2021</v>
      </c>
      <c r="K8" s="35">
        <v>2022</v>
      </c>
      <c r="L8" s="35">
        <v>2023</v>
      </c>
      <c r="M8" s="35">
        <v>2024</v>
      </c>
      <c r="N8" s="35">
        <v>2025</v>
      </c>
    </row>
    <row r="9" spans="1:14" hidden="1" x14ac:dyDescent="0.35">
      <c r="A9" t="s">
        <v>579</v>
      </c>
      <c r="B9" t="s">
        <v>37</v>
      </c>
      <c r="C9" t="s">
        <v>35</v>
      </c>
      <c r="D9" t="s">
        <v>129</v>
      </c>
      <c r="E9" t="s">
        <v>580</v>
      </c>
      <c r="F9" t="s">
        <v>581</v>
      </c>
      <c r="G9" t="s">
        <v>396</v>
      </c>
      <c r="H9">
        <v>93.156180000000006</v>
      </c>
      <c r="I9">
        <v>92.279949999999999</v>
      </c>
      <c r="J9">
        <v>91.03492</v>
      </c>
      <c r="K9">
        <v>95.260810000000006</v>
      </c>
      <c r="L9">
        <v>94.993340000000003</v>
      </c>
      <c r="M9">
        <v>87.159229999999994</v>
      </c>
      <c r="N9">
        <v>82.19256</v>
      </c>
    </row>
    <row r="10" spans="1:14" hidden="1" x14ac:dyDescent="0.35">
      <c r="A10" t="s">
        <v>579</v>
      </c>
      <c r="B10" t="s">
        <v>37</v>
      </c>
      <c r="C10" t="s">
        <v>35</v>
      </c>
      <c r="D10" t="s">
        <v>129</v>
      </c>
      <c r="E10" t="s">
        <v>580</v>
      </c>
      <c r="F10" t="s">
        <v>581</v>
      </c>
      <c r="G10" t="s">
        <v>25</v>
      </c>
      <c r="H10">
        <v>30.405370000000001</v>
      </c>
      <c r="I10">
        <v>30.000409999999999</v>
      </c>
      <c r="J10">
        <v>29.760829999999999</v>
      </c>
      <c r="K10">
        <v>31.40465</v>
      </c>
      <c r="L10">
        <v>31.372330000000002</v>
      </c>
      <c r="M10">
        <v>28.88663</v>
      </c>
      <c r="N10">
        <v>27.326709999999999</v>
      </c>
    </row>
    <row r="11" spans="1:14" hidden="1" x14ac:dyDescent="0.35">
      <c r="A11" t="s">
        <v>579</v>
      </c>
      <c r="B11" t="s">
        <v>37</v>
      </c>
      <c r="C11" t="s">
        <v>35</v>
      </c>
      <c r="D11" t="s">
        <v>129</v>
      </c>
      <c r="E11" t="s">
        <v>580</v>
      </c>
      <c r="F11" t="s">
        <v>26</v>
      </c>
      <c r="G11" t="s">
        <v>26</v>
      </c>
      <c r="H11">
        <v>33.021500000000003</v>
      </c>
      <c r="I11">
        <v>32.918790000000001</v>
      </c>
      <c r="J11">
        <v>32.727960000000003</v>
      </c>
      <c r="K11">
        <v>34.215319999999998</v>
      </c>
      <c r="L11">
        <v>34.04157</v>
      </c>
      <c r="M11">
        <v>31.372520000000002</v>
      </c>
      <c r="N11">
        <v>29.70805</v>
      </c>
    </row>
    <row r="12" spans="1:14" hidden="1" x14ac:dyDescent="0.35">
      <c r="A12" t="s">
        <v>579</v>
      </c>
      <c r="B12" t="s">
        <v>37</v>
      </c>
      <c r="C12" t="s">
        <v>35</v>
      </c>
      <c r="D12" t="s">
        <v>129</v>
      </c>
      <c r="E12" t="s">
        <v>582</v>
      </c>
      <c r="F12" t="s">
        <v>581</v>
      </c>
      <c r="G12" t="s">
        <v>396</v>
      </c>
      <c r="H12">
        <v>7.9025780000000001</v>
      </c>
      <c r="I12">
        <v>8.6501610000000007</v>
      </c>
      <c r="J12">
        <v>9.8681380000000001</v>
      </c>
      <c r="K12">
        <v>9.4237169999999999</v>
      </c>
      <c r="L12">
        <v>8.9365559999999995</v>
      </c>
      <c r="M12">
        <v>8.2274349999999998</v>
      </c>
      <c r="N12">
        <v>7.6930180000000004</v>
      </c>
    </row>
    <row r="13" spans="1:14" hidden="1" x14ac:dyDescent="0.35">
      <c r="A13" t="s">
        <v>579</v>
      </c>
      <c r="B13" t="s">
        <v>37</v>
      </c>
      <c r="C13" t="s">
        <v>35</v>
      </c>
      <c r="D13" t="s">
        <v>129</v>
      </c>
      <c r="E13" t="s">
        <v>582</v>
      </c>
      <c r="F13" t="s">
        <v>581</v>
      </c>
      <c r="G13" t="s">
        <v>25</v>
      </c>
      <c r="H13">
        <v>3.2838409999999998</v>
      </c>
      <c r="I13">
        <v>3.4412259999999999</v>
      </c>
      <c r="J13">
        <v>3.7745329999999999</v>
      </c>
      <c r="K13">
        <v>3.557178</v>
      </c>
      <c r="L13">
        <v>3.3321109999999998</v>
      </c>
      <c r="M13">
        <v>3.0467460000000002</v>
      </c>
      <c r="N13">
        <v>2.8406030000000002</v>
      </c>
    </row>
    <row r="14" spans="1:14" hidden="1" x14ac:dyDescent="0.35">
      <c r="A14" t="s">
        <v>579</v>
      </c>
      <c r="B14" t="s">
        <v>37</v>
      </c>
      <c r="C14" t="s">
        <v>35</v>
      </c>
      <c r="D14" t="s">
        <v>129</v>
      </c>
      <c r="E14" t="s">
        <v>582</v>
      </c>
      <c r="F14" t="s">
        <v>26</v>
      </c>
      <c r="G14" t="s">
        <v>26</v>
      </c>
      <c r="H14">
        <v>3.5954079999999999</v>
      </c>
      <c r="I14">
        <v>3.7192240000000001</v>
      </c>
      <c r="J14">
        <v>4.0370100000000004</v>
      </c>
      <c r="K14">
        <v>3.7861259999999999</v>
      </c>
      <c r="L14">
        <v>3.5243280000000001</v>
      </c>
      <c r="M14">
        <v>3.2103540000000002</v>
      </c>
      <c r="N14">
        <v>2.9938609999999999</v>
      </c>
    </row>
    <row r="15" spans="1:14" hidden="1" x14ac:dyDescent="0.35">
      <c r="A15" t="s">
        <v>579</v>
      </c>
      <c r="B15" t="s">
        <v>37</v>
      </c>
      <c r="C15" t="s">
        <v>35</v>
      </c>
      <c r="D15" t="s">
        <v>129</v>
      </c>
      <c r="E15" t="s">
        <v>583</v>
      </c>
      <c r="F15" t="s">
        <v>581</v>
      </c>
      <c r="G15" t="s">
        <v>396</v>
      </c>
      <c r="H15">
        <v>2.7107459999999999</v>
      </c>
      <c r="I15">
        <v>2.3900549999999998</v>
      </c>
      <c r="J15">
        <v>2.0970170000000001</v>
      </c>
      <c r="K15">
        <v>1.8636379999999999</v>
      </c>
      <c r="L15">
        <v>1.855105</v>
      </c>
      <c r="M15">
        <v>1.7008239999999999</v>
      </c>
      <c r="N15">
        <v>1.47644</v>
      </c>
    </row>
    <row r="16" spans="1:14" hidden="1" x14ac:dyDescent="0.35">
      <c r="A16" t="s">
        <v>579</v>
      </c>
      <c r="B16" t="s">
        <v>37</v>
      </c>
      <c r="C16" t="s">
        <v>35</v>
      </c>
      <c r="D16" t="s">
        <v>129</v>
      </c>
      <c r="E16" t="s">
        <v>583</v>
      </c>
      <c r="F16" t="s">
        <v>581</v>
      </c>
      <c r="G16" t="s">
        <v>25</v>
      </c>
      <c r="H16">
        <v>0.81322190000000005</v>
      </c>
      <c r="I16">
        <v>0.71699729999999995</v>
      </c>
      <c r="J16">
        <v>0.62910410000000005</v>
      </c>
      <c r="K16">
        <v>0.55909039999999999</v>
      </c>
      <c r="L16">
        <v>0.55653090000000005</v>
      </c>
      <c r="M16">
        <v>0.51024769999999997</v>
      </c>
      <c r="N16">
        <v>0.44293149999999998</v>
      </c>
    </row>
    <row r="17" spans="1:14" hidden="1" x14ac:dyDescent="0.35">
      <c r="A17" t="s">
        <v>579</v>
      </c>
      <c r="B17" t="s">
        <v>37</v>
      </c>
      <c r="C17" t="s">
        <v>35</v>
      </c>
      <c r="D17" t="s">
        <v>129</v>
      </c>
      <c r="E17" t="s">
        <v>583</v>
      </c>
      <c r="F17" t="s">
        <v>26</v>
      </c>
      <c r="G17" t="s">
        <v>26</v>
      </c>
      <c r="H17">
        <v>0.99393969999999998</v>
      </c>
      <c r="I17">
        <v>0.87632880000000002</v>
      </c>
      <c r="J17">
        <v>0.76890689999999995</v>
      </c>
      <c r="K17">
        <v>0.68333429999999995</v>
      </c>
      <c r="L17">
        <v>0.68020360000000002</v>
      </c>
      <c r="M17">
        <v>0.62363729999999995</v>
      </c>
      <c r="N17">
        <v>0.54136030000000002</v>
      </c>
    </row>
    <row r="18" spans="1:14" hidden="1" x14ac:dyDescent="0.35">
      <c r="A18" t="s">
        <v>579</v>
      </c>
      <c r="B18" t="s">
        <v>37</v>
      </c>
      <c r="C18" t="s">
        <v>35</v>
      </c>
      <c r="D18" t="s">
        <v>129</v>
      </c>
      <c r="E18" t="s">
        <v>584</v>
      </c>
      <c r="F18" t="s">
        <v>581</v>
      </c>
      <c r="G18" t="s">
        <v>396</v>
      </c>
      <c r="H18">
        <v>8.0273970000000004E-4</v>
      </c>
      <c r="I18">
        <v>0</v>
      </c>
    </row>
    <row r="19" spans="1:14" hidden="1" x14ac:dyDescent="0.35">
      <c r="A19" t="s">
        <v>579</v>
      </c>
      <c r="B19" t="s">
        <v>37</v>
      </c>
      <c r="C19" t="s">
        <v>35</v>
      </c>
      <c r="D19" t="s">
        <v>129</v>
      </c>
      <c r="E19" t="s">
        <v>584</v>
      </c>
      <c r="F19" t="s">
        <v>581</v>
      </c>
      <c r="G19" t="s">
        <v>24</v>
      </c>
      <c r="H19">
        <v>8.0273970000000004E-4</v>
      </c>
      <c r="I19">
        <v>0</v>
      </c>
    </row>
    <row r="20" spans="1:14" hidden="1" x14ac:dyDescent="0.35">
      <c r="A20" t="s">
        <v>579</v>
      </c>
      <c r="B20" t="s">
        <v>37</v>
      </c>
      <c r="C20" t="s">
        <v>35</v>
      </c>
      <c r="D20" t="s">
        <v>129</v>
      </c>
      <c r="E20" t="s">
        <v>584</v>
      </c>
      <c r="F20" t="s">
        <v>26</v>
      </c>
      <c r="G20" t="s">
        <v>26</v>
      </c>
      <c r="H20">
        <v>1.3749640000000001</v>
      </c>
      <c r="I20">
        <v>1.347737</v>
      </c>
      <c r="J20">
        <v>1.3210040000000001</v>
      </c>
      <c r="K20">
        <v>1.292289</v>
      </c>
      <c r="L20">
        <v>1.254383</v>
      </c>
      <c r="M20">
        <v>1.1907799999999999</v>
      </c>
      <c r="N20">
        <v>1.13544</v>
      </c>
    </row>
    <row r="21" spans="1:14" hidden="1" x14ac:dyDescent="0.35">
      <c r="A21" t="s">
        <v>579</v>
      </c>
      <c r="B21" t="s">
        <v>37</v>
      </c>
      <c r="C21" t="s">
        <v>35</v>
      </c>
      <c r="D21" t="s">
        <v>39</v>
      </c>
      <c r="E21" t="s">
        <v>582</v>
      </c>
      <c r="F21" t="s">
        <v>581</v>
      </c>
      <c r="G21" t="s">
        <v>396</v>
      </c>
      <c r="H21">
        <v>89.160550000000001</v>
      </c>
      <c r="I21">
        <v>95.031319999999994</v>
      </c>
      <c r="J21">
        <v>86.982479999999995</v>
      </c>
      <c r="K21">
        <v>74.788020000000003</v>
      </c>
      <c r="L21">
        <v>63.659520000000001</v>
      </c>
      <c r="M21">
        <v>58.93676</v>
      </c>
      <c r="N21">
        <v>58.095379999999999</v>
      </c>
    </row>
    <row r="22" spans="1:14" hidden="1" x14ac:dyDescent="0.35">
      <c r="A22" t="s">
        <v>579</v>
      </c>
      <c r="B22" t="s">
        <v>37</v>
      </c>
      <c r="C22" t="s">
        <v>35</v>
      </c>
      <c r="D22" t="s">
        <v>39</v>
      </c>
      <c r="E22" t="s">
        <v>582</v>
      </c>
      <c r="F22" t="s">
        <v>581</v>
      </c>
      <c r="G22" t="s">
        <v>25</v>
      </c>
      <c r="H22">
        <v>43.060490000000001</v>
      </c>
      <c r="I22">
        <v>45.879190000000001</v>
      </c>
      <c r="J22">
        <v>42.008589999999998</v>
      </c>
      <c r="K22">
        <v>36.119210000000002</v>
      </c>
      <c r="L22">
        <v>30.74466</v>
      </c>
      <c r="M22">
        <v>28.46378</v>
      </c>
      <c r="N22">
        <v>28.05744</v>
      </c>
    </row>
    <row r="23" spans="1:14" hidden="1" x14ac:dyDescent="0.35">
      <c r="A23" t="s">
        <v>579</v>
      </c>
      <c r="B23" t="s">
        <v>37</v>
      </c>
      <c r="C23" t="s">
        <v>35</v>
      </c>
      <c r="D23" t="s">
        <v>39</v>
      </c>
      <c r="E23" t="s">
        <v>582</v>
      </c>
      <c r="F23" t="s">
        <v>26</v>
      </c>
      <c r="G23" t="s">
        <v>26</v>
      </c>
      <c r="H23">
        <v>34.448390000000003</v>
      </c>
      <c r="I23">
        <v>36.70335</v>
      </c>
      <c r="J23">
        <v>33.606870000000001</v>
      </c>
      <c r="K23">
        <v>28.89537</v>
      </c>
      <c r="L23">
        <v>24.59573</v>
      </c>
      <c r="M23">
        <v>22.77102</v>
      </c>
      <c r="N23">
        <v>22.44595</v>
      </c>
    </row>
    <row r="24" spans="1:14" hidden="1" x14ac:dyDescent="0.35">
      <c r="A24" t="s">
        <v>579</v>
      </c>
      <c r="B24" t="s">
        <v>37</v>
      </c>
      <c r="C24" t="s">
        <v>35</v>
      </c>
      <c r="D24" t="s">
        <v>39</v>
      </c>
      <c r="E24" t="s">
        <v>585</v>
      </c>
      <c r="F24" t="s">
        <v>581</v>
      </c>
      <c r="G24" t="s">
        <v>396</v>
      </c>
      <c r="H24">
        <v>0.4035589</v>
      </c>
      <c r="I24">
        <v>0.35592600000000002</v>
      </c>
      <c r="J24">
        <v>0.31229859999999998</v>
      </c>
      <c r="K24">
        <v>0.28843289999999999</v>
      </c>
      <c r="L24">
        <v>0.25643009999999999</v>
      </c>
      <c r="M24">
        <v>0.22406300000000001</v>
      </c>
      <c r="N24">
        <v>0.1960028</v>
      </c>
    </row>
    <row r="25" spans="1:14" hidden="1" x14ac:dyDescent="0.35">
      <c r="A25" t="s">
        <v>579</v>
      </c>
      <c r="B25" t="s">
        <v>37</v>
      </c>
      <c r="C25" t="s">
        <v>35</v>
      </c>
      <c r="D25" t="s">
        <v>39</v>
      </c>
      <c r="E25" t="s">
        <v>585</v>
      </c>
      <c r="F25" t="s">
        <v>581</v>
      </c>
      <c r="G25" t="s">
        <v>25</v>
      </c>
      <c r="H25">
        <v>0.10089040000000001</v>
      </c>
      <c r="I25">
        <v>8.8980820000000002E-2</v>
      </c>
      <c r="J25">
        <v>7.8073970000000006E-2</v>
      </c>
      <c r="K25">
        <v>7.2112339999999997E-2</v>
      </c>
      <c r="L25">
        <v>6.4104110000000006E-2</v>
      </c>
      <c r="M25">
        <v>5.60137E-2</v>
      </c>
      <c r="N25">
        <v>4.9000000000000002E-2</v>
      </c>
    </row>
    <row r="26" spans="1:14" hidden="1" x14ac:dyDescent="0.35">
      <c r="A26" t="s">
        <v>579</v>
      </c>
      <c r="B26" t="s">
        <v>37</v>
      </c>
      <c r="C26" t="s">
        <v>35</v>
      </c>
      <c r="D26" t="s">
        <v>39</v>
      </c>
      <c r="E26" t="s">
        <v>585</v>
      </c>
      <c r="F26" t="s">
        <v>26</v>
      </c>
      <c r="G26" t="s">
        <v>26</v>
      </c>
      <c r="H26">
        <v>0.12611230000000001</v>
      </c>
      <c r="I26">
        <v>0.1112274</v>
      </c>
      <c r="J26">
        <v>9.7591780000000003E-2</v>
      </c>
      <c r="K26">
        <v>9.0134249999999999E-2</v>
      </c>
      <c r="L26">
        <v>8.0134250000000004E-2</v>
      </c>
      <c r="M26">
        <v>7.001918E-2</v>
      </c>
      <c r="N26">
        <v>6.1249320000000003E-2</v>
      </c>
    </row>
    <row r="27" spans="1:14" hidden="1" x14ac:dyDescent="0.35">
      <c r="A27" t="s">
        <v>579</v>
      </c>
      <c r="B27" t="s">
        <v>37</v>
      </c>
      <c r="C27" t="s">
        <v>35</v>
      </c>
      <c r="D27" t="s">
        <v>38</v>
      </c>
      <c r="E27" t="s">
        <v>584</v>
      </c>
      <c r="F27" t="s">
        <v>581</v>
      </c>
      <c r="G27" t="s">
        <v>396</v>
      </c>
      <c r="H27">
        <v>72.70138</v>
      </c>
      <c r="I27">
        <v>58.410670000000003</v>
      </c>
      <c r="J27">
        <v>47.083410000000001</v>
      </c>
      <c r="K27">
        <v>38.002850000000002</v>
      </c>
      <c r="L27">
        <v>30.363479999999999</v>
      </c>
      <c r="M27">
        <v>23.73648</v>
      </c>
      <c r="N27">
        <v>6.2173629999999998</v>
      </c>
    </row>
    <row r="28" spans="1:14" hidden="1" x14ac:dyDescent="0.35">
      <c r="A28" t="s">
        <v>579</v>
      </c>
      <c r="B28" t="s">
        <v>37</v>
      </c>
      <c r="C28" t="s">
        <v>35</v>
      </c>
      <c r="D28" t="s">
        <v>38</v>
      </c>
      <c r="E28" t="s">
        <v>584</v>
      </c>
      <c r="F28" t="s">
        <v>581</v>
      </c>
      <c r="G28" t="s">
        <v>24</v>
      </c>
      <c r="H28">
        <v>1.008219</v>
      </c>
      <c r="I28">
        <v>0.87627120000000003</v>
      </c>
      <c r="J28">
        <v>0.771289</v>
      </c>
      <c r="K28">
        <v>0.68489279999999997</v>
      </c>
      <c r="L28">
        <v>0.60661039999999999</v>
      </c>
      <c r="M28">
        <v>0.52809669999999997</v>
      </c>
      <c r="N28">
        <v>1.7935340000000001E-2</v>
      </c>
    </row>
    <row r="29" spans="1:14" hidden="1" x14ac:dyDescent="0.35">
      <c r="A29" t="s">
        <v>579</v>
      </c>
      <c r="B29" t="s">
        <v>37</v>
      </c>
      <c r="C29" t="s">
        <v>35</v>
      </c>
      <c r="D29" t="s">
        <v>38</v>
      </c>
      <c r="E29" t="s">
        <v>584</v>
      </c>
      <c r="F29" t="s">
        <v>581</v>
      </c>
      <c r="G29" t="s">
        <v>25</v>
      </c>
      <c r="H29">
        <v>20.11918</v>
      </c>
      <c r="I29">
        <v>19.308330000000002</v>
      </c>
      <c r="J29">
        <v>18.615400000000001</v>
      </c>
      <c r="K29">
        <v>17.976579999999998</v>
      </c>
      <c r="L29">
        <v>17.26735</v>
      </c>
      <c r="M29">
        <v>16.25488</v>
      </c>
      <c r="N29">
        <v>1.260934</v>
      </c>
    </row>
    <row r="30" spans="1:14" hidden="1" x14ac:dyDescent="0.35">
      <c r="A30" t="s">
        <v>579</v>
      </c>
      <c r="B30" t="s">
        <v>37</v>
      </c>
      <c r="C30" t="s">
        <v>35</v>
      </c>
      <c r="D30" t="s">
        <v>38</v>
      </c>
      <c r="E30" t="s">
        <v>584</v>
      </c>
      <c r="F30" t="s">
        <v>26</v>
      </c>
      <c r="G30" t="s">
        <v>26</v>
      </c>
      <c r="H30">
        <v>5.3465749999999996</v>
      </c>
      <c r="I30">
        <v>5.0169319999999997</v>
      </c>
      <c r="J30">
        <v>4.7162240000000004</v>
      </c>
      <c r="K30">
        <v>4.4373760000000004</v>
      </c>
      <c r="L30">
        <v>4.1528660000000004</v>
      </c>
      <c r="M30">
        <v>3.8357700000000001</v>
      </c>
      <c r="N30">
        <v>2.1736409999999999</v>
      </c>
    </row>
    <row r="31" spans="1:14" hidden="1" x14ac:dyDescent="0.35">
      <c r="A31" t="s">
        <v>579</v>
      </c>
      <c r="B31" t="s">
        <v>37</v>
      </c>
      <c r="C31" t="s">
        <v>35</v>
      </c>
      <c r="D31" t="s">
        <v>38</v>
      </c>
      <c r="E31" t="s">
        <v>586</v>
      </c>
      <c r="F31" t="s">
        <v>581</v>
      </c>
      <c r="G31" t="s">
        <v>396</v>
      </c>
      <c r="H31">
        <v>0.2849315</v>
      </c>
      <c r="I31">
        <v>0.2212247</v>
      </c>
      <c r="J31">
        <v>0.18600269999999999</v>
      </c>
      <c r="K31">
        <v>0.17583199999999999</v>
      </c>
      <c r="L31">
        <v>0.214589</v>
      </c>
      <c r="M31">
        <v>0.1759203</v>
      </c>
      <c r="N31">
        <v>0.1406299</v>
      </c>
    </row>
    <row r="32" spans="1:14" hidden="1" x14ac:dyDescent="0.35">
      <c r="A32" t="s">
        <v>579</v>
      </c>
      <c r="B32" t="s">
        <v>37</v>
      </c>
      <c r="C32" t="s">
        <v>35</v>
      </c>
      <c r="D32" t="s">
        <v>38</v>
      </c>
      <c r="E32" t="s">
        <v>586</v>
      </c>
      <c r="F32" t="s">
        <v>581</v>
      </c>
      <c r="G32" t="s">
        <v>25</v>
      </c>
      <c r="H32">
        <v>4.3835609999999997E-2</v>
      </c>
      <c r="I32">
        <v>3.7926029999999999E-2</v>
      </c>
      <c r="J32">
        <v>3.1884929999999999E-2</v>
      </c>
      <c r="K32">
        <v>3.01441E-2</v>
      </c>
      <c r="L32">
        <v>3.6786850000000003E-2</v>
      </c>
      <c r="M32">
        <v>3.0159180000000001E-2</v>
      </c>
      <c r="N32">
        <v>2.4107130000000001E-2</v>
      </c>
    </row>
    <row r="33" spans="1:14" hidden="1" x14ac:dyDescent="0.35">
      <c r="A33" t="s">
        <v>579</v>
      </c>
      <c r="B33" t="s">
        <v>37</v>
      </c>
      <c r="C33" t="s">
        <v>35</v>
      </c>
      <c r="D33" t="s">
        <v>38</v>
      </c>
      <c r="E33" t="s">
        <v>586</v>
      </c>
      <c r="F33" t="s">
        <v>26</v>
      </c>
      <c r="G33" t="s">
        <v>26</v>
      </c>
      <c r="H33">
        <v>2.1917809999999999E-2</v>
      </c>
      <c r="I33">
        <v>5.6887680000000003E-2</v>
      </c>
      <c r="J33">
        <v>4.7830129999999998E-2</v>
      </c>
      <c r="K33">
        <v>4.5212879999999997E-2</v>
      </c>
      <c r="L33">
        <v>5.5180550000000002E-2</v>
      </c>
      <c r="M33">
        <v>4.5236169999999999E-2</v>
      </c>
      <c r="N33">
        <v>3.6162180000000002E-2</v>
      </c>
    </row>
    <row r="34" spans="1:14" hidden="1" x14ac:dyDescent="0.35">
      <c r="A34" t="s">
        <v>579</v>
      </c>
      <c r="B34" t="s">
        <v>37</v>
      </c>
      <c r="C34" t="s">
        <v>35</v>
      </c>
      <c r="D34" t="s">
        <v>190</v>
      </c>
      <c r="E34" t="s">
        <v>584</v>
      </c>
      <c r="F34" t="s">
        <v>581</v>
      </c>
      <c r="G34" t="s">
        <v>396</v>
      </c>
      <c r="H34">
        <v>42.980820000000001</v>
      </c>
      <c r="I34">
        <v>33.764249999999997</v>
      </c>
      <c r="J34">
        <v>31.236689999999999</v>
      </c>
      <c r="K34">
        <v>28.734169999999999</v>
      </c>
      <c r="L34">
        <v>25.920020000000001</v>
      </c>
      <c r="M34">
        <v>22.940930000000002</v>
      </c>
      <c r="N34">
        <v>20.267600000000002</v>
      </c>
    </row>
    <row r="35" spans="1:14" hidden="1" x14ac:dyDescent="0.35">
      <c r="A35" t="s">
        <v>579</v>
      </c>
      <c r="B35" t="s">
        <v>37</v>
      </c>
      <c r="C35" t="s">
        <v>35</v>
      </c>
      <c r="D35" t="s">
        <v>190</v>
      </c>
      <c r="E35" t="s">
        <v>584</v>
      </c>
      <c r="F35" t="s">
        <v>581</v>
      </c>
      <c r="G35" t="s">
        <v>25</v>
      </c>
      <c r="H35">
        <v>9.3150659999999998</v>
      </c>
      <c r="I35">
        <v>7.1171949999999997</v>
      </c>
      <c r="J35">
        <v>6.6564819999999996</v>
      </c>
      <c r="K35">
        <v>6.1415620000000004</v>
      </c>
      <c r="L35">
        <v>5.5488340000000003</v>
      </c>
      <c r="M35">
        <v>4.9204749999999997</v>
      </c>
      <c r="N35">
        <v>4.3477709999999998</v>
      </c>
    </row>
    <row r="36" spans="1:14" hidden="1" x14ac:dyDescent="0.35">
      <c r="A36" t="s">
        <v>579</v>
      </c>
      <c r="B36" t="s">
        <v>37</v>
      </c>
      <c r="C36" t="s">
        <v>35</v>
      </c>
      <c r="D36" t="s">
        <v>190</v>
      </c>
      <c r="E36" t="s">
        <v>584</v>
      </c>
      <c r="F36" t="s">
        <v>26</v>
      </c>
      <c r="G36" t="s">
        <v>26</v>
      </c>
      <c r="H36">
        <v>1.950685</v>
      </c>
      <c r="I36">
        <v>5.6957779999999998</v>
      </c>
      <c r="J36">
        <v>5.312036</v>
      </c>
      <c r="K36">
        <v>4.8965329999999998</v>
      </c>
      <c r="L36">
        <v>4.4217849999999999</v>
      </c>
      <c r="M36">
        <v>3.918364</v>
      </c>
      <c r="N36">
        <v>3.4620989999999998</v>
      </c>
    </row>
    <row r="37" spans="1:14" hidden="1" x14ac:dyDescent="0.35">
      <c r="A37" t="s">
        <v>579</v>
      </c>
      <c r="B37" t="s">
        <v>37</v>
      </c>
      <c r="C37" t="s">
        <v>35</v>
      </c>
      <c r="D37" t="s">
        <v>163</v>
      </c>
      <c r="E37" t="s">
        <v>580</v>
      </c>
      <c r="F37" t="s">
        <v>581</v>
      </c>
      <c r="G37" t="s">
        <v>396</v>
      </c>
      <c r="H37">
        <v>23.189260000000001</v>
      </c>
      <c r="I37">
        <v>25.003070000000001</v>
      </c>
      <c r="J37">
        <v>26.36665</v>
      </c>
      <c r="K37">
        <v>26.573029999999999</v>
      </c>
      <c r="L37">
        <v>25.742920000000002</v>
      </c>
      <c r="M37">
        <v>26.181519999999999</v>
      </c>
      <c r="N37">
        <v>27.387630000000001</v>
      </c>
    </row>
    <row r="38" spans="1:14" hidden="1" x14ac:dyDescent="0.35">
      <c r="A38" t="s">
        <v>579</v>
      </c>
      <c r="B38" t="s">
        <v>37</v>
      </c>
      <c r="C38" t="s">
        <v>35</v>
      </c>
      <c r="D38" t="s">
        <v>163</v>
      </c>
      <c r="E38" t="s">
        <v>580</v>
      </c>
      <c r="F38" t="s">
        <v>581</v>
      </c>
      <c r="G38" t="s">
        <v>25</v>
      </c>
      <c r="H38">
        <v>7.6143830000000001</v>
      </c>
      <c r="I38">
        <v>8.189387</v>
      </c>
      <c r="J38">
        <v>8.6577079999999995</v>
      </c>
      <c r="K38">
        <v>8.7254740000000002</v>
      </c>
      <c r="L38">
        <v>8.4528979999999994</v>
      </c>
      <c r="M38">
        <v>8.5969130000000007</v>
      </c>
      <c r="N38">
        <v>8.9929539999999992</v>
      </c>
    </row>
    <row r="39" spans="1:14" hidden="1" x14ac:dyDescent="0.35">
      <c r="A39" t="s">
        <v>579</v>
      </c>
      <c r="B39" t="s">
        <v>37</v>
      </c>
      <c r="C39" t="s">
        <v>35</v>
      </c>
      <c r="D39" t="s">
        <v>163</v>
      </c>
      <c r="E39" t="s">
        <v>580</v>
      </c>
      <c r="F39" t="s">
        <v>26</v>
      </c>
      <c r="G39" t="s">
        <v>26</v>
      </c>
      <c r="H39">
        <v>3.8071920000000001</v>
      </c>
      <c r="I39">
        <v>4.0946939999999996</v>
      </c>
      <c r="J39">
        <v>4.3288549999999999</v>
      </c>
      <c r="K39">
        <v>4.3627349999999998</v>
      </c>
      <c r="L39">
        <v>4.2264480000000004</v>
      </c>
      <c r="M39">
        <v>4.2984580000000001</v>
      </c>
      <c r="N39">
        <v>4.4964789999999999</v>
      </c>
    </row>
    <row r="40" spans="1:14" hidden="1" x14ac:dyDescent="0.35">
      <c r="A40" t="s">
        <v>579</v>
      </c>
      <c r="B40" t="s">
        <v>37</v>
      </c>
      <c r="C40" t="s">
        <v>35</v>
      </c>
      <c r="D40" t="s">
        <v>36</v>
      </c>
      <c r="E40" t="s">
        <v>587</v>
      </c>
      <c r="F40" t="s">
        <v>581</v>
      </c>
      <c r="G40" t="s">
        <v>396</v>
      </c>
      <c r="H40">
        <v>11.86411</v>
      </c>
      <c r="I40">
        <v>10.24053</v>
      </c>
      <c r="J40">
        <v>9.2989350000000002</v>
      </c>
      <c r="K40">
        <v>8.3159650000000003</v>
      </c>
      <c r="L40">
        <v>7.2922029999999998</v>
      </c>
      <c r="M40">
        <v>6.425357</v>
      </c>
      <c r="N40">
        <v>5.6359310000000002</v>
      </c>
    </row>
    <row r="41" spans="1:14" hidden="1" x14ac:dyDescent="0.35">
      <c r="A41" t="s">
        <v>579</v>
      </c>
      <c r="B41" t="s">
        <v>37</v>
      </c>
      <c r="C41" t="s">
        <v>35</v>
      </c>
      <c r="D41" t="s">
        <v>36</v>
      </c>
      <c r="E41" t="s">
        <v>587</v>
      </c>
      <c r="F41" t="s">
        <v>581</v>
      </c>
      <c r="G41" t="s">
        <v>25</v>
      </c>
      <c r="H41">
        <v>4.8657560000000002</v>
      </c>
      <c r="I41">
        <v>4.2611749999999997</v>
      </c>
      <c r="J41">
        <v>3.8745590000000001</v>
      </c>
      <c r="K41">
        <v>3.4649890000000001</v>
      </c>
      <c r="L41">
        <v>3.0384169999999999</v>
      </c>
      <c r="M41">
        <v>2.6772300000000002</v>
      </c>
      <c r="N41">
        <v>2.3483100000000001</v>
      </c>
    </row>
    <row r="42" spans="1:14" hidden="1" x14ac:dyDescent="0.35">
      <c r="A42" t="s">
        <v>579</v>
      </c>
      <c r="B42" t="s">
        <v>37</v>
      </c>
      <c r="C42" t="s">
        <v>35</v>
      </c>
      <c r="D42" t="s">
        <v>36</v>
      </c>
      <c r="E42" t="s">
        <v>587</v>
      </c>
      <c r="F42" t="s">
        <v>26</v>
      </c>
      <c r="G42" t="s">
        <v>26</v>
      </c>
      <c r="H42">
        <v>0.94904109999999997</v>
      </c>
      <c r="I42">
        <v>2.5567069999999998</v>
      </c>
      <c r="J42">
        <v>2.3247339999999999</v>
      </c>
      <c r="K42">
        <v>2.078992</v>
      </c>
      <c r="L42">
        <v>1.8230519999999999</v>
      </c>
      <c r="M42">
        <v>1.6063400000000001</v>
      </c>
      <c r="N42">
        <v>1.408981</v>
      </c>
    </row>
    <row r="43" spans="1:14" hidden="1" x14ac:dyDescent="0.35">
      <c r="A43" t="s">
        <v>579</v>
      </c>
      <c r="B43" t="s">
        <v>37</v>
      </c>
      <c r="C43" t="s">
        <v>35</v>
      </c>
      <c r="D43" t="s">
        <v>36</v>
      </c>
      <c r="E43" t="s">
        <v>588</v>
      </c>
      <c r="F43" t="s">
        <v>581</v>
      </c>
      <c r="G43" t="s">
        <v>396</v>
      </c>
      <c r="H43">
        <v>8.4686559999999993</v>
      </c>
      <c r="I43">
        <v>8.1753730000000004</v>
      </c>
      <c r="J43">
        <v>6.8662359999999998</v>
      </c>
      <c r="K43">
        <v>5.699211</v>
      </c>
      <c r="L43">
        <v>4.854425</v>
      </c>
      <c r="M43">
        <v>4.2265069999999998</v>
      </c>
      <c r="N43">
        <v>3.6911149999999999</v>
      </c>
    </row>
    <row r="44" spans="1:14" hidden="1" x14ac:dyDescent="0.35">
      <c r="A44" t="s">
        <v>579</v>
      </c>
      <c r="B44" t="s">
        <v>37</v>
      </c>
      <c r="C44" t="s">
        <v>35</v>
      </c>
      <c r="D44" t="s">
        <v>36</v>
      </c>
      <c r="E44" t="s">
        <v>588</v>
      </c>
      <c r="F44" t="s">
        <v>581</v>
      </c>
      <c r="G44" t="s">
        <v>25</v>
      </c>
      <c r="H44">
        <v>1.693732</v>
      </c>
      <c r="I44">
        <v>1.635068</v>
      </c>
      <c r="J44">
        <v>1.3732470000000001</v>
      </c>
      <c r="K44">
        <v>1.1398440000000001</v>
      </c>
      <c r="L44">
        <v>0.97088209999999997</v>
      </c>
      <c r="M44">
        <v>0.84530130000000003</v>
      </c>
      <c r="N44">
        <v>0.73822460000000001</v>
      </c>
    </row>
    <row r="45" spans="1:14" hidden="1" x14ac:dyDescent="0.35">
      <c r="A45" t="s">
        <v>579</v>
      </c>
      <c r="B45" t="s">
        <v>37</v>
      </c>
      <c r="C45" t="s">
        <v>35</v>
      </c>
      <c r="D45" t="s">
        <v>36</v>
      </c>
      <c r="E45" t="s">
        <v>588</v>
      </c>
      <c r="F45" t="s">
        <v>26</v>
      </c>
      <c r="G45" t="s">
        <v>26</v>
      </c>
      <c r="H45">
        <v>2.8663150000000002</v>
      </c>
      <c r="I45">
        <v>2.7670499999999998</v>
      </c>
      <c r="J45">
        <v>2.3239559999999999</v>
      </c>
      <c r="K45">
        <v>1.9289639999999999</v>
      </c>
      <c r="L45">
        <v>1.6430359999999999</v>
      </c>
      <c r="M45">
        <v>1.4305099999999999</v>
      </c>
      <c r="N45">
        <v>1.249301</v>
      </c>
    </row>
    <row r="46" spans="1:14" hidden="1" x14ac:dyDescent="0.35">
      <c r="A46" t="s">
        <v>579</v>
      </c>
      <c r="B46" t="s">
        <v>37</v>
      </c>
      <c r="C46" t="s">
        <v>35</v>
      </c>
      <c r="D46" t="s">
        <v>36</v>
      </c>
      <c r="E46" t="s">
        <v>589</v>
      </c>
      <c r="F46" t="s">
        <v>581</v>
      </c>
      <c r="G46" t="s">
        <v>396</v>
      </c>
      <c r="H46">
        <v>0</v>
      </c>
      <c r="I46">
        <v>0.56079829999999997</v>
      </c>
      <c r="J46">
        <v>2.3905949999999998</v>
      </c>
      <c r="K46">
        <v>2.896064</v>
      </c>
      <c r="L46">
        <v>3.2768259999999998</v>
      </c>
      <c r="M46">
        <v>3.2345449999999998</v>
      </c>
      <c r="N46">
        <v>3.2429359999999998</v>
      </c>
    </row>
    <row r="47" spans="1:14" hidden="1" x14ac:dyDescent="0.35">
      <c r="A47" t="s">
        <v>579</v>
      </c>
      <c r="B47" t="s">
        <v>37</v>
      </c>
      <c r="C47" t="s">
        <v>35</v>
      </c>
      <c r="D47" t="s">
        <v>36</v>
      </c>
      <c r="E47" t="s">
        <v>589</v>
      </c>
      <c r="F47" t="s">
        <v>581</v>
      </c>
      <c r="G47" t="s">
        <v>25</v>
      </c>
      <c r="H47">
        <v>0</v>
      </c>
      <c r="I47">
        <v>7.0095889999999994E-2</v>
      </c>
      <c r="J47">
        <v>0.2988247</v>
      </c>
      <c r="K47">
        <v>0.3620099</v>
      </c>
      <c r="L47">
        <v>0.40960659999999999</v>
      </c>
      <c r="M47">
        <v>0.4043176</v>
      </c>
      <c r="N47">
        <v>0.40536610000000001</v>
      </c>
    </row>
    <row r="48" spans="1:14" hidden="1" x14ac:dyDescent="0.35">
      <c r="A48" t="s">
        <v>579</v>
      </c>
      <c r="B48" t="s">
        <v>37</v>
      </c>
      <c r="C48" t="s">
        <v>35</v>
      </c>
      <c r="D48" t="s">
        <v>36</v>
      </c>
      <c r="E48" t="s">
        <v>589</v>
      </c>
      <c r="F48" t="s">
        <v>26</v>
      </c>
      <c r="G48" t="s">
        <v>26</v>
      </c>
      <c r="H48">
        <v>0</v>
      </c>
      <c r="I48">
        <v>7.0099460000000002E-2</v>
      </c>
      <c r="J48">
        <v>0.29882550000000002</v>
      </c>
      <c r="K48">
        <v>0.36200520000000003</v>
      </c>
      <c r="L48">
        <v>0.40960390000000002</v>
      </c>
      <c r="M48">
        <v>0.4043175</v>
      </c>
      <c r="N48">
        <v>0.40536689999999997</v>
      </c>
    </row>
    <row r="49" spans="1:14" hidden="1" x14ac:dyDescent="0.35">
      <c r="A49" t="s">
        <v>579</v>
      </c>
      <c r="B49" t="s">
        <v>37</v>
      </c>
      <c r="C49" t="s">
        <v>35</v>
      </c>
      <c r="D49" t="s">
        <v>189</v>
      </c>
      <c r="E49" t="s">
        <v>590</v>
      </c>
      <c r="F49" t="s">
        <v>581</v>
      </c>
      <c r="G49" t="s">
        <v>396</v>
      </c>
      <c r="H49">
        <v>12.535450000000001</v>
      </c>
      <c r="I49">
        <v>11.73781</v>
      </c>
      <c r="J49">
        <v>11.55077</v>
      </c>
      <c r="K49">
        <v>10.71996</v>
      </c>
      <c r="L49">
        <v>10.13485</v>
      </c>
      <c r="M49">
        <v>9.9554089999999995</v>
      </c>
      <c r="N49">
        <v>9.8894439999999992</v>
      </c>
    </row>
    <row r="50" spans="1:14" hidden="1" x14ac:dyDescent="0.35">
      <c r="A50" t="s">
        <v>579</v>
      </c>
      <c r="B50" t="s">
        <v>37</v>
      </c>
      <c r="C50" t="s">
        <v>35</v>
      </c>
      <c r="D50" t="s">
        <v>189</v>
      </c>
      <c r="E50" t="s">
        <v>590</v>
      </c>
      <c r="F50" t="s">
        <v>581</v>
      </c>
      <c r="G50" t="s">
        <v>25</v>
      </c>
      <c r="H50">
        <v>4.1025130000000001</v>
      </c>
      <c r="I50">
        <v>3.8478460000000001</v>
      </c>
      <c r="J50">
        <v>3.8571059999999999</v>
      </c>
      <c r="K50">
        <v>3.602983</v>
      </c>
      <c r="L50">
        <v>3.4245130000000001</v>
      </c>
      <c r="M50">
        <v>3.3984570000000001</v>
      </c>
      <c r="N50">
        <v>3.4082889999999999</v>
      </c>
    </row>
    <row r="51" spans="1:14" hidden="1" x14ac:dyDescent="0.35">
      <c r="A51" t="s">
        <v>579</v>
      </c>
      <c r="B51" t="s">
        <v>37</v>
      </c>
      <c r="C51" t="s">
        <v>35</v>
      </c>
      <c r="D51" t="s">
        <v>189</v>
      </c>
      <c r="E51" t="s">
        <v>590</v>
      </c>
      <c r="F51" t="s">
        <v>26</v>
      </c>
      <c r="G51" t="s">
        <v>26</v>
      </c>
      <c r="H51">
        <v>6.1537670000000002</v>
      </c>
      <c r="I51">
        <v>5.7355799999999997</v>
      </c>
      <c r="J51">
        <v>5.5935189999999997</v>
      </c>
      <c r="K51">
        <v>5.1678959999999998</v>
      </c>
      <c r="L51">
        <v>4.8676300000000001</v>
      </c>
      <c r="M51">
        <v>4.7468789999999998</v>
      </c>
      <c r="N51">
        <v>4.6830730000000003</v>
      </c>
    </row>
    <row r="52" spans="1:14" hidden="1" x14ac:dyDescent="0.35">
      <c r="A52" t="s">
        <v>579</v>
      </c>
      <c r="B52" t="s">
        <v>37</v>
      </c>
      <c r="C52" t="s">
        <v>35</v>
      </c>
      <c r="D52" t="s">
        <v>189</v>
      </c>
      <c r="E52" t="s">
        <v>586</v>
      </c>
      <c r="F52" t="s">
        <v>581</v>
      </c>
      <c r="G52" t="s">
        <v>396</v>
      </c>
      <c r="H52">
        <v>3.3139719999999998E-2</v>
      </c>
      <c r="I52">
        <v>2.9238360000000001E-2</v>
      </c>
      <c r="J52">
        <v>2.565479E-2</v>
      </c>
      <c r="K52">
        <v>4.819151E-2</v>
      </c>
      <c r="L52">
        <v>6.7819729999999995E-2</v>
      </c>
      <c r="M52">
        <v>5.0400830000000001E-2</v>
      </c>
      <c r="N52">
        <v>3.809974E-2</v>
      </c>
    </row>
    <row r="53" spans="1:14" hidden="1" x14ac:dyDescent="0.35">
      <c r="A53" t="s">
        <v>579</v>
      </c>
      <c r="B53" t="s">
        <v>37</v>
      </c>
      <c r="C53" t="s">
        <v>35</v>
      </c>
      <c r="D53" t="s">
        <v>189</v>
      </c>
      <c r="E53" t="s">
        <v>586</v>
      </c>
      <c r="F53" t="s">
        <v>581</v>
      </c>
      <c r="G53" t="s">
        <v>25</v>
      </c>
      <c r="H53">
        <v>1.104658E-2</v>
      </c>
      <c r="I53">
        <v>9.7452049999999998E-3</v>
      </c>
      <c r="J53">
        <v>8.5506850000000006E-3</v>
      </c>
      <c r="K53">
        <v>1.6064930000000002E-2</v>
      </c>
      <c r="L53">
        <v>2.260301E-2</v>
      </c>
      <c r="M53">
        <v>1.6800269999999999E-2</v>
      </c>
      <c r="N53">
        <v>1.269781E-2</v>
      </c>
    </row>
    <row r="54" spans="1:14" hidden="1" x14ac:dyDescent="0.35">
      <c r="A54" t="s">
        <v>579</v>
      </c>
      <c r="B54" t="s">
        <v>37</v>
      </c>
      <c r="C54" t="s">
        <v>35</v>
      </c>
      <c r="D54" t="s">
        <v>189</v>
      </c>
      <c r="E54" t="s">
        <v>586</v>
      </c>
      <c r="F54" t="s">
        <v>26</v>
      </c>
      <c r="G54" t="s">
        <v>26</v>
      </c>
      <c r="H54">
        <v>1.104658E-2</v>
      </c>
      <c r="I54">
        <v>9.7452049999999998E-3</v>
      </c>
      <c r="J54">
        <v>8.5506850000000006E-3</v>
      </c>
      <c r="K54">
        <v>1.606411E-2</v>
      </c>
      <c r="L54">
        <v>2.2606580000000001E-2</v>
      </c>
      <c r="M54">
        <v>1.6800269999999999E-2</v>
      </c>
      <c r="N54">
        <v>1.270055E-2</v>
      </c>
    </row>
    <row r="55" spans="1:14" hidden="1" x14ac:dyDescent="0.35">
      <c r="A55" t="s">
        <v>579</v>
      </c>
      <c r="B55" t="s">
        <v>37</v>
      </c>
      <c r="C55" t="s">
        <v>35</v>
      </c>
      <c r="D55" t="s">
        <v>207</v>
      </c>
      <c r="E55" t="s">
        <v>591</v>
      </c>
      <c r="F55" t="s">
        <v>581</v>
      </c>
      <c r="G55" t="s">
        <v>396</v>
      </c>
      <c r="H55">
        <v>1.9311510000000001</v>
      </c>
      <c r="I55">
        <v>1.8803449999999999</v>
      </c>
      <c r="J55">
        <v>1.7715959999999999</v>
      </c>
      <c r="K55">
        <v>1.7190840000000001</v>
      </c>
      <c r="L55">
        <v>1.5070570000000001</v>
      </c>
      <c r="M55">
        <v>1.2376830000000001</v>
      </c>
      <c r="N55">
        <v>1.053366</v>
      </c>
    </row>
    <row r="56" spans="1:14" hidden="1" x14ac:dyDescent="0.35">
      <c r="A56" t="s">
        <v>579</v>
      </c>
      <c r="B56" t="s">
        <v>37</v>
      </c>
      <c r="C56" t="s">
        <v>35</v>
      </c>
      <c r="D56" t="s">
        <v>207</v>
      </c>
      <c r="E56" t="s">
        <v>591</v>
      </c>
      <c r="F56" t="s">
        <v>581</v>
      </c>
      <c r="G56" t="s">
        <v>25</v>
      </c>
      <c r="H56">
        <v>0.683948</v>
      </c>
      <c r="I56">
        <v>0.66568609999999995</v>
      </c>
      <c r="J56">
        <v>0.62743729999999998</v>
      </c>
      <c r="K56">
        <v>0.60884389999999999</v>
      </c>
      <c r="L56">
        <v>0.53374869999999996</v>
      </c>
      <c r="M56">
        <v>0.43834879999999998</v>
      </c>
      <c r="N56">
        <v>0.37306630000000002</v>
      </c>
    </row>
    <row r="57" spans="1:14" hidden="1" x14ac:dyDescent="0.35">
      <c r="A57" t="s">
        <v>579</v>
      </c>
      <c r="B57" t="s">
        <v>37</v>
      </c>
      <c r="C57" t="s">
        <v>35</v>
      </c>
      <c r="D57" t="s">
        <v>207</v>
      </c>
      <c r="E57" t="s">
        <v>591</v>
      </c>
      <c r="F57" t="s">
        <v>26</v>
      </c>
      <c r="G57" t="s">
        <v>26</v>
      </c>
      <c r="H57">
        <v>0.68394790000000005</v>
      </c>
      <c r="I57">
        <v>0.66568579999999999</v>
      </c>
      <c r="J57">
        <v>0.62743910000000003</v>
      </c>
      <c r="K57">
        <v>0.60884199999999999</v>
      </c>
      <c r="L57">
        <v>0.53374869999999996</v>
      </c>
      <c r="M57">
        <v>0.43834410000000001</v>
      </c>
      <c r="N57">
        <v>0.37306549999999999</v>
      </c>
    </row>
    <row r="58" spans="1:14" hidden="1" x14ac:dyDescent="0.35">
      <c r="A58" t="s">
        <v>579</v>
      </c>
      <c r="B58" t="s">
        <v>37</v>
      </c>
      <c r="C58" t="s">
        <v>35</v>
      </c>
      <c r="D58" t="s">
        <v>207</v>
      </c>
      <c r="E58" t="s">
        <v>592</v>
      </c>
      <c r="F58" t="s">
        <v>581</v>
      </c>
      <c r="G58" t="s">
        <v>396</v>
      </c>
      <c r="H58">
        <v>9.802466E-2</v>
      </c>
      <c r="I58">
        <v>8.4846569999999996E-2</v>
      </c>
      <c r="J58">
        <v>7.4254799999999996E-2</v>
      </c>
      <c r="K58">
        <v>6.534247E-2</v>
      </c>
      <c r="L58">
        <v>9.1905749999999994E-2</v>
      </c>
      <c r="M58">
        <v>8.2133159999999997E-2</v>
      </c>
      <c r="N58">
        <v>6.3665490000000005E-2</v>
      </c>
    </row>
    <row r="59" spans="1:14" hidden="1" x14ac:dyDescent="0.35">
      <c r="A59" t="s">
        <v>579</v>
      </c>
      <c r="B59" t="s">
        <v>37</v>
      </c>
      <c r="C59" t="s">
        <v>35</v>
      </c>
      <c r="D59" t="s">
        <v>207</v>
      </c>
      <c r="E59" t="s">
        <v>592</v>
      </c>
      <c r="F59" t="s">
        <v>581</v>
      </c>
      <c r="G59" t="s">
        <v>25</v>
      </c>
      <c r="H59">
        <v>1.7854789999999999E-2</v>
      </c>
      <c r="I59">
        <v>1.545479E-2</v>
      </c>
      <c r="J59">
        <v>1.352603E-2</v>
      </c>
      <c r="K59">
        <v>1.190137E-2</v>
      </c>
      <c r="L59">
        <v>1.6739730000000001E-2</v>
      </c>
      <c r="M59">
        <v>1.496274E-2</v>
      </c>
      <c r="N59">
        <v>1.159425E-2</v>
      </c>
    </row>
    <row r="60" spans="1:14" hidden="1" x14ac:dyDescent="0.35">
      <c r="A60" t="s">
        <v>579</v>
      </c>
      <c r="B60" t="s">
        <v>37</v>
      </c>
      <c r="C60" t="s">
        <v>35</v>
      </c>
      <c r="D60" t="s">
        <v>207</v>
      </c>
      <c r="E60" t="s">
        <v>592</v>
      </c>
      <c r="F60" t="s">
        <v>26</v>
      </c>
      <c r="G60" t="s">
        <v>26</v>
      </c>
      <c r="H60">
        <v>2.678082E-2</v>
      </c>
      <c r="I60">
        <v>2.3180820000000001E-2</v>
      </c>
      <c r="J60">
        <v>2.0287670000000001E-2</v>
      </c>
      <c r="K60">
        <v>1.7852050000000001E-2</v>
      </c>
      <c r="L60">
        <v>2.5109590000000001E-2</v>
      </c>
      <c r="M60">
        <v>2.2441369999999999E-2</v>
      </c>
      <c r="N60">
        <v>1.739315E-2</v>
      </c>
    </row>
    <row r="61" spans="1:14" hidden="1" x14ac:dyDescent="0.35">
      <c r="A61" t="s">
        <v>579</v>
      </c>
      <c r="B61" t="s">
        <v>37</v>
      </c>
      <c r="C61" t="s">
        <v>35</v>
      </c>
      <c r="D61" t="s">
        <v>207</v>
      </c>
      <c r="E61" t="s">
        <v>586</v>
      </c>
      <c r="F61" t="s">
        <v>581</v>
      </c>
      <c r="G61" t="s">
        <v>25</v>
      </c>
      <c r="M61">
        <v>0</v>
      </c>
      <c r="N61">
        <v>-1.5947299999999999E-11</v>
      </c>
    </row>
    <row r="62" spans="1:14" hidden="1" x14ac:dyDescent="0.35">
      <c r="A62" t="s">
        <v>579</v>
      </c>
      <c r="B62" t="s">
        <v>37</v>
      </c>
      <c r="C62" t="s">
        <v>35</v>
      </c>
      <c r="D62" t="s">
        <v>207</v>
      </c>
      <c r="E62" t="s">
        <v>586</v>
      </c>
      <c r="F62" t="s">
        <v>26</v>
      </c>
      <c r="G62" t="s">
        <v>26</v>
      </c>
      <c r="M62">
        <v>0</v>
      </c>
      <c r="N62">
        <v>0</v>
      </c>
    </row>
    <row r="63" spans="1:14" hidden="1" x14ac:dyDescent="0.35">
      <c r="A63" t="s">
        <v>579</v>
      </c>
      <c r="B63" t="s">
        <v>37</v>
      </c>
      <c r="C63" t="s">
        <v>35</v>
      </c>
      <c r="D63" t="s">
        <v>233</v>
      </c>
      <c r="E63" t="s">
        <v>588</v>
      </c>
      <c r="F63" t="s">
        <v>581</v>
      </c>
      <c r="G63" t="s">
        <v>396</v>
      </c>
      <c r="H63">
        <v>0</v>
      </c>
      <c r="I63">
        <v>0.2114964</v>
      </c>
      <c r="J63">
        <v>0.78837120000000005</v>
      </c>
      <c r="K63">
        <v>1.0728580000000001</v>
      </c>
      <c r="L63">
        <v>1.804065</v>
      </c>
      <c r="M63">
        <v>1.9713069999999999</v>
      </c>
      <c r="N63">
        <v>2.211379</v>
      </c>
    </row>
    <row r="64" spans="1:14" hidden="1" x14ac:dyDescent="0.35">
      <c r="A64" t="s">
        <v>579</v>
      </c>
      <c r="B64" t="s">
        <v>37</v>
      </c>
      <c r="C64" t="s">
        <v>35</v>
      </c>
      <c r="D64" t="s">
        <v>233</v>
      </c>
      <c r="E64" t="s">
        <v>588</v>
      </c>
      <c r="F64" t="s">
        <v>581</v>
      </c>
      <c r="G64" t="s">
        <v>25</v>
      </c>
      <c r="H64">
        <v>0</v>
      </c>
      <c r="I64">
        <v>2.6438630000000001E-2</v>
      </c>
      <c r="J64">
        <v>9.8547670000000004E-2</v>
      </c>
      <c r="K64">
        <v>0.13410710000000001</v>
      </c>
      <c r="L64">
        <v>0.22550819999999999</v>
      </c>
      <c r="M64">
        <v>0.2464181</v>
      </c>
      <c r="N64">
        <v>0.276422</v>
      </c>
    </row>
    <row r="65" spans="1:14" hidden="1" x14ac:dyDescent="0.35">
      <c r="A65" t="s">
        <v>579</v>
      </c>
      <c r="B65" t="s">
        <v>37</v>
      </c>
      <c r="C65" t="s">
        <v>35</v>
      </c>
      <c r="D65" t="s">
        <v>233</v>
      </c>
      <c r="E65" t="s">
        <v>588</v>
      </c>
      <c r="F65" t="s">
        <v>26</v>
      </c>
      <c r="G65" t="s">
        <v>26</v>
      </c>
      <c r="H65">
        <v>0</v>
      </c>
      <c r="I65">
        <v>2.6437809999999999E-2</v>
      </c>
      <c r="J65">
        <v>9.8548490000000002E-2</v>
      </c>
      <c r="K65">
        <v>0.1341099</v>
      </c>
      <c r="L65">
        <v>0.22551009999999999</v>
      </c>
      <c r="M65">
        <v>0.24641370000000001</v>
      </c>
      <c r="N65">
        <v>0.27642109999999998</v>
      </c>
    </row>
    <row r="66" spans="1:14" hidden="1" x14ac:dyDescent="0.35">
      <c r="A66" t="s">
        <v>579</v>
      </c>
      <c r="B66" t="s">
        <v>37</v>
      </c>
      <c r="C66" t="s">
        <v>218</v>
      </c>
      <c r="D66" t="s">
        <v>218</v>
      </c>
      <c r="E66" t="s">
        <v>593</v>
      </c>
      <c r="F66" t="s">
        <v>581</v>
      </c>
      <c r="G66" t="s">
        <v>396</v>
      </c>
      <c r="H66">
        <v>94.686210000000003</v>
      </c>
      <c r="I66">
        <v>74.466989999999996</v>
      </c>
      <c r="J66">
        <v>73.011669999999995</v>
      </c>
      <c r="K66">
        <v>68.16404</v>
      </c>
      <c r="L66">
        <v>58.841349999999998</v>
      </c>
      <c r="M66">
        <v>53.918570000000003</v>
      </c>
      <c r="N66">
        <v>52.145899999999997</v>
      </c>
    </row>
    <row r="67" spans="1:14" hidden="1" x14ac:dyDescent="0.35">
      <c r="A67" t="s">
        <v>579</v>
      </c>
      <c r="B67" t="s">
        <v>37</v>
      </c>
      <c r="C67" t="s">
        <v>218</v>
      </c>
      <c r="D67" t="s">
        <v>218</v>
      </c>
      <c r="E67" t="s">
        <v>593</v>
      </c>
      <c r="F67" t="s">
        <v>581</v>
      </c>
      <c r="G67" t="s">
        <v>24</v>
      </c>
      <c r="H67">
        <v>10.198309999999999</v>
      </c>
      <c r="I67">
        <v>28.019590000000001</v>
      </c>
      <c r="J67">
        <v>30.15981</v>
      </c>
      <c r="K67">
        <v>28.129359999999998</v>
      </c>
      <c r="L67">
        <v>24.249759999999998</v>
      </c>
      <c r="M67">
        <v>22.143730000000001</v>
      </c>
      <c r="N67">
        <v>21.345479999999998</v>
      </c>
    </row>
    <row r="68" spans="1:14" hidden="1" x14ac:dyDescent="0.35">
      <c r="A68" t="s">
        <v>579</v>
      </c>
      <c r="B68" t="s">
        <v>37</v>
      </c>
      <c r="C68" t="s">
        <v>218</v>
      </c>
      <c r="D68" t="s">
        <v>218</v>
      </c>
      <c r="E68" t="s">
        <v>593</v>
      </c>
      <c r="F68" t="s">
        <v>581</v>
      </c>
      <c r="G68" t="s">
        <v>25</v>
      </c>
      <c r="H68">
        <v>66.805030000000002</v>
      </c>
      <c r="I68">
        <v>62.193820000000002</v>
      </c>
      <c r="J68">
        <v>61.027529999999999</v>
      </c>
      <c r="K68">
        <v>56.999780000000001</v>
      </c>
      <c r="L68">
        <v>49.154110000000003</v>
      </c>
      <c r="M68">
        <v>44.887189999999997</v>
      </c>
      <c r="N68">
        <v>43.229770000000002</v>
      </c>
    </row>
    <row r="69" spans="1:14" hidden="1" x14ac:dyDescent="0.35">
      <c r="A69" t="s">
        <v>579</v>
      </c>
      <c r="B69" t="s">
        <v>37</v>
      </c>
      <c r="C69" t="s">
        <v>218</v>
      </c>
      <c r="D69" t="s">
        <v>218</v>
      </c>
      <c r="E69" t="s">
        <v>593</v>
      </c>
      <c r="F69" t="s">
        <v>26</v>
      </c>
      <c r="G69" t="s">
        <v>26</v>
      </c>
      <c r="H69">
        <v>105.423</v>
      </c>
      <c r="I69">
        <v>112.5108</v>
      </c>
      <c r="J69">
        <v>109.98099999999999</v>
      </c>
      <c r="K69">
        <v>102.4378</v>
      </c>
      <c r="L69">
        <v>88.240219999999994</v>
      </c>
      <c r="M69">
        <v>80.452759999999998</v>
      </c>
      <c r="N69">
        <v>77.487750000000005</v>
      </c>
    </row>
    <row r="70" spans="1:14" hidden="1" x14ac:dyDescent="0.35">
      <c r="A70" t="s">
        <v>579</v>
      </c>
      <c r="B70" t="s">
        <v>37</v>
      </c>
      <c r="C70" t="s">
        <v>218</v>
      </c>
      <c r="D70" t="s">
        <v>218</v>
      </c>
      <c r="E70" t="s">
        <v>584</v>
      </c>
      <c r="F70" t="s">
        <v>581</v>
      </c>
      <c r="G70" t="s">
        <v>396</v>
      </c>
      <c r="H70">
        <v>4.8607810000000002</v>
      </c>
      <c r="I70">
        <v>3.4713449999999999</v>
      </c>
      <c r="J70">
        <v>3.114633</v>
      </c>
      <c r="K70">
        <v>2.8021240000000001</v>
      </c>
      <c r="L70">
        <v>2.521096</v>
      </c>
      <c r="M70">
        <v>2.2730359999999998</v>
      </c>
      <c r="N70">
        <v>2.0378959999999999</v>
      </c>
    </row>
    <row r="71" spans="1:14" hidden="1" x14ac:dyDescent="0.35">
      <c r="A71" t="s">
        <v>579</v>
      </c>
      <c r="B71" t="s">
        <v>37</v>
      </c>
      <c r="C71" t="s">
        <v>218</v>
      </c>
      <c r="D71" t="s">
        <v>218</v>
      </c>
      <c r="E71" t="s">
        <v>584</v>
      </c>
      <c r="F71" t="s">
        <v>581</v>
      </c>
      <c r="G71" t="s">
        <v>25</v>
      </c>
      <c r="H71">
        <v>3.0658759999999998</v>
      </c>
      <c r="I71">
        <v>2.5657749999999999</v>
      </c>
      <c r="J71">
        <v>2.3021150000000001</v>
      </c>
      <c r="K71">
        <v>2.0711339999999998</v>
      </c>
      <c r="L71">
        <v>1.8634189999999999</v>
      </c>
      <c r="M71">
        <v>1.6800679999999999</v>
      </c>
      <c r="N71">
        <v>1.5062709999999999</v>
      </c>
    </row>
    <row r="72" spans="1:14" hidden="1" x14ac:dyDescent="0.35">
      <c r="A72" t="s">
        <v>579</v>
      </c>
      <c r="B72" t="s">
        <v>37</v>
      </c>
      <c r="C72" t="s">
        <v>218</v>
      </c>
      <c r="D72" t="s">
        <v>218</v>
      </c>
      <c r="E72" t="s">
        <v>584</v>
      </c>
      <c r="F72" t="s">
        <v>26</v>
      </c>
      <c r="G72" t="s">
        <v>26</v>
      </c>
      <c r="H72">
        <v>9.3906559999999999</v>
      </c>
      <c r="I72">
        <v>9.0556739999999998</v>
      </c>
      <c r="J72">
        <v>8.1251259999999998</v>
      </c>
      <c r="K72">
        <v>7.3098850000000004</v>
      </c>
      <c r="L72">
        <v>6.5767730000000002</v>
      </c>
      <c r="M72">
        <v>5.9296600000000002</v>
      </c>
      <c r="N72">
        <v>5.316255</v>
      </c>
    </row>
    <row r="73" spans="1:14" hidden="1" x14ac:dyDescent="0.35">
      <c r="A73" t="s">
        <v>579</v>
      </c>
      <c r="B73" t="s">
        <v>37</v>
      </c>
      <c r="C73" t="s">
        <v>218</v>
      </c>
      <c r="D73" t="s">
        <v>218</v>
      </c>
      <c r="E73" t="s">
        <v>594</v>
      </c>
      <c r="F73" t="s">
        <v>581</v>
      </c>
      <c r="G73" t="s">
        <v>396</v>
      </c>
      <c r="H73">
        <v>1.941918</v>
      </c>
      <c r="I73">
        <v>1.8072459999999999</v>
      </c>
      <c r="J73">
        <v>2.202769</v>
      </c>
      <c r="K73">
        <v>1.9908399999999999</v>
      </c>
      <c r="L73">
        <v>2.0517349999999999</v>
      </c>
      <c r="M73">
        <v>2.782737</v>
      </c>
      <c r="N73">
        <v>3.960404</v>
      </c>
    </row>
    <row r="74" spans="1:14" hidden="1" x14ac:dyDescent="0.35">
      <c r="A74" t="s">
        <v>579</v>
      </c>
      <c r="B74" t="s">
        <v>37</v>
      </c>
      <c r="C74" t="s">
        <v>218</v>
      </c>
      <c r="D74" t="s">
        <v>218</v>
      </c>
      <c r="E74" t="s">
        <v>594</v>
      </c>
      <c r="F74" t="s">
        <v>581</v>
      </c>
      <c r="G74" t="s">
        <v>25</v>
      </c>
      <c r="H74">
        <v>0.12808220000000001</v>
      </c>
      <c r="I74">
        <v>0.1255956</v>
      </c>
      <c r="J74">
        <v>0.14877180000000001</v>
      </c>
      <c r="K74">
        <v>0.1341909</v>
      </c>
      <c r="L74">
        <v>0.13682349999999999</v>
      </c>
      <c r="M74">
        <v>0.1815049</v>
      </c>
      <c r="N74">
        <v>0.25417800000000002</v>
      </c>
    </row>
    <row r="75" spans="1:14" hidden="1" x14ac:dyDescent="0.35">
      <c r="A75" t="s">
        <v>579</v>
      </c>
      <c r="B75" t="s">
        <v>37</v>
      </c>
      <c r="C75" t="s">
        <v>218</v>
      </c>
      <c r="D75" t="s">
        <v>218</v>
      </c>
      <c r="E75" t="s">
        <v>594</v>
      </c>
      <c r="F75" t="s">
        <v>26</v>
      </c>
      <c r="G75" t="s">
        <v>26</v>
      </c>
      <c r="H75">
        <v>0.18863009999999999</v>
      </c>
      <c r="I75">
        <v>0.2194817</v>
      </c>
      <c r="J75">
        <v>0.26970680000000002</v>
      </c>
      <c r="K75">
        <v>0.24389620000000001</v>
      </c>
      <c r="L75">
        <v>0.25209979999999999</v>
      </c>
      <c r="M75">
        <v>0.34399069999999998</v>
      </c>
      <c r="N75">
        <v>0.49167149999999998</v>
      </c>
    </row>
    <row r="76" spans="1:14" hidden="1" x14ac:dyDescent="0.35">
      <c r="A76" t="s">
        <v>579</v>
      </c>
      <c r="B76" t="s">
        <v>37</v>
      </c>
      <c r="C76" t="s">
        <v>61</v>
      </c>
      <c r="D76" t="s">
        <v>62</v>
      </c>
      <c r="E76" t="s">
        <v>584</v>
      </c>
      <c r="F76" t="s">
        <v>581</v>
      </c>
      <c r="G76" t="s">
        <v>396</v>
      </c>
      <c r="H76">
        <v>109.90049999999999</v>
      </c>
      <c r="I76">
        <v>98.846549999999993</v>
      </c>
      <c r="J76">
        <v>89.428730000000002</v>
      </c>
      <c r="K76">
        <v>79.543300000000002</v>
      </c>
      <c r="L76">
        <v>69.576130000000006</v>
      </c>
      <c r="M76">
        <v>58.291960000000003</v>
      </c>
      <c r="N76">
        <v>47.786020000000001</v>
      </c>
    </row>
    <row r="77" spans="1:14" hidden="1" x14ac:dyDescent="0.35">
      <c r="A77" t="s">
        <v>579</v>
      </c>
      <c r="B77" t="s">
        <v>37</v>
      </c>
      <c r="C77" t="s">
        <v>61</v>
      </c>
      <c r="D77" t="s">
        <v>62</v>
      </c>
      <c r="E77" t="s">
        <v>584</v>
      </c>
      <c r="F77" t="s">
        <v>581</v>
      </c>
      <c r="G77" t="s">
        <v>24</v>
      </c>
      <c r="H77">
        <v>8.7227069999999998</v>
      </c>
      <c r="I77">
        <v>6.9673129999999999</v>
      </c>
      <c r="J77">
        <v>5.6354290000000002</v>
      </c>
      <c r="K77">
        <v>4.4101020000000002</v>
      </c>
      <c r="L77">
        <v>3.4377740000000001</v>
      </c>
      <c r="M77">
        <v>2.6460979999999998</v>
      </c>
      <c r="N77">
        <v>1.9949859999999999</v>
      </c>
    </row>
    <row r="78" spans="1:14" hidden="1" x14ac:dyDescent="0.35">
      <c r="A78" t="s">
        <v>579</v>
      </c>
      <c r="B78" t="s">
        <v>37</v>
      </c>
      <c r="C78" t="s">
        <v>61</v>
      </c>
      <c r="D78" t="s">
        <v>62</v>
      </c>
      <c r="E78" t="s">
        <v>584</v>
      </c>
      <c r="F78" t="s">
        <v>581</v>
      </c>
      <c r="G78" t="s">
        <v>25</v>
      </c>
      <c r="H78">
        <v>11.466699999999999</v>
      </c>
      <c r="I78">
        <v>8.7260190000000009</v>
      </c>
      <c r="J78">
        <v>6.6751760000000004</v>
      </c>
      <c r="K78">
        <v>5.2728979999999996</v>
      </c>
      <c r="L78">
        <v>4.1781230000000003</v>
      </c>
      <c r="M78">
        <v>3.2134939999999999</v>
      </c>
      <c r="N78">
        <v>2.356274</v>
      </c>
    </row>
    <row r="79" spans="1:14" hidden="1" x14ac:dyDescent="0.35">
      <c r="A79" t="s">
        <v>579</v>
      </c>
      <c r="B79" t="s">
        <v>37</v>
      </c>
      <c r="C79" t="s">
        <v>61</v>
      </c>
      <c r="D79" t="s">
        <v>62</v>
      </c>
      <c r="E79" t="s">
        <v>584</v>
      </c>
      <c r="F79" t="s">
        <v>26</v>
      </c>
      <c r="G79" t="s">
        <v>26</v>
      </c>
      <c r="H79">
        <v>17.00018</v>
      </c>
      <c r="I79">
        <v>15.550599999999999</v>
      </c>
      <c r="J79">
        <v>13.71312</v>
      </c>
      <c r="K79">
        <v>12.11</v>
      </c>
      <c r="L79">
        <v>10.72222</v>
      </c>
      <c r="M79">
        <v>8.8668230000000001</v>
      </c>
      <c r="N79">
        <v>6.826981</v>
      </c>
    </row>
    <row r="80" spans="1:14" hidden="1" x14ac:dyDescent="0.35">
      <c r="A80" t="s">
        <v>579</v>
      </c>
      <c r="B80" t="s">
        <v>37</v>
      </c>
      <c r="C80" t="s">
        <v>99</v>
      </c>
      <c r="D80" t="s">
        <v>101</v>
      </c>
      <c r="E80" t="s">
        <v>584</v>
      </c>
      <c r="F80" t="s">
        <v>581</v>
      </c>
      <c r="G80" t="s">
        <v>396</v>
      </c>
      <c r="H80">
        <v>1.5456490000000001</v>
      </c>
      <c r="I80">
        <v>1.2590159999999999</v>
      </c>
      <c r="J80">
        <v>1.0933139999999999</v>
      </c>
      <c r="K80">
        <v>0.96160809999999997</v>
      </c>
      <c r="L80">
        <v>0.87414709999999995</v>
      </c>
      <c r="M80">
        <v>0.77643569999999995</v>
      </c>
      <c r="N80">
        <v>0.68791860000000005</v>
      </c>
    </row>
    <row r="81" spans="1:14" hidden="1" x14ac:dyDescent="0.35">
      <c r="A81" t="s">
        <v>579</v>
      </c>
      <c r="B81" t="s">
        <v>37</v>
      </c>
      <c r="C81" t="s">
        <v>99</v>
      </c>
      <c r="D81" t="s">
        <v>101</v>
      </c>
      <c r="E81" t="s">
        <v>584</v>
      </c>
      <c r="F81" t="s">
        <v>581</v>
      </c>
      <c r="G81" t="s">
        <v>25</v>
      </c>
      <c r="H81">
        <v>6.381284</v>
      </c>
      <c r="I81">
        <v>5.3544020000000003</v>
      </c>
      <c r="J81">
        <v>4.6963689999999998</v>
      </c>
      <c r="K81">
        <v>4.1601410000000003</v>
      </c>
      <c r="L81">
        <v>3.7699929999999999</v>
      </c>
      <c r="M81">
        <v>3.3650829999999998</v>
      </c>
      <c r="N81">
        <v>2.993474</v>
      </c>
    </row>
    <row r="82" spans="1:14" hidden="1" x14ac:dyDescent="0.35">
      <c r="A82" t="s">
        <v>579</v>
      </c>
      <c r="B82" t="s">
        <v>37</v>
      </c>
      <c r="C82" t="s">
        <v>99</v>
      </c>
      <c r="D82" t="s">
        <v>101</v>
      </c>
      <c r="E82" t="s">
        <v>584</v>
      </c>
      <c r="F82" t="s">
        <v>26</v>
      </c>
      <c r="G82" t="s">
        <v>26</v>
      </c>
      <c r="H82">
        <v>40.150939999999999</v>
      </c>
      <c r="I82">
        <v>34.087960000000002</v>
      </c>
      <c r="J82">
        <v>30.163650000000001</v>
      </c>
      <c r="K82">
        <v>26.949210000000001</v>
      </c>
      <c r="L82">
        <v>24.566949999999999</v>
      </c>
      <c r="M82">
        <v>22.057510000000001</v>
      </c>
      <c r="N82">
        <v>19.758859999999999</v>
      </c>
    </row>
    <row r="83" spans="1:14" hidden="1" x14ac:dyDescent="0.35">
      <c r="A83" t="s">
        <v>579</v>
      </c>
      <c r="B83" t="s">
        <v>37</v>
      </c>
      <c r="C83" t="s">
        <v>115</v>
      </c>
      <c r="D83" t="s">
        <v>115</v>
      </c>
      <c r="E83" t="s">
        <v>595</v>
      </c>
      <c r="F83" t="s">
        <v>581</v>
      </c>
      <c r="G83" t="s">
        <v>396</v>
      </c>
      <c r="H83">
        <v>1.9819230000000001</v>
      </c>
      <c r="I83">
        <v>3.330921</v>
      </c>
      <c r="J83">
        <v>4.1688200000000002</v>
      </c>
      <c r="K83">
        <v>4.2651680000000001</v>
      </c>
      <c r="L83">
        <v>3.9439700000000002</v>
      </c>
      <c r="M83">
        <v>3.1845029999999999</v>
      </c>
      <c r="N83">
        <v>2.840703</v>
      </c>
    </row>
    <row r="84" spans="1:14" hidden="1" x14ac:dyDescent="0.35">
      <c r="A84" t="s">
        <v>579</v>
      </c>
      <c r="B84" t="s">
        <v>37</v>
      </c>
      <c r="C84" t="s">
        <v>115</v>
      </c>
      <c r="D84" t="s">
        <v>115</v>
      </c>
      <c r="E84" t="s">
        <v>595</v>
      </c>
      <c r="F84" t="s">
        <v>581</v>
      </c>
      <c r="G84" t="s">
        <v>25</v>
      </c>
      <c r="H84">
        <v>0.35096709999999998</v>
      </c>
      <c r="I84">
        <v>0.58734140000000001</v>
      </c>
      <c r="J84">
        <v>0.73822580000000004</v>
      </c>
      <c r="K84">
        <v>0.75528960000000001</v>
      </c>
      <c r="L84">
        <v>0.69841019999999998</v>
      </c>
      <c r="M84">
        <v>0.56392030000000004</v>
      </c>
      <c r="N84">
        <v>0.50304110000000002</v>
      </c>
    </row>
    <row r="85" spans="1:14" hidden="1" x14ac:dyDescent="0.35">
      <c r="A85" t="s">
        <v>579</v>
      </c>
      <c r="B85" t="s">
        <v>37</v>
      </c>
      <c r="C85" t="s">
        <v>115</v>
      </c>
      <c r="D85" t="s">
        <v>115</v>
      </c>
      <c r="E85" t="s">
        <v>595</v>
      </c>
      <c r="F85" t="s">
        <v>26</v>
      </c>
      <c r="G85" t="s">
        <v>26</v>
      </c>
      <c r="H85">
        <v>1.0528960000000001</v>
      </c>
      <c r="I85">
        <v>1.7620169999999999</v>
      </c>
      <c r="J85">
        <v>2.2146870000000001</v>
      </c>
      <c r="K85">
        <v>2.2658710000000002</v>
      </c>
      <c r="L85">
        <v>2.0952350000000002</v>
      </c>
      <c r="M85">
        <v>1.691765</v>
      </c>
      <c r="N85">
        <v>1.509123</v>
      </c>
    </row>
    <row r="86" spans="1:14" hidden="1" x14ac:dyDescent="0.35">
      <c r="A86" t="s">
        <v>579</v>
      </c>
      <c r="B86" t="s">
        <v>37</v>
      </c>
      <c r="C86" t="s">
        <v>115</v>
      </c>
      <c r="D86" t="s">
        <v>115</v>
      </c>
      <c r="E86" t="s">
        <v>584</v>
      </c>
      <c r="F86" t="s">
        <v>581</v>
      </c>
      <c r="G86" t="s">
        <v>396</v>
      </c>
      <c r="H86">
        <v>1.513271</v>
      </c>
      <c r="I86">
        <v>1.2770060000000001</v>
      </c>
      <c r="J86">
        <v>1.0776300000000001</v>
      </c>
      <c r="K86">
        <v>0.90938079999999999</v>
      </c>
      <c r="L86">
        <v>0.76739999999999997</v>
      </c>
      <c r="M86">
        <v>0.64758899999999997</v>
      </c>
      <c r="N86">
        <v>0.54648209999999997</v>
      </c>
    </row>
    <row r="87" spans="1:14" hidden="1" x14ac:dyDescent="0.35">
      <c r="A87" t="s">
        <v>579</v>
      </c>
      <c r="B87" t="s">
        <v>37</v>
      </c>
      <c r="C87" t="s">
        <v>115</v>
      </c>
      <c r="D87" t="s">
        <v>115</v>
      </c>
      <c r="E87" t="s">
        <v>584</v>
      </c>
      <c r="F87" t="s">
        <v>581</v>
      </c>
      <c r="G87" t="s">
        <v>25</v>
      </c>
      <c r="H87">
        <v>0.40586299999999997</v>
      </c>
      <c r="I87">
        <v>0.27206029999999998</v>
      </c>
      <c r="J87">
        <v>0.1823671</v>
      </c>
      <c r="K87">
        <v>0.1222438</v>
      </c>
      <c r="L87">
        <v>8.1942470000000003E-2</v>
      </c>
      <c r="M87">
        <v>5.4928770000000002E-2</v>
      </c>
      <c r="N87">
        <v>3.681918E-2</v>
      </c>
    </row>
    <row r="88" spans="1:14" hidden="1" x14ac:dyDescent="0.35">
      <c r="A88" t="s">
        <v>579</v>
      </c>
      <c r="B88" t="s">
        <v>37</v>
      </c>
      <c r="C88" t="s">
        <v>115</v>
      </c>
      <c r="D88" t="s">
        <v>115</v>
      </c>
      <c r="E88" t="s">
        <v>597</v>
      </c>
      <c r="F88" t="s">
        <v>581</v>
      </c>
      <c r="G88" t="s">
        <v>396</v>
      </c>
      <c r="H88">
        <v>0.25019720000000001</v>
      </c>
      <c r="I88">
        <v>0.32256410000000002</v>
      </c>
      <c r="J88">
        <v>0.47241569999999999</v>
      </c>
      <c r="K88">
        <v>0.49367529999999998</v>
      </c>
      <c r="L88">
        <v>0.6444008</v>
      </c>
      <c r="M88">
        <v>0.45114989999999999</v>
      </c>
      <c r="N88">
        <v>0.32204850000000002</v>
      </c>
    </row>
    <row r="89" spans="1:14" hidden="1" x14ac:dyDescent="0.35">
      <c r="A89" t="s">
        <v>579</v>
      </c>
      <c r="B89" t="s">
        <v>37</v>
      </c>
      <c r="C89" t="s">
        <v>115</v>
      </c>
      <c r="D89" t="s">
        <v>115</v>
      </c>
      <c r="E89" t="s">
        <v>597</v>
      </c>
      <c r="F89" t="s">
        <v>26</v>
      </c>
      <c r="G89" t="s">
        <v>26</v>
      </c>
      <c r="H89">
        <v>1.3991780000000001E-2</v>
      </c>
      <c r="I89">
        <v>1.8038080000000001E-2</v>
      </c>
      <c r="J89">
        <v>2.6417260000000001E-2</v>
      </c>
      <c r="K89">
        <v>2.760959E-2</v>
      </c>
      <c r="L89">
        <v>3.603452E-2</v>
      </c>
      <c r="M89">
        <v>2.5229040000000001E-2</v>
      </c>
      <c r="N89">
        <v>1.8010140000000001E-2</v>
      </c>
    </row>
    <row r="90" spans="1:14" hidden="1" x14ac:dyDescent="0.35">
      <c r="A90" t="s">
        <v>579</v>
      </c>
      <c r="B90" t="s">
        <v>37</v>
      </c>
      <c r="C90" t="s">
        <v>115</v>
      </c>
      <c r="D90" t="s">
        <v>115</v>
      </c>
      <c r="E90" t="s">
        <v>596</v>
      </c>
      <c r="F90" t="s">
        <v>581</v>
      </c>
      <c r="G90" t="s">
        <v>396</v>
      </c>
      <c r="H90">
        <v>0.39430959999999998</v>
      </c>
      <c r="I90">
        <v>0.43561650000000002</v>
      </c>
      <c r="J90">
        <v>0.37675619999999999</v>
      </c>
      <c r="K90">
        <v>0.29928769999999999</v>
      </c>
      <c r="L90">
        <v>0.25199729999999998</v>
      </c>
      <c r="M90">
        <v>0.21869040000000001</v>
      </c>
      <c r="N90">
        <v>0.1910192</v>
      </c>
    </row>
    <row r="91" spans="1:14" hidden="1" x14ac:dyDescent="0.35">
      <c r="A91" t="s">
        <v>579</v>
      </c>
      <c r="B91" t="s">
        <v>37</v>
      </c>
      <c r="C91" t="s">
        <v>115</v>
      </c>
      <c r="D91" t="s">
        <v>115</v>
      </c>
      <c r="E91" t="s">
        <v>596</v>
      </c>
      <c r="F91" t="s">
        <v>581</v>
      </c>
      <c r="G91" t="s">
        <v>25</v>
      </c>
      <c r="H91">
        <v>5.5860269999999997E-2</v>
      </c>
      <c r="I91">
        <v>6.1715060000000002E-2</v>
      </c>
      <c r="J91">
        <v>5.337534E-2</v>
      </c>
      <c r="K91">
        <v>4.2397259999999999E-2</v>
      </c>
      <c r="L91">
        <v>3.5695890000000001E-2</v>
      </c>
      <c r="M91">
        <v>3.0980819999999999E-2</v>
      </c>
      <c r="N91">
        <v>2.705753E-2</v>
      </c>
    </row>
    <row r="92" spans="1:14" hidden="1" x14ac:dyDescent="0.35">
      <c r="A92" t="s">
        <v>579</v>
      </c>
      <c r="B92" t="s">
        <v>37</v>
      </c>
      <c r="C92" t="s">
        <v>115</v>
      </c>
      <c r="D92" t="s">
        <v>115</v>
      </c>
      <c r="E92" t="s">
        <v>596</v>
      </c>
      <c r="F92" t="s">
        <v>26</v>
      </c>
      <c r="G92" t="s">
        <v>26</v>
      </c>
      <c r="H92">
        <v>8.3791779999999996E-2</v>
      </c>
      <c r="I92">
        <v>9.2569869999999999E-2</v>
      </c>
      <c r="J92">
        <v>8.0060270000000003E-2</v>
      </c>
      <c r="K92">
        <v>6.3600000000000004E-2</v>
      </c>
      <c r="L92">
        <v>5.3547940000000002E-2</v>
      </c>
      <c r="M92">
        <v>4.6471239999999997E-2</v>
      </c>
      <c r="N92">
        <v>4.0591780000000001E-2</v>
      </c>
    </row>
    <row r="93" spans="1:14" hidden="1" x14ac:dyDescent="0.35">
      <c r="A93" t="s">
        <v>579</v>
      </c>
      <c r="B93" t="s">
        <v>37</v>
      </c>
      <c r="C93" t="s">
        <v>79</v>
      </c>
      <c r="D93" t="s">
        <v>79</v>
      </c>
      <c r="E93" t="s">
        <v>598</v>
      </c>
      <c r="F93" t="s">
        <v>581</v>
      </c>
      <c r="G93" t="s">
        <v>25</v>
      </c>
      <c r="H93">
        <v>1.4208220000000001E-2</v>
      </c>
      <c r="I93">
        <v>2.0296990000000001E-2</v>
      </c>
      <c r="J93">
        <v>2.7418359999999999E-2</v>
      </c>
      <c r="K93">
        <v>2.7065479999999999E-2</v>
      </c>
      <c r="L93">
        <v>3.0656989999999999E-2</v>
      </c>
      <c r="M93">
        <v>4.2453150000000002E-2</v>
      </c>
      <c r="N93">
        <v>4.5460819999999999E-2</v>
      </c>
    </row>
    <row r="94" spans="1:14" hidden="1" x14ac:dyDescent="0.35">
      <c r="A94" t="s">
        <v>579</v>
      </c>
      <c r="B94" t="s">
        <v>37</v>
      </c>
      <c r="C94" t="s">
        <v>79</v>
      </c>
      <c r="D94" t="s">
        <v>79</v>
      </c>
      <c r="E94" t="s">
        <v>598</v>
      </c>
      <c r="F94" t="s">
        <v>26</v>
      </c>
      <c r="G94" t="s">
        <v>26</v>
      </c>
      <c r="H94">
        <v>1.407</v>
      </c>
      <c r="I94">
        <v>2.0091809999999999</v>
      </c>
      <c r="J94">
        <v>2.714591</v>
      </c>
      <c r="K94">
        <v>2.6791429999999998</v>
      </c>
      <c r="L94">
        <v>3.0349360000000001</v>
      </c>
      <c r="M94">
        <v>4.2025819999999996</v>
      </c>
      <c r="N94">
        <v>4.5010320000000004</v>
      </c>
    </row>
    <row r="95" spans="1:14" hidden="1" x14ac:dyDescent="0.35">
      <c r="A95" t="s">
        <v>579</v>
      </c>
      <c r="B95" t="s">
        <v>37</v>
      </c>
      <c r="C95" t="s">
        <v>79</v>
      </c>
      <c r="D95" t="s">
        <v>79</v>
      </c>
      <c r="E95" t="s">
        <v>584</v>
      </c>
      <c r="F95" t="s">
        <v>581</v>
      </c>
      <c r="G95" t="s">
        <v>396</v>
      </c>
      <c r="H95">
        <v>0.62939730000000005</v>
      </c>
      <c r="I95">
        <v>0.58619730000000003</v>
      </c>
      <c r="J95">
        <v>0.55271400000000004</v>
      </c>
      <c r="K95">
        <v>0.52472909999999995</v>
      </c>
      <c r="L95">
        <v>0.49763210000000002</v>
      </c>
      <c r="M95">
        <v>0.46455289999999999</v>
      </c>
      <c r="N95">
        <v>0.43735950000000001</v>
      </c>
    </row>
    <row r="96" spans="1:14" hidden="1" x14ac:dyDescent="0.35">
      <c r="A96" t="s">
        <v>579</v>
      </c>
      <c r="B96" t="s">
        <v>37</v>
      </c>
      <c r="C96" t="s">
        <v>79</v>
      </c>
      <c r="D96" t="s">
        <v>79</v>
      </c>
      <c r="E96" t="s">
        <v>584</v>
      </c>
      <c r="F96" t="s">
        <v>581</v>
      </c>
      <c r="G96" t="s">
        <v>24</v>
      </c>
      <c r="H96">
        <v>6.8767120000000001E-3</v>
      </c>
      <c r="I96">
        <v>3.0849319999999999E-3</v>
      </c>
      <c r="J96">
        <v>2.5843839999999999E-3</v>
      </c>
      <c r="K96">
        <v>2.1627399999999998E-3</v>
      </c>
      <c r="L96">
        <v>1.7830140000000001E-3</v>
      </c>
      <c r="M96">
        <v>1.4336990000000001E-3</v>
      </c>
      <c r="N96">
        <v>1.151233E-3</v>
      </c>
    </row>
    <row r="97" spans="1:14" hidden="1" x14ac:dyDescent="0.35">
      <c r="A97" t="s">
        <v>579</v>
      </c>
      <c r="B97" t="s">
        <v>37</v>
      </c>
      <c r="C97" t="s">
        <v>79</v>
      </c>
      <c r="D97" t="s">
        <v>79</v>
      </c>
      <c r="E97" t="s">
        <v>584</v>
      </c>
      <c r="F97" t="s">
        <v>581</v>
      </c>
      <c r="G97" t="s">
        <v>25</v>
      </c>
      <c r="H97">
        <v>0.50004939999999998</v>
      </c>
      <c r="I97">
        <v>0.47535070000000001</v>
      </c>
      <c r="J97">
        <v>0.45185999999999998</v>
      </c>
      <c r="K97">
        <v>0.42906060000000001</v>
      </c>
      <c r="L97">
        <v>0.40341149999999998</v>
      </c>
      <c r="M97">
        <v>0.370645</v>
      </c>
      <c r="N97">
        <v>0.34179009999999999</v>
      </c>
    </row>
    <row r="98" spans="1:14" hidden="1" x14ac:dyDescent="0.35">
      <c r="A98" t="s">
        <v>579</v>
      </c>
      <c r="B98" t="s">
        <v>37</v>
      </c>
      <c r="C98" t="s">
        <v>79</v>
      </c>
      <c r="D98" t="s">
        <v>79</v>
      </c>
      <c r="E98" t="s">
        <v>584</v>
      </c>
      <c r="F98" t="s">
        <v>26</v>
      </c>
      <c r="G98" t="s">
        <v>26</v>
      </c>
      <c r="H98">
        <v>0.53099450000000004</v>
      </c>
      <c r="I98">
        <v>0.47737540000000001</v>
      </c>
      <c r="J98">
        <v>0.43002820000000003</v>
      </c>
      <c r="K98">
        <v>0.38751720000000001</v>
      </c>
      <c r="L98">
        <v>0.34618389999999999</v>
      </c>
      <c r="M98">
        <v>0.30264410000000003</v>
      </c>
      <c r="N98">
        <v>0.26603120000000002</v>
      </c>
    </row>
    <row r="99" spans="1:14" hidden="1" x14ac:dyDescent="0.35">
      <c r="A99" t="s">
        <v>579</v>
      </c>
      <c r="B99" t="s">
        <v>37</v>
      </c>
      <c r="C99" t="s">
        <v>599</v>
      </c>
      <c r="D99" t="s">
        <v>599</v>
      </c>
      <c r="E99" t="s">
        <v>584</v>
      </c>
      <c r="F99" t="s">
        <v>26</v>
      </c>
      <c r="G99" t="s">
        <v>26</v>
      </c>
      <c r="H99">
        <v>0.74959730000000002</v>
      </c>
      <c r="I99">
        <v>0.67513420000000002</v>
      </c>
      <c r="J99">
        <v>0.60574240000000001</v>
      </c>
      <c r="K99">
        <v>0.5451589</v>
      </c>
      <c r="L99">
        <v>0.49063560000000001</v>
      </c>
      <c r="M99">
        <v>0.4427123</v>
      </c>
      <c r="N99">
        <v>0.39728760000000002</v>
      </c>
    </row>
    <row r="100" spans="1:14" hidden="1" x14ac:dyDescent="0.35">
      <c r="A100" t="s">
        <v>579</v>
      </c>
      <c r="B100" t="s">
        <v>37</v>
      </c>
      <c r="C100" t="s">
        <v>109</v>
      </c>
      <c r="D100" t="s">
        <v>109</v>
      </c>
      <c r="E100" t="s">
        <v>584</v>
      </c>
      <c r="F100" t="s">
        <v>581</v>
      </c>
      <c r="G100" t="s">
        <v>396</v>
      </c>
      <c r="H100">
        <v>0.42427670000000001</v>
      </c>
      <c r="I100">
        <v>0.42072880000000001</v>
      </c>
      <c r="J100">
        <v>0.41759039999999997</v>
      </c>
      <c r="K100">
        <v>0.41480679999999998</v>
      </c>
      <c r="L100">
        <v>0.41233839999999999</v>
      </c>
      <c r="M100">
        <v>0.3931904</v>
      </c>
      <c r="N100">
        <v>0.39318910000000001</v>
      </c>
    </row>
    <row r="101" spans="1:14" hidden="1" x14ac:dyDescent="0.35">
      <c r="A101" t="s">
        <v>579</v>
      </c>
      <c r="B101" t="s">
        <v>37</v>
      </c>
      <c r="C101" t="s">
        <v>109</v>
      </c>
      <c r="D101" t="s">
        <v>109</v>
      </c>
      <c r="E101" t="s">
        <v>584</v>
      </c>
      <c r="F101" t="s">
        <v>581</v>
      </c>
      <c r="G101" t="s">
        <v>24</v>
      </c>
      <c r="H101">
        <v>3.634539E-3</v>
      </c>
      <c r="I101">
        <v>3.5557599999999998E-3</v>
      </c>
      <c r="J101">
        <v>3.502757E-3</v>
      </c>
      <c r="K101">
        <v>3.43203E-3</v>
      </c>
      <c r="L101">
        <v>3.3640419999999998E-3</v>
      </c>
      <c r="M101">
        <v>3.9339859999999998E-4</v>
      </c>
      <c r="N101">
        <v>3.8568499999999998E-4</v>
      </c>
    </row>
    <row r="102" spans="1:14" hidden="1" x14ac:dyDescent="0.35">
      <c r="A102" t="s">
        <v>579</v>
      </c>
      <c r="B102" t="s">
        <v>37</v>
      </c>
      <c r="C102" t="s">
        <v>109</v>
      </c>
      <c r="D102" t="s">
        <v>109</v>
      </c>
      <c r="E102" t="s">
        <v>584</v>
      </c>
      <c r="F102" t="s">
        <v>581</v>
      </c>
      <c r="G102" t="s">
        <v>25</v>
      </c>
      <c r="H102">
        <v>1.6189329999999998E-2</v>
      </c>
      <c r="I102">
        <v>1.354123E-2</v>
      </c>
      <c r="J102">
        <v>1.1413639999999999E-2</v>
      </c>
      <c r="K102">
        <v>9.6704140000000004E-3</v>
      </c>
      <c r="L102">
        <v>8.1770499999999999E-3</v>
      </c>
      <c r="M102">
        <v>5.5051309999999999E-3</v>
      </c>
      <c r="N102">
        <v>4.5297330000000002E-3</v>
      </c>
    </row>
    <row r="103" spans="1:14" hidden="1" x14ac:dyDescent="0.35">
      <c r="A103" t="s">
        <v>579</v>
      </c>
      <c r="B103" t="s">
        <v>37</v>
      </c>
      <c r="C103" t="s">
        <v>109</v>
      </c>
      <c r="D103" t="s">
        <v>109</v>
      </c>
      <c r="E103" t="s">
        <v>584</v>
      </c>
      <c r="F103" t="s">
        <v>26</v>
      </c>
      <c r="G103" t="s">
        <v>26</v>
      </c>
      <c r="H103">
        <v>0.219638</v>
      </c>
      <c r="I103">
        <v>5.7066850000000002E-2</v>
      </c>
      <c r="J103">
        <v>5.2319869999999997E-2</v>
      </c>
      <c r="K103">
        <v>4.7986800000000003E-2</v>
      </c>
      <c r="L103">
        <v>4.3809849999999997E-2</v>
      </c>
      <c r="M103">
        <v>2.9184080000000001E-2</v>
      </c>
      <c r="N103">
        <v>2.6181570000000001E-2</v>
      </c>
    </row>
    <row r="104" spans="1:14" hidden="1" x14ac:dyDescent="0.35">
      <c r="A104" t="s">
        <v>579</v>
      </c>
      <c r="B104" t="s">
        <v>37</v>
      </c>
      <c r="C104" t="s">
        <v>46</v>
      </c>
      <c r="D104" t="s">
        <v>46</v>
      </c>
      <c r="E104" t="s">
        <v>584</v>
      </c>
      <c r="F104" t="s">
        <v>26</v>
      </c>
      <c r="G104" t="s">
        <v>26</v>
      </c>
      <c r="H104">
        <v>0.2410959</v>
      </c>
      <c r="I104">
        <v>0.2410959</v>
      </c>
      <c r="J104">
        <v>0.2410959</v>
      </c>
      <c r="K104">
        <v>0.2410959</v>
      </c>
      <c r="L104">
        <v>0.2410959</v>
      </c>
      <c r="M104">
        <v>0.2410959</v>
      </c>
      <c r="N104">
        <v>0.2410959</v>
      </c>
    </row>
    <row r="105" spans="1:14" hidden="1" x14ac:dyDescent="0.35">
      <c r="A105" t="s">
        <v>579</v>
      </c>
      <c r="B105" t="s">
        <v>37</v>
      </c>
      <c r="C105" t="s">
        <v>105</v>
      </c>
      <c r="D105" t="s">
        <v>105</v>
      </c>
      <c r="E105" t="s">
        <v>584</v>
      </c>
      <c r="F105" t="s">
        <v>26</v>
      </c>
      <c r="G105" t="s">
        <v>26</v>
      </c>
      <c r="H105">
        <v>0.23632059999999999</v>
      </c>
      <c r="I105">
        <v>0.23164109999999999</v>
      </c>
      <c r="J105">
        <v>0.2270471</v>
      </c>
      <c r="K105">
        <v>0.22211210000000001</v>
      </c>
      <c r="L105">
        <v>0.21559809999999999</v>
      </c>
      <c r="M105">
        <v>0.20466580000000001</v>
      </c>
      <c r="N105">
        <v>0.1951542</v>
      </c>
    </row>
    <row r="106" spans="1:14" hidden="1" x14ac:dyDescent="0.35">
      <c r="A106" t="s">
        <v>579</v>
      </c>
      <c r="B106" t="s">
        <v>37</v>
      </c>
      <c r="C106" t="s">
        <v>51</v>
      </c>
      <c r="D106" t="s">
        <v>51</v>
      </c>
      <c r="E106" t="s">
        <v>584</v>
      </c>
      <c r="F106" t="s">
        <v>581</v>
      </c>
      <c r="G106" t="s">
        <v>396</v>
      </c>
      <c r="H106">
        <v>8.027396E-4</v>
      </c>
      <c r="I106">
        <v>0</v>
      </c>
    </row>
    <row r="107" spans="1:14" hidden="1" x14ac:dyDescent="0.35">
      <c r="A107" t="s">
        <v>579</v>
      </c>
      <c r="B107" t="s">
        <v>125</v>
      </c>
      <c r="C107" t="s">
        <v>167</v>
      </c>
      <c r="D107" t="s">
        <v>167</v>
      </c>
      <c r="E107" t="s">
        <v>584</v>
      </c>
      <c r="F107" t="s">
        <v>581</v>
      </c>
      <c r="G107" t="s">
        <v>396</v>
      </c>
      <c r="H107">
        <v>34.465679999999999</v>
      </c>
      <c r="I107">
        <v>37.197719999999997</v>
      </c>
      <c r="J107">
        <v>39.739600000000003</v>
      </c>
      <c r="K107">
        <v>45.407409999999999</v>
      </c>
      <c r="L107">
        <v>45.407409999999999</v>
      </c>
      <c r="M107">
        <v>45.407409999999999</v>
      </c>
      <c r="N107">
        <v>45.407409999999999</v>
      </c>
    </row>
    <row r="108" spans="1:14" hidden="1" x14ac:dyDescent="0.35">
      <c r="A108" t="s">
        <v>579</v>
      </c>
      <c r="B108" t="s">
        <v>125</v>
      </c>
      <c r="C108" t="s">
        <v>30</v>
      </c>
      <c r="D108" t="s">
        <v>30</v>
      </c>
      <c r="E108" t="s">
        <v>584</v>
      </c>
      <c r="F108" t="s">
        <v>581</v>
      </c>
      <c r="G108" t="s">
        <v>396</v>
      </c>
      <c r="H108">
        <v>20.414549999999998</v>
      </c>
      <c r="I108">
        <v>17.31786</v>
      </c>
      <c r="J108">
        <v>16.448080000000001</v>
      </c>
      <c r="K108">
        <v>18.236280000000001</v>
      </c>
      <c r="L108">
        <v>16.955549999999999</v>
      </c>
      <c r="M108">
        <v>15.151479999999999</v>
      </c>
      <c r="N108">
        <v>13.61056</v>
      </c>
    </row>
    <row r="109" spans="1:14" hidden="1" x14ac:dyDescent="0.35">
      <c r="A109" t="s">
        <v>579</v>
      </c>
      <c r="B109" t="s">
        <v>125</v>
      </c>
      <c r="C109" t="s">
        <v>30</v>
      </c>
      <c r="D109" t="s">
        <v>30</v>
      </c>
      <c r="E109" t="s">
        <v>584</v>
      </c>
      <c r="F109" t="s">
        <v>26</v>
      </c>
      <c r="G109" t="s">
        <v>26</v>
      </c>
      <c r="H109">
        <v>3.5626899999999999</v>
      </c>
      <c r="I109">
        <v>3.9748619999999999</v>
      </c>
      <c r="J109">
        <v>3.9905910000000002</v>
      </c>
      <c r="K109">
        <v>4.076581</v>
      </c>
      <c r="L109">
        <v>4.1546469999999998</v>
      </c>
      <c r="M109">
        <v>4.1674910000000001</v>
      </c>
      <c r="N109">
        <v>4.1896820000000004</v>
      </c>
    </row>
    <row r="110" spans="1:14" hidden="1" x14ac:dyDescent="0.35">
      <c r="A110" t="s">
        <v>579</v>
      </c>
      <c r="B110" t="s">
        <v>125</v>
      </c>
      <c r="C110" t="s">
        <v>124</v>
      </c>
      <c r="D110" t="s">
        <v>124</v>
      </c>
      <c r="E110" t="s">
        <v>584</v>
      </c>
      <c r="F110" t="s">
        <v>581</v>
      </c>
      <c r="G110" t="s">
        <v>396</v>
      </c>
      <c r="H110">
        <v>5.63443</v>
      </c>
      <c r="I110">
        <v>5.1040850000000004</v>
      </c>
      <c r="J110">
        <v>4.4960339999999999</v>
      </c>
      <c r="K110">
        <v>3.9785919999999999</v>
      </c>
      <c r="L110">
        <v>3.4473250000000002</v>
      </c>
      <c r="M110">
        <v>2.954869</v>
      </c>
      <c r="N110">
        <v>2.537744</v>
      </c>
    </row>
    <row r="111" spans="1:14" hidden="1" x14ac:dyDescent="0.35">
      <c r="A111" t="s">
        <v>579</v>
      </c>
      <c r="B111" t="s">
        <v>125</v>
      </c>
      <c r="C111" t="s">
        <v>124</v>
      </c>
      <c r="D111" t="s">
        <v>124</v>
      </c>
      <c r="E111" t="s">
        <v>584</v>
      </c>
      <c r="F111" t="s">
        <v>581</v>
      </c>
      <c r="G111" t="s">
        <v>24</v>
      </c>
      <c r="H111">
        <v>2.5406629999999999</v>
      </c>
      <c r="I111">
        <v>2.210086</v>
      </c>
      <c r="J111">
        <v>1.9352940000000001</v>
      </c>
      <c r="K111">
        <v>1.69591</v>
      </c>
      <c r="L111">
        <v>1.4705490000000001</v>
      </c>
      <c r="M111">
        <v>1.2463360000000001</v>
      </c>
      <c r="N111">
        <v>1.059653</v>
      </c>
    </row>
    <row r="112" spans="1:14" hidden="1" x14ac:dyDescent="0.35">
      <c r="A112" t="s">
        <v>579</v>
      </c>
      <c r="B112" t="s">
        <v>125</v>
      </c>
      <c r="C112" t="s">
        <v>124</v>
      </c>
      <c r="D112" t="s">
        <v>124</v>
      </c>
      <c r="E112" t="s">
        <v>584</v>
      </c>
      <c r="F112" t="s">
        <v>26</v>
      </c>
      <c r="G112" t="s">
        <v>26</v>
      </c>
      <c r="H112">
        <v>18.287710000000001</v>
      </c>
      <c r="I112">
        <v>17.566970000000001</v>
      </c>
      <c r="J112">
        <v>15.158899999999999</v>
      </c>
      <c r="K112">
        <v>11.77378</v>
      </c>
      <c r="L112">
        <v>8.9410290000000003</v>
      </c>
      <c r="M112">
        <v>6.6343370000000004</v>
      </c>
      <c r="N112">
        <v>4.9392649999999998</v>
      </c>
    </row>
    <row r="113" spans="1:14" hidden="1" x14ac:dyDescent="0.35">
      <c r="A113" t="s">
        <v>579</v>
      </c>
      <c r="B113" t="s">
        <v>32</v>
      </c>
      <c r="C113" t="s">
        <v>30</v>
      </c>
      <c r="D113" t="s">
        <v>30</v>
      </c>
      <c r="E113" t="s">
        <v>584</v>
      </c>
      <c r="F113" t="s">
        <v>581</v>
      </c>
      <c r="G113" t="s">
        <v>24</v>
      </c>
      <c r="H113">
        <v>14.00548</v>
      </c>
      <c r="I113">
        <v>14.00548</v>
      </c>
      <c r="J113">
        <v>14.00548</v>
      </c>
      <c r="K113">
        <v>14.00548</v>
      </c>
      <c r="L113">
        <v>14.00548</v>
      </c>
      <c r="M113">
        <v>13.35793</v>
      </c>
      <c r="N113">
        <v>11.19674</v>
      </c>
    </row>
    <row r="114" spans="1:14" hidden="1" x14ac:dyDescent="0.35">
      <c r="A114" t="s">
        <v>579</v>
      </c>
      <c r="B114" t="s">
        <v>32</v>
      </c>
      <c r="C114" t="s">
        <v>30</v>
      </c>
      <c r="D114" t="s">
        <v>30</v>
      </c>
      <c r="E114" t="s">
        <v>584</v>
      </c>
      <c r="F114" t="s">
        <v>581</v>
      </c>
      <c r="G114" t="s">
        <v>25</v>
      </c>
      <c r="H114">
        <v>26.005479999999999</v>
      </c>
      <c r="I114">
        <v>26.005479999999999</v>
      </c>
      <c r="J114">
        <v>26.005479999999999</v>
      </c>
      <c r="K114">
        <v>26.005479999999999</v>
      </c>
      <c r="L114">
        <v>26.005479999999999</v>
      </c>
      <c r="M114">
        <v>24.76454</v>
      </c>
      <c r="N114">
        <v>21.355319999999999</v>
      </c>
    </row>
    <row r="115" spans="1:14" hidden="1" x14ac:dyDescent="0.35">
      <c r="A115" t="s">
        <v>579</v>
      </c>
      <c r="B115" t="s">
        <v>32</v>
      </c>
      <c r="C115" t="s">
        <v>30</v>
      </c>
      <c r="D115" t="s">
        <v>30</v>
      </c>
      <c r="E115" t="s">
        <v>584</v>
      </c>
      <c r="F115" t="s">
        <v>26</v>
      </c>
      <c r="G115" t="s">
        <v>26</v>
      </c>
      <c r="H115">
        <v>41.830129999999997</v>
      </c>
      <c r="I115">
        <v>41.83014</v>
      </c>
      <c r="J115">
        <v>41.830129999999997</v>
      </c>
      <c r="K115">
        <v>41.830129999999997</v>
      </c>
      <c r="L115">
        <v>41.830129999999997</v>
      </c>
      <c r="M115">
        <v>41.83014</v>
      </c>
      <c r="N115">
        <v>39.985140000000001</v>
      </c>
    </row>
    <row r="116" spans="1:14" hidden="1" x14ac:dyDescent="0.35">
      <c r="A116" t="s">
        <v>579</v>
      </c>
      <c r="B116" t="s">
        <v>133</v>
      </c>
      <c r="C116" t="s">
        <v>135</v>
      </c>
      <c r="D116" t="s">
        <v>253</v>
      </c>
      <c r="E116" t="s">
        <v>584</v>
      </c>
      <c r="F116" t="s">
        <v>581</v>
      </c>
      <c r="G116" t="s">
        <v>396</v>
      </c>
      <c r="H116">
        <v>51.696550000000002</v>
      </c>
      <c r="I116">
        <v>43.198830000000001</v>
      </c>
      <c r="J116">
        <v>44.38823</v>
      </c>
      <c r="K116">
        <v>41.861809999999998</v>
      </c>
      <c r="L116">
        <v>40.565420000000003</v>
      </c>
      <c r="M116">
        <v>37.697279999999999</v>
      </c>
      <c r="N116">
        <v>35.169670000000004</v>
      </c>
    </row>
    <row r="117" spans="1:14" hidden="1" x14ac:dyDescent="0.35">
      <c r="A117" t="s">
        <v>579</v>
      </c>
      <c r="B117" t="s">
        <v>133</v>
      </c>
      <c r="C117" t="s">
        <v>135</v>
      </c>
      <c r="D117" t="s">
        <v>253</v>
      </c>
      <c r="E117" t="s">
        <v>584</v>
      </c>
      <c r="F117" t="s">
        <v>581</v>
      </c>
      <c r="G117" t="s">
        <v>24</v>
      </c>
      <c r="H117">
        <v>4.8869189999999998</v>
      </c>
      <c r="I117">
        <v>5.0662060000000002</v>
      </c>
      <c r="J117">
        <v>5.3796290000000004</v>
      </c>
      <c r="K117">
        <v>5.2622640000000001</v>
      </c>
      <c r="L117">
        <v>5.0131199999999998</v>
      </c>
      <c r="M117">
        <v>4.7917350000000001</v>
      </c>
      <c r="N117">
        <v>4.5582310000000001</v>
      </c>
    </row>
    <row r="118" spans="1:14" hidden="1" x14ac:dyDescent="0.35">
      <c r="A118" t="s">
        <v>579</v>
      </c>
      <c r="B118" t="s">
        <v>133</v>
      </c>
      <c r="C118" t="s">
        <v>135</v>
      </c>
      <c r="D118" t="s">
        <v>253</v>
      </c>
      <c r="E118" t="s">
        <v>584</v>
      </c>
      <c r="F118" t="s">
        <v>581</v>
      </c>
      <c r="G118" t="s">
        <v>25</v>
      </c>
      <c r="H118">
        <v>5.2890670000000002</v>
      </c>
      <c r="I118">
        <v>5.2520990000000003</v>
      </c>
      <c r="J118">
        <v>5.2873659999999996</v>
      </c>
      <c r="K118">
        <v>5.1137819999999996</v>
      </c>
      <c r="L118">
        <v>4.8730419999999999</v>
      </c>
      <c r="M118">
        <v>4.6591810000000002</v>
      </c>
      <c r="N118">
        <v>4.4333739999999997</v>
      </c>
    </row>
    <row r="119" spans="1:14" hidden="1" x14ac:dyDescent="0.35">
      <c r="A119" t="s">
        <v>579</v>
      </c>
      <c r="B119" t="s">
        <v>31</v>
      </c>
      <c r="C119" t="s">
        <v>30</v>
      </c>
      <c r="D119" t="s">
        <v>30</v>
      </c>
      <c r="E119" t="s">
        <v>584</v>
      </c>
      <c r="F119" t="s">
        <v>581</v>
      </c>
      <c r="G119" t="s">
        <v>24</v>
      </c>
      <c r="H119">
        <v>6.4649599999999996</v>
      </c>
      <c r="I119">
        <v>7.4976580000000004</v>
      </c>
      <c r="J119">
        <v>7.9977749999999999</v>
      </c>
      <c r="K119">
        <v>7.8781939999999997</v>
      </c>
      <c r="L119">
        <v>7.7543759999999997</v>
      </c>
      <c r="M119">
        <v>7.7524389999999999</v>
      </c>
      <c r="N119">
        <v>7.6360039999999998</v>
      </c>
    </row>
    <row r="120" spans="1:14" hidden="1" x14ac:dyDescent="0.35">
      <c r="A120" t="s">
        <v>579</v>
      </c>
      <c r="B120" t="s">
        <v>31</v>
      </c>
      <c r="C120" t="s">
        <v>30</v>
      </c>
      <c r="D120" t="s">
        <v>30</v>
      </c>
      <c r="E120" t="s">
        <v>584</v>
      </c>
      <c r="F120" t="s">
        <v>581</v>
      </c>
      <c r="G120" t="s">
        <v>25</v>
      </c>
      <c r="H120">
        <v>5.2612480000000001</v>
      </c>
      <c r="I120">
        <v>6.1526509999999996</v>
      </c>
      <c r="J120">
        <v>6.5630499999999996</v>
      </c>
      <c r="K120">
        <v>6.4649200000000002</v>
      </c>
      <c r="L120">
        <v>6.3633139999999999</v>
      </c>
      <c r="M120">
        <v>6.361726</v>
      </c>
      <c r="N120">
        <v>6.3953100000000003</v>
      </c>
    </row>
    <row r="121" spans="1:14" hidden="1" x14ac:dyDescent="0.35">
      <c r="A121" t="s">
        <v>579</v>
      </c>
      <c r="B121" t="s">
        <v>31</v>
      </c>
      <c r="C121" t="s">
        <v>30</v>
      </c>
      <c r="D121" t="s">
        <v>30</v>
      </c>
      <c r="E121" t="s">
        <v>584</v>
      </c>
      <c r="F121" t="s">
        <v>26</v>
      </c>
      <c r="G121" t="s">
        <v>26</v>
      </c>
      <c r="H121">
        <v>24.50386</v>
      </c>
      <c r="I121">
        <v>28.418050000000001</v>
      </c>
      <c r="J121">
        <v>30.31363</v>
      </c>
      <c r="K121">
        <v>29.860379999999999</v>
      </c>
      <c r="L121">
        <v>29.391079999999999</v>
      </c>
      <c r="M121">
        <v>29.38374</v>
      </c>
      <c r="N121">
        <v>29.538869999999999</v>
      </c>
    </row>
    <row r="122" spans="1:14" hidden="1" x14ac:dyDescent="0.35">
      <c r="A122" t="s">
        <v>579</v>
      </c>
      <c r="B122" t="s">
        <v>201</v>
      </c>
      <c r="C122" t="s">
        <v>220</v>
      </c>
      <c r="D122" t="s">
        <v>220</v>
      </c>
      <c r="E122" t="s">
        <v>584</v>
      </c>
      <c r="F122" t="s">
        <v>581</v>
      </c>
      <c r="G122" t="s">
        <v>396</v>
      </c>
      <c r="H122">
        <v>19.083459999999999</v>
      </c>
      <c r="I122">
        <v>18.856459999999998</v>
      </c>
      <c r="J122">
        <v>17.87632</v>
      </c>
      <c r="K122">
        <v>15.79177</v>
      </c>
      <c r="L122">
        <v>13.730969999999999</v>
      </c>
      <c r="M122">
        <v>11.964600000000001</v>
      </c>
      <c r="N122">
        <v>10.90204</v>
      </c>
    </row>
    <row r="123" spans="1:14" hidden="1" x14ac:dyDescent="0.35">
      <c r="A123" t="s">
        <v>579</v>
      </c>
      <c r="B123" t="s">
        <v>201</v>
      </c>
      <c r="C123" t="s">
        <v>220</v>
      </c>
      <c r="D123" t="s">
        <v>220</v>
      </c>
      <c r="E123" t="s">
        <v>584</v>
      </c>
      <c r="F123" t="s">
        <v>26</v>
      </c>
      <c r="G123" t="s">
        <v>26</v>
      </c>
      <c r="H123">
        <v>0.21897</v>
      </c>
      <c r="I123">
        <v>2.9863560000000001E-2</v>
      </c>
      <c r="J123">
        <v>2.6516330000000001E-2</v>
      </c>
      <c r="K123">
        <v>2.2136139999999999E-2</v>
      </c>
      <c r="L123">
        <v>1.9125449999999999E-2</v>
      </c>
      <c r="M123">
        <v>1.591101E-2</v>
      </c>
      <c r="N123">
        <v>1.309597E-2</v>
      </c>
    </row>
    <row r="124" spans="1:14" hidden="1" x14ac:dyDescent="0.35">
      <c r="A124" t="s">
        <v>579</v>
      </c>
      <c r="B124" t="s">
        <v>201</v>
      </c>
      <c r="C124" t="s">
        <v>257</v>
      </c>
      <c r="D124" t="s">
        <v>257</v>
      </c>
      <c r="E124" t="s">
        <v>584</v>
      </c>
      <c r="F124" t="s">
        <v>581</v>
      </c>
      <c r="G124" t="s">
        <v>396</v>
      </c>
      <c r="H124">
        <v>19.875029999999999</v>
      </c>
      <c r="I124">
        <v>18.247389999999999</v>
      </c>
      <c r="J124">
        <v>16.578810000000001</v>
      </c>
      <c r="K124">
        <v>14.6515</v>
      </c>
      <c r="L124">
        <v>13.01887</v>
      </c>
      <c r="M124">
        <v>11.451359999999999</v>
      </c>
      <c r="N124">
        <v>9.7699470000000002</v>
      </c>
    </row>
    <row r="125" spans="1:14" hidden="1" x14ac:dyDescent="0.35">
      <c r="A125" t="s">
        <v>579</v>
      </c>
      <c r="B125" t="s">
        <v>201</v>
      </c>
      <c r="C125" t="s">
        <v>216</v>
      </c>
      <c r="D125" t="s">
        <v>216</v>
      </c>
      <c r="E125" t="s">
        <v>584</v>
      </c>
      <c r="F125" t="s">
        <v>581</v>
      </c>
      <c r="G125" t="s">
        <v>396</v>
      </c>
      <c r="N125">
        <v>0</v>
      </c>
    </row>
    <row r="126" spans="1:14" hidden="1" x14ac:dyDescent="0.35">
      <c r="A126" t="s">
        <v>579</v>
      </c>
      <c r="B126" t="s">
        <v>201</v>
      </c>
      <c r="C126" t="s">
        <v>216</v>
      </c>
      <c r="D126" t="s">
        <v>216</v>
      </c>
      <c r="E126" t="s">
        <v>584</v>
      </c>
      <c r="F126" t="s">
        <v>581</v>
      </c>
      <c r="G126" t="s">
        <v>24</v>
      </c>
      <c r="N126">
        <v>0</v>
      </c>
    </row>
    <row r="127" spans="1:14" hidden="1" x14ac:dyDescent="0.35">
      <c r="A127" t="s">
        <v>579</v>
      </c>
      <c r="B127" t="s">
        <v>201</v>
      </c>
      <c r="C127" t="s">
        <v>216</v>
      </c>
      <c r="D127" t="s">
        <v>216</v>
      </c>
      <c r="E127" t="s">
        <v>584</v>
      </c>
      <c r="F127" t="s">
        <v>581</v>
      </c>
      <c r="G127" t="s">
        <v>25</v>
      </c>
      <c r="N127">
        <v>0</v>
      </c>
    </row>
    <row r="128" spans="1:14" hidden="1" x14ac:dyDescent="0.35">
      <c r="A128" t="s">
        <v>579</v>
      </c>
      <c r="B128" t="s">
        <v>201</v>
      </c>
      <c r="C128" t="s">
        <v>216</v>
      </c>
      <c r="D128" t="s">
        <v>216</v>
      </c>
      <c r="E128" t="s">
        <v>584</v>
      </c>
      <c r="F128" t="s">
        <v>26</v>
      </c>
      <c r="G128" t="s">
        <v>26</v>
      </c>
      <c r="N128">
        <v>0</v>
      </c>
    </row>
    <row r="129" spans="1:14" hidden="1" x14ac:dyDescent="0.35">
      <c r="A129" t="s">
        <v>579</v>
      </c>
      <c r="B129" t="s">
        <v>307</v>
      </c>
      <c r="C129" t="s">
        <v>306</v>
      </c>
      <c r="D129" t="s">
        <v>306</v>
      </c>
      <c r="E129" t="s">
        <v>584</v>
      </c>
      <c r="F129" t="s">
        <v>581</v>
      </c>
      <c r="G129" t="s">
        <v>396</v>
      </c>
      <c r="H129">
        <v>29.456510000000002</v>
      </c>
      <c r="I129">
        <v>25.639589999999998</v>
      </c>
      <c r="J129">
        <v>26.281500000000001</v>
      </c>
      <c r="K129">
        <v>27.49925</v>
      </c>
      <c r="L129">
        <v>25.308150000000001</v>
      </c>
      <c r="M129">
        <v>25.19313</v>
      </c>
      <c r="N129">
        <v>23.12313</v>
      </c>
    </row>
    <row r="130" spans="1:14" hidden="1" x14ac:dyDescent="0.35">
      <c r="A130" t="s">
        <v>579</v>
      </c>
      <c r="B130" t="s">
        <v>307</v>
      </c>
      <c r="C130" t="s">
        <v>306</v>
      </c>
      <c r="D130" t="s">
        <v>306</v>
      </c>
      <c r="E130" t="s">
        <v>584</v>
      </c>
      <c r="F130" t="s">
        <v>581</v>
      </c>
      <c r="G130" t="s">
        <v>24</v>
      </c>
      <c r="H130">
        <v>0.48671229999999999</v>
      </c>
      <c r="I130">
        <v>1.357972</v>
      </c>
      <c r="J130">
        <v>0.86107429999999996</v>
      </c>
      <c r="K130">
        <v>0.55616589999999999</v>
      </c>
      <c r="L130">
        <v>0.3623422</v>
      </c>
      <c r="M130">
        <v>0.24868580000000001</v>
      </c>
      <c r="N130">
        <v>0.17655180000000001</v>
      </c>
    </row>
    <row r="131" spans="1:14" hidden="1" x14ac:dyDescent="0.35">
      <c r="A131" t="s">
        <v>579</v>
      </c>
      <c r="B131" t="s">
        <v>307</v>
      </c>
      <c r="C131" t="s">
        <v>306</v>
      </c>
      <c r="D131" t="s">
        <v>306</v>
      </c>
      <c r="E131" t="s">
        <v>584</v>
      </c>
      <c r="F131" t="s">
        <v>26</v>
      </c>
      <c r="G131" t="s">
        <v>26</v>
      </c>
      <c r="H131">
        <v>1.3837520000000001</v>
      </c>
      <c r="I131">
        <v>1.331205</v>
      </c>
      <c r="J131">
        <v>2.7264889999999999</v>
      </c>
      <c r="K131">
        <v>3.320783</v>
      </c>
      <c r="L131">
        <v>4.2537349999999998</v>
      </c>
      <c r="M131">
        <v>3.8879609999999998</v>
      </c>
      <c r="N131">
        <v>3.4559540000000002</v>
      </c>
    </row>
    <row r="132" spans="1:14" hidden="1" x14ac:dyDescent="0.35">
      <c r="A132" t="s">
        <v>579</v>
      </c>
      <c r="B132" t="s">
        <v>210</v>
      </c>
      <c r="C132" t="s">
        <v>209</v>
      </c>
      <c r="D132" t="s">
        <v>209</v>
      </c>
      <c r="E132" t="s">
        <v>584</v>
      </c>
      <c r="F132" t="s">
        <v>581</v>
      </c>
      <c r="G132" t="s">
        <v>396</v>
      </c>
      <c r="H132">
        <v>3.7428170000000001</v>
      </c>
      <c r="I132">
        <v>1.7161090000000001</v>
      </c>
      <c r="J132">
        <v>3.767487</v>
      </c>
      <c r="K132">
        <v>3.346714</v>
      </c>
      <c r="L132">
        <v>3.1146310000000001</v>
      </c>
      <c r="M132">
        <v>2.735052</v>
      </c>
      <c r="N132">
        <v>2.2381530000000001</v>
      </c>
    </row>
    <row r="133" spans="1:14" hidden="1" x14ac:dyDescent="0.35">
      <c r="A133" t="s">
        <v>579</v>
      </c>
      <c r="B133" t="s">
        <v>210</v>
      </c>
      <c r="C133" t="s">
        <v>209</v>
      </c>
      <c r="D133" t="s">
        <v>209</v>
      </c>
      <c r="E133" t="s">
        <v>584</v>
      </c>
      <c r="F133" t="s">
        <v>581</v>
      </c>
      <c r="G133" t="s">
        <v>24</v>
      </c>
      <c r="H133">
        <v>1.6598629999999999E-3</v>
      </c>
      <c r="I133">
        <v>1.123836E-3</v>
      </c>
      <c r="J133">
        <v>1.9465750000000001E-3</v>
      </c>
      <c r="K133">
        <v>1.6339729999999999E-3</v>
      </c>
      <c r="L133">
        <v>1.383699E-3</v>
      </c>
      <c r="M133">
        <v>1.184247E-3</v>
      </c>
      <c r="N133">
        <v>1.0154789999999999E-3</v>
      </c>
    </row>
    <row r="134" spans="1:14" hidden="1" x14ac:dyDescent="0.35">
      <c r="A134" t="s">
        <v>579</v>
      </c>
      <c r="B134" t="s">
        <v>210</v>
      </c>
      <c r="C134" t="s">
        <v>209</v>
      </c>
      <c r="D134" t="s">
        <v>209</v>
      </c>
      <c r="E134" t="s">
        <v>584</v>
      </c>
      <c r="F134" t="s">
        <v>581</v>
      </c>
      <c r="G134" t="s">
        <v>25</v>
      </c>
      <c r="H134">
        <v>2.485863E-2</v>
      </c>
      <c r="I134">
        <v>1.137548E-2</v>
      </c>
      <c r="J134">
        <v>8.6569860000000002E-3</v>
      </c>
      <c r="K134">
        <v>8.851645E-3</v>
      </c>
      <c r="L134">
        <v>8.4815059999999998E-3</v>
      </c>
      <c r="M134">
        <v>7.2099989999999999E-3</v>
      </c>
      <c r="N134">
        <v>3.323562E-3</v>
      </c>
    </row>
    <row r="135" spans="1:14" hidden="1" x14ac:dyDescent="0.35">
      <c r="A135" t="s">
        <v>579</v>
      </c>
      <c r="B135" t="s">
        <v>210</v>
      </c>
      <c r="C135" t="s">
        <v>209</v>
      </c>
      <c r="D135" t="s">
        <v>209</v>
      </c>
      <c r="E135" t="s">
        <v>584</v>
      </c>
      <c r="F135" t="s">
        <v>26</v>
      </c>
      <c r="G135" t="s">
        <v>26</v>
      </c>
      <c r="H135">
        <v>9.0766029999999998E-2</v>
      </c>
      <c r="I135">
        <v>1.8089729999999998E-2</v>
      </c>
      <c r="J135">
        <v>0.16914009999999999</v>
      </c>
      <c r="K135">
        <v>0.1400566</v>
      </c>
      <c r="L135">
        <v>0.1169106</v>
      </c>
      <c r="M135">
        <v>9.8643419999999996E-2</v>
      </c>
      <c r="N135">
        <v>8.318876E-2</v>
      </c>
    </row>
    <row r="136" spans="1:14" hidden="1" x14ac:dyDescent="0.35">
      <c r="A136" t="s">
        <v>579</v>
      </c>
      <c r="B136" t="s">
        <v>134</v>
      </c>
      <c r="C136" t="s">
        <v>119</v>
      </c>
      <c r="D136" t="s">
        <v>119</v>
      </c>
      <c r="E136" t="s">
        <v>584</v>
      </c>
      <c r="F136" t="s">
        <v>581</v>
      </c>
      <c r="G136" t="s">
        <v>24</v>
      </c>
      <c r="H136">
        <v>2.6479450000000001E-3</v>
      </c>
      <c r="I136">
        <v>6.0217810000000004E-3</v>
      </c>
      <c r="J136">
        <v>9.3987680000000001E-3</v>
      </c>
      <c r="K136">
        <v>8.4030130000000008E-3</v>
      </c>
      <c r="L136">
        <v>7.6354789999999997E-3</v>
      </c>
      <c r="M136">
        <v>6.8719180000000003E-3</v>
      </c>
      <c r="N136">
        <v>6.2243840000000003E-3</v>
      </c>
    </row>
    <row r="137" spans="1:14" hidden="1" x14ac:dyDescent="0.35">
      <c r="A137" t="s">
        <v>579</v>
      </c>
      <c r="B137" t="s">
        <v>134</v>
      </c>
      <c r="C137" t="s">
        <v>119</v>
      </c>
      <c r="D137" t="s">
        <v>119</v>
      </c>
      <c r="E137" t="s">
        <v>584</v>
      </c>
      <c r="F137" t="s">
        <v>26</v>
      </c>
      <c r="G137" t="s">
        <v>26</v>
      </c>
      <c r="H137">
        <v>0.25701099999999999</v>
      </c>
      <c r="I137">
        <v>0.24347450000000001</v>
      </c>
      <c r="J137">
        <v>0.22812160000000001</v>
      </c>
      <c r="K137">
        <v>0.2076199</v>
      </c>
      <c r="L137">
        <v>0.1884305</v>
      </c>
      <c r="M137">
        <v>0.1723894</v>
      </c>
      <c r="N137">
        <v>0.15268409999999999</v>
      </c>
    </row>
    <row r="138" spans="1:14" hidden="1" x14ac:dyDescent="0.35">
      <c r="A138" t="s">
        <v>579</v>
      </c>
      <c r="B138" t="s">
        <v>134</v>
      </c>
      <c r="C138" t="s">
        <v>259</v>
      </c>
      <c r="D138" t="s">
        <v>259</v>
      </c>
      <c r="E138" t="s">
        <v>584</v>
      </c>
      <c r="F138" t="s">
        <v>581</v>
      </c>
      <c r="G138" t="s">
        <v>24</v>
      </c>
      <c r="H138">
        <v>4.821917E-4</v>
      </c>
      <c r="I138">
        <v>0</v>
      </c>
    </row>
    <row r="139" spans="1:14" hidden="1" x14ac:dyDescent="0.35">
      <c r="A139" t="s">
        <v>579</v>
      </c>
      <c r="B139" t="s">
        <v>134</v>
      </c>
      <c r="C139" t="s">
        <v>259</v>
      </c>
      <c r="D139" t="s">
        <v>259</v>
      </c>
      <c r="E139" t="s">
        <v>584</v>
      </c>
      <c r="F139" t="s">
        <v>26</v>
      </c>
      <c r="G139" t="s">
        <v>26</v>
      </c>
      <c r="H139">
        <v>9.0054799999999997E-3</v>
      </c>
      <c r="I139">
        <v>0</v>
      </c>
    </row>
    <row r="140" spans="1:14" hidden="1" x14ac:dyDescent="0.35">
      <c r="A140" t="s">
        <v>206</v>
      </c>
      <c r="B140" t="s">
        <v>37</v>
      </c>
      <c r="C140" t="s">
        <v>57</v>
      </c>
      <c r="D140" t="s">
        <v>57</v>
      </c>
      <c r="E140" t="s">
        <v>584</v>
      </c>
      <c r="F140" t="s">
        <v>581</v>
      </c>
      <c r="G140" t="s">
        <v>396</v>
      </c>
      <c r="H140">
        <v>203.83879999999999</v>
      </c>
      <c r="I140">
        <v>205.57470000000001</v>
      </c>
      <c r="J140">
        <v>202.7123</v>
      </c>
      <c r="K140">
        <v>203.35650000000001</v>
      </c>
      <c r="L140">
        <v>201.14500000000001</v>
      </c>
      <c r="M140">
        <v>193.8254</v>
      </c>
      <c r="N140">
        <v>190.1191</v>
      </c>
    </row>
    <row r="141" spans="1:14" hidden="1" x14ac:dyDescent="0.35">
      <c r="A141" t="s">
        <v>206</v>
      </c>
      <c r="B141" t="s">
        <v>37</v>
      </c>
      <c r="C141" t="s">
        <v>57</v>
      </c>
      <c r="D141" t="s">
        <v>57</v>
      </c>
      <c r="E141" t="s">
        <v>584</v>
      </c>
      <c r="F141" t="s">
        <v>581</v>
      </c>
      <c r="G141" t="s">
        <v>24</v>
      </c>
      <c r="H141">
        <v>0.2606444</v>
      </c>
      <c r="I141">
        <v>0.25153370000000003</v>
      </c>
      <c r="J141">
        <v>0.24273600000000001</v>
      </c>
      <c r="K141">
        <v>0.23402319999999999</v>
      </c>
      <c r="L141">
        <v>0.2235094</v>
      </c>
      <c r="M141">
        <v>0.2086819</v>
      </c>
      <c r="N141">
        <v>0.1956282</v>
      </c>
    </row>
    <row r="142" spans="1:14" hidden="1" x14ac:dyDescent="0.35">
      <c r="A142" t="s">
        <v>206</v>
      </c>
      <c r="B142" t="s">
        <v>37</v>
      </c>
      <c r="C142" t="s">
        <v>57</v>
      </c>
      <c r="D142" t="s">
        <v>57</v>
      </c>
      <c r="E142" t="s">
        <v>584</v>
      </c>
      <c r="F142" t="s">
        <v>581</v>
      </c>
      <c r="G142" t="s">
        <v>25</v>
      </c>
      <c r="H142">
        <v>15.65232</v>
      </c>
      <c r="I142">
        <v>17.04036</v>
      </c>
      <c r="J142">
        <v>16.86252</v>
      </c>
      <c r="K142">
        <v>15.82593</v>
      </c>
      <c r="L142">
        <v>14.70417</v>
      </c>
      <c r="M142">
        <v>13.34817</v>
      </c>
      <c r="N142">
        <v>12.15996</v>
      </c>
    </row>
    <row r="143" spans="1:14" hidden="1" x14ac:dyDescent="0.35">
      <c r="A143" t="s">
        <v>206</v>
      </c>
      <c r="B143" t="s">
        <v>37</v>
      </c>
      <c r="C143" t="s">
        <v>57</v>
      </c>
      <c r="D143" t="s">
        <v>57</v>
      </c>
      <c r="E143" t="s">
        <v>584</v>
      </c>
      <c r="F143" t="s">
        <v>26</v>
      </c>
      <c r="G143" t="s">
        <v>26</v>
      </c>
      <c r="H143">
        <v>1.164102</v>
      </c>
      <c r="I143">
        <v>0.78525299999999998</v>
      </c>
      <c r="J143">
        <v>0.53098460000000003</v>
      </c>
      <c r="K143">
        <v>0.36024289999999998</v>
      </c>
      <c r="L143">
        <v>0.24475169999999999</v>
      </c>
      <c r="M143">
        <v>0.16619909999999999</v>
      </c>
      <c r="N143">
        <v>0.11355469999999999</v>
      </c>
    </row>
    <row r="144" spans="1:14" hidden="1" x14ac:dyDescent="0.35">
      <c r="A144" t="s">
        <v>206</v>
      </c>
      <c r="B144" t="s">
        <v>37</v>
      </c>
      <c r="C144" t="s">
        <v>79</v>
      </c>
      <c r="D144" t="s">
        <v>79</v>
      </c>
      <c r="E144" t="s">
        <v>600</v>
      </c>
      <c r="F144" t="s">
        <v>581</v>
      </c>
      <c r="G144" t="s">
        <v>396</v>
      </c>
      <c r="H144">
        <v>34.021230000000003</v>
      </c>
      <c r="I144">
        <v>31.94755</v>
      </c>
      <c r="J144">
        <v>29.99905</v>
      </c>
      <c r="K144">
        <v>23.468990000000002</v>
      </c>
      <c r="L144">
        <v>18.384679999999999</v>
      </c>
      <c r="M144">
        <v>12.88829</v>
      </c>
      <c r="N144">
        <v>9.5387989999999991</v>
      </c>
    </row>
    <row r="145" spans="1:14" hidden="1" x14ac:dyDescent="0.35">
      <c r="A145" t="s">
        <v>206</v>
      </c>
      <c r="B145" t="s">
        <v>37</v>
      </c>
      <c r="C145" t="s">
        <v>79</v>
      </c>
      <c r="D145" t="s">
        <v>79</v>
      </c>
      <c r="E145" t="s">
        <v>600</v>
      </c>
      <c r="F145" t="s">
        <v>581</v>
      </c>
      <c r="G145" t="s">
        <v>24</v>
      </c>
      <c r="H145">
        <v>86.565150000000003</v>
      </c>
      <c r="I145">
        <v>86.166359999999997</v>
      </c>
      <c r="J145">
        <v>84.024940000000001</v>
      </c>
      <c r="K145">
        <v>67.113389999999995</v>
      </c>
      <c r="L145">
        <v>52.783650000000002</v>
      </c>
      <c r="M145">
        <v>37.795650000000002</v>
      </c>
      <c r="N145">
        <v>28.3566</v>
      </c>
    </row>
    <row r="146" spans="1:14" hidden="1" x14ac:dyDescent="0.35">
      <c r="A146" t="s">
        <v>206</v>
      </c>
      <c r="B146" t="s">
        <v>37</v>
      </c>
      <c r="C146" t="s">
        <v>79</v>
      </c>
      <c r="D146" t="s">
        <v>79</v>
      </c>
      <c r="E146" t="s">
        <v>600</v>
      </c>
      <c r="F146" t="s">
        <v>581</v>
      </c>
      <c r="G146" t="s">
        <v>25</v>
      </c>
      <c r="H146">
        <v>46.958210000000001</v>
      </c>
      <c r="I146">
        <v>39.016190000000002</v>
      </c>
      <c r="J146">
        <v>38.457790000000003</v>
      </c>
      <c r="K146">
        <v>30.792529999999999</v>
      </c>
      <c r="L146">
        <v>24.22906</v>
      </c>
      <c r="M146">
        <v>17.392690000000002</v>
      </c>
      <c r="N146">
        <v>13.07067</v>
      </c>
    </row>
    <row r="147" spans="1:14" hidden="1" x14ac:dyDescent="0.35">
      <c r="A147" t="s">
        <v>206</v>
      </c>
      <c r="B147" t="s">
        <v>37</v>
      </c>
      <c r="C147" t="s">
        <v>79</v>
      </c>
      <c r="D147" t="s">
        <v>79</v>
      </c>
      <c r="E147" t="s">
        <v>600</v>
      </c>
      <c r="F147" t="s">
        <v>26</v>
      </c>
      <c r="G147" t="s">
        <v>26</v>
      </c>
      <c r="H147">
        <v>39.392470000000003</v>
      </c>
      <c r="I147">
        <v>37.813580000000002</v>
      </c>
      <c r="J147">
        <v>37.381340000000002</v>
      </c>
      <c r="K147">
        <v>29.961970000000001</v>
      </c>
      <c r="L147">
        <v>23.580089999999998</v>
      </c>
      <c r="M147">
        <v>16.935759999999998</v>
      </c>
      <c r="N147">
        <v>12.72532</v>
      </c>
    </row>
    <row r="148" spans="1:14" hidden="1" x14ac:dyDescent="0.35">
      <c r="A148" t="s">
        <v>206</v>
      </c>
      <c r="B148" t="s">
        <v>37</v>
      </c>
      <c r="C148" t="s">
        <v>79</v>
      </c>
      <c r="D148" t="s">
        <v>79</v>
      </c>
      <c r="E148" t="s">
        <v>601</v>
      </c>
      <c r="F148" t="s">
        <v>581</v>
      </c>
      <c r="G148" t="s">
        <v>396</v>
      </c>
      <c r="H148">
        <v>5.9616439999999997</v>
      </c>
      <c r="I148">
        <v>7.0613330000000003</v>
      </c>
      <c r="J148">
        <v>5.2483510000000004</v>
      </c>
      <c r="K148">
        <v>4.1869110000000003</v>
      </c>
      <c r="L148">
        <v>3.8223760000000002</v>
      </c>
      <c r="M148">
        <v>4.4150419999999997</v>
      </c>
      <c r="N148">
        <v>5.549385</v>
      </c>
    </row>
    <row r="149" spans="1:14" hidden="1" x14ac:dyDescent="0.35">
      <c r="A149" t="s">
        <v>206</v>
      </c>
      <c r="B149" t="s">
        <v>37</v>
      </c>
      <c r="C149" t="s">
        <v>79</v>
      </c>
      <c r="D149" t="s">
        <v>79</v>
      </c>
      <c r="E149" t="s">
        <v>601</v>
      </c>
      <c r="F149" t="s">
        <v>581</v>
      </c>
      <c r="G149" t="s">
        <v>25</v>
      </c>
      <c r="H149">
        <v>2.0419149999999999</v>
      </c>
      <c r="I149">
        <v>2.0888049999999998</v>
      </c>
      <c r="J149">
        <v>1.5536509999999999</v>
      </c>
      <c r="K149">
        <v>1.2266010000000001</v>
      </c>
      <c r="L149">
        <v>1.122185</v>
      </c>
      <c r="M149">
        <v>1.3119890000000001</v>
      </c>
      <c r="N149">
        <v>1.647384</v>
      </c>
    </row>
    <row r="150" spans="1:14" hidden="1" x14ac:dyDescent="0.35">
      <c r="A150" t="s">
        <v>206</v>
      </c>
      <c r="B150" t="s">
        <v>37</v>
      </c>
      <c r="C150" t="s">
        <v>79</v>
      </c>
      <c r="D150" t="s">
        <v>79</v>
      </c>
      <c r="E150" t="s">
        <v>601</v>
      </c>
      <c r="F150" t="s">
        <v>26</v>
      </c>
      <c r="G150" t="s">
        <v>26</v>
      </c>
      <c r="H150">
        <v>2.4408219999999998</v>
      </c>
      <c r="I150">
        <v>2.654973</v>
      </c>
      <c r="J150">
        <v>1.975039</v>
      </c>
      <c r="K150">
        <v>1.5564530000000001</v>
      </c>
      <c r="L150">
        <v>1.424485</v>
      </c>
      <c r="M150">
        <v>1.668941</v>
      </c>
      <c r="N150">
        <v>2.0952169999999999</v>
      </c>
    </row>
    <row r="151" spans="1:14" hidden="1" x14ac:dyDescent="0.35">
      <c r="A151" t="s">
        <v>206</v>
      </c>
      <c r="B151" t="s">
        <v>37</v>
      </c>
      <c r="C151" t="s">
        <v>79</v>
      </c>
      <c r="D151" t="s">
        <v>79</v>
      </c>
      <c r="E151" t="s">
        <v>584</v>
      </c>
      <c r="F151" t="s">
        <v>581</v>
      </c>
      <c r="G151" t="s">
        <v>396</v>
      </c>
      <c r="H151">
        <v>2.6717810000000002</v>
      </c>
      <c r="I151">
        <v>1.790948</v>
      </c>
      <c r="J151">
        <v>1.201058</v>
      </c>
      <c r="K151">
        <v>0.80612910000000004</v>
      </c>
      <c r="L151">
        <v>0.54036300000000004</v>
      </c>
      <c r="M151">
        <v>0.3622167</v>
      </c>
      <c r="N151">
        <v>0.2428005</v>
      </c>
    </row>
    <row r="152" spans="1:14" hidden="1" x14ac:dyDescent="0.35">
      <c r="A152" t="s">
        <v>206</v>
      </c>
      <c r="B152" t="s">
        <v>37</v>
      </c>
      <c r="C152" t="s">
        <v>79</v>
      </c>
      <c r="D152" t="s">
        <v>79</v>
      </c>
      <c r="E152" t="s">
        <v>584</v>
      </c>
      <c r="F152" t="s">
        <v>581</v>
      </c>
      <c r="G152" t="s">
        <v>24</v>
      </c>
      <c r="H152">
        <v>0.32876719999999998</v>
      </c>
      <c r="I152">
        <v>0.22037809999999999</v>
      </c>
      <c r="J152">
        <v>0.14779149999999999</v>
      </c>
      <c r="K152">
        <v>9.9194519999999994E-2</v>
      </c>
      <c r="L152">
        <v>6.6493150000000001E-2</v>
      </c>
      <c r="M152">
        <v>4.4571230000000003E-2</v>
      </c>
      <c r="N152">
        <v>2.9876440000000001E-2</v>
      </c>
    </row>
    <row r="153" spans="1:14" hidden="1" x14ac:dyDescent="0.35">
      <c r="A153" t="s">
        <v>206</v>
      </c>
      <c r="B153" t="s">
        <v>37</v>
      </c>
      <c r="C153" t="s">
        <v>79</v>
      </c>
      <c r="D153" t="s">
        <v>79</v>
      </c>
      <c r="E153" t="s">
        <v>584</v>
      </c>
      <c r="F153" t="s">
        <v>26</v>
      </c>
      <c r="G153" t="s">
        <v>26</v>
      </c>
      <c r="H153">
        <v>1.4904109999999999</v>
      </c>
      <c r="I153">
        <v>1.460898</v>
      </c>
      <c r="J153">
        <v>1.4319200000000001</v>
      </c>
      <c r="K153">
        <v>1.400795</v>
      </c>
      <c r="L153">
        <v>1.3597060000000001</v>
      </c>
      <c r="M153">
        <v>1.290762</v>
      </c>
      <c r="N153">
        <v>1.2307760000000001</v>
      </c>
    </row>
    <row r="154" spans="1:14" hidden="1" x14ac:dyDescent="0.35">
      <c r="A154" t="s">
        <v>206</v>
      </c>
      <c r="B154" t="s">
        <v>37</v>
      </c>
      <c r="C154" t="s">
        <v>51</v>
      </c>
      <c r="D154" t="s">
        <v>51</v>
      </c>
      <c r="E154" t="s">
        <v>602</v>
      </c>
      <c r="F154" t="s">
        <v>581</v>
      </c>
      <c r="G154" t="s">
        <v>396</v>
      </c>
      <c r="H154">
        <v>70.839680000000001</v>
      </c>
      <c r="I154">
        <v>73.866500000000002</v>
      </c>
      <c r="J154">
        <v>73.108699999999999</v>
      </c>
      <c r="K154">
        <v>64.805629999999994</v>
      </c>
      <c r="L154">
        <v>57.697659999999999</v>
      </c>
      <c r="M154">
        <v>55.082059999999998</v>
      </c>
      <c r="N154">
        <v>55.095129999999997</v>
      </c>
    </row>
    <row r="155" spans="1:14" hidden="1" x14ac:dyDescent="0.35">
      <c r="A155" t="s">
        <v>206</v>
      </c>
      <c r="B155" t="s">
        <v>37</v>
      </c>
      <c r="C155" t="s">
        <v>51</v>
      </c>
      <c r="D155" t="s">
        <v>51</v>
      </c>
      <c r="E155" t="s">
        <v>602</v>
      </c>
      <c r="F155" t="s">
        <v>581</v>
      </c>
      <c r="G155" t="s">
        <v>25</v>
      </c>
      <c r="H155">
        <v>10.82178</v>
      </c>
      <c r="I155">
        <v>12.7713</v>
      </c>
      <c r="J155">
        <v>12.56274</v>
      </c>
      <c r="K155">
        <v>11.136189999999999</v>
      </c>
      <c r="L155">
        <v>9.9112539999999996</v>
      </c>
      <c r="M155">
        <v>9.4643999999999995</v>
      </c>
      <c r="N155">
        <v>9.470682</v>
      </c>
    </row>
    <row r="156" spans="1:14" hidden="1" x14ac:dyDescent="0.35">
      <c r="A156" t="s">
        <v>206</v>
      </c>
      <c r="B156" t="s">
        <v>37</v>
      </c>
      <c r="C156" t="s">
        <v>51</v>
      </c>
      <c r="D156" t="s">
        <v>51</v>
      </c>
      <c r="E156" t="s">
        <v>602</v>
      </c>
      <c r="F156" t="s">
        <v>26</v>
      </c>
      <c r="G156" t="s">
        <v>26</v>
      </c>
      <c r="H156">
        <v>15.160270000000001</v>
      </c>
      <c r="I156">
        <v>14.92784</v>
      </c>
      <c r="J156">
        <v>14.681089999999999</v>
      </c>
      <c r="K156">
        <v>13.01383</v>
      </c>
      <c r="L156">
        <v>11.58365</v>
      </c>
      <c r="M156">
        <v>11.05979</v>
      </c>
      <c r="N156">
        <v>11.064579999999999</v>
      </c>
    </row>
    <row r="157" spans="1:14" hidden="1" x14ac:dyDescent="0.35">
      <c r="A157" t="s">
        <v>206</v>
      </c>
      <c r="B157" t="s">
        <v>37</v>
      </c>
      <c r="C157" t="s">
        <v>51</v>
      </c>
      <c r="D157" t="s">
        <v>51</v>
      </c>
      <c r="E157" t="s">
        <v>584</v>
      </c>
      <c r="F157" t="s">
        <v>581</v>
      </c>
      <c r="G157" t="s">
        <v>396</v>
      </c>
      <c r="H157">
        <v>0.17534250000000001</v>
      </c>
      <c r="I157">
        <v>0.1718712</v>
      </c>
      <c r="J157">
        <v>0.16846079999999999</v>
      </c>
      <c r="K157">
        <v>0.16479969999999999</v>
      </c>
      <c r="L157">
        <v>0.15996550000000001</v>
      </c>
      <c r="M157">
        <v>0.15185509999999999</v>
      </c>
      <c r="N157">
        <v>0.14479729999999999</v>
      </c>
    </row>
    <row r="158" spans="1:14" hidden="1" x14ac:dyDescent="0.35">
      <c r="A158" t="s">
        <v>206</v>
      </c>
      <c r="B158" t="s">
        <v>37</v>
      </c>
      <c r="C158" t="s">
        <v>51</v>
      </c>
      <c r="D158" t="s">
        <v>51</v>
      </c>
      <c r="E158" t="s">
        <v>584</v>
      </c>
      <c r="F158" t="s">
        <v>581</v>
      </c>
      <c r="G158" t="s">
        <v>25</v>
      </c>
      <c r="H158">
        <v>0.17931510000000001</v>
      </c>
      <c r="I158">
        <v>0.16231509999999999</v>
      </c>
      <c r="J158">
        <v>0.1469184</v>
      </c>
      <c r="K158">
        <v>0.1327825</v>
      </c>
      <c r="L158">
        <v>0.1186455</v>
      </c>
      <c r="M158">
        <v>0.10346519999999999</v>
      </c>
      <c r="N158">
        <v>9.0445750000000005E-2</v>
      </c>
    </row>
    <row r="159" spans="1:14" hidden="1" x14ac:dyDescent="0.35">
      <c r="A159" t="s">
        <v>206</v>
      </c>
      <c r="B159" t="s">
        <v>37</v>
      </c>
      <c r="C159" t="s">
        <v>51</v>
      </c>
      <c r="D159" t="s">
        <v>51</v>
      </c>
      <c r="E159" t="s">
        <v>584</v>
      </c>
      <c r="F159" t="s">
        <v>26</v>
      </c>
      <c r="G159" t="s">
        <v>26</v>
      </c>
      <c r="H159">
        <v>0.1723288</v>
      </c>
      <c r="I159">
        <v>0.16891510000000001</v>
      </c>
      <c r="J159">
        <v>0.16556679999999999</v>
      </c>
      <c r="K159">
        <v>0.1619671</v>
      </c>
      <c r="L159">
        <v>0.15721589999999999</v>
      </c>
      <c r="M159">
        <v>0.1492433</v>
      </c>
      <c r="N159">
        <v>0.14230960000000001</v>
      </c>
    </row>
    <row r="160" spans="1:14" hidden="1" x14ac:dyDescent="0.35">
      <c r="A160" t="s">
        <v>206</v>
      </c>
      <c r="B160" t="s">
        <v>37</v>
      </c>
      <c r="C160" t="s">
        <v>35</v>
      </c>
      <c r="D160" t="s">
        <v>38</v>
      </c>
      <c r="E160" t="s">
        <v>584</v>
      </c>
      <c r="F160" t="s">
        <v>581</v>
      </c>
      <c r="G160" t="s">
        <v>396</v>
      </c>
      <c r="H160">
        <v>17.045480000000001</v>
      </c>
      <c r="I160">
        <v>15.22997</v>
      </c>
      <c r="J160">
        <v>13.645960000000001</v>
      </c>
      <c r="K160">
        <v>12.243320000000001</v>
      </c>
      <c r="L160">
        <v>10.89287</v>
      </c>
      <c r="M160">
        <v>9.489134</v>
      </c>
      <c r="N160">
        <v>8.3155990000000006</v>
      </c>
    </row>
    <row r="161" spans="1:14" hidden="1" x14ac:dyDescent="0.35">
      <c r="A161" t="s">
        <v>206</v>
      </c>
      <c r="B161" t="s">
        <v>37</v>
      </c>
      <c r="C161" t="s">
        <v>35</v>
      </c>
      <c r="D161" t="s">
        <v>38</v>
      </c>
      <c r="E161" t="s">
        <v>584</v>
      </c>
      <c r="F161" t="s">
        <v>581</v>
      </c>
      <c r="G161" t="s">
        <v>24</v>
      </c>
      <c r="H161">
        <v>2.412603E-2</v>
      </c>
      <c r="I161">
        <v>1.618356E-2</v>
      </c>
      <c r="J161">
        <v>1.0854249999999999E-2</v>
      </c>
      <c r="K161">
        <v>7.2863010000000002E-3</v>
      </c>
      <c r="L161">
        <v>4.8994520000000003E-3</v>
      </c>
      <c r="M161">
        <v>2.6843840000000002E-3</v>
      </c>
      <c r="N161">
        <v>1.8005479999999999E-3</v>
      </c>
    </row>
    <row r="162" spans="1:14" hidden="1" x14ac:dyDescent="0.35">
      <c r="A162" t="s">
        <v>206</v>
      </c>
      <c r="B162" t="s">
        <v>37</v>
      </c>
      <c r="C162" t="s">
        <v>35</v>
      </c>
      <c r="D162" t="s">
        <v>38</v>
      </c>
      <c r="E162" t="s">
        <v>584</v>
      </c>
      <c r="F162" t="s">
        <v>581</v>
      </c>
      <c r="G162" t="s">
        <v>25</v>
      </c>
      <c r="H162">
        <v>3.3843830000000001</v>
      </c>
      <c r="I162">
        <v>2.8781089999999998</v>
      </c>
      <c r="J162">
        <v>2.464979</v>
      </c>
      <c r="K162">
        <v>2.1207739999999999</v>
      </c>
      <c r="L162">
        <v>1.8123860000000001</v>
      </c>
      <c r="M162">
        <v>1.518386</v>
      </c>
      <c r="N162">
        <v>1.2804070000000001</v>
      </c>
    </row>
    <row r="163" spans="1:14" hidden="1" x14ac:dyDescent="0.35">
      <c r="A163" t="s">
        <v>206</v>
      </c>
      <c r="B163" t="s">
        <v>37</v>
      </c>
      <c r="C163" t="s">
        <v>35</v>
      </c>
      <c r="D163" t="s">
        <v>38</v>
      </c>
      <c r="E163" t="s">
        <v>584</v>
      </c>
      <c r="F163" t="s">
        <v>26</v>
      </c>
      <c r="G163" t="s">
        <v>26</v>
      </c>
      <c r="H163">
        <v>11.786569999999999</v>
      </c>
      <c r="I163">
        <v>11.48963</v>
      </c>
      <c r="J163">
        <v>11.2014</v>
      </c>
      <c r="K163">
        <v>10.91154</v>
      </c>
      <c r="L163">
        <v>10.55034</v>
      </c>
      <c r="M163">
        <v>10.01366</v>
      </c>
      <c r="N163">
        <v>9.5425869999999993</v>
      </c>
    </row>
    <row r="164" spans="1:14" hidden="1" x14ac:dyDescent="0.35">
      <c r="A164" t="s">
        <v>206</v>
      </c>
      <c r="B164" t="s">
        <v>37</v>
      </c>
      <c r="C164" t="s">
        <v>35</v>
      </c>
      <c r="D164" t="s">
        <v>38</v>
      </c>
      <c r="E164" t="s">
        <v>603</v>
      </c>
      <c r="F164" t="s">
        <v>581</v>
      </c>
      <c r="G164" t="s">
        <v>396</v>
      </c>
      <c r="H164">
        <v>2.5665749999999998</v>
      </c>
      <c r="I164">
        <v>2.0714350000000001</v>
      </c>
      <c r="J164">
        <v>1.7723450000000001</v>
      </c>
      <c r="K164">
        <v>1.5486359999999999</v>
      </c>
      <c r="L164">
        <v>1.3622909999999999</v>
      </c>
      <c r="M164">
        <v>1.2053529999999999</v>
      </c>
      <c r="N164">
        <v>1.057674</v>
      </c>
    </row>
    <row r="165" spans="1:14" hidden="1" x14ac:dyDescent="0.35">
      <c r="A165" t="s">
        <v>206</v>
      </c>
      <c r="B165" t="s">
        <v>37</v>
      </c>
      <c r="C165" t="s">
        <v>35</v>
      </c>
      <c r="D165" t="s">
        <v>38</v>
      </c>
      <c r="E165" t="s">
        <v>603</v>
      </c>
      <c r="F165" t="s">
        <v>581</v>
      </c>
      <c r="G165" t="s">
        <v>25</v>
      </c>
      <c r="H165">
        <v>1.9282159999999999</v>
      </c>
      <c r="I165">
        <v>1.469619</v>
      </c>
      <c r="J165">
        <v>1.2554110000000001</v>
      </c>
      <c r="K165">
        <v>1.096951</v>
      </c>
      <c r="L165">
        <v>0.96495339999999996</v>
      </c>
      <c r="M165">
        <v>0.85379179999999999</v>
      </c>
      <c r="N165">
        <v>0.74918629999999997</v>
      </c>
    </row>
    <row r="166" spans="1:14" hidden="1" x14ac:dyDescent="0.35">
      <c r="A166" t="s">
        <v>206</v>
      </c>
      <c r="B166" t="s">
        <v>37</v>
      </c>
      <c r="C166" t="s">
        <v>35</v>
      </c>
      <c r="D166" t="s">
        <v>38</v>
      </c>
      <c r="E166" t="s">
        <v>603</v>
      </c>
      <c r="F166" t="s">
        <v>26</v>
      </c>
      <c r="G166" t="s">
        <v>26</v>
      </c>
      <c r="H166">
        <v>1.7093149999999999</v>
      </c>
      <c r="I166">
        <v>1.224682</v>
      </c>
      <c r="J166">
        <v>1.0461750000000001</v>
      </c>
      <c r="K166">
        <v>0.91412610000000005</v>
      </c>
      <c r="L166">
        <v>0.80412879999999998</v>
      </c>
      <c r="M166">
        <v>0.71149309999999999</v>
      </c>
      <c r="N166">
        <v>0.62432330000000003</v>
      </c>
    </row>
    <row r="167" spans="1:14" hidden="1" x14ac:dyDescent="0.35">
      <c r="A167" t="s">
        <v>206</v>
      </c>
      <c r="B167" t="s">
        <v>37</v>
      </c>
      <c r="C167" t="s">
        <v>35</v>
      </c>
      <c r="D167" t="s">
        <v>38</v>
      </c>
      <c r="E167" t="s">
        <v>586</v>
      </c>
      <c r="F167" t="s">
        <v>581</v>
      </c>
      <c r="G167" t="s">
        <v>396</v>
      </c>
      <c r="H167">
        <v>1.810411</v>
      </c>
      <c r="I167">
        <v>1.451276</v>
      </c>
      <c r="J167">
        <v>1.4409080000000001</v>
      </c>
      <c r="K167">
        <v>1.3115939999999999</v>
      </c>
      <c r="L167">
        <v>1.1327160000000001</v>
      </c>
      <c r="M167">
        <v>0.99181620000000004</v>
      </c>
      <c r="N167">
        <v>0.89759750000000005</v>
      </c>
    </row>
    <row r="168" spans="1:14" hidden="1" x14ac:dyDescent="0.35">
      <c r="A168" t="s">
        <v>206</v>
      </c>
      <c r="B168" t="s">
        <v>37</v>
      </c>
      <c r="C168" t="s">
        <v>35</v>
      </c>
      <c r="D168" t="s">
        <v>38</v>
      </c>
      <c r="E168" t="s">
        <v>586</v>
      </c>
      <c r="F168" t="s">
        <v>581</v>
      </c>
      <c r="G168" t="s">
        <v>25</v>
      </c>
      <c r="H168">
        <v>0.73424659999999997</v>
      </c>
      <c r="I168">
        <v>0.72564980000000001</v>
      </c>
      <c r="J168">
        <v>0.72045239999999999</v>
      </c>
      <c r="K168">
        <v>0.65579500000000002</v>
      </c>
      <c r="L168">
        <v>0.56635979999999997</v>
      </c>
      <c r="M168">
        <v>0.49590299999999998</v>
      </c>
      <c r="N168">
        <v>0.44880130000000001</v>
      </c>
    </row>
    <row r="169" spans="1:14" hidden="1" x14ac:dyDescent="0.35">
      <c r="A169" t="s">
        <v>206</v>
      </c>
      <c r="B169" t="s">
        <v>37</v>
      </c>
      <c r="C169" t="s">
        <v>35</v>
      </c>
      <c r="D169" t="s">
        <v>38</v>
      </c>
      <c r="E169" t="s">
        <v>586</v>
      </c>
      <c r="F169" t="s">
        <v>26</v>
      </c>
      <c r="G169" t="s">
        <v>26</v>
      </c>
      <c r="H169">
        <v>1.0213699999999999</v>
      </c>
      <c r="I169">
        <v>0.72564700000000004</v>
      </c>
      <c r="J169">
        <v>0.7204545</v>
      </c>
      <c r="K169">
        <v>0.65579670000000001</v>
      </c>
      <c r="L169">
        <v>0.56635780000000002</v>
      </c>
      <c r="M169">
        <v>0.49590849999999997</v>
      </c>
      <c r="N169">
        <v>0.44879780000000002</v>
      </c>
    </row>
    <row r="170" spans="1:14" hidden="1" x14ac:dyDescent="0.35">
      <c r="A170" t="s">
        <v>206</v>
      </c>
      <c r="B170" t="s">
        <v>37</v>
      </c>
      <c r="C170" t="s">
        <v>35</v>
      </c>
      <c r="D170" t="s">
        <v>129</v>
      </c>
      <c r="E170" t="s">
        <v>582</v>
      </c>
      <c r="F170" t="s">
        <v>581</v>
      </c>
      <c r="G170" t="s">
        <v>396</v>
      </c>
      <c r="H170">
        <v>16.322199999999999</v>
      </c>
      <c r="I170">
        <v>18.702950000000001</v>
      </c>
      <c r="J170">
        <v>17.70478</v>
      </c>
      <c r="K170">
        <v>14.90352</v>
      </c>
      <c r="L170">
        <v>13.19693</v>
      </c>
      <c r="M170">
        <v>10.929360000000001</v>
      </c>
      <c r="N170">
        <v>8.8432650000000006</v>
      </c>
    </row>
    <row r="171" spans="1:14" hidden="1" x14ac:dyDescent="0.35">
      <c r="A171" t="s">
        <v>206</v>
      </c>
      <c r="B171" t="s">
        <v>37</v>
      </c>
      <c r="C171" t="s">
        <v>35</v>
      </c>
      <c r="D171" t="s">
        <v>129</v>
      </c>
      <c r="E171" t="s">
        <v>582</v>
      </c>
      <c r="F171" t="s">
        <v>581</v>
      </c>
      <c r="G171" t="s">
        <v>25</v>
      </c>
      <c r="H171">
        <v>6.7528790000000001</v>
      </c>
      <c r="I171">
        <v>9.5578459999999996</v>
      </c>
      <c r="J171">
        <v>9.0259619999999998</v>
      </c>
      <c r="K171">
        <v>7.5978789999999998</v>
      </c>
      <c r="L171">
        <v>6.727849</v>
      </c>
      <c r="M171">
        <v>5.5718310000000004</v>
      </c>
      <c r="N171">
        <v>4.5083330000000004</v>
      </c>
    </row>
    <row r="172" spans="1:14" hidden="1" x14ac:dyDescent="0.35">
      <c r="A172" t="s">
        <v>206</v>
      </c>
      <c r="B172" t="s">
        <v>37</v>
      </c>
      <c r="C172" t="s">
        <v>35</v>
      </c>
      <c r="D172" t="s">
        <v>129</v>
      </c>
      <c r="E172" t="s">
        <v>582</v>
      </c>
      <c r="F172" t="s">
        <v>26</v>
      </c>
      <c r="G172" t="s">
        <v>26</v>
      </c>
      <c r="H172">
        <v>8.3068489999999997</v>
      </c>
      <c r="I172">
        <v>8.4550230000000006</v>
      </c>
      <c r="J172">
        <v>7.9845090000000001</v>
      </c>
      <c r="K172">
        <v>6.7211980000000002</v>
      </c>
      <c r="L172">
        <v>5.9515589999999996</v>
      </c>
      <c r="M172">
        <v>4.928928</v>
      </c>
      <c r="N172">
        <v>3.9881389999999999</v>
      </c>
    </row>
    <row r="173" spans="1:14" hidden="1" x14ac:dyDescent="0.35">
      <c r="A173" t="s">
        <v>206</v>
      </c>
      <c r="B173" t="s">
        <v>37</v>
      </c>
      <c r="C173" t="s">
        <v>35</v>
      </c>
      <c r="D173" t="s">
        <v>39</v>
      </c>
      <c r="E173" t="s">
        <v>582</v>
      </c>
      <c r="F173" t="s">
        <v>581</v>
      </c>
      <c r="G173" t="s">
        <v>396</v>
      </c>
      <c r="H173">
        <v>5.8454790000000001</v>
      </c>
      <c r="I173">
        <v>8.057563</v>
      </c>
      <c r="J173">
        <v>8.6420469999999998</v>
      </c>
      <c r="K173">
        <v>7.7538520000000002</v>
      </c>
      <c r="L173">
        <v>6.9266459999999999</v>
      </c>
      <c r="M173">
        <v>5.2926330000000004</v>
      </c>
      <c r="N173">
        <v>4.1450740000000001</v>
      </c>
    </row>
    <row r="174" spans="1:14" hidden="1" x14ac:dyDescent="0.35">
      <c r="A174" t="s">
        <v>206</v>
      </c>
      <c r="B174" t="s">
        <v>37</v>
      </c>
      <c r="C174" t="s">
        <v>35</v>
      </c>
      <c r="D174" t="s">
        <v>39</v>
      </c>
      <c r="E174" t="s">
        <v>582</v>
      </c>
      <c r="F174" t="s">
        <v>581</v>
      </c>
      <c r="G174" t="s">
        <v>25</v>
      </c>
      <c r="H174">
        <v>2.198356</v>
      </c>
      <c r="I174">
        <v>3.7623929999999999</v>
      </c>
      <c r="J174">
        <v>4.0067659999999998</v>
      </c>
      <c r="K174">
        <v>3.5949659999999999</v>
      </c>
      <c r="L174">
        <v>3.211446</v>
      </c>
      <c r="M174">
        <v>2.4538549999999999</v>
      </c>
      <c r="N174">
        <v>1.921807</v>
      </c>
    </row>
    <row r="175" spans="1:14" hidden="1" x14ac:dyDescent="0.35">
      <c r="A175" t="s">
        <v>206</v>
      </c>
      <c r="B175" t="s">
        <v>37</v>
      </c>
      <c r="C175" t="s">
        <v>35</v>
      </c>
      <c r="D175" t="s">
        <v>39</v>
      </c>
      <c r="E175" t="s">
        <v>582</v>
      </c>
      <c r="F175" t="s">
        <v>26</v>
      </c>
      <c r="G175" t="s">
        <v>26</v>
      </c>
      <c r="H175">
        <v>2.6757529999999998</v>
      </c>
      <c r="I175">
        <v>3.2920950000000002</v>
      </c>
      <c r="J175">
        <v>3.5059209999999998</v>
      </c>
      <c r="K175">
        <v>3.145597</v>
      </c>
      <c r="L175">
        <v>2.8100139999999998</v>
      </c>
      <c r="M175">
        <v>2.1471269999999998</v>
      </c>
      <c r="N175">
        <v>1.6815789999999999</v>
      </c>
    </row>
    <row r="176" spans="1:14" hidden="1" x14ac:dyDescent="0.35">
      <c r="A176" t="s">
        <v>206</v>
      </c>
      <c r="B176" t="s">
        <v>37</v>
      </c>
      <c r="C176" t="s">
        <v>35</v>
      </c>
      <c r="D176" t="s">
        <v>207</v>
      </c>
      <c r="E176" t="s">
        <v>583</v>
      </c>
      <c r="F176" t="s">
        <v>581</v>
      </c>
      <c r="G176" t="s">
        <v>396</v>
      </c>
      <c r="H176">
        <v>1.387397</v>
      </c>
      <c r="I176">
        <v>1.164479</v>
      </c>
      <c r="J176">
        <v>1.045701</v>
      </c>
      <c r="K176">
        <v>0.89406110000000005</v>
      </c>
      <c r="L176">
        <v>0.77461919999999995</v>
      </c>
      <c r="M176">
        <v>0.67995070000000002</v>
      </c>
      <c r="N176">
        <v>0.5955918</v>
      </c>
    </row>
    <row r="177" spans="1:14" hidden="1" x14ac:dyDescent="0.35">
      <c r="A177" t="s">
        <v>206</v>
      </c>
      <c r="B177" t="s">
        <v>37</v>
      </c>
      <c r="C177" t="s">
        <v>105</v>
      </c>
      <c r="D177" t="s">
        <v>105</v>
      </c>
      <c r="E177" t="s">
        <v>584</v>
      </c>
      <c r="F177" t="s">
        <v>581</v>
      </c>
      <c r="G177" t="s">
        <v>396</v>
      </c>
      <c r="H177">
        <v>0.70794520000000005</v>
      </c>
      <c r="I177">
        <v>0.6840986</v>
      </c>
      <c r="J177">
        <v>0.66811509999999996</v>
      </c>
      <c r="K177">
        <v>0.65740279999999995</v>
      </c>
      <c r="L177">
        <v>0.65021910000000005</v>
      </c>
      <c r="M177">
        <v>0.64540549999999997</v>
      </c>
      <c r="N177">
        <v>0.64217809999999997</v>
      </c>
    </row>
    <row r="178" spans="1:14" hidden="1" x14ac:dyDescent="0.35">
      <c r="A178" t="s">
        <v>206</v>
      </c>
      <c r="B178" t="s">
        <v>37</v>
      </c>
      <c r="C178" t="s">
        <v>105</v>
      </c>
      <c r="D178" t="s">
        <v>105</v>
      </c>
      <c r="E178" t="s">
        <v>584</v>
      </c>
      <c r="F178" t="s">
        <v>581</v>
      </c>
      <c r="G178" t="s">
        <v>24</v>
      </c>
      <c r="H178">
        <v>1.2909619999999999</v>
      </c>
      <c r="I178">
        <v>0.86536440000000003</v>
      </c>
      <c r="J178">
        <v>0.58033319999999999</v>
      </c>
      <c r="K178">
        <v>0.38884629999999998</v>
      </c>
      <c r="L178">
        <v>0.26065100000000002</v>
      </c>
      <c r="M178">
        <v>0.1747205</v>
      </c>
      <c r="N178">
        <v>0.1171189</v>
      </c>
    </row>
    <row r="179" spans="1:14" hidden="1" x14ac:dyDescent="0.35">
      <c r="A179" t="s">
        <v>206</v>
      </c>
      <c r="B179" t="s">
        <v>37</v>
      </c>
      <c r="C179" t="s">
        <v>105</v>
      </c>
      <c r="D179" t="s">
        <v>105</v>
      </c>
      <c r="E179" t="s">
        <v>584</v>
      </c>
      <c r="F179" t="s">
        <v>581</v>
      </c>
      <c r="G179" t="s">
        <v>25</v>
      </c>
      <c r="H179">
        <v>3.0005449999999998</v>
      </c>
      <c r="I179">
        <v>2.0113289999999999</v>
      </c>
      <c r="J179">
        <v>1.348849</v>
      </c>
      <c r="K179">
        <v>0.90532349999999995</v>
      </c>
      <c r="L179">
        <v>0.60685619999999996</v>
      </c>
      <c r="M179">
        <v>0.40678989999999998</v>
      </c>
      <c r="N179">
        <v>0.27267780000000003</v>
      </c>
    </row>
    <row r="180" spans="1:14" hidden="1" x14ac:dyDescent="0.35">
      <c r="A180" t="s">
        <v>206</v>
      </c>
      <c r="B180" t="s">
        <v>37</v>
      </c>
      <c r="C180" t="s">
        <v>105</v>
      </c>
      <c r="D180" t="s">
        <v>105</v>
      </c>
      <c r="E180" t="s">
        <v>584</v>
      </c>
      <c r="F180" t="s">
        <v>26</v>
      </c>
      <c r="G180" t="s">
        <v>26</v>
      </c>
      <c r="H180">
        <v>9.6658950000000008</v>
      </c>
      <c r="I180">
        <v>9.4203390000000002</v>
      </c>
      <c r="J180">
        <v>9.180866</v>
      </c>
      <c r="K180">
        <v>8.9397629999999992</v>
      </c>
      <c r="L180">
        <v>8.6260460000000005</v>
      </c>
      <c r="M180">
        <v>8.1388789999999993</v>
      </c>
      <c r="N180">
        <v>7.7123160000000004</v>
      </c>
    </row>
    <row r="181" spans="1:14" hidden="1" x14ac:dyDescent="0.35">
      <c r="A181" t="s">
        <v>206</v>
      </c>
      <c r="B181" t="s">
        <v>37</v>
      </c>
      <c r="C181" t="s">
        <v>61</v>
      </c>
      <c r="D181" t="s">
        <v>62</v>
      </c>
      <c r="E181" t="s">
        <v>584</v>
      </c>
      <c r="F181" t="s">
        <v>581</v>
      </c>
      <c r="G181" t="s">
        <v>396</v>
      </c>
      <c r="H181">
        <v>11.94045</v>
      </c>
      <c r="I181">
        <v>11.81122</v>
      </c>
      <c r="J181">
        <v>9.3856310000000001</v>
      </c>
      <c r="K181">
        <v>7.5590869999999999</v>
      </c>
      <c r="L181">
        <v>6.1479160000000004</v>
      </c>
      <c r="M181">
        <v>4.9828669999999997</v>
      </c>
      <c r="N181">
        <v>4.0924940000000003</v>
      </c>
    </row>
    <row r="182" spans="1:14" hidden="1" x14ac:dyDescent="0.35">
      <c r="A182" t="s">
        <v>206</v>
      </c>
      <c r="B182" t="s">
        <v>37</v>
      </c>
      <c r="C182" t="s">
        <v>61</v>
      </c>
      <c r="D182" t="s">
        <v>62</v>
      </c>
      <c r="E182" t="s">
        <v>584</v>
      </c>
      <c r="F182" t="s">
        <v>581</v>
      </c>
      <c r="G182" t="s">
        <v>24</v>
      </c>
      <c r="H182">
        <v>8.1594290000000004E-4</v>
      </c>
      <c r="I182">
        <v>5.4656629999999995E-4</v>
      </c>
      <c r="J182">
        <v>3.6866900000000002E-4</v>
      </c>
      <c r="K182">
        <v>2.4712669999999999E-4</v>
      </c>
      <c r="L182">
        <v>1.6573630000000001E-4</v>
      </c>
      <c r="M182">
        <v>1.109438E-4</v>
      </c>
      <c r="N182">
        <v>0</v>
      </c>
    </row>
    <row r="183" spans="1:14" hidden="1" x14ac:dyDescent="0.35">
      <c r="A183" t="s">
        <v>206</v>
      </c>
      <c r="B183" t="s">
        <v>37</v>
      </c>
      <c r="C183" t="s">
        <v>61</v>
      </c>
      <c r="D183" t="s">
        <v>62</v>
      </c>
      <c r="E183" t="s">
        <v>584</v>
      </c>
      <c r="F183" t="s">
        <v>581</v>
      </c>
      <c r="G183" t="s">
        <v>25</v>
      </c>
      <c r="H183">
        <v>1.183581</v>
      </c>
      <c r="I183">
        <v>0.80101860000000003</v>
      </c>
      <c r="J183">
        <v>0.5426396</v>
      </c>
      <c r="K183">
        <v>0.3678901</v>
      </c>
      <c r="L183">
        <v>0.24854280000000001</v>
      </c>
      <c r="M183">
        <v>0.16711400000000001</v>
      </c>
      <c r="N183">
        <v>0.1123199</v>
      </c>
    </row>
    <row r="184" spans="1:14" hidden="1" x14ac:dyDescent="0.35">
      <c r="A184" t="s">
        <v>206</v>
      </c>
      <c r="B184" t="s">
        <v>37</v>
      </c>
      <c r="C184" t="s">
        <v>61</v>
      </c>
      <c r="D184" t="s">
        <v>62</v>
      </c>
      <c r="E184" t="s">
        <v>584</v>
      </c>
      <c r="F184" t="s">
        <v>26</v>
      </c>
      <c r="G184" t="s">
        <v>26</v>
      </c>
      <c r="H184">
        <v>1.7432350000000001</v>
      </c>
      <c r="I184">
        <v>1.4002760000000001</v>
      </c>
      <c r="J184">
        <v>1.1322000000000001</v>
      </c>
      <c r="K184">
        <v>0.9275641</v>
      </c>
      <c r="L184">
        <v>0.76121110000000003</v>
      </c>
      <c r="M184">
        <v>0.61952839999999998</v>
      </c>
      <c r="N184">
        <v>0.51383840000000003</v>
      </c>
    </row>
    <row r="185" spans="1:14" hidden="1" x14ac:dyDescent="0.35">
      <c r="A185" t="s">
        <v>206</v>
      </c>
      <c r="B185" t="s">
        <v>37</v>
      </c>
      <c r="C185" t="s">
        <v>115</v>
      </c>
      <c r="D185" t="s">
        <v>115</v>
      </c>
      <c r="E185" t="s">
        <v>584</v>
      </c>
      <c r="F185" t="s">
        <v>26</v>
      </c>
      <c r="G185" t="s">
        <v>26</v>
      </c>
      <c r="H185">
        <v>5.104819</v>
      </c>
      <c r="I185">
        <v>6.3954420000000001</v>
      </c>
      <c r="J185">
        <v>5.7306710000000001</v>
      </c>
      <c r="K185">
        <v>5.1542019999999997</v>
      </c>
      <c r="L185">
        <v>4.6370870000000002</v>
      </c>
      <c r="M185">
        <v>4.1841559999999998</v>
      </c>
      <c r="N185">
        <v>3.7548379999999999</v>
      </c>
    </row>
    <row r="186" spans="1:14" hidden="1" x14ac:dyDescent="0.35">
      <c r="A186" t="s">
        <v>206</v>
      </c>
      <c r="B186" t="s">
        <v>37</v>
      </c>
      <c r="C186" t="s">
        <v>99</v>
      </c>
      <c r="D186" t="s">
        <v>101</v>
      </c>
      <c r="E186" t="s">
        <v>584</v>
      </c>
      <c r="F186" t="s">
        <v>26</v>
      </c>
      <c r="G186" t="s">
        <v>26</v>
      </c>
      <c r="H186">
        <v>0.54958899999999999</v>
      </c>
      <c r="I186">
        <v>0.5242658</v>
      </c>
      <c r="J186">
        <v>0.50009729999999997</v>
      </c>
      <c r="K186">
        <v>0.47653669999999998</v>
      </c>
      <c r="L186">
        <v>0.44967590000000002</v>
      </c>
      <c r="M186">
        <v>0.41468759999999999</v>
      </c>
      <c r="N186">
        <v>0.1183956</v>
      </c>
    </row>
    <row r="187" spans="1:14" hidden="1" x14ac:dyDescent="0.35">
      <c r="A187" t="s">
        <v>206</v>
      </c>
      <c r="B187" t="s">
        <v>37</v>
      </c>
      <c r="C187" t="s">
        <v>118</v>
      </c>
      <c r="D187" t="s">
        <v>118</v>
      </c>
      <c r="E187" t="s">
        <v>584</v>
      </c>
      <c r="F187" t="s">
        <v>26</v>
      </c>
      <c r="G187" t="s">
        <v>26</v>
      </c>
      <c r="H187">
        <v>0.34473419999999999</v>
      </c>
      <c r="I187">
        <v>0.33387670000000003</v>
      </c>
      <c r="J187">
        <v>0.32335399999999997</v>
      </c>
      <c r="K187">
        <v>0.31287540000000003</v>
      </c>
      <c r="L187">
        <v>0.29993370000000003</v>
      </c>
      <c r="M187">
        <v>0.28110740000000001</v>
      </c>
      <c r="N187">
        <v>0.26455420000000002</v>
      </c>
    </row>
    <row r="188" spans="1:14" hidden="1" x14ac:dyDescent="0.35">
      <c r="A188" t="s">
        <v>206</v>
      </c>
      <c r="B188" t="s">
        <v>37</v>
      </c>
      <c r="C188" t="s">
        <v>109</v>
      </c>
      <c r="D188" t="s">
        <v>109</v>
      </c>
      <c r="E188" t="s">
        <v>584</v>
      </c>
      <c r="F188" t="s">
        <v>581</v>
      </c>
      <c r="G188" t="s">
        <v>396</v>
      </c>
      <c r="H188">
        <v>3.7739809999999999E-2</v>
      </c>
      <c r="I188">
        <v>3.6992799999999999E-2</v>
      </c>
      <c r="J188">
        <v>3.6259479999999997E-2</v>
      </c>
      <c r="K188">
        <v>3.5540769999999999E-2</v>
      </c>
      <c r="L188">
        <v>2.7205480000000001E-2</v>
      </c>
      <c r="M188">
        <v>2.6665749999999998E-2</v>
      </c>
      <c r="N188">
        <v>2.6136989999999999E-2</v>
      </c>
    </row>
    <row r="189" spans="1:14" hidden="1" x14ac:dyDescent="0.35">
      <c r="A189" t="s">
        <v>206</v>
      </c>
      <c r="B189" t="s">
        <v>37</v>
      </c>
      <c r="C189" t="s">
        <v>109</v>
      </c>
      <c r="D189" t="s">
        <v>109</v>
      </c>
      <c r="E189" t="s">
        <v>584</v>
      </c>
      <c r="F189" t="s">
        <v>581</v>
      </c>
      <c r="G189" t="s">
        <v>24</v>
      </c>
      <c r="H189">
        <v>7.3010389999999994E-2</v>
      </c>
      <c r="I189">
        <v>6.3261750000000005E-2</v>
      </c>
      <c r="J189">
        <v>5.4955629999999998E-2</v>
      </c>
      <c r="K189">
        <v>4.7799670000000002E-2</v>
      </c>
      <c r="L189">
        <v>2.893569E-2</v>
      </c>
      <c r="M189">
        <v>2.3417E-2</v>
      </c>
      <c r="N189">
        <v>1.896368E-2</v>
      </c>
    </row>
    <row r="190" spans="1:14" hidden="1" x14ac:dyDescent="0.35">
      <c r="A190" t="s">
        <v>206</v>
      </c>
      <c r="B190" t="s">
        <v>37</v>
      </c>
      <c r="C190" t="s">
        <v>109</v>
      </c>
      <c r="D190" t="s">
        <v>109</v>
      </c>
      <c r="E190" t="s">
        <v>584</v>
      </c>
      <c r="F190" t="s">
        <v>581</v>
      </c>
      <c r="G190" t="s">
        <v>25</v>
      </c>
      <c r="H190">
        <v>2.9265220000000002E-2</v>
      </c>
      <c r="I190">
        <v>2.313484E-2</v>
      </c>
      <c r="J190">
        <v>1.8337300000000001E-2</v>
      </c>
      <c r="K190">
        <v>1.4548439999999999E-2</v>
      </c>
      <c r="L190">
        <v>1.013734E-2</v>
      </c>
      <c r="M190">
        <v>7.5510880000000001E-3</v>
      </c>
      <c r="N190">
        <v>5.6178920000000002E-3</v>
      </c>
    </row>
    <row r="191" spans="1:14" hidden="1" x14ac:dyDescent="0.35">
      <c r="A191" t="s">
        <v>206</v>
      </c>
      <c r="B191" t="s">
        <v>37</v>
      </c>
      <c r="C191" t="s">
        <v>109</v>
      </c>
      <c r="D191" t="s">
        <v>109</v>
      </c>
      <c r="E191" t="s">
        <v>584</v>
      </c>
      <c r="F191" t="s">
        <v>26</v>
      </c>
      <c r="G191" t="s">
        <v>26</v>
      </c>
      <c r="H191">
        <v>0.30568200000000001</v>
      </c>
      <c r="I191">
        <v>0.25384020000000002</v>
      </c>
      <c r="J191">
        <v>0.2108477</v>
      </c>
      <c r="K191">
        <v>0.1748381</v>
      </c>
      <c r="L191">
        <v>0.1389273</v>
      </c>
      <c r="M191">
        <v>0.11035730000000001</v>
      </c>
      <c r="N191">
        <v>8.7715689999999999E-2</v>
      </c>
    </row>
    <row r="192" spans="1:14" hidden="1" x14ac:dyDescent="0.35">
      <c r="A192" t="s">
        <v>206</v>
      </c>
      <c r="B192" t="s">
        <v>37</v>
      </c>
      <c r="C192" t="s">
        <v>46</v>
      </c>
      <c r="D192" t="s">
        <v>46</v>
      </c>
      <c r="E192" t="s">
        <v>584</v>
      </c>
      <c r="F192" t="s">
        <v>26</v>
      </c>
      <c r="G192" t="s">
        <v>26</v>
      </c>
      <c r="H192">
        <v>9.3342470000000004E-3</v>
      </c>
      <c r="I192">
        <v>9.1315059999999993E-3</v>
      </c>
      <c r="J192">
        <v>8.9506849999999999E-3</v>
      </c>
      <c r="K192">
        <v>8.7726019999999991E-3</v>
      </c>
      <c r="L192">
        <v>8.6E-3</v>
      </c>
      <c r="M192">
        <v>8.4273969999999997E-3</v>
      </c>
      <c r="N192">
        <v>8.2849310000000006E-3</v>
      </c>
    </row>
    <row r="193" spans="1:14" hidden="1" x14ac:dyDescent="0.35">
      <c r="A193" t="s">
        <v>206</v>
      </c>
      <c r="B193" t="s">
        <v>73</v>
      </c>
      <c r="C193" t="s">
        <v>87</v>
      </c>
      <c r="D193" t="s">
        <v>88</v>
      </c>
      <c r="E193" t="s">
        <v>584</v>
      </c>
      <c r="F193" t="s">
        <v>581</v>
      </c>
      <c r="G193" t="s">
        <v>396</v>
      </c>
      <c r="H193">
        <v>33.850969999999997</v>
      </c>
      <c r="I193">
        <v>38.176189999999998</v>
      </c>
      <c r="J193">
        <v>40.427230000000002</v>
      </c>
      <c r="K193">
        <v>32.550879999999999</v>
      </c>
      <c r="L193">
        <v>28.506080000000001</v>
      </c>
      <c r="M193">
        <v>28.235479999999999</v>
      </c>
      <c r="N193">
        <v>29.648070000000001</v>
      </c>
    </row>
    <row r="194" spans="1:14" hidden="1" x14ac:dyDescent="0.35">
      <c r="A194" t="s">
        <v>206</v>
      </c>
      <c r="B194" t="s">
        <v>73</v>
      </c>
      <c r="C194" t="s">
        <v>87</v>
      </c>
      <c r="D194" t="s">
        <v>88</v>
      </c>
      <c r="E194" t="s">
        <v>584</v>
      </c>
      <c r="F194" t="s">
        <v>581</v>
      </c>
      <c r="G194" t="s">
        <v>25</v>
      </c>
      <c r="H194">
        <v>1.1510199999999999</v>
      </c>
      <c r="I194">
        <v>0.906837</v>
      </c>
      <c r="J194">
        <v>0.96563279999999996</v>
      </c>
      <c r="K194">
        <v>0.77749999999999997</v>
      </c>
      <c r="L194">
        <v>0.68088610000000005</v>
      </c>
      <c r="M194">
        <v>0.75981310000000002</v>
      </c>
      <c r="N194">
        <v>0.73127030000000004</v>
      </c>
    </row>
    <row r="195" spans="1:14" hidden="1" x14ac:dyDescent="0.35">
      <c r="A195" t="s">
        <v>206</v>
      </c>
      <c r="B195" t="s">
        <v>73</v>
      </c>
      <c r="C195" t="s">
        <v>87</v>
      </c>
      <c r="D195" t="s">
        <v>88</v>
      </c>
      <c r="E195" t="s">
        <v>584</v>
      </c>
      <c r="F195" t="s">
        <v>26</v>
      </c>
      <c r="G195" t="s">
        <v>26</v>
      </c>
      <c r="H195">
        <v>5.2057520000000004</v>
      </c>
      <c r="I195">
        <v>7.3735200000000001</v>
      </c>
      <c r="J195">
        <v>8.0757589999999997</v>
      </c>
      <c r="K195">
        <v>6.5023780000000002</v>
      </c>
      <c r="L195">
        <v>5.6943859999999997</v>
      </c>
      <c r="M195">
        <v>4.7803959999999996</v>
      </c>
      <c r="N195">
        <v>9.4916730000000005</v>
      </c>
    </row>
    <row r="196" spans="1:14" hidden="1" x14ac:dyDescent="0.35">
      <c r="A196" t="s">
        <v>206</v>
      </c>
      <c r="B196" t="s">
        <v>73</v>
      </c>
      <c r="C196" t="s">
        <v>87</v>
      </c>
      <c r="D196" t="s">
        <v>132</v>
      </c>
      <c r="E196" t="s">
        <v>584</v>
      </c>
      <c r="F196" t="s">
        <v>581</v>
      </c>
      <c r="G196" t="s">
        <v>396</v>
      </c>
      <c r="H196">
        <v>14.045870000000001</v>
      </c>
      <c r="I196">
        <v>14.475630000000001</v>
      </c>
      <c r="J196">
        <v>12.78571</v>
      </c>
      <c r="K196">
        <v>10.066520000000001</v>
      </c>
      <c r="L196">
        <v>8.9642230000000005</v>
      </c>
      <c r="M196">
        <v>7.5045019999999996</v>
      </c>
      <c r="N196">
        <v>5.8474060000000003</v>
      </c>
    </row>
    <row r="197" spans="1:14" hidden="1" x14ac:dyDescent="0.35">
      <c r="A197" t="s">
        <v>206</v>
      </c>
      <c r="B197" t="s">
        <v>73</v>
      </c>
      <c r="C197" t="s">
        <v>87</v>
      </c>
      <c r="D197" t="s">
        <v>132</v>
      </c>
      <c r="E197" t="s">
        <v>584</v>
      </c>
      <c r="F197" t="s">
        <v>581</v>
      </c>
      <c r="G197" t="s">
        <v>25</v>
      </c>
      <c r="H197">
        <v>0.44867269999999998</v>
      </c>
      <c r="I197">
        <v>0.46240189999999998</v>
      </c>
      <c r="J197">
        <v>0.40841889999999997</v>
      </c>
      <c r="K197">
        <v>0.16014439999999999</v>
      </c>
      <c r="L197">
        <v>0.13991700000000001</v>
      </c>
      <c r="M197">
        <v>0.1150259</v>
      </c>
      <c r="N197">
        <v>8.7443309999999996E-2</v>
      </c>
    </row>
    <row r="198" spans="1:14" hidden="1" x14ac:dyDescent="0.35">
      <c r="A198" t="s">
        <v>206</v>
      </c>
      <c r="B198" t="s">
        <v>73</v>
      </c>
      <c r="C198" t="s">
        <v>87</v>
      </c>
      <c r="D198" t="s">
        <v>132</v>
      </c>
      <c r="E198" t="s">
        <v>584</v>
      </c>
      <c r="F198" t="s">
        <v>26</v>
      </c>
      <c r="G198" t="s">
        <v>26</v>
      </c>
      <c r="H198">
        <v>1.4658929999999999</v>
      </c>
      <c r="I198">
        <v>1.5107429999999999</v>
      </c>
      <c r="J198">
        <v>1.3343769999999999</v>
      </c>
      <c r="K198">
        <v>1.0506580000000001</v>
      </c>
      <c r="L198">
        <v>0.93400930000000004</v>
      </c>
      <c r="M198">
        <v>0.78094459999999999</v>
      </c>
      <c r="N198">
        <v>0.60785060000000002</v>
      </c>
    </row>
    <row r="199" spans="1:14" hidden="1" x14ac:dyDescent="0.35">
      <c r="A199" t="s">
        <v>206</v>
      </c>
      <c r="B199" t="s">
        <v>73</v>
      </c>
      <c r="C199" t="s">
        <v>87</v>
      </c>
      <c r="D199" t="s">
        <v>208</v>
      </c>
      <c r="E199" t="s">
        <v>584</v>
      </c>
      <c r="F199" t="s">
        <v>581</v>
      </c>
      <c r="G199" t="s">
        <v>396</v>
      </c>
      <c r="H199">
        <v>0</v>
      </c>
      <c r="I199">
        <v>0.29561949999999998</v>
      </c>
      <c r="J199">
        <v>5.4438060000000004</v>
      </c>
      <c r="K199">
        <v>5.2421819999999997</v>
      </c>
      <c r="L199">
        <v>4.010046</v>
      </c>
      <c r="M199">
        <v>3.2259579999999999</v>
      </c>
      <c r="N199">
        <v>2.6210909999999998</v>
      </c>
    </row>
    <row r="200" spans="1:14" hidden="1" x14ac:dyDescent="0.35">
      <c r="A200" t="s">
        <v>206</v>
      </c>
      <c r="B200" t="s">
        <v>73</v>
      </c>
      <c r="C200" t="s">
        <v>87</v>
      </c>
      <c r="D200" t="s">
        <v>87</v>
      </c>
      <c r="E200" t="s">
        <v>584</v>
      </c>
      <c r="F200" t="s">
        <v>581</v>
      </c>
      <c r="G200" t="s">
        <v>396</v>
      </c>
      <c r="H200">
        <v>0.54146260000000002</v>
      </c>
      <c r="I200">
        <v>0.5168275</v>
      </c>
      <c r="J200">
        <v>0.53691350000000004</v>
      </c>
      <c r="K200">
        <v>0.46722150000000001</v>
      </c>
      <c r="L200">
        <v>0.4636188</v>
      </c>
      <c r="M200">
        <v>0.42577389999999998</v>
      </c>
      <c r="N200">
        <v>0.3618518</v>
      </c>
    </row>
    <row r="201" spans="1:14" hidden="1" x14ac:dyDescent="0.35">
      <c r="A201" t="s">
        <v>206</v>
      </c>
      <c r="B201" t="s">
        <v>73</v>
      </c>
      <c r="C201" t="s">
        <v>87</v>
      </c>
      <c r="D201" t="s">
        <v>87</v>
      </c>
      <c r="E201" t="s">
        <v>584</v>
      </c>
      <c r="F201" t="s">
        <v>581</v>
      </c>
      <c r="G201" t="s">
        <v>25</v>
      </c>
      <c r="H201">
        <v>0.12706700000000001</v>
      </c>
      <c r="I201">
        <v>0.1054514</v>
      </c>
      <c r="J201">
        <v>9.4399330000000004E-2</v>
      </c>
      <c r="K201">
        <v>7.8201640000000003E-2</v>
      </c>
      <c r="L201">
        <v>7.5651449999999995E-2</v>
      </c>
      <c r="M201">
        <v>6.7723829999999999E-2</v>
      </c>
      <c r="N201">
        <v>5.6098389999999998E-2</v>
      </c>
    </row>
    <row r="202" spans="1:14" hidden="1" x14ac:dyDescent="0.35">
      <c r="A202" t="s">
        <v>206</v>
      </c>
      <c r="B202" t="s">
        <v>73</v>
      </c>
      <c r="C202" t="s">
        <v>87</v>
      </c>
      <c r="D202" t="s">
        <v>87</v>
      </c>
      <c r="E202" t="s">
        <v>584</v>
      </c>
      <c r="F202" t="s">
        <v>26</v>
      </c>
      <c r="G202" t="s">
        <v>26</v>
      </c>
      <c r="H202">
        <v>0.63036720000000002</v>
      </c>
      <c r="I202">
        <v>0.4990906</v>
      </c>
      <c r="J202">
        <v>0.43601790000000001</v>
      </c>
      <c r="K202">
        <v>0.35248600000000002</v>
      </c>
      <c r="L202">
        <v>0.33277810000000002</v>
      </c>
      <c r="M202">
        <v>0.29072249999999999</v>
      </c>
      <c r="N202">
        <v>0.23501379999999999</v>
      </c>
    </row>
    <row r="203" spans="1:14" hidden="1" x14ac:dyDescent="0.35">
      <c r="A203" t="s">
        <v>206</v>
      </c>
      <c r="B203" t="s">
        <v>73</v>
      </c>
      <c r="C203" t="s">
        <v>80</v>
      </c>
      <c r="D203" t="s">
        <v>152</v>
      </c>
      <c r="E203" t="s">
        <v>584</v>
      </c>
      <c r="F203" t="s">
        <v>581</v>
      </c>
      <c r="G203" t="s">
        <v>396</v>
      </c>
      <c r="H203">
        <v>12.5106</v>
      </c>
      <c r="I203">
        <v>12.745760000000001</v>
      </c>
      <c r="J203">
        <v>12.53247</v>
      </c>
      <c r="K203">
        <v>13.19351</v>
      </c>
      <c r="L203">
        <v>14.39292</v>
      </c>
      <c r="M203">
        <v>2.079091</v>
      </c>
      <c r="N203">
        <v>3.5132289999999999</v>
      </c>
    </row>
    <row r="204" spans="1:14" hidden="1" x14ac:dyDescent="0.35">
      <c r="A204" t="s">
        <v>206</v>
      </c>
      <c r="B204" t="s">
        <v>73</v>
      </c>
      <c r="C204" t="s">
        <v>80</v>
      </c>
      <c r="D204" t="s">
        <v>152</v>
      </c>
      <c r="E204" t="s">
        <v>584</v>
      </c>
      <c r="F204" t="s">
        <v>581</v>
      </c>
      <c r="G204" t="s">
        <v>25</v>
      </c>
      <c r="H204">
        <v>0.5909392</v>
      </c>
      <c r="I204">
        <v>0.67268899999999998</v>
      </c>
      <c r="J204">
        <v>0.66590320000000003</v>
      </c>
      <c r="K204">
        <v>0.68693660000000001</v>
      </c>
      <c r="L204">
        <v>0.72509880000000004</v>
      </c>
      <c r="M204">
        <v>4.3511370000000001E-2</v>
      </c>
      <c r="N204">
        <v>4.7936439999999997E-2</v>
      </c>
    </row>
    <row r="205" spans="1:14" hidden="1" x14ac:dyDescent="0.35">
      <c r="A205" t="s">
        <v>206</v>
      </c>
      <c r="B205" t="s">
        <v>73</v>
      </c>
      <c r="C205" t="s">
        <v>80</v>
      </c>
      <c r="D205" t="s">
        <v>152</v>
      </c>
      <c r="E205" t="s">
        <v>584</v>
      </c>
      <c r="F205" t="s">
        <v>26</v>
      </c>
      <c r="G205" t="s">
        <v>26</v>
      </c>
      <c r="H205">
        <v>6.0617429999999999</v>
      </c>
      <c r="I205">
        <v>8.3958689999999994</v>
      </c>
      <c r="J205">
        <v>8.3958689999999994</v>
      </c>
      <c r="K205">
        <v>8.3958700000000004</v>
      </c>
      <c r="L205">
        <v>8.3958689999999994</v>
      </c>
      <c r="M205">
        <v>1.085439</v>
      </c>
      <c r="N205">
        <v>1.770418</v>
      </c>
    </row>
    <row r="206" spans="1:14" hidden="1" x14ac:dyDescent="0.35">
      <c r="A206" t="s">
        <v>206</v>
      </c>
      <c r="B206" t="s">
        <v>73</v>
      </c>
      <c r="C206" t="s">
        <v>80</v>
      </c>
      <c r="D206" t="s">
        <v>211</v>
      </c>
      <c r="E206" t="s">
        <v>584</v>
      </c>
      <c r="F206" t="s">
        <v>581</v>
      </c>
      <c r="G206" t="s">
        <v>24</v>
      </c>
      <c r="H206">
        <v>0.28759259999999998</v>
      </c>
      <c r="I206">
        <v>0.26766990000000002</v>
      </c>
      <c r="J206">
        <v>0.18135480000000001</v>
      </c>
      <c r="K206">
        <v>0.13698630000000001</v>
      </c>
      <c r="L206">
        <v>5.4794519999999999E-2</v>
      </c>
      <c r="M206">
        <v>3.0136989999999999E-2</v>
      </c>
      <c r="N206">
        <v>1.369863E-2</v>
      </c>
    </row>
    <row r="207" spans="1:14" hidden="1" x14ac:dyDescent="0.35">
      <c r="A207" t="s">
        <v>206</v>
      </c>
      <c r="B207" t="s">
        <v>73</v>
      </c>
      <c r="C207" t="s">
        <v>80</v>
      </c>
      <c r="D207" t="s">
        <v>211</v>
      </c>
      <c r="E207" t="s">
        <v>584</v>
      </c>
      <c r="F207" t="s">
        <v>26</v>
      </c>
      <c r="G207" t="s">
        <v>26</v>
      </c>
      <c r="H207">
        <v>11.63843</v>
      </c>
      <c r="I207">
        <v>11.78082</v>
      </c>
      <c r="J207">
        <v>11.78082</v>
      </c>
      <c r="K207">
        <v>11.78082</v>
      </c>
      <c r="L207">
        <v>11.78082</v>
      </c>
      <c r="M207">
        <v>10.347289999999999</v>
      </c>
      <c r="N207">
        <v>7.7177369999999996</v>
      </c>
    </row>
    <row r="208" spans="1:14" hidden="1" x14ac:dyDescent="0.35">
      <c r="A208" t="s">
        <v>206</v>
      </c>
      <c r="B208" t="s">
        <v>73</v>
      </c>
      <c r="C208" t="s">
        <v>80</v>
      </c>
      <c r="D208" t="s">
        <v>84</v>
      </c>
      <c r="E208" t="s">
        <v>584</v>
      </c>
      <c r="F208" t="s">
        <v>26</v>
      </c>
      <c r="G208" t="s">
        <v>26</v>
      </c>
      <c r="N208">
        <v>0</v>
      </c>
    </row>
    <row r="209" spans="1:14" hidden="1" x14ac:dyDescent="0.35">
      <c r="A209" t="s">
        <v>206</v>
      </c>
      <c r="B209" t="s">
        <v>73</v>
      </c>
      <c r="C209" t="s">
        <v>97</v>
      </c>
      <c r="D209" t="s">
        <v>170</v>
      </c>
      <c r="E209" t="s">
        <v>584</v>
      </c>
      <c r="F209" t="s">
        <v>581</v>
      </c>
      <c r="G209" t="s">
        <v>24</v>
      </c>
      <c r="K209">
        <v>0</v>
      </c>
      <c r="L209">
        <v>8.9255339999999995E-5</v>
      </c>
      <c r="M209">
        <v>1.5103729999999999E-4</v>
      </c>
      <c r="N209">
        <v>1.246734E-4</v>
      </c>
    </row>
    <row r="210" spans="1:14" hidden="1" x14ac:dyDescent="0.35">
      <c r="A210" t="s">
        <v>206</v>
      </c>
      <c r="B210" t="s">
        <v>73</v>
      </c>
      <c r="C210" t="s">
        <v>97</v>
      </c>
      <c r="D210" t="s">
        <v>170</v>
      </c>
      <c r="E210" t="s">
        <v>584</v>
      </c>
      <c r="F210" t="s">
        <v>581</v>
      </c>
      <c r="G210" t="s">
        <v>25</v>
      </c>
      <c r="H210">
        <v>0.33408450000000001</v>
      </c>
      <c r="I210">
        <v>0.34619179999999999</v>
      </c>
      <c r="J210">
        <v>0.353628</v>
      </c>
      <c r="K210">
        <v>0.36944640000000001</v>
      </c>
      <c r="L210">
        <v>0.37611030000000001</v>
      </c>
      <c r="M210">
        <v>0.37795469999999998</v>
      </c>
      <c r="N210">
        <v>0.37607489999999999</v>
      </c>
    </row>
    <row r="211" spans="1:14" hidden="1" x14ac:dyDescent="0.35">
      <c r="A211" t="s">
        <v>206</v>
      </c>
      <c r="B211" t="s">
        <v>73</v>
      </c>
      <c r="C211" t="s">
        <v>97</v>
      </c>
      <c r="D211" t="s">
        <v>170</v>
      </c>
      <c r="E211" t="s">
        <v>584</v>
      </c>
      <c r="F211" t="s">
        <v>26</v>
      </c>
      <c r="G211" t="s">
        <v>26</v>
      </c>
      <c r="H211">
        <v>8.8048730000000006</v>
      </c>
      <c r="I211">
        <v>9.6978080000000002</v>
      </c>
      <c r="J211">
        <v>9.8909739999999999</v>
      </c>
      <c r="K211">
        <v>10.29167</v>
      </c>
      <c r="L211">
        <v>10.36356</v>
      </c>
      <c r="M211">
        <v>10.36356</v>
      </c>
      <c r="N211">
        <v>10.36356</v>
      </c>
    </row>
    <row r="212" spans="1:14" hidden="1" x14ac:dyDescent="0.35">
      <c r="A212" t="s">
        <v>206</v>
      </c>
      <c r="B212" t="s">
        <v>73</v>
      </c>
      <c r="C212" t="s">
        <v>97</v>
      </c>
      <c r="D212" t="s">
        <v>212</v>
      </c>
      <c r="E212" t="s">
        <v>584</v>
      </c>
      <c r="F212" t="s">
        <v>581</v>
      </c>
      <c r="G212" t="s">
        <v>396</v>
      </c>
      <c r="H212">
        <v>1.753862</v>
      </c>
      <c r="I212">
        <v>2.2637019999999999</v>
      </c>
      <c r="J212">
        <v>2.4704980000000001</v>
      </c>
      <c r="K212">
        <v>2.1525829999999999</v>
      </c>
      <c r="L212">
        <v>2.0677400000000001</v>
      </c>
      <c r="M212">
        <v>1.8518159999999999</v>
      </c>
      <c r="N212">
        <v>1.6607339999999999</v>
      </c>
    </row>
    <row r="213" spans="1:14" hidden="1" x14ac:dyDescent="0.35">
      <c r="A213" t="s">
        <v>206</v>
      </c>
      <c r="B213" t="s">
        <v>73</v>
      </c>
      <c r="C213" t="s">
        <v>97</v>
      </c>
      <c r="D213" t="s">
        <v>212</v>
      </c>
      <c r="E213" t="s">
        <v>584</v>
      </c>
      <c r="F213" t="s">
        <v>581</v>
      </c>
      <c r="G213" t="s">
        <v>25</v>
      </c>
      <c r="H213">
        <v>0.44562200000000002</v>
      </c>
      <c r="I213">
        <v>0.47311409999999998</v>
      </c>
      <c r="J213">
        <v>0.51460300000000003</v>
      </c>
      <c r="K213">
        <v>0.56039819999999996</v>
      </c>
      <c r="L213">
        <v>0.60879280000000002</v>
      </c>
      <c r="M213">
        <v>0.68261649999999996</v>
      </c>
      <c r="N213">
        <v>0.58721219999999996</v>
      </c>
    </row>
    <row r="214" spans="1:14" hidden="1" x14ac:dyDescent="0.35">
      <c r="A214" t="s">
        <v>206</v>
      </c>
      <c r="B214" t="s">
        <v>73</v>
      </c>
      <c r="C214" t="s">
        <v>97</v>
      </c>
      <c r="D214" t="s">
        <v>212</v>
      </c>
      <c r="E214" t="s">
        <v>584</v>
      </c>
      <c r="F214" t="s">
        <v>26</v>
      </c>
      <c r="G214" t="s">
        <v>26</v>
      </c>
      <c r="H214">
        <v>1.659084</v>
      </c>
      <c r="I214">
        <v>2.3307150000000001</v>
      </c>
      <c r="J214">
        <v>2.5420750000000001</v>
      </c>
      <c r="K214">
        <v>2.8243079999999998</v>
      </c>
      <c r="L214">
        <v>3.4728029999999999</v>
      </c>
      <c r="M214">
        <v>3.6821120000000001</v>
      </c>
      <c r="N214">
        <v>3.2483179999999998</v>
      </c>
    </row>
    <row r="215" spans="1:14" hidden="1" x14ac:dyDescent="0.35">
      <c r="A215" t="s">
        <v>206</v>
      </c>
      <c r="B215" t="s">
        <v>73</v>
      </c>
      <c r="C215" t="s">
        <v>97</v>
      </c>
      <c r="D215" t="s">
        <v>98</v>
      </c>
      <c r="E215" t="s">
        <v>584</v>
      </c>
      <c r="F215" t="s">
        <v>581</v>
      </c>
      <c r="G215" t="s">
        <v>396</v>
      </c>
      <c r="H215">
        <v>5.4459920000000004</v>
      </c>
      <c r="I215">
        <v>4.6228809999999996</v>
      </c>
      <c r="J215">
        <v>4.2008729999999996</v>
      </c>
      <c r="K215">
        <v>3.417618</v>
      </c>
      <c r="L215">
        <v>3.0982090000000002</v>
      </c>
      <c r="M215">
        <v>3.1912950000000002</v>
      </c>
      <c r="N215">
        <v>5.9318790000000003</v>
      </c>
    </row>
    <row r="216" spans="1:14" hidden="1" x14ac:dyDescent="0.35">
      <c r="A216" t="s">
        <v>206</v>
      </c>
      <c r="B216" t="s">
        <v>73</v>
      </c>
      <c r="C216" t="s">
        <v>97</v>
      </c>
      <c r="D216" t="s">
        <v>171</v>
      </c>
      <c r="E216" t="s">
        <v>584</v>
      </c>
      <c r="F216" t="s">
        <v>581</v>
      </c>
      <c r="G216" t="s">
        <v>396</v>
      </c>
      <c r="H216">
        <v>1.9346509999999999</v>
      </c>
      <c r="I216">
        <v>1.645578</v>
      </c>
      <c r="J216">
        <v>1.266135</v>
      </c>
      <c r="K216">
        <v>1.516902</v>
      </c>
      <c r="L216">
        <v>1.469354</v>
      </c>
      <c r="M216">
        <v>1.41598</v>
      </c>
      <c r="N216">
        <v>1.36347</v>
      </c>
    </row>
    <row r="217" spans="1:14" hidden="1" x14ac:dyDescent="0.35">
      <c r="A217" t="s">
        <v>206</v>
      </c>
      <c r="B217" t="s">
        <v>73</v>
      </c>
      <c r="C217" t="s">
        <v>97</v>
      </c>
      <c r="D217" t="s">
        <v>171</v>
      </c>
      <c r="E217" t="s">
        <v>584</v>
      </c>
      <c r="F217" t="s">
        <v>581</v>
      </c>
      <c r="G217" t="s">
        <v>25</v>
      </c>
      <c r="H217">
        <v>0</v>
      </c>
      <c r="I217">
        <v>4.6684930000000003E-6</v>
      </c>
      <c r="J217">
        <v>1.9660280000000001E-5</v>
      </c>
      <c r="K217">
        <v>2.2224660000000001E-5</v>
      </c>
      <c r="L217">
        <v>2.2487669999999999E-5</v>
      </c>
      <c r="M217">
        <v>1.505753E-5</v>
      </c>
      <c r="N217">
        <v>8.6136990000000008E-6</v>
      </c>
    </row>
    <row r="218" spans="1:14" hidden="1" x14ac:dyDescent="0.35">
      <c r="A218" t="s">
        <v>206</v>
      </c>
      <c r="B218" t="s">
        <v>73</v>
      </c>
      <c r="C218" t="s">
        <v>97</v>
      </c>
      <c r="D218" t="s">
        <v>213</v>
      </c>
      <c r="E218" t="s">
        <v>584</v>
      </c>
      <c r="F218" t="s">
        <v>581</v>
      </c>
      <c r="G218" t="s">
        <v>396</v>
      </c>
      <c r="H218">
        <v>0.18830620000000001</v>
      </c>
      <c r="I218">
        <v>0.18321000000000001</v>
      </c>
      <c r="J218">
        <v>0.16530210000000001</v>
      </c>
      <c r="K218">
        <v>0.1438479</v>
      </c>
      <c r="L218">
        <v>0.13483690000000001</v>
      </c>
      <c r="M218">
        <v>0.1180665</v>
      </c>
      <c r="N218">
        <v>0.1033819</v>
      </c>
    </row>
    <row r="219" spans="1:14" hidden="1" x14ac:dyDescent="0.35">
      <c r="A219" t="s">
        <v>206</v>
      </c>
      <c r="B219" t="s">
        <v>73</v>
      </c>
      <c r="C219" t="s">
        <v>97</v>
      </c>
      <c r="D219" t="s">
        <v>213</v>
      </c>
      <c r="E219" t="s">
        <v>584</v>
      </c>
      <c r="F219" t="s">
        <v>581</v>
      </c>
      <c r="G219" t="s">
        <v>25</v>
      </c>
      <c r="H219">
        <v>0</v>
      </c>
      <c r="I219">
        <v>0</v>
      </c>
      <c r="J219">
        <v>0</v>
      </c>
      <c r="K219">
        <v>0</v>
      </c>
      <c r="L219">
        <v>0</v>
      </c>
      <c r="M219">
        <v>0</v>
      </c>
      <c r="N219">
        <v>0</v>
      </c>
    </row>
    <row r="220" spans="1:14" hidden="1" x14ac:dyDescent="0.35">
      <c r="A220" t="s">
        <v>206</v>
      </c>
      <c r="B220" t="s">
        <v>73</v>
      </c>
      <c r="C220" t="s">
        <v>97</v>
      </c>
      <c r="D220" t="s">
        <v>213</v>
      </c>
      <c r="E220" t="s">
        <v>584</v>
      </c>
      <c r="F220" t="s">
        <v>26</v>
      </c>
      <c r="G220" t="s">
        <v>26</v>
      </c>
      <c r="H220">
        <v>3.5026850000000002E-3</v>
      </c>
      <c r="I220">
        <v>2.7304109999999999E-3</v>
      </c>
      <c r="J220">
        <v>1.958071E-3</v>
      </c>
      <c r="K220">
        <v>1.378455E-3</v>
      </c>
      <c r="L220">
        <v>1.1145860000000001E-3</v>
      </c>
      <c r="M220">
        <v>8.4092059999999998E-4</v>
      </c>
      <c r="N220">
        <v>6.3445489999999999E-4</v>
      </c>
    </row>
    <row r="221" spans="1:14" hidden="1" x14ac:dyDescent="0.35">
      <c r="A221" t="s">
        <v>206</v>
      </c>
      <c r="B221" t="s">
        <v>73</v>
      </c>
      <c r="C221" t="s">
        <v>71</v>
      </c>
      <c r="D221" t="s">
        <v>72</v>
      </c>
      <c r="E221" t="s">
        <v>584</v>
      </c>
      <c r="F221" t="s">
        <v>581</v>
      </c>
      <c r="G221" t="s">
        <v>396</v>
      </c>
      <c r="H221">
        <v>2.5266609999999998</v>
      </c>
      <c r="I221">
        <v>2.3700139999999998</v>
      </c>
      <c r="J221">
        <v>2.2683450000000001</v>
      </c>
      <c r="K221">
        <v>2.1912259999999999</v>
      </c>
      <c r="L221">
        <v>2.3529149999999999</v>
      </c>
      <c r="M221">
        <v>1.8448119999999999</v>
      </c>
      <c r="N221">
        <v>1.4828030000000001</v>
      </c>
    </row>
    <row r="222" spans="1:14" hidden="1" x14ac:dyDescent="0.35">
      <c r="A222" t="s">
        <v>206</v>
      </c>
      <c r="B222" t="s">
        <v>73</v>
      </c>
      <c r="C222" t="s">
        <v>71</v>
      </c>
      <c r="D222" t="s">
        <v>72</v>
      </c>
      <c r="E222" t="s">
        <v>584</v>
      </c>
      <c r="F222" t="s">
        <v>581</v>
      </c>
      <c r="G222" t="s">
        <v>25</v>
      </c>
      <c r="H222">
        <v>1.6854530000000001</v>
      </c>
      <c r="I222">
        <v>1.6672149999999999</v>
      </c>
      <c r="J222">
        <v>1.680207</v>
      </c>
      <c r="K222">
        <v>1.5561769999999999</v>
      </c>
      <c r="L222">
        <v>1.3966419999999999</v>
      </c>
      <c r="M222">
        <v>1.1592819999999999</v>
      </c>
      <c r="N222">
        <v>0.96837899999999999</v>
      </c>
    </row>
    <row r="223" spans="1:14" hidden="1" x14ac:dyDescent="0.35">
      <c r="A223" t="s">
        <v>206</v>
      </c>
      <c r="B223" t="s">
        <v>73</v>
      </c>
      <c r="C223" t="s">
        <v>71</v>
      </c>
      <c r="D223" t="s">
        <v>72</v>
      </c>
      <c r="E223" t="s">
        <v>584</v>
      </c>
      <c r="F223" t="s">
        <v>26</v>
      </c>
      <c r="G223" t="s">
        <v>26</v>
      </c>
      <c r="H223">
        <v>8.6145490000000002</v>
      </c>
      <c r="I223">
        <v>8.9207049999999999</v>
      </c>
      <c r="J223">
        <v>9.0061450000000001</v>
      </c>
      <c r="K223">
        <v>8.9863210000000002</v>
      </c>
      <c r="L223">
        <v>8.8519900000000007</v>
      </c>
      <c r="M223">
        <v>8.4807579999999998</v>
      </c>
      <c r="N223">
        <v>8.2025869999999994</v>
      </c>
    </row>
    <row r="224" spans="1:14" hidden="1" x14ac:dyDescent="0.35">
      <c r="A224" t="s">
        <v>206</v>
      </c>
      <c r="B224" t="s">
        <v>73</v>
      </c>
      <c r="C224" t="s">
        <v>71</v>
      </c>
      <c r="D224" t="s">
        <v>140</v>
      </c>
      <c r="E224" t="s">
        <v>584</v>
      </c>
      <c r="F224" t="s">
        <v>581</v>
      </c>
      <c r="G224" t="s">
        <v>396</v>
      </c>
      <c r="H224">
        <v>9.885033</v>
      </c>
      <c r="I224">
        <v>8.5857200000000002</v>
      </c>
      <c r="J224">
        <v>7.8976800000000003</v>
      </c>
      <c r="K224">
        <v>6.857723</v>
      </c>
      <c r="L224">
        <v>5.8321050000000003</v>
      </c>
      <c r="M224">
        <v>4.9018009999999999</v>
      </c>
      <c r="N224">
        <v>4.1392980000000001</v>
      </c>
    </row>
    <row r="225" spans="1:14" hidden="1" x14ac:dyDescent="0.35">
      <c r="A225" t="s">
        <v>206</v>
      </c>
      <c r="B225" t="s">
        <v>73</v>
      </c>
      <c r="C225" t="s">
        <v>71</v>
      </c>
      <c r="D225" t="s">
        <v>140</v>
      </c>
      <c r="E225" t="s">
        <v>584</v>
      </c>
      <c r="F225" t="s">
        <v>26</v>
      </c>
      <c r="G225" t="s">
        <v>26</v>
      </c>
      <c r="H225">
        <v>2.12582</v>
      </c>
      <c r="I225">
        <v>1.8463970000000001</v>
      </c>
      <c r="J225">
        <v>1.698431</v>
      </c>
      <c r="K225">
        <v>1.5800670000000001</v>
      </c>
      <c r="L225">
        <v>1.343758</v>
      </c>
      <c r="M225">
        <v>1.1294090000000001</v>
      </c>
      <c r="N225">
        <v>0.95372380000000001</v>
      </c>
    </row>
    <row r="226" spans="1:14" hidden="1" x14ac:dyDescent="0.35">
      <c r="A226" t="s">
        <v>206</v>
      </c>
      <c r="B226" t="s">
        <v>73</v>
      </c>
      <c r="C226" t="s">
        <v>71</v>
      </c>
      <c r="D226" t="s">
        <v>139</v>
      </c>
      <c r="E226" t="s">
        <v>584</v>
      </c>
      <c r="F226" t="s">
        <v>581</v>
      </c>
      <c r="G226" t="s">
        <v>396</v>
      </c>
      <c r="M226">
        <v>0</v>
      </c>
      <c r="N226">
        <v>0.45924379999999998</v>
      </c>
    </row>
    <row r="227" spans="1:14" hidden="1" x14ac:dyDescent="0.35">
      <c r="A227" t="s">
        <v>206</v>
      </c>
      <c r="B227" t="s">
        <v>73</v>
      </c>
      <c r="C227" t="s">
        <v>71</v>
      </c>
      <c r="D227" t="s">
        <v>139</v>
      </c>
      <c r="E227" t="s">
        <v>584</v>
      </c>
      <c r="F227" t="s">
        <v>26</v>
      </c>
      <c r="G227" t="s">
        <v>26</v>
      </c>
      <c r="M227">
        <v>0</v>
      </c>
      <c r="N227">
        <v>1.589825</v>
      </c>
    </row>
    <row r="228" spans="1:14" hidden="1" x14ac:dyDescent="0.35">
      <c r="A228" t="s">
        <v>206</v>
      </c>
      <c r="B228" t="s">
        <v>53</v>
      </c>
      <c r="C228" t="s">
        <v>166</v>
      </c>
      <c r="D228" t="s">
        <v>166</v>
      </c>
      <c r="E228" t="s">
        <v>584</v>
      </c>
      <c r="F228" t="s">
        <v>26</v>
      </c>
      <c r="G228" t="s">
        <v>26</v>
      </c>
      <c r="H228">
        <v>124.1649</v>
      </c>
      <c r="I228">
        <v>124.5544</v>
      </c>
      <c r="J228">
        <v>126.0568</v>
      </c>
      <c r="K228">
        <v>123.0684</v>
      </c>
      <c r="L228">
        <v>119.5286</v>
      </c>
      <c r="M228">
        <v>114.6104</v>
      </c>
      <c r="N228">
        <v>104.2632</v>
      </c>
    </row>
    <row r="229" spans="1:14" hidden="1" x14ac:dyDescent="0.35">
      <c r="A229" t="s">
        <v>206</v>
      </c>
      <c r="B229" t="s">
        <v>53</v>
      </c>
      <c r="C229" t="s">
        <v>178</v>
      </c>
      <c r="D229" t="s">
        <v>178</v>
      </c>
      <c r="E229" t="s">
        <v>584</v>
      </c>
      <c r="F229" t="s">
        <v>26</v>
      </c>
      <c r="G229" t="s">
        <v>26</v>
      </c>
      <c r="H229">
        <v>2.4148309999999999</v>
      </c>
      <c r="I229">
        <v>2.2160250000000001</v>
      </c>
      <c r="J229">
        <v>2.2726790000000001</v>
      </c>
      <c r="K229">
        <v>2.3780169999999998</v>
      </c>
      <c r="L229">
        <v>2.4783230000000001</v>
      </c>
      <c r="M229">
        <v>2.576308</v>
      </c>
      <c r="N229">
        <v>2.6505359999999998</v>
      </c>
    </row>
    <row r="230" spans="1:14" hidden="1" x14ac:dyDescent="0.35">
      <c r="A230" t="s">
        <v>206</v>
      </c>
      <c r="B230" t="s">
        <v>53</v>
      </c>
      <c r="C230" t="s">
        <v>186</v>
      </c>
      <c r="D230" t="s">
        <v>186</v>
      </c>
      <c r="E230" t="s">
        <v>584</v>
      </c>
      <c r="F230" t="s">
        <v>26</v>
      </c>
      <c r="G230" t="s">
        <v>26</v>
      </c>
      <c r="H230">
        <v>0</v>
      </c>
      <c r="I230">
        <v>2.612806E-6</v>
      </c>
      <c r="J230">
        <v>-2.612806E-6</v>
      </c>
      <c r="K230">
        <v>-2.612806E-6</v>
      </c>
      <c r="L230">
        <v>2.612806E-6</v>
      </c>
      <c r="M230">
        <v>-2.612806E-6</v>
      </c>
      <c r="N230">
        <v>-2.612806E-6</v>
      </c>
    </row>
    <row r="231" spans="1:14" hidden="1" x14ac:dyDescent="0.35">
      <c r="A231" t="s">
        <v>206</v>
      </c>
      <c r="B231" t="s">
        <v>34</v>
      </c>
      <c r="C231" t="s">
        <v>33</v>
      </c>
      <c r="D231" t="s">
        <v>33</v>
      </c>
      <c r="E231" t="s">
        <v>584</v>
      </c>
      <c r="F231" t="s">
        <v>581</v>
      </c>
      <c r="G231" t="s">
        <v>396</v>
      </c>
      <c r="H231">
        <v>61.068739999999998</v>
      </c>
      <c r="I231">
        <v>42.157919999999997</v>
      </c>
      <c r="J231">
        <v>58.41</v>
      </c>
      <c r="K231">
        <v>74.58905</v>
      </c>
      <c r="L231">
        <v>74.58905</v>
      </c>
      <c r="M231">
        <v>74.589039999999997</v>
      </c>
      <c r="N231">
        <v>74.58905</v>
      </c>
    </row>
    <row r="232" spans="1:14" hidden="1" x14ac:dyDescent="0.35">
      <c r="A232" t="s">
        <v>206</v>
      </c>
      <c r="B232" t="s">
        <v>34</v>
      </c>
      <c r="C232" t="s">
        <v>33</v>
      </c>
      <c r="D232" t="s">
        <v>33</v>
      </c>
      <c r="E232" t="s">
        <v>604</v>
      </c>
      <c r="F232" t="s">
        <v>581</v>
      </c>
      <c r="G232" t="s">
        <v>24</v>
      </c>
      <c r="H232">
        <v>0.80438350000000003</v>
      </c>
      <c r="I232">
        <v>2.6894770000000001</v>
      </c>
      <c r="J232">
        <v>3.676666</v>
      </c>
      <c r="K232">
        <v>3.7098420000000001</v>
      </c>
      <c r="L232">
        <v>3.1680250000000001</v>
      </c>
      <c r="M232">
        <v>2.9774340000000001</v>
      </c>
      <c r="N232">
        <v>3.0229309999999998</v>
      </c>
    </row>
    <row r="233" spans="1:14" hidden="1" x14ac:dyDescent="0.35">
      <c r="A233" t="s">
        <v>206</v>
      </c>
      <c r="B233" t="s">
        <v>34</v>
      </c>
      <c r="C233" t="s">
        <v>33</v>
      </c>
      <c r="D233" t="s">
        <v>33</v>
      </c>
      <c r="E233" t="s">
        <v>604</v>
      </c>
      <c r="F233" t="s">
        <v>581</v>
      </c>
      <c r="G233" t="s">
        <v>25</v>
      </c>
      <c r="H233">
        <v>0</v>
      </c>
      <c r="I233">
        <v>2.6798730000000002</v>
      </c>
      <c r="J233">
        <v>3.6635360000000001</v>
      </c>
      <c r="K233">
        <v>3.6965919999999999</v>
      </c>
      <c r="L233">
        <v>3.1567120000000002</v>
      </c>
      <c r="M233">
        <v>2.9667979999999998</v>
      </c>
      <c r="N233">
        <v>3.0121349999999998</v>
      </c>
    </row>
    <row r="234" spans="1:14" hidden="1" x14ac:dyDescent="0.35">
      <c r="A234" t="s">
        <v>206</v>
      </c>
      <c r="B234" t="s">
        <v>34</v>
      </c>
      <c r="C234" t="s">
        <v>33</v>
      </c>
      <c r="D234" t="s">
        <v>33</v>
      </c>
      <c r="E234" t="s">
        <v>604</v>
      </c>
      <c r="F234" t="s">
        <v>26</v>
      </c>
      <c r="G234" t="s">
        <v>26</v>
      </c>
      <c r="H234">
        <v>1.8676440000000001</v>
      </c>
      <c r="I234">
        <v>5.3597460000000003</v>
      </c>
      <c r="J234">
        <v>7.3270689999999998</v>
      </c>
      <c r="K234">
        <v>7.3931829999999996</v>
      </c>
      <c r="L234">
        <v>6.3134240000000004</v>
      </c>
      <c r="M234">
        <v>5.9336000000000002</v>
      </c>
      <c r="N234">
        <v>6.0242690000000003</v>
      </c>
    </row>
    <row r="235" spans="1:14" hidden="1" x14ac:dyDescent="0.35">
      <c r="A235" t="s">
        <v>206</v>
      </c>
      <c r="B235" t="s">
        <v>34</v>
      </c>
      <c r="C235" t="s">
        <v>33</v>
      </c>
      <c r="D235" t="s">
        <v>33</v>
      </c>
      <c r="E235" t="s">
        <v>605</v>
      </c>
      <c r="F235" t="s">
        <v>581</v>
      </c>
      <c r="G235" t="s">
        <v>24</v>
      </c>
      <c r="I235">
        <v>0</v>
      </c>
      <c r="J235">
        <v>1.682877E-2</v>
      </c>
      <c r="K235">
        <v>3.1486029999999998E-2</v>
      </c>
      <c r="L235">
        <v>5.9780270000000003E-2</v>
      </c>
      <c r="M235">
        <v>7.9491240000000005E-2</v>
      </c>
      <c r="N235">
        <v>7.9846299999999995E-2</v>
      </c>
    </row>
    <row r="236" spans="1:14" hidden="1" x14ac:dyDescent="0.35">
      <c r="A236" t="s">
        <v>206</v>
      </c>
      <c r="B236" t="s">
        <v>34</v>
      </c>
      <c r="C236" t="s">
        <v>33</v>
      </c>
      <c r="D236" t="s">
        <v>33</v>
      </c>
      <c r="E236" t="s">
        <v>605</v>
      </c>
      <c r="F236" t="s">
        <v>581</v>
      </c>
      <c r="G236" t="s">
        <v>25</v>
      </c>
      <c r="I236">
        <v>0</v>
      </c>
      <c r="J236">
        <v>5.8695070000000002E-2</v>
      </c>
      <c r="K236">
        <v>0.10981009999999999</v>
      </c>
      <c r="L236">
        <v>0.2084838</v>
      </c>
      <c r="M236">
        <v>0.27722580000000002</v>
      </c>
      <c r="N236">
        <v>0.27846359999999998</v>
      </c>
    </row>
    <row r="237" spans="1:14" hidden="1" x14ac:dyDescent="0.35">
      <c r="A237" t="s">
        <v>206</v>
      </c>
      <c r="B237" t="s">
        <v>34</v>
      </c>
      <c r="C237" t="s">
        <v>33</v>
      </c>
      <c r="D237" t="s">
        <v>33</v>
      </c>
      <c r="E237" t="s">
        <v>605</v>
      </c>
      <c r="F237" t="s">
        <v>26</v>
      </c>
      <c r="G237" t="s">
        <v>26</v>
      </c>
      <c r="I237">
        <v>0</v>
      </c>
      <c r="J237">
        <v>0.57389670000000004</v>
      </c>
      <c r="K237">
        <v>1.07368</v>
      </c>
      <c r="L237">
        <v>2.0384730000000002</v>
      </c>
      <c r="M237">
        <v>2.710655</v>
      </c>
      <c r="N237">
        <v>2.7227299999999999</v>
      </c>
    </row>
    <row r="238" spans="1:14" hidden="1" x14ac:dyDescent="0.35">
      <c r="A238" t="s">
        <v>206</v>
      </c>
      <c r="B238" t="s">
        <v>31</v>
      </c>
      <c r="C238" t="s">
        <v>30</v>
      </c>
      <c r="D238" t="s">
        <v>30</v>
      </c>
      <c r="E238" t="s">
        <v>584</v>
      </c>
      <c r="F238" t="s">
        <v>581</v>
      </c>
      <c r="G238" t="s">
        <v>24</v>
      </c>
      <c r="H238">
        <v>14.96466</v>
      </c>
      <c r="I238">
        <v>14.96466</v>
      </c>
      <c r="J238">
        <v>14.96466</v>
      </c>
      <c r="K238">
        <v>14.96466</v>
      </c>
      <c r="L238">
        <v>14.96466</v>
      </c>
      <c r="M238">
        <v>14.964650000000001</v>
      </c>
      <c r="N238">
        <v>14.96466</v>
      </c>
    </row>
    <row r="239" spans="1:14" hidden="1" x14ac:dyDescent="0.35">
      <c r="A239" t="s">
        <v>206</v>
      </c>
      <c r="B239" t="s">
        <v>31</v>
      </c>
      <c r="C239" t="s">
        <v>30</v>
      </c>
      <c r="D239" t="s">
        <v>30</v>
      </c>
      <c r="E239" t="s">
        <v>584</v>
      </c>
      <c r="F239" t="s">
        <v>581</v>
      </c>
      <c r="G239" t="s">
        <v>25</v>
      </c>
      <c r="H239">
        <v>8.3835610000000003</v>
      </c>
      <c r="I239">
        <v>8.4493150000000004</v>
      </c>
      <c r="J239">
        <v>8.4493150000000004</v>
      </c>
      <c r="K239">
        <v>8.4493150000000004</v>
      </c>
      <c r="L239">
        <v>8.4493150000000004</v>
      </c>
      <c r="M239">
        <v>8.4493150000000004</v>
      </c>
      <c r="N239">
        <v>8.4493150000000004</v>
      </c>
    </row>
    <row r="240" spans="1:14" hidden="1" x14ac:dyDescent="0.35">
      <c r="A240" t="s">
        <v>206</v>
      </c>
      <c r="B240" t="s">
        <v>31</v>
      </c>
      <c r="C240" t="s">
        <v>30</v>
      </c>
      <c r="D240" t="s">
        <v>30</v>
      </c>
      <c r="E240" t="s">
        <v>584</v>
      </c>
      <c r="F240" t="s">
        <v>26</v>
      </c>
      <c r="G240" t="s">
        <v>26</v>
      </c>
      <c r="H240">
        <v>51.279449999999997</v>
      </c>
      <c r="I240">
        <v>51.279440000000001</v>
      </c>
      <c r="J240">
        <v>51.27946</v>
      </c>
      <c r="K240">
        <v>51.279449999999997</v>
      </c>
      <c r="L240">
        <v>51.279449999999997</v>
      </c>
      <c r="M240">
        <v>51.279449999999997</v>
      </c>
      <c r="N240">
        <v>51.279449999999997</v>
      </c>
    </row>
    <row r="241" spans="1:14" hidden="1" x14ac:dyDescent="0.35">
      <c r="A241" t="s">
        <v>206</v>
      </c>
      <c r="B241" t="s">
        <v>59</v>
      </c>
      <c r="C241" t="s">
        <v>161</v>
      </c>
      <c r="D241" t="s">
        <v>161</v>
      </c>
      <c r="E241" t="s">
        <v>584</v>
      </c>
      <c r="F241" t="s">
        <v>581</v>
      </c>
      <c r="G241" t="s">
        <v>396</v>
      </c>
      <c r="H241">
        <v>37.712859999999999</v>
      </c>
      <c r="I241">
        <v>43.165410000000001</v>
      </c>
      <c r="J241">
        <v>48.967089999999999</v>
      </c>
      <c r="K241">
        <v>49.364330000000002</v>
      </c>
      <c r="L241">
        <v>45.112029999999997</v>
      </c>
      <c r="M241">
        <v>41.613320000000002</v>
      </c>
      <c r="N241">
        <v>38.72439</v>
      </c>
    </row>
    <row r="242" spans="1:14" hidden="1" x14ac:dyDescent="0.35">
      <c r="A242" t="s">
        <v>206</v>
      </c>
      <c r="B242" t="s">
        <v>59</v>
      </c>
      <c r="C242" t="s">
        <v>161</v>
      </c>
      <c r="D242" t="s">
        <v>161</v>
      </c>
      <c r="E242" t="s">
        <v>584</v>
      </c>
      <c r="F242" t="s">
        <v>581</v>
      </c>
      <c r="G242" t="s">
        <v>24</v>
      </c>
      <c r="H242">
        <v>2.8332649999999999</v>
      </c>
      <c r="I242">
        <v>2.8285260000000001</v>
      </c>
      <c r="J242">
        <v>2.5981969999999999</v>
      </c>
      <c r="K242">
        <v>2.5572409999999999</v>
      </c>
      <c r="L242">
        <v>1.205139</v>
      </c>
      <c r="M242">
        <v>0.99107529999999999</v>
      </c>
      <c r="N242">
        <v>0.83778580000000002</v>
      </c>
    </row>
    <row r="243" spans="1:14" hidden="1" x14ac:dyDescent="0.35">
      <c r="A243" t="s">
        <v>206</v>
      </c>
      <c r="B243" t="s">
        <v>59</v>
      </c>
      <c r="C243" t="s">
        <v>161</v>
      </c>
      <c r="D243" t="s">
        <v>161</v>
      </c>
      <c r="E243" t="s">
        <v>584</v>
      </c>
      <c r="F243" t="s">
        <v>581</v>
      </c>
      <c r="G243" t="s">
        <v>25</v>
      </c>
      <c r="H243">
        <v>0.54478850000000001</v>
      </c>
      <c r="I243">
        <v>0.59727620000000003</v>
      </c>
      <c r="J243">
        <v>0.62697040000000004</v>
      </c>
      <c r="K243">
        <v>0.68681020000000004</v>
      </c>
      <c r="L243">
        <v>0.31024410000000002</v>
      </c>
      <c r="M243">
        <v>0.2473659</v>
      </c>
      <c r="N243">
        <v>0.20720569999999999</v>
      </c>
    </row>
    <row r="244" spans="1:14" hidden="1" x14ac:dyDescent="0.35">
      <c r="A244" t="s">
        <v>206</v>
      </c>
      <c r="B244" t="s">
        <v>59</v>
      </c>
      <c r="C244" t="s">
        <v>161</v>
      </c>
      <c r="D244" t="s">
        <v>161</v>
      </c>
      <c r="E244" t="s">
        <v>584</v>
      </c>
      <c r="F244" t="s">
        <v>26</v>
      </c>
      <c r="G244" t="s">
        <v>26</v>
      </c>
      <c r="H244">
        <v>15.2539</v>
      </c>
      <c r="I244">
        <v>17.202110000000001</v>
      </c>
      <c r="J244">
        <v>16.898779999999999</v>
      </c>
      <c r="K244">
        <v>16.124220000000001</v>
      </c>
      <c r="L244">
        <v>8.3539890000000003</v>
      </c>
      <c r="M244">
        <v>7.0375579999999998</v>
      </c>
      <c r="N244">
        <v>5.8405990000000001</v>
      </c>
    </row>
    <row r="245" spans="1:14" hidden="1" x14ac:dyDescent="0.35">
      <c r="A245" t="s">
        <v>206</v>
      </c>
      <c r="B245" t="s">
        <v>60</v>
      </c>
      <c r="C245" t="s">
        <v>202</v>
      </c>
      <c r="D245" t="s">
        <v>202</v>
      </c>
      <c r="E245" t="s">
        <v>584</v>
      </c>
      <c r="F245" t="s">
        <v>581</v>
      </c>
      <c r="G245" t="s">
        <v>396</v>
      </c>
      <c r="H245">
        <v>0.15511610000000001</v>
      </c>
      <c r="I245">
        <v>0.1789308</v>
      </c>
      <c r="J245">
        <v>0.1658318</v>
      </c>
      <c r="K245">
        <v>0.15280060000000001</v>
      </c>
      <c r="L245">
        <v>0.13179550000000001</v>
      </c>
      <c r="M245">
        <v>6.4383499999999998</v>
      </c>
      <c r="N245">
        <v>6.4224560000000004</v>
      </c>
    </row>
    <row r="246" spans="1:14" hidden="1" x14ac:dyDescent="0.35">
      <c r="A246" t="s">
        <v>206</v>
      </c>
      <c r="B246" t="s">
        <v>60</v>
      </c>
      <c r="C246" t="s">
        <v>202</v>
      </c>
      <c r="D246" t="s">
        <v>202</v>
      </c>
      <c r="E246" t="s">
        <v>584</v>
      </c>
      <c r="F246" t="s">
        <v>581</v>
      </c>
      <c r="G246" t="s">
        <v>24</v>
      </c>
      <c r="H246">
        <v>2.2980109999999998</v>
      </c>
      <c r="I246">
        <v>2.2048000000000001</v>
      </c>
      <c r="J246">
        <v>2.2923070000000001</v>
      </c>
      <c r="K246">
        <v>2.1614879999999999</v>
      </c>
      <c r="L246">
        <v>2.032978</v>
      </c>
      <c r="M246">
        <v>3.5489649999999999</v>
      </c>
      <c r="N246">
        <v>2.680609</v>
      </c>
    </row>
    <row r="247" spans="1:14" hidden="1" x14ac:dyDescent="0.35">
      <c r="A247" t="s">
        <v>206</v>
      </c>
      <c r="B247" t="s">
        <v>60</v>
      </c>
      <c r="C247" t="s">
        <v>202</v>
      </c>
      <c r="D247" t="s">
        <v>202</v>
      </c>
      <c r="E247" t="s">
        <v>584</v>
      </c>
      <c r="F247" t="s">
        <v>581</v>
      </c>
      <c r="G247" t="s">
        <v>25</v>
      </c>
      <c r="H247">
        <v>1.183562E-5</v>
      </c>
      <c r="I247">
        <v>1.331507E-5</v>
      </c>
      <c r="J247">
        <v>1.183562E-5</v>
      </c>
      <c r="K247">
        <v>1.183562E-5</v>
      </c>
      <c r="L247">
        <v>1.183562E-5</v>
      </c>
      <c r="M247">
        <v>7.3972600000000001E-6</v>
      </c>
      <c r="N247">
        <v>4.4383560000000002E-6</v>
      </c>
    </row>
    <row r="248" spans="1:14" hidden="1" x14ac:dyDescent="0.35">
      <c r="A248" t="s">
        <v>206</v>
      </c>
      <c r="B248" t="s">
        <v>60</v>
      </c>
      <c r="C248" t="s">
        <v>202</v>
      </c>
      <c r="D248" t="s">
        <v>202</v>
      </c>
      <c r="E248" t="s">
        <v>584</v>
      </c>
      <c r="F248" t="s">
        <v>26</v>
      </c>
      <c r="G248" t="s">
        <v>26</v>
      </c>
      <c r="H248">
        <v>51.543990000000001</v>
      </c>
      <c r="I248">
        <v>50.64114</v>
      </c>
      <c r="J248">
        <v>51.438160000000003</v>
      </c>
      <c r="K248">
        <v>49.918889999999998</v>
      </c>
      <c r="L248">
        <v>46.34863</v>
      </c>
      <c r="M248">
        <v>33.617310000000003</v>
      </c>
      <c r="N248">
        <v>29.33961</v>
      </c>
    </row>
    <row r="249" spans="1:14" hidden="1" x14ac:dyDescent="0.35">
      <c r="A249" t="s">
        <v>206</v>
      </c>
      <c r="B249" t="s">
        <v>174</v>
      </c>
      <c r="C249" t="s">
        <v>198</v>
      </c>
      <c r="D249" t="s">
        <v>198</v>
      </c>
      <c r="E249" t="s">
        <v>584</v>
      </c>
      <c r="F249" t="s">
        <v>581</v>
      </c>
      <c r="G249" t="s">
        <v>396</v>
      </c>
      <c r="H249">
        <v>32.796660000000003</v>
      </c>
      <c r="I249">
        <v>42.275910000000003</v>
      </c>
      <c r="J249">
        <v>44.643590000000003</v>
      </c>
      <c r="K249">
        <v>46.105420000000002</v>
      </c>
      <c r="L249">
        <v>47.274410000000003</v>
      </c>
      <c r="M249">
        <v>41.581110000000002</v>
      </c>
      <c r="N249">
        <v>35.978079999999999</v>
      </c>
    </row>
    <row r="250" spans="1:14" hidden="1" x14ac:dyDescent="0.35">
      <c r="A250" t="s">
        <v>206</v>
      </c>
      <c r="B250" t="s">
        <v>174</v>
      </c>
      <c r="C250" t="s">
        <v>198</v>
      </c>
      <c r="D250" t="s">
        <v>198</v>
      </c>
      <c r="E250" t="s">
        <v>584</v>
      </c>
      <c r="F250" t="s">
        <v>26</v>
      </c>
      <c r="G250" t="s">
        <v>26</v>
      </c>
      <c r="H250">
        <v>0.52600360000000002</v>
      </c>
      <c r="I250">
        <v>1.0428090000000001</v>
      </c>
      <c r="J250">
        <v>1.196685</v>
      </c>
      <c r="K250">
        <v>1.2042079999999999</v>
      </c>
      <c r="L250">
        <v>1.2052579999999999</v>
      </c>
      <c r="M250">
        <v>1.0954759999999999</v>
      </c>
      <c r="N250">
        <v>0.8693843</v>
      </c>
    </row>
    <row r="251" spans="1:14" hidden="1" x14ac:dyDescent="0.35">
      <c r="A251" t="s">
        <v>206</v>
      </c>
      <c r="B251" t="s">
        <v>210</v>
      </c>
      <c r="C251" t="s">
        <v>209</v>
      </c>
      <c r="D251" t="s">
        <v>209</v>
      </c>
      <c r="E251" t="s">
        <v>584</v>
      </c>
      <c r="F251" t="s">
        <v>581</v>
      </c>
      <c r="G251" t="s">
        <v>396</v>
      </c>
      <c r="H251">
        <v>27.25901</v>
      </c>
      <c r="I251">
        <v>15.62018</v>
      </c>
      <c r="J251">
        <v>27.93451</v>
      </c>
      <c r="K251">
        <v>27.934719999999999</v>
      </c>
      <c r="L251">
        <v>28.410299999999999</v>
      </c>
      <c r="M251">
        <v>25.202870000000001</v>
      </c>
      <c r="N251">
        <v>21.346550000000001</v>
      </c>
    </row>
    <row r="252" spans="1:14" hidden="1" x14ac:dyDescent="0.35">
      <c r="A252" t="s">
        <v>206</v>
      </c>
      <c r="B252" t="s">
        <v>210</v>
      </c>
      <c r="C252" t="s">
        <v>209</v>
      </c>
      <c r="D252" t="s">
        <v>209</v>
      </c>
      <c r="E252" t="s">
        <v>584</v>
      </c>
      <c r="F252" t="s">
        <v>581</v>
      </c>
      <c r="G252" t="s">
        <v>24</v>
      </c>
      <c r="H252">
        <v>5.7420209999999999E-2</v>
      </c>
      <c r="I252">
        <v>0.59540990000000005</v>
      </c>
      <c r="J252">
        <v>1.555944</v>
      </c>
      <c r="K252">
        <v>1.6373770000000001</v>
      </c>
      <c r="L252">
        <v>1.6373770000000001</v>
      </c>
      <c r="M252">
        <v>1.6448940000000001</v>
      </c>
      <c r="N252">
        <v>1.443403</v>
      </c>
    </row>
    <row r="253" spans="1:14" hidden="1" x14ac:dyDescent="0.35">
      <c r="A253" t="s">
        <v>206</v>
      </c>
      <c r="B253" t="s">
        <v>210</v>
      </c>
      <c r="C253" t="s">
        <v>209</v>
      </c>
      <c r="D253" t="s">
        <v>209</v>
      </c>
      <c r="E253" t="s">
        <v>584</v>
      </c>
      <c r="F253" t="s">
        <v>581</v>
      </c>
      <c r="G253" t="s">
        <v>25</v>
      </c>
      <c r="L253">
        <v>0</v>
      </c>
      <c r="M253">
        <v>6.7084099999999994E-2</v>
      </c>
      <c r="N253">
        <v>5.4473260000000003E-2</v>
      </c>
    </row>
    <row r="254" spans="1:14" hidden="1" x14ac:dyDescent="0.35">
      <c r="A254" t="s">
        <v>206</v>
      </c>
      <c r="B254" t="s">
        <v>210</v>
      </c>
      <c r="C254" t="s">
        <v>209</v>
      </c>
      <c r="D254" t="s">
        <v>209</v>
      </c>
      <c r="E254" t="s">
        <v>584</v>
      </c>
      <c r="F254" t="s">
        <v>26</v>
      </c>
      <c r="G254" t="s">
        <v>26</v>
      </c>
      <c r="H254">
        <v>5.0016439999999998</v>
      </c>
      <c r="I254">
        <v>2.6748539999999998</v>
      </c>
      <c r="J254">
        <v>5.0973189999999997</v>
      </c>
      <c r="K254">
        <v>5.2002050000000004</v>
      </c>
      <c r="L254">
        <v>5.394469</v>
      </c>
      <c r="M254">
        <v>5.5074769999999997</v>
      </c>
      <c r="N254">
        <v>5.1790419999999999</v>
      </c>
    </row>
    <row r="255" spans="1:14" hidden="1" x14ac:dyDescent="0.35">
      <c r="A255" t="s">
        <v>206</v>
      </c>
      <c r="B255" t="s">
        <v>217</v>
      </c>
      <c r="C255" t="s">
        <v>216</v>
      </c>
      <c r="D255" t="s">
        <v>216</v>
      </c>
      <c r="E255" t="s">
        <v>584</v>
      </c>
      <c r="F255" t="s">
        <v>581</v>
      </c>
      <c r="G255" t="s">
        <v>396</v>
      </c>
      <c r="H255">
        <v>6.9795910000000001</v>
      </c>
      <c r="I255">
        <v>9.4096189999999993</v>
      </c>
      <c r="J255">
        <v>7.732564</v>
      </c>
      <c r="K255">
        <v>6.9790070000000002</v>
      </c>
      <c r="L255">
        <v>6.3732850000000001</v>
      </c>
      <c r="M255">
        <v>5.660101</v>
      </c>
      <c r="N255">
        <v>4.6779419999999998</v>
      </c>
    </row>
    <row r="256" spans="1:14" hidden="1" x14ac:dyDescent="0.35">
      <c r="A256" t="s">
        <v>206</v>
      </c>
      <c r="B256" t="s">
        <v>201</v>
      </c>
      <c r="C256" t="s">
        <v>220</v>
      </c>
      <c r="D256" t="s">
        <v>220</v>
      </c>
      <c r="E256" t="s">
        <v>606</v>
      </c>
      <c r="F256" t="s">
        <v>581</v>
      </c>
      <c r="G256" t="s">
        <v>396</v>
      </c>
      <c r="I256">
        <v>0</v>
      </c>
      <c r="J256">
        <v>0</v>
      </c>
      <c r="K256">
        <v>0</v>
      </c>
      <c r="L256">
        <v>0</v>
      </c>
      <c r="M256">
        <v>0</v>
      </c>
      <c r="N256">
        <v>0</v>
      </c>
    </row>
    <row r="257" spans="1:14" hidden="1" x14ac:dyDescent="0.35">
      <c r="A257" t="s">
        <v>206</v>
      </c>
      <c r="B257" t="s">
        <v>201</v>
      </c>
      <c r="C257" t="s">
        <v>220</v>
      </c>
      <c r="D257" t="s">
        <v>220</v>
      </c>
      <c r="E257" t="s">
        <v>606</v>
      </c>
      <c r="F257" t="s">
        <v>26</v>
      </c>
      <c r="G257" t="s">
        <v>26</v>
      </c>
      <c r="I257">
        <v>0</v>
      </c>
      <c r="J257">
        <v>0</v>
      </c>
      <c r="K257">
        <v>0</v>
      </c>
      <c r="L257">
        <v>0</v>
      </c>
      <c r="M257">
        <v>0</v>
      </c>
      <c r="N257">
        <v>0</v>
      </c>
    </row>
    <row r="258" spans="1:14" hidden="1" x14ac:dyDescent="0.35">
      <c r="A258" t="s">
        <v>607</v>
      </c>
      <c r="B258" t="s">
        <v>37</v>
      </c>
      <c r="C258" t="s">
        <v>63</v>
      </c>
      <c r="D258" t="s">
        <v>63</v>
      </c>
      <c r="E258" t="s">
        <v>608</v>
      </c>
      <c r="F258" t="s">
        <v>581</v>
      </c>
      <c r="G258" t="s">
        <v>25</v>
      </c>
      <c r="H258">
        <v>0.40986299999999998</v>
      </c>
      <c r="I258">
        <v>0.41036159999999999</v>
      </c>
      <c r="J258">
        <v>0.39764759999999999</v>
      </c>
      <c r="K258">
        <v>0.4008775</v>
      </c>
      <c r="L258">
        <v>0.36060189999999998</v>
      </c>
      <c r="M258">
        <v>0.3158164</v>
      </c>
      <c r="N258">
        <v>0.27730110000000002</v>
      </c>
    </row>
    <row r="259" spans="1:14" hidden="1" x14ac:dyDescent="0.35">
      <c r="A259" t="s">
        <v>607</v>
      </c>
      <c r="B259" t="s">
        <v>37</v>
      </c>
      <c r="C259" t="s">
        <v>63</v>
      </c>
      <c r="D259" t="s">
        <v>63</v>
      </c>
      <c r="E259" t="s">
        <v>608</v>
      </c>
      <c r="F259" t="s">
        <v>26</v>
      </c>
      <c r="G259" t="s">
        <v>26</v>
      </c>
      <c r="H259">
        <v>441.88589999999999</v>
      </c>
      <c r="I259">
        <v>473.2115</v>
      </c>
      <c r="J259">
        <v>560.56510000000003</v>
      </c>
      <c r="K259">
        <v>554.29169999999999</v>
      </c>
      <c r="L259">
        <v>484.93610000000001</v>
      </c>
      <c r="M259">
        <v>447.64859999999999</v>
      </c>
      <c r="N259">
        <v>433.93680000000001</v>
      </c>
    </row>
    <row r="260" spans="1:14" hidden="1" x14ac:dyDescent="0.35">
      <c r="A260" t="s">
        <v>607</v>
      </c>
      <c r="B260" t="s">
        <v>37</v>
      </c>
      <c r="C260" t="s">
        <v>63</v>
      </c>
      <c r="D260" t="s">
        <v>63</v>
      </c>
      <c r="E260" t="s">
        <v>609</v>
      </c>
      <c r="F260" t="s">
        <v>581</v>
      </c>
      <c r="G260" t="s">
        <v>25</v>
      </c>
      <c r="H260">
        <v>0.1024658</v>
      </c>
      <c r="I260">
        <v>8.1290420000000002E-2</v>
      </c>
      <c r="J260">
        <v>0.18465200000000001</v>
      </c>
      <c r="K260">
        <v>0.24401419999999999</v>
      </c>
      <c r="L260">
        <v>0.28580630000000001</v>
      </c>
      <c r="M260">
        <v>0.3191348</v>
      </c>
      <c r="N260">
        <v>0.44699149999999999</v>
      </c>
    </row>
    <row r="261" spans="1:14" hidden="1" x14ac:dyDescent="0.35">
      <c r="A261" t="s">
        <v>607</v>
      </c>
      <c r="B261" t="s">
        <v>37</v>
      </c>
      <c r="C261" t="s">
        <v>63</v>
      </c>
      <c r="D261" t="s">
        <v>63</v>
      </c>
      <c r="E261" t="s">
        <v>609</v>
      </c>
      <c r="F261" t="s">
        <v>26</v>
      </c>
      <c r="G261" t="s">
        <v>26</v>
      </c>
      <c r="H261">
        <v>101.73690000000001</v>
      </c>
      <c r="I261">
        <v>94.197929999999999</v>
      </c>
      <c r="J261">
        <v>106.45269999999999</v>
      </c>
      <c r="K261">
        <v>113.3278</v>
      </c>
      <c r="L261">
        <v>104.9409</v>
      </c>
      <c r="M261">
        <v>95.713239999999999</v>
      </c>
      <c r="N261">
        <v>92.368229999999997</v>
      </c>
    </row>
    <row r="262" spans="1:14" hidden="1" x14ac:dyDescent="0.35">
      <c r="A262" t="s">
        <v>607</v>
      </c>
      <c r="B262" t="s">
        <v>37</v>
      </c>
      <c r="C262" t="s">
        <v>63</v>
      </c>
      <c r="D262" t="s">
        <v>63</v>
      </c>
      <c r="E262" t="s">
        <v>610</v>
      </c>
      <c r="F262" t="s">
        <v>581</v>
      </c>
      <c r="G262" t="s">
        <v>24</v>
      </c>
      <c r="H262">
        <v>2.0982189999999998</v>
      </c>
      <c r="I262">
        <v>1.664936</v>
      </c>
      <c r="J262">
        <v>1.556189</v>
      </c>
      <c r="K262">
        <v>1.4135070000000001</v>
      </c>
      <c r="L262">
        <v>1.2828580000000001</v>
      </c>
      <c r="M262">
        <v>1.2034400000000001</v>
      </c>
      <c r="N262">
        <v>1.126789</v>
      </c>
    </row>
    <row r="263" spans="1:14" hidden="1" x14ac:dyDescent="0.35">
      <c r="A263" t="s">
        <v>607</v>
      </c>
      <c r="B263" t="s">
        <v>37</v>
      </c>
      <c r="C263" t="s">
        <v>63</v>
      </c>
      <c r="D263" t="s">
        <v>63</v>
      </c>
      <c r="E263" t="s">
        <v>610</v>
      </c>
      <c r="F263" t="s">
        <v>581</v>
      </c>
      <c r="G263" t="s">
        <v>25</v>
      </c>
      <c r="H263">
        <v>28.469169999999998</v>
      </c>
      <c r="I263">
        <v>27.048739999999999</v>
      </c>
      <c r="J263">
        <v>25.189260000000001</v>
      </c>
      <c r="K263">
        <v>22.986360000000001</v>
      </c>
      <c r="L263">
        <v>20.99258</v>
      </c>
      <c r="M263">
        <v>19.486180000000001</v>
      </c>
      <c r="N263">
        <v>18.136669999999999</v>
      </c>
    </row>
    <row r="264" spans="1:14" hidden="1" x14ac:dyDescent="0.35">
      <c r="A264" t="s">
        <v>607</v>
      </c>
      <c r="B264" t="s">
        <v>37</v>
      </c>
      <c r="C264" t="s">
        <v>63</v>
      </c>
      <c r="D264" t="s">
        <v>63</v>
      </c>
      <c r="E264" t="s">
        <v>610</v>
      </c>
      <c r="F264" t="s">
        <v>26</v>
      </c>
      <c r="G264" t="s">
        <v>26</v>
      </c>
      <c r="H264">
        <v>72.815880000000007</v>
      </c>
      <c r="I264">
        <v>62.756250000000001</v>
      </c>
      <c r="J264">
        <v>59.175060000000002</v>
      </c>
      <c r="K264">
        <v>54.250630000000001</v>
      </c>
      <c r="L264">
        <v>49.917879999999997</v>
      </c>
      <c r="M264">
        <v>46.632199999999997</v>
      </c>
      <c r="N264">
        <v>43.089550000000003</v>
      </c>
    </row>
    <row r="265" spans="1:14" hidden="1" x14ac:dyDescent="0.35">
      <c r="A265" t="s">
        <v>607</v>
      </c>
      <c r="B265" t="s">
        <v>37</v>
      </c>
      <c r="C265" t="s">
        <v>63</v>
      </c>
      <c r="D265" t="s">
        <v>63</v>
      </c>
      <c r="E265" t="s">
        <v>611</v>
      </c>
      <c r="F265" t="s">
        <v>581</v>
      </c>
      <c r="G265" t="s">
        <v>25</v>
      </c>
      <c r="H265">
        <v>1.758219</v>
      </c>
      <c r="I265">
        <v>1.745789</v>
      </c>
      <c r="J265">
        <v>1.8037240000000001</v>
      </c>
      <c r="K265">
        <v>1.7548840000000001</v>
      </c>
      <c r="L265">
        <v>1.6411070000000001</v>
      </c>
      <c r="M265">
        <v>1.5073319999999999</v>
      </c>
      <c r="N265">
        <v>1.4744930000000001</v>
      </c>
    </row>
    <row r="266" spans="1:14" hidden="1" x14ac:dyDescent="0.35">
      <c r="A266" t="s">
        <v>607</v>
      </c>
      <c r="B266" t="s">
        <v>37</v>
      </c>
      <c r="C266" t="s">
        <v>63</v>
      </c>
      <c r="D266" t="s">
        <v>63</v>
      </c>
      <c r="E266" t="s">
        <v>611</v>
      </c>
      <c r="F266" t="s">
        <v>26</v>
      </c>
      <c r="G266" t="s">
        <v>26</v>
      </c>
      <c r="H266">
        <v>36.682740000000003</v>
      </c>
      <c r="I266">
        <v>33.170029999999997</v>
      </c>
      <c r="J266">
        <v>34.270859999999999</v>
      </c>
      <c r="K266">
        <v>33.342820000000003</v>
      </c>
      <c r="L266">
        <v>31.181039999999999</v>
      </c>
      <c r="M266">
        <v>28.639240000000001</v>
      </c>
      <c r="N266">
        <v>28.01548</v>
      </c>
    </row>
    <row r="267" spans="1:14" hidden="1" x14ac:dyDescent="0.35">
      <c r="A267" t="s">
        <v>607</v>
      </c>
      <c r="B267" t="s">
        <v>37</v>
      </c>
      <c r="C267" t="s">
        <v>63</v>
      </c>
      <c r="D267" t="s">
        <v>63</v>
      </c>
      <c r="E267" t="s">
        <v>612</v>
      </c>
      <c r="F267" t="s">
        <v>581</v>
      </c>
      <c r="G267" t="s">
        <v>24</v>
      </c>
      <c r="H267">
        <v>0.14383560000000001</v>
      </c>
      <c r="I267">
        <v>0.14242469999999999</v>
      </c>
      <c r="J267">
        <v>0.19789039999999999</v>
      </c>
      <c r="K267">
        <v>0.223492</v>
      </c>
      <c r="L267">
        <v>0.19594110000000001</v>
      </c>
      <c r="M267">
        <v>0.1750014</v>
      </c>
      <c r="N267">
        <v>0.20214270000000001</v>
      </c>
    </row>
    <row r="268" spans="1:14" hidden="1" x14ac:dyDescent="0.35">
      <c r="A268" t="s">
        <v>607</v>
      </c>
      <c r="B268" t="s">
        <v>37</v>
      </c>
      <c r="C268" t="s">
        <v>63</v>
      </c>
      <c r="D268" t="s">
        <v>63</v>
      </c>
      <c r="E268" t="s">
        <v>612</v>
      </c>
      <c r="F268" t="s">
        <v>581</v>
      </c>
      <c r="G268" t="s">
        <v>25</v>
      </c>
      <c r="H268">
        <v>0.23492879999999999</v>
      </c>
      <c r="I268">
        <v>0.28484930000000003</v>
      </c>
      <c r="J268">
        <v>0.3957753</v>
      </c>
      <c r="K268">
        <v>0.44698520000000003</v>
      </c>
      <c r="L268">
        <v>0.39188129999999999</v>
      </c>
      <c r="M268">
        <v>0.34999730000000001</v>
      </c>
      <c r="N268">
        <v>0.40429290000000001</v>
      </c>
    </row>
    <row r="269" spans="1:14" hidden="1" x14ac:dyDescent="0.35">
      <c r="A269" t="s">
        <v>607</v>
      </c>
      <c r="B269" t="s">
        <v>37</v>
      </c>
      <c r="C269" t="s">
        <v>63</v>
      </c>
      <c r="D269" t="s">
        <v>63</v>
      </c>
      <c r="E269" t="s">
        <v>612</v>
      </c>
      <c r="F269" t="s">
        <v>26</v>
      </c>
      <c r="G269" t="s">
        <v>26</v>
      </c>
      <c r="H269">
        <v>2.1839040000000001</v>
      </c>
      <c r="I269">
        <v>2.4212060000000002</v>
      </c>
      <c r="J269">
        <v>3.3640880000000002</v>
      </c>
      <c r="K269">
        <v>3.7993600000000001</v>
      </c>
      <c r="L269">
        <v>3.330997</v>
      </c>
      <c r="M269">
        <v>2.974996</v>
      </c>
      <c r="N269">
        <v>3.4364620000000001</v>
      </c>
    </row>
    <row r="270" spans="1:14" hidden="1" x14ac:dyDescent="0.35">
      <c r="A270" t="s">
        <v>607</v>
      </c>
      <c r="B270" t="s">
        <v>37</v>
      </c>
      <c r="C270" t="s">
        <v>63</v>
      </c>
      <c r="D270" t="s">
        <v>63</v>
      </c>
      <c r="E270" t="s">
        <v>584</v>
      </c>
      <c r="F270" t="s">
        <v>581</v>
      </c>
      <c r="G270" t="s">
        <v>396</v>
      </c>
      <c r="M270">
        <v>0</v>
      </c>
      <c r="N270">
        <v>0</v>
      </c>
    </row>
    <row r="271" spans="1:14" hidden="1" x14ac:dyDescent="0.35">
      <c r="A271" t="s">
        <v>607</v>
      </c>
      <c r="B271" t="s">
        <v>37</v>
      </c>
      <c r="C271" t="s">
        <v>63</v>
      </c>
      <c r="D271" t="s">
        <v>63</v>
      </c>
      <c r="E271" t="s">
        <v>584</v>
      </c>
      <c r="F271" t="s">
        <v>581</v>
      </c>
      <c r="G271" t="s">
        <v>25</v>
      </c>
      <c r="M271">
        <v>0</v>
      </c>
      <c r="N271">
        <v>-5.1031370000000001E-9</v>
      </c>
    </row>
    <row r="272" spans="1:14" hidden="1" x14ac:dyDescent="0.35">
      <c r="A272" t="s">
        <v>607</v>
      </c>
      <c r="B272" t="s">
        <v>37</v>
      </c>
      <c r="C272" t="s">
        <v>63</v>
      </c>
      <c r="D272" t="s">
        <v>63</v>
      </c>
      <c r="E272" t="s">
        <v>584</v>
      </c>
      <c r="F272" t="s">
        <v>26</v>
      </c>
      <c r="G272" t="s">
        <v>26</v>
      </c>
      <c r="M272">
        <v>0</v>
      </c>
      <c r="N272">
        <v>0</v>
      </c>
    </row>
    <row r="273" spans="1:14" hidden="1" x14ac:dyDescent="0.35">
      <c r="A273" t="s">
        <v>607</v>
      </c>
      <c r="B273" t="s">
        <v>37</v>
      </c>
      <c r="C273" t="s">
        <v>99</v>
      </c>
      <c r="D273" t="s">
        <v>100</v>
      </c>
      <c r="E273" t="s">
        <v>584</v>
      </c>
      <c r="F273" t="s">
        <v>581</v>
      </c>
      <c r="G273" t="s">
        <v>396</v>
      </c>
      <c r="H273">
        <v>2.2000000000000001E-3</v>
      </c>
      <c r="I273">
        <v>1.6465749999999999E-3</v>
      </c>
      <c r="J273">
        <v>1.228219E-3</v>
      </c>
      <c r="K273">
        <v>9.1287669999999999E-4</v>
      </c>
      <c r="L273">
        <v>0</v>
      </c>
      <c r="M273">
        <v>0</v>
      </c>
    </row>
    <row r="274" spans="1:14" hidden="1" x14ac:dyDescent="0.35">
      <c r="A274" t="s">
        <v>607</v>
      </c>
      <c r="B274" t="s">
        <v>37</v>
      </c>
      <c r="C274" t="s">
        <v>99</v>
      </c>
      <c r="D274" t="s">
        <v>100</v>
      </c>
      <c r="E274" t="s">
        <v>584</v>
      </c>
      <c r="F274" t="s">
        <v>581</v>
      </c>
      <c r="G274" t="s">
        <v>24</v>
      </c>
      <c r="H274">
        <v>6.523287E-3</v>
      </c>
      <c r="I274">
        <v>5.5698639999999999E-3</v>
      </c>
      <c r="J274">
        <v>4.7358900000000004E-3</v>
      </c>
      <c r="K274">
        <v>4.0205470000000002E-3</v>
      </c>
      <c r="L274">
        <v>3.368219E-3</v>
      </c>
      <c r="M274">
        <v>2.7490409999999998E-3</v>
      </c>
      <c r="N274">
        <v>2.2452050000000001E-3</v>
      </c>
    </row>
    <row r="275" spans="1:14" hidden="1" x14ac:dyDescent="0.35">
      <c r="A275" t="s">
        <v>607</v>
      </c>
      <c r="B275" t="s">
        <v>37</v>
      </c>
      <c r="C275" t="s">
        <v>99</v>
      </c>
      <c r="D275" t="s">
        <v>101</v>
      </c>
      <c r="E275" t="s">
        <v>584</v>
      </c>
      <c r="F275" t="s">
        <v>581</v>
      </c>
      <c r="G275" t="s">
        <v>396</v>
      </c>
      <c r="H275">
        <v>8.0273970000000004E-4</v>
      </c>
      <c r="I275">
        <v>0</v>
      </c>
    </row>
    <row r="276" spans="1:14" hidden="1" x14ac:dyDescent="0.35">
      <c r="A276" t="s">
        <v>607</v>
      </c>
      <c r="B276" t="s">
        <v>37</v>
      </c>
      <c r="C276" t="s">
        <v>99</v>
      </c>
      <c r="D276" t="s">
        <v>101</v>
      </c>
      <c r="E276" t="s">
        <v>584</v>
      </c>
      <c r="F276" t="s">
        <v>581</v>
      </c>
      <c r="G276" t="s">
        <v>24</v>
      </c>
      <c r="H276">
        <v>8.0273970000000004E-4</v>
      </c>
      <c r="I276">
        <v>0</v>
      </c>
    </row>
    <row r="277" spans="1:14" hidden="1" x14ac:dyDescent="0.35">
      <c r="A277" t="s">
        <v>607</v>
      </c>
      <c r="B277" t="s">
        <v>37</v>
      </c>
      <c r="C277" t="s">
        <v>118</v>
      </c>
      <c r="D277" t="s">
        <v>118</v>
      </c>
      <c r="E277" t="s">
        <v>584</v>
      </c>
      <c r="F277" t="s">
        <v>581</v>
      </c>
      <c r="G277" t="s">
        <v>396</v>
      </c>
      <c r="H277">
        <v>8.0273970000000004E-4</v>
      </c>
      <c r="I277">
        <v>0</v>
      </c>
    </row>
    <row r="278" spans="1:14" hidden="1" x14ac:dyDescent="0.35">
      <c r="A278" t="s">
        <v>607</v>
      </c>
      <c r="B278" t="s">
        <v>37</v>
      </c>
      <c r="C278" t="s">
        <v>118</v>
      </c>
      <c r="D278" t="s">
        <v>118</v>
      </c>
      <c r="E278" t="s">
        <v>584</v>
      </c>
      <c r="F278" t="s">
        <v>581</v>
      </c>
      <c r="G278" t="s">
        <v>24</v>
      </c>
      <c r="H278">
        <v>8.0273970000000004E-4</v>
      </c>
      <c r="I278">
        <v>0</v>
      </c>
    </row>
    <row r="279" spans="1:14" hidden="1" x14ac:dyDescent="0.35">
      <c r="A279" t="s">
        <v>607</v>
      </c>
      <c r="B279" t="s">
        <v>37</v>
      </c>
      <c r="C279" t="s">
        <v>118</v>
      </c>
      <c r="D279" t="s">
        <v>118</v>
      </c>
      <c r="E279" t="s">
        <v>584</v>
      </c>
      <c r="F279" t="s">
        <v>581</v>
      </c>
      <c r="G279" t="s">
        <v>25</v>
      </c>
      <c r="H279">
        <v>1.728767E-3</v>
      </c>
      <c r="I279">
        <v>1.1616440000000001E-3</v>
      </c>
      <c r="J279">
        <v>0</v>
      </c>
    </row>
    <row r="280" spans="1:14" hidden="1" x14ac:dyDescent="0.35">
      <c r="A280" t="s">
        <v>607</v>
      </c>
      <c r="B280" t="s">
        <v>37</v>
      </c>
      <c r="C280" t="s">
        <v>118</v>
      </c>
      <c r="D280" t="s">
        <v>118</v>
      </c>
      <c r="E280" t="s">
        <v>584</v>
      </c>
      <c r="F280" t="s">
        <v>26</v>
      </c>
      <c r="G280" t="s">
        <v>26</v>
      </c>
      <c r="H280">
        <v>0</v>
      </c>
    </row>
    <row r="281" spans="1:14" hidden="1" x14ac:dyDescent="0.35">
      <c r="A281" t="s">
        <v>607</v>
      </c>
      <c r="B281" t="s">
        <v>37</v>
      </c>
      <c r="C281" t="s">
        <v>70</v>
      </c>
      <c r="D281" t="s">
        <v>70</v>
      </c>
      <c r="E281" t="s">
        <v>584</v>
      </c>
      <c r="F281" t="s">
        <v>581</v>
      </c>
      <c r="G281" t="s">
        <v>396</v>
      </c>
      <c r="H281">
        <v>8.0273970000000004E-4</v>
      </c>
      <c r="I281">
        <v>0</v>
      </c>
    </row>
    <row r="282" spans="1:14" hidden="1" x14ac:dyDescent="0.35">
      <c r="A282" t="s">
        <v>242</v>
      </c>
      <c r="B282" t="s">
        <v>37</v>
      </c>
      <c r="C282" t="s">
        <v>35</v>
      </c>
      <c r="D282" t="s">
        <v>39</v>
      </c>
      <c r="E282" t="s">
        <v>580</v>
      </c>
      <c r="F282" t="s">
        <v>581</v>
      </c>
      <c r="G282" t="s">
        <v>396</v>
      </c>
      <c r="H282">
        <v>73.286580000000001</v>
      </c>
      <c r="I282">
        <v>86.916079999999994</v>
      </c>
      <c r="J282">
        <v>86.654750000000007</v>
      </c>
      <c r="K282">
        <v>77.744860000000003</v>
      </c>
      <c r="L282">
        <v>70.346959999999996</v>
      </c>
      <c r="M282">
        <v>63.52261</v>
      </c>
      <c r="N282">
        <v>60.215479999999999</v>
      </c>
    </row>
    <row r="283" spans="1:14" hidden="1" x14ac:dyDescent="0.35">
      <c r="A283" t="s">
        <v>242</v>
      </c>
      <c r="B283" t="s">
        <v>37</v>
      </c>
      <c r="C283" t="s">
        <v>35</v>
      </c>
      <c r="D283" t="s">
        <v>39</v>
      </c>
      <c r="E283" t="s">
        <v>580</v>
      </c>
      <c r="F283" t="s">
        <v>581</v>
      </c>
      <c r="G283" t="s">
        <v>25</v>
      </c>
      <c r="H283">
        <v>22.237400000000001</v>
      </c>
      <c r="I283">
        <v>26.779869999999999</v>
      </c>
      <c r="J283">
        <v>26.7302</v>
      </c>
      <c r="K283">
        <v>23.98179</v>
      </c>
      <c r="L283">
        <v>21.699770000000001</v>
      </c>
      <c r="M283">
        <v>19.594670000000001</v>
      </c>
      <c r="N283">
        <v>18.574529999999999</v>
      </c>
    </row>
    <row r="284" spans="1:14" hidden="1" x14ac:dyDescent="0.35">
      <c r="A284" t="s">
        <v>242</v>
      </c>
      <c r="B284" t="s">
        <v>37</v>
      </c>
      <c r="C284" t="s">
        <v>35</v>
      </c>
      <c r="D284" t="s">
        <v>39</v>
      </c>
      <c r="E284" t="s">
        <v>580</v>
      </c>
      <c r="F284" t="s">
        <v>26</v>
      </c>
      <c r="G284" t="s">
        <v>26</v>
      </c>
      <c r="H284">
        <v>25.581499999999998</v>
      </c>
      <c r="I284">
        <v>29.755400000000002</v>
      </c>
      <c r="J284">
        <v>29.700209999999998</v>
      </c>
      <c r="K284">
        <v>26.646429999999999</v>
      </c>
      <c r="L284">
        <v>24.110849999999999</v>
      </c>
      <c r="M284">
        <v>21.77186</v>
      </c>
      <c r="N284">
        <v>20.638369999999998</v>
      </c>
    </row>
    <row r="285" spans="1:14" hidden="1" x14ac:dyDescent="0.35">
      <c r="A285" t="s">
        <v>242</v>
      </c>
      <c r="B285" t="s">
        <v>37</v>
      </c>
      <c r="C285" t="s">
        <v>35</v>
      </c>
      <c r="D285" t="s">
        <v>39</v>
      </c>
      <c r="E285" t="s">
        <v>582</v>
      </c>
      <c r="F285" t="s">
        <v>581</v>
      </c>
      <c r="G285" t="s">
        <v>396</v>
      </c>
      <c r="H285">
        <v>25.082740000000001</v>
      </c>
      <c r="I285">
        <v>38.582680000000003</v>
      </c>
      <c r="J285">
        <v>42.94894</v>
      </c>
      <c r="K285">
        <v>37.174689999999998</v>
      </c>
      <c r="L285">
        <v>32.488520000000001</v>
      </c>
      <c r="M285">
        <v>31.28032</v>
      </c>
      <c r="N285">
        <v>32.774050000000003</v>
      </c>
    </row>
    <row r="286" spans="1:14" hidden="1" x14ac:dyDescent="0.35">
      <c r="A286" t="s">
        <v>242</v>
      </c>
      <c r="B286" t="s">
        <v>37</v>
      </c>
      <c r="C286" t="s">
        <v>35</v>
      </c>
      <c r="D286" t="s">
        <v>39</v>
      </c>
      <c r="E286" t="s">
        <v>582</v>
      </c>
      <c r="F286" t="s">
        <v>581</v>
      </c>
      <c r="G286" t="s">
        <v>25</v>
      </c>
      <c r="H286">
        <v>12.28191</v>
      </c>
      <c r="I286">
        <v>18.246030000000001</v>
      </c>
      <c r="J286">
        <v>20.30106</v>
      </c>
      <c r="K286">
        <v>17.950659999999999</v>
      </c>
      <c r="L286">
        <v>15.45003</v>
      </c>
      <c r="M286">
        <v>14.36063</v>
      </c>
      <c r="N286">
        <v>14.44896</v>
      </c>
    </row>
    <row r="287" spans="1:14" hidden="1" x14ac:dyDescent="0.35">
      <c r="A287" t="s">
        <v>242</v>
      </c>
      <c r="B287" t="s">
        <v>37</v>
      </c>
      <c r="C287" t="s">
        <v>35</v>
      </c>
      <c r="D287" t="s">
        <v>39</v>
      </c>
      <c r="E287" t="s">
        <v>582</v>
      </c>
      <c r="F287" t="s">
        <v>26</v>
      </c>
      <c r="G287" t="s">
        <v>26</v>
      </c>
      <c r="H287">
        <v>12.442600000000001</v>
      </c>
      <c r="I287">
        <v>17.197320000000001</v>
      </c>
      <c r="J287">
        <v>19.12745</v>
      </c>
      <c r="K287">
        <v>17.01906</v>
      </c>
      <c r="L287">
        <v>14.583030000000001</v>
      </c>
      <c r="M287">
        <v>13.41146</v>
      </c>
      <c r="N287">
        <v>13.32169</v>
      </c>
    </row>
    <row r="288" spans="1:14" hidden="1" x14ac:dyDescent="0.35">
      <c r="A288" t="s">
        <v>242</v>
      </c>
      <c r="B288" t="s">
        <v>37</v>
      </c>
      <c r="C288" t="s">
        <v>35</v>
      </c>
      <c r="D288" t="s">
        <v>39</v>
      </c>
      <c r="E288" t="s">
        <v>613</v>
      </c>
      <c r="F288" t="s">
        <v>581</v>
      </c>
      <c r="G288" t="s">
        <v>396</v>
      </c>
      <c r="H288">
        <v>5.3523290000000001</v>
      </c>
      <c r="I288">
        <v>4.6017590000000004</v>
      </c>
      <c r="J288">
        <v>3.9260630000000001</v>
      </c>
      <c r="K288">
        <v>3.3843610000000002</v>
      </c>
      <c r="L288">
        <v>2.926571</v>
      </c>
      <c r="M288">
        <v>2.4866839999999999</v>
      </c>
      <c r="N288">
        <v>2.1094970000000002</v>
      </c>
    </row>
    <row r="289" spans="1:14" hidden="1" x14ac:dyDescent="0.35">
      <c r="A289" t="s">
        <v>242</v>
      </c>
      <c r="B289" t="s">
        <v>37</v>
      </c>
      <c r="C289" t="s">
        <v>35</v>
      </c>
      <c r="D289" t="s">
        <v>39</v>
      </c>
      <c r="E289" t="s">
        <v>613</v>
      </c>
      <c r="F289" t="s">
        <v>581</v>
      </c>
      <c r="G289" t="s">
        <v>25</v>
      </c>
      <c r="H289">
        <v>1.6836990000000001</v>
      </c>
      <c r="I289">
        <v>0.84749039999999998</v>
      </c>
      <c r="J289">
        <v>0.72305200000000003</v>
      </c>
      <c r="K289">
        <v>0.62328740000000005</v>
      </c>
      <c r="L289">
        <v>0.53897859999999997</v>
      </c>
      <c r="M289">
        <v>0.45796160000000002</v>
      </c>
      <c r="N289">
        <v>0.38850050000000003</v>
      </c>
    </row>
    <row r="290" spans="1:14" hidden="1" x14ac:dyDescent="0.35">
      <c r="A290" t="s">
        <v>242</v>
      </c>
      <c r="B290" t="s">
        <v>37</v>
      </c>
      <c r="C290" t="s">
        <v>35</v>
      </c>
      <c r="D290" t="s">
        <v>39</v>
      </c>
      <c r="E290" t="s">
        <v>613</v>
      </c>
      <c r="F290" t="s">
        <v>26</v>
      </c>
      <c r="G290" t="s">
        <v>26</v>
      </c>
      <c r="H290">
        <v>1.017671</v>
      </c>
      <c r="I290">
        <v>0.78229859999999996</v>
      </c>
      <c r="J290">
        <v>0.6674329</v>
      </c>
      <c r="K290">
        <v>0.57534350000000001</v>
      </c>
      <c r="L290">
        <v>0.4975175</v>
      </c>
      <c r="M290">
        <v>0.42273309999999997</v>
      </c>
      <c r="N290">
        <v>0.35861310000000002</v>
      </c>
    </row>
    <row r="291" spans="1:14" hidden="1" x14ac:dyDescent="0.35">
      <c r="A291" t="s">
        <v>242</v>
      </c>
      <c r="B291" t="s">
        <v>37</v>
      </c>
      <c r="C291" t="s">
        <v>35</v>
      </c>
      <c r="D291" t="s">
        <v>39</v>
      </c>
      <c r="E291" t="s">
        <v>584</v>
      </c>
      <c r="F291" t="s">
        <v>581</v>
      </c>
      <c r="G291" t="s">
        <v>396</v>
      </c>
      <c r="H291">
        <v>8.0273970000000004E-4</v>
      </c>
      <c r="I291">
        <v>0</v>
      </c>
    </row>
    <row r="292" spans="1:14" hidden="1" x14ac:dyDescent="0.35">
      <c r="A292" t="s">
        <v>242</v>
      </c>
      <c r="B292" t="s">
        <v>37</v>
      </c>
      <c r="C292" t="s">
        <v>35</v>
      </c>
      <c r="D292" t="s">
        <v>39</v>
      </c>
      <c r="E292" t="s">
        <v>584</v>
      </c>
      <c r="F292" t="s">
        <v>581</v>
      </c>
      <c r="G292" t="s">
        <v>25</v>
      </c>
      <c r="H292">
        <v>3.142466E-3</v>
      </c>
      <c r="I292">
        <v>3.076713E-3</v>
      </c>
      <c r="J292">
        <v>3.0172599999999999E-3</v>
      </c>
      <c r="K292">
        <v>2.9531510000000002E-3</v>
      </c>
      <c r="L292">
        <v>8.6794529999999995E-4</v>
      </c>
      <c r="M292">
        <v>8.2931509999999999E-4</v>
      </c>
      <c r="N292">
        <v>7.9643840000000004E-4</v>
      </c>
    </row>
    <row r="293" spans="1:14" hidden="1" x14ac:dyDescent="0.35">
      <c r="A293" t="s">
        <v>242</v>
      </c>
      <c r="B293" t="s">
        <v>37</v>
      </c>
      <c r="C293" t="s">
        <v>35</v>
      </c>
      <c r="D293" t="s">
        <v>39</v>
      </c>
      <c r="E293" t="s">
        <v>584</v>
      </c>
      <c r="F293" t="s">
        <v>26</v>
      </c>
      <c r="G293" t="s">
        <v>26</v>
      </c>
      <c r="H293">
        <v>0</v>
      </c>
    </row>
    <row r="294" spans="1:14" hidden="1" x14ac:dyDescent="0.35">
      <c r="A294" t="s">
        <v>242</v>
      </c>
      <c r="B294" t="s">
        <v>37</v>
      </c>
      <c r="C294" t="s">
        <v>35</v>
      </c>
      <c r="D294" t="s">
        <v>129</v>
      </c>
      <c r="E294" t="s">
        <v>580</v>
      </c>
      <c r="F294" t="s">
        <v>581</v>
      </c>
      <c r="G294" t="s">
        <v>396</v>
      </c>
      <c r="H294">
        <v>57.258110000000002</v>
      </c>
      <c r="I294">
        <v>50.616889999999998</v>
      </c>
      <c r="J294">
        <v>51.247190000000003</v>
      </c>
      <c r="K294">
        <v>44.041649999999997</v>
      </c>
      <c r="L294">
        <v>37.756900000000002</v>
      </c>
      <c r="M294">
        <v>36.644959999999998</v>
      </c>
      <c r="N294">
        <v>37.859340000000003</v>
      </c>
    </row>
    <row r="295" spans="1:14" hidden="1" x14ac:dyDescent="0.35">
      <c r="A295" t="s">
        <v>242</v>
      </c>
      <c r="B295" t="s">
        <v>37</v>
      </c>
      <c r="C295" t="s">
        <v>35</v>
      </c>
      <c r="D295" t="s">
        <v>129</v>
      </c>
      <c r="E295" t="s">
        <v>580</v>
      </c>
      <c r="F295" t="s">
        <v>581</v>
      </c>
      <c r="G295" t="s">
        <v>25</v>
      </c>
      <c r="H295">
        <v>26.359590000000001</v>
      </c>
      <c r="I295">
        <v>25.6555</v>
      </c>
      <c r="J295">
        <v>25.23282</v>
      </c>
      <c r="K295">
        <v>22.18975</v>
      </c>
      <c r="L295">
        <v>19.521920000000001</v>
      </c>
      <c r="M295">
        <v>18.904969999999999</v>
      </c>
      <c r="N295">
        <v>19.95054</v>
      </c>
    </row>
    <row r="296" spans="1:14" hidden="1" x14ac:dyDescent="0.35">
      <c r="A296" t="s">
        <v>242</v>
      </c>
      <c r="B296" t="s">
        <v>37</v>
      </c>
      <c r="C296" t="s">
        <v>35</v>
      </c>
      <c r="D296" t="s">
        <v>129</v>
      </c>
      <c r="E296" t="s">
        <v>580</v>
      </c>
      <c r="F296" t="s">
        <v>26</v>
      </c>
      <c r="G296" t="s">
        <v>26</v>
      </c>
      <c r="H296">
        <v>26.290410000000001</v>
      </c>
      <c r="I296">
        <v>25.72702</v>
      </c>
      <c r="J296">
        <v>25.36626</v>
      </c>
      <c r="K296">
        <v>22.27787</v>
      </c>
      <c r="L296">
        <v>19.56615</v>
      </c>
      <c r="M296">
        <v>18.947890000000001</v>
      </c>
      <c r="N296">
        <v>19.963000000000001</v>
      </c>
    </row>
    <row r="297" spans="1:14" hidden="1" x14ac:dyDescent="0.35">
      <c r="A297" t="s">
        <v>242</v>
      </c>
      <c r="B297" t="s">
        <v>37</v>
      </c>
      <c r="C297" t="s">
        <v>35</v>
      </c>
      <c r="D297" t="s">
        <v>129</v>
      </c>
      <c r="E297" t="s">
        <v>582</v>
      </c>
      <c r="F297" t="s">
        <v>581</v>
      </c>
      <c r="G297" t="s">
        <v>396</v>
      </c>
      <c r="H297">
        <v>14.66301</v>
      </c>
      <c r="I297">
        <v>8.6161759999999994</v>
      </c>
      <c r="J297">
        <v>9.9708389999999998</v>
      </c>
      <c r="K297">
        <v>9.0097400000000007</v>
      </c>
      <c r="L297">
        <v>8.3489740000000001</v>
      </c>
      <c r="M297">
        <v>7.5284440000000004</v>
      </c>
      <c r="N297">
        <v>7.1206509999999996</v>
      </c>
    </row>
    <row r="298" spans="1:14" hidden="1" x14ac:dyDescent="0.35">
      <c r="A298" t="s">
        <v>242</v>
      </c>
      <c r="B298" t="s">
        <v>37</v>
      </c>
      <c r="C298" t="s">
        <v>35</v>
      </c>
      <c r="D298" t="s">
        <v>129</v>
      </c>
      <c r="E298" t="s">
        <v>582</v>
      </c>
      <c r="F298" t="s">
        <v>581</v>
      </c>
      <c r="G298" t="s">
        <v>25</v>
      </c>
      <c r="H298">
        <v>3.53274</v>
      </c>
      <c r="I298">
        <v>2.6358239999999999</v>
      </c>
      <c r="J298">
        <v>3.0497869999999998</v>
      </c>
      <c r="K298">
        <v>2.755817</v>
      </c>
      <c r="L298">
        <v>2.553712</v>
      </c>
      <c r="M298">
        <v>2.302737</v>
      </c>
      <c r="N298">
        <v>2.1779989999999998</v>
      </c>
    </row>
    <row r="299" spans="1:14" hidden="1" x14ac:dyDescent="0.35">
      <c r="A299" t="s">
        <v>242</v>
      </c>
      <c r="B299" t="s">
        <v>37</v>
      </c>
      <c r="C299" t="s">
        <v>35</v>
      </c>
      <c r="D299" t="s">
        <v>129</v>
      </c>
      <c r="E299" t="s">
        <v>582</v>
      </c>
      <c r="F299" t="s">
        <v>26</v>
      </c>
      <c r="G299" t="s">
        <v>26</v>
      </c>
      <c r="H299">
        <v>2.8457530000000002</v>
      </c>
      <c r="I299">
        <v>2.0809160000000002</v>
      </c>
      <c r="J299">
        <v>2.4077320000000002</v>
      </c>
      <c r="K299">
        <v>2.1756470000000001</v>
      </c>
      <c r="L299">
        <v>2.0160879999999999</v>
      </c>
      <c r="M299">
        <v>1.817949</v>
      </c>
      <c r="N299">
        <v>1.7194739999999999</v>
      </c>
    </row>
    <row r="300" spans="1:14" hidden="1" x14ac:dyDescent="0.35">
      <c r="A300" t="s">
        <v>242</v>
      </c>
      <c r="B300" t="s">
        <v>37</v>
      </c>
      <c r="C300" t="s">
        <v>35</v>
      </c>
      <c r="D300" t="s">
        <v>207</v>
      </c>
      <c r="E300" t="s">
        <v>592</v>
      </c>
      <c r="F300" t="s">
        <v>581</v>
      </c>
      <c r="G300" t="s">
        <v>396</v>
      </c>
      <c r="H300">
        <v>0.52164379999999999</v>
      </c>
      <c r="I300">
        <v>0.42513699999999999</v>
      </c>
      <c r="J300">
        <v>0.3223781</v>
      </c>
      <c r="K300">
        <v>0.26069039999999999</v>
      </c>
      <c r="L300">
        <v>0.2457153</v>
      </c>
      <c r="M300">
        <v>0.2181554</v>
      </c>
      <c r="N300">
        <v>0.17922250000000001</v>
      </c>
    </row>
    <row r="301" spans="1:14" hidden="1" x14ac:dyDescent="0.35">
      <c r="A301" t="s">
        <v>242</v>
      </c>
      <c r="B301" t="s">
        <v>37</v>
      </c>
      <c r="C301" t="s">
        <v>35</v>
      </c>
      <c r="D301" t="s">
        <v>207</v>
      </c>
      <c r="E301" t="s">
        <v>592</v>
      </c>
      <c r="F301" t="s">
        <v>581</v>
      </c>
      <c r="G301" t="s">
        <v>25</v>
      </c>
      <c r="H301">
        <v>5.5893150000000003E-2</v>
      </c>
      <c r="I301">
        <v>4.4068499999999997E-2</v>
      </c>
      <c r="J301">
        <v>3.3416439999999999E-2</v>
      </c>
      <c r="K301">
        <v>2.701918E-2</v>
      </c>
      <c r="L301">
        <v>2.5470409999999999E-2</v>
      </c>
      <c r="M301">
        <v>2.261233E-2</v>
      </c>
      <c r="N301">
        <v>1.8579999999999999E-2</v>
      </c>
    </row>
    <row r="302" spans="1:14" hidden="1" x14ac:dyDescent="0.35">
      <c r="A302" t="s">
        <v>242</v>
      </c>
      <c r="B302" t="s">
        <v>37</v>
      </c>
      <c r="C302" t="s">
        <v>35</v>
      </c>
      <c r="D302" t="s">
        <v>207</v>
      </c>
      <c r="E302" t="s">
        <v>592</v>
      </c>
      <c r="F302" t="s">
        <v>26</v>
      </c>
      <c r="G302" t="s">
        <v>26</v>
      </c>
      <c r="H302">
        <v>5.5890410000000001E-2</v>
      </c>
      <c r="I302">
        <v>5.5084939999999999E-2</v>
      </c>
      <c r="J302">
        <v>4.17726E-2</v>
      </c>
      <c r="K302">
        <v>3.3778080000000002E-2</v>
      </c>
      <c r="L302">
        <v>3.183863E-2</v>
      </c>
      <c r="M302">
        <v>2.826822E-2</v>
      </c>
      <c r="N302">
        <v>2.3221370000000002E-2</v>
      </c>
    </row>
    <row r="303" spans="1:14" hidden="1" x14ac:dyDescent="0.35">
      <c r="A303" t="s">
        <v>242</v>
      </c>
      <c r="B303" t="s">
        <v>37</v>
      </c>
      <c r="C303" t="s">
        <v>79</v>
      </c>
      <c r="D303" t="s">
        <v>79</v>
      </c>
      <c r="E303" t="s">
        <v>614</v>
      </c>
      <c r="F303" t="s">
        <v>581</v>
      </c>
      <c r="G303" t="s">
        <v>396</v>
      </c>
      <c r="H303">
        <v>122.7411</v>
      </c>
      <c r="I303">
        <v>115.63039999999999</v>
      </c>
      <c r="J303">
        <v>107.1405</v>
      </c>
      <c r="K303">
        <v>87.784540000000007</v>
      </c>
      <c r="L303">
        <v>75.391890000000004</v>
      </c>
      <c r="M303">
        <v>72.46866</v>
      </c>
      <c r="N303">
        <v>71.884730000000005</v>
      </c>
    </row>
    <row r="304" spans="1:14" hidden="1" x14ac:dyDescent="0.35">
      <c r="A304" t="s">
        <v>242</v>
      </c>
      <c r="B304" t="s">
        <v>37</v>
      </c>
      <c r="C304" t="s">
        <v>79</v>
      </c>
      <c r="D304" t="s">
        <v>79</v>
      </c>
      <c r="E304" t="s">
        <v>614</v>
      </c>
      <c r="F304" t="s">
        <v>581</v>
      </c>
      <c r="G304" t="s">
        <v>25</v>
      </c>
      <c r="H304">
        <v>22.117809999999999</v>
      </c>
      <c r="I304">
        <v>22.800360000000001</v>
      </c>
      <c r="J304">
        <v>21.12631</v>
      </c>
      <c r="K304">
        <v>17.309629999999999</v>
      </c>
      <c r="L304">
        <v>14.866009999999999</v>
      </c>
      <c r="M304">
        <v>14.2896</v>
      </c>
      <c r="N304">
        <v>14.17446</v>
      </c>
    </row>
    <row r="305" spans="1:14" hidden="1" x14ac:dyDescent="0.35">
      <c r="A305" t="s">
        <v>242</v>
      </c>
      <c r="B305" t="s">
        <v>37</v>
      </c>
      <c r="C305" t="s">
        <v>79</v>
      </c>
      <c r="D305" t="s">
        <v>79</v>
      </c>
      <c r="E305" t="s">
        <v>614</v>
      </c>
      <c r="F305" t="s">
        <v>26</v>
      </c>
      <c r="G305" t="s">
        <v>26</v>
      </c>
      <c r="H305">
        <v>20.050689999999999</v>
      </c>
      <c r="I305">
        <v>24.42896</v>
      </c>
      <c r="J305">
        <v>22.63533</v>
      </c>
      <c r="K305">
        <v>18.546029999999998</v>
      </c>
      <c r="L305">
        <v>15.92787</v>
      </c>
      <c r="M305">
        <v>15.310280000000001</v>
      </c>
      <c r="N305">
        <v>15.186909999999999</v>
      </c>
    </row>
    <row r="306" spans="1:14" hidden="1" x14ac:dyDescent="0.35">
      <c r="A306" t="s">
        <v>242</v>
      </c>
      <c r="B306" t="s">
        <v>37</v>
      </c>
      <c r="C306" t="s">
        <v>79</v>
      </c>
      <c r="D306" t="s">
        <v>79</v>
      </c>
      <c r="E306" t="s">
        <v>615</v>
      </c>
      <c r="F306" t="s">
        <v>581</v>
      </c>
      <c r="G306" t="s">
        <v>396</v>
      </c>
      <c r="H306">
        <v>64.202060000000003</v>
      </c>
      <c r="I306">
        <v>68.009230000000002</v>
      </c>
      <c r="J306">
        <v>64.898520000000005</v>
      </c>
      <c r="K306">
        <v>53.781689999999998</v>
      </c>
      <c r="L306">
        <v>44.603259999999999</v>
      </c>
      <c r="M306">
        <v>36.907670000000003</v>
      </c>
      <c r="N306">
        <v>31.816890000000001</v>
      </c>
    </row>
    <row r="307" spans="1:14" hidden="1" x14ac:dyDescent="0.35">
      <c r="A307" t="s">
        <v>242</v>
      </c>
      <c r="B307" t="s">
        <v>37</v>
      </c>
      <c r="C307" t="s">
        <v>79</v>
      </c>
      <c r="D307" t="s">
        <v>79</v>
      </c>
      <c r="E307" t="s">
        <v>615</v>
      </c>
      <c r="F307" t="s">
        <v>581</v>
      </c>
      <c r="G307" t="s">
        <v>25</v>
      </c>
      <c r="H307">
        <v>7.871918</v>
      </c>
      <c r="I307">
        <v>9.1068010000000008</v>
      </c>
      <c r="J307">
        <v>8.7059040000000003</v>
      </c>
      <c r="K307">
        <v>7.2146169999999996</v>
      </c>
      <c r="L307">
        <v>5.9833670000000003</v>
      </c>
      <c r="M307">
        <v>4.9510310000000004</v>
      </c>
      <c r="N307">
        <v>4.2681170000000002</v>
      </c>
    </row>
    <row r="308" spans="1:14" hidden="1" x14ac:dyDescent="0.35">
      <c r="A308" t="s">
        <v>242</v>
      </c>
      <c r="B308" t="s">
        <v>37</v>
      </c>
      <c r="C308" t="s">
        <v>79</v>
      </c>
      <c r="D308" t="s">
        <v>79</v>
      </c>
      <c r="E308" t="s">
        <v>615</v>
      </c>
      <c r="F308" t="s">
        <v>26</v>
      </c>
      <c r="G308" t="s">
        <v>26</v>
      </c>
      <c r="H308">
        <v>4.2369859999999999</v>
      </c>
      <c r="I308">
        <v>5.7952339999999998</v>
      </c>
      <c r="J308">
        <v>5.5401189999999998</v>
      </c>
      <c r="K308">
        <v>4.5911179999999998</v>
      </c>
      <c r="L308">
        <v>3.8075960000000002</v>
      </c>
      <c r="M308">
        <v>3.1506569999999998</v>
      </c>
      <c r="N308">
        <v>2.7160769999999999</v>
      </c>
    </row>
    <row r="309" spans="1:14" hidden="1" x14ac:dyDescent="0.35">
      <c r="A309" t="s">
        <v>242</v>
      </c>
      <c r="B309" t="s">
        <v>37</v>
      </c>
      <c r="C309" t="s">
        <v>79</v>
      </c>
      <c r="D309" t="s">
        <v>79</v>
      </c>
      <c r="E309" t="s">
        <v>601</v>
      </c>
      <c r="F309" t="s">
        <v>581</v>
      </c>
      <c r="G309" t="s">
        <v>396</v>
      </c>
      <c r="H309">
        <v>15.00055</v>
      </c>
      <c r="I309">
        <v>5.8439909999999999</v>
      </c>
      <c r="J309">
        <v>4.7184790000000003</v>
      </c>
      <c r="K309">
        <v>4.0877480000000004</v>
      </c>
      <c r="L309">
        <v>3.4653320000000001</v>
      </c>
      <c r="M309">
        <v>3.258416</v>
      </c>
      <c r="N309">
        <v>3.493528</v>
      </c>
    </row>
    <row r="310" spans="1:14" hidden="1" x14ac:dyDescent="0.35">
      <c r="A310" t="s">
        <v>242</v>
      </c>
      <c r="B310" t="s">
        <v>37</v>
      </c>
      <c r="C310" t="s">
        <v>79</v>
      </c>
      <c r="D310" t="s">
        <v>79</v>
      </c>
      <c r="E310" t="s">
        <v>601</v>
      </c>
      <c r="F310" t="s">
        <v>581</v>
      </c>
      <c r="G310" t="s">
        <v>25</v>
      </c>
      <c r="H310">
        <v>7.0005480000000002</v>
      </c>
      <c r="I310">
        <v>9.7394990000000004</v>
      </c>
      <c r="J310">
        <v>8.1886720000000004</v>
      </c>
      <c r="K310">
        <v>7.4233820000000001</v>
      </c>
      <c r="L310">
        <v>6.2172510000000001</v>
      </c>
      <c r="M310">
        <v>6.2264520000000001</v>
      </c>
      <c r="N310">
        <v>7.7489309999999998</v>
      </c>
    </row>
    <row r="311" spans="1:14" hidden="1" x14ac:dyDescent="0.35">
      <c r="A311" t="s">
        <v>242</v>
      </c>
      <c r="B311" t="s">
        <v>37</v>
      </c>
      <c r="C311" t="s">
        <v>79</v>
      </c>
      <c r="D311" t="s">
        <v>79</v>
      </c>
      <c r="E311" t="s">
        <v>601</v>
      </c>
      <c r="F311" t="s">
        <v>26</v>
      </c>
      <c r="G311" t="s">
        <v>26</v>
      </c>
      <c r="H311">
        <v>6.8339730000000003</v>
      </c>
      <c r="I311">
        <v>9.7394960000000008</v>
      </c>
      <c r="J311">
        <v>8.1886720000000004</v>
      </c>
      <c r="K311">
        <v>7.4233830000000003</v>
      </c>
      <c r="L311">
        <v>6.2172489999999998</v>
      </c>
      <c r="M311">
        <v>6.226451</v>
      </c>
      <c r="N311">
        <v>7.7489299999999997</v>
      </c>
    </row>
    <row r="312" spans="1:14" hidden="1" x14ac:dyDescent="0.35">
      <c r="A312" t="s">
        <v>242</v>
      </c>
      <c r="B312" t="s">
        <v>37</v>
      </c>
      <c r="C312" t="s">
        <v>79</v>
      </c>
      <c r="D312" t="s">
        <v>79</v>
      </c>
      <c r="E312" t="s">
        <v>584</v>
      </c>
      <c r="F312" t="s">
        <v>581</v>
      </c>
      <c r="G312" t="s">
        <v>396</v>
      </c>
      <c r="H312">
        <v>0.62904110000000002</v>
      </c>
      <c r="I312">
        <v>0.61658630000000003</v>
      </c>
      <c r="J312">
        <v>0.60435419999999995</v>
      </c>
      <c r="K312">
        <v>0.59121729999999995</v>
      </c>
      <c r="L312">
        <v>0.57387560000000004</v>
      </c>
      <c r="M312">
        <v>0.5447786</v>
      </c>
      <c r="N312">
        <v>0.51945969999999997</v>
      </c>
    </row>
    <row r="313" spans="1:14" hidden="1" x14ac:dyDescent="0.35">
      <c r="A313" t="s">
        <v>242</v>
      </c>
      <c r="B313" t="s">
        <v>37</v>
      </c>
      <c r="C313" t="s">
        <v>79</v>
      </c>
      <c r="D313" t="s">
        <v>79</v>
      </c>
      <c r="E313" t="s">
        <v>584</v>
      </c>
      <c r="F313" t="s">
        <v>581</v>
      </c>
      <c r="G313" t="s">
        <v>24</v>
      </c>
      <c r="H313">
        <v>6.575343E-3</v>
      </c>
      <c r="I313">
        <v>6.4575350000000004E-3</v>
      </c>
      <c r="J313">
        <v>6.3350680000000001E-3</v>
      </c>
      <c r="K313">
        <v>6.1975349999999997E-3</v>
      </c>
      <c r="L313">
        <v>6.0167129999999999E-3</v>
      </c>
      <c r="M313">
        <v>5.711781E-3</v>
      </c>
      <c r="N313">
        <v>5.4452060000000002E-3</v>
      </c>
    </row>
    <row r="314" spans="1:14" hidden="1" x14ac:dyDescent="0.35">
      <c r="A314" t="s">
        <v>242</v>
      </c>
      <c r="B314" t="s">
        <v>37</v>
      </c>
      <c r="C314" t="s">
        <v>79</v>
      </c>
      <c r="D314" t="s">
        <v>79</v>
      </c>
      <c r="E314" t="s">
        <v>584</v>
      </c>
      <c r="F314" t="s">
        <v>581</v>
      </c>
      <c r="G314" t="s">
        <v>25</v>
      </c>
      <c r="H314">
        <v>0.73205480000000001</v>
      </c>
      <c r="I314">
        <v>0.71602730000000003</v>
      </c>
      <c r="J314">
        <v>0.70034379999999996</v>
      </c>
      <c r="K314">
        <v>0.68408199999999997</v>
      </c>
      <c r="L314">
        <v>0.66254550000000001</v>
      </c>
      <c r="M314">
        <v>0.62752189999999997</v>
      </c>
      <c r="N314">
        <v>0.59696439999999995</v>
      </c>
    </row>
    <row r="315" spans="1:14" hidden="1" x14ac:dyDescent="0.35">
      <c r="A315" t="s">
        <v>242</v>
      </c>
      <c r="B315" t="s">
        <v>37</v>
      </c>
      <c r="C315" t="s">
        <v>79</v>
      </c>
      <c r="D315" t="s">
        <v>79</v>
      </c>
      <c r="E315" t="s">
        <v>584</v>
      </c>
      <c r="F315" t="s">
        <v>26</v>
      </c>
      <c r="G315" t="s">
        <v>26</v>
      </c>
      <c r="H315">
        <v>12.42521</v>
      </c>
      <c r="I315">
        <v>8.3288620000000009</v>
      </c>
      <c r="J315">
        <v>5.5855560000000004</v>
      </c>
      <c r="K315">
        <v>3.7489249999999998</v>
      </c>
      <c r="L315">
        <v>2.5129800000000002</v>
      </c>
      <c r="M315">
        <v>1.6845019999999999</v>
      </c>
      <c r="N315">
        <v>1.129154</v>
      </c>
    </row>
    <row r="316" spans="1:14" hidden="1" x14ac:dyDescent="0.35">
      <c r="A316" t="s">
        <v>242</v>
      </c>
      <c r="B316" t="s">
        <v>37</v>
      </c>
      <c r="C316" t="s">
        <v>79</v>
      </c>
      <c r="D316" t="s">
        <v>79</v>
      </c>
      <c r="E316" t="s">
        <v>617</v>
      </c>
      <c r="F316" t="s">
        <v>581</v>
      </c>
      <c r="G316" t="s">
        <v>25</v>
      </c>
      <c r="K316">
        <v>0</v>
      </c>
      <c r="L316">
        <v>3.5389039999999997E-2</v>
      </c>
      <c r="M316">
        <v>3.2281369999999997E-2</v>
      </c>
      <c r="N316">
        <v>1.882466E-2</v>
      </c>
    </row>
    <row r="317" spans="1:14" hidden="1" x14ac:dyDescent="0.35">
      <c r="A317" t="s">
        <v>242</v>
      </c>
      <c r="B317" t="s">
        <v>37</v>
      </c>
      <c r="C317" t="s">
        <v>79</v>
      </c>
      <c r="D317" t="s">
        <v>79</v>
      </c>
      <c r="E317" t="s">
        <v>617</v>
      </c>
      <c r="F317" t="s">
        <v>26</v>
      </c>
      <c r="G317" t="s">
        <v>26</v>
      </c>
      <c r="K317">
        <v>0</v>
      </c>
      <c r="L317">
        <v>0.3185134</v>
      </c>
      <c r="M317">
        <v>0.2905295</v>
      </c>
      <c r="N317">
        <v>0.16941809999999999</v>
      </c>
    </row>
    <row r="318" spans="1:14" hidden="1" x14ac:dyDescent="0.35">
      <c r="A318" t="s">
        <v>242</v>
      </c>
      <c r="B318" t="s">
        <v>37</v>
      </c>
      <c r="C318" t="s">
        <v>79</v>
      </c>
      <c r="D318" t="s">
        <v>79</v>
      </c>
      <c r="E318" t="s">
        <v>616</v>
      </c>
      <c r="F318" t="s">
        <v>581</v>
      </c>
      <c r="G318" t="s">
        <v>396</v>
      </c>
      <c r="H318">
        <v>4.1095890000000003E-2</v>
      </c>
      <c r="I318">
        <v>3.765479E-2</v>
      </c>
      <c r="J318">
        <v>3.3041090000000002E-2</v>
      </c>
      <c r="K318">
        <v>2.9073970000000001E-2</v>
      </c>
      <c r="L318">
        <v>2.5583560000000002E-2</v>
      </c>
      <c r="M318">
        <v>2.257261E-2</v>
      </c>
      <c r="N318">
        <v>1.9805469999999999E-2</v>
      </c>
    </row>
    <row r="319" spans="1:14" hidden="1" x14ac:dyDescent="0.35">
      <c r="A319" t="s">
        <v>242</v>
      </c>
      <c r="B319" t="s">
        <v>37</v>
      </c>
      <c r="C319" t="s">
        <v>79</v>
      </c>
      <c r="D319" t="s">
        <v>79</v>
      </c>
      <c r="E319" t="s">
        <v>616</v>
      </c>
      <c r="F319" t="s">
        <v>581</v>
      </c>
      <c r="G319" t="s">
        <v>24</v>
      </c>
      <c r="H319">
        <v>1.438356E-2</v>
      </c>
      <c r="I319">
        <v>1.3693149999999999E-2</v>
      </c>
      <c r="J319">
        <v>1.20137E-2</v>
      </c>
      <c r="K319">
        <v>1.05726E-2</v>
      </c>
      <c r="L319">
        <v>9.3041100000000009E-3</v>
      </c>
      <c r="M319">
        <v>8.2082209999999999E-3</v>
      </c>
      <c r="N319">
        <v>7.2027419999999998E-3</v>
      </c>
    </row>
    <row r="320" spans="1:14" hidden="1" x14ac:dyDescent="0.35">
      <c r="A320" t="s">
        <v>242</v>
      </c>
      <c r="B320" t="s">
        <v>37</v>
      </c>
      <c r="C320" t="s">
        <v>79</v>
      </c>
      <c r="D320" t="s">
        <v>79</v>
      </c>
      <c r="E320" t="s">
        <v>616</v>
      </c>
      <c r="F320" t="s">
        <v>581</v>
      </c>
      <c r="G320" t="s">
        <v>25</v>
      </c>
      <c r="H320">
        <v>1.027671E-2</v>
      </c>
      <c r="I320">
        <v>1.026849E-2</v>
      </c>
      <c r="J320">
        <v>9.0136980000000005E-3</v>
      </c>
      <c r="K320">
        <v>7.9287669999999998E-3</v>
      </c>
      <c r="L320">
        <v>6.978082E-3</v>
      </c>
      <c r="M320">
        <v>6.1534240000000002E-3</v>
      </c>
      <c r="N320">
        <v>5.4000000000000003E-3</v>
      </c>
    </row>
    <row r="321" spans="1:14" hidden="1" x14ac:dyDescent="0.35">
      <c r="A321" t="s">
        <v>242</v>
      </c>
      <c r="B321" t="s">
        <v>37</v>
      </c>
      <c r="C321" t="s">
        <v>79</v>
      </c>
      <c r="D321" t="s">
        <v>79</v>
      </c>
      <c r="E321" t="s">
        <v>616</v>
      </c>
      <c r="F321" t="s">
        <v>26</v>
      </c>
      <c r="G321" t="s">
        <v>26</v>
      </c>
      <c r="H321">
        <v>4.5205479999999999E-2</v>
      </c>
      <c r="I321">
        <v>5.2490410000000001E-2</v>
      </c>
      <c r="J321">
        <v>4.60548E-2</v>
      </c>
      <c r="K321">
        <v>4.0528769999999999E-2</v>
      </c>
      <c r="L321">
        <v>3.5663010000000002E-2</v>
      </c>
      <c r="M321">
        <v>3.146301E-2</v>
      </c>
      <c r="N321">
        <v>2.7608230000000001E-2</v>
      </c>
    </row>
    <row r="322" spans="1:14" hidden="1" x14ac:dyDescent="0.35">
      <c r="A322" t="s">
        <v>242</v>
      </c>
      <c r="B322" t="s">
        <v>37</v>
      </c>
      <c r="C322" t="s">
        <v>79</v>
      </c>
      <c r="D322" t="s">
        <v>79</v>
      </c>
      <c r="E322" t="s">
        <v>600</v>
      </c>
      <c r="F322" t="s">
        <v>581</v>
      </c>
      <c r="G322" t="s">
        <v>24</v>
      </c>
      <c r="L322">
        <v>0</v>
      </c>
      <c r="M322">
        <v>0</v>
      </c>
      <c r="N322">
        <v>0</v>
      </c>
    </row>
    <row r="323" spans="1:14" hidden="1" x14ac:dyDescent="0.35">
      <c r="A323" t="s">
        <v>242</v>
      </c>
      <c r="B323" t="s">
        <v>37</v>
      </c>
      <c r="C323" t="s">
        <v>79</v>
      </c>
      <c r="D323" t="s">
        <v>79</v>
      </c>
      <c r="E323" t="s">
        <v>600</v>
      </c>
      <c r="F323" t="s">
        <v>581</v>
      </c>
      <c r="G323" t="s">
        <v>25</v>
      </c>
      <c r="L323">
        <v>0</v>
      </c>
      <c r="M323">
        <v>0</v>
      </c>
      <c r="N323">
        <v>-2.653631E-8</v>
      </c>
    </row>
    <row r="324" spans="1:14" hidden="1" x14ac:dyDescent="0.35">
      <c r="A324" t="s">
        <v>242</v>
      </c>
      <c r="B324" t="s">
        <v>37</v>
      </c>
      <c r="C324" t="s">
        <v>79</v>
      </c>
      <c r="D324" t="s">
        <v>79</v>
      </c>
      <c r="E324" t="s">
        <v>600</v>
      </c>
      <c r="F324" t="s">
        <v>26</v>
      </c>
      <c r="G324" t="s">
        <v>26</v>
      </c>
      <c r="L324">
        <v>0</v>
      </c>
      <c r="M324">
        <v>0</v>
      </c>
      <c r="N324">
        <v>0</v>
      </c>
    </row>
    <row r="325" spans="1:14" hidden="1" x14ac:dyDescent="0.35">
      <c r="A325" t="s">
        <v>242</v>
      </c>
      <c r="B325" t="s">
        <v>37</v>
      </c>
      <c r="C325" t="s">
        <v>51</v>
      </c>
      <c r="D325" t="s">
        <v>51</v>
      </c>
      <c r="E325" t="s">
        <v>602</v>
      </c>
      <c r="F325" t="s">
        <v>581</v>
      </c>
      <c r="G325" t="s">
        <v>396</v>
      </c>
      <c r="H325">
        <v>30.285910000000001</v>
      </c>
      <c r="I325">
        <v>28.890650000000001</v>
      </c>
      <c r="J325">
        <v>24.993269999999999</v>
      </c>
      <c r="K325">
        <v>21.828759999999999</v>
      </c>
      <c r="L325">
        <v>19.244299999999999</v>
      </c>
      <c r="M325">
        <v>17.652740000000001</v>
      </c>
      <c r="N325">
        <v>17.29692</v>
      </c>
    </row>
    <row r="326" spans="1:14" hidden="1" x14ac:dyDescent="0.35">
      <c r="A326" t="s">
        <v>242</v>
      </c>
      <c r="B326" t="s">
        <v>37</v>
      </c>
      <c r="C326" t="s">
        <v>51</v>
      </c>
      <c r="D326" t="s">
        <v>51</v>
      </c>
      <c r="E326" t="s">
        <v>602</v>
      </c>
      <c r="F326" t="s">
        <v>581</v>
      </c>
      <c r="G326" t="s">
        <v>25</v>
      </c>
      <c r="H326">
        <v>5.719449</v>
      </c>
      <c r="I326">
        <v>6.3064070000000001</v>
      </c>
      <c r="J326">
        <v>5.4475910000000001</v>
      </c>
      <c r="K326">
        <v>4.7854559999999999</v>
      </c>
      <c r="L326">
        <v>4.2417530000000001</v>
      </c>
      <c r="M326">
        <v>3.8749069999999999</v>
      </c>
      <c r="N326">
        <v>3.7915220000000001</v>
      </c>
    </row>
    <row r="327" spans="1:14" hidden="1" x14ac:dyDescent="0.35">
      <c r="A327" t="s">
        <v>242</v>
      </c>
      <c r="B327" t="s">
        <v>37</v>
      </c>
      <c r="C327" t="s">
        <v>51</v>
      </c>
      <c r="D327" t="s">
        <v>51</v>
      </c>
      <c r="E327" t="s">
        <v>602</v>
      </c>
      <c r="F327" t="s">
        <v>26</v>
      </c>
      <c r="G327" t="s">
        <v>26</v>
      </c>
      <c r="H327">
        <v>5.7939720000000001</v>
      </c>
      <c r="I327">
        <v>6.0327380000000002</v>
      </c>
      <c r="J327">
        <v>5.2402680000000004</v>
      </c>
      <c r="K327">
        <v>4.5590849999999996</v>
      </c>
      <c r="L327">
        <v>3.9927549999999998</v>
      </c>
      <c r="M327">
        <v>3.6368839999999998</v>
      </c>
      <c r="N327">
        <v>3.5902219999999998</v>
      </c>
    </row>
    <row r="328" spans="1:14" hidden="1" x14ac:dyDescent="0.35">
      <c r="A328" t="s">
        <v>242</v>
      </c>
      <c r="B328" t="s">
        <v>37</v>
      </c>
      <c r="C328" t="s">
        <v>115</v>
      </c>
      <c r="D328" t="s">
        <v>115</v>
      </c>
      <c r="E328" t="s">
        <v>595</v>
      </c>
      <c r="F328" t="s">
        <v>581</v>
      </c>
      <c r="G328" t="s">
        <v>396</v>
      </c>
      <c r="H328">
        <v>9.8389039999999994</v>
      </c>
      <c r="I328">
        <v>8.0718130000000006</v>
      </c>
      <c r="J328">
        <v>7.6225759999999996</v>
      </c>
      <c r="K328">
        <v>5.9168849999999997</v>
      </c>
      <c r="L328">
        <v>4.7859360000000004</v>
      </c>
      <c r="M328">
        <v>3.64845</v>
      </c>
      <c r="N328">
        <v>2.9295599999999999</v>
      </c>
    </row>
    <row r="329" spans="1:14" hidden="1" x14ac:dyDescent="0.35">
      <c r="A329" t="s">
        <v>242</v>
      </c>
      <c r="B329" t="s">
        <v>37</v>
      </c>
      <c r="C329" t="s">
        <v>115</v>
      </c>
      <c r="D329" t="s">
        <v>115</v>
      </c>
      <c r="E329" t="s">
        <v>595</v>
      </c>
      <c r="F329" t="s">
        <v>581</v>
      </c>
      <c r="G329" t="s">
        <v>25</v>
      </c>
      <c r="H329">
        <v>4.0473949999999999</v>
      </c>
      <c r="I329">
        <v>4.635834</v>
      </c>
      <c r="J329">
        <v>4.3778360000000003</v>
      </c>
      <c r="K329">
        <v>3.398215</v>
      </c>
      <c r="L329">
        <v>2.7486809999999999</v>
      </c>
      <c r="M329">
        <v>2.0953940000000002</v>
      </c>
      <c r="N329">
        <v>1.68252</v>
      </c>
    </row>
    <row r="330" spans="1:14" hidden="1" x14ac:dyDescent="0.35">
      <c r="A330" t="s">
        <v>242</v>
      </c>
      <c r="B330" t="s">
        <v>37</v>
      </c>
      <c r="C330" t="s">
        <v>115</v>
      </c>
      <c r="D330" t="s">
        <v>115</v>
      </c>
      <c r="E330" t="s">
        <v>595</v>
      </c>
      <c r="F330" t="s">
        <v>26</v>
      </c>
      <c r="G330" t="s">
        <v>26</v>
      </c>
      <c r="H330">
        <v>9.2778089999999995</v>
      </c>
      <c r="I330">
        <v>9.9670509999999997</v>
      </c>
      <c r="J330">
        <v>9.4123389999999993</v>
      </c>
      <c r="K330">
        <v>7.3061579999999999</v>
      </c>
      <c r="L330">
        <v>5.9096590000000004</v>
      </c>
      <c r="M330">
        <v>4.5050999999999997</v>
      </c>
      <c r="N330">
        <v>3.617416</v>
      </c>
    </row>
    <row r="331" spans="1:14" hidden="1" x14ac:dyDescent="0.35">
      <c r="A331" t="s">
        <v>242</v>
      </c>
      <c r="B331" t="s">
        <v>37</v>
      </c>
      <c r="C331" t="s">
        <v>115</v>
      </c>
      <c r="D331" t="s">
        <v>115</v>
      </c>
      <c r="E331" t="s">
        <v>597</v>
      </c>
      <c r="F331" t="s">
        <v>581</v>
      </c>
      <c r="G331" t="s">
        <v>396</v>
      </c>
      <c r="H331">
        <v>4.6378079999999997</v>
      </c>
      <c r="I331">
        <v>3.1977199999999999</v>
      </c>
      <c r="J331">
        <v>3.1106129999999999</v>
      </c>
      <c r="K331">
        <v>2.5822440000000002</v>
      </c>
      <c r="L331">
        <v>2.3592659999999999</v>
      </c>
      <c r="M331">
        <v>2.1263779999999999</v>
      </c>
      <c r="N331">
        <v>2.1896650000000002</v>
      </c>
    </row>
    <row r="332" spans="1:14" hidden="1" x14ac:dyDescent="0.35">
      <c r="A332" t="s">
        <v>242</v>
      </c>
      <c r="B332" t="s">
        <v>37</v>
      </c>
      <c r="C332" t="s">
        <v>115</v>
      </c>
      <c r="D332" t="s">
        <v>115</v>
      </c>
      <c r="E332" t="s">
        <v>597</v>
      </c>
      <c r="F332" t="s">
        <v>581</v>
      </c>
      <c r="G332" t="s">
        <v>25</v>
      </c>
      <c r="H332">
        <v>1.043288</v>
      </c>
      <c r="I332">
        <v>1.1079049999999999</v>
      </c>
      <c r="J332">
        <v>1.077726</v>
      </c>
      <c r="K332">
        <v>0.89466440000000003</v>
      </c>
      <c r="L332">
        <v>0.81740670000000004</v>
      </c>
      <c r="M332">
        <v>0.73672070000000001</v>
      </c>
      <c r="N332">
        <v>0.75864419999999999</v>
      </c>
    </row>
    <row r="333" spans="1:14" hidden="1" x14ac:dyDescent="0.35">
      <c r="A333" t="s">
        <v>242</v>
      </c>
      <c r="B333" t="s">
        <v>37</v>
      </c>
      <c r="C333" t="s">
        <v>115</v>
      </c>
      <c r="D333" t="s">
        <v>115</v>
      </c>
      <c r="E333" t="s">
        <v>597</v>
      </c>
      <c r="F333" t="s">
        <v>26</v>
      </c>
      <c r="G333" t="s">
        <v>26</v>
      </c>
      <c r="H333">
        <v>2.8946580000000002</v>
      </c>
      <c r="I333">
        <v>2.8805540000000001</v>
      </c>
      <c r="J333">
        <v>2.8020879999999999</v>
      </c>
      <c r="K333">
        <v>2.3261250000000002</v>
      </c>
      <c r="L333">
        <v>2.1252620000000002</v>
      </c>
      <c r="M333">
        <v>1.9154709999999999</v>
      </c>
      <c r="N333">
        <v>1.972483</v>
      </c>
    </row>
    <row r="334" spans="1:14" hidden="1" x14ac:dyDescent="0.35">
      <c r="A334" t="s">
        <v>242</v>
      </c>
      <c r="B334" t="s">
        <v>37</v>
      </c>
      <c r="C334" t="s">
        <v>115</v>
      </c>
      <c r="D334" t="s">
        <v>115</v>
      </c>
      <c r="E334" t="s">
        <v>584</v>
      </c>
      <c r="F334" t="s">
        <v>581</v>
      </c>
      <c r="G334" t="s">
        <v>396</v>
      </c>
      <c r="H334">
        <v>4.3926029999999998E-2</v>
      </c>
      <c r="I334">
        <v>3.9542460000000001E-2</v>
      </c>
      <c r="J334">
        <v>3.5610959999999997E-2</v>
      </c>
      <c r="K334">
        <v>3.2067940000000003E-2</v>
      </c>
      <c r="L334">
        <v>2.8867400000000001E-2</v>
      </c>
      <c r="M334">
        <v>2.5946299999999999E-2</v>
      </c>
      <c r="N334">
        <v>2.3328499999999999E-2</v>
      </c>
    </row>
    <row r="335" spans="1:14" hidden="1" x14ac:dyDescent="0.35">
      <c r="A335" t="s">
        <v>242</v>
      </c>
      <c r="B335" t="s">
        <v>37</v>
      </c>
      <c r="C335" t="s">
        <v>115</v>
      </c>
      <c r="D335" t="s">
        <v>115</v>
      </c>
      <c r="E335" t="s">
        <v>584</v>
      </c>
      <c r="F335" t="s">
        <v>581</v>
      </c>
      <c r="G335" t="s">
        <v>24</v>
      </c>
      <c r="H335">
        <v>2.4704110000000001E-2</v>
      </c>
      <c r="I335">
        <v>2.064657E-2</v>
      </c>
      <c r="J335">
        <v>1.785753E-2</v>
      </c>
      <c r="K335">
        <v>1.544657E-2</v>
      </c>
      <c r="L335">
        <v>1.3361639999999999E-2</v>
      </c>
      <c r="M335">
        <v>1.1556159999999999E-2</v>
      </c>
      <c r="N335">
        <v>9.9972610000000003E-3</v>
      </c>
    </row>
    <row r="336" spans="1:14" hidden="1" x14ac:dyDescent="0.35">
      <c r="A336" t="s">
        <v>242</v>
      </c>
      <c r="B336" t="s">
        <v>37</v>
      </c>
      <c r="C336" t="s">
        <v>115</v>
      </c>
      <c r="D336" t="s">
        <v>115</v>
      </c>
      <c r="E336" t="s">
        <v>584</v>
      </c>
      <c r="F336" t="s">
        <v>581</v>
      </c>
      <c r="G336" t="s">
        <v>25</v>
      </c>
      <c r="H336">
        <v>9.0824650000000007E-2</v>
      </c>
      <c r="I336">
        <v>6.5600000000000006E-2</v>
      </c>
      <c r="J336">
        <v>4.7378080000000003E-2</v>
      </c>
      <c r="K336">
        <v>3.4224659999999997E-2</v>
      </c>
      <c r="L336">
        <v>2.4715069999999999E-2</v>
      </c>
      <c r="M336">
        <v>1.784931E-2</v>
      </c>
      <c r="N336">
        <v>1.2893150000000001E-2</v>
      </c>
    </row>
    <row r="337" spans="1:14" hidden="1" x14ac:dyDescent="0.35">
      <c r="A337" t="s">
        <v>242</v>
      </c>
      <c r="B337" t="s">
        <v>37</v>
      </c>
      <c r="C337" t="s">
        <v>115</v>
      </c>
      <c r="D337" t="s">
        <v>115</v>
      </c>
      <c r="E337" t="s">
        <v>584</v>
      </c>
      <c r="F337" t="s">
        <v>26</v>
      </c>
      <c r="G337" t="s">
        <v>26</v>
      </c>
      <c r="H337">
        <v>4.2201339999999998</v>
      </c>
      <c r="I337">
        <v>4.0323120000000001</v>
      </c>
      <c r="J337">
        <v>3.8558720000000002</v>
      </c>
      <c r="K337">
        <v>3.6870590000000001</v>
      </c>
      <c r="L337">
        <v>3.4999500000000001</v>
      </c>
      <c r="M337">
        <v>3.259614</v>
      </c>
      <c r="N337">
        <v>3.0473629999999998</v>
      </c>
    </row>
    <row r="338" spans="1:14" hidden="1" x14ac:dyDescent="0.35">
      <c r="A338" t="s">
        <v>242</v>
      </c>
      <c r="B338" t="s">
        <v>37</v>
      </c>
      <c r="C338" t="s">
        <v>70</v>
      </c>
      <c r="D338" t="s">
        <v>70</v>
      </c>
      <c r="E338" t="s">
        <v>618</v>
      </c>
      <c r="F338" t="s">
        <v>581</v>
      </c>
      <c r="G338" t="s">
        <v>396</v>
      </c>
      <c r="H338">
        <v>1.999315</v>
      </c>
      <c r="I338">
        <v>1.2371639999999999</v>
      </c>
      <c r="J338">
        <v>1.110225</v>
      </c>
      <c r="K338">
        <v>0.99918910000000005</v>
      </c>
      <c r="L338">
        <v>0.89925480000000002</v>
      </c>
      <c r="M338">
        <v>0.81141909999999995</v>
      </c>
      <c r="N338">
        <v>0.72816440000000004</v>
      </c>
    </row>
    <row r="339" spans="1:14" hidden="1" x14ac:dyDescent="0.35">
      <c r="A339" t="s">
        <v>242</v>
      </c>
      <c r="B339" t="s">
        <v>37</v>
      </c>
      <c r="C339" t="s">
        <v>70</v>
      </c>
      <c r="D339" t="s">
        <v>70</v>
      </c>
      <c r="E339" t="s">
        <v>618</v>
      </c>
      <c r="F339" t="s">
        <v>581</v>
      </c>
      <c r="G339" t="s">
        <v>25</v>
      </c>
      <c r="H339">
        <v>12</v>
      </c>
      <c r="I339">
        <v>12.371650000000001</v>
      </c>
      <c r="J339">
        <v>11.102259999999999</v>
      </c>
      <c r="K339">
        <v>9.9918820000000004</v>
      </c>
      <c r="L339">
        <v>8.9925510000000006</v>
      </c>
      <c r="M339">
        <v>8.1141970000000008</v>
      </c>
      <c r="N339">
        <v>7.2816460000000003</v>
      </c>
    </row>
    <row r="340" spans="1:14" hidden="1" x14ac:dyDescent="0.35">
      <c r="A340" t="s">
        <v>242</v>
      </c>
      <c r="B340" t="s">
        <v>37</v>
      </c>
      <c r="C340" t="s">
        <v>70</v>
      </c>
      <c r="D340" t="s">
        <v>70</v>
      </c>
      <c r="E340" t="s">
        <v>618</v>
      </c>
      <c r="F340" t="s">
        <v>26</v>
      </c>
      <c r="G340" t="s">
        <v>26</v>
      </c>
      <c r="H340">
        <v>11.165749999999999</v>
      </c>
      <c r="I340">
        <v>11.13448</v>
      </c>
      <c r="J340">
        <v>9.9920329999999993</v>
      </c>
      <c r="K340">
        <v>8.9926899999999996</v>
      </c>
      <c r="L340">
        <v>8.0932999999999993</v>
      </c>
      <c r="M340">
        <v>7.302778</v>
      </c>
      <c r="N340">
        <v>6.5534800000000004</v>
      </c>
    </row>
    <row r="341" spans="1:14" hidden="1" x14ac:dyDescent="0.35">
      <c r="A341" t="s">
        <v>242</v>
      </c>
      <c r="B341" t="s">
        <v>37</v>
      </c>
      <c r="C341" t="s">
        <v>105</v>
      </c>
      <c r="D341" t="s">
        <v>105</v>
      </c>
      <c r="E341" t="s">
        <v>619</v>
      </c>
      <c r="F341" t="s">
        <v>581</v>
      </c>
      <c r="G341" t="s">
        <v>396</v>
      </c>
      <c r="H341">
        <v>7.1455780000000004</v>
      </c>
      <c r="I341">
        <v>7.641025</v>
      </c>
      <c r="J341">
        <v>6.7276990000000003</v>
      </c>
      <c r="K341">
        <v>6.0303579999999997</v>
      </c>
      <c r="L341">
        <v>5.6820339999999998</v>
      </c>
      <c r="M341">
        <v>6.452547</v>
      </c>
      <c r="N341">
        <v>6.9169109999999998</v>
      </c>
    </row>
    <row r="342" spans="1:14" hidden="1" x14ac:dyDescent="0.35">
      <c r="A342" t="s">
        <v>242</v>
      </c>
      <c r="B342" t="s">
        <v>37</v>
      </c>
      <c r="C342" t="s">
        <v>105</v>
      </c>
      <c r="D342" t="s">
        <v>105</v>
      </c>
      <c r="E342" t="s">
        <v>619</v>
      </c>
      <c r="F342" t="s">
        <v>581</v>
      </c>
      <c r="G342" t="s">
        <v>25</v>
      </c>
      <c r="H342">
        <v>1.286575</v>
      </c>
      <c r="I342">
        <v>2.126824</v>
      </c>
      <c r="J342">
        <v>1.8630549999999999</v>
      </c>
      <c r="K342">
        <v>1.669943</v>
      </c>
      <c r="L342">
        <v>1.5734900000000001</v>
      </c>
      <c r="M342">
        <v>1.786859</v>
      </c>
      <c r="N342">
        <v>1.9154549999999999</v>
      </c>
    </row>
    <row r="343" spans="1:14" hidden="1" x14ac:dyDescent="0.35">
      <c r="A343" t="s">
        <v>242</v>
      </c>
      <c r="B343" t="s">
        <v>37</v>
      </c>
      <c r="C343" t="s">
        <v>105</v>
      </c>
      <c r="D343" t="s">
        <v>105</v>
      </c>
      <c r="E343" t="s">
        <v>619</v>
      </c>
      <c r="F343" t="s">
        <v>26</v>
      </c>
      <c r="G343" t="s">
        <v>26</v>
      </c>
      <c r="H343">
        <v>1.385205</v>
      </c>
      <c r="I343">
        <v>2.0086680000000001</v>
      </c>
      <c r="J343">
        <v>1.7595540000000001</v>
      </c>
      <c r="K343">
        <v>1.57717</v>
      </c>
      <c r="L343">
        <v>1.48607</v>
      </c>
      <c r="M343">
        <v>1.6875899999999999</v>
      </c>
      <c r="N343">
        <v>1.8090379999999999</v>
      </c>
    </row>
    <row r="344" spans="1:14" hidden="1" x14ac:dyDescent="0.35">
      <c r="A344" t="s">
        <v>242</v>
      </c>
      <c r="B344" t="s">
        <v>37</v>
      </c>
      <c r="C344" t="s">
        <v>105</v>
      </c>
      <c r="D344" t="s">
        <v>105</v>
      </c>
      <c r="E344" t="s">
        <v>620</v>
      </c>
      <c r="F344" t="s">
        <v>581</v>
      </c>
      <c r="G344" t="s">
        <v>396</v>
      </c>
      <c r="H344">
        <v>1.8572599999999999</v>
      </c>
      <c r="I344">
        <v>1.581126</v>
      </c>
      <c r="J344">
        <v>1.556208</v>
      </c>
      <c r="K344">
        <v>1.6067849999999999</v>
      </c>
      <c r="L344">
        <v>1.4277979999999999</v>
      </c>
      <c r="M344">
        <v>1.226124</v>
      </c>
      <c r="N344">
        <v>1.048859</v>
      </c>
    </row>
    <row r="345" spans="1:14" hidden="1" x14ac:dyDescent="0.35">
      <c r="A345" t="s">
        <v>242</v>
      </c>
      <c r="B345" t="s">
        <v>37</v>
      </c>
      <c r="C345" t="s">
        <v>105</v>
      </c>
      <c r="D345" t="s">
        <v>105</v>
      </c>
      <c r="E345" t="s">
        <v>620</v>
      </c>
      <c r="F345" t="s">
        <v>581</v>
      </c>
      <c r="G345" t="s">
        <v>24</v>
      </c>
      <c r="H345">
        <v>0.2415562</v>
      </c>
      <c r="I345">
        <v>0.15594250000000001</v>
      </c>
      <c r="J345">
        <v>0.13957530000000001</v>
      </c>
      <c r="K345">
        <v>0.12561639999999999</v>
      </c>
      <c r="L345">
        <v>0.1130521</v>
      </c>
      <c r="M345">
        <v>0.102011</v>
      </c>
      <c r="N345">
        <v>9.1545199999999993E-2</v>
      </c>
    </row>
    <row r="346" spans="1:14" hidden="1" x14ac:dyDescent="0.35">
      <c r="A346" t="s">
        <v>242</v>
      </c>
      <c r="B346" t="s">
        <v>37</v>
      </c>
      <c r="C346" t="s">
        <v>105</v>
      </c>
      <c r="D346" t="s">
        <v>105</v>
      </c>
      <c r="E346" t="s">
        <v>620</v>
      </c>
      <c r="F346" t="s">
        <v>581</v>
      </c>
      <c r="G346" t="s">
        <v>25</v>
      </c>
      <c r="H346">
        <v>0.4683562</v>
      </c>
      <c r="I346">
        <v>0.67797260000000004</v>
      </c>
      <c r="J346">
        <v>0.67553700000000005</v>
      </c>
      <c r="K346">
        <v>0.71026900000000004</v>
      </c>
      <c r="L346">
        <v>0.6339167</v>
      </c>
      <c r="M346">
        <v>0.54191659999999997</v>
      </c>
      <c r="N346">
        <v>0.46006190000000002</v>
      </c>
    </row>
    <row r="347" spans="1:14" hidden="1" x14ac:dyDescent="0.35">
      <c r="A347" t="s">
        <v>242</v>
      </c>
      <c r="B347" t="s">
        <v>37</v>
      </c>
      <c r="C347" t="s">
        <v>105</v>
      </c>
      <c r="D347" t="s">
        <v>105</v>
      </c>
      <c r="E347" t="s">
        <v>620</v>
      </c>
      <c r="F347" t="s">
        <v>26</v>
      </c>
      <c r="G347" t="s">
        <v>26</v>
      </c>
      <c r="H347">
        <v>1.1483559999999999</v>
      </c>
      <c r="I347">
        <v>1.4737370000000001</v>
      </c>
      <c r="J347">
        <v>1.423219</v>
      </c>
      <c r="K347">
        <v>1.4333849999999999</v>
      </c>
      <c r="L347">
        <v>1.2797700000000001</v>
      </c>
      <c r="M347">
        <v>1.1094349999999999</v>
      </c>
      <c r="N347">
        <v>0.95691130000000002</v>
      </c>
    </row>
    <row r="348" spans="1:14" hidden="1" x14ac:dyDescent="0.35">
      <c r="A348" t="s">
        <v>242</v>
      </c>
      <c r="B348" t="s">
        <v>37</v>
      </c>
      <c r="C348" t="s">
        <v>105</v>
      </c>
      <c r="D348" t="s">
        <v>105</v>
      </c>
      <c r="E348" t="s">
        <v>584</v>
      </c>
      <c r="F348" t="s">
        <v>581</v>
      </c>
      <c r="G348" t="s">
        <v>396</v>
      </c>
      <c r="H348">
        <v>0.53260269999999998</v>
      </c>
      <c r="I348">
        <v>0.50379719999999995</v>
      </c>
      <c r="J348">
        <v>0.4767208</v>
      </c>
      <c r="K348">
        <v>0.45068409999999998</v>
      </c>
      <c r="L348">
        <v>0.42219390000000001</v>
      </c>
      <c r="M348">
        <v>0.38667479999999999</v>
      </c>
      <c r="N348">
        <v>0.35564849999999998</v>
      </c>
    </row>
    <row r="349" spans="1:14" hidden="1" x14ac:dyDescent="0.35">
      <c r="A349" t="s">
        <v>242</v>
      </c>
      <c r="B349" t="s">
        <v>37</v>
      </c>
      <c r="C349" t="s">
        <v>105</v>
      </c>
      <c r="D349" t="s">
        <v>105</v>
      </c>
      <c r="E349" t="s">
        <v>584</v>
      </c>
      <c r="F349" t="s">
        <v>581</v>
      </c>
      <c r="G349" t="s">
        <v>24</v>
      </c>
      <c r="H349">
        <v>8.1972599999999996E-3</v>
      </c>
      <c r="I349">
        <v>6.3013699999999997E-3</v>
      </c>
      <c r="J349">
        <v>6.0035619999999996E-3</v>
      </c>
      <c r="K349">
        <v>5.7164390000000002E-3</v>
      </c>
      <c r="L349">
        <v>5.3876710000000001E-3</v>
      </c>
      <c r="M349">
        <v>4.9652050000000003E-3</v>
      </c>
      <c r="N349">
        <v>4.5893160000000004E-3</v>
      </c>
    </row>
    <row r="350" spans="1:14" hidden="1" x14ac:dyDescent="0.35">
      <c r="A350" t="s">
        <v>242</v>
      </c>
      <c r="B350" t="s">
        <v>37</v>
      </c>
      <c r="C350" t="s">
        <v>105</v>
      </c>
      <c r="D350" t="s">
        <v>105</v>
      </c>
      <c r="E350" t="s">
        <v>584</v>
      </c>
      <c r="F350" t="s">
        <v>581</v>
      </c>
      <c r="G350" t="s">
        <v>25</v>
      </c>
      <c r="H350">
        <v>0.24712329999999999</v>
      </c>
      <c r="I350">
        <v>0.1987699</v>
      </c>
      <c r="J350">
        <v>0.16572709999999999</v>
      </c>
      <c r="K350">
        <v>0.14276220000000001</v>
      </c>
      <c r="L350">
        <v>0.12586359999999999</v>
      </c>
      <c r="M350">
        <v>0.1115625</v>
      </c>
      <c r="N350">
        <v>0.1009926</v>
      </c>
    </row>
    <row r="351" spans="1:14" hidden="1" x14ac:dyDescent="0.35">
      <c r="A351" t="s">
        <v>242</v>
      </c>
      <c r="B351" t="s">
        <v>37</v>
      </c>
      <c r="C351" t="s">
        <v>105</v>
      </c>
      <c r="D351" t="s">
        <v>105</v>
      </c>
      <c r="E351" t="s">
        <v>584</v>
      </c>
      <c r="F351" t="s">
        <v>26</v>
      </c>
      <c r="G351" t="s">
        <v>26</v>
      </c>
      <c r="H351">
        <v>0.79671780000000003</v>
      </c>
      <c r="I351">
        <v>0.78093979999999996</v>
      </c>
      <c r="J351">
        <v>0.76545260000000004</v>
      </c>
      <c r="K351">
        <v>0.74881200000000003</v>
      </c>
      <c r="L351">
        <v>0.72684839999999995</v>
      </c>
      <c r="M351">
        <v>0.68999279999999996</v>
      </c>
      <c r="N351">
        <v>0.65792969999999995</v>
      </c>
    </row>
    <row r="352" spans="1:14" hidden="1" x14ac:dyDescent="0.35">
      <c r="A352" t="s">
        <v>242</v>
      </c>
      <c r="B352" t="s">
        <v>37</v>
      </c>
      <c r="C352" t="s">
        <v>218</v>
      </c>
      <c r="D352" t="s">
        <v>218</v>
      </c>
      <c r="E352" t="s">
        <v>594</v>
      </c>
      <c r="F352" t="s">
        <v>581</v>
      </c>
      <c r="G352" t="s">
        <v>396</v>
      </c>
      <c r="H352">
        <v>15.015890000000001</v>
      </c>
      <c r="I352">
        <v>11.431290000000001</v>
      </c>
      <c r="J352">
        <v>10.95707</v>
      </c>
      <c r="K352">
        <v>9.6291519999999995</v>
      </c>
      <c r="L352">
        <v>7.7939020000000001</v>
      </c>
      <c r="M352">
        <v>6.0230839999999999</v>
      </c>
      <c r="N352">
        <v>5.1147929999999997</v>
      </c>
    </row>
    <row r="353" spans="1:14" hidden="1" x14ac:dyDescent="0.35">
      <c r="A353" t="s">
        <v>242</v>
      </c>
      <c r="B353" t="s">
        <v>37</v>
      </c>
      <c r="C353" t="s">
        <v>218</v>
      </c>
      <c r="D353" t="s">
        <v>218</v>
      </c>
      <c r="E353" t="s">
        <v>594</v>
      </c>
      <c r="F353" t="s">
        <v>581</v>
      </c>
      <c r="G353" t="s">
        <v>25</v>
      </c>
      <c r="H353">
        <v>2.824792</v>
      </c>
      <c r="I353">
        <v>2.709816</v>
      </c>
      <c r="J353">
        <v>2.6386229999999999</v>
      </c>
      <c r="K353">
        <v>2.30681</v>
      </c>
      <c r="L353">
        <v>1.8824890000000001</v>
      </c>
      <c r="M353">
        <v>1.430364</v>
      </c>
      <c r="N353">
        <v>1.1955519999999999</v>
      </c>
    </row>
    <row r="354" spans="1:14" hidden="1" x14ac:dyDescent="0.35">
      <c r="A354" t="s">
        <v>242</v>
      </c>
      <c r="B354" t="s">
        <v>37</v>
      </c>
      <c r="C354" t="s">
        <v>218</v>
      </c>
      <c r="D354" t="s">
        <v>218</v>
      </c>
      <c r="E354" t="s">
        <v>594</v>
      </c>
      <c r="F354" t="s">
        <v>26</v>
      </c>
      <c r="G354" t="s">
        <v>26</v>
      </c>
      <c r="H354">
        <v>2.4195890000000002</v>
      </c>
      <c r="I354">
        <v>2.8414429999999999</v>
      </c>
      <c r="J354">
        <v>2.9165930000000002</v>
      </c>
      <c r="K354">
        <v>2.5067629999999999</v>
      </c>
      <c r="L354">
        <v>2.1008239999999998</v>
      </c>
      <c r="M354">
        <v>1.509209</v>
      </c>
      <c r="N354">
        <v>1.192151</v>
      </c>
    </row>
    <row r="355" spans="1:14" hidden="1" x14ac:dyDescent="0.35">
      <c r="A355" t="s">
        <v>242</v>
      </c>
      <c r="B355" t="s">
        <v>37</v>
      </c>
      <c r="C355" t="s">
        <v>63</v>
      </c>
      <c r="D355" t="s">
        <v>63</v>
      </c>
      <c r="E355" t="s">
        <v>621</v>
      </c>
      <c r="F355" t="s">
        <v>26</v>
      </c>
      <c r="G355" t="s">
        <v>26</v>
      </c>
      <c r="H355">
        <v>10.7263</v>
      </c>
      <c r="I355">
        <v>7.627167</v>
      </c>
      <c r="J355">
        <v>6.602074</v>
      </c>
      <c r="K355">
        <v>5.9149799999999999</v>
      </c>
      <c r="L355">
        <v>5.7117269999999998</v>
      </c>
      <c r="M355">
        <v>5.3897870000000001</v>
      </c>
      <c r="N355">
        <v>4.6995870000000002</v>
      </c>
    </row>
    <row r="356" spans="1:14" hidden="1" x14ac:dyDescent="0.35">
      <c r="A356" t="s">
        <v>242</v>
      </c>
      <c r="B356" t="s">
        <v>37</v>
      </c>
      <c r="C356" t="s">
        <v>63</v>
      </c>
      <c r="D356" t="s">
        <v>63</v>
      </c>
      <c r="E356" t="s">
        <v>584</v>
      </c>
      <c r="F356" t="s">
        <v>581</v>
      </c>
      <c r="G356" t="s">
        <v>396</v>
      </c>
      <c r="H356">
        <v>8.4931510000000004E-4</v>
      </c>
      <c r="I356">
        <v>0</v>
      </c>
    </row>
    <row r="357" spans="1:14" hidden="1" x14ac:dyDescent="0.35">
      <c r="A357" t="s">
        <v>242</v>
      </c>
      <c r="B357" t="s">
        <v>37</v>
      </c>
      <c r="C357" t="s">
        <v>63</v>
      </c>
      <c r="D357" t="s">
        <v>63</v>
      </c>
      <c r="E357" t="s">
        <v>584</v>
      </c>
      <c r="F357" t="s">
        <v>26</v>
      </c>
      <c r="G357" t="s">
        <v>26</v>
      </c>
      <c r="H357">
        <v>0.60547949999999995</v>
      </c>
      <c r="I357">
        <v>0.59349050000000003</v>
      </c>
      <c r="J357">
        <v>0.58171779999999995</v>
      </c>
      <c r="K357">
        <v>0.56907229999999998</v>
      </c>
      <c r="L357">
        <v>0.55238129999999996</v>
      </c>
      <c r="M357">
        <v>0.52437199999999995</v>
      </c>
      <c r="N357">
        <v>0.50000239999999996</v>
      </c>
    </row>
    <row r="358" spans="1:14" hidden="1" x14ac:dyDescent="0.35">
      <c r="A358" t="s">
        <v>242</v>
      </c>
      <c r="B358" t="s">
        <v>37</v>
      </c>
      <c r="C358" t="s">
        <v>99</v>
      </c>
      <c r="D358" t="s">
        <v>101</v>
      </c>
      <c r="E358" t="s">
        <v>584</v>
      </c>
      <c r="F358" t="s">
        <v>581</v>
      </c>
      <c r="G358" t="s">
        <v>25</v>
      </c>
      <c r="H358">
        <v>0.66136989999999996</v>
      </c>
      <c r="I358">
        <v>0.51542739999999998</v>
      </c>
      <c r="J358">
        <v>0.46189590000000003</v>
      </c>
      <c r="K358">
        <v>0.41504930000000001</v>
      </c>
      <c r="L358">
        <v>0.3728959</v>
      </c>
      <c r="M358">
        <v>0.33582190000000001</v>
      </c>
      <c r="N358">
        <v>0.3007205</v>
      </c>
    </row>
    <row r="359" spans="1:14" hidden="1" x14ac:dyDescent="0.35">
      <c r="A359" t="s">
        <v>242</v>
      </c>
      <c r="B359" t="s">
        <v>37</v>
      </c>
      <c r="C359" t="s">
        <v>99</v>
      </c>
      <c r="D359" t="s">
        <v>101</v>
      </c>
      <c r="E359" t="s">
        <v>584</v>
      </c>
      <c r="F359" t="s">
        <v>26</v>
      </c>
      <c r="G359" t="s">
        <v>26</v>
      </c>
      <c r="H359">
        <v>3.9984929999999999</v>
      </c>
      <c r="I359">
        <v>2.9207480000000001</v>
      </c>
      <c r="J359">
        <v>2.6173999999999999</v>
      </c>
      <c r="K359">
        <v>2.3519480000000001</v>
      </c>
      <c r="L359">
        <v>2.1130710000000001</v>
      </c>
      <c r="M359">
        <v>1.903</v>
      </c>
      <c r="N359">
        <v>1.7040770000000001</v>
      </c>
    </row>
    <row r="360" spans="1:14" hidden="1" x14ac:dyDescent="0.35">
      <c r="A360" t="s">
        <v>242</v>
      </c>
      <c r="B360" t="s">
        <v>37</v>
      </c>
      <c r="C360" t="s">
        <v>99</v>
      </c>
      <c r="D360" t="s">
        <v>100</v>
      </c>
      <c r="E360" t="s">
        <v>584</v>
      </c>
      <c r="F360" t="s">
        <v>581</v>
      </c>
      <c r="G360" t="s">
        <v>396</v>
      </c>
      <c r="H360">
        <v>1.900274</v>
      </c>
      <c r="I360">
        <v>1.5736410000000001</v>
      </c>
      <c r="J360">
        <v>1.303153</v>
      </c>
      <c r="K360">
        <v>1.079159</v>
      </c>
      <c r="L360">
        <v>0.89366579999999995</v>
      </c>
      <c r="M360">
        <v>0.74005480000000001</v>
      </c>
      <c r="N360">
        <v>0.61284939999999999</v>
      </c>
    </row>
    <row r="361" spans="1:14" hidden="1" x14ac:dyDescent="0.35">
      <c r="A361" t="s">
        <v>242</v>
      </c>
      <c r="B361" t="s">
        <v>37</v>
      </c>
      <c r="C361" t="s">
        <v>99</v>
      </c>
      <c r="D361" t="s">
        <v>100</v>
      </c>
      <c r="E361" t="s">
        <v>584</v>
      </c>
      <c r="F361" t="s">
        <v>26</v>
      </c>
      <c r="G361" t="s">
        <v>26</v>
      </c>
      <c r="H361">
        <v>0.3167123</v>
      </c>
      <c r="I361">
        <v>0.3167123</v>
      </c>
      <c r="J361">
        <v>0.3167123</v>
      </c>
      <c r="K361">
        <v>0.3167123</v>
      </c>
      <c r="L361">
        <v>0.3167123</v>
      </c>
      <c r="M361">
        <v>0.3167123</v>
      </c>
      <c r="N361">
        <v>0.3167123</v>
      </c>
    </row>
    <row r="362" spans="1:14" hidden="1" x14ac:dyDescent="0.35">
      <c r="A362" t="s">
        <v>242</v>
      </c>
      <c r="B362" t="s">
        <v>37</v>
      </c>
      <c r="C362" t="s">
        <v>46</v>
      </c>
      <c r="D362" t="s">
        <v>46</v>
      </c>
      <c r="E362" t="s">
        <v>584</v>
      </c>
      <c r="F362" t="s">
        <v>581</v>
      </c>
      <c r="G362" t="s">
        <v>396</v>
      </c>
      <c r="H362">
        <v>0.35726029999999998</v>
      </c>
      <c r="I362">
        <v>0.34832879999999999</v>
      </c>
      <c r="J362">
        <v>0.33961970000000002</v>
      </c>
      <c r="K362">
        <v>0.33066709999999999</v>
      </c>
      <c r="L362">
        <v>0.31923230000000002</v>
      </c>
      <c r="M362">
        <v>0.30137589999999997</v>
      </c>
      <c r="N362">
        <v>0.2857594</v>
      </c>
    </row>
    <row r="363" spans="1:14" hidden="1" x14ac:dyDescent="0.35">
      <c r="A363" t="s">
        <v>242</v>
      </c>
      <c r="B363" t="s">
        <v>37</v>
      </c>
      <c r="C363" t="s">
        <v>46</v>
      </c>
      <c r="D363" t="s">
        <v>46</v>
      </c>
      <c r="E363" t="s">
        <v>584</v>
      </c>
      <c r="F363" t="s">
        <v>581</v>
      </c>
      <c r="G363" t="s">
        <v>24</v>
      </c>
      <c r="H363">
        <v>7.4082189999999997E-3</v>
      </c>
      <c r="I363">
        <v>6.4794520000000001E-3</v>
      </c>
      <c r="J363">
        <v>6.3452049999999996E-3</v>
      </c>
      <c r="K363">
        <v>6.1972599999999996E-3</v>
      </c>
      <c r="L363">
        <v>6.0082190000000004E-3</v>
      </c>
      <c r="M363">
        <v>5.6950680000000002E-3</v>
      </c>
      <c r="N363">
        <v>5.4194519999999999E-3</v>
      </c>
    </row>
    <row r="364" spans="1:14" hidden="1" x14ac:dyDescent="0.35">
      <c r="A364" t="s">
        <v>242</v>
      </c>
      <c r="B364" t="s">
        <v>37</v>
      </c>
      <c r="C364" t="s">
        <v>46</v>
      </c>
      <c r="D364" t="s">
        <v>46</v>
      </c>
      <c r="E364" t="s">
        <v>584</v>
      </c>
      <c r="F364" t="s">
        <v>581</v>
      </c>
      <c r="G364" t="s">
        <v>25</v>
      </c>
      <c r="H364">
        <v>0.26890960000000003</v>
      </c>
      <c r="I364">
        <v>0.25959179999999998</v>
      </c>
      <c r="J364">
        <v>0.25064189999999997</v>
      </c>
      <c r="K364">
        <v>0.24173539999999999</v>
      </c>
      <c r="L364">
        <v>0.23097309999999999</v>
      </c>
      <c r="M364">
        <v>0.21575340000000001</v>
      </c>
      <c r="N364">
        <v>0.2023556</v>
      </c>
    </row>
    <row r="365" spans="1:14" hidden="1" x14ac:dyDescent="0.35">
      <c r="A365" t="s">
        <v>242</v>
      </c>
      <c r="B365" t="s">
        <v>37</v>
      </c>
      <c r="C365" t="s">
        <v>46</v>
      </c>
      <c r="D365" t="s">
        <v>46</v>
      </c>
      <c r="E365" t="s">
        <v>584</v>
      </c>
      <c r="F365" t="s">
        <v>26</v>
      </c>
      <c r="G365" t="s">
        <v>26</v>
      </c>
      <c r="H365">
        <v>4.5756160000000001</v>
      </c>
      <c r="I365">
        <v>4.2507529999999996</v>
      </c>
      <c r="J365">
        <v>3.9586389999999998</v>
      </c>
      <c r="K365">
        <v>3.690547</v>
      </c>
      <c r="L365">
        <v>3.4141780000000002</v>
      </c>
      <c r="M365">
        <v>3.0933169999999999</v>
      </c>
      <c r="N365">
        <v>2.8194590000000002</v>
      </c>
    </row>
    <row r="366" spans="1:14" hidden="1" x14ac:dyDescent="0.35">
      <c r="A366" t="s">
        <v>242</v>
      </c>
      <c r="B366" t="s">
        <v>37</v>
      </c>
      <c r="C366" t="s">
        <v>118</v>
      </c>
      <c r="D366" t="s">
        <v>118</v>
      </c>
      <c r="E366" t="s">
        <v>584</v>
      </c>
      <c r="F366" t="s">
        <v>581</v>
      </c>
      <c r="G366" t="s">
        <v>396</v>
      </c>
      <c r="H366">
        <v>0.26711230000000002</v>
      </c>
      <c r="I366">
        <v>0.3067589</v>
      </c>
      <c r="J366">
        <v>0.27512599999999998</v>
      </c>
      <c r="K366">
        <v>0.2475397</v>
      </c>
      <c r="L366">
        <v>0.22275339999999999</v>
      </c>
      <c r="M366">
        <v>0.20096990000000001</v>
      </c>
      <c r="N366">
        <v>0.18026030000000001</v>
      </c>
    </row>
    <row r="367" spans="1:14" hidden="1" x14ac:dyDescent="0.35">
      <c r="A367" t="s">
        <v>242</v>
      </c>
      <c r="B367" t="s">
        <v>37</v>
      </c>
      <c r="C367" t="s">
        <v>118</v>
      </c>
      <c r="D367" t="s">
        <v>118</v>
      </c>
      <c r="E367" t="s">
        <v>584</v>
      </c>
      <c r="F367" t="s">
        <v>581</v>
      </c>
      <c r="G367" t="s">
        <v>25</v>
      </c>
      <c r="H367">
        <v>0.61184660000000002</v>
      </c>
      <c r="I367">
        <v>0.80524660000000003</v>
      </c>
      <c r="J367">
        <v>0.72220549999999994</v>
      </c>
      <c r="K367">
        <v>0.64979450000000005</v>
      </c>
      <c r="L367">
        <v>0.58472599999999997</v>
      </c>
      <c r="M367">
        <v>0.52754250000000003</v>
      </c>
      <c r="N367">
        <v>0.4731863</v>
      </c>
    </row>
    <row r="368" spans="1:14" hidden="1" x14ac:dyDescent="0.35">
      <c r="A368" t="s">
        <v>242</v>
      </c>
      <c r="B368" t="s">
        <v>37</v>
      </c>
      <c r="C368" t="s">
        <v>118</v>
      </c>
      <c r="D368" t="s">
        <v>118</v>
      </c>
      <c r="E368" t="s">
        <v>584</v>
      </c>
      <c r="F368" t="s">
        <v>26</v>
      </c>
      <c r="G368" t="s">
        <v>26</v>
      </c>
      <c r="H368">
        <v>2.4131450000000001</v>
      </c>
      <c r="I368">
        <v>2.932534</v>
      </c>
      <c r="J368">
        <v>2.651789</v>
      </c>
      <c r="K368">
        <v>2.4069590000000001</v>
      </c>
      <c r="L368">
        <v>2.1869670000000001</v>
      </c>
      <c r="M368">
        <v>1.993638</v>
      </c>
      <c r="N368">
        <v>1.809852</v>
      </c>
    </row>
    <row r="369" spans="1:14" hidden="1" x14ac:dyDescent="0.35">
      <c r="A369" t="s">
        <v>242</v>
      </c>
      <c r="B369" t="s">
        <v>37</v>
      </c>
      <c r="C369" t="s">
        <v>109</v>
      </c>
      <c r="D369" t="s">
        <v>109</v>
      </c>
      <c r="E369" t="s">
        <v>584</v>
      </c>
      <c r="F369" t="s">
        <v>26</v>
      </c>
      <c r="G369" t="s">
        <v>26</v>
      </c>
      <c r="H369">
        <v>2.6962819999999998E-2</v>
      </c>
      <c r="I369">
        <v>0</v>
      </c>
      <c r="J369">
        <v>0</v>
      </c>
      <c r="K369">
        <v>0</v>
      </c>
      <c r="L369">
        <v>0</v>
      </c>
      <c r="M369">
        <v>0</v>
      </c>
      <c r="N369">
        <v>0</v>
      </c>
    </row>
    <row r="370" spans="1:14" hidden="1" x14ac:dyDescent="0.35">
      <c r="A370" t="s">
        <v>242</v>
      </c>
      <c r="B370" t="s">
        <v>37</v>
      </c>
      <c r="C370" t="s">
        <v>110</v>
      </c>
      <c r="D370" t="s">
        <v>110</v>
      </c>
      <c r="E370" t="s">
        <v>584</v>
      </c>
      <c r="F370" t="s">
        <v>26</v>
      </c>
      <c r="G370" t="s">
        <v>26</v>
      </c>
      <c r="H370">
        <v>8.5205489999999997E-4</v>
      </c>
      <c r="I370">
        <v>8.5205489999999997E-4</v>
      </c>
      <c r="J370">
        <v>8.5205489999999997E-4</v>
      </c>
      <c r="K370">
        <v>8.5205489999999997E-4</v>
      </c>
      <c r="L370">
        <v>8.5205489999999997E-4</v>
      </c>
      <c r="M370">
        <v>8.5205489999999997E-4</v>
      </c>
      <c r="N370">
        <v>8.5205489999999997E-4</v>
      </c>
    </row>
    <row r="371" spans="1:14" hidden="1" x14ac:dyDescent="0.35">
      <c r="A371" t="s">
        <v>242</v>
      </c>
      <c r="B371" t="s">
        <v>123</v>
      </c>
      <c r="C371" t="s">
        <v>122</v>
      </c>
      <c r="D371" t="s">
        <v>122</v>
      </c>
      <c r="E371" t="s">
        <v>584</v>
      </c>
      <c r="F371" t="s">
        <v>581</v>
      </c>
      <c r="G371" t="s">
        <v>396</v>
      </c>
      <c r="H371">
        <v>1.7950689999999998E-2</v>
      </c>
      <c r="I371">
        <v>5.857447E-3</v>
      </c>
      <c r="J371">
        <v>5.8588269999999996E-3</v>
      </c>
      <c r="K371">
        <v>5.8588269999999996E-3</v>
      </c>
      <c r="L371">
        <v>5.8588269999999996E-3</v>
      </c>
      <c r="M371">
        <v>5.8740160000000001E-3</v>
      </c>
      <c r="N371">
        <v>5.6931289999999999E-3</v>
      </c>
    </row>
    <row r="372" spans="1:14" hidden="1" x14ac:dyDescent="0.35">
      <c r="A372" t="s">
        <v>242</v>
      </c>
      <c r="B372" t="s">
        <v>123</v>
      </c>
      <c r="C372" t="s">
        <v>122</v>
      </c>
      <c r="D372" t="s">
        <v>122</v>
      </c>
      <c r="E372" t="s">
        <v>584</v>
      </c>
      <c r="F372" t="s">
        <v>581</v>
      </c>
      <c r="G372" t="s">
        <v>24</v>
      </c>
      <c r="H372">
        <v>0.81996880000000005</v>
      </c>
      <c r="I372">
        <v>0.71582279999999998</v>
      </c>
      <c r="J372">
        <v>0.71042910000000004</v>
      </c>
      <c r="K372">
        <v>0.60226210000000002</v>
      </c>
      <c r="L372">
        <v>0.51116499999999998</v>
      </c>
      <c r="M372">
        <v>0.441106</v>
      </c>
      <c r="N372">
        <v>0.38109789999999999</v>
      </c>
    </row>
    <row r="373" spans="1:14" hidden="1" x14ac:dyDescent="0.35">
      <c r="A373" t="s">
        <v>242</v>
      </c>
      <c r="B373" t="s">
        <v>123</v>
      </c>
      <c r="C373" t="s">
        <v>122</v>
      </c>
      <c r="D373" t="s">
        <v>122</v>
      </c>
      <c r="E373" t="s">
        <v>584</v>
      </c>
      <c r="F373" t="s">
        <v>26</v>
      </c>
      <c r="G373" t="s">
        <v>26</v>
      </c>
      <c r="H373">
        <v>47.519190000000002</v>
      </c>
      <c r="I373">
        <v>44.567869999999999</v>
      </c>
      <c r="J373">
        <v>43.114919999999998</v>
      </c>
      <c r="K373">
        <v>36.210419999999999</v>
      </c>
      <c r="L373">
        <v>31.189209999999999</v>
      </c>
      <c r="M373">
        <v>27.132380000000001</v>
      </c>
      <c r="N373">
        <v>23.65624</v>
      </c>
    </row>
    <row r="374" spans="1:14" hidden="1" x14ac:dyDescent="0.35">
      <c r="A374" t="s">
        <v>242</v>
      </c>
      <c r="B374" t="s">
        <v>174</v>
      </c>
      <c r="C374" t="s">
        <v>180</v>
      </c>
      <c r="D374" t="s">
        <v>180</v>
      </c>
      <c r="E374" t="s">
        <v>584</v>
      </c>
      <c r="F374" t="s">
        <v>26</v>
      </c>
      <c r="G374" t="s">
        <v>26</v>
      </c>
      <c r="H374">
        <v>5</v>
      </c>
      <c r="I374">
        <v>4.161778</v>
      </c>
      <c r="J374">
        <v>3.46408</v>
      </c>
      <c r="K374">
        <v>2.8833449999999998</v>
      </c>
      <c r="L374">
        <v>2.3999670000000002</v>
      </c>
      <c r="M374">
        <v>1.997627</v>
      </c>
      <c r="N374">
        <v>1.6627339999999999</v>
      </c>
    </row>
    <row r="375" spans="1:14" hidden="1" x14ac:dyDescent="0.35">
      <c r="A375" t="s">
        <v>242</v>
      </c>
      <c r="B375" t="s">
        <v>34</v>
      </c>
      <c r="C375" t="s">
        <v>33</v>
      </c>
      <c r="D375" t="s">
        <v>33</v>
      </c>
      <c r="E375" t="s">
        <v>622</v>
      </c>
      <c r="F375" t="s">
        <v>26</v>
      </c>
      <c r="G375" t="s">
        <v>26</v>
      </c>
      <c r="H375">
        <v>1.0739719999999999</v>
      </c>
      <c r="I375">
        <v>1.0202739999999999</v>
      </c>
      <c r="J375">
        <v>1.273447</v>
      </c>
      <c r="K375">
        <v>1.146085</v>
      </c>
      <c r="L375">
        <v>1.03146</v>
      </c>
      <c r="M375">
        <v>0.93070969999999997</v>
      </c>
      <c r="N375">
        <v>0.83521650000000003</v>
      </c>
    </row>
    <row r="376" spans="1:14" hidden="1" x14ac:dyDescent="0.35">
      <c r="A376" t="s">
        <v>242</v>
      </c>
      <c r="B376" t="s">
        <v>34</v>
      </c>
      <c r="C376" t="s">
        <v>33</v>
      </c>
      <c r="D376" t="s">
        <v>33</v>
      </c>
      <c r="E376" t="s">
        <v>584</v>
      </c>
      <c r="F376" t="s">
        <v>581</v>
      </c>
      <c r="G376" t="s">
        <v>24</v>
      </c>
      <c r="H376">
        <v>2.0493149999999999E-3</v>
      </c>
      <c r="I376">
        <v>2.1643840000000001E-3</v>
      </c>
      <c r="J376">
        <v>2.1643840000000001E-3</v>
      </c>
      <c r="K376">
        <v>2.1643840000000001E-3</v>
      </c>
      <c r="L376">
        <v>2.1643840000000001E-3</v>
      </c>
      <c r="M376">
        <v>2.1643840000000001E-3</v>
      </c>
      <c r="N376">
        <v>2.1643840000000001E-3</v>
      </c>
    </row>
    <row r="377" spans="1:14" hidden="1" x14ac:dyDescent="0.35">
      <c r="A377" t="s">
        <v>242</v>
      </c>
      <c r="B377" t="s">
        <v>34</v>
      </c>
      <c r="C377" t="s">
        <v>33</v>
      </c>
      <c r="D377" t="s">
        <v>33</v>
      </c>
      <c r="E377" t="s">
        <v>584</v>
      </c>
      <c r="F377" t="s">
        <v>581</v>
      </c>
      <c r="G377" t="s">
        <v>25</v>
      </c>
      <c r="H377">
        <v>9.2104099999999994E-2</v>
      </c>
      <c r="I377">
        <v>9.0276720000000005E-2</v>
      </c>
      <c r="J377">
        <v>8.8485750000000002E-2</v>
      </c>
      <c r="K377">
        <v>8.6564379999999996E-2</v>
      </c>
      <c r="L377">
        <v>8.4023570000000006E-2</v>
      </c>
      <c r="M377">
        <v>7.9764940000000006E-2</v>
      </c>
      <c r="N377">
        <v>7.605671E-2</v>
      </c>
    </row>
    <row r="378" spans="1:14" hidden="1" x14ac:dyDescent="0.35">
      <c r="A378" t="s">
        <v>242</v>
      </c>
      <c r="B378" t="s">
        <v>34</v>
      </c>
      <c r="C378" t="s">
        <v>33</v>
      </c>
      <c r="D378" t="s">
        <v>33</v>
      </c>
      <c r="E378" t="s">
        <v>584</v>
      </c>
      <c r="F378" t="s">
        <v>26</v>
      </c>
      <c r="G378" t="s">
        <v>26</v>
      </c>
      <c r="H378">
        <v>0.16597809999999999</v>
      </c>
      <c r="I378">
        <v>0.16597809999999999</v>
      </c>
      <c r="J378">
        <v>0.16597809999999999</v>
      </c>
      <c r="K378">
        <v>0.16597809999999999</v>
      </c>
      <c r="L378">
        <v>0.16597809999999999</v>
      </c>
      <c r="M378">
        <v>0.16597809999999999</v>
      </c>
      <c r="N378">
        <v>0.16597809999999999</v>
      </c>
    </row>
    <row r="379" spans="1:14" hidden="1" x14ac:dyDescent="0.35">
      <c r="A379" t="s">
        <v>623</v>
      </c>
      <c r="B379" t="s">
        <v>32</v>
      </c>
      <c r="C379" t="s">
        <v>30</v>
      </c>
      <c r="D379" t="s">
        <v>30</v>
      </c>
      <c r="E379" t="s">
        <v>584</v>
      </c>
      <c r="F379" t="s">
        <v>581</v>
      </c>
      <c r="G379" t="s">
        <v>396</v>
      </c>
      <c r="H379">
        <v>207.0746</v>
      </c>
      <c r="I379">
        <v>182.0718</v>
      </c>
      <c r="J379">
        <v>195.0523</v>
      </c>
      <c r="K379">
        <v>216.16820000000001</v>
      </c>
      <c r="L379">
        <v>220.4708</v>
      </c>
      <c r="M379">
        <v>219.5145</v>
      </c>
      <c r="N379">
        <v>223.85079999999999</v>
      </c>
    </row>
    <row r="380" spans="1:14" hidden="1" x14ac:dyDescent="0.35">
      <c r="A380" t="s">
        <v>623</v>
      </c>
      <c r="B380" t="s">
        <v>32</v>
      </c>
      <c r="C380" t="s">
        <v>30</v>
      </c>
      <c r="D380" t="s">
        <v>30</v>
      </c>
      <c r="E380" t="s">
        <v>584</v>
      </c>
      <c r="F380" t="s">
        <v>581</v>
      </c>
      <c r="G380" t="s">
        <v>24</v>
      </c>
      <c r="H380">
        <v>1.9705090000000001</v>
      </c>
      <c r="I380">
        <v>1.9705090000000001</v>
      </c>
      <c r="J380">
        <v>1.9705090000000001</v>
      </c>
      <c r="K380">
        <v>1.9705090000000001</v>
      </c>
      <c r="L380">
        <v>1.9705090000000001</v>
      </c>
      <c r="M380">
        <v>1.9705090000000001</v>
      </c>
      <c r="N380">
        <v>1.970046</v>
      </c>
    </row>
    <row r="381" spans="1:14" hidden="1" x14ac:dyDescent="0.35">
      <c r="A381" t="s">
        <v>623</v>
      </c>
      <c r="B381" t="s">
        <v>53</v>
      </c>
      <c r="C381" t="s">
        <v>175</v>
      </c>
      <c r="D381" t="s">
        <v>175</v>
      </c>
      <c r="E381" t="s">
        <v>584</v>
      </c>
      <c r="F381" t="s">
        <v>581</v>
      </c>
      <c r="G381" t="s">
        <v>24</v>
      </c>
      <c r="H381">
        <v>40.913499999999999</v>
      </c>
      <c r="I381">
        <v>55.86806</v>
      </c>
      <c r="J381">
        <v>60.93732</v>
      </c>
      <c r="K381">
        <v>60.93732</v>
      </c>
      <c r="L381">
        <v>50.973280000000003</v>
      </c>
      <c r="M381">
        <v>39.828099999999999</v>
      </c>
      <c r="N381">
        <v>34.527979999999999</v>
      </c>
    </row>
    <row r="382" spans="1:14" hidden="1" x14ac:dyDescent="0.35">
      <c r="A382" t="s">
        <v>623</v>
      </c>
      <c r="B382" t="s">
        <v>53</v>
      </c>
      <c r="C382" t="s">
        <v>175</v>
      </c>
      <c r="D382" t="s">
        <v>175</v>
      </c>
      <c r="E382" t="s">
        <v>584</v>
      </c>
      <c r="F382" t="s">
        <v>581</v>
      </c>
      <c r="G382" t="s">
        <v>25</v>
      </c>
      <c r="H382">
        <v>18.967310000000001</v>
      </c>
      <c r="I382">
        <v>21.448640000000001</v>
      </c>
      <c r="J382">
        <v>22.142189999999999</v>
      </c>
      <c r="K382">
        <v>22.142189999999999</v>
      </c>
      <c r="L382">
        <v>22.144279999999998</v>
      </c>
      <c r="M382">
        <v>24.443840000000002</v>
      </c>
      <c r="N382">
        <v>24.14611</v>
      </c>
    </row>
    <row r="383" spans="1:14" hidden="1" x14ac:dyDescent="0.35">
      <c r="A383" t="s">
        <v>623</v>
      </c>
      <c r="B383" t="s">
        <v>53</v>
      </c>
      <c r="C383" t="s">
        <v>175</v>
      </c>
      <c r="D383" t="s">
        <v>175</v>
      </c>
      <c r="E383" t="s">
        <v>584</v>
      </c>
      <c r="F383" t="s">
        <v>26</v>
      </c>
      <c r="G383" t="s">
        <v>26</v>
      </c>
      <c r="H383">
        <v>99.771649999999994</v>
      </c>
      <c r="I383">
        <v>119.17619999999999</v>
      </c>
      <c r="J383">
        <v>123.52549999999999</v>
      </c>
      <c r="K383">
        <v>123.52549999999999</v>
      </c>
      <c r="L383">
        <v>123.6264</v>
      </c>
      <c r="M383">
        <v>123.696</v>
      </c>
      <c r="N383">
        <v>123.52549999999999</v>
      </c>
    </row>
    <row r="384" spans="1:14" hidden="1" x14ac:dyDescent="0.35">
      <c r="A384" t="s">
        <v>623</v>
      </c>
      <c r="B384" t="s">
        <v>53</v>
      </c>
      <c r="C384" t="s">
        <v>52</v>
      </c>
      <c r="D384" t="s">
        <v>52</v>
      </c>
      <c r="E384" t="s">
        <v>584</v>
      </c>
      <c r="F384" t="s">
        <v>581</v>
      </c>
      <c r="G384" t="s">
        <v>396</v>
      </c>
      <c r="H384">
        <v>6.4722359999999997</v>
      </c>
      <c r="I384">
        <v>4.2796760000000003</v>
      </c>
      <c r="J384">
        <v>5.2259679999999999</v>
      </c>
      <c r="K384">
        <v>6.0049190000000001</v>
      </c>
      <c r="L384">
        <v>4.2495180000000001</v>
      </c>
      <c r="M384">
        <v>3.035593</v>
      </c>
      <c r="N384">
        <v>1.812937</v>
      </c>
    </row>
    <row r="385" spans="1:14" hidden="1" x14ac:dyDescent="0.35">
      <c r="A385" t="s">
        <v>623</v>
      </c>
      <c r="B385" t="s">
        <v>53</v>
      </c>
      <c r="C385" t="s">
        <v>181</v>
      </c>
      <c r="D385" t="s">
        <v>181</v>
      </c>
      <c r="E385" t="s">
        <v>584</v>
      </c>
      <c r="F385" t="s">
        <v>581</v>
      </c>
      <c r="G385" t="s">
        <v>396</v>
      </c>
      <c r="H385">
        <v>1.226565E-3</v>
      </c>
      <c r="I385">
        <v>8.2219179999999995E-4</v>
      </c>
      <c r="J385">
        <v>5.5113160000000005E-4</v>
      </c>
      <c r="K385">
        <v>3.6943499999999999E-4</v>
      </c>
      <c r="L385">
        <v>2.4763919999999998E-4</v>
      </c>
      <c r="M385">
        <v>1.659965E-4</v>
      </c>
      <c r="N385">
        <v>1.112706E-4</v>
      </c>
    </row>
    <row r="386" spans="1:14" hidden="1" x14ac:dyDescent="0.35">
      <c r="A386" t="s">
        <v>623</v>
      </c>
      <c r="B386" t="s">
        <v>53</v>
      </c>
      <c r="C386" t="s">
        <v>181</v>
      </c>
      <c r="D386" t="s">
        <v>181</v>
      </c>
      <c r="E386" t="s">
        <v>584</v>
      </c>
      <c r="F386" t="s">
        <v>581</v>
      </c>
      <c r="G386" t="s">
        <v>24</v>
      </c>
      <c r="H386">
        <v>0</v>
      </c>
    </row>
    <row r="387" spans="1:14" hidden="1" x14ac:dyDescent="0.35">
      <c r="A387" t="s">
        <v>623</v>
      </c>
      <c r="B387" t="s">
        <v>53</v>
      </c>
      <c r="C387" t="s">
        <v>624</v>
      </c>
      <c r="D387" t="s">
        <v>624</v>
      </c>
      <c r="E387" t="s">
        <v>584</v>
      </c>
      <c r="F387" t="s">
        <v>26</v>
      </c>
      <c r="G387" t="s">
        <v>26</v>
      </c>
      <c r="H387">
        <v>0</v>
      </c>
      <c r="I387">
        <v>0</v>
      </c>
      <c r="J387">
        <v>0</v>
      </c>
      <c r="K387">
        <v>0</v>
      </c>
      <c r="L387">
        <v>0</v>
      </c>
      <c r="M387">
        <v>0</v>
      </c>
      <c r="N387">
        <v>0</v>
      </c>
    </row>
    <row r="388" spans="1:14" hidden="1" x14ac:dyDescent="0.35">
      <c r="A388" t="s">
        <v>623</v>
      </c>
      <c r="B388" t="s">
        <v>53</v>
      </c>
      <c r="C388" t="s">
        <v>219</v>
      </c>
      <c r="D388" t="s">
        <v>219</v>
      </c>
      <c r="E388" t="s">
        <v>584</v>
      </c>
      <c r="F388" t="s">
        <v>26</v>
      </c>
      <c r="G388" t="s">
        <v>26</v>
      </c>
      <c r="H388">
        <v>0</v>
      </c>
      <c r="I388">
        <v>0</v>
      </c>
      <c r="J388">
        <v>0</v>
      </c>
      <c r="K388">
        <v>0</v>
      </c>
      <c r="L388">
        <v>0</v>
      </c>
      <c r="M388">
        <v>0</v>
      </c>
      <c r="N388">
        <v>0</v>
      </c>
    </row>
    <row r="389" spans="1:14" hidden="1" x14ac:dyDescent="0.35">
      <c r="A389" t="s">
        <v>623</v>
      </c>
      <c r="B389" t="s">
        <v>41</v>
      </c>
      <c r="C389" t="s">
        <v>40</v>
      </c>
      <c r="D389" t="s">
        <v>40</v>
      </c>
      <c r="E389" t="s">
        <v>584</v>
      </c>
      <c r="F389" t="s">
        <v>581</v>
      </c>
      <c r="G389" t="s">
        <v>396</v>
      </c>
      <c r="H389">
        <v>22.779920000000001</v>
      </c>
      <c r="I389">
        <v>24.167149999999999</v>
      </c>
      <c r="J389">
        <v>25.99493</v>
      </c>
      <c r="K389">
        <v>25.99493</v>
      </c>
      <c r="L389">
        <v>25.99493</v>
      </c>
      <c r="M389">
        <v>26.022780000000001</v>
      </c>
      <c r="N389">
        <v>26.022780000000001</v>
      </c>
    </row>
    <row r="390" spans="1:14" hidden="1" x14ac:dyDescent="0.35">
      <c r="A390" t="s">
        <v>623</v>
      </c>
      <c r="B390" t="s">
        <v>41</v>
      </c>
      <c r="C390" t="s">
        <v>40</v>
      </c>
      <c r="D390" t="s">
        <v>40</v>
      </c>
      <c r="E390" t="s">
        <v>584</v>
      </c>
      <c r="F390" t="s">
        <v>26</v>
      </c>
      <c r="G390" t="s">
        <v>26</v>
      </c>
      <c r="H390">
        <v>4.93018</v>
      </c>
      <c r="I390">
        <v>4.9996700000000001</v>
      </c>
      <c r="J390">
        <v>5.2802199999999999</v>
      </c>
      <c r="K390">
        <v>5.2802199999999999</v>
      </c>
      <c r="L390">
        <v>5.2802199999999999</v>
      </c>
      <c r="M390">
        <v>5.285876</v>
      </c>
      <c r="N390">
        <v>5.285876</v>
      </c>
    </row>
    <row r="391" spans="1:14" hidden="1" x14ac:dyDescent="0.35">
      <c r="A391" t="s">
        <v>623</v>
      </c>
      <c r="B391" t="s">
        <v>94</v>
      </c>
      <c r="C391" t="s">
        <v>93</v>
      </c>
      <c r="D391" t="s">
        <v>93</v>
      </c>
      <c r="E391" t="s">
        <v>584</v>
      </c>
      <c r="F391" t="s">
        <v>581</v>
      </c>
      <c r="G391" t="s">
        <v>396</v>
      </c>
      <c r="H391">
        <v>18.814409999999999</v>
      </c>
      <c r="I391">
        <v>21.86835</v>
      </c>
      <c r="J391">
        <v>21.016549999999999</v>
      </c>
      <c r="K391">
        <v>21.219190000000001</v>
      </c>
      <c r="L391">
        <v>19.446349999999999</v>
      </c>
      <c r="M391">
        <v>19.324349999999999</v>
      </c>
      <c r="N391">
        <v>19.90269</v>
      </c>
    </row>
    <row r="392" spans="1:14" hidden="1" x14ac:dyDescent="0.35">
      <c r="A392" t="s">
        <v>623</v>
      </c>
      <c r="B392" t="s">
        <v>37</v>
      </c>
      <c r="C392" t="s">
        <v>79</v>
      </c>
      <c r="D392" t="s">
        <v>79</v>
      </c>
      <c r="E392" t="s">
        <v>614</v>
      </c>
      <c r="F392" t="s">
        <v>581</v>
      </c>
      <c r="G392" t="s">
        <v>396</v>
      </c>
      <c r="H392">
        <v>8.4078789999999994</v>
      </c>
      <c r="I392">
        <v>9.6554520000000004</v>
      </c>
      <c r="J392">
        <v>8.5038889999999991</v>
      </c>
      <c r="K392">
        <v>6.4055169999999997</v>
      </c>
      <c r="L392">
        <v>5.8785059999999998</v>
      </c>
      <c r="M392">
        <v>6.5957689999999998</v>
      </c>
      <c r="N392">
        <v>6.1779650000000004</v>
      </c>
    </row>
    <row r="393" spans="1:14" hidden="1" x14ac:dyDescent="0.35">
      <c r="A393" t="s">
        <v>623</v>
      </c>
      <c r="B393" t="s">
        <v>37</v>
      </c>
      <c r="C393" t="s">
        <v>79</v>
      </c>
      <c r="D393" t="s">
        <v>79</v>
      </c>
      <c r="E393" t="s">
        <v>614</v>
      </c>
      <c r="F393" t="s">
        <v>581</v>
      </c>
      <c r="G393" t="s">
        <v>25</v>
      </c>
      <c r="H393">
        <v>0.80074789999999996</v>
      </c>
      <c r="I393">
        <v>0.91956870000000002</v>
      </c>
      <c r="J393">
        <v>0.80989120000000003</v>
      </c>
      <c r="K393">
        <v>0.61004910000000001</v>
      </c>
      <c r="L393">
        <v>0.55985419999999997</v>
      </c>
      <c r="M393">
        <v>0.62816939999999999</v>
      </c>
      <c r="N393">
        <v>0.58837779999999995</v>
      </c>
    </row>
    <row r="394" spans="1:14" hidden="1" x14ac:dyDescent="0.35">
      <c r="A394" t="s">
        <v>623</v>
      </c>
      <c r="B394" t="s">
        <v>37</v>
      </c>
      <c r="C394" t="s">
        <v>79</v>
      </c>
      <c r="D394" t="s">
        <v>79</v>
      </c>
      <c r="E394" t="s">
        <v>614</v>
      </c>
      <c r="F394" t="s">
        <v>26</v>
      </c>
      <c r="G394" t="s">
        <v>26</v>
      </c>
      <c r="H394">
        <v>0.80075070000000004</v>
      </c>
      <c r="I394">
        <v>0.91956599999999999</v>
      </c>
      <c r="J394">
        <v>0.809894</v>
      </c>
      <c r="K394">
        <v>0.61004910000000001</v>
      </c>
      <c r="L394">
        <v>0.55985700000000005</v>
      </c>
      <c r="M394">
        <v>0.62816819999999995</v>
      </c>
      <c r="N394">
        <v>0.58837589999999995</v>
      </c>
    </row>
    <row r="395" spans="1:14" hidden="1" x14ac:dyDescent="0.35">
      <c r="A395" t="s">
        <v>623</v>
      </c>
      <c r="B395" t="s">
        <v>37</v>
      </c>
      <c r="C395" t="s">
        <v>61</v>
      </c>
      <c r="D395" t="s">
        <v>62</v>
      </c>
      <c r="E395" t="s">
        <v>584</v>
      </c>
      <c r="F395" t="s">
        <v>581</v>
      </c>
      <c r="G395" t="s">
        <v>396</v>
      </c>
      <c r="H395">
        <v>1.9835579999999999</v>
      </c>
      <c r="I395">
        <v>2.1929910000000001</v>
      </c>
      <c r="J395">
        <v>2.1211440000000001</v>
      </c>
      <c r="K395">
        <v>1.963144</v>
      </c>
      <c r="L395">
        <v>1.818417</v>
      </c>
      <c r="M395">
        <v>1.5999209999999999</v>
      </c>
      <c r="N395">
        <v>1.2780530000000001</v>
      </c>
    </row>
    <row r="396" spans="1:14" hidden="1" x14ac:dyDescent="0.35">
      <c r="A396" t="s">
        <v>623</v>
      </c>
      <c r="B396" t="s">
        <v>37</v>
      </c>
      <c r="C396" t="s">
        <v>61</v>
      </c>
      <c r="D396" t="s">
        <v>62</v>
      </c>
      <c r="E396" t="s">
        <v>584</v>
      </c>
      <c r="F396" t="s">
        <v>581</v>
      </c>
      <c r="G396" t="s">
        <v>25</v>
      </c>
      <c r="H396">
        <v>0.14027400000000001</v>
      </c>
      <c r="I396">
        <v>0.17369399999999999</v>
      </c>
      <c r="J396">
        <v>0.1721463</v>
      </c>
      <c r="K396">
        <v>0.1708094</v>
      </c>
      <c r="L396">
        <v>0.15471969999999999</v>
      </c>
      <c r="M396">
        <v>0.1308704</v>
      </c>
      <c r="N396">
        <v>0.111925</v>
      </c>
    </row>
    <row r="397" spans="1:14" hidden="1" x14ac:dyDescent="0.35">
      <c r="A397" t="s">
        <v>623</v>
      </c>
      <c r="B397" t="s">
        <v>37</v>
      </c>
      <c r="C397" t="s">
        <v>61</v>
      </c>
      <c r="D397" t="s">
        <v>62</v>
      </c>
      <c r="E397" t="s">
        <v>584</v>
      </c>
      <c r="F397" t="s">
        <v>26</v>
      </c>
      <c r="G397" t="s">
        <v>26</v>
      </c>
      <c r="H397">
        <v>0.36978549999999999</v>
      </c>
      <c r="I397">
        <v>0.45893499999999998</v>
      </c>
      <c r="J397">
        <v>0.44888709999999998</v>
      </c>
      <c r="K397">
        <v>0.43948490000000001</v>
      </c>
      <c r="L397">
        <v>0.42915229999999999</v>
      </c>
      <c r="M397">
        <v>0.39632279999999998</v>
      </c>
      <c r="N397">
        <v>0.33258779999999999</v>
      </c>
    </row>
    <row r="398" spans="1:14" hidden="1" x14ac:dyDescent="0.35">
      <c r="A398" t="s">
        <v>623</v>
      </c>
      <c r="B398" t="s">
        <v>154</v>
      </c>
      <c r="C398" t="s">
        <v>153</v>
      </c>
      <c r="D398" t="s">
        <v>153</v>
      </c>
      <c r="E398" t="s">
        <v>584</v>
      </c>
      <c r="F398" t="s">
        <v>581</v>
      </c>
      <c r="G398" t="s">
        <v>24</v>
      </c>
      <c r="H398">
        <v>0</v>
      </c>
      <c r="I398">
        <v>2.7816230000000001E-2</v>
      </c>
      <c r="J398">
        <v>1.7685630000000001</v>
      </c>
      <c r="K398">
        <v>2.624457</v>
      </c>
      <c r="L398">
        <v>3.433249</v>
      </c>
      <c r="M398">
        <v>2.560298</v>
      </c>
      <c r="N398">
        <v>1.705336</v>
      </c>
    </row>
    <row r="399" spans="1:14" hidden="1" x14ac:dyDescent="0.35">
      <c r="A399" t="s">
        <v>623</v>
      </c>
      <c r="B399" t="s">
        <v>154</v>
      </c>
      <c r="C399" t="s">
        <v>153</v>
      </c>
      <c r="D399" t="s">
        <v>153</v>
      </c>
      <c r="E399" t="s">
        <v>584</v>
      </c>
      <c r="F399" t="s">
        <v>26</v>
      </c>
      <c r="G399" t="s">
        <v>26</v>
      </c>
      <c r="H399">
        <v>0</v>
      </c>
      <c r="I399">
        <v>7.2445850000000006E-2</v>
      </c>
      <c r="J399">
        <v>4.9580409999999997</v>
      </c>
      <c r="K399">
        <v>9.0129640000000002</v>
      </c>
      <c r="L399">
        <v>9.4079429999999995</v>
      </c>
      <c r="M399">
        <v>8.4767080000000004</v>
      </c>
      <c r="N399">
        <v>7.5950519999999999</v>
      </c>
    </row>
    <row r="400" spans="1:14" hidden="1" x14ac:dyDescent="0.35">
      <c r="A400" t="s">
        <v>623</v>
      </c>
      <c r="B400" t="s">
        <v>625</v>
      </c>
      <c r="C400" t="s">
        <v>626</v>
      </c>
      <c r="D400" t="s">
        <v>626</v>
      </c>
      <c r="E400" t="s">
        <v>584</v>
      </c>
      <c r="F400" t="s">
        <v>581</v>
      </c>
      <c r="G400" t="s">
        <v>396</v>
      </c>
      <c r="H400">
        <v>2.685479E-2</v>
      </c>
      <c r="I400">
        <v>2.6323289999999999E-2</v>
      </c>
      <c r="J400">
        <v>2.5800819999999999E-2</v>
      </c>
      <c r="K400">
        <v>2.524055E-2</v>
      </c>
      <c r="L400">
        <v>2.4500279999999999E-2</v>
      </c>
      <c r="M400">
        <v>2.3258350000000001E-2</v>
      </c>
      <c r="N400">
        <v>2.2176709999999999E-2</v>
      </c>
    </row>
    <row r="401" spans="1:14" hidden="1" x14ac:dyDescent="0.35">
      <c r="A401" t="s">
        <v>623</v>
      </c>
      <c r="B401" t="s">
        <v>625</v>
      </c>
      <c r="C401" t="s">
        <v>626</v>
      </c>
      <c r="D401" t="s">
        <v>626</v>
      </c>
      <c r="E401" t="s">
        <v>584</v>
      </c>
      <c r="F401" t="s">
        <v>581</v>
      </c>
      <c r="G401" t="s">
        <v>24</v>
      </c>
      <c r="H401">
        <v>0.16679630000000001</v>
      </c>
      <c r="I401">
        <v>0.1257316</v>
      </c>
      <c r="J401">
        <v>9.5636180000000001E-2</v>
      </c>
      <c r="K401">
        <v>7.2856790000000005E-2</v>
      </c>
      <c r="L401">
        <v>5.493833E-2</v>
      </c>
      <c r="M401">
        <v>4.0559919999999999E-2</v>
      </c>
      <c r="N401">
        <v>2.996679E-2</v>
      </c>
    </row>
    <row r="402" spans="1:14" hidden="1" x14ac:dyDescent="0.35">
      <c r="A402" t="s">
        <v>623</v>
      </c>
      <c r="B402" t="s">
        <v>625</v>
      </c>
      <c r="C402" t="s">
        <v>626</v>
      </c>
      <c r="D402" t="s">
        <v>626</v>
      </c>
      <c r="E402" t="s">
        <v>584</v>
      </c>
      <c r="F402" t="s">
        <v>581</v>
      </c>
      <c r="G402" t="s">
        <v>25</v>
      </c>
      <c r="H402">
        <v>0.15902720000000001</v>
      </c>
      <c r="I402">
        <v>0.106904</v>
      </c>
      <c r="J402">
        <v>7.2004910000000005E-2</v>
      </c>
      <c r="K402">
        <v>4.8375649999999999E-2</v>
      </c>
      <c r="L402">
        <v>3.2706779999999998E-2</v>
      </c>
      <c r="M402">
        <v>2.2170990000000002E-2</v>
      </c>
      <c r="N402">
        <v>1.510359E-2</v>
      </c>
    </row>
    <row r="403" spans="1:14" hidden="1" x14ac:dyDescent="0.35">
      <c r="A403" t="s">
        <v>623</v>
      </c>
      <c r="B403" t="s">
        <v>625</v>
      </c>
      <c r="C403" t="s">
        <v>626</v>
      </c>
      <c r="D403" t="s">
        <v>626</v>
      </c>
      <c r="E403" t="s">
        <v>584</v>
      </c>
      <c r="F403" t="s">
        <v>26</v>
      </c>
      <c r="G403" t="s">
        <v>26</v>
      </c>
      <c r="H403">
        <v>14.51545</v>
      </c>
      <c r="I403">
        <v>9.7774900000000002</v>
      </c>
      <c r="J403">
        <v>6.6036130000000002</v>
      </c>
      <c r="K403">
        <v>4.4778440000000002</v>
      </c>
      <c r="L403">
        <v>3.0461529999999999</v>
      </c>
      <c r="M403">
        <v>2.0848260000000001</v>
      </c>
      <c r="N403">
        <v>1.4396720000000001</v>
      </c>
    </row>
    <row r="404" spans="1:14" hidden="1" x14ac:dyDescent="0.35">
      <c r="A404" t="s">
        <v>623</v>
      </c>
      <c r="B404" t="s">
        <v>625</v>
      </c>
      <c r="C404" t="s">
        <v>627</v>
      </c>
      <c r="D404" t="s">
        <v>627</v>
      </c>
      <c r="E404" t="s">
        <v>584</v>
      </c>
      <c r="F404" t="s">
        <v>581</v>
      </c>
      <c r="G404" t="s">
        <v>396</v>
      </c>
      <c r="H404">
        <v>2.039069</v>
      </c>
      <c r="I404">
        <v>1.420291</v>
      </c>
      <c r="J404">
        <v>1.0033939999999999</v>
      </c>
      <c r="K404">
        <v>0.72174950000000004</v>
      </c>
      <c r="L404">
        <v>0.52948189999999995</v>
      </c>
      <c r="M404">
        <v>0.39501540000000002</v>
      </c>
      <c r="N404">
        <v>0.30256260000000001</v>
      </c>
    </row>
    <row r="405" spans="1:14" hidden="1" x14ac:dyDescent="0.35">
      <c r="A405" t="s">
        <v>623</v>
      </c>
      <c r="B405" t="s">
        <v>625</v>
      </c>
      <c r="C405" t="s">
        <v>627</v>
      </c>
      <c r="D405" t="s">
        <v>627</v>
      </c>
      <c r="E405" t="s">
        <v>584</v>
      </c>
      <c r="F405" t="s">
        <v>581</v>
      </c>
      <c r="G405" t="s">
        <v>24</v>
      </c>
      <c r="H405">
        <v>7.3457540000000002E-2</v>
      </c>
      <c r="I405">
        <v>4.9238360000000002E-2</v>
      </c>
      <c r="J405">
        <v>3.3015620000000002E-2</v>
      </c>
      <c r="K405">
        <v>2.214493E-2</v>
      </c>
      <c r="L405">
        <v>1.4845209999999999E-2</v>
      </c>
      <c r="M405">
        <v>9.9917809999999999E-3</v>
      </c>
      <c r="N405">
        <v>6.6961640000000001E-3</v>
      </c>
    </row>
    <row r="406" spans="1:14" hidden="1" x14ac:dyDescent="0.35">
      <c r="A406" t="s">
        <v>623</v>
      </c>
      <c r="B406" t="s">
        <v>625</v>
      </c>
      <c r="C406" t="s">
        <v>628</v>
      </c>
      <c r="D406" t="s">
        <v>628</v>
      </c>
      <c r="E406" t="s">
        <v>584</v>
      </c>
      <c r="F406" t="s">
        <v>581</v>
      </c>
      <c r="G406" t="s">
        <v>25</v>
      </c>
      <c r="H406">
        <v>3.345205E-3</v>
      </c>
      <c r="I406">
        <v>3.2767120000000002E-3</v>
      </c>
      <c r="J406">
        <v>3.2136980000000001E-3</v>
      </c>
      <c r="K406">
        <v>3.1457529999999998E-3</v>
      </c>
      <c r="L406">
        <v>3.062192E-3</v>
      </c>
      <c r="M406">
        <v>2.9410959999999998E-3</v>
      </c>
      <c r="N406">
        <v>2.8263020000000002E-3</v>
      </c>
    </row>
    <row r="407" spans="1:14" hidden="1" x14ac:dyDescent="0.35">
      <c r="A407" t="s">
        <v>623</v>
      </c>
      <c r="B407" t="s">
        <v>625</v>
      </c>
      <c r="C407" t="s">
        <v>628</v>
      </c>
      <c r="D407" t="s">
        <v>628</v>
      </c>
      <c r="E407" t="s">
        <v>584</v>
      </c>
      <c r="F407" t="s">
        <v>26</v>
      </c>
      <c r="G407" t="s">
        <v>26</v>
      </c>
      <c r="H407">
        <v>0.1067014</v>
      </c>
      <c r="I407">
        <v>0.1024767</v>
      </c>
      <c r="J407">
        <v>9.8602739999999994E-2</v>
      </c>
      <c r="K407">
        <v>9.5046580000000006E-2</v>
      </c>
      <c r="L407">
        <v>9.1789040000000002E-2</v>
      </c>
      <c r="M407">
        <v>8.8802740000000005E-2</v>
      </c>
      <c r="N407">
        <v>8.6057540000000002E-2</v>
      </c>
    </row>
    <row r="408" spans="1:14" hidden="1" x14ac:dyDescent="0.35">
      <c r="A408" t="s">
        <v>623</v>
      </c>
      <c r="B408" t="s">
        <v>625</v>
      </c>
      <c r="C408" t="s">
        <v>629</v>
      </c>
      <c r="D408" t="s">
        <v>629</v>
      </c>
      <c r="E408" t="s">
        <v>584</v>
      </c>
      <c r="F408" t="s">
        <v>581</v>
      </c>
      <c r="G408" t="s">
        <v>25</v>
      </c>
      <c r="H408">
        <v>3.4158910000000001E-2</v>
      </c>
      <c r="I408">
        <v>0</v>
      </c>
    </row>
    <row r="409" spans="1:14" hidden="1" x14ac:dyDescent="0.35">
      <c r="A409" t="s">
        <v>623</v>
      </c>
      <c r="B409" t="s">
        <v>625</v>
      </c>
      <c r="C409" t="s">
        <v>629</v>
      </c>
      <c r="D409" t="s">
        <v>629</v>
      </c>
      <c r="E409" t="s">
        <v>584</v>
      </c>
      <c r="F409" t="s">
        <v>26</v>
      </c>
      <c r="G409" t="s">
        <v>26</v>
      </c>
      <c r="H409">
        <v>0.36729859999999998</v>
      </c>
      <c r="I409">
        <v>0</v>
      </c>
    </row>
    <row r="410" spans="1:14" hidden="1" x14ac:dyDescent="0.35">
      <c r="A410" t="s">
        <v>623</v>
      </c>
      <c r="B410" t="s">
        <v>59</v>
      </c>
      <c r="C410" t="s">
        <v>161</v>
      </c>
      <c r="D410" t="s">
        <v>161</v>
      </c>
      <c r="E410" t="s">
        <v>584</v>
      </c>
      <c r="F410" t="s">
        <v>581</v>
      </c>
      <c r="G410" t="s">
        <v>396</v>
      </c>
      <c r="H410">
        <v>1.950843E-2</v>
      </c>
      <c r="I410">
        <v>0.3948199</v>
      </c>
      <c r="J410">
        <v>6.3996629999999999E-2</v>
      </c>
      <c r="K410">
        <v>2.5929859999999998E-3</v>
      </c>
      <c r="L410">
        <v>2.3616990000000001E-3</v>
      </c>
      <c r="M410">
        <v>0</v>
      </c>
    </row>
    <row r="411" spans="1:14" hidden="1" x14ac:dyDescent="0.35">
      <c r="A411" t="s">
        <v>623</v>
      </c>
      <c r="B411" t="s">
        <v>59</v>
      </c>
      <c r="C411" t="s">
        <v>161</v>
      </c>
      <c r="D411" t="s">
        <v>161</v>
      </c>
      <c r="E411" t="s">
        <v>584</v>
      </c>
      <c r="F411" t="s">
        <v>581</v>
      </c>
      <c r="G411" t="s">
        <v>24</v>
      </c>
      <c r="H411">
        <v>0.4489129</v>
      </c>
      <c r="I411">
        <v>0.95046580000000003</v>
      </c>
      <c r="J411">
        <v>0.90752730000000004</v>
      </c>
      <c r="K411">
        <v>0.89523079999999999</v>
      </c>
      <c r="L411">
        <v>0.85556969999999999</v>
      </c>
      <c r="M411">
        <v>0.71534160000000002</v>
      </c>
      <c r="N411">
        <v>0.64395959999999997</v>
      </c>
    </row>
    <row r="412" spans="1:14" hidden="1" x14ac:dyDescent="0.35">
      <c r="A412" t="s">
        <v>623</v>
      </c>
      <c r="B412" t="s">
        <v>59</v>
      </c>
      <c r="C412" t="s">
        <v>161</v>
      </c>
      <c r="D412" t="s">
        <v>161</v>
      </c>
      <c r="E412" t="s">
        <v>584</v>
      </c>
      <c r="F412" t="s">
        <v>581</v>
      </c>
      <c r="G412" t="s">
        <v>25</v>
      </c>
      <c r="H412">
        <v>7.6435890000000006E-2</v>
      </c>
      <c r="I412">
        <v>9.8705310000000004E-2</v>
      </c>
      <c r="J412">
        <v>7.7520610000000004E-2</v>
      </c>
      <c r="K412">
        <v>7.4847449999999996E-2</v>
      </c>
      <c r="L412">
        <v>6.3155000000000003E-2</v>
      </c>
      <c r="M412">
        <v>5.4686310000000002E-2</v>
      </c>
      <c r="N412">
        <v>4.8500229999999998E-2</v>
      </c>
    </row>
    <row r="413" spans="1:14" hidden="1" x14ac:dyDescent="0.35">
      <c r="A413" t="s">
        <v>623</v>
      </c>
      <c r="B413" t="s">
        <v>59</v>
      </c>
      <c r="C413" t="s">
        <v>161</v>
      </c>
      <c r="D413" t="s">
        <v>161</v>
      </c>
      <c r="E413" t="s">
        <v>584</v>
      </c>
      <c r="F413" t="s">
        <v>26</v>
      </c>
      <c r="G413" t="s">
        <v>26</v>
      </c>
      <c r="H413">
        <v>3.4649719999999999</v>
      </c>
      <c r="I413">
        <v>3.5783619999999998</v>
      </c>
      <c r="J413">
        <v>3.2823660000000001</v>
      </c>
      <c r="K413">
        <v>3.2428020000000002</v>
      </c>
      <c r="L413">
        <v>3.1433949999999999</v>
      </c>
      <c r="M413">
        <v>2.6343719999999999</v>
      </c>
      <c r="N413">
        <v>2.4217179999999998</v>
      </c>
    </row>
    <row r="414" spans="1:14" hidden="1" x14ac:dyDescent="0.35">
      <c r="A414" t="s">
        <v>623</v>
      </c>
      <c r="B414" t="s">
        <v>59</v>
      </c>
      <c r="C414" t="s">
        <v>165</v>
      </c>
      <c r="D414" t="s">
        <v>165</v>
      </c>
      <c r="E414" t="s">
        <v>584</v>
      </c>
      <c r="F414" t="s">
        <v>581</v>
      </c>
      <c r="G414" t="s">
        <v>24</v>
      </c>
      <c r="H414">
        <v>8.6859030000000004E-2</v>
      </c>
      <c r="I414">
        <v>9.4637719999999995E-2</v>
      </c>
      <c r="J414">
        <v>9.4997899999999996E-2</v>
      </c>
      <c r="K414">
        <v>9.4088610000000003E-2</v>
      </c>
      <c r="L414">
        <v>8.0829159999999997E-2</v>
      </c>
      <c r="M414">
        <v>7.4022900000000003E-2</v>
      </c>
      <c r="N414">
        <v>5.9244089999999999E-2</v>
      </c>
    </row>
    <row r="415" spans="1:14" hidden="1" x14ac:dyDescent="0.35">
      <c r="A415" t="s">
        <v>623</v>
      </c>
      <c r="B415" t="s">
        <v>59</v>
      </c>
      <c r="C415" t="s">
        <v>165</v>
      </c>
      <c r="D415" t="s">
        <v>165</v>
      </c>
      <c r="E415" t="s">
        <v>584</v>
      </c>
      <c r="F415" t="s">
        <v>26</v>
      </c>
      <c r="G415" t="s">
        <v>26</v>
      </c>
      <c r="H415">
        <v>0.91953890000000005</v>
      </c>
      <c r="I415">
        <v>0.83862490000000001</v>
      </c>
      <c r="J415">
        <v>0.84228749999999997</v>
      </c>
      <c r="K415">
        <v>0.83667990000000003</v>
      </c>
      <c r="L415">
        <v>0.72111829999999999</v>
      </c>
      <c r="M415">
        <v>0.6653017</v>
      </c>
      <c r="N415">
        <v>0.52531890000000003</v>
      </c>
    </row>
    <row r="416" spans="1:14" hidden="1" x14ac:dyDescent="0.35">
      <c r="A416" t="s">
        <v>623</v>
      </c>
      <c r="B416" t="s">
        <v>65</v>
      </c>
      <c r="C416" t="s">
        <v>64</v>
      </c>
      <c r="D416" t="s">
        <v>64</v>
      </c>
      <c r="E416" t="s">
        <v>584</v>
      </c>
      <c r="F416" t="s">
        <v>581</v>
      </c>
      <c r="G416" t="s">
        <v>396</v>
      </c>
      <c r="H416">
        <v>3.5413559999999999</v>
      </c>
      <c r="I416">
        <v>3.613013</v>
      </c>
      <c r="J416">
        <v>3.6826120000000002</v>
      </c>
      <c r="K416">
        <v>3.5213220000000001</v>
      </c>
      <c r="L416">
        <v>3.3544399999999999</v>
      </c>
      <c r="M416">
        <v>3.0506220000000002</v>
      </c>
      <c r="N416">
        <v>2.7363940000000002</v>
      </c>
    </row>
    <row r="417" spans="1:14" hidden="1" x14ac:dyDescent="0.35">
      <c r="A417" t="s">
        <v>623</v>
      </c>
      <c r="B417" t="s">
        <v>65</v>
      </c>
      <c r="C417" t="s">
        <v>64</v>
      </c>
      <c r="D417" t="s">
        <v>64</v>
      </c>
      <c r="E417" t="s">
        <v>584</v>
      </c>
      <c r="F417" t="s">
        <v>26</v>
      </c>
      <c r="G417" t="s">
        <v>26</v>
      </c>
      <c r="H417">
        <v>0.63362689999999999</v>
      </c>
      <c r="I417">
        <v>0.61442140000000001</v>
      </c>
      <c r="J417">
        <v>0.54350299999999996</v>
      </c>
      <c r="K417">
        <v>0.46208840000000001</v>
      </c>
      <c r="L417">
        <v>0.38878990000000002</v>
      </c>
      <c r="M417">
        <v>0.31856519999999999</v>
      </c>
      <c r="N417">
        <v>0.26248919999999998</v>
      </c>
    </row>
    <row r="418" spans="1:14" hidden="1" x14ac:dyDescent="0.35">
      <c r="A418" t="s">
        <v>623</v>
      </c>
      <c r="B418" t="s">
        <v>65</v>
      </c>
      <c r="C418" t="s">
        <v>136</v>
      </c>
      <c r="D418" t="s">
        <v>136</v>
      </c>
      <c r="E418" t="s">
        <v>584</v>
      </c>
      <c r="F418" t="s">
        <v>581</v>
      </c>
      <c r="G418" t="s">
        <v>396</v>
      </c>
      <c r="H418">
        <v>0.83835610000000005</v>
      </c>
      <c r="I418">
        <v>0.83835610000000005</v>
      </c>
      <c r="J418">
        <v>0.83835610000000005</v>
      </c>
      <c r="K418">
        <v>0.83835610000000005</v>
      </c>
      <c r="L418">
        <v>0.83835610000000005</v>
      </c>
      <c r="M418">
        <v>0.83835599999999999</v>
      </c>
      <c r="N418">
        <v>0.83835610000000005</v>
      </c>
    </row>
    <row r="419" spans="1:14" hidden="1" x14ac:dyDescent="0.35">
      <c r="A419" t="s">
        <v>623</v>
      </c>
      <c r="B419" t="s">
        <v>65</v>
      </c>
      <c r="C419" t="s">
        <v>136</v>
      </c>
      <c r="D419" t="s">
        <v>136</v>
      </c>
      <c r="E419" t="s">
        <v>584</v>
      </c>
      <c r="F419" t="s">
        <v>26</v>
      </c>
      <c r="G419" t="s">
        <v>26</v>
      </c>
      <c r="H419">
        <v>7.6030840000000002E-2</v>
      </c>
      <c r="I419">
        <v>5.096498E-2</v>
      </c>
      <c r="J419">
        <v>3.4178479999999997E-2</v>
      </c>
      <c r="K419">
        <v>2.294001E-2</v>
      </c>
      <c r="L419">
        <v>1.537708E-2</v>
      </c>
      <c r="M419">
        <v>1.030754E-2</v>
      </c>
      <c r="N419">
        <v>6.9094029999999997E-3</v>
      </c>
    </row>
    <row r="420" spans="1:14" hidden="1" x14ac:dyDescent="0.35">
      <c r="A420" t="s">
        <v>623</v>
      </c>
      <c r="B420" t="s">
        <v>45</v>
      </c>
      <c r="C420" t="s">
        <v>44</v>
      </c>
      <c r="D420" t="s">
        <v>44</v>
      </c>
      <c r="E420" t="s">
        <v>584</v>
      </c>
      <c r="F420" t="s">
        <v>581</v>
      </c>
      <c r="G420" t="s">
        <v>396</v>
      </c>
      <c r="H420">
        <v>3.7123499999999998</v>
      </c>
      <c r="I420">
        <v>3.551752</v>
      </c>
      <c r="J420">
        <v>3.1724320000000001</v>
      </c>
      <c r="K420">
        <v>2.9548540000000001</v>
      </c>
      <c r="L420">
        <v>2.4897260000000001</v>
      </c>
      <c r="M420">
        <v>1.7966329999999999</v>
      </c>
      <c r="N420">
        <v>1.3072250000000001</v>
      </c>
    </row>
    <row r="421" spans="1:14" hidden="1" x14ac:dyDescent="0.35">
      <c r="A421" t="s">
        <v>623</v>
      </c>
      <c r="B421" t="s">
        <v>34</v>
      </c>
      <c r="C421" t="s">
        <v>33</v>
      </c>
      <c r="D421" t="s">
        <v>33</v>
      </c>
      <c r="E421" t="s">
        <v>622</v>
      </c>
      <c r="F421" t="s">
        <v>26</v>
      </c>
      <c r="G421" t="s">
        <v>26</v>
      </c>
      <c r="H421">
        <v>3.3626649999999998</v>
      </c>
      <c r="I421">
        <v>3.0341369999999999</v>
      </c>
      <c r="J421">
        <v>2.7228210000000002</v>
      </c>
      <c r="K421">
        <v>2.450501</v>
      </c>
      <c r="L421">
        <v>2.2054179999999999</v>
      </c>
      <c r="M421">
        <v>1.9900009999999999</v>
      </c>
      <c r="N421">
        <v>1.7858179999999999</v>
      </c>
    </row>
    <row r="422" spans="1:14" hidden="1" x14ac:dyDescent="0.35">
      <c r="A422" t="s">
        <v>623</v>
      </c>
      <c r="B422" t="s">
        <v>34</v>
      </c>
      <c r="C422" t="s">
        <v>33</v>
      </c>
      <c r="D422" t="s">
        <v>33</v>
      </c>
      <c r="E422" t="s">
        <v>630</v>
      </c>
      <c r="F422" t="s">
        <v>26</v>
      </c>
      <c r="G422" t="s">
        <v>26</v>
      </c>
      <c r="J422">
        <v>0</v>
      </c>
      <c r="K422">
        <v>2.318466E-4</v>
      </c>
      <c r="L422">
        <v>2.3400330000000001E-4</v>
      </c>
      <c r="M422">
        <v>1.5582249999999999E-4</v>
      </c>
      <c r="N422">
        <v>1.221238E-4</v>
      </c>
    </row>
    <row r="423" spans="1:14" hidden="1" x14ac:dyDescent="0.35">
      <c r="A423" t="s">
        <v>623</v>
      </c>
      <c r="B423" t="s">
        <v>193</v>
      </c>
      <c r="C423" t="s">
        <v>44</v>
      </c>
      <c r="D423" t="s">
        <v>44</v>
      </c>
      <c r="E423" t="s">
        <v>584</v>
      </c>
      <c r="F423" t="s">
        <v>581</v>
      </c>
      <c r="G423" t="s">
        <v>396</v>
      </c>
      <c r="H423">
        <v>3.3489770000000001</v>
      </c>
      <c r="I423">
        <v>2.9572219999999998</v>
      </c>
      <c r="J423">
        <v>2.904372</v>
      </c>
      <c r="K423">
        <v>2.8794439999999999</v>
      </c>
      <c r="L423">
        <v>1.8817489999999999</v>
      </c>
      <c r="M423">
        <v>1.7713099999999999</v>
      </c>
      <c r="N423">
        <v>1.6113150000000001</v>
      </c>
    </row>
    <row r="424" spans="1:14" hidden="1" x14ac:dyDescent="0.35">
      <c r="A424" t="s">
        <v>623</v>
      </c>
      <c r="B424" t="s">
        <v>215</v>
      </c>
      <c r="C424" t="s">
        <v>214</v>
      </c>
      <c r="D424" t="s">
        <v>214</v>
      </c>
      <c r="E424" t="s">
        <v>584</v>
      </c>
      <c r="F424" t="s">
        <v>581</v>
      </c>
      <c r="G424" t="s">
        <v>24</v>
      </c>
      <c r="H424">
        <v>1.117988</v>
      </c>
      <c r="I424">
        <v>0.96507609999999999</v>
      </c>
      <c r="J424">
        <v>0.73564459999999998</v>
      </c>
      <c r="K424">
        <v>6.0382270000000002E-2</v>
      </c>
      <c r="L424">
        <v>0</v>
      </c>
    </row>
    <row r="425" spans="1:14" hidden="1" x14ac:dyDescent="0.35">
      <c r="A425" t="s">
        <v>623</v>
      </c>
      <c r="B425" t="s">
        <v>215</v>
      </c>
      <c r="C425" t="s">
        <v>214</v>
      </c>
      <c r="D425" t="s">
        <v>214</v>
      </c>
      <c r="E425" t="s">
        <v>584</v>
      </c>
      <c r="F425" t="s">
        <v>581</v>
      </c>
      <c r="G425" t="s">
        <v>25</v>
      </c>
      <c r="H425">
        <v>0.47678690000000001</v>
      </c>
      <c r="I425">
        <v>0.41157440000000001</v>
      </c>
      <c r="J425">
        <v>0.59836120000000004</v>
      </c>
      <c r="K425">
        <v>4.911368E-2</v>
      </c>
      <c r="L425">
        <v>0</v>
      </c>
    </row>
    <row r="426" spans="1:14" hidden="1" x14ac:dyDescent="0.35">
      <c r="A426" t="s">
        <v>623</v>
      </c>
      <c r="B426" t="s">
        <v>215</v>
      </c>
      <c r="C426" t="s">
        <v>214</v>
      </c>
      <c r="D426" t="s">
        <v>214</v>
      </c>
      <c r="E426" t="s">
        <v>584</v>
      </c>
      <c r="F426" t="s">
        <v>26</v>
      </c>
      <c r="G426" t="s">
        <v>26</v>
      </c>
      <c r="H426">
        <v>4.4484940000000002</v>
      </c>
      <c r="I426">
        <v>3.840055</v>
      </c>
      <c r="J426">
        <v>3.2501799999999998</v>
      </c>
      <c r="K426">
        <v>0.26677729999999999</v>
      </c>
      <c r="L426">
        <v>0</v>
      </c>
    </row>
    <row r="427" spans="1:14" hidden="1" x14ac:dyDescent="0.35">
      <c r="A427" t="s">
        <v>623</v>
      </c>
      <c r="B427" t="s">
        <v>150</v>
      </c>
      <c r="C427" t="s">
        <v>287</v>
      </c>
      <c r="D427" t="s">
        <v>287</v>
      </c>
      <c r="E427" t="s">
        <v>584</v>
      </c>
      <c r="F427" t="s">
        <v>581</v>
      </c>
      <c r="G427" t="s">
        <v>24</v>
      </c>
      <c r="H427">
        <v>0.1915036</v>
      </c>
      <c r="I427">
        <v>0.30882110000000002</v>
      </c>
      <c r="J427">
        <v>0.35553659999999998</v>
      </c>
      <c r="K427">
        <v>0.38446829999999999</v>
      </c>
      <c r="L427">
        <v>0.34241120000000003</v>
      </c>
      <c r="M427">
        <v>0.31115720000000002</v>
      </c>
      <c r="N427">
        <v>0.30390810000000001</v>
      </c>
    </row>
    <row r="428" spans="1:14" hidden="1" x14ac:dyDescent="0.35">
      <c r="A428" t="s">
        <v>623</v>
      </c>
      <c r="B428" t="s">
        <v>150</v>
      </c>
      <c r="C428" t="s">
        <v>287</v>
      </c>
      <c r="D428" t="s">
        <v>287</v>
      </c>
      <c r="E428" t="s">
        <v>584</v>
      </c>
      <c r="F428" t="s">
        <v>581</v>
      </c>
      <c r="G428" t="s">
        <v>25</v>
      </c>
      <c r="H428">
        <v>0.13116820000000001</v>
      </c>
      <c r="I428">
        <v>0.20304700000000001</v>
      </c>
      <c r="J428">
        <v>0.2211582</v>
      </c>
      <c r="K428">
        <v>0.22842170000000001</v>
      </c>
      <c r="L428">
        <v>0.1966946</v>
      </c>
      <c r="M428">
        <v>0.1726607</v>
      </c>
      <c r="N428">
        <v>0.16250709999999999</v>
      </c>
    </row>
    <row r="429" spans="1:14" hidden="1" x14ac:dyDescent="0.35">
      <c r="A429" t="s">
        <v>623</v>
      </c>
      <c r="B429" t="s">
        <v>150</v>
      </c>
      <c r="C429" t="s">
        <v>287</v>
      </c>
      <c r="D429" t="s">
        <v>287</v>
      </c>
      <c r="E429" t="s">
        <v>584</v>
      </c>
      <c r="F429" t="s">
        <v>26</v>
      </c>
      <c r="G429" t="s">
        <v>26</v>
      </c>
      <c r="H429">
        <v>0.6044022</v>
      </c>
      <c r="I429">
        <v>0.9674895</v>
      </c>
      <c r="J429">
        <v>1.082168</v>
      </c>
      <c r="K429">
        <v>1.147187</v>
      </c>
      <c r="L429">
        <v>1.0187580000000001</v>
      </c>
      <c r="M429">
        <v>0.92186639999999997</v>
      </c>
      <c r="N429">
        <v>0.89260689999999998</v>
      </c>
    </row>
    <row r="430" spans="1:14" hidden="1" x14ac:dyDescent="0.35">
      <c r="A430" t="s">
        <v>623</v>
      </c>
      <c r="B430" t="s">
        <v>60</v>
      </c>
      <c r="C430" t="s">
        <v>631</v>
      </c>
      <c r="D430" t="s">
        <v>631</v>
      </c>
      <c r="E430" t="s">
        <v>584</v>
      </c>
      <c r="F430" t="s">
        <v>581</v>
      </c>
      <c r="G430" t="s">
        <v>24</v>
      </c>
      <c r="H430">
        <v>5.8282189999999999E-3</v>
      </c>
      <c r="I430">
        <v>2.186343E-2</v>
      </c>
      <c r="J430">
        <v>1.542082E-2</v>
      </c>
      <c r="K430">
        <v>1.1109040000000001E-2</v>
      </c>
      <c r="L430">
        <v>8.0026019999999993E-3</v>
      </c>
      <c r="M430">
        <v>5.8707120000000002E-3</v>
      </c>
      <c r="N430">
        <v>4.1417260000000001E-3</v>
      </c>
    </row>
    <row r="431" spans="1:14" hidden="1" x14ac:dyDescent="0.35">
      <c r="A431" t="s">
        <v>623</v>
      </c>
      <c r="B431" t="s">
        <v>60</v>
      </c>
      <c r="C431" t="s">
        <v>631</v>
      </c>
      <c r="D431" t="s">
        <v>631</v>
      </c>
      <c r="E431" t="s">
        <v>584</v>
      </c>
      <c r="F431" t="s">
        <v>26</v>
      </c>
      <c r="G431" t="s">
        <v>26</v>
      </c>
      <c r="H431">
        <v>1.9499219999999999</v>
      </c>
      <c r="I431">
        <v>1.347656</v>
      </c>
      <c r="J431">
        <v>0.95054749999999999</v>
      </c>
      <c r="K431">
        <v>0.68476029999999999</v>
      </c>
      <c r="L431">
        <v>0.49329079999999997</v>
      </c>
      <c r="M431">
        <v>0.36186849999999998</v>
      </c>
      <c r="N431">
        <v>0.2552953</v>
      </c>
    </row>
    <row r="432" spans="1:14" hidden="1" x14ac:dyDescent="0.35">
      <c r="A432" t="s">
        <v>623</v>
      </c>
      <c r="B432" t="s">
        <v>60</v>
      </c>
      <c r="C432" t="s">
        <v>126</v>
      </c>
      <c r="D432" t="s">
        <v>126</v>
      </c>
      <c r="E432" t="s">
        <v>584</v>
      </c>
      <c r="F432" t="s">
        <v>26</v>
      </c>
      <c r="G432" t="s">
        <v>26</v>
      </c>
      <c r="H432">
        <v>0</v>
      </c>
      <c r="I432">
        <v>0</v>
      </c>
      <c r="J432">
        <v>0</v>
      </c>
      <c r="K432">
        <v>0.6117612</v>
      </c>
      <c r="L432">
        <v>0.75545839999999997</v>
      </c>
      <c r="M432">
        <v>0.81726620000000005</v>
      </c>
      <c r="N432">
        <v>0.81503360000000002</v>
      </c>
    </row>
    <row r="433" spans="1:14" hidden="1" x14ac:dyDescent="0.35">
      <c r="A433" t="s">
        <v>623</v>
      </c>
      <c r="B433" t="s">
        <v>121</v>
      </c>
      <c r="C433" t="s">
        <v>128</v>
      </c>
      <c r="D433" t="s">
        <v>128</v>
      </c>
      <c r="E433" t="s">
        <v>584</v>
      </c>
      <c r="F433" t="s">
        <v>581</v>
      </c>
      <c r="G433" t="s">
        <v>396</v>
      </c>
      <c r="H433">
        <v>0.47202529999999998</v>
      </c>
      <c r="I433">
        <v>0.35839159999999998</v>
      </c>
      <c r="J433">
        <v>0.32423449999999998</v>
      </c>
      <c r="K433">
        <v>0.29127510000000001</v>
      </c>
      <c r="L433">
        <v>0.26505840000000003</v>
      </c>
      <c r="M433">
        <v>0.24466979999999999</v>
      </c>
      <c r="N433">
        <v>0.23193459999999999</v>
      </c>
    </row>
    <row r="434" spans="1:14" hidden="1" x14ac:dyDescent="0.35">
      <c r="A434" t="s">
        <v>623</v>
      </c>
      <c r="B434" t="s">
        <v>121</v>
      </c>
      <c r="C434" t="s">
        <v>128</v>
      </c>
      <c r="D434" t="s">
        <v>128</v>
      </c>
      <c r="E434" t="s">
        <v>584</v>
      </c>
      <c r="F434" t="s">
        <v>26</v>
      </c>
      <c r="G434" t="s">
        <v>26</v>
      </c>
      <c r="H434">
        <v>0</v>
      </c>
      <c r="I434">
        <v>7.0758580000000001E-2</v>
      </c>
      <c r="J434">
        <v>6.1359990000000003E-2</v>
      </c>
      <c r="K434">
        <v>5.0514780000000002E-2</v>
      </c>
      <c r="L434">
        <v>4.203548E-2</v>
      </c>
      <c r="M434">
        <v>3.5406E-2</v>
      </c>
      <c r="N434">
        <v>3.1369969999999997E-2</v>
      </c>
    </row>
    <row r="435" spans="1:14" hidden="1" x14ac:dyDescent="0.35">
      <c r="A435" t="s">
        <v>623</v>
      </c>
      <c r="B435" t="s">
        <v>158</v>
      </c>
      <c r="C435" t="s">
        <v>156</v>
      </c>
      <c r="D435" t="s">
        <v>260</v>
      </c>
      <c r="E435" t="s">
        <v>584</v>
      </c>
      <c r="F435" t="s">
        <v>581</v>
      </c>
      <c r="G435" t="s">
        <v>396</v>
      </c>
      <c r="H435">
        <v>0.1109049</v>
      </c>
      <c r="I435">
        <v>0.1062811</v>
      </c>
      <c r="J435">
        <v>0.12090819999999999</v>
      </c>
      <c r="K435">
        <v>0.1010819</v>
      </c>
      <c r="L435">
        <v>8.5323280000000001E-2</v>
      </c>
      <c r="M435">
        <v>7.283452E-2</v>
      </c>
      <c r="N435">
        <v>6.232302E-2</v>
      </c>
    </row>
    <row r="436" spans="1:14" hidden="1" x14ac:dyDescent="0.35">
      <c r="A436" t="s">
        <v>623</v>
      </c>
      <c r="B436" t="s">
        <v>158</v>
      </c>
      <c r="C436" t="s">
        <v>156</v>
      </c>
      <c r="D436" t="s">
        <v>260</v>
      </c>
      <c r="E436" t="s">
        <v>584</v>
      </c>
      <c r="F436" t="s">
        <v>581</v>
      </c>
      <c r="G436" t="s">
        <v>24</v>
      </c>
      <c r="H436">
        <v>0</v>
      </c>
    </row>
    <row r="437" spans="1:14" hidden="1" x14ac:dyDescent="0.35">
      <c r="A437" t="s">
        <v>623</v>
      </c>
      <c r="B437" t="s">
        <v>158</v>
      </c>
      <c r="C437" t="s">
        <v>156</v>
      </c>
      <c r="D437" t="s">
        <v>260</v>
      </c>
      <c r="E437" t="s">
        <v>584</v>
      </c>
      <c r="F437" t="s">
        <v>26</v>
      </c>
      <c r="G437" t="s">
        <v>26</v>
      </c>
      <c r="H437">
        <v>0</v>
      </c>
      <c r="N437">
        <v>0</v>
      </c>
    </row>
    <row r="438" spans="1:14" hidden="1" x14ac:dyDescent="0.35">
      <c r="A438" t="s">
        <v>623</v>
      </c>
      <c r="B438" t="s">
        <v>158</v>
      </c>
      <c r="C438" t="s">
        <v>156</v>
      </c>
      <c r="D438" t="s">
        <v>157</v>
      </c>
      <c r="E438" t="s">
        <v>584</v>
      </c>
      <c r="F438" t="s">
        <v>581</v>
      </c>
      <c r="G438" t="s">
        <v>396</v>
      </c>
      <c r="H438">
        <v>0.1352381</v>
      </c>
      <c r="I438">
        <v>5.8272600000000001E-2</v>
      </c>
      <c r="J438">
        <v>4.4585199999999998E-2</v>
      </c>
      <c r="K438">
        <v>3.3669039999999997E-2</v>
      </c>
      <c r="L438">
        <v>2.6022739999999999E-2</v>
      </c>
      <c r="M438">
        <v>2.1069040000000001E-2</v>
      </c>
      <c r="N438">
        <v>1.737534E-2</v>
      </c>
    </row>
    <row r="439" spans="1:14" hidden="1" x14ac:dyDescent="0.35">
      <c r="A439" t="s">
        <v>623</v>
      </c>
      <c r="B439" t="s">
        <v>158</v>
      </c>
      <c r="C439" t="s">
        <v>156</v>
      </c>
      <c r="D439" t="s">
        <v>157</v>
      </c>
      <c r="E439" t="s">
        <v>584</v>
      </c>
      <c r="F439" t="s">
        <v>26</v>
      </c>
      <c r="G439" t="s">
        <v>26</v>
      </c>
      <c r="N439">
        <v>0</v>
      </c>
    </row>
    <row r="440" spans="1:14" hidden="1" x14ac:dyDescent="0.35">
      <c r="A440" t="s">
        <v>623</v>
      </c>
      <c r="B440" t="s">
        <v>56</v>
      </c>
      <c r="C440" t="s">
        <v>333</v>
      </c>
      <c r="D440" t="s">
        <v>333</v>
      </c>
      <c r="E440" t="s">
        <v>584</v>
      </c>
      <c r="F440" t="s">
        <v>581</v>
      </c>
      <c r="G440" t="s">
        <v>396</v>
      </c>
      <c r="L440">
        <v>0</v>
      </c>
      <c r="M440">
        <v>0</v>
      </c>
      <c r="N440">
        <v>0</v>
      </c>
    </row>
    <row r="441" spans="1:14" hidden="1" x14ac:dyDescent="0.35">
      <c r="A441" t="s">
        <v>271</v>
      </c>
      <c r="B441" t="s">
        <v>37</v>
      </c>
      <c r="C441" t="s">
        <v>105</v>
      </c>
      <c r="D441" t="s">
        <v>105</v>
      </c>
      <c r="E441" t="s">
        <v>632</v>
      </c>
      <c r="F441" t="s">
        <v>581</v>
      </c>
      <c r="G441" t="s">
        <v>396</v>
      </c>
      <c r="H441">
        <v>30.959050000000001</v>
      </c>
      <c r="I441">
        <v>30.636649999999999</v>
      </c>
      <c r="J441">
        <v>28.649059999999999</v>
      </c>
      <c r="K441">
        <v>25.94895</v>
      </c>
      <c r="L441">
        <v>24.358789999999999</v>
      </c>
      <c r="M441">
        <v>24.389849999999999</v>
      </c>
      <c r="N441">
        <v>25.667619999999999</v>
      </c>
    </row>
    <row r="442" spans="1:14" hidden="1" x14ac:dyDescent="0.35">
      <c r="A442" t="s">
        <v>271</v>
      </c>
      <c r="B442" t="s">
        <v>37</v>
      </c>
      <c r="C442" t="s">
        <v>105</v>
      </c>
      <c r="D442" t="s">
        <v>105</v>
      </c>
      <c r="E442" t="s">
        <v>632</v>
      </c>
      <c r="F442" t="s">
        <v>581</v>
      </c>
      <c r="G442" t="s">
        <v>25</v>
      </c>
      <c r="H442">
        <v>20.472259999999999</v>
      </c>
      <c r="I442">
        <v>19.002459999999999</v>
      </c>
      <c r="J442">
        <v>17.629470000000001</v>
      </c>
      <c r="K442">
        <v>15.9519</v>
      </c>
      <c r="L442">
        <v>14.95682</v>
      </c>
      <c r="M442">
        <v>14.93999</v>
      </c>
      <c r="N442">
        <v>15.76031</v>
      </c>
    </row>
    <row r="443" spans="1:14" hidden="1" x14ac:dyDescent="0.35">
      <c r="A443" t="s">
        <v>271</v>
      </c>
      <c r="B443" t="s">
        <v>37</v>
      </c>
      <c r="C443" t="s">
        <v>105</v>
      </c>
      <c r="D443" t="s">
        <v>105</v>
      </c>
      <c r="E443" t="s">
        <v>632</v>
      </c>
      <c r="F443" t="s">
        <v>26</v>
      </c>
      <c r="G443" t="s">
        <v>26</v>
      </c>
      <c r="H443">
        <v>20.28125</v>
      </c>
      <c r="I443">
        <v>18.804310000000001</v>
      </c>
      <c r="J443">
        <v>17.422619999999998</v>
      </c>
      <c r="K443">
        <v>15.75902</v>
      </c>
      <c r="L443">
        <v>14.769740000000001</v>
      </c>
      <c r="M443">
        <v>14.74033</v>
      </c>
      <c r="N443">
        <v>15.56312</v>
      </c>
    </row>
    <row r="444" spans="1:14" hidden="1" x14ac:dyDescent="0.35">
      <c r="A444" t="s">
        <v>271</v>
      </c>
      <c r="B444" t="s">
        <v>37</v>
      </c>
      <c r="C444" t="s">
        <v>105</v>
      </c>
      <c r="D444" t="s">
        <v>105</v>
      </c>
      <c r="E444" t="s">
        <v>633</v>
      </c>
      <c r="F444" t="s">
        <v>581</v>
      </c>
      <c r="G444" t="s">
        <v>396</v>
      </c>
      <c r="H444">
        <v>9.7889809999999997</v>
      </c>
      <c r="I444">
        <v>18.51032</v>
      </c>
      <c r="J444">
        <v>22.50845</v>
      </c>
      <c r="K444">
        <v>19.9285</v>
      </c>
      <c r="L444">
        <v>18.66244</v>
      </c>
      <c r="M444">
        <v>18.694320000000001</v>
      </c>
      <c r="N444">
        <v>20.66553</v>
      </c>
    </row>
    <row r="445" spans="1:14" hidden="1" x14ac:dyDescent="0.35">
      <c r="A445" t="s">
        <v>271</v>
      </c>
      <c r="B445" t="s">
        <v>37</v>
      </c>
      <c r="C445" t="s">
        <v>105</v>
      </c>
      <c r="D445" t="s">
        <v>105</v>
      </c>
      <c r="E445" t="s">
        <v>633</v>
      </c>
      <c r="F445" t="s">
        <v>581</v>
      </c>
      <c r="G445" t="s">
        <v>25</v>
      </c>
      <c r="H445">
        <v>5.6300689999999998</v>
      </c>
      <c r="I445">
        <v>10.00633</v>
      </c>
      <c r="J445">
        <v>12.03941</v>
      </c>
      <c r="K445">
        <v>10.65944</v>
      </c>
      <c r="L445">
        <v>9.9822349999999993</v>
      </c>
      <c r="M445">
        <v>9.9992859999999997</v>
      </c>
      <c r="N445">
        <v>11.053649999999999</v>
      </c>
    </row>
    <row r="446" spans="1:14" hidden="1" x14ac:dyDescent="0.35">
      <c r="A446" t="s">
        <v>271</v>
      </c>
      <c r="B446" t="s">
        <v>37</v>
      </c>
      <c r="C446" t="s">
        <v>105</v>
      </c>
      <c r="D446" t="s">
        <v>105</v>
      </c>
      <c r="E446" t="s">
        <v>633</v>
      </c>
      <c r="F446" t="s">
        <v>26</v>
      </c>
      <c r="G446" t="s">
        <v>26</v>
      </c>
      <c r="H446">
        <v>8.3227130000000002</v>
      </c>
      <c r="I446">
        <v>14.79195</v>
      </c>
      <c r="J446">
        <v>17.79738</v>
      </c>
      <c r="K446">
        <v>15.75742</v>
      </c>
      <c r="L446">
        <v>14.756349999999999</v>
      </c>
      <c r="M446">
        <v>14.781560000000001</v>
      </c>
      <c r="N446">
        <v>16.34019</v>
      </c>
    </row>
    <row r="447" spans="1:14" hidden="1" x14ac:dyDescent="0.35">
      <c r="A447" t="s">
        <v>271</v>
      </c>
      <c r="B447" t="s">
        <v>37</v>
      </c>
      <c r="C447" t="s">
        <v>105</v>
      </c>
      <c r="D447" t="s">
        <v>105</v>
      </c>
      <c r="E447" t="s">
        <v>619</v>
      </c>
      <c r="F447" t="s">
        <v>581</v>
      </c>
      <c r="G447" t="s">
        <v>396</v>
      </c>
      <c r="H447">
        <v>4.31203</v>
      </c>
      <c r="I447">
        <v>3.947336</v>
      </c>
      <c r="J447">
        <v>3.5508600000000001</v>
      </c>
      <c r="K447">
        <v>3.5362879999999999</v>
      </c>
      <c r="L447">
        <v>3.4370850000000002</v>
      </c>
      <c r="M447">
        <v>3.1907030000000001</v>
      </c>
      <c r="N447">
        <v>3.205203</v>
      </c>
    </row>
    <row r="448" spans="1:14" hidden="1" x14ac:dyDescent="0.35">
      <c r="A448" t="s">
        <v>271</v>
      </c>
      <c r="B448" t="s">
        <v>37</v>
      </c>
      <c r="C448" t="s">
        <v>105</v>
      </c>
      <c r="D448" t="s">
        <v>105</v>
      </c>
      <c r="E448" t="s">
        <v>619</v>
      </c>
      <c r="F448" t="s">
        <v>581</v>
      </c>
      <c r="G448" t="s">
        <v>24</v>
      </c>
      <c r="H448">
        <v>5.0947069999999997</v>
      </c>
      <c r="I448">
        <v>5.1327699999999998</v>
      </c>
      <c r="J448">
        <v>5.0288959999999996</v>
      </c>
      <c r="K448">
        <v>4.3340300000000003</v>
      </c>
      <c r="L448">
        <v>3.7089479999999999</v>
      </c>
      <c r="M448">
        <v>3.26525</v>
      </c>
      <c r="N448">
        <v>2.899553</v>
      </c>
    </row>
    <row r="449" spans="1:14" hidden="1" x14ac:dyDescent="0.35">
      <c r="A449" t="s">
        <v>271</v>
      </c>
      <c r="B449" t="s">
        <v>37</v>
      </c>
      <c r="C449" t="s">
        <v>105</v>
      </c>
      <c r="D449" t="s">
        <v>105</v>
      </c>
      <c r="E449" t="s">
        <v>619</v>
      </c>
      <c r="F449" t="s">
        <v>581</v>
      </c>
      <c r="G449" t="s">
        <v>25</v>
      </c>
      <c r="H449">
        <v>15.188470000000001</v>
      </c>
      <c r="I449">
        <v>14.20776</v>
      </c>
      <c r="J449">
        <v>13.54996</v>
      </c>
      <c r="K449">
        <v>11.954319999999999</v>
      </c>
      <c r="L449">
        <v>10.46419</v>
      </c>
      <c r="M449">
        <v>9.3118200000000009</v>
      </c>
      <c r="N449">
        <v>8.4853690000000004</v>
      </c>
    </row>
    <row r="450" spans="1:14" hidden="1" x14ac:dyDescent="0.35">
      <c r="A450" t="s">
        <v>271</v>
      </c>
      <c r="B450" t="s">
        <v>37</v>
      </c>
      <c r="C450" t="s">
        <v>105</v>
      </c>
      <c r="D450" t="s">
        <v>105</v>
      </c>
      <c r="E450" t="s">
        <v>619</v>
      </c>
      <c r="F450" t="s">
        <v>26</v>
      </c>
      <c r="G450" t="s">
        <v>26</v>
      </c>
      <c r="H450">
        <v>20.706980000000001</v>
      </c>
      <c r="I450">
        <v>19.428709999999999</v>
      </c>
      <c r="J450">
        <v>18.583349999999999</v>
      </c>
      <c r="K450">
        <v>16.325520000000001</v>
      </c>
      <c r="L450">
        <v>14.229010000000001</v>
      </c>
      <c r="M450">
        <v>12.64143</v>
      </c>
      <c r="N450">
        <v>11.46841</v>
      </c>
    </row>
    <row r="451" spans="1:14" hidden="1" x14ac:dyDescent="0.35">
      <c r="A451" t="s">
        <v>271</v>
      </c>
      <c r="B451" t="s">
        <v>37</v>
      </c>
      <c r="C451" t="s">
        <v>35</v>
      </c>
      <c r="D451" t="s">
        <v>36</v>
      </c>
      <c r="E451" t="s">
        <v>588</v>
      </c>
      <c r="F451" t="s">
        <v>581</v>
      </c>
      <c r="G451" t="s">
        <v>396</v>
      </c>
      <c r="H451">
        <v>30.355319999999999</v>
      </c>
      <c r="I451">
        <v>29.498640000000002</v>
      </c>
      <c r="J451">
        <v>28.633479999999999</v>
      </c>
      <c r="K451">
        <v>24.883510000000001</v>
      </c>
      <c r="L451">
        <v>23.350829999999998</v>
      </c>
      <c r="M451">
        <v>23.955649999999999</v>
      </c>
      <c r="N451">
        <v>25.89772</v>
      </c>
    </row>
    <row r="452" spans="1:14" hidden="1" x14ac:dyDescent="0.35">
      <c r="A452" t="s">
        <v>271</v>
      </c>
      <c r="B452" t="s">
        <v>37</v>
      </c>
      <c r="C452" t="s">
        <v>35</v>
      </c>
      <c r="D452" t="s">
        <v>36</v>
      </c>
      <c r="E452" t="s">
        <v>588</v>
      </c>
      <c r="F452" t="s">
        <v>581</v>
      </c>
      <c r="G452" t="s">
        <v>25</v>
      </c>
      <c r="H452">
        <v>10.238899999999999</v>
      </c>
      <c r="I452">
        <v>9.9474490000000007</v>
      </c>
      <c r="J452">
        <v>9.6581170000000007</v>
      </c>
      <c r="K452">
        <v>8.3932520000000004</v>
      </c>
      <c r="L452">
        <v>7.8762720000000002</v>
      </c>
      <c r="M452">
        <v>8.0802800000000001</v>
      </c>
      <c r="N452">
        <v>8.7353450000000006</v>
      </c>
    </row>
    <row r="453" spans="1:14" hidden="1" x14ac:dyDescent="0.35">
      <c r="A453" t="s">
        <v>271</v>
      </c>
      <c r="B453" t="s">
        <v>37</v>
      </c>
      <c r="C453" t="s">
        <v>35</v>
      </c>
      <c r="D453" t="s">
        <v>36</v>
      </c>
      <c r="E453" t="s">
        <v>588</v>
      </c>
      <c r="F453" t="s">
        <v>26</v>
      </c>
      <c r="G453" t="s">
        <v>26</v>
      </c>
      <c r="H453">
        <v>8.7030630000000002</v>
      </c>
      <c r="I453">
        <v>8.45533</v>
      </c>
      <c r="J453">
        <v>8.2094020000000008</v>
      </c>
      <c r="K453">
        <v>7.1342639999999999</v>
      </c>
      <c r="L453">
        <v>6.6948319999999999</v>
      </c>
      <c r="M453">
        <v>6.868239</v>
      </c>
      <c r="N453">
        <v>7.4250410000000002</v>
      </c>
    </row>
    <row r="454" spans="1:14" hidden="1" x14ac:dyDescent="0.35">
      <c r="A454" t="s">
        <v>271</v>
      </c>
      <c r="B454" t="s">
        <v>37</v>
      </c>
      <c r="C454" t="s">
        <v>35</v>
      </c>
      <c r="D454" t="s">
        <v>36</v>
      </c>
      <c r="E454" t="s">
        <v>587</v>
      </c>
      <c r="F454" t="s">
        <v>581</v>
      </c>
      <c r="G454" t="s">
        <v>396</v>
      </c>
      <c r="H454">
        <v>8.8419930000000004</v>
      </c>
      <c r="I454">
        <v>8.7903859999999998</v>
      </c>
      <c r="J454">
        <v>7.5735099999999997</v>
      </c>
      <c r="K454">
        <v>6.6467809999999998</v>
      </c>
      <c r="L454">
        <v>5.8410000000000002</v>
      </c>
      <c r="M454">
        <v>5.1802010000000003</v>
      </c>
      <c r="N454">
        <v>4.5414960000000004</v>
      </c>
    </row>
    <row r="455" spans="1:14" hidden="1" x14ac:dyDescent="0.35">
      <c r="A455" t="s">
        <v>271</v>
      </c>
      <c r="B455" t="s">
        <v>37</v>
      </c>
      <c r="C455" t="s">
        <v>35</v>
      </c>
      <c r="D455" t="s">
        <v>36</v>
      </c>
      <c r="E455" t="s">
        <v>587</v>
      </c>
      <c r="F455" t="s">
        <v>581</v>
      </c>
      <c r="G455" t="s">
        <v>25</v>
      </c>
      <c r="H455">
        <v>2.5916160000000001</v>
      </c>
      <c r="I455">
        <v>2.57795</v>
      </c>
      <c r="J455">
        <v>2.2198220000000002</v>
      </c>
      <c r="K455">
        <v>1.9481949999999999</v>
      </c>
      <c r="L455">
        <v>1.712016</v>
      </c>
      <c r="M455">
        <v>1.5183359999999999</v>
      </c>
      <c r="N455">
        <v>1.3311269999999999</v>
      </c>
    </row>
    <row r="456" spans="1:14" hidden="1" x14ac:dyDescent="0.35">
      <c r="A456" t="s">
        <v>271</v>
      </c>
      <c r="B456" t="s">
        <v>37</v>
      </c>
      <c r="C456" t="s">
        <v>35</v>
      </c>
      <c r="D456" t="s">
        <v>36</v>
      </c>
      <c r="E456" t="s">
        <v>587</v>
      </c>
      <c r="F456" t="s">
        <v>26</v>
      </c>
      <c r="G456" t="s">
        <v>26</v>
      </c>
      <c r="H456">
        <v>4.2113810000000003</v>
      </c>
      <c r="I456">
        <v>4.1891730000000003</v>
      </c>
      <c r="J456">
        <v>3.6072109999999999</v>
      </c>
      <c r="K456">
        <v>3.165816</v>
      </c>
      <c r="L456">
        <v>2.7820269999999998</v>
      </c>
      <c r="M456">
        <v>2.4672960000000002</v>
      </c>
      <c r="N456">
        <v>2.163081</v>
      </c>
    </row>
    <row r="457" spans="1:14" hidden="1" x14ac:dyDescent="0.35">
      <c r="A457" t="s">
        <v>271</v>
      </c>
      <c r="B457" t="s">
        <v>37</v>
      </c>
      <c r="C457" t="s">
        <v>35</v>
      </c>
      <c r="D457" t="s">
        <v>189</v>
      </c>
      <c r="E457" t="s">
        <v>590</v>
      </c>
      <c r="F457" t="s">
        <v>581</v>
      </c>
      <c r="G457" t="s">
        <v>396</v>
      </c>
      <c r="H457">
        <v>28.60887</v>
      </c>
      <c r="I457">
        <v>30.60736</v>
      </c>
      <c r="J457">
        <v>28.60238</v>
      </c>
      <c r="K457">
        <v>24.37941</v>
      </c>
      <c r="L457">
        <v>23.51294</v>
      </c>
      <c r="M457">
        <v>25.506239999999998</v>
      </c>
      <c r="N457">
        <v>27.734590000000001</v>
      </c>
    </row>
    <row r="458" spans="1:14" hidden="1" x14ac:dyDescent="0.35">
      <c r="A458" t="s">
        <v>271</v>
      </c>
      <c r="B458" t="s">
        <v>37</v>
      </c>
      <c r="C458" t="s">
        <v>35</v>
      </c>
      <c r="D458" t="s">
        <v>189</v>
      </c>
      <c r="E458" t="s">
        <v>590</v>
      </c>
      <c r="F458" t="s">
        <v>581</v>
      </c>
      <c r="G458" t="s">
        <v>25</v>
      </c>
      <c r="H458">
        <v>8.7249700000000008</v>
      </c>
      <c r="I458">
        <v>9.3105480000000007</v>
      </c>
      <c r="J458">
        <v>8.7118540000000007</v>
      </c>
      <c r="K458">
        <v>7.4251690000000004</v>
      </c>
      <c r="L458">
        <v>7.1602579999999998</v>
      </c>
      <c r="M458">
        <v>7.7654880000000004</v>
      </c>
      <c r="N458">
        <v>8.4408650000000005</v>
      </c>
    </row>
    <row r="459" spans="1:14" hidden="1" x14ac:dyDescent="0.35">
      <c r="A459" t="s">
        <v>271</v>
      </c>
      <c r="B459" t="s">
        <v>37</v>
      </c>
      <c r="C459" t="s">
        <v>35</v>
      </c>
      <c r="D459" t="s">
        <v>189</v>
      </c>
      <c r="E459" t="s">
        <v>590</v>
      </c>
      <c r="F459" t="s">
        <v>26</v>
      </c>
      <c r="G459" t="s">
        <v>26</v>
      </c>
      <c r="H459">
        <v>7.3977700000000004</v>
      </c>
      <c r="I459">
        <v>8.043647</v>
      </c>
      <c r="J459">
        <v>7.5835140000000001</v>
      </c>
      <c r="K459">
        <v>6.4717380000000002</v>
      </c>
      <c r="L459">
        <v>6.2603150000000003</v>
      </c>
      <c r="M459">
        <v>6.8237779999999999</v>
      </c>
      <c r="N459">
        <v>7.4760150000000003</v>
      </c>
    </row>
    <row r="460" spans="1:14" hidden="1" x14ac:dyDescent="0.35">
      <c r="A460" t="s">
        <v>271</v>
      </c>
      <c r="B460" t="s">
        <v>37</v>
      </c>
      <c r="C460" t="s">
        <v>79</v>
      </c>
      <c r="D460" t="s">
        <v>79</v>
      </c>
      <c r="E460" t="s">
        <v>601</v>
      </c>
      <c r="F460" t="s">
        <v>581</v>
      </c>
      <c r="G460" t="s">
        <v>396</v>
      </c>
      <c r="H460">
        <v>10.832509999999999</v>
      </c>
      <c r="I460">
        <v>9.3883290000000006</v>
      </c>
      <c r="J460">
        <v>8.8690549999999995</v>
      </c>
      <c r="K460">
        <v>8.0152669999999997</v>
      </c>
      <c r="L460">
        <v>7.3062690000000003</v>
      </c>
      <c r="M460">
        <v>6.8408889999999998</v>
      </c>
      <c r="N460">
        <v>6.5035379999999998</v>
      </c>
    </row>
    <row r="461" spans="1:14" hidden="1" x14ac:dyDescent="0.35">
      <c r="A461" t="s">
        <v>271</v>
      </c>
      <c r="B461" t="s">
        <v>37</v>
      </c>
      <c r="C461" t="s">
        <v>79</v>
      </c>
      <c r="D461" t="s">
        <v>79</v>
      </c>
      <c r="E461" t="s">
        <v>601</v>
      </c>
      <c r="F461" t="s">
        <v>581</v>
      </c>
      <c r="G461" t="s">
        <v>25</v>
      </c>
      <c r="H461">
        <v>2.8331179999999998</v>
      </c>
      <c r="I461">
        <v>2.4562499999999998</v>
      </c>
      <c r="J461">
        <v>2.319604</v>
      </c>
      <c r="K461">
        <v>2.096301</v>
      </c>
      <c r="L461">
        <v>1.9108719999999999</v>
      </c>
      <c r="M461">
        <v>1.7891550000000001</v>
      </c>
      <c r="N461">
        <v>1.700923</v>
      </c>
    </row>
    <row r="462" spans="1:14" hidden="1" x14ac:dyDescent="0.35">
      <c r="A462" t="s">
        <v>271</v>
      </c>
      <c r="B462" t="s">
        <v>37</v>
      </c>
      <c r="C462" t="s">
        <v>79</v>
      </c>
      <c r="D462" t="s">
        <v>79</v>
      </c>
      <c r="E462" t="s">
        <v>601</v>
      </c>
      <c r="F462" t="s">
        <v>26</v>
      </c>
      <c r="G462" t="s">
        <v>26</v>
      </c>
      <c r="H462">
        <v>2.9997729999999998</v>
      </c>
      <c r="I462">
        <v>2.6007319999999998</v>
      </c>
      <c r="J462">
        <v>2.4560469999999999</v>
      </c>
      <c r="K462">
        <v>2.219611</v>
      </c>
      <c r="L462">
        <v>2.0232739999999998</v>
      </c>
      <c r="M462">
        <v>1.8944019999999999</v>
      </c>
      <c r="N462">
        <v>1.80098</v>
      </c>
    </row>
    <row r="463" spans="1:14" hidden="1" x14ac:dyDescent="0.35">
      <c r="A463" t="s">
        <v>271</v>
      </c>
      <c r="B463" t="s">
        <v>37</v>
      </c>
      <c r="C463" t="s">
        <v>79</v>
      </c>
      <c r="D463" t="s">
        <v>79</v>
      </c>
      <c r="E463" t="s">
        <v>614</v>
      </c>
      <c r="F463" t="s">
        <v>581</v>
      </c>
      <c r="G463" t="s">
        <v>396</v>
      </c>
      <c r="H463">
        <v>7.9650109999999996</v>
      </c>
      <c r="I463">
        <v>8.0335339999999995</v>
      </c>
      <c r="J463">
        <v>8.0708909999999996</v>
      </c>
      <c r="K463">
        <v>6.754283</v>
      </c>
      <c r="L463">
        <v>5.8149980000000001</v>
      </c>
      <c r="M463">
        <v>5.7897829999999999</v>
      </c>
      <c r="N463">
        <v>5.6191230000000001</v>
      </c>
    </row>
    <row r="464" spans="1:14" hidden="1" x14ac:dyDescent="0.35">
      <c r="A464" t="s">
        <v>271</v>
      </c>
      <c r="B464" t="s">
        <v>37</v>
      </c>
      <c r="C464" t="s">
        <v>79</v>
      </c>
      <c r="D464" t="s">
        <v>79</v>
      </c>
      <c r="E464" t="s">
        <v>614</v>
      </c>
      <c r="F464" t="s">
        <v>581</v>
      </c>
      <c r="G464" t="s">
        <v>25</v>
      </c>
      <c r="H464">
        <v>1.7067859999999999</v>
      </c>
      <c r="I464">
        <v>1.721473</v>
      </c>
      <c r="J464">
        <v>1.7294780000000001</v>
      </c>
      <c r="K464">
        <v>1.4473450000000001</v>
      </c>
      <c r="L464">
        <v>1.246073</v>
      </c>
      <c r="M464">
        <v>1.240667</v>
      </c>
      <c r="N464">
        <v>1.2041029999999999</v>
      </c>
    </row>
    <row r="465" spans="1:14" hidden="1" x14ac:dyDescent="0.35">
      <c r="A465" t="s">
        <v>271</v>
      </c>
      <c r="B465" t="s">
        <v>37</v>
      </c>
      <c r="C465" t="s">
        <v>79</v>
      </c>
      <c r="D465" t="s">
        <v>79</v>
      </c>
      <c r="E465" t="s">
        <v>614</v>
      </c>
      <c r="F465" t="s">
        <v>26</v>
      </c>
      <c r="G465" t="s">
        <v>26</v>
      </c>
      <c r="H465">
        <v>1.7067889999999999</v>
      </c>
      <c r="I465">
        <v>1.721471</v>
      </c>
      <c r="J465">
        <v>1.729476</v>
      </c>
      <c r="K465">
        <v>1.4473480000000001</v>
      </c>
      <c r="L465">
        <v>1.2460720000000001</v>
      </c>
      <c r="M465">
        <v>1.2406680000000001</v>
      </c>
      <c r="N465">
        <v>1.2040979999999999</v>
      </c>
    </row>
    <row r="466" spans="1:14" hidden="1" x14ac:dyDescent="0.35">
      <c r="A466" t="s">
        <v>271</v>
      </c>
      <c r="B466" t="s">
        <v>37</v>
      </c>
      <c r="C466" t="s">
        <v>79</v>
      </c>
      <c r="D466" t="s">
        <v>79</v>
      </c>
      <c r="E466" t="s">
        <v>600</v>
      </c>
      <c r="F466" t="s">
        <v>581</v>
      </c>
      <c r="G466" t="s">
        <v>396</v>
      </c>
      <c r="H466">
        <v>2.8416190000000001</v>
      </c>
      <c r="I466">
        <v>2.452839</v>
      </c>
      <c r="J466">
        <v>1.820808</v>
      </c>
      <c r="K466">
        <v>1.3925019999999999</v>
      </c>
      <c r="L466">
        <v>0.98204360000000002</v>
      </c>
      <c r="M466">
        <v>0.75814020000000004</v>
      </c>
      <c r="N466">
        <v>0.62074169999999995</v>
      </c>
    </row>
    <row r="467" spans="1:14" hidden="1" x14ac:dyDescent="0.35">
      <c r="A467" t="s">
        <v>271</v>
      </c>
      <c r="B467" t="s">
        <v>37</v>
      </c>
      <c r="C467" t="s">
        <v>79</v>
      </c>
      <c r="D467" t="s">
        <v>79</v>
      </c>
      <c r="E467" t="s">
        <v>600</v>
      </c>
      <c r="F467" t="s">
        <v>581</v>
      </c>
      <c r="G467" t="s">
        <v>24</v>
      </c>
      <c r="H467">
        <v>6.4387749999999997</v>
      </c>
      <c r="I467">
        <v>5.227525</v>
      </c>
      <c r="J467">
        <v>3.8558309999999998</v>
      </c>
      <c r="K467">
        <v>2.9488289999999999</v>
      </c>
      <c r="L467">
        <v>2.079618</v>
      </c>
      <c r="M467">
        <v>1.605477</v>
      </c>
      <c r="N467">
        <v>1.3145100000000001</v>
      </c>
    </row>
    <row r="468" spans="1:14" hidden="1" x14ac:dyDescent="0.35">
      <c r="A468" t="s">
        <v>271</v>
      </c>
      <c r="B468" t="s">
        <v>37</v>
      </c>
      <c r="C468" t="s">
        <v>79</v>
      </c>
      <c r="D468" t="s">
        <v>79</v>
      </c>
      <c r="E468" t="s">
        <v>600</v>
      </c>
      <c r="F468" t="s">
        <v>581</v>
      </c>
      <c r="G468" t="s">
        <v>25</v>
      </c>
      <c r="H468">
        <v>3.5102329999999999</v>
      </c>
      <c r="I468">
        <v>3.0299909999999999</v>
      </c>
      <c r="J468">
        <v>2.2492329999999998</v>
      </c>
      <c r="K468">
        <v>1.720151</v>
      </c>
      <c r="L468">
        <v>1.213112</v>
      </c>
      <c r="M468">
        <v>0.93652489999999999</v>
      </c>
      <c r="N468">
        <v>0.76679920000000001</v>
      </c>
    </row>
    <row r="469" spans="1:14" hidden="1" x14ac:dyDescent="0.35">
      <c r="A469" t="s">
        <v>271</v>
      </c>
      <c r="B469" t="s">
        <v>37</v>
      </c>
      <c r="C469" t="s">
        <v>79</v>
      </c>
      <c r="D469" t="s">
        <v>79</v>
      </c>
      <c r="E469" t="s">
        <v>600</v>
      </c>
      <c r="F469" t="s">
        <v>26</v>
      </c>
      <c r="G469" t="s">
        <v>26</v>
      </c>
      <c r="H469">
        <v>4.3460049999999999</v>
      </c>
      <c r="I469">
        <v>3.751417</v>
      </c>
      <c r="J469">
        <v>2.7847659999999999</v>
      </c>
      <c r="K469">
        <v>2.1297079999999999</v>
      </c>
      <c r="L469">
        <v>1.501949</v>
      </c>
      <c r="M469">
        <v>1.159511</v>
      </c>
      <c r="N469">
        <v>0.94936790000000004</v>
      </c>
    </row>
    <row r="470" spans="1:14" hidden="1" x14ac:dyDescent="0.35">
      <c r="A470" t="s">
        <v>271</v>
      </c>
      <c r="B470" t="s">
        <v>37</v>
      </c>
      <c r="C470" t="s">
        <v>51</v>
      </c>
      <c r="D470" t="s">
        <v>51</v>
      </c>
      <c r="E470" t="s">
        <v>602</v>
      </c>
      <c r="F470" t="s">
        <v>581</v>
      </c>
      <c r="G470" t="s">
        <v>396</v>
      </c>
      <c r="H470">
        <v>15.15944</v>
      </c>
      <c r="I470">
        <v>15.771570000000001</v>
      </c>
      <c r="J470">
        <v>12.093310000000001</v>
      </c>
      <c r="K470">
        <v>8.7288080000000008</v>
      </c>
      <c r="L470">
        <v>7.7431989999999997</v>
      </c>
      <c r="M470">
        <v>7.2986769999999996</v>
      </c>
      <c r="N470">
        <v>5.8341120000000002</v>
      </c>
    </row>
    <row r="471" spans="1:14" hidden="1" x14ac:dyDescent="0.35">
      <c r="A471" t="s">
        <v>271</v>
      </c>
      <c r="B471" t="s">
        <v>37</v>
      </c>
      <c r="C471" t="s">
        <v>51</v>
      </c>
      <c r="D471" t="s">
        <v>51</v>
      </c>
      <c r="E471" t="s">
        <v>602</v>
      </c>
      <c r="F471" t="s">
        <v>581</v>
      </c>
      <c r="G471" t="s">
        <v>25</v>
      </c>
      <c r="H471">
        <v>3.4860159999999998</v>
      </c>
      <c r="I471">
        <v>3.6488130000000001</v>
      </c>
      <c r="J471">
        <v>2.7804769999999999</v>
      </c>
      <c r="K471">
        <v>2.0042089999999999</v>
      </c>
      <c r="L471">
        <v>1.7776190000000001</v>
      </c>
      <c r="M471">
        <v>1.675997</v>
      </c>
      <c r="N471">
        <v>1.3388059999999999</v>
      </c>
    </row>
    <row r="472" spans="1:14" hidden="1" x14ac:dyDescent="0.35">
      <c r="A472" t="s">
        <v>271</v>
      </c>
      <c r="B472" t="s">
        <v>37</v>
      </c>
      <c r="C472" t="s">
        <v>51</v>
      </c>
      <c r="D472" t="s">
        <v>51</v>
      </c>
      <c r="E472" t="s">
        <v>602</v>
      </c>
      <c r="F472" t="s">
        <v>26</v>
      </c>
      <c r="G472" t="s">
        <v>26</v>
      </c>
      <c r="H472">
        <v>3.913427</v>
      </c>
      <c r="I472">
        <v>4.0403950000000002</v>
      </c>
      <c r="J472">
        <v>3.0864470000000002</v>
      </c>
      <c r="K472">
        <v>2.23976</v>
      </c>
      <c r="L472">
        <v>1.9837499999999999</v>
      </c>
      <c r="M472">
        <v>1.863945</v>
      </c>
      <c r="N472">
        <v>1.4943489999999999</v>
      </c>
    </row>
    <row r="473" spans="1:14" hidden="1" x14ac:dyDescent="0.35">
      <c r="A473" t="s">
        <v>271</v>
      </c>
      <c r="B473" t="s">
        <v>37</v>
      </c>
      <c r="C473" t="s">
        <v>51</v>
      </c>
      <c r="D473" t="s">
        <v>51</v>
      </c>
      <c r="E473" t="s">
        <v>584</v>
      </c>
      <c r="F473" t="s">
        <v>581</v>
      </c>
      <c r="G473" t="s">
        <v>396</v>
      </c>
      <c r="H473">
        <v>5.847397E-2</v>
      </c>
      <c r="I473">
        <v>5.2539719999999998E-2</v>
      </c>
      <c r="J473">
        <v>4.7347939999999998E-2</v>
      </c>
      <c r="K473">
        <v>4.2613699999999997E-2</v>
      </c>
      <c r="L473">
        <v>3.835069E-2</v>
      </c>
      <c r="M473">
        <v>3.460274E-2</v>
      </c>
      <c r="N473">
        <v>3.10548E-2</v>
      </c>
    </row>
    <row r="474" spans="1:14" hidden="1" x14ac:dyDescent="0.35">
      <c r="A474" t="s">
        <v>271</v>
      </c>
      <c r="B474" t="s">
        <v>37</v>
      </c>
      <c r="C474" t="s">
        <v>51</v>
      </c>
      <c r="D474" t="s">
        <v>51</v>
      </c>
      <c r="E474" t="s">
        <v>584</v>
      </c>
      <c r="F474" t="s">
        <v>26</v>
      </c>
      <c r="G474" t="s">
        <v>26</v>
      </c>
      <c r="H474">
        <v>3.2684929999999999E-3</v>
      </c>
      <c r="I474">
        <v>2.9506850000000002E-3</v>
      </c>
      <c r="J474">
        <v>2.6493150000000002E-3</v>
      </c>
      <c r="K474">
        <v>2.3835610000000002E-3</v>
      </c>
      <c r="L474">
        <v>2.1452049999999999E-3</v>
      </c>
      <c r="M474">
        <v>1.9369859999999999E-3</v>
      </c>
      <c r="N474">
        <v>1.7342460000000001E-3</v>
      </c>
    </row>
    <row r="475" spans="1:14" hidden="1" x14ac:dyDescent="0.35">
      <c r="A475" t="s">
        <v>271</v>
      </c>
      <c r="B475" t="s">
        <v>37</v>
      </c>
      <c r="C475" t="s">
        <v>99</v>
      </c>
      <c r="D475" t="s">
        <v>101</v>
      </c>
      <c r="E475" t="s">
        <v>634</v>
      </c>
      <c r="F475" t="s">
        <v>581</v>
      </c>
      <c r="G475" t="s">
        <v>396</v>
      </c>
      <c r="H475">
        <v>14.042490000000001</v>
      </c>
      <c r="I475">
        <v>13.56678</v>
      </c>
      <c r="J475">
        <v>12.450900000000001</v>
      </c>
      <c r="K475">
        <v>10.490410000000001</v>
      </c>
      <c r="L475">
        <v>9.4883209999999991</v>
      </c>
      <c r="M475">
        <v>8.0322969999999998</v>
      </c>
      <c r="N475">
        <v>6.8594309999999998</v>
      </c>
    </row>
    <row r="476" spans="1:14" hidden="1" x14ac:dyDescent="0.35">
      <c r="A476" t="s">
        <v>271</v>
      </c>
      <c r="B476" t="s">
        <v>37</v>
      </c>
      <c r="C476" t="s">
        <v>99</v>
      </c>
      <c r="D476" t="s">
        <v>101</v>
      </c>
      <c r="E476" t="s">
        <v>634</v>
      </c>
      <c r="F476" t="s">
        <v>581</v>
      </c>
      <c r="G476" t="s">
        <v>25</v>
      </c>
      <c r="H476">
        <v>1.0626709999999999</v>
      </c>
      <c r="I476">
        <v>1.054284</v>
      </c>
      <c r="J476">
        <v>0.97549129999999995</v>
      </c>
      <c r="K476">
        <v>0.80193979999999998</v>
      </c>
      <c r="L476">
        <v>0.72673509999999997</v>
      </c>
      <c r="M476">
        <v>0.59951889999999997</v>
      </c>
      <c r="N476">
        <v>0.50095400000000001</v>
      </c>
    </row>
    <row r="477" spans="1:14" hidden="1" x14ac:dyDescent="0.35">
      <c r="A477" t="s">
        <v>271</v>
      </c>
      <c r="B477" t="s">
        <v>37</v>
      </c>
      <c r="C477" t="s">
        <v>99</v>
      </c>
      <c r="D477" t="s">
        <v>101</v>
      </c>
      <c r="E477" t="s">
        <v>634</v>
      </c>
      <c r="F477" t="s">
        <v>26</v>
      </c>
      <c r="G477" t="s">
        <v>26</v>
      </c>
      <c r="H477">
        <v>2.6673619999999998</v>
      </c>
      <c r="I477">
        <v>2.5493299999999999</v>
      </c>
      <c r="J477">
        <v>2.331782</v>
      </c>
      <c r="K477">
        <v>1.9845809999999999</v>
      </c>
      <c r="L477">
        <v>1.7936000000000001</v>
      </c>
      <c r="M477">
        <v>1.5340579999999999</v>
      </c>
      <c r="N477">
        <v>1.3210820000000001</v>
      </c>
    </row>
    <row r="478" spans="1:14" hidden="1" x14ac:dyDescent="0.35">
      <c r="A478" t="s">
        <v>271</v>
      </c>
      <c r="B478" t="s">
        <v>37</v>
      </c>
      <c r="C478" t="s">
        <v>266</v>
      </c>
      <c r="D478" t="s">
        <v>266</v>
      </c>
      <c r="E478" t="s">
        <v>584</v>
      </c>
      <c r="F478" t="s">
        <v>581</v>
      </c>
      <c r="G478" t="s">
        <v>396</v>
      </c>
      <c r="H478">
        <v>0.1367671</v>
      </c>
      <c r="I478">
        <v>9.1679449999999996E-2</v>
      </c>
      <c r="J478">
        <v>6.1482740000000001E-2</v>
      </c>
      <c r="K478">
        <v>4.1266030000000002E-2</v>
      </c>
      <c r="L478">
        <v>2.7661370000000001E-2</v>
      </c>
      <c r="M478">
        <v>0</v>
      </c>
      <c r="N478">
        <v>0</v>
      </c>
    </row>
    <row r="479" spans="1:14" hidden="1" x14ac:dyDescent="0.35">
      <c r="A479" t="s">
        <v>271</v>
      </c>
      <c r="B479" t="s">
        <v>37</v>
      </c>
      <c r="C479" t="s">
        <v>266</v>
      </c>
      <c r="D479" t="s">
        <v>266</v>
      </c>
      <c r="E479" t="s">
        <v>584</v>
      </c>
      <c r="F479" t="s">
        <v>581</v>
      </c>
      <c r="G479" t="s">
        <v>24</v>
      </c>
      <c r="H479">
        <v>1.427397E-3</v>
      </c>
      <c r="I479">
        <v>9.6164380000000004E-4</v>
      </c>
      <c r="J479">
        <v>0</v>
      </c>
    </row>
    <row r="480" spans="1:14" hidden="1" x14ac:dyDescent="0.35">
      <c r="A480" t="s">
        <v>271</v>
      </c>
      <c r="B480" t="s">
        <v>37</v>
      </c>
      <c r="C480" t="s">
        <v>266</v>
      </c>
      <c r="D480" t="s">
        <v>266</v>
      </c>
      <c r="E480" t="s">
        <v>584</v>
      </c>
      <c r="F480" t="s">
        <v>26</v>
      </c>
      <c r="G480" t="s">
        <v>26</v>
      </c>
      <c r="H480">
        <v>1.6707810000000001</v>
      </c>
      <c r="I480">
        <v>1.5970569999999999</v>
      </c>
      <c r="J480">
        <v>1.5265470000000001</v>
      </c>
      <c r="K480">
        <v>1.4576359999999999</v>
      </c>
      <c r="L480">
        <v>1.3783970000000001</v>
      </c>
      <c r="M480">
        <v>0</v>
      </c>
      <c r="N480">
        <v>0</v>
      </c>
    </row>
    <row r="481" spans="1:14" hidden="1" x14ac:dyDescent="0.35">
      <c r="A481" t="s">
        <v>271</v>
      </c>
      <c r="B481" t="s">
        <v>37</v>
      </c>
      <c r="C481" t="s">
        <v>46</v>
      </c>
      <c r="D481" t="s">
        <v>46</v>
      </c>
      <c r="E481" t="s">
        <v>584</v>
      </c>
      <c r="F481" t="s">
        <v>581</v>
      </c>
      <c r="G481" t="s">
        <v>396</v>
      </c>
      <c r="H481">
        <v>8.0273970000000004E-4</v>
      </c>
      <c r="I481">
        <v>0</v>
      </c>
    </row>
    <row r="482" spans="1:14" hidden="1" x14ac:dyDescent="0.35">
      <c r="A482" t="s">
        <v>271</v>
      </c>
      <c r="B482" t="s">
        <v>37</v>
      </c>
      <c r="C482" t="s">
        <v>46</v>
      </c>
      <c r="D482" t="s">
        <v>46</v>
      </c>
      <c r="E482" t="s">
        <v>584</v>
      </c>
      <c r="F482" t="s">
        <v>581</v>
      </c>
      <c r="G482" t="s">
        <v>24</v>
      </c>
      <c r="H482">
        <v>8.0273970000000004E-4</v>
      </c>
      <c r="I482">
        <v>0</v>
      </c>
    </row>
    <row r="483" spans="1:14" hidden="1" x14ac:dyDescent="0.35">
      <c r="A483" t="s">
        <v>271</v>
      </c>
      <c r="B483" t="s">
        <v>37</v>
      </c>
      <c r="C483" t="s">
        <v>46</v>
      </c>
      <c r="D483" t="s">
        <v>46</v>
      </c>
      <c r="E483" t="s">
        <v>584</v>
      </c>
      <c r="F483" t="s">
        <v>26</v>
      </c>
      <c r="G483" t="s">
        <v>26</v>
      </c>
      <c r="H483">
        <v>0.1871507</v>
      </c>
      <c r="I483">
        <v>0.1871507</v>
      </c>
      <c r="J483">
        <v>0.1871507</v>
      </c>
      <c r="K483">
        <v>0.1871507</v>
      </c>
      <c r="L483">
        <v>0.1871507</v>
      </c>
      <c r="M483">
        <v>0.1871507</v>
      </c>
      <c r="N483">
        <v>0.1871507</v>
      </c>
    </row>
    <row r="484" spans="1:14" hidden="1" x14ac:dyDescent="0.35">
      <c r="A484" t="s">
        <v>271</v>
      </c>
      <c r="B484" t="s">
        <v>37</v>
      </c>
      <c r="C484" t="s">
        <v>118</v>
      </c>
      <c r="D484" t="s">
        <v>118</v>
      </c>
      <c r="E484" t="s">
        <v>584</v>
      </c>
      <c r="F484" t="s">
        <v>581</v>
      </c>
      <c r="G484" t="s">
        <v>396</v>
      </c>
      <c r="H484">
        <v>4.1479450000000001E-3</v>
      </c>
      <c r="I484">
        <v>3.7424659999999998E-3</v>
      </c>
      <c r="J484">
        <v>3.3589039999999998E-3</v>
      </c>
      <c r="K484">
        <v>3.0219180000000002E-3</v>
      </c>
      <c r="L484">
        <v>2.7205480000000002E-3</v>
      </c>
      <c r="M484">
        <v>2.4547940000000002E-3</v>
      </c>
      <c r="N484">
        <v>2.2027399999999999E-3</v>
      </c>
    </row>
    <row r="485" spans="1:14" hidden="1" x14ac:dyDescent="0.35">
      <c r="A485" t="s">
        <v>271</v>
      </c>
      <c r="B485" t="s">
        <v>37</v>
      </c>
      <c r="C485" t="s">
        <v>118</v>
      </c>
      <c r="D485" t="s">
        <v>118</v>
      </c>
      <c r="E485" t="s">
        <v>584</v>
      </c>
      <c r="F485" t="s">
        <v>581</v>
      </c>
      <c r="G485" t="s">
        <v>25</v>
      </c>
      <c r="H485">
        <v>7.272054E-2</v>
      </c>
      <c r="I485">
        <v>6.5616439999999998E-2</v>
      </c>
      <c r="J485">
        <v>5.8884930000000002E-2</v>
      </c>
      <c r="K485">
        <v>5.2994520000000003E-2</v>
      </c>
      <c r="L485">
        <v>4.7693149999999997E-2</v>
      </c>
      <c r="M485">
        <v>4.3035619999999997E-2</v>
      </c>
      <c r="N485">
        <v>3.8621919999999997E-2</v>
      </c>
    </row>
    <row r="486" spans="1:14" hidden="1" x14ac:dyDescent="0.35">
      <c r="A486" t="s">
        <v>271</v>
      </c>
      <c r="B486" t="s">
        <v>37</v>
      </c>
      <c r="C486" t="s">
        <v>118</v>
      </c>
      <c r="D486" t="s">
        <v>118</v>
      </c>
      <c r="E486" t="s">
        <v>584</v>
      </c>
      <c r="F486" t="s">
        <v>26</v>
      </c>
      <c r="G486" t="s">
        <v>26</v>
      </c>
      <c r="H486">
        <v>0.14323839999999999</v>
      </c>
      <c r="I486">
        <v>0.12924659999999999</v>
      </c>
      <c r="J486">
        <v>0.1159863</v>
      </c>
      <c r="K486">
        <v>0.1043863</v>
      </c>
      <c r="L486">
        <v>9.3945210000000001E-2</v>
      </c>
      <c r="M486">
        <v>8.4769860000000002E-2</v>
      </c>
      <c r="N486">
        <v>7.6071230000000004E-2</v>
      </c>
    </row>
    <row r="487" spans="1:14" hidden="1" x14ac:dyDescent="0.35">
      <c r="A487" t="s">
        <v>271</v>
      </c>
      <c r="B487" t="s">
        <v>37</v>
      </c>
      <c r="C487" t="s">
        <v>248</v>
      </c>
      <c r="D487" t="s">
        <v>248</v>
      </c>
      <c r="E487" t="s">
        <v>635</v>
      </c>
      <c r="F487" t="s">
        <v>581</v>
      </c>
      <c r="G487" t="s">
        <v>396</v>
      </c>
      <c r="H487">
        <v>2.984384E-2</v>
      </c>
      <c r="I487">
        <v>6.632876E-2</v>
      </c>
      <c r="J487">
        <v>0.1251592</v>
      </c>
      <c r="K487">
        <v>0.1253978</v>
      </c>
      <c r="L487">
        <v>0.14188690000000001</v>
      </c>
      <c r="M487">
        <v>0.11360190000000001</v>
      </c>
      <c r="N487">
        <v>8.5387389999999994E-2</v>
      </c>
    </row>
    <row r="488" spans="1:14" hidden="1" x14ac:dyDescent="0.35">
      <c r="A488" t="s">
        <v>271</v>
      </c>
      <c r="B488" t="s">
        <v>37</v>
      </c>
      <c r="C488" t="s">
        <v>248</v>
      </c>
      <c r="D488" t="s">
        <v>248</v>
      </c>
      <c r="E488" t="s">
        <v>635</v>
      </c>
      <c r="F488" t="s">
        <v>581</v>
      </c>
      <c r="G488" t="s">
        <v>24</v>
      </c>
      <c r="H488">
        <v>5.8630140000000004E-4</v>
      </c>
      <c r="I488">
        <v>1.3983559999999999E-3</v>
      </c>
      <c r="J488">
        <v>2.6367119999999998E-3</v>
      </c>
      <c r="K488">
        <v>2.6416439999999998E-3</v>
      </c>
      <c r="L488">
        <v>2.98548E-3</v>
      </c>
      <c r="M488">
        <v>2.3915070000000002E-3</v>
      </c>
      <c r="N488">
        <v>1.796438E-3</v>
      </c>
    </row>
    <row r="489" spans="1:14" hidden="1" x14ac:dyDescent="0.35">
      <c r="A489" t="s">
        <v>271</v>
      </c>
      <c r="B489" t="s">
        <v>37</v>
      </c>
      <c r="C489" t="s">
        <v>248</v>
      </c>
      <c r="D489" t="s">
        <v>248</v>
      </c>
      <c r="E489" t="s">
        <v>635</v>
      </c>
      <c r="F489" t="s">
        <v>581</v>
      </c>
      <c r="G489" t="s">
        <v>25</v>
      </c>
      <c r="H489">
        <v>6.6575339999999997E-4</v>
      </c>
      <c r="I489">
        <v>1.484658E-3</v>
      </c>
      <c r="J489">
        <v>2.797534E-3</v>
      </c>
      <c r="K489">
        <v>2.801918E-3</v>
      </c>
      <c r="L489">
        <v>3.1797259999999999E-3</v>
      </c>
      <c r="M489">
        <v>2.5394520000000002E-3</v>
      </c>
      <c r="N489">
        <v>1.9079450000000001E-3</v>
      </c>
    </row>
    <row r="490" spans="1:14" hidden="1" x14ac:dyDescent="0.35">
      <c r="A490" t="s">
        <v>271</v>
      </c>
      <c r="B490" t="s">
        <v>37</v>
      </c>
      <c r="C490" t="s">
        <v>248</v>
      </c>
      <c r="D490" t="s">
        <v>248</v>
      </c>
      <c r="E490" t="s">
        <v>635</v>
      </c>
      <c r="F490" t="s">
        <v>26</v>
      </c>
      <c r="G490" t="s">
        <v>26</v>
      </c>
      <c r="H490">
        <v>3.342466E-4</v>
      </c>
      <c r="I490">
        <v>7.4191790000000001E-4</v>
      </c>
      <c r="J490">
        <v>1.4010959999999999E-3</v>
      </c>
      <c r="K490">
        <v>1.4013700000000001E-3</v>
      </c>
      <c r="L490">
        <v>1.5857530000000001E-3</v>
      </c>
      <c r="M490">
        <v>1.2684930000000001E-3</v>
      </c>
      <c r="N490">
        <v>9.5589030000000003E-4</v>
      </c>
    </row>
    <row r="491" spans="1:14" hidden="1" x14ac:dyDescent="0.35">
      <c r="A491" t="s">
        <v>271</v>
      </c>
      <c r="B491" t="s">
        <v>34</v>
      </c>
      <c r="C491" t="s">
        <v>33</v>
      </c>
      <c r="D491" t="s">
        <v>33</v>
      </c>
      <c r="E491" t="s">
        <v>605</v>
      </c>
      <c r="F491" t="s">
        <v>581</v>
      </c>
      <c r="G491" t="s">
        <v>24</v>
      </c>
      <c r="H491">
        <v>0.34188770000000002</v>
      </c>
      <c r="I491">
        <v>0.33029180000000002</v>
      </c>
      <c r="J491">
        <v>0.30521320000000002</v>
      </c>
      <c r="K491">
        <v>0.2599167</v>
      </c>
      <c r="L491">
        <v>0.2261175</v>
      </c>
      <c r="M491">
        <v>0.20246990000000001</v>
      </c>
      <c r="N491">
        <v>0.181009</v>
      </c>
    </row>
    <row r="492" spans="1:14" hidden="1" x14ac:dyDescent="0.35">
      <c r="A492" t="s">
        <v>271</v>
      </c>
      <c r="B492" t="s">
        <v>34</v>
      </c>
      <c r="C492" t="s">
        <v>33</v>
      </c>
      <c r="D492" t="s">
        <v>33</v>
      </c>
      <c r="E492" t="s">
        <v>605</v>
      </c>
      <c r="F492" t="s">
        <v>581</v>
      </c>
      <c r="G492" t="s">
        <v>25</v>
      </c>
      <c r="H492">
        <v>15.836819999999999</v>
      </c>
      <c r="I492">
        <v>17.11196</v>
      </c>
      <c r="J492">
        <v>16.87012</v>
      </c>
      <c r="K492">
        <v>14.64357</v>
      </c>
      <c r="L492">
        <v>12.552860000000001</v>
      </c>
      <c r="M492">
        <v>11.19623</v>
      </c>
      <c r="N492">
        <v>9.9656889999999994</v>
      </c>
    </row>
    <row r="493" spans="1:14" hidden="1" x14ac:dyDescent="0.35">
      <c r="A493" t="s">
        <v>271</v>
      </c>
      <c r="B493" t="s">
        <v>34</v>
      </c>
      <c r="C493" t="s">
        <v>33</v>
      </c>
      <c r="D493" t="s">
        <v>33</v>
      </c>
      <c r="E493" t="s">
        <v>605</v>
      </c>
      <c r="F493" t="s">
        <v>26</v>
      </c>
      <c r="G493" t="s">
        <v>26</v>
      </c>
      <c r="H493">
        <v>110.9051</v>
      </c>
      <c r="I493">
        <v>120.2394</v>
      </c>
      <c r="J493">
        <v>125.1981</v>
      </c>
      <c r="K493">
        <v>111.11579999999999</v>
      </c>
      <c r="L493">
        <v>94.200109999999995</v>
      </c>
      <c r="M493">
        <v>83.196669999999997</v>
      </c>
      <c r="N493">
        <v>73.7971</v>
      </c>
    </row>
    <row r="494" spans="1:14" hidden="1" x14ac:dyDescent="0.35">
      <c r="A494" t="s">
        <v>271</v>
      </c>
      <c r="B494" t="s">
        <v>34</v>
      </c>
      <c r="C494" t="s">
        <v>33</v>
      </c>
      <c r="D494" t="s">
        <v>33</v>
      </c>
      <c r="E494" t="s">
        <v>604</v>
      </c>
      <c r="F494" t="s">
        <v>581</v>
      </c>
      <c r="G494" t="s">
        <v>25</v>
      </c>
      <c r="H494">
        <v>29.01662</v>
      </c>
      <c r="I494">
        <v>26.621099999999998</v>
      </c>
      <c r="J494">
        <v>35.383400000000002</v>
      </c>
      <c r="K494">
        <v>34.961190000000002</v>
      </c>
      <c r="L494">
        <v>29.366589999999999</v>
      </c>
      <c r="M494">
        <v>25.18939</v>
      </c>
      <c r="N494">
        <v>22.396139999999999</v>
      </c>
    </row>
    <row r="495" spans="1:14" hidden="1" x14ac:dyDescent="0.35">
      <c r="A495" t="s">
        <v>271</v>
      </c>
      <c r="B495" t="s">
        <v>34</v>
      </c>
      <c r="C495" t="s">
        <v>33</v>
      </c>
      <c r="D495" t="s">
        <v>33</v>
      </c>
      <c r="E495" t="s">
        <v>604</v>
      </c>
      <c r="F495" t="s">
        <v>26</v>
      </c>
      <c r="G495" t="s">
        <v>26</v>
      </c>
      <c r="H495">
        <v>35.879260000000002</v>
      </c>
      <c r="I495">
        <v>32.911450000000002</v>
      </c>
      <c r="J495">
        <v>43.582509999999999</v>
      </c>
      <c r="K495">
        <v>43.032879999999999</v>
      </c>
      <c r="L495">
        <v>36.164749999999998</v>
      </c>
      <c r="M495">
        <v>31.032730000000001</v>
      </c>
      <c r="N495">
        <v>27.593540000000001</v>
      </c>
    </row>
    <row r="496" spans="1:14" hidden="1" x14ac:dyDescent="0.35">
      <c r="A496" t="s">
        <v>271</v>
      </c>
      <c r="B496" t="s">
        <v>34</v>
      </c>
      <c r="C496" t="s">
        <v>33</v>
      </c>
      <c r="D496" t="s">
        <v>33</v>
      </c>
      <c r="E496" t="s">
        <v>636</v>
      </c>
      <c r="F496" t="s">
        <v>581</v>
      </c>
      <c r="G496" t="s">
        <v>24</v>
      </c>
      <c r="H496">
        <v>9.5717819999999995E-2</v>
      </c>
      <c r="I496">
        <v>7.0029309999999997E-2</v>
      </c>
      <c r="J496">
        <v>5.6316989999999997E-2</v>
      </c>
      <c r="K496">
        <v>4.8258629999999997E-2</v>
      </c>
      <c r="L496">
        <v>4.2576990000000002E-2</v>
      </c>
      <c r="M496">
        <v>3.7909039999999998E-2</v>
      </c>
      <c r="N496">
        <v>3.3842469999999999E-2</v>
      </c>
    </row>
    <row r="497" spans="1:14" hidden="1" x14ac:dyDescent="0.35">
      <c r="A497" t="s">
        <v>271</v>
      </c>
      <c r="B497" t="s">
        <v>34</v>
      </c>
      <c r="C497" t="s">
        <v>33</v>
      </c>
      <c r="D497" t="s">
        <v>33</v>
      </c>
      <c r="E497" t="s">
        <v>636</v>
      </c>
      <c r="F497" t="s">
        <v>581</v>
      </c>
      <c r="G497" t="s">
        <v>25</v>
      </c>
      <c r="H497">
        <v>4.5101969999999998</v>
      </c>
      <c r="I497">
        <v>3.291385</v>
      </c>
      <c r="J497">
        <v>2.6469149999999999</v>
      </c>
      <c r="K497">
        <v>2.2681559999999998</v>
      </c>
      <c r="L497">
        <v>2.001214</v>
      </c>
      <c r="M497">
        <v>1.781731</v>
      </c>
      <c r="N497">
        <v>1.590684</v>
      </c>
    </row>
    <row r="498" spans="1:14" hidden="1" x14ac:dyDescent="0.35">
      <c r="A498" t="s">
        <v>271</v>
      </c>
      <c r="B498" t="s">
        <v>34</v>
      </c>
      <c r="C498" t="s">
        <v>33</v>
      </c>
      <c r="D498" t="s">
        <v>33</v>
      </c>
      <c r="E498" t="s">
        <v>636</v>
      </c>
      <c r="F498" t="s">
        <v>26</v>
      </c>
      <c r="G498" t="s">
        <v>26</v>
      </c>
      <c r="H498">
        <v>5.0395950000000003</v>
      </c>
      <c r="I498">
        <v>3.660841</v>
      </c>
      <c r="J498">
        <v>2.9440309999999998</v>
      </c>
      <c r="K498">
        <v>2.5227529999999998</v>
      </c>
      <c r="L498">
        <v>2.2258490000000002</v>
      </c>
      <c r="M498">
        <v>1.9817290000000001</v>
      </c>
      <c r="N498">
        <v>1.7692349999999999</v>
      </c>
    </row>
    <row r="499" spans="1:14" hidden="1" x14ac:dyDescent="0.35">
      <c r="A499" t="s">
        <v>271</v>
      </c>
      <c r="B499" t="s">
        <v>34</v>
      </c>
      <c r="C499" t="s">
        <v>33</v>
      </c>
      <c r="D499" t="s">
        <v>33</v>
      </c>
      <c r="E499" t="s">
        <v>622</v>
      </c>
      <c r="F499" t="s">
        <v>26</v>
      </c>
      <c r="G499" t="s">
        <v>26</v>
      </c>
      <c r="H499">
        <v>6.4660789999999997</v>
      </c>
      <c r="I499">
        <v>5.8316350000000003</v>
      </c>
      <c r="J499">
        <v>5.2332489999999998</v>
      </c>
      <c r="K499">
        <v>4.7098519999999997</v>
      </c>
      <c r="L499">
        <v>4.2388019999999997</v>
      </c>
      <c r="M499">
        <v>3.824773</v>
      </c>
      <c r="N499">
        <v>3.432334</v>
      </c>
    </row>
    <row r="500" spans="1:14" hidden="1" x14ac:dyDescent="0.35">
      <c r="A500" t="s">
        <v>271</v>
      </c>
      <c r="B500" t="s">
        <v>34</v>
      </c>
      <c r="C500" t="s">
        <v>33</v>
      </c>
      <c r="D500" t="s">
        <v>33</v>
      </c>
      <c r="E500" t="s">
        <v>637</v>
      </c>
      <c r="F500" t="s">
        <v>581</v>
      </c>
      <c r="G500" t="s">
        <v>25</v>
      </c>
      <c r="H500">
        <v>0.67212870000000002</v>
      </c>
      <c r="I500">
        <v>0.5921862</v>
      </c>
      <c r="J500">
        <v>0.52536989999999995</v>
      </c>
      <c r="K500">
        <v>0.4699123</v>
      </c>
      <c r="L500">
        <v>0.42145480000000002</v>
      </c>
      <c r="M500">
        <v>0.37959999999999999</v>
      </c>
      <c r="N500">
        <v>0.34040550000000003</v>
      </c>
    </row>
    <row r="501" spans="1:14" hidden="1" x14ac:dyDescent="0.35">
      <c r="A501" t="s">
        <v>271</v>
      </c>
      <c r="B501" t="s">
        <v>34</v>
      </c>
      <c r="C501" t="s">
        <v>33</v>
      </c>
      <c r="D501" t="s">
        <v>33</v>
      </c>
      <c r="E501" t="s">
        <v>637</v>
      </c>
      <c r="F501" t="s">
        <v>26</v>
      </c>
      <c r="G501" t="s">
        <v>26</v>
      </c>
      <c r="H501">
        <v>4.9289670000000001</v>
      </c>
      <c r="I501">
        <v>4.3427009999999999</v>
      </c>
      <c r="J501">
        <v>3.8526899999999999</v>
      </c>
      <c r="K501">
        <v>3.4460299999999999</v>
      </c>
      <c r="L501">
        <v>3.0906549999999999</v>
      </c>
      <c r="M501">
        <v>2.7837230000000002</v>
      </c>
      <c r="N501">
        <v>2.4963069999999998</v>
      </c>
    </row>
    <row r="502" spans="1:14" hidden="1" x14ac:dyDescent="0.35">
      <c r="A502" t="s">
        <v>271</v>
      </c>
      <c r="B502" t="s">
        <v>34</v>
      </c>
      <c r="C502" t="s">
        <v>33</v>
      </c>
      <c r="D502" t="s">
        <v>33</v>
      </c>
      <c r="E502" t="s">
        <v>584</v>
      </c>
      <c r="F502" t="s">
        <v>26</v>
      </c>
      <c r="G502" t="s">
        <v>26</v>
      </c>
      <c r="H502">
        <v>1.7882929999999999</v>
      </c>
      <c r="I502">
        <v>1.7722819999999999</v>
      </c>
      <c r="J502">
        <v>0.97972610000000004</v>
      </c>
      <c r="K502">
        <v>0.97972610000000004</v>
      </c>
      <c r="L502">
        <v>0.97972610000000004</v>
      </c>
      <c r="M502">
        <v>0.97972610000000004</v>
      </c>
      <c r="N502">
        <v>0.97972610000000004</v>
      </c>
    </row>
    <row r="503" spans="1:14" hidden="1" x14ac:dyDescent="0.35">
      <c r="A503" t="s">
        <v>271</v>
      </c>
      <c r="B503" t="s">
        <v>34</v>
      </c>
      <c r="C503" t="s">
        <v>33</v>
      </c>
      <c r="D503" t="s">
        <v>33</v>
      </c>
      <c r="E503" t="s">
        <v>638</v>
      </c>
      <c r="F503" t="s">
        <v>581</v>
      </c>
      <c r="G503" t="s">
        <v>396</v>
      </c>
      <c r="K503">
        <v>0</v>
      </c>
      <c r="L503">
        <v>6.9783559999999998E-3</v>
      </c>
      <c r="M503">
        <v>4.8997260000000001E-3</v>
      </c>
      <c r="N503">
        <v>3.3454790000000002E-3</v>
      </c>
    </row>
    <row r="504" spans="1:14" hidden="1" x14ac:dyDescent="0.35">
      <c r="A504" t="s">
        <v>271</v>
      </c>
      <c r="B504" t="s">
        <v>34</v>
      </c>
      <c r="C504" t="s">
        <v>33</v>
      </c>
      <c r="D504" t="s">
        <v>33</v>
      </c>
      <c r="E504" t="s">
        <v>638</v>
      </c>
      <c r="F504" t="s">
        <v>581</v>
      </c>
      <c r="G504" t="s">
        <v>24</v>
      </c>
      <c r="H504">
        <v>1.549589E-2</v>
      </c>
      <c r="I504">
        <v>1.345205E-2</v>
      </c>
      <c r="J504">
        <v>1.169041E-2</v>
      </c>
      <c r="K504">
        <v>1.032603E-2</v>
      </c>
      <c r="L504">
        <v>5.9271240000000003E-2</v>
      </c>
      <c r="M504">
        <v>4.3454529999999998E-2</v>
      </c>
      <c r="N504">
        <v>3.1445470000000003E-2</v>
      </c>
    </row>
    <row r="505" spans="1:14" hidden="1" x14ac:dyDescent="0.35">
      <c r="A505" t="s">
        <v>271</v>
      </c>
      <c r="B505" t="s">
        <v>34</v>
      </c>
      <c r="C505" t="s">
        <v>33</v>
      </c>
      <c r="D505" t="s">
        <v>33</v>
      </c>
      <c r="E505" t="s">
        <v>638</v>
      </c>
      <c r="F505" t="s">
        <v>581</v>
      </c>
      <c r="G505" t="s">
        <v>25</v>
      </c>
      <c r="H505">
        <v>2.6410960000000001E-2</v>
      </c>
      <c r="I505">
        <v>2.2868490000000002E-2</v>
      </c>
      <c r="J505">
        <v>1.9876709999999999E-2</v>
      </c>
      <c r="K505">
        <v>1.755342E-2</v>
      </c>
      <c r="L505">
        <v>3.1664379999999999E-2</v>
      </c>
      <c r="M505">
        <v>2.5360819999999999E-2</v>
      </c>
      <c r="N505">
        <v>2.033973E-2</v>
      </c>
    </row>
    <row r="506" spans="1:14" hidden="1" x14ac:dyDescent="0.35">
      <c r="A506" t="s">
        <v>271</v>
      </c>
      <c r="B506" t="s">
        <v>34</v>
      </c>
      <c r="C506" t="s">
        <v>33</v>
      </c>
      <c r="D506" t="s">
        <v>33</v>
      </c>
      <c r="E506" t="s">
        <v>638</v>
      </c>
      <c r="F506" t="s">
        <v>26</v>
      </c>
      <c r="G506" t="s">
        <v>26</v>
      </c>
      <c r="H506">
        <v>0.114537</v>
      </c>
      <c r="I506">
        <v>9.8725209999999994E-2</v>
      </c>
      <c r="J506">
        <v>8.5799169999999994E-2</v>
      </c>
      <c r="K506">
        <v>7.5780819999999999E-2</v>
      </c>
      <c r="L506">
        <v>0.14659730000000001</v>
      </c>
      <c r="M506">
        <v>0.116434</v>
      </c>
      <c r="N506">
        <v>9.2541079999999998E-2</v>
      </c>
    </row>
    <row r="507" spans="1:14" hidden="1" x14ac:dyDescent="0.35">
      <c r="A507" t="s">
        <v>271</v>
      </c>
      <c r="B507" t="s">
        <v>174</v>
      </c>
      <c r="C507" t="s">
        <v>203</v>
      </c>
      <c r="D507" t="s">
        <v>203</v>
      </c>
      <c r="E507" t="s">
        <v>584</v>
      </c>
      <c r="F507" t="s">
        <v>581</v>
      </c>
      <c r="G507" t="s">
        <v>396</v>
      </c>
      <c r="H507">
        <v>2.2541220000000002</v>
      </c>
      <c r="I507">
        <v>1.8454349999999999</v>
      </c>
      <c r="J507">
        <v>1.510656</v>
      </c>
      <c r="K507">
        <v>1.233622</v>
      </c>
      <c r="L507">
        <v>0.99296870000000004</v>
      </c>
      <c r="M507">
        <v>0.24013599999999999</v>
      </c>
      <c r="N507">
        <v>0.19049060000000001</v>
      </c>
    </row>
    <row r="508" spans="1:14" hidden="1" x14ac:dyDescent="0.35">
      <c r="A508" t="s">
        <v>271</v>
      </c>
      <c r="B508" t="s">
        <v>174</v>
      </c>
      <c r="C508" t="s">
        <v>272</v>
      </c>
      <c r="D508" t="s">
        <v>272</v>
      </c>
      <c r="E508" t="s">
        <v>584</v>
      </c>
      <c r="F508" t="s">
        <v>581</v>
      </c>
      <c r="G508" t="s">
        <v>396</v>
      </c>
      <c r="H508">
        <v>1.061355</v>
      </c>
      <c r="I508">
        <v>0.91244179999999997</v>
      </c>
      <c r="J508">
        <v>0.78442140000000005</v>
      </c>
      <c r="K508">
        <v>0.67436339999999995</v>
      </c>
      <c r="L508">
        <v>0.57974789999999998</v>
      </c>
      <c r="M508">
        <v>0.49840649999999997</v>
      </c>
      <c r="N508">
        <v>0.42847750000000001</v>
      </c>
    </row>
    <row r="509" spans="1:14" hidden="1" x14ac:dyDescent="0.35">
      <c r="A509" t="s">
        <v>639</v>
      </c>
      <c r="B509" t="s">
        <v>37</v>
      </c>
      <c r="C509" t="s">
        <v>63</v>
      </c>
      <c r="D509" t="s">
        <v>63</v>
      </c>
      <c r="E509" t="s">
        <v>610</v>
      </c>
      <c r="F509" t="s">
        <v>581</v>
      </c>
      <c r="G509" t="s">
        <v>24</v>
      </c>
      <c r="H509">
        <v>6.4972599999999998</v>
      </c>
      <c r="I509">
        <v>10.074490000000001</v>
      </c>
      <c r="J509">
        <v>9.8309119999999997</v>
      </c>
      <c r="K509">
        <v>8.6337410000000006</v>
      </c>
      <c r="L509">
        <v>7.55342</v>
      </c>
      <c r="M509">
        <v>6.6112000000000002</v>
      </c>
      <c r="N509">
        <v>5.7286799999999998</v>
      </c>
    </row>
    <row r="510" spans="1:14" hidden="1" x14ac:dyDescent="0.35">
      <c r="A510" t="s">
        <v>639</v>
      </c>
      <c r="B510" t="s">
        <v>37</v>
      </c>
      <c r="C510" t="s">
        <v>63</v>
      </c>
      <c r="D510" t="s">
        <v>63</v>
      </c>
      <c r="E510" t="s">
        <v>610</v>
      </c>
      <c r="F510" t="s">
        <v>581</v>
      </c>
      <c r="G510" t="s">
        <v>25</v>
      </c>
      <c r="H510">
        <v>138.26589999999999</v>
      </c>
      <c r="I510">
        <v>158.2508</v>
      </c>
      <c r="J510">
        <v>152.37909999999999</v>
      </c>
      <c r="K510">
        <v>133.82300000000001</v>
      </c>
      <c r="L510">
        <v>117.078</v>
      </c>
      <c r="M510">
        <v>102.4736</v>
      </c>
      <c r="N510">
        <v>88.794529999999995</v>
      </c>
    </row>
    <row r="511" spans="1:14" hidden="1" x14ac:dyDescent="0.35">
      <c r="A511" t="s">
        <v>639</v>
      </c>
      <c r="B511" t="s">
        <v>37</v>
      </c>
      <c r="C511" t="s">
        <v>63</v>
      </c>
      <c r="D511" t="s">
        <v>63</v>
      </c>
      <c r="E511" t="s">
        <v>610</v>
      </c>
      <c r="F511" t="s">
        <v>26</v>
      </c>
      <c r="G511" t="s">
        <v>26</v>
      </c>
      <c r="H511">
        <v>321.51659999999998</v>
      </c>
      <c r="I511">
        <v>342.02589999999998</v>
      </c>
      <c r="J511">
        <v>329.33550000000002</v>
      </c>
      <c r="K511">
        <v>289.2303</v>
      </c>
      <c r="L511">
        <v>253.03960000000001</v>
      </c>
      <c r="M511">
        <v>221.4753</v>
      </c>
      <c r="N511">
        <v>191.91079999999999</v>
      </c>
    </row>
    <row r="512" spans="1:14" hidden="1" x14ac:dyDescent="0.35">
      <c r="A512" t="s">
        <v>639</v>
      </c>
      <c r="B512" t="s">
        <v>37</v>
      </c>
      <c r="C512" t="s">
        <v>63</v>
      </c>
      <c r="D512" t="s">
        <v>63</v>
      </c>
      <c r="E512" t="s">
        <v>612</v>
      </c>
      <c r="F512" t="s">
        <v>581</v>
      </c>
      <c r="G512" t="s">
        <v>24</v>
      </c>
      <c r="H512">
        <v>3.4489040000000002</v>
      </c>
      <c r="I512">
        <v>2.6805240000000001</v>
      </c>
      <c r="J512">
        <v>2.46136</v>
      </c>
      <c r="K512">
        <v>2.3296070000000002</v>
      </c>
      <c r="L512">
        <v>2.1391290000000001</v>
      </c>
      <c r="M512">
        <v>1.9715240000000001</v>
      </c>
      <c r="N512">
        <v>1.9071769999999999</v>
      </c>
    </row>
    <row r="513" spans="1:14" hidden="1" x14ac:dyDescent="0.35">
      <c r="A513" t="s">
        <v>639</v>
      </c>
      <c r="B513" t="s">
        <v>37</v>
      </c>
      <c r="C513" t="s">
        <v>63</v>
      </c>
      <c r="D513" t="s">
        <v>63</v>
      </c>
      <c r="E513" t="s">
        <v>612</v>
      </c>
      <c r="F513" t="s">
        <v>581</v>
      </c>
      <c r="G513" t="s">
        <v>25</v>
      </c>
      <c r="H513">
        <v>13.23438</v>
      </c>
      <c r="I513">
        <v>12.268689999999999</v>
      </c>
      <c r="J513">
        <v>10.76993</v>
      </c>
      <c r="K513">
        <v>9.2974759999999996</v>
      </c>
      <c r="L513">
        <v>8.1379959999999993</v>
      </c>
      <c r="M513">
        <v>7.2263339999999996</v>
      </c>
      <c r="N513">
        <v>6.5745189999999996</v>
      </c>
    </row>
    <row r="514" spans="1:14" hidden="1" x14ac:dyDescent="0.35">
      <c r="A514" t="s">
        <v>639</v>
      </c>
      <c r="B514" t="s">
        <v>37</v>
      </c>
      <c r="C514" t="s">
        <v>63</v>
      </c>
      <c r="D514" t="s">
        <v>63</v>
      </c>
      <c r="E514" t="s">
        <v>612</v>
      </c>
      <c r="F514" t="s">
        <v>26</v>
      </c>
      <c r="G514" t="s">
        <v>26</v>
      </c>
      <c r="H514">
        <v>38.42</v>
      </c>
      <c r="I514">
        <v>35.339669999999998</v>
      </c>
      <c r="J514">
        <v>30.688310000000001</v>
      </c>
      <c r="K514">
        <v>25.869060000000001</v>
      </c>
      <c r="L514">
        <v>22.338290000000001</v>
      </c>
      <c r="M514">
        <v>19.61645</v>
      </c>
      <c r="N514">
        <v>17.501429999999999</v>
      </c>
    </row>
    <row r="515" spans="1:14" hidden="1" x14ac:dyDescent="0.35">
      <c r="A515" t="s">
        <v>639</v>
      </c>
      <c r="B515" t="s">
        <v>37</v>
      </c>
      <c r="C515" t="s">
        <v>63</v>
      </c>
      <c r="D515" t="s">
        <v>63</v>
      </c>
      <c r="E515" t="s">
        <v>609</v>
      </c>
      <c r="F515" t="s">
        <v>26</v>
      </c>
      <c r="G515" t="s">
        <v>26</v>
      </c>
      <c r="H515">
        <v>15.3652</v>
      </c>
      <c r="I515">
        <v>11.199920000000001</v>
      </c>
      <c r="J515">
        <v>10.71515</v>
      </c>
      <c r="K515">
        <v>10.52614</v>
      </c>
      <c r="L515">
        <v>9.042681</v>
      </c>
      <c r="M515">
        <v>7.5663460000000002</v>
      </c>
      <c r="N515">
        <v>6.2153070000000001</v>
      </c>
    </row>
    <row r="516" spans="1:14" hidden="1" x14ac:dyDescent="0.35">
      <c r="A516" t="s">
        <v>639</v>
      </c>
      <c r="B516" t="s">
        <v>37</v>
      </c>
      <c r="C516" t="s">
        <v>63</v>
      </c>
      <c r="D516" t="s">
        <v>63</v>
      </c>
      <c r="E516" t="s">
        <v>611</v>
      </c>
      <c r="F516" t="s">
        <v>581</v>
      </c>
      <c r="G516" t="s">
        <v>24</v>
      </c>
      <c r="H516">
        <v>2.3287669999999998E-3</v>
      </c>
      <c r="I516">
        <v>2.5589039999999999E-3</v>
      </c>
      <c r="J516">
        <v>2.279452E-3</v>
      </c>
      <c r="K516">
        <v>2.0493149999999999E-3</v>
      </c>
      <c r="L516">
        <v>3.3156169999999999E-3</v>
      </c>
      <c r="M516">
        <v>2.8852050000000001E-3</v>
      </c>
      <c r="N516">
        <v>2.222192E-3</v>
      </c>
    </row>
    <row r="517" spans="1:14" hidden="1" x14ac:dyDescent="0.35">
      <c r="A517" t="s">
        <v>639</v>
      </c>
      <c r="B517" t="s">
        <v>37</v>
      </c>
      <c r="C517" t="s">
        <v>63</v>
      </c>
      <c r="D517" t="s">
        <v>63</v>
      </c>
      <c r="E517" t="s">
        <v>611</v>
      </c>
      <c r="F517" t="s">
        <v>581</v>
      </c>
      <c r="G517" t="s">
        <v>25</v>
      </c>
      <c r="H517">
        <v>2.0958899999999999E-2</v>
      </c>
      <c r="I517">
        <v>1.6386299999999999E-2</v>
      </c>
      <c r="J517">
        <v>1.458082E-2</v>
      </c>
      <c r="K517">
        <v>1.311507E-2</v>
      </c>
      <c r="L517">
        <v>2.122247E-2</v>
      </c>
      <c r="M517">
        <v>1.847973E-2</v>
      </c>
      <c r="N517">
        <v>1.4230700000000001E-2</v>
      </c>
    </row>
    <row r="518" spans="1:14" hidden="1" x14ac:dyDescent="0.35">
      <c r="A518" t="s">
        <v>639</v>
      </c>
      <c r="B518" t="s">
        <v>37</v>
      </c>
      <c r="C518" t="s">
        <v>63</v>
      </c>
      <c r="D518" t="s">
        <v>63</v>
      </c>
      <c r="E518" t="s">
        <v>611</v>
      </c>
      <c r="F518" t="s">
        <v>26</v>
      </c>
      <c r="G518" t="s">
        <v>26</v>
      </c>
      <c r="H518">
        <v>3.9589039999999999E-2</v>
      </c>
      <c r="I518">
        <v>3.225753E-2</v>
      </c>
      <c r="J518">
        <v>2.8704110000000001E-2</v>
      </c>
      <c r="K518">
        <v>2.5821920000000002E-2</v>
      </c>
      <c r="L518">
        <v>4.1782470000000002E-2</v>
      </c>
      <c r="M518">
        <v>3.6380820000000001E-2</v>
      </c>
      <c r="N518">
        <v>2.8013980000000001E-2</v>
      </c>
    </row>
    <row r="519" spans="1:14" hidden="1" x14ac:dyDescent="0.35">
      <c r="A519" t="s">
        <v>240</v>
      </c>
      <c r="B519" t="s">
        <v>37</v>
      </c>
      <c r="C519" t="s">
        <v>63</v>
      </c>
      <c r="D519" t="s">
        <v>63</v>
      </c>
      <c r="E519" t="s">
        <v>621</v>
      </c>
      <c r="F519" t="s">
        <v>26</v>
      </c>
      <c r="G519" t="s">
        <v>26</v>
      </c>
      <c r="H519">
        <v>156.98920000000001</v>
      </c>
      <c r="I519">
        <v>155.2723</v>
      </c>
      <c r="J519">
        <v>205.16159999999999</v>
      </c>
      <c r="K519">
        <v>209.49379999999999</v>
      </c>
      <c r="L519">
        <v>181.99090000000001</v>
      </c>
      <c r="M519">
        <v>151.23830000000001</v>
      </c>
      <c r="N519">
        <v>129.21270000000001</v>
      </c>
    </row>
    <row r="520" spans="1:14" hidden="1" x14ac:dyDescent="0.35">
      <c r="A520" t="s">
        <v>240</v>
      </c>
      <c r="B520" t="s">
        <v>37</v>
      </c>
      <c r="C520" t="s">
        <v>63</v>
      </c>
      <c r="D520" t="s">
        <v>63</v>
      </c>
      <c r="E520" t="s">
        <v>584</v>
      </c>
      <c r="F520" t="s">
        <v>26</v>
      </c>
      <c r="G520" t="s">
        <v>26</v>
      </c>
      <c r="H520">
        <v>1.7318789999999999</v>
      </c>
      <c r="I520">
        <v>1.651518</v>
      </c>
      <c r="J520">
        <v>1.574838</v>
      </c>
      <c r="K520">
        <v>1.500129</v>
      </c>
      <c r="L520">
        <v>0</v>
      </c>
      <c r="M520">
        <v>0</v>
      </c>
      <c r="N520">
        <v>0</v>
      </c>
    </row>
    <row r="521" spans="1:14" hidden="1" x14ac:dyDescent="0.35">
      <c r="A521" t="s">
        <v>240</v>
      </c>
      <c r="B521" t="s">
        <v>37</v>
      </c>
      <c r="C521" t="s">
        <v>63</v>
      </c>
      <c r="D521" t="s">
        <v>63</v>
      </c>
      <c r="E521" t="s">
        <v>610</v>
      </c>
      <c r="F521" t="s">
        <v>26</v>
      </c>
      <c r="G521" t="s">
        <v>26</v>
      </c>
      <c r="H521">
        <v>0.67767129999999998</v>
      </c>
      <c r="I521">
        <v>1.2200139999999999</v>
      </c>
      <c r="J521">
        <v>0.91675620000000002</v>
      </c>
      <c r="K521">
        <v>0.77482189999999995</v>
      </c>
      <c r="L521">
        <v>0.67964380000000002</v>
      </c>
      <c r="M521">
        <v>0.60806570000000004</v>
      </c>
      <c r="N521">
        <v>0.54501370000000005</v>
      </c>
    </row>
    <row r="522" spans="1:14" hidden="1" x14ac:dyDescent="0.35">
      <c r="A522" t="s">
        <v>240</v>
      </c>
      <c r="B522" t="s">
        <v>37</v>
      </c>
      <c r="C522" t="s">
        <v>79</v>
      </c>
      <c r="D522" t="s">
        <v>79</v>
      </c>
      <c r="E522" t="s">
        <v>615</v>
      </c>
      <c r="F522" t="s">
        <v>581</v>
      </c>
      <c r="G522" t="s">
        <v>396</v>
      </c>
      <c r="H522">
        <v>58.000689999999999</v>
      </c>
      <c r="I522">
        <v>57.926990000000004</v>
      </c>
      <c r="J522">
        <v>56.49577</v>
      </c>
      <c r="K522">
        <v>47.432130000000001</v>
      </c>
      <c r="L522">
        <v>38.842730000000003</v>
      </c>
      <c r="M522">
        <v>32.90052</v>
      </c>
      <c r="N522">
        <v>29.295120000000001</v>
      </c>
    </row>
    <row r="523" spans="1:14" hidden="1" x14ac:dyDescent="0.35">
      <c r="A523" t="s">
        <v>240</v>
      </c>
      <c r="B523" t="s">
        <v>37</v>
      </c>
      <c r="C523" t="s">
        <v>79</v>
      </c>
      <c r="D523" t="s">
        <v>79</v>
      </c>
      <c r="E523" t="s">
        <v>615</v>
      </c>
      <c r="F523" t="s">
        <v>581</v>
      </c>
      <c r="G523" t="s">
        <v>25</v>
      </c>
      <c r="H523">
        <v>19.000679999999999</v>
      </c>
      <c r="I523">
        <v>16.994489999999999</v>
      </c>
      <c r="J523">
        <v>16.55911</v>
      </c>
      <c r="K523">
        <v>13.902520000000001</v>
      </c>
      <c r="L523">
        <v>11.38494</v>
      </c>
      <c r="M523">
        <v>9.6432509999999994</v>
      </c>
      <c r="N523">
        <v>8.5865030000000004</v>
      </c>
    </row>
    <row r="524" spans="1:14" hidden="1" x14ac:dyDescent="0.35">
      <c r="A524" t="s">
        <v>240</v>
      </c>
      <c r="B524" t="s">
        <v>37</v>
      </c>
      <c r="C524" t="s">
        <v>79</v>
      </c>
      <c r="D524" t="s">
        <v>79</v>
      </c>
      <c r="E524" t="s">
        <v>615</v>
      </c>
      <c r="F524" t="s">
        <v>26</v>
      </c>
      <c r="G524" t="s">
        <v>26</v>
      </c>
      <c r="H524">
        <v>25.5</v>
      </c>
      <c r="I524">
        <v>24.991890000000001</v>
      </c>
      <c r="J524">
        <v>24.35163</v>
      </c>
      <c r="K524">
        <v>20.444890000000001</v>
      </c>
      <c r="L524">
        <v>16.742560000000001</v>
      </c>
      <c r="M524">
        <v>14.18126</v>
      </c>
      <c r="N524">
        <v>12.62721</v>
      </c>
    </row>
    <row r="525" spans="1:14" hidden="1" x14ac:dyDescent="0.35">
      <c r="A525" t="s">
        <v>240</v>
      </c>
      <c r="B525" t="s">
        <v>37</v>
      </c>
      <c r="C525" t="s">
        <v>79</v>
      </c>
      <c r="D525" t="s">
        <v>79</v>
      </c>
      <c r="E525" t="s">
        <v>640</v>
      </c>
      <c r="F525" t="s">
        <v>581</v>
      </c>
      <c r="G525" t="s">
        <v>396</v>
      </c>
      <c r="H525">
        <v>35.790410000000001</v>
      </c>
      <c r="I525">
        <v>33.504429999999999</v>
      </c>
      <c r="J525">
        <v>35.110759999999999</v>
      </c>
      <c r="K525">
        <v>29.88334</v>
      </c>
      <c r="L525">
        <v>24.242170000000002</v>
      </c>
      <c r="M525">
        <v>16.674779999999998</v>
      </c>
      <c r="N525">
        <v>12.843529999999999</v>
      </c>
    </row>
    <row r="526" spans="1:14" hidden="1" x14ac:dyDescent="0.35">
      <c r="A526" t="s">
        <v>240</v>
      </c>
      <c r="B526" t="s">
        <v>37</v>
      </c>
      <c r="C526" t="s">
        <v>79</v>
      </c>
      <c r="D526" t="s">
        <v>79</v>
      </c>
      <c r="E526" t="s">
        <v>640</v>
      </c>
      <c r="F526" t="s">
        <v>581</v>
      </c>
      <c r="G526" t="s">
        <v>25</v>
      </c>
      <c r="H526">
        <v>4.0253420000000002</v>
      </c>
      <c r="I526">
        <v>4.7318189999999998</v>
      </c>
      <c r="J526">
        <v>4.9568099999999999</v>
      </c>
      <c r="K526">
        <v>4.2188230000000004</v>
      </c>
      <c r="L526">
        <v>3.4224220000000001</v>
      </c>
      <c r="M526">
        <v>2.354085</v>
      </c>
      <c r="N526">
        <v>1.813204</v>
      </c>
    </row>
    <row r="527" spans="1:14" hidden="1" x14ac:dyDescent="0.35">
      <c r="A527" t="s">
        <v>240</v>
      </c>
      <c r="B527" t="s">
        <v>37</v>
      </c>
      <c r="C527" t="s">
        <v>79</v>
      </c>
      <c r="D527" t="s">
        <v>79</v>
      </c>
      <c r="E527" t="s">
        <v>640</v>
      </c>
      <c r="F527" t="s">
        <v>26</v>
      </c>
      <c r="G527" t="s">
        <v>26</v>
      </c>
      <c r="H527">
        <v>1.69726</v>
      </c>
      <c r="I527">
        <v>1.182958</v>
      </c>
      <c r="J527">
        <v>1.2392030000000001</v>
      </c>
      <c r="K527">
        <v>1.0547070000000001</v>
      </c>
      <c r="L527">
        <v>0.85560519999999995</v>
      </c>
      <c r="M527">
        <v>0.58852190000000004</v>
      </c>
      <c r="N527">
        <v>0.45330029999999999</v>
      </c>
    </row>
    <row r="528" spans="1:14" hidden="1" x14ac:dyDescent="0.35">
      <c r="A528" t="s">
        <v>240</v>
      </c>
      <c r="B528" t="s">
        <v>37</v>
      </c>
      <c r="C528" t="s">
        <v>79</v>
      </c>
      <c r="D528" t="s">
        <v>79</v>
      </c>
      <c r="E528" t="s">
        <v>601</v>
      </c>
      <c r="F528" t="s">
        <v>581</v>
      </c>
      <c r="G528" t="s">
        <v>396</v>
      </c>
      <c r="H528">
        <v>0.37917810000000002</v>
      </c>
      <c r="I528">
        <v>0.49856159999999999</v>
      </c>
      <c r="J528">
        <v>0.56397779999999997</v>
      </c>
      <c r="K528">
        <v>0.42061589999999999</v>
      </c>
      <c r="L528">
        <v>0.34930270000000002</v>
      </c>
      <c r="M528">
        <v>0.28100269999999999</v>
      </c>
      <c r="N528">
        <v>0.229931</v>
      </c>
    </row>
    <row r="529" spans="1:14" hidden="1" x14ac:dyDescent="0.35">
      <c r="A529" t="s">
        <v>240</v>
      </c>
      <c r="B529" t="s">
        <v>37</v>
      </c>
      <c r="C529" t="s">
        <v>79</v>
      </c>
      <c r="D529" t="s">
        <v>79</v>
      </c>
      <c r="E529" t="s">
        <v>601</v>
      </c>
      <c r="F529" t="s">
        <v>581</v>
      </c>
      <c r="G529" t="s">
        <v>25</v>
      </c>
      <c r="H529">
        <v>1.4531510000000001</v>
      </c>
      <c r="I529">
        <v>2.3854570000000002</v>
      </c>
      <c r="J529">
        <v>2.7070959999999999</v>
      </c>
      <c r="K529">
        <v>2.0189530000000002</v>
      </c>
      <c r="L529">
        <v>1.676658</v>
      </c>
      <c r="M529">
        <v>1.3488119999999999</v>
      </c>
      <c r="N529">
        <v>1.1036710000000001</v>
      </c>
    </row>
    <row r="530" spans="1:14" hidden="1" x14ac:dyDescent="0.35">
      <c r="A530" t="s">
        <v>240</v>
      </c>
      <c r="B530" t="s">
        <v>37</v>
      </c>
      <c r="C530" t="s">
        <v>79</v>
      </c>
      <c r="D530" t="s">
        <v>79</v>
      </c>
      <c r="E530" t="s">
        <v>601</v>
      </c>
      <c r="F530" t="s">
        <v>26</v>
      </c>
      <c r="G530" t="s">
        <v>26</v>
      </c>
      <c r="H530">
        <v>7.2547940000000004</v>
      </c>
      <c r="I530">
        <v>7.0569730000000002</v>
      </c>
      <c r="J530">
        <v>8.0084859999999995</v>
      </c>
      <c r="K530">
        <v>5.9727449999999997</v>
      </c>
      <c r="L530">
        <v>4.9601179999999996</v>
      </c>
      <c r="M530">
        <v>3.9902380000000002</v>
      </c>
      <c r="N530">
        <v>3.2650389999999998</v>
      </c>
    </row>
    <row r="531" spans="1:14" hidden="1" x14ac:dyDescent="0.35">
      <c r="A531" t="s">
        <v>240</v>
      </c>
      <c r="B531" t="s">
        <v>37</v>
      </c>
      <c r="C531" t="s">
        <v>46</v>
      </c>
      <c r="D531" t="s">
        <v>46</v>
      </c>
      <c r="E531" t="s">
        <v>641</v>
      </c>
      <c r="F531" t="s">
        <v>26</v>
      </c>
      <c r="G531" t="s">
        <v>26</v>
      </c>
      <c r="H531">
        <v>117</v>
      </c>
      <c r="I531">
        <v>115.4032</v>
      </c>
      <c r="J531">
        <v>114.78189999999999</v>
      </c>
      <c r="K531">
        <v>100.4016</v>
      </c>
      <c r="L531">
        <v>84.944479999999999</v>
      </c>
      <c r="M531">
        <v>81.923820000000006</v>
      </c>
      <c r="N531">
        <v>87.138450000000006</v>
      </c>
    </row>
    <row r="532" spans="1:14" hidden="1" x14ac:dyDescent="0.35">
      <c r="A532" t="s">
        <v>240</v>
      </c>
      <c r="B532" t="s">
        <v>37</v>
      </c>
      <c r="C532" t="s">
        <v>115</v>
      </c>
      <c r="D532" t="s">
        <v>115</v>
      </c>
      <c r="E532" t="s">
        <v>597</v>
      </c>
      <c r="F532" t="s">
        <v>581</v>
      </c>
      <c r="G532" t="s">
        <v>396</v>
      </c>
      <c r="H532">
        <v>15.88383</v>
      </c>
      <c r="I532">
        <v>18.47222</v>
      </c>
      <c r="J532">
        <v>17.605609999999999</v>
      </c>
      <c r="K532">
        <v>14.627549999999999</v>
      </c>
      <c r="L532">
        <v>11.930020000000001</v>
      </c>
      <c r="M532">
        <v>7.8330409999999997</v>
      </c>
      <c r="N532">
        <v>5.481166</v>
      </c>
    </row>
    <row r="533" spans="1:14" hidden="1" x14ac:dyDescent="0.35">
      <c r="A533" t="s">
        <v>240</v>
      </c>
      <c r="B533" t="s">
        <v>37</v>
      </c>
      <c r="C533" t="s">
        <v>115</v>
      </c>
      <c r="D533" t="s">
        <v>115</v>
      </c>
      <c r="E533" t="s">
        <v>597</v>
      </c>
      <c r="F533" t="s">
        <v>581</v>
      </c>
      <c r="G533" t="s">
        <v>25</v>
      </c>
      <c r="H533">
        <v>4.3361669999999997</v>
      </c>
      <c r="I533">
        <v>5.6684679999999998</v>
      </c>
      <c r="J533">
        <v>5.4039429999999999</v>
      </c>
      <c r="K533">
        <v>4.489846</v>
      </c>
      <c r="L533">
        <v>3.6618520000000001</v>
      </c>
      <c r="M533">
        <v>2.4043049999999999</v>
      </c>
      <c r="N533">
        <v>1.682415</v>
      </c>
    </row>
    <row r="534" spans="1:14" hidden="1" x14ac:dyDescent="0.35">
      <c r="A534" t="s">
        <v>240</v>
      </c>
      <c r="B534" t="s">
        <v>37</v>
      </c>
      <c r="C534" t="s">
        <v>115</v>
      </c>
      <c r="D534" t="s">
        <v>115</v>
      </c>
      <c r="E534" t="s">
        <v>597</v>
      </c>
      <c r="F534" t="s">
        <v>26</v>
      </c>
      <c r="G534" t="s">
        <v>26</v>
      </c>
      <c r="H534">
        <v>12.46123</v>
      </c>
      <c r="I534">
        <v>18.31352</v>
      </c>
      <c r="J534">
        <v>17.4589</v>
      </c>
      <c r="K534">
        <v>14.505649999999999</v>
      </c>
      <c r="L534">
        <v>11.8306</v>
      </c>
      <c r="M534">
        <v>7.7677659999999999</v>
      </c>
      <c r="N534">
        <v>5.4354899999999997</v>
      </c>
    </row>
    <row r="535" spans="1:14" hidden="1" x14ac:dyDescent="0.35">
      <c r="A535" t="s">
        <v>240</v>
      </c>
      <c r="B535" t="s">
        <v>37</v>
      </c>
      <c r="C535" t="s">
        <v>115</v>
      </c>
      <c r="D535" t="s">
        <v>115</v>
      </c>
      <c r="E535" t="s">
        <v>596</v>
      </c>
      <c r="F535" t="s">
        <v>581</v>
      </c>
      <c r="G535" t="s">
        <v>396</v>
      </c>
      <c r="H535">
        <v>3.1163150000000002</v>
      </c>
      <c r="I535">
        <v>2.8885529999999999</v>
      </c>
      <c r="J535">
        <v>3.8053270000000001</v>
      </c>
      <c r="K535">
        <v>3.8427539999999998</v>
      </c>
      <c r="L535">
        <v>3.0230980000000001</v>
      </c>
      <c r="M535">
        <v>2.2637489999999998</v>
      </c>
      <c r="N535">
        <v>1.8472869999999999</v>
      </c>
    </row>
    <row r="536" spans="1:14" hidden="1" x14ac:dyDescent="0.35">
      <c r="A536" t="s">
        <v>240</v>
      </c>
      <c r="B536" t="s">
        <v>37</v>
      </c>
      <c r="C536" t="s">
        <v>115</v>
      </c>
      <c r="D536" t="s">
        <v>115</v>
      </c>
      <c r="E536" t="s">
        <v>596</v>
      </c>
      <c r="F536" t="s">
        <v>581</v>
      </c>
      <c r="G536" t="s">
        <v>25</v>
      </c>
      <c r="H536">
        <v>0.66435889999999997</v>
      </c>
      <c r="I536">
        <v>0.69325320000000001</v>
      </c>
      <c r="J536">
        <v>0.91328529999999997</v>
      </c>
      <c r="K536">
        <v>0.92225800000000002</v>
      </c>
      <c r="L536">
        <v>0.72554479999999999</v>
      </c>
      <c r="M536">
        <v>0.54330029999999996</v>
      </c>
      <c r="N536">
        <v>0.44334430000000002</v>
      </c>
    </row>
    <row r="537" spans="1:14" hidden="1" x14ac:dyDescent="0.35">
      <c r="A537" t="s">
        <v>240</v>
      </c>
      <c r="B537" t="s">
        <v>37</v>
      </c>
      <c r="C537" t="s">
        <v>115</v>
      </c>
      <c r="D537" t="s">
        <v>115</v>
      </c>
      <c r="E537" t="s">
        <v>596</v>
      </c>
      <c r="F537" t="s">
        <v>26</v>
      </c>
      <c r="G537" t="s">
        <v>26</v>
      </c>
      <c r="H537">
        <v>1.872071</v>
      </c>
      <c r="I537">
        <v>2.1953</v>
      </c>
      <c r="J537">
        <v>2.8920499999999998</v>
      </c>
      <c r="K537">
        <v>2.920493</v>
      </c>
      <c r="L537">
        <v>2.2975530000000002</v>
      </c>
      <c r="M537">
        <v>1.7204470000000001</v>
      </c>
      <c r="N537">
        <v>1.4039379999999999</v>
      </c>
    </row>
    <row r="538" spans="1:14" hidden="1" x14ac:dyDescent="0.35">
      <c r="A538" t="s">
        <v>240</v>
      </c>
      <c r="B538" t="s">
        <v>37</v>
      </c>
      <c r="C538" t="s">
        <v>105</v>
      </c>
      <c r="D538" t="s">
        <v>105</v>
      </c>
      <c r="E538" t="s">
        <v>642</v>
      </c>
      <c r="F538" t="s">
        <v>581</v>
      </c>
      <c r="G538" t="s">
        <v>396</v>
      </c>
      <c r="H538">
        <v>7.5616440000000003</v>
      </c>
      <c r="I538">
        <v>9.3826689999999999</v>
      </c>
      <c r="J538">
        <v>7.7704319999999996</v>
      </c>
      <c r="K538">
        <v>6.4957880000000001</v>
      </c>
      <c r="L538">
        <v>5.5829899999999997</v>
      </c>
      <c r="M538">
        <v>4.6807759999999998</v>
      </c>
      <c r="N538">
        <v>4.0521149999999997</v>
      </c>
    </row>
    <row r="539" spans="1:14" hidden="1" x14ac:dyDescent="0.35">
      <c r="A539" t="s">
        <v>240</v>
      </c>
      <c r="B539" t="s">
        <v>37</v>
      </c>
      <c r="C539" t="s">
        <v>105</v>
      </c>
      <c r="D539" t="s">
        <v>105</v>
      </c>
      <c r="E539" t="s">
        <v>642</v>
      </c>
      <c r="F539" t="s">
        <v>581</v>
      </c>
      <c r="G539" t="s">
        <v>25</v>
      </c>
      <c r="H539">
        <v>3.007123</v>
      </c>
      <c r="I539">
        <v>1.799417</v>
      </c>
      <c r="J539">
        <v>1.490216</v>
      </c>
      <c r="K539">
        <v>1.245773</v>
      </c>
      <c r="L539">
        <v>1.070708</v>
      </c>
      <c r="M539">
        <v>0.89768300000000001</v>
      </c>
      <c r="N539">
        <v>0.77711200000000002</v>
      </c>
    </row>
    <row r="540" spans="1:14" hidden="1" x14ac:dyDescent="0.35">
      <c r="A540" t="s">
        <v>240</v>
      </c>
      <c r="B540" t="s">
        <v>37</v>
      </c>
      <c r="C540" t="s">
        <v>105</v>
      </c>
      <c r="D540" t="s">
        <v>105</v>
      </c>
      <c r="E540" t="s">
        <v>642</v>
      </c>
      <c r="F540" t="s">
        <v>26</v>
      </c>
      <c r="G540" t="s">
        <v>26</v>
      </c>
      <c r="H540">
        <v>5.6</v>
      </c>
      <c r="I540">
        <v>1.6708860000000001</v>
      </c>
      <c r="J540">
        <v>1.383775</v>
      </c>
      <c r="K540">
        <v>1.1567829999999999</v>
      </c>
      <c r="L540">
        <v>0.99423070000000002</v>
      </c>
      <c r="M540">
        <v>0.83356189999999997</v>
      </c>
      <c r="N540">
        <v>0.72161039999999999</v>
      </c>
    </row>
    <row r="541" spans="1:14" hidden="1" x14ac:dyDescent="0.35">
      <c r="A541" t="s">
        <v>240</v>
      </c>
      <c r="B541" t="s">
        <v>37</v>
      </c>
      <c r="C541" t="s">
        <v>105</v>
      </c>
      <c r="D541" t="s">
        <v>105</v>
      </c>
      <c r="E541" t="s">
        <v>643</v>
      </c>
      <c r="F541" t="s">
        <v>581</v>
      </c>
      <c r="G541" t="s">
        <v>396</v>
      </c>
      <c r="H541">
        <v>0.30250959999999999</v>
      </c>
      <c r="I541">
        <v>0.29571510000000001</v>
      </c>
      <c r="J541">
        <v>0.26988489999999998</v>
      </c>
      <c r="K541">
        <v>0.22510959999999999</v>
      </c>
      <c r="L541">
        <v>0.19770409999999999</v>
      </c>
      <c r="M541">
        <v>0.17653969999999999</v>
      </c>
      <c r="N541">
        <v>0.15749859999999999</v>
      </c>
    </row>
    <row r="542" spans="1:14" hidden="1" x14ac:dyDescent="0.35">
      <c r="A542" t="s">
        <v>240</v>
      </c>
      <c r="B542" t="s">
        <v>37</v>
      </c>
      <c r="C542" t="s">
        <v>105</v>
      </c>
      <c r="D542" t="s">
        <v>105</v>
      </c>
      <c r="E542" t="s">
        <v>643</v>
      </c>
      <c r="F542" t="s">
        <v>581</v>
      </c>
      <c r="G542" t="s">
        <v>25</v>
      </c>
      <c r="H542">
        <v>0.99287950000000003</v>
      </c>
      <c r="I542">
        <v>0.60024390000000005</v>
      </c>
      <c r="J542">
        <v>0.57575350000000003</v>
      </c>
      <c r="K542">
        <v>0.48023290000000002</v>
      </c>
      <c r="L542">
        <v>0.42177540000000002</v>
      </c>
      <c r="M542">
        <v>0.37662190000000001</v>
      </c>
      <c r="N542">
        <v>0.3359917</v>
      </c>
    </row>
    <row r="543" spans="1:14" hidden="1" x14ac:dyDescent="0.35">
      <c r="A543" t="s">
        <v>240</v>
      </c>
      <c r="B543" t="s">
        <v>37</v>
      </c>
      <c r="C543" t="s">
        <v>105</v>
      </c>
      <c r="D543" t="s">
        <v>105</v>
      </c>
      <c r="E543" t="s">
        <v>643</v>
      </c>
      <c r="F543" t="s">
        <v>26</v>
      </c>
      <c r="G543" t="s">
        <v>26</v>
      </c>
      <c r="H543">
        <v>3.2942459999999998</v>
      </c>
      <c r="I543">
        <v>0.99415339999999996</v>
      </c>
      <c r="J543">
        <v>0.95359729999999998</v>
      </c>
      <c r="K543">
        <v>0.79538359999999997</v>
      </c>
      <c r="L543">
        <v>0.69855889999999998</v>
      </c>
      <c r="M543">
        <v>0.62377260000000001</v>
      </c>
      <c r="N543">
        <v>0.55648759999999997</v>
      </c>
    </row>
    <row r="544" spans="1:14" hidden="1" x14ac:dyDescent="0.35">
      <c r="A544" t="s">
        <v>240</v>
      </c>
      <c r="B544" t="s">
        <v>37</v>
      </c>
      <c r="C544" t="s">
        <v>241</v>
      </c>
      <c r="D544" t="s">
        <v>241</v>
      </c>
      <c r="E544" t="s">
        <v>620</v>
      </c>
      <c r="F544" t="s">
        <v>581</v>
      </c>
      <c r="G544" t="s">
        <v>396</v>
      </c>
      <c r="H544">
        <v>0.14465749999999999</v>
      </c>
      <c r="I544">
        <v>0.19021099999999999</v>
      </c>
      <c r="J544">
        <v>0.19095889999999999</v>
      </c>
      <c r="K544">
        <v>0.1746685</v>
      </c>
      <c r="L544">
        <v>0.15018899999999999</v>
      </c>
      <c r="M544">
        <v>0.1313616</v>
      </c>
      <c r="N544">
        <v>0.1164877</v>
      </c>
    </row>
    <row r="545" spans="1:14" hidden="1" x14ac:dyDescent="0.35">
      <c r="A545" t="s">
        <v>240</v>
      </c>
      <c r="B545" t="s">
        <v>37</v>
      </c>
      <c r="C545" t="s">
        <v>241</v>
      </c>
      <c r="D545" t="s">
        <v>241</v>
      </c>
      <c r="E545" t="s">
        <v>620</v>
      </c>
      <c r="F545" t="s">
        <v>26</v>
      </c>
      <c r="G545" t="s">
        <v>26</v>
      </c>
      <c r="H545">
        <v>0.60493149999999996</v>
      </c>
      <c r="I545">
        <v>0.1902356</v>
      </c>
      <c r="J545">
        <v>0.19095889999999999</v>
      </c>
      <c r="K545">
        <v>0.1746685</v>
      </c>
      <c r="L545">
        <v>0.15018899999999999</v>
      </c>
      <c r="M545">
        <v>0.1313616</v>
      </c>
      <c r="N545">
        <v>0.1164877</v>
      </c>
    </row>
    <row r="546" spans="1:14" hidden="1" x14ac:dyDescent="0.35">
      <c r="A546" t="s">
        <v>240</v>
      </c>
      <c r="B546" t="s">
        <v>37</v>
      </c>
      <c r="C546" t="s">
        <v>35</v>
      </c>
      <c r="D546" t="s">
        <v>36</v>
      </c>
      <c r="E546" t="s">
        <v>644</v>
      </c>
      <c r="F546" t="s">
        <v>581</v>
      </c>
      <c r="G546" t="s">
        <v>396</v>
      </c>
      <c r="H546">
        <v>9.811781E-2</v>
      </c>
      <c r="I546">
        <v>8.4136989999999995E-2</v>
      </c>
      <c r="J546">
        <v>7.3221919999999996E-2</v>
      </c>
      <c r="K546">
        <v>6.4358899999999997E-2</v>
      </c>
      <c r="L546">
        <v>5.6635610000000003E-2</v>
      </c>
      <c r="M546">
        <v>4.9964389999999997E-2</v>
      </c>
      <c r="N546">
        <v>4.3841089999999999E-2</v>
      </c>
    </row>
    <row r="547" spans="1:14" hidden="1" x14ac:dyDescent="0.35">
      <c r="A547" t="s">
        <v>240</v>
      </c>
      <c r="B547" t="s">
        <v>37</v>
      </c>
      <c r="C547" t="s">
        <v>35</v>
      </c>
      <c r="D547" t="s">
        <v>36</v>
      </c>
      <c r="E547" t="s">
        <v>644</v>
      </c>
      <c r="F547" t="s">
        <v>581</v>
      </c>
      <c r="G547" t="s">
        <v>25</v>
      </c>
      <c r="H547">
        <v>1.9038360000000001E-2</v>
      </c>
      <c r="I547">
        <v>1.6323290000000001E-2</v>
      </c>
      <c r="J547">
        <v>1.4208220000000001E-2</v>
      </c>
      <c r="K547">
        <v>1.249041E-2</v>
      </c>
      <c r="L547">
        <v>1.098904E-2</v>
      </c>
      <c r="M547">
        <v>9.6931489999999999E-3</v>
      </c>
      <c r="N547">
        <v>8.5068509999999993E-3</v>
      </c>
    </row>
    <row r="548" spans="1:14" hidden="1" x14ac:dyDescent="0.35">
      <c r="A548" t="s">
        <v>240</v>
      </c>
      <c r="B548" t="s">
        <v>37</v>
      </c>
      <c r="C548" t="s">
        <v>35</v>
      </c>
      <c r="D548" t="s">
        <v>36</v>
      </c>
      <c r="E548" t="s">
        <v>644</v>
      </c>
      <c r="F548" t="s">
        <v>26</v>
      </c>
      <c r="G548" t="s">
        <v>26</v>
      </c>
      <c r="H548">
        <v>2.9287669999999998E-2</v>
      </c>
      <c r="I548">
        <v>2.511507E-2</v>
      </c>
      <c r="J548">
        <v>2.185753E-2</v>
      </c>
      <c r="K548">
        <v>1.9210959999999999E-2</v>
      </c>
      <c r="L548">
        <v>1.6906850000000001E-2</v>
      </c>
      <c r="M548">
        <v>1.4915070000000001E-2</v>
      </c>
      <c r="N548">
        <v>1.3087669999999999E-2</v>
      </c>
    </row>
    <row r="549" spans="1:14" hidden="1" x14ac:dyDescent="0.35">
      <c r="A549" t="s">
        <v>645</v>
      </c>
      <c r="B549" t="s">
        <v>37</v>
      </c>
      <c r="C549" t="s">
        <v>63</v>
      </c>
      <c r="D549" t="s">
        <v>63</v>
      </c>
      <c r="E549" t="s">
        <v>621</v>
      </c>
      <c r="F549" t="s">
        <v>26</v>
      </c>
      <c r="G549" t="s">
        <v>26</v>
      </c>
      <c r="H549">
        <v>394.97750000000002</v>
      </c>
      <c r="I549">
        <v>373.78320000000002</v>
      </c>
      <c r="J549">
        <v>387.43279999999999</v>
      </c>
      <c r="K549">
        <v>398.37639999999999</v>
      </c>
      <c r="L549">
        <v>372.50060000000002</v>
      </c>
      <c r="M549">
        <v>355.04820000000001</v>
      </c>
      <c r="N549">
        <v>359.8999</v>
      </c>
    </row>
    <row r="550" spans="1:14" hidden="1" x14ac:dyDescent="0.35">
      <c r="A550" t="s">
        <v>645</v>
      </c>
      <c r="B550" t="s">
        <v>37</v>
      </c>
      <c r="C550" t="s">
        <v>63</v>
      </c>
      <c r="D550" t="s">
        <v>63</v>
      </c>
      <c r="E550" t="s">
        <v>612</v>
      </c>
      <c r="F550" t="s">
        <v>581</v>
      </c>
      <c r="G550" t="s">
        <v>24</v>
      </c>
      <c r="J550">
        <v>0</v>
      </c>
      <c r="K550">
        <v>4.5002739999999999E-2</v>
      </c>
      <c r="L550">
        <v>0.212531</v>
      </c>
      <c r="M550">
        <v>0.37765480000000001</v>
      </c>
      <c r="N550">
        <v>0.39429589999999998</v>
      </c>
    </row>
    <row r="551" spans="1:14" hidden="1" x14ac:dyDescent="0.35">
      <c r="A551" t="s">
        <v>645</v>
      </c>
      <c r="B551" t="s">
        <v>37</v>
      </c>
      <c r="C551" t="s">
        <v>63</v>
      </c>
      <c r="D551" t="s">
        <v>63</v>
      </c>
      <c r="E551" t="s">
        <v>612</v>
      </c>
      <c r="F551" t="s">
        <v>581</v>
      </c>
      <c r="G551" t="s">
        <v>25</v>
      </c>
      <c r="J551">
        <v>0</v>
      </c>
      <c r="K551">
        <v>3.8572879999999997E-2</v>
      </c>
      <c r="L551">
        <v>0.18216850000000001</v>
      </c>
      <c r="M551">
        <v>0.32370270000000001</v>
      </c>
      <c r="N551">
        <v>0.33796850000000001</v>
      </c>
    </row>
    <row r="552" spans="1:14" hidden="1" x14ac:dyDescent="0.35">
      <c r="A552" t="s">
        <v>645</v>
      </c>
      <c r="B552" t="s">
        <v>37</v>
      </c>
      <c r="C552" t="s">
        <v>63</v>
      </c>
      <c r="D552" t="s">
        <v>63</v>
      </c>
      <c r="E552" t="s">
        <v>612</v>
      </c>
      <c r="F552" t="s">
        <v>26</v>
      </c>
      <c r="G552" t="s">
        <v>26</v>
      </c>
      <c r="J552">
        <v>0</v>
      </c>
      <c r="K552">
        <v>4.5002739999999999E-2</v>
      </c>
      <c r="L552">
        <v>0.212531</v>
      </c>
      <c r="M552">
        <v>0.37765480000000001</v>
      </c>
      <c r="N552">
        <v>0.39429589999999998</v>
      </c>
    </row>
    <row r="553" spans="1:14" hidden="1" x14ac:dyDescent="0.35">
      <c r="A553" t="s">
        <v>645</v>
      </c>
      <c r="B553" t="s">
        <v>37</v>
      </c>
      <c r="C553" t="s">
        <v>46</v>
      </c>
      <c r="D553" t="s">
        <v>46</v>
      </c>
      <c r="E553" t="s">
        <v>646</v>
      </c>
      <c r="F553" t="s">
        <v>581</v>
      </c>
      <c r="G553" t="s">
        <v>396</v>
      </c>
      <c r="L553">
        <v>0</v>
      </c>
      <c r="M553">
        <v>0</v>
      </c>
      <c r="N553">
        <v>0</v>
      </c>
    </row>
    <row r="554" spans="1:14" hidden="1" x14ac:dyDescent="0.35">
      <c r="A554" t="s">
        <v>645</v>
      </c>
      <c r="B554" t="s">
        <v>37</v>
      </c>
      <c r="C554" t="s">
        <v>46</v>
      </c>
      <c r="D554" t="s">
        <v>46</v>
      </c>
      <c r="E554" t="s">
        <v>646</v>
      </c>
      <c r="F554" t="s">
        <v>581</v>
      </c>
      <c r="G554" t="s">
        <v>25</v>
      </c>
      <c r="L554">
        <v>0</v>
      </c>
      <c r="M554">
        <v>-3.9868249999999998E-12</v>
      </c>
      <c r="N554">
        <v>-9.3690410000000006E-11</v>
      </c>
    </row>
    <row r="555" spans="1:14" hidden="1" x14ac:dyDescent="0.35">
      <c r="A555" t="s">
        <v>645</v>
      </c>
      <c r="B555" t="s">
        <v>37</v>
      </c>
      <c r="C555" t="s">
        <v>46</v>
      </c>
      <c r="D555" t="s">
        <v>46</v>
      </c>
      <c r="E555" t="s">
        <v>646</v>
      </c>
      <c r="F555" t="s">
        <v>26</v>
      </c>
      <c r="G555" t="s">
        <v>26</v>
      </c>
      <c r="L555">
        <v>0</v>
      </c>
      <c r="M555">
        <v>0</v>
      </c>
      <c r="N555">
        <v>0</v>
      </c>
    </row>
    <row r="556" spans="1:14" hidden="1" x14ac:dyDescent="0.35">
      <c r="A556" t="s">
        <v>243</v>
      </c>
      <c r="B556" t="s">
        <v>37</v>
      </c>
      <c r="C556" t="s">
        <v>218</v>
      </c>
      <c r="D556" t="s">
        <v>218</v>
      </c>
      <c r="E556" t="s">
        <v>593</v>
      </c>
      <c r="F556" t="s">
        <v>581</v>
      </c>
      <c r="G556" t="s">
        <v>396</v>
      </c>
      <c r="H556">
        <v>32.20384</v>
      </c>
      <c r="I556">
        <v>31.838760000000001</v>
      </c>
      <c r="J556">
        <v>29.723790000000001</v>
      </c>
      <c r="K556">
        <v>26.844670000000001</v>
      </c>
      <c r="L556">
        <v>24.006689999999999</v>
      </c>
      <c r="M556">
        <v>20.64406</v>
      </c>
      <c r="N556">
        <v>17.589490000000001</v>
      </c>
    </row>
    <row r="557" spans="1:14" hidden="1" x14ac:dyDescent="0.35">
      <c r="A557" t="s">
        <v>243</v>
      </c>
      <c r="B557" t="s">
        <v>37</v>
      </c>
      <c r="C557" t="s">
        <v>218</v>
      </c>
      <c r="D557" t="s">
        <v>218</v>
      </c>
      <c r="E557" t="s">
        <v>593</v>
      </c>
      <c r="F557" t="s">
        <v>581</v>
      </c>
      <c r="G557" t="s">
        <v>24</v>
      </c>
      <c r="H557">
        <v>20.82677</v>
      </c>
      <c r="I557">
        <v>19.239159999999998</v>
      </c>
      <c r="J557">
        <v>19.972899999999999</v>
      </c>
      <c r="K557">
        <v>17.658729999999998</v>
      </c>
      <c r="L557">
        <v>15.33924</v>
      </c>
      <c r="M557">
        <v>12.741099999999999</v>
      </c>
      <c r="N557">
        <v>10.85243</v>
      </c>
    </row>
    <row r="558" spans="1:14" hidden="1" x14ac:dyDescent="0.35">
      <c r="A558" t="s">
        <v>243</v>
      </c>
      <c r="B558" t="s">
        <v>37</v>
      </c>
      <c r="C558" t="s">
        <v>218</v>
      </c>
      <c r="D558" t="s">
        <v>218</v>
      </c>
      <c r="E558" t="s">
        <v>593</v>
      </c>
      <c r="F558" t="s">
        <v>581</v>
      </c>
      <c r="G558" t="s">
        <v>25</v>
      </c>
      <c r="H558">
        <v>27.755880000000001</v>
      </c>
      <c r="I558">
        <v>25.94032</v>
      </c>
      <c r="J558">
        <v>24.460809999999999</v>
      </c>
      <c r="K558">
        <v>21.993860000000002</v>
      </c>
      <c r="L558">
        <v>19.486630000000002</v>
      </c>
      <c r="M558">
        <v>16.493110000000001</v>
      </c>
      <c r="N558">
        <v>13.97921</v>
      </c>
    </row>
    <row r="559" spans="1:14" hidden="1" x14ac:dyDescent="0.35">
      <c r="A559" t="s">
        <v>243</v>
      </c>
      <c r="B559" t="s">
        <v>37</v>
      </c>
      <c r="C559" t="s">
        <v>218</v>
      </c>
      <c r="D559" t="s">
        <v>218</v>
      </c>
      <c r="E559" t="s">
        <v>593</v>
      </c>
      <c r="F559" t="s">
        <v>26</v>
      </c>
      <c r="G559" t="s">
        <v>26</v>
      </c>
      <c r="H559">
        <v>39.643999999999998</v>
      </c>
      <c r="I559">
        <v>35.298850000000002</v>
      </c>
      <c r="J559">
        <v>35.462890000000002</v>
      </c>
      <c r="K559">
        <v>32.27478</v>
      </c>
      <c r="L559">
        <v>28.727879999999999</v>
      </c>
      <c r="M559">
        <v>24.165790000000001</v>
      </c>
      <c r="N559">
        <v>20.31071</v>
      </c>
    </row>
    <row r="560" spans="1:14" hidden="1" x14ac:dyDescent="0.35">
      <c r="A560" t="s">
        <v>243</v>
      </c>
      <c r="B560" t="s">
        <v>37</v>
      </c>
      <c r="C560" t="s">
        <v>218</v>
      </c>
      <c r="D560" t="s">
        <v>218</v>
      </c>
      <c r="E560" t="s">
        <v>594</v>
      </c>
      <c r="F560" t="s">
        <v>581</v>
      </c>
      <c r="G560" t="s">
        <v>396</v>
      </c>
      <c r="H560">
        <v>11.64143</v>
      </c>
      <c r="I560">
        <v>12.90841</v>
      </c>
      <c r="J560">
        <v>11.831340000000001</v>
      </c>
      <c r="K560">
        <v>13.45064</v>
      </c>
      <c r="L560">
        <v>11.866860000000001</v>
      </c>
      <c r="M560">
        <v>8.7752400000000002</v>
      </c>
      <c r="N560">
        <v>6.9766490000000001</v>
      </c>
    </row>
    <row r="561" spans="1:14" hidden="1" x14ac:dyDescent="0.35">
      <c r="A561" t="s">
        <v>243</v>
      </c>
      <c r="B561" t="s">
        <v>37</v>
      </c>
      <c r="C561" t="s">
        <v>218</v>
      </c>
      <c r="D561" t="s">
        <v>218</v>
      </c>
      <c r="E561" t="s">
        <v>594</v>
      </c>
      <c r="F561" t="s">
        <v>581</v>
      </c>
      <c r="G561" t="s">
        <v>25</v>
      </c>
      <c r="H561">
        <v>2.7498109999999998</v>
      </c>
      <c r="I561">
        <v>2.922418</v>
      </c>
      <c r="J561">
        <v>2.667265</v>
      </c>
      <c r="K561">
        <v>3.0289450000000002</v>
      </c>
      <c r="L561">
        <v>2.6699660000000001</v>
      </c>
      <c r="M561">
        <v>1.9532689999999999</v>
      </c>
      <c r="N561">
        <v>1.535682</v>
      </c>
    </row>
    <row r="562" spans="1:14" hidden="1" x14ac:dyDescent="0.35">
      <c r="A562" t="s">
        <v>243</v>
      </c>
      <c r="B562" t="s">
        <v>37</v>
      </c>
      <c r="C562" t="s">
        <v>218</v>
      </c>
      <c r="D562" t="s">
        <v>218</v>
      </c>
      <c r="E562" t="s">
        <v>594</v>
      </c>
      <c r="F562" t="s">
        <v>26</v>
      </c>
      <c r="G562" t="s">
        <v>26</v>
      </c>
      <c r="H562">
        <v>3.8026439999999999</v>
      </c>
      <c r="I562">
        <v>4.161035</v>
      </c>
      <c r="J562">
        <v>3.7989820000000001</v>
      </c>
      <c r="K562">
        <v>4.3168860000000002</v>
      </c>
      <c r="L562">
        <v>3.8038949999999998</v>
      </c>
      <c r="M562">
        <v>2.7968220000000001</v>
      </c>
      <c r="N562">
        <v>2.2112479999999999</v>
      </c>
    </row>
    <row r="563" spans="1:14" hidden="1" x14ac:dyDescent="0.35">
      <c r="A563" t="s">
        <v>243</v>
      </c>
      <c r="B563" t="s">
        <v>37</v>
      </c>
      <c r="C563" t="s">
        <v>218</v>
      </c>
      <c r="D563" t="s">
        <v>218</v>
      </c>
      <c r="E563" t="s">
        <v>584</v>
      </c>
      <c r="F563" t="s">
        <v>581</v>
      </c>
      <c r="G563" t="s">
        <v>396</v>
      </c>
      <c r="H563">
        <v>4.5132409999999998</v>
      </c>
      <c r="I563">
        <v>3.7892980000000001</v>
      </c>
      <c r="J563">
        <v>3.4276849999999999</v>
      </c>
      <c r="K563">
        <v>3.1100629999999998</v>
      </c>
      <c r="L563">
        <v>2.8212549999999998</v>
      </c>
      <c r="M563">
        <v>2.5600070000000001</v>
      </c>
      <c r="N563">
        <v>2.3136169999999998</v>
      </c>
    </row>
    <row r="564" spans="1:14" hidden="1" x14ac:dyDescent="0.35">
      <c r="A564" t="s">
        <v>243</v>
      </c>
      <c r="B564" t="s">
        <v>37</v>
      </c>
      <c r="C564" t="s">
        <v>218</v>
      </c>
      <c r="D564" t="s">
        <v>218</v>
      </c>
      <c r="E564" t="s">
        <v>584</v>
      </c>
      <c r="F564" t="s">
        <v>581</v>
      </c>
      <c r="G564" t="s">
        <v>24</v>
      </c>
      <c r="H564">
        <v>1.8756169999999999E-2</v>
      </c>
      <c r="I564">
        <v>1.503562E-2</v>
      </c>
      <c r="J564">
        <v>1.255205E-2</v>
      </c>
      <c r="K564">
        <v>1.045397E-2</v>
      </c>
      <c r="L564">
        <v>8.5876709999999998E-3</v>
      </c>
      <c r="M564">
        <v>6.8704109999999999E-3</v>
      </c>
      <c r="N564">
        <v>5.5164389999999997E-3</v>
      </c>
    </row>
    <row r="565" spans="1:14" hidden="1" x14ac:dyDescent="0.35">
      <c r="A565" t="s">
        <v>243</v>
      </c>
      <c r="B565" t="s">
        <v>37</v>
      </c>
      <c r="C565" t="s">
        <v>218</v>
      </c>
      <c r="D565" t="s">
        <v>218</v>
      </c>
      <c r="E565" t="s">
        <v>584</v>
      </c>
      <c r="F565" t="s">
        <v>581</v>
      </c>
      <c r="G565" t="s">
        <v>25</v>
      </c>
      <c r="H565">
        <v>2.3527070000000001</v>
      </c>
      <c r="I565">
        <v>2.060403</v>
      </c>
      <c r="J565">
        <v>1.8616379999999999</v>
      </c>
      <c r="K565">
        <v>1.687201</v>
      </c>
      <c r="L565">
        <v>1.528489</v>
      </c>
      <c r="M565">
        <v>1.385254</v>
      </c>
      <c r="N565">
        <v>1.250122</v>
      </c>
    </row>
    <row r="566" spans="1:14" hidden="1" x14ac:dyDescent="0.35">
      <c r="A566" t="s">
        <v>243</v>
      </c>
      <c r="B566" t="s">
        <v>37</v>
      </c>
      <c r="C566" t="s">
        <v>218</v>
      </c>
      <c r="D566" t="s">
        <v>218</v>
      </c>
      <c r="E566" t="s">
        <v>584</v>
      </c>
      <c r="F566" t="s">
        <v>26</v>
      </c>
      <c r="G566" t="s">
        <v>26</v>
      </c>
      <c r="H566">
        <v>6.6861230000000003</v>
      </c>
      <c r="I566">
        <v>6.0205970000000004</v>
      </c>
      <c r="J566">
        <v>5.4489470000000004</v>
      </c>
      <c r="K566">
        <v>4.9488839999999996</v>
      </c>
      <c r="L566">
        <v>4.4988219999999997</v>
      </c>
      <c r="M566">
        <v>4.1032109999999999</v>
      </c>
      <c r="N566">
        <v>3.7282709999999999</v>
      </c>
    </row>
    <row r="567" spans="1:14" hidden="1" x14ac:dyDescent="0.35">
      <c r="A567" t="s">
        <v>243</v>
      </c>
      <c r="B567" t="s">
        <v>37</v>
      </c>
      <c r="C567" t="s">
        <v>35</v>
      </c>
      <c r="D567" t="s">
        <v>163</v>
      </c>
      <c r="E567" t="s">
        <v>580</v>
      </c>
      <c r="F567" t="s">
        <v>581</v>
      </c>
      <c r="G567" t="s">
        <v>396</v>
      </c>
      <c r="H567">
        <v>27.958570000000002</v>
      </c>
      <c r="I567">
        <v>24.53105</v>
      </c>
      <c r="J567">
        <v>25.98873</v>
      </c>
      <c r="K567">
        <v>24.465589999999999</v>
      </c>
      <c r="L567">
        <v>21.48808</v>
      </c>
      <c r="M567">
        <v>18.050889999999999</v>
      </c>
      <c r="N567">
        <v>15.77328</v>
      </c>
    </row>
    <row r="568" spans="1:14" hidden="1" x14ac:dyDescent="0.35">
      <c r="A568" t="s">
        <v>243</v>
      </c>
      <c r="B568" t="s">
        <v>37</v>
      </c>
      <c r="C568" t="s">
        <v>35</v>
      </c>
      <c r="D568" t="s">
        <v>163</v>
      </c>
      <c r="E568" t="s">
        <v>580</v>
      </c>
      <c r="F568" t="s">
        <v>581</v>
      </c>
      <c r="G568" t="s">
        <v>25</v>
      </c>
      <c r="H568">
        <v>9.1520550000000007</v>
      </c>
      <c r="I568">
        <v>8.6880489999999995</v>
      </c>
      <c r="J568">
        <v>9.2043400000000002</v>
      </c>
      <c r="K568">
        <v>8.6649019999999997</v>
      </c>
      <c r="L568">
        <v>7.6103529999999999</v>
      </c>
      <c r="M568">
        <v>6.3930220000000002</v>
      </c>
      <c r="N568">
        <v>5.5863709999999998</v>
      </c>
    </row>
    <row r="569" spans="1:14" hidden="1" x14ac:dyDescent="0.35">
      <c r="A569" t="s">
        <v>243</v>
      </c>
      <c r="B569" t="s">
        <v>37</v>
      </c>
      <c r="C569" t="s">
        <v>35</v>
      </c>
      <c r="D569" t="s">
        <v>163</v>
      </c>
      <c r="E569" t="s">
        <v>580</v>
      </c>
      <c r="F569" t="s">
        <v>26</v>
      </c>
      <c r="G569" t="s">
        <v>26</v>
      </c>
      <c r="H569">
        <v>7.7333699999999999</v>
      </c>
      <c r="I569">
        <v>8.6880450000000007</v>
      </c>
      <c r="J569">
        <v>9.2043389999999992</v>
      </c>
      <c r="K569">
        <v>8.6648949999999996</v>
      </c>
      <c r="L569">
        <v>7.6103589999999999</v>
      </c>
      <c r="M569">
        <v>6.3930210000000001</v>
      </c>
      <c r="N569">
        <v>5.5863680000000002</v>
      </c>
    </row>
    <row r="570" spans="1:14" hidden="1" x14ac:dyDescent="0.35">
      <c r="A570" t="s">
        <v>243</v>
      </c>
      <c r="B570" t="s">
        <v>37</v>
      </c>
      <c r="C570" t="s">
        <v>35</v>
      </c>
      <c r="D570" t="s">
        <v>163</v>
      </c>
      <c r="E570" t="s">
        <v>582</v>
      </c>
      <c r="F570" t="s">
        <v>581</v>
      </c>
      <c r="G570" t="s">
        <v>396</v>
      </c>
      <c r="H570">
        <v>9.7124380000000006</v>
      </c>
      <c r="I570">
        <v>9.3600729999999999</v>
      </c>
      <c r="J570">
        <v>11.24994</v>
      </c>
      <c r="K570">
        <v>11.77675</v>
      </c>
      <c r="L570">
        <v>10.47593</v>
      </c>
      <c r="M570">
        <v>12.856210000000001</v>
      </c>
      <c r="N570">
        <v>15.5945</v>
      </c>
    </row>
    <row r="571" spans="1:14" hidden="1" x14ac:dyDescent="0.35">
      <c r="A571" t="s">
        <v>243</v>
      </c>
      <c r="B571" t="s">
        <v>37</v>
      </c>
      <c r="C571" t="s">
        <v>35</v>
      </c>
      <c r="D571" t="s">
        <v>163</v>
      </c>
      <c r="E571" t="s">
        <v>582</v>
      </c>
      <c r="F571" t="s">
        <v>581</v>
      </c>
      <c r="G571" t="s">
        <v>25</v>
      </c>
      <c r="H571">
        <v>3.8508469999999999</v>
      </c>
      <c r="I571">
        <v>4.0129239999999999</v>
      </c>
      <c r="J571">
        <v>4.8231640000000002</v>
      </c>
      <c r="K571">
        <v>5.0490219999999999</v>
      </c>
      <c r="L571">
        <v>4.4913290000000003</v>
      </c>
      <c r="M571">
        <v>5.5118159999999996</v>
      </c>
      <c r="N571">
        <v>6.6858009999999997</v>
      </c>
    </row>
    <row r="572" spans="1:14" hidden="1" x14ac:dyDescent="0.35">
      <c r="A572" t="s">
        <v>243</v>
      </c>
      <c r="B572" t="s">
        <v>37</v>
      </c>
      <c r="C572" t="s">
        <v>35</v>
      </c>
      <c r="D572" t="s">
        <v>163</v>
      </c>
      <c r="E572" t="s">
        <v>582</v>
      </c>
      <c r="F572" t="s">
        <v>26</v>
      </c>
      <c r="G572" t="s">
        <v>26</v>
      </c>
      <c r="H572">
        <v>2.8294519999999999</v>
      </c>
      <c r="I572">
        <v>3.489503</v>
      </c>
      <c r="J572">
        <v>4.1940549999999996</v>
      </c>
      <c r="K572">
        <v>4.3904550000000002</v>
      </c>
      <c r="L572">
        <v>3.9054980000000001</v>
      </c>
      <c r="M572">
        <v>4.7928850000000001</v>
      </c>
      <c r="N572">
        <v>5.813739</v>
      </c>
    </row>
    <row r="573" spans="1:14" hidden="1" x14ac:dyDescent="0.35">
      <c r="A573" t="s">
        <v>243</v>
      </c>
      <c r="B573" t="s">
        <v>37</v>
      </c>
      <c r="C573" t="s">
        <v>35</v>
      </c>
      <c r="D573" t="s">
        <v>163</v>
      </c>
      <c r="E573" t="s">
        <v>583</v>
      </c>
      <c r="F573" t="s">
        <v>581</v>
      </c>
      <c r="G573" t="s">
        <v>396</v>
      </c>
      <c r="H573">
        <v>1.01326</v>
      </c>
      <c r="I573">
        <v>0.87291779999999997</v>
      </c>
      <c r="J573">
        <v>0.76576440000000001</v>
      </c>
      <c r="K573">
        <v>0.67385759999999995</v>
      </c>
      <c r="L573">
        <v>0.59298079999999997</v>
      </c>
      <c r="M573">
        <v>0.52315069999999997</v>
      </c>
      <c r="N573">
        <v>0.45902189999999998</v>
      </c>
    </row>
    <row r="574" spans="1:14" hidden="1" x14ac:dyDescent="0.35">
      <c r="A574" t="s">
        <v>243</v>
      </c>
      <c r="B574" t="s">
        <v>37</v>
      </c>
      <c r="C574" t="s">
        <v>35</v>
      </c>
      <c r="D574" t="s">
        <v>163</v>
      </c>
      <c r="E574" t="s">
        <v>583</v>
      </c>
      <c r="F574" t="s">
        <v>581</v>
      </c>
      <c r="G574" t="s">
        <v>25</v>
      </c>
      <c r="H574">
        <v>0.30706850000000002</v>
      </c>
      <c r="I574">
        <v>0.29097260000000003</v>
      </c>
      <c r="J574">
        <v>0.2552548</v>
      </c>
      <c r="K574">
        <v>0.22461919999999999</v>
      </c>
      <c r="L574">
        <v>0.19766030000000001</v>
      </c>
      <c r="M574">
        <v>0.1743836</v>
      </c>
      <c r="N574">
        <v>0.15300820000000001</v>
      </c>
    </row>
    <row r="575" spans="1:14" hidden="1" x14ac:dyDescent="0.35">
      <c r="A575" t="s">
        <v>243</v>
      </c>
      <c r="B575" t="s">
        <v>37</v>
      </c>
      <c r="C575" t="s">
        <v>35</v>
      </c>
      <c r="D575" t="s">
        <v>163</v>
      </c>
      <c r="E575" t="s">
        <v>583</v>
      </c>
      <c r="F575" t="s">
        <v>26</v>
      </c>
      <c r="G575" t="s">
        <v>26</v>
      </c>
      <c r="H575">
        <v>0.25950679999999998</v>
      </c>
      <c r="I575">
        <v>0.29097260000000003</v>
      </c>
      <c r="J575">
        <v>0.2552548</v>
      </c>
      <c r="K575">
        <v>0.22461919999999999</v>
      </c>
      <c r="L575">
        <v>0.19766030000000001</v>
      </c>
      <c r="M575">
        <v>0.1743836</v>
      </c>
      <c r="N575">
        <v>0.15300820000000001</v>
      </c>
    </row>
    <row r="576" spans="1:14" hidden="1" x14ac:dyDescent="0.35">
      <c r="A576" t="s">
        <v>243</v>
      </c>
      <c r="B576" t="s">
        <v>37</v>
      </c>
      <c r="C576" t="s">
        <v>35</v>
      </c>
      <c r="D576" t="s">
        <v>36</v>
      </c>
      <c r="E576" t="s">
        <v>584</v>
      </c>
      <c r="F576" t="s">
        <v>581</v>
      </c>
      <c r="G576" t="s">
        <v>396</v>
      </c>
      <c r="H576">
        <v>0.96460270000000004</v>
      </c>
      <c r="I576">
        <v>0.92264650000000004</v>
      </c>
      <c r="J576">
        <v>0.88249129999999998</v>
      </c>
      <c r="K576">
        <v>0.84321250000000003</v>
      </c>
      <c r="L576">
        <v>0.79791889999999999</v>
      </c>
      <c r="M576">
        <v>0.73795670000000002</v>
      </c>
      <c r="N576">
        <v>0.68511149999999998</v>
      </c>
    </row>
    <row r="577" spans="1:14" hidden="1" x14ac:dyDescent="0.35">
      <c r="A577" t="s">
        <v>243</v>
      </c>
      <c r="B577" t="s">
        <v>37</v>
      </c>
      <c r="C577" t="s">
        <v>35</v>
      </c>
      <c r="D577" t="s">
        <v>36</v>
      </c>
      <c r="E577" t="s">
        <v>584</v>
      </c>
      <c r="F577" t="s">
        <v>581</v>
      </c>
      <c r="G577" t="s">
        <v>24</v>
      </c>
      <c r="H577">
        <v>4.383562E-4</v>
      </c>
      <c r="I577">
        <v>0</v>
      </c>
    </row>
    <row r="578" spans="1:14" hidden="1" x14ac:dyDescent="0.35">
      <c r="A578" t="s">
        <v>243</v>
      </c>
      <c r="B578" t="s">
        <v>37</v>
      </c>
      <c r="C578" t="s">
        <v>35</v>
      </c>
      <c r="D578" t="s">
        <v>36</v>
      </c>
      <c r="E578" t="s">
        <v>584</v>
      </c>
      <c r="F578" t="s">
        <v>581</v>
      </c>
      <c r="G578" t="s">
        <v>25</v>
      </c>
      <c r="H578">
        <v>0.1198877</v>
      </c>
      <c r="I578">
        <v>0.11751780000000001</v>
      </c>
      <c r="J578">
        <v>0.115186</v>
      </c>
      <c r="K578">
        <v>0.11268060000000001</v>
      </c>
      <c r="L578">
        <v>0.1093756</v>
      </c>
      <c r="M578">
        <v>0.1038299</v>
      </c>
      <c r="N578">
        <v>9.9004099999999998E-2</v>
      </c>
    </row>
    <row r="579" spans="1:14" hidden="1" x14ac:dyDescent="0.35">
      <c r="A579" t="s">
        <v>243</v>
      </c>
      <c r="B579" t="s">
        <v>37</v>
      </c>
      <c r="C579" t="s">
        <v>35</v>
      </c>
      <c r="D579" t="s">
        <v>36</v>
      </c>
      <c r="E579" t="s">
        <v>584</v>
      </c>
      <c r="F579" t="s">
        <v>26</v>
      </c>
      <c r="G579" t="s">
        <v>26</v>
      </c>
      <c r="H579">
        <v>0.1012603</v>
      </c>
      <c r="I579">
        <v>9.9254800000000004E-2</v>
      </c>
      <c r="J579">
        <v>9.7286579999999998E-2</v>
      </c>
      <c r="K579">
        <v>9.5172610000000005E-2</v>
      </c>
      <c r="L579">
        <v>9.2380820000000002E-2</v>
      </c>
      <c r="M579">
        <v>8.7695889999999999E-2</v>
      </c>
      <c r="N579">
        <v>8.3621089999999995E-2</v>
      </c>
    </row>
    <row r="580" spans="1:14" hidden="1" x14ac:dyDescent="0.35">
      <c r="A580" t="s">
        <v>243</v>
      </c>
      <c r="B580" t="s">
        <v>37</v>
      </c>
      <c r="C580" t="s">
        <v>35</v>
      </c>
      <c r="D580" t="s">
        <v>36</v>
      </c>
      <c r="E580" t="s">
        <v>587</v>
      </c>
      <c r="F580" t="s">
        <v>581</v>
      </c>
      <c r="G580" t="s">
        <v>396</v>
      </c>
      <c r="H580">
        <v>3.9232879999999998E-2</v>
      </c>
      <c r="I580">
        <v>3.3084929999999999E-2</v>
      </c>
      <c r="J580">
        <v>2.9027399999999998E-2</v>
      </c>
      <c r="K580">
        <v>2.5545209999999999E-2</v>
      </c>
      <c r="L580">
        <v>2.2479450000000002E-2</v>
      </c>
      <c r="M580">
        <v>1.9832880000000001E-2</v>
      </c>
      <c r="N580">
        <v>1.7399999999999999E-2</v>
      </c>
    </row>
    <row r="581" spans="1:14" hidden="1" x14ac:dyDescent="0.35">
      <c r="A581" t="s">
        <v>243</v>
      </c>
      <c r="B581" t="s">
        <v>37</v>
      </c>
      <c r="C581" t="s">
        <v>35</v>
      </c>
      <c r="D581" t="s">
        <v>36</v>
      </c>
      <c r="E581" t="s">
        <v>587</v>
      </c>
      <c r="F581" t="s">
        <v>581</v>
      </c>
      <c r="G581" t="s">
        <v>25</v>
      </c>
      <c r="H581">
        <v>2.8493149999999998E-3</v>
      </c>
      <c r="I581">
        <v>2.7917810000000001E-3</v>
      </c>
      <c r="J581">
        <v>2.4493150000000001E-3</v>
      </c>
      <c r="K581">
        <v>2.1561639999999999E-3</v>
      </c>
      <c r="L581">
        <v>1.893151E-3</v>
      </c>
      <c r="M581">
        <v>1.6712330000000001E-3</v>
      </c>
      <c r="N581">
        <v>1.468493E-3</v>
      </c>
    </row>
    <row r="582" spans="1:14" hidden="1" x14ac:dyDescent="0.35">
      <c r="A582" t="s">
        <v>243</v>
      </c>
      <c r="B582" t="s">
        <v>37</v>
      </c>
      <c r="C582" t="s">
        <v>35</v>
      </c>
      <c r="D582" t="s">
        <v>36</v>
      </c>
      <c r="E582" t="s">
        <v>587</v>
      </c>
      <c r="F582" t="s">
        <v>26</v>
      </c>
      <c r="G582" t="s">
        <v>26</v>
      </c>
      <c r="H582">
        <v>3.5068489999999998E-3</v>
      </c>
      <c r="I582">
        <v>3.9863010000000003E-3</v>
      </c>
      <c r="J582">
        <v>3.49863E-3</v>
      </c>
      <c r="K582">
        <v>3.076713E-3</v>
      </c>
      <c r="L582">
        <v>2.7095890000000001E-3</v>
      </c>
      <c r="M582">
        <v>2.3890410000000002E-3</v>
      </c>
      <c r="N582">
        <v>2.09589E-3</v>
      </c>
    </row>
    <row r="583" spans="1:14" hidden="1" x14ac:dyDescent="0.35">
      <c r="A583" t="s">
        <v>243</v>
      </c>
      <c r="B583" t="s">
        <v>37</v>
      </c>
      <c r="C583" t="s">
        <v>35</v>
      </c>
      <c r="D583" t="s">
        <v>36</v>
      </c>
      <c r="E583" t="s">
        <v>589</v>
      </c>
      <c r="F583" t="s">
        <v>581</v>
      </c>
      <c r="G583" t="s">
        <v>396</v>
      </c>
      <c r="N583">
        <v>0</v>
      </c>
    </row>
    <row r="584" spans="1:14" hidden="1" x14ac:dyDescent="0.35">
      <c r="A584" t="s">
        <v>243</v>
      </c>
      <c r="B584" t="s">
        <v>37</v>
      </c>
      <c r="C584" t="s">
        <v>35</v>
      </c>
      <c r="D584" t="s">
        <v>36</v>
      </c>
      <c r="E584" t="s">
        <v>589</v>
      </c>
      <c r="F584" t="s">
        <v>581</v>
      </c>
      <c r="G584" t="s">
        <v>25</v>
      </c>
      <c r="N584">
        <v>0</v>
      </c>
    </row>
    <row r="585" spans="1:14" hidden="1" x14ac:dyDescent="0.35">
      <c r="A585" t="s">
        <v>243</v>
      </c>
      <c r="B585" t="s">
        <v>37</v>
      </c>
      <c r="C585" t="s">
        <v>35</v>
      </c>
      <c r="D585" t="s">
        <v>36</v>
      </c>
      <c r="E585" t="s">
        <v>589</v>
      </c>
      <c r="F585" t="s">
        <v>26</v>
      </c>
      <c r="G585" t="s">
        <v>26</v>
      </c>
      <c r="N585">
        <v>0</v>
      </c>
    </row>
    <row r="586" spans="1:14" hidden="1" x14ac:dyDescent="0.35">
      <c r="A586" t="s">
        <v>243</v>
      </c>
      <c r="B586" t="s">
        <v>37</v>
      </c>
      <c r="C586" t="s">
        <v>35</v>
      </c>
      <c r="D586" t="s">
        <v>39</v>
      </c>
      <c r="E586" t="s">
        <v>584</v>
      </c>
      <c r="F586" t="s">
        <v>581</v>
      </c>
      <c r="G586" t="s">
        <v>396</v>
      </c>
      <c r="H586">
        <v>0.93852040000000003</v>
      </c>
      <c r="I586">
        <v>0.78495619999999999</v>
      </c>
      <c r="J586">
        <v>0.7044165</v>
      </c>
      <c r="K586">
        <v>0.63396439999999998</v>
      </c>
      <c r="L586">
        <v>0.57055889999999998</v>
      </c>
      <c r="M586">
        <v>0.51483009999999996</v>
      </c>
      <c r="N586">
        <v>0.46200550000000001</v>
      </c>
    </row>
    <row r="587" spans="1:14" hidden="1" x14ac:dyDescent="0.35">
      <c r="A587" t="s">
        <v>243</v>
      </c>
      <c r="B587" t="s">
        <v>37</v>
      </c>
      <c r="C587" t="s">
        <v>35</v>
      </c>
      <c r="D587" t="s">
        <v>39</v>
      </c>
      <c r="E587" t="s">
        <v>584</v>
      </c>
      <c r="F587" t="s">
        <v>581</v>
      </c>
      <c r="G587" t="s">
        <v>25</v>
      </c>
      <c r="H587">
        <v>4.6904109999999999E-2</v>
      </c>
      <c r="I587">
        <v>4.5531500000000003E-2</v>
      </c>
      <c r="J587">
        <v>4.0860269999999997E-2</v>
      </c>
      <c r="K587">
        <v>3.6772609999999997E-2</v>
      </c>
      <c r="L587">
        <v>3.3095890000000003E-2</v>
      </c>
      <c r="M587">
        <v>2.986575E-2</v>
      </c>
      <c r="N587">
        <v>2.679726E-2</v>
      </c>
    </row>
    <row r="588" spans="1:14" hidden="1" x14ac:dyDescent="0.35">
      <c r="A588" t="s">
        <v>243</v>
      </c>
      <c r="B588" t="s">
        <v>37</v>
      </c>
      <c r="C588" t="s">
        <v>35</v>
      </c>
      <c r="D588" t="s">
        <v>39</v>
      </c>
      <c r="E588" t="s">
        <v>584</v>
      </c>
      <c r="F588" t="s">
        <v>26</v>
      </c>
      <c r="G588" t="s">
        <v>26</v>
      </c>
      <c r="H588">
        <v>0.22202740000000001</v>
      </c>
      <c r="I588">
        <v>0.2551754</v>
      </c>
      <c r="J588">
        <v>0.22899449999999999</v>
      </c>
      <c r="K588">
        <v>0.20609040000000001</v>
      </c>
      <c r="L588">
        <v>0.18547939999999999</v>
      </c>
      <c r="M588">
        <v>0.1673617</v>
      </c>
      <c r="N588">
        <v>0.15019179999999999</v>
      </c>
    </row>
    <row r="589" spans="1:14" hidden="1" x14ac:dyDescent="0.35">
      <c r="A589" t="s">
        <v>243</v>
      </c>
      <c r="B589" t="s">
        <v>37</v>
      </c>
      <c r="C589" t="s">
        <v>35</v>
      </c>
      <c r="D589" t="s">
        <v>233</v>
      </c>
      <c r="E589" t="s">
        <v>587</v>
      </c>
      <c r="F589" t="s">
        <v>581</v>
      </c>
      <c r="G589" t="s">
        <v>396</v>
      </c>
      <c r="H589">
        <v>0.37304110000000001</v>
      </c>
      <c r="I589">
        <v>0.28321370000000001</v>
      </c>
      <c r="J589">
        <v>0.24849589999999999</v>
      </c>
      <c r="K589">
        <v>0.21867120000000001</v>
      </c>
      <c r="L589">
        <v>0.1924274</v>
      </c>
      <c r="M589">
        <v>0.1697671</v>
      </c>
      <c r="N589">
        <v>0.14895620000000001</v>
      </c>
    </row>
    <row r="590" spans="1:14" hidden="1" x14ac:dyDescent="0.35">
      <c r="A590" t="s">
        <v>243</v>
      </c>
      <c r="B590" t="s">
        <v>37</v>
      </c>
      <c r="C590" t="s">
        <v>35</v>
      </c>
      <c r="D590" t="s">
        <v>233</v>
      </c>
      <c r="E590" t="s">
        <v>587</v>
      </c>
      <c r="F590" t="s">
        <v>581</v>
      </c>
      <c r="G590" t="s">
        <v>25</v>
      </c>
      <c r="H590">
        <v>2.0383559999999998E-2</v>
      </c>
      <c r="I590">
        <v>1.9309590000000001E-2</v>
      </c>
      <c r="J590">
        <v>1.6942470000000001E-2</v>
      </c>
      <c r="K590">
        <v>1.491233E-2</v>
      </c>
      <c r="L590">
        <v>1.312055E-2</v>
      </c>
      <c r="M590">
        <v>1.157534E-2</v>
      </c>
      <c r="N590">
        <v>1.0156159999999999E-2</v>
      </c>
    </row>
    <row r="591" spans="1:14" hidden="1" x14ac:dyDescent="0.35">
      <c r="A591" t="s">
        <v>243</v>
      </c>
      <c r="B591" t="s">
        <v>37</v>
      </c>
      <c r="C591" t="s">
        <v>35</v>
      </c>
      <c r="D591" t="s">
        <v>233</v>
      </c>
      <c r="E591" t="s">
        <v>587</v>
      </c>
      <c r="F591" t="s">
        <v>26</v>
      </c>
      <c r="G591" t="s">
        <v>26</v>
      </c>
      <c r="H591">
        <v>1.7095889999999999E-2</v>
      </c>
      <c r="I591">
        <v>1.9309590000000001E-2</v>
      </c>
      <c r="J591">
        <v>1.6942470000000001E-2</v>
      </c>
      <c r="K591">
        <v>1.490959E-2</v>
      </c>
      <c r="L591">
        <v>1.312055E-2</v>
      </c>
      <c r="M591">
        <v>1.157534E-2</v>
      </c>
      <c r="N591">
        <v>1.0156159999999999E-2</v>
      </c>
    </row>
    <row r="592" spans="1:14" hidden="1" x14ac:dyDescent="0.35">
      <c r="A592" t="s">
        <v>243</v>
      </c>
      <c r="B592" t="s">
        <v>37</v>
      </c>
      <c r="C592" t="s">
        <v>79</v>
      </c>
      <c r="D592" t="s">
        <v>79</v>
      </c>
      <c r="E592" t="s">
        <v>600</v>
      </c>
      <c r="F592" t="s">
        <v>581</v>
      </c>
      <c r="G592" t="s">
        <v>24</v>
      </c>
      <c r="H592">
        <v>8.5507969999999993</v>
      </c>
      <c r="I592">
        <v>6.5034989999999997</v>
      </c>
      <c r="J592">
        <v>4.6742699999999999</v>
      </c>
      <c r="K592">
        <v>3.9559470000000001</v>
      </c>
      <c r="L592">
        <v>3.6444399999999999</v>
      </c>
      <c r="M592">
        <v>3.6614439999999999</v>
      </c>
      <c r="N592">
        <v>2.9513750000000001</v>
      </c>
    </row>
    <row r="593" spans="1:14" hidden="1" x14ac:dyDescent="0.35">
      <c r="A593" t="s">
        <v>243</v>
      </c>
      <c r="B593" t="s">
        <v>37</v>
      </c>
      <c r="C593" t="s">
        <v>79</v>
      </c>
      <c r="D593" t="s">
        <v>79</v>
      </c>
      <c r="E593" t="s">
        <v>600</v>
      </c>
      <c r="F593" t="s">
        <v>581</v>
      </c>
      <c r="G593" t="s">
        <v>25</v>
      </c>
      <c r="H593">
        <v>20.699179999999998</v>
      </c>
      <c r="I593">
        <v>14.79636</v>
      </c>
      <c r="J593">
        <v>10.87147</v>
      </c>
      <c r="K593">
        <v>9.2906980000000008</v>
      </c>
      <c r="L593">
        <v>8.8495910000000002</v>
      </c>
      <c r="M593">
        <v>9.2956529999999997</v>
      </c>
      <c r="N593">
        <v>7.3740730000000001</v>
      </c>
    </row>
    <row r="594" spans="1:14" hidden="1" x14ac:dyDescent="0.35">
      <c r="A594" t="s">
        <v>243</v>
      </c>
      <c r="B594" t="s">
        <v>37</v>
      </c>
      <c r="C594" t="s">
        <v>79</v>
      </c>
      <c r="D594" t="s">
        <v>79</v>
      </c>
      <c r="E594" t="s">
        <v>600</v>
      </c>
      <c r="F594" t="s">
        <v>26</v>
      </c>
      <c r="G594" t="s">
        <v>26</v>
      </c>
      <c r="H594">
        <v>23.620270000000001</v>
      </c>
      <c r="I594">
        <v>18.674469999999999</v>
      </c>
      <c r="J594">
        <v>13.741630000000001</v>
      </c>
      <c r="K594">
        <v>11.761049999999999</v>
      </c>
      <c r="L594">
        <v>11.258749999999999</v>
      </c>
      <c r="M594">
        <v>11.901859999999999</v>
      </c>
      <c r="N594">
        <v>9.4202870000000001</v>
      </c>
    </row>
    <row r="595" spans="1:14" hidden="1" x14ac:dyDescent="0.35">
      <c r="A595" t="s">
        <v>243</v>
      </c>
      <c r="B595" t="s">
        <v>37</v>
      </c>
      <c r="C595" t="s">
        <v>79</v>
      </c>
      <c r="D595" t="s">
        <v>79</v>
      </c>
      <c r="E595" t="s">
        <v>615</v>
      </c>
      <c r="F595" t="s">
        <v>581</v>
      </c>
      <c r="G595" t="s">
        <v>396</v>
      </c>
      <c r="H595">
        <v>0.85089049999999999</v>
      </c>
      <c r="I595">
        <v>0.76498080000000002</v>
      </c>
      <c r="J595">
        <v>0.60935349999999999</v>
      </c>
      <c r="K595">
        <v>0.85748429999999998</v>
      </c>
      <c r="L595">
        <v>0.9467255</v>
      </c>
      <c r="M595">
        <v>0.82017709999999999</v>
      </c>
      <c r="N595">
        <v>0.59244819999999998</v>
      </c>
    </row>
    <row r="596" spans="1:14" hidden="1" x14ac:dyDescent="0.35">
      <c r="A596" t="s">
        <v>243</v>
      </c>
      <c r="B596" t="s">
        <v>37</v>
      </c>
      <c r="C596" t="s">
        <v>79</v>
      </c>
      <c r="D596" t="s">
        <v>79</v>
      </c>
      <c r="E596" t="s">
        <v>615</v>
      </c>
      <c r="F596" t="s">
        <v>581</v>
      </c>
      <c r="G596" t="s">
        <v>25</v>
      </c>
      <c r="H596">
        <v>1.0508219999999999</v>
      </c>
      <c r="I596">
        <v>0.846526</v>
      </c>
      <c r="J596">
        <v>0.69060809999999995</v>
      </c>
      <c r="K596">
        <v>0.97181150000000005</v>
      </c>
      <c r="L596">
        <v>1.0729550000000001</v>
      </c>
      <c r="M596">
        <v>0.92953750000000002</v>
      </c>
      <c r="N596">
        <v>0.67144219999999999</v>
      </c>
    </row>
    <row r="597" spans="1:14" hidden="1" x14ac:dyDescent="0.35">
      <c r="A597" t="s">
        <v>243</v>
      </c>
      <c r="B597" t="s">
        <v>37</v>
      </c>
      <c r="C597" t="s">
        <v>79</v>
      </c>
      <c r="D597" t="s">
        <v>79</v>
      </c>
      <c r="E597" t="s">
        <v>615</v>
      </c>
      <c r="F597" t="s">
        <v>26</v>
      </c>
      <c r="G597" t="s">
        <v>26</v>
      </c>
      <c r="H597">
        <v>1.0047950000000001</v>
      </c>
      <c r="I597">
        <v>0.89632330000000004</v>
      </c>
      <c r="J597">
        <v>0.73122469999999995</v>
      </c>
      <c r="K597">
        <v>1.028983</v>
      </c>
      <c r="L597">
        <v>1.136074</v>
      </c>
      <c r="M597">
        <v>0.98421309999999995</v>
      </c>
      <c r="N597">
        <v>0.7109396</v>
      </c>
    </row>
    <row r="598" spans="1:14" hidden="1" x14ac:dyDescent="0.35">
      <c r="A598" t="s">
        <v>243</v>
      </c>
      <c r="B598" t="s">
        <v>37</v>
      </c>
      <c r="C598" t="s">
        <v>79</v>
      </c>
      <c r="D598" t="s">
        <v>79</v>
      </c>
      <c r="E598" t="s">
        <v>584</v>
      </c>
      <c r="F598" t="s">
        <v>581</v>
      </c>
      <c r="G598" t="s">
        <v>396</v>
      </c>
      <c r="H598">
        <v>0.15572330000000001</v>
      </c>
      <c r="I598">
        <v>0.14105480000000001</v>
      </c>
      <c r="J598">
        <v>0.1271515</v>
      </c>
      <c r="K598">
        <v>0.1149482</v>
      </c>
      <c r="L598">
        <v>0.10391069999999999</v>
      </c>
      <c r="M598">
        <v>9.4056710000000002E-2</v>
      </c>
      <c r="N598">
        <v>8.4740819999999994E-2</v>
      </c>
    </row>
    <row r="599" spans="1:14" hidden="1" x14ac:dyDescent="0.35">
      <c r="A599" t="s">
        <v>243</v>
      </c>
      <c r="B599" t="s">
        <v>37</v>
      </c>
      <c r="C599" t="s">
        <v>79</v>
      </c>
      <c r="D599" t="s">
        <v>79</v>
      </c>
      <c r="E599" t="s">
        <v>584</v>
      </c>
      <c r="F599" t="s">
        <v>581</v>
      </c>
      <c r="G599" t="s">
        <v>24</v>
      </c>
      <c r="H599">
        <v>8.0273970000000004E-4</v>
      </c>
      <c r="I599">
        <v>0</v>
      </c>
    </row>
    <row r="600" spans="1:14" hidden="1" x14ac:dyDescent="0.35">
      <c r="A600" t="s">
        <v>243</v>
      </c>
      <c r="B600" t="s">
        <v>37</v>
      </c>
      <c r="C600" t="s">
        <v>79</v>
      </c>
      <c r="D600" t="s">
        <v>79</v>
      </c>
      <c r="E600" t="s">
        <v>584</v>
      </c>
      <c r="F600" t="s">
        <v>581</v>
      </c>
      <c r="G600" t="s">
        <v>25</v>
      </c>
      <c r="H600">
        <v>1.7104109999999999E-2</v>
      </c>
      <c r="I600">
        <v>1.5435620000000001E-2</v>
      </c>
      <c r="J600">
        <v>1.384931E-2</v>
      </c>
      <c r="K600">
        <v>1.246301E-2</v>
      </c>
      <c r="L600">
        <v>1.1216439999999999E-2</v>
      </c>
      <c r="M600">
        <v>1.012329E-2</v>
      </c>
      <c r="N600">
        <v>9.0849320000000004E-3</v>
      </c>
    </row>
    <row r="601" spans="1:14" hidden="1" x14ac:dyDescent="0.35">
      <c r="A601" t="s">
        <v>243</v>
      </c>
      <c r="B601" t="s">
        <v>37</v>
      </c>
      <c r="C601" t="s">
        <v>79</v>
      </c>
      <c r="D601" t="s">
        <v>79</v>
      </c>
      <c r="E601" t="s">
        <v>584</v>
      </c>
      <c r="F601" t="s">
        <v>26</v>
      </c>
      <c r="G601" t="s">
        <v>26</v>
      </c>
      <c r="H601">
        <v>0.55406580000000005</v>
      </c>
      <c r="I601">
        <v>0.5150055</v>
      </c>
      <c r="J601">
        <v>0.47785179999999999</v>
      </c>
      <c r="K601">
        <v>0.4446</v>
      </c>
      <c r="L601">
        <v>0.41297780000000001</v>
      </c>
      <c r="M601">
        <v>0.3809246</v>
      </c>
      <c r="N601">
        <v>0.35124139999999998</v>
      </c>
    </row>
    <row r="602" spans="1:14" hidden="1" x14ac:dyDescent="0.35">
      <c r="A602" t="s">
        <v>243</v>
      </c>
      <c r="B602" t="s">
        <v>37</v>
      </c>
      <c r="C602" t="s">
        <v>246</v>
      </c>
      <c r="D602" t="s">
        <v>246</v>
      </c>
      <c r="E602" t="s">
        <v>647</v>
      </c>
      <c r="F602" t="s">
        <v>26</v>
      </c>
      <c r="G602" t="s">
        <v>26</v>
      </c>
      <c r="H602">
        <v>2.458526</v>
      </c>
      <c r="I602">
        <v>2.218378</v>
      </c>
      <c r="J602">
        <v>1.990764</v>
      </c>
      <c r="K602">
        <v>1.791658</v>
      </c>
      <c r="L602">
        <v>1.612468</v>
      </c>
      <c r="M602">
        <v>1.4549669999999999</v>
      </c>
      <c r="N602">
        <v>1.305682</v>
      </c>
    </row>
    <row r="603" spans="1:14" hidden="1" x14ac:dyDescent="0.35">
      <c r="A603" t="s">
        <v>243</v>
      </c>
      <c r="B603" t="s">
        <v>37</v>
      </c>
      <c r="C603" t="s">
        <v>246</v>
      </c>
      <c r="D603" t="s">
        <v>246</v>
      </c>
      <c r="E603" t="s">
        <v>584</v>
      </c>
      <c r="F603" t="s">
        <v>581</v>
      </c>
      <c r="G603" t="s">
        <v>396</v>
      </c>
      <c r="H603">
        <v>0.3574657</v>
      </c>
      <c r="I603">
        <v>0.35038910000000001</v>
      </c>
      <c r="J603">
        <v>0.34343780000000002</v>
      </c>
      <c r="K603">
        <v>0.3359723</v>
      </c>
      <c r="L603">
        <v>0.32611839999999997</v>
      </c>
      <c r="M603">
        <v>0.30958249999999998</v>
      </c>
      <c r="N603">
        <v>0.29519479999999998</v>
      </c>
    </row>
    <row r="604" spans="1:14" hidden="1" x14ac:dyDescent="0.35">
      <c r="A604" t="s">
        <v>243</v>
      </c>
      <c r="B604" t="s">
        <v>37</v>
      </c>
      <c r="C604" t="s">
        <v>246</v>
      </c>
      <c r="D604" t="s">
        <v>246</v>
      </c>
      <c r="E604" t="s">
        <v>584</v>
      </c>
      <c r="F604" t="s">
        <v>581</v>
      </c>
      <c r="G604" t="s">
        <v>25</v>
      </c>
      <c r="H604">
        <v>2.5786300000000002E-2</v>
      </c>
      <c r="I604">
        <v>1.7282189999999999E-2</v>
      </c>
      <c r="J604">
        <v>1.158356E-2</v>
      </c>
      <c r="K604">
        <v>7.764384E-3</v>
      </c>
      <c r="L604">
        <v>5.2301370000000002E-3</v>
      </c>
      <c r="M604">
        <v>3.50411E-3</v>
      </c>
      <c r="N604">
        <v>2.3479450000000002E-3</v>
      </c>
    </row>
    <row r="605" spans="1:14" hidden="1" x14ac:dyDescent="0.35">
      <c r="A605" t="s">
        <v>243</v>
      </c>
      <c r="B605" t="s">
        <v>37</v>
      </c>
      <c r="C605" t="s">
        <v>246</v>
      </c>
      <c r="D605" t="s">
        <v>246</v>
      </c>
      <c r="E605" t="s">
        <v>584</v>
      </c>
      <c r="F605" t="s">
        <v>26</v>
      </c>
      <c r="G605" t="s">
        <v>26</v>
      </c>
      <c r="H605">
        <v>2.328767E-2</v>
      </c>
      <c r="I605">
        <v>2.328767E-2</v>
      </c>
      <c r="J605">
        <v>2.328767E-2</v>
      </c>
      <c r="K605">
        <v>2.328767E-2</v>
      </c>
      <c r="L605">
        <v>2.328767E-2</v>
      </c>
      <c r="M605">
        <v>2.328767E-2</v>
      </c>
      <c r="N605">
        <v>2.328767E-2</v>
      </c>
    </row>
    <row r="606" spans="1:14" hidden="1" x14ac:dyDescent="0.35">
      <c r="A606" t="s">
        <v>243</v>
      </c>
      <c r="B606" t="s">
        <v>37</v>
      </c>
      <c r="C606" t="s">
        <v>46</v>
      </c>
      <c r="D606" t="s">
        <v>46</v>
      </c>
      <c r="E606" t="s">
        <v>584</v>
      </c>
      <c r="F606" t="s">
        <v>581</v>
      </c>
      <c r="G606" t="s">
        <v>396</v>
      </c>
      <c r="H606">
        <v>0.138263</v>
      </c>
      <c r="I606">
        <v>0.13482469999999999</v>
      </c>
      <c r="J606">
        <v>0.13147229999999999</v>
      </c>
      <c r="K606">
        <v>0.12809209999999999</v>
      </c>
      <c r="L606">
        <v>0.1236693</v>
      </c>
      <c r="M606">
        <v>0.116754</v>
      </c>
      <c r="N606">
        <v>0.1107006</v>
      </c>
    </row>
    <row r="607" spans="1:14" hidden="1" x14ac:dyDescent="0.35">
      <c r="A607" t="s">
        <v>243</v>
      </c>
      <c r="B607" t="s">
        <v>37</v>
      </c>
      <c r="C607" t="s">
        <v>46</v>
      </c>
      <c r="D607" t="s">
        <v>46</v>
      </c>
      <c r="E607" t="s">
        <v>584</v>
      </c>
      <c r="F607" t="s">
        <v>581</v>
      </c>
      <c r="G607" t="s">
        <v>24</v>
      </c>
      <c r="H607">
        <v>2.8076710000000001E-2</v>
      </c>
      <c r="I607">
        <v>2.7520550000000001E-2</v>
      </c>
      <c r="J607">
        <v>2.697534E-2</v>
      </c>
      <c r="K607">
        <v>2.6387399999999998E-2</v>
      </c>
      <c r="L607">
        <v>2.561397E-2</v>
      </c>
      <c r="M607">
        <v>2.4315070000000001E-2</v>
      </c>
      <c r="N607">
        <v>2.318657E-2</v>
      </c>
    </row>
    <row r="608" spans="1:14" hidden="1" x14ac:dyDescent="0.35">
      <c r="A608" t="s">
        <v>243</v>
      </c>
      <c r="B608" t="s">
        <v>37</v>
      </c>
      <c r="C608" t="s">
        <v>46</v>
      </c>
      <c r="D608" t="s">
        <v>46</v>
      </c>
      <c r="E608" t="s">
        <v>584</v>
      </c>
      <c r="F608" t="s">
        <v>581</v>
      </c>
      <c r="G608" t="s">
        <v>25</v>
      </c>
      <c r="H608">
        <v>0.11601640000000001</v>
      </c>
      <c r="I608">
        <v>0.11371779999999999</v>
      </c>
      <c r="J608">
        <v>0.1114619</v>
      </c>
      <c r="K608">
        <v>0.10903889999999999</v>
      </c>
      <c r="L608">
        <v>0.1058419</v>
      </c>
      <c r="M608">
        <v>0.1004762</v>
      </c>
      <c r="N608">
        <v>9.5806020000000006E-2</v>
      </c>
    </row>
    <row r="609" spans="1:14" hidden="1" x14ac:dyDescent="0.35">
      <c r="A609" t="s">
        <v>243</v>
      </c>
      <c r="B609" t="s">
        <v>37</v>
      </c>
      <c r="C609" t="s">
        <v>46</v>
      </c>
      <c r="D609" t="s">
        <v>46</v>
      </c>
      <c r="E609" t="s">
        <v>584</v>
      </c>
      <c r="F609" t="s">
        <v>26</v>
      </c>
      <c r="G609" t="s">
        <v>26</v>
      </c>
      <c r="H609">
        <v>0.12777259999999999</v>
      </c>
      <c r="I609">
        <v>0.122874</v>
      </c>
      <c r="J609">
        <v>0.11816989999999999</v>
      </c>
      <c r="K609">
        <v>0.11361259999999999</v>
      </c>
      <c r="L609">
        <v>0.10908</v>
      </c>
      <c r="M609">
        <v>4.5123290000000003E-2</v>
      </c>
      <c r="N609">
        <v>4.3130960000000003E-2</v>
      </c>
    </row>
    <row r="610" spans="1:14" hidden="1" x14ac:dyDescent="0.35">
      <c r="A610" t="s">
        <v>243</v>
      </c>
      <c r="B610" t="s">
        <v>37</v>
      </c>
      <c r="C610" t="s">
        <v>107</v>
      </c>
      <c r="D610" t="s">
        <v>107</v>
      </c>
      <c r="E610" t="s">
        <v>584</v>
      </c>
      <c r="F610" t="s">
        <v>581</v>
      </c>
      <c r="G610" t="s">
        <v>396</v>
      </c>
      <c r="H610">
        <v>8.3561639999999999E-4</v>
      </c>
      <c r="I610">
        <v>0</v>
      </c>
    </row>
    <row r="611" spans="1:14" hidden="1" x14ac:dyDescent="0.35">
      <c r="A611" t="s">
        <v>243</v>
      </c>
      <c r="B611" t="s">
        <v>37</v>
      </c>
      <c r="C611" t="s">
        <v>107</v>
      </c>
      <c r="D611" t="s">
        <v>107</v>
      </c>
      <c r="E611" t="s">
        <v>584</v>
      </c>
      <c r="F611" t="s">
        <v>581</v>
      </c>
      <c r="G611" t="s">
        <v>24</v>
      </c>
      <c r="H611">
        <v>7.780822E-4</v>
      </c>
      <c r="I611">
        <v>0</v>
      </c>
    </row>
    <row r="612" spans="1:14" hidden="1" x14ac:dyDescent="0.35">
      <c r="A612" t="s">
        <v>243</v>
      </c>
      <c r="B612" t="s">
        <v>37</v>
      </c>
      <c r="C612" t="s">
        <v>107</v>
      </c>
      <c r="D612" t="s">
        <v>107</v>
      </c>
      <c r="E612" t="s">
        <v>584</v>
      </c>
      <c r="F612" t="s">
        <v>581</v>
      </c>
      <c r="G612" t="s">
        <v>25</v>
      </c>
      <c r="H612">
        <v>1.552329E-2</v>
      </c>
      <c r="I612">
        <v>1.5216439999999999E-2</v>
      </c>
      <c r="J612">
        <v>1.4915070000000001E-2</v>
      </c>
      <c r="K612">
        <v>1.4589319999999999E-2</v>
      </c>
      <c r="L612">
        <v>1.4164110000000001E-2</v>
      </c>
      <c r="M612">
        <v>1.344384E-2</v>
      </c>
      <c r="N612">
        <v>1.281973E-2</v>
      </c>
    </row>
    <row r="613" spans="1:14" hidden="1" x14ac:dyDescent="0.35">
      <c r="A613" t="s">
        <v>243</v>
      </c>
      <c r="B613" t="s">
        <v>37</v>
      </c>
      <c r="C613" t="s">
        <v>107</v>
      </c>
      <c r="D613" t="s">
        <v>107</v>
      </c>
      <c r="E613" t="s">
        <v>584</v>
      </c>
      <c r="F613" t="s">
        <v>26</v>
      </c>
      <c r="G613" t="s">
        <v>26</v>
      </c>
      <c r="H613">
        <v>6.8490419999999996E-2</v>
      </c>
      <c r="I613">
        <v>6.8490419999999996E-2</v>
      </c>
      <c r="J613">
        <v>6.8490419999999996E-2</v>
      </c>
      <c r="K613">
        <v>6.8490419999999996E-2</v>
      </c>
      <c r="L613">
        <v>6.8490419999999996E-2</v>
      </c>
      <c r="M613">
        <v>6.8490419999999996E-2</v>
      </c>
      <c r="N613">
        <v>6.8490419999999996E-2</v>
      </c>
    </row>
    <row r="614" spans="1:14" hidden="1" x14ac:dyDescent="0.35">
      <c r="A614" t="s">
        <v>243</v>
      </c>
      <c r="B614" t="s">
        <v>37</v>
      </c>
      <c r="C614" t="s">
        <v>110</v>
      </c>
      <c r="D614" t="s">
        <v>110</v>
      </c>
      <c r="E614" t="s">
        <v>584</v>
      </c>
      <c r="F614" t="s">
        <v>26</v>
      </c>
      <c r="G614" t="s">
        <v>26</v>
      </c>
      <c r="H614">
        <v>2.2827400000000001E-2</v>
      </c>
      <c r="I614">
        <v>2.2375340000000001E-2</v>
      </c>
      <c r="J614">
        <v>2.1931510000000001E-2</v>
      </c>
      <c r="K614">
        <v>2.1453699999999999E-2</v>
      </c>
      <c r="L614">
        <v>2.082521E-2</v>
      </c>
      <c r="M614">
        <v>1.9768770000000001E-2</v>
      </c>
      <c r="N614">
        <v>1.8850680000000002E-2</v>
      </c>
    </row>
    <row r="615" spans="1:14" hidden="1" x14ac:dyDescent="0.35">
      <c r="A615" t="s">
        <v>243</v>
      </c>
      <c r="B615" t="s">
        <v>37</v>
      </c>
      <c r="C615" t="s">
        <v>249</v>
      </c>
      <c r="D615" t="s">
        <v>249</v>
      </c>
      <c r="E615" t="s">
        <v>584</v>
      </c>
      <c r="F615" t="s">
        <v>581</v>
      </c>
      <c r="G615" t="s">
        <v>25</v>
      </c>
      <c r="H615">
        <v>2.3632879999999998E-2</v>
      </c>
      <c r="I615">
        <v>1.5841089999999999E-2</v>
      </c>
      <c r="J615">
        <v>1.061644E-2</v>
      </c>
      <c r="K615">
        <v>7.1150679999999996E-3</v>
      </c>
      <c r="L615">
        <v>4.789041E-3</v>
      </c>
      <c r="M615">
        <v>3.2109590000000002E-3</v>
      </c>
      <c r="N615">
        <v>2.1506849999999998E-3</v>
      </c>
    </row>
    <row r="616" spans="1:14" hidden="1" x14ac:dyDescent="0.35">
      <c r="A616" t="s">
        <v>243</v>
      </c>
      <c r="B616" t="s">
        <v>37</v>
      </c>
      <c r="C616" t="s">
        <v>95</v>
      </c>
      <c r="D616" t="s">
        <v>95</v>
      </c>
      <c r="E616" t="s">
        <v>584</v>
      </c>
      <c r="F616" t="s">
        <v>581</v>
      </c>
      <c r="G616" t="s">
        <v>25</v>
      </c>
      <c r="H616">
        <v>1.958904E-3</v>
      </c>
      <c r="I616">
        <v>1.3123290000000001E-3</v>
      </c>
      <c r="J616">
        <v>8.821918E-4</v>
      </c>
      <c r="K616">
        <v>0</v>
      </c>
    </row>
    <row r="617" spans="1:14" hidden="1" x14ac:dyDescent="0.35">
      <c r="A617" t="s">
        <v>243</v>
      </c>
      <c r="B617" t="s">
        <v>37</v>
      </c>
      <c r="C617" t="s">
        <v>248</v>
      </c>
      <c r="D617" t="s">
        <v>248</v>
      </c>
      <c r="E617" t="s">
        <v>635</v>
      </c>
      <c r="F617" t="s">
        <v>581</v>
      </c>
      <c r="G617" t="s">
        <v>396</v>
      </c>
      <c r="I617">
        <v>0</v>
      </c>
    </row>
    <row r="618" spans="1:14" hidden="1" x14ac:dyDescent="0.35">
      <c r="A618" t="s">
        <v>243</v>
      </c>
      <c r="B618" t="s">
        <v>37</v>
      </c>
      <c r="C618" t="s">
        <v>248</v>
      </c>
      <c r="D618" t="s">
        <v>248</v>
      </c>
      <c r="E618" t="s">
        <v>635</v>
      </c>
      <c r="F618" t="s">
        <v>581</v>
      </c>
      <c r="G618" t="s">
        <v>24</v>
      </c>
      <c r="I618">
        <v>0</v>
      </c>
    </row>
    <row r="619" spans="1:14" hidden="1" x14ac:dyDescent="0.35">
      <c r="A619" t="s">
        <v>243</v>
      </c>
      <c r="B619" t="s">
        <v>245</v>
      </c>
      <c r="C619" t="s">
        <v>244</v>
      </c>
      <c r="D619" t="s">
        <v>244</v>
      </c>
      <c r="E619" t="s">
        <v>584</v>
      </c>
      <c r="F619" t="s">
        <v>581</v>
      </c>
      <c r="G619" t="s">
        <v>396</v>
      </c>
      <c r="K619">
        <v>0</v>
      </c>
      <c r="L619">
        <v>0</v>
      </c>
      <c r="M619">
        <v>0</v>
      </c>
      <c r="N619">
        <v>0</v>
      </c>
    </row>
    <row r="620" spans="1:14" hidden="1" x14ac:dyDescent="0.35">
      <c r="A620" t="s">
        <v>243</v>
      </c>
      <c r="B620" t="s">
        <v>245</v>
      </c>
      <c r="C620" t="s">
        <v>244</v>
      </c>
      <c r="D620" t="s">
        <v>244</v>
      </c>
      <c r="E620" t="s">
        <v>584</v>
      </c>
      <c r="F620" t="s">
        <v>581</v>
      </c>
      <c r="G620" t="s">
        <v>24</v>
      </c>
      <c r="H620">
        <v>0.2982979</v>
      </c>
      <c r="I620">
        <v>1.0339469999999999</v>
      </c>
      <c r="J620">
        <v>2.6113369999999998</v>
      </c>
      <c r="K620">
        <v>2.6603129999999999</v>
      </c>
      <c r="L620">
        <v>2.7207710000000001</v>
      </c>
      <c r="M620">
        <v>2.7317010000000002</v>
      </c>
      <c r="N620">
        <v>2.491501</v>
      </c>
    </row>
    <row r="621" spans="1:14" hidden="1" x14ac:dyDescent="0.35">
      <c r="A621" t="s">
        <v>243</v>
      </c>
      <c r="B621" t="s">
        <v>245</v>
      </c>
      <c r="C621" t="s">
        <v>244</v>
      </c>
      <c r="D621" t="s">
        <v>244</v>
      </c>
      <c r="E621" t="s">
        <v>584</v>
      </c>
      <c r="F621" t="s">
        <v>581</v>
      </c>
      <c r="G621" t="s">
        <v>25</v>
      </c>
      <c r="H621">
        <v>0</v>
      </c>
      <c r="I621">
        <v>0</v>
      </c>
      <c r="K621">
        <v>0</v>
      </c>
      <c r="L621">
        <v>0</v>
      </c>
      <c r="M621">
        <v>0</v>
      </c>
      <c r="N621">
        <v>0</v>
      </c>
    </row>
    <row r="622" spans="1:14" hidden="1" x14ac:dyDescent="0.35">
      <c r="A622" t="s">
        <v>243</v>
      </c>
      <c r="B622" t="s">
        <v>245</v>
      </c>
      <c r="C622" t="s">
        <v>244</v>
      </c>
      <c r="D622" t="s">
        <v>244</v>
      </c>
      <c r="E622" t="s">
        <v>584</v>
      </c>
      <c r="F622" t="s">
        <v>26</v>
      </c>
      <c r="G622" t="s">
        <v>26</v>
      </c>
      <c r="H622">
        <v>36.530569999999997</v>
      </c>
      <c r="I622">
        <v>80.544560000000004</v>
      </c>
      <c r="J622">
        <v>98.437380000000005</v>
      </c>
      <c r="K622">
        <v>99.486109999999996</v>
      </c>
      <c r="L622">
        <v>100.7383</v>
      </c>
      <c r="M622">
        <v>101.31180000000001</v>
      </c>
      <c r="N622">
        <v>101.31180000000001</v>
      </c>
    </row>
    <row r="623" spans="1:14" hidden="1" x14ac:dyDescent="0.35">
      <c r="A623" t="s">
        <v>243</v>
      </c>
      <c r="B623" t="s">
        <v>245</v>
      </c>
      <c r="C623" t="s">
        <v>247</v>
      </c>
      <c r="D623" t="s">
        <v>247</v>
      </c>
      <c r="E623" t="s">
        <v>584</v>
      </c>
      <c r="F623" t="s">
        <v>26</v>
      </c>
      <c r="G623" t="s">
        <v>26</v>
      </c>
      <c r="H623">
        <v>0.94117700000000004</v>
      </c>
      <c r="I623">
        <v>0.88261369999999995</v>
      </c>
      <c r="J623">
        <v>0.82770429999999995</v>
      </c>
      <c r="K623">
        <v>0.77532679999999998</v>
      </c>
      <c r="L623">
        <v>0.71897520000000004</v>
      </c>
      <c r="M623">
        <v>0.65158609999999995</v>
      </c>
      <c r="N623">
        <v>0.59252269999999996</v>
      </c>
    </row>
    <row r="624" spans="1:14" hidden="1" x14ac:dyDescent="0.35">
      <c r="A624" t="s">
        <v>243</v>
      </c>
      <c r="B624" t="s">
        <v>43</v>
      </c>
      <c r="C624" t="s">
        <v>42</v>
      </c>
      <c r="D624" t="s">
        <v>42</v>
      </c>
      <c r="E624" t="s">
        <v>584</v>
      </c>
      <c r="F624" t="s">
        <v>581</v>
      </c>
      <c r="G624" t="s">
        <v>24</v>
      </c>
      <c r="H624">
        <v>7.9379929999999996</v>
      </c>
      <c r="I624">
        <v>6.9964690000000003</v>
      </c>
      <c r="J624">
        <v>7.3524289999999999</v>
      </c>
      <c r="K624">
        <v>6.9007290000000001</v>
      </c>
      <c r="L624">
        <v>6.3462680000000002</v>
      </c>
      <c r="M624">
        <v>5.8831239999999996</v>
      </c>
      <c r="N624">
        <v>6.2804010000000003</v>
      </c>
    </row>
    <row r="625" spans="1:14" hidden="1" x14ac:dyDescent="0.35">
      <c r="A625" t="s">
        <v>243</v>
      </c>
      <c r="B625" t="s">
        <v>43</v>
      </c>
      <c r="C625" t="s">
        <v>42</v>
      </c>
      <c r="D625" t="s">
        <v>42</v>
      </c>
      <c r="E625" t="s">
        <v>584</v>
      </c>
      <c r="F625" t="s">
        <v>581</v>
      </c>
      <c r="G625" t="s">
        <v>25</v>
      </c>
      <c r="H625">
        <v>4.7918729999999998</v>
      </c>
      <c r="I625">
        <v>4.2257369999999996</v>
      </c>
      <c r="J625">
        <v>4.4399940000000004</v>
      </c>
      <c r="K625">
        <v>4.1680929999999998</v>
      </c>
      <c r="L625">
        <v>3.8360059999999998</v>
      </c>
      <c r="M625">
        <v>3.5407109999999999</v>
      </c>
      <c r="N625">
        <v>3.2479779999999998</v>
      </c>
    </row>
    <row r="626" spans="1:14" hidden="1" x14ac:dyDescent="0.35">
      <c r="A626" t="s">
        <v>243</v>
      </c>
      <c r="B626" t="s">
        <v>43</v>
      </c>
      <c r="C626" t="s">
        <v>42</v>
      </c>
      <c r="D626" t="s">
        <v>42</v>
      </c>
      <c r="E626" t="s">
        <v>584</v>
      </c>
      <c r="F626" t="s">
        <v>26</v>
      </c>
      <c r="G626" t="s">
        <v>26</v>
      </c>
      <c r="H626">
        <v>30.326080000000001</v>
      </c>
      <c r="I626">
        <v>26.768229999999999</v>
      </c>
      <c r="J626">
        <v>28.117180000000001</v>
      </c>
      <c r="K626">
        <v>26.405090000000001</v>
      </c>
      <c r="L626">
        <v>24.29374</v>
      </c>
      <c r="M626">
        <v>22.456430000000001</v>
      </c>
      <c r="N626">
        <v>22.23968</v>
      </c>
    </row>
    <row r="627" spans="1:14" hidden="1" x14ac:dyDescent="0.35">
      <c r="A627" t="s">
        <v>243</v>
      </c>
      <c r="B627" t="s">
        <v>43</v>
      </c>
      <c r="C627" t="s">
        <v>229</v>
      </c>
      <c r="D627" t="s">
        <v>229</v>
      </c>
      <c r="E627" t="s">
        <v>584</v>
      </c>
      <c r="F627" t="s">
        <v>581</v>
      </c>
      <c r="G627" t="s">
        <v>396</v>
      </c>
      <c r="H627">
        <v>5.7906519999999997</v>
      </c>
      <c r="I627">
        <v>5.5694780000000002</v>
      </c>
      <c r="J627">
        <v>5.6133189999999997</v>
      </c>
      <c r="K627">
        <v>5.1446339999999999</v>
      </c>
      <c r="L627">
        <v>4.6422489999999996</v>
      </c>
      <c r="M627">
        <v>2.7282700000000002</v>
      </c>
      <c r="N627">
        <v>2.4946920000000001</v>
      </c>
    </row>
    <row r="628" spans="1:14" hidden="1" x14ac:dyDescent="0.35">
      <c r="A628" t="s">
        <v>243</v>
      </c>
      <c r="B628" t="s">
        <v>43</v>
      </c>
      <c r="C628" t="s">
        <v>229</v>
      </c>
      <c r="D628" t="s">
        <v>229</v>
      </c>
      <c r="E628" t="s">
        <v>584</v>
      </c>
      <c r="F628" t="s">
        <v>581</v>
      </c>
      <c r="G628" t="s">
        <v>24</v>
      </c>
      <c r="H628">
        <v>2.646503</v>
      </c>
      <c r="I628">
        <v>2.2898640000000001</v>
      </c>
      <c r="J628">
        <v>2.237574</v>
      </c>
      <c r="K628">
        <v>1.9157729999999999</v>
      </c>
      <c r="L628">
        <v>1.6100080000000001</v>
      </c>
      <c r="M628">
        <v>1.3605529999999999</v>
      </c>
      <c r="N628">
        <v>1.153786</v>
      </c>
    </row>
    <row r="629" spans="1:14" hidden="1" x14ac:dyDescent="0.35">
      <c r="A629" t="s">
        <v>243</v>
      </c>
      <c r="B629" t="s">
        <v>43</v>
      </c>
      <c r="C629" t="s">
        <v>229</v>
      </c>
      <c r="D629" t="s">
        <v>229</v>
      </c>
      <c r="E629" t="s">
        <v>584</v>
      </c>
      <c r="F629" t="s">
        <v>581</v>
      </c>
      <c r="G629" t="s">
        <v>25</v>
      </c>
      <c r="I629">
        <v>0</v>
      </c>
      <c r="J629">
        <v>0.69881850000000001</v>
      </c>
      <c r="K629">
        <v>2.3527580000000001</v>
      </c>
      <c r="L629">
        <v>2.7091880000000002</v>
      </c>
      <c r="M629">
        <v>2.3221780000000001</v>
      </c>
      <c r="N629">
        <v>1.79369</v>
      </c>
    </row>
    <row r="630" spans="1:14" hidden="1" x14ac:dyDescent="0.35">
      <c r="A630" t="s">
        <v>243</v>
      </c>
      <c r="B630" t="s">
        <v>43</v>
      </c>
      <c r="C630" t="s">
        <v>229</v>
      </c>
      <c r="D630" t="s">
        <v>229</v>
      </c>
      <c r="E630" t="s">
        <v>584</v>
      </c>
      <c r="F630" t="s">
        <v>26</v>
      </c>
      <c r="G630" t="s">
        <v>26</v>
      </c>
      <c r="I630">
        <v>0</v>
      </c>
      <c r="J630">
        <v>1.7097230000000001</v>
      </c>
      <c r="K630">
        <v>7.4678440000000004</v>
      </c>
      <c r="L630">
        <v>10.904579999999999</v>
      </c>
      <c r="M630">
        <v>11.748670000000001</v>
      </c>
      <c r="N630">
        <v>9.669181</v>
      </c>
    </row>
    <row r="631" spans="1:14" hidden="1" x14ac:dyDescent="0.35">
      <c r="A631" t="s">
        <v>243</v>
      </c>
      <c r="B631" t="s">
        <v>388</v>
      </c>
      <c r="C631" t="s">
        <v>229</v>
      </c>
      <c r="D631" t="s">
        <v>229</v>
      </c>
      <c r="E631" t="s">
        <v>584</v>
      </c>
      <c r="F631" t="s">
        <v>581</v>
      </c>
      <c r="G631" t="s">
        <v>25</v>
      </c>
      <c r="N631">
        <v>0</v>
      </c>
    </row>
    <row r="632" spans="1:14" hidden="1" x14ac:dyDescent="0.35">
      <c r="A632" t="s">
        <v>243</v>
      </c>
      <c r="B632" t="s">
        <v>388</v>
      </c>
      <c r="C632" t="s">
        <v>229</v>
      </c>
      <c r="D632" t="s">
        <v>229</v>
      </c>
      <c r="E632" t="s">
        <v>584</v>
      </c>
      <c r="F632" t="s">
        <v>26</v>
      </c>
      <c r="G632" t="s">
        <v>26</v>
      </c>
      <c r="N632">
        <v>0</v>
      </c>
    </row>
    <row r="633" spans="1:14" hidden="1" x14ac:dyDescent="0.35">
      <c r="A633" t="s">
        <v>648</v>
      </c>
      <c r="B633" t="s">
        <v>37</v>
      </c>
      <c r="C633" t="s">
        <v>63</v>
      </c>
      <c r="D633" t="s">
        <v>63</v>
      </c>
      <c r="E633" t="s">
        <v>610</v>
      </c>
      <c r="F633" t="s">
        <v>581</v>
      </c>
      <c r="G633" t="s">
        <v>24</v>
      </c>
      <c r="H633">
        <v>8.6323720000000002</v>
      </c>
      <c r="I633">
        <v>12.709339999999999</v>
      </c>
      <c r="J633">
        <v>14.68652</v>
      </c>
      <c r="K633">
        <v>13.900029999999999</v>
      </c>
      <c r="L633">
        <v>11.630330000000001</v>
      </c>
      <c r="M633">
        <v>10.44745</v>
      </c>
      <c r="N633">
        <v>9.6245080000000005</v>
      </c>
    </row>
    <row r="634" spans="1:14" hidden="1" x14ac:dyDescent="0.35">
      <c r="A634" t="s">
        <v>648</v>
      </c>
      <c r="B634" t="s">
        <v>37</v>
      </c>
      <c r="C634" t="s">
        <v>63</v>
      </c>
      <c r="D634" t="s">
        <v>63</v>
      </c>
      <c r="E634" t="s">
        <v>610</v>
      </c>
      <c r="F634" t="s">
        <v>581</v>
      </c>
      <c r="G634" t="s">
        <v>25</v>
      </c>
      <c r="H634">
        <v>98.665729999999996</v>
      </c>
      <c r="I634">
        <v>104.4072</v>
      </c>
      <c r="J634">
        <v>121.54</v>
      </c>
      <c r="K634">
        <v>117.6635</v>
      </c>
      <c r="L634">
        <v>98.650700000000001</v>
      </c>
      <c r="M634">
        <v>86.704580000000007</v>
      </c>
      <c r="N634">
        <v>78.375600000000006</v>
      </c>
    </row>
    <row r="635" spans="1:14" hidden="1" x14ac:dyDescent="0.35">
      <c r="A635" t="s">
        <v>648</v>
      </c>
      <c r="B635" t="s">
        <v>37</v>
      </c>
      <c r="C635" t="s">
        <v>63</v>
      </c>
      <c r="D635" t="s">
        <v>63</v>
      </c>
      <c r="E635" t="s">
        <v>610</v>
      </c>
      <c r="F635" t="s">
        <v>26</v>
      </c>
      <c r="G635" t="s">
        <v>26</v>
      </c>
      <c r="H635">
        <v>129.19200000000001</v>
      </c>
      <c r="I635">
        <v>135.34710000000001</v>
      </c>
      <c r="J635">
        <v>158.17250000000001</v>
      </c>
      <c r="K635">
        <v>153.55779999999999</v>
      </c>
      <c r="L635">
        <v>128.77690000000001</v>
      </c>
      <c r="M635">
        <v>112.87779999999999</v>
      </c>
      <c r="N635">
        <v>101.7903</v>
      </c>
    </row>
    <row r="636" spans="1:14" hidden="1" x14ac:dyDescent="0.35">
      <c r="A636" t="s">
        <v>648</v>
      </c>
      <c r="B636" t="s">
        <v>37</v>
      </c>
      <c r="C636" t="s">
        <v>63</v>
      </c>
      <c r="D636" t="s">
        <v>63</v>
      </c>
      <c r="E636" t="s">
        <v>608</v>
      </c>
      <c r="F636" t="s">
        <v>26</v>
      </c>
      <c r="G636" t="s">
        <v>26</v>
      </c>
      <c r="H636">
        <v>92.645009999999999</v>
      </c>
      <c r="I636">
        <v>112.8023</v>
      </c>
      <c r="J636">
        <v>102.8507</v>
      </c>
      <c r="K636">
        <v>85.835250000000002</v>
      </c>
      <c r="L636">
        <v>73.442869999999999</v>
      </c>
      <c r="M636">
        <v>62.015320000000003</v>
      </c>
      <c r="N636">
        <v>50.81561</v>
      </c>
    </row>
    <row r="637" spans="1:14" hidden="1" x14ac:dyDescent="0.35">
      <c r="A637" t="s">
        <v>648</v>
      </c>
      <c r="B637" t="s">
        <v>37</v>
      </c>
      <c r="C637" t="s">
        <v>63</v>
      </c>
      <c r="D637" t="s">
        <v>63</v>
      </c>
      <c r="E637" t="s">
        <v>621</v>
      </c>
      <c r="F637" t="s">
        <v>581</v>
      </c>
      <c r="G637" t="s">
        <v>25</v>
      </c>
      <c r="M637">
        <v>0</v>
      </c>
      <c r="N637">
        <v>-4.4652450000000001E-10</v>
      </c>
    </row>
    <row r="638" spans="1:14" hidden="1" x14ac:dyDescent="0.35">
      <c r="A638" t="s">
        <v>648</v>
      </c>
      <c r="B638" t="s">
        <v>37</v>
      </c>
      <c r="C638" t="s">
        <v>63</v>
      </c>
      <c r="D638" t="s">
        <v>63</v>
      </c>
      <c r="E638" t="s">
        <v>621</v>
      </c>
      <c r="F638" t="s">
        <v>26</v>
      </c>
      <c r="G638" t="s">
        <v>26</v>
      </c>
      <c r="H638">
        <v>13.840680000000001</v>
      </c>
      <c r="I638">
        <v>13.18441</v>
      </c>
      <c r="J638">
        <v>12.166410000000001</v>
      </c>
      <c r="K638">
        <v>10.568759999999999</v>
      </c>
      <c r="L638">
        <v>9.8020110000000003</v>
      </c>
      <c r="M638">
        <v>8.2530769999999993</v>
      </c>
      <c r="N638">
        <v>7.1622789999999998</v>
      </c>
    </row>
    <row r="639" spans="1:14" hidden="1" x14ac:dyDescent="0.35">
      <c r="A639" t="s">
        <v>648</v>
      </c>
      <c r="B639" t="s">
        <v>37</v>
      </c>
      <c r="C639" t="s">
        <v>63</v>
      </c>
      <c r="D639" t="s">
        <v>63</v>
      </c>
      <c r="E639" t="s">
        <v>584</v>
      </c>
      <c r="F639" t="s">
        <v>581</v>
      </c>
      <c r="G639" t="s">
        <v>25</v>
      </c>
      <c r="H639">
        <v>0.30738900000000002</v>
      </c>
      <c r="I639">
        <v>0.26522469999999998</v>
      </c>
      <c r="J639">
        <v>0.22882569999999999</v>
      </c>
      <c r="K639">
        <v>0.19703480000000001</v>
      </c>
      <c r="L639">
        <v>0.1675005</v>
      </c>
      <c r="M639">
        <v>0.13878879999999999</v>
      </c>
      <c r="N639">
        <v>0.1151378</v>
      </c>
    </row>
    <row r="640" spans="1:14" hidden="1" x14ac:dyDescent="0.35">
      <c r="A640" t="s">
        <v>648</v>
      </c>
      <c r="B640" t="s">
        <v>37</v>
      </c>
      <c r="C640" t="s">
        <v>63</v>
      </c>
      <c r="D640" t="s">
        <v>63</v>
      </c>
      <c r="E640" t="s">
        <v>584</v>
      </c>
      <c r="F640" t="s">
        <v>26</v>
      </c>
      <c r="G640" t="s">
        <v>26</v>
      </c>
      <c r="H640">
        <v>2.84348</v>
      </c>
      <c r="I640">
        <v>2.5654659999999998</v>
      </c>
      <c r="J640">
        <v>2.3144840000000002</v>
      </c>
      <c r="K640">
        <v>2.0848170000000001</v>
      </c>
      <c r="L640">
        <v>1.8565370000000001</v>
      </c>
      <c r="M640">
        <v>1.613324</v>
      </c>
      <c r="N640">
        <v>1.405227</v>
      </c>
    </row>
    <row r="641" spans="1:14" hidden="1" x14ac:dyDescent="0.35">
      <c r="A641" t="s">
        <v>648</v>
      </c>
      <c r="B641" t="s">
        <v>37</v>
      </c>
      <c r="C641" t="s">
        <v>63</v>
      </c>
      <c r="D641" t="s">
        <v>63</v>
      </c>
      <c r="E641" t="s">
        <v>612</v>
      </c>
      <c r="F641" t="s">
        <v>581</v>
      </c>
      <c r="G641" t="s">
        <v>24</v>
      </c>
      <c r="H641">
        <v>8.2684939999999995E-3</v>
      </c>
      <c r="I641">
        <v>6.4657539999999998E-3</v>
      </c>
      <c r="J641">
        <v>5.4273969999999996E-3</v>
      </c>
      <c r="K641">
        <v>4.4958910000000001E-3</v>
      </c>
      <c r="L641">
        <v>3.8164380000000001E-3</v>
      </c>
      <c r="M641">
        <v>3.3095889999999999E-3</v>
      </c>
      <c r="N641">
        <v>2.8986300000000001E-3</v>
      </c>
    </row>
    <row r="642" spans="1:14" hidden="1" x14ac:dyDescent="0.35">
      <c r="A642" t="s">
        <v>648</v>
      </c>
      <c r="B642" t="s">
        <v>37</v>
      </c>
      <c r="C642" t="s">
        <v>63</v>
      </c>
      <c r="D642" t="s">
        <v>63</v>
      </c>
      <c r="E642" t="s">
        <v>612</v>
      </c>
      <c r="F642" t="s">
        <v>581</v>
      </c>
      <c r="G642" t="s">
        <v>25</v>
      </c>
      <c r="H642">
        <v>0.40014250000000001</v>
      </c>
      <c r="I642">
        <v>0.3058959</v>
      </c>
      <c r="J642">
        <v>0.2441836</v>
      </c>
      <c r="K642">
        <v>0.20226569999999999</v>
      </c>
      <c r="L642">
        <v>0.1716849</v>
      </c>
      <c r="M642">
        <v>0.14896980000000001</v>
      </c>
      <c r="N642">
        <v>0.13049040000000001</v>
      </c>
    </row>
    <row r="643" spans="1:14" hidden="1" x14ac:dyDescent="0.35">
      <c r="A643" t="s">
        <v>648</v>
      </c>
      <c r="B643" t="s">
        <v>37</v>
      </c>
      <c r="C643" t="s">
        <v>63</v>
      </c>
      <c r="D643" t="s">
        <v>63</v>
      </c>
      <c r="E643" t="s">
        <v>612</v>
      </c>
      <c r="F643" t="s">
        <v>26</v>
      </c>
      <c r="G643" t="s">
        <v>26</v>
      </c>
      <c r="H643">
        <v>0.4801726</v>
      </c>
      <c r="I643">
        <v>0.36707400000000001</v>
      </c>
      <c r="J643">
        <v>0.2930219</v>
      </c>
      <c r="K643">
        <v>0.24271780000000001</v>
      </c>
      <c r="L643">
        <v>0.20601920000000001</v>
      </c>
      <c r="M643">
        <v>0.17876439999999999</v>
      </c>
      <c r="N643">
        <v>0.15658900000000001</v>
      </c>
    </row>
    <row r="644" spans="1:14" hidden="1" x14ac:dyDescent="0.35">
      <c r="A644" t="s">
        <v>648</v>
      </c>
      <c r="B644" t="s">
        <v>37</v>
      </c>
      <c r="C644" t="s">
        <v>63</v>
      </c>
      <c r="D644" t="s">
        <v>63</v>
      </c>
      <c r="E644" t="s">
        <v>611</v>
      </c>
      <c r="F644" t="s">
        <v>581</v>
      </c>
      <c r="G644" t="s">
        <v>24</v>
      </c>
      <c r="H644">
        <v>1.26E-2</v>
      </c>
      <c r="I644">
        <v>1.1356160000000001E-2</v>
      </c>
      <c r="J644">
        <v>1.0191779999999999E-2</v>
      </c>
      <c r="K644">
        <v>9.1780820000000006E-3</v>
      </c>
      <c r="L644">
        <v>8.2547939999999993E-3</v>
      </c>
      <c r="M644">
        <v>7.4547930000000004E-3</v>
      </c>
      <c r="N644">
        <v>6.6876720000000004E-3</v>
      </c>
    </row>
    <row r="645" spans="1:14" hidden="1" x14ac:dyDescent="0.35">
      <c r="A645" t="s">
        <v>648</v>
      </c>
      <c r="B645" t="s">
        <v>37</v>
      </c>
      <c r="C645" t="s">
        <v>63</v>
      </c>
      <c r="D645" t="s">
        <v>63</v>
      </c>
      <c r="E645" t="s">
        <v>611</v>
      </c>
      <c r="F645" t="s">
        <v>581</v>
      </c>
      <c r="G645" t="s">
        <v>25</v>
      </c>
      <c r="H645">
        <v>1.8895889999999999E-2</v>
      </c>
      <c r="I645">
        <v>1.703288E-2</v>
      </c>
      <c r="J645">
        <v>1.528493E-2</v>
      </c>
      <c r="K645">
        <v>1.376438E-2</v>
      </c>
      <c r="L645">
        <v>1.2380820000000001E-2</v>
      </c>
      <c r="M645">
        <v>1.1180819999999999E-2</v>
      </c>
      <c r="N645">
        <v>1.0032879999999999E-2</v>
      </c>
    </row>
    <row r="646" spans="1:14" hidden="1" x14ac:dyDescent="0.35">
      <c r="A646" t="s">
        <v>648</v>
      </c>
      <c r="B646" t="s">
        <v>37</v>
      </c>
      <c r="C646" t="s">
        <v>63</v>
      </c>
      <c r="D646" t="s">
        <v>63</v>
      </c>
      <c r="E646" t="s">
        <v>611</v>
      </c>
      <c r="F646" t="s">
        <v>26</v>
      </c>
      <c r="G646" t="s">
        <v>26</v>
      </c>
      <c r="H646">
        <v>9.4493149999999998E-2</v>
      </c>
      <c r="I646">
        <v>8.5167119999999999E-2</v>
      </c>
      <c r="J646">
        <v>7.6427389999999998E-2</v>
      </c>
      <c r="K646">
        <v>6.883562E-2</v>
      </c>
      <c r="L646">
        <v>6.1904109999999998E-2</v>
      </c>
      <c r="M646">
        <v>5.5901369999999999E-2</v>
      </c>
      <c r="N646">
        <v>5.016441E-2</v>
      </c>
    </row>
    <row r="647" spans="1:14" hidden="1" x14ac:dyDescent="0.35">
      <c r="A647" t="s">
        <v>648</v>
      </c>
      <c r="B647" t="s">
        <v>37</v>
      </c>
      <c r="C647" t="s">
        <v>46</v>
      </c>
      <c r="D647" t="s">
        <v>46</v>
      </c>
      <c r="E647" t="s">
        <v>584</v>
      </c>
      <c r="F647" t="s">
        <v>581</v>
      </c>
      <c r="G647" t="s">
        <v>396</v>
      </c>
      <c r="H647">
        <v>1.317666</v>
      </c>
      <c r="I647">
        <v>1.2653730000000001</v>
      </c>
      <c r="J647">
        <v>1.258726</v>
      </c>
      <c r="K647">
        <v>1.239573</v>
      </c>
      <c r="L647">
        <v>1.074444</v>
      </c>
      <c r="M647">
        <v>0.84464850000000002</v>
      </c>
      <c r="N647">
        <v>0.66926909999999995</v>
      </c>
    </row>
    <row r="648" spans="1:14" hidden="1" x14ac:dyDescent="0.35">
      <c r="A648" t="s">
        <v>648</v>
      </c>
      <c r="B648" t="s">
        <v>37</v>
      </c>
      <c r="C648" t="s">
        <v>46</v>
      </c>
      <c r="D648" t="s">
        <v>46</v>
      </c>
      <c r="E648" t="s">
        <v>584</v>
      </c>
      <c r="F648" t="s">
        <v>581</v>
      </c>
      <c r="G648" t="s">
        <v>24</v>
      </c>
      <c r="H648">
        <v>8.0273970000000004E-4</v>
      </c>
      <c r="I648">
        <v>0</v>
      </c>
    </row>
    <row r="649" spans="1:14" hidden="1" x14ac:dyDescent="0.35">
      <c r="A649" t="s">
        <v>648</v>
      </c>
      <c r="B649" t="s">
        <v>37</v>
      </c>
      <c r="C649" t="s">
        <v>46</v>
      </c>
      <c r="D649" t="s">
        <v>46</v>
      </c>
      <c r="E649" t="s">
        <v>584</v>
      </c>
      <c r="F649" t="s">
        <v>581</v>
      </c>
      <c r="G649" t="s">
        <v>25</v>
      </c>
      <c r="H649">
        <v>7.2916160000000003</v>
      </c>
      <c r="I649">
        <v>3.3909090000000002</v>
      </c>
      <c r="J649">
        <v>3.372341</v>
      </c>
      <c r="K649">
        <v>3.3203119999999999</v>
      </c>
      <c r="L649">
        <v>2.8787189999999998</v>
      </c>
      <c r="M649">
        <v>2.2638250000000002</v>
      </c>
      <c r="N649">
        <v>1.794316</v>
      </c>
    </row>
    <row r="650" spans="1:14" hidden="1" x14ac:dyDescent="0.35">
      <c r="A650" t="s">
        <v>648</v>
      </c>
      <c r="B650" t="s">
        <v>37</v>
      </c>
      <c r="C650" t="s">
        <v>46</v>
      </c>
      <c r="D650" t="s">
        <v>46</v>
      </c>
      <c r="E650" t="s">
        <v>584</v>
      </c>
      <c r="F650" t="s">
        <v>26</v>
      </c>
      <c r="G650" t="s">
        <v>26</v>
      </c>
      <c r="H650">
        <v>26.31503</v>
      </c>
      <c r="I650">
        <v>16.46856</v>
      </c>
      <c r="J650">
        <v>16.38231</v>
      </c>
      <c r="K650">
        <v>16.133310000000002</v>
      </c>
      <c r="L650">
        <v>13.98662</v>
      </c>
      <c r="M650">
        <v>10.99929</v>
      </c>
      <c r="N650">
        <v>8.7193559999999994</v>
      </c>
    </row>
    <row r="651" spans="1:14" hidden="1" x14ac:dyDescent="0.35">
      <c r="A651" t="s">
        <v>648</v>
      </c>
      <c r="B651" t="s">
        <v>37</v>
      </c>
      <c r="C651" t="s">
        <v>105</v>
      </c>
      <c r="D651" t="s">
        <v>105</v>
      </c>
      <c r="E651" t="s">
        <v>620</v>
      </c>
      <c r="F651" t="s">
        <v>581</v>
      </c>
      <c r="G651" t="s">
        <v>396</v>
      </c>
      <c r="H651">
        <v>0.12982189999999999</v>
      </c>
      <c r="I651">
        <v>0.1249784</v>
      </c>
      <c r="J651">
        <v>0.13382079999999999</v>
      </c>
      <c r="K651">
        <v>0.1084647</v>
      </c>
      <c r="L651">
        <v>9.7894800000000004E-2</v>
      </c>
      <c r="M651">
        <v>8.5898349999999998E-2</v>
      </c>
      <c r="N651">
        <v>7.2832049999999995E-2</v>
      </c>
    </row>
    <row r="652" spans="1:14" hidden="1" x14ac:dyDescent="0.35">
      <c r="A652" t="s">
        <v>648</v>
      </c>
      <c r="B652" t="s">
        <v>37</v>
      </c>
      <c r="C652" t="s">
        <v>105</v>
      </c>
      <c r="D652" t="s">
        <v>105</v>
      </c>
      <c r="E652" t="s">
        <v>620</v>
      </c>
      <c r="F652" t="s">
        <v>581</v>
      </c>
      <c r="G652" t="s">
        <v>25</v>
      </c>
      <c r="H652">
        <v>0.12740000000000001</v>
      </c>
      <c r="I652">
        <v>0.12081210000000001</v>
      </c>
      <c r="J652">
        <v>0.12936159999999999</v>
      </c>
      <c r="K652">
        <v>0.10485070000000001</v>
      </c>
      <c r="L652">
        <v>9.4632060000000004E-2</v>
      </c>
      <c r="M652">
        <v>8.3034520000000001E-2</v>
      </c>
      <c r="N652">
        <v>7.0399180000000006E-2</v>
      </c>
    </row>
    <row r="653" spans="1:14" hidden="1" x14ac:dyDescent="0.35">
      <c r="A653" t="s">
        <v>648</v>
      </c>
      <c r="B653" t="s">
        <v>37</v>
      </c>
      <c r="C653" t="s">
        <v>105</v>
      </c>
      <c r="D653" t="s">
        <v>105</v>
      </c>
      <c r="E653" t="s">
        <v>620</v>
      </c>
      <c r="F653" t="s">
        <v>26</v>
      </c>
      <c r="G653" t="s">
        <v>26</v>
      </c>
      <c r="H653">
        <v>0.18012329999999999</v>
      </c>
      <c r="I653">
        <v>0.1708036</v>
      </c>
      <c r="J653">
        <v>0.1828863</v>
      </c>
      <c r="K653">
        <v>0.14823749999999999</v>
      </c>
      <c r="L653">
        <v>0.1337882</v>
      </c>
      <c r="M653">
        <v>0.1173912</v>
      </c>
      <c r="N653">
        <v>9.9535349999999995E-2</v>
      </c>
    </row>
    <row r="654" spans="1:14" hidden="1" x14ac:dyDescent="0.35">
      <c r="A654" t="s">
        <v>648</v>
      </c>
      <c r="B654" t="s">
        <v>649</v>
      </c>
      <c r="C654" t="s">
        <v>650</v>
      </c>
      <c r="D654" t="s">
        <v>650</v>
      </c>
      <c r="E654" t="s">
        <v>584</v>
      </c>
      <c r="F654" t="s">
        <v>581</v>
      </c>
      <c r="G654" t="s">
        <v>396</v>
      </c>
      <c r="H654">
        <v>3.7016790000000001E-2</v>
      </c>
      <c r="I654">
        <v>3.4885979999999997E-2</v>
      </c>
      <c r="J654">
        <v>3.2883259999999997E-2</v>
      </c>
      <c r="K654">
        <v>3.1245160000000001E-2</v>
      </c>
      <c r="L654">
        <v>2.9832419999999998E-2</v>
      </c>
      <c r="M654">
        <v>2.8687549999999999E-2</v>
      </c>
      <c r="N654">
        <v>2.7550660000000001E-2</v>
      </c>
    </row>
    <row r="655" spans="1:14" hidden="1" x14ac:dyDescent="0.35">
      <c r="A655" t="s">
        <v>250</v>
      </c>
      <c r="B655" t="s">
        <v>37</v>
      </c>
      <c r="C655" t="s">
        <v>35</v>
      </c>
      <c r="D655" t="s">
        <v>36</v>
      </c>
      <c r="E655" t="s">
        <v>589</v>
      </c>
      <c r="F655" t="s">
        <v>581</v>
      </c>
      <c r="G655" t="s">
        <v>396</v>
      </c>
      <c r="H655">
        <v>115.29859999999999</v>
      </c>
      <c r="I655">
        <v>128.88890000000001</v>
      </c>
      <c r="J655">
        <v>153.65950000000001</v>
      </c>
      <c r="K655">
        <v>151.2038</v>
      </c>
      <c r="L655">
        <v>141.5823</v>
      </c>
      <c r="M655">
        <v>141.31299999999999</v>
      </c>
      <c r="N655">
        <v>139.96170000000001</v>
      </c>
    </row>
    <row r="656" spans="1:14" hidden="1" x14ac:dyDescent="0.35">
      <c r="A656" t="s">
        <v>250</v>
      </c>
      <c r="B656" t="s">
        <v>37</v>
      </c>
      <c r="C656" t="s">
        <v>35</v>
      </c>
      <c r="D656" t="s">
        <v>36</v>
      </c>
      <c r="E656" t="s">
        <v>589</v>
      </c>
      <c r="F656" t="s">
        <v>581</v>
      </c>
      <c r="G656" t="s">
        <v>25</v>
      </c>
      <c r="H656">
        <v>39.774239999999999</v>
      </c>
      <c r="I656">
        <v>44.422260000000001</v>
      </c>
      <c r="J656">
        <v>52.899169999999998</v>
      </c>
      <c r="K656">
        <v>52.053780000000003</v>
      </c>
      <c r="L656">
        <v>48.741439999999997</v>
      </c>
      <c r="M656">
        <v>48.648719999999997</v>
      </c>
      <c r="N656">
        <v>48.183520000000001</v>
      </c>
    </row>
    <row r="657" spans="1:14" hidden="1" x14ac:dyDescent="0.35">
      <c r="A657" t="s">
        <v>250</v>
      </c>
      <c r="B657" t="s">
        <v>37</v>
      </c>
      <c r="C657" t="s">
        <v>35</v>
      </c>
      <c r="D657" t="s">
        <v>36</v>
      </c>
      <c r="E657" t="s">
        <v>589</v>
      </c>
      <c r="F657" t="s">
        <v>26</v>
      </c>
      <c r="G657" t="s">
        <v>26</v>
      </c>
      <c r="H657">
        <v>33.229590000000002</v>
      </c>
      <c r="I657">
        <v>38.076230000000002</v>
      </c>
      <c r="J657">
        <v>45.342140000000001</v>
      </c>
      <c r="K657">
        <v>44.617530000000002</v>
      </c>
      <c r="L657">
        <v>41.778390000000002</v>
      </c>
      <c r="M657">
        <v>41.698909999999998</v>
      </c>
      <c r="N657">
        <v>41.300170000000001</v>
      </c>
    </row>
    <row r="658" spans="1:14" hidden="1" x14ac:dyDescent="0.35">
      <c r="A658" t="s">
        <v>250</v>
      </c>
      <c r="B658" t="s">
        <v>37</v>
      </c>
      <c r="C658" t="s">
        <v>35</v>
      </c>
      <c r="D658" t="s">
        <v>36</v>
      </c>
      <c r="E658" t="s">
        <v>590</v>
      </c>
      <c r="F658" t="s">
        <v>581</v>
      </c>
      <c r="G658" t="s">
        <v>396</v>
      </c>
      <c r="H658">
        <v>38.167670000000001</v>
      </c>
      <c r="I658">
        <v>35.506360000000001</v>
      </c>
      <c r="J658">
        <v>31.454339999999998</v>
      </c>
      <c r="K658">
        <v>27.812919999999998</v>
      </c>
      <c r="L658">
        <v>24.687629999999999</v>
      </c>
      <c r="M658">
        <v>21.962150000000001</v>
      </c>
      <c r="N658">
        <v>20.190020000000001</v>
      </c>
    </row>
    <row r="659" spans="1:14" hidden="1" x14ac:dyDescent="0.35">
      <c r="A659" t="s">
        <v>250</v>
      </c>
      <c r="B659" t="s">
        <v>37</v>
      </c>
      <c r="C659" t="s">
        <v>35</v>
      </c>
      <c r="D659" t="s">
        <v>36</v>
      </c>
      <c r="E659" t="s">
        <v>590</v>
      </c>
      <c r="F659" t="s">
        <v>581</v>
      </c>
      <c r="G659" t="s">
        <v>25</v>
      </c>
      <c r="H659">
        <v>12.337529999999999</v>
      </c>
      <c r="I659">
        <v>11.45036</v>
      </c>
      <c r="J659">
        <v>10.146559999999999</v>
      </c>
      <c r="K659">
        <v>8.9719139999999999</v>
      </c>
      <c r="L659">
        <v>7.9637529999999996</v>
      </c>
      <c r="M659">
        <v>7.0845640000000003</v>
      </c>
      <c r="N659">
        <v>6.5129070000000002</v>
      </c>
    </row>
    <row r="660" spans="1:14" hidden="1" x14ac:dyDescent="0.35">
      <c r="A660" t="s">
        <v>250</v>
      </c>
      <c r="B660" t="s">
        <v>37</v>
      </c>
      <c r="C660" t="s">
        <v>35</v>
      </c>
      <c r="D660" t="s">
        <v>36</v>
      </c>
      <c r="E660" t="s">
        <v>590</v>
      </c>
      <c r="F660" t="s">
        <v>26</v>
      </c>
      <c r="G660" t="s">
        <v>26</v>
      </c>
      <c r="H660">
        <v>10.82301</v>
      </c>
      <c r="I660">
        <v>10.30533</v>
      </c>
      <c r="J660">
        <v>9.1319060000000007</v>
      </c>
      <c r="K660">
        <v>8.074719</v>
      </c>
      <c r="L660">
        <v>7.1673799999999996</v>
      </c>
      <c r="M660">
        <v>6.3761080000000003</v>
      </c>
      <c r="N660">
        <v>5.8616190000000001</v>
      </c>
    </row>
    <row r="661" spans="1:14" hidden="1" x14ac:dyDescent="0.35">
      <c r="A661" t="s">
        <v>250</v>
      </c>
      <c r="B661" t="s">
        <v>37</v>
      </c>
      <c r="C661" t="s">
        <v>35</v>
      </c>
      <c r="D661" t="s">
        <v>36</v>
      </c>
      <c r="E661" t="s">
        <v>588</v>
      </c>
      <c r="F661" t="s">
        <v>581</v>
      </c>
      <c r="G661" t="s">
        <v>396</v>
      </c>
      <c r="H661">
        <v>35.484929999999999</v>
      </c>
      <c r="I661">
        <v>37.458410000000001</v>
      </c>
      <c r="J661">
        <v>32.701650000000001</v>
      </c>
      <c r="K661">
        <v>27.851009999999999</v>
      </c>
      <c r="L661">
        <v>24.212250000000001</v>
      </c>
      <c r="M661">
        <v>20.92689</v>
      </c>
      <c r="N661">
        <v>18.93214</v>
      </c>
    </row>
    <row r="662" spans="1:14" hidden="1" x14ac:dyDescent="0.35">
      <c r="A662" t="s">
        <v>250</v>
      </c>
      <c r="B662" t="s">
        <v>37</v>
      </c>
      <c r="C662" t="s">
        <v>35</v>
      </c>
      <c r="D662" t="s">
        <v>36</v>
      </c>
      <c r="E662" t="s">
        <v>588</v>
      </c>
      <c r="F662" t="s">
        <v>581</v>
      </c>
      <c r="G662" t="s">
        <v>25</v>
      </c>
      <c r="H662">
        <v>11.850960000000001</v>
      </c>
      <c r="I662">
        <v>12.48793</v>
      </c>
      <c r="J662">
        <v>10.900550000000001</v>
      </c>
      <c r="K662">
        <v>9.2836689999999997</v>
      </c>
      <c r="L662">
        <v>8.0707509999999996</v>
      </c>
      <c r="M662">
        <v>6.9756309999999999</v>
      </c>
      <c r="N662">
        <v>6.3107119999999997</v>
      </c>
    </row>
    <row r="663" spans="1:14" hidden="1" x14ac:dyDescent="0.35">
      <c r="A663" t="s">
        <v>250</v>
      </c>
      <c r="B663" t="s">
        <v>37</v>
      </c>
      <c r="C663" t="s">
        <v>35</v>
      </c>
      <c r="D663" t="s">
        <v>36</v>
      </c>
      <c r="E663" t="s">
        <v>588</v>
      </c>
      <c r="F663" t="s">
        <v>26</v>
      </c>
      <c r="G663" t="s">
        <v>26</v>
      </c>
      <c r="H663">
        <v>8.8021919999999998</v>
      </c>
      <c r="I663">
        <v>9.5146180000000005</v>
      </c>
      <c r="J663">
        <v>8.3051820000000003</v>
      </c>
      <c r="K663">
        <v>7.0732710000000001</v>
      </c>
      <c r="L663">
        <v>6.1491400000000001</v>
      </c>
      <c r="M663">
        <v>5.3147679999999999</v>
      </c>
      <c r="N663">
        <v>4.8081610000000001</v>
      </c>
    </row>
    <row r="664" spans="1:14" hidden="1" x14ac:dyDescent="0.35">
      <c r="A664" t="s">
        <v>250</v>
      </c>
      <c r="B664" t="s">
        <v>37</v>
      </c>
      <c r="C664" t="s">
        <v>35</v>
      </c>
      <c r="D664" t="s">
        <v>36</v>
      </c>
      <c r="E664" t="s">
        <v>584</v>
      </c>
      <c r="F664" t="s">
        <v>581</v>
      </c>
      <c r="G664" t="s">
        <v>396</v>
      </c>
      <c r="H664">
        <v>15.162739999999999</v>
      </c>
      <c r="I664">
        <v>13.9282</v>
      </c>
      <c r="J664">
        <v>13.18661</v>
      </c>
      <c r="K664">
        <v>12.29468</v>
      </c>
      <c r="L664">
        <v>11.194319999999999</v>
      </c>
      <c r="M664">
        <v>10.079359999999999</v>
      </c>
      <c r="N664">
        <v>8.9627119999999998</v>
      </c>
    </row>
    <row r="665" spans="1:14" hidden="1" x14ac:dyDescent="0.35">
      <c r="A665" t="s">
        <v>250</v>
      </c>
      <c r="B665" t="s">
        <v>37</v>
      </c>
      <c r="C665" t="s">
        <v>35</v>
      </c>
      <c r="D665" t="s">
        <v>36</v>
      </c>
      <c r="E665" t="s">
        <v>584</v>
      </c>
      <c r="F665" t="s">
        <v>581</v>
      </c>
      <c r="G665" t="s">
        <v>25</v>
      </c>
      <c r="H665">
        <v>4.7145229999999998</v>
      </c>
      <c r="I665">
        <v>4.2005619999999997</v>
      </c>
      <c r="J665">
        <v>3.976918</v>
      </c>
      <c r="K665">
        <v>3.7079200000000001</v>
      </c>
      <c r="L665">
        <v>3.3760599999999998</v>
      </c>
      <c r="M665">
        <v>3.0398079999999998</v>
      </c>
      <c r="N665">
        <v>2.7030379999999998</v>
      </c>
    </row>
    <row r="666" spans="1:14" hidden="1" x14ac:dyDescent="0.35">
      <c r="A666" t="s">
        <v>250</v>
      </c>
      <c r="B666" t="s">
        <v>37</v>
      </c>
      <c r="C666" t="s">
        <v>35</v>
      </c>
      <c r="D666" t="s">
        <v>36</v>
      </c>
      <c r="E666" t="s">
        <v>584</v>
      </c>
      <c r="F666" t="s">
        <v>26</v>
      </c>
      <c r="G666" t="s">
        <v>26</v>
      </c>
      <c r="H666">
        <v>4.3528770000000003</v>
      </c>
      <c r="I666">
        <v>3.979482</v>
      </c>
      <c r="J666">
        <v>3.7676029999999998</v>
      </c>
      <c r="K666">
        <v>3.5127670000000002</v>
      </c>
      <c r="L666">
        <v>3.198375</v>
      </c>
      <c r="M666">
        <v>2.8798189999999999</v>
      </c>
      <c r="N666">
        <v>2.560775</v>
      </c>
    </row>
    <row r="667" spans="1:14" hidden="1" x14ac:dyDescent="0.35">
      <c r="A667" t="s">
        <v>250</v>
      </c>
      <c r="B667" t="s">
        <v>37</v>
      </c>
      <c r="C667" t="s">
        <v>35</v>
      </c>
      <c r="D667" t="s">
        <v>36</v>
      </c>
      <c r="E667" t="s">
        <v>660</v>
      </c>
      <c r="F667" t="s">
        <v>581</v>
      </c>
      <c r="G667" t="s">
        <v>396</v>
      </c>
      <c r="H667">
        <v>6.9917809999999996</v>
      </c>
      <c r="I667">
        <v>5.6405260000000004</v>
      </c>
      <c r="J667">
        <v>4.9537370000000003</v>
      </c>
      <c r="K667">
        <v>4.3512029999999999</v>
      </c>
      <c r="L667">
        <v>3.8272050000000002</v>
      </c>
      <c r="M667">
        <v>3.376255</v>
      </c>
      <c r="N667">
        <v>2.9656250000000002</v>
      </c>
    </row>
    <row r="668" spans="1:14" hidden="1" x14ac:dyDescent="0.35">
      <c r="A668" t="s">
        <v>250</v>
      </c>
      <c r="B668" t="s">
        <v>37</v>
      </c>
      <c r="C668" t="s">
        <v>35</v>
      </c>
      <c r="D668" t="s">
        <v>36</v>
      </c>
      <c r="E668" t="s">
        <v>660</v>
      </c>
      <c r="F668" t="s">
        <v>581</v>
      </c>
      <c r="G668" t="s">
        <v>25</v>
      </c>
      <c r="H668">
        <v>2.446027</v>
      </c>
      <c r="I668">
        <v>1.9697309999999999</v>
      </c>
      <c r="J668">
        <v>1.729878</v>
      </c>
      <c r="K668">
        <v>1.519466</v>
      </c>
      <c r="L668">
        <v>1.3364819999999999</v>
      </c>
      <c r="M668">
        <v>1.1790080000000001</v>
      </c>
      <c r="N668">
        <v>1.035614</v>
      </c>
    </row>
    <row r="669" spans="1:14" hidden="1" x14ac:dyDescent="0.35">
      <c r="A669" t="s">
        <v>250</v>
      </c>
      <c r="B669" t="s">
        <v>37</v>
      </c>
      <c r="C669" t="s">
        <v>35</v>
      </c>
      <c r="D669" t="s">
        <v>36</v>
      </c>
      <c r="E669" t="s">
        <v>660</v>
      </c>
      <c r="F669" t="s">
        <v>26</v>
      </c>
      <c r="G669" t="s">
        <v>26</v>
      </c>
      <c r="H669">
        <v>1.626301</v>
      </c>
      <c r="I669">
        <v>1.343</v>
      </c>
      <c r="J669">
        <v>1.17946</v>
      </c>
      <c r="K669">
        <v>1.036</v>
      </c>
      <c r="L669">
        <v>0.9112384</v>
      </c>
      <c r="M669">
        <v>0.80387120000000001</v>
      </c>
      <c r="N669">
        <v>0.70610139999999999</v>
      </c>
    </row>
    <row r="670" spans="1:14" hidden="1" x14ac:dyDescent="0.35">
      <c r="A670" t="s">
        <v>250</v>
      </c>
      <c r="B670" t="s">
        <v>37</v>
      </c>
      <c r="C670" t="s">
        <v>114</v>
      </c>
      <c r="D670" t="s">
        <v>114</v>
      </c>
      <c r="E670" t="s">
        <v>584</v>
      </c>
      <c r="F670" t="s">
        <v>581</v>
      </c>
      <c r="G670" t="s">
        <v>396</v>
      </c>
      <c r="H670">
        <v>0.61609590000000003</v>
      </c>
      <c r="I670">
        <v>0.41298079999999998</v>
      </c>
      <c r="J670">
        <v>0.27683010000000002</v>
      </c>
      <c r="K670">
        <v>0.18556439999999999</v>
      </c>
      <c r="L670">
        <v>0.12438630000000001</v>
      </c>
      <c r="M670">
        <v>8.3380819999999994E-2</v>
      </c>
      <c r="N670">
        <v>5.5890410000000001E-2</v>
      </c>
    </row>
    <row r="671" spans="1:14" hidden="1" x14ac:dyDescent="0.35">
      <c r="A671" t="s">
        <v>250</v>
      </c>
      <c r="B671" t="s">
        <v>37</v>
      </c>
      <c r="C671" t="s">
        <v>114</v>
      </c>
      <c r="D671" t="s">
        <v>114</v>
      </c>
      <c r="E671" t="s">
        <v>584</v>
      </c>
      <c r="F671" t="s">
        <v>26</v>
      </c>
      <c r="G671" t="s">
        <v>26</v>
      </c>
      <c r="H671">
        <v>0.50342469999999995</v>
      </c>
      <c r="I671">
        <v>0.3374548</v>
      </c>
      <c r="J671">
        <v>0.22620270000000001</v>
      </c>
      <c r="K671">
        <v>0.1516274</v>
      </c>
      <c r="L671">
        <v>0.1016384</v>
      </c>
      <c r="M671">
        <v>6.8131510000000006E-2</v>
      </c>
      <c r="N671">
        <v>4.5668489999999999E-2</v>
      </c>
    </row>
    <row r="672" spans="1:14" hidden="1" x14ac:dyDescent="0.35">
      <c r="A672" t="s">
        <v>231</v>
      </c>
      <c r="B672" t="s">
        <v>37</v>
      </c>
      <c r="C672" t="s">
        <v>35</v>
      </c>
      <c r="D672" t="s">
        <v>39</v>
      </c>
      <c r="E672" t="s">
        <v>580</v>
      </c>
      <c r="F672" t="s">
        <v>581</v>
      </c>
      <c r="G672" t="s">
        <v>396</v>
      </c>
      <c r="H672">
        <v>18.73096</v>
      </c>
      <c r="I672">
        <v>23.439959999999999</v>
      </c>
      <c r="J672">
        <v>26.301819999999999</v>
      </c>
      <c r="K672">
        <v>23.842300000000002</v>
      </c>
      <c r="L672">
        <v>20.861000000000001</v>
      </c>
      <c r="M672">
        <v>18.010560000000002</v>
      </c>
      <c r="N672">
        <v>16.771719999999998</v>
      </c>
    </row>
    <row r="673" spans="1:14" hidden="1" x14ac:dyDescent="0.35">
      <c r="A673" t="s">
        <v>231</v>
      </c>
      <c r="B673" t="s">
        <v>37</v>
      </c>
      <c r="C673" t="s">
        <v>35</v>
      </c>
      <c r="D673" t="s">
        <v>39</v>
      </c>
      <c r="E673" t="s">
        <v>580</v>
      </c>
      <c r="F673" t="s">
        <v>581</v>
      </c>
      <c r="G673" t="s">
        <v>25</v>
      </c>
      <c r="H673">
        <v>7.5195889999999999</v>
      </c>
      <c r="I673">
        <v>9.0173089999999991</v>
      </c>
      <c r="J673">
        <v>10.118259999999999</v>
      </c>
      <c r="K673">
        <v>9.1720930000000003</v>
      </c>
      <c r="L673">
        <v>8.0251940000000008</v>
      </c>
      <c r="M673">
        <v>6.9286269999999996</v>
      </c>
      <c r="N673">
        <v>6.4520549999999997</v>
      </c>
    </row>
    <row r="674" spans="1:14" hidden="1" x14ac:dyDescent="0.35">
      <c r="A674" t="s">
        <v>231</v>
      </c>
      <c r="B674" t="s">
        <v>37</v>
      </c>
      <c r="C674" t="s">
        <v>35</v>
      </c>
      <c r="D674" t="s">
        <v>39</v>
      </c>
      <c r="E674" t="s">
        <v>580</v>
      </c>
      <c r="F674" t="s">
        <v>26</v>
      </c>
      <c r="G674" t="s">
        <v>26</v>
      </c>
      <c r="H674">
        <v>7.5684930000000001</v>
      </c>
      <c r="I674">
        <v>9.0173089999999991</v>
      </c>
      <c r="J674">
        <v>10.118259999999999</v>
      </c>
      <c r="K674">
        <v>9.1720930000000003</v>
      </c>
      <c r="L674">
        <v>8.0251909999999995</v>
      </c>
      <c r="M674">
        <v>6.9286279999999998</v>
      </c>
      <c r="N674">
        <v>6.4520520000000001</v>
      </c>
    </row>
    <row r="675" spans="1:14" hidden="1" x14ac:dyDescent="0.35">
      <c r="A675" t="s">
        <v>231</v>
      </c>
      <c r="B675" t="s">
        <v>37</v>
      </c>
      <c r="C675" t="s">
        <v>35</v>
      </c>
      <c r="D675" t="s">
        <v>39</v>
      </c>
      <c r="E675" t="s">
        <v>582</v>
      </c>
      <c r="F675" t="s">
        <v>581</v>
      </c>
      <c r="G675" t="s">
        <v>396</v>
      </c>
      <c r="H675">
        <v>18.191780000000001</v>
      </c>
      <c r="I675">
        <v>15.24197</v>
      </c>
      <c r="J675">
        <v>15.54194</v>
      </c>
      <c r="K675">
        <v>14.81073</v>
      </c>
      <c r="L675">
        <v>12.77717</v>
      </c>
      <c r="M675">
        <v>12.58367</v>
      </c>
      <c r="N675">
        <v>13.09845</v>
      </c>
    </row>
    <row r="676" spans="1:14" hidden="1" x14ac:dyDescent="0.35">
      <c r="A676" t="s">
        <v>231</v>
      </c>
      <c r="B676" t="s">
        <v>37</v>
      </c>
      <c r="C676" t="s">
        <v>35</v>
      </c>
      <c r="D676" t="s">
        <v>39</v>
      </c>
      <c r="E676" t="s">
        <v>582</v>
      </c>
      <c r="F676" t="s">
        <v>581</v>
      </c>
      <c r="G676" t="s">
        <v>25</v>
      </c>
      <c r="H676">
        <v>7.3053429999999997</v>
      </c>
      <c r="I676">
        <v>5.8635619999999999</v>
      </c>
      <c r="J676">
        <v>5.9789539999999999</v>
      </c>
      <c r="K676">
        <v>5.6976630000000004</v>
      </c>
      <c r="L676">
        <v>4.9153529999999996</v>
      </c>
      <c r="M676">
        <v>4.8409120000000003</v>
      </c>
      <c r="N676">
        <v>5.0389549999999996</v>
      </c>
    </row>
    <row r="677" spans="1:14" hidden="1" x14ac:dyDescent="0.35">
      <c r="A677" t="s">
        <v>231</v>
      </c>
      <c r="B677" t="s">
        <v>37</v>
      </c>
      <c r="C677" t="s">
        <v>35</v>
      </c>
      <c r="D677" t="s">
        <v>39</v>
      </c>
      <c r="E677" t="s">
        <v>582</v>
      </c>
      <c r="F677" t="s">
        <v>26</v>
      </c>
      <c r="G677" t="s">
        <v>26</v>
      </c>
      <c r="H677">
        <v>7.354247</v>
      </c>
      <c r="I677">
        <v>5.8635599999999997</v>
      </c>
      <c r="J677">
        <v>5.9789599999999998</v>
      </c>
      <c r="K677">
        <v>5.6976589999999998</v>
      </c>
      <c r="L677">
        <v>4.9153560000000001</v>
      </c>
      <c r="M677">
        <v>4.840916</v>
      </c>
      <c r="N677">
        <v>5.038951</v>
      </c>
    </row>
    <row r="678" spans="1:14" hidden="1" x14ac:dyDescent="0.35">
      <c r="A678" t="s">
        <v>231</v>
      </c>
      <c r="B678" t="s">
        <v>37</v>
      </c>
      <c r="C678" t="s">
        <v>35</v>
      </c>
      <c r="D678" t="s">
        <v>39</v>
      </c>
      <c r="E678" t="s">
        <v>585</v>
      </c>
      <c r="F678" t="s">
        <v>581</v>
      </c>
      <c r="G678" t="s">
        <v>396</v>
      </c>
      <c r="H678">
        <v>0.57424660000000005</v>
      </c>
      <c r="I678">
        <v>0.38946029999999998</v>
      </c>
      <c r="J678">
        <v>0.33141920000000002</v>
      </c>
      <c r="K678">
        <v>0.28597529999999999</v>
      </c>
      <c r="L678">
        <v>0.24992880000000001</v>
      </c>
      <c r="M678">
        <v>0.2199151</v>
      </c>
      <c r="N678">
        <v>0.1927808</v>
      </c>
    </row>
    <row r="679" spans="1:14" hidden="1" x14ac:dyDescent="0.35">
      <c r="A679" t="s">
        <v>231</v>
      </c>
      <c r="B679" t="s">
        <v>37</v>
      </c>
      <c r="C679" t="s">
        <v>35</v>
      </c>
      <c r="D679" t="s">
        <v>39</v>
      </c>
      <c r="E679" t="s">
        <v>585</v>
      </c>
      <c r="F679" t="s">
        <v>581</v>
      </c>
      <c r="G679" t="s">
        <v>25</v>
      </c>
      <c r="H679">
        <v>0.82438359999999999</v>
      </c>
      <c r="I679">
        <v>0.67715619999999999</v>
      </c>
      <c r="J679">
        <v>0.57621920000000004</v>
      </c>
      <c r="K679">
        <v>0.49720819999999999</v>
      </c>
      <c r="L679">
        <v>0.43453429999999998</v>
      </c>
      <c r="M679">
        <v>0.38235340000000001</v>
      </c>
      <c r="N679">
        <v>0.33517530000000001</v>
      </c>
    </row>
    <row r="680" spans="1:14" hidden="1" x14ac:dyDescent="0.35">
      <c r="A680" t="s">
        <v>231</v>
      </c>
      <c r="B680" t="s">
        <v>37</v>
      </c>
      <c r="C680" t="s">
        <v>35</v>
      </c>
      <c r="D680" t="s">
        <v>39</v>
      </c>
      <c r="E680" t="s">
        <v>585</v>
      </c>
      <c r="F680" t="s">
        <v>26</v>
      </c>
      <c r="G680" t="s">
        <v>26</v>
      </c>
      <c r="H680">
        <v>0.96876709999999999</v>
      </c>
      <c r="I680">
        <v>0.79001370000000004</v>
      </c>
      <c r="J680">
        <v>0.67225199999999996</v>
      </c>
      <c r="K680">
        <v>0.58007660000000005</v>
      </c>
      <c r="L680">
        <v>0.50695619999999997</v>
      </c>
      <c r="M680">
        <v>0.44607950000000002</v>
      </c>
      <c r="N680">
        <v>0.39103280000000001</v>
      </c>
    </row>
    <row r="681" spans="1:14" hidden="1" x14ac:dyDescent="0.35">
      <c r="A681" t="s">
        <v>231</v>
      </c>
      <c r="B681" t="s">
        <v>37</v>
      </c>
      <c r="C681" t="s">
        <v>35</v>
      </c>
      <c r="D681" t="s">
        <v>207</v>
      </c>
      <c r="E681" t="s">
        <v>582</v>
      </c>
      <c r="F681" t="s">
        <v>581</v>
      </c>
      <c r="G681" t="s">
        <v>396</v>
      </c>
      <c r="H681">
        <v>28.3748</v>
      </c>
      <c r="I681">
        <v>34.64884</v>
      </c>
      <c r="J681">
        <v>34.981529999999999</v>
      </c>
      <c r="K681">
        <v>30.58052</v>
      </c>
      <c r="L681">
        <v>26.58127</v>
      </c>
      <c r="M681">
        <v>24.791899999999998</v>
      </c>
      <c r="N681">
        <v>23.610109999999999</v>
      </c>
    </row>
    <row r="682" spans="1:14" hidden="1" x14ac:dyDescent="0.35">
      <c r="A682" t="s">
        <v>231</v>
      </c>
      <c r="B682" t="s">
        <v>37</v>
      </c>
      <c r="C682" t="s">
        <v>35</v>
      </c>
      <c r="D682" t="s">
        <v>207</v>
      </c>
      <c r="E682" t="s">
        <v>582</v>
      </c>
      <c r="F682" t="s">
        <v>581</v>
      </c>
      <c r="G682" t="s">
        <v>25</v>
      </c>
      <c r="H682">
        <v>10.68439</v>
      </c>
      <c r="I682">
        <v>13.32935</v>
      </c>
      <c r="J682">
        <v>13.45734</v>
      </c>
      <c r="K682">
        <v>11.76427</v>
      </c>
      <c r="L682">
        <v>10.225770000000001</v>
      </c>
      <c r="M682">
        <v>9.5374029999999994</v>
      </c>
      <c r="N682">
        <v>9.0827729999999995</v>
      </c>
    </row>
    <row r="683" spans="1:14" hidden="1" x14ac:dyDescent="0.35">
      <c r="A683" t="s">
        <v>231</v>
      </c>
      <c r="B683" t="s">
        <v>37</v>
      </c>
      <c r="C683" t="s">
        <v>35</v>
      </c>
      <c r="D683" t="s">
        <v>207</v>
      </c>
      <c r="E683" t="s">
        <v>582</v>
      </c>
      <c r="F683" t="s">
        <v>26</v>
      </c>
      <c r="G683" t="s">
        <v>26</v>
      </c>
      <c r="H683">
        <v>11.49014</v>
      </c>
      <c r="I683">
        <v>13.32935</v>
      </c>
      <c r="J683">
        <v>13.457330000000001</v>
      </c>
      <c r="K683">
        <v>11.76427</v>
      </c>
      <c r="L683">
        <v>10.225770000000001</v>
      </c>
      <c r="M683">
        <v>9.5374029999999994</v>
      </c>
      <c r="N683">
        <v>9.0827670000000005</v>
      </c>
    </row>
    <row r="684" spans="1:14" hidden="1" x14ac:dyDescent="0.35">
      <c r="A684" t="s">
        <v>231</v>
      </c>
      <c r="B684" t="s">
        <v>37</v>
      </c>
      <c r="C684" t="s">
        <v>35</v>
      </c>
      <c r="D684" t="s">
        <v>207</v>
      </c>
      <c r="E684" t="s">
        <v>613</v>
      </c>
      <c r="F684" t="s">
        <v>581</v>
      </c>
      <c r="G684" t="s">
        <v>396</v>
      </c>
      <c r="H684">
        <v>2.8821919999999999</v>
      </c>
      <c r="I684">
        <v>2.2505310000000001</v>
      </c>
      <c r="J684">
        <v>1.8810960000000001</v>
      </c>
      <c r="K684">
        <v>1.6915770000000001</v>
      </c>
      <c r="L684">
        <v>1.5733250000000001</v>
      </c>
      <c r="M684">
        <v>1.4814229999999999</v>
      </c>
      <c r="N684">
        <v>1.450855</v>
      </c>
    </row>
    <row r="685" spans="1:14" hidden="1" x14ac:dyDescent="0.35">
      <c r="A685" t="s">
        <v>231</v>
      </c>
      <c r="B685" t="s">
        <v>37</v>
      </c>
      <c r="C685" t="s">
        <v>35</v>
      </c>
      <c r="D685" t="s">
        <v>207</v>
      </c>
      <c r="E685" t="s">
        <v>613</v>
      </c>
      <c r="F685" t="s">
        <v>581</v>
      </c>
      <c r="G685" t="s">
        <v>25</v>
      </c>
      <c r="H685">
        <v>0.94082189999999999</v>
      </c>
      <c r="I685">
        <v>0.70086570000000004</v>
      </c>
      <c r="J685">
        <v>0.58581640000000001</v>
      </c>
      <c r="K685">
        <v>0.52679430000000005</v>
      </c>
      <c r="L685">
        <v>0.48996820000000002</v>
      </c>
      <c r="M685">
        <v>0.46134330000000001</v>
      </c>
      <c r="N685">
        <v>0.4518239</v>
      </c>
    </row>
    <row r="686" spans="1:14" hidden="1" x14ac:dyDescent="0.35">
      <c r="A686" t="s">
        <v>231</v>
      </c>
      <c r="B686" t="s">
        <v>37</v>
      </c>
      <c r="C686" t="s">
        <v>35</v>
      </c>
      <c r="D686" t="s">
        <v>207</v>
      </c>
      <c r="E686" t="s">
        <v>613</v>
      </c>
      <c r="F686" t="s">
        <v>26</v>
      </c>
      <c r="G686" t="s">
        <v>26</v>
      </c>
      <c r="H686">
        <v>1.392603</v>
      </c>
      <c r="I686">
        <v>1.0306850000000001</v>
      </c>
      <c r="J686">
        <v>0.86149310000000001</v>
      </c>
      <c r="K686">
        <v>0.77469860000000001</v>
      </c>
      <c r="L686">
        <v>0.72054280000000004</v>
      </c>
      <c r="M686">
        <v>0.67845279999999997</v>
      </c>
      <c r="N686">
        <v>0.66445430000000005</v>
      </c>
    </row>
    <row r="687" spans="1:14" hidden="1" x14ac:dyDescent="0.35">
      <c r="A687" t="s">
        <v>231</v>
      </c>
      <c r="B687" t="s">
        <v>37</v>
      </c>
      <c r="C687" t="s">
        <v>35</v>
      </c>
      <c r="D687" t="s">
        <v>207</v>
      </c>
      <c r="E687" t="s">
        <v>584</v>
      </c>
      <c r="F687" t="s">
        <v>581</v>
      </c>
      <c r="G687" t="s">
        <v>396</v>
      </c>
      <c r="H687">
        <v>1.891507</v>
      </c>
      <c r="I687">
        <v>1.702548</v>
      </c>
      <c r="J687">
        <v>1.5323640000000001</v>
      </c>
      <c r="K687">
        <v>1.3770230000000001</v>
      </c>
      <c r="L687">
        <v>1.2232369999999999</v>
      </c>
      <c r="M687">
        <v>1.060317</v>
      </c>
      <c r="N687">
        <v>0.92117349999999998</v>
      </c>
    </row>
    <row r="688" spans="1:14" hidden="1" x14ac:dyDescent="0.35">
      <c r="A688" t="s">
        <v>231</v>
      </c>
      <c r="B688" t="s">
        <v>37</v>
      </c>
      <c r="C688" t="s">
        <v>35</v>
      </c>
      <c r="D688" t="s">
        <v>207</v>
      </c>
      <c r="E688" t="s">
        <v>584</v>
      </c>
      <c r="F688" t="s">
        <v>581</v>
      </c>
      <c r="G688" t="s">
        <v>24</v>
      </c>
      <c r="H688">
        <v>7.6712329999999995E-2</v>
      </c>
      <c r="I688">
        <v>5.1421920000000003E-2</v>
      </c>
      <c r="J688">
        <v>3.4484109999999998E-2</v>
      </c>
      <c r="K688">
        <v>2.3144379999999999E-2</v>
      </c>
      <c r="L688">
        <v>1.5514790000000001E-2</v>
      </c>
      <c r="M688">
        <v>1.0398900000000001E-2</v>
      </c>
      <c r="N688">
        <v>6.9712330000000003E-3</v>
      </c>
    </row>
    <row r="689" spans="1:14" hidden="1" x14ac:dyDescent="0.35">
      <c r="A689" t="s">
        <v>231</v>
      </c>
      <c r="B689" t="s">
        <v>37</v>
      </c>
      <c r="C689" t="s">
        <v>35</v>
      </c>
      <c r="D689" t="s">
        <v>207</v>
      </c>
      <c r="E689" t="s">
        <v>584</v>
      </c>
      <c r="F689" t="s">
        <v>581</v>
      </c>
      <c r="G689" t="s">
        <v>25</v>
      </c>
      <c r="H689">
        <v>0.209589</v>
      </c>
      <c r="I689">
        <v>0.20543829999999999</v>
      </c>
      <c r="J689">
        <v>0.20136409999999999</v>
      </c>
      <c r="K689">
        <v>0.19698660000000001</v>
      </c>
      <c r="L689">
        <v>0.19121089999999999</v>
      </c>
      <c r="M689">
        <v>0.18151200000000001</v>
      </c>
      <c r="N689">
        <v>0.1730778</v>
      </c>
    </row>
    <row r="690" spans="1:14" hidden="1" x14ac:dyDescent="0.35">
      <c r="A690" t="s">
        <v>231</v>
      </c>
      <c r="B690" t="s">
        <v>37</v>
      </c>
      <c r="C690" t="s">
        <v>35</v>
      </c>
      <c r="D690" t="s">
        <v>207</v>
      </c>
      <c r="E690" t="s">
        <v>584</v>
      </c>
      <c r="F690" t="s">
        <v>26</v>
      </c>
      <c r="G690" t="s">
        <v>26</v>
      </c>
      <c r="H690">
        <v>6.0547940000000001E-2</v>
      </c>
      <c r="I690">
        <v>5.9347949999999997E-2</v>
      </c>
      <c r="J690">
        <v>5.8170680000000002E-2</v>
      </c>
      <c r="K690">
        <v>5.6906850000000002E-2</v>
      </c>
      <c r="L690">
        <v>5.5237260000000003E-2</v>
      </c>
      <c r="M690">
        <v>5.2436440000000001E-2</v>
      </c>
      <c r="N690">
        <v>5.0000269999999999E-2</v>
      </c>
    </row>
    <row r="691" spans="1:14" hidden="1" x14ac:dyDescent="0.35">
      <c r="A691" t="s">
        <v>231</v>
      </c>
      <c r="B691" t="s">
        <v>37</v>
      </c>
      <c r="C691" t="s">
        <v>35</v>
      </c>
      <c r="D691" t="s">
        <v>36</v>
      </c>
      <c r="E691" t="s">
        <v>584</v>
      </c>
      <c r="F691" t="s">
        <v>581</v>
      </c>
      <c r="G691" t="s">
        <v>396</v>
      </c>
      <c r="H691">
        <v>3.5112329999999998</v>
      </c>
      <c r="I691">
        <v>2.8945449999999999</v>
      </c>
      <c r="J691">
        <v>2.3858739999999998</v>
      </c>
      <c r="K691">
        <v>1.9619660000000001</v>
      </c>
      <c r="L691">
        <v>1.5906100000000001</v>
      </c>
      <c r="M691">
        <v>1.255417</v>
      </c>
      <c r="N691">
        <v>0.99086870000000005</v>
      </c>
    </row>
    <row r="692" spans="1:14" hidden="1" x14ac:dyDescent="0.35">
      <c r="A692" t="s">
        <v>231</v>
      </c>
      <c r="B692" t="s">
        <v>37</v>
      </c>
      <c r="C692" t="s">
        <v>35</v>
      </c>
      <c r="D692" t="s">
        <v>36</v>
      </c>
      <c r="E692" t="s">
        <v>584</v>
      </c>
      <c r="F692" t="s">
        <v>581</v>
      </c>
      <c r="G692" t="s">
        <v>24</v>
      </c>
      <c r="H692">
        <v>0.27178079999999999</v>
      </c>
      <c r="I692">
        <v>0.26186029999999999</v>
      </c>
      <c r="J692">
        <v>0.25229760000000001</v>
      </c>
      <c r="K692">
        <v>0.24284990000000001</v>
      </c>
      <c r="L692">
        <v>0.23155319999999999</v>
      </c>
      <c r="M692">
        <v>0.2158225</v>
      </c>
      <c r="N692">
        <v>0.20197010000000001</v>
      </c>
    </row>
    <row r="693" spans="1:14" hidden="1" x14ac:dyDescent="0.35">
      <c r="A693" t="s">
        <v>231</v>
      </c>
      <c r="B693" t="s">
        <v>37</v>
      </c>
      <c r="C693" t="s">
        <v>35</v>
      </c>
      <c r="D693" t="s">
        <v>36</v>
      </c>
      <c r="E693" t="s">
        <v>584</v>
      </c>
      <c r="F693" t="s">
        <v>581</v>
      </c>
      <c r="G693" t="s">
        <v>25</v>
      </c>
      <c r="H693">
        <v>0.78684659999999995</v>
      </c>
      <c r="I693">
        <v>0.76112599999999997</v>
      </c>
      <c r="J693">
        <v>0.73622489999999996</v>
      </c>
      <c r="K693">
        <v>0.71148250000000002</v>
      </c>
      <c r="L693">
        <v>0.68117179999999999</v>
      </c>
      <c r="M693">
        <v>0.63757209999999997</v>
      </c>
      <c r="N693">
        <v>0.59922249999999999</v>
      </c>
    </row>
    <row r="694" spans="1:14" hidden="1" x14ac:dyDescent="0.35">
      <c r="A694" t="s">
        <v>231</v>
      </c>
      <c r="B694" t="s">
        <v>37</v>
      </c>
      <c r="C694" t="s">
        <v>35</v>
      </c>
      <c r="D694" t="s">
        <v>36</v>
      </c>
      <c r="E694" t="s">
        <v>584</v>
      </c>
      <c r="F694" t="s">
        <v>26</v>
      </c>
      <c r="G694" t="s">
        <v>26</v>
      </c>
      <c r="H694">
        <v>5.0410959999999998E-2</v>
      </c>
      <c r="I694">
        <v>4.9413699999999998E-2</v>
      </c>
      <c r="J694">
        <v>4.8433700000000003E-2</v>
      </c>
      <c r="K694">
        <v>4.7379989999999997E-2</v>
      </c>
      <c r="L694">
        <v>4.5990959999999997E-2</v>
      </c>
      <c r="M694">
        <v>4.3658629999999997E-2</v>
      </c>
      <c r="N694">
        <v>4.1628489999999997E-2</v>
      </c>
    </row>
    <row r="695" spans="1:14" hidden="1" x14ac:dyDescent="0.35">
      <c r="A695" t="s">
        <v>231</v>
      </c>
      <c r="B695" t="s">
        <v>37</v>
      </c>
      <c r="C695" t="s">
        <v>35</v>
      </c>
      <c r="D695" t="s">
        <v>129</v>
      </c>
      <c r="E695" t="s">
        <v>580</v>
      </c>
      <c r="F695" t="s">
        <v>581</v>
      </c>
      <c r="G695" t="s">
        <v>396</v>
      </c>
      <c r="H695">
        <v>0.32657530000000001</v>
      </c>
      <c r="I695">
        <v>0.29895620000000001</v>
      </c>
      <c r="J695">
        <v>0.26070140000000003</v>
      </c>
      <c r="K695">
        <v>0.25302819999999998</v>
      </c>
      <c r="L695">
        <v>0.24866160000000001</v>
      </c>
      <c r="M695">
        <v>0.2107658</v>
      </c>
      <c r="N695">
        <v>0.1778863</v>
      </c>
    </row>
    <row r="696" spans="1:14" hidden="1" x14ac:dyDescent="0.35">
      <c r="A696" t="s">
        <v>231</v>
      </c>
      <c r="B696" t="s">
        <v>37</v>
      </c>
      <c r="C696" t="s">
        <v>35</v>
      </c>
      <c r="D696" t="s">
        <v>129</v>
      </c>
      <c r="E696" t="s">
        <v>580</v>
      </c>
      <c r="F696" t="s">
        <v>581</v>
      </c>
      <c r="G696" t="s">
        <v>25</v>
      </c>
      <c r="H696">
        <v>0.10082190000000001</v>
      </c>
      <c r="I696">
        <v>8.7624649999999998E-2</v>
      </c>
      <c r="J696">
        <v>7.641096E-2</v>
      </c>
      <c r="K696">
        <v>7.4163290000000007E-2</v>
      </c>
      <c r="L696">
        <v>7.2882470000000005E-2</v>
      </c>
      <c r="M696">
        <v>6.1775610000000002E-2</v>
      </c>
      <c r="N696">
        <v>5.2139739999999997E-2</v>
      </c>
    </row>
    <row r="697" spans="1:14" hidden="1" x14ac:dyDescent="0.35">
      <c r="A697" t="s">
        <v>231</v>
      </c>
      <c r="B697" t="s">
        <v>37</v>
      </c>
      <c r="C697" t="s">
        <v>35</v>
      </c>
      <c r="D697" t="s">
        <v>129</v>
      </c>
      <c r="E697" t="s">
        <v>580</v>
      </c>
      <c r="F697" t="s">
        <v>26</v>
      </c>
      <c r="G697" t="s">
        <v>26</v>
      </c>
      <c r="H697">
        <v>0.14904110000000001</v>
      </c>
      <c r="I697">
        <v>0.12886030000000001</v>
      </c>
      <c r="J697">
        <v>0.1123726</v>
      </c>
      <c r="K697">
        <v>0.1090636</v>
      </c>
      <c r="L697">
        <v>0.1071811</v>
      </c>
      <c r="M697">
        <v>9.0846850000000007E-2</v>
      </c>
      <c r="N697">
        <v>7.667562E-2</v>
      </c>
    </row>
    <row r="698" spans="1:14" hidden="1" x14ac:dyDescent="0.35">
      <c r="A698" t="s">
        <v>231</v>
      </c>
      <c r="B698" t="s">
        <v>37</v>
      </c>
      <c r="C698" t="s">
        <v>70</v>
      </c>
      <c r="D698" t="s">
        <v>70</v>
      </c>
      <c r="E698" t="s">
        <v>652</v>
      </c>
      <c r="F698" t="s">
        <v>581</v>
      </c>
      <c r="G698" t="s">
        <v>25</v>
      </c>
      <c r="H698">
        <v>30.00038</v>
      </c>
      <c r="I698">
        <v>29.898489999999999</v>
      </c>
      <c r="J698">
        <v>27.453600000000002</v>
      </c>
      <c r="K698">
        <v>23.52693</v>
      </c>
      <c r="L698">
        <v>20.504539999999999</v>
      </c>
      <c r="M698">
        <v>17.592110000000002</v>
      </c>
      <c r="N698">
        <v>15.368230000000001</v>
      </c>
    </row>
    <row r="699" spans="1:14" hidden="1" x14ac:dyDescent="0.35">
      <c r="A699" t="s">
        <v>231</v>
      </c>
      <c r="B699" t="s">
        <v>37</v>
      </c>
      <c r="C699" t="s">
        <v>70</v>
      </c>
      <c r="D699" t="s">
        <v>70</v>
      </c>
      <c r="E699" t="s">
        <v>652</v>
      </c>
      <c r="F699" t="s">
        <v>26</v>
      </c>
      <c r="G699" t="s">
        <v>26</v>
      </c>
      <c r="H699">
        <v>57.52214</v>
      </c>
      <c r="I699">
        <v>60.839080000000003</v>
      </c>
      <c r="J699">
        <v>55.928429999999999</v>
      </c>
      <c r="K699">
        <v>47.8765</v>
      </c>
      <c r="L699">
        <v>41.710949999999997</v>
      </c>
      <c r="M699">
        <v>35.88597</v>
      </c>
      <c r="N699">
        <v>31.420760000000001</v>
      </c>
    </row>
    <row r="700" spans="1:14" hidden="1" x14ac:dyDescent="0.35">
      <c r="A700" t="s">
        <v>231</v>
      </c>
      <c r="B700" t="s">
        <v>37</v>
      </c>
      <c r="C700" t="s">
        <v>70</v>
      </c>
      <c r="D700" t="s">
        <v>70</v>
      </c>
      <c r="E700" t="s">
        <v>653</v>
      </c>
      <c r="F700" t="s">
        <v>26</v>
      </c>
      <c r="G700" t="s">
        <v>26</v>
      </c>
      <c r="H700">
        <v>12.228109999999999</v>
      </c>
      <c r="I700">
        <v>11.84043</v>
      </c>
      <c r="J700">
        <v>11.24084</v>
      </c>
      <c r="K700">
        <v>10.178890000000001</v>
      </c>
      <c r="L700">
        <v>9.2043579999999992</v>
      </c>
      <c r="M700">
        <v>8.0838049999999999</v>
      </c>
      <c r="N700">
        <v>7.1230219999999997</v>
      </c>
    </row>
    <row r="701" spans="1:14" hidden="1" x14ac:dyDescent="0.35">
      <c r="A701" t="s">
        <v>231</v>
      </c>
      <c r="B701" t="s">
        <v>37</v>
      </c>
      <c r="C701" t="s">
        <v>105</v>
      </c>
      <c r="D701" t="s">
        <v>105</v>
      </c>
      <c r="E701" t="s">
        <v>632</v>
      </c>
      <c r="F701" t="s">
        <v>581</v>
      </c>
      <c r="G701" t="s">
        <v>24</v>
      </c>
      <c r="H701">
        <v>25.081689999999998</v>
      </c>
      <c r="I701">
        <v>13.709070000000001</v>
      </c>
      <c r="J701">
        <v>10.75461</v>
      </c>
      <c r="K701">
        <v>9.6113949999999999</v>
      </c>
      <c r="L701">
        <v>9.0043389999999999</v>
      </c>
      <c r="M701">
        <v>7.6159319999999999</v>
      </c>
      <c r="N701">
        <v>6.1323319999999999</v>
      </c>
    </row>
    <row r="702" spans="1:14" hidden="1" x14ac:dyDescent="0.35">
      <c r="A702" t="s">
        <v>231</v>
      </c>
      <c r="B702" t="s">
        <v>37</v>
      </c>
      <c r="C702" t="s">
        <v>105</v>
      </c>
      <c r="D702" t="s">
        <v>105</v>
      </c>
      <c r="E702" t="s">
        <v>632</v>
      </c>
      <c r="F702" t="s">
        <v>581</v>
      </c>
      <c r="G702" t="s">
        <v>25</v>
      </c>
      <c r="H702">
        <v>27.79617</v>
      </c>
      <c r="I702">
        <v>19.360769999999999</v>
      </c>
      <c r="J702">
        <v>15.05645</v>
      </c>
      <c r="K702">
        <v>13.45595</v>
      </c>
      <c r="L702">
        <v>12.60608</v>
      </c>
      <c r="M702">
        <v>10.6623</v>
      </c>
      <c r="N702">
        <v>8.5852629999999994</v>
      </c>
    </row>
    <row r="703" spans="1:14" hidden="1" x14ac:dyDescent="0.35">
      <c r="A703" t="s">
        <v>231</v>
      </c>
      <c r="B703" t="s">
        <v>37</v>
      </c>
      <c r="C703" t="s">
        <v>105</v>
      </c>
      <c r="D703" t="s">
        <v>105</v>
      </c>
      <c r="E703" t="s">
        <v>632</v>
      </c>
      <c r="F703" t="s">
        <v>26</v>
      </c>
      <c r="G703" t="s">
        <v>26</v>
      </c>
      <c r="H703">
        <v>35.881639999999997</v>
      </c>
      <c r="I703">
        <v>22.12659</v>
      </c>
      <c r="J703">
        <v>17.207370000000001</v>
      </c>
      <c r="K703">
        <v>15.37823</v>
      </c>
      <c r="L703">
        <v>14.406940000000001</v>
      </c>
      <c r="M703">
        <v>12.18549</v>
      </c>
      <c r="N703">
        <v>9.8117319999999992</v>
      </c>
    </row>
    <row r="704" spans="1:14" hidden="1" x14ac:dyDescent="0.35">
      <c r="A704" t="s">
        <v>231</v>
      </c>
      <c r="B704" t="s">
        <v>37</v>
      </c>
      <c r="C704" t="s">
        <v>105</v>
      </c>
      <c r="D704" t="s">
        <v>105</v>
      </c>
      <c r="E704" t="s">
        <v>633</v>
      </c>
      <c r="F704" t="s">
        <v>581</v>
      </c>
      <c r="G704" t="s">
        <v>24</v>
      </c>
      <c r="H704">
        <v>5.23428</v>
      </c>
      <c r="I704">
        <v>5.0437669999999999</v>
      </c>
      <c r="J704">
        <v>4.3729420000000001</v>
      </c>
      <c r="K704">
        <v>4.1042310000000004</v>
      </c>
      <c r="L704">
        <v>3.8317130000000001</v>
      </c>
      <c r="M704">
        <v>3.362984</v>
      </c>
      <c r="N704">
        <v>2.90957</v>
      </c>
    </row>
    <row r="705" spans="1:14" hidden="1" x14ac:dyDescent="0.35">
      <c r="A705" t="s">
        <v>231</v>
      </c>
      <c r="B705" t="s">
        <v>37</v>
      </c>
      <c r="C705" t="s">
        <v>105</v>
      </c>
      <c r="D705" t="s">
        <v>105</v>
      </c>
      <c r="E705" t="s">
        <v>633</v>
      </c>
      <c r="F705" t="s">
        <v>581</v>
      </c>
      <c r="G705" t="s">
        <v>25</v>
      </c>
      <c r="H705">
        <v>7.6953430000000003</v>
      </c>
      <c r="I705">
        <v>6.9438250000000004</v>
      </c>
      <c r="J705">
        <v>5.9034769999999996</v>
      </c>
      <c r="K705">
        <v>5.5407099999999998</v>
      </c>
      <c r="L705">
        <v>5.1728129999999997</v>
      </c>
      <c r="M705">
        <v>4.540025</v>
      </c>
      <c r="N705">
        <v>3.9279190000000002</v>
      </c>
    </row>
    <row r="706" spans="1:14" hidden="1" x14ac:dyDescent="0.35">
      <c r="A706" t="s">
        <v>231</v>
      </c>
      <c r="B706" t="s">
        <v>37</v>
      </c>
      <c r="C706" t="s">
        <v>105</v>
      </c>
      <c r="D706" t="s">
        <v>105</v>
      </c>
      <c r="E706" t="s">
        <v>633</v>
      </c>
      <c r="F706" t="s">
        <v>26</v>
      </c>
      <c r="G706" t="s">
        <v>26</v>
      </c>
      <c r="H706">
        <v>16.534800000000001</v>
      </c>
      <c r="I706">
        <v>13.630470000000001</v>
      </c>
      <c r="J706">
        <v>11.5883</v>
      </c>
      <c r="K706">
        <v>10.87621</v>
      </c>
      <c r="L706">
        <v>10.15404</v>
      </c>
      <c r="M706">
        <v>8.9119069999999994</v>
      </c>
      <c r="N706">
        <v>7.710356</v>
      </c>
    </row>
    <row r="707" spans="1:14" hidden="1" x14ac:dyDescent="0.35">
      <c r="A707" t="s">
        <v>231</v>
      </c>
      <c r="B707" t="s">
        <v>37</v>
      </c>
      <c r="C707" t="s">
        <v>105</v>
      </c>
      <c r="D707" t="s">
        <v>105</v>
      </c>
      <c r="E707" t="s">
        <v>584</v>
      </c>
      <c r="F707" t="s">
        <v>581</v>
      </c>
      <c r="G707" t="s">
        <v>396</v>
      </c>
      <c r="H707">
        <v>4.3945210000000002E-3</v>
      </c>
      <c r="I707">
        <v>2.9452060000000001E-3</v>
      </c>
      <c r="J707">
        <v>1.9816439999999999E-3</v>
      </c>
      <c r="K707">
        <v>1.331233E-3</v>
      </c>
      <c r="L707">
        <v>8.9205480000000004E-4</v>
      </c>
      <c r="M707">
        <v>0</v>
      </c>
      <c r="N707">
        <v>0</v>
      </c>
    </row>
    <row r="708" spans="1:14" hidden="1" x14ac:dyDescent="0.35">
      <c r="A708" t="s">
        <v>231</v>
      </c>
      <c r="B708" t="s">
        <v>37</v>
      </c>
      <c r="C708" t="s">
        <v>105</v>
      </c>
      <c r="D708" t="s">
        <v>105</v>
      </c>
      <c r="E708" t="s">
        <v>584</v>
      </c>
      <c r="F708" t="s">
        <v>581</v>
      </c>
      <c r="G708" t="s">
        <v>24</v>
      </c>
      <c r="H708">
        <v>0.1534247</v>
      </c>
      <c r="I708">
        <v>0.14032059999999999</v>
      </c>
      <c r="J708">
        <v>0.1283282</v>
      </c>
      <c r="K708">
        <v>0.1171942</v>
      </c>
      <c r="L708">
        <v>0.1058496</v>
      </c>
      <c r="M708">
        <v>9.3326580000000006E-2</v>
      </c>
      <c r="N708">
        <v>8.2505759999999997E-2</v>
      </c>
    </row>
    <row r="709" spans="1:14" hidden="1" x14ac:dyDescent="0.35">
      <c r="A709" t="s">
        <v>231</v>
      </c>
      <c r="B709" t="s">
        <v>37</v>
      </c>
      <c r="C709" t="s">
        <v>79</v>
      </c>
      <c r="D709" t="s">
        <v>79</v>
      </c>
      <c r="E709" t="s">
        <v>600</v>
      </c>
      <c r="F709" t="s">
        <v>581</v>
      </c>
      <c r="G709" t="s">
        <v>396</v>
      </c>
      <c r="H709">
        <v>7.8842460000000001</v>
      </c>
      <c r="I709">
        <v>9.9980609999999999</v>
      </c>
      <c r="J709">
        <v>10.31884</v>
      </c>
      <c r="K709">
        <v>8.2610489999999999</v>
      </c>
      <c r="L709">
        <v>6.4004019999999997</v>
      </c>
      <c r="M709">
        <v>5.0761349999999998</v>
      </c>
      <c r="N709">
        <v>4.3738239999999999</v>
      </c>
    </row>
    <row r="710" spans="1:14" hidden="1" x14ac:dyDescent="0.35">
      <c r="A710" t="s">
        <v>231</v>
      </c>
      <c r="B710" t="s">
        <v>37</v>
      </c>
      <c r="C710" t="s">
        <v>79</v>
      </c>
      <c r="D710" t="s">
        <v>79</v>
      </c>
      <c r="E710" t="s">
        <v>600</v>
      </c>
      <c r="F710" t="s">
        <v>581</v>
      </c>
      <c r="G710" t="s">
        <v>24</v>
      </c>
      <c r="H710">
        <v>15.646000000000001</v>
      </c>
      <c r="I710">
        <v>16.931660000000001</v>
      </c>
      <c r="J710">
        <v>17.379100000000001</v>
      </c>
      <c r="K710">
        <v>13.913349999999999</v>
      </c>
      <c r="L710">
        <v>10.77962</v>
      </c>
      <c r="M710">
        <v>8.549277</v>
      </c>
      <c r="N710">
        <v>7.3664379999999996</v>
      </c>
    </row>
    <row r="711" spans="1:14" hidden="1" x14ac:dyDescent="0.35">
      <c r="A711" t="s">
        <v>231</v>
      </c>
      <c r="B711" t="s">
        <v>37</v>
      </c>
      <c r="C711" t="s">
        <v>79</v>
      </c>
      <c r="D711" t="s">
        <v>79</v>
      </c>
      <c r="E711" t="s">
        <v>600</v>
      </c>
      <c r="F711" t="s">
        <v>581</v>
      </c>
      <c r="G711" t="s">
        <v>25</v>
      </c>
      <c r="H711">
        <v>10.999309999999999</v>
      </c>
      <c r="I711">
        <v>12.099</v>
      </c>
      <c r="J711">
        <v>12.49123</v>
      </c>
      <c r="K711">
        <v>10.000220000000001</v>
      </c>
      <c r="L711">
        <v>7.7478550000000004</v>
      </c>
      <c r="M711">
        <v>6.1447969999999996</v>
      </c>
      <c r="N711">
        <v>5.2946299999999997</v>
      </c>
    </row>
    <row r="712" spans="1:14" hidden="1" x14ac:dyDescent="0.35">
      <c r="A712" t="s">
        <v>231</v>
      </c>
      <c r="B712" t="s">
        <v>37</v>
      </c>
      <c r="C712" t="s">
        <v>79</v>
      </c>
      <c r="D712" t="s">
        <v>79</v>
      </c>
      <c r="E712" t="s">
        <v>600</v>
      </c>
      <c r="F712" t="s">
        <v>26</v>
      </c>
      <c r="G712" t="s">
        <v>26</v>
      </c>
      <c r="H712">
        <v>13.12397</v>
      </c>
      <c r="I712">
        <v>13.67713</v>
      </c>
      <c r="J712">
        <v>14.120520000000001</v>
      </c>
      <c r="K712">
        <v>11.304600000000001</v>
      </c>
      <c r="L712">
        <v>8.758445</v>
      </c>
      <c r="M712">
        <v>6.9462900000000003</v>
      </c>
      <c r="N712">
        <v>5.985233</v>
      </c>
    </row>
    <row r="713" spans="1:14" hidden="1" x14ac:dyDescent="0.35">
      <c r="A713" t="s">
        <v>231</v>
      </c>
      <c r="B713" t="s">
        <v>37</v>
      </c>
      <c r="C713" t="s">
        <v>115</v>
      </c>
      <c r="D713" t="s">
        <v>115</v>
      </c>
      <c r="E713" t="s">
        <v>597</v>
      </c>
      <c r="F713" t="s">
        <v>581</v>
      </c>
      <c r="G713" t="s">
        <v>396</v>
      </c>
      <c r="H713">
        <v>13.293150000000001</v>
      </c>
      <c r="I713">
        <v>14.58122</v>
      </c>
      <c r="J713">
        <v>14.482340000000001</v>
      </c>
      <c r="K713">
        <v>12.59365</v>
      </c>
      <c r="L713">
        <v>11.250819999999999</v>
      </c>
      <c r="M713">
        <v>9.8453769999999992</v>
      </c>
      <c r="N713">
        <v>8.8409130000000005</v>
      </c>
    </row>
    <row r="714" spans="1:14" hidden="1" x14ac:dyDescent="0.35">
      <c r="A714" t="s">
        <v>231</v>
      </c>
      <c r="B714" t="s">
        <v>37</v>
      </c>
      <c r="C714" t="s">
        <v>115</v>
      </c>
      <c r="D714" t="s">
        <v>115</v>
      </c>
      <c r="E714" t="s">
        <v>597</v>
      </c>
      <c r="F714" t="s">
        <v>581</v>
      </c>
      <c r="G714" t="s">
        <v>25</v>
      </c>
      <c r="H714">
        <v>1.5463009999999999</v>
      </c>
      <c r="I714">
        <v>1.674871</v>
      </c>
      <c r="J714">
        <v>1.66351</v>
      </c>
      <c r="K714">
        <v>1.446566</v>
      </c>
      <c r="L714">
        <v>1.292327</v>
      </c>
      <c r="M714">
        <v>1.1308860000000001</v>
      </c>
      <c r="N714">
        <v>1.0155160000000001</v>
      </c>
    </row>
    <row r="715" spans="1:14" hidden="1" x14ac:dyDescent="0.35">
      <c r="A715" t="s">
        <v>231</v>
      </c>
      <c r="B715" t="s">
        <v>37</v>
      </c>
      <c r="C715" t="s">
        <v>115</v>
      </c>
      <c r="D715" t="s">
        <v>115</v>
      </c>
      <c r="E715" t="s">
        <v>597</v>
      </c>
      <c r="F715" t="s">
        <v>26</v>
      </c>
      <c r="G715" t="s">
        <v>26</v>
      </c>
      <c r="H715">
        <v>3.518767</v>
      </c>
      <c r="I715">
        <v>3.7684579999999999</v>
      </c>
      <c r="J715">
        <v>3.7429049999999999</v>
      </c>
      <c r="K715">
        <v>3.254775</v>
      </c>
      <c r="L715">
        <v>2.9077280000000001</v>
      </c>
      <c r="M715">
        <v>2.5444969999999998</v>
      </c>
      <c r="N715">
        <v>2.2848989999999998</v>
      </c>
    </row>
    <row r="716" spans="1:14" hidden="1" x14ac:dyDescent="0.35">
      <c r="A716" t="s">
        <v>231</v>
      </c>
      <c r="B716" t="s">
        <v>37</v>
      </c>
      <c r="C716" t="s">
        <v>115</v>
      </c>
      <c r="D716" t="s">
        <v>115</v>
      </c>
      <c r="E716" t="s">
        <v>596</v>
      </c>
      <c r="F716" t="s">
        <v>581</v>
      </c>
      <c r="G716" t="s">
        <v>396</v>
      </c>
      <c r="H716">
        <v>3.7084929999999998</v>
      </c>
      <c r="I716">
        <v>4.2938869999999998</v>
      </c>
      <c r="J716">
        <v>4.2692899999999998</v>
      </c>
      <c r="K716">
        <v>3.7181730000000002</v>
      </c>
      <c r="L716">
        <v>3.2715969999999999</v>
      </c>
      <c r="M716">
        <v>2.9885519999999999</v>
      </c>
      <c r="N716">
        <v>3.2465600000000001</v>
      </c>
    </row>
    <row r="717" spans="1:14" hidden="1" x14ac:dyDescent="0.35">
      <c r="A717" t="s">
        <v>231</v>
      </c>
      <c r="B717" t="s">
        <v>37</v>
      </c>
      <c r="C717" t="s">
        <v>115</v>
      </c>
      <c r="D717" t="s">
        <v>115</v>
      </c>
      <c r="E717" t="s">
        <v>596</v>
      </c>
      <c r="F717" t="s">
        <v>581</v>
      </c>
      <c r="G717" t="s">
        <v>25</v>
      </c>
      <c r="H717">
        <v>0.45411230000000002</v>
      </c>
      <c r="I717">
        <v>0.5702836</v>
      </c>
      <c r="J717">
        <v>0.56701559999999995</v>
      </c>
      <c r="K717">
        <v>0.49381750000000002</v>
      </c>
      <c r="L717">
        <v>0.43451099999999998</v>
      </c>
      <c r="M717">
        <v>0.39691860000000001</v>
      </c>
      <c r="N717">
        <v>0.43117939999999999</v>
      </c>
    </row>
    <row r="718" spans="1:14" hidden="1" x14ac:dyDescent="0.35">
      <c r="A718" t="s">
        <v>231</v>
      </c>
      <c r="B718" t="s">
        <v>37</v>
      </c>
      <c r="C718" t="s">
        <v>115</v>
      </c>
      <c r="D718" t="s">
        <v>115</v>
      </c>
      <c r="E718" t="s">
        <v>596</v>
      </c>
      <c r="F718" t="s">
        <v>26</v>
      </c>
      <c r="G718" t="s">
        <v>26</v>
      </c>
      <c r="H718">
        <v>0.47972599999999999</v>
      </c>
      <c r="I718">
        <v>0.5702836</v>
      </c>
      <c r="J718">
        <v>0.56701559999999995</v>
      </c>
      <c r="K718">
        <v>0.49382110000000001</v>
      </c>
      <c r="L718">
        <v>0.43450820000000001</v>
      </c>
      <c r="M718">
        <v>0.3969143</v>
      </c>
      <c r="N718">
        <v>0.43118050000000002</v>
      </c>
    </row>
    <row r="719" spans="1:14" hidden="1" x14ac:dyDescent="0.35">
      <c r="A719" t="s">
        <v>231</v>
      </c>
      <c r="B719" t="s">
        <v>37</v>
      </c>
      <c r="C719" t="s">
        <v>115</v>
      </c>
      <c r="D719" t="s">
        <v>115</v>
      </c>
      <c r="E719" t="s">
        <v>584</v>
      </c>
      <c r="F719" t="s">
        <v>581</v>
      </c>
      <c r="G719" t="s">
        <v>396</v>
      </c>
      <c r="H719">
        <v>2.6315069999999999E-2</v>
      </c>
      <c r="I719">
        <v>2.5794520000000001E-2</v>
      </c>
      <c r="J719">
        <v>2.528219E-2</v>
      </c>
      <c r="K719">
        <v>2.473096E-2</v>
      </c>
      <c r="L719">
        <v>2.4007400000000002E-2</v>
      </c>
      <c r="M719">
        <v>2.2789319999999998E-2</v>
      </c>
      <c r="N719">
        <v>2.173069E-2</v>
      </c>
    </row>
    <row r="720" spans="1:14" hidden="1" x14ac:dyDescent="0.35">
      <c r="A720" t="s">
        <v>231</v>
      </c>
      <c r="B720" t="s">
        <v>37</v>
      </c>
      <c r="C720" t="s">
        <v>115</v>
      </c>
      <c r="D720" t="s">
        <v>115</v>
      </c>
      <c r="E720" t="s">
        <v>584</v>
      </c>
      <c r="F720" t="s">
        <v>581</v>
      </c>
      <c r="G720" t="s">
        <v>24</v>
      </c>
      <c r="H720">
        <v>4.9906850000000003E-2</v>
      </c>
      <c r="I720">
        <v>3.34548E-2</v>
      </c>
      <c r="J720">
        <v>2.2434519999999999E-2</v>
      </c>
      <c r="K720">
        <v>1.505836E-2</v>
      </c>
      <c r="L720">
        <v>1.0093970000000001E-2</v>
      </c>
      <c r="M720">
        <v>6.7657530000000002E-3</v>
      </c>
      <c r="N720">
        <v>4.5534240000000004E-3</v>
      </c>
    </row>
    <row r="721" spans="1:14" hidden="1" x14ac:dyDescent="0.35">
      <c r="A721" t="s">
        <v>231</v>
      </c>
      <c r="B721" t="s">
        <v>37</v>
      </c>
      <c r="C721" t="s">
        <v>115</v>
      </c>
      <c r="D721" t="s">
        <v>115</v>
      </c>
      <c r="E721" t="s">
        <v>584</v>
      </c>
      <c r="F721" t="s">
        <v>581</v>
      </c>
      <c r="G721" t="s">
        <v>25</v>
      </c>
      <c r="H721">
        <v>2.3479450000000002E-3</v>
      </c>
      <c r="I721">
        <v>2.2876709999999998E-3</v>
      </c>
      <c r="J721">
        <v>2.2465749999999998E-3</v>
      </c>
      <c r="K721">
        <v>2.196164E-3</v>
      </c>
      <c r="L721">
        <v>2.1306849999999998E-3</v>
      </c>
      <c r="M721">
        <v>2.0221919999999999E-3</v>
      </c>
      <c r="N721">
        <v>1.926575E-3</v>
      </c>
    </row>
    <row r="722" spans="1:14" hidden="1" x14ac:dyDescent="0.35">
      <c r="A722" t="s">
        <v>231</v>
      </c>
      <c r="B722" t="s">
        <v>37</v>
      </c>
      <c r="C722" t="s">
        <v>115</v>
      </c>
      <c r="D722" t="s">
        <v>115</v>
      </c>
      <c r="E722" t="s">
        <v>584</v>
      </c>
      <c r="F722" t="s">
        <v>26</v>
      </c>
      <c r="G722" t="s">
        <v>26</v>
      </c>
      <c r="H722">
        <v>4.6575339999999996E-3</v>
      </c>
      <c r="I722">
        <v>4.6520550000000004E-3</v>
      </c>
      <c r="J722">
        <v>4.6712330000000003E-3</v>
      </c>
      <c r="K722">
        <v>4.6712330000000003E-3</v>
      </c>
      <c r="L722">
        <v>4.6712330000000003E-3</v>
      </c>
      <c r="M722">
        <v>4.6712330000000003E-3</v>
      </c>
      <c r="N722">
        <v>4.6712330000000003E-3</v>
      </c>
    </row>
    <row r="723" spans="1:14" hidden="1" x14ac:dyDescent="0.35">
      <c r="A723" t="s">
        <v>231</v>
      </c>
      <c r="B723" t="s">
        <v>37</v>
      </c>
      <c r="C723" t="s">
        <v>205</v>
      </c>
      <c r="D723" t="s">
        <v>205</v>
      </c>
      <c r="E723" t="s">
        <v>654</v>
      </c>
      <c r="F723" t="s">
        <v>26</v>
      </c>
      <c r="G723" t="s">
        <v>26</v>
      </c>
      <c r="H723">
        <v>6.9863010000000003E-3</v>
      </c>
      <c r="I723">
        <v>1.337067</v>
      </c>
      <c r="J723">
        <v>2.060101</v>
      </c>
      <c r="K723">
        <v>2.3244359999999999</v>
      </c>
      <c r="L723">
        <v>2.2632500000000002</v>
      </c>
      <c r="M723">
        <v>2.0393159999999999</v>
      </c>
      <c r="N723">
        <v>1.805804</v>
      </c>
    </row>
    <row r="724" spans="1:14" hidden="1" x14ac:dyDescent="0.35">
      <c r="A724" t="s">
        <v>231</v>
      </c>
      <c r="B724" t="s">
        <v>37</v>
      </c>
      <c r="C724" t="s">
        <v>63</v>
      </c>
      <c r="D724" t="s">
        <v>63</v>
      </c>
      <c r="E724" t="s">
        <v>655</v>
      </c>
      <c r="F724" t="s">
        <v>581</v>
      </c>
      <c r="G724" t="s">
        <v>396</v>
      </c>
      <c r="H724">
        <v>9.5890420000000007E-3</v>
      </c>
      <c r="I724">
        <v>4.3945210000000002E-3</v>
      </c>
      <c r="J724">
        <v>2.932411E-2</v>
      </c>
      <c r="K724">
        <v>7.6890410000000006E-2</v>
      </c>
      <c r="L724">
        <v>0.1214819</v>
      </c>
      <c r="M724">
        <v>0.10046140000000001</v>
      </c>
      <c r="N724">
        <v>7.1987140000000005E-2</v>
      </c>
    </row>
    <row r="725" spans="1:14" hidden="1" x14ac:dyDescent="0.35">
      <c r="A725" t="s">
        <v>231</v>
      </c>
      <c r="B725" t="s">
        <v>37</v>
      </c>
      <c r="C725" t="s">
        <v>63</v>
      </c>
      <c r="D725" t="s">
        <v>63</v>
      </c>
      <c r="E725" t="s">
        <v>655</v>
      </c>
      <c r="F725" t="s">
        <v>581</v>
      </c>
      <c r="G725" t="s">
        <v>25</v>
      </c>
      <c r="H725">
        <v>0</v>
      </c>
      <c r="I725">
        <v>2.7671230000000002E-4</v>
      </c>
      <c r="J725">
        <v>1.8331510000000001E-3</v>
      </c>
      <c r="K725">
        <v>4.8041100000000003E-3</v>
      </c>
      <c r="L725">
        <v>7.5936980000000003E-3</v>
      </c>
      <c r="M725">
        <v>6.2789040000000001E-3</v>
      </c>
      <c r="N725">
        <v>4.4986310000000003E-3</v>
      </c>
    </row>
    <row r="726" spans="1:14" hidden="1" x14ac:dyDescent="0.35">
      <c r="A726" t="s">
        <v>231</v>
      </c>
      <c r="B726" t="s">
        <v>37</v>
      </c>
      <c r="C726" t="s">
        <v>63</v>
      </c>
      <c r="D726" t="s">
        <v>63</v>
      </c>
      <c r="E726" t="s">
        <v>655</v>
      </c>
      <c r="F726" t="s">
        <v>26</v>
      </c>
      <c r="G726" t="s">
        <v>26</v>
      </c>
      <c r="H726">
        <v>0</v>
      </c>
      <c r="I726">
        <v>8.2465740000000004E-4</v>
      </c>
      <c r="J726">
        <v>5.4989039999999998E-3</v>
      </c>
      <c r="K726">
        <v>1.4416709999999999E-2</v>
      </c>
      <c r="L726">
        <v>2.2778900000000001E-2</v>
      </c>
      <c r="M726">
        <v>1.8835890000000001E-2</v>
      </c>
      <c r="N726">
        <v>1.3498629999999999E-2</v>
      </c>
    </row>
    <row r="727" spans="1:14" hidden="1" x14ac:dyDescent="0.35">
      <c r="A727" t="s">
        <v>231</v>
      </c>
      <c r="B727" t="s">
        <v>34</v>
      </c>
      <c r="C727" t="s">
        <v>33</v>
      </c>
      <c r="D727" t="s">
        <v>33</v>
      </c>
      <c r="E727" t="s">
        <v>622</v>
      </c>
      <c r="F727" t="s">
        <v>26</v>
      </c>
      <c r="G727" t="s">
        <v>26</v>
      </c>
      <c r="H727">
        <v>4.657534E-2</v>
      </c>
      <c r="I727">
        <v>0.58557250000000005</v>
      </c>
      <c r="J727">
        <v>0.52549040000000002</v>
      </c>
      <c r="K727">
        <v>0.47293420000000003</v>
      </c>
      <c r="L727">
        <v>0.42563289999999998</v>
      </c>
      <c r="M727">
        <v>0.38406030000000002</v>
      </c>
      <c r="N727">
        <v>0.34465210000000002</v>
      </c>
    </row>
    <row r="728" spans="1:14" hidden="1" x14ac:dyDescent="0.35">
      <c r="A728" t="s">
        <v>232</v>
      </c>
      <c r="B728" t="s">
        <v>37</v>
      </c>
      <c r="C728" t="s">
        <v>35</v>
      </c>
      <c r="D728" t="s">
        <v>164</v>
      </c>
      <c r="E728" t="s">
        <v>580</v>
      </c>
      <c r="F728" t="s">
        <v>581</v>
      </c>
      <c r="G728" t="s">
        <v>24</v>
      </c>
      <c r="H728">
        <v>6.1337200000000003</v>
      </c>
      <c r="I728">
        <v>6.5894190000000004</v>
      </c>
      <c r="J728">
        <v>6.9384220000000001</v>
      </c>
      <c r="K728">
        <v>6.9697480000000001</v>
      </c>
      <c r="L728">
        <v>6.5973860000000002</v>
      </c>
      <c r="M728">
        <v>5.9130149999999997</v>
      </c>
      <c r="N728">
        <v>4.9683140000000003</v>
      </c>
    </row>
    <row r="729" spans="1:14" hidden="1" x14ac:dyDescent="0.35">
      <c r="A729" t="s">
        <v>232</v>
      </c>
      <c r="B729" t="s">
        <v>37</v>
      </c>
      <c r="C729" t="s">
        <v>35</v>
      </c>
      <c r="D729" t="s">
        <v>164</v>
      </c>
      <c r="E729" t="s">
        <v>580</v>
      </c>
      <c r="F729" t="s">
        <v>581</v>
      </c>
      <c r="G729" t="s">
        <v>25</v>
      </c>
      <c r="H729">
        <v>35.380960000000002</v>
      </c>
      <c r="I729">
        <v>37.465980000000002</v>
      </c>
      <c r="J729">
        <v>39.071980000000003</v>
      </c>
      <c r="K729">
        <v>39.248390000000001</v>
      </c>
      <c r="L729">
        <v>37.151539999999997</v>
      </c>
      <c r="M729">
        <v>33.29766</v>
      </c>
      <c r="N729">
        <v>27.977820000000001</v>
      </c>
    </row>
    <row r="730" spans="1:14" hidden="1" x14ac:dyDescent="0.35">
      <c r="A730" t="s">
        <v>232</v>
      </c>
      <c r="B730" t="s">
        <v>37</v>
      </c>
      <c r="C730" t="s">
        <v>35</v>
      </c>
      <c r="D730" t="s">
        <v>164</v>
      </c>
      <c r="E730" t="s">
        <v>580</v>
      </c>
      <c r="F730" t="s">
        <v>26</v>
      </c>
      <c r="G730" t="s">
        <v>26</v>
      </c>
      <c r="H730">
        <v>44.980139999999999</v>
      </c>
      <c r="I730">
        <v>26.1555</v>
      </c>
      <c r="J730">
        <v>27.276669999999999</v>
      </c>
      <c r="K730">
        <v>27.399809999999999</v>
      </c>
      <c r="L730">
        <v>25.935980000000001</v>
      </c>
      <c r="M730">
        <v>23.245539999999998</v>
      </c>
      <c r="N730">
        <v>19.531680000000001</v>
      </c>
    </row>
    <row r="731" spans="1:14" hidden="1" x14ac:dyDescent="0.35">
      <c r="A731" t="s">
        <v>232</v>
      </c>
      <c r="B731" t="s">
        <v>37</v>
      </c>
      <c r="C731" t="s">
        <v>35</v>
      </c>
      <c r="D731" t="s">
        <v>189</v>
      </c>
      <c r="E731" t="s">
        <v>590</v>
      </c>
      <c r="F731" t="s">
        <v>581</v>
      </c>
      <c r="G731" t="s">
        <v>396</v>
      </c>
      <c r="H731">
        <v>37.654789999999998</v>
      </c>
      <c r="I731">
        <v>47.142719999999997</v>
      </c>
      <c r="J731">
        <v>43.271079999999998</v>
      </c>
      <c r="K731">
        <v>36.300649999999997</v>
      </c>
      <c r="L731">
        <v>29.907900000000001</v>
      </c>
      <c r="M731">
        <v>25.38843</v>
      </c>
      <c r="N731">
        <v>23.050850000000001</v>
      </c>
    </row>
    <row r="732" spans="1:14" hidden="1" x14ac:dyDescent="0.35">
      <c r="A732" t="s">
        <v>232</v>
      </c>
      <c r="B732" t="s">
        <v>37</v>
      </c>
      <c r="C732" t="s">
        <v>35</v>
      </c>
      <c r="D732" t="s">
        <v>189</v>
      </c>
      <c r="E732" t="s">
        <v>590</v>
      </c>
      <c r="F732" t="s">
        <v>581</v>
      </c>
      <c r="G732" t="s">
        <v>25</v>
      </c>
      <c r="H732">
        <v>12.73137</v>
      </c>
      <c r="I732">
        <v>14.31692</v>
      </c>
      <c r="J732">
        <v>13.135870000000001</v>
      </c>
      <c r="K732">
        <v>11.01984</v>
      </c>
      <c r="L732">
        <v>9.0791869999999992</v>
      </c>
      <c r="M732">
        <v>7.7072000000000003</v>
      </c>
      <c r="N732">
        <v>6.9975820000000004</v>
      </c>
    </row>
    <row r="733" spans="1:14" hidden="1" x14ac:dyDescent="0.35">
      <c r="A733" t="s">
        <v>232</v>
      </c>
      <c r="B733" t="s">
        <v>37</v>
      </c>
      <c r="C733" t="s">
        <v>35</v>
      </c>
      <c r="D733" t="s">
        <v>189</v>
      </c>
      <c r="E733" t="s">
        <v>590</v>
      </c>
      <c r="F733" t="s">
        <v>26</v>
      </c>
      <c r="G733" t="s">
        <v>26</v>
      </c>
      <c r="H733">
        <v>11.592599999999999</v>
      </c>
      <c r="I733">
        <v>7.158461</v>
      </c>
      <c r="J733">
        <v>6.5679319999999999</v>
      </c>
      <c r="K733">
        <v>5.5099200000000002</v>
      </c>
      <c r="L733">
        <v>4.5395919999999998</v>
      </c>
      <c r="M733">
        <v>3.853602</v>
      </c>
      <c r="N733">
        <v>3.4987910000000002</v>
      </c>
    </row>
    <row r="734" spans="1:14" hidden="1" x14ac:dyDescent="0.35">
      <c r="A734" t="s">
        <v>232</v>
      </c>
      <c r="B734" t="s">
        <v>37</v>
      </c>
      <c r="C734" t="s">
        <v>35</v>
      </c>
      <c r="D734" t="s">
        <v>189</v>
      </c>
      <c r="E734" t="s">
        <v>586</v>
      </c>
      <c r="F734" t="s">
        <v>581</v>
      </c>
      <c r="G734" t="s">
        <v>396</v>
      </c>
      <c r="H734">
        <v>4.8679449999999997</v>
      </c>
      <c r="I734">
        <v>5.874352</v>
      </c>
      <c r="J734">
        <v>5.1377189999999997</v>
      </c>
      <c r="K734">
        <v>4.5131779999999999</v>
      </c>
      <c r="L734">
        <v>4.1834790000000002</v>
      </c>
      <c r="M734">
        <v>3.760243</v>
      </c>
      <c r="N734">
        <v>3.448582</v>
      </c>
    </row>
    <row r="735" spans="1:14" hidden="1" x14ac:dyDescent="0.35">
      <c r="A735" t="s">
        <v>232</v>
      </c>
      <c r="B735" t="s">
        <v>37</v>
      </c>
      <c r="C735" t="s">
        <v>35</v>
      </c>
      <c r="D735" t="s">
        <v>189</v>
      </c>
      <c r="E735" t="s">
        <v>586</v>
      </c>
      <c r="F735" t="s">
        <v>581</v>
      </c>
      <c r="G735" t="s">
        <v>25</v>
      </c>
      <c r="H735">
        <v>1.5495890000000001</v>
      </c>
      <c r="I735">
        <v>1.6783870000000001</v>
      </c>
      <c r="J735">
        <v>1.4679199999999999</v>
      </c>
      <c r="K735">
        <v>1.2894829999999999</v>
      </c>
      <c r="L735">
        <v>1.1952780000000001</v>
      </c>
      <c r="M735">
        <v>1.0743549999999999</v>
      </c>
      <c r="N735">
        <v>0.98530910000000005</v>
      </c>
    </row>
    <row r="736" spans="1:14" hidden="1" x14ac:dyDescent="0.35">
      <c r="A736" t="s">
        <v>232</v>
      </c>
      <c r="B736" t="s">
        <v>37</v>
      </c>
      <c r="C736" t="s">
        <v>35</v>
      </c>
      <c r="D736" t="s">
        <v>189</v>
      </c>
      <c r="E736" t="s">
        <v>586</v>
      </c>
      <c r="F736" t="s">
        <v>26</v>
      </c>
      <c r="G736" t="s">
        <v>26</v>
      </c>
      <c r="H736">
        <v>1.4115070000000001</v>
      </c>
      <c r="I736">
        <v>0.83919180000000004</v>
      </c>
      <c r="J736">
        <v>0.73396130000000004</v>
      </c>
      <c r="K736">
        <v>0.64473970000000003</v>
      </c>
      <c r="L736">
        <v>0.5976378</v>
      </c>
      <c r="M736">
        <v>0.53717839999999994</v>
      </c>
      <c r="N736">
        <v>0.4926565</v>
      </c>
    </row>
    <row r="737" spans="1:14" hidden="1" x14ac:dyDescent="0.35">
      <c r="A737" t="s">
        <v>232</v>
      </c>
      <c r="B737" t="s">
        <v>37</v>
      </c>
      <c r="C737" t="s">
        <v>35</v>
      </c>
      <c r="D737" t="s">
        <v>129</v>
      </c>
      <c r="E737" t="s">
        <v>580</v>
      </c>
      <c r="F737" t="s">
        <v>581</v>
      </c>
      <c r="G737" t="s">
        <v>396</v>
      </c>
      <c r="H737">
        <v>15.88822</v>
      </c>
      <c r="I737">
        <v>19.002199999999998</v>
      </c>
      <c r="J737">
        <v>16.02636</v>
      </c>
      <c r="K737">
        <v>13.204420000000001</v>
      </c>
      <c r="L737">
        <v>11.25318</v>
      </c>
      <c r="M737">
        <v>10.091469999999999</v>
      </c>
      <c r="N737">
        <v>9.5911760000000008</v>
      </c>
    </row>
    <row r="738" spans="1:14" hidden="1" x14ac:dyDescent="0.35">
      <c r="A738" t="s">
        <v>232</v>
      </c>
      <c r="B738" t="s">
        <v>37</v>
      </c>
      <c r="C738" t="s">
        <v>35</v>
      </c>
      <c r="D738" t="s">
        <v>129</v>
      </c>
      <c r="E738" t="s">
        <v>580</v>
      </c>
      <c r="F738" t="s">
        <v>581</v>
      </c>
      <c r="G738" t="s">
        <v>25</v>
      </c>
      <c r="H738">
        <v>5.2054790000000004</v>
      </c>
      <c r="I738">
        <v>5.5558949999999996</v>
      </c>
      <c r="J738">
        <v>4.6846300000000003</v>
      </c>
      <c r="K738">
        <v>3.85975</v>
      </c>
      <c r="L738">
        <v>3.2893880000000002</v>
      </c>
      <c r="M738">
        <v>2.9498160000000002</v>
      </c>
      <c r="N738">
        <v>2.8035739999999998</v>
      </c>
    </row>
    <row r="739" spans="1:14" hidden="1" x14ac:dyDescent="0.35">
      <c r="A739" t="s">
        <v>232</v>
      </c>
      <c r="B739" t="s">
        <v>37</v>
      </c>
      <c r="C739" t="s">
        <v>35</v>
      </c>
      <c r="D739" t="s">
        <v>129</v>
      </c>
      <c r="E739" t="s">
        <v>580</v>
      </c>
      <c r="F739" t="s">
        <v>26</v>
      </c>
      <c r="G739" t="s">
        <v>26</v>
      </c>
      <c r="H739">
        <v>7.9824650000000004</v>
      </c>
      <c r="I739">
        <v>4.6786469999999998</v>
      </c>
      <c r="J739">
        <v>3.94495</v>
      </c>
      <c r="K739">
        <v>3.2503190000000002</v>
      </c>
      <c r="L739">
        <v>2.7700100000000001</v>
      </c>
      <c r="M739">
        <v>2.4840550000000001</v>
      </c>
      <c r="N739">
        <v>2.360903</v>
      </c>
    </row>
    <row r="740" spans="1:14" hidden="1" x14ac:dyDescent="0.35">
      <c r="A740" t="s">
        <v>232</v>
      </c>
      <c r="B740" t="s">
        <v>37</v>
      </c>
      <c r="C740" t="s">
        <v>35</v>
      </c>
      <c r="D740" t="s">
        <v>129</v>
      </c>
      <c r="E740" t="s">
        <v>583</v>
      </c>
      <c r="F740" t="s">
        <v>581</v>
      </c>
      <c r="G740" t="s">
        <v>396</v>
      </c>
      <c r="H740">
        <v>0.1336986</v>
      </c>
      <c r="I740">
        <v>0.20728820000000001</v>
      </c>
      <c r="J740">
        <v>0.2501236</v>
      </c>
      <c r="K740">
        <v>0.1933153</v>
      </c>
      <c r="L740">
        <v>0.1831691</v>
      </c>
      <c r="M740">
        <v>0.1508244</v>
      </c>
      <c r="N740">
        <v>0.12428359999999999</v>
      </c>
    </row>
    <row r="741" spans="1:14" hidden="1" x14ac:dyDescent="0.35">
      <c r="A741" t="s">
        <v>232</v>
      </c>
      <c r="B741" t="s">
        <v>37</v>
      </c>
      <c r="C741" t="s">
        <v>35</v>
      </c>
      <c r="D741" t="s">
        <v>129</v>
      </c>
      <c r="E741" t="s">
        <v>583</v>
      </c>
      <c r="F741" t="s">
        <v>581</v>
      </c>
      <c r="G741" t="s">
        <v>25</v>
      </c>
      <c r="H741">
        <v>3.2873970000000002E-2</v>
      </c>
      <c r="I741">
        <v>4.481972E-2</v>
      </c>
      <c r="J741">
        <v>5.408164E-2</v>
      </c>
      <c r="K741">
        <v>4.1795619999999999E-2</v>
      </c>
      <c r="L741">
        <v>3.9599450000000001E-2</v>
      </c>
      <c r="M741">
        <v>3.2615619999999998E-2</v>
      </c>
      <c r="N741">
        <v>2.6870950000000001E-2</v>
      </c>
    </row>
    <row r="742" spans="1:14" hidden="1" x14ac:dyDescent="0.35">
      <c r="A742" t="s">
        <v>232</v>
      </c>
      <c r="B742" t="s">
        <v>37</v>
      </c>
      <c r="C742" t="s">
        <v>35</v>
      </c>
      <c r="D742" t="s">
        <v>129</v>
      </c>
      <c r="E742" t="s">
        <v>583</v>
      </c>
      <c r="F742" t="s">
        <v>26</v>
      </c>
      <c r="G742" t="s">
        <v>26</v>
      </c>
      <c r="H742">
        <v>3.726028E-2</v>
      </c>
      <c r="I742">
        <v>2.8012599999999999E-2</v>
      </c>
      <c r="J742">
        <v>3.3800549999999999E-2</v>
      </c>
      <c r="K742">
        <v>2.612548E-2</v>
      </c>
      <c r="L742">
        <v>2.4752050000000001E-2</v>
      </c>
      <c r="M742">
        <v>2.0382190000000001E-2</v>
      </c>
      <c r="N742">
        <v>1.6793969999999998E-2</v>
      </c>
    </row>
    <row r="743" spans="1:14" hidden="1" x14ac:dyDescent="0.35">
      <c r="A743" t="s">
        <v>232</v>
      </c>
      <c r="B743" t="s">
        <v>37</v>
      </c>
      <c r="C743" t="s">
        <v>35</v>
      </c>
      <c r="D743" t="s">
        <v>38</v>
      </c>
      <c r="E743" t="s">
        <v>584</v>
      </c>
      <c r="F743" t="s">
        <v>581</v>
      </c>
      <c r="G743" t="s">
        <v>396</v>
      </c>
      <c r="H743">
        <v>11.660270000000001</v>
      </c>
      <c r="I743">
        <v>11.294729999999999</v>
      </c>
      <c r="J743">
        <v>10.63869</v>
      </c>
      <c r="K743">
        <v>10.02079</v>
      </c>
      <c r="L743">
        <v>9.3606940000000005</v>
      </c>
      <c r="M743">
        <v>8.5692990000000009</v>
      </c>
      <c r="N743">
        <v>7.8680919999999999</v>
      </c>
    </row>
    <row r="744" spans="1:14" hidden="1" x14ac:dyDescent="0.35">
      <c r="A744" t="s">
        <v>232</v>
      </c>
      <c r="B744" t="s">
        <v>37</v>
      </c>
      <c r="C744" t="s">
        <v>35</v>
      </c>
      <c r="D744" t="s">
        <v>38</v>
      </c>
      <c r="E744" t="s">
        <v>584</v>
      </c>
      <c r="F744" t="s">
        <v>581</v>
      </c>
      <c r="G744" t="s">
        <v>24</v>
      </c>
      <c r="H744">
        <v>8.0000000000000004E-4</v>
      </c>
      <c r="I744">
        <v>0</v>
      </c>
    </row>
    <row r="745" spans="1:14" hidden="1" x14ac:dyDescent="0.35">
      <c r="A745" t="s">
        <v>232</v>
      </c>
      <c r="B745" t="s">
        <v>37</v>
      </c>
      <c r="C745" t="s">
        <v>35</v>
      </c>
      <c r="D745" t="s">
        <v>38</v>
      </c>
      <c r="E745" t="s">
        <v>584</v>
      </c>
      <c r="F745" t="s">
        <v>581</v>
      </c>
      <c r="G745" t="s">
        <v>25</v>
      </c>
      <c r="H745">
        <v>0.42383559999999998</v>
      </c>
      <c r="I745">
        <v>0.41544379999999997</v>
      </c>
      <c r="J745">
        <v>0.40720030000000002</v>
      </c>
      <c r="K745">
        <v>0.39835179999999998</v>
      </c>
      <c r="L745">
        <v>0.38666660000000003</v>
      </c>
      <c r="M745">
        <v>0.36705969999999999</v>
      </c>
      <c r="N745">
        <v>0.35000170000000003</v>
      </c>
    </row>
    <row r="746" spans="1:14" hidden="1" x14ac:dyDescent="0.35">
      <c r="A746" t="s">
        <v>232</v>
      </c>
      <c r="B746" t="s">
        <v>37</v>
      </c>
      <c r="C746" t="s">
        <v>35</v>
      </c>
      <c r="D746" t="s">
        <v>38</v>
      </c>
      <c r="E746" t="s">
        <v>584</v>
      </c>
      <c r="F746" t="s">
        <v>26</v>
      </c>
      <c r="G746" t="s">
        <v>26</v>
      </c>
      <c r="H746">
        <v>9.2382190000000008</v>
      </c>
      <c r="I746">
        <v>6.3166359999999999</v>
      </c>
      <c r="J746">
        <v>4.784599</v>
      </c>
      <c r="K746">
        <v>3.640352</v>
      </c>
      <c r="L746">
        <v>2.755636</v>
      </c>
      <c r="M746">
        <v>2.067847</v>
      </c>
      <c r="N746">
        <v>1.5667930000000001</v>
      </c>
    </row>
    <row r="747" spans="1:14" hidden="1" x14ac:dyDescent="0.35">
      <c r="A747" t="s">
        <v>232</v>
      </c>
      <c r="B747" t="s">
        <v>37</v>
      </c>
      <c r="C747" t="s">
        <v>35</v>
      </c>
      <c r="D747" t="s">
        <v>38</v>
      </c>
      <c r="E747" t="s">
        <v>586</v>
      </c>
      <c r="F747" t="s">
        <v>581</v>
      </c>
      <c r="G747" t="s">
        <v>396</v>
      </c>
      <c r="H747">
        <v>1.7928770000000001</v>
      </c>
      <c r="I747">
        <v>2.0157069999999999</v>
      </c>
      <c r="J747">
        <v>2.0240589999999998</v>
      </c>
      <c r="K747">
        <v>1.730847</v>
      </c>
      <c r="L747">
        <v>1.4779450000000001</v>
      </c>
      <c r="M747">
        <v>1.271299</v>
      </c>
      <c r="N747">
        <v>1.0934250000000001</v>
      </c>
    </row>
    <row r="748" spans="1:14" hidden="1" x14ac:dyDescent="0.35">
      <c r="A748" t="s">
        <v>232</v>
      </c>
      <c r="B748" t="s">
        <v>37</v>
      </c>
      <c r="C748" t="s">
        <v>35</v>
      </c>
      <c r="D748" t="s">
        <v>38</v>
      </c>
      <c r="E748" t="s">
        <v>586</v>
      </c>
      <c r="F748" t="s">
        <v>581</v>
      </c>
      <c r="G748" t="s">
        <v>25</v>
      </c>
      <c r="H748">
        <v>0.6054794</v>
      </c>
      <c r="I748">
        <v>0.61190960000000005</v>
      </c>
      <c r="J748">
        <v>0.6144463</v>
      </c>
      <c r="K748">
        <v>0.52544329999999995</v>
      </c>
      <c r="L748">
        <v>0.44866060000000002</v>
      </c>
      <c r="M748">
        <v>0.38592900000000002</v>
      </c>
      <c r="N748">
        <v>0.33193010000000001</v>
      </c>
    </row>
    <row r="749" spans="1:14" hidden="1" x14ac:dyDescent="0.35">
      <c r="A749" t="s">
        <v>232</v>
      </c>
      <c r="B749" t="s">
        <v>37</v>
      </c>
      <c r="C749" t="s">
        <v>35</v>
      </c>
      <c r="D749" t="s">
        <v>38</v>
      </c>
      <c r="E749" t="s">
        <v>586</v>
      </c>
      <c r="F749" t="s">
        <v>26</v>
      </c>
      <c r="G749" t="s">
        <v>26</v>
      </c>
      <c r="H749">
        <v>0.55191789999999996</v>
      </c>
      <c r="I749">
        <v>0.30595620000000001</v>
      </c>
      <c r="J749">
        <v>0.30722139999999998</v>
      </c>
      <c r="K749">
        <v>0.26271889999999998</v>
      </c>
      <c r="L749">
        <v>0.22433210000000001</v>
      </c>
      <c r="M749">
        <v>0.19296630000000001</v>
      </c>
      <c r="N749">
        <v>0.16596739999999999</v>
      </c>
    </row>
    <row r="750" spans="1:14" hidden="1" x14ac:dyDescent="0.35">
      <c r="A750" t="s">
        <v>232</v>
      </c>
      <c r="B750" t="s">
        <v>37</v>
      </c>
      <c r="C750" t="s">
        <v>35</v>
      </c>
      <c r="D750" t="s">
        <v>38</v>
      </c>
      <c r="E750" t="s">
        <v>644</v>
      </c>
      <c r="F750" t="s">
        <v>581</v>
      </c>
      <c r="G750" t="s">
        <v>396</v>
      </c>
      <c r="H750">
        <v>0.93589040000000001</v>
      </c>
      <c r="I750">
        <v>0.74692610000000004</v>
      </c>
      <c r="J750">
        <v>0.64727129999999999</v>
      </c>
      <c r="K750">
        <v>0.56735340000000001</v>
      </c>
      <c r="L750">
        <v>0.49902740000000001</v>
      </c>
      <c r="M750">
        <v>0.44026300000000002</v>
      </c>
      <c r="N750">
        <v>0.38629590000000003</v>
      </c>
    </row>
    <row r="751" spans="1:14" hidden="1" x14ac:dyDescent="0.35">
      <c r="A751" t="s">
        <v>232</v>
      </c>
      <c r="B751" t="s">
        <v>37</v>
      </c>
      <c r="C751" t="s">
        <v>35</v>
      </c>
      <c r="D751" t="s">
        <v>38</v>
      </c>
      <c r="E751" t="s">
        <v>644</v>
      </c>
      <c r="F751" t="s">
        <v>581</v>
      </c>
      <c r="G751" t="s">
        <v>25</v>
      </c>
      <c r="H751">
        <v>0.25383559999999999</v>
      </c>
      <c r="I751">
        <v>0.18139730000000001</v>
      </c>
      <c r="J751">
        <v>0.15719449999999999</v>
      </c>
      <c r="K751">
        <v>0.13778360000000001</v>
      </c>
      <c r="L751">
        <v>0.12118900000000001</v>
      </c>
      <c r="M751">
        <v>0.1069205</v>
      </c>
      <c r="N751">
        <v>9.3816440000000001E-2</v>
      </c>
    </row>
    <row r="752" spans="1:14" hidden="1" x14ac:dyDescent="0.35">
      <c r="A752" t="s">
        <v>232</v>
      </c>
      <c r="B752" t="s">
        <v>37</v>
      </c>
      <c r="C752" t="s">
        <v>35</v>
      </c>
      <c r="D752" t="s">
        <v>38</v>
      </c>
      <c r="E752" t="s">
        <v>644</v>
      </c>
      <c r="F752" t="s">
        <v>26</v>
      </c>
      <c r="G752" t="s">
        <v>26</v>
      </c>
      <c r="H752">
        <v>0.40287669999999998</v>
      </c>
      <c r="I752">
        <v>0.15872049999999999</v>
      </c>
      <c r="J752">
        <v>0.13754520000000001</v>
      </c>
      <c r="K752">
        <v>0.1205616</v>
      </c>
      <c r="L752">
        <v>0.10604379999999999</v>
      </c>
      <c r="M752">
        <v>9.3556169999999994E-2</v>
      </c>
      <c r="N752">
        <v>8.2087660000000007E-2</v>
      </c>
    </row>
    <row r="753" spans="1:14" hidden="1" x14ac:dyDescent="0.35">
      <c r="A753" t="s">
        <v>232</v>
      </c>
      <c r="B753" t="s">
        <v>37</v>
      </c>
      <c r="C753" t="s">
        <v>35</v>
      </c>
      <c r="D753" t="s">
        <v>39</v>
      </c>
      <c r="E753" t="s">
        <v>582</v>
      </c>
      <c r="F753" t="s">
        <v>581</v>
      </c>
      <c r="G753" t="s">
        <v>396</v>
      </c>
      <c r="H753">
        <v>4.8372599999999997</v>
      </c>
      <c r="I753">
        <v>8.5684319999999996</v>
      </c>
      <c r="J753">
        <v>8.6613159999999993</v>
      </c>
      <c r="K753">
        <v>7.5442210000000003</v>
      </c>
      <c r="L753">
        <v>6.640549</v>
      </c>
      <c r="M753">
        <v>5.8156699999999999</v>
      </c>
      <c r="N753">
        <v>5.1708439999999998</v>
      </c>
    </row>
    <row r="754" spans="1:14" hidden="1" x14ac:dyDescent="0.35">
      <c r="A754" t="s">
        <v>232</v>
      </c>
      <c r="B754" t="s">
        <v>37</v>
      </c>
      <c r="C754" t="s">
        <v>35</v>
      </c>
      <c r="D754" t="s">
        <v>39</v>
      </c>
      <c r="E754" t="s">
        <v>582</v>
      </c>
      <c r="F754" t="s">
        <v>581</v>
      </c>
      <c r="G754" t="s">
        <v>25</v>
      </c>
      <c r="H754">
        <v>1.9305479999999999</v>
      </c>
      <c r="I754">
        <v>3.0335869999999998</v>
      </c>
      <c r="J754">
        <v>3.0675460000000001</v>
      </c>
      <c r="K754">
        <v>2.67191</v>
      </c>
      <c r="L754">
        <v>2.3518590000000001</v>
      </c>
      <c r="M754">
        <v>2.0597189999999999</v>
      </c>
      <c r="N754">
        <v>1.8313390000000001</v>
      </c>
    </row>
    <row r="755" spans="1:14" hidden="1" x14ac:dyDescent="0.35">
      <c r="A755" t="s">
        <v>232</v>
      </c>
      <c r="B755" t="s">
        <v>37</v>
      </c>
      <c r="C755" t="s">
        <v>35</v>
      </c>
      <c r="D755" t="s">
        <v>39</v>
      </c>
      <c r="E755" t="s">
        <v>582</v>
      </c>
      <c r="F755" t="s">
        <v>26</v>
      </c>
      <c r="G755" t="s">
        <v>26</v>
      </c>
      <c r="H755">
        <v>3.5141100000000001</v>
      </c>
      <c r="I755">
        <v>3.0335839999999998</v>
      </c>
      <c r="J755">
        <v>3.0675509999999999</v>
      </c>
      <c r="K755">
        <v>2.6719110000000001</v>
      </c>
      <c r="L755">
        <v>2.3518599999999998</v>
      </c>
      <c r="M755">
        <v>2.059717</v>
      </c>
      <c r="N755">
        <v>1.83134</v>
      </c>
    </row>
    <row r="756" spans="1:14" hidden="1" x14ac:dyDescent="0.35">
      <c r="A756" t="s">
        <v>232</v>
      </c>
      <c r="B756" t="s">
        <v>37</v>
      </c>
      <c r="C756" t="s">
        <v>35</v>
      </c>
      <c r="D756" t="s">
        <v>207</v>
      </c>
      <c r="E756" t="s">
        <v>584</v>
      </c>
      <c r="F756" t="s">
        <v>581</v>
      </c>
      <c r="G756" t="s">
        <v>396</v>
      </c>
      <c r="H756">
        <v>0.1073973</v>
      </c>
      <c r="I756">
        <v>0.1052712</v>
      </c>
      <c r="J756">
        <v>0.1031825</v>
      </c>
      <c r="K756">
        <v>0.10093920000000001</v>
      </c>
      <c r="L756">
        <v>9.7979460000000004E-2</v>
      </c>
      <c r="M756">
        <v>0</v>
      </c>
      <c r="N756">
        <v>0</v>
      </c>
    </row>
    <row r="757" spans="1:14" hidden="1" x14ac:dyDescent="0.35">
      <c r="A757" t="s">
        <v>232</v>
      </c>
      <c r="B757" t="s">
        <v>37</v>
      </c>
      <c r="C757" t="s">
        <v>35</v>
      </c>
      <c r="D757" t="s">
        <v>207</v>
      </c>
      <c r="E757" t="s">
        <v>584</v>
      </c>
      <c r="F757" t="s">
        <v>581</v>
      </c>
      <c r="G757" t="s">
        <v>24</v>
      </c>
      <c r="H757">
        <v>0.10958900000000001</v>
      </c>
      <c r="I757">
        <v>0.1020219</v>
      </c>
      <c r="J757">
        <v>9.4972059999999997E-2</v>
      </c>
      <c r="K757">
        <v>8.8297260000000002E-2</v>
      </c>
      <c r="L757">
        <v>8.1233970000000003E-2</v>
      </c>
      <c r="M757">
        <v>0</v>
      </c>
      <c r="N757">
        <v>0</v>
      </c>
    </row>
    <row r="758" spans="1:14" hidden="1" x14ac:dyDescent="0.35">
      <c r="A758" t="s">
        <v>232</v>
      </c>
      <c r="B758" t="s">
        <v>37</v>
      </c>
      <c r="C758" t="s">
        <v>35</v>
      </c>
      <c r="D758" t="s">
        <v>207</v>
      </c>
      <c r="E758" t="s">
        <v>584</v>
      </c>
      <c r="F758" t="s">
        <v>581</v>
      </c>
      <c r="G758" t="s">
        <v>25</v>
      </c>
      <c r="H758">
        <v>6.5208219999999997E-2</v>
      </c>
      <c r="I758">
        <v>6.2345200000000003E-2</v>
      </c>
      <c r="J758">
        <v>5.9613149999999997E-2</v>
      </c>
      <c r="K758">
        <v>5.6934800000000001E-2</v>
      </c>
      <c r="L758">
        <v>5.3860819999999997E-2</v>
      </c>
      <c r="M758">
        <v>0</v>
      </c>
      <c r="N758">
        <v>0</v>
      </c>
    </row>
    <row r="759" spans="1:14" hidden="1" x14ac:dyDescent="0.35">
      <c r="A759" t="s">
        <v>232</v>
      </c>
      <c r="B759" t="s">
        <v>37</v>
      </c>
      <c r="C759" t="s">
        <v>35</v>
      </c>
      <c r="D759" t="s">
        <v>207</v>
      </c>
      <c r="E759" t="s">
        <v>584</v>
      </c>
      <c r="F759" t="s">
        <v>26</v>
      </c>
      <c r="G759" t="s">
        <v>26</v>
      </c>
      <c r="H759">
        <v>9.9158910000000002</v>
      </c>
      <c r="I759">
        <v>7.9394119999999999</v>
      </c>
      <c r="J759">
        <v>6.3559939999999999</v>
      </c>
      <c r="K759">
        <v>5.0750760000000001</v>
      </c>
      <c r="L759">
        <v>3.9915769999999999</v>
      </c>
      <c r="M759">
        <v>0</v>
      </c>
      <c r="N759">
        <v>0</v>
      </c>
    </row>
    <row r="760" spans="1:14" hidden="1" x14ac:dyDescent="0.35">
      <c r="A760" t="s">
        <v>232</v>
      </c>
      <c r="B760" t="s">
        <v>37</v>
      </c>
      <c r="C760" t="s">
        <v>35</v>
      </c>
      <c r="D760" t="s">
        <v>207</v>
      </c>
      <c r="E760" t="s">
        <v>592</v>
      </c>
      <c r="F760" t="s">
        <v>581</v>
      </c>
      <c r="G760" t="s">
        <v>396</v>
      </c>
      <c r="H760">
        <v>2.5994519999999999</v>
      </c>
      <c r="I760">
        <v>2.7171539999999998</v>
      </c>
      <c r="J760">
        <v>2.3252459999999999</v>
      </c>
      <c r="K760">
        <v>2.0696110000000001</v>
      </c>
      <c r="L760">
        <v>1.884973</v>
      </c>
      <c r="M760">
        <v>1.6448339999999999</v>
      </c>
      <c r="N760">
        <v>1.427592</v>
      </c>
    </row>
    <row r="761" spans="1:14" hidden="1" x14ac:dyDescent="0.35">
      <c r="A761" t="s">
        <v>232</v>
      </c>
      <c r="B761" t="s">
        <v>37</v>
      </c>
      <c r="C761" t="s">
        <v>35</v>
      </c>
      <c r="D761" t="s">
        <v>207</v>
      </c>
      <c r="E761" t="s">
        <v>592</v>
      </c>
      <c r="F761" t="s">
        <v>581</v>
      </c>
      <c r="G761" t="s">
        <v>25</v>
      </c>
      <c r="H761">
        <v>0.4098658</v>
      </c>
      <c r="I761">
        <v>0.38493149999999998</v>
      </c>
      <c r="J761">
        <v>0.32940789999999998</v>
      </c>
      <c r="K761">
        <v>0.29319400000000001</v>
      </c>
      <c r="L761">
        <v>0.26703369999999998</v>
      </c>
      <c r="M761">
        <v>0.2330197</v>
      </c>
      <c r="N761">
        <v>0.20224139999999999</v>
      </c>
    </row>
    <row r="762" spans="1:14" hidden="1" x14ac:dyDescent="0.35">
      <c r="A762" t="s">
        <v>232</v>
      </c>
      <c r="B762" t="s">
        <v>37</v>
      </c>
      <c r="C762" t="s">
        <v>35</v>
      </c>
      <c r="D762" t="s">
        <v>207</v>
      </c>
      <c r="E762" t="s">
        <v>592</v>
      </c>
      <c r="F762" t="s">
        <v>26</v>
      </c>
      <c r="G762" t="s">
        <v>26</v>
      </c>
      <c r="H762">
        <v>1.1201369999999999</v>
      </c>
      <c r="I762">
        <v>0.57739180000000001</v>
      </c>
      <c r="J762">
        <v>0.49411559999999999</v>
      </c>
      <c r="K762">
        <v>0.4397932</v>
      </c>
      <c r="L762">
        <v>0.40055750000000001</v>
      </c>
      <c r="M762">
        <v>0.34952879999999997</v>
      </c>
      <c r="N762">
        <v>0.30336249999999998</v>
      </c>
    </row>
    <row r="763" spans="1:14" hidden="1" x14ac:dyDescent="0.35">
      <c r="A763" t="s">
        <v>232</v>
      </c>
      <c r="B763" t="s">
        <v>37</v>
      </c>
      <c r="C763" t="s">
        <v>35</v>
      </c>
      <c r="D763" t="s">
        <v>207</v>
      </c>
      <c r="E763" t="s">
        <v>591</v>
      </c>
      <c r="F763" t="s">
        <v>581</v>
      </c>
      <c r="G763" t="s">
        <v>396</v>
      </c>
      <c r="H763">
        <v>1.808219</v>
      </c>
      <c r="I763">
        <v>2.133003</v>
      </c>
      <c r="J763">
        <v>1.956995</v>
      </c>
      <c r="K763">
        <v>1.755414</v>
      </c>
      <c r="L763">
        <v>1.5746960000000001</v>
      </c>
      <c r="M763">
        <v>1.376587</v>
      </c>
      <c r="N763">
        <v>1.1981280000000001</v>
      </c>
    </row>
    <row r="764" spans="1:14" hidden="1" x14ac:dyDescent="0.35">
      <c r="A764" t="s">
        <v>232</v>
      </c>
      <c r="B764" t="s">
        <v>37</v>
      </c>
      <c r="C764" t="s">
        <v>35</v>
      </c>
      <c r="D764" t="s">
        <v>207</v>
      </c>
      <c r="E764" t="s">
        <v>591</v>
      </c>
      <c r="F764" t="s">
        <v>581</v>
      </c>
      <c r="G764" t="s">
        <v>25</v>
      </c>
      <c r="H764">
        <v>0.54260280000000005</v>
      </c>
      <c r="I764">
        <v>0.57531810000000005</v>
      </c>
      <c r="J764">
        <v>0.52807859999999995</v>
      </c>
      <c r="K764">
        <v>0.47368460000000001</v>
      </c>
      <c r="L764">
        <v>0.42491830000000003</v>
      </c>
      <c r="M764">
        <v>0.3714635</v>
      </c>
      <c r="N764">
        <v>0.32330300000000001</v>
      </c>
    </row>
    <row r="765" spans="1:14" hidden="1" x14ac:dyDescent="0.35">
      <c r="A765" t="s">
        <v>232</v>
      </c>
      <c r="B765" t="s">
        <v>37</v>
      </c>
      <c r="C765" t="s">
        <v>35</v>
      </c>
      <c r="D765" t="s">
        <v>207</v>
      </c>
      <c r="E765" t="s">
        <v>591</v>
      </c>
      <c r="F765" t="s">
        <v>26</v>
      </c>
      <c r="G765" t="s">
        <v>26</v>
      </c>
      <c r="H765">
        <v>1.2994520000000001</v>
      </c>
      <c r="I765">
        <v>0.75510690000000003</v>
      </c>
      <c r="J765">
        <v>0.69310380000000005</v>
      </c>
      <c r="K765">
        <v>0.62171100000000001</v>
      </c>
      <c r="L765">
        <v>0.55770489999999995</v>
      </c>
      <c r="M765">
        <v>0.48754249999999999</v>
      </c>
      <c r="N765">
        <v>0.4243364</v>
      </c>
    </row>
    <row r="766" spans="1:14" hidden="1" x14ac:dyDescent="0.35">
      <c r="A766" t="s">
        <v>232</v>
      </c>
      <c r="B766" t="s">
        <v>37</v>
      </c>
      <c r="C766" t="s">
        <v>35</v>
      </c>
      <c r="D766" t="s">
        <v>207</v>
      </c>
      <c r="E766" t="s">
        <v>651</v>
      </c>
      <c r="F766" t="s">
        <v>581</v>
      </c>
      <c r="G766" t="s">
        <v>396</v>
      </c>
      <c r="H766">
        <v>7.890411E-2</v>
      </c>
      <c r="I766">
        <v>9.8722470000000007E-2</v>
      </c>
      <c r="J766">
        <v>9.59589E-2</v>
      </c>
      <c r="K766">
        <v>9.0001100000000001E-2</v>
      </c>
      <c r="L766">
        <v>8.449835E-2</v>
      </c>
      <c r="M766">
        <v>6.9085759999999996E-2</v>
      </c>
      <c r="N766">
        <v>5.7926030000000003E-2</v>
      </c>
    </row>
    <row r="767" spans="1:14" hidden="1" x14ac:dyDescent="0.35">
      <c r="A767" t="s">
        <v>232</v>
      </c>
      <c r="B767" t="s">
        <v>37</v>
      </c>
      <c r="C767" t="s">
        <v>35</v>
      </c>
      <c r="D767" t="s">
        <v>207</v>
      </c>
      <c r="E767" t="s">
        <v>651</v>
      </c>
      <c r="F767" t="s">
        <v>581</v>
      </c>
      <c r="G767" t="s">
        <v>25</v>
      </c>
      <c r="H767">
        <v>2.096164E-2</v>
      </c>
      <c r="I767">
        <v>2.2447399999999999E-2</v>
      </c>
      <c r="J767">
        <v>2.1850680000000001E-2</v>
      </c>
      <c r="K767">
        <v>2.0495340000000001E-2</v>
      </c>
      <c r="L767">
        <v>1.9238080000000001E-2</v>
      </c>
      <c r="M767">
        <v>1.5731510000000001E-2</v>
      </c>
      <c r="N767">
        <v>1.318712E-2</v>
      </c>
    </row>
    <row r="768" spans="1:14" hidden="1" x14ac:dyDescent="0.35">
      <c r="A768" t="s">
        <v>232</v>
      </c>
      <c r="B768" t="s">
        <v>37</v>
      </c>
      <c r="C768" t="s">
        <v>35</v>
      </c>
      <c r="D768" t="s">
        <v>207</v>
      </c>
      <c r="E768" t="s">
        <v>651</v>
      </c>
      <c r="F768" t="s">
        <v>26</v>
      </c>
      <c r="G768" t="s">
        <v>26</v>
      </c>
      <c r="H768">
        <v>3.726028E-2</v>
      </c>
      <c r="I768">
        <v>2.2449319999999998E-2</v>
      </c>
      <c r="J768">
        <v>2.184877E-2</v>
      </c>
      <c r="K768">
        <v>2.0489859999999999E-2</v>
      </c>
      <c r="L768">
        <v>1.92389E-2</v>
      </c>
      <c r="M768">
        <v>1.572877E-2</v>
      </c>
      <c r="N768">
        <v>1.31863E-2</v>
      </c>
    </row>
    <row r="769" spans="1:14" hidden="1" x14ac:dyDescent="0.35">
      <c r="A769" t="s">
        <v>232</v>
      </c>
      <c r="B769" t="s">
        <v>37</v>
      </c>
      <c r="C769" t="s">
        <v>35</v>
      </c>
      <c r="D769" t="s">
        <v>233</v>
      </c>
      <c r="E769" t="s">
        <v>589</v>
      </c>
      <c r="F769" t="s">
        <v>581</v>
      </c>
      <c r="G769" t="s">
        <v>396</v>
      </c>
      <c r="H769">
        <v>6.0843829999999999</v>
      </c>
      <c r="I769">
        <v>7.1580180000000002</v>
      </c>
      <c r="J769">
        <v>6.1563829999999999</v>
      </c>
      <c r="K769">
        <v>5.394075</v>
      </c>
      <c r="L769">
        <v>4.4803709999999999</v>
      </c>
      <c r="M769">
        <v>3.71028</v>
      </c>
      <c r="N769">
        <v>3.1474859999999998</v>
      </c>
    </row>
    <row r="770" spans="1:14" hidden="1" x14ac:dyDescent="0.35">
      <c r="A770" t="s">
        <v>232</v>
      </c>
      <c r="B770" t="s">
        <v>37</v>
      </c>
      <c r="C770" t="s">
        <v>35</v>
      </c>
      <c r="D770" t="s">
        <v>233</v>
      </c>
      <c r="E770" t="s">
        <v>589</v>
      </c>
      <c r="F770" t="s">
        <v>581</v>
      </c>
      <c r="G770" t="s">
        <v>25</v>
      </c>
      <c r="H770">
        <v>2.0563009999999999</v>
      </c>
      <c r="I770">
        <v>2.172971</v>
      </c>
      <c r="J770">
        <v>1.8689039999999999</v>
      </c>
      <c r="K770">
        <v>1.637486</v>
      </c>
      <c r="L770">
        <v>1.360114</v>
      </c>
      <c r="M770">
        <v>1.1263399999999999</v>
      </c>
      <c r="N770">
        <v>0.95548549999999999</v>
      </c>
    </row>
    <row r="771" spans="1:14" hidden="1" x14ac:dyDescent="0.35">
      <c r="A771" t="s">
        <v>232</v>
      </c>
      <c r="B771" t="s">
        <v>37</v>
      </c>
      <c r="C771" t="s">
        <v>35</v>
      </c>
      <c r="D771" t="s">
        <v>233</v>
      </c>
      <c r="E771" t="s">
        <v>589</v>
      </c>
      <c r="F771" t="s">
        <v>26</v>
      </c>
      <c r="G771" t="s">
        <v>26</v>
      </c>
      <c r="H771">
        <v>1.8723289999999999</v>
      </c>
      <c r="I771">
        <v>1.0864830000000001</v>
      </c>
      <c r="J771">
        <v>0.93445069999999997</v>
      </c>
      <c r="K771">
        <v>0.81874610000000003</v>
      </c>
      <c r="L771">
        <v>0.68005610000000005</v>
      </c>
      <c r="M771">
        <v>0.56316690000000003</v>
      </c>
      <c r="N771">
        <v>0.47774139999999998</v>
      </c>
    </row>
    <row r="772" spans="1:14" hidden="1" x14ac:dyDescent="0.35">
      <c r="A772" t="s">
        <v>232</v>
      </c>
      <c r="B772" t="s">
        <v>37</v>
      </c>
      <c r="C772" t="s">
        <v>35</v>
      </c>
      <c r="D772" t="s">
        <v>233</v>
      </c>
      <c r="E772" t="s">
        <v>644</v>
      </c>
      <c r="F772" t="s">
        <v>581</v>
      </c>
      <c r="G772" t="s">
        <v>396</v>
      </c>
      <c r="H772">
        <v>7.890411E-2</v>
      </c>
      <c r="I772">
        <v>8.76411E-2</v>
      </c>
      <c r="J772">
        <v>7.8358899999999995E-2</v>
      </c>
      <c r="K772">
        <v>7.0115070000000002E-2</v>
      </c>
      <c r="L772">
        <v>6.0882190000000003E-2</v>
      </c>
      <c r="M772">
        <v>5.357261E-2</v>
      </c>
      <c r="N772">
        <v>4.6893150000000001E-2</v>
      </c>
    </row>
    <row r="773" spans="1:14" hidden="1" x14ac:dyDescent="0.35">
      <c r="A773" t="s">
        <v>232</v>
      </c>
      <c r="B773" t="s">
        <v>37</v>
      </c>
      <c r="C773" t="s">
        <v>35</v>
      </c>
      <c r="D773" t="s">
        <v>233</v>
      </c>
      <c r="E773" t="s">
        <v>644</v>
      </c>
      <c r="F773" t="s">
        <v>581</v>
      </c>
      <c r="G773" t="s">
        <v>25</v>
      </c>
      <c r="H773">
        <v>6.9860279999999997E-2</v>
      </c>
      <c r="I773">
        <v>6.8287680000000003E-2</v>
      </c>
      <c r="J773">
        <v>6.1049310000000002E-2</v>
      </c>
      <c r="K773">
        <v>5.4630140000000001E-2</v>
      </c>
      <c r="L773">
        <v>4.7435619999999998E-2</v>
      </c>
      <c r="M773">
        <v>4.1742469999999997E-2</v>
      </c>
      <c r="N773">
        <v>3.6539729999999999E-2</v>
      </c>
    </row>
    <row r="774" spans="1:14" hidden="1" x14ac:dyDescent="0.35">
      <c r="A774" t="s">
        <v>232</v>
      </c>
      <c r="B774" t="s">
        <v>37</v>
      </c>
      <c r="C774" t="s">
        <v>35</v>
      </c>
      <c r="D774" t="s">
        <v>233</v>
      </c>
      <c r="E774" t="s">
        <v>644</v>
      </c>
      <c r="F774" t="s">
        <v>26</v>
      </c>
      <c r="G774" t="s">
        <v>26</v>
      </c>
      <c r="H774">
        <v>8.383562E-2</v>
      </c>
      <c r="I774">
        <v>4.5526030000000002E-2</v>
      </c>
      <c r="J774">
        <v>4.0701370000000001E-2</v>
      </c>
      <c r="K774">
        <v>3.6421920000000003E-2</v>
      </c>
      <c r="L774">
        <v>3.1624659999999999E-2</v>
      </c>
      <c r="M774">
        <v>2.782739E-2</v>
      </c>
      <c r="N774">
        <v>2.4358910000000001E-2</v>
      </c>
    </row>
    <row r="775" spans="1:14" hidden="1" x14ac:dyDescent="0.35">
      <c r="A775" t="s">
        <v>232</v>
      </c>
      <c r="B775" t="s">
        <v>37</v>
      </c>
      <c r="C775" t="s">
        <v>35</v>
      </c>
      <c r="D775" t="s">
        <v>36</v>
      </c>
      <c r="E775" t="s">
        <v>644</v>
      </c>
      <c r="F775" t="s">
        <v>581</v>
      </c>
      <c r="G775" t="s">
        <v>396</v>
      </c>
      <c r="H775">
        <v>1.7731509999999999</v>
      </c>
      <c r="I775">
        <v>1.9842569999999999</v>
      </c>
      <c r="J775">
        <v>1.8541810000000001</v>
      </c>
      <c r="K775">
        <v>1.6511199999999999</v>
      </c>
      <c r="L775">
        <v>1.446045</v>
      </c>
      <c r="M775">
        <v>1.2346410000000001</v>
      </c>
      <c r="N775">
        <v>1.0626990000000001</v>
      </c>
    </row>
    <row r="776" spans="1:14" hidden="1" x14ac:dyDescent="0.35">
      <c r="A776" t="s">
        <v>232</v>
      </c>
      <c r="B776" t="s">
        <v>37</v>
      </c>
      <c r="C776" t="s">
        <v>35</v>
      </c>
      <c r="D776" t="s">
        <v>36</v>
      </c>
      <c r="E776" t="s">
        <v>644</v>
      </c>
      <c r="F776" t="s">
        <v>581</v>
      </c>
      <c r="G776" t="s">
        <v>25</v>
      </c>
      <c r="H776">
        <v>0.70095879999999999</v>
      </c>
      <c r="I776">
        <v>0.70663290000000001</v>
      </c>
      <c r="J776">
        <v>0.66279540000000003</v>
      </c>
      <c r="K776">
        <v>0.59044459999999999</v>
      </c>
      <c r="L776">
        <v>0.51728390000000002</v>
      </c>
      <c r="M776">
        <v>0.44063390000000002</v>
      </c>
      <c r="N776">
        <v>0.3786216</v>
      </c>
    </row>
    <row r="777" spans="1:14" hidden="1" x14ac:dyDescent="0.35">
      <c r="A777" t="s">
        <v>232</v>
      </c>
      <c r="B777" t="s">
        <v>37</v>
      </c>
      <c r="C777" t="s">
        <v>35</v>
      </c>
      <c r="D777" t="s">
        <v>36</v>
      </c>
      <c r="E777" t="s">
        <v>644</v>
      </c>
      <c r="F777" t="s">
        <v>26</v>
      </c>
      <c r="G777" t="s">
        <v>26</v>
      </c>
      <c r="H777">
        <v>0.98273969999999999</v>
      </c>
      <c r="I777">
        <v>0.55001999999999995</v>
      </c>
      <c r="J777">
        <v>0.52331729999999999</v>
      </c>
      <c r="K777">
        <v>0.46685979999999999</v>
      </c>
      <c r="L777">
        <v>0.40958030000000001</v>
      </c>
      <c r="M777">
        <v>0.34581810000000002</v>
      </c>
      <c r="N777">
        <v>0.29524489999999998</v>
      </c>
    </row>
    <row r="778" spans="1:14" hidden="1" x14ac:dyDescent="0.35">
      <c r="A778" t="s">
        <v>232</v>
      </c>
      <c r="B778" t="s">
        <v>37</v>
      </c>
      <c r="C778" t="s">
        <v>46</v>
      </c>
      <c r="D778" t="s">
        <v>46</v>
      </c>
      <c r="E778" t="s">
        <v>584</v>
      </c>
      <c r="F778" t="s">
        <v>581</v>
      </c>
      <c r="G778" t="s">
        <v>396</v>
      </c>
      <c r="H778">
        <v>4.4000000000000003E-3</v>
      </c>
      <c r="I778">
        <v>2.9616439999999998E-3</v>
      </c>
      <c r="J778">
        <v>1.9843830000000002E-3</v>
      </c>
      <c r="K778">
        <v>1.3331510000000001E-3</v>
      </c>
      <c r="L778">
        <v>8.9205480000000004E-4</v>
      </c>
      <c r="M778">
        <v>0</v>
      </c>
      <c r="N778">
        <v>0</v>
      </c>
    </row>
    <row r="779" spans="1:14" hidden="1" x14ac:dyDescent="0.35">
      <c r="A779" t="s">
        <v>232</v>
      </c>
      <c r="B779" t="s">
        <v>37</v>
      </c>
      <c r="C779" t="s">
        <v>46</v>
      </c>
      <c r="D779" t="s">
        <v>46</v>
      </c>
      <c r="E779" t="s">
        <v>584</v>
      </c>
      <c r="F779" t="s">
        <v>581</v>
      </c>
      <c r="G779" t="s">
        <v>24</v>
      </c>
      <c r="H779">
        <v>2.2000000000000001E-3</v>
      </c>
      <c r="I779">
        <v>2.1616439999999999E-3</v>
      </c>
      <c r="J779">
        <v>2.1205479999999999E-3</v>
      </c>
      <c r="K779">
        <v>2.0736980000000001E-3</v>
      </c>
      <c r="L779">
        <v>2.0128770000000002E-3</v>
      </c>
      <c r="M779">
        <v>1.911781E-3</v>
      </c>
      <c r="N779">
        <v>1.82274E-3</v>
      </c>
    </row>
    <row r="780" spans="1:14" hidden="1" x14ac:dyDescent="0.35">
      <c r="A780" t="s">
        <v>232</v>
      </c>
      <c r="B780" t="s">
        <v>37</v>
      </c>
      <c r="C780" t="s">
        <v>46</v>
      </c>
      <c r="D780" t="s">
        <v>46</v>
      </c>
      <c r="E780" t="s">
        <v>584</v>
      </c>
      <c r="F780" t="s">
        <v>581</v>
      </c>
      <c r="G780" t="s">
        <v>25</v>
      </c>
      <c r="H780">
        <v>4.3863009999999996E-3</v>
      </c>
      <c r="I780">
        <v>4.3068489999999997E-3</v>
      </c>
      <c r="J780">
        <v>4.2246580000000001E-3</v>
      </c>
      <c r="K780">
        <v>4.1312329999999998E-3</v>
      </c>
      <c r="L780">
        <v>4.0109589999999997E-3</v>
      </c>
      <c r="M780">
        <v>3.8063010000000002E-3</v>
      </c>
      <c r="N780">
        <v>3.627945E-3</v>
      </c>
    </row>
    <row r="781" spans="1:14" hidden="1" x14ac:dyDescent="0.35">
      <c r="A781" t="s">
        <v>232</v>
      </c>
      <c r="B781" t="s">
        <v>37</v>
      </c>
      <c r="C781" t="s">
        <v>46</v>
      </c>
      <c r="D781" t="s">
        <v>46</v>
      </c>
      <c r="E781" t="s">
        <v>584</v>
      </c>
      <c r="F781" t="s">
        <v>26</v>
      </c>
      <c r="G781" t="s">
        <v>26</v>
      </c>
      <c r="H781">
        <v>4.1534250000000004</v>
      </c>
      <c r="I781">
        <v>3.9694820000000002</v>
      </c>
      <c r="J781">
        <v>3.7935729999999999</v>
      </c>
      <c r="K781">
        <v>3.621699</v>
      </c>
      <c r="L781">
        <v>3.424207</v>
      </c>
      <c r="M781">
        <v>3.164088</v>
      </c>
      <c r="N781">
        <v>2.9348519999999998</v>
      </c>
    </row>
    <row r="782" spans="1:14" hidden="1" x14ac:dyDescent="0.35">
      <c r="A782" t="s">
        <v>232</v>
      </c>
      <c r="B782" t="s">
        <v>37</v>
      </c>
      <c r="C782" t="s">
        <v>79</v>
      </c>
      <c r="D782" t="s">
        <v>79</v>
      </c>
      <c r="E782" t="s">
        <v>640</v>
      </c>
      <c r="F782" t="s">
        <v>581</v>
      </c>
      <c r="G782" t="s">
        <v>396</v>
      </c>
      <c r="H782">
        <v>1.943835</v>
      </c>
      <c r="I782">
        <v>1.5858380000000001</v>
      </c>
      <c r="J782">
        <v>1.5507949999999999</v>
      </c>
      <c r="K782">
        <v>1.313547</v>
      </c>
      <c r="L782">
        <v>1.237493</v>
      </c>
      <c r="M782">
        <v>0.91663559999999999</v>
      </c>
      <c r="N782">
        <v>0.75121300000000002</v>
      </c>
    </row>
    <row r="783" spans="1:14" hidden="1" x14ac:dyDescent="0.35">
      <c r="A783" t="s">
        <v>232</v>
      </c>
      <c r="B783" t="s">
        <v>37</v>
      </c>
      <c r="C783" t="s">
        <v>79</v>
      </c>
      <c r="D783" t="s">
        <v>79</v>
      </c>
      <c r="E783" t="s">
        <v>640</v>
      </c>
      <c r="F783" t="s">
        <v>581</v>
      </c>
      <c r="G783" t="s">
        <v>25</v>
      </c>
      <c r="H783">
        <v>0.51164379999999998</v>
      </c>
      <c r="I783">
        <v>0.40031499999999998</v>
      </c>
      <c r="J783">
        <v>0.40643479999999998</v>
      </c>
      <c r="K783">
        <v>0.3317348</v>
      </c>
      <c r="L783">
        <v>0.31259589999999998</v>
      </c>
      <c r="M783">
        <v>0.22745650000000001</v>
      </c>
      <c r="N783">
        <v>0.1847636</v>
      </c>
    </row>
    <row r="784" spans="1:14" hidden="1" x14ac:dyDescent="0.35">
      <c r="A784" t="s">
        <v>232</v>
      </c>
      <c r="B784" t="s">
        <v>37</v>
      </c>
      <c r="C784" t="s">
        <v>79</v>
      </c>
      <c r="D784" t="s">
        <v>79</v>
      </c>
      <c r="E784" t="s">
        <v>640</v>
      </c>
      <c r="F784" t="s">
        <v>26</v>
      </c>
      <c r="G784" t="s">
        <v>26</v>
      </c>
      <c r="H784">
        <v>0.4931507</v>
      </c>
      <c r="I784">
        <v>0.48192600000000002</v>
      </c>
      <c r="J784">
        <v>0.50737350000000003</v>
      </c>
      <c r="K784">
        <v>0.39830900000000002</v>
      </c>
      <c r="L784">
        <v>0.37541999999999998</v>
      </c>
      <c r="M784">
        <v>0.2678005</v>
      </c>
      <c r="N784">
        <v>0.21536279999999999</v>
      </c>
    </row>
    <row r="785" spans="1:14" hidden="1" x14ac:dyDescent="0.35">
      <c r="A785" t="s">
        <v>232</v>
      </c>
      <c r="B785" t="s">
        <v>37</v>
      </c>
      <c r="C785" t="s">
        <v>79</v>
      </c>
      <c r="D785" t="s">
        <v>79</v>
      </c>
      <c r="E785" t="s">
        <v>584</v>
      </c>
      <c r="F785" t="s">
        <v>581</v>
      </c>
      <c r="G785" t="s">
        <v>24</v>
      </c>
      <c r="H785">
        <v>0.19382070000000001</v>
      </c>
      <c r="I785">
        <v>0.19382070000000001</v>
      </c>
      <c r="J785">
        <v>0.19382070000000001</v>
      </c>
      <c r="K785">
        <v>0.19382070000000001</v>
      </c>
      <c r="L785">
        <v>0.19382070000000001</v>
      </c>
      <c r="M785">
        <v>0.1881389</v>
      </c>
      <c r="N785">
        <v>0.16529260000000001</v>
      </c>
    </row>
    <row r="786" spans="1:14" hidden="1" x14ac:dyDescent="0.35">
      <c r="A786" t="s">
        <v>232</v>
      </c>
      <c r="B786" t="s">
        <v>37</v>
      </c>
      <c r="C786" t="s">
        <v>79</v>
      </c>
      <c r="D786" t="s">
        <v>79</v>
      </c>
      <c r="E786" t="s">
        <v>584</v>
      </c>
      <c r="F786" t="s">
        <v>581</v>
      </c>
      <c r="G786" t="s">
        <v>25</v>
      </c>
      <c r="H786">
        <v>0.23519670000000001</v>
      </c>
      <c r="I786">
        <v>0.19429750000000001</v>
      </c>
      <c r="J786">
        <v>0.16048870000000001</v>
      </c>
      <c r="K786">
        <v>0.13225310000000001</v>
      </c>
      <c r="L786">
        <v>0.10745499999999999</v>
      </c>
      <c r="M786">
        <v>8.5000900000000004E-2</v>
      </c>
      <c r="N786">
        <v>6.7241739999999994E-2</v>
      </c>
    </row>
    <row r="787" spans="1:14" hidden="1" x14ac:dyDescent="0.35">
      <c r="A787" t="s">
        <v>232</v>
      </c>
      <c r="B787" t="s">
        <v>37</v>
      </c>
      <c r="C787" t="s">
        <v>79</v>
      </c>
      <c r="D787" t="s">
        <v>79</v>
      </c>
      <c r="E787" t="s">
        <v>584</v>
      </c>
      <c r="F787" t="s">
        <v>26</v>
      </c>
      <c r="G787" t="s">
        <v>26</v>
      </c>
      <c r="H787">
        <v>1.624822</v>
      </c>
      <c r="I787">
        <v>1.3737410000000001</v>
      </c>
      <c r="J787">
        <v>1.160685</v>
      </c>
      <c r="K787">
        <v>0.97857830000000001</v>
      </c>
      <c r="L787">
        <v>0.8140117</v>
      </c>
      <c r="M787">
        <v>0.65962810000000005</v>
      </c>
      <c r="N787">
        <v>0.53486679999999998</v>
      </c>
    </row>
    <row r="788" spans="1:14" hidden="1" x14ac:dyDescent="0.35">
      <c r="A788" t="s">
        <v>232</v>
      </c>
      <c r="B788" t="s">
        <v>37</v>
      </c>
      <c r="C788" t="s">
        <v>109</v>
      </c>
      <c r="D788" t="s">
        <v>109</v>
      </c>
      <c r="E788" t="s">
        <v>584</v>
      </c>
      <c r="F788" t="s">
        <v>581</v>
      </c>
      <c r="G788" t="s">
        <v>396</v>
      </c>
      <c r="H788">
        <v>8.9734460000000002E-2</v>
      </c>
      <c r="I788">
        <v>7.76564E-2</v>
      </c>
      <c r="J788">
        <v>6.8108210000000002E-2</v>
      </c>
      <c r="K788">
        <v>6.0466939999999997E-2</v>
      </c>
      <c r="L788">
        <v>5.4109579999999997E-2</v>
      </c>
      <c r="M788">
        <v>4.826424E-2</v>
      </c>
      <c r="N788">
        <v>4.355672E-2</v>
      </c>
    </row>
    <row r="789" spans="1:14" hidden="1" x14ac:dyDescent="0.35">
      <c r="A789" t="s">
        <v>232</v>
      </c>
      <c r="B789" t="s">
        <v>37</v>
      </c>
      <c r="C789" t="s">
        <v>109</v>
      </c>
      <c r="D789" t="s">
        <v>109</v>
      </c>
      <c r="E789" t="s">
        <v>584</v>
      </c>
      <c r="F789" t="s">
        <v>581</v>
      </c>
      <c r="G789" t="s">
        <v>24</v>
      </c>
      <c r="H789">
        <v>0.69104790000000005</v>
      </c>
      <c r="I789">
        <v>0.60558199999999995</v>
      </c>
      <c r="J789">
        <v>0.54571320000000001</v>
      </c>
      <c r="K789">
        <v>0.36730279999999998</v>
      </c>
      <c r="L789">
        <v>0.24757509999999999</v>
      </c>
      <c r="M789">
        <v>0.16727139999999999</v>
      </c>
      <c r="N789">
        <v>0.11339730000000001</v>
      </c>
    </row>
    <row r="790" spans="1:14" hidden="1" x14ac:dyDescent="0.35">
      <c r="A790" t="s">
        <v>232</v>
      </c>
      <c r="B790" t="s">
        <v>37</v>
      </c>
      <c r="C790" t="s">
        <v>109</v>
      </c>
      <c r="D790" t="s">
        <v>109</v>
      </c>
      <c r="E790" t="s">
        <v>584</v>
      </c>
      <c r="F790" t="s">
        <v>581</v>
      </c>
      <c r="G790" t="s">
        <v>25</v>
      </c>
      <c r="H790">
        <v>0.43132199999999998</v>
      </c>
      <c r="I790">
        <v>0.29549510000000001</v>
      </c>
      <c r="J790">
        <v>0.20415900000000001</v>
      </c>
      <c r="K790">
        <v>0.14223759999999999</v>
      </c>
      <c r="L790">
        <v>0.1005035</v>
      </c>
      <c r="M790">
        <v>7.2198789999999999E-2</v>
      </c>
      <c r="N790">
        <v>5.2929619999999997E-2</v>
      </c>
    </row>
    <row r="791" spans="1:14" hidden="1" x14ac:dyDescent="0.35">
      <c r="A791" t="s">
        <v>232</v>
      </c>
      <c r="B791" t="s">
        <v>37</v>
      </c>
      <c r="C791" t="s">
        <v>109</v>
      </c>
      <c r="D791" t="s">
        <v>109</v>
      </c>
      <c r="E791" t="s">
        <v>584</v>
      </c>
      <c r="F791" t="s">
        <v>26</v>
      </c>
      <c r="G791" t="s">
        <v>26</v>
      </c>
      <c r="H791">
        <v>2.806873</v>
      </c>
      <c r="I791">
        <v>1.9301459999999999</v>
      </c>
      <c r="J791">
        <v>1.341866</v>
      </c>
      <c r="K791">
        <v>0.94681029999999999</v>
      </c>
      <c r="L791">
        <v>0.67981950000000002</v>
      </c>
      <c r="M791">
        <v>0.4996544</v>
      </c>
      <c r="N791">
        <v>0.3778048</v>
      </c>
    </row>
    <row r="792" spans="1:14" hidden="1" x14ac:dyDescent="0.35">
      <c r="A792" t="s">
        <v>232</v>
      </c>
      <c r="B792" t="s">
        <v>37</v>
      </c>
      <c r="C792" t="s">
        <v>61</v>
      </c>
      <c r="D792" t="s">
        <v>62</v>
      </c>
      <c r="E792" t="s">
        <v>584</v>
      </c>
      <c r="F792" t="s">
        <v>581</v>
      </c>
      <c r="G792" t="s">
        <v>396</v>
      </c>
      <c r="H792">
        <v>0.75378500000000004</v>
      </c>
      <c r="I792">
        <v>0.66309320000000005</v>
      </c>
      <c r="J792">
        <v>0.58401639999999999</v>
      </c>
      <c r="K792">
        <v>0.51450689999999999</v>
      </c>
      <c r="L792">
        <v>0.45339449999999998</v>
      </c>
      <c r="M792">
        <v>0.1198948</v>
      </c>
      <c r="N792">
        <v>0.10571179999999999</v>
      </c>
    </row>
    <row r="793" spans="1:14" hidden="1" x14ac:dyDescent="0.35">
      <c r="A793" t="s">
        <v>232</v>
      </c>
      <c r="B793" t="s">
        <v>37</v>
      </c>
      <c r="C793" t="s">
        <v>61</v>
      </c>
      <c r="D793" t="s">
        <v>62</v>
      </c>
      <c r="E793" t="s">
        <v>584</v>
      </c>
      <c r="F793" t="s">
        <v>581</v>
      </c>
      <c r="G793" t="s">
        <v>24</v>
      </c>
      <c r="H793">
        <v>0.61457189999999995</v>
      </c>
      <c r="I793">
        <v>0.41195890000000002</v>
      </c>
      <c r="J793">
        <v>0.22190480000000001</v>
      </c>
      <c r="K793">
        <v>0.1487473</v>
      </c>
      <c r="L793">
        <v>9.9709590000000001E-2</v>
      </c>
      <c r="M793">
        <v>4.2767529999999998E-2</v>
      </c>
      <c r="N793">
        <v>2.1753419999999999E-2</v>
      </c>
    </row>
    <row r="794" spans="1:14" hidden="1" x14ac:dyDescent="0.35">
      <c r="A794" t="s">
        <v>232</v>
      </c>
      <c r="B794" t="s">
        <v>37</v>
      </c>
      <c r="C794" t="s">
        <v>61</v>
      </c>
      <c r="D794" t="s">
        <v>62</v>
      </c>
      <c r="E794" t="s">
        <v>584</v>
      </c>
      <c r="F794" t="s">
        <v>581</v>
      </c>
      <c r="G794" t="s">
        <v>25</v>
      </c>
      <c r="H794">
        <v>3.6747259999999997E-2</v>
      </c>
      <c r="I794">
        <v>2.3844790000000001E-2</v>
      </c>
      <c r="J794">
        <v>2.0687669999999998E-2</v>
      </c>
      <c r="K794">
        <v>2.0126850000000002E-2</v>
      </c>
      <c r="L794">
        <v>1.910479E-2</v>
      </c>
      <c r="M794">
        <v>6.8858219999999998E-3</v>
      </c>
      <c r="N794">
        <v>3.374794E-3</v>
      </c>
    </row>
    <row r="795" spans="1:14" hidden="1" x14ac:dyDescent="0.35">
      <c r="A795" t="s">
        <v>232</v>
      </c>
      <c r="B795" t="s">
        <v>37</v>
      </c>
      <c r="C795" t="s">
        <v>61</v>
      </c>
      <c r="D795" t="s">
        <v>62</v>
      </c>
      <c r="E795" t="s">
        <v>584</v>
      </c>
      <c r="F795" t="s">
        <v>26</v>
      </c>
      <c r="G795" t="s">
        <v>26</v>
      </c>
      <c r="H795">
        <v>0.70940550000000002</v>
      </c>
      <c r="I795">
        <v>0.57710589999999995</v>
      </c>
      <c r="J795">
        <v>0.50942469999999995</v>
      </c>
      <c r="K795">
        <v>0.29351090000000002</v>
      </c>
      <c r="L795">
        <v>0.18907060000000001</v>
      </c>
      <c r="M795">
        <v>5.722986E-2</v>
      </c>
      <c r="N795">
        <v>3.9534390000000003E-2</v>
      </c>
    </row>
    <row r="796" spans="1:14" hidden="1" x14ac:dyDescent="0.35">
      <c r="A796" t="s">
        <v>232</v>
      </c>
      <c r="B796" t="s">
        <v>121</v>
      </c>
      <c r="C796" t="s">
        <v>173</v>
      </c>
      <c r="D796" t="s">
        <v>173</v>
      </c>
      <c r="E796" t="s">
        <v>584</v>
      </c>
      <c r="F796" t="s">
        <v>581</v>
      </c>
      <c r="G796" t="s">
        <v>396</v>
      </c>
      <c r="H796">
        <v>6.5003820000000001</v>
      </c>
      <c r="I796">
        <v>6.3844269999999996</v>
      </c>
      <c r="J796">
        <v>6.092759</v>
      </c>
      <c r="K796">
        <v>5.6058669999999999</v>
      </c>
      <c r="L796">
        <v>4.8917060000000001</v>
      </c>
      <c r="M796">
        <v>4.3973300000000002</v>
      </c>
      <c r="N796">
        <v>3.6559699999999999</v>
      </c>
    </row>
    <row r="797" spans="1:14" hidden="1" x14ac:dyDescent="0.35">
      <c r="A797" t="s">
        <v>232</v>
      </c>
      <c r="B797" t="s">
        <v>121</v>
      </c>
      <c r="C797" t="s">
        <v>173</v>
      </c>
      <c r="D797" t="s">
        <v>173</v>
      </c>
      <c r="E797" t="s">
        <v>584</v>
      </c>
      <c r="F797" t="s">
        <v>581</v>
      </c>
      <c r="G797" t="s">
        <v>24</v>
      </c>
      <c r="H797">
        <v>8.5106330000000003</v>
      </c>
      <c r="I797">
        <v>7.409249</v>
      </c>
      <c r="J797">
        <v>6.735449</v>
      </c>
      <c r="K797">
        <v>6.0108550000000003</v>
      </c>
      <c r="L797">
        <v>5.4693709999999998</v>
      </c>
      <c r="M797">
        <v>4.9356479999999996</v>
      </c>
      <c r="N797">
        <v>4.2814930000000002</v>
      </c>
    </row>
    <row r="798" spans="1:14" hidden="1" x14ac:dyDescent="0.35">
      <c r="A798" t="s">
        <v>232</v>
      </c>
      <c r="B798" t="s">
        <v>121</v>
      </c>
      <c r="C798" t="s">
        <v>173</v>
      </c>
      <c r="D798" t="s">
        <v>173</v>
      </c>
      <c r="E798" t="s">
        <v>584</v>
      </c>
      <c r="F798" t="s">
        <v>581</v>
      </c>
      <c r="G798" t="s">
        <v>25</v>
      </c>
      <c r="H798">
        <v>0.17012260000000001</v>
      </c>
      <c r="I798">
        <v>0.20493639999999999</v>
      </c>
      <c r="J798">
        <v>0.20120469999999999</v>
      </c>
      <c r="K798">
        <v>0.18371309999999999</v>
      </c>
      <c r="L798">
        <v>0.16452829999999999</v>
      </c>
      <c r="M798">
        <v>0.14843899999999999</v>
      </c>
      <c r="N798">
        <v>0.141597</v>
      </c>
    </row>
    <row r="799" spans="1:14" hidden="1" x14ac:dyDescent="0.35">
      <c r="A799" t="s">
        <v>232</v>
      </c>
      <c r="B799" t="s">
        <v>121</v>
      </c>
      <c r="C799" t="s">
        <v>173</v>
      </c>
      <c r="D799" t="s">
        <v>173</v>
      </c>
      <c r="E799" t="s">
        <v>584</v>
      </c>
      <c r="F799" t="s">
        <v>26</v>
      </c>
      <c r="G799" t="s">
        <v>26</v>
      </c>
      <c r="H799">
        <v>33.168399999999998</v>
      </c>
      <c r="I799">
        <v>29.733280000000001</v>
      </c>
      <c r="J799">
        <v>27.03087</v>
      </c>
      <c r="K799">
        <v>23.942740000000001</v>
      </c>
      <c r="L799">
        <v>21.927489999999999</v>
      </c>
      <c r="M799">
        <v>20.002739999999999</v>
      </c>
      <c r="N799">
        <v>17.183420000000002</v>
      </c>
    </row>
    <row r="800" spans="1:14" hidden="1" x14ac:dyDescent="0.35">
      <c r="A800" t="s">
        <v>232</v>
      </c>
      <c r="B800" t="s">
        <v>121</v>
      </c>
      <c r="C800" t="s">
        <v>173</v>
      </c>
      <c r="D800" t="s">
        <v>234</v>
      </c>
      <c r="E800" t="s">
        <v>584</v>
      </c>
      <c r="F800" t="s">
        <v>581</v>
      </c>
      <c r="G800" t="s">
        <v>396</v>
      </c>
      <c r="H800">
        <v>1.363931</v>
      </c>
      <c r="I800">
        <v>1.483088</v>
      </c>
      <c r="J800">
        <v>1.2560009999999999</v>
      </c>
      <c r="K800">
        <v>1.1035600000000001</v>
      </c>
      <c r="L800">
        <v>0.88289280000000003</v>
      </c>
      <c r="M800">
        <v>0.79268890000000003</v>
      </c>
      <c r="N800">
        <v>0.62928660000000003</v>
      </c>
    </row>
    <row r="801" spans="1:14" hidden="1" x14ac:dyDescent="0.35">
      <c r="A801" t="s">
        <v>232</v>
      </c>
      <c r="B801" t="s">
        <v>121</v>
      </c>
      <c r="C801" t="s">
        <v>173</v>
      </c>
      <c r="D801" t="s">
        <v>234</v>
      </c>
      <c r="E801" t="s">
        <v>584</v>
      </c>
      <c r="F801" t="s">
        <v>26</v>
      </c>
      <c r="G801" t="s">
        <v>26</v>
      </c>
      <c r="H801">
        <v>0.2789875</v>
      </c>
      <c r="I801">
        <v>0.3041489</v>
      </c>
      <c r="J801">
        <v>0.25747439999999999</v>
      </c>
      <c r="K801">
        <v>0.24328849999999999</v>
      </c>
      <c r="L801">
        <v>0.24417549999999999</v>
      </c>
      <c r="M801">
        <v>0.235456</v>
      </c>
      <c r="N801">
        <v>0.21428249999999999</v>
      </c>
    </row>
    <row r="802" spans="1:14" hidden="1" x14ac:dyDescent="0.35">
      <c r="A802" t="s">
        <v>232</v>
      </c>
      <c r="B802" t="s">
        <v>121</v>
      </c>
      <c r="C802" t="s">
        <v>172</v>
      </c>
      <c r="D802" t="s">
        <v>172</v>
      </c>
      <c r="E802" t="s">
        <v>584</v>
      </c>
      <c r="F802" t="s">
        <v>581</v>
      </c>
      <c r="G802" t="s">
        <v>396</v>
      </c>
      <c r="H802">
        <v>22.674569999999999</v>
      </c>
      <c r="I802">
        <v>23.090859999999999</v>
      </c>
      <c r="J802">
        <v>20.904029999999999</v>
      </c>
      <c r="K802">
        <v>19.228190000000001</v>
      </c>
      <c r="L802">
        <v>17.26323</v>
      </c>
      <c r="M802">
        <v>15.64203</v>
      </c>
      <c r="N802">
        <v>14.177849999999999</v>
      </c>
    </row>
    <row r="803" spans="1:14" hidden="1" x14ac:dyDescent="0.35">
      <c r="A803" t="s">
        <v>232</v>
      </c>
      <c r="B803" t="s">
        <v>121</v>
      </c>
      <c r="C803" t="s">
        <v>172</v>
      </c>
      <c r="D803" t="s">
        <v>172</v>
      </c>
      <c r="E803" t="s">
        <v>584</v>
      </c>
      <c r="F803" t="s">
        <v>581</v>
      </c>
      <c r="G803" t="s">
        <v>24</v>
      </c>
      <c r="H803">
        <v>0.17040849999999999</v>
      </c>
      <c r="I803">
        <v>0.19588630000000001</v>
      </c>
      <c r="J803">
        <v>0.1804383</v>
      </c>
      <c r="K803">
        <v>0.16706090000000001</v>
      </c>
      <c r="L803">
        <v>0.15731629999999999</v>
      </c>
      <c r="M803">
        <v>0.16757569999999999</v>
      </c>
      <c r="N803">
        <v>0.1984757</v>
      </c>
    </row>
    <row r="804" spans="1:14" hidden="1" x14ac:dyDescent="0.35">
      <c r="A804" t="s">
        <v>232</v>
      </c>
      <c r="B804" t="s">
        <v>121</v>
      </c>
      <c r="C804" t="s">
        <v>172</v>
      </c>
      <c r="D804" t="s">
        <v>172</v>
      </c>
      <c r="E804" t="s">
        <v>584</v>
      </c>
      <c r="F804" t="s">
        <v>581</v>
      </c>
      <c r="G804" t="s">
        <v>25</v>
      </c>
      <c r="H804">
        <v>0.35606529999999997</v>
      </c>
      <c r="I804">
        <v>0.34102120000000002</v>
      </c>
      <c r="J804">
        <v>0.3123378</v>
      </c>
      <c r="K804">
        <v>0.28893720000000001</v>
      </c>
      <c r="L804">
        <v>0.25741649999999999</v>
      </c>
      <c r="M804">
        <v>0.22686799999999999</v>
      </c>
      <c r="N804">
        <v>0.20400869999999999</v>
      </c>
    </row>
    <row r="805" spans="1:14" hidden="1" x14ac:dyDescent="0.35">
      <c r="A805" t="s">
        <v>232</v>
      </c>
      <c r="B805" t="s">
        <v>121</v>
      </c>
      <c r="C805" t="s">
        <v>172</v>
      </c>
      <c r="D805" t="s">
        <v>172</v>
      </c>
      <c r="E805" t="s">
        <v>584</v>
      </c>
      <c r="F805" t="s">
        <v>26</v>
      </c>
      <c r="G805" t="s">
        <v>26</v>
      </c>
      <c r="H805">
        <v>3.33026</v>
      </c>
      <c r="I805">
        <v>3.487466</v>
      </c>
      <c r="J805">
        <v>3.224278</v>
      </c>
      <c r="K805">
        <v>3.0066510000000002</v>
      </c>
      <c r="L805">
        <v>2.7103630000000001</v>
      </c>
      <c r="M805">
        <v>2.4307249999999998</v>
      </c>
      <c r="N805">
        <v>2.223217</v>
      </c>
    </row>
    <row r="806" spans="1:14" hidden="1" x14ac:dyDescent="0.35">
      <c r="A806" t="s">
        <v>232</v>
      </c>
      <c r="B806" t="s">
        <v>121</v>
      </c>
      <c r="C806" t="s">
        <v>235</v>
      </c>
      <c r="D806" t="s">
        <v>235</v>
      </c>
      <c r="E806" t="s">
        <v>584</v>
      </c>
      <c r="F806" t="s">
        <v>581</v>
      </c>
      <c r="G806" t="s">
        <v>396</v>
      </c>
      <c r="H806">
        <v>17.297029999999999</v>
      </c>
      <c r="I806">
        <v>17.458290000000002</v>
      </c>
      <c r="J806">
        <v>15.929919999999999</v>
      </c>
      <c r="K806">
        <v>14.25048</v>
      </c>
      <c r="L806">
        <v>12.60305</v>
      </c>
      <c r="M806">
        <v>11.03762</v>
      </c>
      <c r="N806">
        <v>9.7025079999999999</v>
      </c>
    </row>
    <row r="807" spans="1:14" hidden="1" x14ac:dyDescent="0.35">
      <c r="A807" t="s">
        <v>232</v>
      </c>
      <c r="B807" t="s">
        <v>121</v>
      </c>
      <c r="C807" t="s">
        <v>235</v>
      </c>
      <c r="D807" t="s">
        <v>235</v>
      </c>
      <c r="E807" t="s">
        <v>584</v>
      </c>
      <c r="F807" t="s">
        <v>581</v>
      </c>
      <c r="G807" t="s">
        <v>24</v>
      </c>
      <c r="H807">
        <v>4.1731770000000001E-2</v>
      </c>
      <c r="I807">
        <v>1.5587989999999999E-2</v>
      </c>
      <c r="J807">
        <v>1.4088369999999999E-2</v>
      </c>
      <c r="K807">
        <v>1.274402E-2</v>
      </c>
      <c r="L807">
        <v>1.15677E-2</v>
      </c>
      <c r="M807">
        <v>1.0561259999999999E-2</v>
      </c>
      <c r="N807">
        <v>9.6169189999999998E-3</v>
      </c>
    </row>
    <row r="808" spans="1:14" hidden="1" x14ac:dyDescent="0.35">
      <c r="A808" t="s">
        <v>232</v>
      </c>
      <c r="B808" t="s">
        <v>121</v>
      </c>
      <c r="C808" t="s">
        <v>235</v>
      </c>
      <c r="D808" t="s">
        <v>235</v>
      </c>
      <c r="E808" t="s">
        <v>584</v>
      </c>
      <c r="F808" t="s">
        <v>581</v>
      </c>
      <c r="G808" t="s">
        <v>25</v>
      </c>
      <c r="H808">
        <v>2.4643390000000001E-2</v>
      </c>
      <c r="I808">
        <v>3.4057339999999998E-2</v>
      </c>
      <c r="J808">
        <v>3.1018710000000001E-2</v>
      </c>
      <c r="K808">
        <v>3.0086080000000001E-2</v>
      </c>
      <c r="L808">
        <v>2.8657539999999999E-2</v>
      </c>
      <c r="M808">
        <v>2.6357370000000001E-2</v>
      </c>
      <c r="N808">
        <v>2.4863630000000001E-2</v>
      </c>
    </row>
    <row r="809" spans="1:14" hidden="1" x14ac:dyDescent="0.35">
      <c r="A809" t="s">
        <v>232</v>
      </c>
      <c r="B809" t="s">
        <v>121</v>
      </c>
      <c r="C809" t="s">
        <v>235</v>
      </c>
      <c r="D809" t="s">
        <v>235</v>
      </c>
      <c r="E809" t="s">
        <v>584</v>
      </c>
      <c r="F809" t="s">
        <v>26</v>
      </c>
      <c r="G809" t="s">
        <v>26</v>
      </c>
      <c r="H809">
        <v>1.1139969999999999</v>
      </c>
      <c r="I809">
        <v>1.946512</v>
      </c>
      <c r="J809">
        <v>2.2510530000000002</v>
      </c>
      <c r="K809">
        <v>1.439565</v>
      </c>
      <c r="L809">
        <v>1.2943150000000001</v>
      </c>
      <c r="M809">
        <v>1.1841649999999999</v>
      </c>
      <c r="N809">
        <v>1.0823670000000001</v>
      </c>
    </row>
    <row r="810" spans="1:14" hidden="1" x14ac:dyDescent="0.35">
      <c r="A810" t="s">
        <v>232</v>
      </c>
      <c r="B810" t="s">
        <v>121</v>
      </c>
      <c r="C810" t="s">
        <v>237</v>
      </c>
      <c r="D810" t="s">
        <v>237</v>
      </c>
      <c r="E810" t="s">
        <v>584</v>
      </c>
      <c r="F810" t="s">
        <v>581</v>
      </c>
      <c r="G810" t="s">
        <v>396</v>
      </c>
      <c r="H810">
        <v>0.60171070000000004</v>
      </c>
      <c r="I810">
        <v>0.57209920000000003</v>
      </c>
      <c r="J810">
        <v>0.52595349999999996</v>
      </c>
      <c r="K810">
        <v>0.50945280000000004</v>
      </c>
      <c r="L810">
        <v>0.50011209999999995</v>
      </c>
      <c r="M810">
        <v>0.46196199999999998</v>
      </c>
      <c r="N810">
        <v>0.4530209</v>
      </c>
    </row>
    <row r="811" spans="1:14" hidden="1" x14ac:dyDescent="0.35">
      <c r="A811" t="s">
        <v>232</v>
      </c>
      <c r="B811" t="s">
        <v>121</v>
      </c>
      <c r="C811" t="s">
        <v>237</v>
      </c>
      <c r="D811" t="s">
        <v>237</v>
      </c>
      <c r="E811" t="s">
        <v>584</v>
      </c>
      <c r="F811" t="s">
        <v>26</v>
      </c>
      <c r="G811" t="s">
        <v>26</v>
      </c>
      <c r="H811">
        <v>8.2191780000000007E-6</v>
      </c>
      <c r="I811">
        <v>2.7397260000000001E-6</v>
      </c>
      <c r="J811">
        <v>2.7397260000000001E-6</v>
      </c>
      <c r="K811">
        <v>1.7602739999999999E-4</v>
      </c>
      <c r="L811">
        <v>6.8191780000000004E-4</v>
      </c>
      <c r="M811">
        <v>6.1794520000000002E-4</v>
      </c>
      <c r="N811">
        <v>5.5808219999999996E-4</v>
      </c>
    </row>
    <row r="812" spans="1:14" hidden="1" x14ac:dyDescent="0.35">
      <c r="A812" t="s">
        <v>232</v>
      </c>
      <c r="B812" t="s">
        <v>121</v>
      </c>
      <c r="C812" t="s">
        <v>238</v>
      </c>
      <c r="D812" t="s">
        <v>238</v>
      </c>
      <c r="E812" t="s">
        <v>584</v>
      </c>
      <c r="F812" t="s">
        <v>581</v>
      </c>
      <c r="G812" t="s">
        <v>396</v>
      </c>
      <c r="H812">
        <v>0.15380730000000001</v>
      </c>
      <c r="I812">
        <v>0.14055019999999999</v>
      </c>
      <c r="J812">
        <v>0.16453899999999999</v>
      </c>
      <c r="K812">
        <v>0.15329799999999999</v>
      </c>
      <c r="L812">
        <v>7.3649679999999995E-2</v>
      </c>
      <c r="M812">
        <v>6.4500760000000004E-2</v>
      </c>
      <c r="N812">
        <v>3.2632649999999999E-2</v>
      </c>
    </row>
    <row r="813" spans="1:14" hidden="1" x14ac:dyDescent="0.35">
      <c r="A813" t="s">
        <v>232</v>
      </c>
      <c r="B813" t="s">
        <v>121</v>
      </c>
      <c r="C813" t="s">
        <v>238</v>
      </c>
      <c r="D813" t="s">
        <v>238</v>
      </c>
      <c r="E813" t="s">
        <v>584</v>
      </c>
      <c r="F813" t="s">
        <v>581</v>
      </c>
      <c r="G813" t="s">
        <v>24</v>
      </c>
      <c r="H813">
        <v>1.1574920000000001E-2</v>
      </c>
      <c r="I813">
        <v>0</v>
      </c>
    </row>
    <row r="814" spans="1:14" hidden="1" x14ac:dyDescent="0.35">
      <c r="A814" t="s">
        <v>232</v>
      </c>
      <c r="B814" t="s">
        <v>121</v>
      </c>
      <c r="C814" t="s">
        <v>239</v>
      </c>
      <c r="D814" t="s">
        <v>239</v>
      </c>
      <c r="E814" t="s">
        <v>584</v>
      </c>
      <c r="F814" t="s">
        <v>581</v>
      </c>
      <c r="G814" t="s">
        <v>396</v>
      </c>
      <c r="H814">
        <v>8.3232169999999994E-2</v>
      </c>
      <c r="I814">
        <v>6.2678280000000003E-2</v>
      </c>
      <c r="J814">
        <v>3.306597E-2</v>
      </c>
      <c r="K814">
        <v>2.0201299999999998E-2</v>
      </c>
      <c r="L814">
        <v>1.629367E-2</v>
      </c>
      <c r="M814">
        <v>1.3457119999999999E-2</v>
      </c>
      <c r="N814">
        <v>9.8703750000000007E-3</v>
      </c>
    </row>
    <row r="815" spans="1:14" hidden="1" x14ac:dyDescent="0.35">
      <c r="A815" t="s">
        <v>232</v>
      </c>
      <c r="B815" t="s">
        <v>121</v>
      </c>
      <c r="C815" t="s">
        <v>128</v>
      </c>
      <c r="D815" t="s">
        <v>128</v>
      </c>
      <c r="E815" t="s">
        <v>584</v>
      </c>
      <c r="F815" t="s">
        <v>581</v>
      </c>
      <c r="G815" t="s">
        <v>396</v>
      </c>
      <c r="H815">
        <v>3.598171E-2</v>
      </c>
      <c r="I815">
        <v>2.350437E-2</v>
      </c>
      <c r="J815">
        <v>2.2580119999999999E-2</v>
      </c>
      <c r="K815">
        <v>1.7452929999999998E-2</v>
      </c>
      <c r="L815">
        <v>0</v>
      </c>
    </row>
    <row r="816" spans="1:14" hidden="1" x14ac:dyDescent="0.35">
      <c r="A816" t="s">
        <v>232</v>
      </c>
      <c r="B816" t="s">
        <v>74</v>
      </c>
      <c r="C816" t="s">
        <v>71</v>
      </c>
      <c r="D816" t="s">
        <v>138</v>
      </c>
      <c r="E816" t="s">
        <v>584</v>
      </c>
      <c r="F816" t="s">
        <v>581</v>
      </c>
      <c r="G816" t="s">
        <v>396</v>
      </c>
      <c r="H816">
        <v>10.026619999999999</v>
      </c>
      <c r="I816">
        <v>11.12871</v>
      </c>
      <c r="J816">
        <v>8.6671099999999992</v>
      </c>
      <c r="K816">
        <v>7.5757409999999998</v>
      </c>
      <c r="L816">
        <v>6.788557</v>
      </c>
      <c r="M816">
        <v>6.1270160000000002</v>
      </c>
      <c r="N816">
        <v>5.7014310000000004</v>
      </c>
    </row>
    <row r="817" spans="1:14" hidden="1" x14ac:dyDescent="0.35">
      <c r="A817" t="s">
        <v>232</v>
      </c>
      <c r="B817" t="s">
        <v>74</v>
      </c>
      <c r="C817" t="s">
        <v>71</v>
      </c>
      <c r="D817" t="s">
        <v>138</v>
      </c>
      <c r="E817" t="s">
        <v>584</v>
      </c>
      <c r="F817" t="s">
        <v>581</v>
      </c>
      <c r="G817" t="s">
        <v>25</v>
      </c>
      <c r="H817">
        <v>1.749188</v>
      </c>
      <c r="I817">
        <v>1.1297090000000001</v>
      </c>
      <c r="J817">
        <v>0.84902029999999995</v>
      </c>
      <c r="K817">
        <v>0.73323780000000005</v>
      </c>
      <c r="L817">
        <v>0.64864310000000003</v>
      </c>
      <c r="M817">
        <v>0.54520849999999998</v>
      </c>
      <c r="N817">
        <v>0.44868079999999999</v>
      </c>
    </row>
    <row r="818" spans="1:14" hidden="1" x14ac:dyDescent="0.35">
      <c r="A818" t="s">
        <v>232</v>
      </c>
      <c r="B818" t="s">
        <v>74</v>
      </c>
      <c r="C818" t="s">
        <v>71</v>
      </c>
      <c r="D818" t="s">
        <v>138</v>
      </c>
      <c r="E818" t="s">
        <v>584</v>
      </c>
      <c r="F818" t="s">
        <v>26</v>
      </c>
      <c r="G818" t="s">
        <v>26</v>
      </c>
      <c r="H818">
        <v>5.5847800000000003</v>
      </c>
      <c r="I818">
        <v>5.8320410000000003</v>
      </c>
      <c r="J818">
        <v>4.5929080000000004</v>
      </c>
      <c r="K818">
        <v>4.01403</v>
      </c>
      <c r="L818">
        <v>3.619319</v>
      </c>
      <c r="M818">
        <v>3.2682579999999999</v>
      </c>
      <c r="N818">
        <v>4.0975279999999996</v>
      </c>
    </row>
    <row r="819" spans="1:14" hidden="1" x14ac:dyDescent="0.35">
      <c r="A819" t="s">
        <v>232</v>
      </c>
      <c r="B819" t="s">
        <v>74</v>
      </c>
      <c r="C819" t="s">
        <v>71</v>
      </c>
      <c r="D819" t="s">
        <v>236</v>
      </c>
      <c r="E819" t="s">
        <v>584</v>
      </c>
      <c r="F819" t="s">
        <v>581</v>
      </c>
      <c r="G819" t="s">
        <v>396</v>
      </c>
      <c r="H819">
        <v>3.7084190000000001</v>
      </c>
      <c r="I819">
        <v>7.0159419999999999</v>
      </c>
      <c r="J819">
        <v>5.5909219999999999</v>
      </c>
      <c r="K819">
        <v>4.3694800000000003</v>
      </c>
      <c r="L819">
        <v>3.1791990000000001</v>
      </c>
      <c r="M819">
        <v>2.5431509999999999</v>
      </c>
      <c r="N819">
        <v>2.1712060000000002</v>
      </c>
    </row>
    <row r="820" spans="1:14" hidden="1" x14ac:dyDescent="0.35">
      <c r="A820" t="s">
        <v>232</v>
      </c>
      <c r="B820" t="s">
        <v>74</v>
      </c>
      <c r="C820" t="s">
        <v>71</v>
      </c>
      <c r="D820" t="s">
        <v>236</v>
      </c>
      <c r="E820" t="s">
        <v>584</v>
      </c>
      <c r="F820" t="s">
        <v>581</v>
      </c>
      <c r="G820" t="s">
        <v>24</v>
      </c>
      <c r="H820">
        <v>0.18260799999999999</v>
      </c>
      <c r="I820">
        <v>0.25930229999999999</v>
      </c>
      <c r="J820">
        <v>0.2371018</v>
      </c>
      <c r="K820">
        <v>0.1530001</v>
      </c>
      <c r="L820">
        <v>8.0030270000000001E-2</v>
      </c>
      <c r="M820">
        <v>0</v>
      </c>
      <c r="N820">
        <v>0</v>
      </c>
    </row>
    <row r="821" spans="1:14" hidden="1" x14ac:dyDescent="0.35">
      <c r="A821" t="s">
        <v>232</v>
      </c>
      <c r="B821" t="s">
        <v>74</v>
      </c>
      <c r="C821" t="s">
        <v>71</v>
      </c>
      <c r="D821" t="s">
        <v>236</v>
      </c>
      <c r="E821" t="s">
        <v>584</v>
      </c>
      <c r="F821" t="s">
        <v>581</v>
      </c>
      <c r="G821" t="s">
        <v>25</v>
      </c>
      <c r="H821">
        <v>1.6223030000000001</v>
      </c>
      <c r="I821">
        <v>0.69068430000000003</v>
      </c>
      <c r="J821">
        <v>0.64546800000000004</v>
      </c>
      <c r="K821">
        <v>0.60934149999999998</v>
      </c>
      <c r="L821">
        <v>0.47867939999999998</v>
      </c>
      <c r="M821">
        <v>0.3903123</v>
      </c>
      <c r="N821">
        <v>0.32028790000000001</v>
      </c>
    </row>
    <row r="822" spans="1:14" hidden="1" x14ac:dyDescent="0.35">
      <c r="A822" t="s">
        <v>232</v>
      </c>
      <c r="B822" t="s">
        <v>74</v>
      </c>
      <c r="C822" t="s">
        <v>71</v>
      </c>
      <c r="D822" t="s">
        <v>236</v>
      </c>
      <c r="E822" t="s">
        <v>584</v>
      </c>
      <c r="F822" t="s">
        <v>26</v>
      </c>
      <c r="G822" t="s">
        <v>26</v>
      </c>
      <c r="H822">
        <v>5.2123109999999997</v>
      </c>
      <c r="I822">
        <v>6.6788119999999997</v>
      </c>
      <c r="J822">
        <v>5.435079</v>
      </c>
      <c r="K822">
        <v>4.212637</v>
      </c>
      <c r="L822">
        <v>3.120441</v>
      </c>
      <c r="M822">
        <v>2.240853</v>
      </c>
      <c r="N822">
        <v>1.867523</v>
      </c>
    </row>
    <row r="823" spans="1:14" hidden="1" x14ac:dyDescent="0.35">
      <c r="A823" t="s">
        <v>232</v>
      </c>
      <c r="B823" t="s">
        <v>74</v>
      </c>
      <c r="C823" t="s">
        <v>71</v>
      </c>
      <c r="D823" t="s">
        <v>140</v>
      </c>
      <c r="E823" t="s">
        <v>584</v>
      </c>
      <c r="F823" t="s">
        <v>581</v>
      </c>
      <c r="G823" t="s">
        <v>396</v>
      </c>
      <c r="H823">
        <v>3.6164079999999998</v>
      </c>
      <c r="I823">
        <v>4.5545660000000003</v>
      </c>
      <c r="J823">
        <v>3.1060699999999999</v>
      </c>
      <c r="K823">
        <v>2.4369480000000001</v>
      </c>
      <c r="L823">
        <v>1.9595530000000001</v>
      </c>
      <c r="M823">
        <v>1.454631</v>
      </c>
      <c r="N823">
        <v>1.0659099999999999</v>
      </c>
    </row>
    <row r="824" spans="1:14" hidden="1" x14ac:dyDescent="0.35">
      <c r="A824" t="s">
        <v>232</v>
      </c>
      <c r="B824" t="s">
        <v>74</v>
      </c>
      <c r="C824" t="s">
        <v>71</v>
      </c>
      <c r="D824" t="s">
        <v>140</v>
      </c>
      <c r="E824" t="s">
        <v>584</v>
      </c>
      <c r="F824" t="s">
        <v>581</v>
      </c>
      <c r="G824" t="s">
        <v>25</v>
      </c>
      <c r="H824">
        <v>2.4657479999999999E-2</v>
      </c>
      <c r="I824">
        <v>0</v>
      </c>
    </row>
    <row r="825" spans="1:14" hidden="1" x14ac:dyDescent="0.35">
      <c r="A825" t="s">
        <v>232</v>
      </c>
      <c r="B825" t="s">
        <v>74</v>
      </c>
      <c r="C825" t="s">
        <v>71</v>
      </c>
      <c r="D825" t="s">
        <v>140</v>
      </c>
      <c r="E825" t="s">
        <v>584</v>
      </c>
      <c r="F825" t="s">
        <v>26</v>
      </c>
      <c r="G825" t="s">
        <v>26</v>
      </c>
      <c r="H825">
        <v>0.70232209999999995</v>
      </c>
      <c r="I825">
        <v>0.77690119999999996</v>
      </c>
      <c r="J825">
        <v>0.53816989999999998</v>
      </c>
      <c r="K825">
        <v>0.4303572</v>
      </c>
      <c r="L825">
        <v>0.35201549999999998</v>
      </c>
      <c r="M825">
        <v>0.262623</v>
      </c>
      <c r="N825">
        <v>0.192743</v>
      </c>
    </row>
    <row r="826" spans="1:14" hidden="1" x14ac:dyDescent="0.35">
      <c r="A826" t="s">
        <v>232</v>
      </c>
      <c r="B826" t="s">
        <v>74</v>
      </c>
      <c r="C826" t="s">
        <v>87</v>
      </c>
      <c r="D826" t="s">
        <v>91</v>
      </c>
      <c r="E826" t="s">
        <v>584</v>
      </c>
      <c r="F826" t="s">
        <v>581</v>
      </c>
      <c r="G826" t="s">
        <v>396</v>
      </c>
      <c r="H826">
        <v>28.13363</v>
      </c>
      <c r="I826">
        <v>26.053239999999999</v>
      </c>
      <c r="J826">
        <v>20.583870000000001</v>
      </c>
      <c r="K826">
        <v>18.62912</v>
      </c>
      <c r="L826">
        <v>16.38805</v>
      </c>
      <c r="M826">
        <v>14.878769999999999</v>
      </c>
      <c r="N826">
        <v>13.64865</v>
      </c>
    </row>
    <row r="827" spans="1:14" hidden="1" x14ac:dyDescent="0.35">
      <c r="A827" t="s">
        <v>232</v>
      </c>
      <c r="B827" t="s">
        <v>74</v>
      </c>
      <c r="C827" t="s">
        <v>87</v>
      </c>
      <c r="D827" t="s">
        <v>91</v>
      </c>
      <c r="E827" t="s">
        <v>584</v>
      </c>
      <c r="F827" t="s">
        <v>581</v>
      </c>
      <c r="G827" t="s">
        <v>25</v>
      </c>
      <c r="H827">
        <v>1.734084E-2</v>
      </c>
      <c r="I827">
        <v>1.5807379999999999E-2</v>
      </c>
      <c r="J827">
        <v>1.011161E-2</v>
      </c>
      <c r="K827">
        <v>7.9006089999999994E-3</v>
      </c>
      <c r="L827">
        <v>5.8411929999999997E-3</v>
      </c>
      <c r="M827">
        <v>6.0229869999999996E-3</v>
      </c>
      <c r="N827">
        <v>5.6063909999999996E-3</v>
      </c>
    </row>
    <row r="828" spans="1:14" hidden="1" x14ac:dyDescent="0.35">
      <c r="A828" t="s">
        <v>232</v>
      </c>
      <c r="B828" t="s">
        <v>74</v>
      </c>
      <c r="C828" t="s">
        <v>87</v>
      </c>
      <c r="D828" t="s">
        <v>91</v>
      </c>
      <c r="E828" t="s">
        <v>584</v>
      </c>
      <c r="F828" t="s">
        <v>26</v>
      </c>
      <c r="G828" t="s">
        <v>26</v>
      </c>
      <c r="H828">
        <v>9.8940979999999998E-2</v>
      </c>
      <c r="I828">
        <v>9.3018039999999996E-2</v>
      </c>
      <c r="J828">
        <v>6.1122990000000002E-2</v>
      </c>
      <c r="K828">
        <v>5.3423100000000001E-2</v>
      </c>
      <c r="L828">
        <v>4.221155E-2</v>
      </c>
      <c r="M828">
        <v>5.8361440000000001E-2</v>
      </c>
      <c r="N828">
        <v>5.4732839999999998E-2</v>
      </c>
    </row>
    <row r="829" spans="1:14" hidden="1" x14ac:dyDescent="0.35">
      <c r="A829" t="s">
        <v>232</v>
      </c>
      <c r="B829" t="s">
        <v>74</v>
      </c>
      <c r="C829" t="s">
        <v>87</v>
      </c>
      <c r="D829" t="s">
        <v>87</v>
      </c>
      <c r="E829" t="s">
        <v>584</v>
      </c>
      <c r="F829" t="s">
        <v>581</v>
      </c>
      <c r="G829" t="s">
        <v>396</v>
      </c>
      <c r="H829">
        <v>4.5942459999999997E-2</v>
      </c>
      <c r="I829">
        <v>0.2303616</v>
      </c>
      <c r="J829">
        <v>0.1122411</v>
      </c>
      <c r="K829">
        <v>6.4591780000000001E-2</v>
      </c>
      <c r="L829">
        <v>0</v>
      </c>
      <c r="M829">
        <v>0</v>
      </c>
    </row>
    <row r="830" spans="1:14" hidden="1" x14ac:dyDescent="0.35">
      <c r="A830" t="s">
        <v>232</v>
      </c>
      <c r="B830" t="s">
        <v>74</v>
      </c>
      <c r="C830" t="s">
        <v>146</v>
      </c>
      <c r="D830" t="s">
        <v>197</v>
      </c>
      <c r="E830" t="s">
        <v>584</v>
      </c>
      <c r="F830" t="s">
        <v>581</v>
      </c>
      <c r="G830" t="s">
        <v>396</v>
      </c>
      <c r="H830">
        <v>1.6407419999999999</v>
      </c>
      <c r="I830">
        <v>1.373818</v>
      </c>
      <c r="J830">
        <v>0.91222740000000002</v>
      </c>
      <c r="K830">
        <v>0.7362744</v>
      </c>
      <c r="L830">
        <v>0.72994950000000003</v>
      </c>
      <c r="M830">
        <v>0.56271280000000001</v>
      </c>
      <c r="N830">
        <v>0.44121549999999998</v>
      </c>
    </row>
    <row r="831" spans="1:14" hidden="1" x14ac:dyDescent="0.35">
      <c r="A831" t="s">
        <v>232</v>
      </c>
      <c r="B831" t="s">
        <v>74</v>
      </c>
      <c r="C831" t="s">
        <v>146</v>
      </c>
      <c r="D831" t="s">
        <v>197</v>
      </c>
      <c r="E831" t="s">
        <v>584</v>
      </c>
      <c r="F831" t="s">
        <v>581</v>
      </c>
      <c r="G831" t="s">
        <v>25</v>
      </c>
      <c r="H831">
        <v>1.5971229999999999E-2</v>
      </c>
      <c r="I831">
        <v>1.33726E-2</v>
      </c>
      <c r="J831">
        <v>8.879451E-3</v>
      </c>
      <c r="K831">
        <v>6.8665749999999998E-3</v>
      </c>
      <c r="L831">
        <v>5.1479450000000001E-3</v>
      </c>
      <c r="M831">
        <v>3.9278079999999996E-3</v>
      </c>
      <c r="N831">
        <v>3.0554789999999998E-3</v>
      </c>
    </row>
    <row r="832" spans="1:14" hidden="1" x14ac:dyDescent="0.35">
      <c r="A832" t="s">
        <v>232</v>
      </c>
      <c r="B832" t="s">
        <v>74</v>
      </c>
      <c r="C832" t="s">
        <v>146</v>
      </c>
      <c r="D832" t="s">
        <v>197</v>
      </c>
      <c r="E832" t="s">
        <v>584</v>
      </c>
      <c r="F832" t="s">
        <v>26</v>
      </c>
      <c r="G832" t="s">
        <v>26</v>
      </c>
      <c r="H832">
        <v>8.8543819999999995E-2</v>
      </c>
      <c r="I832">
        <v>7.4139730000000001E-2</v>
      </c>
      <c r="J832">
        <v>4.9228769999999998E-2</v>
      </c>
      <c r="K832">
        <v>3.9810959999999999E-2</v>
      </c>
      <c r="L832">
        <v>3.989699E-2</v>
      </c>
      <c r="M832">
        <v>3.0766439999999999E-2</v>
      </c>
      <c r="N832">
        <v>2.413069E-2</v>
      </c>
    </row>
    <row r="833" spans="1:14" hidden="1" x14ac:dyDescent="0.35">
      <c r="A833" t="s">
        <v>226</v>
      </c>
      <c r="B833" t="s">
        <v>37</v>
      </c>
      <c r="C833" t="s">
        <v>79</v>
      </c>
      <c r="D833" t="s">
        <v>79</v>
      </c>
      <c r="E833" t="s">
        <v>614</v>
      </c>
      <c r="F833" t="s">
        <v>581</v>
      </c>
      <c r="G833" t="s">
        <v>396</v>
      </c>
      <c r="H833">
        <v>34.16301</v>
      </c>
      <c r="I833">
        <v>39.324959999999997</v>
      </c>
      <c r="J833">
        <v>35.796149999999997</v>
      </c>
      <c r="K833">
        <v>27.58597</v>
      </c>
      <c r="L833">
        <v>24.636700000000001</v>
      </c>
      <c r="M833">
        <v>25.409590000000001</v>
      </c>
      <c r="N833">
        <v>22.07619</v>
      </c>
    </row>
    <row r="834" spans="1:14" hidden="1" x14ac:dyDescent="0.35">
      <c r="A834" t="s">
        <v>226</v>
      </c>
      <c r="B834" t="s">
        <v>37</v>
      </c>
      <c r="C834" t="s">
        <v>79</v>
      </c>
      <c r="D834" t="s">
        <v>79</v>
      </c>
      <c r="E834" t="s">
        <v>614</v>
      </c>
      <c r="F834" t="s">
        <v>581</v>
      </c>
      <c r="G834" t="s">
        <v>25</v>
      </c>
      <c r="H834">
        <v>8.0239729999999998</v>
      </c>
      <c r="I834">
        <v>9.2525630000000003</v>
      </c>
      <c r="J834">
        <v>8.4226220000000005</v>
      </c>
      <c r="K834">
        <v>6.4908159999999997</v>
      </c>
      <c r="L834">
        <v>5.7968700000000002</v>
      </c>
      <c r="M834">
        <v>5.9787229999999996</v>
      </c>
      <c r="N834">
        <v>5.1943999999999999</v>
      </c>
    </row>
    <row r="835" spans="1:14" hidden="1" x14ac:dyDescent="0.35">
      <c r="A835" t="s">
        <v>226</v>
      </c>
      <c r="B835" t="s">
        <v>37</v>
      </c>
      <c r="C835" t="s">
        <v>79</v>
      </c>
      <c r="D835" t="s">
        <v>79</v>
      </c>
      <c r="E835" t="s">
        <v>614</v>
      </c>
      <c r="F835" t="s">
        <v>26</v>
      </c>
      <c r="G835" t="s">
        <v>26</v>
      </c>
      <c r="H835">
        <v>7.3273970000000004</v>
      </c>
      <c r="I835">
        <v>9.2525630000000003</v>
      </c>
      <c r="J835">
        <v>8.422625</v>
      </c>
      <c r="K835">
        <v>6.490818</v>
      </c>
      <c r="L835">
        <v>5.796869</v>
      </c>
      <c r="M835">
        <v>5.9787290000000004</v>
      </c>
      <c r="N835">
        <v>5.1943970000000004</v>
      </c>
    </row>
    <row r="836" spans="1:14" hidden="1" x14ac:dyDescent="0.35">
      <c r="A836" t="s">
        <v>226</v>
      </c>
      <c r="B836" t="s">
        <v>37</v>
      </c>
      <c r="C836" t="s">
        <v>79</v>
      </c>
      <c r="D836" t="s">
        <v>79</v>
      </c>
      <c r="E836" t="s">
        <v>600</v>
      </c>
      <c r="F836" t="s">
        <v>581</v>
      </c>
      <c r="G836" t="s">
        <v>396</v>
      </c>
      <c r="H836">
        <v>5.2890410000000001</v>
      </c>
      <c r="I836">
        <v>3.9977960000000001</v>
      </c>
      <c r="J836">
        <v>3.845491</v>
      </c>
      <c r="K836">
        <v>4.170617</v>
      </c>
      <c r="L836">
        <v>4.2373390000000004</v>
      </c>
      <c r="M836">
        <v>4.551507</v>
      </c>
      <c r="N836">
        <v>4.3680589999999997</v>
      </c>
    </row>
    <row r="837" spans="1:14" hidden="1" x14ac:dyDescent="0.35">
      <c r="A837" t="s">
        <v>226</v>
      </c>
      <c r="B837" t="s">
        <v>37</v>
      </c>
      <c r="C837" t="s">
        <v>79</v>
      </c>
      <c r="D837" t="s">
        <v>79</v>
      </c>
      <c r="E837" t="s">
        <v>600</v>
      </c>
      <c r="F837" t="s">
        <v>581</v>
      </c>
      <c r="G837" t="s">
        <v>24</v>
      </c>
      <c r="H837">
        <v>16.499890000000001</v>
      </c>
      <c r="I837">
        <v>15.82461</v>
      </c>
      <c r="J837">
        <v>14.299239999999999</v>
      </c>
      <c r="K837">
        <v>10.789350000000001</v>
      </c>
      <c r="L837">
        <v>8.9387869999999996</v>
      </c>
      <c r="M837">
        <v>7.4801589999999996</v>
      </c>
      <c r="N837">
        <v>6.093998</v>
      </c>
    </row>
    <row r="838" spans="1:14" hidden="1" x14ac:dyDescent="0.35">
      <c r="A838" t="s">
        <v>226</v>
      </c>
      <c r="B838" t="s">
        <v>37</v>
      </c>
      <c r="C838" t="s">
        <v>79</v>
      </c>
      <c r="D838" t="s">
        <v>79</v>
      </c>
      <c r="E838" t="s">
        <v>600</v>
      </c>
      <c r="F838" t="s">
        <v>581</v>
      </c>
      <c r="G838" t="s">
        <v>25</v>
      </c>
      <c r="H838">
        <v>10.680820000000001</v>
      </c>
      <c r="I838">
        <v>10.079190000000001</v>
      </c>
      <c r="J838">
        <v>9.2540980000000008</v>
      </c>
      <c r="K838">
        <v>7.578773</v>
      </c>
      <c r="L838">
        <v>6.6462839999999996</v>
      </c>
      <c r="M838">
        <v>6.034179</v>
      </c>
      <c r="N838">
        <v>5.2260359999999997</v>
      </c>
    </row>
    <row r="839" spans="1:14" hidden="1" x14ac:dyDescent="0.35">
      <c r="A839" t="s">
        <v>226</v>
      </c>
      <c r="B839" t="s">
        <v>37</v>
      </c>
      <c r="C839" t="s">
        <v>79</v>
      </c>
      <c r="D839" t="s">
        <v>79</v>
      </c>
      <c r="E839" t="s">
        <v>600</v>
      </c>
      <c r="F839" t="s">
        <v>26</v>
      </c>
      <c r="G839" t="s">
        <v>26</v>
      </c>
      <c r="H839">
        <v>10.543150000000001</v>
      </c>
      <c r="I839">
        <v>10.89354</v>
      </c>
      <c r="J839">
        <v>10.00211</v>
      </c>
      <c r="K839">
        <v>8.1934159999999991</v>
      </c>
      <c r="L839">
        <v>7.1864610000000004</v>
      </c>
      <c r="M839">
        <v>6.5260160000000003</v>
      </c>
      <c r="N839">
        <v>5.6528520000000002</v>
      </c>
    </row>
    <row r="840" spans="1:14" hidden="1" x14ac:dyDescent="0.35">
      <c r="A840" t="s">
        <v>226</v>
      </c>
      <c r="B840" t="s">
        <v>37</v>
      </c>
      <c r="C840" t="s">
        <v>79</v>
      </c>
      <c r="D840" t="s">
        <v>79</v>
      </c>
      <c r="E840" t="s">
        <v>601</v>
      </c>
      <c r="F840" t="s">
        <v>581</v>
      </c>
      <c r="G840" t="s">
        <v>396</v>
      </c>
      <c r="J840">
        <v>0</v>
      </c>
      <c r="K840">
        <v>9.2622739999999995E-2</v>
      </c>
      <c r="L840">
        <v>0.22785420000000001</v>
      </c>
      <c r="M840">
        <v>0.14684079999999999</v>
      </c>
      <c r="N840">
        <v>9.0949829999999995E-2</v>
      </c>
    </row>
    <row r="841" spans="1:14" hidden="1" x14ac:dyDescent="0.35">
      <c r="A841" t="s">
        <v>226</v>
      </c>
      <c r="B841" t="s">
        <v>37</v>
      </c>
      <c r="C841" t="s">
        <v>79</v>
      </c>
      <c r="D841" t="s">
        <v>79</v>
      </c>
      <c r="E841" t="s">
        <v>601</v>
      </c>
      <c r="F841" t="s">
        <v>581</v>
      </c>
      <c r="G841" t="s">
        <v>24</v>
      </c>
      <c r="H841">
        <v>7.0750690000000001</v>
      </c>
      <c r="I841">
        <v>5.8481560000000004</v>
      </c>
      <c r="J841">
        <v>5.9620290000000002</v>
      </c>
      <c r="K841">
        <v>5.9094530000000001</v>
      </c>
      <c r="L841">
        <v>5.3078050000000001</v>
      </c>
      <c r="M841">
        <v>5.4971620000000003</v>
      </c>
      <c r="N841">
        <v>5.3313090000000001</v>
      </c>
    </row>
    <row r="842" spans="1:14" hidden="1" x14ac:dyDescent="0.35">
      <c r="A842" t="s">
        <v>226</v>
      </c>
      <c r="B842" t="s">
        <v>37</v>
      </c>
      <c r="C842" t="s">
        <v>79</v>
      </c>
      <c r="D842" t="s">
        <v>79</v>
      </c>
      <c r="E842" t="s">
        <v>601</v>
      </c>
      <c r="F842" t="s">
        <v>581</v>
      </c>
      <c r="G842" t="s">
        <v>25</v>
      </c>
      <c r="H842">
        <v>3.2858930000000002</v>
      </c>
      <c r="I842">
        <v>2.7340140000000002</v>
      </c>
      <c r="J842">
        <v>2.7872479999999999</v>
      </c>
      <c r="K842">
        <v>2.7749739999999998</v>
      </c>
      <c r="L842">
        <v>2.5116619999999998</v>
      </c>
      <c r="M842">
        <v>2.5894219999999999</v>
      </c>
      <c r="N842">
        <v>2.5044680000000001</v>
      </c>
    </row>
    <row r="843" spans="1:14" hidden="1" x14ac:dyDescent="0.35">
      <c r="A843" t="s">
        <v>226</v>
      </c>
      <c r="B843" t="s">
        <v>37</v>
      </c>
      <c r="C843" t="s">
        <v>79</v>
      </c>
      <c r="D843" t="s">
        <v>79</v>
      </c>
      <c r="E843" t="s">
        <v>601</v>
      </c>
      <c r="F843" t="s">
        <v>26</v>
      </c>
      <c r="G843" t="s">
        <v>26</v>
      </c>
      <c r="H843">
        <v>3.819178</v>
      </c>
      <c r="I843">
        <v>3.4796550000000002</v>
      </c>
      <c r="J843">
        <v>3.5474079999999999</v>
      </c>
      <c r="K843">
        <v>3.5284270000000002</v>
      </c>
      <c r="L843">
        <v>3.1884060000000001</v>
      </c>
      <c r="M843">
        <v>3.2903129999999998</v>
      </c>
      <c r="N843">
        <v>3.1842069999999998</v>
      </c>
    </row>
    <row r="844" spans="1:14" hidden="1" x14ac:dyDescent="0.35">
      <c r="A844" t="s">
        <v>226</v>
      </c>
      <c r="B844" t="s">
        <v>37</v>
      </c>
      <c r="C844" t="s">
        <v>79</v>
      </c>
      <c r="D844" t="s">
        <v>79</v>
      </c>
      <c r="E844" t="s">
        <v>615</v>
      </c>
      <c r="F844" t="s">
        <v>581</v>
      </c>
      <c r="G844" t="s">
        <v>396</v>
      </c>
      <c r="H844">
        <v>0.26712330000000001</v>
      </c>
      <c r="I844">
        <v>0.4652328</v>
      </c>
      <c r="J844">
        <v>0.29264390000000001</v>
      </c>
      <c r="K844">
        <v>0.26540960000000002</v>
      </c>
      <c r="L844">
        <v>0.27310899999999999</v>
      </c>
      <c r="M844">
        <v>0.21461230000000001</v>
      </c>
      <c r="N844">
        <v>0.1649148</v>
      </c>
    </row>
    <row r="845" spans="1:14" hidden="1" x14ac:dyDescent="0.35">
      <c r="A845" t="s">
        <v>226</v>
      </c>
      <c r="B845" t="s">
        <v>37</v>
      </c>
      <c r="C845" t="s">
        <v>79</v>
      </c>
      <c r="D845" t="s">
        <v>79</v>
      </c>
      <c r="E845" t="s">
        <v>615</v>
      </c>
      <c r="F845" t="s">
        <v>581</v>
      </c>
      <c r="G845" t="s">
        <v>25</v>
      </c>
      <c r="H845">
        <v>8.2191780000000006E-3</v>
      </c>
      <c r="I845">
        <v>1.5506850000000001E-2</v>
      </c>
      <c r="J845">
        <v>9.7534249999999996E-3</v>
      </c>
      <c r="K845">
        <v>8.8495889999999997E-3</v>
      </c>
      <c r="L845">
        <v>9.1010970000000007E-3</v>
      </c>
      <c r="M845">
        <v>7.153698E-3</v>
      </c>
      <c r="N845">
        <v>5.4969859999999997E-3</v>
      </c>
    </row>
    <row r="846" spans="1:14" hidden="1" x14ac:dyDescent="0.35">
      <c r="A846" t="s">
        <v>226</v>
      </c>
      <c r="B846" t="s">
        <v>37</v>
      </c>
      <c r="C846" t="s">
        <v>79</v>
      </c>
      <c r="D846" t="s">
        <v>79</v>
      </c>
      <c r="E846" t="s">
        <v>615</v>
      </c>
      <c r="F846" t="s">
        <v>26</v>
      </c>
      <c r="G846" t="s">
        <v>26</v>
      </c>
      <c r="H846">
        <v>1.849315E-2</v>
      </c>
      <c r="I846">
        <v>3.6178090000000003E-2</v>
      </c>
      <c r="J846">
        <v>2.276164E-2</v>
      </c>
      <c r="K846">
        <v>2.0643290000000002E-2</v>
      </c>
      <c r="L846">
        <v>2.1242469999999999E-2</v>
      </c>
      <c r="M846">
        <v>1.669315E-2</v>
      </c>
      <c r="N846">
        <v>1.2827399999999999E-2</v>
      </c>
    </row>
    <row r="847" spans="1:14" hidden="1" x14ac:dyDescent="0.35">
      <c r="A847" t="s">
        <v>226</v>
      </c>
      <c r="B847" t="s">
        <v>37</v>
      </c>
      <c r="C847" t="s">
        <v>79</v>
      </c>
      <c r="D847" t="s">
        <v>79</v>
      </c>
      <c r="E847" t="s">
        <v>584</v>
      </c>
      <c r="F847" t="s">
        <v>581</v>
      </c>
      <c r="G847" t="s">
        <v>396</v>
      </c>
      <c r="H847">
        <v>2.320548E-3</v>
      </c>
      <c r="I847">
        <v>1.5616440000000001E-3</v>
      </c>
      <c r="J847">
        <v>1.047397E-3</v>
      </c>
      <c r="K847">
        <v>0</v>
      </c>
    </row>
    <row r="848" spans="1:14" hidden="1" x14ac:dyDescent="0.35">
      <c r="A848" t="s">
        <v>226</v>
      </c>
      <c r="B848" t="s">
        <v>37</v>
      </c>
      <c r="C848" t="s">
        <v>79</v>
      </c>
      <c r="D848" t="s">
        <v>79</v>
      </c>
      <c r="E848" t="s">
        <v>584</v>
      </c>
      <c r="F848" t="s">
        <v>581</v>
      </c>
      <c r="G848" t="s">
        <v>24</v>
      </c>
      <c r="H848">
        <v>4.4767130000000002E-3</v>
      </c>
      <c r="I848">
        <v>4.4027399999999996E-3</v>
      </c>
      <c r="J848">
        <v>4.315068E-3</v>
      </c>
      <c r="K848">
        <v>4.2205480000000002E-3</v>
      </c>
      <c r="L848">
        <v>4.0969860000000004E-3</v>
      </c>
      <c r="M848">
        <v>3.889315E-3</v>
      </c>
      <c r="N848">
        <v>3.708219E-3</v>
      </c>
    </row>
    <row r="849" spans="1:14" hidden="1" x14ac:dyDescent="0.35">
      <c r="A849" t="s">
        <v>226</v>
      </c>
      <c r="B849" t="s">
        <v>37</v>
      </c>
      <c r="C849" t="s">
        <v>79</v>
      </c>
      <c r="D849" t="s">
        <v>79</v>
      </c>
      <c r="E849" t="s">
        <v>584</v>
      </c>
      <c r="F849" t="s">
        <v>26</v>
      </c>
      <c r="G849" t="s">
        <v>26</v>
      </c>
      <c r="H849">
        <v>0.19659450000000001</v>
      </c>
      <c r="I849">
        <v>0.17784929999999999</v>
      </c>
      <c r="J849">
        <v>0.16087969999999999</v>
      </c>
      <c r="K849">
        <v>0.14530850000000001</v>
      </c>
      <c r="L849">
        <v>0.1297575</v>
      </c>
      <c r="M849">
        <v>0.11308</v>
      </c>
      <c r="N849">
        <v>9.8782190000000006E-2</v>
      </c>
    </row>
    <row r="850" spans="1:14" hidden="1" x14ac:dyDescent="0.35">
      <c r="A850" t="s">
        <v>226</v>
      </c>
      <c r="B850" t="s">
        <v>37</v>
      </c>
      <c r="C850" t="s">
        <v>79</v>
      </c>
      <c r="D850" t="s">
        <v>79</v>
      </c>
      <c r="E850" t="s">
        <v>598</v>
      </c>
      <c r="F850" t="s">
        <v>581</v>
      </c>
      <c r="G850" t="s">
        <v>25</v>
      </c>
      <c r="H850">
        <v>1.2778080000000001E-2</v>
      </c>
      <c r="I850">
        <v>1.150411E-2</v>
      </c>
      <c r="J850">
        <v>1.0323290000000001E-2</v>
      </c>
      <c r="K850">
        <v>9.2904110000000002E-3</v>
      </c>
      <c r="L850">
        <v>4.1012880000000002E-2</v>
      </c>
      <c r="M850">
        <v>3.6693969999999999E-2</v>
      </c>
      <c r="N850">
        <v>2.5245199999999999E-2</v>
      </c>
    </row>
    <row r="851" spans="1:14" hidden="1" x14ac:dyDescent="0.35">
      <c r="A851" t="s">
        <v>226</v>
      </c>
      <c r="B851" t="s">
        <v>37</v>
      </c>
      <c r="C851" t="s">
        <v>79</v>
      </c>
      <c r="D851" t="s">
        <v>79</v>
      </c>
      <c r="E851" t="s">
        <v>598</v>
      </c>
      <c r="F851" t="s">
        <v>26</v>
      </c>
      <c r="G851" t="s">
        <v>26</v>
      </c>
      <c r="H851">
        <v>5.1112329999999997E-2</v>
      </c>
      <c r="I851">
        <v>4.6013699999999998E-2</v>
      </c>
      <c r="J851">
        <v>4.1293150000000001E-2</v>
      </c>
      <c r="K851">
        <v>3.7164379999999997E-2</v>
      </c>
      <c r="L851">
        <v>0.1640501</v>
      </c>
      <c r="M851">
        <v>0.1467754</v>
      </c>
      <c r="N851">
        <v>0.1009838</v>
      </c>
    </row>
    <row r="852" spans="1:14" hidden="1" x14ac:dyDescent="0.35">
      <c r="A852" t="s">
        <v>226</v>
      </c>
      <c r="B852" t="s">
        <v>37</v>
      </c>
      <c r="C852" t="s">
        <v>51</v>
      </c>
      <c r="D852" t="s">
        <v>51</v>
      </c>
      <c r="E852" t="s">
        <v>602</v>
      </c>
      <c r="F852" t="s">
        <v>581</v>
      </c>
      <c r="G852" t="s">
        <v>396</v>
      </c>
      <c r="H852">
        <v>86.251720000000006</v>
      </c>
      <c r="I852">
        <v>95.631829999999994</v>
      </c>
      <c r="J852">
        <v>84.53989</v>
      </c>
      <c r="K852">
        <v>66.394170000000003</v>
      </c>
      <c r="L852">
        <v>60.373170000000002</v>
      </c>
      <c r="M852">
        <v>59.877540000000003</v>
      </c>
      <c r="N852">
        <v>56.005249999999997</v>
      </c>
    </row>
    <row r="853" spans="1:14" hidden="1" x14ac:dyDescent="0.35">
      <c r="A853" t="s">
        <v>226</v>
      </c>
      <c r="B853" t="s">
        <v>37</v>
      </c>
      <c r="C853" t="s">
        <v>51</v>
      </c>
      <c r="D853" t="s">
        <v>51</v>
      </c>
      <c r="E853" t="s">
        <v>602</v>
      </c>
      <c r="F853" t="s">
        <v>581</v>
      </c>
      <c r="G853" t="s">
        <v>25</v>
      </c>
      <c r="H853">
        <v>9.0006900000000005</v>
      </c>
      <c r="I853">
        <v>9.1717479999999991</v>
      </c>
      <c r="J853">
        <v>8.1172909999999998</v>
      </c>
      <c r="K853">
        <v>6.3516149999999998</v>
      </c>
      <c r="L853">
        <v>5.7807550000000001</v>
      </c>
      <c r="M853">
        <v>5.7292500000000004</v>
      </c>
      <c r="N853">
        <v>5.3457520000000001</v>
      </c>
    </row>
    <row r="854" spans="1:14" hidden="1" x14ac:dyDescent="0.35">
      <c r="A854" t="s">
        <v>226</v>
      </c>
      <c r="B854" t="s">
        <v>37</v>
      </c>
      <c r="C854" t="s">
        <v>51</v>
      </c>
      <c r="D854" t="s">
        <v>51</v>
      </c>
      <c r="E854" t="s">
        <v>602</v>
      </c>
      <c r="F854" t="s">
        <v>26</v>
      </c>
      <c r="G854" t="s">
        <v>26</v>
      </c>
      <c r="H854">
        <v>7.6267120000000004</v>
      </c>
      <c r="I854">
        <v>8.3213410000000003</v>
      </c>
      <c r="J854">
        <v>7.360582</v>
      </c>
      <c r="K854">
        <v>5.7778729999999996</v>
      </c>
      <c r="L854">
        <v>5.2545849999999996</v>
      </c>
      <c r="M854">
        <v>5.2121019999999998</v>
      </c>
      <c r="N854">
        <v>4.8745019999999997</v>
      </c>
    </row>
    <row r="855" spans="1:14" hidden="1" x14ac:dyDescent="0.35">
      <c r="A855" t="s">
        <v>226</v>
      </c>
      <c r="B855" t="s">
        <v>37</v>
      </c>
      <c r="C855" t="s">
        <v>105</v>
      </c>
      <c r="D855" t="s">
        <v>105</v>
      </c>
      <c r="E855" t="s">
        <v>632</v>
      </c>
      <c r="F855" t="s">
        <v>581</v>
      </c>
      <c r="G855" t="s">
        <v>396</v>
      </c>
      <c r="H855">
        <v>15.344659999999999</v>
      </c>
      <c r="I855">
        <v>12.04467</v>
      </c>
      <c r="J855">
        <v>10.07193</v>
      </c>
      <c r="K855">
        <v>8.1459109999999999</v>
      </c>
      <c r="L855">
        <v>7.0337930000000002</v>
      </c>
      <c r="M855">
        <v>6.8912079999999998</v>
      </c>
      <c r="N855">
        <v>6.8919249999999996</v>
      </c>
    </row>
    <row r="856" spans="1:14" hidden="1" x14ac:dyDescent="0.35">
      <c r="A856" t="s">
        <v>226</v>
      </c>
      <c r="B856" t="s">
        <v>37</v>
      </c>
      <c r="C856" t="s">
        <v>105</v>
      </c>
      <c r="D856" t="s">
        <v>105</v>
      </c>
      <c r="E856" t="s">
        <v>632</v>
      </c>
      <c r="F856" t="s">
        <v>581</v>
      </c>
      <c r="G856" t="s">
        <v>25</v>
      </c>
      <c r="H856">
        <v>11.945209999999999</v>
      </c>
      <c r="I856">
        <v>7.8580819999999996</v>
      </c>
      <c r="J856">
        <v>6.5526499999999999</v>
      </c>
      <c r="K856">
        <v>5.2846330000000004</v>
      </c>
      <c r="L856">
        <v>4.5438780000000003</v>
      </c>
      <c r="M856">
        <v>4.4106310000000004</v>
      </c>
      <c r="N856">
        <v>4.3769039999999997</v>
      </c>
    </row>
    <row r="857" spans="1:14" hidden="1" x14ac:dyDescent="0.35">
      <c r="A857" t="s">
        <v>226</v>
      </c>
      <c r="B857" t="s">
        <v>37</v>
      </c>
      <c r="C857" t="s">
        <v>105</v>
      </c>
      <c r="D857" t="s">
        <v>105</v>
      </c>
      <c r="E857" t="s">
        <v>632</v>
      </c>
      <c r="F857" t="s">
        <v>26</v>
      </c>
      <c r="G857" t="s">
        <v>26</v>
      </c>
      <c r="H857">
        <v>22.09534</v>
      </c>
      <c r="I857">
        <v>18.267189999999999</v>
      </c>
      <c r="J857">
        <v>15.328860000000001</v>
      </c>
      <c r="K857">
        <v>12.26267</v>
      </c>
      <c r="L857">
        <v>10.41511</v>
      </c>
      <c r="M857">
        <v>9.8337389999999996</v>
      </c>
      <c r="N857">
        <v>9.5271000000000008</v>
      </c>
    </row>
    <row r="858" spans="1:14" hidden="1" x14ac:dyDescent="0.35">
      <c r="A858" t="s">
        <v>226</v>
      </c>
      <c r="B858" t="s">
        <v>37</v>
      </c>
      <c r="C858" t="s">
        <v>105</v>
      </c>
      <c r="D858" t="s">
        <v>105</v>
      </c>
      <c r="E858" t="s">
        <v>619</v>
      </c>
      <c r="F858" t="s">
        <v>581</v>
      </c>
      <c r="G858" t="s">
        <v>24</v>
      </c>
      <c r="H858">
        <v>2.763836</v>
      </c>
      <c r="I858">
        <v>2.9431080000000001</v>
      </c>
      <c r="J858">
        <v>3.1841699999999999</v>
      </c>
      <c r="K858">
        <v>3.3642379999999998</v>
      </c>
      <c r="L858">
        <v>3.0334940000000001</v>
      </c>
      <c r="M858">
        <v>2.448032</v>
      </c>
      <c r="N858">
        <v>2.0387309999999998</v>
      </c>
    </row>
    <row r="859" spans="1:14" hidden="1" x14ac:dyDescent="0.35">
      <c r="A859" t="s">
        <v>226</v>
      </c>
      <c r="B859" t="s">
        <v>37</v>
      </c>
      <c r="C859" t="s">
        <v>105</v>
      </c>
      <c r="D859" t="s">
        <v>105</v>
      </c>
      <c r="E859" t="s">
        <v>619</v>
      </c>
      <c r="F859" t="s">
        <v>581</v>
      </c>
      <c r="G859" t="s">
        <v>25</v>
      </c>
      <c r="H859">
        <v>7.6756159999999998</v>
      </c>
      <c r="I859">
        <v>6.3686759999999998</v>
      </c>
      <c r="J859">
        <v>6.766356</v>
      </c>
      <c r="K859">
        <v>7.1490090000000004</v>
      </c>
      <c r="L859">
        <v>6.4461779999999997</v>
      </c>
      <c r="M859">
        <v>5.2020720000000003</v>
      </c>
      <c r="N859">
        <v>4.3323039999999997</v>
      </c>
    </row>
    <row r="860" spans="1:14" hidden="1" x14ac:dyDescent="0.35">
      <c r="A860" t="s">
        <v>226</v>
      </c>
      <c r="B860" t="s">
        <v>37</v>
      </c>
      <c r="C860" t="s">
        <v>105</v>
      </c>
      <c r="D860" t="s">
        <v>105</v>
      </c>
      <c r="E860" t="s">
        <v>619</v>
      </c>
      <c r="F860" t="s">
        <v>26</v>
      </c>
      <c r="G860" t="s">
        <v>26</v>
      </c>
      <c r="H860">
        <v>8.9424659999999996</v>
      </c>
      <c r="I860">
        <v>9.3656950000000005</v>
      </c>
      <c r="J860">
        <v>9.9505250000000007</v>
      </c>
      <c r="K860">
        <v>10.513249999999999</v>
      </c>
      <c r="L860">
        <v>9.4796720000000008</v>
      </c>
      <c r="M860">
        <v>7.6501049999999999</v>
      </c>
      <c r="N860">
        <v>6.3710360000000001</v>
      </c>
    </row>
    <row r="861" spans="1:14" hidden="1" x14ac:dyDescent="0.35">
      <c r="A861" t="s">
        <v>226</v>
      </c>
      <c r="B861" t="s">
        <v>37</v>
      </c>
      <c r="C861" t="s">
        <v>105</v>
      </c>
      <c r="D861" t="s">
        <v>105</v>
      </c>
      <c r="E861" t="s">
        <v>633</v>
      </c>
      <c r="F861" t="s">
        <v>581</v>
      </c>
      <c r="G861" t="s">
        <v>24</v>
      </c>
      <c r="H861">
        <v>0.69095890000000004</v>
      </c>
      <c r="I861">
        <v>0.61891229999999997</v>
      </c>
      <c r="J861">
        <v>0.52405749999999995</v>
      </c>
      <c r="K861">
        <v>0.48709039999999998</v>
      </c>
      <c r="L861">
        <v>0.44108360000000002</v>
      </c>
      <c r="M861">
        <v>0.38532129999999998</v>
      </c>
      <c r="N861">
        <v>0.33399040000000002</v>
      </c>
    </row>
    <row r="862" spans="1:14" hidden="1" x14ac:dyDescent="0.35">
      <c r="A862" t="s">
        <v>226</v>
      </c>
      <c r="B862" t="s">
        <v>37</v>
      </c>
      <c r="C862" t="s">
        <v>105</v>
      </c>
      <c r="D862" t="s">
        <v>105</v>
      </c>
      <c r="E862" t="s">
        <v>633</v>
      </c>
      <c r="F862" t="s">
        <v>581</v>
      </c>
      <c r="G862" t="s">
        <v>25</v>
      </c>
      <c r="H862">
        <v>1.5320549999999999</v>
      </c>
      <c r="I862">
        <v>1.068427</v>
      </c>
      <c r="J862">
        <v>0.88686580000000004</v>
      </c>
      <c r="K862">
        <v>0.82430409999999998</v>
      </c>
      <c r="L862">
        <v>0.74644909999999998</v>
      </c>
      <c r="M862">
        <v>0.65208239999999995</v>
      </c>
      <c r="N862">
        <v>0.56521589999999999</v>
      </c>
    </row>
    <row r="863" spans="1:14" hidden="1" x14ac:dyDescent="0.35">
      <c r="A863" t="s">
        <v>226</v>
      </c>
      <c r="B863" t="s">
        <v>37</v>
      </c>
      <c r="C863" t="s">
        <v>105</v>
      </c>
      <c r="D863" t="s">
        <v>105</v>
      </c>
      <c r="E863" t="s">
        <v>633</v>
      </c>
      <c r="F863" t="s">
        <v>26</v>
      </c>
      <c r="G863" t="s">
        <v>26</v>
      </c>
      <c r="H863">
        <v>3.585753</v>
      </c>
      <c r="I863">
        <v>3.1567180000000001</v>
      </c>
      <c r="J863">
        <v>2.620288</v>
      </c>
      <c r="K863">
        <v>2.435441</v>
      </c>
      <c r="L863">
        <v>2.2054119999999999</v>
      </c>
      <c r="M863">
        <v>1.926615</v>
      </c>
      <c r="N863">
        <v>1.669959</v>
      </c>
    </row>
    <row r="864" spans="1:14" hidden="1" x14ac:dyDescent="0.35">
      <c r="A864" t="s">
        <v>226</v>
      </c>
      <c r="B864" t="s">
        <v>37</v>
      </c>
      <c r="C864" t="s">
        <v>105</v>
      </c>
      <c r="D864" t="s">
        <v>105</v>
      </c>
      <c r="E864" t="s">
        <v>656</v>
      </c>
      <c r="F864" t="s">
        <v>581</v>
      </c>
      <c r="G864" t="s">
        <v>396</v>
      </c>
      <c r="H864">
        <v>1.475068</v>
      </c>
      <c r="I864">
        <v>2.39778</v>
      </c>
      <c r="J864">
        <v>2.274645</v>
      </c>
      <c r="K864">
        <v>1.9374420000000001</v>
      </c>
      <c r="L864">
        <v>1.7628999999999999</v>
      </c>
      <c r="M864">
        <v>1.6276079999999999</v>
      </c>
      <c r="N864">
        <v>1.557687</v>
      </c>
    </row>
    <row r="865" spans="1:14" hidden="1" x14ac:dyDescent="0.35">
      <c r="A865" t="s">
        <v>226</v>
      </c>
      <c r="B865" t="s">
        <v>37</v>
      </c>
      <c r="C865" t="s">
        <v>105</v>
      </c>
      <c r="D865" t="s">
        <v>105</v>
      </c>
      <c r="E865" t="s">
        <v>656</v>
      </c>
      <c r="F865" t="s">
        <v>581</v>
      </c>
      <c r="G865" t="s">
        <v>24</v>
      </c>
      <c r="H865">
        <v>0.61589039999999995</v>
      </c>
      <c r="I865">
        <v>0.99907270000000004</v>
      </c>
      <c r="J865">
        <v>0.94776769999999999</v>
      </c>
      <c r="K865">
        <v>0.80726690000000001</v>
      </c>
      <c r="L865">
        <v>0.73454419999999998</v>
      </c>
      <c r="M865">
        <v>0.67816989999999999</v>
      </c>
      <c r="N865">
        <v>0.64903560000000005</v>
      </c>
    </row>
    <row r="866" spans="1:14" hidden="1" x14ac:dyDescent="0.35">
      <c r="A866" t="s">
        <v>226</v>
      </c>
      <c r="B866" t="s">
        <v>37</v>
      </c>
      <c r="C866" t="s">
        <v>105</v>
      </c>
      <c r="D866" t="s">
        <v>105</v>
      </c>
      <c r="E866" t="s">
        <v>656</v>
      </c>
      <c r="F866" t="s">
        <v>581</v>
      </c>
      <c r="G866" t="s">
        <v>25</v>
      </c>
      <c r="H866">
        <v>0.59616709999999995</v>
      </c>
      <c r="I866">
        <v>0.84920879999999999</v>
      </c>
      <c r="J866">
        <v>0.80560489999999996</v>
      </c>
      <c r="K866">
        <v>0.68617419999999996</v>
      </c>
      <c r="L866">
        <v>0.6243611</v>
      </c>
      <c r="M866">
        <v>0.57644660000000003</v>
      </c>
      <c r="N866">
        <v>0.55167860000000002</v>
      </c>
    </row>
    <row r="867" spans="1:14" hidden="1" x14ac:dyDescent="0.35">
      <c r="A867" t="s">
        <v>226</v>
      </c>
      <c r="B867" t="s">
        <v>37</v>
      </c>
      <c r="C867" t="s">
        <v>105</v>
      </c>
      <c r="D867" t="s">
        <v>105</v>
      </c>
      <c r="E867" t="s">
        <v>656</v>
      </c>
      <c r="F867" t="s">
        <v>26</v>
      </c>
      <c r="G867" t="s">
        <v>26</v>
      </c>
      <c r="H867">
        <v>0.41643829999999998</v>
      </c>
      <c r="I867">
        <v>0.74930580000000002</v>
      </c>
      <c r="J867">
        <v>0.71082710000000005</v>
      </c>
      <c r="K867">
        <v>0.6054503</v>
      </c>
      <c r="L867">
        <v>0.55090850000000002</v>
      </c>
      <c r="M867">
        <v>0.50862929999999995</v>
      </c>
      <c r="N867">
        <v>0.48677559999999997</v>
      </c>
    </row>
    <row r="868" spans="1:14" hidden="1" x14ac:dyDescent="0.35">
      <c r="A868" t="s">
        <v>226</v>
      </c>
      <c r="B868" t="s">
        <v>37</v>
      </c>
      <c r="C868" t="s">
        <v>35</v>
      </c>
      <c r="D868" t="s">
        <v>39</v>
      </c>
      <c r="E868" t="s">
        <v>580</v>
      </c>
      <c r="F868" t="s">
        <v>581</v>
      </c>
      <c r="G868" t="s">
        <v>396</v>
      </c>
      <c r="H868">
        <v>16</v>
      </c>
      <c r="I868">
        <v>14.58633</v>
      </c>
      <c r="J868">
        <v>17.095500000000001</v>
      </c>
      <c r="K868">
        <v>16.38692</v>
      </c>
      <c r="L868">
        <v>14.09887</v>
      </c>
      <c r="M868">
        <v>13.91671</v>
      </c>
      <c r="N868">
        <v>14.56185</v>
      </c>
    </row>
    <row r="869" spans="1:14" hidden="1" x14ac:dyDescent="0.35">
      <c r="A869" t="s">
        <v>226</v>
      </c>
      <c r="B869" t="s">
        <v>37</v>
      </c>
      <c r="C869" t="s">
        <v>35</v>
      </c>
      <c r="D869" t="s">
        <v>39</v>
      </c>
      <c r="E869" t="s">
        <v>580</v>
      </c>
      <c r="F869" t="s">
        <v>581</v>
      </c>
      <c r="G869" t="s">
        <v>25</v>
      </c>
      <c r="H869">
        <v>5.7497290000000003</v>
      </c>
      <c r="I869">
        <v>5.1677330000000001</v>
      </c>
      <c r="J869">
        <v>6.0546559999999996</v>
      </c>
      <c r="K869">
        <v>5.8036979999999998</v>
      </c>
      <c r="L869">
        <v>4.9933519999999998</v>
      </c>
      <c r="M869">
        <v>4.9288309999999997</v>
      </c>
      <c r="N869">
        <v>5.1573219999999997</v>
      </c>
    </row>
    <row r="870" spans="1:14" hidden="1" x14ac:dyDescent="0.35">
      <c r="A870" t="s">
        <v>226</v>
      </c>
      <c r="B870" t="s">
        <v>37</v>
      </c>
      <c r="C870" t="s">
        <v>35</v>
      </c>
      <c r="D870" t="s">
        <v>39</v>
      </c>
      <c r="E870" t="s">
        <v>580</v>
      </c>
      <c r="F870" t="s">
        <v>26</v>
      </c>
      <c r="G870" t="s">
        <v>26</v>
      </c>
      <c r="H870">
        <v>6.0827400000000003</v>
      </c>
      <c r="I870">
        <v>5.167732</v>
      </c>
      <c r="J870">
        <v>6.0546530000000001</v>
      </c>
      <c r="K870">
        <v>5.8036979999999998</v>
      </c>
      <c r="L870">
        <v>4.9933509999999997</v>
      </c>
      <c r="M870">
        <v>4.9288309999999997</v>
      </c>
      <c r="N870">
        <v>5.157324</v>
      </c>
    </row>
    <row r="871" spans="1:14" hidden="1" x14ac:dyDescent="0.35">
      <c r="A871" t="s">
        <v>226</v>
      </c>
      <c r="B871" t="s">
        <v>37</v>
      </c>
      <c r="C871" t="s">
        <v>35</v>
      </c>
      <c r="D871" t="s">
        <v>39</v>
      </c>
      <c r="E871" t="s">
        <v>591</v>
      </c>
      <c r="F871" t="s">
        <v>581</v>
      </c>
      <c r="G871" t="s">
        <v>396</v>
      </c>
      <c r="H871">
        <v>0.52953150000000004</v>
      </c>
      <c r="I871">
        <v>0.46730959999999999</v>
      </c>
      <c r="J871">
        <v>0.41003830000000002</v>
      </c>
      <c r="K871">
        <v>0.36083019999999999</v>
      </c>
      <c r="L871">
        <v>0.31752059999999999</v>
      </c>
      <c r="M871">
        <v>0.28013149999999998</v>
      </c>
      <c r="N871">
        <v>0.2457918</v>
      </c>
    </row>
    <row r="872" spans="1:14" hidden="1" x14ac:dyDescent="0.35">
      <c r="A872" t="s">
        <v>226</v>
      </c>
      <c r="B872" t="s">
        <v>37</v>
      </c>
      <c r="C872" t="s">
        <v>35</v>
      </c>
      <c r="D872" t="s">
        <v>39</v>
      </c>
      <c r="E872" t="s">
        <v>591</v>
      </c>
      <c r="F872" t="s">
        <v>581</v>
      </c>
      <c r="G872" t="s">
        <v>25</v>
      </c>
      <c r="H872">
        <v>6.8769860000000002E-2</v>
      </c>
      <c r="I872">
        <v>6.069041E-2</v>
      </c>
      <c r="J872">
        <v>5.3249310000000001E-2</v>
      </c>
      <c r="K872">
        <v>4.6860270000000002E-2</v>
      </c>
      <c r="L872">
        <v>4.1238360000000002E-2</v>
      </c>
      <c r="M872">
        <v>3.6380820000000001E-2</v>
      </c>
      <c r="N872">
        <v>3.192329E-2</v>
      </c>
    </row>
    <row r="873" spans="1:14" hidden="1" x14ac:dyDescent="0.35">
      <c r="A873" t="s">
        <v>226</v>
      </c>
      <c r="B873" t="s">
        <v>37</v>
      </c>
      <c r="C873" t="s">
        <v>35</v>
      </c>
      <c r="D873" t="s">
        <v>39</v>
      </c>
      <c r="E873" t="s">
        <v>591</v>
      </c>
      <c r="F873" t="s">
        <v>26</v>
      </c>
      <c r="G873" t="s">
        <v>26</v>
      </c>
      <c r="H873">
        <v>8.9402739999999994E-2</v>
      </c>
      <c r="I873">
        <v>7.8898629999999997E-2</v>
      </c>
      <c r="J873">
        <v>6.922739E-2</v>
      </c>
      <c r="K873">
        <v>6.0920549999999997E-2</v>
      </c>
      <c r="L873">
        <v>5.3608219999999998E-2</v>
      </c>
      <c r="M873">
        <v>4.729589E-2</v>
      </c>
      <c r="N873">
        <v>4.1498630000000002E-2</v>
      </c>
    </row>
    <row r="874" spans="1:14" hidden="1" x14ac:dyDescent="0.35">
      <c r="A874" t="s">
        <v>226</v>
      </c>
      <c r="B874" t="s">
        <v>37</v>
      </c>
      <c r="C874" t="s">
        <v>35</v>
      </c>
      <c r="D874" t="s">
        <v>38</v>
      </c>
      <c r="E874" t="s">
        <v>580</v>
      </c>
      <c r="F874" t="s">
        <v>581</v>
      </c>
      <c r="G874" t="s">
        <v>24</v>
      </c>
      <c r="J874">
        <v>0</v>
      </c>
      <c r="K874">
        <v>5.5060270000000001E-2</v>
      </c>
      <c r="L874">
        <v>9.6688490000000002E-2</v>
      </c>
      <c r="M874">
        <v>7.5819460000000005E-2</v>
      </c>
      <c r="N874">
        <v>5.0370150000000002E-2</v>
      </c>
    </row>
    <row r="875" spans="1:14" hidden="1" x14ac:dyDescent="0.35">
      <c r="A875" t="s">
        <v>226</v>
      </c>
      <c r="B875" t="s">
        <v>37</v>
      </c>
      <c r="C875" t="s">
        <v>35</v>
      </c>
      <c r="D875" t="s">
        <v>38</v>
      </c>
      <c r="E875" t="s">
        <v>580</v>
      </c>
      <c r="F875" t="s">
        <v>581</v>
      </c>
      <c r="G875" t="s">
        <v>25</v>
      </c>
      <c r="J875">
        <v>0</v>
      </c>
      <c r="K875">
        <v>3.2503289999999997E-2</v>
      </c>
      <c r="L875">
        <v>5.7069040000000001E-2</v>
      </c>
      <c r="M875">
        <v>4.4754799999999997E-2</v>
      </c>
      <c r="N875">
        <v>2.9732600000000001E-2</v>
      </c>
    </row>
    <row r="876" spans="1:14" hidden="1" x14ac:dyDescent="0.35">
      <c r="A876" t="s">
        <v>226</v>
      </c>
      <c r="B876" t="s">
        <v>37</v>
      </c>
      <c r="C876" t="s">
        <v>35</v>
      </c>
      <c r="D876" t="s">
        <v>38</v>
      </c>
      <c r="E876" t="s">
        <v>580</v>
      </c>
      <c r="F876" t="s">
        <v>26</v>
      </c>
      <c r="G876" t="s">
        <v>26</v>
      </c>
      <c r="J876">
        <v>0</v>
      </c>
      <c r="K876">
        <v>3.9002469999999997E-2</v>
      </c>
      <c r="L876">
        <v>6.8487950000000006E-2</v>
      </c>
      <c r="M876">
        <v>5.3706579999999997E-2</v>
      </c>
      <c r="N876">
        <v>3.5678910000000001E-2</v>
      </c>
    </row>
    <row r="877" spans="1:14" hidden="1" x14ac:dyDescent="0.35">
      <c r="A877" t="s">
        <v>226</v>
      </c>
      <c r="B877" t="s">
        <v>37</v>
      </c>
      <c r="C877" t="s">
        <v>46</v>
      </c>
      <c r="D877" t="s">
        <v>46</v>
      </c>
      <c r="E877" t="s">
        <v>584</v>
      </c>
      <c r="F877" t="s">
        <v>581</v>
      </c>
      <c r="G877" t="s">
        <v>396</v>
      </c>
      <c r="H877">
        <v>4.2076710000000003E-2</v>
      </c>
      <c r="I877">
        <v>4.0134250000000003E-2</v>
      </c>
      <c r="J877">
        <v>3.1820000000000001E-2</v>
      </c>
      <c r="K877">
        <v>3.0619730000000001E-2</v>
      </c>
      <c r="L877">
        <v>2.8646580000000001E-2</v>
      </c>
      <c r="M877">
        <v>8.2865760000000004E-3</v>
      </c>
      <c r="N877">
        <v>7.9569859999999992E-3</v>
      </c>
    </row>
    <row r="878" spans="1:14" hidden="1" x14ac:dyDescent="0.35">
      <c r="A878" t="s">
        <v>226</v>
      </c>
      <c r="B878" t="s">
        <v>37</v>
      </c>
      <c r="C878" t="s">
        <v>46</v>
      </c>
      <c r="D878" t="s">
        <v>46</v>
      </c>
      <c r="E878" t="s">
        <v>584</v>
      </c>
      <c r="F878" t="s">
        <v>581</v>
      </c>
      <c r="G878" t="s">
        <v>24</v>
      </c>
      <c r="H878">
        <v>8.4931510000000004E-4</v>
      </c>
      <c r="I878">
        <v>0</v>
      </c>
    </row>
    <row r="879" spans="1:14" hidden="1" x14ac:dyDescent="0.35">
      <c r="A879" t="s">
        <v>226</v>
      </c>
      <c r="B879" t="s">
        <v>37</v>
      </c>
      <c r="C879" t="s">
        <v>46</v>
      </c>
      <c r="D879" t="s">
        <v>46</v>
      </c>
      <c r="E879" t="s">
        <v>584</v>
      </c>
      <c r="F879" t="s">
        <v>581</v>
      </c>
      <c r="G879" t="s">
        <v>25</v>
      </c>
      <c r="H879">
        <v>0.44770140000000003</v>
      </c>
      <c r="I879">
        <v>0.43229580000000001</v>
      </c>
      <c r="J879">
        <v>0.4157477</v>
      </c>
      <c r="K879">
        <v>0.4014432</v>
      </c>
      <c r="L879">
        <v>0.38425229999999999</v>
      </c>
      <c r="M879">
        <v>0.32261339999999999</v>
      </c>
      <c r="N879">
        <v>0.30553069999999999</v>
      </c>
    </row>
    <row r="880" spans="1:14" hidden="1" x14ac:dyDescent="0.35">
      <c r="A880" t="s">
        <v>226</v>
      </c>
      <c r="B880" t="s">
        <v>37</v>
      </c>
      <c r="C880" t="s">
        <v>46</v>
      </c>
      <c r="D880" t="s">
        <v>46</v>
      </c>
      <c r="E880" t="s">
        <v>584</v>
      </c>
      <c r="F880" t="s">
        <v>26</v>
      </c>
      <c r="G880" t="s">
        <v>26</v>
      </c>
      <c r="H880">
        <v>2.5774900000000001</v>
      </c>
      <c r="I880">
        <v>2.412515</v>
      </c>
      <c r="J880">
        <v>2.1401020000000002</v>
      </c>
      <c r="K880">
        <v>2.0037150000000001</v>
      </c>
      <c r="L880">
        <v>1.8578779999999999</v>
      </c>
      <c r="M880">
        <v>1.5972759999999999</v>
      </c>
      <c r="N880">
        <v>1.458882</v>
      </c>
    </row>
    <row r="881" spans="1:14" hidden="1" x14ac:dyDescent="0.35">
      <c r="A881" t="s">
        <v>226</v>
      </c>
      <c r="B881" t="s">
        <v>37</v>
      </c>
      <c r="C881" t="s">
        <v>205</v>
      </c>
      <c r="D881" t="s">
        <v>205</v>
      </c>
      <c r="E881" t="s">
        <v>657</v>
      </c>
      <c r="F881" t="s">
        <v>581</v>
      </c>
      <c r="G881" t="s">
        <v>24</v>
      </c>
      <c r="H881">
        <v>6.1424649999999997E-3</v>
      </c>
      <c r="I881">
        <v>5.5260270000000002E-3</v>
      </c>
      <c r="J881">
        <v>4.9589040000000001E-3</v>
      </c>
      <c r="K881">
        <v>4.4630140000000004E-3</v>
      </c>
      <c r="L881">
        <v>4.0164379999999998E-3</v>
      </c>
      <c r="M881">
        <v>3.6246569999999999E-3</v>
      </c>
      <c r="N881">
        <v>3.2520549999999998E-3</v>
      </c>
    </row>
    <row r="882" spans="1:14" hidden="1" x14ac:dyDescent="0.35">
      <c r="A882" t="s">
        <v>226</v>
      </c>
      <c r="B882" t="s">
        <v>37</v>
      </c>
      <c r="C882" t="s">
        <v>205</v>
      </c>
      <c r="D882" t="s">
        <v>205</v>
      </c>
      <c r="E882" t="s">
        <v>657</v>
      </c>
      <c r="F882" t="s">
        <v>581</v>
      </c>
      <c r="G882" t="s">
        <v>25</v>
      </c>
      <c r="H882">
        <v>0.17615890000000001</v>
      </c>
      <c r="I882">
        <v>0.1585288</v>
      </c>
      <c r="J882">
        <v>0.14223830000000001</v>
      </c>
      <c r="K882">
        <v>0.12801100000000001</v>
      </c>
      <c r="L882">
        <v>0.1152082</v>
      </c>
      <c r="M882">
        <v>0.1039562</v>
      </c>
      <c r="N882">
        <v>9.3287720000000005E-2</v>
      </c>
    </row>
    <row r="883" spans="1:14" hidden="1" x14ac:dyDescent="0.35">
      <c r="A883" t="s">
        <v>226</v>
      </c>
      <c r="B883" t="s">
        <v>37</v>
      </c>
      <c r="C883" t="s">
        <v>205</v>
      </c>
      <c r="D883" t="s">
        <v>205</v>
      </c>
      <c r="E883" t="s">
        <v>657</v>
      </c>
      <c r="F883" t="s">
        <v>26</v>
      </c>
      <c r="G883" t="s">
        <v>26</v>
      </c>
      <c r="H883">
        <v>0.1435343</v>
      </c>
      <c r="I883">
        <v>0.1291726</v>
      </c>
      <c r="J883">
        <v>0.1158986</v>
      </c>
      <c r="K883">
        <v>0.10430689999999999</v>
      </c>
      <c r="L883">
        <v>9.3873970000000001E-2</v>
      </c>
      <c r="M883">
        <v>8.4704109999999999E-2</v>
      </c>
      <c r="N883">
        <v>7.601368E-2</v>
      </c>
    </row>
    <row r="884" spans="1:14" hidden="1" x14ac:dyDescent="0.35">
      <c r="A884" t="s">
        <v>226</v>
      </c>
      <c r="B884" t="s">
        <v>37</v>
      </c>
      <c r="C884" t="s">
        <v>109</v>
      </c>
      <c r="D884" t="s">
        <v>109</v>
      </c>
      <c r="E884" t="s">
        <v>584</v>
      </c>
      <c r="F884" t="s">
        <v>581</v>
      </c>
      <c r="G884" t="s">
        <v>396</v>
      </c>
      <c r="H884">
        <v>0</v>
      </c>
      <c r="I884">
        <v>4.4636980000000003E-3</v>
      </c>
      <c r="J884">
        <v>2.9952059999999998E-3</v>
      </c>
      <c r="K884">
        <v>2.0075340000000001E-3</v>
      </c>
      <c r="L884">
        <v>1.35137E-3</v>
      </c>
      <c r="M884">
        <v>9.054795E-4</v>
      </c>
      <c r="N884">
        <v>6.0684930000000001E-4</v>
      </c>
    </row>
    <row r="885" spans="1:14" hidden="1" x14ac:dyDescent="0.35">
      <c r="A885" t="s">
        <v>226</v>
      </c>
      <c r="B885" t="s">
        <v>37</v>
      </c>
      <c r="C885" t="s">
        <v>109</v>
      </c>
      <c r="D885" t="s">
        <v>109</v>
      </c>
      <c r="E885" t="s">
        <v>584</v>
      </c>
      <c r="F885" t="s">
        <v>581</v>
      </c>
      <c r="G885" t="s">
        <v>24</v>
      </c>
      <c r="H885">
        <v>2.5054110000000001E-2</v>
      </c>
      <c r="I885">
        <v>2.398699E-2</v>
      </c>
      <c r="J885">
        <v>2.2965070000000001E-2</v>
      </c>
      <c r="K885">
        <v>2.19863E-2</v>
      </c>
      <c r="L885">
        <v>2.1049999999999999E-2</v>
      </c>
      <c r="M885">
        <v>2.0153419999999998E-2</v>
      </c>
      <c r="N885">
        <v>1.9294519999999999E-2</v>
      </c>
    </row>
    <row r="886" spans="1:14" hidden="1" x14ac:dyDescent="0.35">
      <c r="A886" t="s">
        <v>226</v>
      </c>
      <c r="B886" t="s">
        <v>37</v>
      </c>
      <c r="C886" t="s">
        <v>109</v>
      </c>
      <c r="D886" t="s">
        <v>109</v>
      </c>
      <c r="E886" t="s">
        <v>584</v>
      </c>
      <c r="F886" t="s">
        <v>581</v>
      </c>
      <c r="G886" t="s">
        <v>25</v>
      </c>
      <c r="H886">
        <v>9.239726E-4</v>
      </c>
      <c r="I886">
        <v>9.0205470000000003E-4</v>
      </c>
      <c r="J886">
        <v>8.7739730000000002E-4</v>
      </c>
      <c r="K886">
        <v>8.5479450000000004E-4</v>
      </c>
      <c r="L886">
        <v>8.3219170000000005E-4</v>
      </c>
      <c r="M886">
        <v>8.1095889999999995E-4</v>
      </c>
      <c r="N886">
        <v>7.8972600000000003E-4</v>
      </c>
    </row>
    <row r="887" spans="1:14" hidden="1" x14ac:dyDescent="0.35">
      <c r="A887" t="s">
        <v>226</v>
      </c>
      <c r="B887" t="s">
        <v>37</v>
      </c>
      <c r="C887" t="s">
        <v>109</v>
      </c>
      <c r="D887" t="s">
        <v>109</v>
      </c>
      <c r="E887" t="s">
        <v>584</v>
      </c>
      <c r="F887" t="s">
        <v>26</v>
      </c>
      <c r="G887" t="s">
        <v>26</v>
      </c>
      <c r="H887">
        <v>1.548562E-2</v>
      </c>
      <c r="I887">
        <v>1.467123E-2</v>
      </c>
      <c r="J887">
        <v>1.40363E-2</v>
      </c>
      <c r="K887">
        <v>1.352808E-2</v>
      </c>
      <c r="L887">
        <v>1.310479E-2</v>
      </c>
      <c r="M887">
        <v>1.2741779999999999E-2</v>
      </c>
      <c r="N887">
        <v>1.226986E-2</v>
      </c>
    </row>
    <row r="888" spans="1:14" hidden="1" x14ac:dyDescent="0.35">
      <c r="A888" t="s">
        <v>226</v>
      </c>
      <c r="B888" t="s">
        <v>37</v>
      </c>
      <c r="C888" t="s">
        <v>61</v>
      </c>
      <c r="D888" t="s">
        <v>62</v>
      </c>
      <c r="E888" t="s">
        <v>584</v>
      </c>
      <c r="F888" t="s">
        <v>581</v>
      </c>
      <c r="G888" t="s">
        <v>396</v>
      </c>
      <c r="H888">
        <v>6.0273239999999999E-2</v>
      </c>
      <c r="I888">
        <v>4.0402590000000002E-2</v>
      </c>
      <c r="J888">
        <v>0</v>
      </c>
    </row>
    <row r="889" spans="1:14" hidden="1" x14ac:dyDescent="0.35">
      <c r="A889" t="s">
        <v>226</v>
      </c>
      <c r="B889" t="s">
        <v>37</v>
      </c>
      <c r="C889" t="s">
        <v>61</v>
      </c>
      <c r="D889" t="s">
        <v>62</v>
      </c>
      <c r="E889" t="s">
        <v>584</v>
      </c>
      <c r="F889" t="s">
        <v>581</v>
      </c>
      <c r="G889" t="s">
        <v>25</v>
      </c>
      <c r="H889">
        <v>2.7667630000000002E-3</v>
      </c>
      <c r="I889">
        <v>1.852425E-3</v>
      </c>
      <c r="J889">
        <v>0</v>
      </c>
    </row>
    <row r="890" spans="1:14" hidden="1" x14ac:dyDescent="0.35">
      <c r="A890" t="s">
        <v>226</v>
      </c>
      <c r="B890" t="s">
        <v>37</v>
      </c>
      <c r="C890" t="s">
        <v>61</v>
      </c>
      <c r="D890" t="s">
        <v>62</v>
      </c>
      <c r="E890" t="s">
        <v>584</v>
      </c>
      <c r="F890" t="s">
        <v>26</v>
      </c>
      <c r="G890" t="s">
        <v>26</v>
      </c>
      <c r="H890">
        <v>1.2730399999999999E-2</v>
      </c>
      <c r="I890">
        <v>8.5332129999999996E-3</v>
      </c>
      <c r="J890">
        <v>0</v>
      </c>
    </row>
    <row r="891" spans="1:14" hidden="1" x14ac:dyDescent="0.35">
      <c r="A891" t="s">
        <v>226</v>
      </c>
      <c r="B891" t="s">
        <v>37</v>
      </c>
      <c r="C891" t="s">
        <v>118</v>
      </c>
      <c r="D891" t="s">
        <v>118</v>
      </c>
      <c r="E891" t="s">
        <v>584</v>
      </c>
      <c r="F891" t="s">
        <v>581</v>
      </c>
      <c r="G891" t="s">
        <v>396</v>
      </c>
      <c r="H891">
        <v>8.3561639999999999E-4</v>
      </c>
      <c r="I891">
        <v>8.3835620000000002E-4</v>
      </c>
      <c r="J891">
        <v>8.3835620000000002E-4</v>
      </c>
      <c r="K891">
        <v>8.3835620000000002E-4</v>
      </c>
      <c r="L891">
        <v>8.3835620000000002E-4</v>
      </c>
      <c r="M891">
        <v>8.3835620000000002E-4</v>
      </c>
      <c r="N891">
        <v>8.3835620000000002E-4</v>
      </c>
    </row>
    <row r="892" spans="1:14" hidden="1" x14ac:dyDescent="0.35">
      <c r="A892" t="s">
        <v>226</v>
      </c>
      <c r="B892" t="s">
        <v>43</v>
      </c>
      <c r="C892" t="s">
        <v>42</v>
      </c>
      <c r="D892" t="s">
        <v>42</v>
      </c>
      <c r="E892" t="s">
        <v>584</v>
      </c>
      <c r="F892" t="s">
        <v>581</v>
      </c>
      <c r="G892" t="s">
        <v>24</v>
      </c>
      <c r="H892">
        <v>15.62792</v>
      </c>
      <c r="I892">
        <v>13.7743</v>
      </c>
      <c r="J892">
        <v>14.47509</v>
      </c>
      <c r="K892">
        <v>13.58581</v>
      </c>
      <c r="L892">
        <v>12.49422</v>
      </c>
      <c r="M892">
        <v>11.5824</v>
      </c>
      <c r="N892">
        <v>12.321960000000001</v>
      </c>
    </row>
    <row r="893" spans="1:14" hidden="1" x14ac:dyDescent="0.35">
      <c r="A893" t="s">
        <v>226</v>
      </c>
      <c r="B893" t="s">
        <v>43</v>
      </c>
      <c r="C893" t="s">
        <v>42</v>
      </c>
      <c r="D893" t="s">
        <v>42</v>
      </c>
      <c r="E893" t="s">
        <v>584</v>
      </c>
      <c r="F893" t="s">
        <v>581</v>
      </c>
      <c r="G893" t="s">
        <v>25</v>
      </c>
      <c r="H893">
        <v>9.4339999999999993</v>
      </c>
      <c r="I893">
        <v>8.3194199999999991</v>
      </c>
      <c r="J893">
        <v>8.7412379999999992</v>
      </c>
      <c r="K893">
        <v>8.2059329999999999</v>
      </c>
      <c r="L893">
        <v>7.5521370000000001</v>
      </c>
      <c r="M893">
        <v>6.9707749999999997</v>
      </c>
      <c r="N893">
        <v>6.3944570000000001</v>
      </c>
    </row>
    <row r="894" spans="1:14" hidden="1" x14ac:dyDescent="0.35">
      <c r="A894" t="s">
        <v>226</v>
      </c>
      <c r="B894" t="s">
        <v>43</v>
      </c>
      <c r="C894" t="s">
        <v>42</v>
      </c>
      <c r="D894" t="s">
        <v>42</v>
      </c>
      <c r="E894" t="s">
        <v>584</v>
      </c>
      <c r="F894" t="s">
        <v>26</v>
      </c>
      <c r="G894" t="s">
        <v>26</v>
      </c>
      <c r="H894">
        <v>59.704459999999997</v>
      </c>
      <c r="I894">
        <v>52.699950000000001</v>
      </c>
      <c r="J894">
        <v>55.355710000000002</v>
      </c>
      <c r="K894">
        <v>51.985030000000002</v>
      </c>
      <c r="L894">
        <v>47.828299999999999</v>
      </c>
      <c r="M894">
        <v>44.211100000000002</v>
      </c>
      <c r="N894">
        <v>43.677930000000003</v>
      </c>
    </row>
    <row r="895" spans="1:14" hidden="1" x14ac:dyDescent="0.35">
      <c r="A895" t="s">
        <v>226</v>
      </c>
      <c r="B895" t="s">
        <v>43</v>
      </c>
      <c r="C895" t="s">
        <v>229</v>
      </c>
      <c r="D895" t="s">
        <v>229</v>
      </c>
      <c r="E895" t="s">
        <v>584</v>
      </c>
      <c r="F895" t="s">
        <v>26</v>
      </c>
      <c r="G895" t="s">
        <v>26</v>
      </c>
      <c r="H895">
        <v>0</v>
      </c>
      <c r="I895">
        <v>0</v>
      </c>
      <c r="J895">
        <v>0</v>
      </c>
      <c r="K895">
        <v>0</v>
      </c>
      <c r="L895">
        <v>0</v>
      </c>
      <c r="M895">
        <v>0</v>
      </c>
      <c r="N895">
        <v>0</v>
      </c>
    </row>
    <row r="896" spans="1:14" hidden="1" x14ac:dyDescent="0.35">
      <c r="A896" t="s">
        <v>268</v>
      </c>
      <c r="B896" t="s">
        <v>37</v>
      </c>
      <c r="C896" t="s">
        <v>51</v>
      </c>
      <c r="D896" t="s">
        <v>51</v>
      </c>
      <c r="E896" t="s">
        <v>602</v>
      </c>
      <c r="F896" t="s">
        <v>581</v>
      </c>
      <c r="G896" t="s">
        <v>396</v>
      </c>
      <c r="H896">
        <v>148.4657</v>
      </c>
      <c r="I896">
        <v>136.8081</v>
      </c>
      <c r="J896">
        <v>157.7714</v>
      </c>
      <c r="K896">
        <v>135.3391</v>
      </c>
      <c r="L896">
        <v>106.88160000000001</v>
      </c>
      <c r="M896">
        <v>98.891639999999995</v>
      </c>
      <c r="N896">
        <v>100.1767</v>
      </c>
    </row>
    <row r="897" spans="1:14" hidden="1" x14ac:dyDescent="0.35">
      <c r="A897" t="s">
        <v>268</v>
      </c>
      <c r="B897" t="s">
        <v>37</v>
      </c>
      <c r="C897" t="s">
        <v>51</v>
      </c>
      <c r="D897" t="s">
        <v>51</v>
      </c>
      <c r="E897" t="s">
        <v>602</v>
      </c>
      <c r="F897" t="s">
        <v>581</v>
      </c>
      <c r="G897" t="s">
        <v>25</v>
      </c>
      <c r="H897">
        <v>37.772590000000001</v>
      </c>
      <c r="I897">
        <v>35.679600000000001</v>
      </c>
      <c r="J897">
        <v>42.104210000000002</v>
      </c>
      <c r="K897">
        <v>36.271509999999999</v>
      </c>
      <c r="L897">
        <v>28.57039</v>
      </c>
      <c r="M897">
        <v>26.520759999999999</v>
      </c>
      <c r="N897">
        <v>27.038679999999999</v>
      </c>
    </row>
    <row r="898" spans="1:14" hidden="1" x14ac:dyDescent="0.35">
      <c r="A898" t="s">
        <v>268</v>
      </c>
      <c r="B898" t="s">
        <v>37</v>
      </c>
      <c r="C898" t="s">
        <v>51</v>
      </c>
      <c r="D898" t="s">
        <v>51</v>
      </c>
      <c r="E898" t="s">
        <v>602</v>
      </c>
      <c r="F898" t="s">
        <v>26</v>
      </c>
      <c r="G898" t="s">
        <v>26</v>
      </c>
      <c r="H898">
        <v>29.908359999999998</v>
      </c>
      <c r="I898">
        <v>28.339569999999998</v>
      </c>
      <c r="J898">
        <v>33.125</v>
      </c>
      <c r="K898">
        <v>28.51566</v>
      </c>
      <c r="L898">
        <v>22.477609999999999</v>
      </c>
      <c r="M898">
        <v>20.839559999999999</v>
      </c>
      <c r="N898">
        <v>21.207740000000001</v>
      </c>
    </row>
    <row r="899" spans="1:14" hidden="1" x14ac:dyDescent="0.35">
      <c r="A899" t="s">
        <v>268</v>
      </c>
      <c r="B899" t="s">
        <v>37</v>
      </c>
      <c r="C899" t="s">
        <v>51</v>
      </c>
      <c r="D899" t="s">
        <v>51</v>
      </c>
      <c r="E899" t="s">
        <v>584</v>
      </c>
      <c r="F899" t="s">
        <v>581</v>
      </c>
      <c r="G899" t="s">
        <v>396</v>
      </c>
      <c r="H899">
        <v>6.4328760000000003</v>
      </c>
      <c r="I899">
        <v>5.703792</v>
      </c>
      <c r="J899">
        <v>5.1215120000000001</v>
      </c>
      <c r="K899">
        <v>4.6092899999999997</v>
      </c>
      <c r="L899">
        <v>4.1482979999999996</v>
      </c>
      <c r="M899">
        <v>3.7431100000000002</v>
      </c>
      <c r="N899">
        <v>3.3590490000000002</v>
      </c>
    </row>
    <row r="900" spans="1:14" hidden="1" x14ac:dyDescent="0.35">
      <c r="A900" t="s">
        <v>268</v>
      </c>
      <c r="B900" t="s">
        <v>37</v>
      </c>
      <c r="C900" t="s">
        <v>51</v>
      </c>
      <c r="D900" t="s">
        <v>51</v>
      </c>
      <c r="E900" t="s">
        <v>584</v>
      </c>
      <c r="F900" t="s">
        <v>26</v>
      </c>
      <c r="G900" t="s">
        <v>26</v>
      </c>
      <c r="H900">
        <v>0.25616440000000001</v>
      </c>
      <c r="I900">
        <v>0.20216709999999999</v>
      </c>
      <c r="J900">
        <v>0.18142469999999999</v>
      </c>
      <c r="K900">
        <v>0.16327949999999999</v>
      </c>
      <c r="L900">
        <v>0.14694789999999999</v>
      </c>
      <c r="M900">
        <v>0.1325945</v>
      </c>
      <c r="N900">
        <v>0.118989</v>
      </c>
    </row>
    <row r="901" spans="1:14" hidden="1" x14ac:dyDescent="0.35">
      <c r="A901" t="s">
        <v>268</v>
      </c>
      <c r="B901" t="s">
        <v>37</v>
      </c>
      <c r="C901" t="s">
        <v>105</v>
      </c>
      <c r="D901" t="s">
        <v>105</v>
      </c>
      <c r="E901" t="s">
        <v>619</v>
      </c>
      <c r="F901" t="s">
        <v>581</v>
      </c>
      <c r="G901" t="s">
        <v>396</v>
      </c>
      <c r="H901">
        <v>11.82709</v>
      </c>
      <c r="I901">
        <v>13.440910000000001</v>
      </c>
      <c r="J901">
        <v>11.70392</v>
      </c>
      <c r="K901">
        <v>9.3989440000000002</v>
      </c>
      <c r="L901">
        <v>8.2648919999999997</v>
      </c>
      <c r="M901">
        <v>7.7236510000000003</v>
      </c>
      <c r="N901">
        <v>7.2845820000000003</v>
      </c>
    </row>
    <row r="902" spans="1:14" hidden="1" x14ac:dyDescent="0.35">
      <c r="A902" t="s">
        <v>268</v>
      </c>
      <c r="B902" t="s">
        <v>37</v>
      </c>
      <c r="C902" t="s">
        <v>105</v>
      </c>
      <c r="D902" t="s">
        <v>105</v>
      </c>
      <c r="E902" t="s">
        <v>619</v>
      </c>
      <c r="F902" t="s">
        <v>581</v>
      </c>
      <c r="G902" t="s">
        <v>24</v>
      </c>
      <c r="H902">
        <v>8.4041859999999993</v>
      </c>
      <c r="I902">
        <v>10.50421</v>
      </c>
      <c r="J902">
        <v>9.4541330000000006</v>
      </c>
      <c r="K902">
        <v>7.8559890000000001</v>
      </c>
      <c r="L902">
        <v>7.1359240000000002</v>
      </c>
      <c r="M902">
        <v>6.9183890000000003</v>
      </c>
      <c r="N902">
        <v>6.8739090000000003</v>
      </c>
    </row>
    <row r="903" spans="1:14" hidden="1" x14ac:dyDescent="0.35">
      <c r="A903" t="s">
        <v>268</v>
      </c>
      <c r="B903" t="s">
        <v>37</v>
      </c>
      <c r="C903" t="s">
        <v>105</v>
      </c>
      <c r="D903" t="s">
        <v>105</v>
      </c>
      <c r="E903" t="s">
        <v>619</v>
      </c>
      <c r="F903" t="s">
        <v>581</v>
      </c>
      <c r="G903" t="s">
        <v>25</v>
      </c>
      <c r="H903">
        <v>26.71124</v>
      </c>
      <c r="I903">
        <v>29.836359999999999</v>
      </c>
      <c r="J903">
        <v>26.5688</v>
      </c>
      <c r="K903">
        <v>22.150230000000001</v>
      </c>
      <c r="L903">
        <v>20.188610000000001</v>
      </c>
      <c r="M903">
        <v>19.63212</v>
      </c>
      <c r="N903">
        <v>19.586839999999999</v>
      </c>
    </row>
    <row r="904" spans="1:14" hidden="1" x14ac:dyDescent="0.35">
      <c r="A904" t="s">
        <v>268</v>
      </c>
      <c r="B904" t="s">
        <v>37</v>
      </c>
      <c r="C904" t="s">
        <v>105</v>
      </c>
      <c r="D904" t="s">
        <v>105</v>
      </c>
      <c r="E904" t="s">
        <v>619</v>
      </c>
      <c r="F904" t="s">
        <v>26</v>
      </c>
      <c r="G904" t="s">
        <v>26</v>
      </c>
      <c r="H904">
        <v>30.599450000000001</v>
      </c>
      <c r="I904">
        <v>34.102339999999998</v>
      </c>
      <c r="J904">
        <v>30.399069999999998</v>
      </c>
      <c r="K904">
        <v>25.57602</v>
      </c>
      <c r="L904">
        <v>24.210560000000001</v>
      </c>
      <c r="M904">
        <v>23.265429999999999</v>
      </c>
      <c r="N904">
        <v>22.97728</v>
      </c>
    </row>
    <row r="905" spans="1:14" hidden="1" x14ac:dyDescent="0.35">
      <c r="A905" t="s">
        <v>268</v>
      </c>
      <c r="B905" t="s">
        <v>37</v>
      </c>
      <c r="C905" t="s">
        <v>105</v>
      </c>
      <c r="D905" t="s">
        <v>105</v>
      </c>
      <c r="E905" t="s">
        <v>632</v>
      </c>
      <c r="F905" t="s">
        <v>581</v>
      </c>
      <c r="G905" t="s">
        <v>396</v>
      </c>
      <c r="H905">
        <v>10.17863</v>
      </c>
      <c r="I905">
        <v>9.8165969999999998</v>
      </c>
      <c r="J905">
        <v>9.3346520000000002</v>
      </c>
      <c r="K905">
        <v>7.643078</v>
      </c>
      <c r="L905">
        <v>7.1530230000000001</v>
      </c>
      <c r="M905">
        <v>7.5269870000000001</v>
      </c>
      <c r="N905">
        <v>9.0703600000000009</v>
      </c>
    </row>
    <row r="906" spans="1:14" hidden="1" x14ac:dyDescent="0.35">
      <c r="A906" t="s">
        <v>268</v>
      </c>
      <c r="B906" t="s">
        <v>37</v>
      </c>
      <c r="C906" t="s">
        <v>105</v>
      </c>
      <c r="D906" t="s">
        <v>105</v>
      </c>
      <c r="E906" t="s">
        <v>632</v>
      </c>
      <c r="F906" t="s">
        <v>581</v>
      </c>
      <c r="G906" t="s">
        <v>25</v>
      </c>
      <c r="H906">
        <v>18.463560000000001</v>
      </c>
      <c r="I906">
        <v>13.14584</v>
      </c>
      <c r="J906">
        <v>12.446199999999999</v>
      </c>
      <c r="K906">
        <v>10.190770000000001</v>
      </c>
      <c r="L906">
        <v>9.5373669999999997</v>
      </c>
      <c r="M906">
        <v>10.03598</v>
      </c>
      <c r="N906">
        <v>12.09381</v>
      </c>
    </row>
    <row r="907" spans="1:14" hidden="1" x14ac:dyDescent="0.35">
      <c r="A907" t="s">
        <v>268</v>
      </c>
      <c r="B907" t="s">
        <v>37</v>
      </c>
      <c r="C907" t="s">
        <v>105</v>
      </c>
      <c r="D907" t="s">
        <v>105</v>
      </c>
      <c r="E907" t="s">
        <v>632</v>
      </c>
      <c r="F907" t="s">
        <v>26</v>
      </c>
      <c r="G907" t="s">
        <v>26</v>
      </c>
      <c r="H907">
        <v>14.28603</v>
      </c>
      <c r="I907">
        <v>9.8593779999999995</v>
      </c>
      <c r="J907">
        <v>9.3346509999999991</v>
      </c>
      <c r="K907">
        <v>7.643078</v>
      </c>
      <c r="L907">
        <v>7.1530230000000001</v>
      </c>
      <c r="M907">
        <v>7.5269870000000001</v>
      </c>
      <c r="N907">
        <v>9.0703589999999998</v>
      </c>
    </row>
    <row r="908" spans="1:14" hidden="1" x14ac:dyDescent="0.35">
      <c r="A908" t="s">
        <v>268</v>
      </c>
      <c r="B908" t="s">
        <v>37</v>
      </c>
      <c r="C908" t="s">
        <v>105</v>
      </c>
      <c r="D908" t="s">
        <v>105</v>
      </c>
      <c r="E908" t="s">
        <v>656</v>
      </c>
      <c r="F908" t="s">
        <v>581</v>
      </c>
      <c r="G908" t="s">
        <v>396</v>
      </c>
      <c r="H908">
        <v>7.5923290000000003</v>
      </c>
      <c r="I908">
        <v>8.0241469999999993</v>
      </c>
      <c r="J908">
        <v>8.6215410000000006</v>
      </c>
      <c r="K908">
        <v>7.4976120000000002</v>
      </c>
      <c r="L908">
        <v>7.0704799999999999</v>
      </c>
      <c r="M908">
        <v>7.1938719999999998</v>
      </c>
      <c r="N908">
        <v>7.0209700000000002</v>
      </c>
    </row>
    <row r="909" spans="1:14" hidden="1" x14ac:dyDescent="0.35">
      <c r="A909" t="s">
        <v>268</v>
      </c>
      <c r="B909" t="s">
        <v>37</v>
      </c>
      <c r="C909" t="s">
        <v>105</v>
      </c>
      <c r="D909" t="s">
        <v>105</v>
      </c>
      <c r="E909" t="s">
        <v>656</v>
      </c>
      <c r="F909" t="s">
        <v>581</v>
      </c>
      <c r="G909" t="s">
        <v>24</v>
      </c>
      <c r="H909">
        <v>2.8471229999999998</v>
      </c>
      <c r="I909">
        <v>3.0090539999999999</v>
      </c>
      <c r="J909">
        <v>3.2330779999999999</v>
      </c>
      <c r="K909">
        <v>2.81576</v>
      </c>
      <c r="L909">
        <v>2.7274050000000001</v>
      </c>
      <c r="M909">
        <v>2.7521040000000001</v>
      </c>
      <c r="N909">
        <v>2.6699359999999999</v>
      </c>
    </row>
    <row r="910" spans="1:14" hidden="1" x14ac:dyDescent="0.35">
      <c r="A910" t="s">
        <v>268</v>
      </c>
      <c r="B910" t="s">
        <v>37</v>
      </c>
      <c r="C910" t="s">
        <v>105</v>
      </c>
      <c r="D910" t="s">
        <v>105</v>
      </c>
      <c r="E910" t="s">
        <v>656</v>
      </c>
      <c r="F910" t="s">
        <v>581</v>
      </c>
      <c r="G910" t="s">
        <v>25</v>
      </c>
      <c r="H910">
        <v>4.2542499999999999</v>
      </c>
      <c r="I910">
        <v>4.4144290000000002</v>
      </c>
      <c r="J910">
        <v>4.7418459999999998</v>
      </c>
      <c r="K910">
        <v>4.1299210000000004</v>
      </c>
      <c r="L910">
        <v>4.0027229999999996</v>
      </c>
      <c r="M910">
        <v>4.0382340000000001</v>
      </c>
      <c r="N910">
        <v>3.917141</v>
      </c>
    </row>
    <row r="911" spans="1:14" hidden="1" x14ac:dyDescent="0.35">
      <c r="A911" t="s">
        <v>268</v>
      </c>
      <c r="B911" t="s">
        <v>37</v>
      </c>
      <c r="C911" t="s">
        <v>105</v>
      </c>
      <c r="D911" t="s">
        <v>105</v>
      </c>
      <c r="E911" t="s">
        <v>656</v>
      </c>
      <c r="F911" t="s">
        <v>26</v>
      </c>
      <c r="G911" t="s">
        <v>26</v>
      </c>
      <c r="H911">
        <v>4.4690409999999998</v>
      </c>
      <c r="I911">
        <v>4.6150830000000003</v>
      </c>
      <c r="J911">
        <v>4.9573859999999996</v>
      </c>
      <c r="K911">
        <v>4.3215199999999996</v>
      </c>
      <c r="L911">
        <v>4.2554639999999999</v>
      </c>
      <c r="M911">
        <v>4.2724729999999997</v>
      </c>
      <c r="N911">
        <v>4.1297370000000004</v>
      </c>
    </row>
    <row r="912" spans="1:14" hidden="1" x14ac:dyDescent="0.35">
      <c r="A912" t="s">
        <v>268</v>
      </c>
      <c r="B912" t="s">
        <v>37</v>
      </c>
      <c r="C912" t="s">
        <v>105</v>
      </c>
      <c r="D912" t="s">
        <v>105</v>
      </c>
      <c r="E912" t="s">
        <v>633</v>
      </c>
      <c r="F912" t="s">
        <v>581</v>
      </c>
      <c r="G912" t="s">
        <v>24</v>
      </c>
      <c r="H912">
        <v>0.92482189999999997</v>
      </c>
      <c r="I912">
        <v>0.96125780000000005</v>
      </c>
      <c r="J912">
        <v>1.0471779999999999</v>
      </c>
      <c r="K912">
        <v>1.0388580000000001</v>
      </c>
      <c r="L912">
        <v>0.94850190000000001</v>
      </c>
      <c r="M912">
        <v>0.78427610000000003</v>
      </c>
      <c r="N912">
        <v>0.62683009999999995</v>
      </c>
    </row>
    <row r="913" spans="1:14" hidden="1" x14ac:dyDescent="0.35">
      <c r="A913" t="s">
        <v>268</v>
      </c>
      <c r="B913" t="s">
        <v>37</v>
      </c>
      <c r="C913" t="s">
        <v>105</v>
      </c>
      <c r="D913" t="s">
        <v>105</v>
      </c>
      <c r="E913" t="s">
        <v>633</v>
      </c>
      <c r="F913" t="s">
        <v>581</v>
      </c>
      <c r="G913" t="s">
        <v>25</v>
      </c>
      <c r="H913">
        <v>2.132603</v>
      </c>
      <c r="I913">
        <v>1.8123469999999999</v>
      </c>
      <c r="J913">
        <v>1.944763</v>
      </c>
      <c r="K913">
        <v>1.929303</v>
      </c>
      <c r="L913">
        <v>1.7615000000000001</v>
      </c>
      <c r="M913">
        <v>1.4565030000000001</v>
      </c>
      <c r="N913">
        <v>1.1641109999999999</v>
      </c>
    </row>
    <row r="914" spans="1:14" hidden="1" x14ac:dyDescent="0.35">
      <c r="A914" t="s">
        <v>268</v>
      </c>
      <c r="B914" t="s">
        <v>37</v>
      </c>
      <c r="C914" t="s">
        <v>105</v>
      </c>
      <c r="D914" t="s">
        <v>105</v>
      </c>
      <c r="E914" t="s">
        <v>633</v>
      </c>
      <c r="F914" t="s">
        <v>26</v>
      </c>
      <c r="G914" t="s">
        <v>26</v>
      </c>
      <c r="H914">
        <v>13.36548</v>
      </c>
      <c r="I914">
        <v>11.152889999999999</v>
      </c>
      <c r="J914">
        <v>11.967750000000001</v>
      </c>
      <c r="K914">
        <v>11.872669999999999</v>
      </c>
      <c r="L914">
        <v>10.840009999999999</v>
      </c>
      <c r="M914">
        <v>8.9631399999999992</v>
      </c>
      <c r="N914">
        <v>7.1637700000000004</v>
      </c>
    </row>
    <row r="915" spans="1:14" hidden="1" x14ac:dyDescent="0.35">
      <c r="A915" t="s">
        <v>268</v>
      </c>
      <c r="B915" t="s">
        <v>37</v>
      </c>
      <c r="C915" t="s">
        <v>105</v>
      </c>
      <c r="D915" t="s">
        <v>105</v>
      </c>
      <c r="E915" t="s">
        <v>584</v>
      </c>
      <c r="F915" t="s">
        <v>581</v>
      </c>
      <c r="G915" t="s">
        <v>25</v>
      </c>
      <c r="H915">
        <v>8.548219E-2</v>
      </c>
      <c r="I915">
        <v>6.8452059999999995E-2</v>
      </c>
      <c r="J915">
        <v>6.1432880000000002E-2</v>
      </c>
      <c r="K915">
        <v>5.5287669999999997E-2</v>
      </c>
      <c r="L915">
        <v>4.9756170000000002E-2</v>
      </c>
      <c r="M915">
        <v>4.4898630000000002E-2</v>
      </c>
      <c r="N915">
        <v>4.0290409999999999E-2</v>
      </c>
    </row>
    <row r="916" spans="1:14" hidden="1" x14ac:dyDescent="0.35">
      <c r="A916" t="s">
        <v>268</v>
      </c>
      <c r="B916" t="s">
        <v>37</v>
      </c>
      <c r="C916" t="s">
        <v>105</v>
      </c>
      <c r="D916" t="s">
        <v>105</v>
      </c>
      <c r="E916" t="s">
        <v>584</v>
      </c>
      <c r="F916" t="s">
        <v>26</v>
      </c>
      <c r="G916" t="s">
        <v>26</v>
      </c>
      <c r="H916">
        <v>0.61369870000000004</v>
      </c>
      <c r="I916">
        <v>0.39345200000000002</v>
      </c>
      <c r="J916">
        <v>0.35308220000000001</v>
      </c>
      <c r="K916">
        <v>0.31776710000000002</v>
      </c>
      <c r="L916">
        <v>0.28598630000000003</v>
      </c>
      <c r="M916">
        <v>0.25805210000000001</v>
      </c>
      <c r="N916">
        <v>0.23157530000000001</v>
      </c>
    </row>
    <row r="917" spans="1:14" hidden="1" x14ac:dyDescent="0.35">
      <c r="A917" t="s">
        <v>268</v>
      </c>
      <c r="B917" t="s">
        <v>37</v>
      </c>
      <c r="C917" t="s">
        <v>105</v>
      </c>
      <c r="D917" t="s">
        <v>105</v>
      </c>
      <c r="E917" t="s">
        <v>658</v>
      </c>
      <c r="F917" t="s">
        <v>581</v>
      </c>
      <c r="G917" t="s">
        <v>25</v>
      </c>
      <c r="H917">
        <v>0</v>
      </c>
      <c r="I917">
        <v>7.6712329999999997E-4</v>
      </c>
      <c r="J917">
        <v>6.8493150000000001E-4</v>
      </c>
      <c r="K917">
        <v>6.1917809999999999E-4</v>
      </c>
      <c r="L917">
        <v>5.5616439999999997E-4</v>
      </c>
      <c r="M917">
        <v>5.0136989999999997E-4</v>
      </c>
      <c r="N917">
        <v>4.4657529999999999E-4</v>
      </c>
    </row>
    <row r="918" spans="1:14" hidden="1" x14ac:dyDescent="0.35">
      <c r="A918" t="s">
        <v>268</v>
      </c>
      <c r="B918" t="s">
        <v>37</v>
      </c>
      <c r="C918" t="s">
        <v>105</v>
      </c>
      <c r="D918" t="s">
        <v>105</v>
      </c>
      <c r="E918" t="s">
        <v>658</v>
      </c>
      <c r="F918" t="s">
        <v>26</v>
      </c>
      <c r="G918" t="s">
        <v>26</v>
      </c>
      <c r="H918">
        <v>1.8082190000000001E-2</v>
      </c>
      <c r="I918">
        <v>1.449863E-2</v>
      </c>
      <c r="J918">
        <v>1.30137E-2</v>
      </c>
      <c r="K918">
        <v>1.1709590000000001E-2</v>
      </c>
      <c r="L918">
        <v>1.0539730000000001E-2</v>
      </c>
      <c r="M918">
        <v>9.5095900000000001E-3</v>
      </c>
      <c r="N918">
        <v>8.534247E-3</v>
      </c>
    </row>
    <row r="919" spans="1:14" hidden="1" x14ac:dyDescent="0.35">
      <c r="A919" t="s">
        <v>268</v>
      </c>
      <c r="B919" t="s">
        <v>37</v>
      </c>
      <c r="C919" t="s">
        <v>86</v>
      </c>
      <c r="D919" t="s">
        <v>86</v>
      </c>
      <c r="E919" t="s">
        <v>619</v>
      </c>
      <c r="F919" t="s">
        <v>581</v>
      </c>
      <c r="G919" t="s">
        <v>24</v>
      </c>
      <c r="H919">
        <v>0.68245480000000003</v>
      </c>
      <c r="I919">
        <v>0.92057290000000003</v>
      </c>
      <c r="J919">
        <v>0.98705180000000003</v>
      </c>
      <c r="K919">
        <v>0.96328130000000001</v>
      </c>
      <c r="L919">
        <v>1.001744</v>
      </c>
      <c r="M919">
        <v>0.95999860000000004</v>
      </c>
      <c r="N919">
        <v>0.92715860000000005</v>
      </c>
    </row>
    <row r="920" spans="1:14" hidden="1" x14ac:dyDescent="0.35">
      <c r="A920" t="s">
        <v>268</v>
      </c>
      <c r="B920" t="s">
        <v>37</v>
      </c>
      <c r="C920" t="s">
        <v>86</v>
      </c>
      <c r="D920" t="s">
        <v>86</v>
      </c>
      <c r="E920" t="s">
        <v>619</v>
      </c>
      <c r="F920" t="s">
        <v>581</v>
      </c>
      <c r="G920" t="s">
        <v>25</v>
      </c>
      <c r="H920">
        <v>0.26520549999999998</v>
      </c>
      <c r="I920">
        <v>0.31177700000000003</v>
      </c>
      <c r="J920">
        <v>0.3290225</v>
      </c>
      <c r="K920">
        <v>0.32109589999999999</v>
      </c>
      <c r="L920">
        <v>0.33391480000000001</v>
      </c>
      <c r="M920">
        <v>0.31999949999999999</v>
      </c>
      <c r="N920">
        <v>0.3090543</v>
      </c>
    </row>
    <row r="921" spans="1:14" hidden="1" x14ac:dyDescent="0.35">
      <c r="A921" t="s">
        <v>268</v>
      </c>
      <c r="B921" t="s">
        <v>37</v>
      </c>
      <c r="C921" t="s">
        <v>86</v>
      </c>
      <c r="D921" t="s">
        <v>86</v>
      </c>
      <c r="E921" t="s">
        <v>619</v>
      </c>
      <c r="F921" t="s">
        <v>26</v>
      </c>
      <c r="G921" t="s">
        <v>26</v>
      </c>
      <c r="H921">
        <v>1.5934250000000001</v>
      </c>
      <c r="I921">
        <v>1.8706719999999999</v>
      </c>
      <c r="J921">
        <v>1.974102</v>
      </c>
      <c r="K921">
        <v>1.926561</v>
      </c>
      <c r="L921">
        <v>2.0034890000000001</v>
      </c>
      <c r="M921">
        <v>1.9199980000000001</v>
      </c>
      <c r="N921">
        <v>1.8543190000000001</v>
      </c>
    </row>
    <row r="922" spans="1:14" hidden="1" x14ac:dyDescent="0.35">
      <c r="A922" t="s">
        <v>268</v>
      </c>
      <c r="B922" t="s">
        <v>37</v>
      </c>
      <c r="C922" t="s">
        <v>269</v>
      </c>
      <c r="D922" t="s">
        <v>269</v>
      </c>
      <c r="E922" t="s">
        <v>584</v>
      </c>
      <c r="F922" t="s">
        <v>581</v>
      </c>
      <c r="G922" t="s">
        <v>396</v>
      </c>
      <c r="H922">
        <v>7.6712329999999995E-2</v>
      </c>
      <c r="I922">
        <v>9.434795E-2</v>
      </c>
      <c r="J922">
        <v>0.12592329999999999</v>
      </c>
      <c r="K922">
        <v>9.8315070000000004E-2</v>
      </c>
      <c r="L922">
        <v>7.3145210000000002E-2</v>
      </c>
      <c r="M922">
        <v>6.0978079999999997E-2</v>
      </c>
      <c r="N922">
        <v>5.2438360000000003E-2</v>
      </c>
    </row>
    <row r="923" spans="1:14" hidden="1" x14ac:dyDescent="0.35">
      <c r="A923" t="s">
        <v>268</v>
      </c>
      <c r="B923" t="s">
        <v>37</v>
      </c>
      <c r="C923" t="s">
        <v>269</v>
      </c>
      <c r="D923" t="s">
        <v>269</v>
      </c>
      <c r="E923" t="s">
        <v>584</v>
      </c>
      <c r="F923" t="s">
        <v>581</v>
      </c>
      <c r="G923" t="s">
        <v>25</v>
      </c>
      <c r="H923">
        <v>2.1917809999999999E-3</v>
      </c>
      <c r="I923">
        <v>2.5178079999999999E-3</v>
      </c>
      <c r="J923">
        <v>3.361644E-3</v>
      </c>
      <c r="K923">
        <v>2.6191779999999998E-3</v>
      </c>
      <c r="L923">
        <v>1.9561639999999998E-3</v>
      </c>
      <c r="M923">
        <v>1.627397E-3</v>
      </c>
      <c r="N923">
        <v>1.39726E-3</v>
      </c>
    </row>
    <row r="924" spans="1:14" hidden="1" x14ac:dyDescent="0.35">
      <c r="A924" t="s">
        <v>268</v>
      </c>
      <c r="B924" t="s">
        <v>37</v>
      </c>
      <c r="C924" t="s">
        <v>269</v>
      </c>
      <c r="D924" t="s">
        <v>269</v>
      </c>
      <c r="E924" t="s">
        <v>584</v>
      </c>
      <c r="F924" t="s">
        <v>26</v>
      </c>
      <c r="G924" t="s">
        <v>26</v>
      </c>
      <c r="H924">
        <v>2.6301370000000001E-2</v>
      </c>
      <c r="I924">
        <v>2.8934250000000002E-2</v>
      </c>
      <c r="J924">
        <v>3.8616440000000002E-2</v>
      </c>
      <c r="K924">
        <v>3.0150690000000001E-2</v>
      </c>
      <c r="L924">
        <v>2.2430140000000001E-2</v>
      </c>
      <c r="M924">
        <v>1.8698630000000001E-2</v>
      </c>
      <c r="N924">
        <v>1.608219E-2</v>
      </c>
    </row>
    <row r="925" spans="1:14" hidden="1" x14ac:dyDescent="0.35">
      <c r="A925" t="s">
        <v>268</v>
      </c>
      <c r="B925" t="s">
        <v>37</v>
      </c>
      <c r="C925" t="s">
        <v>79</v>
      </c>
      <c r="D925" t="s">
        <v>79</v>
      </c>
      <c r="E925" t="s">
        <v>584</v>
      </c>
      <c r="F925" t="s">
        <v>581</v>
      </c>
      <c r="G925" t="s">
        <v>396</v>
      </c>
      <c r="H925">
        <v>3.0684929999999999E-2</v>
      </c>
      <c r="I925">
        <v>2.6608219999999998E-2</v>
      </c>
      <c r="J925">
        <v>2.3876709999999999E-2</v>
      </c>
      <c r="K925">
        <v>2.1490410000000001E-2</v>
      </c>
      <c r="L925">
        <v>1.9339729999999999E-2</v>
      </c>
      <c r="M925">
        <v>1.745205E-2</v>
      </c>
      <c r="N925">
        <v>1.566027E-2</v>
      </c>
    </row>
    <row r="926" spans="1:14" hidden="1" x14ac:dyDescent="0.35">
      <c r="A926" t="s">
        <v>268</v>
      </c>
      <c r="B926" t="s">
        <v>37</v>
      </c>
      <c r="C926" t="s">
        <v>79</v>
      </c>
      <c r="D926" t="s">
        <v>79</v>
      </c>
      <c r="E926" t="s">
        <v>584</v>
      </c>
      <c r="F926" t="s">
        <v>26</v>
      </c>
      <c r="G926" t="s">
        <v>26</v>
      </c>
      <c r="H926">
        <v>7.890411E-2</v>
      </c>
      <c r="I926">
        <v>6.2084930000000003E-2</v>
      </c>
      <c r="J926">
        <v>5.5715069999999998E-2</v>
      </c>
      <c r="K926">
        <v>5.014246E-2</v>
      </c>
      <c r="L926">
        <v>4.5128769999999999E-2</v>
      </c>
      <c r="M926">
        <v>4.0720550000000001E-2</v>
      </c>
      <c r="N926">
        <v>3.6542459999999999E-2</v>
      </c>
    </row>
    <row r="927" spans="1:14" hidden="1" x14ac:dyDescent="0.35">
      <c r="A927" t="s">
        <v>268</v>
      </c>
      <c r="B927" t="s">
        <v>37</v>
      </c>
      <c r="C927" t="s">
        <v>251</v>
      </c>
      <c r="D927" t="s">
        <v>251</v>
      </c>
      <c r="E927" t="s">
        <v>584</v>
      </c>
      <c r="F927" t="s">
        <v>581</v>
      </c>
      <c r="G927" t="s">
        <v>396</v>
      </c>
      <c r="H927">
        <v>8.3287669999999999E-4</v>
      </c>
      <c r="I927">
        <v>0</v>
      </c>
    </row>
    <row r="928" spans="1:14" hidden="1" x14ac:dyDescent="0.35">
      <c r="A928" t="s">
        <v>268</v>
      </c>
      <c r="B928" t="s">
        <v>37</v>
      </c>
      <c r="C928" t="s">
        <v>251</v>
      </c>
      <c r="D928" t="s">
        <v>251</v>
      </c>
      <c r="E928" t="s">
        <v>584</v>
      </c>
      <c r="F928" t="s">
        <v>581</v>
      </c>
      <c r="G928" t="s">
        <v>24</v>
      </c>
      <c r="H928">
        <v>8.3561639999999999E-4</v>
      </c>
      <c r="I928">
        <v>0</v>
      </c>
    </row>
    <row r="929" spans="1:14" hidden="1" x14ac:dyDescent="0.35">
      <c r="A929" t="s">
        <v>268</v>
      </c>
      <c r="B929" t="s">
        <v>37</v>
      </c>
      <c r="C929" t="s">
        <v>251</v>
      </c>
      <c r="D929" t="s">
        <v>251</v>
      </c>
      <c r="E929" t="s">
        <v>584</v>
      </c>
      <c r="F929" t="s">
        <v>26</v>
      </c>
      <c r="G929" t="s">
        <v>26</v>
      </c>
      <c r="H929">
        <v>0.10501919999999999</v>
      </c>
      <c r="I929">
        <v>0.1029397</v>
      </c>
      <c r="J929">
        <v>0.1008975</v>
      </c>
      <c r="K929">
        <v>0</v>
      </c>
      <c r="L929">
        <v>0</v>
      </c>
      <c r="M929">
        <v>0</v>
      </c>
      <c r="N929">
        <v>0</v>
      </c>
    </row>
    <row r="930" spans="1:14" hidden="1" x14ac:dyDescent="0.35">
      <c r="A930" t="s">
        <v>268</v>
      </c>
      <c r="B930" t="s">
        <v>37</v>
      </c>
      <c r="C930" t="s">
        <v>63</v>
      </c>
      <c r="D930" t="s">
        <v>63</v>
      </c>
      <c r="E930" t="s">
        <v>608</v>
      </c>
      <c r="F930" t="s">
        <v>581</v>
      </c>
      <c r="G930" t="s">
        <v>25</v>
      </c>
      <c r="K930">
        <v>0</v>
      </c>
      <c r="L930">
        <v>2.8520550000000003E-4</v>
      </c>
      <c r="M930">
        <v>3.495616E-3</v>
      </c>
      <c r="N930">
        <v>1.9542470000000001E-3</v>
      </c>
    </row>
    <row r="931" spans="1:14" hidden="1" x14ac:dyDescent="0.35">
      <c r="A931" t="s">
        <v>268</v>
      </c>
      <c r="B931" t="s">
        <v>37</v>
      </c>
      <c r="C931" t="s">
        <v>63</v>
      </c>
      <c r="D931" t="s">
        <v>63</v>
      </c>
      <c r="E931" t="s">
        <v>608</v>
      </c>
      <c r="F931" t="s">
        <v>26</v>
      </c>
      <c r="G931" t="s">
        <v>26</v>
      </c>
      <c r="K931">
        <v>0</v>
      </c>
      <c r="L931">
        <v>1.3975069999999999E-2</v>
      </c>
      <c r="M931">
        <v>0.171351</v>
      </c>
      <c r="N931">
        <v>9.5749319999999999E-2</v>
      </c>
    </row>
    <row r="932" spans="1:14" hidden="1" x14ac:dyDescent="0.35">
      <c r="A932" t="s">
        <v>268</v>
      </c>
      <c r="B932" t="s">
        <v>37</v>
      </c>
      <c r="C932" t="s">
        <v>118</v>
      </c>
      <c r="D932" t="s">
        <v>118</v>
      </c>
      <c r="E932" t="s">
        <v>659</v>
      </c>
      <c r="F932" t="s">
        <v>581</v>
      </c>
      <c r="G932" t="s">
        <v>25</v>
      </c>
      <c r="L932">
        <v>0</v>
      </c>
      <c r="M932">
        <v>1.116311E-10</v>
      </c>
      <c r="N932">
        <v>2.232623E-10</v>
      </c>
    </row>
    <row r="933" spans="1:14" hidden="1" x14ac:dyDescent="0.35">
      <c r="A933" t="s">
        <v>268</v>
      </c>
      <c r="B933" t="s">
        <v>37</v>
      </c>
      <c r="C933" t="s">
        <v>118</v>
      </c>
      <c r="D933" t="s">
        <v>118</v>
      </c>
      <c r="E933" t="s">
        <v>659</v>
      </c>
      <c r="F933" t="s">
        <v>26</v>
      </c>
      <c r="G933" t="s">
        <v>26</v>
      </c>
      <c r="L933">
        <v>0</v>
      </c>
      <c r="M933">
        <v>0</v>
      </c>
      <c r="N933">
        <v>0</v>
      </c>
    </row>
    <row r="934" spans="1:14" hidden="1" x14ac:dyDescent="0.35">
      <c r="A934" t="s">
        <v>268</v>
      </c>
      <c r="B934" t="s">
        <v>37</v>
      </c>
      <c r="C934" t="s">
        <v>205</v>
      </c>
      <c r="D934" t="s">
        <v>205</v>
      </c>
      <c r="E934" t="s">
        <v>611</v>
      </c>
      <c r="F934" t="s">
        <v>581</v>
      </c>
      <c r="G934" t="s">
        <v>25</v>
      </c>
      <c r="M934">
        <v>0</v>
      </c>
      <c r="N934">
        <v>0</v>
      </c>
    </row>
    <row r="935" spans="1:14" hidden="1" x14ac:dyDescent="0.35">
      <c r="A935" t="s">
        <v>268</v>
      </c>
      <c r="B935" t="s">
        <v>37</v>
      </c>
      <c r="C935" t="s">
        <v>205</v>
      </c>
      <c r="D935" t="s">
        <v>205</v>
      </c>
      <c r="E935" t="s">
        <v>611</v>
      </c>
      <c r="F935" t="s">
        <v>26</v>
      </c>
      <c r="G935" t="s">
        <v>26</v>
      </c>
      <c r="M935">
        <v>0</v>
      </c>
      <c r="N935">
        <v>0</v>
      </c>
    </row>
    <row r="936" spans="1:14" hidden="1" x14ac:dyDescent="0.35">
      <c r="A936" t="s">
        <v>662</v>
      </c>
      <c r="B936" t="s">
        <v>37</v>
      </c>
      <c r="C936" t="s">
        <v>63</v>
      </c>
      <c r="D936" t="s">
        <v>63</v>
      </c>
      <c r="E936" t="s">
        <v>621</v>
      </c>
      <c r="F936" t="s">
        <v>26</v>
      </c>
      <c r="G936" t="s">
        <v>26</v>
      </c>
      <c r="H936">
        <v>209.5891</v>
      </c>
      <c r="I936">
        <v>209.5891</v>
      </c>
      <c r="J936">
        <v>183.50630000000001</v>
      </c>
      <c r="K936">
        <v>172.68520000000001</v>
      </c>
      <c r="L936">
        <v>162.96619999999999</v>
      </c>
      <c r="M936">
        <v>138.9854</v>
      </c>
      <c r="N936">
        <v>114.19580000000001</v>
      </c>
    </row>
    <row r="937" spans="1:14" hidden="1" x14ac:dyDescent="0.35">
      <c r="A937" t="s">
        <v>662</v>
      </c>
      <c r="B937" t="s">
        <v>37</v>
      </c>
      <c r="C937" t="s">
        <v>63</v>
      </c>
      <c r="D937" t="s">
        <v>63</v>
      </c>
      <c r="E937" t="s">
        <v>610</v>
      </c>
      <c r="F937" t="s">
        <v>581</v>
      </c>
      <c r="G937" t="s">
        <v>24</v>
      </c>
      <c r="H937">
        <v>12.7941</v>
      </c>
      <c r="I937">
        <v>21.34131</v>
      </c>
      <c r="J937">
        <v>22.767990000000001</v>
      </c>
      <c r="K937">
        <v>21.68881</v>
      </c>
      <c r="L937">
        <v>19.295290000000001</v>
      </c>
      <c r="M937">
        <v>16.315799999999999</v>
      </c>
      <c r="N937">
        <v>13.682600000000001</v>
      </c>
    </row>
    <row r="938" spans="1:14" hidden="1" x14ac:dyDescent="0.35">
      <c r="A938" t="s">
        <v>662</v>
      </c>
      <c r="B938" t="s">
        <v>37</v>
      </c>
      <c r="C938" t="s">
        <v>63</v>
      </c>
      <c r="D938" t="s">
        <v>63</v>
      </c>
      <c r="E938" t="s">
        <v>610</v>
      </c>
      <c r="F938" t="s">
        <v>581</v>
      </c>
      <c r="G938" t="s">
        <v>25</v>
      </c>
      <c r="H938">
        <v>64.651219999999995</v>
      </c>
      <c r="I938">
        <v>76.94332</v>
      </c>
      <c r="J938">
        <v>79.94735</v>
      </c>
      <c r="K938">
        <v>75.890199999999993</v>
      </c>
      <c r="L938">
        <v>67.891859999999994</v>
      </c>
      <c r="M938">
        <v>57.875120000000003</v>
      </c>
      <c r="N938">
        <v>48.583370000000002</v>
      </c>
    </row>
    <row r="939" spans="1:14" hidden="1" x14ac:dyDescent="0.35">
      <c r="A939" t="s">
        <v>662</v>
      </c>
      <c r="B939" t="s">
        <v>37</v>
      </c>
      <c r="C939" t="s">
        <v>63</v>
      </c>
      <c r="D939" t="s">
        <v>63</v>
      </c>
      <c r="E939" t="s">
        <v>610</v>
      </c>
      <c r="F939" t="s">
        <v>26</v>
      </c>
      <c r="G939" t="s">
        <v>26</v>
      </c>
      <c r="H939">
        <v>67.704250000000002</v>
      </c>
      <c r="I939">
        <v>75.016810000000007</v>
      </c>
      <c r="J939">
        <v>77.522949999999994</v>
      </c>
      <c r="K939">
        <v>73.479439999999997</v>
      </c>
      <c r="L939">
        <v>65.892750000000007</v>
      </c>
      <c r="M939">
        <v>56.369610000000002</v>
      </c>
      <c r="N939">
        <v>47.333539999999999</v>
      </c>
    </row>
    <row r="940" spans="1:14" hidden="1" x14ac:dyDescent="0.35">
      <c r="A940" t="s">
        <v>662</v>
      </c>
      <c r="B940" t="s">
        <v>37</v>
      </c>
      <c r="C940" t="s">
        <v>63</v>
      </c>
      <c r="D940" t="s">
        <v>63</v>
      </c>
      <c r="E940" t="s">
        <v>609</v>
      </c>
      <c r="F940" t="s">
        <v>581</v>
      </c>
      <c r="G940" t="s">
        <v>25</v>
      </c>
      <c r="H940">
        <v>3.4931509999999999E-2</v>
      </c>
      <c r="I940">
        <v>2.8975339999999999E-2</v>
      </c>
      <c r="J940">
        <v>2.4106849999999999E-2</v>
      </c>
      <c r="K940">
        <v>3.8348220000000002E-2</v>
      </c>
      <c r="L940">
        <v>6.2961089999999997E-2</v>
      </c>
      <c r="M940">
        <v>5.3934799999999998E-2</v>
      </c>
      <c r="N940">
        <v>3.88463E-2</v>
      </c>
    </row>
    <row r="941" spans="1:14" hidden="1" x14ac:dyDescent="0.35">
      <c r="A941" t="s">
        <v>662</v>
      </c>
      <c r="B941" t="s">
        <v>37</v>
      </c>
      <c r="C941" t="s">
        <v>63</v>
      </c>
      <c r="D941" t="s">
        <v>63</v>
      </c>
      <c r="E941" t="s">
        <v>609</v>
      </c>
      <c r="F941" t="s">
        <v>26</v>
      </c>
      <c r="G941" t="s">
        <v>26</v>
      </c>
      <c r="H941">
        <v>0.78945209999999999</v>
      </c>
      <c r="I941">
        <v>0.55053149999999995</v>
      </c>
      <c r="J941">
        <v>0.458063</v>
      </c>
      <c r="K941">
        <v>0.72859169999999995</v>
      </c>
      <c r="L941">
        <v>1.1963159999999999</v>
      </c>
      <c r="M941">
        <v>1.024799</v>
      </c>
      <c r="N941">
        <v>0.73809179999999996</v>
      </c>
    </row>
    <row r="942" spans="1:14" hidden="1" x14ac:dyDescent="0.35">
      <c r="A942" t="s">
        <v>662</v>
      </c>
      <c r="B942" t="s">
        <v>37</v>
      </c>
      <c r="C942" t="s">
        <v>118</v>
      </c>
      <c r="D942" t="s">
        <v>118</v>
      </c>
      <c r="E942" t="s">
        <v>663</v>
      </c>
      <c r="F942" t="s">
        <v>581</v>
      </c>
      <c r="G942" t="s">
        <v>396</v>
      </c>
      <c r="H942">
        <v>0.2881534</v>
      </c>
      <c r="I942">
        <v>0.2340439</v>
      </c>
      <c r="J942">
        <v>0.20040269999999999</v>
      </c>
      <c r="K942">
        <v>0.22773699999999999</v>
      </c>
      <c r="L942">
        <v>0.26850380000000001</v>
      </c>
      <c r="M942">
        <v>0.2162241</v>
      </c>
      <c r="N942">
        <v>0.1730835</v>
      </c>
    </row>
    <row r="943" spans="1:14" hidden="1" x14ac:dyDescent="0.35">
      <c r="A943" t="s">
        <v>662</v>
      </c>
      <c r="B943" t="s">
        <v>37</v>
      </c>
      <c r="C943" t="s">
        <v>118</v>
      </c>
      <c r="D943" t="s">
        <v>118</v>
      </c>
      <c r="E943" t="s">
        <v>663</v>
      </c>
      <c r="F943" t="s">
        <v>581</v>
      </c>
      <c r="G943" t="s">
        <v>24</v>
      </c>
      <c r="H943">
        <v>2.4630139999999998E-2</v>
      </c>
      <c r="I943">
        <v>2.364931E-2</v>
      </c>
      <c r="J943">
        <v>2.114247E-2</v>
      </c>
      <c r="K943">
        <v>1.9447119999999998E-2</v>
      </c>
      <c r="L943">
        <v>1.808657E-2</v>
      </c>
      <c r="M943">
        <v>1.6347939999999998E-2</v>
      </c>
      <c r="N943">
        <v>1.4563009999999999E-2</v>
      </c>
    </row>
    <row r="944" spans="1:14" hidden="1" x14ac:dyDescent="0.35">
      <c r="A944" t="s">
        <v>662</v>
      </c>
      <c r="B944" t="s">
        <v>37</v>
      </c>
      <c r="C944" t="s">
        <v>118</v>
      </c>
      <c r="D944" t="s">
        <v>118</v>
      </c>
      <c r="E944" t="s">
        <v>663</v>
      </c>
      <c r="F944" t="s">
        <v>581</v>
      </c>
      <c r="G944" t="s">
        <v>25</v>
      </c>
      <c r="H944">
        <v>0.33655620000000003</v>
      </c>
      <c r="I944">
        <v>0.29229040000000001</v>
      </c>
      <c r="J944">
        <v>0.25817259999999997</v>
      </c>
      <c r="K944">
        <v>0.25283889999999998</v>
      </c>
      <c r="L944">
        <v>0.25523309999999999</v>
      </c>
      <c r="M944">
        <v>0.22133120000000001</v>
      </c>
      <c r="N944">
        <v>0.19024630000000001</v>
      </c>
    </row>
    <row r="945" spans="1:14" hidden="1" x14ac:dyDescent="0.35">
      <c r="A945" t="s">
        <v>662</v>
      </c>
      <c r="B945" t="s">
        <v>37</v>
      </c>
      <c r="C945" t="s">
        <v>118</v>
      </c>
      <c r="D945" t="s">
        <v>118</v>
      </c>
      <c r="E945" t="s">
        <v>663</v>
      </c>
      <c r="F945" t="s">
        <v>26</v>
      </c>
      <c r="G945" t="s">
        <v>26</v>
      </c>
      <c r="H945">
        <v>0.30841370000000001</v>
      </c>
      <c r="I945">
        <v>0.2671616</v>
      </c>
      <c r="J945">
        <v>0.23570959999999999</v>
      </c>
      <c r="K945">
        <v>0.23217450000000001</v>
      </c>
      <c r="L945">
        <v>0.23601230000000001</v>
      </c>
      <c r="M945">
        <v>0.20395750000000001</v>
      </c>
      <c r="N945">
        <v>0.17477319999999999</v>
      </c>
    </row>
    <row r="946" spans="1:14" hidden="1" x14ac:dyDescent="0.35">
      <c r="A946" t="s">
        <v>662</v>
      </c>
      <c r="B946" t="s">
        <v>37</v>
      </c>
      <c r="C946" t="s">
        <v>46</v>
      </c>
      <c r="D946" t="s">
        <v>46</v>
      </c>
      <c r="E946" t="s">
        <v>646</v>
      </c>
      <c r="F946" t="s">
        <v>581</v>
      </c>
      <c r="G946" t="s">
        <v>24</v>
      </c>
      <c r="H946">
        <v>0.34003290000000003</v>
      </c>
      <c r="I946">
        <v>0.27437529999999999</v>
      </c>
      <c r="J946">
        <v>0.23812330000000001</v>
      </c>
      <c r="K946">
        <v>0.2325014</v>
      </c>
      <c r="L946">
        <v>0.25884770000000001</v>
      </c>
      <c r="M946">
        <v>0.2271359</v>
      </c>
      <c r="N946">
        <v>0.19029450000000001</v>
      </c>
    </row>
    <row r="947" spans="1:14" hidden="1" x14ac:dyDescent="0.35">
      <c r="A947" t="s">
        <v>662</v>
      </c>
      <c r="B947" t="s">
        <v>37</v>
      </c>
      <c r="C947" t="s">
        <v>46</v>
      </c>
      <c r="D947" t="s">
        <v>46</v>
      </c>
      <c r="E947" t="s">
        <v>646</v>
      </c>
      <c r="F947" t="s">
        <v>581</v>
      </c>
      <c r="G947" t="s">
        <v>25</v>
      </c>
      <c r="H947">
        <v>2.6156160000000001E-2</v>
      </c>
      <c r="I947">
        <v>2.110685E-2</v>
      </c>
      <c r="J947">
        <v>1.831781E-2</v>
      </c>
      <c r="K947">
        <v>1.7884379999999998E-2</v>
      </c>
      <c r="L947">
        <v>1.991397E-2</v>
      </c>
      <c r="M947">
        <v>1.7470409999999999E-2</v>
      </c>
      <c r="N947">
        <v>1.4636710000000001E-2</v>
      </c>
    </row>
    <row r="948" spans="1:14" hidden="1" x14ac:dyDescent="0.35">
      <c r="A948" t="s">
        <v>662</v>
      </c>
      <c r="B948" t="s">
        <v>37</v>
      </c>
      <c r="C948" t="s">
        <v>46</v>
      </c>
      <c r="D948" t="s">
        <v>46</v>
      </c>
      <c r="E948" t="s">
        <v>646</v>
      </c>
      <c r="F948" t="s">
        <v>26</v>
      </c>
      <c r="G948" t="s">
        <v>26</v>
      </c>
      <c r="H948">
        <v>0.15693699999999999</v>
      </c>
      <c r="I948">
        <v>0.12663559999999999</v>
      </c>
      <c r="J948">
        <v>0.1099014</v>
      </c>
      <c r="K948">
        <v>0.1073085</v>
      </c>
      <c r="L948">
        <v>0.1194696</v>
      </c>
      <c r="M948">
        <v>0.1048326</v>
      </c>
      <c r="N948">
        <v>8.7826589999999996E-2</v>
      </c>
    </row>
    <row r="949" spans="1:14" hidden="1" x14ac:dyDescent="0.35">
      <c r="A949" t="s">
        <v>222</v>
      </c>
      <c r="B949" t="s">
        <v>37</v>
      </c>
      <c r="C949" t="s">
        <v>51</v>
      </c>
      <c r="D949" t="s">
        <v>51</v>
      </c>
      <c r="E949" t="s">
        <v>602</v>
      </c>
      <c r="F949" t="s">
        <v>581</v>
      </c>
      <c r="G949" t="s">
        <v>396</v>
      </c>
      <c r="H949">
        <v>93.400540000000007</v>
      </c>
      <c r="I949">
        <v>102.848</v>
      </c>
      <c r="J949">
        <v>86.282799999999995</v>
      </c>
      <c r="K949">
        <v>66.024150000000006</v>
      </c>
      <c r="L949">
        <v>55.83775</v>
      </c>
      <c r="M949">
        <v>48.104039999999998</v>
      </c>
      <c r="N949">
        <v>44.120100000000001</v>
      </c>
    </row>
    <row r="950" spans="1:14" hidden="1" x14ac:dyDescent="0.35">
      <c r="A950" t="s">
        <v>222</v>
      </c>
      <c r="B950" t="s">
        <v>37</v>
      </c>
      <c r="C950" t="s">
        <v>51</v>
      </c>
      <c r="D950" t="s">
        <v>51</v>
      </c>
      <c r="E950" t="s">
        <v>602</v>
      </c>
      <c r="F950" t="s">
        <v>581</v>
      </c>
      <c r="G950" t="s">
        <v>25</v>
      </c>
      <c r="H950">
        <v>40.622999999999998</v>
      </c>
      <c r="I950">
        <v>44.672629999999998</v>
      </c>
      <c r="J950">
        <v>37.53595</v>
      </c>
      <c r="K950">
        <v>28.700700000000001</v>
      </c>
      <c r="L950">
        <v>24.295919999999999</v>
      </c>
      <c r="M950">
        <v>20.919029999999999</v>
      </c>
      <c r="N950">
        <v>19.15897</v>
      </c>
    </row>
    <row r="951" spans="1:14" hidden="1" x14ac:dyDescent="0.35">
      <c r="A951" t="s">
        <v>222</v>
      </c>
      <c r="B951" t="s">
        <v>37</v>
      </c>
      <c r="C951" t="s">
        <v>51</v>
      </c>
      <c r="D951" t="s">
        <v>51</v>
      </c>
      <c r="E951" t="s">
        <v>602</v>
      </c>
      <c r="F951" t="s">
        <v>26</v>
      </c>
      <c r="G951" t="s">
        <v>26</v>
      </c>
      <c r="H951">
        <v>17.803419999999999</v>
      </c>
      <c r="I951">
        <v>19.138780000000001</v>
      </c>
      <c r="J951">
        <v>16.07423</v>
      </c>
      <c r="K951">
        <v>12.302709999999999</v>
      </c>
      <c r="L951">
        <v>10.37209</v>
      </c>
      <c r="M951">
        <v>8.9413180000000008</v>
      </c>
      <c r="N951">
        <v>8.2116600000000002</v>
      </c>
    </row>
    <row r="952" spans="1:14" hidden="1" x14ac:dyDescent="0.35">
      <c r="A952" t="s">
        <v>222</v>
      </c>
      <c r="B952" t="s">
        <v>37</v>
      </c>
      <c r="C952" t="s">
        <v>51</v>
      </c>
      <c r="D952" t="s">
        <v>51</v>
      </c>
      <c r="E952" t="s">
        <v>584</v>
      </c>
      <c r="F952" t="s">
        <v>581</v>
      </c>
      <c r="G952" t="s">
        <v>396</v>
      </c>
      <c r="H952">
        <v>3.4816439999999997E-2</v>
      </c>
      <c r="I952">
        <v>3.1509589999999997E-2</v>
      </c>
      <c r="J952">
        <v>8.5578100000000008E-3</v>
      </c>
      <c r="K952">
        <v>7.7753429999999997E-3</v>
      </c>
      <c r="L952">
        <v>7.0019189999999997E-3</v>
      </c>
      <c r="M952">
        <v>6.15863E-3</v>
      </c>
      <c r="N952">
        <v>5.4336990000000002E-3</v>
      </c>
    </row>
    <row r="953" spans="1:14" hidden="1" x14ac:dyDescent="0.35">
      <c r="A953" t="s">
        <v>222</v>
      </c>
      <c r="B953" t="s">
        <v>37</v>
      </c>
      <c r="C953" t="s">
        <v>51</v>
      </c>
      <c r="D953" t="s">
        <v>51</v>
      </c>
      <c r="E953" t="s">
        <v>584</v>
      </c>
      <c r="F953" t="s">
        <v>581</v>
      </c>
      <c r="G953" t="s">
        <v>25</v>
      </c>
      <c r="H953">
        <v>0.55956439999999996</v>
      </c>
      <c r="I953">
        <v>0.49589319999999998</v>
      </c>
      <c r="J953">
        <v>0.13189970000000001</v>
      </c>
      <c r="K953">
        <v>0.1173526</v>
      </c>
      <c r="L953">
        <v>0.10344</v>
      </c>
      <c r="M953">
        <v>8.9017819999999998E-2</v>
      </c>
      <c r="N953">
        <v>7.6808219999999996E-2</v>
      </c>
    </row>
    <row r="954" spans="1:14" hidden="1" x14ac:dyDescent="0.35">
      <c r="A954" t="s">
        <v>222</v>
      </c>
      <c r="B954" t="s">
        <v>37</v>
      </c>
      <c r="C954" t="s">
        <v>51</v>
      </c>
      <c r="D954" t="s">
        <v>51</v>
      </c>
      <c r="E954" t="s">
        <v>584</v>
      </c>
      <c r="F954" t="s">
        <v>26</v>
      </c>
      <c r="G954" t="s">
        <v>26</v>
      </c>
      <c r="H954">
        <v>0.15247669999999999</v>
      </c>
      <c r="I954">
        <v>0.14945749999999999</v>
      </c>
      <c r="J954">
        <v>4.3949589999999997E-2</v>
      </c>
      <c r="K954">
        <v>4.3079180000000002E-2</v>
      </c>
      <c r="L954">
        <v>4.2096170000000002E-2</v>
      </c>
      <c r="M954">
        <v>4.0239450000000003E-2</v>
      </c>
      <c r="N954">
        <v>3.8640000000000001E-2</v>
      </c>
    </row>
    <row r="955" spans="1:14" hidden="1" x14ac:dyDescent="0.35">
      <c r="A955" t="s">
        <v>222</v>
      </c>
      <c r="B955" t="s">
        <v>37</v>
      </c>
      <c r="C955" t="s">
        <v>61</v>
      </c>
      <c r="D955" t="s">
        <v>62</v>
      </c>
      <c r="E955" t="s">
        <v>584</v>
      </c>
      <c r="F955" t="s">
        <v>581</v>
      </c>
      <c r="G955" t="s">
        <v>396</v>
      </c>
      <c r="H955">
        <v>30.349879999999999</v>
      </c>
      <c r="I955">
        <v>38.323180000000001</v>
      </c>
      <c r="J955">
        <v>40.2911</v>
      </c>
      <c r="K955">
        <v>38.770409999999998</v>
      </c>
      <c r="L955">
        <v>35.178789999999999</v>
      </c>
      <c r="M955">
        <v>31.687930000000001</v>
      </c>
      <c r="N955">
        <v>27.319230000000001</v>
      </c>
    </row>
    <row r="956" spans="1:14" hidden="1" x14ac:dyDescent="0.35">
      <c r="A956" t="s">
        <v>222</v>
      </c>
      <c r="B956" t="s">
        <v>37</v>
      </c>
      <c r="C956" t="s">
        <v>61</v>
      </c>
      <c r="D956" t="s">
        <v>62</v>
      </c>
      <c r="E956" t="s">
        <v>584</v>
      </c>
      <c r="F956" t="s">
        <v>581</v>
      </c>
      <c r="G956" t="s">
        <v>24</v>
      </c>
      <c r="H956">
        <v>11.07925</v>
      </c>
      <c r="I956">
        <v>8.8491940000000007</v>
      </c>
      <c r="J956">
        <v>7.0985699999999996</v>
      </c>
      <c r="K956">
        <v>5.6064559999999997</v>
      </c>
      <c r="L956">
        <v>4.4187820000000002</v>
      </c>
      <c r="M956">
        <v>3.4342160000000002</v>
      </c>
      <c r="N956">
        <v>2.648374</v>
      </c>
    </row>
    <row r="957" spans="1:14" hidden="1" x14ac:dyDescent="0.35">
      <c r="A957" t="s">
        <v>222</v>
      </c>
      <c r="B957" t="s">
        <v>37</v>
      </c>
      <c r="C957" t="s">
        <v>61</v>
      </c>
      <c r="D957" t="s">
        <v>62</v>
      </c>
      <c r="E957" t="s">
        <v>584</v>
      </c>
      <c r="F957" t="s">
        <v>581</v>
      </c>
      <c r="G957" t="s">
        <v>25</v>
      </c>
      <c r="H957">
        <v>7.6078210000000004</v>
      </c>
      <c r="I957">
        <v>5.7915409999999996</v>
      </c>
      <c r="J957">
        <v>4.4881359999999999</v>
      </c>
      <c r="K957">
        <v>3.5161739999999999</v>
      </c>
      <c r="L957">
        <v>2.7704819999999999</v>
      </c>
      <c r="M957">
        <v>2.13157</v>
      </c>
      <c r="N957">
        <v>1.608263</v>
      </c>
    </row>
    <row r="958" spans="1:14" hidden="1" x14ac:dyDescent="0.35">
      <c r="A958" t="s">
        <v>222</v>
      </c>
      <c r="B958" t="s">
        <v>37</v>
      </c>
      <c r="C958" t="s">
        <v>61</v>
      </c>
      <c r="D958" t="s">
        <v>62</v>
      </c>
      <c r="E958" t="s">
        <v>584</v>
      </c>
      <c r="F958" t="s">
        <v>26</v>
      </c>
      <c r="G958" t="s">
        <v>26</v>
      </c>
      <c r="H958">
        <v>12.13134</v>
      </c>
      <c r="I958">
        <v>11.372730000000001</v>
      </c>
      <c r="J958">
        <v>10.15718</v>
      </c>
      <c r="K958">
        <v>8.832179</v>
      </c>
      <c r="L958">
        <v>7.6825760000000001</v>
      </c>
      <c r="M958">
        <v>6.5258669999999999</v>
      </c>
      <c r="N958">
        <v>5.2998589999999997</v>
      </c>
    </row>
    <row r="959" spans="1:14" hidden="1" x14ac:dyDescent="0.35">
      <c r="A959" t="s">
        <v>222</v>
      </c>
      <c r="B959" t="s">
        <v>37</v>
      </c>
      <c r="C959" t="s">
        <v>109</v>
      </c>
      <c r="D959" t="s">
        <v>109</v>
      </c>
      <c r="E959" t="s">
        <v>584</v>
      </c>
      <c r="F959" t="s">
        <v>581</v>
      </c>
      <c r="G959" t="s">
        <v>396</v>
      </c>
      <c r="H959">
        <v>6.6753430000000002E-3</v>
      </c>
      <c r="I959">
        <v>6.5431500000000002E-3</v>
      </c>
      <c r="J959">
        <v>6.4136990000000001E-3</v>
      </c>
      <c r="K959">
        <v>6.2863010000000002E-3</v>
      </c>
      <c r="L959">
        <v>6.1623290000000002E-3</v>
      </c>
      <c r="M959">
        <v>0</v>
      </c>
      <c r="N959">
        <v>0</v>
      </c>
    </row>
    <row r="960" spans="1:14" hidden="1" x14ac:dyDescent="0.35">
      <c r="A960" t="s">
        <v>222</v>
      </c>
      <c r="B960" t="s">
        <v>37</v>
      </c>
      <c r="C960" t="s">
        <v>109</v>
      </c>
      <c r="D960" t="s">
        <v>109</v>
      </c>
      <c r="E960" t="s">
        <v>584</v>
      </c>
      <c r="F960" t="s">
        <v>26</v>
      </c>
      <c r="G960" t="s">
        <v>26</v>
      </c>
      <c r="H960">
        <v>0</v>
      </c>
    </row>
    <row r="961" spans="1:14" hidden="1" x14ac:dyDescent="0.35">
      <c r="A961" t="s">
        <v>222</v>
      </c>
      <c r="B961" t="s">
        <v>102</v>
      </c>
      <c r="C961" t="s">
        <v>102</v>
      </c>
      <c r="D961" t="s">
        <v>102</v>
      </c>
      <c r="E961" t="s">
        <v>584</v>
      </c>
      <c r="F961" t="s">
        <v>581</v>
      </c>
      <c r="G961" t="s">
        <v>396</v>
      </c>
      <c r="H961">
        <v>0.26956599999999997</v>
      </c>
      <c r="I961">
        <v>25.940359999999998</v>
      </c>
      <c r="J961">
        <v>28.172039999999999</v>
      </c>
      <c r="K961">
        <v>29.35961</v>
      </c>
      <c r="L961">
        <v>64.327799999999996</v>
      </c>
      <c r="M961">
        <v>83.339410000000001</v>
      </c>
      <c r="N961">
        <v>103.8604</v>
      </c>
    </row>
    <row r="962" spans="1:14" hidden="1" x14ac:dyDescent="0.35">
      <c r="A962" t="s">
        <v>222</v>
      </c>
      <c r="B962" t="s">
        <v>223</v>
      </c>
      <c r="C962" t="s">
        <v>58</v>
      </c>
      <c r="D962" t="s">
        <v>58</v>
      </c>
      <c r="E962" t="s">
        <v>584</v>
      </c>
      <c r="F962" t="s">
        <v>581</v>
      </c>
      <c r="G962" t="s">
        <v>24</v>
      </c>
      <c r="H962">
        <v>2.2210899999999998</v>
      </c>
      <c r="I962">
        <v>2.1626310000000002</v>
      </c>
      <c r="J962">
        <v>2.1891419999999999</v>
      </c>
      <c r="K962">
        <v>0.52395429999999998</v>
      </c>
      <c r="L962">
        <v>0.49641439999999998</v>
      </c>
      <c r="M962">
        <v>0.42622779999999999</v>
      </c>
      <c r="N962">
        <v>0.37514199999999998</v>
      </c>
    </row>
    <row r="963" spans="1:14" hidden="1" x14ac:dyDescent="0.35">
      <c r="A963" t="s">
        <v>222</v>
      </c>
      <c r="B963" t="s">
        <v>223</v>
      </c>
      <c r="C963" t="s">
        <v>58</v>
      </c>
      <c r="D963" t="s">
        <v>58</v>
      </c>
      <c r="E963" t="s">
        <v>584</v>
      </c>
      <c r="F963" t="s">
        <v>26</v>
      </c>
      <c r="G963" t="s">
        <v>26</v>
      </c>
      <c r="H963">
        <v>41.80594</v>
      </c>
      <c r="I963">
        <v>40.4617</v>
      </c>
      <c r="J963">
        <v>40.006039999999999</v>
      </c>
      <c r="K963">
        <v>34.790399999999998</v>
      </c>
      <c r="L963">
        <v>31.652339999999999</v>
      </c>
      <c r="M963">
        <v>27.967369999999999</v>
      </c>
      <c r="N963">
        <v>27.18479</v>
      </c>
    </row>
    <row r="964" spans="1:14" hidden="1" x14ac:dyDescent="0.35">
      <c r="A964" t="s">
        <v>222</v>
      </c>
      <c r="B964" t="s">
        <v>59</v>
      </c>
      <c r="C964" t="s">
        <v>58</v>
      </c>
      <c r="D964" t="s">
        <v>58</v>
      </c>
      <c r="E964" t="s">
        <v>584</v>
      </c>
      <c r="F964" t="s">
        <v>581</v>
      </c>
      <c r="G964" t="s">
        <v>24</v>
      </c>
      <c r="H964">
        <v>0.93275059999999999</v>
      </c>
      <c r="I964">
        <v>3.0912410000000001</v>
      </c>
      <c r="J964">
        <v>3.1574589999999998</v>
      </c>
      <c r="K964">
        <v>3.526249</v>
      </c>
      <c r="L964">
        <v>3.2016580000000001</v>
      </c>
      <c r="M964">
        <v>2.8503910000000001</v>
      </c>
      <c r="N964">
        <v>2.3437770000000002</v>
      </c>
    </row>
    <row r="965" spans="1:14" hidden="1" x14ac:dyDescent="0.35">
      <c r="A965" t="s">
        <v>222</v>
      </c>
      <c r="B965" t="s">
        <v>59</v>
      </c>
      <c r="C965" t="s">
        <v>58</v>
      </c>
      <c r="D965" t="s">
        <v>58</v>
      </c>
      <c r="E965" t="s">
        <v>584</v>
      </c>
      <c r="F965" t="s">
        <v>581</v>
      </c>
      <c r="G965" t="s">
        <v>25</v>
      </c>
      <c r="H965">
        <v>0</v>
      </c>
      <c r="I965">
        <v>0.29190280000000002</v>
      </c>
      <c r="J965">
        <v>0.45258759999999998</v>
      </c>
      <c r="K965">
        <v>0.4723889</v>
      </c>
      <c r="L965">
        <v>0.38750620000000002</v>
      </c>
      <c r="M965">
        <v>0.37694</v>
      </c>
      <c r="N965">
        <v>0.64118310000000001</v>
      </c>
    </row>
    <row r="966" spans="1:14" hidden="1" x14ac:dyDescent="0.35">
      <c r="A966" t="s">
        <v>222</v>
      </c>
      <c r="B966" t="s">
        <v>59</v>
      </c>
      <c r="C966" t="s">
        <v>58</v>
      </c>
      <c r="D966" t="s">
        <v>58</v>
      </c>
      <c r="E966" t="s">
        <v>584</v>
      </c>
      <c r="F966" t="s">
        <v>26</v>
      </c>
      <c r="G966" t="s">
        <v>26</v>
      </c>
      <c r="H966">
        <v>18.21715</v>
      </c>
      <c r="I966">
        <v>25.858540000000001</v>
      </c>
      <c r="J966">
        <v>27.321670000000001</v>
      </c>
      <c r="K966">
        <v>22.71001</v>
      </c>
      <c r="L966">
        <v>22.830179999999999</v>
      </c>
      <c r="M966">
        <v>23.419730000000001</v>
      </c>
      <c r="N966">
        <v>24.900939999999999</v>
      </c>
    </row>
    <row r="967" spans="1:14" hidden="1" x14ac:dyDescent="0.35">
      <c r="A967" t="s">
        <v>222</v>
      </c>
      <c r="B967" t="s">
        <v>210</v>
      </c>
      <c r="C967" t="s">
        <v>209</v>
      </c>
      <c r="D967" t="s">
        <v>209</v>
      </c>
      <c r="E967" t="s">
        <v>584</v>
      </c>
      <c r="F967" t="s">
        <v>581</v>
      </c>
      <c r="G967" t="s">
        <v>396</v>
      </c>
      <c r="H967">
        <v>13.71312</v>
      </c>
      <c r="I967">
        <v>7.8580059999999996</v>
      </c>
      <c r="J967">
        <v>14.05294</v>
      </c>
      <c r="K967">
        <v>14.053050000000001</v>
      </c>
      <c r="L967">
        <v>14.292299999999999</v>
      </c>
      <c r="M967">
        <v>12.678739999999999</v>
      </c>
      <c r="N967">
        <v>10.738759999999999</v>
      </c>
    </row>
    <row r="968" spans="1:14" hidden="1" x14ac:dyDescent="0.35">
      <c r="A968" t="s">
        <v>222</v>
      </c>
      <c r="B968" t="s">
        <v>210</v>
      </c>
      <c r="C968" t="s">
        <v>209</v>
      </c>
      <c r="D968" t="s">
        <v>209</v>
      </c>
      <c r="E968" t="s">
        <v>584</v>
      </c>
      <c r="F968" t="s">
        <v>581</v>
      </c>
      <c r="G968" t="s">
        <v>24</v>
      </c>
      <c r="H968">
        <v>2.8886240000000001E-2</v>
      </c>
      <c r="I968">
        <v>0.2995314</v>
      </c>
      <c r="J968">
        <v>0.78274500000000002</v>
      </c>
      <c r="K968">
        <v>0.82371130000000004</v>
      </c>
      <c r="L968">
        <v>0.82371130000000004</v>
      </c>
      <c r="M968">
        <v>0.82749280000000003</v>
      </c>
      <c r="N968">
        <v>0.72612909999999997</v>
      </c>
    </row>
    <row r="969" spans="1:14" hidden="1" x14ac:dyDescent="0.35">
      <c r="A969" t="s">
        <v>222</v>
      </c>
      <c r="B969" t="s">
        <v>210</v>
      </c>
      <c r="C969" t="s">
        <v>209</v>
      </c>
      <c r="D969" t="s">
        <v>209</v>
      </c>
      <c r="E969" t="s">
        <v>584</v>
      </c>
      <c r="F969" t="s">
        <v>581</v>
      </c>
      <c r="G969" t="s">
        <v>25</v>
      </c>
      <c r="L969">
        <v>0</v>
      </c>
      <c r="M969">
        <v>3.3747829999999999E-2</v>
      </c>
      <c r="N969">
        <v>2.7403730000000001E-2</v>
      </c>
    </row>
    <row r="970" spans="1:14" hidden="1" x14ac:dyDescent="0.35">
      <c r="A970" t="s">
        <v>222</v>
      </c>
      <c r="B970" t="s">
        <v>210</v>
      </c>
      <c r="C970" t="s">
        <v>209</v>
      </c>
      <c r="D970" t="s">
        <v>209</v>
      </c>
      <c r="E970" t="s">
        <v>584</v>
      </c>
      <c r="F970" t="s">
        <v>26</v>
      </c>
      <c r="G970" t="s">
        <v>26</v>
      </c>
      <c r="H970">
        <v>2.5161639999999998</v>
      </c>
      <c r="I970">
        <v>1.3456319999999999</v>
      </c>
      <c r="J970">
        <v>2.564295</v>
      </c>
      <c r="K970">
        <v>2.6160540000000001</v>
      </c>
      <c r="L970">
        <v>2.7137820000000001</v>
      </c>
      <c r="M970">
        <v>2.7706330000000001</v>
      </c>
      <c r="N970">
        <v>2.6054080000000002</v>
      </c>
    </row>
    <row r="971" spans="1:14" hidden="1" x14ac:dyDescent="0.35">
      <c r="A971" t="s">
        <v>222</v>
      </c>
      <c r="B971" t="s">
        <v>168</v>
      </c>
      <c r="C971" t="s">
        <v>87</v>
      </c>
      <c r="D971" t="s">
        <v>87</v>
      </c>
      <c r="E971" t="s">
        <v>584</v>
      </c>
      <c r="F971" t="s">
        <v>581</v>
      </c>
      <c r="G971" t="s">
        <v>396</v>
      </c>
      <c r="H971">
        <v>5.9934700000000003</v>
      </c>
      <c r="I971">
        <v>6.3589320000000003</v>
      </c>
      <c r="J971">
        <v>4.8582859999999997</v>
      </c>
      <c r="K971">
        <v>5.2995950000000001</v>
      </c>
      <c r="L971">
        <v>6.3696020000000004</v>
      </c>
      <c r="M971">
        <v>5.9563269999999999</v>
      </c>
      <c r="N971">
        <v>4.8660560000000004</v>
      </c>
    </row>
    <row r="972" spans="1:14" hidden="1" x14ac:dyDescent="0.35">
      <c r="A972" t="s">
        <v>222</v>
      </c>
      <c r="B972" t="s">
        <v>168</v>
      </c>
      <c r="C972" t="s">
        <v>87</v>
      </c>
      <c r="D972" t="s">
        <v>87</v>
      </c>
      <c r="E972" t="s">
        <v>584</v>
      </c>
      <c r="F972" t="s">
        <v>26</v>
      </c>
      <c r="G972" t="s">
        <v>26</v>
      </c>
      <c r="H972">
        <v>1.649548</v>
      </c>
      <c r="I972">
        <v>1.48611</v>
      </c>
      <c r="J972">
        <v>1.380193</v>
      </c>
      <c r="K972">
        <v>1.387157</v>
      </c>
      <c r="L972">
        <v>1.8082199999999999</v>
      </c>
      <c r="M972">
        <v>1.692404</v>
      </c>
      <c r="N972">
        <v>1.3842909999999999</v>
      </c>
    </row>
    <row r="973" spans="1:14" hidden="1" x14ac:dyDescent="0.35">
      <c r="A973" t="s">
        <v>222</v>
      </c>
      <c r="B973" t="s">
        <v>225</v>
      </c>
      <c r="C973" t="s">
        <v>224</v>
      </c>
      <c r="D973" t="s">
        <v>224</v>
      </c>
      <c r="E973" t="s">
        <v>661</v>
      </c>
      <c r="F973" t="s">
        <v>581</v>
      </c>
      <c r="G973" t="s">
        <v>396</v>
      </c>
      <c r="H973">
        <v>0</v>
      </c>
      <c r="I973">
        <v>4.6336160000000001E-2</v>
      </c>
      <c r="J973">
        <v>0.2292315</v>
      </c>
      <c r="K973">
        <v>0.28942990000000002</v>
      </c>
      <c r="L973">
        <v>0.27825260000000002</v>
      </c>
      <c r="M973">
        <v>0.2074994</v>
      </c>
      <c r="N973">
        <v>0.1616553</v>
      </c>
    </row>
    <row r="974" spans="1:14" hidden="1" x14ac:dyDescent="0.35">
      <c r="A974" t="s">
        <v>222</v>
      </c>
      <c r="B974" t="s">
        <v>225</v>
      </c>
      <c r="C974" t="s">
        <v>224</v>
      </c>
      <c r="D974" t="s">
        <v>224</v>
      </c>
      <c r="E974" t="s">
        <v>661</v>
      </c>
      <c r="F974" t="s">
        <v>581</v>
      </c>
      <c r="G974" t="s">
        <v>25</v>
      </c>
      <c r="H974">
        <v>0</v>
      </c>
      <c r="I974">
        <v>2.7224660000000002E-3</v>
      </c>
      <c r="J974">
        <v>1.348384E-2</v>
      </c>
      <c r="K974">
        <v>1.7023010000000002E-2</v>
      </c>
      <c r="L974">
        <v>1.636603E-2</v>
      </c>
      <c r="M974">
        <v>1.2204929999999999E-2</v>
      </c>
      <c r="N974">
        <v>9.5098639999999998E-3</v>
      </c>
    </row>
    <row r="975" spans="1:14" hidden="1" x14ac:dyDescent="0.35">
      <c r="A975" t="s">
        <v>222</v>
      </c>
      <c r="B975" t="s">
        <v>225</v>
      </c>
      <c r="C975" t="s">
        <v>224</v>
      </c>
      <c r="D975" t="s">
        <v>224</v>
      </c>
      <c r="E975" t="s">
        <v>661</v>
      </c>
      <c r="F975" t="s">
        <v>26</v>
      </c>
      <c r="G975" t="s">
        <v>26</v>
      </c>
      <c r="H975">
        <v>0</v>
      </c>
      <c r="I975">
        <v>5.4512329999999998E-3</v>
      </c>
      <c r="J975">
        <v>2.6968760000000001E-2</v>
      </c>
      <c r="K975">
        <v>3.405151E-2</v>
      </c>
      <c r="L975">
        <v>3.273562E-2</v>
      </c>
      <c r="M975">
        <v>2.44126E-2</v>
      </c>
      <c r="N975">
        <v>1.901891E-2</v>
      </c>
    </row>
    <row r="976" spans="1:14" hidden="1" x14ac:dyDescent="0.35">
      <c r="A976" t="s">
        <v>666</v>
      </c>
      <c r="B976" t="s">
        <v>37</v>
      </c>
      <c r="C976" t="s">
        <v>63</v>
      </c>
      <c r="D976" t="s">
        <v>63</v>
      </c>
      <c r="E976" t="s">
        <v>608</v>
      </c>
      <c r="F976" t="s">
        <v>581</v>
      </c>
      <c r="G976" t="s">
        <v>25</v>
      </c>
      <c r="H976">
        <v>6.1609559999999997</v>
      </c>
      <c r="I976">
        <v>5.7629130000000002</v>
      </c>
      <c r="J976">
        <v>7.2092580000000002</v>
      </c>
      <c r="K976">
        <v>8.0115099999999995</v>
      </c>
      <c r="L976">
        <v>7.562811</v>
      </c>
      <c r="M976">
        <v>6.908957</v>
      </c>
      <c r="N976">
        <v>6.4127980000000004</v>
      </c>
    </row>
    <row r="977" spans="1:14" hidden="1" x14ac:dyDescent="0.35">
      <c r="A977" t="s">
        <v>666</v>
      </c>
      <c r="B977" t="s">
        <v>37</v>
      </c>
      <c r="C977" t="s">
        <v>63</v>
      </c>
      <c r="D977" t="s">
        <v>63</v>
      </c>
      <c r="E977" t="s">
        <v>608</v>
      </c>
      <c r="F977" t="s">
        <v>26</v>
      </c>
      <c r="G977" t="s">
        <v>26</v>
      </c>
      <c r="H977">
        <v>122.3586</v>
      </c>
      <c r="I977">
        <v>112.7587</v>
      </c>
      <c r="J977">
        <v>139.90870000000001</v>
      </c>
      <c r="K977">
        <v>154.78899999999999</v>
      </c>
      <c r="L977">
        <v>146.09289999999999</v>
      </c>
      <c r="M977">
        <v>133.68559999999999</v>
      </c>
      <c r="N977">
        <v>123.8969</v>
      </c>
    </row>
    <row r="978" spans="1:14" hidden="1" x14ac:dyDescent="0.35">
      <c r="A978" t="s">
        <v>666</v>
      </c>
      <c r="B978" t="s">
        <v>37</v>
      </c>
      <c r="C978" t="s">
        <v>63</v>
      </c>
      <c r="D978" t="s">
        <v>63</v>
      </c>
      <c r="E978" t="s">
        <v>610</v>
      </c>
      <c r="F978" t="s">
        <v>581</v>
      </c>
      <c r="G978" t="s">
        <v>24</v>
      </c>
      <c r="H978">
        <v>0.498726</v>
      </c>
      <c r="I978">
        <v>1.1845650000000001</v>
      </c>
      <c r="J978">
        <v>1.8359829999999999</v>
      </c>
      <c r="K978">
        <v>2.5010219999999999</v>
      </c>
      <c r="L978">
        <v>2.6608520000000002</v>
      </c>
      <c r="M978">
        <v>2.530786</v>
      </c>
      <c r="N978">
        <v>2.5868959999999999</v>
      </c>
    </row>
    <row r="979" spans="1:14" hidden="1" x14ac:dyDescent="0.35">
      <c r="A979" t="s">
        <v>666</v>
      </c>
      <c r="B979" t="s">
        <v>37</v>
      </c>
      <c r="C979" t="s">
        <v>63</v>
      </c>
      <c r="D979" t="s">
        <v>63</v>
      </c>
      <c r="E979" t="s">
        <v>610</v>
      </c>
      <c r="F979" t="s">
        <v>581</v>
      </c>
      <c r="G979" t="s">
        <v>25</v>
      </c>
      <c r="H979">
        <v>8.5869809999999998</v>
      </c>
      <c r="I979">
        <v>9.0900920000000003</v>
      </c>
      <c r="J979">
        <v>11.80772</v>
      </c>
      <c r="K979">
        <v>14.3438</v>
      </c>
      <c r="L979">
        <v>14.964969999999999</v>
      </c>
      <c r="M979">
        <v>14.54393</v>
      </c>
      <c r="N979">
        <v>15.02463</v>
      </c>
    </row>
    <row r="980" spans="1:14" hidden="1" x14ac:dyDescent="0.35">
      <c r="A980" t="s">
        <v>666</v>
      </c>
      <c r="B980" t="s">
        <v>37</v>
      </c>
      <c r="C980" t="s">
        <v>63</v>
      </c>
      <c r="D980" t="s">
        <v>63</v>
      </c>
      <c r="E980" t="s">
        <v>610</v>
      </c>
      <c r="F980" t="s">
        <v>26</v>
      </c>
      <c r="G980" t="s">
        <v>26</v>
      </c>
      <c r="H980">
        <v>29.308900000000001</v>
      </c>
      <c r="I980">
        <v>30.867039999999999</v>
      </c>
      <c r="J980">
        <v>40.931100000000001</v>
      </c>
      <c r="K980">
        <v>50.53445</v>
      </c>
      <c r="L980">
        <v>52.877459999999999</v>
      </c>
      <c r="M980">
        <v>51.224150000000002</v>
      </c>
      <c r="N980">
        <v>52.834589999999999</v>
      </c>
    </row>
    <row r="981" spans="1:14" hidden="1" x14ac:dyDescent="0.35">
      <c r="A981" t="s">
        <v>666</v>
      </c>
      <c r="B981" t="s">
        <v>37</v>
      </c>
      <c r="C981" t="s">
        <v>63</v>
      </c>
      <c r="D981" t="s">
        <v>63</v>
      </c>
      <c r="E981" t="s">
        <v>609</v>
      </c>
      <c r="F981" t="s">
        <v>581</v>
      </c>
      <c r="G981" t="s">
        <v>25</v>
      </c>
      <c r="H981">
        <v>0</v>
      </c>
      <c r="I981">
        <v>0.60138910000000001</v>
      </c>
      <c r="J981">
        <v>0.56777480000000002</v>
      </c>
      <c r="K981">
        <v>0.58403340000000004</v>
      </c>
      <c r="L981">
        <v>0.67090119999999998</v>
      </c>
      <c r="M981">
        <v>0.67190430000000001</v>
      </c>
      <c r="N981">
        <v>0.6659022</v>
      </c>
    </row>
    <row r="982" spans="1:14" hidden="1" x14ac:dyDescent="0.35">
      <c r="A982" t="s">
        <v>666</v>
      </c>
      <c r="B982" t="s">
        <v>37</v>
      </c>
      <c r="C982" t="s">
        <v>63</v>
      </c>
      <c r="D982" t="s">
        <v>63</v>
      </c>
      <c r="E982" t="s">
        <v>609</v>
      </c>
      <c r="F982" t="s">
        <v>26</v>
      </c>
      <c r="G982" t="s">
        <v>26</v>
      </c>
      <c r="H982">
        <v>51.917879999999997</v>
      </c>
      <c r="I982">
        <v>59.537100000000002</v>
      </c>
      <c r="J982">
        <v>56.210389999999997</v>
      </c>
      <c r="K982">
        <v>54.73939</v>
      </c>
      <c r="L982">
        <v>56.495289999999997</v>
      </c>
      <c r="M982">
        <v>57.124850000000002</v>
      </c>
      <c r="N982">
        <v>60.328249999999997</v>
      </c>
    </row>
    <row r="983" spans="1:14" hidden="1" x14ac:dyDescent="0.35">
      <c r="A983" t="s">
        <v>666</v>
      </c>
      <c r="B983" t="s">
        <v>37</v>
      </c>
      <c r="C983" t="s">
        <v>63</v>
      </c>
      <c r="D983" t="s">
        <v>63</v>
      </c>
      <c r="E983" t="s">
        <v>584</v>
      </c>
      <c r="F983" t="s">
        <v>581</v>
      </c>
      <c r="G983" t="s">
        <v>396</v>
      </c>
      <c r="H983">
        <v>8.4931510000000004E-4</v>
      </c>
      <c r="I983">
        <v>0</v>
      </c>
    </row>
    <row r="984" spans="1:14" hidden="1" x14ac:dyDescent="0.35">
      <c r="A984" t="s">
        <v>666</v>
      </c>
      <c r="B984" t="s">
        <v>37</v>
      </c>
      <c r="C984" t="s">
        <v>63</v>
      </c>
      <c r="D984" t="s">
        <v>63</v>
      </c>
      <c r="E984" t="s">
        <v>584</v>
      </c>
      <c r="F984" t="s">
        <v>26</v>
      </c>
      <c r="G984" t="s">
        <v>26</v>
      </c>
      <c r="H984">
        <v>17.333010000000002</v>
      </c>
      <c r="I984">
        <v>17.332840000000001</v>
      </c>
      <c r="J984">
        <v>17.332650000000001</v>
      </c>
      <c r="K984">
        <v>17.326329999999999</v>
      </c>
      <c r="L984">
        <v>17.326280000000001</v>
      </c>
      <c r="M984">
        <v>17.326229999999999</v>
      </c>
      <c r="N984">
        <v>17.326180000000001</v>
      </c>
    </row>
    <row r="985" spans="1:14" hidden="1" x14ac:dyDescent="0.35">
      <c r="A985" t="s">
        <v>666</v>
      </c>
      <c r="B985" t="s">
        <v>37</v>
      </c>
      <c r="C985" t="s">
        <v>63</v>
      </c>
      <c r="D985" t="s">
        <v>63</v>
      </c>
      <c r="E985" t="s">
        <v>611</v>
      </c>
      <c r="F985" t="s">
        <v>581</v>
      </c>
      <c r="G985" t="s">
        <v>25</v>
      </c>
      <c r="H985">
        <v>9.3147949999999993E-2</v>
      </c>
      <c r="I985">
        <v>7.8849310000000006E-2</v>
      </c>
      <c r="J985">
        <v>8.018082E-2</v>
      </c>
      <c r="K985">
        <v>7.3893139999999996E-2</v>
      </c>
      <c r="L985">
        <v>7.3765750000000005E-2</v>
      </c>
      <c r="M985">
        <v>6.5517259999999994E-2</v>
      </c>
      <c r="N985">
        <v>5.5275610000000003E-2</v>
      </c>
    </row>
    <row r="986" spans="1:14" hidden="1" x14ac:dyDescent="0.35">
      <c r="A986" t="s">
        <v>666</v>
      </c>
      <c r="B986" t="s">
        <v>37</v>
      </c>
      <c r="C986" t="s">
        <v>63</v>
      </c>
      <c r="D986" t="s">
        <v>63</v>
      </c>
      <c r="E986" t="s">
        <v>611</v>
      </c>
      <c r="F986" t="s">
        <v>26</v>
      </c>
      <c r="G986" t="s">
        <v>26</v>
      </c>
      <c r="H986">
        <v>1.8024659999999999</v>
      </c>
      <c r="I986">
        <v>1.498181</v>
      </c>
      <c r="J986">
        <v>1.523441</v>
      </c>
      <c r="K986">
        <v>1.4040410000000001</v>
      </c>
      <c r="L986">
        <v>1.4016420000000001</v>
      </c>
      <c r="M986">
        <v>1.2447550000000001</v>
      </c>
      <c r="N986">
        <v>1.0502149999999999</v>
      </c>
    </row>
    <row r="987" spans="1:14" hidden="1" x14ac:dyDescent="0.35">
      <c r="A987" t="s">
        <v>666</v>
      </c>
      <c r="B987" t="s">
        <v>37</v>
      </c>
      <c r="C987" t="s">
        <v>63</v>
      </c>
      <c r="D987" t="s">
        <v>63</v>
      </c>
      <c r="E987" t="s">
        <v>667</v>
      </c>
      <c r="F987" t="s">
        <v>26</v>
      </c>
      <c r="G987" t="s">
        <v>26</v>
      </c>
      <c r="H987">
        <v>7.6849310000000004E-2</v>
      </c>
      <c r="I987">
        <v>0.19176989999999999</v>
      </c>
      <c r="J987">
        <v>0.17168220000000001</v>
      </c>
      <c r="K987">
        <v>0.1544548</v>
      </c>
      <c r="L987">
        <v>0.1390055</v>
      </c>
      <c r="M987">
        <v>0.12542739999999999</v>
      </c>
      <c r="N987">
        <v>0.1125589</v>
      </c>
    </row>
    <row r="988" spans="1:14" hidden="1" x14ac:dyDescent="0.35">
      <c r="A988" t="s">
        <v>666</v>
      </c>
      <c r="B988" t="s">
        <v>37</v>
      </c>
      <c r="C988" t="s">
        <v>63</v>
      </c>
      <c r="D988" t="s">
        <v>63</v>
      </c>
      <c r="E988" t="s">
        <v>668</v>
      </c>
      <c r="F988" t="s">
        <v>581</v>
      </c>
      <c r="G988" t="s">
        <v>25</v>
      </c>
      <c r="H988">
        <v>0</v>
      </c>
      <c r="I988">
        <v>2.6208220000000001E-2</v>
      </c>
      <c r="J988">
        <v>2.3506849999999999E-2</v>
      </c>
      <c r="K988">
        <v>2.1161639999999999E-2</v>
      </c>
      <c r="L988">
        <v>1.9046569999999999E-2</v>
      </c>
      <c r="M988">
        <v>1.7180819999999999E-2</v>
      </c>
      <c r="N988">
        <v>1.5419159999999999E-2</v>
      </c>
    </row>
    <row r="989" spans="1:14" hidden="1" x14ac:dyDescent="0.35">
      <c r="A989" t="s">
        <v>666</v>
      </c>
      <c r="B989" t="s">
        <v>37</v>
      </c>
      <c r="C989" t="s">
        <v>63</v>
      </c>
      <c r="D989" t="s">
        <v>63</v>
      </c>
      <c r="E989" t="s">
        <v>668</v>
      </c>
      <c r="F989" t="s">
        <v>26</v>
      </c>
      <c r="G989" t="s">
        <v>26</v>
      </c>
      <c r="H989">
        <v>4.191781E-2</v>
      </c>
      <c r="I989">
        <v>0.1048246</v>
      </c>
      <c r="J989">
        <v>9.4043829999999995E-2</v>
      </c>
      <c r="K989">
        <v>8.4635619999999995E-2</v>
      </c>
      <c r="L989">
        <v>7.6172610000000002E-2</v>
      </c>
      <c r="M989">
        <v>6.8731500000000001E-2</v>
      </c>
      <c r="N989">
        <v>6.1679379999999999E-2</v>
      </c>
    </row>
    <row r="990" spans="1:14" hidden="1" x14ac:dyDescent="0.35">
      <c r="A990" t="s">
        <v>666</v>
      </c>
      <c r="B990" t="s">
        <v>37</v>
      </c>
      <c r="C990" t="s">
        <v>110</v>
      </c>
      <c r="D990" t="s">
        <v>110</v>
      </c>
      <c r="E990" t="s">
        <v>584</v>
      </c>
      <c r="F990" t="s">
        <v>26</v>
      </c>
      <c r="G990" t="s">
        <v>26</v>
      </c>
      <c r="H990">
        <v>7.6989049999999999</v>
      </c>
      <c r="I990">
        <v>7.4145149999999997</v>
      </c>
      <c r="J990">
        <v>7.14046</v>
      </c>
      <c r="K990">
        <v>6.8698649999999999</v>
      </c>
      <c r="L990">
        <v>6.5471959999999996</v>
      </c>
      <c r="M990">
        <v>6.0994570000000001</v>
      </c>
      <c r="N990">
        <v>5.7050789999999996</v>
      </c>
    </row>
    <row r="991" spans="1:14" hidden="1" x14ac:dyDescent="0.35">
      <c r="A991" t="s">
        <v>666</v>
      </c>
      <c r="B991" t="s">
        <v>37</v>
      </c>
      <c r="C991" t="s">
        <v>115</v>
      </c>
      <c r="D991" t="s">
        <v>115</v>
      </c>
      <c r="E991" t="s">
        <v>584</v>
      </c>
      <c r="F991" t="s">
        <v>26</v>
      </c>
      <c r="G991" t="s">
        <v>26</v>
      </c>
      <c r="H991">
        <v>0.27167950000000002</v>
      </c>
      <c r="I991">
        <v>0.24454790000000001</v>
      </c>
      <c r="J991">
        <v>0.22012880000000001</v>
      </c>
      <c r="K991">
        <v>0.19814789999999999</v>
      </c>
      <c r="L991">
        <v>0.17836170000000001</v>
      </c>
      <c r="M991">
        <v>0.16055069999999999</v>
      </c>
      <c r="N991">
        <v>0.1445178</v>
      </c>
    </row>
    <row r="992" spans="1:14" hidden="1" x14ac:dyDescent="0.35">
      <c r="A992" t="s">
        <v>666</v>
      </c>
      <c r="B992" t="s">
        <v>37</v>
      </c>
      <c r="C992" t="s">
        <v>246</v>
      </c>
      <c r="D992" t="s">
        <v>246</v>
      </c>
      <c r="E992" t="s">
        <v>647</v>
      </c>
      <c r="F992" t="s">
        <v>26</v>
      </c>
      <c r="G992" t="s">
        <v>26</v>
      </c>
      <c r="H992">
        <v>6.9863019999999998E-3</v>
      </c>
      <c r="I992">
        <v>1.767123E-2</v>
      </c>
      <c r="J992">
        <v>1.586301E-2</v>
      </c>
      <c r="K992">
        <v>1.427671E-2</v>
      </c>
      <c r="L992">
        <v>0.11398</v>
      </c>
      <c r="M992">
        <v>0.18636059999999999</v>
      </c>
      <c r="N992">
        <v>0.13708580000000001</v>
      </c>
    </row>
    <row r="993" spans="1:14" x14ac:dyDescent="0.35">
      <c r="A993" t="s">
        <v>270</v>
      </c>
      <c r="B993" t="s">
        <v>37</v>
      </c>
      <c r="C993" t="s">
        <v>35</v>
      </c>
      <c r="D993" t="s">
        <v>39</v>
      </c>
      <c r="E993" t="s">
        <v>582</v>
      </c>
      <c r="F993" t="s">
        <v>581</v>
      </c>
      <c r="G993" t="s">
        <v>396</v>
      </c>
      <c r="H993">
        <v>77.67671</v>
      </c>
      <c r="I993">
        <v>81.305049999999994</v>
      </c>
      <c r="J993">
        <v>76.511709999999994</v>
      </c>
      <c r="K993">
        <v>67.166110000000003</v>
      </c>
      <c r="L993">
        <v>63.741120000000002</v>
      </c>
      <c r="M993">
        <v>62.557200000000002</v>
      </c>
      <c r="N993">
        <v>59.274520000000003</v>
      </c>
    </row>
    <row r="994" spans="1:14" hidden="1" x14ac:dyDescent="0.35">
      <c r="A994" t="s">
        <v>270</v>
      </c>
      <c r="B994" t="s">
        <v>37</v>
      </c>
      <c r="C994" t="s">
        <v>35</v>
      </c>
      <c r="D994" t="s">
        <v>39</v>
      </c>
      <c r="E994" t="s">
        <v>582</v>
      </c>
      <c r="F994" t="s">
        <v>26</v>
      </c>
      <c r="G994" t="s">
        <v>26</v>
      </c>
      <c r="H994">
        <v>52.356720000000003</v>
      </c>
      <c r="I994">
        <v>53.264569999999999</v>
      </c>
      <c r="J994">
        <v>50.116970000000002</v>
      </c>
      <c r="K994">
        <v>43.992739999999998</v>
      </c>
      <c r="L994">
        <v>41.743609999999997</v>
      </c>
      <c r="M994">
        <v>40.95449</v>
      </c>
      <c r="N994">
        <v>38.789810000000003</v>
      </c>
    </row>
    <row r="995" spans="1:14" x14ac:dyDescent="0.35">
      <c r="A995" t="s">
        <v>270</v>
      </c>
      <c r="B995" t="s">
        <v>37</v>
      </c>
      <c r="C995" t="s">
        <v>35</v>
      </c>
      <c r="D995" t="s">
        <v>36</v>
      </c>
      <c r="E995" t="s">
        <v>588</v>
      </c>
      <c r="F995" t="s">
        <v>581</v>
      </c>
      <c r="G995" t="s">
        <v>396</v>
      </c>
      <c r="H995">
        <v>39.36</v>
      </c>
      <c r="I995">
        <v>44.469520000000003</v>
      </c>
      <c r="J995">
        <v>47.346110000000003</v>
      </c>
      <c r="K995">
        <v>44.992190000000001</v>
      </c>
      <c r="L995">
        <v>44.82253</v>
      </c>
      <c r="M995">
        <v>45.822119999999998</v>
      </c>
      <c r="N995">
        <v>46.017420000000001</v>
      </c>
    </row>
    <row r="996" spans="1:14" hidden="1" x14ac:dyDescent="0.35">
      <c r="A996" t="s">
        <v>270</v>
      </c>
      <c r="B996" t="s">
        <v>37</v>
      </c>
      <c r="C996" t="s">
        <v>35</v>
      </c>
      <c r="D996" t="s">
        <v>36</v>
      </c>
      <c r="E996" t="s">
        <v>588</v>
      </c>
      <c r="F996" t="s">
        <v>581</v>
      </c>
      <c r="G996" t="s">
        <v>25</v>
      </c>
      <c r="H996">
        <v>0.9828711</v>
      </c>
      <c r="I996">
        <v>1.2180839999999999</v>
      </c>
      <c r="J996">
        <v>1.2971539999999999</v>
      </c>
      <c r="K996">
        <v>1.232664</v>
      </c>
      <c r="L996">
        <v>1.2280089999999999</v>
      </c>
      <c r="M996">
        <v>1.255401</v>
      </c>
      <c r="N996">
        <v>1.260748</v>
      </c>
    </row>
    <row r="997" spans="1:14" hidden="1" x14ac:dyDescent="0.35">
      <c r="A997" t="s">
        <v>270</v>
      </c>
      <c r="B997" t="s">
        <v>37</v>
      </c>
      <c r="C997" t="s">
        <v>35</v>
      </c>
      <c r="D997" t="s">
        <v>36</v>
      </c>
      <c r="E997" t="s">
        <v>588</v>
      </c>
      <c r="F997" t="s">
        <v>26</v>
      </c>
      <c r="G997" t="s">
        <v>26</v>
      </c>
      <c r="H997">
        <v>14.827400000000001</v>
      </c>
      <c r="I997">
        <v>15.226039999999999</v>
      </c>
      <c r="J997">
        <v>16.21442</v>
      </c>
      <c r="K997">
        <v>15.408289999999999</v>
      </c>
      <c r="L997">
        <v>15.35018</v>
      </c>
      <c r="M997">
        <v>15.69251</v>
      </c>
      <c r="N997">
        <v>15.75939</v>
      </c>
    </row>
    <row r="998" spans="1:14" x14ac:dyDescent="0.35">
      <c r="A998" t="s">
        <v>270</v>
      </c>
      <c r="B998" t="s">
        <v>37</v>
      </c>
      <c r="C998" t="s">
        <v>35</v>
      </c>
      <c r="D998" t="s">
        <v>36</v>
      </c>
      <c r="E998" t="s">
        <v>589</v>
      </c>
      <c r="F998" t="s">
        <v>581</v>
      </c>
      <c r="G998" t="s">
        <v>396</v>
      </c>
      <c r="H998">
        <v>16.414249999999999</v>
      </c>
      <c r="I998">
        <v>13.851129999999999</v>
      </c>
      <c r="J998">
        <v>14.96339</v>
      </c>
      <c r="K998">
        <v>13.327819999999999</v>
      </c>
      <c r="L998">
        <v>11.924379999999999</v>
      </c>
      <c r="M998">
        <v>11.865869999999999</v>
      </c>
      <c r="N998">
        <v>11.925520000000001</v>
      </c>
    </row>
    <row r="999" spans="1:14" hidden="1" x14ac:dyDescent="0.35">
      <c r="A999" t="s">
        <v>270</v>
      </c>
      <c r="B999" t="s">
        <v>37</v>
      </c>
      <c r="C999" t="s">
        <v>35</v>
      </c>
      <c r="D999" t="s">
        <v>36</v>
      </c>
      <c r="E999" t="s">
        <v>589</v>
      </c>
      <c r="F999" t="s">
        <v>581</v>
      </c>
      <c r="G999" t="s">
        <v>25</v>
      </c>
      <c r="H999">
        <v>0.20495620000000001</v>
      </c>
      <c r="I999">
        <v>0.18947559999999999</v>
      </c>
      <c r="J999">
        <v>0.2049764</v>
      </c>
      <c r="K999">
        <v>0.1825753</v>
      </c>
      <c r="L999">
        <v>0.16334960000000001</v>
      </c>
      <c r="M999">
        <v>0.16254740000000001</v>
      </c>
      <c r="N999">
        <v>0.1633608</v>
      </c>
    </row>
    <row r="1000" spans="1:14" hidden="1" x14ac:dyDescent="0.35">
      <c r="A1000" t="s">
        <v>270</v>
      </c>
      <c r="B1000" t="s">
        <v>37</v>
      </c>
      <c r="C1000" t="s">
        <v>35</v>
      </c>
      <c r="D1000" t="s">
        <v>36</v>
      </c>
      <c r="E1000" t="s">
        <v>589</v>
      </c>
      <c r="F1000" t="s">
        <v>26</v>
      </c>
      <c r="G1000" t="s">
        <v>26</v>
      </c>
      <c r="H1000">
        <v>6.4306850000000004</v>
      </c>
      <c r="I1000">
        <v>4.9263909999999997</v>
      </c>
      <c r="J1000">
        <v>5.3294269999999999</v>
      </c>
      <c r="K1000">
        <v>4.746893</v>
      </c>
      <c r="L1000">
        <v>4.2470410000000003</v>
      </c>
      <c r="M1000">
        <v>4.2262009999999997</v>
      </c>
      <c r="N1000">
        <v>4.2474470000000002</v>
      </c>
    </row>
    <row r="1001" spans="1:14" x14ac:dyDescent="0.35">
      <c r="A1001" t="s">
        <v>270</v>
      </c>
      <c r="B1001" t="s">
        <v>37</v>
      </c>
      <c r="C1001" t="s">
        <v>35</v>
      </c>
      <c r="D1001" t="s">
        <v>36</v>
      </c>
      <c r="E1001" t="s">
        <v>590</v>
      </c>
      <c r="F1001" t="s">
        <v>581</v>
      </c>
      <c r="G1001" t="s">
        <v>396</v>
      </c>
      <c r="H1001">
        <v>11.489319999999999</v>
      </c>
      <c r="I1001">
        <v>11.540850000000001</v>
      </c>
      <c r="J1001">
        <v>13.564819999999999</v>
      </c>
      <c r="K1001">
        <v>14.08999</v>
      </c>
      <c r="L1001">
        <v>13.49898</v>
      </c>
      <c r="M1001">
        <v>13.156459999999999</v>
      </c>
      <c r="N1001">
        <v>13.927429999999999</v>
      </c>
    </row>
    <row r="1002" spans="1:14" hidden="1" x14ac:dyDescent="0.35">
      <c r="A1002" t="s">
        <v>270</v>
      </c>
      <c r="B1002" t="s">
        <v>37</v>
      </c>
      <c r="C1002" t="s">
        <v>35</v>
      </c>
      <c r="D1002" t="s">
        <v>36</v>
      </c>
      <c r="E1002" t="s">
        <v>590</v>
      </c>
      <c r="F1002" t="s">
        <v>581</v>
      </c>
      <c r="G1002" t="s">
        <v>25</v>
      </c>
      <c r="H1002">
        <v>0.2949753</v>
      </c>
      <c r="I1002">
        <v>0.32529639999999999</v>
      </c>
      <c r="J1002">
        <v>0.382106</v>
      </c>
      <c r="K1002">
        <v>0.39689839999999998</v>
      </c>
      <c r="L1002">
        <v>0.38025310000000001</v>
      </c>
      <c r="M1002">
        <v>0.37060470000000001</v>
      </c>
      <c r="N1002">
        <v>0.3923239</v>
      </c>
    </row>
    <row r="1003" spans="1:14" hidden="1" x14ac:dyDescent="0.35">
      <c r="A1003" t="s">
        <v>270</v>
      </c>
      <c r="B1003" t="s">
        <v>37</v>
      </c>
      <c r="C1003" t="s">
        <v>35</v>
      </c>
      <c r="D1003" t="s">
        <v>36</v>
      </c>
      <c r="E1003" t="s">
        <v>590</v>
      </c>
      <c r="F1003" t="s">
        <v>26</v>
      </c>
      <c r="G1003" t="s">
        <v>26</v>
      </c>
      <c r="H1003">
        <v>4.8065749999999996</v>
      </c>
      <c r="I1003">
        <v>4.3914980000000003</v>
      </c>
      <c r="J1003">
        <v>5.1584519999999996</v>
      </c>
      <c r="K1003">
        <v>5.3581649999999996</v>
      </c>
      <c r="L1003">
        <v>5.1334099999999996</v>
      </c>
      <c r="M1003">
        <v>5.0031610000000004</v>
      </c>
      <c r="N1003">
        <v>5.2963449999999996</v>
      </c>
    </row>
    <row r="1004" spans="1:14" x14ac:dyDescent="0.35">
      <c r="A1004" t="s">
        <v>270</v>
      </c>
      <c r="B1004" t="s">
        <v>37</v>
      </c>
      <c r="C1004" t="s">
        <v>35</v>
      </c>
      <c r="D1004" t="s">
        <v>36</v>
      </c>
      <c r="E1004" t="s">
        <v>587</v>
      </c>
      <c r="F1004" t="s">
        <v>581</v>
      </c>
      <c r="G1004" t="s">
        <v>396</v>
      </c>
      <c r="H1004">
        <v>5.7731500000000002</v>
      </c>
      <c r="I1004">
        <v>4.6281780000000001</v>
      </c>
      <c r="J1004">
        <v>4.0860110000000001</v>
      </c>
      <c r="K1004">
        <v>3.646995</v>
      </c>
      <c r="L1004">
        <v>3.2247400000000002</v>
      </c>
      <c r="M1004">
        <v>2.8336250000000001</v>
      </c>
      <c r="N1004">
        <v>2.4773890000000001</v>
      </c>
    </row>
    <row r="1005" spans="1:14" hidden="1" x14ac:dyDescent="0.35">
      <c r="A1005" t="s">
        <v>270</v>
      </c>
      <c r="B1005" t="s">
        <v>37</v>
      </c>
      <c r="C1005" t="s">
        <v>35</v>
      </c>
      <c r="D1005" t="s">
        <v>36</v>
      </c>
      <c r="E1005" t="s">
        <v>587</v>
      </c>
      <c r="F1005" t="s">
        <v>581</v>
      </c>
      <c r="G1005" t="s">
        <v>25</v>
      </c>
      <c r="H1005">
        <v>0.35083569999999997</v>
      </c>
      <c r="I1005">
        <v>0.30857259999999997</v>
      </c>
      <c r="J1005">
        <v>0.2724027</v>
      </c>
      <c r="K1005">
        <v>0.2431315</v>
      </c>
      <c r="L1005">
        <v>0.2149836</v>
      </c>
      <c r="M1005">
        <v>0.18890960000000001</v>
      </c>
      <c r="N1005">
        <v>0.1651589</v>
      </c>
    </row>
    <row r="1006" spans="1:14" hidden="1" x14ac:dyDescent="0.35">
      <c r="A1006" t="s">
        <v>270</v>
      </c>
      <c r="B1006" t="s">
        <v>37</v>
      </c>
      <c r="C1006" t="s">
        <v>35</v>
      </c>
      <c r="D1006" t="s">
        <v>36</v>
      </c>
      <c r="E1006" t="s">
        <v>587</v>
      </c>
      <c r="F1006" t="s">
        <v>26</v>
      </c>
      <c r="G1006" t="s">
        <v>26</v>
      </c>
      <c r="H1006">
        <v>3.8115070000000002</v>
      </c>
      <c r="I1006">
        <v>2.777164</v>
      </c>
      <c r="J1006">
        <v>2.451606</v>
      </c>
      <c r="K1006">
        <v>2.1881970000000002</v>
      </c>
      <c r="L1006">
        <v>1.934844</v>
      </c>
      <c r="M1006">
        <v>1.700175</v>
      </c>
      <c r="N1006">
        <v>1.4864360000000001</v>
      </c>
    </row>
    <row r="1007" spans="1:14" x14ac:dyDescent="0.35">
      <c r="A1007" t="s">
        <v>270</v>
      </c>
      <c r="B1007" t="s">
        <v>37</v>
      </c>
      <c r="C1007" t="s">
        <v>35</v>
      </c>
      <c r="D1007" t="s">
        <v>129</v>
      </c>
      <c r="E1007" t="s">
        <v>580</v>
      </c>
      <c r="F1007" t="s">
        <v>581</v>
      </c>
      <c r="G1007" t="s">
        <v>396</v>
      </c>
      <c r="H1007">
        <v>42.871229999999997</v>
      </c>
      <c r="I1007">
        <v>39.50535</v>
      </c>
      <c r="J1007">
        <v>37.871920000000003</v>
      </c>
      <c r="K1007">
        <v>33.051169999999999</v>
      </c>
      <c r="L1007">
        <v>28.72861</v>
      </c>
      <c r="M1007">
        <v>25.105740000000001</v>
      </c>
      <c r="N1007">
        <v>23.41301</v>
      </c>
    </row>
    <row r="1008" spans="1:14" hidden="1" x14ac:dyDescent="0.35">
      <c r="A1008" t="s">
        <v>270</v>
      </c>
      <c r="B1008" t="s">
        <v>37</v>
      </c>
      <c r="C1008" t="s">
        <v>35</v>
      </c>
      <c r="D1008" t="s">
        <v>129</v>
      </c>
      <c r="E1008" t="s">
        <v>580</v>
      </c>
      <c r="F1008" t="s">
        <v>26</v>
      </c>
      <c r="G1008" t="s">
        <v>26</v>
      </c>
      <c r="H1008">
        <v>25.269449999999999</v>
      </c>
      <c r="I1008">
        <v>22.59892</v>
      </c>
      <c r="J1008">
        <v>21.667110000000001</v>
      </c>
      <c r="K1008">
        <v>18.909079999999999</v>
      </c>
      <c r="L1008">
        <v>16.43608</v>
      </c>
      <c r="M1008">
        <v>14.363379999999999</v>
      </c>
      <c r="N1008">
        <v>13.39495</v>
      </c>
    </row>
    <row r="1009" spans="1:14" x14ac:dyDescent="0.35">
      <c r="A1009" t="s">
        <v>270</v>
      </c>
      <c r="B1009" t="s">
        <v>37</v>
      </c>
      <c r="C1009" t="s">
        <v>35</v>
      </c>
      <c r="D1009" t="s">
        <v>38</v>
      </c>
      <c r="E1009" t="s">
        <v>584</v>
      </c>
      <c r="F1009" t="s">
        <v>581</v>
      </c>
      <c r="G1009" t="s">
        <v>396</v>
      </c>
      <c r="H1009">
        <v>6.4153419999999999</v>
      </c>
      <c r="I1009">
        <v>5.1542380000000003</v>
      </c>
      <c r="J1009">
        <v>4.4169210000000003</v>
      </c>
      <c r="K1009">
        <v>3.8636050000000002</v>
      </c>
      <c r="L1009">
        <v>3.3945340000000002</v>
      </c>
      <c r="M1009">
        <v>3.0264929999999999</v>
      </c>
      <c r="N1009">
        <v>2.6737120000000001</v>
      </c>
    </row>
    <row r="1010" spans="1:14" hidden="1" x14ac:dyDescent="0.35">
      <c r="A1010" t="s">
        <v>270</v>
      </c>
      <c r="B1010" t="s">
        <v>37</v>
      </c>
      <c r="C1010" t="s">
        <v>35</v>
      </c>
      <c r="D1010" t="s">
        <v>38</v>
      </c>
      <c r="E1010" t="s">
        <v>584</v>
      </c>
      <c r="F1010" t="s">
        <v>581</v>
      </c>
      <c r="G1010" t="s">
        <v>25</v>
      </c>
      <c r="H1010">
        <v>0.41026849999999998</v>
      </c>
      <c r="I1010">
        <v>0.36126849999999999</v>
      </c>
      <c r="J1010">
        <v>0.30995889999999998</v>
      </c>
      <c r="K1010">
        <v>0.27113150000000003</v>
      </c>
      <c r="L1010">
        <v>0.2382109</v>
      </c>
      <c r="M1010">
        <v>0.2123863</v>
      </c>
      <c r="N1010">
        <v>0.1876274</v>
      </c>
    </row>
    <row r="1011" spans="1:14" hidden="1" x14ac:dyDescent="0.35">
      <c r="A1011" t="s">
        <v>270</v>
      </c>
      <c r="B1011" t="s">
        <v>37</v>
      </c>
      <c r="C1011" t="s">
        <v>35</v>
      </c>
      <c r="D1011" t="s">
        <v>38</v>
      </c>
      <c r="E1011" t="s">
        <v>584</v>
      </c>
      <c r="F1011" t="s">
        <v>26</v>
      </c>
      <c r="G1011" t="s">
        <v>26</v>
      </c>
      <c r="H1011">
        <v>4.8284929999999999</v>
      </c>
      <c r="I1011">
        <v>3.5223589999999998</v>
      </c>
      <c r="J1011">
        <v>3.0221040000000001</v>
      </c>
      <c r="K1011">
        <v>2.6435209999999998</v>
      </c>
      <c r="L1011">
        <v>2.3225760000000002</v>
      </c>
      <c r="M1011">
        <v>2.0707589999999998</v>
      </c>
      <c r="N1011">
        <v>1.829383</v>
      </c>
    </row>
    <row r="1012" spans="1:14" hidden="1" x14ac:dyDescent="0.35">
      <c r="A1012" t="s">
        <v>664</v>
      </c>
      <c r="B1012" t="s">
        <v>53</v>
      </c>
      <c r="C1012" t="s">
        <v>52</v>
      </c>
      <c r="D1012" t="s">
        <v>52</v>
      </c>
      <c r="E1012" t="s">
        <v>584</v>
      </c>
      <c r="F1012" t="s">
        <v>581</v>
      </c>
      <c r="G1012" t="s">
        <v>396</v>
      </c>
      <c r="H1012">
        <v>12.74564</v>
      </c>
      <c r="I1012">
        <v>10.78302</v>
      </c>
      <c r="J1012">
        <v>8.9984870000000008</v>
      </c>
      <c r="K1012">
        <v>7.7557850000000004</v>
      </c>
      <c r="L1012">
        <v>5.4873289999999999</v>
      </c>
      <c r="M1012">
        <v>3.8089490000000001</v>
      </c>
      <c r="N1012">
        <v>2.7970609999999998</v>
      </c>
    </row>
    <row r="1013" spans="1:14" hidden="1" x14ac:dyDescent="0.35">
      <c r="A1013" t="s">
        <v>664</v>
      </c>
      <c r="B1013" t="s">
        <v>53</v>
      </c>
      <c r="C1013" t="s">
        <v>52</v>
      </c>
      <c r="D1013" t="s">
        <v>52</v>
      </c>
      <c r="E1013" t="s">
        <v>584</v>
      </c>
      <c r="F1013" t="s">
        <v>581</v>
      </c>
      <c r="G1013" t="s">
        <v>24</v>
      </c>
      <c r="H1013">
        <v>12.714790000000001</v>
      </c>
      <c r="I1013">
        <v>12.585050000000001</v>
      </c>
      <c r="J1013">
        <v>11.26905</v>
      </c>
      <c r="K1013">
        <v>9.8533200000000001</v>
      </c>
      <c r="L1013">
        <v>8.5802150000000008</v>
      </c>
      <c r="M1013">
        <v>7.2950229999999996</v>
      </c>
      <c r="N1013">
        <v>6.1154989999999998</v>
      </c>
    </row>
    <row r="1014" spans="1:14" hidden="1" x14ac:dyDescent="0.35">
      <c r="A1014" t="s">
        <v>664</v>
      </c>
      <c r="B1014" t="s">
        <v>53</v>
      </c>
      <c r="C1014" t="s">
        <v>52</v>
      </c>
      <c r="D1014" t="s">
        <v>52</v>
      </c>
      <c r="E1014" t="s">
        <v>584</v>
      </c>
      <c r="F1014" t="s">
        <v>26</v>
      </c>
      <c r="G1014" t="s">
        <v>26</v>
      </c>
      <c r="H1014">
        <v>91.24736</v>
      </c>
      <c r="I1014">
        <v>89.104969999999994</v>
      </c>
      <c r="J1014">
        <v>82.248959999999997</v>
      </c>
      <c r="K1014">
        <v>74.471980000000002</v>
      </c>
      <c r="L1014">
        <v>67.244470000000007</v>
      </c>
      <c r="M1014">
        <v>60.432020000000001</v>
      </c>
      <c r="N1014">
        <v>57.589509999999997</v>
      </c>
    </row>
    <row r="1015" spans="1:14" hidden="1" x14ac:dyDescent="0.35">
      <c r="A1015" t="s">
        <v>664</v>
      </c>
      <c r="B1015" t="s">
        <v>53</v>
      </c>
      <c r="C1015" t="s">
        <v>67</v>
      </c>
      <c r="D1015" t="s">
        <v>67</v>
      </c>
      <c r="E1015" t="s">
        <v>584</v>
      </c>
      <c r="F1015" t="s">
        <v>581</v>
      </c>
      <c r="G1015" t="s">
        <v>396</v>
      </c>
      <c r="H1015">
        <v>8.2109679999999994</v>
      </c>
      <c r="I1015">
        <v>7.9630450000000002</v>
      </c>
      <c r="J1015">
        <v>6.1959400000000002</v>
      </c>
      <c r="K1015">
        <v>5.9898870000000004</v>
      </c>
      <c r="L1015">
        <v>2.1922540000000001</v>
      </c>
      <c r="M1015">
        <v>2.0279310000000002</v>
      </c>
      <c r="N1015">
        <v>1.8840349999999999</v>
      </c>
    </row>
    <row r="1016" spans="1:14" hidden="1" x14ac:dyDescent="0.35">
      <c r="A1016" t="s">
        <v>664</v>
      </c>
      <c r="B1016" t="s">
        <v>53</v>
      </c>
      <c r="C1016" t="s">
        <v>67</v>
      </c>
      <c r="D1016" t="s">
        <v>67</v>
      </c>
      <c r="E1016" t="s">
        <v>584</v>
      </c>
      <c r="F1016" t="s">
        <v>581</v>
      </c>
      <c r="G1016" t="s">
        <v>24</v>
      </c>
      <c r="H1016">
        <v>5.4191209999999996</v>
      </c>
      <c r="I1016">
        <v>5.7768670000000002</v>
      </c>
      <c r="J1016">
        <v>5.6170059999999999</v>
      </c>
      <c r="K1016">
        <v>5.198861</v>
      </c>
      <c r="L1016">
        <v>4.3744050000000003</v>
      </c>
      <c r="M1016">
        <v>3.6471070000000001</v>
      </c>
      <c r="N1016">
        <v>3.0951550000000001</v>
      </c>
    </row>
    <row r="1017" spans="1:14" hidden="1" x14ac:dyDescent="0.35">
      <c r="A1017" t="s">
        <v>664</v>
      </c>
      <c r="B1017" t="s">
        <v>53</v>
      </c>
      <c r="C1017" t="s">
        <v>67</v>
      </c>
      <c r="D1017" t="s">
        <v>67</v>
      </c>
      <c r="E1017" t="s">
        <v>584</v>
      </c>
      <c r="F1017" t="s">
        <v>581</v>
      </c>
      <c r="G1017" t="s">
        <v>25</v>
      </c>
      <c r="H1017">
        <v>14.69314</v>
      </c>
      <c r="I1017">
        <v>13.978059999999999</v>
      </c>
      <c r="J1017">
        <v>13.04759</v>
      </c>
      <c r="K1017">
        <v>12.072979999999999</v>
      </c>
      <c r="L1017">
        <v>10.8056</v>
      </c>
      <c r="M1017">
        <v>9.5704930000000008</v>
      </c>
      <c r="N1017">
        <v>8.3240300000000005</v>
      </c>
    </row>
    <row r="1018" spans="1:14" hidden="1" x14ac:dyDescent="0.35">
      <c r="A1018" t="s">
        <v>664</v>
      </c>
      <c r="B1018" t="s">
        <v>53</v>
      </c>
      <c r="C1018" t="s">
        <v>67</v>
      </c>
      <c r="D1018" t="s">
        <v>67</v>
      </c>
      <c r="E1018" t="s">
        <v>584</v>
      </c>
      <c r="F1018" t="s">
        <v>26</v>
      </c>
      <c r="G1018" t="s">
        <v>26</v>
      </c>
      <c r="H1018">
        <v>52.964089999999999</v>
      </c>
      <c r="I1018">
        <v>49.45102</v>
      </c>
      <c r="J1018">
        <v>47.780380000000001</v>
      </c>
      <c r="K1018">
        <v>47.5794</v>
      </c>
      <c r="L1018">
        <v>47.917610000000003</v>
      </c>
      <c r="M1018">
        <v>45.298850000000002</v>
      </c>
      <c r="N1018">
        <v>41.434060000000002</v>
      </c>
    </row>
    <row r="1019" spans="1:14" hidden="1" x14ac:dyDescent="0.35">
      <c r="A1019" t="s">
        <v>664</v>
      </c>
      <c r="B1019" t="s">
        <v>53</v>
      </c>
      <c r="C1019" t="s">
        <v>145</v>
      </c>
      <c r="D1019" t="s">
        <v>145</v>
      </c>
      <c r="E1019" t="s">
        <v>584</v>
      </c>
      <c r="F1019" t="s">
        <v>581</v>
      </c>
      <c r="G1019" t="s">
        <v>25</v>
      </c>
      <c r="H1019">
        <v>1.478874</v>
      </c>
      <c r="I1019">
        <v>1.3405</v>
      </c>
      <c r="J1019">
        <v>1.254016</v>
      </c>
      <c r="K1019">
        <v>1.1675310000000001</v>
      </c>
      <c r="L1019">
        <v>1.126387</v>
      </c>
      <c r="M1019">
        <v>1.0625990000000001</v>
      </c>
      <c r="N1019">
        <v>1.00674</v>
      </c>
    </row>
    <row r="1020" spans="1:14" hidden="1" x14ac:dyDescent="0.35">
      <c r="A1020" t="s">
        <v>664</v>
      </c>
      <c r="B1020" t="s">
        <v>53</v>
      </c>
      <c r="C1020" t="s">
        <v>665</v>
      </c>
      <c r="D1020" t="s">
        <v>665</v>
      </c>
      <c r="E1020" t="s">
        <v>584</v>
      </c>
      <c r="F1020" t="s">
        <v>581</v>
      </c>
      <c r="G1020" t="s">
        <v>24</v>
      </c>
      <c r="H1020">
        <v>6.0164380000000003E-2</v>
      </c>
      <c r="I1020">
        <v>0</v>
      </c>
    </row>
    <row r="1021" spans="1:14" hidden="1" x14ac:dyDescent="0.35">
      <c r="A1021" t="s">
        <v>664</v>
      </c>
      <c r="B1021" t="s">
        <v>53</v>
      </c>
      <c r="C1021" t="s">
        <v>665</v>
      </c>
      <c r="D1021" t="s">
        <v>665</v>
      </c>
      <c r="E1021" t="s">
        <v>584</v>
      </c>
      <c r="F1021" t="s">
        <v>26</v>
      </c>
      <c r="G1021" t="s">
        <v>26</v>
      </c>
      <c r="H1021">
        <v>2.6260279999999998</v>
      </c>
      <c r="I1021">
        <v>0</v>
      </c>
    </row>
    <row r="1022" spans="1:14" hidden="1" x14ac:dyDescent="0.35">
      <c r="A1022" t="s">
        <v>664</v>
      </c>
      <c r="B1022" t="s">
        <v>53</v>
      </c>
      <c r="C1022" t="s">
        <v>151</v>
      </c>
      <c r="D1022" t="s">
        <v>151</v>
      </c>
      <c r="E1022" t="s">
        <v>584</v>
      </c>
      <c r="F1022" t="s">
        <v>26</v>
      </c>
      <c r="G1022" t="s">
        <v>26</v>
      </c>
      <c r="H1022">
        <v>2.612806E-6</v>
      </c>
      <c r="I1022">
        <v>-2.612806E-6</v>
      </c>
      <c r="J1022">
        <v>0</v>
      </c>
      <c r="K1022">
        <v>-5.2256130000000001E-6</v>
      </c>
      <c r="L1022">
        <v>2.612806E-6</v>
      </c>
      <c r="M1022">
        <v>-2.612806E-6</v>
      </c>
      <c r="N1022">
        <v>0</v>
      </c>
    </row>
    <row r="1023" spans="1:14" hidden="1" x14ac:dyDescent="0.35">
      <c r="A1023" t="s">
        <v>664</v>
      </c>
      <c r="B1023" t="s">
        <v>37</v>
      </c>
      <c r="C1023" t="s">
        <v>61</v>
      </c>
      <c r="D1023" t="s">
        <v>62</v>
      </c>
      <c r="E1023" t="s">
        <v>584</v>
      </c>
      <c r="F1023" t="s">
        <v>581</v>
      </c>
      <c r="G1023" t="s">
        <v>396</v>
      </c>
      <c r="H1023">
        <v>69.579470000000001</v>
      </c>
      <c r="I1023">
        <v>70.898269999999997</v>
      </c>
      <c r="J1023">
        <v>74.537120000000002</v>
      </c>
      <c r="K1023">
        <v>78.370609999999999</v>
      </c>
      <c r="L1023">
        <v>89.928979999999996</v>
      </c>
      <c r="M1023">
        <v>77.546899999999994</v>
      </c>
      <c r="N1023">
        <v>68.311490000000006</v>
      </c>
    </row>
    <row r="1024" spans="1:14" hidden="1" x14ac:dyDescent="0.35">
      <c r="A1024" t="s">
        <v>664</v>
      </c>
      <c r="B1024" t="s">
        <v>37</v>
      </c>
      <c r="C1024" t="s">
        <v>61</v>
      </c>
      <c r="D1024" t="s">
        <v>62</v>
      </c>
      <c r="E1024" t="s">
        <v>584</v>
      </c>
      <c r="F1024" t="s">
        <v>581</v>
      </c>
      <c r="G1024" t="s">
        <v>25</v>
      </c>
      <c r="H1024">
        <v>4.3094650000000003</v>
      </c>
      <c r="I1024">
        <v>3.9363090000000001</v>
      </c>
      <c r="J1024">
        <v>3.5969799999999998</v>
      </c>
      <c r="K1024">
        <v>3.2835329999999998</v>
      </c>
      <c r="L1024">
        <v>2.9657209999999998</v>
      </c>
      <c r="M1024">
        <v>2.6141070000000002</v>
      </c>
      <c r="N1024">
        <v>2.3131849999999998</v>
      </c>
    </row>
    <row r="1025" spans="1:14" hidden="1" x14ac:dyDescent="0.35">
      <c r="A1025" t="s">
        <v>664</v>
      </c>
      <c r="B1025" t="s">
        <v>37</v>
      </c>
      <c r="C1025" t="s">
        <v>61</v>
      </c>
      <c r="D1025" t="s">
        <v>62</v>
      </c>
      <c r="E1025" t="s">
        <v>584</v>
      </c>
      <c r="F1025" t="s">
        <v>26</v>
      </c>
      <c r="G1025" t="s">
        <v>26</v>
      </c>
      <c r="H1025">
        <v>4.9116010000000001</v>
      </c>
      <c r="I1025">
        <v>5.172993</v>
      </c>
      <c r="J1025">
        <v>5.9558730000000004</v>
      </c>
      <c r="K1025">
        <v>4.9323360000000003</v>
      </c>
      <c r="L1025">
        <v>4.1003619999999996</v>
      </c>
      <c r="M1025">
        <v>3.1697950000000001</v>
      </c>
      <c r="N1025">
        <v>2.3390170000000001</v>
      </c>
    </row>
    <row r="1026" spans="1:14" hidden="1" x14ac:dyDescent="0.35">
      <c r="A1026" t="s">
        <v>664</v>
      </c>
      <c r="B1026" t="s">
        <v>37</v>
      </c>
      <c r="C1026" t="s">
        <v>109</v>
      </c>
      <c r="D1026" t="s">
        <v>109</v>
      </c>
      <c r="E1026" t="s">
        <v>584</v>
      </c>
      <c r="F1026" t="s">
        <v>581</v>
      </c>
      <c r="G1026" t="s">
        <v>396</v>
      </c>
      <c r="H1026">
        <v>1.6539640000000001E-2</v>
      </c>
      <c r="I1026">
        <v>1.621268E-2</v>
      </c>
      <c r="J1026">
        <v>1.5891209999999999E-2</v>
      </c>
      <c r="K1026">
        <v>1.557703E-2</v>
      </c>
      <c r="L1026">
        <v>0</v>
      </c>
      <c r="M1026">
        <v>0</v>
      </c>
      <c r="N1026">
        <v>0</v>
      </c>
    </row>
    <row r="1027" spans="1:14" hidden="1" x14ac:dyDescent="0.35">
      <c r="A1027" t="s">
        <v>664</v>
      </c>
      <c r="B1027" t="s">
        <v>37</v>
      </c>
      <c r="C1027" t="s">
        <v>109</v>
      </c>
      <c r="D1027" t="s">
        <v>109</v>
      </c>
      <c r="E1027" t="s">
        <v>584</v>
      </c>
      <c r="F1027" t="s">
        <v>581</v>
      </c>
      <c r="G1027" t="s">
        <v>24</v>
      </c>
      <c r="H1027">
        <v>2.9868160000000001E-2</v>
      </c>
      <c r="I1027">
        <v>2.8496400000000002E-2</v>
      </c>
      <c r="J1027">
        <v>2.7188569999999999E-2</v>
      </c>
      <c r="K1027">
        <v>2.5941019999999999E-2</v>
      </c>
      <c r="L1027">
        <v>0</v>
      </c>
      <c r="M1027">
        <v>0</v>
      </c>
      <c r="N1027">
        <v>0</v>
      </c>
    </row>
    <row r="1028" spans="1:14" hidden="1" x14ac:dyDescent="0.35">
      <c r="A1028" t="s">
        <v>664</v>
      </c>
      <c r="B1028" t="s">
        <v>37</v>
      </c>
      <c r="C1028" t="s">
        <v>109</v>
      </c>
      <c r="D1028" t="s">
        <v>109</v>
      </c>
      <c r="E1028" t="s">
        <v>584</v>
      </c>
      <c r="F1028" t="s">
        <v>581</v>
      </c>
      <c r="G1028" t="s">
        <v>25</v>
      </c>
      <c r="H1028">
        <v>2.8074469999999998E-3</v>
      </c>
      <c r="I1028">
        <v>2.750822E-3</v>
      </c>
      <c r="J1028">
        <v>2.6960249999999999E-3</v>
      </c>
      <c r="K1028">
        <v>2.6412279999999998E-3</v>
      </c>
      <c r="L1028">
        <v>0</v>
      </c>
      <c r="M1028">
        <v>0</v>
      </c>
      <c r="N1028">
        <v>0</v>
      </c>
    </row>
    <row r="1029" spans="1:14" hidden="1" x14ac:dyDescent="0.35">
      <c r="A1029" t="s">
        <v>664</v>
      </c>
      <c r="B1029" t="s">
        <v>37</v>
      </c>
      <c r="C1029" t="s">
        <v>109</v>
      </c>
      <c r="D1029" t="s">
        <v>109</v>
      </c>
      <c r="E1029" t="s">
        <v>584</v>
      </c>
      <c r="F1029" t="s">
        <v>26</v>
      </c>
      <c r="G1029" t="s">
        <v>26</v>
      </c>
      <c r="H1029">
        <v>1.074757E-2</v>
      </c>
      <c r="I1029">
        <v>1.009731E-2</v>
      </c>
      <c r="J1029">
        <v>9.485406E-3</v>
      </c>
      <c r="K1029">
        <v>8.9118610000000001E-3</v>
      </c>
      <c r="L1029">
        <v>0</v>
      </c>
      <c r="M1029">
        <v>0</v>
      </c>
      <c r="N1029">
        <v>0</v>
      </c>
    </row>
    <row r="1030" spans="1:14" hidden="1" x14ac:dyDescent="0.35">
      <c r="A1030" t="s">
        <v>664</v>
      </c>
      <c r="B1030" t="s">
        <v>123</v>
      </c>
      <c r="C1030" t="s">
        <v>144</v>
      </c>
      <c r="D1030" t="s">
        <v>144</v>
      </c>
      <c r="E1030" t="s">
        <v>584</v>
      </c>
      <c r="F1030" t="s">
        <v>581</v>
      </c>
      <c r="G1030" t="s">
        <v>396</v>
      </c>
      <c r="H1030">
        <v>2.152037</v>
      </c>
      <c r="I1030">
        <v>1.305596</v>
      </c>
      <c r="J1030">
        <v>1.4794529999999999</v>
      </c>
      <c r="K1030">
        <v>1.9390590000000001</v>
      </c>
      <c r="L1030">
        <v>3.4423590000000002</v>
      </c>
      <c r="M1030">
        <v>8.9757789999999993</v>
      </c>
      <c r="N1030">
        <v>5.7775800000000004</v>
      </c>
    </row>
    <row r="1031" spans="1:14" hidden="1" x14ac:dyDescent="0.35">
      <c r="A1031" t="s">
        <v>664</v>
      </c>
      <c r="B1031" t="s">
        <v>123</v>
      </c>
      <c r="C1031" t="s">
        <v>144</v>
      </c>
      <c r="D1031" t="s">
        <v>144</v>
      </c>
      <c r="E1031" t="s">
        <v>584</v>
      </c>
      <c r="F1031" t="s">
        <v>26</v>
      </c>
      <c r="G1031" t="s">
        <v>26</v>
      </c>
      <c r="H1031">
        <v>19.073440000000002</v>
      </c>
      <c r="I1031">
        <v>16.480889999999999</v>
      </c>
      <c r="J1031">
        <v>15.57892</v>
      </c>
      <c r="K1031">
        <v>16.596399999999999</v>
      </c>
      <c r="L1031">
        <v>19.859829999999999</v>
      </c>
      <c r="M1031">
        <v>19.87649</v>
      </c>
      <c r="N1031">
        <v>17.436399999999999</v>
      </c>
    </row>
    <row r="1032" spans="1:14" hidden="1" x14ac:dyDescent="0.35">
      <c r="A1032" t="s">
        <v>664</v>
      </c>
      <c r="B1032" t="s">
        <v>133</v>
      </c>
      <c r="C1032" t="s">
        <v>135</v>
      </c>
      <c r="D1032" t="s">
        <v>253</v>
      </c>
      <c r="E1032" t="s">
        <v>584</v>
      </c>
      <c r="F1032" t="s">
        <v>581</v>
      </c>
      <c r="G1032" t="s">
        <v>396</v>
      </c>
      <c r="H1032">
        <v>10.43683</v>
      </c>
      <c r="I1032">
        <v>10.269259999999999</v>
      </c>
      <c r="J1032">
        <v>10.7066</v>
      </c>
      <c r="K1032">
        <v>10.100350000000001</v>
      </c>
      <c r="L1032">
        <v>9.9677600000000002</v>
      </c>
      <c r="M1032">
        <v>8.38748</v>
      </c>
      <c r="N1032">
        <v>7.1003239999999996</v>
      </c>
    </row>
    <row r="1033" spans="1:14" hidden="1" x14ac:dyDescent="0.35">
      <c r="A1033" t="s">
        <v>670</v>
      </c>
      <c r="B1033" t="s">
        <v>37</v>
      </c>
      <c r="C1033" t="s">
        <v>35</v>
      </c>
      <c r="D1033" t="s">
        <v>36</v>
      </c>
      <c r="E1033" t="s">
        <v>588</v>
      </c>
      <c r="F1033" t="s">
        <v>581</v>
      </c>
      <c r="G1033" t="s">
        <v>396</v>
      </c>
      <c r="H1033">
        <v>48.02411</v>
      </c>
      <c r="I1033">
        <v>49.835949999999997</v>
      </c>
      <c r="J1033">
        <v>47.54524</v>
      </c>
      <c r="K1033">
        <v>41.572569999999999</v>
      </c>
      <c r="L1033">
        <v>37.668840000000003</v>
      </c>
      <c r="M1033">
        <v>38.61486</v>
      </c>
      <c r="N1033">
        <v>39.759740000000001</v>
      </c>
    </row>
    <row r="1034" spans="1:14" hidden="1" x14ac:dyDescent="0.35">
      <c r="A1034" t="s">
        <v>670</v>
      </c>
      <c r="B1034" t="s">
        <v>37</v>
      </c>
      <c r="C1034" t="s">
        <v>35</v>
      </c>
      <c r="D1034" t="s">
        <v>36</v>
      </c>
      <c r="E1034" t="s">
        <v>588</v>
      </c>
      <c r="F1034" t="s">
        <v>581</v>
      </c>
      <c r="G1034" t="s">
        <v>25</v>
      </c>
      <c r="H1034">
        <v>12.0548</v>
      </c>
      <c r="I1034">
        <v>10.865259999999999</v>
      </c>
      <c r="J1034">
        <v>10.427099999999999</v>
      </c>
      <c r="K1034">
        <v>9.1139469999999996</v>
      </c>
      <c r="L1034">
        <v>8.2221799999999998</v>
      </c>
      <c r="M1034">
        <v>8.3730080000000005</v>
      </c>
      <c r="N1034">
        <v>8.6167090000000002</v>
      </c>
    </row>
    <row r="1035" spans="1:14" hidden="1" x14ac:dyDescent="0.35">
      <c r="A1035" t="s">
        <v>670</v>
      </c>
      <c r="B1035" t="s">
        <v>37</v>
      </c>
      <c r="C1035" t="s">
        <v>35</v>
      </c>
      <c r="D1035" t="s">
        <v>36</v>
      </c>
      <c r="E1035" t="s">
        <v>588</v>
      </c>
      <c r="F1035" t="s">
        <v>26</v>
      </c>
      <c r="G1035" t="s">
        <v>26</v>
      </c>
      <c r="H1035">
        <v>9.6460279999999994</v>
      </c>
      <c r="I1035">
        <v>10.27308</v>
      </c>
      <c r="J1035">
        <v>9.7741520000000008</v>
      </c>
      <c r="K1035">
        <v>8.5574539999999999</v>
      </c>
      <c r="L1035">
        <v>7.7735589999999997</v>
      </c>
      <c r="M1035">
        <v>7.9705260000000004</v>
      </c>
      <c r="N1035">
        <v>8.1980920000000008</v>
      </c>
    </row>
    <row r="1036" spans="1:14" hidden="1" x14ac:dyDescent="0.35">
      <c r="A1036" t="s">
        <v>670</v>
      </c>
      <c r="B1036" t="s">
        <v>37</v>
      </c>
      <c r="C1036" t="s">
        <v>35</v>
      </c>
      <c r="D1036" t="s">
        <v>36</v>
      </c>
      <c r="E1036" t="s">
        <v>589</v>
      </c>
      <c r="F1036" t="s">
        <v>581</v>
      </c>
      <c r="G1036" t="s">
        <v>396</v>
      </c>
      <c r="H1036">
        <v>37.271230000000003</v>
      </c>
      <c r="I1036">
        <v>39.848559999999999</v>
      </c>
      <c r="J1036">
        <v>40.631659999999997</v>
      </c>
      <c r="K1036">
        <v>37.50188</v>
      </c>
      <c r="L1036">
        <v>31.9984</v>
      </c>
      <c r="M1036">
        <v>30.949269999999999</v>
      </c>
      <c r="N1036">
        <v>32.313270000000003</v>
      </c>
    </row>
    <row r="1037" spans="1:14" hidden="1" x14ac:dyDescent="0.35">
      <c r="A1037" t="s">
        <v>670</v>
      </c>
      <c r="B1037" t="s">
        <v>37</v>
      </c>
      <c r="C1037" t="s">
        <v>35</v>
      </c>
      <c r="D1037" t="s">
        <v>36</v>
      </c>
      <c r="E1037" t="s">
        <v>589</v>
      </c>
      <c r="F1037" t="s">
        <v>581</v>
      </c>
      <c r="G1037" t="s">
        <v>25</v>
      </c>
      <c r="H1037">
        <v>7.8947940000000001</v>
      </c>
      <c r="I1037">
        <v>7.9628370000000004</v>
      </c>
      <c r="J1037">
        <v>8.1263299999999994</v>
      </c>
      <c r="K1037">
        <v>7.500381</v>
      </c>
      <c r="L1037">
        <v>6.3996789999999999</v>
      </c>
      <c r="M1037">
        <v>6.189851</v>
      </c>
      <c r="N1037">
        <v>6.4626479999999997</v>
      </c>
    </row>
    <row r="1038" spans="1:14" hidden="1" x14ac:dyDescent="0.35">
      <c r="A1038" t="s">
        <v>670</v>
      </c>
      <c r="B1038" t="s">
        <v>37</v>
      </c>
      <c r="C1038" t="s">
        <v>35</v>
      </c>
      <c r="D1038" t="s">
        <v>36</v>
      </c>
      <c r="E1038" t="s">
        <v>589</v>
      </c>
      <c r="F1038" t="s">
        <v>26</v>
      </c>
      <c r="G1038" t="s">
        <v>26</v>
      </c>
      <c r="H1038">
        <v>6.4657530000000003</v>
      </c>
      <c r="I1038">
        <v>9.1003880000000006</v>
      </c>
      <c r="J1038">
        <v>9.2872350000000008</v>
      </c>
      <c r="K1038">
        <v>8.5718589999999999</v>
      </c>
      <c r="L1038">
        <v>7.3139200000000004</v>
      </c>
      <c r="M1038">
        <v>7.0741160000000001</v>
      </c>
      <c r="N1038">
        <v>7.3858899999999998</v>
      </c>
    </row>
    <row r="1039" spans="1:14" hidden="1" x14ac:dyDescent="0.35">
      <c r="A1039" t="s">
        <v>670</v>
      </c>
      <c r="B1039" t="s">
        <v>37</v>
      </c>
      <c r="C1039" t="s">
        <v>35</v>
      </c>
      <c r="D1039" t="s">
        <v>36</v>
      </c>
      <c r="E1039" t="s">
        <v>587</v>
      </c>
      <c r="F1039" t="s">
        <v>581</v>
      </c>
      <c r="G1039" t="s">
        <v>396</v>
      </c>
      <c r="H1039">
        <v>1.7994520000000001</v>
      </c>
      <c r="I1039">
        <v>3.6401590000000001</v>
      </c>
      <c r="J1039">
        <v>3.1349339999999999</v>
      </c>
      <c r="K1039">
        <v>2.7423999999999999</v>
      </c>
      <c r="L1039">
        <v>2.4296259999999998</v>
      </c>
      <c r="M1039">
        <v>2.1545100000000001</v>
      </c>
      <c r="N1039">
        <v>1.8819710000000001</v>
      </c>
    </row>
    <row r="1040" spans="1:14" hidden="1" x14ac:dyDescent="0.35">
      <c r="A1040" t="s">
        <v>670</v>
      </c>
      <c r="B1040" t="s">
        <v>37</v>
      </c>
      <c r="C1040" t="s">
        <v>35</v>
      </c>
      <c r="D1040" t="s">
        <v>36</v>
      </c>
      <c r="E1040" t="s">
        <v>587</v>
      </c>
      <c r="F1040" t="s">
        <v>581</v>
      </c>
      <c r="G1040" t="s">
        <v>25</v>
      </c>
      <c r="H1040">
        <v>0.47342469999999998</v>
      </c>
      <c r="I1040">
        <v>0.84431789999999995</v>
      </c>
      <c r="J1040">
        <v>0.72693969999999997</v>
      </c>
      <c r="K1040">
        <v>0.63591779999999998</v>
      </c>
      <c r="L1040">
        <v>0.56339099999999998</v>
      </c>
      <c r="M1040">
        <v>0.49959999999999999</v>
      </c>
      <c r="N1040">
        <v>0.43639860000000003</v>
      </c>
    </row>
    <row r="1041" spans="1:14" hidden="1" x14ac:dyDescent="0.35">
      <c r="A1041" t="s">
        <v>670</v>
      </c>
      <c r="B1041" t="s">
        <v>37</v>
      </c>
      <c r="C1041" t="s">
        <v>35</v>
      </c>
      <c r="D1041" t="s">
        <v>36</v>
      </c>
      <c r="E1041" t="s">
        <v>587</v>
      </c>
      <c r="F1041" t="s">
        <v>26</v>
      </c>
      <c r="G1041" t="s">
        <v>26</v>
      </c>
      <c r="H1041">
        <v>0.38136989999999998</v>
      </c>
      <c r="I1041">
        <v>0.79154800000000003</v>
      </c>
      <c r="J1041">
        <v>0.68150690000000003</v>
      </c>
      <c r="K1041">
        <v>0.59617260000000005</v>
      </c>
      <c r="L1041">
        <v>0.52818109999999996</v>
      </c>
      <c r="M1041">
        <v>0.4683715</v>
      </c>
      <c r="N1041">
        <v>0.40912490000000001</v>
      </c>
    </row>
    <row r="1042" spans="1:14" hidden="1" x14ac:dyDescent="0.35">
      <c r="A1042" t="s">
        <v>670</v>
      </c>
      <c r="B1042" t="s">
        <v>37</v>
      </c>
      <c r="C1042" t="s">
        <v>35</v>
      </c>
      <c r="D1042" t="s">
        <v>129</v>
      </c>
      <c r="E1042" t="s">
        <v>580</v>
      </c>
      <c r="F1042" t="s">
        <v>581</v>
      </c>
      <c r="G1042" t="s">
        <v>396</v>
      </c>
      <c r="H1042">
        <v>36.008780000000002</v>
      </c>
      <c r="I1042">
        <v>44.858339999999998</v>
      </c>
      <c r="J1042">
        <v>48.010039999999996</v>
      </c>
      <c r="K1042">
        <v>44.57179</v>
      </c>
      <c r="L1042">
        <v>40.260190000000001</v>
      </c>
      <c r="M1042">
        <v>41.070880000000002</v>
      </c>
      <c r="N1042">
        <v>44.300910000000002</v>
      </c>
    </row>
    <row r="1043" spans="1:14" hidden="1" x14ac:dyDescent="0.35">
      <c r="A1043" t="s">
        <v>670</v>
      </c>
      <c r="B1043" t="s">
        <v>37</v>
      </c>
      <c r="C1043" t="s">
        <v>35</v>
      </c>
      <c r="D1043" t="s">
        <v>129</v>
      </c>
      <c r="E1043" t="s">
        <v>580</v>
      </c>
      <c r="F1043" t="s">
        <v>581</v>
      </c>
      <c r="G1043" t="s">
        <v>25</v>
      </c>
      <c r="H1043">
        <v>9.1156170000000003</v>
      </c>
      <c r="I1043">
        <v>14.952780000000001</v>
      </c>
      <c r="J1043">
        <v>16.003350000000001</v>
      </c>
      <c r="K1043">
        <v>14.85727</v>
      </c>
      <c r="L1043">
        <v>13.420059999999999</v>
      </c>
      <c r="M1043">
        <v>13.690300000000001</v>
      </c>
      <c r="N1043">
        <v>14.766970000000001</v>
      </c>
    </row>
    <row r="1044" spans="1:14" hidden="1" x14ac:dyDescent="0.35">
      <c r="A1044" t="s">
        <v>670</v>
      </c>
      <c r="B1044" t="s">
        <v>37</v>
      </c>
      <c r="C1044" t="s">
        <v>35</v>
      </c>
      <c r="D1044" t="s">
        <v>129</v>
      </c>
      <c r="E1044" t="s">
        <v>580</v>
      </c>
      <c r="F1044" t="s">
        <v>26</v>
      </c>
      <c r="G1044" t="s">
        <v>26</v>
      </c>
      <c r="H1044">
        <v>8.8745200000000004</v>
      </c>
      <c r="I1044">
        <v>14.952780000000001</v>
      </c>
      <c r="J1044">
        <v>16.003350000000001</v>
      </c>
      <c r="K1044">
        <v>14.85726</v>
      </c>
      <c r="L1044">
        <v>13.420059999999999</v>
      </c>
      <c r="M1044">
        <v>13.690289999999999</v>
      </c>
      <c r="N1044">
        <v>14.766970000000001</v>
      </c>
    </row>
    <row r="1045" spans="1:14" hidden="1" x14ac:dyDescent="0.35">
      <c r="A1045" t="s">
        <v>670</v>
      </c>
      <c r="B1045" t="s">
        <v>37</v>
      </c>
      <c r="C1045" t="s">
        <v>35</v>
      </c>
      <c r="D1045" t="s">
        <v>129</v>
      </c>
      <c r="E1045" t="s">
        <v>582</v>
      </c>
      <c r="F1045" t="s">
        <v>581</v>
      </c>
      <c r="G1045" t="s">
        <v>396</v>
      </c>
      <c r="H1045">
        <v>1.2449319999999999</v>
      </c>
      <c r="I1045">
        <v>2.9129209999999999</v>
      </c>
      <c r="J1045">
        <v>4.5108030000000001</v>
      </c>
      <c r="K1045">
        <v>5.0896290000000004</v>
      </c>
      <c r="L1045">
        <v>4.0189170000000001</v>
      </c>
      <c r="M1045">
        <v>3.952645</v>
      </c>
      <c r="N1045">
        <v>4.9355710000000004</v>
      </c>
    </row>
    <row r="1046" spans="1:14" hidden="1" x14ac:dyDescent="0.35">
      <c r="A1046" t="s">
        <v>670</v>
      </c>
      <c r="B1046" t="s">
        <v>37</v>
      </c>
      <c r="C1046" t="s">
        <v>35</v>
      </c>
      <c r="D1046" t="s">
        <v>129</v>
      </c>
      <c r="E1046" t="s">
        <v>582</v>
      </c>
      <c r="F1046" t="s">
        <v>581</v>
      </c>
      <c r="G1046" t="s">
        <v>25</v>
      </c>
      <c r="H1046">
        <v>0.28054800000000002</v>
      </c>
      <c r="I1046">
        <v>0.57438140000000004</v>
      </c>
      <c r="J1046">
        <v>0.88945669999999999</v>
      </c>
      <c r="K1046">
        <v>1.00359</v>
      </c>
      <c r="L1046">
        <v>0.79246349999999999</v>
      </c>
      <c r="M1046">
        <v>0.77939800000000004</v>
      </c>
      <c r="N1046">
        <v>0.97321400000000002</v>
      </c>
    </row>
    <row r="1047" spans="1:14" hidden="1" x14ac:dyDescent="0.35">
      <c r="A1047" t="s">
        <v>670</v>
      </c>
      <c r="B1047" t="s">
        <v>37</v>
      </c>
      <c r="C1047" t="s">
        <v>35</v>
      </c>
      <c r="D1047" t="s">
        <v>129</v>
      </c>
      <c r="E1047" t="s">
        <v>582</v>
      </c>
      <c r="F1047" t="s">
        <v>26</v>
      </c>
      <c r="G1047" t="s">
        <v>26</v>
      </c>
      <c r="H1047">
        <v>0.25863019999999998</v>
      </c>
      <c r="I1047">
        <v>0.61540709999999998</v>
      </c>
      <c r="J1047">
        <v>0.95298400000000005</v>
      </c>
      <c r="K1047">
        <v>1.0752740000000001</v>
      </c>
      <c r="L1047">
        <v>0.84906490000000001</v>
      </c>
      <c r="M1047">
        <v>0.83506499999999995</v>
      </c>
      <c r="N1047">
        <v>1.042727</v>
      </c>
    </row>
    <row r="1048" spans="1:14" hidden="1" x14ac:dyDescent="0.35">
      <c r="A1048" t="s">
        <v>670</v>
      </c>
      <c r="B1048" t="s">
        <v>37</v>
      </c>
      <c r="C1048" t="s">
        <v>35</v>
      </c>
      <c r="D1048" t="s">
        <v>267</v>
      </c>
      <c r="E1048" t="s">
        <v>589</v>
      </c>
      <c r="F1048" t="s">
        <v>581</v>
      </c>
      <c r="G1048" t="s">
        <v>396</v>
      </c>
      <c r="H1048">
        <v>32.451500000000003</v>
      </c>
      <c r="I1048">
        <v>30.433949999999999</v>
      </c>
      <c r="J1048">
        <v>25.699200000000001</v>
      </c>
      <c r="K1048">
        <v>21.394870000000001</v>
      </c>
      <c r="L1048">
        <v>18.250309999999999</v>
      </c>
      <c r="M1048">
        <v>16.07471</v>
      </c>
      <c r="N1048">
        <v>14.331379999999999</v>
      </c>
    </row>
    <row r="1049" spans="1:14" hidden="1" x14ac:dyDescent="0.35">
      <c r="A1049" t="s">
        <v>670</v>
      </c>
      <c r="B1049" t="s">
        <v>37</v>
      </c>
      <c r="C1049" t="s">
        <v>35</v>
      </c>
      <c r="D1049" t="s">
        <v>267</v>
      </c>
      <c r="E1049" t="s">
        <v>589</v>
      </c>
      <c r="F1049" t="s">
        <v>581</v>
      </c>
      <c r="G1049" t="s">
        <v>25</v>
      </c>
      <c r="H1049">
        <v>8.5172620000000006</v>
      </c>
      <c r="I1049">
        <v>7.0170240000000002</v>
      </c>
      <c r="J1049">
        <v>5.9305870000000001</v>
      </c>
      <c r="K1049">
        <v>4.9372769999999999</v>
      </c>
      <c r="L1049">
        <v>4.2116110000000004</v>
      </c>
      <c r="M1049">
        <v>3.7095479999999998</v>
      </c>
      <c r="N1049">
        <v>3.3072430000000002</v>
      </c>
    </row>
    <row r="1050" spans="1:14" hidden="1" x14ac:dyDescent="0.35">
      <c r="A1050" t="s">
        <v>670</v>
      </c>
      <c r="B1050" t="s">
        <v>37</v>
      </c>
      <c r="C1050" t="s">
        <v>35</v>
      </c>
      <c r="D1050" t="s">
        <v>267</v>
      </c>
      <c r="E1050" t="s">
        <v>589</v>
      </c>
      <c r="F1050" t="s">
        <v>26</v>
      </c>
      <c r="G1050" t="s">
        <v>26</v>
      </c>
      <c r="H1050">
        <v>9.7556170000000009</v>
      </c>
      <c r="I1050">
        <v>9.3560359999999996</v>
      </c>
      <c r="J1050">
        <v>7.9074450000000001</v>
      </c>
      <c r="K1050">
        <v>6.5830349999999997</v>
      </c>
      <c r="L1050">
        <v>5.6154809999999999</v>
      </c>
      <c r="M1050">
        <v>4.9460649999999999</v>
      </c>
      <c r="N1050">
        <v>4.4096549999999999</v>
      </c>
    </row>
    <row r="1051" spans="1:14" hidden="1" x14ac:dyDescent="0.35">
      <c r="A1051" t="s">
        <v>670</v>
      </c>
      <c r="B1051" t="s">
        <v>37</v>
      </c>
      <c r="C1051" t="s">
        <v>35</v>
      </c>
      <c r="D1051" t="s">
        <v>267</v>
      </c>
      <c r="E1051" t="s">
        <v>588</v>
      </c>
      <c r="F1051" t="s">
        <v>581</v>
      </c>
      <c r="G1051" t="s">
        <v>396</v>
      </c>
      <c r="H1051">
        <v>0.43835619999999997</v>
      </c>
      <c r="I1051">
        <v>0.34655340000000001</v>
      </c>
      <c r="J1051">
        <v>0.4649644</v>
      </c>
      <c r="K1051">
        <v>0.4464224</v>
      </c>
      <c r="L1051">
        <v>0.51172580000000001</v>
      </c>
      <c r="M1051">
        <v>0.56896539999999995</v>
      </c>
      <c r="N1051">
        <v>0.77848349999999999</v>
      </c>
    </row>
    <row r="1052" spans="1:14" hidden="1" x14ac:dyDescent="0.35">
      <c r="A1052" t="s">
        <v>670</v>
      </c>
      <c r="B1052" t="s">
        <v>37</v>
      </c>
      <c r="C1052" t="s">
        <v>35</v>
      </c>
      <c r="D1052" t="s">
        <v>267</v>
      </c>
      <c r="E1052" t="s">
        <v>588</v>
      </c>
      <c r="F1052" t="s">
        <v>581</v>
      </c>
      <c r="G1052" t="s">
        <v>25</v>
      </c>
      <c r="H1052">
        <v>7.890411E-2</v>
      </c>
      <c r="I1052">
        <v>5.5449310000000002E-2</v>
      </c>
      <c r="J1052">
        <v>7.4394520000000006E-2</v>
      </c>
      <c r="K1052">
        <v>7.1430690000000005E-2</v>
      </c>
      <c r="L1052">
        <v>8.1880270000000005E-2</v>
      </c>
      <c r="M1052">
        <v>9.1034249999999997E-2</v>
      </c>
      <c r="N1052">
        <v>0.1245564</v>
      </c>
    </row>
    <row r="1053" spans="1:14" hidden="1" x14ac:dyDescent="0.35">
      <c r="A1053" t="s">
        <v>670</v>
      </c>
      <c r="B1053" t="s">
        <v>37</v>
      </c>
      <c r="C1053" t="s">
        <v>35</v>
      </c>
      <c r="D1053" t="s">
        <v>267</v>
      </c>
      <c r="E1053" t="s">
        <v>588</v>
      </c>
      <c r="F1053" t="s">
        <v>26</v>
      </c>
      <c r="G1053" t="s">
        <v>26</v>
      </c>
      <c r="H1053">
        <v>7.4520550000000005E-2</v>
      </c>
      <c r="I1053">
        <v>6.0068499999999997E-2</v>
      </c>
      <c r="J1053">
        <v>8.0594520000000003E-2</v>
      </c>
      <c r="K1053">
        <v>7.7379459999999997E-2</v>
      </c>
      <c r="L1053">
        <v>8.8700550000000003E-2</v>
      </c>
      <c r="M1053">
        <v>9.8620269999999996E-2</v>
      </c>
      <c r="N1053">
        <v>0.1349378</v>
      </c>
    </row>
    <row r="1054" spans="1:14" hidden="1" x14ac:dyDescent="0.35">
      <c r="A1054" t="s">
        <v>670</v>
      </c>
      <c r="B1054" t="s">
        <v>37</v>
      </c>
      <c r="C1054" t="s">
        <v>35</v>
      </c>
      <c r="D1054" t="s">
        <v>163</v>
      </c>
      <c r="E1054" t="s">
        <v>580</v>
      </c>
      <c r="F1054" t="s">
        <v>581</v>
      </c>
      <c r="G1054" t="s">
        <v>396</v>
      </c>
      <c r="H1054">
        <v>22.147950000000002</v>
      </c>
      <c r="I1054">
        <v>20.830639999999999</v>
      </c>
      <c r="J1054">
        <v>17.681740000000001</v>
      </c>
      <c r="K1054">
        <v>15.700430000000001</v>
      </c>
      <c r="L1054">
        <v>13.55119</v>
      </c>
      <c r="M1054">
        <v>10.58745</v>
      </c>
      <c r="N1054">
        <v>8.6839030000000008</v>
      </c>
    </row>
    <row r="1055" spans="1:14" hidden="1" x14ac:dyDescent="0.35">
      <c r="A1055" t="s">
        <v>670</v>
      </c>
      <c r="B1055" t="s">
        <v>37</v>
      </c>
      <c r="C1055" t="s">
        <v>35</v>
      </c>
      <c r="D1055" t="s">
        <v>163</v>
      </c>
      <c r="E1055" t="s">
        <v>580</v>
      </c>
      <c r="F1055" t="s">
        <v>581</v>
      </c>
      <c r="G1055" t="s">
        <v>25</v>
      </c>
      <c r="H1055">
        <v>10.89096</v>
      </c>
      <c r="I1055">
        <v>8.9208949999999998</v>
      </c>
      <c r="J1055">
        <v>7.57789</v>
      </c>
      <c r="K1055">
        <v>6.728758</v>
      </c>
      <c r="L1055">
        <v>5.8076540000000003</v>
      </c>
      <c r="M1055">
        <v>4.5374780000000001</v>
      </c>
      <c r="N1055">
        <v>3.721676</v>
      </c>
    </row>
    <row r="1056" spans="1:14" hidden="1" x14ac:dyDescent="0.35">
      <c r="A1056" t="s">
        <v>670</v>
      </c>
      <c r="B1056" t="s">
        <v>37</v>
      </c>
      <c r="C1056" t="s">
        <v>35</v>
      </c>
      <c r="D1056" t="s">
        <v>163</v>
      </c>
      <c r="E1056" t="s">
        <v>580</v>
      </c>
      <c r="F1056" t="s">
        <v>26</v>
      </c>
      <c r="G1056" t="s">
        <v>26</v>
      </c>
      <c r="H1056">
        <v>7.7961640000000001</v>
      </c>
      <c r="I1056">
        <v>7.434075</v>
      </c>
      <c r="J1056">
        <v>6.314908</v>
      </c>
      <c r="K1056">
        <v>5.6072990000000003</v>
      </c>
      <c r="L1056">
        <v>4.8397119999999996</v>
      </c>
      <c r="M1056">
        <v>3.7812350000000001</v>
      </c>
      <c r="N1056">
        <v>3.1013929999999998</v>
      </c>
    </row>
    <row r="1057" spans="1:14" hidden="1" x14ac:dyDescent="0.35">
      <c r="A1057" t="s">
        <v>670</v>
      </c>
      <c r="B1057" t="s">
        <v>37</v>
      </c>
      <c r="C1057" t="s">
        <v>35</v>
      </c>
      <c r="D1057" t="s">
        <v>163</v>
      </c>
      <c r="E1057" t="s">
        <v>583</v>
      </c>
      <c r="F1057" t="s">
        <v>581</v>
      </c>
      <c r="G1057" t="s">
        <v>396</v>
      </c>
      <c r="H1057">
        <v>0.1884932</v>
      </c>
      <c r="I1057">
        <v>0.14537530000000001</v>
      </c>
      <c r="J1057">
        <v>0.1205726</v>
      </c>
      <c r="K1057">
        <v>0.1091795</v>
      </c>
      <c r="L1057">
        <v>0.1048666</v>
      </c>
      <c r="M1057">
        <v>9.3844940000000002E-2</v>
      </c>
      <c r="N1057">
        <v>8.0566289999999999E-2</v>
      </c>
    </row>
    <row r="1058" spans="1:14" hidden="1" x14ac:dyDescent="0.35">
      <c r="A1058" t="s">
        <v>670</v>
      </c>
      <c r="B1058" t="s">
        <v>37</v>
      </c>
      <c r="C1058" t="s">
        <v>35</v>
      </c>
      <c r="D1058" t="s">
        <v>163</v>
      </c>
      <c r="E1058" t="s">
        <v>583</v>
      </c>
      <c r="F1058" t="s">
        <v>581</v>
      </c>
      <c r="G1058" t="s">
        <v>25</v>
      </c>
      <c r="H1058">
        <v>6.5753420000000007E-2</v>
      </c>
      <c r="I1058">
        <v>4.4728759999999999E-2</v>
      </c>
      <c r="J1058">
        <v>3.7101370000000002E-2</v>
      </c>
      <c r="K1058">
        <v>3.3590960000000003E-2</v>
      </c>
      <c r="L1058">
        <v>3.2264929999999997E-2</v>
      </c>
      <c r="M1058">
        <v>2.8874799999999999E-2</v>
      </c>
      <c r="N1058">
        <v>2.4791779999999999E-2</v>
      </c>
    </row>
    <row r="1059" spans="1:14" hidden="1" x14ac:dyDescent="0.35">
      <c r="A1059" t="s">
        <v>670</v>
      </c>
      <c r="B1059" t="s">
        <v>37</v>
      </c>
      <c r="C1059" t="s">
        <v>35</v>
      </c>
      <c r="D1059" t="s">
        <v>163</v>
      </c>
      <c r="E1059" t="s">
        <v>583</v>
      </c>
      <c r="F1059" t="s">
        <v>26</v>
      </c>
      <c r="G1059" t="s">
        <v>26</v>
      </c>
      <c r="H1059">
        <v>4.164383E-2</v>
      </c>
      <c r="I1059">
        <v>3.354795E-2</v>
      </c>
      <c r="J1059">
        <v>2.7824660000000001E-2</v>
      </c>
      <c r="K1059">
        <v>2.5193699999999999E-2</v>
      </c>
      <c r="L1059">
        <v>2.42011E-2</v>
      </c>
      <c r="M1059">
        <v>2.1656990000000001E-2</v>
      </c>
      <c r="N1059">
        <v>1.859096E-2</v>
      </c>
    </row>
    <row r="1060" spans="1:14" hidden="1" x14ac:dyDescent="0.35">
      <c r="A1060" t="s">
        <v>670</v>
      </c>
      <c r="B1060" t="s">
        <v>37</v>
      </c>
      <c r="C1060" t="s">
        <v>35</v>
      </c>
      <c r="D1060" t="s">
        <v>39</v>
      </c>
      <c r="E1060" t="s">
        <v>582</v>
      </c>
      <c r="F1060" t="s">
        <v>581</v>
      </c>
      <c r="G1060" t="s">
        <v>396</v>
      </c>
      <c r="H1060">
        <v>2.3495889999999999</v>
      </c>
      <c r="I1060">
        <v>1.723066</v>
      </c>
      <c r="J1060">
        <v>1.703956</v>
      </c>
      <c r="K1060">
        <v>1.6181989999999999</v>
      </c>
      <c r="L1060">
        <v>1.4310659999999999</v>
      </c>
      <c r="M1060">
        <v>1.1678459999999999</v>
      </c>
      <c r="N1060">
        <v>0.96605920000000001</v>
      </c>
    </row>
    <row r="1061" spans="1:14" hidden="1" x14ac:dyDescent="0.35">
      <c r="A1061" t="s">
        <v>670</v>
      </c>
      <c r="B1061" t="s">
        <v>37</v>
      </c>
      <c r="C1061" t="s">
        <v>35</v>
      </c>
      <c r="D1061" t="s">
        <v>39</v>
      </c>
      <c r="E1061" t="s">
        <v>582</v>
      </c>
      <c r="F1061" t="s">
        <v>581</v>
      </c>
      <c r="G1061" t="s">
        <v>25</v>
      </c>
      <c r="H1061">
        <v>0.7219177</v>
      </c>
      <c r="I1061">
        <v>0.46451779999999998</v>
      </c>
      <c r="J1061">
        <v>0.45936440000000001</v>
      </c>
      <c r="K1061">
        <v>0.43625180000000002</v>
      </c>
      <c r="L1061">
        <v>0.385799</v>
      </c>
      <c r="M1061">
        <v>0.31484020000000001</v>
      </c>
      <c r="N1061">
        <v>0.26043810000000001</v>
      </c>
    </row>
    <row r="1062" spans="1:14" hidden="1" x14ac:dyDescent="0.35">
      <c r="A1062" t="s">
        <v>670</v>
      </c>
      <c r="B1062" t="s">
        <v>37</v>
      </c>
      <c r="C1062" t="s">
        <v>35</v>
      </c>
      <c r="D1062" t="s">
        <v>39</v>
      </c>
      <c r="E1062" t="s">
        <v>582</v>
      </c>
      <c r="F1062" t="s">
        <v>26</v>
      </c>
      <c r="G1062" t="s">
        <v>26</v>
      </c>
      <c r="H1062">
        <v>0.5845205</v>
      </c>
      <c r="I1062">
        <v>0.43719730000000001</v>
      </c>
      <c r="J1062">
        <v>0.43234790000000001</v>
      </c>
      <c r="K1062">
        <v>0.41058929999999999</v>
      </c>
      <c r="L1062">
        <v>0.36310680000000001</v>
      </c>
      <c r="M1062">
        <v>0.2963189</v>
      </c>
      <c r="N1062">
        <v>0.24511920000000001</v>
      </c>
    </row>
    <row r="1063" spans="1:14" hidden="1" x14ac:dyDescent="0.35">
      <c r="A1063" t="s">
        <v>670</v>
      </c>
      <c r="B1063" t="s">
        <v>37</v>
      </c>
      <c r="C1063" t="s">
        <v>35</v>
      </c>
      <c r="D1063" t="s">
        <v>39</v>
      </c>
      <c r="E1063" t="s">
        <v>580</v>
      </c>
      <c r="F1063" t="s">
        <v>581</v>
      </c>
      <c r="G1063" t="s">
        <v>396</v>
      </c>
      <c r="H1063">
        <v>0.81534240000000002</v>
      </c>
      <c r="I1063">
        <v>0.49327399999999999</v>
      </c>
      <c r="J1063">
        <v>0.51179719999999995</v>
      </c>
      <c r="K1063">
        <v>0.63174549999999996</v>
      </c>
      <c r="L1063">
        <v>0.64126689999999997</v>
      </c>
      <c r="M1063">
        <v>0.89883840000000004</v>
      </c>
      <c r="N1063">
        <v>1.2128479999999999</v>
      </c>
    </row>
    <row r="1064" spans="1:14" hidden="1" x14ac:dyDescent="0.35">
      <c r="A1064" t="s">
        <v>670</v>
      </c>
      <c r="B1064" t="s">
        <v>37</v>
      </c>
      <c r="C1064" t="s">
        <v>35</v>
      </c>
      <c r="D1064" t="s">
        <v>39</v>
      </c>
      <c r="E1064" t="s">
        <v>580</v>
      </c>
      <c r="F1064" t="s">
        <v>581</v>
      </c>
      <c r="G1064" t="s">
        <v>25</v>
      </c>
      <c r="H1064">
        <v>0.1513699</v>
      </c>
      <c r="I1064">
        <v>8.0632880000000004E-2</v>
      </c>
      <c r="J1064">
        <v>8.3657529999999994E-2</v>
      </c>
      <c r="K1064">
        <v>0.10326490000000001</v>
      </c>
      <c r="L1064">
        <v>0.10481840000000001</v>
      </c>
      <c r="M1064">
        <v>0.1469279</v>
      </c>
      <c r="N1064">
        <v>0.19826279999999999</v>
      </c>
    </row>
    <row r="1065" spans="1:14" hidden="1" x14ac:dyDescent="0.35">
      <c r="A1065" t="s">
        <v>670</v>
      </c>
      <c r="B1065" t="s">
        <v>37</v>
      </c>
      <c r="C1065" t="s">
        <v>35</v>
      </c>
      <c r="D1065" t="s">
        <v>39</v>
      </c>
      <c r="E1065" t="s">
        <v>580</v>
      </c>
      <c r="F1065" t="s">
        <v>26</v>
      </c>
      <c r="G1065" t="s">
        <v>26</v>
      </c>
      <c r="H1065">
        <v>0.1094521</v>
      </c>
      <c r="I1065">
        <v>6.7191780000000007E-2</v>
      </c>
      <c r="J1065">
        <v>6.9715070000000004E-2</v>
      </c>
      <c r="K1065">
        <v>8.6053699999999997E-2</v>
      </c>
      <c r="L1065">
        <v>8.7352869999999999E-2</v>
      </c>
      <c r="M1065">
        <v>0.1224378</v>
      </c>
      <c r="N1065">
        <v>0.16521069999999999</v>
      </c>
    </row>
    <row r="1066" spans="1:14" hidden="1" x14ac:dyDescent="0.35">
      <c r="A1066" t="s">
        <v>670</v>
      </c>
      <c r="B1066" t="s">
        <v>37</v>
      </c>
      <c r="C1066" t="s">
        <v>35</v>
      </c>
      <c r="D1066" t="s">
        <v>38</v>
      </c>
      <c r="E1066" t="s">
        <v>584</v>
      </c>
      <c r="F1066" t="s">
        <v>581</v>
      </c>
      <c r="G1066" t="s">
        <v>396</v>
      </c>
      <c r="H1066">
        <v>3.0509590000000002</v>
      </c>
      <c r="I1066">
        <v>2.4627370000000002</v>
      </c>
      <c r="J1066">
        <v>1.9879230000000001</v>
      </c>
      <c r="K1066">
        <v>1.6046549999999999</v>
      </c>
      <c r="L1066">
        <v>1.29528</v>
      </c>
      <c r="M1066">
        <v>1.0455509999999999</v>
      </c>
      <c r="N1066">
        <v>0.84396990000000005</v>
      </c>
    </row>
    <row r="1067" spans="1:14" hidden="1" x14ac:dyDescent="0.35">
      <c r="A1067" t="s">
        <v>670</v>
      </c>
      <c r="B1067" t="s">
        <v>37</v>
      </c>
      <c r="C1067" t="s">
        <v>35</v>
      </c>
      <c r="D1067" t="s">
        <v>38</v>
      </c>
      <c r="E1067" t="s">
        <v>584</v>
      </c>
      <c r="F1067" t="s">
        <v>26</v>
      </c>
      <c r="G1067" t="s">
        <v>26</v>
      </c>
      <c r="H1067">
        <v>0.13150680000000001</v>
      </c>
      <c r="I1067">
        <v>0.1034712</v>
      </c>
      <c r="J1067">
        <v>8.1413700000000006E-2</v>
      </c>
      <c r="K1067">
        <v>6.4057539999999996E-2</v>
      </c>
      <c r="L1067">
        <v>5.04E-2</v>
      </c>
      <c r="M1067">
        <v>3.9657530000000003E-2</v>
      </c>
      <c r="N1067">
        <v>3.120274E-2</v>
      </c>
    </row>
    <row r="1068" spans="1:14" hidden="1" x14ac:dyDescent="0.35">
      <c r="A1068" t="s">
        <v>670</v>
      </c>
      <c r="B1068" t="s">
        <v>37</v>
      </c>
      <c r="C1068" t="s">
        <v>35</v>
      </c>
      <c r="D1068" t="s">
        <v>164</v>
      </c>
      <c r="E1068" t="s">
        <v>589</v>
      </c>
      <c r="F1068" t="s">
        <v>581</v>
      </c>
      <c r="G1068" t="s">
        <v>396</v>
      </c>
      <c r="H1068">
        <v>3.6347949999999997E-2</v>
      </c>
      <c r="I1068">
        <v>4.3079449999999998E-2</v>
      </c>
      <c r="J1068">
        <v>2.511507E-2</v>
      </c>
      <c r="K1068">
        <v>1.8421920000000001E-2</v>
      </c>
      <c r="L1068">
        <v>3.1715069999999998E-2</v>
      </c>
      <c r="M1068">
        <v>2.6566300000000001E-2</v>
      </c>
      <c r="N1068">
        <v>1.9808760000000002E-2</v>
      </c>
    </row>
    <row r="1069" spans="1:14" hidden="1" x14ac:dyDescent="0.35">
      <c r="A1069" t="s">
        <v>670</v>
      </c>
      <c r="B1069" t="s">
        <v>37</v>
      </c>
      <c r="C1069" t="s">
        <v>35</v>
      </c>
      <c r="D1069" t="s">
        <v>164</v>
      </c>
      <c r="E1069" t="s">
        <v>589</v>
      </c>
      <c r="F1069" t="s">
        <v>581</v>
      </c>
      <c r="G1069" t="s">
        <v>25</v>
      </c>
      <c r="H1069">
        <v>3.533973E-2</v>
      </c>
      <c r="I1069">
        <v>4.188219E-2</v>
      </c>
      <c r="J1069">
        <v>2.4416440000000001E-2</v>
      </c>
      <c r="K1069">
        <v>1.790959E-2</v>
      </c>
      <c r="L1069">
        <v>3.0837259999999998E-2</v>
      </c>
      <c r="M1069">
        <v>2.5828770000000001E-2</v>
      </c>
      <c r="N1069">
        <v>1.9258359999999999E-2</v>
      </c>
    </row>
    <row r="1070" spans="1:14" hidden="1" x14ac:dyDescent="0.35">
      <c r="A1070" t="s">
        <v>670</v>
      </c>
      <c r="B1070" t="s">
        <v>37</v>
      </c>
      <c r="C1070" t="s">
        <v>35</v>
      </c>
      <c r="D1070" t="s">
        <v>164</v>
      </c>
      <c r="E1070" t="s">
        <v>589</v>
      </c>
      <c r="F1070" t="s">
        <v>26</v>
      </c>
      <c r="G1070" t="s">
        <v>26</v>
      </c>
      <c r="H1070">
        <v>2.9279449999999999E-2</v>
      </c>
      <c r="I1070">
        <v>3.4704110000000003E-2</v>
      </c>
      <c r="J1070">
        <v>2.0232880000000002E-2</v>
      </c>
      <c r="K1070">
        <v>1.4841099999999999E-2</v>
      </c>
      <c r="L1070">
        <v>2.554822E-2</v>
      </c>
      <c r="M1070">
        <v>2.1403559999999999E-2</v>
      </c>
      <c r="N1070">
        <v>1.595945E-2</v>
      </c>
    </row>
    <row r="1071" spans="1:14" hidden="1" x14ac:dyDescent="0.35">
      <c r="A1071" t="s">
        <v>669</v>
      </c>
      <c r="B1071" t="s">
        <v>53</v>
      </c>
      <c r="C1071" t="s">
        <v>52</v>
      </c>
      <c r="D1071" t="s">
        <v>52</v>
      </c>
      <c r="E1071" t="s">
        <v>584</v>
      </c>
      <c r="F1071" t="s">
        <v>581</v>
      </c>
      <c r="G1071" t="s">
        <v>396</v>
      </c>
      <c r="H1071">
        <v>15.307829999999999</v>
      </c>
      <c r="I1071">
        <v>32.003070000000001</v>
      </c>
      <c r="J1071">
        <v>29.173439999999999</v>
      </c>
      <c r="K1071">
        <v>24.297550000000001</v>
      </c>
      <c r="L1071">
        <v>17.321919999999999</v>
      </c>
      <c r="M1071">
        <v>11.0646</v>
      </c>
      <c r="N1071">
        <v>7.9886169999999996</v>
      </c>
    </row>
    <row r="1072" spans="1:14" hidden="1" x14ac:dyDescent="0.35">
      <c r="A1072" t="s">
        <v>669</v>
      </c>
      <c r="B1072" t="s">
        <v>53</v>
      </c>
      <c r="C1072" t="s">
        <v>52</v>
      </c>
      <c r="D1072" t="s">
        <v>52</v>
      </c>
      <c r="E1072" t="s">
        <v>584</v>
      </c>
      <c r="F1072" t="s">
        <v>581</v>
      </c>
      <c r="G1072" t="s">
        <v>24</v>
      </c>
      <c r="H1072">
        <v>26.195340000000002</v>
      </c>
      <c r="I1072">
        <v>25.318280000000001</v>
      </c>
      <c r="J1072">
        <v>22.667829999999999</v>
      </c>
      <c r="K1072">
        <v>21.015699999999999</v>
      </c>
      <c r="L1072">
        <v>19.769950000000001</v>
      </c>
      <c r="M1072">
        <v>17.24239</v>
      </c>
      <c r="N1072">
        <v>14.337149999999999</v>
      </c>
    </row>
    <row r="1073" spans="1:14" hidden="1" x14ac:dyDescent="0.35">
      <c r="A1073" t="s">
        <v>669</v>
      </c>
      <c r="B1073" t="s">
        <v>53</v>
      </c>
      <c r="C1073" t="s">
        <v>52</v>
      </c>
      <c r="D1073" t="s">
        <v>52</v>
      </c>
      <c r="E1073" t="s">
        <v>584</v>
      </c>
      <c r="F1073" t="s">
        <v>26</v>
      </c>
      <c r="G1073" t="s">
        <v>26</v>
      </c>
      <c r="H1073">
        <v>200.02690000000001</v>
      </c>
      <c r="I1073">
        <v>202.51339999999999</v>
      </c>
      <c r="J1073">
        <v>199.64879999999999</v>
      </c>
      <c r="K1073">
        <v>200.93770000000001</v>
      </c>
      <c r="L1073">
        <v>214.18100000000001</v>
      </c>
      <c r="M1073">
        <v>215.32480000000001</v>
      </c>
      <c r="N1073">
        <v>218.0712</v>
      </c>
    </row>
    <row r="1074" spans="1:14" hidden="1" x14ac:dyDescent="0.35">
      <c r="A1074" t="s">
        <v>669</v>
      </c>
      <c r="B1074" t="s">
        <v>53</v>
      </c>
      <c r="C1074" t="s">
        <v>145</v>
      </c>
      <c r="D1074" t="s">
        <v>145</v>
      </c>
      <c r="E1074" t="s">
        <v>584</v>
      </c>
      <c r="F1074" t="s">
        <v>581</v>
      </c>
      <c r="G1074" t="s">
        <v>25</v>
      </c>
      <c r="H1074">
        <v>1.478874</v>
      </c>
      <c r="I1074">
        <v>1.3405</v>
      </c>
      <c r="J1074">
        <v>1.254016</v>
      </c>
      <c r="K1074">
        <v>1.1675310000000001</v>
      </c>
      <c r="L1074">
        <v>1.126387</v>
      </c>
      <c r="M1074">
        <v>1.0625990000000001</v>
      </c>
      <c r="N1074">
        <v>1.00674</v>
      </c>
    </row>
    <row r="1075" spans="1:14" hidden="1" x14ac:dyDescent="0.35">
      <c r="A1075" t="s">
        <v>669</v>
      </c>
      <c r="B1075" t="s">
        <v>53</v>
      </c>
      <c r="C1075" t="s">
        <v>151</v>
      </c>
      <c r="D1075" t="s">
        <v>151</v>
      </c>
      <c r="E1075" t="s">
        <v>584</v>
      </c>
      <c r="F1075" t="s">
        <v>26</v>
      </c>
      <c r="G1075" t="s">
        <v>26</v>
      </c>
      <c r="H1075">
        <v>2.612806E-6</v>
      </c>
      <c r="I1075">
        <v>-2.612806E-6</v>
      </c>
      <c r="J1075">
        <v>0</v>
      </c>
      <c r="K1075">
        <v>0</v>
      </c>
      <c r="L1075">
        <v>7.8384189999999997E-6</v>
      </c>
      <c r="M1075">
        <v>-2.612806E-6</v>
      </c>
      <c r="N1075">
        <v>0</v>
      </c>
    </row>
    <row r="1076" spans="1:14" hidden="1" x14ac:dyDescent="0.35">
      <c r="A1076" t="s">
        <v>669</v>
      </c>
      <c r="B1076" t="s">
        <v>320</v>
      </c>
      <c r="C1076" t="s">
        <v>319</v>
      </c>
      <c r="D1076" t="s">
        <v>319</v>
      </c>
      <c r="E1076" t="s">
        <v>584</v>
      </c>
      <c r="F1076" t="s">
        <v>581</v>
      </c>
      <c r="G1076" t="s">
        <v>396</v>
      </c>
      <c r="K1076">
        <v>0</v>
      </c>
      <c r="L1076">
        <v>10.07281</v>
      </c>
      <c r="M1076">
        <v>27.842649999999999</v>
      </c>
      <c r="N1076">
        <v>26.417809999999999</v>
      </c>
    </row>
    <row r="1077" spans="1:14" hidden="1" x14ac:dyDescent="0.35">
      <c r="A1077" t="s">
        <v>669</v>
      </c>
      <c r="B1077" t="s">
        <v>34</v>
      </c>
      <c r="C1077" t="s">
        <v>33</v>
      </c>
      <c r="D1077" t="s">
        <v>33</v>
      </c>
      <c r="E1077" t="s">
        <v>622</v>
      </c>
      <c r="F1077" t="s">
        <v>26</v>
      </c>
      <c r="G1077" t="s">
        <v>26</v>
      </c>
      <c r="H1077">
        <v>1.1876709999999999</v>
      </c>
      <c r="I1077">
        <v>0</v>
      </c>
      <c r="J1077">
        <v>1.6381749999999999</v>
      </c>
      <c r="K1077">
        <v>1.474334</v>
      </c>
      <c r="L1077">
        <v>1.3268819999999999</v>
      </c>
      <c r="M1077">
        <v>1.1972769999999999</v>
      </c>
      <c r="N1077">
        <v>1.07443</v>
      </c>
    </row>
    <row r="1078" spans="1:14" hidden="1" x14ac:dyDescent="0.35">
      <c r="A1078" t="s">
        <v>669</v>
      </c>
      <c r="B1078" t="s">
        <v>195</v>
      </c>
      <c r="C1078" t="s">
        <v>359</v>
      </c>
      <c r="D1078" t="s">
        <v>359</v>
      </c>
      <c r="E1078" t="s">
        <v>584</v>
      </c>
      <c r="F1078" t="s">
        <v>26</v>
      </c>
      <c r="G1078" t="s">
        <v>26</v>
      </c>
      <c r="N1078">
        <v>0</v>
      </c>
    </row>
    <row r="1079" spans="1:14" hidden="1" x14ac:dyDescent="0.35">
      <c r="A1079" t="s">
        <v>671</v>
      </c>
      <c r="B1079" t="s">
        <v>37</v>
      </c>
      <c r="C1079" t="s">
        <v>35</v>
      </c>
      <c r="D1079" t="s">
        <v>163</v>
      </c>
      <c r="E1079" t="s">
        <v>580</v>
      </c>
      <c r="F1079" t="s">
        <v>581</v>
      </c>
      <c r="G1079" t="s">
        <v>396</v>
      </c>
      <c r="H1079">
        <v>49.516710000000003</v>
      </c>
      <c r="I1079">
        <v>54.388260000000002</v>
      </c>
      <c r="J1079">
        <v>56.952260000000003</v>
      </c>
      <c r="K1079">
        <v>53.682589999999998</v>
      </c>
      <c r="L1079">
        <v>47.57676</v>
      </c>
      <c r="M1079">
        <v>46.855930000000001</v>
      </c>
      <c r="N1079">
        <v>48.41113</v>
      </c>
    </row>
    <row r="1080" spans="1:14" hidden="1" x14ac:dyDescent="0.35">
      <c r="A1080" t="s">
        <v>671</v>
      </c>
      <c r="B1080" t="s">
        <v>37</v>
      </c>
      <c r="C1080" t="s">
        <v>35</v>
      </c>
      <c r="D1080" t="s">
        <v>163</v>
      </c>
      <c r="E1080" t="s">
        <v>580</v>
      </c>
      <c r="F1080" t="s">
        <v>581</v>
      </c>
      <c r="G1080" t="s">
        <v>25</v>
      </c>
      <c r="H1080">
        <v>34.571910000000003</v>
      </c>
      <c r="I1080">
        <v>37.285679999999999</v>
      </c>
      <c r="J1080">
        <v>39.017789999999998</v>
      </c>
      <c r="K1080">
        <v>36.728369999999998</v>
      </c>
      <c r="L1080">
        <v>32.472479999999997</v>
      </c>
      <c r="M1080">
        <v>31.890180000000001</v>
      </c>
      <c r="N1080">
        <v>32.868130000000001</v>
      </c>
    </row>
    <row r="1081" spans="1:14" hidden="1" x14ac:dyDescent="0.35">
      <c r="A1081" t="s">
        <v>671</v>
      </c>
      <c r="B1081" t="s">
        <v>37</v>
      </c>
      <c r="C1081" t="s">
        <v>35</v>
      </c>
      <c r="D1081" t="s">
        <v>163</v>
      </c>
      <c r="E1081" t="s">
        <v>580</v>
      </c>
      <c r="F1081" t="s">
        <v>26</v>
      </c>
      <c r="G1081" t="s">
        <v>26</v>
      </c>
      <c r="H1081">
        <v>43.706299999999999</v>
      </c>
      <c r="I1081">
        <v>46.168109999999999</v>
      </c>
      <c r="J1081">
        <v>48.255270000000003</v>
      </c>
      <c r="K1081">
        <v>45.790419999999997</v>
      </c>
      <c r="L1081">
        <v>41.067540000000001</v>
      </c>
      <c r="M1081">
        <v>41.004260000000002</v>
      </c>
      <c r="N1081">
        <v>42.863480000000003</v>
      </c>
    </row>
    <row r="1082" spans="1:14" hidden="1" x14ac:dyDescent="0.35">
      <c r="A1082" t="s">
        <v>671</v>
      </c>
      <c r="B1082" t="s">
        <v>37</v>
      </c>
      <c r="C1082" t="s">
        <v>35</v>
      </c>
      <c r="D1082" t="s">
        <v>163</v>
      </c>
      <c r="E1082" t="s">
        <v>582</v>
      </c>
      <c r="F1082" t="s">
        <v>581</v>
      </c>
      <c r="G1082" t="s">
        <v>396</v>
      </c>
      <c r="H1082">
        <v>2.612603</v>
      </c>
      <c r="I1082">
        <v>2.3944879999999999</v>
      </c>
      <c r="J1082">
        <v>2.9804460000000002</v>
      </c>
      <c r="K1082">
        <v>2.9882659999999999</v>
      </c>
      <c r="L1082">
        <v>3.0409489999999999</v>
      </c>
      <c r="M1082">
        <v>3.62486</v>
      </c>
      <c r="N1082">
        <v>4.8138050000000003</v>
      </c>
    </row>
    <row r="1083" spans="1:14" hidden="1" x14ac:dyDescent="0.35">
      <c r="A1083" t="s">
        <v>671</v>
      </c>
      <c r="B1083" t="s">
        <v>37</v>
      </c>
      <c r="C1083" t="s">
        <v>35</v>
      </c>
      <c r="D1083" t="s">
        <v>163</v>
      </c>
      <c r="E1083" t="s">
        <v>582</v>
      </c>
      <c r="F1083" t="s">
        <v>581</v>
      </c>
      <c r="G1083" t="s">
        <v>25</v>
      </c>
      <c r="H1083">
        <v>1.3227370000000001</v>
      </c>
      <c r="I1083">
        <v>1.17885</v>
      </c>
      <c r="J1083">
        <v>1.467506</v>
      </c>
      <c r="K1083">
        <v>1.4713529999999999</v>
      </c>
      <c r="L1083">
        <v>1.497293</v>
      </c>
      <c r="M1083">
        <v>1.784805</v>
      </c>
      <c r="N1083">
        <v>2.370212</v>
      </c>
    </row>
    <row r="1084" spans="1:14" hidden="1" x14ac:dyDescent="0.35">
      <c r="A1084" t="s">
        <v>671</v>
      </c>
      <c r="B1084" t="s">
        <v>37</v>
      </c>
      <c r="C1084" t="s">
        <v>35</v>
      </c>
      <c r="D1084" t="s">
        <v>163</v>
      </c>
      <c r="E1084" t="s">
        <v>582</v>
      </c>
      <c r="F1084" t="s">
        <v>26</v>
      </c>
      <c r="G1084" t="s">
        <v>26</v>
      </c>
      <c r="H1084">
        <v>2.8923290000000001</v>
      </c>
      <c r="I1084">
        <v>2.4817840000000002</v>
      </c>
      <c r="J1084">
        <v>3.089483</v>
      </c>
      <c r="K1084">
        <v>3.097594</v>
      </c>
      <c r="L1084">
        <v>3.1522009999999998</v>
      </c>
      <c r="M1084">
        <v>3.7574779999999999</v>
      </c>
      <c r="N1084">
        <v>4.9899209999999998</v>
      </c>
    </row>
    <row r="1085" spans="1:14" hidden="1" x14ac:dyDescent="0.35">
      <c r="A1085" t="s">
        <v>671</v>
      </c>
      <c r="B1085" t="s">
        <v>37</v>
      </c>
      <c r="C1085" t="s">
        <v>35</v>
      </c>
      <c r="D1085" t="s">
        <v>39</v>
      </c>
      <c r="E1085" t="s">
        <v>582</v>
      </c>
      <c r="F1085" t="s">
        <v>581</v>
      </c>
      <c r="G1085" t="s">
        <v>396</v>
      </c>
      <c r="H1085">
        <v>10.59726</v>
      </c>
      <c r="I1085">
        <v>11.992430000000001</v>
      </c>
      <c r="J1085">
        <v>11.19825</v>
      </c>
      <c r="K1085">
        <v>9.4722179999999998</v>
      </c>
      <c r="L1085">
        <v>9.0907730000000004</v>
      </c>
      <c r="M1085">
        <v>9.1064950000000007</v>
      </c>
      <c r="N1085">
        <v>9.5666220000000006</v>
      </c>
    </row>
    <row r="1086" spans="1:14" hidden="1" x14ac:dyDescent="0.35">
      <c r="A1086" t="s">
        <v>671</v>
      </c>
      <c r="B1086" t="s">
        <v>37</v>
      </c>
      <c r="C1086" t="s">
        <v>35</v>
      </c>
      <c r="D1086" t="s">
        <v>39</v>
      </c>
      <c r="E1086" t="s">
        <v>582</v>
      </c>
      <c r="F1086" t="s">
        <v>581</v>
      </c>
      <c r="G1086" t="s">
        <v>25</v>
      </c>
      <c r="H1086">
        <v>7.8735590000000002</v>
      </c>
      <c r="I1086">
        <v>8.6896269999999998</v>
      </c>
      <c r="J1086">
        <v>8.112368</v>
      </c>
      <c r="K1086">
        <v>6.8619750000000002</v>
      </c>
      <c r="L1086">
        <v>6.5856469999999998</v>
      </c>
      <c r="M1086">
        <v>6.5970310000000003</v>
      </c>
      <c r="N1086">
        <v>6.9303650000000001</v>
      </c>
    </row>
    <row r="1087" spans="1:14" hidden="1" x14ac:dyDescent="0.35">
      <c r="A1087" t="s">
        <v>671</v>
      </c>
      <c r="B1087" t="s">
        <v>37</v>
      </c>
      <c r="C1087" t="s">
        <v>35</v>
      </c>
      <c r="D1087" t="s">
        <v>39</v>
      </c>
      <c r="E1087" t="s">
        <v>582</v>
      </c>
      <c r="F1087" t="s">
        <v>26</v>
      </c>
      <c r="G1087" t="s">
        <v>26</v>
      </c>
      <c r="H1087">
        <v>7.0910960000000003</v>
      </c>
      <c r="I1087">
        <v>7.5310110000000003</v>
      </c>
      <c r="J1087">
        <v>7.0307219999999999</v>
      </c>
      <c r="K1087">
        <v>5.9470419999999997</v>
      </c>
      <c r="L1087">
        <v>5.7075589999999998</v>
      </c>
      <c r="M1087">
        <v>5.7174290000000001</v>
      </c>
      <c r="N1087">
        <v>6.0063149999999998</v>
      </c>
    </row>
    <row r="1088" spans="1:14" hidden="1" x14ac:dyDescent="0.35">
      <c r="A1088" t="s">
        <v>671</v>
      </c>
      <c r="B1088" t="s">
        <v>37</v>
      </c>
      <c r="C1088" t="s">
        <v>35</v>
      </c>
      <c r="D1088" t="s">
        <v>39</v>
      </c>
      <c r="E1088" t="s">
        <v>580</v>
      </c>
      <c r="F1088" t="s">
        <v>581</v>
      </c>
      <c r="G1088" t="s">
        <v>396</v>
      </c>
      <c r="H1088">
        <v>5.8389040000000003</v>
      </c>
      <c r="I1088">
        <v>6.8510530000000003</v>
      </c>
      <c r="J1088">
        <v>6.0566279999999999</v>
      </c>
      <c r="K1088">
        <v>4.8530730000000002</v>
      </c>
      <c r="L1088">
        <v>4.1685879999999997</v>
      </c>
      <c r="M1088">
        <v>3.6735120000000001</v>
      </c>
      <c r="N1088">
        <v>3.2421820000000001</v>
      </c>
    </row>
    <row r="1089" spans="1:14" hidden="1" x14ac:dyDescent="0.35">
      <c r="A1089" t="s">
        <v>671</v>
      </c>
      <c r="B1089" t="s">
        <v>37</v>
      </c>
      <c r="C1089" t="s">
        <v>35</v>
      </c>
      <c r="D1089" t="s">
        <v>39</v>
      </c>
      <c r="E1089" t="s">
        <v>580</v>
      </c>
      <c r="F1089" t="s">
        <v>581</v>
      </c>
      <c r="G1089" t="s">
        <v>25</v>
      </c>
      <c r="H1089">
        <v>4.4735610000000001</v>
      </c>
      <c r="I1089">
        <v>5.1153360000000001</v>
      </c>
      <c r="J1089">
        <v>4.5220089999999997</v>
      </c>
      <c r="K1089">
        <v>3.6234099999999998</v>
      </c>
      <c r="L1089">
        <v>3.1123590000000001</v>
      </c>
      <c r="M1089">
        <v>2.742721</v>
      </c>
      <c r="N1089">
        <v>2.4206819999999998</v>
      </c>
    </row>
    <row r="1090" spans="1:14" hidden="1" x14ac:dyDescent="0.35">
      <c r="A1090" t="s">
        <v>671</v>
      </c>
      <c r="B1090" t="s">
        <v>37</v>
      </c>
      <c r="C1090" t="s">
        <v>35</v>
      </c>
      <c r="D1090" t="s">
        <v>39</v>
      </c>
      <c r="E1090" t="s">
        <v>580</v>
      </c>
      <c r="F1090" t="s">
        <v>26</v>
      </c>
      <c r="G1090" t="s">
        <v>26</v>
      </c>
      <c r="H1090">
        <v>6.6136990000000004</v>
      </c>
      <c r="I1090">
        <v>7.2795160000000001</v>
      </c>
      <c r="J1090">
        <v>6.4351630000000002</v>
      </c>
      <c r="K1090">
        <v>5.1563879999999997</v>
      </c>
      <c r="L1090">
        <v>4.4291260000000001</v>
      </c>
      <c r="M1090">
        <v>3.9031039999999999</v>
      </c>
      <c r="N1090">
        <v>3.444817</v>
      </c>
    </row>
    <row r="1091" spans="1:14" hidden="1" x14ac:dyDescent="0.35">
      <c r="A1091" t="s">
        <v>671</v>
      </c>
      <c r="B1091" t="s">
        <v>37</v>
      </c>
      <c r="C1091" t="s">
        <v>35</v>
      </c>
      <c r="D1091" t="s">
        <v>38</v>
      </c>
      <c r="E1091" t="s">
        <v>582</v>
      </c>
      <c r="F1091" t="s">
        <v>581</v>
      </c>
      <c r="G1091" t="s">
        <v>396</v>
      </c>
      <c r="H1091">
        <v>4.1556170000000003</v>
      </c>
      <c r="I1091">
        <v>3.4465140000000001</v>
      </c>
      <c r="J1091">
        <v>3.1994959999999999</v>
      </c>
      <c r="K1091">
        <v>3.1372019999999998</v>
      </c>
      <c r="L1091">
        <v>3.1920160000000002</v>
      </c>
      <c r="M1091">
        <v>3.3041800000000001</v>
      </c>
      <c r="N1091">
        <v>3.3174049999999999</v>
      </c>
    </row>
    <row r="1092" spans="1:14" hidden="1" x14ac:dyDescent="0.35">
      <c r="A1092" t="s">
        <v>671</v>
      </c>
      <c r="B1092" t="s">
        <v>37</v>
      </c>
      <c r="C1092" t="s">
        <v>35</v>
      </c>
      <c r="D1092" t="s">
        <v>38</v>
      </c>
      <c r="E1092" t="s">
        <v>582</v>
      </c>
      <c r="F1092" t="s">
        <v>581</v>
      </c>
      <c r="G1092" t="s">
        <v>25</v>
      </c>
      <c r="H1092">
        <v>3.0879449999999999</v>
      </c>
      <c r="I1092">
        <v>2.49708</v>
      </c>
      <c r="J1092">
        <v>2.3178169999999998</v>
      </c>
      <c r="K1092">
        <v>2.2726869999999999</v>
      </c>
      <c r="L1092">
        <v>2.3123990000000001</v>
      </c>
      <c r="M1092">
        <v>2.3936519999999999</v>
      </c>
      <c r="N1092">
        <v>2.403232</v>
      </c>
    </row>
    <row r="1093" spans="1:14" hidden="1" x14ac:dyDescent="0.35">
      <c r="A1093" t="s">
        <v>671</v>
      </c>
      <c r="B1093" t="s">
        <v>37</v>
      </c>
      <c r="C1093" t="s">
        <v>35</v>
      </c>
      <c r="D1093" t="s">
        <v>38</v>
      </c>
      <c r="E1093" t="s">
        <v>582</v>
      </c>
      <c r="F1093" t="s">
        <v>26</v>
      </c>
      <c r="G1093" t="s">
        <v>26</v>
      </c>
      <c r="H1093">
        <v>2.780548</v>
      </c>
      <c r="I1093">
        <v>2.1641370000000002</v>
      </c>
      <c r="J1093">
        <v>2.0087739999999998</v>
      </c>
      <c r="K1093">
        <v>1.969665</v>
      </c>
      <c r="L1093">
        <v>2.0040770000000001</v>
      </c>
      <c r="M1093">
        <v>2.074497</v>
      </c>
      <c r="N1093">
        <v>2.0828009999999999</v>
      </c>
    </row>
    <row r="1094" spans="1:14" hidden="1" x14ac:dyDescent="0.35">
      <c r="A1094" t="s">
        <v>671</v>
      </c>
      <c r="B1094" t="s">
        <v>37</v>
      </c>
      <c r="C1094" t="s">
        <v>35</v>
      </c>
      <c r="D1094" t="s">
        <v>38</v>
      </c>
      <c r="E1094" t="s">
        <v>584</v>
      </c>
      <c r="F1094" t="s">
        <v>581</v>
      </c>
      <c r="G1094" t="s">
        <v>396</v>
      </c>
      <c r="H1094">
        <v>2.1106850000000001</v>
      </c>
      <c r="I1094">
        <v>2.0688900000000001</v>
      </c>
      <c r="J1094">
        <v>2.0278510000000001</v>
      </c>
      <c r="K1094">
        <v>1.9837720000000001</v>
      </c>
      <c r="L1094">
        <v>1.925584</v>
      </c>
      <c r="M1094">
        <v>1.827947</v>
      </c>
      <c r="N1094">
        <v>1.7429950000000001</v>
      </c>
    </row>
    <row r="1095" spans="1:14" hidden="1" x14ac:dyDescent="0.35">
      <c r="A1095" t="s">
        <v>671</v>
      </c>
      <c r="B1095" t="s">
        <v>37</v>
      </c>
      <c r="C1095" t="s">
        <v>35</v>
      </c>
      <c r="D1095" t="s">
        <v>38</v>
      </c>
      <c r="E1095" t="s">
        <v>584</v>
      </c>
      <c r="F1095" t="s">
        <v>581</v>
      </c>
      <c r="G1095" t="s">
        <v>24</v>
      </c>
      <c r="H1095">
        <v>3.0000000000000001E-3</v>
      </c>
      <c r="I1095">
        <v>1.479452E-3</v>
      </c>
      <c r="J1095">
        <v>9.917808000000001E-4</v>
      </c>
      <c r="K1095">
        <v>0</v>
      </c>
    </row>
    <row r="1096" spans="1:14" hidden="1" x14ac:dyDescent="0.35">
      <c r="A1096" t="s">
        <v>671</v>
      </c>
      <c r="B1096" t="s">
        <v>37</v>
      </c>
      <c r="C1096" t="s">
        <v>35</v>
      </c>
      <c r="D1096" t="s">
        <v>38</v>
      </c>
      <c r="E1096" t="s">
        <v>584</v>
      </c>
      <c r="F1096" t="s">
        <v>581</v>
      </c>
      <c r="G1096" t="s">
        <v>25</v>
      </c>
      <c r="H1096">
        <v>2.5080849999999999</v>
      </c>
      <c r="I1096">
        <v>2.2800440000000002</v>
      </c>
      <c r="J1096">
        <v>2.0948120000000001</v>
      </c>
      <c r="K1096">
        <v>1.937981</v>
      </c>
      <c r="L1096">
        <v>1.7859799999999999</v>
      </c>
      <c r="M1096">
        <v>1.6157729999999999</v>
      </c>
      <c r="N1096">
        <v>1.4707429999999999</v>
      </c>
    </row>
    <row r="1097" spans="1:14" hidden="1" x14ac:dyDescent="0.35">
      <c r="A1097" t="s">
        <v>671</v>
      </c>
      <c r="B1097" t="s">
        <v>37</v>
      </c>
      <c r="C1097" t="s">
        <v>35</v>
      </c>
      <c r="D1097" t="s">
        <v>38</v>
      </c>
      <c r="E1097" t="s">
        <v>584</v>
      </c>
      <c r="F1097" t="s">
        <v>26</v>
      </c>
      <c r="G1097" t="s">
        <v>26</v>
      </c>
      <c r="H1097">
        <v>5.2086300000000003</v>
      </c>
      <c r="I1097">
        <v>4.7940829999999997</v>
      </c>
      <c r="J1097">
        <v>4.4148649999999998</v>
      </c>
      <c r="K1097">
        <v>4.0624510000000003</v>
      </c>
      <c r="L1097">
        <v>3.7001740000000001</v>
      </c>
      <c r="M1097">
        <v>3.2927590000000002</v>
      </c>
      <c r="N1097">
        <v>2.9405920000000001</v>
      </c>
    </row>
    <row r="1098" spans="1:14" hidden="1" x14ac:dyDescent="0.35">
      <c r="A1098" t="s">
        <v>671</v>
      </c>
      <c r="B1098" t="s">
        <v>37</v>
      </c>
      <c r="C1098" t="s">
        <v>105</v>
      </c>
      <c r="D1098" t="s">
        <v>105</v>
      </c>
      <c r="E1098" t="s">
        <v>633</v>
      </c>
      <c r="F1098" t="s">
        <v>581</v>
      </c>
      <c r="G1098" t="s">
        <v>396</v>
      </c>
      <c r="H1098">
        <v>5.7445259999999996</v>
      </c>
      <c r="I1098">
        <v>5.1440849999999996</v>
      </c>
      <c r="J1098">
        <v>4.5250519999999996</v>
      </c>
      <c r="K1098">
        <v>4.0411609999999998</v>
      </c>
      <c r="L1098">
        <v>3.6883339999999998</v>
      </c>
      <c r="M1098">
        <v>3.3038419999999999</v>
      </c>
      <c r="N1098">
        <v>2.9402539999999999</v>
      </c>
    </row>
    <row r="1099" spans="1:14" hidden="1" x14ac:dyDescent="0.35">
      <c r="A1099" t="s">
        <v>671</v>
      </c>
      <c r="B1099" t="s">
        <v>37</v>
      </c>
      <c r="C1099" t="s">
        <v>105</v>
      </c>
      <c r="D1099" t="s">
        <v>105</v>
      </c>
      <c r="E1099" t="s">
        <v>633</v>
      </c>
      <c r="F1099" t="s">
        <v>581</v>
      </c>
      <c r="G1099" t="s">
        <v>25</v>
      </c>
      <c r="H1099">
        <v>11.52439</v>
      </c>
      <c r="I1099">
        <v>9.6940539999999995</v>
      </c>
      <c r="J1099">
        <v>8.4036690000000007</v>
      </c>
      <c r="K1099">
        <v>7.5050129999999999</v>
      </c>
      <c r="L1099">
        <v>6.8497640000000004</v>
      </c>
      <c r="M1099">
        <v>6.135713</v>
      </c>
      <c r="N1099">
        <v>5.4604739999999996</v>
      </c>
    </row>
    <row r="1100" spans="1:14" hidden="1" x14ac:dyDescent="0.35">
      <c r="A1100" t="s">
        <v>671</v>
      </c>
      <c r="B1100" t="s">
        <v>37</v>
      </c>
      <c r="C1100" t="s">
        <v>105</v>
      </c>
      <c r="D1100" t="s">
        <v>105</v>
      </c>
      <c r="E1100" t="s">
        <v>633</v>
      </c>
      <c r="F1100" t="s">
        <v>26</v>
      </c>
      <c r="G1100" t="s">
        <v>26</v>
      </c>
      <c r="H1100">
        <v>25.895890000000001</v>
      </c>
      <c r="I1100">
        <v>22.370889999999999</v>
      </c>
      <c r="J1100">
        <v>19.393090000000001</v>
      </c>
      <c r="K1100">
        <v>17.31925</v>
      </c>
      <c r="L1100">
        <v>15.80715</v>
      </c>
      <c r="M1100">
        <v>14.159319999999999</v>
      </c>
      <c r="N1100">
        <v>12.60108</v>
      </c>
    </row>
    <row r="1101" spans="1:14" hidden="1" x14ac:dyDescent="0.35">
      <c r="A1101" t="s">
        <v>671</v>
      </c>
      <c r="B1101" t="s">
        <v>37</v>
      </c>
      <c r="C1101" t="s">
        <v>105</v>
      </c>
      <c r="D1101" t="s">
        <v>105</v>
      </c>
      <c r="E1101" t="s">
        <v>632</v>
      </c>
      <c r="F1101" t="s">
        <v>581</v>
      </c>
      <c r="G1101" t="s">
        <v>396</v>
      </c>
      <c r="H1101">
        <v>7.3512320000000004</v>
      </c>
      <c r="I1101">
        <v>5.2450770000000002</v>
      </c>
      <c r="J1101">
        <v>4.0291309999999996</v>
      </c>
      <c r="K1101">
        <v>3.4099409999999999</v>
      </c>
      <c r="L1101">
        <v>3.0891199999999999</v>
      </c>
      <c r="M1101">
        <v>2.7983359999999999</v>
      </c>
      <c r="N1101">
        <v>2.965706</v>
      </c>
    </row>
    <row r="1102" spans="1:14" hidden="1" x14ac:dyDescent="0.35">
      <c r="A1102" t="s">
        <v>671</v>
      </c>
      <c r="B1102" t="s">
        <v>37</v>
      </c>
      <c r="C1102" t="s">
        <v>105</v>
      </c>
      <c r="D1102" t="s">
        <v>105</v>
      </c>
      <c r="E1102" t="s">
        <v>632</v>
      </c>
      <c r="F1102" t="s">
        <v>581</v>
      </c>
      <c r="G1102" t="s">
        <v>25</v>
      </c>
      <c r="H1102">
        <v>10.10849</v>
      </c>
      <c r="I1102">
        <v>7.2490629999999996</v>
      </c>
      <c r="J1102">
        <v>5.5400510000000001</v>
      </c>
      <c r="K1102">
        <v>4.6886669999999997</v>
      </c>
      <c r="L1102">
        <v>4.247541</v>
      </c>
      <c r="M1102">
        <v>3.8477160000000001</v>
      </c>
      <c r="N1102">
        <v>4.0778429999999997</v>
      </c>
    </row>
    <row r="1103" spans="1:14" hidden="1" x14ac:dyDescent="0.35">
      <c r="A1103" t="s">
        <v>671</v>
      </c>
      <c r="B1103" t="s">
        <v>37</v>
      </c>
      <c r="C1103" t="s">
        <v>105</v>
      </c>
      <c r="D1103" t="s">
        <v>105</v>
      </c>
      <c r="E1103" t="s">
        <v>632</v>
      </c>
      <c r="F1103" t="s">
        <v>26</v>
      </c>
      <c r="G1103" t="s">
        <v>26</v>
      </c>
      <c r="H1103">
        <v>12.824109999999999</v>
      </c>
      <c r="I1103">
        <v>9.4457450000000005</v>
      </c>
      <c r="J1103">
        <v>7.2188619999999997</v>
      </c>
      <c r="K1103">
        <v>6.1094730000000004</v>
      </c>
      <c r="L1103">
        <v>5.5346719999999996</v>
      </c>
      <c r="M1103">
        <v>5.0136849999999997</v>
      </c>
      <c r="N1103">
        <v>5.3135570000000003</v>
      </c>
    </row>
    <row r="1104" spans="1:14" hidden="1" x14ac:dyDescent="0.35">
      <c r="A1104" t="s">
        <v>671</v>
      </c>
      <c r="B1104" t="s">
        <v>37</v>
      </c>
      <c r="C1104" t="s">
        <v>105</v>
      </c>
      <c r="D1104" t="s">
        <v>105</v>
      </c>
      <c r="E1104" t="s">
        <v>584</v>
      </c>
      <c r="F1104" t="s">
        <v>581</v>
      </c>
      <c r="G1104" t="s">
        <v>396</v>
      </c>
      <c r="H1104">
        <v>0.1279315</v>
      </c>
      <c r="I1104">
        <v>0.124463</v>
      </c>
      <c r="J1104">
        <v>0.1218518</v>
      </c>
      <c r="K1104">
        <v>0.1190751</v>
      </c>
      <c r="L1104">
        <v>0.1154603</v>
      </c>
      <c r="M1104">
        <v>0.1094992</v>
      </c>
      <c r="N1104">
        <v>0.10431319999999999</v>
      </c>
    </row>
    <row r="1105" spans="1:14" hidden="1" x14ac:dyDescent="0.35">
      <c r="A1105" t="s">
        <v>671</v>
      </c>
      <c r="B1105" t="s">
        <v>37</v>
      </c>
      <c r="C1105" t="s">
        <v>105</v>
      </c>
      <c r="D1105" t="s">
        <v>105</v>
      </c>
      <c r="E1105" t="s">
        <v>584</v>
      </c>
      <c r="F1105" t="s">
        <v>581</v>
      </c>
      <c r="G1105" t="s">
        <v>24</v>
      </c>
      <c r="H1105">
        <v>2.491233E-2</v>
      </c>
      <c r="I1105">
        <v>1.6178080000000001E-2</v>
      </c>
      <c r="J1105">
        <v>1.085068E-2</v>
      </c>
      <c r="K1105">
        <v>7.3035620000000004E-3</v>
      </c>
      <c r="L1105">
        <v>4.8939730000000002E-3</v>
      </c>
      <c r="M1105">
        <v>3.2824659999999999E-3</v>
      </c>
      <c r="N1105">
        <v>1.5997260000000001E-3</v>
      </c>
    </row>
    <row r="1106" spans="1:14" hidden="1" x14ac:dyDescent="0.35">
      <c r="A1106" t="s">
        <v>671</v>
      </c>
      <c r="B1106" t="s">
        <v>37</v>
      </c>
      <c r="C1106" t="s">
        <v>105</v>
      </c>
      <c r="D1106" t="s">
        <v>105</v>
      </c>
      <c r="E1106" t="s">
        <v>584</v>
      </c>
      <c r="F1106" t="s">
        <v>581</v>
      </c>
      <c r="G1106" t="s">
        <v>25</v>
      </c>
      <c r="H1106">
        <v>3.421373</v>
      </c>
      <c r="I1106">
        <v>2.78071</v>
      </c>
      <c r="J1106">
        <v>2.27033</v>
      </c>
      <c r="K1106">
        <v>1.857116</v>
      </c>
      <c r="L1106">
        <v>1.5039229999999999</v>
      </c>
      <c r="M1106">
        <v>1.1903969999999999</v>
      </c>
      <c r="N1106">
        <v>0.94472690000000004</v>
      </c>
    </row>
    <row r="1107" spans="1:14" hidden="1" x14ac:dyDescent="0.35">
      <c r="A1107" t="s">
        <v>671</v>
      </c>
      <c r="B1107" t="s">
        <v>37</v>
      </c>
      <c r="C1107" t="s">
        <v>105</v>
      </c>
      <c r="D1107" t="s">
        <v>105</v>
      </c>
      <c r="E1107" t="s">
        <v>584</v>
      </c>
      <c r="F1107" t="s">
        <v>26</v>
      </c>
      <c r="G1107" t="s">
        <v>26</v>
      </c>
      <c r="H1107">
        <v>7.3073969999999999</v>
      </c>
      <c r="I1107">
        <v>6.7140709999999997</v>
      </c>
      <c r="J1107">
        <v>6.1699669999999998</v>
      </c>
      <c r="K1107">
        <v>5.6635580000000001</v>
      </c>
      <c r="L1107">
        <v>5.1452</v>
      </c>
      <c r="M1107">
        <v>4.5686739999999997</v>
      </c>
      <c r="N1107">
        <v>4.0694080000000001</v>
      </c>
    </row>
    <row r="1108" spans="1:14" hidden="1" x14ac:dyDescent="0.35">
      <c r="A1108" t="s">
        <v>671</v>
      </c>
      <c r="B1108" t="s">
        <v>37</v>
      </c>
      <c r="C1108" t="s">
        <v>105</v>
      </c>
      <c r="D1108" t="s">
        <v>105</v>
      </c>
      <c r="E1108" t="s">
        <v>643</v>
      </c>
      <c r="F1108" t="s">
        <v>581</v>
      </c>
      <c r="G1108" t="s">
        <v>24</v>
      </c>
      <c r="H1108">
        <v>0.1445699</v>
      </c>
      <c r="I1108">
        <v>6.3580819999999996E-2</v>
      </c>
      <c r="J1108">
        <v>5.8298629999999997E-2</v>
      </c>
      <c r="K1108">
        <v>5.2090409999999997E-2</v>
      </c>
      <c r="L1108">
        <v>4.6767120000000002E-2</v>
      </c>
      <c r="M1108">
        <v>4.2172599999999998E-2</v>
      </c>
      <c r="N1108">
        <v>3.7841090000000001E-2</v>
      </c>
    </row>
    <row r="1109" spans="1:14" hidden="1" x14ac:dyDescent="0.35">
      <c r="A1109" t="s">
        <v>671</v>
      </c>
      <c r="B1109" t="s">
        <v>37</v>
      </c>
      <c r="C1109" t="s">
        <v>105</v>
      </c>
      <c r="D1109" t="s">
        <v>105</v>
      </c>
      <c r="E1109" t="s">
        <v>643</v>
      </c>
      <c r="F1109" t="s">
        <v>581</v>
      </c>
      <c r="G1109" t="s">
        <v>25</v>
      </c>
      <c r="H1109">
        <v>0.312052</v>
      </c>
      <c r="I1109">
        <v>9.9263009999999999E-2</v>
      </c>
      <c r="J1109">
        <v>8.7750679999999998E-2</v>
      </c>
      <c r="K1109">
        <v>7.840548E-2</v>
      </c>
      <c r="L1109">
        <v>7.0397249999999995E-2</v>
      </c>
      <c r="M1109">
        <v>6.3479450000000007E-2</v>
      </c>
      <c r="N1109">
        <v>5.69589E-2</v>
      </c>
    </row>
    <row r="1110" spans="1:14" hidden="1" x14ac:dyDescent="0.35">
      <c r="A1110" t="s">
        <v>671</v>
      </c>
      <c r="B1110" t="s">
        <v>37</v>
      </c>
      <c r="C1110" t="s">
        <v>105</v>
      </c>
      <c r="D1110" t="s">
        <v>105</v>
      </c>
      <c r="E1110" t="s">
        <v>643</v>
      </c>
      <c r="F1110" t="s">
        <v>26</v>
      </c>
      <c r="G1110" t="s">
        <v>26</v>
      </c>
      <c r="H1110">
        <v>1.2715069999999999</v>
      </c>
      <c r="I1110">
        <v>0.41456989999999999</v>
      </c>
      <c r="J1110">
        <v>0.36649039999999999</v>
      </c>
      <c r="K1110">
        <v>0.32745479999999999</v>
      </c>
      <c r="L1110">
        <v>0.29399730000000002</v>
      </c>
      <c r="M1110">
        <v>0.26511509999999999</v>
      </c>
      <c r="N1110">
        <v>0.23788490000000001</v>
      </c>
    </row>
    <row r="1111" spans="1:14" hidden="1" x14ac:dyDescent="0.35">
      <c r="A1111" t="s">
        <v>671</v>
      </c>
      <c r="B1111" t="s">
        <v>37</v>
      </c>
      <c r="C1111" t="s">
        <v>86</v>
      </c>
      <c r="D1111" t="s">
        <v>86</v>
      </c>
      <c r="E1111" t="s">
        <v>584</v>
      </c>
      <c r="F1111" t="s">
        <v>581</v>
      </c>
      <c r="G1111" t="s">
        <v>396</v>
      </c>
      <c r="H1111">
        <v>0.16438359999999999</v>
      </c>
      <c r="I1111">
        <v>0.16112870000000001</v>
      </c>
      <c r="J1111">
        <v>0.15793119999999999</v>
      </c>
      <c r="K1111">
        <v>0.15450030000000001</v>
      </c>
      <c r="L1111">
        <v>0.14996689999999999</v>
      </c>
      <c r="M1111">
        <v>0.14236360000000001</v>
      </c>
      <c r="N1111">
        <v>0.1357469</v>
      </c>
    </row>
    <row r="1112" spans="1:14" hidden="1" x14ac:dyDescent="0.35">
      <c r="A1112" t="s">
        <v>671</v>
      </c>
      <c r="B1112" t="s">
        <v>37</v>
      </c>
      <c r="C1112" t="s">
        <v>86</v>
      </c>
      <c r="D1112" t="s">
        <v>86</v>
      </c>
      <c r="E1112" t="s">
        <v>584</v>
      </c>
      <c r="F1112" t="s">
        <v>581</v>
      </c>
      <c r="G1112" t="s">
        <v>24</v>
      </c>
      <c r="H1112">
        <v>8.0273970000000004E-4</v>
      </c>
      <c r="I1112">
        <v>0</v>
      </c>
    </row>
    <row r="1113" spans="1:14" hidden="1" x14ac:dyDescent="0.35">
      <c r="A1113" t="s">
        <v>671</v>
      </c>
      <c r="B1113" t="s">
        <v>37</v>
      </c>
      <c r="C1113" t="s">
        <v>86</v>
      </c>
      <c r="D1113" t="s">
        <v>86</v>
      </c>
      <c r="E1113" t="s">
        <v>584</v>
      </c>
      <c r="F1113" t="s">
        <v>581</v>
      </c>
      <c r="G1113" t="s">
        <v>25</v>
      </c>
      <c r="H1113">
        <v>6.5917809999999997E-3</v>
      </c>
      <c r="I1113">
        <v>6.4630140000000004E-3</v>
      </c>
      <c r="J1113">
        <v>6.3342470000000003E-3</v>
      </c>
      <c r="K1113">
        <v>6.1983560000000004E-3</v>
      </c>
      <c r="L1113">
        <v>6.0147949999999999E-3</v>
      </c>
      <c r="M1113">
        <v>5.7106850000000001E-3</v>
      </c>
      <c r="N1113">
        <v>5.4452060000000002E-3</v>
      </c>
    </row>
    <row r="1114" spans="1:14" hidden="1" x14ac:dyDescent="0.35">
      <c r="A1114" t="s">
        <v>671</v>
      </c>
      <c r="B1114" t="s">
        <v>37</v>
      </c>
      <c r="C1114" t="s">
        <v>86</v>
      </c>
      <c r="D1114" t="s">
        <v>86</v>
      </c>
      <c r="E1114" t="s">
        <v>584</v>
      </c>
      <c r="F1114" t="s">
        <v>26</v>
      </c>
      <c r="G1114" t="s">
        <v>26</v>
      </c>
      <c r="H1114">
        <v>0.59397259999999996</v>
      </c>
      <c r="I1114">
        <v>0.55006299999999997</v>
      </c>
      <c r="J1114">
        <v>0.50937619999999995</v>
      </c>
      <c r="K1114">
        <v>0.47107670000000001</v>
      </c>
      <c r="L1114">
        <v>0.43103399999999997</v>
      </c>
      <c r="M1114">
        <v>0.3851348</v>
      </c>
      <c r="N1114">
        <v>0.3451515</v>
      </c>
    </row>
    <row r="1115" spans="1:14" hidden="1" x14ac:dyDescent="0.35">
      <c r="A1115" t="s">
        <v>671</v>
      </c>
      <c r="B1115" t="s">
        <v>37</v>
      </c>
      <c r="C1115" t="s">
        <v>95</v>
      </c>
      <c r="D1115" t="s">
        <v>95</v>
      </c>
      <c r="E1115" t="s">
        <v>584</v>
      </c>
      <c r="F1115" t="s">
        <v>26</v>
      </c>
      <c r="G1115" t="s">
        <v>26</v>
      </c>
      <c r="H1115">
        <v>0.27616439999999998</v>
      </c>
      <c r="I1115">
        <v>0.25574789999999997</v>
      </c>
      <c r="J1115">
        <v>0.2368384</v>
      </c>
      <c r="K1115">
        <v>0.21932879999999999</v>
      </c>
      <c r="L1115">
        <v>0.2031123</v>
      </c>
      <c r="M1115">
        <v>0.18809590000000001</v>
      </c>
      <c r="N1115">
        <v>0.17418900000000001</v>
      </c>
    </row>
    <row r="1116" spans="1:14" hidden="1" x14ac:dyDescent="0.35">
      <c r="A1116" t="s">
        <v>671</v>
      </c>
      <c r="B1116" t="s">
        <v>37</v>
      </c>
      <c r="C1116" t="s">
        <v>70</v>
      </c>
      <c r="D1116" t="s">
        <v>70</v>
      </c>
      <c r="E1116" t="s">
        <v>584</v>
      </c>
      <c r="F1116" t="s">
        <v>581</v>
      </c>
      <c r="G1116" t="s">
        <v>396</v>
      </c>
      <c r="H1116">
        <v>4.6027390000000001E-2</v>
      </c>
      <c r="I1116">
        <v>3.7575339999999999E-2</v>
      </c>
      <c r="J1116">
        <v>3.0671779999999999E-2</v>
      </c>
      <c r="K1116">
        <v>2.4976439999999999E-2</v>
      </c>
      <c r="L1116">
        <v>2.0043559999999998E-2</v>
      </c>
      <c r="M1116">
        <v>1.5655889999999999E-2</v>
      </c>
      <c r="N1116">
        <v>1.2226580000000001E-2</v>
      </c>
    </row>
    <row r="1117" spans="1:14" hidden="1" x14ac:dyDescent="0.35">
      <c r="A1117" t="s">
        <v>671</v>
      </c>
      <c r="B1117" t="s">
        <v>37</v>
      </c>
      <c r="C1117" t="s">
        <v>70</v>
      </c>
      <c r="D1117" t="s">
        <v>70</v>
      </c>
      <c r="E1117" t="s">
        <v>584</v>
      </c>
      <c r="F1117" t="s">
        <v>581</v>
      </c>
      <c r="G1117" t="s">
        <v>24</v>
      </c>
      <c r="H1117">
        <v>8.0273970000000004E-4</v>
      </c>
      <c r="I1117">
        <v>0</v>
      </c>
    </row>
    <row r="1118" spans="1:14" hidden="1" x14ac:dyDescent="0.35">
      <c r="A1118" t="s">
        <v>671</v>
      </c>
      <c r="B1118" t="s">
        <v>37</v>
      </c>
      <c r="C1118" t="s">
        <v>70</v>
      </c>
      <c r="D1118" t="s">
        <v>70</v>
      </c>
      <c r="E1118" t="s">
        <v>584</v>
      </c>
      <c r="F1118" t="s">
        <v>581</v>
      </c>
      <c r="G1118" t="s">
        <v>25</v>
      </c>
      <c r="H1118">
        <v>4.3945199999999998E-3</v>
      </c>
      <c r="I1118">
        <v>4.1095890000000003E-3</v>
      </c>
      <c r="J1118">
        <v>3.8391779999999999E-3</v>
      </c>
      <c r="K1118">
        <v>3.5824659999999999E-3</v>
      </c>
      <c r="L1118">
        <v>3.3104110000000001E-3</v>
      </c>
      <c r="M1118">
        <v>2.986027E-3</v>
      </c>
      <c r="N1118">
        <v>2.7049309999999998E-3</v>
      </c>
    </row>
    <row r="1119" spans="1:14" hidden="1" x14ac:dyDescent="0.35">
      <c r="A1119" t="s">
        <v>671</v>
      </c>
      <c r="B1119" t="s">
        <v>37</v>
      </c>
      <c r="C1119" t="s">
        <v>70</v>
      </c>
      <c r="D1119" t="s">
        <v>70</v>
      </c>
      <c r="E1119" t="s">
        <v>584</v>
      </c>
      <c r="F1119" t="s">
        <v>26</v>
      </c>
      <c r="G1119" t="s">
        <v>26</v>
      </c>
      <c r="H1119">
        <v>1.315069E-2</v>
      </c>
      <c r="I1119">
        <v>1.218904E-2</v>
      </c>
      <c r="J1119">
        <v>1.129754E-2</v>
      </c>
      <c r="K1119">
        <v>1.0455620000000001E-2</v>
      </c>
      <c r="L1119">
        <v>9.5747950000000005E-3</v>
      </c>
      <c r="M1119">
        <v>8.561918E-3</v>
      </c>
      <c r="N1119">
        <v>7.6819180000000003E-3</v>
      </c>
    </row>
    <row r="1120" spans="1:14" hidden="1" x14ac:dyDescent="0.35">
      <c r="A1120" t="s">
        <v>671</v>
      </c>
      <c r="B1120" t="s">
        <v>37</v>
      </c>
      <c r="C1120" t="s">
        <v>205</v>
      </c>
      <c r="D1120" t="s">
        <v>205</v>
      </c>
      <c r="E1120" t="s">
        <v>584</v>
      </c>
      <c r="F1120" t="s">
        <v>581</v>
      </c>
      <c r="G1120" t="s">
        <v>396</v>
      </c>
      <c r="H1120">
        <v>4.9424660000000004E-3</v>
      </c>
      <c r="I1120">
        <v>3.3260270000000001E-3</v>
      </c>
      <c r="J1120">
        <v>2.2301370000000001E-3</v>
      </c>
      <c r="K1120">
        <v>1.4958910000000001E-3</v>
      </c>
      <c r="L1120">
        <v>1.00274E-3</v>
      </c>
      <c r="M1120">
        <v>0</v>
      </c>
    </row>
    <row r="1121" spans="1:14" hidden="1" x14ac:dyDescent="0.35">
      <c r="A1121" t="s">
        <v>671</v>
      </c>
      <c r="B1121" t="s">
        <v>37</v>
      </c>
      <c r="C1121" t="s">
        <v>205</v>
      </c>
      <c r="D1121" t="s">
        <v>205</v>
      </c>
      <c r="E1121" t="s">
        <v>584</v>
      </c>
      <c r="F1121" t="s">
        <v>581</v>
      </c>
      <c r="G1121" t="s">
        <v>24</v>
      </c>
      <c r="H1121">
        <v>3.545479E-2</v>
      </c>
      <c r="I1121">
        <v>3.4356159999999997E-2</v>
      </c>
      <c r="J1121">
        <v>3.3290409999999999E-2</v>
      </c>
      <c r="K1121">
        <v>3.2260270000000001E-2</v>
      </c>
      <c r="L1121">
        <v>3.126027E-2</v>
      </c>
      <c r="M1121">
        <v>3.029041E-2</v>
      </c>
      <c r="N1121">
        <v>2.9350680000000001E-2</v>
      </c>
    </row>
    <row r="1122" spans="1:14" hidden="1" x14ac:dyDescent="0.35">
      <c r="A1122" t="s">
        <v>671</v>
      </c>
      <c r="B1122" t="s">
        <v>37</v>
      </c>
      <c r="C1122" t="s">
        <v>109</v>
      </c>
      <c r="D1122" t="s">
        <v>109</v>
      </c>
      <c r="E1122" t="s">
        <v>584</v>
      </c>
      <c r="F1122" t="s">
        <v>581</v>
      </c>
      <c r="G1122" t="s">
        <v>396</v>
      </c>
      <c r="H1122">
        <v>4.0273970000000002E-4</v>
      </c>
      <c r="I1122">
        <v>3.9616439999999998E-4</v>
      </c>
      <c r="J1122">
        <v>3.8794520000000001E-4</v>
      </c>
      <c r="K1122">
        <v>3.7972599999999999E-4</v>
      </c>
      <c r="L1122">
        <v>3.7232880000000001E-4</v>
      </c>
      <c r="M1122">
        <v>3.6493149999999999E-4</v>
      </c>
      <c r="N1122">
        <v>3.575343E-4</v>
      </c>
    </row>
    <row r="1123" spans="1:14" hidden="1" x14ac:dyDescent="0.35">
      <c r="A1123" t="s">
        <v>671</v>
      </c>
      <c r="B1123" t="s">
        <v>37</v>
      </c>
      <c r="C1123" t="s">
        <v>109</v>
      </c>
      <c r="D1123" t="s">
        <v>109</v>
      </c>
      <c r="E1123" t="s">
        <v>584</v>
      </c>
      <c r="F1123" t="s">
        <v>581</v>
      </c>
      <c r="G1123" t="s">
        <v>24</v>
      </c>
      <c r="H1123">
        <v>0</v>
      </c>
      <c r="I1123">
        <v>1.828767E-3</v>
      </c>
      <c r="J1123">
        <v>1.3758900000000001E-3</v>
      </c>
      <c r="K1123">
        <v>1.0282189999999999E-3</v>
      </c>
      <c r="L1123">
        <v>7.6931510000000005E-4</v>
      </c>
      <c r="M1123">
        <v>5.7534239999999998E-4</v>
      </c>
      <c r="N1123">
        <v>4.3068490000000001E-4</v>
      </c>
    </row>
    <row r="1124" spans="1:14" hidden="1" x14ac:dyDescent="0.35">
      <c r="A1124" t="s">
        <v>671</v>
      </c>
      <c r="B1124" t="s">
        <v>37</v>
      </c>
      <c r="C1124" t="s">
        <v>109</v>
      </c>
      <c r="D1124" t="s">
        <v>109</v>
      </c>
      <c r="E1124" t="s">
        <v>584</v>
      </c>
      <c r="F1124" t="s">
        <v>581</v>
      </c>
      <c r="G1124" t="s">
        <v>25</v>
      </c>
      <c r="H1124">
        <v>3.666575E-3</v>
      </c>
      <c r="I1124">
        <v>2.4550689999999998E-3</v>
      </c>
      <c r="J1124">
        <v>1.6479450000000001E-3</v>
      </c>
      <c r="K1124">
        <v>1.1087670000000001E-3</v>
      </c>
      <c r="L1124">
        <v>7.4301369999999996E-4</v>
      </c>
      <c r="M1124">
        <v>4.9808209999999999E-4</v>
      </c>
      <c r="N1124">
        <v>3.3369859999999999E-4</v>
      </c>
    </row>
    <row r="1125" spans="1:14" hidden="1" x14ac:dyDescent="0.35">
      <c r="A1125" t="s">
        <v>671</v>
      </c>
      <c r="B1125" t="s">
        <v>37</v>
      </c>
      <c r="C1125" t="s">
        <v>109</v>
      </c>
      <c r="D1125" t="s">
        <v>109</v>
      </c>
      <c r="E1125" t="s">
        <v>584</v>
      </c>
      <c r="F1125" t="s">
        <v>26</v>
      </c>
      <c r="G1125" t="s">
        <v>26</v>
      </c>
      <c r="H1125">
        <v>2.2848489999999999E-2</v>
      </c>
      <c r="I1125">
        <v>1.531562E-2</v>
      </c>
      <c r="J1125">
        <v>1.0266580000000001E-2</v>
      </c>
      <c r="K1125">
        <v>6.8819179999999999E-3</v>
      </c>
      <c r="L1125">
        <v>4.613425E-3</v>
      </c>
      <c r="M1125">
        <v>3.0920549999999998E-3</v>
      </c>
      <c r="N1125">
        <v>2.0728769999999999E-3</v>
      </c>
    </row>
    <row r="1126" spans="1:14" hidden="1" x14ac:dyDescent="0.35">
      <c r="A1126" t="s">
        <v>671</v>
      </c>
      <c r="B1126" t="s">
        <v>37</v>
      </c>
      <c r="C1126" t="s">
        <v>118</v>
      </c>
      <c r="D1126" t="s">
        <v>118</v>
      </c>
      <c r="E1126" t="s">
        <v>584</v>
      </c>
      <c r="F1126" t="s">
        <v>26</v>
      </c>
      <c r="G1126" t="s">
        <v>26</v>
      </c>
      <c r="H1126">
        <v>1.3731510000000001E-2</v>
      </c>
      <c r="I1126">
        <v>1.1904110000000001E-2</v>
      </c>
      <c r="J1126">
        <v>1.0323290000000001E-2</v>
      </c>
      <c r="K1126">
        <v>8.9506849999999999E-3</v>
      </c>
      <c r="L1126">
        <v>7.7589039999999996E-3</v>
      </c>
      <c r="M1126">
        <v>6.7506839999999999E-3</v>
      </c>
      <c r="N1126">
        <v>5.8520550000000001E-3</v>
      </c>
    </row>
    <row r="1127" spans="1:14" hidden="1" x14ac:dyDescent="0.35">
      <c r="A1127" t="s">
        <v>674</v>
      </c>
      <c r="B1127" t="s">
        <v>34</v>
      </c>
      <c r="C1127" t="s">
        <v>33</v>
      </c>
      <c r="D1127" t="s">
        <v>33</v>
      </c>
      <c r="E1127" t="s">
        <v>675</v>
      </c>
      <c r="F1127" t="s">
        <v>581</v>
      </c>
      <c r="G1127" t="s">
        <v>396</v>
      </c>
      <c r="H1127">
        <v>2.4065859999999999</v>
      </c>
      <c r="I1127">
        <v>2.3852440000000001</v>
      </c>
      <c r="J1127">
        <v>2.3166869999999999</v>
      </c>
      <c r="K1127">
        <v>2.0522640000000001</v>
      </c>
      <c r="L1127">
        <v>1.7075229999999999</v>
      </c>
      <c r="M1127">
        <v>1.4774579999999999</v>
      </c>
      <c r="N1127">
        <v>1.306357</v>
      </c>
    </row>
    <row r="1128" spans="1:14" hidden="1" x14ac:dyDescent="0.35">
      <c r="A1128" t="s">
        <v>674</v>
      </c>
      <c r="B1128" t="s">
        <v>34</v>
      </c>
      <c r="C1128" t="s">
        <v>33</v>
      </c>
      <c r="D1128" t="s">
        <v>33</v>
      </c>
      <c r="E1128" t="s">
        <v>675</v>
      </c>
      <c r="F1128" t="s">
        <v>581</v>
      </c>
      <c r="G1128" t="s">
        <v>24</v>
      </c>
      <c r="H1128">
        <v>0.24573429999999999</v>
      </c>
      <c r="I1128">
        <v>0.26018799999999997</v>
      </c>
      <c r="J1128">
        <v>0.25581670000000001</v>
      </c>
      <c r="K1128">
        <v>0.20680080000000001</v>
      </c>
      <c r="L1128">
        <v>0.16731699999999999</v>
      </c>
      <c r="M1128">
        <v>0.136349</v>
      </c>
      <c r="N1128">
        <v>0.1164211</v>
      </c>
    </row>
    <row r="1129" spans="1:14" hidden="1" x14ac:dyDescent="0.35">
      <c r="A1129" t="s">
        <v>674</v>
      </c>
      <c r="B1129" t="s">
        <v>34</v>
      </c>
      <c r="C1129" t="s">
        <v>33</v>
      </c>
      <c r="D1129" t="s">
        <v>33</v>
      </c>
      <c r="E1129" t="s">
        <v>675</v>
      </c>
      <c r="F1129" t="s">
        <v>581</v>
      </c>
      <c r="G1129" t="s">
        <v>25</v>
      </c>
      <c r="H1129">
        <v>20.189399999999999</v>
      </c>
      <c r="I1129">
        <v>20.013860000000001</v>
      </c>
      <c r="J1129">
        <v>19.71265</v>
      </c>
      <c r="K1129">
        <v>17.352720000000001</v>
      </c>
      <c r="L1129">
        <v>14.1225</v>
      </c>
      <c r="M1129">
        <v>12.247210000000001</v>
      </c>
      <c r="N1129">
        <v>10.96476</v>
      </c>
    </row>
    <row r="1130" spans="1:14" hidden="1" x14ac:dyDescent="0.35">
      <c r="A1130" t="s">
        <v>674</v>
      </c>
      <c r="B1130" t="s">
        <v>34</v>
      </c>
      <c r="C1130" t="s">
        <v>33</v>
      </c>
      <c r="D1130" t="s">
        <v>33</v>
      </c>
      <c r="E1130" t="s">
        <v>675</v>
      </c>
      <c r="F1130" t="s">
        <v>26</v>
      </c>
      <c r="G1130" t="s">
        <v>26</v>
      </c>
      <c r="H1130">
        <v>133.59950000000001</v>
      </c>
      <c r="I1130">
        <v>129.75980000000001</v>
      </c>
      <c r="J1130">
        <v>127.6018</v>
      </c>
      <c r="K1130">
        <v>112.3342</v>
      </c>
      <c r="L1130">
        <v>91.632840000000002</v>
      </c>
      <c r="M1130">
        <v>79.40813</v>
      </c>
      <c r="N1130">
        <v>70.974339999999998</v>
      </c>
    </row>
    <row r="1131" spans="1:14" hidden="1" x14ac:dyDescent="0.35">
      <c r="A1131" t="s">
        <v>674</v>
      </c>
      <c r="B1131" t="s">
        <v>34</v>
      </c>
      <c r="C1131" t="s">
        <v>33</v>
      </c>
      <c r="D1131" t="s">
        <v>33</v>
      </c>
      <c r="E1131" t="s">
        <v>605</v>
      </c>
      <c r="F1131" t="s">
        <v>581</v>
      </c>
      <c r="G1131" t="s">
        <v>396</v>
      </c>
      <c r="H1131">
        <v>6.9441089999999997E-2</v>
      </c>
      <c r="I1131">
        <v>6.3918900000000001E-2</v>
      </c>
      <c r="J1131">
        <v>5.7218350000000001E-2</v>
      </c>
      <c r="K1131">
        <v>5.1496989999999999E-2</v>
      </c>
      <c r="L1131">
        <v>4.63463E-2</v>
      </c>
      <c r="M1131">
        <v>4.1818349999999997E-2</v>
      </c>
      <c r="N1131">
        <v>3.7527949999999997E-2</v>
      </c>
    </row>
    <row r="1132" spans="1:14" hidden="1" x14ac:dyDescent="0.35">
      <c r="A1132" t="s">
        <v>674</v>
      </c>
      <c r="B1132" t="s">
        <v>34</v>
      </c>
      <c r="C1132" t="s">
        <v>33</v>
      </c>
      <c r="D1132" t="s">
        <v>33</v>
      </c>
      <c r="E1132" t="s">
        <v>605</v>
      </c>
      <c r="F1132" t="s">
        <v>581</v>
      </c>
      <c r="G1132" t="s">
        <v>24</v>
      </c>
      <c r="H1132">
        <v>0.95840820000000004</v>
      </c>
      <c r="I1132">
        <v>1.0479019999999999</v>
      </c>
      <c r="J1132">
        <v>0.98092599999999996</v>
      </c>
      <c r="K1132">
        <v>0.8381575</v>
      </c>
      <c r="L1132">
        <v>0.73417480000000002</v>
      </c>
      <c r="M1132">
        <v>0.68510629999999995</v>
      </c>
      <c r="N1132">
        <v>0.64492110000000002</v>
      </c>
    </row>
    <row r="1133" spans="1:14" hidden="1" x14ac:dyDescent="0.35">
      <c r="A1133" t="s">
        <v>674</v>
      </c>
      <c r="B1133" t="s">
        <v>34</v>
      </c>
      <c r="C1133" t="s">
        <v>33</v>
      </c>
      <c r="D1133" t="s">
        <v>33</v>
      </c>
      <c r="E1133" t="s">
        <v>605</v>
      </c>
      <c r="F1133" t="s">
        <v>581</v>
      </c>
      <c r="G1133" t="s">
        <v>25</v>
      </c>
      <c r="H1133">
        <v>4.4705979999999998</v>
      </c>
      <c r="I1133">
        <v>4.8855320000000004</v>
      </c>
      <c r="J1133">
        <v>4.5727469999999997</v>
      </c>
      <c r="K1133">
        <v>3.9077299999999999</v>
      </c>
      <c r="L1133">
        <v>3.4231760000000002</v>
      </c>
      <c r="M1133">
        <v>3.1941009999999999</v>
      </c>
      <c r="N1133">
        <v>3.0063879999999998</v>
      </c>
    </row>
    <row r="1134" spans="1:14" hidden="1" x14ac:dyDescent="0.35">
      <c r="A1134" t="s">
        <v>674</v>
      </c>
      <c r="B1134" t="s">
        <v>34</v>
      </c>
      <c r="C1134" t="s">
        <v>33</v>
      </c>
      <c r="D1134" t="s">
        <v>33</v>
      </c>
      <c r="E1134" t="s">
        <v>605</v>
      </c>
      <c r="F1134" t="s">
        <v>26</v>
      </c>
      <c r="G1134" t="s">
        <v>26</v>
      </c>
      <c r="H1134">
        <v>50.531010000000002</v>
      </c>
      <c r="I1134">
        <v>55.173459999999999</v>
      </c>
      <c r="J1134">
        <v>51.632550000000002</v>
      </c>
      <c r="K1134">
        <v>44.132129999999997</v>
      </c>
      <c r="L1134">
        <v>38.663939999999997</v>
      </c>
      <c r="M1134">
        <v>36.071809999999999</v>
      </c>
      <c r="N1134">
        <v>33.945869999999999</v>
      </c>
    </row>
    <row r="1135" spans="1:14" hidden="1" x14ac:dyDescent="0.35">
      <c r="A1135" t="s">
        <v>674</v>
      </c>
      <c r="B1135" t="s">
        <v>34</v>
      </c>
      <c r="C1135" t="s">
        <v>33</v>
      </c>
      <c r="D1135" t="s">
        <v>33</v>
      </c>
      <c r="E1135" t="s">
        <v>604</v>
      </c>
      <c r="F1135" t="s">
        <v>581</v>
      </c>
      <c r="G1135" t="s">
        <v>396</v>
      </c>
      <c r="H1135">
        <v>1.4053640000000001</v>
      </c>
      <c r="I1135">
        <v>1.383529</v>
      </c>
      <c r="J1135">
        <v>1.0095799999999999</v>
      </c>
      <c r="K1135">
        <v>0.75326740000000003</v>
      </c>
      <c r="L1135">
        <v>0.59053199999999995</v>
      </c>
      <c r="M1135">
        <v>0.46111639999999998</v>
      </c>
      <c r="N1135">
        <v>0.37777699999999997</v>
      </c>
    </row>
    <row r="1136" spans="1:14" hidden="1" x14ac:dyDescent="0.35">
      <c r="A1136" t="s">
        <v>674</v>
      </c>
      <c r="B1136" t="s">
        <v>34</v>
      </c>
      <c r="C1136" t="s">
        <v>33</v>
      </c>
      <c r="D1136" t="s">
        <v>33</v>
      </c>
      <c r="E1136" t="s">
        <v>604</v>
      </c>
      <c r="F1136" t="s">
        <v>581</v>
      </c>
      <c r="G1136" t="s">
        <v>24</v>
      </c>
      <c r="H1136">
        <v>2.7074549999999999</v>
      </c>
      <c r="I1136">
        <v>3.630255</v>
      </c>
      <c r="J1136">
        <v>3.4520960000000001</v>
      </c>
      <c r="K1136">
        <v>2.9232659999999999</v>
      </c>
      <c r="L1136">
        <v>2.5891220000000001</v>
      </c>
      <c r="M1136">
        <v>2.3556460000000001</v>
      </c>
      <c r="N1136">
        <v>2.2039029999999999</v>
      </c>
    </row>
    <row r="1137" spans="1:14" hidden="1" x14ac:dyDescent="0.35">
      <c r="A1137" t="s">
        <v>674</v>
      </c>
      <c r="B1137" t="s">
        <v>34</v>
      </c>
      <c r="C1137" t="s">
        <v>33</v>
      </c>
      <c r="D1137" t="s">
        <v>33</v>
      </c>
      <c r="E1137" t="s">
        <v>604</v>
      </c>
      <c r="F1137" t="s">
        <v>581</v>
      </c>
      <c r="G1137" t="s">
        <v>25</v>
      </c>
      <c r="H1137">
        <v>6.515142</v>
      </c>
      <c r="I1137">
        <v>8.4264480000000006</v>
      </c>
      <c r="J1137">
        <v>7.8292739999999998</v>
      </c>
      <c r="K1137">
        <v>6.5689010000000003</v>
      </c>
      <c r="L1137">
        <v>5.772062</v>
      </c>
      <c r="M1137">
        <v>5.2058660000000003</v>
      </c>
      <c r="N1137">
        <v>4.8383390000000004</v>
      </c>
    </row>
    <row r="1138" spans="1:14" hidden="1" x14ac:dyDescent="0.35">
      <c r="A1138" t="s">
        <v>674</v>
      </c>
      <c r="B1138" t="s">
        <v>34</v>
      </c>
      <c r="C1138" t="s">
        <v>33</v>
      </c>
      <c r="D1138" t="s">
        <v>33</v>
      </c>
      <c r="E1138" t="s">
        <v>604</v>
      </c>
      <c r="F1138" t="s">
        <v>26</v>
      </c>
      <c r="G1138" t="s">
        <v>26</v>
      </c>
      <c r="H1138">
        <v>26.164560000000002</v>
      </c>
      <c r="I1138">
        <v>33.759399999999999</v>
      </c>
      <c r="J1138">
        <v>31.35623</v>
      </c>
      <c r="K1138">
        <v>26.30481</v>
      </c>
      <c r="L1138">
        <v>23.111149999999999</v>
      </c>
      <c r="M1138">
        <v>20.841339999999999</v>
      </c>
      <c r="N1138">
        <v>19.367999999999999</v>
      </c>
    </row>
    <row r="1139" spans="1:14" hidden="1" x14ac:dyDescent="0.35">
      <c r="A1139" t="s">
        <v>674</v>
      </c>
      <c r="B1139" t="s">
        <v>34</v>
      </c>
      <c r="C1139" t="s">
        <v>33</v>
      </c>
      <c r="D1139" t="s">
        <v>33</v>
      </c>
      <c r="E1139" t="s">
        <v>584</v>
      </c>
      <c r="F1139" t="s">
        <v>581</v>
      </c>
      <c r="G1139" t="s">
        <v>396</v>
      </c>
      <c r="H1139">
        <v>0.80329859999999997</v>
      </c>
      <c r="I1139">
        <v>0.76468899999999995</v>
      </c>
      <c r="J1139">
        <v>0.68556459999999997</v>
      </c>
      <c r="K1139">
        <v>0.5879588</v>
      </c>
      <c r="L1139">
        <v>0.53596489999999997</v>
      </c>
      <c r="M1139">
        <v>0.49547530000000001</v>
      </c>
      <c r="N1139">
        <v>0.46217750000000002</v>
      </c>
    </row>
    <row r="1140" spans="1:14" hidden="1" x14ac:dyDescent="0.35">
      <c r="A1140" t="s">
        <v>674</v>
      </c>
      <c r="B1140" t="s">
        <v>34</v>
      </c>
      <c r="C1140" t="s">
        <v>33</v>
      </c>
      <c r="D1140" t="s">
        <v>33</v>
      </c>
      <c r="E1140" t="s">
        <v>584</v>
      </c>
      <c r="F1140" t="s">
        <v>581</v>
      </c>
      <c r="G1140" t="s">
        <v>24</v>
      </c>
      <c r="H1140">
        <v>1.251507E-2</v>
      </c>
      <c r="I1140">
        <v>9.9643830000000003E-3</v>
      </c>
      <c r="J1140">
        <v>9.8794520000000004E-3</v>
      </c>
      <c r="K1140">
        <v>6.4684929999999996E-3</v>
      </c>
      <c r="L1140">
        <v>5.9391790000000002E-3</v>
      </c>
      <c r="M1140">
        <v>5.8624660000000002E-3</v>
      </c>
      <c r="N1140">
        <v>5.7857530000000002E-3</v>
      </c>
    </row>
    <row r="1141" spans="1:14" hidden="1" x14ac:dyDescent="0.35">
      <c r="A1141" t="s">
        <v>674</v>
      </c>
      <c r="B1141" t="s">
        <v>34</v>
      </c>
      <c r="C1141" t="s">
        <v>33</v>
      </c>
      <c r="D1141" t="s">
        <v>33</v>
      </c>
      <c r="E1141" t="s">
        <v>584</v>
      </c>
      <c r="F1141" t="s">
        <v>581</v>
      </c>
      <c r="G1141" t="s">
        <v>25</v>
      </c>
      <c r="H1141">
        <v>1.0703560000000001</v>
      </c>
      <c r="I1141">
        <v>0.79314799999999996</v>
      </c>
      <c r="J1141">
        <v>0.68147469999999999</v>
      </c>
      <c r="K1141">
        <v>0.44151560000000001</v>
      </c>
      <c r="L1141">
        <v>0.35167700000000002</v>
      </c>
      <c r="M1141">
        <v>0.31477810000000001</v>
      </c>
      <c r="N1141">
        <v>0.28431699999999999</v>
      </c>
    </row>
    <row r="1142" spans="1:14" hidden="1" x14ac:dyDescent="0.35">
      <c r="A1142" t="s">
        <v>674</v>
      </c>
      <c r="B1142" t="s">
        <v>34</v>
      </c>
      <c r="C1142" t="s">
        <v>33</v>
      </c>
      <c r="D1142" t="s">
        <v>33</v>
      </c>
      <c r="E1142" t="s">
        <v>584</v>
      </c>
      <c r="F1142" t="s">
        <v>26</v>
      </c>
      <c r="G1142" t="s">
        <v>26</v>
      </c>
      <c r="H1142">
        <v>10.518409999999999</v>
      </c>
      <c r="I1142">
        <v>8.9002610000000004</v>
      </c>
      <c r="J1142">
        <v>8.3240870000000005</v>
      </c>
      <c r="K1142">
        <v>6.7860849999999999</v>
      </c>
      <c r="L1142">
        <v>6.26952</v>
      </c>
      <c r="M1142">
        <v>5.8971410000000004</v>
      </c>
      <c r="N1142">
        <v>5.5740869999999996</v>
      </c>
    </row>
    <row r="1143" spans="1:14" hidden="1" x14ac:dyDescent="0.35">
      <c r="A1143" t="s">
        <v>674</v>
      </c>
      <c r="B1143" t="s">
        <v>34</v>
      </c>
      <c r="C1143" t="s">
        <v>33</v>
      </c>
      <c r="D1143" t="s">
        <v>33</v>
      </c>
      <c r="E1143" t="s">
        <v>676</v>
      </c>
      <c r="F1143" t="s">
        <v>581</v>
      </c>
      <c r="G1143" t="s">
        <v>396</v>
      </c>
      <c r="H1143">
        <v>6.8623649999999996</v>
      </c>
      <c r="I1143">
        <v>6.6760380000000001</v>
      </c>
      <c r="J1143">
        <v>5.7374840000000003</v>
      </c>
      <c r="K1143">
        <v>4.6690959999999997</v>
      </c>
      <c r="L1143">
        <v>4.0248559999999998</v>
      </c>
      <c r="M1143">
        <v>3.3206500000000001</v>
      </c>
      <c r="N1143">
        <v>2.7829069999999998</v>
      </c>
    </row>
    <row r="1144" spans="1:14" hidden="1" x14ac:dyDescent="0.35">
      <c r="A1144" t="s">
        <v>674</v>
      </c>
      <c r="B1144" t="s">
        <v>34</v>
      </c>
      <c r="C1144" t="s">
        <v>33</v>
      </c>
      <c r="D1144" t="s">
        <v>33</v>
      </c>
      <c r="E1144" t="s">
        <v>676</v>
      </c>
      <c r="F1144" t="s">
        <v>26</v>
      </c>
      <c r="G1144" t="s">
        <v>26</v>
      </c>
      <c r="H1144">
        <v>4.8273700000000002</v>
      </c>
      <c r="I1144">
        <v>4.1730770000000001</v>
      </c>
      <c r="J1144">
        <v>3.5335040000000002</v>
      </c>
      <c r="K1144">
        <v>2.919581</v>
      </c>
      <c r="L1144">
        <v>2.5174729999999998</v>
      </c>
      <c r="M1144">
        <v>2.076422</v>
      </c>
      <c r="N1144">
        <v>1.7398020000000001</v>
      </c>
    </row>
    <row r="1145" spans="1:14" hidden="1" x14ac:dyDescent="0.35">
      <c r="A1145" t="s">
        <v>674</v>
      </c>
      <c r="B1145" t="s">
        <v>34</v>
      </c>
      <c r="C1145" t="s">
        <v>33</v>
      </c>
      <c r="D1145" t="s">
        <v>33</v>
      </c>
      <c r="E1145" t="s">
        <v>677</v>
      </c>
      <c r="F1145" t="s">
        <v>581</v>
      </c>
      <c r="G1145" t="s">
        <v>396</v>
      </c>
      <c r="H1145">
        <v>0.2050932</v>
      </c>
      <c r="I1145">
        <v>0.25149939999999998</v>
      </c>
      <c r="J1145">
        <v>0.22283339999999999</v>
      </c>
      <c r="K1145">
        <v>0.17312440000000001</v>
      </c>
      <c r="L1145">
        <v>0.14032269999999999</v>
      </c>
      <c r="M1145">
        <v>0.1032729</v>
      </c>
      <c r="N1145">
        <v>8.3440009999999995E-2</v>
      </c>
    </row>
    <row r="1146" spans="1:14" hidden="1" x14ac:dyDescent="0.35">
      <c r="A1146" t="s">
        <v>674</v>
      </c>
      <c r="B1146" t="s">
        <v>34</v>
      </c>
      <c r="C1146" t="s">
        <v>33</v>
      </c>
      <c r="D1146" t="s">
        <v>33</v>
      </c>
      <c r="E1146" t="s">
        <v>677</v>
      </c>
      <c r="F1146" t="s">
        <v>581</v>
      </c>
      <c r="G1146" t="s">
        <v>25</v>
      </c>
      <c r="H1146">
        <v>0.39901920000000002</v>
      </c>
      <c r="I1146">
        <v>0.47522189999999997</v>
      </c>
      <c r="J1146">
        <v>0.42105759999999998</v>
      </c>
      <c r="K1146">
        <v>0.32713039999999999</v>
      </c>
      <c r="L1146">
        <v>0.26514680000000002</v>
      </c>
      <c r="M1146">
        <v>0.1951408</v>
      </c>
      <c r="N1146">
        <v>0.15766330000000001</v>
      </c>
    </row>
    <row r="1147" spans="1:14" hidden="1" x14ac:dyDescent="0.35">
      <c r="A1147" t="s">
        <v>674</v>
      </c>
      <c r="B1147" t="s">
        <v>34</v>
      </c>
      <c r="C1147" t="s">
        <v>33</v>
      </c>
      <c r="D1147" t="s">
        <v>33</v>
      </c>
      <c r="E1147" t="s">
        <v>677</v>
      </c>
      <c r="F1147" t="s">
        <v>26</v>
      </c>
      <c r="G1147" t="s">
        <v>26</v>
      </c>
      <c r="H1147">
        <v>3.597718</v>
      </c>
      <c r="I1147">
        <v>4.3330330000000004</v>
      </c>
      <c r="J1147">
        <v>3.839159</v>
      </c>
      <c r="K1147">
        <v>2.9827129999999999</v>
      </c>
      <c r="L1147">
        <v>2.4175779999999998</v>
      </c>
      <c r="M1147">
        <v>1.779255</v>
      </c>
      <c r="N1147">
        <v>1.437567</v>
      </c>
    </row>
    <row r="1148" spans="1:14" hidden="1" x14ac:dyDescent="0.35">
      <c r="A1148" t="s">
        <v>674</v>
      </c>
      <c r="B1148" t="s">
        <v>34</v>
      </c>
      <c r="C1148" t="s">
        <v>230</v>
      </c>
      <c r="D1148" t="s">
        <v>230</v>
      </c>
      <c r="E1148" t="s">
        <v>584</v>
      </c>
      <c r="F1148" t="s">
        <v>581</v>
      </c>
      <c r="G1148" t="s">
        <v>396</v>
      </c>
      <c r="H1148">
        <v>8.1649319999999997E-2</v>
      </c>
      <c r="I1148">
        <v>8.2788769999999998E-2</v>
      </c>
      <c r="J1148">
        <v>7.9096440000000004E-2</v>
      </c>
      <c r="K1148">
        <v>7.1929320000000005E-2</v>
      </c>
      <c r="L1148">
        <v>6.6995899999999997E-2</v>
      </c>
      <c r="M1148">
        <v>6.2399999999999997E-2</v>
      </c>
      <c r="N1148">
        <v>5.8120539999999998E-2</v>
      </c>
    </row>
    <row r="1149" spans="1:14" hidden="1" x14ac:dyDescent="0.35">
      <c r="A1149" t="s">
        <v>674</v>
      </c>
      <c r="B1149" t="s">
        <v>34</v>
      </c>
      <c r="C1149" t="s">
        <v>230</v>
      </c>
      <c r="D1149" t="s">
        <v>230</v>
      </c>
      <c r="E1149" t="s">
        <v>584</v>
      </c>
      <c r="F1149" t="s">
        <v>581</v>
      </c>
      <c r="G1149" t="s">
        <v>25</v>
      </c>
      <c r="H1149">
        <v>3.824657E-3</v>
      </c>
      <c r="I1149">
        <v>3.6712329999999999E-3</v>
      </c>
      <c r="J1149">
        <v>3.5232879999999999E-3</v>
      </c>
      <c r="K1149">
        <v>3.3808219999999999E-3</v>
      </c>
      <c r="L1149">
        <v>3.249315E-3</v>
      </c>
      <c r="M1149">
        <v>3.1150679999999999E-3</v>
      </c>
      <c r="N1149">
        <v>2.9917810000000002E-3</v>
      </c>
    </row>
    <row r="1150" spans="1:14" hidden="1" x14ac:dyDescent="0.35">
      <c r="A1150" t="s">
        <v>673</v>
      </c>
      <c r="B1150" t="s">
        <v>37</v>
      </c>
      <c r="C1150" t="s">
        <v>46</v>
      </c>
      <c r="D1150" t="s">
        <v>46</v>
      </c>
      <c r="E1150" t="s">
        <v>641</v>
      </c>
      <c r="F1150" t="s">
        <v>26</v>
      </c>
      <c r="G1150" t="s">
        <v>26</v>
      </c>
      <c r="H1150">
        <v>182.0147</v>
      </c>
      <c r="I1150">
        <v>205.91730000000001</v>
      </c>
      <c r="J1150">
        <v>206.0188</v>
      </c>
      <c r="K1150">
        <v>201.39570000000001</v>
      </c>
      <c r="L1150">
        <v>207.07830000000001</v>
      </c>
      <c r="M1150">
        <v>218.59719999999999</v>
      </c>
      <c r="N1150">
        <v>233.81800000000001</v>
      </c>
    </row>
    <row r="1151" spans="1:14" hidden="1" x14ac:dyDescent="0.35">
      <c r="A1151" t="s">
        <v>673</v>
      </c>
      <c r="B1151" t="s">
        <v>37</v>
      </c>
      <c r="C1151" t="s">
        <v>46</v>
      </c>
      <c r="D1151" t="s">
        <v>46</v>
      </c>
      <c r="E1151" t="s">
        <v>584</v>
      </c>
      <c r="F1151" t="s">
        <v>581</v>
      </c>
      <c r="G1151" t="s">
        <v>396</v>
      </c>
      <c r="H1151">
        <v>0.24183009999999999</v>
      </c>
      <c r="I1151">
        <v>0.22453699999999999</v>
      </c>
      <c r="J1151">
        <v>0.2030931</v>
      </c>
      <c r="K1151">
        <v>0.18233669999999999</v>
      </c>
      <c r="L1151">
        <v>0.16424159999999999</v>
      </c>
      <c r="M1151">
        <v>0.14797370000000001</v>
      </c>
      <c r="N1151">
        <v>0.13172300000000001</v>
      </c>
    </row>
    <row r="1152" spans="1:14" hidden="1" x14ac:dyDescent="0.35">
      <c r="A1152" t="s">
        <v>673</v>
      </c>
      <c r="B1152" t="s">
        <v>37</v>
      </c>
      <c r="C1152" t="s">
        <v>46</v>
      </c>
      <c r="D1152" t="s">
        <v>46</v>
      </c>
      <c r="E1152" t="s">
        <v>584</v>
      </c>
      <c r="F1152" t="s">
        <v>581</v>
      </c>
      <c r="G1152" t="s">
        <v>25</v>
      </c>
      <c r="H1152">
        <v>0.4709122</v>
      </c>
      <c r="I1152">
        <v>0.4427644</v>
      </c>
      <c r="J1152">
        <v>0.40194160000000001</v>
      </c>
      <c r="K1152">
        <v>0.36047479999999998</v>
      </c>
      <c r="L1152">
        <v>0.32482250000000001</v>
      </c>
      <c r="M1152">
        <v>0.29244140000000002</v>
      </c>
      <c r="N1152">
        <v>0.25942359999999998</v>
      </c>
    </row>
    <row r="1153" spans="1:14" hidden="1" x14ac:dyDescent="0.35">
      <c r="A1153" t="s">
        <v>673</v>
      </c>
      <c r="B1153" t="s">
        <v>37</v>
      </c>
      <c r="C1153" t="s">
        <v>46</v>
      </c>
      <c r="D1153" t="s">
        <v>46</v>
      </c>
      <c r="E1153" t="s">
        <v>584</v>
      </c>
      <c r="F1153" t="s">
        <v>26</v>
      </c>
      <c r="G1153" t="s">
        <v>26</v>
      </c>
      <c r="H1153">
        <v>18.587759999999999</v>
      </c>
      <c r="I1153">
        <v>14.83371</v>
      </c>
      <c r="J1153">
        <v>13.26098</v>
      </c>
      <c r="K1153">
        <v>12.542059999999999</v>
      </c>
      <c r="L1153">
        <v>11.224489999999999</v>
      </c>
      <c r="M1153">
        <v>9.9514499999999995</v>
      </c>
      <c r="N1153">
        <v>9.5168689999999998</v>
      </c>
    </row>
    <row r="1154" spans="1:14" hidden="1" x14ac:dyDescent="0.35">
      <c r="A1154" t="s">
        <v>673</v>
      </c>
      <c r="B1154" t="s">
        <v>37</v>
      </c>
      <c r="C1154" t="s">
        <v>51</v>
      </c>
      <c r="D1154" t="s">
        <v>51</v>
      </c>
      <c r="E1154" t="s">
        <v>602</v>
      </c>
      <c r="F1154" t="s">
        <v>581</v>
      </c>
      <c r="G1154" t="s">
        <v>396</v>
      </c>
      <c r="H1154">
        <v>6.7539730000000002</v>
      </c>
      <c r="I1154">
        <v>7.1761819999999998</v>
      </c>
      <c r="J1154">
        <v>6.6530630000000004</v>
      </c>
      <c r="K1154">
        <v>5.7716560000000001</v>
      </c>
      <c r="L1154">
        <v>5.274762</v>
      </c>
      <c r="M1154">
        <v>4.6792040000000004</v>
      </c>
      <c r="N1154">
        <v>4.4417580000000001</v>
      </c>
    </row>
    <row r="1155" spans="1:14" hidden="1" x14ac:dyDescent="0.35">
      <c r="A1155" t="s">
        <v>673</v>
      </c>
      <c r="B1155" t="s">
        <v>37</v>
      </c>
      <c r="C1155" t="s">
        <v>51</v>
      </c>
      <c r="D1155" t="s">
        <v>51</v>
      </c>
      <c r="E1155" t="s">
        <v>602</v>
      </c>
      <c r="F1155" t="s">
        <v>581</v>
      </c>
      <c r="G1155" t="s">
        <v>25</v>
      </c>
      <c r="H1155">
        <v>1.972699</v>
      </c>
      <c r="I1155">
        <v>1.4579439999999999</v>
      </c>
      <c r="J1155">
        <v>1.3556790000000001</v>
      </c>
      <c r="K1155">
        <v>1.1760710000000001</v>
      </c>
      <c r="L1155">
        <v>1.0748230000000001</v>
      </c>
      <c r="M1155">
        <v>0.95347009999999999</v>
      </c>
      <c r="N1155">
        <v>0.90508719999999998</v>
      </c>
    </row>
    <row r="1156" spans="1:14" hidden="1" x14ac:dyDescent="0.35">
      <c r="A1156" t="s">
        <v>673</v>
      </c>
      <c r="B1156" t="s">
        <v>37</v>
      </c>
      <c r="C1156" t="s">
        <v>51</v>
      </c>
      <c r="D1156" t="s">
        <v>51</v>
      </c>
      <c r="E1156" t="s">
        <v>602</v>
      </c>
      <c r="F1156" t="s">
        <v>26</v>
      </c>
      <c r="G1156" t="s">
        <v>26</v>
      </c>
      <c r="H1156">
        <v>1.972699</v>
      </c>
      <c r="I1156">
        <v>1.3538049999999999</v>
      </c>
      <c r="J1156">
        <v>1.2588410000000001</v>
      </c>
      <c r="K1156">
        <v>1.092069</v>
      </c>
      <c r="L1156">
        <v>0.99804959999999998</v>
      </c>
      <c r="M1156">
        <v>0.88536099999999995</v>
      </c>
      <c r="N1156">
        <v>0.84043500000000004</v>
      </c>
    </row>
    <row r="1157" spans="1:14" hidden="1" x14ac:dyDescent="0.35">
      <c r="A1157" t="s">
        <v>673</v>
      </c>
      <c r="B1157" t="s">
        <v>37</v>
      </c>
      <c r="C1157" t="s">
        <v>79</v>
      </c>
      <c r="D1157" t="s">
        <v>79</v>
      </c>
      <c r="E1157" t="s">
        <v>615</v>
      </c>
      <c r="F1157" t="s">
        <v>581</v>
      </c>
      <c r="G1157" t="s">
        <v>396</v>
      </c>
      <c r="H1157">
        <v>0.14447670000000001</v>
      </c>
      <c r="I1157">
        <v>0.16104660000000001</v>
      </c>
      <c r="J1157">
        <v>0.13985700000000001</v>
      </c>
      <c r="K1157">
        <v>0.15501590000000001</v>
      </c>
      <c r="L1157">
        <v>0.17734739999999999</v>
      </c>
      <c r="M1157">
        <v>0.1159482</v>
      </c>
      <c r="N1157">
        <v>8.2870959999999994E-2</v>
      </c>
    </row>
    <row r="1158" spans="1:14" hidden="1" x14ac:dyDescent="0.35">
      <c r="A1158" t="s">
        <v>673</v>
      </c>
      <c r="B1158" t="s">
        <v>37</v>
      </c>
      <c r="C1158" t="s">
        <v>79</v>
      </c>
      <c r="D1158" t="s">
        <v>79</v>
      </c>
      <c r="E1158" t="s">
        <v>615</v>
      </c>
      <c r="F1158" t="s">
        <v>581</v>
      </c>
      <c r="G1158" t="s">
        <v>25</v>
      </c>
      <c r="H1158">
        <v>8.3013700000000006E-3</v>
      </c>
      <c r="I1158">
        <v>9.2575350000000008E-3</v>
      </c>
      <c r="J1158">
        <v>8.0361649999999996E-3</v>
      </c>
      <c r="K1158">
        <v>8.9063019999999996E-3</v>
      </c>
      <c r="L1158">
        <v>1.01937E-2</v>
      </c>
      <c r="M1158">
        <v>6.6624650000000002E-3</v>
      </c>
      <c r="N1158">
        <v>4.7654780000000001E-3</v>
      </c>
    </row>
    <row r="1159" spans="1:14" hidden="1" x14ac:dyDescent="0.35">
      <c r="A1159" t="s">
        <v>673</v>
      </c>
      <c r="B1159" t="s">
        <v>37</v>
      </c>
      <c r="C1159" t="s">
        <v>79</v>
      </c>
      <c r="D1159" t="s">
        <v>79</v>
      </c>
      <c r="E1159" t="s">
        <v>615</v>
      </c>
      <c r="F1159" t="s">
        <v>26</v>
      </c>
      <c r="G1159" t="s">
        <v>26</v>
      </c>
      <c r="H1159">
        <v>1.328493E-2</v>
      </c>
      <c r="I1159">
        <v>1.480822E-2</v>
      </c>
      <c r="J1159">
        <v>1.285918E-2</v>
      </c>
      <c r="K1159">
        <v>1.4253699999999999E-2</v>
      </c>
      <c r="L1159">
        <v>1.6307120000000001E-2</v>
      </c>
      <c r="M1159">
        <v>1.066164E-2</v>
      </c>
      <c r="N1159">
        <v>7.6197239999999996E-3</v>
      </c>
    </row>
    <row r="1160" spans="1:14" hidden="1" x14ac:dyDescent="0.35">
      <c r="A1160" t="s">
        <v>673</v>
      </c>
      <c r="B1160" t="s">
        <v>37</v>
      </c>
      <c r="C1160" t="s">
        <v>110</v>
      </c>
      <c r="D1160" t="s">
        <v>110</v>
      </c>
      <c r="E1160" t="s">
        <v>584</v>
      </c>
      <c r="F1160" t="s">
        <v>26</v>
      </c>
      <c r="G1160" t="s">
        <v>26</v>
      </c>
      <c r="H1160">
        <v>0.17812049999999999</v>
      </c>
      <c r="I1160">
        <v>0.1513041</v>
      </c>
      <c r="J1160">
        <v>0.128526</v>
      </c>
      <c r="K1160">
        <v>0.1091781</v>
      </c>
      <c r="L1160">
        <v>9.2739719999999998E-2</v>
      </c>
      <c r="M1160">
        <v>7.877808E-2</v>
      </c>
      <c r="N1160">
        <v>6.6920549999999995E-2</v>
      </c>
    </row>
    <row r="1161" spans="1:14" hidden="1" x14ac:dyDescent="0.35">
      <c r="A1161" t="s">
        <v>672</v>
      </c>
      <c r="B1161" t="s">
        <v>73</v>
      </c>
      <c r="C1161" t="s">
        <v>87</v>
      </c>
      <c r="D1161" t="s">
        <v>132</v>
      </c>
      <c r="E1161" t="s">
        <v>584</v>
      </c>
      <c r="F1161" t="s">
        <v>581</v>
      </c>
      <c r="G1161" t="s">
        <v>396</v>
      </c>
      <c r="H1161">
        <v>32.401910000000001</v>
      </c>
      <c r="I1161">
        <v>49.358690000000003</v>
      </c>
      <c r="J1161">
        <v>59.809240000000003</v>
      </c>
      <c r="K1161">
        <v>53.067070000000001</v>
      </c>
      <c r="L1161">
        <v>46.324910000000003</v>
      </c>
      <c r="M1161">
        <v>39.582740000000001</v>
      </c>
      <c r="N1161">
        <v>46.898629999999997</v>
      </c>
    </row>
    <row r="1162" spans="1:14" hidden="1" x14ac:dyDescent="0.35">
      <c r="A1162" t="s">
        <v>672</v>
      </c>
      <c r="B1162" t="s">
        <v>73</v>
      </c>
      <c r="C1162" t="s">
        <v>87</v>
      </c>
      <c r="D1162" t="s">
        <v>132</v>
      </c>
      <c r="E1162" t="s">
        <v>584</v>
      </c>
      <c r="F1162" t="s">
        <v>581</v>
      </c>
      <c r="G1162" t="s">
        <v>25</v>
      </c>
      <c r="H1162">
        <v>1.5456110000000001</v>
      </c>
      <c r="I1162">
        <v>2.3544640000000001</v>
      </c>
      <c r="J1162">
        <v>2.8529680000000002</v>
      </c>
      <c r="K1162">
        <v>2.5313599999999998</v>
      </c>
      <c r="L1162">
        <v>2.2097519999999999</v>
      </c>
      <c r="M1162">
        <v>1.8881410000000001</v>
      </c>
      <c r="N1162">
        <v>2.2371189999999999</v>
      </c>
    </row>
    <row r="1163" spans="1:14" hidden="1" x14ac:dyDescent="0.35">
      <c r="A1163" t="s">
        <v>672</v>
      </c>
      <c r="B1163" t="s">
        <v>73</v>
      </c>
      <c r="C1163" t="s">
        <v>87</v>
      </c>
      <c r="D1163" t="s">
        <v>132</v>
      </c>
      <c r="E1163" t="s">
        <v>584</v>
      </c>
      <c r="F1163" t="s">
        <v>26</v>
      </c>
      <c r="G1163" t="s">
        <v>26</v>
      </c>
      <c r="H1163">
        <v>4.9645400000000004</v>
      </c>
      <c r="I1163">
        <v>7.5626189999999998</v>
      </c>
      <c r="J1163">
        <v>9.1638269999999995</v>
      </c>
      <c r="K1163">
        <v>8.1308070000000008</v>
      </c>
      <c r="L1163">
        <v>7.0977920000000001</v>
      </c>
      <c r="M1163">
        <v>6.0647719999999996</v>
      </c>
      <c r="N1163">
        <v>7.1856939999999998</v>
      </c>
    </row>
    <row r="1164" spans="1:14" hidden="1" x14ac:dyDescent="0.35">
      <c r="A1164" t="s">
        <v>672</v>
      </c>
      <c r="B1164" t="s">
        <v>73</v>
      </c>
      <c r="C1164" t="s">
        <v>87</v>
      </c>
      <c r="D1164" t="s">
        <v>131</v>
      </c>
      <c r="E1164" t="s">
        <v>584</v>
      </c>
      <c r="F1164" t="s">
        <v>581</v>
      </c>
      <c r="G1164" t="s">
        <v>396</v>
      </c>
      <c r="H1164">
        <v>6.2122780000000004</v>
      </c>
      <c r="I1164">
        <v>7.5852729999999999</v>
      </c>
      <c r="J1164">
        <v>7.4795480000000003</v>
      </c>
      <c r="K1164">
        <v>10.803879999999999</v>
      </c>
      <c r="L1164">
        <v>17.98123</v>
      </c>
      <c r="M1164">
        <v>16.824110000000001</v>
      </c>
      <c r="N1164">
        <v>11.59159</v>
      </c>
    </row>
    <row r="1165" spans="1:14" hidden="1" x14ac:dyDescent="0.35">
      <c r="A1165" t="s">
        <v>672</v>
      </c>
      <c r="B1165" t="s">
        <v>73</v>
      </c>
      <c r="C1165" t="s">
        <v>87</v>
      </c>
      <c r="D1165" t="s">
        <v>131</v>
      </c>
      <c r="E1165" t="s">
        <v>584</v>
      </c>
      <c r="F1165" t="s">
        <v>581</v>
      </c>
      <c r="G1165" t="s">
        <v>24</v>
      </c>
      <c r="N1165">
        <v>0</v>
      </c>
    </row>
    <row r="1166" spans="1:14" hidden="1" x14ac:dyDescent="0.35">
      <c r="A1166" t="s">
        <v>672</v>
      </c>
      <c r="B1166" t="s">
        <v>73</v>
      </c>
      <c r="C1166" t="s">
        <v>87</v>
      </c>
      <c r="D1166" t="s">
        <v>131</v>
      </c>
      <c r="E1166" t="s">
        <v>584</v>
      </c>
      <c r="F1166" t="s">
        <v>581</v>
      </c>
      <c r="G1166" t="s">
        <v>25</v>
      </c>
      <c r="H1166">
        <v>0.40923530000000002</v>
      </c>
      <c r="I1166">
        <v>0.47229290000000002</v>
      </c>
      <c r="J1166">
        <v>0.55821759999999998</v>
      </c>
      <c r="K1166">
        <v>0.83465350000000005</v>
      </c>
      <c r="L1166">
        <v>0.96826670000000004</v>
      </c>
      <c r="M1166">
        <v>6.9291329999999998E-2</v>
      </c>
      <c r="N1166">
        <v>4.3458200000000002E-2</v>
      </c>
    </row>
    <row r="1167" spans="1:14" hidden="1" x14ac:dyDescent="0.35">
      <c r="A1167" t="s">
        <v>672</v>
      </c>
      <c r="B1167" t="s">
        <v>73</v>
      </c>
      <c r="C1167" t="s">
        <v>87</v>
      </c>
      <c r="D1167" t="s">
        <v>131</v>
      </c>
      <c r="E1167" t="s">
        <v>584</v>
      </c>
      <c r="F1167" t="s">
        <v>26</v>
      </c>
      <c r="G1167" t="s">
        <v>26</v>
      </c>
      <c r="N1167">
        <v>0</v>
      </c>
    </row>
    <row r="1168" spans="1:14" hidden="1" x14ac:dyDescent="0.35">
      <c r="A1168" t="s">
        <v>672</v>
      </c>
      <c r="B1168" t="s">
        <v>73</v>
      </c>
      <c r="C1168" t="s">
        <v>87</v>
      </c>
      <c r="D1168" t="s">
        <v>87</v>
      </c>
      <c r="E1168" t="s">
        <v>584</v>
      </c>
      <c r="F1168" t="s">
        <v>581</v>
      </c>
      <c r="G1168" t="s">
        <v>396</v>
      </c>
      <c r="N1168">
        <v>0</v>
      </c>
    </row>
    <row r="1169" spans="1:14" hidden="1" x14ac:dyDescent="0.35">
      <c r="A1169" t="s">
        <v>672</v>
      </c>
      <c r="B1169" t="s">
        <v>73</v>
      </c>
      <c r="C1169" t="s">
        <v>87</v>
      </c>
      <c r="D1169" t="s">
        <v>87</v>
      </c>
      <c r="E1169" t="s">
        <v>584</v>
      </c>
      <c r="F1169" t="s">
        <v>26</v>
      </c>
      <c r="G1169" t="s">
        <v>26</v>
      </c>
      <c r="N1169">
        <v>0</v>
      </c>
    </row>
    <row r="1170" spans="1:14" hidden="1" x14ac:dyDescent="0.35">
      <c r="A1170" t="s">
        <v>672</v>
      </c>
      <c r="B1170" t="s">
        <v>73</v>
      </c>
      <c r="C1170" t="s">
        <v>71</v>
      </c>
      <c r="D1170" t="s">
        <v>140</v>
      </c>
      <c r="E1170" t="s">
        <v>584</v>
      </c>
      <c r="F1170" t="s">
        <v>581</v>
      </c>
      <c r="G1170" t="s">
        <v>396</v>
      </c>
      <c r="H1170">
        <v>32.126359999999998</v>
      </c>
      <c r="I1170">
        <v>27.903590000000001</v>
      </c>
      <c r="J1170">
        <v>25.667459999999998</v>
      </c>
      <c r="K1170">
        <v>22.287600000000001</v>
      </c>
      <c r="L1170">
        <v>18.954339999999998</v>
      </c>
      <c r="M1170">
        <v>15.93085</v>
      </c>
      <c r="N1170">
        <v>13.452719999999999</v>
      </c>
    </row>
    <row r="1171" spans="1:14" hidden="1" x14ac:dyDescent="0.35">
      <c r="A1171" t="s">
        <v>672</v>
      </c>
      <c r="B1171" t="s">
        <v>73</v>
      </c>
      <c r="C1171" t="s">
        <v>71</v>
      </c>
      <c r="D1171" t="s">
        <v>140</v>
      </c>
      <c r="E1171" t="s">
        <v>584</v>
      </c>
      <c r="F1171" t="s">
        <v>26</v>
      </c>
      <c r="G1171" t="s">
        <v>26</v>
      </c>
      <c r="H1171">
        <v>6.9089159999999996</v>
      </c>
      <c r="I1171">
        <v>6.0007890000000002</v>
      </c>
      <c r="J1171">
        <v>5.5199020000000001</v>
      </c>
      <c r="K1171">
        <v>5.1352169999999999</v>
      </c>
      <c r="L1171">
        <v>4.3672129999999996</v>
      </c>
      <c r="M1171">
        <v>3.6705779999999999</v>
      </c>
      <c r="N1171">
        <v>3.099602</v>
      </c>
    </row>
    <row r="1172" spans="1:14" hidden="1" x14ac:dyDescent="0.35">
      <c r="A1172" t="s">
        <v>672</v>
      </c>
      <c r="B1172" t="s">
        <v>73</v>
      </c>
      <c r="C1172" t="s">
        <v>71</v>
      </c>
      <c r="D1172" t="s">
        <v>142</v>
      </c>
      <c r="E1172" t="s">
        <v>584</v>
      </c>
      <c r="F1172" t="s">
        <v>581</v>
      </c>
      <c r="G1172" t="s">
        <v>396</v>
      </c>
      <c r="H1172">
        <v>18.735119999999998</v>
      </c>
      <c r="I1172">
        <v>18.395040000000002</v>
      </c>
      <c r="J1172">
        <v>16.846139999999998</v>
      </c>
      <c r="K1172">
        <v>18.459969999999998</v>
      </c>
      <c r="L1172">
        <v>20.134409999999999</v>
      </c>
      <c r="M1172">
        <v>16.93036</v>
      </c>
      <c r="N1172">
        <v>14.32756</v>
      </c>
    </row>
    <row r="1173" spans="1:14" hidden="1" x14ac:dyDescent="0.35">
      <c r="A1173" t="s">
        <v>672</v>
      </c>
      <c r="B1173" t="s">
        <v>73</v>
      </c>
      <c r="C1173" t="s">
        <v>71</v>
      </c>
      <c r="D1173" t="s">
        <v>142</v>
      </c>
      <c r="E1173" t="s">
        <v>584</v>
      </c>
      <c r="F1173" t="s">
        <v>581</v>
      </c>
      <c r="G1173" t="s">
        <v>25</v>
      </c>
      <c r="H1173">
        <v>0.85475599999999996</v>
      </c>
      <c r="I1173">
        <v>1.0069630000000001</v>
      </c>
      <c r="J1173">
        <v>0.95218970000000003</v>
      </c>
      <c r="K1173">
        <v>0.81957100000000005</v>
      </c>
      <c r="L1173">
        <v>0.7620635</v>
      </c>
      <c r="M1173">
        <v>0.61673789999999995</v>
      </c>
      <c r="N1173">
        <v>0.47803230000000002</v>
      </c>
    </row>
    <row r="1174" spans="1:14" hidden="1" x14ac:dyDescent="0.35">
      <c r="A1174" t="s">
        <v>672</v>
      </c>
      <c r="B1174" t="s">
        <v>73</v>
      </c>
      <c r="C1174" t="s">
        <v>71</v>
      </c>
      <c r="D1174" t="s">
        <v>142</v>
      </c>
      <c r="E1174" t="s">
        <v>584</v>
      </c>
      <c r="F1174" t="s">
        <v>26</v>
      </c>
      <c r="G1174" t="s">
        <v>26</v>
      </c>
      <c r="H1174">
        <v>2.3306830000000001</v>
      </c>
      <c r="I1174">
        <v>2.444194</v>
      </c>
      <c r="J1174">
        <v>2.5378769999999999</v>
      </c>
      <c r="K1174">
        <v>2.551517</v>
      </c>
      <c r="L1174">
        <v>2.28417</v>
      </c>
      <c r="M1174">
        <v>1.7830349999999999</v>
      </c>
      <c r="N1174">
        <v>1.3460350000000001</v>
      </c>
    </row>
    <row r="1175" spans="1:14" hidden="1" x14ac:dyDescent="0.35">
      <c r="A1175" t="s">
        <v>672</v>
      </c>
      <c r="B1175" t="s">
        <v>73</v>
      </c>
      <c r="C1175" t="s">
        <v>71</v>
      </c>
      <c r="D1175" t="s">
        <v>139</v>
      </c>
      <c r="E1175" t="s">
        <v>584</v>
      </c>
      <c r="F1175" t="s">
        <v>581</v>
      </c>
      <c r="G1175" t="s">
        <v>396</v>
      </c>
      <c r="H1175">
        <v>8.3935340000000007</v>
      </c>
      <c r="I1175">
        <v>8.7656290000000006</v>
      </c>
      <c r="J1175">
        <v>9.9678100000000001</v>
      </c>
      <c r="K1175">
        <v>7.1760440000000001</v>
      </c>
      <c r="L1175">
        <v>4.3998480000000004</v>
      </c>
      <c r="M1175">
        <v>2.794667</v>
      </c>
      <c r="N1175">
        <v>4.8203230000000001</v>
      </c>
    </row>
    <row r="1176" spans="1:14" hidden="1" x14ac:dyDescent="0.35">
      <c r="A1176" t="s">
        <v>672</v>
      </c>
      <c r="B1176" t="s">
        <v>73</v>
      </c>
      <c r="C1176" t="s">
        <v>71</v>
      </c>
      <c r="D1176" t="s">
        <v>139</v>
      </c>
      <c r="E1176" t="s">
        <v>584</v>
      </c>
      <c r="F1176" t="s">
        <v>26</v>
      </c>
      <c r="G1176" t="s">
        <v>26</v>
      </c>
      <c r="H1176">
        <v>1.7750250000000001</v>
      </c>
      <c r="I1176">
        <v>1.228847</v>
      </c>
      <c r="J1176">
        <v>0.88096370000000002</v>
      </c>
      <c r="K1176">
        <v>0.66956059999999995</v>
      </c>
      <c r="L1176">
        <v>0.5088876</v>
      </c>
      <c r="M1176">
        <v>0.38676959999999999</v>
      </c>
      <c r="N1176">
        <v>5.5225739999999996</v>
      </c>
    </row>
    <row r="1177" spans="1:14" hidden="1" x14ac:dyDescent="0.35">
      <c r="A1177" t="s">
        <v>672</v>
      </c>
      <c r="B1177" t="s">
        <v>73</v>
      </c>
      <c r="C1177" t="s">
        <v>71</v>
      </c>
      <c r="D1177" t="s">
        <v>143</v>
      </c>
      <c r="E1177" t="s">
        <v>584</v>
      </c>
      <c r="F1177" t="s">
        <v>581</v>
      </c>
      <c r="G1177" t="s">
        <v>396</v>
      </c>
      <c r="H1177">
        <v>2.3976630000000001</v>
      </c>
      <c r="I1177">
        <v>2.954555</v>
      </c>
      <c r="J1177">
        <v>2.4068860000000001</v>
      </c>
      <c r="K1177">
        <v>1.9500759999999999</v>
      </c>
      <c r="L1177">
        <v>1.6931510000000001</v>
      </c>
      <c r="M1177">
        <v>4.6861290000000002</v>
      </c>
      <c r="N1177">
        <v>8.1273479999999996</v>
      </c>
    </row>
    <row r="1178" spans="1:14" hidden="1" x14ac:dyDescent="0.35">
      <c r="A1178" t="s">
        <v>672</v>
      </c>
      <c r="B1178" t="s">
        <v>73</v>
      </c>
      <c r="C1178" t="s">
        <v>71</v>
      </c>
      <c r="D1178" t="s">
        <v>143</v>
      </c>
      <c r="E1178" t="s">
        <v>584</v>
      </c>
      <c r="F1178" t="s">
        <v>26</v>
      </c>
      <c r="G1178" t="s">
        <v>26</v>
      </c>
      <c r="H1178">
        <v>0.1872838</v>
      </c>
      <c r="I1178">
        <v>0.37943399999999999</v>
      </c>
      <c r="J1178">
        <v>2.1552709999999999E-2</v>
      </c>
      <c r="K1178">
        <v>1.444643E-2</v>
      </c>
      <c r="L1178">
        <v>9.6840699999999995E-3</v>
      </c>
      <c r="M1178">
        <v>9.2868950000000006E-2</v>
      </c>
      <c r="N1178">
        <v>0.18995790000000001</v>
      </c>
    </row>
    <row r="1179" spans="1:14" hidden="1" x14ac:dyDescent="0.35">
      <c r="A1179" t="s">
        <v>672</v>
      </c>
      <c r="B1179" t="s">
        <v>73</v>
      </c>
      <c r="C1179" t="s">
        <v>71</v>
      </c>
      <c r="D1179" t="s">
        <v>141</v>
      </c>
      <c r="E1179" t="s">
        <v>584</v>
      </c>
      <c r="F1179" t="s">
        <v>581</v>
      </c>
      <c r="G1179" t="s">
        <v>396</v>
      </c>
      <c r="H1179">
        <v>0</v>
      </c>
      <c r="I1179">
        <v>1.698534</v>
      </c>
      <c r="J1179">
        <v>4.5605339999999996</v>
      </c>
      <c r="K1179">
        <v>3.0409510000000002</v>
      </c>
      <c r="L1179">
        <v>1.907967</v>
      </c>
      <c r="M1179">
        <v>1.2712490000000001</v>
      </c>
      <c r="N1179">
        <v>0.88114360000000003</v>
      </c>
    </row>
    <row r="1180" spans="1:14" hidden="1" x14ac:dyDescent="0.35">
      <c r="A1180" t="s">
        <v>672</v>
      </c>
      <c r="B1180" t="s">
        <v>73</v>
      </c>
      <c r="C1180" t="s">
        <v>71</v>
      </c>
      <c r="D1180" t="s">
        <v>141</v>
      </c>
      <c r="E1180" t="s">
        <v>584</v>
      </c>
      <c r="F1180" t="s">
        <v>26</v>
      </c>
      <c r="G1180" t="s">
        <v>26</v>
      </c>
      <c r="H1180">
        <v>0</v>
      </c>
      <c r="I1180">
        <v>0.1077967</v>
      </c>
      <c r="J1180">
        <v>0.45987410000000001</v>
      </c>
      <c r="K1180">
        <v>0.31864779999999998</v>
      </c>
      <c r="L1180">
        <v>0.19845479999999999</v>
      </c>
      <c r="M1180">
        <v>0.1314727</v>
      </c>
      <c r="N1180">
        <v>9.0713290000000002E-2</v>
      </c>
    </row>
    <row r="1181" spans="1:14" hidden="1" x14ac:dyDescent="0.35">
      <c r="A1181" t="s">
        <v>672</v>
      </c>
      <c r="B1181" t="s">
        <v>73</v>
      </c>
      <c r="C1181" t="s">
        <v>71</v>
      </c>
      <c r="D1181" t="s">
        <v>75</v>
      </c>
      <c r="E1181" t="s">
        <v>584</v>
      </c>
      <c r="F1181" t="s">
        <v>581</v>
      </c>
      <c r="G1181" t="s">
        <v>396</v>
      </c>
      <c r="H1181">
        <v>1.8347949999999998E-2</v>
      </c>
      <c r="I1181">
        <v>1.6438359999999999E-2</v>
      </c>
      <c r="J1181">
        <v>1.322219E-2</v>
      </c>
      <c r="K1181">
        <v>0</v>
      </c>
    </row>
    <row r="1182" spans="1:14" hidden="1" x14ac:dyDescent="0.35">
      <c r="A1182" t="s">
        <v>672</v>
      </c>
      <c r="B1182" t="s">
        <v>73</v>
      </c>
      <c r="C1182" t="s">
        <v>71</v>
      </c>
      <c r="D1182" t="s">
        <v>72</v>
      </c>
      <c r="E1182" t="s">
        <v>584</v>
      </c>
      <c r="F1182" t="s">
        <v>581</v>
      </c>
      <c r="G1182" t="s">
        <v>396</v>
      </c>
      <c r="M1182">
        <v>0</v>
      </c>
      <c r="N1182">
        <v>0</v>
      </c>
    </row>
    <row r="1183" spans="1:14" hidden="1" x14ac:dyDescent="0.35">
      <c r="A1183" t="s">
        <v>672</v>
      </c>
      <c r="B1183" t="s">
        <v>73</v>
      </c>
      <c r="C1183" t="s">
        <v>71</v>
      </c>
      <c r="D1183" t="s">
        <v>72</v>
      </c>
      <c r="E1183" t="s">
        <v>584</v>
      </c>
      <c r="F1183" t="s">
        <v>581</v>
      </c>
      <c r="G1183" t="s">
        <v>24</v>
      </c>
      <c r="M1183">
        <v>0</v>
      </c>
      <c r="N1183">
        <v>0</v>
      </c>
    </row>
    <row r="1184" spans="1:14" hidden="1" x14ac:dyDescent="0.35">
      <c r="A1184" t="s">
        <v>672</v>
      </c>
      <c r="B1184" t="s">
        <v>73</v>
      </c>
      <c r="C1184" t="s">
        <v>71</v>
      </c>
      <c r="D1184" t="s">
        <v>72</v>
      </c>
      <c r="E1184" t="s">
        <v>584</v>
      </c>
      <c r="F1184" t="s">
        <v>581</v>
      </c>
      <c r="G1184" t="s">
        <v>25</v>
      </c>
      <c r="M1184">
        <v>0</v>
      </c>
      <c r="N1184">
        <v>0</v>
      </c>
    </row>
    <row r="1185" spans="1:14" hidden="1" x14ac:dyDescent="0.35">
      <c r="A1185" t="s">
        <v>672</v>
      </c>
      <c r="B1185" t="s">
        <v>73</v>
      </c>
      <c r="C1185" t="s">
        <v>71</v>
      </c>
      <c r="D1185" t="s">
        <v>72</v>
      </c>
      <c r="E1185" t="s">
        <v>584</v>
      </c>
      <c r="F1185" t="s">
        <v>26</v>
      </c>
      <c r="G1185" t="s">
        <v>26</v>
      </c>
      <c r="M1185">
        <v>0</v>
      </c>
      <c r="N1185">
        <v>0</v>
      </c>
    </row>
    <row r="1186" spans="1:14" hidden="1" x14ac:dyDescent="0.35">
      <c r="A1186" t="s">
        <v>672</v>
      </c>
      <c r="B1186" t="s">
        <v>73</v>
      </c>
      <c r="C1186" t="s">
        <v>97</v>
      </c>
      <c r="D1186" t="s">
        <v>98</v>
      </c>
      <c r="E1186" t="s">
        <v>584</v>
      </c>
      <c r="F1186" t="s">
        <v>581</v>
      </c>
      <c r="G1186" t="s">
        <v>396</v>
      </c>
      <c r="H1186">
        <v>7.4268650000000003</v>
      </c>
      <c r="I1186">
        <v>50.886479999999999</v>
      </c>
      <c r="J1186">
        <v>54.193660000000001</v>
      </c>
      <c r="K1186">
        <v>53.141170000000002</v>
      </c>
      <c r="L1186">
        <v>75.681749999999994</v>
      </c>
      <c r="M1186">
        <v>75.785910000000001</v>
      </c>
      <c r="N1186">
        <v>75.784099999999995</v>
      </c>
    </row>
    <row r="1187" spans="1:14" hidden="1" x14ac:dyDescent="0.35">
      <c r="A1187" t="s">
        <v>672</v>
      </c>
      <c r="B1187" t="s">
        <v>73</v>
      </c>
      <c r="C1187" t="s">
        <v>97</v>
      </c>
      <c r="D1187" t="s">
        <v>98</v>
      </c>
      <c r="E1187" t="s">
        <v>584</v>
      </c>
      <c r="F1187" t="s">
        <v>581</v>
      </c>
      <c r="G1187" t="s">
        <v>25</v>
      </c>
      <c r="H1187">
        <v>0.27167669999999999</v>
      </c>
      <c r="I1187">
        <v>1.861442</v>
      </c>
      <c r="J1187">
        <v>1.9824200000000001</v>
      </c>
      <c r="K1187">
        <v>1.9415370000000001</v>
      </c>
      <c r="L1187">
        <v>2.480464</v>
      </c>
      <c r="M1187">
        <v>2.6011329999999999</v>
      </c>
      <c r="N1187">
        <v>2.5134259999999999</v>
      </c>
    </row>
    <row r="1188" spans="1:14" hidden="1" x14ac:dyDescent="0.35">
      <c r="A1188" t="s">
        <v>672</v>
      </c>
      <c r="B1188" t="s">
        <v>73</v>
      </c>
      <c r="C1188" t="s">
        <v>97</v>
      </c>
      <c r="D1188" t="s">
        <v>98</v>
      </c>
      <c r="E1188" t="s">
        <v>584</v>
      </c>
      <c r="F1188" t="s">
        <v>26</v>
      </c>
      <c r="G1188" t="s">
        <v>26</v>
      </c>
      <c r="H1188">
        <v>0.26743869999999997</v>
      </c>
      <c r="I1188">
        <v>1.8324039999999999</v>
      </c>
      <c r="J1188">
        <v>1.9514940000000001</v>
      </c>
      <c r="K1188">
        <v>1.907195</v>
      </c>
      <c r="L1188">
        <v>1.9414800000000001</v>
      </c>
      <c r="M1188">
        <v>2.0001690000000001</v>
      </c>
      <c r="N1188">
        <v>2.0232999999999999</v>
      </c>
    </row>
    <row r="1189" spans="1:14" hidden="1" x14ac:dyDescent="0.35">
      <c r="A1189" t="s">
        <v>672</v>
      </c>
      <c r="B1189" t="s">
        <v>73</v>
      </c>
      <c r="C1189" t="s">
        <v>80</v>
      </c>
      <c r="D1189" t="s">
        <v>152</v>
      </c>
      <c r="E1189" t="s">
        <v>584</v>
      </c>
      <c r="F1189" t="s">
        <v>581</v>
      </c>
      <c r="G1189" t="s">
        <v>396</v>
      </c>
      <c r="H1189">
        <v>5.2743070000000003</v>
      </c>
      <c r="I1189">
        <v>4.787077</v>
      </c>
      <c r="J1189">
        <v>4.8970140000000004</v>
      </c>
      <c r="K1189">
        <v>5.0385260000000001</v>
      </c>
      <c r="L1189">
        <v>5.5128570000000003</v>
      </c>
      <c r="M1189">
        <v>5.5379459999999998</v>
      </c>
      <c r="N1189">
        <v>4.6491110000000004</v>
      </c>
    </row>
    <row r="1190" spans="1:14" hidden="1" x14ac:dyDescent="0.35">
      <c r="A1190" t="s">
        <v>672</v>
      </c>
      <c r="B1190" t="s">
        <v>73</v>
      </c>
      <c r="C1190" t="s">
        <v>80</v>
      </c>
      <c r="D1190" t="s">
        <v>152</v>
      </c>
      <c r="E1190" t="s">
        <v>584</v>
      </c>
      <c r="F1190" t="s">
        <v>581</v>
      </c>
      <c r="G1190" t="s">
        <v>25</v>
      </c>
      <c r="H1190">
        <v>3.0226449999999998</v>
      </c>
      <c r="I1190">
        <v>3.4692959999999999</v>
      </c>
      <c r="J1190">
        <v>5.1661239999999999</v>
      </c>
      <c r="K1190">
        <v>5.0970490000000002</v>
      </c>
      <c r="L1190">
        <v>5.7892659999999996</v>
      </c>
      <c r="M1190">
        <v>4.4373490000000002</v>
      </c>
      <c r="N1190">
        <v>3.687084</v>
      </c>
    </row>
    <row r="1191" spans="1:14" hidden="1" x14ac:dyDescent="0.35">
      <c r="A1191" t="s">
        <v>672</v>
      </c>
      <c r="B1191" t="s">
        <v>73</v>
      </c>
      <c r="C1191" t="s">
        <v>80</v>
      </c>
      <c r="D1191" t="s">
        <v>152</v>
      </c>
      <c r="E1191" t="s">
        <v>584</v>
      </c>
      <c r="F1191" t="s">
        <v>26</v>
      </c>
      <c r="G1191" t="s">
        <v>26</v>
      </c>
      <c r="H1191">
        <v>13.84535</v>
      </c>
      <c r="I1191">
        <v>14.797599999999999</v>
      </c>
      <c r="J1191">
        <v>22.49755</v>
      </c>
      <c r="K1191">
        <v>21.586939999999998</v>
      </c>
      <c r="L1191">
        <v>25.722159999999999</v>
      </c>
      <c r="M1191">
        <v>23.1692</v>
      </c>
      <c r="N1191">
        <v>18.985939999999999</v>
      </c>
    </row>
    <row r="1192" spans="1:14" hidden="1" x14ac:dyDescent="0.35">
      <c r="A1192" t="s">
        <v>672</v>
      </c>
      <c r="B1192" t="s">
        <v>73</v>
      </c>
      <c r="C1192" t="s">
        <v>80</v>
      </c>
      <c r="D1192" t="s">
        <v>347</v>
      </c>
      <c r="E1192" t="s">
        <v>584</v>
      </c>
      <c r="F1192" t="s">
        <v>581</v>
      </c>
      <c r="G1192" t="s">
        <v>396</v>
      </c>
      <c r="M1192">
        <v>0</v>
      </c>
      <c r="N1192">
        <v>1.7241770000000001</v>
      </c>
    </row>
    <row r="1193" spans="1:14" hidden="1" x14ac:dyDescent="0.35">
      <c r="A1193" t="s">
        <v>672</v>
      </c>
      <c r="B1193" t="s">
        <v>73</v>
      </c>
      <c r="C1193" t="s">
        <v>80</v>
      </c>
      <c r="D1193" t="s">
        <v>347</v>
      </c>
      <c r="E1193" t="s">
        <v>584</v>
      </c>
      <c r="F1193" t="s">
        <v>581</v>
      </c>
      <c r="G1193" t="s">
        <v>24</v>
      </c>
      <c r="N1193">
        <v>0</v>
      </c>
    </row>
    <row r="1194" spans="1:14" hidden="1" x14ac:dyDescent="0.35">
      <c r="A1194" t="s">
        <v>672</v>
      </c>
      <c r="B1194" t="s">
        <v>73</v>
      </c>
      <c r="C1194" t="s">
        <v>80</v>
      </c>
      <c r="D1194" t="s">
        <v>347</v>
      </c>
      <c r="E1194" t="s">
        <v>584</v>
      </c>
      <c r="F1194" t="s">
        <v>581</v>
      </c>
      <c r="G1194" t="s">
        <v>25</v>
      </c>
      <c r="M1194">
        <v>0</v>
      </c>
      <c r="N1194">
        <v>1.2664530000000001</v>
      </c>
    </row>
    <row r="1195" spans="1:14" hidden="1" x14ac:dyDescent="0.35">
      <c r="A1195" t="s">
        <v>672</v>
      </c>
      <c r="B1195" t="s">
        <v>73</v>
      </c>
      <c r="C1195" t="s">
        <v>80</v>
      </c>
      <c r="D1195" t="s">
        <v>347</v>
      </c>
      <c r="E1195" t="s">
        <v>584</v>
      </c>
      <c r="F1195" t="s">
        <v>26</v>
      </c>
      <c r="G1195" t="s">
        <v>26</v>
      </c>
      <c r="M1195">
        <v>0</v>
      </c>
      <c r="N1195">
        <v>5.9731740000000002</v>
      </c>
    </row>
    <row r="1196" spans="1:14" hidden="1" x14ac:dyDescent="0.35">
      <c r="A1196" t="s">
        <v>672</v>
      </c>
      <c r="B1196" t="s">
        <v>73</v>
      </c>
      <c r="C1196" t="s">
        <v>155</v>
      </c>
      <c r="D1196" t="s">
        <v>155</v>
      </c>
      <c r="E1196" t="s">
        <v>584</v>
      </c>
      <c r="F1196" t="s">
        <v>581</v>
      </c>
      <c r="G1196" t="s">
        <v>396</v>
      </c>
      <c r="H1196">
        <v>1.69326</v>
      </c>
      <c r="I1196">
        <v>4.4917579999999999</v>
      </c>
      <c r="J1196">
        <v>3.0231699999999999</v>
      </c>
      <c r="K1196">
        <v>1.4583569999999999</v>
      </c>
      <c r="L1196">
        <v>1.0414650000000001</v>
      </c>
      <c r="M1196">
        <v>0.71477970000000002</v>
      </c>
      <c r="N1196">
        <v>0.47460409999999997</v>
      </c>
    </row>
    <row r="1197" spans="1:14" hidden="1" x14ac:dyDescent="0.35">
      <c r="A1197" t="s">
        <v>672</v>
      </c>
      <c r="B1197" t="s">
        <v>73</v>
      </c>
      <c r="C1197" t="s">
        <v>155</v>
      </c>
      <c r="D1197" t="s">
        <v>155</v>
      </c>
      <c r="E1197" t="s">
        <v>584</v>
      </c>
      <c r="F1197" t="s">
        <v>581</v>
      </c>
      <c r="G1197" t="s">
        <v>25</v>
      </c>
      <c r="H1197">
        <v>3.627698E-2</v>
      </c>
      <c r="I1197">
        <v>0.1163573</v>
      </c>
      <c r="J1197">
        <v>0</v>
      </c>
    </row>
    <row r="1198" spans="1:14" hidden="1" x14ac:dyDescent="0.35">
      <c r="A1198" t="s">
        <v>672</v>
      </c>
      <c r="B1198" t="s">
        <v>73</v>
      </c>
      <c r="C1198" t="s">
        <v>155</v>
      </c>
      <c r="D1198" t="s">
        <v>155</v>
      </c>
      <c r="E1198" t="s">
        <v>584</v>
      </c>
      <c r="F1198" t="s">
        <v>26</v>
      </c>
      <c r="G1198" t="s">
        <v>26</v>
      </c>
      <c r="I1198">
        <v>0</v>
      </c>
      <c r="J1198">
        <v>0.1304486</v>
      </c>
      <c r="K1198">
        <v>6.2927259999999999E-2</v>
      </c>
      <c r="L1198">
        <v>4.4938770000000003E-2</v>
      </c>
      <c r="M1198">
        <v>3.0842459999999999E-2</v>
      </c>
      <c r="N1198">
        <v>2.0478900000000001E-2</v>
      </c>
    </row>
    <row r="1199" spans="1:14" hidden="1" x14ac:dyDescent="0.35">
      <c r="A1199" t="s">
        <v>681</v>
      </c>
      <c r="B1199" t="s">
        <v>37</v>
      </c>
      <c r="C1199" t="s">
        <v>35</v>
      </c>
      <c r="D1199" t="s">
        <v>129</v>
      </c>
      <c r="E1199" t="s">
        <v>580</v>
      </c>
      <c r="F1199" t="s">
        <v>581</v>
      </c>
      <c r="G1199" t="s">
        <v>396</v>
      </c>
      <c r="H1199">
        <v>70.136989999999997</v>
      </c>
      <c r="I1199">
        <v>76.427539999999993</v>
      </c>
      <c r="J1199">
        <v>78.735339999999994</v>
      </c>
      <c r="K1199">
        <v>71.511719999999997</v>
      </c>
      <c r="L1199">
        <v>65.077330000000003</v>
      </c>
      <c r="M1199">
        <v>61.234029999999997</v>
      </c>
      <c r="N1199">
        <v>59.17886</v>
      </c>
    </row>
    <row r="1200" spans="1:14" hidden="1" x14ac:dyDescent="0.35">
      <c r="A1200" t="s">
        <v>681</v>
      </c>
      <c r="B1200" t="s">
        <v>37</v>
      </c>
      <c r="C1200" t="s">
        <v>35</v>
      </c>
      <c r="D1200" t="s">
        <v>129</v>
      </c>
      <c r="E1200" t="s">
        <v>580</v>
      </c>
      <c r="F1200" t="s">
        <v>581</v>
      </c>
      <c r="G1200" t="s">
        <v>25</v>
      </c>
      <c r="H1200">
        <v>19.30959</v>
      </c>
      <c r="I1200">
        <v>20.184259999999998</v>
      </c>
      <c r="J1200">
        <v>20.709969999999998</v>
      </c>
      <c r="K1200">
        <v>18.717690000000001</v>
      </c>
      <c r="L1200">
        <v>16.96133</v>
      </c>
      <c r="M1200">
        <v>15.82296</v>
      </c>
      <c r="N1200">
        <v>15.101000000000001</v>
      </c>
    </row>
    <row r="1201" spans="1:14" hidden="1" x14ac:dyDescent="0.35">
      <c r="A1201" t="s">
        <v>681</v>
      </c>
      <c r="B1201" t="s">
        <v>37</v>
      </c>
      <c r="C1201" t="s">
        <v>35</v>
      </c>
      <c r="D1201" t="s">
        <v>129</v>
      </c>
      <c r="E1201" t="s">
        <v>580</v>
      </c>
      <c r="F1201" t="s">
        <v>26</v>
      </c>
      <c r="G1201" t="s">
        <v>26</v>
      </c>
      <c r="H1201">
        <v>29.457529999999998</v>
      </c>
      <c r="I1201">
        <v>28.02591</v>
      </c>
      <c r="J1201">
        <v>28.707439999999998</v>
      </c>
      <c r="K1201">
        <v>25.892309999999998</v>
      </c>
      <c r="L1201">
        <v>23.420649999999998</v>
      </c>
      <c r="M1201">
        <v>21.76877</v>
      </c>
      <c r="N1201">
        <v>20.66283</v>
      </c>
    </row>
    <row r="1202" spans="1:14" hidden="1" x14ac:dyDescent="0.35">
      <c r="A1202" t="s">
        <v>681</v>
      </c>
      <c r="B1202" t="s">
        <v>37</v>
      </c>
      <c r="C1202" t="s">
        <v>35</v>
      </c>
      <c r="D1202" t="s">
        <v>129</v>
      </c>
      <c r="E1202" t="s">
        <v>582</v>
      </c>
      <c r="F1202" t="s">
        <v>581</v>
      </c>
      <c r="G1202" t="s">
        <v>396</v>
      </c>
      <c r="H1202">
        <v>2.5117560000000001</v>
      </c>
      <c r="I1202">
        <v>4.3221319999999999</v>
      </c>
      <c r="J1202">
        <v>4.7629929999999998</v>
      </c>
      <c r="K1202">
        <v>5.1798019999999996</v>
      </c>
      <c r="L1202">
        <v>4.643256</v>
      </c>
      <c r="M1202">
        <v>4.0167450000000002</v>
      </c>
      <c r="N1202">
        <v>3.9762050000000002</v>
      </c>
    </row>
    <row r="1203" spans="1:14" hidden="1" x14ac:dyDescent="0.35">
      <c r="A1203" t="s">
        <v>681</v>
      </c>
      <c r="B1203" t="s">
        <v>37</v>
      </c>
      <c r="C1203" t="s">
        <v>35</v>
      </c>
      <c r="D1203" t="s">
        <v>129</v>
      </c>
      <c r="E1203" t="s">
        <v>582</v>
      </c>
      <c r="F1203" t="s">
        <v>581</v>
      </c>
      <c r="G1203" t="s">
        <v>25</v>
      </c>
      <c r="H1203">
        <v>0.86945209999999995</v>
      </c>
      <c r="I1203">
        <v>1.4923139999999999</v>
      </c>
      <c r="J1203">
        <v>1.6487270000000001</v>
      </c>
      <c r="K1203">
        <v>1.793007</v>
      </c>
      <c r="L1203">
        <v>1.6072789999999999</v>
      </c>
      <c r="M1203">
        <v>1.390412</v>
      </c>
      <c r="N1203">
        <v>1.376382</v>
      </c>
    </row>
    <row r="1204" spans="1:14" hidden="1" x14ac:dyDescent="0.35">
      <c r="A1204" t="s">
        <v>681</v>
      </c>
      <c r="B1204" t="s">
        <v>37</v>
      </c>
      <c r="C1204" t="s">
        <v>35</v>
      </c>
      <c r="D1204" t="s">
        <v>129</v>
      </c>
      <c r="E1204" t="s">
        <v>582</v>
      </c>
      <c r="F1204" t="s">
        <v>26</v>
      </c>
      <c r="G1204" t="s">
        <v>26</v>
      </c>
      <c r="H1204">
        <v>1.44909</v>
      </c>
      <c r="I1204">
        <v>2.4871889999999999</v>
      </c>
      <c r="J1204">
        <v>2.7478799999999999</v>
      </c>
      <c r="K1204">
        <v>2.9883470000000001</v>
      </c>
      <c r="L1204">
        <v>2.6787999999999998</v>
      </c>
      <c r="M1204">
        <v>2.3173520000000001</v>
      </c>
      <c r="N1204">
        <v>2.2939639999999999</v>
      </c>
    </row>
    <row r="1205" spans="1:14" hidden="1" x14ac:dyDescent="0.35">
      <c r="A1205" t="s">
        <v>681</v>
      </c>
      <c r="B1205" t="s">
        <v>37</v>
      </c>
      <c r="C1205" t="s">
        <v>35</v>
      </c>
      <c r="D1205" t="s">
        <v>129</v>
      </c>
      <c r="E1205" t="s">
        <v>584</v>
      </c>
      <c r="F1205" t="s">
        <v>581</v>
      </c>
      <c r="G1205" t="s">
        <v>396</v>
      </c>
      <c r="H1205">
        <v>0.40869860000000002</v>
      </c>
      <c r="I1205">
        <v>0.37731239999999999</v>
      </c>
      <c r="J1205">
        <v>0.34201809999999999</v>
      </c>
      <c r="K1205">
        <v>0.30463869999999998</v>
      </c>
      <c r="L1205">
        <v>0.2729896</v>
      </c>
      <c r="M1205">
        <v>0.2449211</v>
      </c>
      <c r="N1205">
        <v>0.2188861</v>
      </c>
    </row>
    <row r="1206" spans="1:14" hidden="1" x14ac:dyDescent="0.35">
      <c r="A1206" t="s">
        <v>681</v>
      </c>
      <c r="B1206" t="s">
        <v>37</v>
      </c>
      <c r="C1206" t="s">
        <v>35</v>
      </c>
      <c r="D1206" t="s">
        <v>129</v>
      </c>
      <c r="E1206" t="s">
        <v>584</v>
      </c>
      <c r="F1206" t="s">
        <v>581</v>
      </c>
      <c r="G1206" t="s">
        <v>25</v>
      </c>
      <c r="H1206">
        <v>5.4495889999999998E-2</v>
      </c>
      <c r="I1206">
        <v>5.0307659999999997E-2</v>
      </c>
      <c r="J1206">
        <v>4.5602469999999999E-2</v>
      </c>
      <c r="K1206">
        <v>4.0619179999999998E-2</v>
      </c>
      <c r="L1206">
        <v>3.6400000000000002E-2</v>
      </c>
      <c r="M1206">
        <v>3.2653149999999999E-2</v>
      </c>
      <c r="N1206">
        <v>2.918685E-2</v>
      </c>
    </row>
    <row r="1207" spans="1:14" hidden="1" x14ac:dyDescent="0.35">
      <c r="A1207" t="s">
        <v>681</v>
      </c>
      <c r="B1207" t="s">
        <v>37</v>
      </c>
      <c r="C1207" t="s">
        <v>35</v>
      </c>
      <c r="D1207" t="s">
        <v>129</v>
      </c>
      <c r="E1207" t="s">
        <v>584</v>
      </c>
      <c r="F1207" t="s">
        <v>26</v>
      </c>
      <c r="G1207" t="s">
        <v>26</v>
      </c>
      <c r="H1207">
        <v>8.1739729999999997E-2</v>
      </c>
      <c r="I1207">
        <v>7.5460819999999998E-2</v>
      </c>
      <c r="J1207">
        <v>6.8404649999999997E-2</v>
      </c>
      <c r="K1207">
        <v>6.0926300000000003E-2</v>
      </c>
      <c r="L1207">
        <v>5.459808E-2</v>
      </c>
      <c r="M1207">
        <v>4.8983829999999999E-2</v>
      </c>
      <c r="N1207">
        <v>4.3777539999999997E-2</v>
      </c>
    </row>
    <row r="1208" spans="1:14" hidden="1" x14ac:dyDescent="0.35">
      <c r="A1208" t="s">
        <v>681</v>
      </c>
      <c r="B1208" t="s">
        <v>37</v>
      </c>
      <c r="C1208" t="s">
        <v>35</v>
      </c>
      <c r="D1208" t="s">
        <v>39</v>
      </c>
      <c r="E1208" t="s">
        <v>580</v>
      </c>
      <c r="F1208" t="s">
        <v>581</v>
      </c>
      <c r="G1208" t="s">
        <v>396</v>
      </c>
      <c r="H1208">
        <v>5.7355119999999999</v>
      </c>
      <c r="I1208">
        <v>5.4174069999999999</v>
      </c>
      <c r="J1208">
        <v>5.1544150000000002</v>
      </c>
      <c r="K1208">
        <v>4.5194780000000003</v>
      </c>
      <c r="L1208">
        <v>4.8242640000000003</v>
      </c>
      <c r="M1208">
        <v>5.481751</v>
      </c>
      <c r="N1208">
        <v>6.5205200000000003</v>
      </c>
    </row>
    <row r="1209" spans="1:14" hidden="1" x14ac:dyDescent="0.35">
      <c r="A1209" t="s">
        <v>681</v>
      </c>
      <c r="B1209" t="s">
        <v>37</v>
      </c>
      <c r="C1209" t="s">
        <v>35</v>
      </c>
      <c r="D1209" t="s">
        <v>39</v>
      </c>
      <c r="E1209" t="s">
        <v>580</v>
      </c>
      <c r="F1209" t="s">
        <v>581</v>
      </c>
      <c r="G1209" t="s">
        <v>25</v>
      </c>
      <c r="H1209">
        <v>2.5391560000000002</v>
      </c>
      <c r="I1209">
        <v>2.41317</v>
      </c>
      <c r="J1209">
        <v>2.2819029999999998</v>
      </c>
      <c r="K1209">
        <v>2.0008080000000001</v>
      </c>
      <c r="L1209">
        <v>2.1357439999999999</v>
      </c>
      <c r="M1209">
        <v>2.4268179999999999</v>
      </c>
      <c r="N1209">
        <v>2.8866869999999998</v>
      </c>
    </row>
    <row r="1210" spans="1:14" hidden="1" x14ac:dyDescent="0.35">
      <c r="A1210" t="s">
        <v>681</v>
      </c>
      <c r="B1210" t="s">
        <v>37</v>
      </c>
      <c r="C1210" t="s">
        <v>35</v>
      </c>
      <c r="D1210" t="s">
        <v>39</v>
      </c>
      <c r="E1210" t="s">
        <v>580</v>
      </c>
      <c r="F1210" t="s">
        <v>26</v>
      </c>
      <c r="G1210" t="s">
        <v>26</v>
      </c>
      <c r="H1210">
        <v>4.0626519999999999</v>
      </c>
      <c r="I1210">
        <v>3.8610730000000002</v>
      </c>
      <c r="J1210">
        <v>3.6510440000000002</v>
      </c>
      <c r="K1210">
        <v>3.201298</v>
      </c>
      <c r="L1210">
        <v>3.4171849999999999</v>
      </c>
      <c r="M1210">
        <v>3.882908</v>
      </c>
      <c r="N1210">
        <v>4.6187019999999999</v>
      </c>
    </row>
    <row r="1211" spans="1:14" hidden="1" x14ac:dyDescent="0.35">
      <c r="A1211" t="s">
        <v>681</v>
      </c>
      <c r="B1211" t="s">
        <v>37</v>
      </c>
      <c r="C1211" t="s">
        <v>35</v>
      </c>
      <c r="D1211" t="s">
        <v>39</v>
      </c>
      <c r="E1211" t="s">
        <v>582</v>
      </c>
      <c r="F1211" t="s">
        <v>581</v>
      </c>
      <c r="G1211" t="s">
        <v>396</v>
      </c>
      <c r="H1211">
        <v>1.3549640000000001</v>
      </c>
      <c r="I1211">
        <v>1.360471</v>
      </c>
      <c r="J1211">
        <v>1.355248</v>
      </c>
      <c r="K1211">
        <v>1.094144</v>
      </c>
      <c r="L1211">
        <v>1.017387</v>
      </c>
      <c r="M1211">
        <v>0.81917019999999996</v>
      </c>
      <c r="N1211">
        <v>0.66300119999999996</v>
      </c>
    </row>
    <row r="1212" spans="1:14" hidden="1" x14ac:dyDescent="0.35">
      <c r="A1212" t="s">
        <v>681</v>
      </c>
      <c r="B1212" t="s">
        <v>37</v>
      </c>
      <c r="C1212" t="s">
        <v>35</v>
      </c>
      <c r="D1212" t="s">
        <v>39</v>
      </c>
      <c r="E1212" t="s">
        <v>582</v>
      </c>
      <c r="F1212" t="s">
        <v>581</v>
      </c>
      <c r="G1212" t="s">
        <v>25</v>
      </c>
      <c r="H1212">
        <v>0.70450959999999996</v>
      </c>
      <c r="I1212">
        <v>0.70737309999999998</v>
      </c>
      <c r="J1212">
        <v>0.70465250000000001</v>
      </c>
      <c r="K1212">
        <v>0.56890050000000003</v>
      </c>
      <c r="L1212">
        <v>0.52898659999999997</v>
      </c>
      <c r="M1212">
        <v>0.42592459999999999</v>
      </c>
      <c r="N1212">
        <v>0.34472360000000002</v>
      </c>
    </row>
    <row r="1213" spans="1:14" hidden="1" x14ac:dyDescent="0.35">
      <c r="A1213" t="s">
        <v>681</v>
      </c>
      <c r="B1213" t="s">
        <v>37</v>
      </c>
      <c r="C1213" t="s">
        <v>35</v>
      </c>
      <c r="D1213" t="s">
        <v>39</v>
      </c>
      <c r="E1213" t="s">
        <v>582</v>
      </c>
      <c r="F1213" t="s">
        <v>26</v>
      </c>
      <c r="G1213" t="s">
        <v>26</v>
      </c>
      <c r="H1213">
        <v>0.91892609999999997</v>
      </c>
      <c r="I1213">
        <v>0.92266000000000004</v>
      </c>
      <c r="J1213">
        <v>0.91911830000000005</v>
      </c>
      <c r="K1213">
        <v>0.74203779999999997</v>
      </c>
      <c r="L1213">
        <v>0.68998250000000005</v>
      </c>
      <c r="M1213">
        <v>0.55555480000000002</v>
      </c>
      <c r="N1213">
        <v>0.44964080000000001</v>
      </c>
    </row>
    <row r="1214" spans="1:14" hidden="1" x14ac:dyDescent="0.35">
      <c r="A1214" t="s">
        <v>681</v>
      </c>
      <c r="B1214" t="s">
        <v>37</v>
      </c>
      <c r="C1214" t="s">
        <v>35</v>
      </c>
      <c r="D1214" t="s">
        <v>207</v>
      </c>
      <c r="E1214" t="s">
        <v>585</v>
      </c>
      <c r="F1214" t="s">
        <v>581</v>
      </c>
      <c r="G1214" t="s">
        <v>396</v>
      </c>
      <c r="H1214">
        <v>0.8370959</v>
      </c>
      <c r="I1214">
        <v>0.73694789999999999</v>
      </c>
      <c r="J1214">
        <v>0.64623560000000002</v>
      </c>
      <c r="K1214">
        <v>0.58146869999999995</v>
      </c>
      <c r="L1214">
        <v>0.53466990000000003</v>
      </c>
      <c r="M1214">
        <v>0.47053450000000002</v>
      </c>
      <c r="N1214">
        <v>0.40706350000000002</v>
      </c>
    </row>
    <row r="1215" spans="1:14" hidden="1" x14ac:dyDescent="0.35">
      <c r="A1215" t="s">
        <v>681</v>
      </c>
      <c r="B1215" t="s">
        <v>37</v>
      </c>
      <c r="C1215" t="s">
        <v>35</v>
      </c>
      <c r="D1215" t="s">
        <v>207</v>
      </c>
      <c r="E1215" t="s">
        <v>585</v>
      </c>
      <c r="F1215" t="s">
        <v>581</v>
      </c>
      <c r="G1215" t="s">
        <v>25</v>
      </c>
      <c r="H1215">
        <v>9.1221919999999998E-2</v>
      </c>
      <c r="I1215">
        <v>8.030959E-2</v>
      </c>
      <c r="J1215">
        <v>7.0421919999999999E-2</v>
      </c>
      <c r="K1215">
        <v>6.3366030000000004E-2</v>
      </c>
      <c r="L1215">
        <v>5.826274E-2</v>
      </c>
      <c r="M1215">
        <v>5.1276710000000003E-2</v>
      </c>
      <c r="N1215">
        <v>4.4358359999999999E-2</v>
      </c>
    </row>
    <row r="1216" spans="1:14" hidden="1" x14ac:dyDescent="0.35">
      <c r="A1216" t="s">
        <v>681</v>
      </c>
      <c r="B1216" t="s">
        <v>37</v>
      </c>
      <c r="C1216" t="s">
        <v>35</v>
      </c>
      <c r="D1216" t="s">
        <v>207</v>
      </c>
      <c r="E1216" t="s">
        <v>585</v>
      </c>
      <c r="F1216" t="s">
        <v>26</v>
      </c>
      <c r="G1216" t="s">
        <v>26</v>
      </c>
      <c r="H1216">
        <v>0.15963840000000001</v>
      </c>
      <c r="I1216">
        <v>0.14053969999999999</v>
      </c>
      <c r="J1216">
        <v>0.12324110000000001</v>
      </c>
      <c r="K1216">
        <v>0.1108896</v>
      </c>
      <c r="L1216">
        <v>0.1019636</v>
      </c>
      <c r="M1216">
        <v>8.9734519999999998E-2</v>
      </c>
      <c r="N1216">
        <v>7.7630130000000006E-2</v>
      </c>
    </row>
    <row r="1217" spans="1:14" hidden="1" x14ac:dyDescent="0.35">
      <c r="A1217" t="s">
        <v>681</v>
      </c>
      <c r="B1217" t="s">
        <v>37</v>
      </c>
      <c r="C1217" t="s">
        <v>51</v>
      </c>
      <c r="D1217" t="s">
        <v>51</v>
      </c>
      <c r="E1217" t="s">
        <v>602</v>
      </c>
      <c r="F1217" t="s">
        <v>581</v>
      </c>
      <c r="G1217" t="s">
        <v>396</v>
      </c>
      <c r="H1217">
        <v>56.226309999999998</v>
      </c>
      <c r="I1217">
        <v>63.43871</v>
      </c>
      <c r="J1217">
        <v>61.999389999999998</v>
      </c>
      <c r="K1217">
        <v>62.594520000000003</v>
      </c>
      <c r="L1217">
        <v>71.231430000000003</v>
      </c>
      <c r="M1217">
        <v>85.486080000000001</v>
      </c>
      <c r="N1217">
        <v>88.721789999999999</v>
      </c>
    </row>
    <row r="1218" spans="1:14" hidden="1" x14ac:dyDescent="0.35">
      <c r="A1218" t="s">
        <v>681</v>
      </c>
      <c r="B1218" t="s">
        <v>37</v>
      </c>
      <c r="C1218" t="s">
        <v>51</v>
      </c>
      <c r="D1218" t="s">
        <v>51</v>
      </c>
      <c r="E1218" t="s">
        <v>602</v>
      </c>
      <c r="F1218" t="s">
        <v>581</v>
      </c>
      <c r="G1218" t="s">
        <v>25</v>
      </c>
      <c r="H1218">
        <v>6.4778820000000001</v>
      </c>
      <c r="I1218">
        <v>7.3105840000000004</v>
      </c>
      <c r="J1218">
        <v>7.1430040000000004</v>
      </c>
      <c r="K1218">
        <v>7.2115669999999996</v>
      </c>
      <c r="L1218">
        <v>8.2066300000000005</v>
      </c>
      <c r="M1218">
        <v>9.848922</v>
      </c>
      <c r="N1218">
        <v>10.22171</v>
      </c>
    </row>
    <row r="1219" spans="1:14" hidden="1" x14ac:dyDescent="0.35">
      <c r="A1219" t="s">
        <v>681</v>
      </c>
      <c r="B1219" t="s">
        <v>37</v>
      </c>
      <c r="C1219" t="s">
        <v>51</v>
      </c>
      <c r="D1219" t="s">
        <v>51</v>
      </c>
      <c r="E1219" t="s">
        <v>602</v>
      </c>
      <c r="F1219" t="s">
        <v>26</v>
      </c>
      <c r="G1219" t="s">
        <v>26</v>
      </c>
      <c r="H1219">
        <v>5.7581179999999996</v>
      </c>
      <c r="I1219">
        <v>6.4982899999999999</v>
      </c>
      <c r="J1219">
        <v>6.3493339999999998</v>
      </c>
      <c r="K1219">
        <v>6.4102819999999996</v>
      </c>
      <c r="L1219">
        <v>7.2947819999999997</v>
      </c>
      <c r="M1219">
        <v>8.7545970000000004</v>
      </c>
      <c r="N1219">
        <v>9.0859649999999998</v>
      </c>
    </row>
    <row r="1220" spans="1:14" hidden="1" x14ac:dyDescent="0.35">
      <c r="A1220" t="s">
        <v>678</v>
      </c>
      <c r="B1220" t="s">
        <v>37</v>
      </c>
      <c r="C1220" t="s">
        <v>218</v>
      </c>
      <c r="D1220" t="s">
        <v>218</v>
      </c>
      <c r="E1220" t="s">
        <v>593</v>
      </c>
      <c r="F1220" t="s">
        <v>581</v>
      </c>
      <c r="G1220" t="s">
        <v>396</v>
      </c>
      <c r="H1220">
        <v>64.572050000000004</v>
      </c>
      <c r="I1220">
        <v>55.533000000000001</v>
      </c>
      <c r="J1220">
        <v>72.158000000000001</v>
      </c>
      <c r="K1220">
        <v>78.233069999999998</v>
      </c>
      <c r="L1220">
        <v>71.432169999999999</v>
      </c>
      <c r="M1220">
        <v>59.85183</v>
      </c>
      <c r="N1220">
        <v>51.35886</v>
      </c>
    </row>
    <row r="1221" spans="1:14" hidden="1" x14ac:dyDescent="0.35">
      <c r="A1221" t="s">
        <v>678</v>
      </c>
      <c r="B1221" t="s">
        <v>37</v>
      </c>
      <c r="C1221" t="s">
        <v>218</v>
      </c>
      <c r="D1221" t="s">
        <v>218</v>
      </c>
      <c r="E1221" t="s">
        <v>593</v>
      </c>
      <c r="F1221" t="s">
        <v>581</v>
      </c>
      <c r="G1221" t="s">
        <v>24</v>
      </c>
      <c r="H1221">
        <v>0.8610411</v>
      </c>
      <c r="I1221">
        <v>2.8247399999999998</v>
      </c>
      <c r="J1221">
        <v>3.4404590000000002</v>
      </c>
      <c r="K1221">
        <v>3.4299680000000001</v>
      </c>
      <c r="L1221">
        <v>3.1122040000000002</v>
      </c>
      <c r="M1221">
        <v>2.8109160000000002</v>
      </c>
      <c r="N1221">
        <v>2.5707810000000002</v>
      </c>
    </row>
    <row r="1222" spans="1:14" hidden="1" x14ac:dyDescent="0.35">
      <c r="A1222" t="s">
        <v>678</v>
      </c>
      <c r="B1222" t="s">
        <v>37</v>
      </c>
      <c r="C1222" t="s">
        <v>218</v>
      </c>
      <c r="D1222" t="s">
        <v>218</v>
      </c>
      <c r="E1222" t="s">
        <v>593</v>
      </c>
      <c r="F1222" t="s">
        <v>581</v>
      </c>
      <c r="G1222" t="s">
        <v>25</v>
      </c>
      <c r="H1222">
        <v>34.600810000000003</v>
      </c>
      <c r="I1222">
        <v>31.947220000000002</v>
      </c>
      <c r="J1222">
        <v>44.191929999999999</v>
      </c>
      <c r="K1222">
        <v>47.93318</v>
      </c>
      <c r="L1222">
        <v>43.728929999999998</v>
      </c>
      <c r="M1222">
        <v>36.59451</v>
      </c>
      <c r="N1222">
        <v>31.39893</v>
      </c>
    </row>
    <row r="1223" spans="1:14" hidden="1" x14ac:dyDescent="0.35">
      <c r="A1223" t="s">
        <v>678</v>
      </c>
      <c r="B1223" t="s">
        <v>37</v>
      </c>
      <c r="C1223" t="s">
        <v>218</v>
      </c>
      <c r="D1223" t="s">
        <v>218</v>
      </c>
      <c r="E1223" t="s">
        <v>593</v>
      </c>
      <c r="F1223" t="s">
        <v>26</v>
      </c>
      <c r="G1223" t="s">
        <v>26</v>
      </c>
      <c r="H1223">
        <v>63.563699999999997</v>
      </c>
      <c r="I1223">
        <v>55.591459999999998</v>
      </c>
      <c r="J1223">
        <v>77.002179999999996</v>
      </c>
      <c r="K1223">
        <v>83.80883</v>
      </c>
      <c r="L1223">
        <v>76.535319999999999</v>
      </c>
      <c r="M1223">
        <v>63.901200000000003</v>
      </c>
      <c r="N1223">
        <v>54.66431</v>
      </c>
    </row>
    <row r="1224" spans="1:14" hidden="1" x14ac:dyDescent="0.35">
      <c r="A1224" t="s">
        <v>678</v>
      </c>
      <c r="B1224" t="s">
        <v>37</v>
      </c>
      <c r="C1224" t="s">
        <v>218</v>
      </c>
      <c r="D1224" t="s">
        <v>218</v>
      </c>
      <c r="E1224" t="s">
        <v>584</v>
      </c>
      <c r="F1224" t="s">
        <v>581</v>
      </c>
      <c r="G1224" t="s">
        <v>396</v>
      </c>
      <c r="H1224">
        <v>0.96000010000000002</v>
      </c>
      <c r="I1224">
        <v>0.75778909999999999</v>
      </c>
      <c r="J1224">
        <v>0.60555619999999999</v>
      </c>
      <c r="K1224">
        <v>0.48716710000000002</v>
      </c>
      <c r="L1224">
        <v>0.39439180000000001</v>
      </c>
      <c r="M1224">
        <v>0.32173970000000002</v>
      </c>
      <c r="N1224">
        <v>0.26364379999999998</v>
      </c>
    </row>
    <row r="1225" spans="1:14" hidden="1" x14ac:dyDescent="0.35">
      <c r="A1225" t="s">
        <v>678</v>
      </c>
      <c r="B1225" t="s">
        <v>37</v>
      </c>
      <c r="C1225" t="s">
        <v>218</v>
      </c>
      <c r="D1225" t="s">
        <v>218</v>
      </c>
      <c r="E1225" t="s">
        <v>584</v>
      </c>
      <c r="F1225" t="s">
        <v>581</v>
      </c>
      <c r="G1225" t="s">
        <v>24</v>
      </c>
      <c r="H1225">
        <v>0.16056980000000001</v>
      </c>
      <c r="I1225">
        <v>0.13139999999999999</v>
      </c>
      <c r="J1225">
        <v>0.10752879999999999</v>
      </c>
      <c r="K1225">
        <v>8.7994520000000007E-2</v>
      </c>
      <c r="L1225">
        <v>7.2008219999999998E-2</v>
      </c>
      <c r="M1225">
        <v>5.8926029999999997E-2</v>
      </c>
      <c r="N1225">
        <v>4.8221920000000001E-2</v>
      </c>
    </row>
    <row r="1226" spans="1:14" hidden="1" x14ac:dyDescent="0.35">
      <c r="A1226" t="s">
        <v>678</v>
      </c>
      <c r="B1226" t="s">
        <v>37</v>
      </c>
      <c r="C1226" t="s">
        <v>218</v>
      </c>
      <c r="D1226" t="s">
        <v>218</v>
      </c>
      <c r="E1226" t="s">
        <v>584</v>
      </c>
      <c r="F1226" t="s">
        <v>581</v>
      </c>
      <c r="G1226" t="s">
        <v>25</v>
      </c>
      <c r="H1226">
        <v>0.2584959</v>
      </c>
      <c r="I1226">
        <v>0.2456795</v>
      </c>
      <c r="J1226">
        <v>0.22933429999999999</v>
      </c>
      <c r="K1226">
        <v>0.2145041</v>
      </c>
      <c r="L1226">
        <v>0.20079179999999999</v>
      </c>
      <c r="M1226">
        <v>0.18826850000000001</v>
      </c>
      <c r="N1226">
        <v>0.17636160000000001</v>
      </c>
    </row>
    <row r="1227" spans="1:14" hidden="1" x14ac:dyDescent="0.35">
      <c r="A1227" t="s">
        <v>678</v>
      </c>
      <c r="B1227" t="s">
        <v>37</v>
      </c>
      <c r="C1227" t="s">
        <v>218</v>
      </c>
      <c r="D1227" t="s">
        <v>218</v>
      </c>
      <c r="E1227" t="s">
        <v>584</v>
      </c>
      <c r="F1227" t="s">
        <v>26</v>
      </c>
      <c r="G1227" t="s">
        <v>26</v>
      </c>
      <c r="H1227">
        <v>0.93616440000000001</v>
      </c>
      <c r="I1227">
        <v>0.90011779999999997</v>
      </c>
      <c r="J1227">
        <v>0.87370680000000001</v>
      </c>
      <c r="K1227">
        <v>0.80193700000000001</v>
      </c>
      <c r="L1227">
        <v>0.73484930000000004</v>
      </c>
      <c r="M1227">
        <v>0.67389049999999995</v>
      </c>
      <c r="N1227">
        <v>0.61720819999999998</v>
      </c>
    </row>
    <row r="1228" spans="1:14" hidden="1" x14ac:dyDescent="0.35">
      <c r="A1228" t="s">
        <v>678</v>
      </c>
      <c r="B1228" t="s">
        <v>37</v>
      </c>
      <c r="C1228" t="s">
        <v>218</v>
      </c>
      <c r="D1228" t="s">
        <v>218</v>
      </c>
      <c r="E1228" t="s">
        <v>594</v>
      </c>
      <c r="F1228" t="s">
        <v>581</v>
      </c>
      <c r="G1228" t="s">
        <v>396</v>
      </c>
      <c r="J1228">
        <v>0</v>
      </c>
      <c r="K1228">
        <v>4.5684389999999998E-2</v>
      </c>
      <c r="L1228">
        <v>0.19276080000000001</v>
      </c>
      <c r="M1228">
        <v>0.16317699999999999</v>
      </c>
      <c r="N1228">
        <v>0.21822140000000001</v>
      </c>
    </row>
    <row r="1229" spans="1:14" hidden="1" x14ac:dyDescent="0.35">
      <c r="A1229" t="s">
        <v>678</v>
      </c>
      <c r="B1229" t="s">
        <v>37</v>
      </c>
      <c r="C1229" t="s">
        <v>218</v>
      </c>
      <c r="D1229" t="s">
        <v>218</v>
      </c>
      <c r="E1229" t="s">
        <v>594</v>
      </c>
      <c r="F1229" t="s">
        <v>581</v>
      </c>
      <c r="G1229" t="s">
        <v>25</v>
      </c>
      <c r="J1229">
        <v>0</v>
      </c>
      <c r="K1229">
        <v>5.5375340000000002E-3</v>
      </c>
      <c r="L1229">
        <v>1.8757260000000001E-2</v>
      </c>
      <c r="M1229">
        <v>1.644986E-2</v>
      </c>
      <c r="N1229">
        <v>2.2230960000000001E-2</v>
      </c>
    </row>
    <row r="1230" spans="1:14" hidden="1" x14ac:dyDescent="0.35">
      <c r="A1230" t="s">
        <v>678</v>
      </c>
      <c r="B1230" t="s">
        <v>37</v>
      </c>
      <c r="C1230" t="s">
        <v>218</v>
      </c>
      <c r="D1230" t="s">
        <v>218</v>
      </c>
      <c r="E1230" t="s">
        <v>594</v>
      </c>
      <c r="F1230" t="s">
        <v>26</v>
      </c>
      <c r="G1230" t="s">
        <v>26</v>
      </c>
      <c r="J1230">
        <v>0</v>
      </c>
      <c r="K1230">
        <v>6.0082190000000004E-3</v>
      </c>
      <c r="L1230">
        <v>2.4841370000000002E-2</v>
      </c>
      <c r="M1230">
        <v>2.1092059999999999E-2</v>
      </c>
      <c r="N1230">
        <v>2.8231510000000001E-2</v>
      </c>
    </row>
    <row r="1231" spans="1:14" hidden="1" x14ac:dyDescent="0.35">
      <c r="A1231" t="s">
        <v>678</v>
      </c>
      <c r="B1231" t="s">
        <v>37</v>
      </c>
      <c r="C1231" t="s">
        <v>35</v>
      </c>
      <c r="D1231" t="s">
        <v>164</v>
      </c>
      <c r="E1231" t="s">
        <v>580</v>
      </c>
      <c r="F1231" t="s">
        <v>581</v>
      </c>
      <c r="G1231" t="s">
        <v>396</v>
      </c>
      <c r="H1231">
        <v>12.81315</v>
      </c>
      <c r="I1231">
        <v>11.85341</v>
      </c>
      <c r="J1231">
        <v>12.18139</v>
      </c>
      <c r="K1231">
        <v>11.818350000000001</v>
      </c>
      <c r="L1231">
        <v>10.56249</v>
      </c>
      <c r="M1231">
        <v>8.4138920000000006</v>
      </c>
      <c r="N1231">
        <v>6.8737769999999996</v>
      </c>
    </row>
    <row r="1232" spans="1:14" hidden="1" x14ac:dyDescent="0.35">
      <c r="A1232" t="s">
        <v>678</v>
      </c>
      <c r="B1232" t="s">
        <v>37</v>
      </c>
      <c r="C1232" t="s">
        <v>35</v>
      </c>
      <c r="D1232" t="s">
        <v>164</v>
      </c>
      <c r="E1232" t="s">
        <v>580</v>
      </c>
      <c r="F1232" t="s">
        <v>581</v>
      </c>
      <c r="G1232" t="s">
        <v>25</v>
      </c>
      <c r="H1232">
        <v>7.4660279999999997</v>
      </c>
      <c r="I1232">
        <v>7.3554630000000003</v>
      </c>
      <c r="J1232">
        <v>7.5762340000000004</v>
      </c>
      <c r="K1232">
        <v>7.3504379999999996</v>
      </c>
      <c r="L1232">
        <v>6.5693530000000004</v>
      </c>
      <c r="M1232">
        <v>5.2330290000000002</v>
      </c>
      <c r="N1232">
        <v>4.2751520000000003</v>
      </c>
    </row>
    <row r="1233" spans="1:14" hidden="1" x14ac:dyDescent="0.35">
      <c r="A1233" t="s">
        <v>678</v>
      </c>
      <c r="B1233" t="s">
        <v>37</v>
      </c>
      <c r="C1233" t="s">
        <v>35</v>
      </c>
      <c r="D1233" t="s">
        <v>164</v>
      </c>
      <c r="E1233" t="s">
        <v>580</v>
      </c>
      <c r="F1233" t="s">
        <v>26</v>
      </c>
      <c r="G1233" t="s">
        <v>26</v>
      </c>
      <c r="H1233">
        <v>11.0337</v>
      </c>
      <c r="I1233">
        <v>10.72672</v>
      </c>
      <c r="J1233">
        <v>11.048679999999999</v>
      </c>
      <c r="K1233">
        <v>10.719390000000001</v>
      </c>
      <c r="L1233">
        <v>9.5803089999999997</v>
      </c>
      <c r="M1233">
        <v>7.6315030000000004</v>
      </c>
      <c r="N1233">
        <v>6.2345959999999998</v>
      </c>
    </row>
    <row r="1234" spans="1:14" hidden="1" x14ac:dyDescent="0.35">
      <c r="A1234" t="s">
        <v>679</v>
      </c>
      <c r="B1234" t="s">
        <v>37</v>
      </c>
      <c r="C1234" t="s">
        <v>63</v>
      </c>
      <c r="D1234" t="s">
        <v>63</v>
      </c>
      <c r="E1234" t="s">
        <v>609</v>
      </c>
      <c r="F1234" t="s">
        <v>26</v>
      </c>
      <c r="G1234" t="s">
        <v>26</v>
      </c>
      <c r="H1234">
        <v>156.9151</v>
      </c>
      <c r="I1234">
        <v>146.017</v>
      </c>
      <c r="J1234">
        <v>132.315</v>
      </c>
      <c r="K1234">
        <v>112.7931</v>
      </c>
      <c r="L1234">
        <v>96.189989999999995</v>
      </c>
      <c r="M1234">
        <v>93.008750000000006</v>
      </c>
      <c r="N1234">
        <v>89.915840000000003</v>
      </c>
    </row>
    <row r="1235" spans="1:14" hidden="1" x14ac:dyDescent="0.35">
      <c r="A1235" t="s">
        <v>679</v>
      </c>
      <c r="B1235" t="s">
        <v>37</v>
      </c>
      <c r="C1235" t="s">
        <v>63</v>
      </c>
      <c r="D1235" t="s">
        <v>63</v>
      </c>
      <c r="E1235" t="s">
        <v>612</v>
      </c>
      <c r="F1235" t="s">
        <v>581</v>
      </c>
      <c r="G1235" t="s">
        <v>24</v>
      </c>
      <c r="H1235">
        <v>0.67602739999999995</v>
      </c>
      <c r="I1235">
        <v>1.1851719999999999</v>
      </c>
      <c r="J1235">
        <v>1.4411879999999999</v>
      </c>
      <c r="K1235">
        <v>1.474934</v>
      </c>
      <c r="L1235">
        <v>1.3329150000000001</v>
      </c>
      <c r="M1235">
        <v>1.3247910000000001</v>
      </c>
      <c r="N1235">
        <v>1.3760779999999999</v>
      </c>
    </row>
    <row r="1236" spans="1:14" hidden="1" x14ac:dyDescent="0.35">
      <c r="A1236" t="s">
        <v>679</v>
      </c>
      <c r="B1236" t="s">
        <v>37</v>
      </c>
      <c r="C1236" t="s">
        <v>63</v>
      </c>
      <c r="D1236" t="s">
        <v>63</v>
      </c>
      <c r="E1236" t="s">
        <v>612</v>
      </c>
      <c r="F1236" t="s">
        <v>581</v>
      </c>
      <c r="G1236" t="s">
        <v>25</v>
      </c>
      <c r="H1236">
        <v>4.9647240000000004</v>
      </c>
      <c r="I1236">
        <v>7.6878780000000004</v>
      </c>
      <c r="J1236">
        <v>8.9572319999999994</v>
      </c>
      <c r="K1236">
        <v>10.15279</v>
      </c>
      <c r="L1236">
        <v>9.2280990000000003</v>
      </c>
      <c r="M1236">
        <v>9.1735070000000007</v>
      </c>
      <c r="N1236">
        <v>9.2623149999999992</v>
      </c>
    </row>
    <row r="1237" spans="1:14" hidden="1" x14ac:dyDescent="0.35">
      <c r="A1237" t="s">
        <v>679</v>
      </c>
      <c r="B1237" t="s">
        <v>37</v>
      </c>
      <c r="C1237" t="s">
        <v>63</v>
      </c>
      <c r="D1237" t="s">
        <v>63</v>
      </c>
      <c r="E1237" t="s">
        <v>612</v>
      </c>
      <c r="F1237" t="s">
        <v>26</v>
      </c>
      <c r="G1237" t="s">
        <v>26</v>
      </c>
      <c r="H1237">
        <v>20.01473</v>
      </c>
      <c r="I1237">
        <v>16.37725</v>
      </c>
      <c r="J1237">
        <v>18.984829999999999</v>
      </c>
      <c r="K1237">
        <v>21.766549999999999</v>
      </c>
      <c r="L1237">
        <v>19.796099999999999</v>
      </c>
      <c r="M1237">
        <v>19.679359999999999</v>
      </c>
      <c r="N1237">
        <v>19.809819999999998</v>
      </c>
    </row>
    <row r="1238" spans="1:14" hidden="1" x14ac:dyDescent="0.35">
      <c r="A1238" t="s">
        <v>679</v>
      </c>
      <c r="B1238" t="s">
        <v>37</v>
      </c>
      <c r="C1238" t="s">
        <v>105</v>
      </c>
      <c r="D1238" t="s">
        <v>105</v>
      </c>
      <c r="E1238" t="s">
        <v>619</v>
      </c>
      <c r="F1238" t="s">
        <v>581</v>
      </c>
      <c r="G1238" t="s">
        <v>396</v>
      </c>
      <c r="H1238">
        <v>3.9395289999999998</v>
      </c>
      <c r="I1238">
        <v>3.169991</v>
      </c>
      <c r="J1238">
        <v>2.8484639999999999</v>
      </c>
      <c r="K1238">
        <v>2.6267640000000001</v>
      </c>
      <c r="L1238">
        <v>2.5947089999999999</v>
      </c>
      <c r="M1238">
        <v>2.914263</v>
      </c>
      <c r="N1238">
        <v>3.0770110000000002</v>
      </c>
    </row>
    <row r="1239" spans="1:14" hidden="1" x14ac:dyDescent="0.35">
      <c r="A1239" t="s">
        <v>679</v>
      </c>
      <c r="B1239" t="s">
        <v>37</v>
      </c>
      <c r="C1239" t="s">
        <v>105</v>
      </c>
      <c r="D1239" t="s">
        <v>105</v>
      </c>
      <c r="E1239" t="s">
        <v>619</v>
      </c>
      <c r="F1239" t="s">
        <v>581</v>
      </c>
      <c r="G1239" t="s">
        <v>25</v>
      </c>
      <c r="H1239">
        <v>8.7627400000000009</v>
      </c>
      <c r="I1239">
        <v>8.8439329999999998</v>
      </c>
      <c r="J1239">
        <v>7.8332800000000002</v>
      </c>
      <c r="K1239">
        <v>7.2235990000000001</v>
      </c>
      <c r="L1239">
        <v>7.135446</v>
      </c>
      <c r="M1239">
        <v>8.0142240000000005</v>
      </c>
      <c r="N1239">
        <v>8.4617819999999995</v>
      </c>
    </row>
    <row r="1240" spans="1:14" hidden="1" x14ac:dyDescent="0.35">
      <c r="A1240" t="s">
        <v>679</v>
      </c>
      <c r="B1240" t="s">
        <v>37</v>
      </c>
      <c r="C1240" t="s">
        <v>105</v>
      </c>
      <c r="D1240" t="s">
        <v>105</v>
      </c>
      <c r="E1240" t="s">
        <v>619</v>
      </c>
      <c r="F1240" t="s">
        <v>26</v>
      </c>
      <c r="G1240" t="s">
        <v>26</v>
      </c>
      <c r="H1240">
        <v>31.888210000000001</v>
      </c>
      <c r="I1240">
        <v>28.139790000000001</v>
      </c>
      <c r="J1240">
        <v>24.92408</v>
      </c>
      <c r="K1240">
        <v>22.984179999999999</v>
      </c>
      <c r="L1240">
        <v>22.703690000000002</v>
      </c>
      <c r="M1240">
        <v>25.49981</v>
      </c>
      <c r="N1240">
        <v>26.923860000000001</v>
      </c>
    </row>
    <row r="1241" spans="1:14" hidden="1" x14ac:dyDescent="0.35">
      <c r="A1241" t="s">
        <v>679</v>
      </c>
      <c r="B1241" t="s">
        <v>37</v>
      </c>
      <c r="C1241" t="s">
        <v>105</v>
      </c>
      <c r="D1241" t="s">
        <v>105</v>
      </c>
      <c r="E1241" t="s">
        <v>656</v>
      </c>
      <c r="F1241" t="s">
        <v>581</v>
      </c>
      <c r="G1241" t="s">
        <v>396</v>
      </c>
      <c r="H1241">
        <v>0.35068490000000002</v>
      </c>
      <c r="I1241">
        <v>0.3237236</v>
      </c>
      <c r="J1241">
        <v>0.43473859999999998</v>
      </c>
      <c r="K1241">
        <v>0.5189838</v>
      </c>
      <c r="L1241">
        <v>0.69683720000000005</v>
      </c>
      <c r="M1241">
        <v>0.6208361</v>
      </c>
      <c r="N1241">
        <v>0.47066200000000002</v>
      </c>
    </row>
    <row r="1242" spans="1:14" hidden="1" x14ac:dyDescent="0.35">
      <c r="A1242" t="s">
        <v>679</v>
      </c>
      <c r="B1242" t="s">
        <v>37</v>
      </c>
      <c r="C1242" t="s">
        <v>105</v>
      </c>
      <c r="D1242" t="s">
        <v>105</v>
      </c>
      <c r="E1242" t="s">
        <v>656</v>
      </c>
      <c r="F1242" t="s">
        <v>581</v>
      </c>
      <c r="G1242" t="s">
        <v>25</v>
      </c>
      <c r="H1242">
        <v>0.16657530000000001</v>
      </c>
      <c r="I1242">
        <v>0.20946989999999999</v>
      </c>
      <c r="J1242">
        <v>0.2813022</v>
      </c>
      <c r="K1242">
        <v>0.33581339999999998</v>
      </c>
      <c r="L1242">
        <v>0.45089669999999998</v>
      </c>
      <c r="M1242">
        <v>0.40171699999999999</v>
      </c>
      <c r="N1242">
        <v>0.30454740000000002</v>
      </c>
    </row>
    <row r="1243" spans="1:14" hidden="1" x14ac:dyDescent="0.35">
      <c r="A1243" t="s">
        <v>679</v>
      </c>
      <c r="B1243" t="s">
        <v>37</v>
      </c>
      <c r="C1243" t="s">
        <v>105</v>
      </c>
      <c r="D1243" t="s">
        <v>105</v>
      </c>
      <c r="E1243" t="s">
        <v>656</v>
      </c>
      <c r="F1243" t="s">
        <v>26</v>
      </c>
      <c r="G1243" t="s">
        <v>26</v>
      </c>
      <c r="H1243">
        <v>0.37917800000000002</v>
      </c>
      <c r="I1243">
        <v>0.41893619999999998</v>
      </c>
      <c r="J1243">
        <v>0.56260410000000005</v>
      </c>
      <c r="K1243">
        <v>0.67162580000000005</v>
      </c>
      <c r="L1243">
        <v>0.90179100000000001</v>
      </c>
      <c r="M1243">
        <v>0.80343419999999999</v>
      </c>
      <c r="N1243">
        <v>0.60909519999999995</v>
      </c>
    </row>
    <row r="1244" spans="1:14" hidden="1" x14ac:dyDescent="0.35">
      <c r="A1244" t="s">
        <v>679</v>
      </c>
      <c r="B1244" t="s">
        <v>37</v>
      </c>
      <c r="C1244" t="s">
        <v>79</v>
      </c>
      <c r="D1244" t="s">
        <v>79</v>
      </c>
      <c r="E1244" t="s">
        <v>584</v>
      </c>
      <c r="F1244" t="s">
        <v>581</v>
      </c>
      <c r="G1244" t="s">
        <v>396</v>
      </c>
      <c r="H1244">
        <v>0.74958899999999995</v>
      </c>
      <c r="I1244">
        <v>0.9349343</v>
      </c>
      <c r="J1244">
        <v>0.88474330000000001</v>
      </c>
      <c r="K1244">
        <v>0.83894599999999997</v>
      </c>
      <c r="L1244">
        <v>0.79275099999999998</v>
      </c>
      <c r="M1244">
        <v>0.2480137</v>
      </c>
      <c r="N1244">
        <v>0.22256709999999999</v>
      </c>
    </row>
    <row r="1245" spans="1:14" hidden="1" x14ac:dyDescent="0.35">
      <c r="A1245" t="s">
        <v>679</v>
      </c>
      <c r="B1245" t="s">
        <v>37</v>
      </c>
      <c r="C1245" t="s">
        <v>79</v>
      </c>
      <c r="D1245" t="s">
        <v>79</v>
      </c>
      <c r="E1245" t="s">
        <v>584</v>
      </c>
      <c r="F1245" t="s">
        <v>581</v>
      </c>
      <c r="G1245" t="s">
        <v>25</v>
      </c>
      <c r="H1245">
        <v>0</v>
      </c>
      <c r="I1245">
        <v>3.1317810000000001E-2</v>
      </c>
      <c r="J1245">
        <v>2.8079449999999999E-2</v>
      </c>
      <c r="K1245">
        <v>2.5268490000000001E-2</v>
      </c>
      <c r="L1245">
        <v>2.2742459999999999E-2</v>
      </c>
      <c r="M1245">
        <v>2.052329E-2</v>
      </c>
      <c r="N1245">
        <v>1.8413700000000002E-2</v>
      </c>
    </row>
    <row r="1246" spans="1:14" hidden="1" x14ac:dyDescent="0.35">
      <c r="A1246" t="s">
        <v>679</v>
      </c>
      <c r="B1246" t="s">
        <v>37</v>
      </c>
      <c r="C1246" t="s">
        <v>79</v>
      </c>
      <c r="D1246" t="s">
        <v>79</v>
      </c>
      <c r="E1246" t="s">
        <v>584</v>
      </c>
      <c r="F1246" t="s">
        <v>26</v>
      </c>
      <c r="G1246" t="s">
        <v>26</v>
      </c>
      <c r="H1246">
        <v>0</v>
      </c>
      <c r="I1246">
        <v>1.8630139999999999E-4</v>
      </c>
      <c r="J1246">
        <v>1.671233E-4</v>
      </c>
      <c r="K1246">
        <v>1.506849E-4</v>
      </c>
      <c r="L1246">
        <v>1.3698630000000001E-4</v>
      </c>
      <c r="M1246">
        <v>1.232877E-4</v>
      </c>
      <c r="N1246">
        <v>1.123288E-4</v>
      </c>
    </row>
    <row r="1247" spans="1:14" hidden="1" x14ac:dyDescent="0.35">
      <c r="A1247" t="s">
        <v>679</v>
      </c>
      <c r="B1247" t="s">
        <v>37</v>
      </c>
      <c r="C1247" t="s">
        <v>99</v>
      </c>
      <c r="D1247" t="s">
        <v>100</v>
      </c>
      <c r="E1247" t="s">
        <v>634</v>
      </c>
      <c r="F1247" t="s">
        <v>581</v>
      </c>
      <c r="G1247" t="s">
        <v>396</v>
      </c>
      <c r="H1247">
        <v>3.726028E-2</v>
      </c>
      <c r="I1247">
        <v>0.15605340000000001</v>
      </c>
      <c r="J1247">
        <v>0.1906175</v>
      </c>
      <c r="K1247">
        <v>0.17438110000000001</v>
      </c>
      <c r="L1247">
        <v>0.1737041</v>
      </c>
      <c r="M1247">
        <v>0.1480137</v>
      </c>
      <c r="N1247">
        <v>0.12277589999999999</v>
      </c>
    </row>
    <row r="1248" spans="1:14" hidden="1" x14ac:dyDescent="0.35">
      <c r="A1248" t="s">
        <v>682</v>
      </c>
      <c r="B1248" t="s">
        <v>37</v>
      </c>
      <c r="C1248" t="s">
        <v>61</v>
      </c>
      <c r="D1248" t="s">
        <v>62</v>
      </c>
      <c r="E1248" t="s">
        <v>584</v>
      </c>
      <c r="F1248" t="s">
        <v>581</v>
      </c>
      <c r="G1248" t="s">
        <v>396</v>
      </c>
      <c r="H1248">
        <v>57.63982</v>
      </c>
      <c r="I1248">
        <v>56.875169999999997</v>
      </c>
      <c r="J1248">
        <v>54.908999999999999</v>
      </c>
      <c r="K1248">
        <v>52.259990000000002</v>
      </c>
      <c r="L1248">
        <v>57.351089999999999</v>
      </c>
      <c r="M1248">
        <v>58.010930000000002</v>
      </c>
      <c r="N1248">
        <v>53.372770000000003</v>
      </c>
    </row>
    <row r="1249" spans="1:14" hidden="1" x14ac:dyDescent="0.35">
      <c r="A1249" t="s">
        <v>682</v>
      </c>
      <c r="B1249" t="s">
        <v>37</v>
      </c>
      <c r="C1249" t="s">
        <v>61</v>
      </c>
      <c r="D1249" t="s">
        <v>62</v>
      </c>
      <c r="E1249" t="s">
        <v>584</v>
      </c>
      <c r="F1249" t="s">
        <v>581</v>
      </c>
      <c r="G1249" t="s">
        <v>24</v>
      </c>
      <c r="H1249">
        <v>2.027298</v>
      </c>
      <c r="I1249">
        <v>1.3604639999999999</v>
      </c>
      <c r="J1249">
        <v>0.91635690000000003</v>
      </c>
      <c r="K1249">
        <v>0.6181027</v>
      </c>
      <c r="L1249">
        <v>0.41570820000000003</v>
      </c>
      <c r="M1249">
        <v>0.2798949</v>
      </c>
      <c r="N1249">
        <v>0.18602759999999999</v>
      </c>
    </row>
    <row r="1250" spans="1:14" hidden="1" x14ac:dyDescent="0.35">
      <c r="A1250" t="s">
        <v>682</v>
      </c>
      <c r="B1250" t="s">
        <v>37</v>
      </c>
      <c r="C1250" t="s">
        <v>61</v>
      </c>
      <c r="D1250" t="s">
        <v>62</v>
      </c>
      <c r="E1250" t="s">
        <v>584</v>
      </c>
      <c r="F1250" t="s">
        <v>581</v>
      </c>
      <c r="G1250" t="s">
        <v>25</v>
      </c>
      <c r="H1250">
        <v>0.80196149999999999</v>
      </c>
      <c r="I1250">
        <v>0.76563820000000005</v>
      </c>
      <c r="J1250">
        <v>0.71296539999999997</v>
      </c>
      <c r="K1250">
        <v>0.66985170000000005</v>
      </c>
      <c r="L1250">
        <v>0.61079309999999998</v>
      </c>
      <c r="M1250">
        <v>0.53975229999999996</v>
      </c>
      <c r="N1250">
        <v>0.47978880000000002</v>
      </c>
    </row>
    <row r="1251" spans="1:14" hidden="1" x14ac:dyDescent="0.35">
      <c r="A1251" t="s">
        <v>682</v>
      </c>
      <c r="B1251" t="s">
        <v>37</v>
      </c>
      <c r="C1251" t="s">
        <v>61</v>
      </c>
      <c r="D1251" t="s">
        <v>62</v>
      </c>
      <c r="E1251" t="s">
        <v>584</v>
      </c>
      <c r="F1251" t="s">
        <v>26</v>
      </c>
      <c r="G1251" t="s">
        <v>26</v>
      </c>
      <c r="H1251">
        <v>11.047040000000001</v>
      </c>
      <c r="I1251">
        <v>13.46856</v>
      </c>
      <c r="J1251">
        <v>12.74123</v>
      </c>
      <c r="K1251">
        <v>11.10106</v>
      </c>
      <c r="L1251">
        <v>10.726000000000001</v>
      </c>
      <c r="M1251">
        <v>9.5520320000000005</v>
      </c>
      <c r="N1251">
        <v>8.2338369999999994</v>
      </c>
    </row>
    <row r="1252" spans="1:14" hidden="1" x14ac:dyDescent="0.35">
      <c r="A1252" t="s">
        <v>682</v>
      </c>
      <c r="B1252" t="s">
        <v>37</v>
      </c>
      <c r="C1252" t="s">
        <v>79</v>
      </c>
      <c r="D1252" t="s">
        <v>79</v>
      </c>
      <c r="E1252" t="s">
        <v>600</v>
      </c>
      <c r="F1252" t="s">
        <v>581</v>
      </c>
      <c r="G1252" t="s">
        <v>24</v>
      </c>
      <c r="H1252">
        <v>11.73617</v>
      </c>
      <c r="I1252">
        <v>11.60247</v>
      </c>
      <c r="J1252">
        <v>11.06573</v>
      </c>
      <c r="K1252">
        <v>9.3482780000000005</v>
      </c>
      <c r="L1252">
        <v>8.0007359999999998</v>
      </c>
      <c r="M1252">
        <v>6.2887019999999998</v>
      </c>
      <c r="N1252">
        <v>5.1181590000000003</v>
      </c>
    </row>
    <row r="1253" spans="1:14" hidden="1" x14ac:dyDescent="0.35">
      <c r="A1253" t="s">
        <v>682</v>
      </c>
      <c r="B1253" t="s">
        <v>37</v>
      </c>
      <c r="C1253" t="s">
        <v>79</v>
      </c>
      <c r="D1253" t="s">
        <v>79</v>
      </c>
      <c r="E1253" t="s">
        <v>600</v>
      </c>
      <c r="F1253" t="s">
        <v>581</v>
      </c>
      <c r="G1253" t="s">
        <v>25</v>
      </c>
      <c r="H1253">
        <v>3.328767</v>
      </c>
      <c r="I1253">
        <v>5.2416020000000003</v>
      </c>
      <c r="J1253">
        <v>5.0298800000000004</v>
      </c>
      <c r="K1253">
        <v>4.2492219999999996</v>
      </c>
      <c r="L1253">
        <v>3.6366999999999998</v>
      </c>
      <c r="M1253">
        <v>2.858501</v>
      </c>
      <c r="N1253">
        <v>2.326435</v>
      </c>
    </row>
    <row r="1254" spans="1:14" hidden="1" x14ac:dyDescent="0.35">
      <c r="A1254" t="s">
        <v>682</v>
      </c>
      <c r="B1254" t="s">
        <v>37</v>
      </c>
      <c r="C1254" t="s">
        <v>79</v>
      </c>
      <c r="D1254" t="s">
        <v>79</v>
      </c>
      <c r="E1254" t="s">
        <v>600</v>
      </c>
      <c r="F1254" t="s">
        <v>26</v>
      </c>
      <c r="G1254" t="s">
        <v>26</v>
      </c>
      <c r="H1254">
        <v>2.3219180000000001</v>
      </c>
      <c r="I1254">
        <v>4.1932850000000004</v>
      </c>
      <c r="J1254">
        <v>4.0239039999999999</v>
      </c>
      <c r="K1254">
        <v>3.3993739999999999</v>
      </c>
      <c r="L1254">
        <v>2.9093599999999999</v>
      </c>
      <c r="M1254">
        <v>2.2868029999999999</v>
      </c>
      <c r="N1254">
        <v>1.861151</v>
      </c>
    </row>
    <row r="1255" spans="1:14" hidden="1" x14ac:dyDescent="0.35">
      <c r="A1255" t="s">
        <v>682</v>
      </c>
      <c r="B1255" t="s">
        <v>37</v>
      </c>
      <c r="C1255" t="s">
        <v>79</v>
      </c>
      <c r="D1255" t="s">
        <v>79</v>
      </c>
      <c r="E1255" t="s">
        <v>614</v>
      </c>
      <c r="F1255" t="s">
        <v>581</v>
      </c>
      <c r="G1255" t="s">
        <v>396</v>
      </c>
      <c r="H1255">
        <v>9.4109590000000001</v>
      </c>
      <c r="I1255">
        <v>10.92726</v>
      </c>
      <c r="J1255">
        <v>14.294919999999999</v>
      </c>
      <c r="K1255">
        <v>13.16066</v>
      </c>
      <c r="L1255">
        <v>13.77839</v>
      </c>
      <c r="M1255">
        <v>9.4048060000000007</v>
      </c>
      <c r="N1255">
        <v>7.4719980000000001</v>
      </c>
    </row>
    <row r="1256" spans="1:14" hidden="1" x14ac:dyDescent="0.35">
      <c r="A1256" t="s">
        <v>682</v>
      </c>
      <c r="B1256" t="s">
        <v>37</v>
      </c>
      <c r="C1256" t="s">
        <v>79</v>
      </c>
      <c r="D1256" t="s">
        <v>79</v>
      </c>
      <c r="E1256" t="s">
        <v>614</v>
      </c>
      <c r="F1256" t="s">
        <v>581</v>
      </c>
      <c r="G1256" t="s">
        <v>25</v>
      </c>
      <c r="H1256">
        <v>0.82191780000000003</v>
      </c>
      <c r="I1256">
        <v>1.3721859999999999</v>
      </c>
      <c r="J1256">
        <v>1.7868660000000001</v>
      </c>
      <c r="K1256">
        <v>1.6450830000000001</v>
      </c>
      <c r="L1256">
        <v>1.722296</v>
      </c>
      <c r="M1256">
        <v>1.1755990000000001</v>
      </c>
      <c r="N1256">
        <v>0.93400030000000001</v>
      </c>
    </row>
    <row r="1257" spans="1:14" hidden="1" x14ac:dyDescent="0.35">
      <c r="A1257" t="s">
        <v>682</v>
      </c>
      <c r="B1257" t="s">
        <v>37</v>
      </c>
      <c r="C1257" t="s">
        <v>79</v>
      </c>
      <c r="D1257" t="s">
        <v>79</v>
      </c>
      <c r="E1257" t="s">
        <v>614</v>
      </c>
      <c r="F1257" t="s">
        <v>26</v>
      </c>
      <c r="G1257" t="s">
        <v>26</v>
      </c>
      <c r="H1257">
        <v>0.71917810000000004</v>
      </c>
      <c r="I1257">
        <v>1.3721859999999999</v>
      </c>
      <c r="J1257">
        <v>1.7868649999999999</v>
      </c>
      <c r="K1257">
        <v>1.6450819999999999</v>
      </c>
      <c r="L1257">
        <v>1.722297</v>
      </c>
      <c r="M1257">
        <v>1.1756009999999999</v>
      </c>
      <c r="N1257">
        <v>0.93399940000000004</v>
      </c>
    </row>
    <row r="1258" spans="1:14" hidden="1" x14ac:dyDescent="0.35">
      <c r="A1258" t="s">
        <v>682</v>
      </c>
      <c r="B1258" t="s">
        <v>37</v>
      </c>
      <c r="C1258" t="s">
        <v>79</v>
      </c>
      <c r="D1258" t="s">
        <v>79</v>
      </c>
      <c r="E1258" t="s">
        <v>615</v>
      </c>
      <c r="F1258" t="s">
        <v>581</v>
      </c>
      <c r="G1258" t="s">
        <v>396</v>
      </c>
      <c r="H1258">
        <v>10.643840000000001</v>
      </c>
      <c r="I1258">
        <v>8.4773049999999994</v>
      </c>
      <c r="J1258">
        <v>7.2667970000000004</v>
      </c>
      <c r="K1258">
        <v>6.2590940000000002</v>
      </c>
      <c r="L1258">
        <v>5.8023680000000004</v>
      </c>
      <c r="M1258">
        <v>4.0723469999999997</v>
      </c>
      <c r="N1258">
        <v>3.2050679999999998</v>
      </c>
    </row>
    <row r="1259" spans="1:14" hidden="1" x14ac:dyDescent="0.35">
      <c r="A1259" t="s">
        <v>682</v>
      </c>
      <c r="B1259" t="s">
        <v>37</v>
      </c>
      <c r="C1259" t="s">
        <v>79</v>
      </c>
      <c r="D1259" t="s">
        <v>79</v>
      </c>
      <c r="E1259" t="s">
        <v>615</v>
      </c>
      <c r="F1259" t="s">
        <v>581</v>
      </c>
      <c r="G1259" t="s">
        <v>25</v>
      </c>
      <c r="H1259">
        <v>1.191781</v>
      </c>
      <c r="I1259">
        <v>1.3471470000000001</v>
      </c>
      <c r="J1259">
        <v>1.162687</v>
      </c>
      <c r="K1259">
        <v>1.001455</v>
      </c>
      <c r="L1259">
        <v>0.92838050000000005</v>
      </c>
      <c r="M1259">
        <v>0.65157609999999999</v>
      </c>
      <c r="N1259">
        <v>0.51280789999999998</v>
      </c>
    </row>
    <row r="1260" spans="1:14" hidden="1" x14ac:dyDescent="0.35">
      <c r="A1260" t="s">
        <v>682</v>
      </c>
      <c r="B1260" t="s">
        <v>37</v>
      </c>
      <c r="C1260" t="s">
        <v>79</v>
      </c>
      <c r="D1260" t="s">
        <v>79</v>
      </c>
      <c r="E1260" t="s">
        <v>615</v>
      </c>
      <c r="F1260" t="s">
        <v>26</v>
      </c>
      <c r="G1260" t="s">
        <v>26</v>
      </c>
      <c r="H1260">
        <v>1.1301369999999999</v>
      </c>
      <c r="I1260">
        <v>1.459411</v>
      </c>
      <c r="J1260">
        <v>1.2595780000000001</v>
      </c>
      <c r="K1260">
        <v>1.08491</v>
      </c>
      <c r="L1260">
        <v>1.0057430000000001</v>
      </c>
      <c r="M1260">
        <v>0.705874</v>
      </c>
      <c r="N1260">
        <v>0.55554490000000001</v>
      </c>
    </row>
    <row r="1261" spans="1:14" hidden="1" x14ac:dyDescent="0.35">
      <c r="A1261" t="s">
        <v>682</v>
      </c>
      <c r="B1261" t="s">
        <v>37</v>
      </c>
      <c r="C1261" t="s">
        <v>79</v>
      </c>
      <c r="D1261" t="s">
        <v>79</v>
      </c>
      <c r="E1261" t="s">
        <v>601</v>
      </c>
      <c r="F1261" t="s">
        <v>581</v>
      </c>
      <c r="G1261" t="s">
        <v>396</v>
      </c>
      <c r="H1261">
        <v>1.819178</v>
      </c>
      <c r="I1261">
        <v>2.0542989999999999</v>
      </c>
      <c r="J1261">
        <v>2.6422810000000001</v>
      </c>
      <c r="K1261">
        <v>2.9145729999999999</v>
      </c>
      <c r="L1261">
        <v>3.0466150000000001</v>
      </c>
      <c r="M1261">
        <v>3.9145639999999999</v>
      </c>
      <c r="N1261">
        <v>4.6432969999999996</v>
      </c>
    </row>
    <row r="1262" spans="1:14" hidden="1" x14ac:dyDescent="0.35">
      <c r="A1262" t="s">
        <v>682</v>
      </c>
      <c r="B1262" t="s">
        <v>37</v>
      </c>
      <c r="C1262" t="s">
        <v>79</v>
      </c>
      <c r="D1262" t="s">
        <v>79</v>
      </c>
      <c r="E1262" t="s">
        <v>601</v>
      </c>
      <c r="F1262" t="s">
        <v>581</v>
      </c>
      <c r="G1262" t="s">
        <v>25</v>
      </c>
      <c r="H1262">
        <v>0.1972603</v>
      </c>
      <c r="I1262">
        <v>0.33097890000000002</v>
      </c>
      <c r="J1262">
        <v>0.42126000000000002</v>
      </c>
      <c r="K1262">
        <v>0.4570419</v>
      </c>
      <c r="L1262">
        <v>0.47474080000000002</v>
      </c>
      <c r="M1262">
        <v>0.60043069999999998</v>
      </c>
      <c r="N1262">
        <v>0.70573589999999997</v>
      </c>
    </row>
    <row r="1263" spans="1:14" hidden="1" x14ac:dyDescent="0.35">
      <c r="A1263" t="s">
        <v>682</v>
      </c>
      <c r="B1263" t="s">
        <v>37</v>
      </c>
      <c r="C1263" t="s">
        <v>79</v>
      </c>
      <c r="D1263" t="s">
        <v>79</v>
      </c>
      <c r="E1263" t="s">
        <v>601</v>
      </c>
      <c r="F1263" t="s">
        <v>26</v>
      </c>
      <c r="G1263" t="s">
        <v>26</v>
      </c>
      <c r="H1263">
        <v>0.17534250000000001</v>
      </c>
      <c r="I1263">
        <v>0.33098359999999999</v>
      </c>
      <c r="J1263">
        <v>0.42125259999999998</v>
      </c>
      <c r="K1263">
        <v>0.45704280000000003</v>
      </c>
      <c r="L1263">
        <v>0.47474359999999999</v>
      </c>
      <c r="M1263">
        <v>0.60043570000000002</v>
      </c>
      <c r="N1263">
        <v>0.70573669999999999</v>
      </c>
    </row>
    <row r="1264" spans="1:14" hidden="1" x14ac:dyDescent="0.35">
      <c r="A1264" t="s">
        <v>682</v>
      </c>
      <c r="B1264" t="s">
        <v>37</v>
      </c>
      <c r="C1264" t="s">
        <v>79</v>
      </c>
      <c r="D1264" t="s">
        <v>79</v>
      </c>
      <c r="E1264" t="s">
        <v>617</v>
      </c>
      <c r="F1264" t="s">
        <v>581</v>
      </c>
      <c r="G1264" t="s">
        <v>25</v>
      </c>
      <c r="H1264">
        <v>4.1095890000000003E-2</v>
      </c>
      <c r="I1264">
        <v>4.3893149999999999E-2</v>
      </c>
      <c r="J1264">
        <v>3.2057530000000001E-2</v>
      </c>
      <c r="K1264">
        <v>3.3214519999999997E-2</v>
      </c>
      <c r="L1264">
        <v>4.1025209999999999E-2</v>
      </c>
      <c r="M1264">
        <v>3.3486849999999999E-2</v>
      </c>
      <c r="N1264">
        <v>2.676274E-2</v>
      </c>
    </row>
    <row r="1265" spans="1:14" hidden="1" x14ac:dyDescent="0.35">
      <c r="A1265" t="s">
        <v>682</v>
      </c>
      <c r="B1265" t="s">
        <v>37</v>
      </c>
      <c r="C1265" t="s">
        <v>79</v>
      </c>
      <c r="D1265" t="s">
        <v>79</v>
      </c>
      <c r="E1265" t="s">
        <v>617</v>
      </c>
      <c r="F1265" t="s">
        <v>26</v>
      </c>
      <c r="G1265" t="s">
        <v>26</v>
      </c>
      <c r="H1265">
        <v>0.67808219999999997</v>
      </c>
      <c r="I1265">
        <v>0.83391230000000005</v>
      </c>
      <c r="J1265">
        <v>0.60903010000000002</v>
      </c>
      <c r="K1265">
        <v>0.63099620000000001</v>
      </c>
      <c r="L1265">
        <v>0.77947089999999997</v>
      </c>
      <c r="M1265">
        <v>0.63623399999999997</v>
      </c>
      <c r="N1265">
        <v>0.50846519999999995</v>
      </c>
    </row>
    <row r="1266" spans="1:14" hidden="1" x14ac:dyDescent="0.35">
      <c r="A1266" t="s">
        <v>682</v>
      </c>
      <c r="B1266" t="s">
        <v>37</v>
      </c>
      <c r="C1266" t="s">
        <v>109</v>
      </c>
      <c r="D1266" t="s">
        <v>109</v>
      </c>
      <c r="E1266" t="s">
        <v>584</v>
      </c>
      <c r="F1266" t="s">
        <v>581</v>
      </c>
      <c r="G1266" t="s">
        <v>396</v>
      </c>
      <c r="H1266">
        <v>2.6768219999999999E-2</v>
      </c>
      <c r="I1266">
        <v>2.480274E-2</v>
      </c>
      <c r="J1266">
        <v>2.2981919999999999E-2</v>
      </c>
      <c r="K1266">
        <v>2.1294790000000001E-2</v>
      </c>
      <c r="L1266">
        <v>1.9731510000000001E-2</v>
      </c>
      <c r="M1266">
        <v>0</v>
      </c>
      <c r="N1266">
        <v>0</v>
      </c>
    </row>
    <row r="1267" spans="1:14" hidden="1" x14ac:dyDescent="0.35">
      <c r="A1267" t="s">
        <v>682</v>
      </c>
      <c r="B1267" t="s">
        <v>37</v>
      </c>
      <c r="C1267" t="s">
        <v>109</v>
      </c>
      <c r="D1267" t="s">
        <v>109</v>
      </c>
      <c r="E1267" t="s">
        <v>584</v>
      </c>
      <c r="F1267" t="s">
        <v>581</v>
      </c>
      <c r="G1267" t="s">
        <v>24</v>
      </c>
      <c r="H1267">
        <v>0.32349660000000002</v>
      </c>
      <c r="I1267">
        <v>0.22210189999999999</v>
      </c>
      <c r="J1267">
        <v>0.15389410000000001</v>
      </c>
      <c r="K1267">
        <v>0.1079234</v>
      </c>
      <c r="L1267">
        <v>7.6737410000000006E-2</v>
      </c>
      <c r="M1267">
        <v>5.5258160000000001E-2</v>
      </c>
      <c r="N1267">
        <v>1.553219E-3</v>
      </c>
    </row>
    <row r="1268" spans="1:14" hidden="1" x14ac:dyDescent="0.35">
      <c r="A1268" t="s">
        <v>682</v>
      </c>
      <c r="B1268" t="s">
        <v>37</v>
      </c>
      <c r="C1268" t="s">
        <v>109</v>
      </c>
      <c r="D1268" t="s">
        <v>109</v>
      </c>
      <c r="E1268" t="s">
        <v>584</v>
      </c>
      <c r="F1268" t="s">
        <v>581</v>
      </c>
      <c r="G1268" t="s">
        <v>25</v>
      </c>
      <c r="H1268">
        <v>0.21459010000000001</v>
      </c>
      <c r="I1268">
        <v>0.15527579999999999</v>
      </c>
      <c r="J1268">
        <v>0.11472549999999999</v>
      </c>
      <c r="K1268">
        <v>8.6812650000000005E-2</v>
      </c>
      <c r="L1268">
        <v>6.7173360000000001E-2</v>
      </c>
      <c r="M1268">
        <v>5.2746979999999999E-2</v>
      </c>
      <c r="N1268">
        <v>8.0054799999999999E-4</v>
      </c>
    </row>
    <row r="1269" spans="1:14" hidden="1" x14ac:dyDescent="0.35">
      <c r="A1269" t="s">
        <v>682</v>
      </c>
      <c r="B1269" t="s">
        <v>37</v>
      </c>
      <c r="C1269" t="s">
        <v>109</v>
      </c>
      <c r="D1269" t="s">
        <v>109</v>
      </c>
      <c r="E1269" t="s">
        <v>584</v>
      </c>
      <c r="F1269" t="s">
        <v>26</v>
      </c>
      <c r="G1269" t="s">
        <v>26</v>
      </c>
      <c r="H1269">
        <v>2.4612759999999998</v>
      </c>
      <c r="I1269">
        <v>1.729808</v>
      </c>
      <c r="J1269">
        <v>1.233411</v>
      </c>
      <c r="K1269">
        <v>0.89480020000000005</v>
      </c>
      <c r="L1269">
        <v>0.66028249999999999</v>
      </c>
      <c r="M1269">
        <v>0.49323329999999999</v>
      </c>
      <c r="N1269">
        <v>1.165543E-2</v>
      </c>
    </row>
    <row r="1270" spans="1:14" hidden="1" x14ac:dyDescent="0.35">
      <c r="A1270" t="s">
        <v>682</v>
      </c>
      <c r="B1270" t="s">
        <v>37</v>
      </c>
      <c r="C1270" t="s">
        <v>35</v>
      </c>
      <c r="D1270" t="s">
        <v>36</v>
      </c>
      <c r="E1270" t="s">
        <v>589</v>
      </c>
      <c r="F1270" t="s">
        <v>581</v>
      </c>
      <c r="G1270" t="s">
        <v>396</v>
      </c>
      <c r="H1270">
        <v>1.2712330000000001</v>
      </c>
      <c r="I1270">
        <v>0.74383010000000005</v>
      </c>
      <c r="J1270">
        <v>0.56161640000000002</v>
      </c>
      <c r="K1270">
        <v>0.57966850000000003</v>
      </c>
      <c r="L1270">
        <v>0.65887969999999996</v>
      </c>
      <c r="M1270">
        <v>1.01528</v>
      </c>
      <c r="N1270">
        <v>1.481776</v>
      </c>
    </row>
    <row r="1271" spans="1:14" hidden="1" x14ac:dyDescent="0.35">
      <c r="A1271" t="s">
        <v>682</v>
      </c>
      <c r="B1271" t="s">
        <v>37</v>
      </c>
      <c r="C1271" t="s">
        <v>35</v>
      </c>
      <c r="D1271" t="s">
        <v>36</v>
      </c>
      <c r="E1271" t="s">
        <v>589</v>
      </c>
      <c r="F1271" t="s">
        <v>581</v>
      </c>
      <c r="G1271" t="s">
        <v>25</v>
      </c>
      <c r="H1271">
        <v>0.10958900000000001</v>
      </c>
      <c r="I1271">
        <v>9.298083E-2</v>
      </c>
      <c r="J1271">
        <v>7.020274E-2</v>
      </c>
      <c r="K1271">
        <v>7.2461369999999997E-2</v>
      </c>
      <c r="L1271">
        <v>8.2359180000000004E-2</v>
      </c>
      <c r="M1271">
        <v>0.12690770000000001</v>
      </c>
      <c r="N1271">
        <v>0.1852222</v>
      </c>
    </row>
    <row r="1272" spans="1:14" hidden="1" x14ac:dyDescent="0.35">
      <c r="A1272" t="s">
        <v>682</v>
      </c>
      <c r="B1272" t="s">
        <v>37</v>
      </c>
      <c r="C1272" t="s">
        <v>35</v>
      </c>
      <c r="D1272" t="s">
        <v>36</v>
      </c>
      <c r="E1272" t="s">
        <v>589</v>
      </c>
      <c r="F1272" t="s">
        <v>26</v>
      </c>
      <c r="G1272" t="s">
        <v>26</v>
      </c>
      <c r="H1272">
        <v>8.7671239999999998E-2</v>
      </c>
      <c r="I1272">
        <v>9.2978080000000005E-2</v>
      </c>
      <c r="J1272">
        <v>7.020274E-2</v>
      </c>
      <c r="K1272">
        <v>7.2459449999999995E-2</v>
      </c>
      <c r="L1272">
        <v>8.2360279999999994E-2</v>
      </c>
      <c r="M1272">
        <v>0.1269093</v>
      </c>
      <c r="N1272">
        <v>0.185223</v>
      </c>
    </row>
    <row r="1273" spans="1:14" hidden="1" x14ac:dyDescent="0.35">
      <c r="A1273" t="s">
        <v>682</v>
      </c>
      <c r="B1273" t="s">
        <v>37</v>
      </c>
      <c r="C1273" t="s">
        <v>57</v>
      </c>
      <c r="D1273" t="s">
        <v>57</v>
      </c>
      <c r="E1273" t="s">
        <v>584</v>
      </c>
      <c r="F1273" t="s">
        <v>581</v>
      </c>
      <c r="G1273" t="s">
        <v>396</v>
      </c>
      <c r="H1273">
        <v>9.9137700000000006E-3</v>
      </c>
      <c r="I1273">
        <v>9.5803099999999999E-3</v>
      </c>
      <c r="J1273">
        <v>9.2578639999999993E-3</v>
      </c>
      <c r="K1273">
        <v>8.9378670000000004E-3</v>
      </c>
      <c r="L1273">
        <v>8.5484529999999993E-3</v>
      </c>
      <c r="M1273">
        <v>7.9929839999999999E-3</v>
      </c>
      <c r="N1273">
        <v>7.5041760000000004E-3</v>
      </c>
    </row>
    <row r="1274" spans="1:14" hidden="1" x14ac:dyDescent="0.35">
      <c r="A1274" t="s">
        <v>682</v>
      </c>
      <c r="B1274" t="s">
        <v>37</v>
      </c>
      <c r="C1274" t="s">
        <v>57</v>
      </c>
      <c r="D1274" t="s">
        <v>57</v>
      </c>
      <c r="E1274" t="s">
        <v>584</v>
      </c>
      <c r="F1274" t="s">
        <v>581</v>
      </c>
      <c r="G1274" t="s">
        <v>25</v>
      </c>
      <c r="H1274">
        <v>3.0626630000000002E-3</v>
      </c>
      <c r="I1274">
        <v>2.5501769999999998E-3</v>
      </c>
      <c r="J1274">
        <v>2.1231959999999999E-3</v>
      </c>
      <c r="K1274">
        <v>1.7637079999999999E-3</v>
      </c>
      <c r="L1274">
        <v>1.444847E-3</v>
      </c>
      <c r="M1274">
        <v>1.1526150000000001E-3</v>
      </c>
      <c r="N1274">
        <v>9.1973300000000005E-4</v>
      </c>
    </row>
    <row r="1275" spans="1:14" hidden="1" x14ac:dyDescent="0.35">
      <c r="A1275" t="s">
        <v>682</v>
      </c>
      <c r="B1275" t="s">
        <v>34</v>
      </c>
      <c r="C1275" t="s">
        <v>33</v>
      </c>
      <c r="D1275" t="s">
        <v>33</v>
      </c>
      <c r="E1275" t="s">
        <v>605</v>
      </c>
      <c r="F1275" t="s">
        <v>581</v>
      </c>
      <c r="G1275" t="s">
        <v>25</v>
      </c>
      <c r="N1275">
        <v>0</v>
      </c>
    </row>
    <row r="1276" spans="1:14" hidden="1" x14ac:dyDescent="0.35">
      <c r="A1276" t="s">
        <v>682</v>
      </c>
      <c r="B1276" t="s">
        <v>34</v>
      </c>
      <c r="C1276" t="s">
        <v>33</v>
      </c>
      <c r="D1276" t="s">
        <v>33</v>
      </c>
      <c r="E1276" t="s">
        <v>605</v>
      </c>
      <c r="F1276" t="s">
        <v>26</v>
      </c>
      <c r="G1276" t="s">
        <v>26</v>
      </c>
      <c r="H1276">
        <v>40.29119</v>
      </c>
      <c r="I1276">
        <v>39.826630000000002</v>
      </c>
      <c r="J1276">
        <v>47.04813</v>
      </c>
      <c r="K1276">
        <v>46.323079999999997</v>
      </c>
      <c r="L1276">
        <v>42.832790000000003</v>
      </c>
      <c r="M1276">
        <v>39.472819999999999</v>
      </c>
      <c r="N1276">
        <v>36.606059999999999</v>
      </c>
    </row>
    <row r="1277" spans="1:14" hidden="1" x14ac:dyDescent="0.35">
      <c r="A1277" t="s">
        <v>682</v>
      </c>
      <c r="B1277" t="s">
        <v>34</v>
      </c>
      <c r="C1277" t="s">
        <v>33</v>
      </c>
      <c r="D1277" t="s">
        <v>33</v>
      </c>
      <c r="E1277" t="s">
        <v>636</v>
      </c>
      <c r="F1277" t="s">
        <v>581</v>
      </c>
      <c r="G1277" t="s">
        <v>396</v>
      </c>
      <c r="H1277">
        <v>0.3531589</v>
      </c>
      <c r="I1277">
        <v>0.25587510000000002</v>
      </c>
      <c r="J1277">
        <v>0.23686360000000001</v>
      </c>
      <c r="K1277">
        <v>0.18674550000000001</v>
      </c>
      <c r="L1277">
        <v>0.17236489999999999</v>
      </c>
      <c r="M1277">
        <v>0.15433479999999999</v>
      </c>
      <c r="N1277">
        <v>0.1322923</v>
      </c>
    </row>
    <row r="1278" spans="1:14" hidden="1" x14ac:dyDescent="0.35">
      <c r="A1278" t="s">
        <v>682</v>
      </c>
      <c r="B1278" t="s">
        <v>34</v>
      </c>
      <c r="C1278" t="s">
        <v>33</v>
      </c>
      <c r="D1278" t="s">
        <v>33</v>
      </c>
      <c r="E1278" t="s">
        <v>636</v>
      </c>
      <c r="F1278" t="s">
        <v>581</v>
      </c>
      <c r="G1278" t="s">
        <v>24</v>
      </c>
      <c r="H1278">
        <v>5.0875209999999997</v>
      </c>
      <c r="I1278">
        <v>3.210807</v>
      </c>
      <c r="J1278">
        <v>2.817685</v>
      </c>
      <c r="K1278">
        <v>2.2512720000000002</v>
      </c>
      <c r="L1278">
        <v>2.1120480000000001</v>
      </c>
      <c r="M1278">
        <v>2.0312640000000002</v>
      </c>
      <c r="N1278">
        <v>2.05749</v>
      </c>
    </row>
    <row r="1279" spans="1:14" hidden="1" x14ac:dyDescent="0.35">
      <c r="A1279" t="s">
        <v>682</v>
      </c>
      <c r="B1279" t="s">
        <v>34</v>
      </c>
      <c r="C1279" t="s">
        <v>33</v>
      </c>
      <c r="D1279" t="s">
        <v>33</v>
      </c>
      <c r="E1279" t="s">
        <v>636</v>
      </c>
      <c r="F1279" t="s">
        <v>581</v>
      </c>
      <c r="G1279" t="s">
        <v>25</v>
      </c>
      <c r="H1279">
        <v>0.91079180000000004</v>
      </c>
      <c r="I1279">
        <v>0.70572159999999995</v>
      </c>
      <c r="J1279">
        <v>0.6275309</v>
      </c>
      <c r="K1279">
        <v>0.49971670000000001</v>
      </c>
      <c r="L1279">
        <v>0.46692250000000002</v>
      </c>
      <c r="M1279">
        <v>0.44143670000000002</v>
      </c>
      <c r="N1279">
        <v>0.43111179999999999</v>
      </c>
    </row>
    <row r="1280" spans="1:14" hidden="1" x14ac:dyDescent="0.35">
      <c r="A1280" t="s">
        <v>682</v>
      </c>
      <c r="B1280" t="s">
        <v>34</v>
      </c>
      <c r="C1280" t="s">
        <v>33</v>
      </c>
      <c r="D1280" t="s">
        <v>33</v>
      </c>
      <c r="E1280" t="s">
        <v>636</v>
      </c>
      <c r="F1280" t="s">
        <v>26</v>
      </c>
      <c r="G1280" t="s">
        <v>26</v>
      </c>
      <c r="H1280">
        <v>3.6016599999999999</v>
      </c>
      <c r="I1280">
        <v>2.9000949999999999</v>
      </c>
      <c r="J1280">
        <v>2.6069209999999998</v>
      </c>
      <c r="K1280">
        <v>2.0702959999999999</v>
      </c>
      <c r="L1280">
        <v>1.9280379999999999</v>
      </c>
      <c r="M1280">
        <v>1.7967919999999999</v>
      </c>
      <c r="N1280">
        <v>1.6991799999999999</v>
      </c>
    </row>
    <row r="1281" spans="1:14" hidden="1" x14ac:dyDescent="0.35">
      <c r="A1281" t="s">
        <v>682</v>
      </c>
      <c r="B1281" t="s">
        <v>34</v>
      </c>
      <c r="C1281" t="s">
        <v>33</v>
      </c>
      <c r="D1281" t="s">
        <v>33</v>
      </c>
      <c r="E1281" t="s">
        <v>604</v>
      </c>
      <c r="F1281" t="s">
        <v>581</v>
      </c>
      <c r="G1281" t="s">
        <v>396</v>
      </c>
      <c r="H1281">
        <v>0.77690409999999999</v>
      </c>
      <c r="I1281">
        <v>0.77487720000000004</v>
      </c>
      <c r="J1281">
        <v>0.94389120000000004</v>
      </c>
      <c r="K1281">
        <v>0.82297589999999998</v>
      </c>
      <c r="L1281">
        <v>0.68579860000000004</v>
      </c>
      <c r="M1281">
        <v>0.5805304</v>
      </c>
      <c r="N1281">
        <v>0.49636140000000001</v>
      </c>
    </row>
    <row r="1282" spans="1:14" hidden="1" x14ac:dyDescent="0.35">
      <c r="A1282" t="s">
        <v>682</v>
      </c>
      <c r="B1282" t="s">
        <v>34</v>
      </c>
      <c r="C1282" t="s">
        <v>33</v>
      </c>
      <c r="D1282" t="s">
        <v>33</v>
      </c>
      <c r="E1282" t="s">
        <v>604</v>
      </c>
      <c r="F1282" t="s">
        <v>581</v>
      </c>
      <c r="G1282" t="s">
        <v>25</v>
      </c>
      <c r="H1282">
        <v>0.1960356</v>
      </c>
      <c r="I1282">
        <v>0.1076266</v>
      </c>
      <c r="J1282">
        <v>0.13110269999999999</v>
      </c>
      <c r="K1282">
        <v>0.1143038</v>
      </c>
      <c r="L1282">
        <v>9.5251509999999998E-2</v>
      </c>
      <c r="M1282">
        <v>8.0626859999999995E-2</v>
      </c>
      <c r="N1282">
        <v>6.8940009999999996E-2</v>
      </c>
    </row>
    <row r="1283" spans="1:14" hidden="1" x14ac:dyDescent="0.35">
      <c r="A1283" t="s">
        <v>682</v>
      </c>
      <c r="B1283" t="s">
        <v>34</v>
      </c>
      <c r="C1283" t="s">
        <v>33</v>
      </c>
      <c r="D1283" t="s">
        <v>33</v>
      </c>
      <c r="E1283" t="s">
        <v>604</v>
      </c>
      <c r="F1283" t="s">
        <v>26</v>
      </c>
      <c r="G1283" t="s">
        <v>26</v>
      </c>
      <c r="H1283">
        <v>1.335164</v>
      </c>
      <c r="I1283">
        <v>1.2904709999999999</v>
      </c>
      <c r="J1283">
        <v>1.571947</v>
      </c>
      <c r="K1283">
        <v>1.3705769999999999</v>
      </c>
      <c r="L1283">
        <v>1.142118</v>
      </c>
      <c r="M1283">
        <v>0.96680920000000004</v>
      </c>
      <c r="N1283">
        <v>0.8266348</v>
      </c>
    </row>
    <row r="1284" spans="1:14" hidden="1" x14ac:dyDescent="0.35">
      <c r="A1284" t="s">
        <v>682</v>
      </c>
      <c r="B1284" t="s">
        <v>34</v>
      </c>
      <c r="C1284" t="s">
        <v>33</v>
      </c>
      <c r="D1284" t="s">
        <v>33</v>
      </c>
      <c r="E1284" t="s">
        <v>683</v>
      </c>
      <c r="F1284" t="s">
        <v>581</v>
      </c>
      <c r="G1284" t="s">
        <v>396</v>
      </c>
      <c r="H1284">
        <v>0</v>
      </c>
      <c r="I1284">
        <v>0</v>
      </c>
      <c r="J1284">
        <v>0</v>
      </c>
      <c r="K1284">
        <v>0</v>
      </c>
      <c r="L1284">
        <v>0</v>
      </c>
      <c r="M1284">
        <v>0</v>
      </c>
      <c r="N1284">
        <v>0</v>
      </c>
    </row>
    <row r="1285" spans="1:14" hidden="1" x14ac:dyDescent="0.35">
      <c r="A1285" t="s">
        <v>682</v>
      </c>
      <c r="B1285" t="s">
        <v>34</v>
      </c>
      <c r="C1285" t="s">
        <v>33</v>
      </c>
      <c r="D1285" t="s">
        <v>33</v>
      </c>
      <c r="E1285" t="s">
        <v>683</v>
      </c>
      <c r="F1285" t="s">
        <v>581</v>
      </c>
      <c r="G1285" t="s">
        <v>25</v>
      </c>
      <c r="H1285">
        <v>0</v>
      </c>
      <c r="I1285">
        <v>0</v>
      </c>
      <c r="J1285">
        <v>0</v>
      </c>
      <c r="K1285">
        <v>0</v>
      </c>
      <c r="L1285">
        <v>0</v>
      </c>
      <c r="M1285">
        <v>0</v>
      </c>
      <c r="N1285">
        <v>0</v>
      </c>
    </row>
    <row r="1286" spans="1:14" hidden="1" x14ac:dyDescent="0.35">
      <c r="A1286" t="s">
        <v>682</v>
      </c>
      <c r="B1286" t="s">
        <v>34</v>
      </c>
      <c r="C1286" t="s">
        <v>33</v>
      </c>
      <c r="D1286" t="s">
        <v>33</v>
      </c>
      <c r="E1286" t="s">
        <v>683</v>
      </c>
      <c r="F1286" t="s">
        <v>26</v>
      </c>
      <c r="G1286" t="s">
        <v>26</v>
      </c>
      <c r="H1286">
        <v>0</v>
      </c>
      <c r="I1286">
        <v>0</v>
      </c>
      <c r="J1286">
        <v>0</v>
      </c>
      <c r="K1286">
        <v>0</v>
      </c>
      <c r="L1286">
        <v>0</v>
      </c>
      <c r="M1286">
        <v>0</v>
      </c>
      <c r="N1286">
        <v>0</v>
      </c>
    </row>
    <row r="1287" spans="1:14" hidden="1" x14ac:dyDescent="0.35">
      <c r="A1287" t="s">
        <v>682</v>
      </c>
      <c r="B1287" t="s">
        <v>34</v>
      </c>
      <c r="C1287" t="s">
        <v>66</v>
      </c>
      <c r="D1287" t="s">
        <v>66</v>
      </c>
      <c r="E1287" t="s">
        <v>584</v>
      </c>
      <c r="F1287" t="s">
        <v>581</v>
      </c>
      <c r="G1287" t="s">
        <v>396</v>
      </c>
      <c r="H1287">
        <v>8.9214070000000003</v>
      </c>
      <c r="I1287">
        <v>7.2884380000000002</v>
      </c>
      <c r="J1287">
        <v>8.2715680000000003</v>
      </c>
      <c r="K1287">
        <v>7.9264409999999996</v>
      </c>
      <c r="L1287">
        <v>7.0118600000000004</v>
      </c>
      <c r="M1287">
        <v>6.0116670000000001</v>
      </c>
      <c r="N1287">
        <v>5.2372319999999997</v>
      </c>
    </row>
    <row r="1288" spans="1:14" hidden="1" x14ac:dyDescent="0.35">
      <c r="A1288" t="s">
        <v>682</v>
      </c>
      <c r="B1288" t="s">
        <v>154</v>
      </c>
      <c r="C1288" t="s">
        <v>261</v>
      </c>
      <c r="D1288" t="s">
        <v>261</v>
      </c>
      <c r="E1288" t="s">
        <v>584</v>
      </c>
      <c r="F1288" t="s">
        <v>581</v>
      </c>
      <c r="G1288" t="s">
        <v>396</v>
      </c>
      <c r="L1288">
        <v>0</v>
      </c>
      <c r="M1288">
        <v>2.1225909999999999</v>
      </c>
      <c r="N1288">
        <v>7.9300930000000003</v>
      </c>
    </row>
    <row r="1289" spans="1:14" hidden="1" x14ac:dyDescent="0.35">
      <c r="A1289" t="s">
        <v>682</v>
      </c>
      <c r="B1289" t="s">
        <v>154</v>
      </c>
      <c r="C1289" t="s">
        <v>153</v>
      </c>
      <c r="D1289" t="s">
        <v>153</v>
      </c>
      <c r="E1289" t="s">
        <v>584</v>
      </c>
      <c r="F1289" t="s">
        <v>581</v>
      </c>
      <c r="G1289" t="s">
        <v>396</v>
      </c>
      <c r="M1289">
        <v>0</v>
      </c>
      <c r="N1289">
        <v>0</v>
      </c>
    </row>
    <row r="1290" spans="1:14" hidden="1" x14ac:dyDescent="0.35">
      <c r="A1290" t="s">
        <v>682</v>
      </c>
      <c r="B1290" t="s">
        <v>162</v>
      </c>
      <c r="C1290" t="s">
        <v>161</v>
      </c>
      <c r="D1290" t="s">
        <v>161</v>
      </c>
      <c r="E1290" t="s">
        <v>584</v>
      </c>
      <c r="F1290" t="s">
        <v>26</v>
      </c>
      <c r="G1290" t="s">
        <v>26</v>
      </c>
      <c r="N1290">
        <v>0</v>
      </c>
    </row>
    <row r="1291" spans="1:14" hidden="1" x14ac:dyDescent="0.35">
      <c r="A1291" t="s">
        <v>680</v>
      </c>
      <c r="B1291" t="s">
        <v>73</v>
      </c>
      <c r="C1291" t="s">
        <v>97</v>
      </c>
      <c r="D1291" t="s">
        <v>98</v>
      </c>
      <c r="E1291" t="s">
        <v>584</v>
      </c>
      <c r="F1291" t="s">
        <v>581</v>
      </c>
      <c r="G1291" t="s">
        <v>396</v>
      </c>
      <c r="H1291">
        <v>68.816000000000003</v>
      </c>
      <c r="I1291">
        <v>139.21969999999999</v>
      </c>
      <c r="J1291">
        <v>151.70189999999999</v>
      </c>
      <c r="K1291">
        <v>141.50120000000001</v>
      </c>
      <c r="L1291">
        <v>174.98519999999999</v>
      </c>
      <c r="M1291">
        <v>171.50120000000001</v>
      </c>
      <c r="N1291">
        <v>169.6848</v>
      </c>
    </row>
    <row r="1292" spans="1:14" hidden="1" x14ac:dyDescent="0.35">
      <c r="A1292" t="s">
        <v>680</v>
      </c>
      <c r="B1292" t="s">
        <v>73</v>
      </c>
      <c r="C1292" t="s">
        <v>97</v>
      </c>
      <c r="D1292" t="s">
        <v>98</v>
      </c>
      <c r="E1292" t="s">
        <v>584</v>
      </c>
      <c r="F1292" t="s">
        <v>581</v>
      </c>
      <c r="G1292" t="s">
        <v>25</v>
      </c>
      <c r="H1292">
        <v>3.2622040000000001</v>
      </c>
      <c r="I1292">
        <v>6.2983570000000002</v>
      </c>
      <c r="J1292">
        <v>6.7461929999999999</v>
      </c>
      <c r="K1292">
        <v>6.3323229999999997</v>
      </c>
      <c r="L1292">
        <v>7.0490060000000003</v>
      </c>
      <c r="M1292">
        <v>7.2575180000000001</v>
      </c>
      <c r="N1292">
        <v>7.232577</v>
      </c>
    </row>
    <row r="1293" spans="1:14" hidden="1" x14ac:dyDescent="0.35">
      <c r="A1293" t="s">
        <v>680</v>
      </c>
      <c r="B1293" t="s">
        <v>73</v>
      </c>
      <c r="C1293" t="s">
        <v>97</v>
      </c>
      <c r="D1293" t="s">
        <v>98</v>
      </c>
      <c r="E1293" t="s">
        <v>584</v>
      </c>
      <c r="F1293" t="s">
        <v>26</v>
      </c>
      <c r="G1293" t="s">
        <v>26</v>
      </c>
      <c r="H1293">
        <v>6.0541679999999998</v>
      </c>
      <c r="I1293">
        <v>8.3389559999999996</v>
      </c>
      <c r="J1293">
        <v>9.2848290000000002</v>
      </c>
      <c r="K1293">
        <v>8.4010960000000008</v>
      </c>
      <c r="L1293">
        <v>8.0999940000000006</v>
      </c>
      <c r="M1293">
        <v>8.2013829999999999</v>
      </c>
      <c r="N1293">
        <v>8.467568</v>
      </c>
    </row>
    <row r="1294" spans="1:14" hidden="1" x14ac:dyDescent="0.35">
      <c r="A1294" t="s">
        <v>680</v>
      </c>
      <c r="B1294" t="s">
        <v>73</v>
      </c>
      <c r="C1294" t="s">
        <v>71</v>
      </c>
      <c r="D1294" t="s">
        <v>140</v>
      </c>
      <c r="E1294" t="s">
        <v>584</v>
      </c>
      <c r="F1294" t="s">
        <v>581</v>
      </c>
      <c r="G1294" t="s">
        <v>396</v>
      </c>
      <c r="H1294">
        <v>7.4137750000000002</v>
      </c>
      <c r="I1294">
        <v>6.4392899999999997</v>
      </c>
      <c r="J1294">
        <v>5.9232610000000001</v>
      </c>
      <c r="K1294">
        <v>5.1432919999999998</v>
      </c>
      <c r="L1294">
        <v>4.3740779999999999</v>
      </c>
      <c r="M1294">
        <v>3.6763499999999998</v>
      </c>
      <c r="N1294">
        <v>3.1044740000000002</v>
      </c>
    </row>
    <row r="1295" spans="1:14" hidden="1" x14ac:dyDescent="0.35">
      <c r="A1295" t="s">
        <v>680</v>
      </c>
      <c r="B1295" t="s">
        <v>73</v>
      </c>
      <c r="C1295" t="s">
        <v>71</v>
      </c>
      <c r="D1295" t="s">
        <v>140</v>
      </c>
      <c r="E1295" t="s">
        <v>584</v>
      </c>
      <c r="F1295" t="s">
        <v>26</v>
      </c>
      <c r="G1295" t="s">
        <v>26</v>
      </c>
      <c r="H1295">
        <v>1.594365</v>
      </c>
      <c r="I1295">
        <v>1.3847970000000001</v>
      </c>
      <c r="J1295">
        <v>1.2738229999999999</v>
      </c>
      <c r="K1295">
        <v>1.1850499999999999</v>
      </c>
      <c r="L1295">
        <v>1.0078180000000001</v>
      </c>
      <c r="M1295">
        <v>0.84705660000000005</v>
      </c>
      <c r="N1295">
        <v>0.71529279999999995</v>
      </c>
    </row>
    <row r="1296" spans="1:14" hidden="1" x14ac:dyDescent="0.35">
      <c r="A1296" t="s">
        <v>680</v>
      </c>
      <c r="B1296" t="s">
        <v>73</v>
      </c>
      <c r="C1296" t="s">
        <v>71</v>
      </c>
      <c r="D1296" t="s">
        <v>139</v>
      </c>
      <c r="E1296" t="s">
        <v>584</v>
      </c>
      <c r="F1296" t="s">
        <v>581</v>
      </c>
      <c r="G1296" t="s">
        <v>396</v>
      </c>
      <c r="H1296">
        <v>4.1571670000000003</v>
      </c>
      <c r="I1296">
        <v>4.3452159999999997</v>
      </c>
      <c r="J1296">
        <v>4.5366739999999997</v>
      </c>
      <c r="K1296">
        <v>3.3771610000000001</v>
      </c>
      <c r="L1296">
        <v>2.2974760000000001</v>
      </c>
      <c r="M1296">
        <v>1.5043580000000001</v>
      </c>
      <c r="N1296">
        <v>1.6884779999999999</v>
      </c>
    </row>
    <row r="1297" spans="1:14" hidden="1" x14ac:dyDescent="0.35">
      <c r="A1297" t="s">
        <v>680</v>
      </c>
      <c r="B1297" t="s">
        <v>73</v>
      </c>
      <c r="C1297" t="s">
        <v>71</v>
      </c>
      <c r="D1297" t="s">
        <v>139</v>
      </c>
      <c r="E1297" t="s">
        <v>584</v>
      </c>
      <c r="F1297" t="s">
        <v>26</v>
      </c>
      <c r="G1297" t="s">
        <v>26</v>
      </c>
      <c r="H1297">
        <v>0.9070414</v>
      </c>
      <c r="I1297">
        <v>0.62861409999999995</v>
      </c>
      <c r="J1297">
        <v>0.47436509999999998</v>
      </c>
      <c r="K1297">
        <v>0.36053259999999998</v>
      </c>
      <c r="L1297">
        <v>0.27401639999999999</v>
      </c>
      <c r="M1297">
        <v>0.20826059999999999</v>
      </c>
      <c r="N1297">
        <v>1.364889</v>
      </c>
    </row>
    <row r="1298" spans="1:14" hidden="1" x14ac:dyDescent="0.35">
      <c r="A1298" t="s">
        <v>680</v>
      </c>
      <c r="B1298" t="s">
        <v>73</v>
      </c>
      <c r="C1298" t="s">
        <v>71</v>
      </c>
      <c r="D1298" t="s">
        <v>142</v>
      </c>
      <c r="E1298" t="s">
        <v>584</v>
      </c>
      <c r="F1298" t="s">
        <v>581</v>
      </c>
      <c r="G1298" t="s">
        <v>396</v>
      </c>
      <c r="H1298">
        <v>0.74593200000000004</v>
      </c>
      <c r="I1298">
        <v>0.73239169999999998</v>
      </c>
      <c r="J1298">
        <v>0.67072270000000001</v>
      </c>
      <c r="K1298">
        <v>0.65337959999999995</v>
      </c>
      <c r="L1298">
        <v>0.6746683</v>
      </c>
      <c r="M1298">
        <v>0.58576510000000004</v>
      </c>
      <c r="N1298">
        <v>0.50861290000000003</v>
      </c>
    </row>
    <row r="1299" spans="1:14" hidden="1" x14ac:dyDescent="0.35">
      <c r="A1299" t="s">
        <v>680</v>
      </c>
      <c r="B1299" t="s">
        <v>73</v>
      </c>
      <c r="C1299" t="s">
        <v>71</v>
      </c>
      <c r="D1299" t="s">
        <v>142</v>
      </c>
      <c r="E1299" t="s">
        <v>584</v>
      </c>
      <c r="F1299" t="s">
        <v>581</v>
      </c>
      <c r="G1299" t="s">
        <v>25</v>
      </c>
      <c r="H1299">
        <v>3.4031800000000001E-2</v>
      </c>
      <c r="I1299">
        <v>4.0091880000000003E-2</v>
      </c>
      <c r="J1299">
        <v>3.7911090000000001E-2</v>
      </c>
      <c r="K1299">
        <v>2.8651630000000001E-2</v>
      </c>
      <c r="L1299">
        <v>2.41116E-2</v>
      </c>
      <c r="M1299">
        <v>1.9228809999999999E-2</v>
      </c>
      <c r="N1299">
        <v>1.533499E-2</v>
      </c>
    </row>
    <row r="1300" spans="1:14" hidden="1" x14ac:dyDescent="0.35">
      <c r="A1300" t="s">
        <v>680</v>
      </c>
      <c r="B1300" t="s">
        <v>73</v>
      </c>
      <c r="C1300" t="s">
        <v>71</v>
      </c>
      <c r="D1300" t="s">
        <v>142</v>
      </c>
      <c r="E1300" t="s">
        <v>584</v>
      </c>
      <c r="F1300" t="s">
        <v>26</v>
      </c>
      <c r="G1300" t="s">
        <v>26</v>
      </c>
      <c r="H1300">
        <v>9.2795299999999997E-2</v>
      </c>
      <c r="I1300">
        <v>9.7314700000000004E-2</v>
      </c>
      <c r="J1300">
        <v>0.1010447</v>
      </c>
      <c r="K1300">
        <v>9.1108930000000005E-2</v>
      </c>
      <c r="L1300">
        <v>7.3771890000000007E-2</v>
      </c>
      <c r="M1300">
        <v>5.667022E-2</v>
      </c>
      <c r="N1300">
        <v>4.3533019999999999E-2</v>
      </c>
    </row>
    <row r="1301" spans="1:14" hidden="1" x14ac:dyDescent="0.35">
      <c r="A1301" t="s">
        <v>680</v>
      </c>
      <c r="B1301" t="s">
        <v>73</v>
      </c>
      <c r="C1301" t="s">
        <v>155</v>
      </c>
      <c r="D1301" t="s">
        <v>358</v>
      </c>
      <c r="E1301" t="s">
        <v>584</v>
      </c>
      <c r="F1301" t="s">
        <v>581</v>
      </c>
      <c r="G1301" t="s">
        <v>396</v>
      </c>
      <c r="H1301">
        <v>0</v>
      </c>
      <c r="N1301">
        <v>0</v>
      </c>
    </row>
    <row r="1302" spans="1:14" hidden="1" x14ac:dyDescent="0.35">
      <c r="A1302" t="s">
        <v>680</v>
      </c>
      <c r="B1302" t="s">
        <v>73</v>
      </c>
      <c r="C1302" t="s">
        <v>155</v>
      </c>
      <c r="D1302" t="s">
        <v>358</v>
      </c>
      <c r="E1302" t="s">
        <v>584</v>
      </c>
      <c r="F1302" t="s">
        <v>581</v>
      </c>
      <c r="G1302" t="s">
        <v>24</v>
      </c>
      <c r="N1302">
        <v>0</v>
      </c>
    </row>
    <row r="1303" spans="1:14" hidden="1" x14ac:dyDescent="0.35">
      <c r="A1303" t="s">
        <v>680</v>
      </c>
      <c r="B1303" t="s">
        <v>73</v>
      </c>
      <c r="C1303" t="s">
        <v>155</v>
      </c>
      <c r="D1303" t="s">
        <v>358</v>
      </c>
      <c r="E1303" t="s">
        <v>584</v>
      </c>
      <c r="F1303" t="s">
        <v>581</v>
      </c>
      <c r="G1303" t="s">
        <v>25</v>
      </c>
      <c r="N1303">
        <v>0</v>
      </c>
    </row>
    <row r="1304" spans="1:14" hidden="1" x14ac:dyDescent="0.35">
      <c r="A1304" t="s">
        <v>680</v>
      </c>
      <c r="B1304" t="s">
        <v>73</v>
      </c>
      <c r="C1304" t="s">
        <v>155</v>
      </c>
      <c r="D1304" t="s">
        <v>358</v>
      </c>
      <c r="E1304" t="s">
        <v>584</v>
      </c>
      <c r="F1304" t="s">
        <v>26</v>
      </c>
      <c r="G1304" t="s">
        <v>26</v>
      </c>
      <c r="N1304">
        <v>0</v>
      </c>
    </row>
    <row r="1305" spans="1:14" hidden="1" x14ac:dyDescent="0.35">
      <c r="A1305" t="s">
        <v>685</v>
      </c>
      <c r="B1305" t="s">
        <v>37</v>
      </c>
      <c r="C1305" t="s">
        <v>35</v>
      </c>
      <c r="D1305" t="s">
        <v>36</v>
      </c>
      <c r="E1305" t="s">
        <v>589</v>
      </c>
      <c r="F1305" t="s">
        <v>581</v>
      </c>
      <c r="G1305" t="s">
        <v>396</v>
      </c>
      <c r="H1305">
        <v>24.094249999999999</v>
      </c>
      <c r="I1305">
        <v>30.895029999999998</v>
      </c>
      <c r="J1305">
        <v>39.029159999999997</v>
      </c>
      <c r="K1305">
        <v>41.5777</v>
      </c>
      <c r="L1305">
        <v>39.139600000000002</v>
      </c>
      <c r="M1305">
        <v>37.997599999999998</v>
      </c>
      <c r="N1305">
        <v>38.67868</v>
      </c>
    </row>
    <row r="1306" spans="1:14" hidden="1" x14ac:dyDescent="0.35">
      <c r="A1306" t="s">
        <v>685</v>
      </c>
      <c r="B1306" t="s">
        <v>37</v>
      </c>
      <c r="C1306" t="s">
        <v>35</v>
      </c>
      <c r="D1306" t="s">
        <v>36</v>
      </c>
      <c r="E1306" t="s">
        <v>589</v>
      </c>
      <c r="F1306" t="s">
        <v>581</v>
      </c>
      <c r="G1306" t="s">
        <v>25</v>
      </c>
      <c r="H1306">
        <v>10.67178</v>
      </c>
      <c r="I1306">
        <v>12.24361</v>
      </c>
      <c r="J1306">
        <v>15.48776</v>
      </c>
      <c r="K1306">
        <v>16.499089999999999</v>
      </c>
      <c r="L1306">
        <v>15.53159</v>
      </c>
      <c r="M1306">
        <v>15.07841</v>
      </c>
      <c r="N1306">
        <v>15.34868</v>
      </c>
    </row>
    <row r="1307" spans="1:14" hidden="1" x14ac:dyDescent="0.35">
      <c r="A1307" t="s">
        <v>685</v>
      </c>
      <c r="B1307" t="s">
        <v>37</v>
      </c>
      <c r="C1307" t="s">
        <v>35</v>
      </c>
      <c r="D1307" t="s">
        <v>36</v>
      </c>
      <c r="E1307" t="s">
        <v>589</v>
      </c>
      <c r="F1307" t="s">
        <v>26</v>
      </c>
      <c r="G1307" t="s">
        <v>26</v>
      </c>
      <c r="H1307">
        <v>6.0668490000000004</v>
      </c>
      <c r="I1307">
        <v>5.8769340000000003</v>
      </c>
      <c r="J1307">
        <v>7.4341249999999999</v>
      </c>
      <c r="K1307">
        <v>7.9195630000000001</v>
      </c>
      <c r="L1307">
        <v>7.4551610000000004</v>
      </c>
      <c r="M1307">
        <v>7.2376360000000002</v>
      </c>
      <c r="N1307">
        <v>7.3673679999999999</v>
      </c>
    </row>
    <row r="1308" spans="1:14" hidden="1" x14ac:dyDescent="0.35">
      <c r="A1308" t="s">
        <v>685</v>
      </c>
      <c r="B1308" t="s">
        <v>37</v>
      </c>
      <c r="C1308" t="s">
        <v>35</v>
      </c>
      <c r="D1308" t="s">
        <v>36</v>
      </c>
      <c r="E1308" t="s">
        <v>590</v>
      </c>
      <c r="F1308" t="s">
        <v>581</v>
      </c>
      <c r="G1308" t="s">
        <v>396</v>
      </c>
      <c r="H1308">
        <v>33.821370000000002</v>
      </c>
      <c r="I1308">
        <v>34.129600000000003</v>
      </c>
      <c r="J1308">
        <v>29.005120000000002</v>
      </c>
      <c r="K1308">
        <v>25.239159999999998</v>
      </c>
      <c r="L1308">
        <v>22.43186</v>
      </c>
      <c r="M1308">
        <v>20.61497</v>
      </c>
      <c r="N1308">
        <v>19.766279999999998</v>
      </c>
    </row>
    <row r="1309" spans="1:14" hidden="1" x14ac:dyDescent="0.35">
      <c r="A1309" t="s">
        <v>685</v>
      </c>
      <c r="B1309" t="s">
        <v>37</v>
      </c>
      <c r="C1309" t="s">
        <v>35</v>
      </c>
      <c r="D1309" t="s">
        <v>36</v>
      </c>
      <c r="E1309" t="s">
        <v>590</v>
      </c>
      <c r="F1309" t="s">
        <v>581</v>
      </c>
      <c r="G1309" t="s">
        <v>25</v>
      </c>
      <c r="H1309">
        <v>12.977539999999999</v>
      </c>
      <c r="I1309">
        <v>11.728870000000001</v>
      </c>
      <c r="J1309">
        <v>9.9705089999999998</v>
      </c>
      <c r="K1309">
        <v>8.6759620000000002</v>
      </c>
      <c r="L1309">
        <v>7.7109490000000003</v>
      </c>
      <c r="M1309">
        <v>7.0863969999999998</v>
      </c>
      <c r="N1309">
        <v>6.7946619999999998</v>
      </c>
    </row>
    <row r="1310" spans="1:14" hidden="1" x14ac:dyDescent="0.35">
      <c r="A1310" t="s">
        <v>685</v>
      </c>
      <c r="B1310" t="s">
        <v>37</v>
      </c>
      <c r="C1310" t="s">
        <v>35</v>
      </c>
      <c r="D1310" t="s">
        <v>36</v>
      </c>
      <c r="E1310" t="s">
        <v>590</v>
      </c>
      <c r="F1310" t="s">
        <v>26</v>
      </c>
      <c r="G1310" t="s">
        <v>26</v>
      </c>
      <c r="H1310">
        <v>9.7797260000000001</v>
      </c>
      <c r="I1310">
        <v>7.4638270000000002</v>
      </c>
      <c r="J1310">
        <v>6.3448700000000002</v>
      </c>
      <c r="K1310">
        <v>5.5210660000000003</v>
      </c>
      <c r="L1310">
        <v>4.9069669999999999</v>
      </c>
      <c r="M1310">
        <v>4.509525</v>
      </c>
      <c r="N1310">
        <v>4.323874</v>
      </c>
    </row>
    <row r="1311" spans="1:14" hidden="1" x14ac:dyDescent="0.35">
      <c r="A1311" t="s">
        <v>685</v>
      </c>
      <c r="B1311" t="s">
        <v>37</v>
      </c>
      <c r="C1311" t="s">
        <v>35</v>
      </c>
      <c r="D1311" t="s">
        <v>36</v>
      </c>
      <c r="E1311" t="s">
        <v>588</v>
      </c>
      <c r="F1311" t="s">
        <v>581</v>
      </c>
      <c r="G1311" t="s">
        <v>396</v>
      </c>
      <c r="H1311">
        <v>6.6673970000000002</v>
      </c>
      <c r="I1311">
        <v>7.5191049999999997</v>
      </c>
      <c r="J1311">
        <v>6.6996019999999996</v>
      </c>
      <c r="K1311">
        <v>5.6959819999999999</v>
      </c>
      <c r="L1311">
        <v>4.8463479999999999</v>
      </c>
      <c r="M1311">
        <v>4.3151130000000002</v>
      </c>
      <c r="N1311">
        <v>6.1091160000000002</v>
      </c>
    </row>
    <row r="1312" spans="1:14" hidden="1" x14ac:dyDescent="0.35">
      <c r="A1312" t="s">
        <v>685</v>
      </c>
      <c r="B1312" t="s">
        <v>37</v>
      </c>
      <c r="C1312" t="s">
        <v>35</v>
      </c>
      <c r="D1312" t="s">
        <v>36</v>
      </c>
      <c r="E1312" t="s">
        <v>588</v>
      </c>
      <c r="F1312" t="s">
        <v>581</v>
      </c>
      <c r="G1312" t="s">
        <v>25</v>
      </c>
      <c r="H1312">
        <v>1.152879</v>
      </c>
      <c r="I1312">
        <v>1.1649320000000001</v>
      </c>
      <c r="J1312">
        <v>1.0379640000000001</v>
      </c>
      <c r="K1312">
        <v>0.88248159999999998</v>
      </c>
      <c r="L1312">
        <v>0.75084600000000001</v>
      </c>
      <c r="M1312">
        <v>0.668543</v>
      </c>
      <c r="N1312">
        <v>0.94647749999999997</v>
      </c>
    </row>
    <row r="1313" spans="1:14" hidden="1" x14ac:dyDescent="0.35">
      <c r="A1313" t="s">
        <v>685</v>
      </c>
      <c r="B1313" t="s">
        <v>37</v>
      </c>
      <c r="C1313" t="s">
        <v>35</v>
      </c>
      <c r="D1313" t="s">
        <v>36</v>
      </c>
      <c r="E1313" t="s">
        <v>588</v>
      </c>
      <c r="F1313" t="s">
        <v>26</v>
      </c>
      <c r="G1313" t="s">
        <v>26</v>
      </c>
      <c r="H1313">
        <v>2.233425</v>
      </c>
      <c r="I1313">
        <v>1.9062509999999999</v>
      </c>
      <c r="J1313">
        <v>1.6984919999999999</v>
      </c>
      <c r="K1313">
        <v>1.4440500000000001</v>
      </c>
      <c r="L1313">
        <v>1.22865</v>
      </c>
      <c r="M1313">
        <v>1.0939730000000001</v>
      </c>
      <c r="N1313">
        <v>1.548791</v>
      </c>
    </row>
    <row r="1314" spans="1:14" hidden="1" x14ac:dyDescent="0.35">
      <c r="A1314" t="s">
        <v>685</v>
      </c>
      <c r="B1314" t="s">
        <v>37</v>
      </c>
      <c r="C1314" t="s">
        <v>35</v>
      </c>
      <c r="D1314" t="s">
        <v>36</v>
      </c>
      <c r="E1314" t="s">
        <v>587</v>
      </c>
      <c r="F1314" t="s">
        <v>581</v>
      </c>
      <c r="G1314" t="s">
        <v>396</v>
      </c>
      <c r="H1314">
        <v>2.9698630000000001</v>
      </c>
      <c r="I1314">
        <v>2.9177559999999998</v>
      </c>
      <c r="J1314">
        <v>2.557709</v>
      </c>
      <c r="K1314">
        <v>2.2503069999999998</v>
      </c>
      <c r="L1314">
        <v>1.9801839999999999</v>
      </c>
      <c r="M1314">
        <v>1.7470159999999999</v>
      </c>
      <c r="N1314">
        <v>1.5328660000000001</v>
      </c>
    </row>
    <row r="1315" spans="1:14" hidden="1" x14ac:dyDescent="0.35">
      <c r="A1315" t="s">
        <v>685</v>
      </c>
      <c r="B1315" t="s">
        <v>37</v>
      </c>
      <c r="C1315" t="s">
        <v>35</v>
      </c>
      <c r="D1315" t="s">
        <v>36</v>
      </c>
      <c r="E1315" t="s">
        <v>587</v>
      </c>
      <c r="F1315" t="s">
        <v>581</v>
      </c>
      <c r="G1315" t="s">
        <v>25</v>
      </c>
      <c r="H1315">
        <v>1.768767</v>
      </c>
      <c r="I1315">
        <v>1.5561339999999999</v>
      </c>
      <c r="J1315">
        <v>1.364107</v>
      </c>
      <c r="K1315">
        <v>1.200162</v>
      </c>
      <c r="L1315">
        <v>1.0560989999999999</v>
      </c>
      <c r="M1315">
        <v>0.93174239999999997</v>
      </c>
      <c r="N1315">
        <v>0.81752590000000003</v>
      </c>
    </row>
    <row r="1316" spans="1:14" hidden="1" x14ac:dyDescent="0.35">
      <c r="A1316" t="s">
        <v>685</v>
      </c>
      <c r="B1316" t="s">
        <v>37</v>
      </c>
      <c r="C1316" t="s">
        <v>35</v>
      </c>
      <c r="D1316" t="s">
        <v>36</v>
      </c>
      <c r="E1316" t="s">
        <v>587</v>
      </c>
      <c r="F1316" t="s">
        <v>26</v>
      </c>
      <c r="G1316" t="s">
        <v>26</v>
      </c>
      <c r="H1316">
        <v>2.7046579999999998</v>
      </c>
      <c r="I1316">
        <v>2.010005</v>
      </c>
      <c r="J1316">
        <v>1.761978</v>
      </c>
      <c r="K1316">
        <v>1.550211</v>
      </c>
      <c r="L1316">
        <v>1.3641259999999999</v>
      </c>
      <c r="M1316">
        <v>1.2035009999999999</v>
      </c>
      <c r="N1316">
        <v>1.0559750000000001</v>
      </c>
    </row>
    <row r="1317" spans="1:14" hidden="1" x14ac:dyDescent="0.35">
      <c r="A1317" t="s">
        <v>685</v>
      </c>
      <c r="B1317" t="s">
        <v>37</v>
      </c>
      <c r="C1317" t="s">
        <v>35</v>
      </c>
      <c r="D1317" t="s">
        <v>129</v>
      </c>
      <c r="E1317" t="s">
        <v>580</v>
      </c>
      <c r="F1317" t="s">
        <v>581</v>
      </c>
      <c r="G1317" t="s">
        <v>396</v>
      </c>
      <c r="H1317">
        <v>51.14669</v>
      </c>
      <c r="I1317">
        <v>41.771479999999997</v>
      </c>
      <c r="J1317">
        <v>40.045200000000001</v>
      </c>
      <c r="K1317">
        <v>36.529710000000001</v>
      </c>
      <c r="L1317">
        <v>32.781410000000001</v>
      </c>
      <c r="M1317">
        <v>30.340450000000001</v>
      </c>
      <c r="N1317">
        <v>29.49531</v>
      </c>
    </row>
    <row r="1318" spans="1:14" hidden="1" x14ac:dyDescent="0.35">
      <c r="A1318" t="s">
        <v>685</v>
      </c>
      <c r="B1318" t="s">
        <v>37</v>
      </c>
      <c r="C1318" t="s">
        <v>35</v>
      </c>
      <c r="D1318" t="s">
        <v>129</v>
      </c>
      <c r="E1318" t="s">
        <v>580</v>
      </c>
      <c r="F1318" t="s">
        <v>581</v>
      </c>
      <c r="G1318" t="s">
        <v>25</v>
      </c>
      <c r="H1318">
        <v>8.5513100000000009</v>
      </c>
      <c r="I1318">
        <v>8.4630019999999995</v>
      </c>
      <c r="J1318">
        <v>8.4857220000000009</v>
      </c>
      <c r="K1318">
        <v>8.0688080000000006</v>
      </c>
      <c r="L1318">
        <v>7.2873609999999998</v>
      </c>
      <c r="M1318">
        <v>6.8957160000000002</v>
      </c>
      <c r="N1318">
        <v>6.8215070000000004</v>
      </c>
    </row>
    <row r="1319" spans="1:14" hidden="1" x14ac:dyDescent="0.35">
      <c r="A1319" t="s">
        <v>685</v>
      </c>
      <c r="B1319" t="s">
        <v>37</v>
      </c>
      <c r="C1319" t="s">
        <v>35</v>
      </c>
      <c r="D1319" t="s">
        <v>129</v>
      </c>
      <c r="E1319" t="s">
        <v>580</v>
      </c>
      <c r="F1319" t="s">
        <v>26</v>
      </c>
      <c r="G1319" t="s">
        <v>26</v>
      </c>
      <c r="H1319">
        <v>7.4942250000000001</v>
      </c>
      <c r="I1319">
        <v>7.4223489999999996</v>
      </c>
      <c r="J1319">
        <v>7.3940530000000004</v>
      </c>
      <c r="K1319">
        <v>6.9894509999999999</v>
      </c>
      <c r="L1319">
        <v>6.3069189999999997</v>
      </c>
      <c r="M1319">
        <v>5.9498350000000002</v>
      </c>
      <c r="N1319">
        <v>5.8719669999999997</v>
      </c>
    </row>
    <row r="1320" spans="1:14" hidden="1" x14ac:dyDescent="0.35">
      <c r="A1320" t="s">
        <v>684</v>
      </c>
      <c r="B1320" t="s">
        <v>245</v>
      </c>
      <c r="C1320" t="s">
        <v>244</v>
      </c>
      <c r="D1320" t="s">
        <v>244</v>
      </c>
      <c r="E1320" t="s">
        <v>584</v>
      </c>
      <c r="F1320" t="s">
        <v>581</v>
      </c>
      <c r="G1320" t="s">
        <v>396</v>
      </c>
      <c r="K1320">
        <v>0</v>
      </c>
      <c r="L1320">
        <v>0</v>
      </c>
      <c r="M1320">
        <v>0</v>
      </c>
      <c r="N1320">
        <v>0</v>
      </c>
    </row>
    <row r="1321" spans="1:14" hidden="1" x14ac:dyDescent="0.35">
      <c r="A1321" t="s">
        <v>684</v>
      </c>
      <c r="B1321" t="s">
        <v>245</v>
      </c>
      <c r="C1321" t="s">
        <v>244</v>
      </c>
      <c r="D1321" t="s">
        <v>244</v>
      </c>
      <c r="E1321" t="s">
        <v>584</v>
      </c>
      <c r="F1321" t="s">
        <v>581</v>
      </c>
      <c r="G1321" t="s">
        <v>24</v>
      </c>
      <c r="H1321">
        <v>0.26419500000000001</v>
      </c>
      <c r="I1321">
        <v>1.110077</v>
      </c>
      <c r="J1321">
        <v>2.915937</v>
      </c>
      <c r="K1321">
        <v>2.9590360000000002</v>
      </c>
      <c r="L1321">
        <v>3.0122390000000001</v>
      </c>
      <c r="M1321">
        <v>3.0218579999999999</v>
      </c>
      <c r="N1321">
        <v>2.768078</v>
      </c>
    </row>
    <row r="1322" spans="1:14" hidden="1" x14ac:dyDescent="0.35">
      <c r="A1322" t="s">
        <v>684</v>
      </c>
      <c r="B1322" t="s">
        <v>245</v>
      </c>
      <c r="C1322" t="s">
        <v>244</v>
      </c>
      <c r="D1322" t="s">
        <v>244</v>
      </c>
      <c r="E1322" t="s">
        <v>584</v>
      </c>
      <c r="F1322" t="s">
        <v>581</v>
      </c>
      <c r="G1322" t="s">
        <v>25</v>
      </c>
      <c r="H1322">
        <v>0</v>
      </c>
      <c r="I1322">
        <v>0</v>
      </c>
      <c r="K1322">
        <v>0</v>
      </c>
      <c r="L1322">
        <v>0</v>
      </c>
      <c r="M1322">
        <v>0</v>
      </c>
      <c r="N1322">
        <v>0</v>
      </c>
    </row>
    <row r="1323" spans="1:14" hidden="1" x14ac:dyDescent="0.35">
      <c r="A1323" t="s">
        <v>684</v>
      </c>
      <c r="B1323" t="s">
        <v>245</v>
      </c>
      <c r="C1323" t="s">
        <v>244</v>
      </c>
      <c r="D1323" t="s">
        <v>244</v>
      </c>
      <c r="E1323" t="s">
        <v>584</v>
      </c>
      <c r="F1323" t="s">
        <v>26</v>
      </c>
      <c r="G1323" t="s">
        <v>26</v>
      </c>
      <c r="H1323">
        <v>32.150669999999998</v>
      </c>
      <c r="I1323">
        <v>82.468220000000002</v>
      </c>
      <c r="J1323">
        <v>102.89149999999999</v>
      </c>
      <c r="K1323">
        <v>103.8143</v>
      </c>
      <c r="L1323">
        <v>104.91630000000001</v>
      </c>
      <c r="M1323">
        <v>105.42100000000001</v>
      </c>
      <c r="N1323">
        <v>105.42100000000001</v>
      </c>
    </row>
    <row r="1324" spans="1:14" hidden="1" x14ac:dyDescent="0.35">
      <c r="A1324" t="s">
        <v>684</v>
      </c>
      <c r="B1324" t="s">
        <v>245</v>
      </c>
      <c r="C1324" t="s">
        <v>247</v>
      </c>
      <c r="D1324" t="s">
        <v>247</v>
      </c>
      <c r="E1324" t="s">
        <v>584</v>
      </c>
      <c r="F1324" t="s">
        <v>26</v>
      </c>
      <c r="G1324" t="s">
        <v>26</v>
      </c>
      <c r="H1324">
        <v>1.0613269999999999</v>
      </c>
      <c r="I1324">
        <v>0.99528779999999994</v>
      </c>
      <c r="J1324">
        <v>0.93336870000000005</v>
      </c>
      <c r="K1324">
        <v>0.87430459999999999</v>
      </c>
      <c r="L1324">
        <v>0.81075920000000001</v>
      </c>
      <c r="M1324">
        <v>0.73476739999999996</v>
      </c>
      <c r="N1324">
        <v>0.66816379999999997</v>
      </c>
    </row>
    <row r="1325" spans="1:14" hidden="1" x14ac:dyDescent="0.35">
      <c r="A1325" t="s">
        <v>684</v>
      </c>
      <c r="B1325" t="s">
        <v>74</v>
      </c>
      <c r="C1325" t="s">
        <v>146</v>
      </c>
      <c r="D1325" t="s">
        <v>196</v>
      </c>
      <c r="E1325" t="s">
        <v>584</v>
      </c>
      <c r="F1325" t="s">
        <v>581</v>
      </c>
      <c r="G1325" t="s">
        <v>396</v>
      </c>
      <c r="H1325">
        <v>23.772210000000001</v>
      </c>
      <c r="I1325">
        <v>24.120560000000001</v>
      </c>
      <c r="J1325">
        <v>21.815809999999999</v>
      </c>
      <c r="K1325">
        <v>17.901710000000001</v>
      </c>
      <c r="L1325">
        <v>14.74775</v>
      </c>
      <c r="M1325">
        <v>12.13796</v>
      </c>
      <c r="N1325">
        <v>10.248699999999999</v>
      </c>
    </row>
    <row r="1326" spans="1:14" hidden="1" x14ac:dyDescent="0.35">
      <c r="A1326" t="s">
        <v>684</v>
      </c>
      <c r="B1326" t="s">
        <v>74</v>
      </c>
      <c r="C1326" t="s">
        <v>146</v>
      </c>
      <c r="D1326" t="s">
        <v>196</v>
      </c>
      <c r="E1326" t="s">
        <v>584</v>
      </c>
      <c r="F1326" t="s">
        <v>581</v>
      </c>
      <c r="G1326" t="s">
        <v>25</v>
      </c>
      <c r="H1326">
        <v>0.44690669999999999</v>
      </c>
      <c r="I1326">
        <v>0.4534552</v>
      </c>
      <c r="J1326">
        <v>0.62491660000000004</v>
      </c>
      <c r="K1326">
        <v>0.51279710000000001</v>
      </c>
      <c r="L1326">
        <v>0.42245329999999998</v>
      </c>
      <c r="M1326">
        <v>0.3476938</v>
      </c>
      <c r="N1326">
        <v>0.29357319999999998</v>
      </c>
    </row>
    <row r="1327" spans="1:14" hidden="1" x14ac:dyDescent="0.35">
      <c r="A1327" t="s">
        <v>684</v>
      </c>
      <c r="B1327" t="s">
        <v>74</v>
      </c>
      <c r="C1327" t="s">
        <v>146</v>
      </c>
      <c r="D1327" t="s">
        <v>196</v>
      </c>
      <c r="E1327" t="s">
        <v>584</v>
      </c>
      <c r="F1327" t="s">
        <v>26</v>
      </c>
      <c r="G1327" t="s">
        <v>26</v>
      </c>
      <c r="H1327">
        <v>0.7435427</v>
      </c>
      <c r="I1327">
        <v>0.75443669999999996</v>
      </c>
      <c r="J1327">
        <v>0.72540059999999995</v>
      </c>
      <c r="K1327">
        <v>0.59525289999999997</v>
      </c>
      <c r="L1327">
        <v>0.49038080000000001</v>
      </c>
      <c r="M1327">
        <v>0.4036014</v>
      </c>
      <c r="N1327">
        <v>0.34078059999999999</v>
      </c>
    </row>
    <row r="1328" spans="1:14" hidden="1" x14ac:dyDescent="0.35">
      <c r="A1328" t="s">
        <v>684</v>
      </c>
      <c r="B1328" t="s">
        <v>74</v>
      </c>
      <c r="C1328" t="s">
        <v>146</v>
      </c>
      <c r="D1328" t="s">
        <v>147</v>
      </c>
      <c r="E1328" t="s">
        <v>584</v>
      </c>
      <c r="F1328" t="s">
        <v>581</v>
      </c>
      <c r="G1328" t="s">
        <v>396</v>
      </c>
      <c r="H1328">
        <v>4.2349949999999996</v>
      </c>
      <c r="I1328">
        <v>4.0804099999999996</v>
      </c>
      <c r="J1328">
        <v>4.2477660000000004</v>
      </c>
      <c r="K1328">
        <v>3.4437220000000002</v>
      </c>
      <c r="L1328">
        <v>2.7107589999999999</v>
      </c>
      <c r="M1328">
        <v>1.8559509999999999</v>
      </c>
      <c r="N1328">
        <v>1.534807</v>
      </c>
    </row>
    <row r="1329" spans="1:14" hidden="1" x14ac:dyDescent="0.35">
      <c r="A1329" t="s">
        <v>684</v>
      </c>
      <c r="B1329" t="s">
        <v>74</v>
      </c>
      <c r="C1329" t="s">
        <v>146</v>
      </c>
      <c r="D1329" t="s">
        <v>147</v>
      </c>
      <c r="E1329" t="s">
        <v>584</v>
      </c>
      <c r="F1329" t="s">
        <v>581</v>
      </c>
      <c r="G1329" t="s">
        <v>24</v>
      </c>
      <c r="H1329">
        <v>1.7222980000000001</v>
      </c>
      <c r="I1329">
        <v>1.419807</v>
      </c>
      <c r="J1329">
        <v>0.96034419999999998</v>
      </c>
      <c r="K1329">
        <v>0.75622999999999996</v>
      </c>
      <c r="L1329">
        <v>0.42098780000000002</v>
      </c>
      <c r="M1329">
        <v>0.21431430000000001</v>
      </c>
      <c r="N1329">
        <v>9.3564720000000004E-2</v>
      </c>
    </row>
    <row r="1330" spans="1:14" hidden="1" x14ac:dyDescent="0.35">
      <c r="A1330" t="s">
        <v>684</v>
      </c>
      <c r="B1330" t="s">
        <v>74</v>
      </c>
      <c r="C1330" t="s">
        <v>146</v>
      </c>
      <c r="D1330" t="s">
        <v>147</v>
      </c>
      <c r="E1330" t="s">
        <v>584</v>
      </c>
      <c r="F1330" t="s">
        <v>581</v>
      </c>
      <c r="G1330" t="s">
        <v>25</v>
      </c>
      <c r="H1330">
        <v>8.793768</v>
      </c>
      <c r="I1330">
        <v>1.981598</v>
      </c>
      <c r="J1330">
        <v>1.361807</v>
      </c>
      <c r="K1330">
        <v>1.091842</v>
      </c>
      <c r="L1330">
        <v>0.6457986</v>
      </c>
      <c r="M1330">
        <v>0.32602690000000001</v>
      </c>
      <c r="N1330">
        <v>0.15647549999999999</v>
      </c>
    </row>
    <row r="1331" spans="1:14" hidden="1" x14ac:dyDescent="0.35">
      <c r="A1331" t="s">
        <v>684</v>
      </c>
      <c r="B1331" t="s">
        <v>74</v>
      </c>
      <c r="C1331" t="s">
        <v>146</v>
      </c>
      <c r="D1331" t="s">
        <v>147</v>
      </c>
      <c r="E1331" t="s">
        <v>584</v>
      </c>
      <c r="F1331" t="s">
        <v>26</v>
      </c>
      <c r="G1331" t="s">
        <v>26</v>
      </c>
      <c r="H1331">
        <v>15.28637</v>
      </c>
      <c r="I1331">
        <v>9.6243099999999995</v>
      </c>
      <c r="J1331">
        <v>6.5332670000000004</v>
      </c>
      <c r="K1331">
        <v>5.0345219999999999</v>
      </c>
      <c r="L1331">
        <v>2.7846989999999998</v>
      </c>
      <c r="M1331">
        <v>1.5164679999999999</v>
      </c>
      <c r="N1331">
        <v>0.65178190000000003</v>
      </c>
    </row>
    <row r="1332" spans="1:14" hidden="1" x14ac:dyDescent="0.35">
      <c r="A1332" t="s">
        <v>684</v>
      </c>
      <c r="B1332" t="s">
        <v>74</v>
      </c>
      <c r="C1332" t="s">
        <v>146</v>
      </c>
      <c r="D1332" t="s">
        <v>197</v>
      </c>
      <c r="E1332" t="s">
        <v>584</v>
      </c>
      <c r="F1332" t="s">
        <v>581</v>
      </c>
      <c r="G1332" t="s">
        <v>24</v>
      </c>
      <c r="H1332">
        <v>0.26313300000000001</v>
      </c>
      <c r="I1332">
        <v>0.30045529999999998</v>
      </c>
      <c r="J1332">
        <v>0.20295160000000001</v>
      </c>
      <c r="K1332">
        <v>0.1739279</v>
      </c>
      <c r="L1332">
        <v>0</v>
      </c>
    </row>
    <row r="1333" spans="1:14" hidden="1" x14ac:dyDescent="0.35">
      <c r="A1333" t="s">
        <v>684</v>
      </c>
      <c r="B1333" t="s">
        <v>74</v>
      </c>
      <c r="C1333" t="s">
        <v>146</v>
      </c>
      <c r="D1333" t="s">
        <v>197</v>
      </c>
      <c r="E1333" t="s">
        <v>584</v>
      </c>
      <c r="F1333" t="s">
        <v>581</v>
      </c>
      <c r="G1333" t="s">
        <v>25</v>
      </c>
      <c r="H1333">
        <v>8.1986299999999998E-2</v>
      </c>
      <c r="I1333">
        <v>7.5952400000000003E-2</v>
      </c>
      <c r="J1333">
        <v>5.1304450000000001E-2</v>
      </c>
      <c r="K1333">
        <v>4.3967470000000002E-2</v>
      </c>
      <c r="L1333">
        <v>0</v>
      </c>
    </row>
    <row r="1334" spans="1:14" hidden="1" x14ac:dyDescent="0.35">
      <c r="A1334" t="s">
        <v>684</v>
      </c>
      <c r="B1334" t="s">
        <v>74</v>
      </c>
      <c r="C1334" t="s">
        <v>146</v>
      </c>
      <c r="D1334" t="s">
        <v>197</v>
      </c>
      <c r="E1334" t="s">
        <v>584</v>
      </c>
      <c r="F1334" t="s">
        <v>26</v>
      </c>
      <c r="G1334" t="s">
        <v>26</v>
      </c>
      <c r="H1334">
        <v>0.78256130000000002</v>
      </c>
      <c r="I1334">
        <v>0.83769709999999997</v>
      </c>
      <c r="J1334">
        <v>0.56584789999999996</v>
      </c>
      <c r="K1334">
        <v>0.4849272</v>
      </c>
      <c r="L1334">
        <v>0</v>
      </c>
    </row>
    <row r="1335" spans="1:14" hidden="1" x14ac:dyDescent="0.35">
      <c r="A1335" t="s">
        <v>684</v>
      </c>
      <c r="B1335" t="s">
        <v>74</v>
      </c>
      <c r="C1335" t="s">
        <v>87</v>
      </c>
      <c r="D1335" t="s">
        <v>88</v>
      </c>
      <c r="E1335" t="s">
        <v>584</v>
      </c>
      <c r="F1335" t="s">
        <v>581</v>
      </c>
      <c r="G1335" t="s">
        <v>396</v>
      </c>
      <c r="H1335">
        <v>2.1238990000000002</v>
      </c>
      <c r="I1335">
        <v>3.3577780000000002</v>
      </c>
      <c r="J1335">
        <v>5.6991759999999996</v>
      </c>
      <c r="K1335">
        <v>4.3256259999999997</v>
      </c>
      <c r="L1335">
        <v>3.537652</v>
      </c>
      <c r="M1335">
        <v>2.8191419999999998</v>
      </c>
      <c r="N1335">
        <v>2.398596</v>
      </c>
    </row>
    <row r="1336" spans="1:14" hidden="1" x14ac:dyDescent="0.35">
      <c r="A1336" t="s">
        <v>684</v>
      </c>
      <c r="B1336" t="s">
        <v>74</v>
      </c>
      <c r="C1336" t="s">
        <v>87</v>
      </c>
      <c r="D1336" t="s">
        <v>88</v>
      </c>
      <c r="E1336" t="s">
        <v>584</v>
      </c>
      <c r="F1336" t="s">
        <v>581</v>
      </c>
      <c r="G1336" t="s">
        <v>24</v>
      </c>
      <c r="H1336">
        <v>2.152272</v>
      </c>
      <c r="I1336">
        <v>2.1277689999999998</v>
      </c>
      <c r="J1336">
        <v>1.6851449999999999</v>
      </c>
      <c r="K1336">
        <v>1.5770409999999999</v>
      </c>
      <c r="L1336">
        <v>1.4019630000000001</v>
      </c>
      <c r="M1336">
        <v>1.231263</v>
      </c>
      <c r="N1336">
        <v>1.141824</v>
      </c>
    </row>
    <row r="1337" spans="1:14" hidden="1" x14ac:dyDescent="0.35">
      <c r="A1337" t="s">
        <v>684</v>
      </c>
      <c r="B1337" t="s">
        <v>74</v>
      </c>
      <c r="C1337" t="s">
        <v>87</v>
      </c>
      <c r="D1337" t="s">
        <v>88</v>
      </c>
      <c r="E1337" t="s">
        <v>584</v>
      </c>
      <c r="F1337" t="s">
        <v>581</v>
      </c>
      <c r="G1337" t="s">
        <v>25</v>
      </c>
      <c r="H1337">
        <v>7.6633149999999999</v>
      </c>
      <c r="I1337">
        <v>4.7875610000000002</v>
      </c>
      <c r="J1337">
        <v>4.4780639999999998</v>
      </c>
      <c r="K1337">
        <v>3.351359</v>
      </c>
      <c r="L1337">
        <v>3.3164750000000001</v>
      </c>
      <c r="M1337">
        <v>2.5713499999999998</v>
      </c>
      <c r="N1337">
        <v>2.1971400000000001</v>
      </c>
    </row>
    <row r="1338" spans="1:14" hidden="1" x14ac:dyDescent="0.35">
      <c r="A1338" t="s">
        <v>684</v>
      </c>
      <c r="B1338" t="s">
        <v>74</v>
      </c>
      <c r="C1338" t="s">
        <v>87</v>
      </c>
      <c r="D1338" t="s">
        <v>88</v>
      </c>
      <c r="E1338" t="s">
        <v>584</v>
      </c>
      <c r="F1338" t="s">
        <v>26</v>
      </c>
      <c r="G1338" t="s">
        <v>26</v>
      </c>
      <c r="H1338">
        <v>9.3743069999999999</v>
      </c>
      <c r="I1338">
        <v>9.1112110000000008</v>
      </c>
      <c r="J1338">
        <v>10.63931</v>
      </c>
      <c r="K1338">
        <v>8.7960139999999996</v>
      </c>
      <c r="L1338">
        <v>7.9694370000000001</v>
      </c>
      <c r="M1338">
        <v>7.0684959999999997</v>
      </c>
      <c r="N1338">
        <v>6.9287679999999998</v>
      </c>
    </row>
    <row r="1339" spans="1:14" hidden="1" x14ac:dyDescent="0.35">
      <c r="A1339" t="s">
        <v>684</v>
      </c>
      <c r="B1339" t="s">
        <v>74</v>
      </c>
      <c r="C1339" t="s">
        <v>87</v>
      </c>
      <c r="D1339" t="s">
        <v>130</v>
      </c>
      <c r="E1339" t="s">
        <v>584</v>
      </c>
      <c r="F1339" t="s">
        <v>581</v>
      </c>
      <c r="G1339" t="s">
        <v>396</v>
      </c>
      <c r="H1339">
        <v>0.88031890000000002</v>
      </c>
      <c r="I1339">
        <v>0.74414910000000001</v>
      </c>
      <c r="J1339">
        <v>0.63067949999999995</v>
      </c>
      <c r="K1339">
        <v>0.49366769999999999</v>
      </c>
      <c r="L1339">
        <v>0.4809447</v>
      </c>
      <c r="M1339">
        <v>0.40256589999999998</v>
      </c>
      <c r="N1339">
        <v>0.36706070000000002</v>
      </c>
    </row>
    <row r="1340" spans="1:14" hidden="1" x14ac:dyDescent="0.35">
      <c r="A1340" t="s">
        <v>684</v>
      </c>
      <c r="B1340" t="s">
        <v>74</v>
      </c>
      <c r="C1340" t="s">
        <v>87</v>
      </c>
      <c r="D1340" t="s">
        <v>130</v>
      </c>
      <c r="E1340" t="s">
        <v>584</v>
      </c>
      <c r="F1340" t="s">
        <v>581</v>
      </c>
      <c r="G1340" t="s">
        <v>24</v>
      </c>
      <c r="H1340">
        <v>3.4135740000000001</v>
      </c>
      <c r="I1340">
        <v>2.5621330000000002</v>
      </c>
      <c r="J1340">
        <v>1.9769060000000001</v>
      </c>
      <c r="K1340">
        <v>1.9886600000000001</v>
      </c>
      <c r="L1340">
        <v>2.1737799999999998</v>
      </c>
      <c r="M1340">
        <v>2.1862300000000001</v>
      </c>
      <c r="N1340">
        <v>1.8954299999999999</v>
      </c>
    </row>
    <row r="1341" spans="1:14" hidden="1" x14ac:dyDescent="0.35">
      <c r="A1341" t="s">
        <v>684</v>
      </c>
      <c r="B1341" t="s">
        <v>74</v>
      </c>
      <c r="C1341" t="s">
        <v>87</v>
      </c>
      <c r="D1341" t="s">
        <v>130</v>
      </c>
      <c r="E1341" t="s">
        <v>584</v>
      </c>
      <c r="F1341" t="s">
        <v>581</v>
      </c>
      <c r="G1341" t="s">
        <v>25</v>
      </c>
      <c r="H1341">
        <v>0.2285411</v>
      </c>
      <c r="I1341">
        <v>0.171537</v>
      </c>
      <c r="J1341">
        <v>0.14899960000000001</v>
      </c>
      <c r="K1341">
        <v>0.18687409999999999</v>
      </c>
      <c r="L1341">
        <v>0.28834179999999998</v>
      </c>
      <c r="M1341">
        <v>0.2899949</v>
      </c>
      <c r="N1341">
        <v>0.2701344</v>
      </c>
    </row>
    <row r="1342" spans="1:14" hidden="1" x14ac:dyDescent="0.35">
      <c r="A1342" t="s">
        <v>684</v>
      </c>
      <c r="B1342" t="s">
        <v>74</v>
      </c>
      <c r="C1342" t="s">
        <v>87</v>
      </c>
      <c r="D1342" t="s">
        <v>130</v>
      </c>
      <c r="E1342" t="s">
        <v>584</v>
      </c>
      <c r="F1342" t="s">
        <v>26</v>
      </c>
      <c r="G1342" t="s">
        <v>26</v>
      </c>
      <c r="H1342">
        <v>2.8371379999999999</v>
      </c>
      <c r="I1342">
        <v>2.1294770000000001</v>
      </c>
      <c r="J1342">
        <v>1.693959</v>
      </c>
      <c r="K1342">
        <v>3.1018789999999998</v>
      </c>
      <c r="L1342">
        <v>4.1462979999999998</v>
      </c>
      <c r="M1342">
        <v>4.1010650000000002</v>
      </c>
      <c r="N1342">
        <v>3.4316810000000002</v>
      </c>
    </row>
    <row r="1343" spans="1:14" hidden="1" x14ac:dyDescent="0.35">
      <c r="A1343" t="s">
        <v>684</v>
      </c>
      <c r="B1343" t="s">
        <v>74</v>
      </c>
      <c r="C1343" t="s">
        <v>87</v>
      </c>
      <c r="D1343" t="s">
        <v>89</v>
      </c>
      <c r="E1343" t="s">
        <v>584</v>
      </c>
      <c r="F1343" t="s">
        <v>581</v>
      </c>
      <c r="G1343" t="s">
        <v>396</v>
      </c>
      <c r="H1343">
        <v>2.3373330000000001</v>
      </c>
      <c r="I1343">
        <v>2.2605200000000001</v>
      </c>
      <c r="J1343">
        <v>2.2612709999999998</v>
      </c>
      <c r="K1343">
        <v>2.2612709999999998</v>
      </c>
      <c r="L1343">
        <v>2.157327</v>
      </c>
      <c r="M1343">
        <v>1.8735809999999999</v>
      </c>
      <c r="N1343">
        <v>1.615543</v>
      </c>
    </row>
    <row r="1344" spans="1:14" hidden="1" x14ac:dyDescent="0.35">
      <c r="A1344" t="s">
        <v>684</v>
      </c>
      <c r="B1344" t="s">
        <v>74</v>
      </c>
      <c r="C1344" t="s">
        <v>87</v>
      </c>
      <c r="D1344" t="s">
        <v>89</v>
      </c>
      <c r="E1344" t="s">
        <v>584</v>
      </c>
      <c r="F1344" t="s">
        <v>581</v>
      </c>
      <c r="G1344" t="s">
        <v>25</v>
      </c>
      <c r="H1344">
        <v>0.20729400000000001</v>
      </c>
      <c r="I1344">
        <v>0.1100867</v>
      </c>
      <c r="J1344">
        <v>0.110122</v>
      </c>
      <c r="K1344">
        <v>0.110122</v>
      </c>
      <c r="L1344">
        <v>0.1050596</v>
      </c>
      <c r="M1344">
        <v>9.1242509999999999E-2</v>
      </c>
      <c r="N1344">
        <v>7.8675830000000002E-2</v>
      </c>
    </row>
    <row r="1345" spans="1:14" hidden="1" x14ac:dyDescent="0.35">
      <c r="A1345" t="s">
        <v>684</v>
      </c>
      <c r="B1345" t="s">
        <v>74</v>
      </c>
      <c r="C1345" t="s">
        <v>87</v>
      </c>
      <c r="D1345" t="s">
        <v>89</v>
      </c>
      <c r="E1345" t="s">
        <v>584</v>
      </c>
      <c r="F1345" t="s">
        <v>26</v>
      </c>
      <c r="G1345" t="s">
        <v>26</v>
      </c>
      <c r="H1345">
        <v>0.60171839999999999</v>
      </c>
      <c r="I1345">
        <v>0.49510589999999999</v>
      </c>
      <c r="J1345">
        <v>0.49527060000000001</v>
      </c>
      <c r="K1345">
        <v>0.49527060000000001</v>
      </c>
      <c r="L1345">
        <v>0.47250370000000003</v>
      </c>
      <c r="M1345">
        <v>0.41035769999999999</v>
      </c>
      <c r="N1345">
        <v>0.35384199999999999</v>
      </c>
    </row>
    <row r="1346" spans="1:14" hidden="1" x14ac:dyDescent="0.35">
      <c r="A1346" t="s">
        <v>684</v>
      </c>
      <c r="B1346" t="s">
        <v>74</v>
      </c>
      <c r="C1346" t="s">
        <v>87</v>
      </c>
      <c r="D1346" t="s">
        <v>90</v>
      </c>
      <c r="E1346" t="s">
        <v>584</v>
      </c>
      <c r="F1346" t="s">
        <v>581</v>
      </c>
      <c r="G1346" t="s">
        <v>396</v>
      </c>
      <c r="L1346">
        <v>0</v>
      </c>
      <c r="M1346">
        <v>1.5248299999999999</v>
      </c>
      <c r="N1346">
        <v>1.399926</v>
      </c>
    </row>
    <row r="1347" spans="1:14" hidden="1" x14ac:dyDescent="0.35">
      <c r="A1347" t="s">
        <v>684</v>
      </c>
      <c r="B1347" t="s">
        <v>74</v>
      </c>
      <c r="C1347" t="s">
        <v>87</v>
      </c>
      <c r="D1347" t="s">
        <v>90</v>
      </c>
      <c r="E1347" t="s">
        <v>584</v>
      </c>
      <c r="F1347" t="s">
        <v>581</v>
      </c>
      <c r="G1347" t="s">
        <v>25</v>
      </c>
      <c r="L1347">
        <v>0</v>
      </c>
      <c r="M1347">
        <v>0.46678360000000002</v>
      </c>
      <c r="N1347">
        <v>0.42855070000000001</v>
      </c>
    </row>
    <row r="1348" spans="1:14" hidden="1" x14ac:dyDescent="0.35">
      <c r="A1348" t="s">
        <v>684</v>
      </c>
      <c r="B1348" t="s">
        <v>74</v>
      </c>
      <c r="C1348" t="s">
        <v>87</v>
      </c>
      <c r="D1348" t="s">
        <v>90</v>
      </c>
      <c r="E1348" t="s">
        <v>584</v>
      </c>
      <c r="F1348" t="s">
        <v>26</v>
      </c>
      <c r="G1348" t="s">
        <v>26</v>
      </c>
      <c r="L1348">
        <v>0</v>
      </c>
      <c r="M1348">
        <v>2.2561260000000001</v>
      </c>
      <c r="N1348">
        <v>2.0713180000000002</v>
      </c>
    </row>
    <row r="1349" spans="1:14" hidden="1" x14ac:dyDescent="0.35">
      <c r="A1349" t="s">
        <v>684</v>
      </c>
      <c r="B1349" t="s">
        <v>74</v>
      </c>
      <c r="C1349" t="s">
        <v>87</v>
      </c>
      <c r="D1349" t="s">
        <v>199</v>
      </c>
      <c r="E1349" t="s">
        <v>584</v>
      </c>
      <c r="F1349" t="s">
        <v>581</v>
      </c>
      <c r="G1349" t="s">
        <v>24</v>
      </c>
      <c r="H1349">
        <v>0.36493740000000002</v>
      </c>
      <c r="I1349">
        <v>0.35650349999999997</v>
      </c>
      <c r="J1349">
        <v>0.2704725</v>
      </c>
      <c r="K1349">
        <v>9.3118419999999993E-2</v>
      </c>
      <c r="L1349">
        <v>0.11901490000000001</v>
      </c>
      <c r="M1349">
        <v>0.20118159999999999</v>
      </c>
      <c r="N1349">
        <v>0.2266223</v>
      </c>
    </row>
    <row r="1350" spans="1:14" hidden="1" x14ac:dyDescent="0.35">
      <c r="A1350" t="s">
        <v>684</v>
      </c>
      <c r="B1350" t="s">
        <v>74</v>
      </c>
      <c r="C1350" t="s">
        <v>87</v>
      </c>
      <c r="D1350" t="s">
        <v>199</v>
      </c>
      <c r="E1350" t="s">
        <v>584</v>
      </c>
      <c r="F1350" t="s">
        <v>581</v>
      </c>
      <c r="G1350" t="s">
        <v>25</v>
      </c>
      <c r="H1350">
        <v>0.24571229999999999</v>
      </c>
      <c r="I1350">
        <v>0.24003360000000001</v>
      </c>
      <c r="J1350">
        <v>0.1821094</v>
      </c>
      <c r="K1350">
        <v>6.2696500000000002E-2</v>
      </c>
      <c r="L1350">
        <v>7.7497620000000003E-2</v>
      </c>
      <c r="M1350">
        <v>0.1287412</v>
      </c>
      <c r="N1350">
        <v>0.1445198</v>
      </c>
    </row>
    <row r="1351" spans="1:14" hidden="1" x14ac:dyDescent="0.35">
      <c r="A1351" t="s">
        <v>684</v>
      </c>
      <c r="B1351" t="s">
        <v>74</v>
      </c>
      <c r="C1351" t="s">
        <v>87</v>
      </c>
      <c r="D1351" t="s">
        <v>199</v>
      </c>
      <c r="E1351" t="s">
        <v>584</v>
      </c>
      <c r="F1351" t="s">
        <v>26</v>
      </c>
      <c r="G1351" t="s">
        <v>26</v>
      </c>
      <c r="H1351">
        <v>1.234022</v>
      </c>
      <c r="I1351">
        <v>1.2055020000000001</v>
      </c>
      <c r="J1351">
        <v>0.9145915</v>
      </c>
      <c r="K1351">
        <v>0.3148765</v>
      </c>
      <c r="L1351">
        <v>0.35947990000000002</v>
      </c>
      <c r="M1351">
        <v>0.5708105</v>
      </c>
      <c r="N1351">
        <v>0.63482119999999997</v>
      </c>
    </row>
    <row r="1352" spans="1:14" hidden="1" x14ac:dyDescent="0.35">
      <c r="A1352" t="s">
        <v>684</v>
      </c>
      <c r="B1352" t="s">
        <v>74</v>
      </c>
      <c r="C1352" t="s">
        <v>71</v>
      </c>
      <c r="D1352" t="s">
        <v>77</v>
      </c>
      <c r="E1352" t="s">
        <v>584</v>
      </c>
      <c r="F1352" t="s">
        <v>581</v>
      </c>
      <c r="G1352" t="s">
        <v>396</v>
      </c>
      <c r="H1352">
        <v>1.6472100000000001</v>
      </c>
      <c r="I1352">
        <v>1.1205989999999999</v>
      </c>
      <c r="J1352">
        <v>0.87337140000000002</v>
      </c>
      <c r="K1352">
        <v>0.71877570000000002</v>
      </c>
      <c r="L1352">
        <v>0.50848870000000002</v>
      </c>
      <c r="M1352">
        <v>0.42715619999999999</v>
      </c>
      <c r="N1352">
        <v>0.33689760000000002</v>
      </c>
    </row>
    <row r="1353" spans="1:14" hidden="1" x14ac:dyDescent="0.35">
      <c r="A1353" t="s">
        <v>684</v>
      </c>
      <c r="B1353" t="s">
        <v>74</v>
      </c>
      <c r="C1353" t="s">
        <v>71</v>
      </c>
      <c r="D1353" t="s">
        <v>77</v>
      </c>
      <c r="E1353" t="s">
        <v>584</v>
      </c>
      <c r="F1353" t="s">
        <v>581</v>
      </c>
      <c r="G1353" t="s">
        <v>25</v>
      </c>
      <c r="H1353">
        <v>2.306331E-2</v>
      </c>
      <c r="I1353">
        <v>1.459616E-2</v>
      </c>
      <c r="J1353">
        <v>1.4231229999999999E-2</v>
      </c>
      <c r="K1353">
        <v>1.289205E-2</v>
      </c>
      <c r="L1353">
        <v>1.070367E-2</v>
      </c>
      <c r="M1353">
        <v>9.0402199999999999E-3</v>
      </c>
      <c r="N1353">
        <v>7.6098620000000002E-3</v>
      </c>
    </row>
    <row r="1354" spans="1:14" hidden="1" x14ac:dyDescent="0.35">
      <c r="A1354" t="s">
        <v>684</v>
      </c>
      <c r="B1354" t="s">
        <v>74</v>
      </c>
      <c r="C1354" t="s">
        <v>71</v>
      </c>
      <c r="D1354" t="s">
        <v>76</v>
      </c>
      <c r="E1354" t="s">
        <v>584</v>
      </c>
      <c r="F1354" t="s">
        <v>581</v>
      </c>
      <c r="G1354" t="s">
        <v>396</v>
      </c>
      <c r="H1354">
        <v>5.401425E-2</v>
      </c>
      <c r="I1354">
        <v>4.7203290000000002E-2</v>
      </c>
      <c r="J1354">
        <v>4.7220819999999997E-2</v>
      </c>
      <c r="K1354">
        <v>3.3265749999999997E-2</v>
      </c>
      <c r="L1354">
        <v>0</v>
      </c>
      <c r="M1354">
        <v>0</v>
      </c>
      <c r="N1354">
        <v>0</v>
      </c>
    </row>
    <row r="1355" spans="1:14" hidden="1" x14ac:dyDescent="0.35">
      <c r="A1355" t="s">
        <v>686</v>
      </c>
      <c r="B1355" t="s">
        <v>34</v>
      </c>
      <c r="C1355" t="s">
        <v>33</v>
      </c>
      <c r="D1355" t="s">
        <v>33</v>
      </c>
      <c r="E1355" t="s">
        <v>605</v>
      </c>
      <c r="F1355" t="s">
        <v>581</v>
      </c>
      <c r="G1355" t="s">
        <v>24</v>
      </c>
      <c r="H1355">
        <v>51.919710000000002</v>
      </c>
      <c r="I1355">
        <v>54.709650000000003</v>
      </c>
      <c r="J1355">
        <v>48.164389999999997</v>
      </c>
      <c r="K1355">
        <v>37.887279999999997</v>
      </c>
      <c r="L1355">
        <v>34.943820000000002</v>
      </c>
      <c r="M1355">
        <v>33.897469999999998</v>
      </c>
      <c r="N1355">
        <v>33.866070000000001</v>
      </c>
    </row>
    <row r="1356" spans="1:14" hidden="1" x14ac:dyDescent="0.35">
      <c r="A1356" t="s">
        <v>686</v>
      </c>
      <c r="B1356" t="s">
        <v>34</v>
      </c>
      <c r="C1356" t="s">
        <v>33</v>
      </c>
      <c r="D1356" t="s">
        <v>33</v>
      </c>
      <c r="E1356" t="s">
        <v>605</v>
      </c>
      <c r="F1356" t="s">
        <v>581</v>
      </c>
      <c r="G1356" t="s">
        <v>25</v>
      </c>
      <c r="H1356">
        <v>27.559889999999999</v>
      </c>
      <c r="I1356">
        <v>31.786290000000001</v>
      </c>
      <c r="J1356">
        <v>28.3018</v>
      </c>
      <c r="K1356">
        <v>22.47316</v>
      </c>
      <c r="L1356">
        <v>20.78218</v>
      </c>
      <c r="M1356">
        <v>20.598759999999999</v>
      </c>
      <c r="N1356">
        <v>21.37472</v>
      </c>
    </row>
    <row r="1357" spans="1:14" hidden="1" x14ac:dyDescent="0.35">
      <c r="A1357" t="s">
        <v>686</v>
      </c>
      <c r="B1357" t="s">
        <v>34</v>
      </c>
      <c r="C1357" t="s">
        <v>33</v>
      </c>
      <c r="D1357" t="s">
        <v>33</v>
      </c>
      <c r="E1357" t="s">
        <v>605</v>
      </c>
      <c r="F1357" t="s">
        <v>26</v>
      </c>
      <c r="G1357" t="s">
        <v>26</v>
      </c>
      <c r="H1357">
        <v>47.916980000000002</v>
      </c>
      <c r="I1357">
        <v>53.421900000000001</v>
      </c>
      <c r="J1357">
        <v>47.944839999999999</v>
      </c>
      <c r="K1357">
        <v>38.109020000000001</v>
      </c>
      <c r="L1357">
        <v>35.076140000000002</v>
      </c>
      <c r="M1357">
        <v>35.037230000000001</v>
      </c>
      <c r="N1357">
        <v>36.983669999999996</v>
      </c>
    </row>
    <row r="1358" spans="1:14" hidden="1" x14ac:dyDescent="0.35">
      <c r="A1358" t="s">
        <v>686</v>
      </c>
      <c r="B1358" t="s">
        <v>34</v>
      </c>
      <c r="C1358" t="s">
        <v>33</v>
      </c>
      <c r="D1358" t="s">
        <v>33</v>
      </c>
      <c r="E1358" t="s">
        <v>604</v>
      </c>
      <c r="F1358" t="s">
        <v>581</v>
      </c>
      <c r="G1358" t="s">
        <v>24</v>
      </c>
      <c r="H1358">
        <v>15.56701</v>
      </c>
      <c r="I1358">
        <v>13.00996</v>
      </c>
      <c r="J1358">
        <v>9.8212840000000003</v>
      </c>
      <c r="K1358">
        <v>7.8115059999999996</v>
      </c>
      <c r="L1358">
        <v>6.8974289999999998</v>
      </c>
      <c r="M1358">
        <v>6.5655919999999997</v>
      </c>
      <c r="N1358">
        <v>6.1759360000000001</v>
      </c>
    </row>
    <row r="1359" spans="1:14" hidden="1" x14ac:dyDescent="0.35">
      <c r="A1359" t="s">
        <v>686</v>
      </c>
      <c r="B1359" t="s">
        <v>34</v>
      </c>
      <c r="C1359" t="s">
        <v>33</v>
      </c>
      <c r="D1359" t="s">
        <v>33</v>
      </c>
      <c r="E1359" t="s">
        <v>604</v>
      </c>
      <c r="F1359" t="s">
        <v>581</v>
      </c>
      <c r="G1359" t="s">
        <v>25</v>
      </c>
      <c r="H1359">
        <v>12.810790000000001</v>
      </c>
      <c r="I1359">
        <v>11.509040000000001</v>
      </c>
      <c r="J1359">
        <v>8.6882300000000008</v>
      </c>
      <c r="K1359">
        <v>6.9103180000000002</v>
      </c>
      <c r="L1359">
        <v>6.1017010000000003</v>
      </c>
      <c r="M1359">
        <v>5.8081399999999999</v>
      </c>
      <c r="N1359">
        <v>5.4634419999999997</v>
      </c>
    </row>
    <row r="1360" spans="1:14" hidden="1" x14ac:dyDescent="0.35">
      <c r="A1360" t="s">
        <v>686</v>
      </c>
      <c r="B1360" t="s">
        <v>34</v>
      </c>
      <c r="C1360" t="s">
        <v>33</v>
      </c>
      <c r="D1360" t="s">
        <v>33</v>
      </c>
      <c r="E1360" t="s">
        <v>604</v>
      </c>
      <c r="F1360" t="s">
        <v>26</v>
      </c>
      <c r="G1360" t="s">
        <v>26</v>
      </c>
      <c r="H1360">
        <v>30.649709999999999</v>
      </c>
      <c r="I1360">
        <v>25.93215</v>
      </c>
      <c r="J1360">
        <v>19.576309999999999</v>
      </c>
      <c r="K1360">
        <v>15.570320000000001</v>
      </c>
      <c r="L1360">
        <v>13.748340000000001</v>
      </c>
      <c r="M1360">
        <v>13.0869</v>
      </c>
      <c r="N1360">
        <v>12.310230000000001</v>
      </c>
    </row>
    <row r="1361" spans="1:14" hidden="1" x14ac:dyDescent="0.35">
      <c r="A1361" t="s">
        <v>693</v>
      </c>
      <c r="B1361" t="s">
        <v>37</v>
      </c>
      <c r="C1361" t="s">
        <v>63</v>
      </c>
      <c r="D1361" t="s">
        <v>63</v>
      </c>
      <c r="E1361" t="s">
        <v>609</v>
      </c>
      <c r="F1361" t="s">
        <v>581</v>
      </c>
      <c r="G1361" t="s">
        <v>25</v>
      </c>
      <c r="H1361">
        <v>9.3147949999999993E-2</v>
      </c>
      <c r="I1361">
        <v>4.4630139999999999E-2</v>
      </c>
      <c r="J1361">
        <v>3.4887670000000003E-2</v>
      </c>
      <c r="K1361">
        <v>3.605589E-2</v>
      </c>
      <c r="L1361">
        <v>4.9555889999999998E-2</v>
      </c>
      <c r="M1361">
        <v>5.0530409999999998E-2</v>
      </c>
      <c r="N1361">
        <v>3.5732060000000003E-2</v>
      </c>
    </row>
    <row r="1362" spans="1:14" hidden="1" x14ac:dyDescent="0.35">
      <c r="A1362" t="s">
        <v>693</v>
      </c>
      <c r="B1362" t="s">
        <v>37</v>
      </c>
      <c r="C1362" t="s">
        <v>63</v>
      </c>
      <c r="D1362" t="s">
        <v>63</v>
      </c>
      <c r="E1362" t="s">
        <v>609</v>
      </c>
      <c r="F1362" t="s">
        <v>26</v>
      </c>
      <c r="G1362" t="s">
        <v>26</v>
      </c>
      <c r="H1362">
        <v>50.494660000000003</v>
      </c>
      <c r="I1362">
        <v>61.737450000000003</v>
      </c>
      <c r="J1362">
        <v>77.053150000000002</v>
      </c>
      <c r="K1362">
        <v>82.204409999999996</v>
      </c>
      <c r="L1362">
        <v>67.333529999999996</v>
      </c>
      <c r="M1362">
        <v>51.897500000000001</v>
      </c>
      <c r="N1362">
        <v>39.701180000000001</v>
      </c>
    </row>
    <row r="1363" spans="1:14" hidden="1" x14ac:dyDescent="0.35">
      <c r="A1363" t="s">
        <v>693</v>
      </c>
      <c r="B1363" t="s">
        <v>37</v>
      </c>
      <c r="C1363" t="s">
        <v>63</v>
      </c>
      <c r="D1363" t="s">
        <v>63</v>
      </c>
      <c r="E1363" t="s">
        <v>612</v>
      </c>
      <c r="F1363" t="s">
        <v>581</v>
      </c>
      <c r="G1363" t="s">
        <v>24</v>
      </c>
      <c r="H1363">
        <v>7.06548</v>
      </c>
      <c r="I1363">
        <v>8.7656410000000005</v>
      </c>
      <c r="J1363">
        <v>10.778169999999999</v>
      </c>
      <c r="K1363">
        <v>13.34229</v>
      </c>
      <c r="L1363">
        <v>15.402279999999999</v>
      </c>
      <c r="M1363">
        <v>16.564990000000002</v>
      </c>
      <c r="N1363">
        <v>16.800920000000001</v>
      </c>
    </row>
    <row r="1364" spans="1:14" hidden="1" x14ac:dyDescent="0.35">
      <c r="A1364" t="s">
        <v>693</v>
      </c>
      <c r="B1364" t="s">
        <v>37</v>
      </c>
      <c r="C1364" t="s">
        <v>63</v>
      </c>
      <c r="D1364" t="s">
        <v>63</v>
      </c>
      <c r="E1364" t="s">
        <v>612</v>
      </c>
      <c r="F1364" t="s">
        <v>581</v>
      </c>
      <c r="G1364" t="s">
        <v>25</v>
      </c>
      <c r="H1364">
        <v>11.061640000000001</v>
      </c>
      <c r="I1364">
        <v>8.7676219999999994</v>
      </c>
      <c r="J1364">
        <v>10.778169999999999</v>
      </c>
      <c r="K1364">
        <v>13.34229</v>
      </c>
      <c r="L1364">
        <v>15.402279999999999</v>
      </c>
      <c r="M1364">
        <v>16.564979999999998</v>
      </c>
      <c r="N1364">
        <v>16.800930000000001</v>
      </c>
    </row>
    <row r="1365" spans="1:14" hidden="1" x14ac:dyDescent="0.35">
      <c r="A1365" t="s">
        <v>693</v>
      </c>
      <c r="B1365" t="s">
        <v>37</v>
      </c>
      <c r="C1365" t="s">
        <v>63</v>
      </c>
      <c r="D1365" t="s">
        <v>63</v>
      </c>
      <c r="E1365" t="s">
        <v>612</v>
      </c>
      <c r="F1365" t="s">
        <v>26</v>
      </c>
      <c r="G1365" t="s">
        <v>26</v>
      </c>
      <c r="H1365">
        <v>13.530139999999999</v>
      </c>
      <c r="I1365">
        <v>14.93744</v>
      </c>
      <c r="J1365">
        <v>18.36281</v>
      </c>
      <c r="K1365">
        <v>22.731310000000001</v>
      </c>
      <c r="L1365">
        <v>26.240919999999999</v>
      </c>
      <c r="M1365">
        <v>28.221820000000001</v>
      </c>
      <c r="N1365">
        <v>28.623799999999999</v>
      </c>
    </row>
    <row r="1366" spans="1:14" hidden="1" x14ac:dyDescent="0.35">
      <c r="A1366" t="s">
        <v>693</v>
      </c>
      <c r="B1366" t="s">
        <v>37</v>
      </c>
      <c r="C1366" t="s">
        <v>63</v>
      </c>
      <c r="D1366" t="s">
        <v>63</v>
      </c>
      <c r="E1366" t="s">
        <v>610</v>
      </c>
      <c r="F1366" t="s">
        <v>581</v>
      </c>
      <c r="G1366" t="s">
        <v>24</v>
      </c>
      <c r="H1366">
        <v>1.2360850000000001</v>
      </c>
      <c r="I1366">
        <v>1.803974</v>
      </c>
      <c r="J1366">
        <v>1.865094</v>
      </c>
      <c r="K1366">
        <v>1.909926</v>
      </c>
      <c r="L1366">
        <v>1.703049</v>
      </c>
      <c r="M1366">
        <v>1.378682</v>
      </c>
      <c r="N1366">
        <v>1.1354519999999999</v>
      </c>
    </row>
    <row r="1367" spans="1:14" hidden="1" x14ac:dyDescent="0.35">
      <c r="A1367" t="s">
        <v>693</v>
      </c>
      <c r="B1367" t="s">
        <v>37</v>
      </c>
      <c r="C1367" t="s">
        <v>63</v>
      </c>
      <c r="D1367" t="s">
        <v>63</v>
      </c>
      <c r="E1367" t="s">
        <v>610</v>
      </c>
      <c r="F1367" t="s">
        <v>581</v>
      </c>
      <c r="G1367" t="s">
        <v>25</v>
      </c>
      <c r="H1367">
        <v>2.0074000000000001</v>
      </c>
      <c r="I1367">
        <v>4.4921350000000002</v>
      </c>
      <c r="J1367">
        <v>5.0563919999999998</v>
      </c>
      <c r="K1367">
        <v>5.2345920000000001</v>
      </c>
      <c r="L1367">
        <v>4.6695080000000004</v>
      </c>
      <c r="M1367">
        <v>3.760437</v>
      </c>
      <c r="N1367">
        <v>3.0850430000000002</v>
      </c>
    </row>
    <row r="1368" spans="1:14" hidden="1" x14ac:dyDescent="0.35">
      <c r="A1368" t="s">
        <v>693</v>
      </c>
      <c r="B1368" t="s">
        <v>37</v>
      </c>
      <c r="C1368" t="s">
        <v>63</v>
      </c>
      <c r="D1368" t="s">
        <v>63</v>
      </c>
      <c r="E1368" t="s">
        <v>610</v>
      </c>
      <c r="F1368" t="s">
        <v>26</v>
      </c>
      <c r="G1368" t="s">
        <v>26</v>
      </c>
      <c r="H1368">
        <v>7.6756159999999998</v>
      </c>
      <c r="I1368">
        <v>10.60525</v>
      </c>
      <c r="J1368">
        <v>11.72944</v>
      </c>
      <c r="K1368">
        <v>11.95472</v>
      </c>
      <c r="L1368">
        <v>10.657959999999999</v>
      </c>
      <c r="M1368">
        <v>8.6477090000000008</v>
      </c>
      <c r="N1368">
        <v>7.1340320000000004</v>
      </c>
    </row>
    <row r="1369" spans="1:14" hidden="1" x14ac:dyDescent="0.35">
      <c r="A1369" t="s">
        <v>693</v>
      </c>
      <c r="B1369" t="s">
        <v>37</v>
      </c>
      <c r="C1369" t="s">
        <v>63</v>
      </c>
      <c r="D1369" t="s">
        <v>63</v>
      </c>
      <c r="E1369" t="s">
        <v>655</v>
      </c>
      <c r="F1369" t="s">
        <v>581</v>
      </c>
      <c r="G1369" t="s">
        <v>396</v>
      </c>
      <c r="J1369">
        <v>0</v>
      </c>
      <c r="K1369">
        <v>6.3780829999999997E-3</v>
      </c>
      <c r="L1369">
        <v>0.10662629999999999</v>
      </c>
      <c r="M1369">
        <v>7.9712870000000005E-2</v>
      </c>
      <c r="N1369">
        <v>5.0403839999999998E-2</v>
      </c>
    </row>
    <row r="1370" spans="1:14" hidden="1" x14ac:dyDescent="0.35">
      <c r="A1370" t="s">
        <v>693</v>
      </c>
      <c r="B1370" t="s">
        <v>37</v>
      </c>
      <c r="C1370" t="s">
        <v>63</v>
      </c>
      <c r="D1370" t="s">
        <v>63</v>
      </c>
      <c r="E1370" t="s">
        <v>655</v>
      </c>
      <c r="F1370" t="s">
        <v>581</v>
      </c>
      <c r="G1370" t="s">
        <v>25</v>
      </c>
      <c r="J1370">
        <v>0</v>
      </c>
      <c r="K1370">
        <v>1.3663010000000001E-3</v>
      </c>
      <c r="L1370">
        <v>2.2846849999999998E-2</v>
      </c>
      <c r="M1370">
        <v>1.7082190000000001E-2</v>
      </c>
      <c r="N1370">
        <v>1.080219E-2</v>
      </c>
    </row>
    <row r="1371" spans="1:14" hidden="1" x14ac:dyDescent="0.35">
      <c r="A1371" t="s">
        <v>693</v>
      </c>
      <c r="B1371" t="s">
        <v>37</v>
      </c>
      <c r="C1371" t="s">
        <v>63</v>
      </c>
      <c r="D1371" t="s">
        <v>63</v>
      </c>
      <c r="E1371" t="s">
        <v>655</v>
      </c>
      <c r="F1371" t="s">
        <v>26</v>
      </c>
      <c r="G1371" t="s">
        <v>26</v>
      </c>
      <c r="J1371">
        <v>0</v>
      </c>
      <c r="K1371">
        <v>1.365479E-3</v>
      </c>
      <c r="L1371">
        <v>2.284767E-2</v>
      </c>
      <c r="M1371">
        <v>1.708028E-2</v>
      </c>
      <c r="N1371">
        <v>1.0801369999999999E-2</v>
      </c>
    </row>
    <row r="1372" spans="1:14" hidden="1" x14ac:dyDescent="0.35">
      <c r="A1372" t="s">
        <v>693</v>
      </c>
      <c r="B1372" t="s">
        <v>37</v>
      </c>
      <c r="C1372" t="s">
        <v>109</v>
      </c>
      <c r="D1372" t="s">
        <v>109</v>
      </c>
      <c r="E1372" t="s">
        <v>584</v>
      </c>
      <c r="F1372" t="s">
        <v>581</v>
      </c>
      <c r="G1372" t="s">
        <v>24</v>
      </c>
      <c r="H1372">
        <v>1.2847249999999999E-2</v>
      </c>
      <c r="I1372">
        <v>1.1718650000000001E-2</v>
      </c>
      <c r="J1372">
        <v>1.068996E-2</v>
      </c>
      <c r="K1372">
        <v>9.7523120000000008E-3</v>
      </c>
      <c r="L1372">
        <v>8.8964409999999997E-3</v>
      </c>
      <c r="M1372">
        <v>4.2150679999999999E-4</v>
      </c>
      <c r="N1372">
        <v>0</v>
      </c>
    </row>
    <row r="1373" spans="1:14" hidden="1" x14ac:dyDescent="0.35">
      <c r="A1373" t="s">
        <v>693</v>
      </c>
      <c r="B1373" t="s">
        <v>37</v>
      </c>
      <c r="C1373" t="s">
        <v>109</v>
      </c>
      <c r="D1373" t="s">
        <v>109</v>
      </c>
      <c r="E1373" t="s">
        <v>584</v>
      </c>
      <c r="F1373" t="s">
        <v>581</v>
      </c>
      <c r="G1373" t="s">
        <v>25</v>
      </c>
      <c r="H1373">
        <v>2.0386620000000001E-2</v>
      </c>
      <c r="I1373">
        <v>1.9816940000000002E-2</v>
      </c>
      <c r="J1373">
        <v>1.9281550000000001E-2</v>
      </c>
      <c r="K1373">
        <v>1.8763559999999999E-2</v>
      </c>
      <c r="L1373">
        <v>1.826935E-2</v>
      </c>
      <c r="M1373">
        <v>5.0254920000000003E-3</v>
      </c>
      <c r="N1373">
        <v>1.210959E-3</v>
      </c>
    </row>
    <row r="1374" spans="1:14" hidden="1" x14ac:dyDescent="0.35">
      <c r="A1374" t="s">
        <v>693</v>
      </c>
      <c r="B1374" t="s">
        <v>37</v>
      </c>
      <c r="C1374" t="s">
        <v>109</v>
      </c>
      <c r="D1374" t="s">
        <v>109</v>
      </c>
      <c r="E1374" t="s">
        <v>584</v>
      </c>
      <c r="F1374" t="s">
        <v>26</v>
      </c>
      <c r="G1374" t="s">
        <v>26</v>
      </c>
      <c r="H1374">
        <v>0.1081671</v>
      </c>
      <c r="I1374">
        <v>9.2395840000000007E-2</v>
      </c>
      <c r="J1374">
        <v>7.9359810000000003E-2</v>
      </c>
      <c r="K1374">
        <v>6.8561990000000003E-2</v>
      </c>
      <c r="L1374">
        <v>5.9595580000000002E-2</v>
      </c>
      <c r="M1374">
        <v>2.5696759999999999E-2</v>
      </c>
      <c r="N1374">
        <v>7.5649319999999999E-3</v>
      </c>
    </row>
    <row r="1375" spans="1:14" hidden="1" x14ac:dyDescent="0.35">
      <c r="A1375" t="s">
        <v>691</v>
      </c>
      <c r="B1375" t="s">
        <v>34</v>
      </c>
      <c r="C1375" t="s">
        <v>33</v>
      </c>
      <c r="D1375" t="s">
        <v>33</v>
      </c>
      <c r="E1375" t="s">
        <v>605</v>
      </c>
      <c r="F1375" t="s">
        <v>581</v>
      </c>
      <c r="G1375" t="s">
        <v>396</v>
      </c>
      <c r="H1375">
        <v>0.16109589999999999</v>
      </c>
      <c r="I1375">
        <v>0.18353069999999999</v>
      </c>
      <c r="J1375">
        <v>0.19645560000000001</v>
      </c>
      <c r="K1375">
        <v>0.15844520000000001</v>
      </c>
      <c r="L1375">
        <v>0.13143009999999999</v>
      </c>
      <c r="M1375">
        <v>0.11176709999999999</v>
      </c>
      <c r="N1375">
        <v>9.676767E-2</v>
      </c>
    </row>
    <row r="1376" spans="1:14" hidden="1" x14ac:dyDescent="0.35">
      <c r="A1376" t="s">
        <v>691</v>
      </c>
      <c r="B1376" t="s">
        <v>34</v>
      </c>
      <c r="C1376" t="s">
        <v>33</v>
      </c>
      <c r="D1376" t="s">
        <v>33</v>
      </c>
      <c r="E1376" t="s">
        <v>605</v>
      </c>
      <c r="F1376" t="s">
        <v>581</v>
      </c>
      <c r="G1376" t="s">
        <v>25</v>
      </c>
      <c r="H1376">
        <v>10.08986</v>
      </c>
      <c r="I1376">
        <v>9.4983719999999998</v>
      </c>
      <c r="J1376">
        <v>9.8725810000000003</v>
      </c>
      <c r="K1376">
        <v>8.4591750000000001</v>
      </c>
      <c r="L1376">
        <v>7.4204280000000002</v>
      </c>
      <c r="M1376">
        <v>6.8959070000000002</v>
      </c>
      <c r="N1376">
        <v>6.3607940000000003</v>
      </c>
    </row>
    <row r="1377" spans="1:14" hidden="1" x14ac:dyDescent="0.35">
      <c r="A1377" t="s">
        <v>691</v>
      </c>
      <c r="B1377" t="s">
        <v>34</v>
      </c>
      <c r="C1377" t="s">
        <v>33</v>
      </c>
      <c r="D1377" t="s">
        <v>33</v>
      </c>
      <c r="E1377" t="s">
        <v>605</v>
      </c>
      <c r="F1377" t="s">
        <v>26</v>
      </c>
      <c r="G1377" t="s">
        <v>26</v>
      </c>
      <c r="H1377">
        <v>75.521100000000004</v>
      </c>
      <c r="I1377">
        <v>81.948539999999994</v>
      </c>
      <c r="J1377">
        <v>79.708740000000006</v>
      </c>
      <c r="K1377">
        <v>69.768230000000003</v>
      </c>
      <c r="L1377">
        <v>62.789079999999998</v>
      </c>
      <c r="M1377">
        <v>57.024410000000003</v>
      </c>
      <c r="N1377">
        <v>51.514780000000002</v>
      </c>
    </row>
    <row r="1378" spans="1:14" hidden="1" x14ac:dyDescent="0.35">
      <c r="A1378" t="s">
        <v>691</v>
      </c>
      <c r="B1378" t="s">
        <v>34</v>
      </c>
      <c r="C1378" t="s">
        <v>33</v>
      </c>
      <c r="D1378" t="s">
        <v>33</v>
      </c>
      <c r="E1378" t="s">
        <v>604</v>
      </c>
      <c r="F1378" t="s">
        <v>581</v>
      </c>
      <c r="G1378" t="s">
        <v>396</v>
      </c>
      <c r="H1378">
        <v>8.1389359999999993</v>
      </c>
      <c r="I1378">
        <v>9.4703009999999992</v>
      </c>
      <c r="J1378">
        <v>8.9732289999999999</v>
      </c>
      <c r="K1378">
        <v>7.8741009999999996</v>
      </c>
      <c r="L1378">
        <v>7.1115259999999996</v>
      </c>
      <c r="M1378">
        <v>6.5059550000000002</v>
      </c>
      <c r="N1378">
        <v>6.0408220000000004</v>
      </c>
    </row>
    <row r="1379" spans="1:14" hidden="1" x14ac:dyDescent="0.35">
      <c r="A1379" t="s">
        <v>691</v>
      </c>
      <c r="B1379" t="s">
        <v>34</v>
      </c>
      <c r="C1379" t="s">
        <v>33</v>
      </c>
      <c r="D1379" t="s">
        <v>33</v>
      </c>
      <c r="E1379" t="s">
        <v>604</v>
      </c>
      <c r="F1379" t="s">
        <v>581</v>
      </c>
      <c r="G1379" t="s">
        <v>25</v>
      </c>
      <c r="H1379">
        <v>5.7216050000000003</v>
      </c>
      <c r="I1379">
        <v>3.5614089999999998</v>
      </c>
      <c r="J1379">
        <v>3.3410839999999999</v>
      </c>
      <c r="K1379">
        <v>2.9109980000000002</v>
      </c>
      <c r="L1379">
        <v>2.6198769999999998</v>
      </c>
      <c r="M1379">
        <v>2.4093040000000001</v>
      </c>
      <c r="N1379">
        <v>2.2485219999999999</v>
      </c>
    </row>
    <row r="1380" spans="1:14" hidden="1" x14ac:dyDescent="0.35">
      <c r="A1380" t="s">
        <v>691</v>
      </c>
      <c r="B1380" t="s">
        <v>34</v>
      </c>
      <c r="C1380" t="s">
        <v>33</v>
      </c>
      <c r="D1380" t="s">
        <v>33</v>
      </c>
      <c r="E1380" t="s">
        <v>604</v>
      </c>
      <c r="F1380" t="s">
        <v>26</v>
      </c>
      <c r="G1380" t="s">
        <v>26</v>
      </c>
      <c r="H1380">
        <v>18.98574</v>
      </c>
      <c r="I1380">
        <v>16.390529999999998</v>
      </c>
      <c r="J1380">
        <v>15.40996</v>
      </c>
      <c r="K1380">
        <v>13.4537</v>
      </c>
      <c r="L1380">
        <v>12.120559999999999</v>
      </c>
      <c r="M1380">
        <v>11.130380000000001</v>
      </c>
      <c r="N1380">
        <v>10.3735</v>
      </c>
    </row>
    <row r="1381" spans="1:14" hidden="1" x14ac:dyDescent="0.35">
      <c r="A1381" t="s">
        <v>691</v>
      </c>
      <c r="B1381" t="s">
        <v>34</v>
      </c>
      <c r="C1381" t="s">
        <v>33</v>
      </c>
      <c r="D1381" t="s">
        <v>33</v>
      </c>
      <c r="E1381" t="s">
        <v>692</v>
      </c>
      <c r="F1381" t="s">
        <v>581</v>
      </c>
      <c r="G1381" t="s">
        <v>396</v>
      </c>
      <c r="H1381">
        <v>3.9653670000000001</v>
      </c>
      <c r="I1381">
        <v>3.4192339999999999</v>
      </c>
      <c r="J1381">
        <v>2.9988290000000002</v>
      </c>
      <c r="K1381">
        <v>2.6563080000000001</v>
      </c>
      <c r="L1381">
        <v>2.401176</v>
      </c>
      <c r="M1381">
        <v>2.1599110000000001</v>
      </c>
      <c r="N1381">
        <v>1.967433</v>
      </c>
    </row>
    <row r="1382" spans="1:14" hidden="1" x14ac:dyDescent="0.35">
      <c r="A1382" t="s">
        <v>691</v>
      </c>
      <c r="B1382" t="s">
        <v>34</v>
      </c>
      <c r="C1382" t="s">
        <v>33</v>
      </c>
      <c r="D1382" t="s">
        <v>33</v>
      </c>
      <c r="E1382" t="s">
        <v>692</v>
      </c>
      <c r="F1382" t="s">
        <v>581</v>
      </c>
      <c r="G1382" t="s">
        <v>25</v>
      </c>
      <c r="H1382">
        <v>0.38816709999999999</v>
      </c>
      <c r="I1382">
        <v>0.3230441</v>
      </c>
      <c r="J1382">
        <v>0.28332249999999998</v>
      </c>
      <c r="K1382">
        <v>0.2509633</v>
      </c>
      <c r="L1382">
        <v>0.22686249999999999</v>
      </c>
      <c r="M1382">
        <v>0.20406050000000001</v>
      </c>
      <c r="N1382">
        <v>0.18588189999999999</v>
      </c>
    </row>
    <row r="1383" spans="1:14" hidden="1" x14ac:dyDescent="0.35">
      <c r="A1383" t="s">
        <v>691</v>
      </c>
      <c r="B1383" t="s">
        <v>34</v>
      </c>
      <c r="C1383" t="s">
        <v>33</v>
      </c>
      <c r="D1383" t="s">
        <v>33</v>
      </c>
      <c r="E1383" t="s">
        <v>692</v>
      </c>
      <c r="F1383" t="s">
        <v>26</v>
      </c>
      <c r="G1383" t="s">
        <v>26</v>
      </c>
      <c r="H1383">
        <v>0.6176218</v>
      </c>
      <c r="I1383">
        <v>0.51978800000000003</v>
      </c>
      <c r="J1383">
        <v>0.45587889999999998</v>
      </c>
      <c r="K1383">
        <v>0.40380709999999997</v>
      </c>
      <c r="L1383">
        <v>0.36502410000000002</v>
      </c>
      <c r="M1383">
        <v>0.32834770000000002</v>
      </c>
      <c r="N1383">
        <v>0.29908659999999998</v>
      </c>
    </row>
    <row r="1384" spans="1:14" hidden="1" x14ac:dyDescent="0.35">
      <c r="A1384" t="s">
        <v>691</v>
      </c>
      <c r="B1384" t="s">
        <v>34</v>
      </c>
      <c r="C1384" t="s">
        <v>33</v>
      </c>
      <c r="D1384" t="s">
        <v>33</v>
      </c>
      <c r="E1384" t="s">
        <v>584</v>
      </c>
      <c r="F1384" t="s">
        <v>581</v>
      </c>
      <c r="G1384" t="s">
        <v>396</v>
      </c>
      <c r="H1384">
        <v>2.7064110000000001</v>
      </c>
      <c r="I1384">
        <v>2.7085340000000002</v>
      </c>
      <c r="J1384">
        <v>2.4532639999999999</v>
      </c>
      <c r="K1384">
        <v>2.3199990000000001</v>
      </c>
      <c r="L1384">
        <v>2.1724899999999998</v>
      </c>
      <c r="M1384">
        <v>1.9878400000000001</v>
      </c>
      <c r="N1384">
        <v>1.825455</v>
      </c>
    </row>
    <row r="1385" spans="1:14" hidden="1" x14ac:dyDescent="0.35">
      <c r="A1385" t="s">
        <v>691</v>
      </c>
      <c r="B1385" t="s">
        <v>34</v>
      </c>
      <c r="C1385" t="s">
        <v>33</v>
      </c>
      <c r="D1385" t="s">
        <v>33</v>
      </c>
      <c r="E1385" t="s">
        <v>584</v>
      </c>
      <c r="F1385" t="s">
        <v>581</v>
      </c>
      <c r="G1385" t="s">
        <v>24</v>
      </c>
      <c r="H1385">
        <v>1.3216439999999999E-2</v>
      </c>
      <c r="I1385">
        <v>9.3506839999999997E-3</v>
      </c>
      <c r="J1385">
        <v>6.2709590000000004E-3</v>
      </c>
      <c r="K1385">
        <v>4.2265749999999998E-3</v>
      </c>
      <c r="L1385">
        <v>2.8323290000000002E-3</v>
      </c>
      <c r="M1385">
        <v>1.8991780000000001E-3</v>
      </c>
      <c r="N1385">
        <v>1.2728769999999999E-3</v>
      </c>
    </row>
    <row r="1386" spans="1:14" hidden="1" x14ac:dyDescent="0.35">
      <c r="A1386" t="s">
        <v>691</v>
      </c>
      <c r="B1386" t="s">
        <v>34</v>
      </c>
      <c r="C1386" t="s">
        <v>33</v>
      </c>
      <c r="D1386" t="s">
        <v>33</v>
      </c>
      <c r="E1386" t="s">
        <v>584</v>
      </c>
      <c r="F1386" t="s">
        <v>581</v>
      </c>
      <c r="G1386" t="s">
        <v>25</v>
      </c>
      <c r="H1386">
        <v>0.1395151</v>
      </c>
      <c r="I1386">
        <v>9.9487660000000006E-2</v>
      </c>
      <c r="J1386">
        <v>7.2553419999999993E-2</v>
      </c>
      <c r="K1386">
        <v>5.4373980000000002E-2</v>
      </c>
      <c r="L1386">
        <v>4.1883009999999998E-2</v>
      </c>
      <c r="M1386">
        <v>3.2970680000000002E-2</v>
      </c>
      <c r="N1386">
        <v>1.093041E-2</v>
      </c>
    </row>
    <row r="1387" spans="1:14" hidden="1" x14ac:dyDescent="0.35">
      <c r="A1387" t="s">
        <v>691</v>
      </c>
      <c r="B1387" t="s">
        <v>34</v>
      </c>
      <c r="C1387" t="s">
        <v>33</v>
      </c>
      <c r="D1387" t="s">
        <v>33</v>
      </c>
      <c r="E1387" t="s">
        <v>584</v>
      </c>
      <c r="F1387" t="s">
        <v>26</v>
      </c>
      <c r="G1387" t="s">
        <v>26</v>
      </c>
      <c r="H1387">
        <v>1.461811</v>
      </c>
      <c r="I1387">
        <v>1.0574030000000001</v>
      </c>
      <c r="J1387">
        <v>0.76075970000000004</v>
      </c>
      <c r="K1387">
        <v>0.50266849999999996</v>
      </c>
      <c r="L1387">
        <v>0.34718470000000001</v>
      </c>
      <c r="M1387">
        <v>0.26128299999999999</v>
      </c>
      <c r="N1387">
        <v>0.1192532</v>
      </c>
    </row>
    <row r="1388" spans="1:14" hidden="1" x14ac:dyDescent="0.35">
      <c r="A1388" t="s">
        <v>687</v>
      </c>
      <c r="B1388" t="s">
        <v>160</v>
      </c>
      <c r="C1388" t="s">
        <v>159</v>
      </c>
      <c r="D1388" t="s">
        <v>159</v>
      </c>
      <c r="E1388" t="s">
        <v>584</v>
      </c>
      <c r="F1388" t="s">
        <v>581</v>
      </c>
      <c r="G1388" t="s">
        <v>396</v>
      </c>
      <c r="H1388">
        <v>65.881159999999994</v>
      </c>
      <c r="I1388">
        <v>76.242630000000005</v>
      </c>
      <c r="J1388">
        <v>84.064920000000001</v>
      </c>
      <c r="K1388">
        <v>83.837779999999995</v>
      </c>
      <c r="L1388">
        <v>87.593990000000005</v>
      </c>
      <c r="M1388">
        <v>91.650720000000007</v>
      </c>
      <c r="N1388">
        <v>89.484309999999994</v>
      </c>
    </row>
    <row r="1389" spans="1:14" hidden="1" x14ac:dyDescent="0.35">
      <c r="A1389" t="s">
        <v>687</v>
      </c>
      <c r="B1389" t="s">
        <v>160</v>
      </c>
      <c r="C1389" t="s">
        <v>159</v>
      </c>
      <c r="D1389" t="s">
        <v>159</v>
      </c>
      <c r="E1389" t="s">
        <v>584</v>
      </c>
      <c r="F1389" t="s">
        <v>26</v>
      </c>
      <c r="G1389" t="s">
        <v>26</v>
      </c>
      <c r="H1389">
        <v>6.085324</v>
      </c>
      <c r="I1389">
        <v>5.9783600000000003</v>
      </c>
      <c r="J1389">
        <v>8.3552789999999995</v>
      </c>
      <c r="K1389">
        <v>9.0434190000000001</v>
      </c>
      <c r="L1389">
        <v>9.3722980000000007</v>
      </c>
      <c r="M1389">
        <v>10.14475</v>
      </c>
      <c r="N1389">
        <v>9.8539630000000002</v>
      </c>
    </row>
    <row r="1390" spans="1:14" hidden="1" x14ac:dyDescent="0.35">
      <c r="A1390" t="s">
        <v>687</v>
      </c>
      <c r="B1390" t="s">
        <v>160</v>
      </c>
      <c r="C1390" t="s">
        <v>298</v>
      </c>
      <c r="D1390" t="s">
        <v>688</v>
      </c>
      <c r="E1390" t="s">
        <v>584</v>
      </c>
      <c r="F1390" t="s">
        <v>581</v>
      </c>
      <c r="G1390" t="s">
        <v>396</v>
      </c>
      <c r="H1390">
        <v>5.5220409999999998E-2</v>
      </c>
      <c r="I1390">
        <v>5.8186300000000003E-2</v>
      </c>
      <c r="J1390">
        <v>4.8035340000000003E-2</v>
      </c>
      <c r="K1390">
        <v>4.4963009999999998E-2</v>
      </c>
      <c r="L1390">
        <v>3.4434239999999998E-2</v>
      </c>
      <c r="M1390">
        <v>2.7192600000000001E-2</v>
      </c>
      <c r="N1390">
        <v>2.1631919999999999E-2</v>
      </c>
    </row>
    <row r="1391" spans="1:14" hidden="1" x14ac:dyDescent="0.35">
      <c r="A1391" t="s">
        <v>687</v>
      </c>
      <c r="B1391" t="s">
        <v>160</v>
      </c>
      <c r="C1391" t="s">
        <v>309</v>
      </c>
      <c r="D1391" t="s">
        <v>689</v>
      </c>
      <c r="E1391" t="s">
        <v>584</v>
      </c>
      <c r="F1391" t="s">
        <v>581</v>
      </c>
      <c r="G1391" t="s">
        <v>24</v>
      </c>
      <c r="H1391">
        <v>5.1965890000000001E-2</v>
      </c>
      <c r="I1391">
        <v>4.8972189999999999E-2</v>
      </c>
      <c r="J1391">
        <v>1.4520679999999999E-2</v>
      </c>
      <c r="K1391">
        <v>0</v>
      </c>
    </row>
    <row r="1392" spans="1:14" hidden="1" x14ac:dyDescent="0.35">
      <c r="A1392" t="s">
        <v>687</v>
      </c>
      <c r="B1392" t="s">
        <v>160</v>
      </c>
      <c r="C1392" t="s">
        <v>309</v>
      </c>
      <c r="D1392" t="s">
        <v>689</v>
      </c>
      <c r="E1392" t="s">
        <v>584</v>
      </c>
      <c r="F1392" t="s">
        <v>26</v>
      </c>
      <c r="G1392" t="s">
        <v>26</v>
      </c>
      <c r="I1392">
        <v>0</v>
      </c>
      <c r="J1392">
        <v>2.6874249999999999E-2</v>
      </c>
      <c r="K1392">
        <v>0</v>
      </c>
    </row>
    <row r="1393" spans="1:14" hidden="1" x14ac:dyDescent="0.35">
      <c r="A1393" t="s">
        <v>687</v>
      </c>
      <c r="B1393" t="s">
        <v>45</v>
      </c>
      <c r="C1393" t="s">
        <v>44</v>
      </c>
      <c r="D1393" t="s">
        <v>44</v>
      </c>
      <c r="E1393" t="s">
        <v>584</v>
      </c>
      <c r="F1393" t="s">
        <v>581</v>
      </c>
      <c r="G1393" t="s">
        <v>396</v>
      </c>
      <c r="H1393">
        <v>11.270759999999999</v>
      </c>
      <c r="I1393">
        <v>12.3651</v>
      </c>
      <c r="J1393">
        <v>11.977790000000001</v>
      </c>
      <c r="K1393">
        <v>11.332079999999999</v>
      </c>
      <c r="L1393">
        <v>10.171609999999999</v>
      </c>
      <c r="M1393">
        <v>8.6317299999999992</v>
      </c>
      <c r="N1393">
        <v>7.2295910000000001</v>
      </c>
    </row>
    <row r="1394" spans="1:14" hidden="1" x14ac:dyDescent="0.35">
      <c r="A1394" t="s">
        <v>687</v>
      </c>
      <c r="B1394" t="s">
        <v>295</v>
      </c>
      <c r="C1394" t="s">
        <v>294</v>
      </c>
      <c r="D1394" t="s">
        <v>294</v>
      </c>
      <c r="E1394" t="s">
        <v>584</v>
      </c>
      <c r="F1394" t="s">
        <v>581</v>
      </c>
      <c r="G1394" t="s">
        <v>24</v>
      </c>
      <c r="J1394">
        <v>0</v>
      </c>
      <c r="K1394">
        <v>4.167123E-3</v>
      </c>
      <c r="L1394">
        <v>0.33255479999999998</v>
      </c>
      <c r="M1394">
        <v>0.45178109999999999</v>
      </c>
      <c r="N1394">
        <v>0.45178089999999999</v>
      </c>
    </row>
    <row r="1395" spans="1:14" hidden="1" x14ac:dyDescent="0.35">
      <c r="A1395" t="s">
        <v>687</v>
      </c>
      <c r="B1395" t="s">
        <v>295</v>
      </c>
      <c r="C1395" t="s">
        <v>294</v>
      </c>
      <c r="D1395" t="s">
        <v>294</v>
      </c>
      <c r="E1395" t="s">
        <v>584</v>
      </c>
      <c r="F1395" t="s">
        <v>26</v>
      </c>
      <c r="G1395" t="s">
        <v>26</v>
      </c>
      <c r="J1395">
        <v>0</v>
      </c>
      <c r="K1395">
        <v>3.0561100000000001E-2</v>
      </c>
      <c r="L1395">
        <v>4.8718599999999999</v>
      </c>
      <c r="M1395">
        <v>7.0011989999999997</v>
      </c>
      <c r="N1395">
        <v>6.9808219999999999</v>
      </c>
    </row>
    <row r="1396" spans="1:14" hidden="1" x14ac:dyDescent="0.35">
      <c r="A1396" t="s">
        <v>687</v>
      </c>
      <c r="B1396" t="s">
        <v>192</v>
      </c>
      <c r="C1396" t="s">
        <v>44</v>
      </c>
      <c r="D1396" t="s">
        <v>44</v>
      </c>
      <c r="E1396" t="s">
        <v>584</v>
      </c>
      <c r="F1396" t="s">
        <v>581</v>
      </c>
      <c r="G1396" t="s">
        <v>396</v>
      </c>
      <c r="H1396">
        <v>0.74169859999999999</v>
      </c>
      <c r="I1396">
        <v>0.62640870000000004</v>
      </c>
      <c r="J1396">
        <v>0.52984489999999995</v>
      </c>
      <c r="K1396">
        <v>0.44916159999999999</v>
      </c>
      <c r="L1396">
        <v>0.38377250000000002</v>
      </c>
      <c r="M1396">
        <v>0.33109539999999998</v>
      </c>
      <c r="N1396">
        <v>0.28594999999999998</v>
      </c>
    </row>
    <row r="1397" spans="1:14" hidden="1" x14ac:dyDescent="0.35">
      <c r="A1397" t="s">
        <v>687</v>
      </c>
      <c r="B1397" t="s">
        <v>282</v>
      </c>
      <c r="C1397" t="s">
        <v>365</v>
      </c>
      <c r="D1397" t="s">
        <v>365</v>
      </c>
      <c r="E1397" t="s">
        <v>584</v>
      </c>
      <c r="F1397" t="s">
        <v>581</v>
      </c>
      <c r="G1397" t="s">
        <v>24</v>
      </c>
      <c r="N1397">
        <v>0</v>
      </c>
    </row>
    <row r="1398" spans="1:14" hidden="1" x14ac:dyDescent="0.35">
      <c r="A1398" t="s">
        <v>687</v>
      </c>
      <c r="B1398" t="s">
        <v>282</v>
      </c>
      <c r="C1398" t="s">
        <v>365</v>
      </c>
      <c r="D1398" t="s">
        <v>365</v>
      </c>
      <c r="E1398" t="s">
        <v>584</v>
      </c>
      <c r="F1398" t="s">
        <v>581</v>
      </c>
      <c r="G1398" t="s">
        <v>25</v>
      </c>
      <c r="N1398">
        <v>0</v>
      </c>
    </row>
    <row r="1399" spans="1:14" hidden="1" x14ac:dyDescent="0.35">
      <c r="A1399" t="s">
        <v>687</v>
      </c>
      <c r="B1399" t="s">
        <v>282</v>
      </c>
      <c r="C1399" t="s">
        <v>365</v>
      </c>
      <c r="D1399" t="s">
        <v>365</v>
      </c>
      <c r="E1399" t="s">
        <v>584</v>
      </c>
      <c r="F1399" t="s">
        <v>26</v>
      </c>
      <c r="G1399" t="s">
        <v>26</v>
      </c>
      <c r="N1399">
        <v>0</v>
      </c>
    </row>
    <row r="1400" spans="1:14" hidden="1" x14ac:dyDescent="0.35">
      <c r="A1400" t="s">
        <v>690</v>
      </c>
      <c r="B1400" t="s">
        <v>37</v>
      </c>
      <c r="C1400" t="s">
        <v>118</v>
      </c>
      <c r="D1400" t="s">
        <v>118</v>
      </c>
      <c r="E1400" t="s">
        <v>584</v>
      </c>
      <c r="F1400" t="s">
        <v>581</v>
      </c>
      <c r="G1400" t="s">
        <v>24</v>
      </c>
      <c r="H1400">
        <v>4.1770250000000004</v>
      </c>
      <c r="I1400">
        <v>4.4932400000000001</v>
      </c>
      <c r="J1400">
        <v>4.5393819999999998</v>
      </c>
      <c r="K1400">
        <v>4.2657629999999997</v>
      </c>
      <c r="L1400">
        <v>3.990586</v>
      </c>
      <c r="M1400">
        <v>3.9100030000000001</v>
      </c>
      <c r="N1400">
        <v>3.8354020000000002</v>
      </c>
    </row>
    <row r="1401" spans="1:14" hidden="1" x14ac:dyDescent="0.35">
      <c r="A1401" t="s">
        <v>690</v>
      </c>
      <c r="B1401" t="s">
        <v>37</v>
      </c>
      <c r="C1401" t="s">
        <v>118</v>
      </c>
      <c r="D1401" t="s">
        <v>118</v>
      </c>
      <c r="E1401" t="s">
        <v>584</v>
      </c>
      <c r="F1401" t="s">
        <v>26</v>
      </c>
      <c r="G1401" t="s">
        <v>26</v>
      </c>
      <c r="H1401">
        <v>106.01900000000001</v>
      </c>
      <c r="I1401">
        <v>107.774</v>
      </c>
      <c r="J1401">
        <v>107.8433</v>
      </c>
      <c r="K1401">
        <v>101.42619999999999</v>
      </c>
      <c r="L1401">
        <v>95.007869999999997</v>
      </c>
      <c r="M1401">
        <v>93.216570000000004</v>
      </c>
      <c r="N1401">
        <v>91.524280000000005</v>
      </c>
    </row>
    <row r="1402" spans="1:14" hidden="1" x14ac:dyDescent="0.35">
      <c r="A1402" t="s">
        <v>694</v>
      </c>
      <c r="B1402" t="s">
        <v>37</v>
      </c>
      <c r="C1402" t="s">
        <v>51</v>
      </c>
      <c r="D1402" t="s">
        <v>51</v>
      </c>
      <c r="E1402" t="s">
        <v>602</v>
      </c>
      <c r="F1402" t="s">
        <v>581</v>
      </c>
      <c r="G1402" t="s">
        <v>396</v>
      </c>
      <c r="H1402">
        <v>71.280799999999999</v>
      </c>
      <c r="I1402">
        <v>55.057070000000003</v>
      </c>
      <c r="J1402">
        <v>65.402829999999994</v>
      </c>
      <c r="K1402">
        <v>56.425159999999998</v>
      </c>
      <c r="L1402">
        <v>46.577120000000001</v>
      </c>
      <c r="M1402">
        <v>36.974930000000001</v>
      </c>
      <c r="N1402">
        <v>30.777170000000002</v>
      </c>
    </row>
    <row r="1403" spans="1:14" hidden="1" x14ac:dyDescent="0.35">
      <c r="A1403" t="s">
        <v>694</v>
      </c>
      <c r="B1403" t="s">
        <v>37</v>
      </c>
      <c r="C1403" t="s">
        <v>51</v>
      </c>
      <c r="D1403" t="s">
        <v>51</v>
      </c>
      <c r="E1403" t="s">
        <v>602</v>
      </c>
      <c r="F1403" t="s">
        <v>581</v>
      </c>
      <c r="G1403" t="s">
        <v>25</v>
      </c>
      <c r="H1403">
        <v>19.766580000000001</v>
      </c>
      <c r="I1403">
        <v>17.19163</v>
      </c>
      <c r="J1403">
        <v>18.78669</v>
      </c>
      <c r="K1403">
        <v>16.29392</v>
      </c>
      <c r="L1403">
        <v>13.4642</v>
      </c>
      <c r="M1403">
        <v>10.67074</v>
      </c>
      <c r="N1403">
        <v>8.8605210000000003</v>
      </c>
    </row>
    <row r="1404" spans="1:14" hidden="1" x14ac:dyDescent="0.35">
      <c r="A1404" t="s">
        <v>694</v>
      </c>
      <c r="B1404" t="s">
        <v>37</v>
      </c>
      <c r="C1404" t="s">
        <v>51</v>
      </c>
      <c r="D1404" t="s">
        <v>51</v>
      </c>
      <c r="E1404" t="s">
        <v>602</v>
      </c>
      <c r="F1404" t="s">
        <v>26</v>
      </c>
      <c r="G1404" t="s">
        <v>26</v>
      </c>
      <c r="H1404">
        <v>19.619859999999999</v>
      </c>
      <c r="I1404">
        <v>16.8504</v>
      </c>
      <c r="J1404">
        <v>18.32874</v>
      </c>
      <c r="K1404">
        <v>15.777469999999999</v>
      </c>
      <c r="L1404">
        <v>13.00487</v>
      </c>
      <c r="M1404">
        <v>10.290229999999999</v>
      </c>
      <c r="N1404">
        <v>8.5410050000000002</v>
      </c>
    </row>
    <row r="1405" spans="1:14" hidden="1" x14ac:dyDescent="0.35">
      <c r="A1405" t="s">
        <v>694</v>
      </c>
      <c r="B1405" t="s">
        <v>37</v>
      </c>
      <c r="C1405" t="s">
        <v>51</v>
      </c>
      <c r="D1405" t="s">
        <v>51</v>
      </c>
      <c r="E1405" t="s">
        <v>584</v>
      </c>
      <c r="F1405" t="s">
        <v>581</v>
      </c>
      <c r="G1405" t="s">
        <v>396</v>
      </c>
      <c r="H1405">
        <v>8.4731500000000001E-2</v>
      </c>
      <c r="I1405">
        <v>7.5961639999999997E-2</v>
      </c>
      <c r="J1405">
        <v>6.8610959999999999E-2</v>
      </c>
      <c r="K1405">
        <v>6.1747950000000003E-2</v>
      </c>
      <c r="L1405">
        <v>5.5572610000000001E-2</v>
      </c>
      <c r="M1405">
        <v>5.0145210000000003E-2</v>
      </c>
      <c r="N1405">
        <v>4.4999999999999998E-2</v>
      </c>
    </row>
    <row r="1406" spans="1:14" hidden="1" x14ac:dyDescent="0.35">
      <c r="A1406" t="s">
        <v>694</v>
      </c>
      <c r="B1406" t="s">
        <v>37</v>
      </c>
      <c r="C1406" t="s">
        <v>51</v>
      </c>
      <c r="D1406" t="s">
        <v>51</v>
      </c>
      <c r="E1406" t="s">
        <v>584</v>
      </c>
      <c r="F1406" t="s">
        <v>581</v>
      </c>
      <c r="G1406" t="s">
        <v>25</v>
      </c>
      <c r="H1406">
        <v>1.9369859999999999E-3</v>
      </c>
      <c r="I1406">
        <v>1.7452050000000001E-3</v>
      </c>
      <c r="J1406">
        <v>1.5698629999999999E-3</v>
      </c>
      <c r="K1406">
        <v>1.4082190000000001E-3</v>
      </c>
      <c r="L1406">
        <v>1.2684930000000001E-3</v>
      </c>
      <c r="M1406">
        <v>1.147945E-3</v>
      </c>
      <c r="N1406">
        <v>1.027397E-3</v>
      </c>
    </row>
    <row r="1407" spans="1:14" hidden="1" x14ac:dyDescent="0.35">
      <c r="A1407" t="s">
        <v>694</v>
      </c>
      <c r="B1407" t="s">
        <v>37</v>
      </c>
      <c r="C1407" t="s">
        <v>51</v>
      </c>
      <c r="D1407" t="s">
        <v>51</v>
      </c>
      <c r="E1407" t="s">
        <v>584</v>
      </c>
      <c r="F1407" t="s">
        <v>26</v>
      </c>
      <c r="G1407" t="s">
        <v>26</v>
      </c>
      <c r="H1407">
        <v>4.8410959999999996E-3</v>
      </c>
      <c r="I1407">
        <v>4.3671229999999997E-3</v>
      </c>
      <c r="J1407">
        <v>3.9205480000000003E-3</v>
      </c>
      <c r="K1407">
        <v>3.5260280000000001E-3</v>
      </c>
      <c r="L1407">
        <v>3.1753419999999998E-3</v>
      </c>
      <c r="M1407">
        <v>2.8657539999999999E-3</v>
      </c>
      <c r="N1407">
        <v>2.5698629999999999E-3</v>
      </c>
    </row>
    <row r="1408" spans="1:14" hidden="1" x14ac:dyDescent="0.35">
      <c r="A1408" t="s">
        <v>694</v>
      </c>
      <c r="B1408" t="s">
        <v>37</v>
      </c>
      <c r="C1408" t="s">
        <v>218</v>
      </c>
      <c r="D1408" t="s">
        <v>218</v>
      </c>
      <c r="E1408" t="s">
        <v>594</v>
      </c>
      <c r="F1408" t="s">
        <v>581</v>
      </c>
      <c r="G1408" t="s">
        <v>396</v>
      </c>
      <c r="H1408">
        <v>10.44384</v>
      </c>
      <c r="I1408">
        <v>8.9323720000000009</v>
      </c>
      <c r="J1408">
        <v>9.5966400000000007</v>
      </c>
      <c r="K1408">
        <v>10.64841</v>
      </c>
      <c r="L1408">
        <v>9.4562299999999997</v>
      </c>
      <c r="M1408">
        <v>9.8993520000000004</v>
      </c>
      <c r="N1408">
        <v>10.411060000000001</v>
      </c>
    </row>
    <row r="1409" spans="1:14" hidden="1" x14ac:dyDescent="0.35">
      <c r="A1409" t="s">
        <v>694</v>
      </c>
      <c r="B1409" t="s">
        <v>37</v>
      </c>
      <c r="C1409" t="s">
        <v>218</v>
      </c>
      <c r="D1409" t="s">
        <v>218</v>
      </c>
      <c r="E1409" t="s">
        <v>594</v>
      </c>
      <c r="F1409" t="s">
        <v>581</v>
      </c>
      <c r="G1409" t="s">
        <v>25</v>
      </c>
      <c r="H1409">
        <v>1.052603</v>
      </c>
      <c r="I1409">
        <v>0.76950960000000002</v>
      </c>
      <c r="J1409">
        <v>0.82652170000000003</v>
      </c>
      <c r="K1409">
        <v>0.91279750000000004</v>
      </c>
      <c r="L1409">
        <v>0.80978050000000001</v>
      </c>
      <c r="M1409">
        <v>0.84929449999999995</v>
      </c>
      <c r="N1409">
        <v>0.89432060000000002</v>
      </c>
    </row>
    <row r="1410" spans="1:14" hidden="1" x14ac:dyDescent="0.35">
      <c r="A1410" t="s">
        <v>694</v>
      </c>
      <c r="B1410" t="s">
        <v>37</v>
      </c>
      <c r="C1410" t="s">
        <v>218</v>
      </c>
      <c r="D1410" t="s">
        <v>218</v>
      </c>
      <c r="E1410" t="s">
        <v>594</v>
      </c>
      <c r="F1410" t="s">
        <v>26</v>
      </c>
      <c r="G1410" t="s">
        <v>26</v>
      </c>
      <c r="H1410">
        <v>3.4395889999999998</v>
      </c>
      <c r="I1410">
        <v>2.5650379999999999</v>
      </c>
      <c r="J1410">
        <v>2.7548319999999999</v>
      </c>
      <c r="K1410">
        <v>3.0375730000000001</v>
      </c>
      <c r="L1410">
        <v>2.6937869999999999</v>
      </c>
      <c r="M1410">
        <v>2.8270240000000002</v>
      </c>
      <c r="N1410">
        <v>2.9782000000000002</v>
      </c>
    </row>
    <row r="1411" spans="1:14" hidden="1" x14ac:dyDescent="0.35">
      <c r="A1411" t="s">
        <v>694</v>
      </c>
      <c r="B1411" t="s">
        <v>37</v>
      </c>
      <c r="C1411" t="s">
        <v>205</v>
      </c>
      <c r="D1411" t="s">
        <v>205</v>
      </c>
      <c r="E1411" t="s">
        <v>654</v>
      </c>
      <c r="F1411" t="s">
        <v>26</v>
      </c>
      <c r="G1411" t="s">
        <v>26</v>
      </c>
      <c r="H1411">
        <v>0.1047945</v>
      </c>
      <c r="I1411">
        <v>0.55324660000000003</v>
      </c>
      <c r="J1411">
        <v>0.49647950000000002</v>
      </c>
      <c r="K1411">
        <v>0.44682189999999999</v>
      </c>
      <c r="L1411">
        <v>0.40213700000000002</v>
      </c>
      <c r="M1411">
        <v>0.3628575</v>
      </c>
      <c r="N1411">
        <v>0.32562740000000001</v>
      </c>
    </row>
    <row r="1412" spans="1:14" hidden="1" x14ac:dyDescent="0.35">
      <c r="A1412" t="s">
        <v>694</v>
      </c>
      <c r="B1412" t="s">
        <v>37</v>
      </c>
      <c r="C1412" t="s">
        <v>205</v>
      </c>
      <c r="D1412" t="s">
        <v>205</v>
      </c>
      <c r="E1412" t="s">
        <v>584</v>
      </c>
      <c r="F1412" t="s">
        <v>581</v>
      </c>
      <c r="G1412" t="s">
        <v>396</v>
      </c>
      <c r="H1412">
        <v>0.1169699</v>
      </c>
      <c r="I1412">
        <v>0.1055068</v>
      </c>
      <c r="J1412">
        <v>9.4679440000000004E-2</v>
      </c>
      <c r="K1412">
        <v>8.5210960000000002E-2</v>
      </c>
      <c r="L1412">
        <v>7.6687669999999999E-2</v>
      </c>
      <c r="M1412">
        <v>6.9197259999999997E-2</v>
      </c>
      <c r="N1412">
        <v>6.2095890000000001E-2</v>
      </c>
    </row>
    <row r="1413" spans="1:14" hidden="1" x14ac:dyDescent="0.35">
      <c r="A1413" t="s">
        <v>694</v>
      </c>
      <c r="B1413" t="s">
        <v>37</v>
      </c>
      <c r="C1413" t="s">
        <v>205</v>
      </c>
      <c r="D1413" t="s">
        <v>205</v>
      </c>
      <c r="E1413" t="s">
        <v>584</v>
      </c>
      <c r="F1413" t="s">
        <v>26</v>
      </c>
      <c r="G1413" t="s">
        <v>26</v>
      </c>
      <c r="H1413">
        <v>2.5454790000000001E-2</v>
      </c>
      <c r="I1413">
        <v>2.2958900000000001E-2</v>
      </c>
      <c r="J1413">
        <v>2.0602740000000001E-2</v>
      </c>
      <c r="K1413">
        <v>1.854246E-2</v>
      </c>
      <c r="L1413">
        <v>1.6687670000000002E-2</v>
      </c>
      <c r="M1413">
        <v>1.505753E-2</v>
      </c>
      <c r="N1413">
        <v>1.3512329999999999E-2</v>
      </c>
    </row>
    <row r="1414" spans="1:14" hidden="1" x14ac:dyDescent="0.35">
      <c r="A1414" t="s">
        <v>694</v>
      </c>
      <c r="B1414" t="s">
        <v>37</v>
      </c>
      <c r="C1414" t="s">
        <v>105</v>
      </c>
      <c r="D1414" t="s">
        <v>105</v>
      </c>
      <c r="E1414" t="s">
        <v>584</v>
      </c>
      <c r="F1414" t="s">
        <v>581</v>
      </c>
      <c r="G1414" t="s">
        <v>396</v>
      </c>
      <c r="H1414">
        <v>0.59519449999999996</v>
      </c>
      <c r="I1414">
        <v>0.53706030000000005</v>
      </c>
      <c r="J1414">
        <v>0.4819562</v>
      </c>
      <c r="K1414">
        <v>0.43375350000000001</v>
      </c>
      <c r="L1414">
        <v>0.39037260000000001</v>
      </c>
      <c r="M1414">
        <v>0.35224109999999997</v>
      </c>
      <c r="N1414">
        <v>0.31609860000000001</v>
      </c>
    </row>
    <row r="1415" spans="1:14" hidden="1" x14ac:dyDescent="0.35">
      <c r="A1415" t="s">
        <v>694</v>
      </c>
      <c r="B1415" t="s">
        <v>37</v>
      </c>
      <c r="C1415" t="s">
        <v>105</v>
      </c>
      <c r="D1415" t="s">
        <v>105</v>
      </c>
      <c r="E1415" t="s">
        <v>584</v>
      </c>
      <c r="F1415" t="s">
        <v>581</v>
      </c>
      <c r="G1415" t="s">
        <v>25</v>
      </c>
      <c r="H1415">
        <v>3.8273970000000002E-3</v>
      </c>
      <c r="I1415">
        <v>3.457534E-3</v>
      </c>
      <c r="J1415">
        <v>3.0986299999999998E-3</v>
      </c>
      <c r="K1415">
        <v>2.7917810000000001E-3</v>
      </c>
      <c r="L1415">
        <v>2.509589E-3</v>
      </c>
      <c r="M1415">
        <v>2.2630139999999998E-3</v>
      </c>
      <c r="N1415">
        <v>2.0328759999999999E-3</v>
      </c>
    </row>
    <row r="1416" spans="1:14" hidden="1" x14ac:dyDescent="0.35">
      <c r="A1416" t="s">
        <v>694</v>
      </c>
      <c r="B1416" t="s">
        <v>37</v>
      </c>
      <c r="C1416" t="s">
        <v>105</v>
      </c>
      <c r="D1416" t="s">
        <v>105</v>
      </c>
      <c r="E1416" t="s">
        <v>584</v>
      </c>
      <c r="F1416" t="s">
        <v>26</v>
      </c>
      <c r="G1416" t="s">
        <v>26</v>
      </c>
      <c r="H1416">
        <v>4.7928770000000002E-2</v>
      </c>
      <c r="I1416">
        <v>4.3246569999999998E-2</v>
      </c>
      <c r="J1416">
        <v>3.8810959999999999E-2</v>
      </c>
      <c r="K1416">
        <v>3.4928769999999998E-2</v>
      </c>
      <c r="L1416">
        <v>3.1435619999999997E-2</v>
      </c>
      <c r="M1416">
        <v>2.8364380000000002E-2</v>
      </c>
      <c r="N1416">
        <v>2.54548E-2</v>
      </c>
    </row>
    <row r="1417" spans="1:14" hidden="1" x14ac:dyDescent="0.35">
      <c r="A1417" t="s">
        <v>694</v>
      </c>
      <c r="B1417" t="s">
        <v>37</v>
      </c>
      <c r="C1417" t="s">
        <v>46</v>
      </c>
      <c r="D1417" t="s">
        <v>46</v>
      </c>
      <c r="E1417" t="s">
        <v>584</v>
      </c>
      <c r="F1417" t="s">
        <v>581</v>
      </c>
      <c r="G1417" t="s">
        <v>396</v>
      </c>
      <c r="H1417">
        <v>0.2050959</v>
      </c>
      <c r="I1417">
        <v>0.18490690000000001</v>
      </c>
      <c r="J1417">
        <v>0.16592879999999999</v>
      </c>
      <c r="K1417">
        <v>0.14933150000000001</v>
      </c>
      <c r="L1417">
        <v>0.1343973</v>
      </c>
      <c r="M1417">
        <v>0.1212685</v>
      </c>
      <c r="N1417">
        <v>0.1088247</v>
      </c>
    </row>
    <row r="1418" spans="1:14" hidden="1" x14ac:dyDescent="0.35">
      <c r="A1418" t="s">
        <v>694</v>
      </c>
      <c r="B1418" t="s">
        <v>37</v>
      </c>
      <c r="C1418" t="s">
        <v>46</v>
      </c>
      <c r="D1418" t="s">
        <v>46</v>
      </c>
      <c r="E1418" t="s">
        <v>584</v>
      </c>
      <c r="F1418" t="s">
        <v>26</v>
      </c>
      <c r="G1418" t="s">
        <v>26</v>
      </c>
      <c r="H1418">
        <v>3.3997260000000001E-2</v>
      </c>
      <c r="I1418">
        <v>3.0641100000000001E-2</v>
      </c>
      <c r="J1418">
        <v>2.7495889999999999E-2</v>
      </c>
      <c r="K1418">
        <v>2.474521E-2</v>
      </c>
      <c r="L1418">
        <v>2.2271229999999999E-2</v>
      </c>
      <c r="M1418">
        <v>2.0095890000000002E-2</v>
      </c>
      <c r="N1418">
        <v>1.8032869999999999E-2</v>
      </c>
    </row>
    <row r="1419" spans="1:14" hidden="1" x14ac:dyDescent="0.35">
      <c r="A1419" t="s">
        <v>694</v>
      </c>
      <c r="B1419" t="s">
        <v>37</v>
      </c>
      <c r="C1419" t="s">
        <v>95</v>
      </c>
      <c r="D1419" t="s">
        <v>95</v>
      </c>
      <c r="E1419" t="s">
        <v>584</v>
      </c>
      <c r="F1419" t="s">
        <v>581</v>
      </c>
      <c r="G1419" t="s">
        <v>396</v>
      </c>
      <c r="H1419">
        <v>0.1678849</v>
      </c>
      <c r="I1419">
        <v>0.15148490000000001</v>
      </c>
      <c r="J1419">
        <v>0.13594249999999999</v>
      </c>
      <c r="K1419">
        <v>0.1223452</v>
      </c>
      <c r="L1419">
        <v>0.1101096</v>
      </c>
      <c r="M1419">
        <v>9.9356169999999994E-2</v>
      </c>
      <c r="N1419">
        <v>8.9161630000000006E-2</v>
      </c>
    </row>
    <row r="1420" spans="1:14" hidden="1" x14ac:dyDescent="0.35">
      <c r="A1420" t="s">
        <v>694</v>
      </c>
      <c r="B1420" t="s">
        <v>37</v>
      </c>
      <c r="C1420" t="s">
        <v>95</v>
      </c>
      <c r="D1420" t="s">
        <v>95</v>
      </c>
      <c r="E1420" t="s">
        <v>584</v>
      </c>
      <c r="F1420" t="s">
        <v>26</v>
      </c>
      <c r="G1420" t="s">
        <v>26</v>
      </c>
      <c r="H1420">
        <v>9.3890410000000007E-3</v>
      </c>
      <c r="I1420">
        <v>8.4712329999999999E-3</v>
      </c>
      <c r="J1420">
        <v>7.6027400000000002E-3</v>
      </c>
      <c r="K1420">
        <v>6.8410959999999996E-3</v>
      </c>
      <c r="L1420">
        <v>6.1561640000000004E-3</v>
      </c>
      <c r="M1420">
        <v>5.5561650000000001E-3</v>
      </c>
      <c r="N1420">
        <v>4.9863019999999997E-3</v>
      </c>
    </row>
    <row r="1421" spans="1:14" hidden="1" x14ac:dyDescent="0.35">
      <c r="A1421" t="s">
        <v>694</v>
      </c>
      <c r="B1421" t="s">
        <v>37</v>
      </c>
      <c r="C1421" t="s">
        <v>99</v>
      </c>
      <c r="D1421" t="s">
        <v>100</v>
      </c>
      <c r="E1421" t="s">
        <v>584</v>
      </c>
      <c r="F1421" t="s">
        <v>581</v>
      </c>
      <c r="G1421" t="s">
        <v>396</v>
      </c>
      <c r="H1421">
        <v>2.713699E-2</v>
      </c>
      <c r="I1421">
        <v>2.4484929999999999E-2</v>
      </c>
      <c r="J1421">
        <v>2.1972599999999998E-2</v>
      </c>
      <c r="K1421">
        <v>1.9775339999999999E-2</v>
      </c>
      <c r="L1421">
        <v>1.7797259999999999E-2</v>
      </c>
      <c r="M1421">
        <v>1.6060270000000001E-2</v>
      </c>
      <c r="N1421">
        <v>1.441096E-2</v>
      </c>
    </row>
    <row r="1422" spans="1:14" hidden="1" x14ac:dyDescent="0.35">
      <c r="A1422" t="s">
        <v>694</v>
      </c>
      <c r="B1422" t="s">
        <v>37</v>
      </c>
      <c r="C1422" t="s">
        <v>99</v>
      </c>
      <c r="D1422" t="s">
        <v>100</v>
      </c>
      <c r="E1422" t="s">
        <v>584</v>
      </c>
      <c r="F1422" t="s">
        <v>581</v>
      </c>
      <c r="G1422" t="s">
        <v>25</v>
      </c>
      <c r="H1422">
        <v>8.6520550000000005E-3</v>
      </c>
      <c r="I1422">
        <v>7.8027390000000004E-3</v>
      </c>
      <c r="J1422">
        <v>7.0027400000000004E-3</v>
      </c>
      <c r="K1422">
        <v>6.3041089999999996E-3</v>
      </c>
      <c r="L1422">
        <v>5.6767120000000004E-3</v>
      </c>
      <c r="M1422">
        <v>5.1178079999999997E-3</v>
      </c>
      <c r="N1422">
        <v>4.5917809999999996E-3</v>
      </c>
    </row>
    <row r="1423" spans="1:14" hidden="1" x14ac:dyDescent="0.35">
      <c r="A1423" t="s">
        <v>694</v>
      </c>
      <c r="B1423" t="s">
        <v>37</v>
      </c>
      <c r="C1423" t="s">
        <v>99</v>
      </c>
      <c r="D1423" t="s">
        <v>100</v>
      </c>
      <c r="E1423" t="s">
        <v>584</v>
      </c>
      <c r="F1423" t="s">
        <v>26</v>
      </c>
      <c r="G1423" t="s">
        <v>26</v>
      </c>
      <c r="H1423">
        <v>5.8627400000000003E-2</v>
      </c>
      <c r="I1423">
        <v>5.2901370000000003E-2</v>
      </c>
      <c r="J1423">
        <v>4.7471230000000003E-2</v>
      </c>
      <c r="K1423">
        <v>4.2723289999999997E-2</v>
      </c>
      <c r="L1423">
        <v>3.8452060000000003E-2</v>
      </c>
      <c r="M1423">
        <v>3.469589E-2</v>
      </c>
      <c r="N1423">
        <v>3.113699E-2</v>
      </c>
    </row>
    <row r="1424" spans="1:14" hidden="1" x14ac:dyDescent="0.35">
      <c r="A1424" t="s">
        <v>694</v>
      </c>
      <c r="B1424" t="s">
        <v>37</v>
      </c>
      <c r="C1424" t="s">
        <v>99</v>
      </c>
      <c r="D1424" t="s">
        <v>101</v>
      </c>
      <c r="E1424" t="s">
        <v>584</v>
      </c>
      <c r="F1424" t="s">
        <v>581</v>
      </c>
      <c r="G1424" t="s">
        <v>396</v>
      </c>
      <c r="H1424">
        <v>1.4602739999999999E-3</v>
      </c>
      <c r="I1424">
        <v>1.317808E-3</v>
      </c>
      <c r="J1424">
        <v>1.183562E-3</v>
      </c>
      <c r="K1424">
        <v>1.0630139999999999E-3</v>
      </c>
      <c r="L1424">
        <v>9.5890410000000004E-4</v>
      </c>
      <c r="M1424">
        <v>8.6301369999999995E-4</v>
      </c>
      <c r="N1424">
        <v>7.7534239999999996E-4</v>
      </c>
    </row>
    <row r="1425" spans="1:14" hidden="1" x14ac:dyDescent="0.35">
      <c r="A1425" t="s">
        <v>694</v>
      </c>
      <c r="B1425" t="s">
        <v>37</v>
      </c>
      <c r="C1425" t="s">
        <v>99</v>
      </c>
      <c r="D1425" t="s">
        <v>101</v>
      </c>
      <c r="E1425" t="s">
        <v>584</v>
      </c>
      <c r="F1425" t="s">
        <v>581</v>
      </c>
      <c r="G1425" t="s">
        <v>25</v>
      </c>
      <c r="H1425">
        <v>1.0084930000000001E-2</v>
      </c>
      <c r="I1425">
        <v>9.0986299999999999E-3</v>
      </c>
      <c r="J1425">
        <v>8.1643830000000008E-3</v>
      </c>
      <c r="K1425">
        <v>7.3506839999999997E-3</v>
      </c>
      <c r="L1425">
        <v>6.6109589999999996E-3</v>
      </c>
      <c r="M1425">
        <v>5.9698629999999997E-3</v>
      </c>
      <c r="N1425">
        <v>5.3561650000000004E-3</v>
      </c>
    </row>
    <row r="1426" spans="1:14" hidden="1" x14ac:dyDescent="0.35">
      <c r="A1426" t="s">
        <v>694</v>
      </c>
      <c r="B1426" t="s">
        <v>37</v>
      </c>
      <c r="C1426" t="s">
        <v>99</v>
      </c>
      <c r="D1426" t="s">
        <v>101</v>
      </c>
      <c r="E1426" t="s">
        <v>584</v>
      </c>
      <c r="F1426" t="s">
        <v>26</v>
      </c>
      <c r="G1426" t="s">
        <v>26</v>
      </c>
      <c r="H1426">
        <v>6.5926029999999997E-2</v>
      </c>
      <c r="I1426">
        <v>5.9487669999999999E-2</v>
      </c>
      <c r="J1426">
        <v>5.3383559999999997E-2</v>
      </c>
      <c r="K1426">
        <v>4.8043839999999997E-2</v>
      </c>
      <c r="L1426">
        <v>4.3238360000000003E-2</v>
      </c>
      <c r="M1426">
        <v>3.9016439999999999E-2</v>
      </c>
      <c r="N1426">
        <v>3.5013700000000002E-2</v>
      </c>
    </row>
    <row r="1427" spans="1:14" hidden="1" x14ac:dyDescent="0.35">
      <c r="A1427" t="s">
        <v>694</v>
      </c>
      <c r="B1427" t="s">
        <v>37</v>
      </c>
      <c r="C1427" t="s">
        <v>79</v>
      </c>
      <c r="D1427" t="s">
        <v>79</v>
      </c>
      <c r="E1427" t="s">
        <v>584</v>
      </c>
      <c r="F1427" t="s">
        <v>581</v>
      </c>
      <c r="G1427" t="s">
        <v>396</v>
      </c>
      <c r="H1427">
        <v>2.5350689999999999E-2</v>
      </c>
      <c r="I1427">
        <v>2.2849319999999999E-2</v>
      </c>
      <c r="J1427">
        <v>2.0495889999999999E-2</v>
      </c>
      <c r="K1427">
        <v>1.8441099999999998E-2</v>
      </c>
      <c r="L1427">
        <v>1.66E-2</v>
      </c>
      <c r="M1427">
        <v>1.497534E-2</v>
      </c>
      <c r="N1427">
        <v>1.3441099999999999E-2</v>
      </c>
    </row>
    <row r="1428" spans="1:14" hidden="1" x14ac:dyDescent="0.35">
      <c r="A1428" t="s">
        <v>694</v>
      </c>
      <c r="B1428" t="s">
        <v>37</v>
      </c>
      <c r="C1428" t="s">
        <v>79</v>
      </c>
      <c r="D1428" t="s">
        <v>79</v>
      </c>
      <c r="E1428" t="s">
        <v>584</v>
      </c>
      <c r="F1428" t="s">
        <v>581</v>
      </c>
      <c r="G1428" t="s">
        <v>25</v>
      </c>
      <c r="H1428">
        <v>1.4504110000000001E-2</v>
      </c>
      <c r="I1428">
        <v>1.3073970000000001E-2</v>
      </c>
      <c r="J1428">
        <v>1.172603E-2</v>
      </c>
      <c r="K1428">
        <v>1.0553430000000001E-2</v>
      </c>
      <c r="L1428">
        <v>9.4986289999999998E-3</v>
      </c>
      <c r="M1428">
        <v>8.5671229999999994E-3</v>
      </c>
      <c r="N1428">
        <v>7.6876710000000001E-3</v>
      </c>
    </row>
    <row r="1429" spans="1:14" hidden="1" x14ac:dyDescent="0.35">
      <c r="A1429" t="s">
        <v>694</v>
      </c>
      <c r="B1429" t="s">
        <v>37</v>
      </c>
      <c r="C1429" t="s">
        <v>79</v>
      </c>
      <c r="D1429" t="s">
        <v>79</v>
      </c>
      <c r="E1429" t="s">
        <v>584</v>
      </c>
      <c r="F1429" t="s">
        <v>26</v>
      </c>
      <c r="G1429" t="s">
        <v>26</v>
      </c>
      <c r="H1429">
        <v>9.1663019999999998E-2</v>
      </c>
      <c r="I1429">
        <v>8.2616439999999999E-2</v>
      </c>
      <c r="J1429">
        <v>7.410137E-2</v>
      </c>
      <c r="K1429">
        <v>6.6682199999999997E-2</v>
      </c>
      <c r="L1429">
        <v>6.0013700000000003E-2</v>
      </c>
      <c r="M1429">
        <v>5.4153420000000001E-2</v>
      </c>
      <c r="N1429">
        <v>4.8597260000000003E-2</v>
      </c>
    </row>
    <row r="1430" spans="1:14" hidden="1" x14ac:dyDescent="0.35">
      <c r="A1430" t="s">
        <v>694</v>
      </c>
      <c r="B1430" t="s">
        <v>37</v>
      </c>
      <c r="C1430" t="s">
        <v>251</v>
      </c>
      <c r="D1430" t="s">
        <v>251</v>
      </c>
      <c r="E1430" t="s">
        <v>584</v>
      </c>
      <c r="F1430" t="s">
        <v>581</v>
      </c>
      <c r="G1430" t="s">
        <v>396</v>
      </c>
      <c r="H1430">
        <v>9.4769870000000006E-2</v>
      </c>
      <c r="I1430">
        <v>8.5501369999999993E-2</v>
      </c>
      <c r="J1430">
        <v>7.6728759999999993E-2</v>
      </c>
      <c r="K1430">
        <v>6.90548E-2</v>
      </c>
      <c r="L1430">
        <v>6.214795E-2</v>
      </c>
      <c r="M1430">
        <v>5.6076710000000002E-2</v>
      </c>
      <c r="N1430">
        <v>5.032329E-2</v>
      </c>
    </row>
    <row r="1431" spans="1:14" hidden="1" x14ac:dyDescent="0.35">
      <c r="A1431" t="s">
        <v>694</v>
      </c>
      <c r="B1431" t="s">
        <v>37</v>
      </c>
      <c r="C1431" t="s">
        <v>251</v>
      </c>
      <c r="D1431" t="s">
        <v>251</v>
      </c>
      <c r="E1431" t="s">
        <v>584</v>
      </c>
      <c r="F1431" t="s">
        <v>581</v>
      </c>
      <c r="G1431" t="s">
        <v>25</v>
      </c>
      <c r="H1431">
        <v>2.178082E-3</v>
      </c>
      <c r="I1431">
        <v>1.964384E-3</v>
      </c>
      <c r="J1431">
        <v>1.7643839999999999E-3</v>
      </c>
      <c r="K1431">
        <v>1.586301E-3</v>
      </c>
      <c r="L1431">
        <v>1.4301369999999999E-3</v>
      </c>
      <c r="M1431">
        <v>1.290411E-3</v>
      </c>
      <c r="N1431">
        <v>1.1561640000000001E-3</v>
      </c>
    </row>
    <row r="1432" spans="1:14" hidden="1" x14ac:dyDescent="0.35">
      <c r="A1432" t="s">
        <v>694</v>
      </c>
      <c r="B1432" t="s">
        <v>37</v>
      </c>
      <c r="C1432" t="s">
        <v>251</v>
      </c>
      <c r="D1432" t="s">
        <v>251</v>
      </c>
      <c r="E1432" t="s">
        <v>584</v>
      </c>
      <c r="F1432" t="s">
        <v>26</v>
      </c>
      <c r="G1432" t="s">
        <v>26</v>
      </c>
      <c r="H1432">
        <v>1.1983560000000001E-2</v>
      </c>
      <c r="I1432">
        <v>1.081096E-2</v>
      </c>
      <c r="J1432">
        <v>9.7013689999999996E-3</v>
      </c>
      <c r="K1432">
        <v>8.7315080000000007E-3</v>
      </c>
      <c r="L1432">
        <v>7.8575339999999994E-3</v>
      </c>
      <c r="M1432">
        <v>7.0904109999999996E-3</v>
      </c>
      <c r="N1432">
        <v>6.3616439999999996E-3</v>
      </c>
    </row>
    <row r="1433" spans="1:14" hidden="1" x14ac:dyDescent="0.35">
      <c r="A1433" t="s">
        <v>694</v>
      </c>
      <c r="B1433" t="s">
        <v>37</v>
      </c>
      <c r="C1433" t="s">
        <v>54</v>
      </c>
      <c r="D1433" t="s">
        <v>54</v>
      </c>
      <c r="E1433" t="s">
        <v>584</v>
      </c>
      <c r="F1433" t="s">
        <v>581</v>
      </c>
      <c r="G1433" t="s">
        <v>396</v>
      </c>
      <c r="H1433">
        <v>1.8978080000000001E-2</v>
      </c>
      <c r="I1433">
        <v>1.7123289999999999E-2</v>
      </c>
      <c r="J1433">
        <v>1.536712E-2</v>
      </c>
      <c r="K1433">
        <v>1.38274E-2</v>
      </c>
      <c r="L1433">
        <v>1.2446570000000001E-2</v>
      </c>
      <c r="M1433">
        <v>1.123014E-2</v>
      </c>
      <c r="N1433">
        <v>1.007945E-2</v>
      </c>
    </row>
    <row r="1434" spans="1:14" hidden="1" x14ac:dyDescent="0.35">
      <c r="A1434" t="s">
        <v>694</v>
      </c>
      <c r="B1434" t="s">
        <v>37</v>
      </c>
      <c r="C1434" t="s">
        <v>54</v>
      </c>
      <c r="D1434" t="s">
        <v>54</v>
      </c>
      <c r="E1434" t="s">
        <v>584</v>
      </c>
      <c r="F1434" t="s">
        <v>581</v>
      </c>
      <c r="G1434" t="s">
        <v>25</v>
      </c>
      <c r="H1434">
        <v>6.0356170000000001E-3</v>
      </c>
      <c r="I1434">
        <v>5.4465759999999998E-3</v>
      </c>
      <c r="J1434">
        <v>4.8876709999999997E-3</v>
      </c>
      <c r="K1434">
        <v>4.4000000000000003E-3</v>
      </c>
      <c r="L1434">
        <v>3.9589040000000001E-3</v>
      </c>
      <c r="M1434">
        <v>3.5726030000000002E-3</v>
      </c>
      <c r="N1434">
        <v>3.208219E-3</v>
      </c>
    </row>
    <row r="1435" spans="1:14" hidden="1" x14ac:dyDescent="0.35">
      <c r="A1435" t="s">
        <v>694</v>
      </c>
      <c r="B1435" t="s">
        <v>37</v>
      </c>
      <c r="C1435" t="s">
        <v>54</v>
      </c>
      <c r="D1435" t="s">
        <v>54</v>
      </c>
      <c r="E1435" t="s">
        <v>584</v>
      </c>
      <c r="F1435" t="s">
        <v>26</v>
      </c>
      <c r="G1435" t="s">
        <v>26</v>
      </c>
      <c r="H1435">
        <v>5.3747940000000001E-2</v>
      </c>
      <c r="I1435">
        <v>4.849589E-2</v>
      </c>
      <c r="J1435">
        <v>4.3517809999999997E-2</v>
      </c>
      <c r="K1435">
        <v>3.916712E-2</v>
      </c>
      <c r="L1435">
        <v>3.5249320000000001E-2</v>
      </c>
      <c r="M1435">
        <v>3.1805479999999997E-2</v>
      </c>
      <c r="N1435">
        <v>2.8542459999999999E-2</v>
      </c>
    </row>
    <row r="1436" spans="1:14" hidden="1" x14ac:dyDescent="0.35">
      <c r="A1436" t="s">
        <v>694</v>
      </c>
      <c r="B1436" t="s">
        <v>37</v>
      </c>
      <c r="C1436" t="s">
        <v>118</v>
      </c>
      <c r="D1436" t="s">
        <v>118</v>
      </c>
      <c r="E1436" t="s">
        <v>584</v>
      </c>
      <c r="F1436" t="s">
        <v>581</v>
      </c>
      <c r="G1436" t="s">
        <v>396</v>
      </c>
      <c r="H1436">
        <v>1.2386299999999999E-2</v>
      </c>
      <c r="I1436">
        <v>1.1175340000000001E-2</v>
      </c>
      <c r="J1436">
        <v>1.0027400000000001E-2</v>
      </c>
      <c r="K1436">
        <v>9.0246570000000002E-3</v>
      </c>
      <c r="L1436">
        <v>8.1232869999999999E-3</v>
      </c>
      <c r="M1436">
        <v>7.3287669999999999E-3</v>
      </c>
      <c r="N1436">
        <v>6.5780819999999999E-3</v>
      </c>
    </row>
    <row r="1437" spans="1:14" hidden="1" x14ac:dyDescent="0.35">
      <c r="A1437" t="s">
        <v>694</v>
      </c>
      <c r="B1437" t="s">
        <v>37</v>
      </c>
      <c r="C1437" t="s">
        <v>118</v>
      </c>
      <c r="D1437" t="s">
        <v>118</v>
      </c>
      <c r="E1437" t="s">
        <v>584</v>
      </c>
      <c r="F1437" t="s">
        <v>581</v>
      </c>
      <c r="G1437" t="s">
        <v>25</v>
      </c>
      <c r="H1437">
        <v>3.2767120000000002E-3</v>
      </c>
      <c r="I1437">
        <v>2.9561639999999998E-3</v>
      </c>
      <c r="J1437">
        <v>2.6547939999999998E-3</v>
      </c>
      <c r="K1437">
        <v>2.3890410000000002E-3</v>
      </c>
      <c r="L1437">
        <v>2.1479450000000001E-3</v>
      </c>
      <c r="M1437">
        <v>1.9424659999999999E-3</v>
      </c>
      <c r="N1437">
        <v>1.739726E-3</v>
      </c>
    </row>
    <row r="1438" spans="1:14" hidden="1" x14ac:dyDescent="0.35">
      <c r="A1438" t="s">
        <v>694</v>
      </c>
      <c r="B1438" t="s">
        <v>37</v>
      </c>
      <c r="C1438" t="s">
        <v>118</v>
      </c>
      <c r="D1438" t="s">
        <v>118</v>
      </c>
      <c r="E1438" t="s">
        <v>584</v>
      </c>
      <c r="F1438" t="s">
        <v>26</v>
      </c>
      <c r="G1438" t="s">
        <v>26</v>
      </c>
      <c r="H1438">
        <v>2.0761640000000001E-2</v>
      </c>
      <c r="I1438">
        <v>1.8734239999999999E-2</v>
      </c>
      <c r="J1438">
        <v>1.6813700000000001E-2</v>
      </c>
      <c r="K1438">
        <v>1.5131510000000001E-2</v>
      </c>
      <c r="L1438">
        <v>1.361644E-2</v>
      </c>
      <c r="M1438">
        <v>1.2287670000000001E-2</v>
      </c>
      <c r="N1438">
        <v>1.10274E-2</v>
      </c>
    </row>
    <row r="1439" spans="1:14" hidden="1" x14ac:dyDescent="0.35">
      <c r="A1439" t="s">
        <v>694</v>
      </c>
      <c r="B1439" t="s">
        <v>37</v>
      </c>
      <c r="C1439" t="s">
        <v>118</v>
      </c>
      <c r="D1439" t="s">
        <v>118</v>
      </c>
      <c r="E1439" t="s">
        <v>695</v>
      </c>
      <c r="F1439" t="s">
        <v>581</v>
      </c>
      <c r="G1439" t="s">
        <v>25</v>
      </c>
      <c r="H1439">
        <v>2.7671230000000002E-4</v>
      </c>
      <c r="I1439">
        <v>3.7561639999999998E-4</v>
      </c>
      <c r="J1439">
        <v>6.9808209999999997E-4</v>
      </c>
      <c r="K1439">
        <v>9.3315070000000002E-4</v>
      </c>
      <c r="L1439">
        <v>1.341096E-3</v>
      </c>
      <c r="M1439">
        <v>1.130959E-3</v>
      </c>
      <c r="N1439">
        <v>8.2904090000000005E-4</v>
      </c>
    </row>
    <row r="1440" spans="1:14" hidden="1" x14ac:dyDescent="0.35">
      <c r="A1440" t="s">
        <v>694</v>
      </c>
      <c r="B1440" t="s">
        <v>37</v>
      </c>
      <c r="C1440" t="s">
        <v>118</v>
      </c>
      <c r="D1440" t="s">
        <v>118</v>
      </c>
      <c r="E1440" t="s">
        <v>695</v>
      </c>
      <c r="F1440" t="s">
        <v>26</v>
      </c>
      <c r="G1440" t="s">
        <v>26</v>
      </c>
      <c r="H1440">
        <v>5.2493150000000001E-3</v>
      </c>
      <c r="I1440">
        <v>7.1216439999999999E-3</v>
      </c>
      <c r="J1440">
        <v>1.328466E-2</v>
      </c>
      <c r="K1440">
        <v>1.764986E-2</v>
      </c>
      <c r="L1440">
        <v>2.549562E-2</v>
      </c>
      <c r="M1440">
        <v>2.1415070000000001E-2</v>
      </c>
      <c r="N1440">
        <v>1.5790410000000001E-2</v>
      </c>
    </row>
    <row r="1441" spans="1:14" hidden="1" x14ac:dyDescent="0.35">
      <c r="A1441" t="s">
        <v>694</v>
      </c>
      <c r="B1441" t="s">
        <v>37</v>
      </c>
      <c r="C1441" t="s">
        <v>252</v>
      </c>
      <c r="D1441" t="s">
        <v>252</v>
      </c>
      <c r="E1441" t="s">
        <v>584</v>
      </c>
      <c r="F1441" t="s">
        <v>26</v>
      </c>
      <c r="G1441" t="s">
        <v>26</v>
      </c>
      <c r="H1441">
        <v>1.8093149999999999E-2</v>
      </c>
      <c r="I1441">
        <v>1.6326029999999998E-2</v>
      </c>
      <c r="J1441">
        <v>1.465206E-2</v>
      </c>
      <c r="K1441">
        <v>1.31863E-2</v>
      </c>
      <c r="L1441">
        <v>1.186575E-2</v>
      </c>
      <c r="M1441">
        <v>1.070685E-2</v>
      </c>
      <c r="N1441">
        <v>9.6082189999999994E-3</v>
      </c>
    </row>
    <row r="1442" spans="1:14" hidden="1" x14ac:dyDescent="0.35">
      <c r="A1442" t="s">
        <v>694</v>
      </c>
      <c r="B1442" t="s">
        <v>37</v>
      </c>
      <c r="C1442" t="s">
        <v>35</v>
      </c>
      <c r="D1442" t="s">
        <v>38</v>
      </c>
      <c r="E1442" t="s">
        <v>584</v>
      </c>
      <c r="F1442" t="s">
        <v>581</v>
      </c>
      <c r="G1442" t="s">
        <v>396</v>
      </c>
      <c r="H1442">
        <v>1.0504110000000001E-2</v>
      </c>
      <c r="I1442">
        <v>9.4767129999999995E-3</v>
      </c>
      <c r="J1442">
        <v>8.5041089999999993E-3</v>
      </c>
      <c r="K1442">
        <v>7.6547949999999998E-3</v>
      </c>
      <c r="L1442">
        <v>6.8876720000000001E-3</v>
      </c>
      <c r="M1442">
        <v>6.2164380000000003E-3</v>
      </c>
      <c r="N1442">
        <v>5.5780819999999998E-3</v>
      </c>
    </row>
    <row r="1443" spans="1:14" hidden="1" x14ac:dyDescent="0.35">
      <c r="A1443" t="s">
        <v>694</v>
      </c>
      <c r="B1443" t="s">
        <v>37</v>
      </c>
      <c r="C1443" t="s">
        <v>35</v>
      </c>
      <c r="D1443" t="s">
        <v>38</v>
      </c>
      <c r="E1443" t="s">
        <v>584</v>
      </c>
      <c r="F1443" t="s">
        <v>581</v>
      </c>
      <c r="G1443" t="s">
        <v>25</v>
      </c>
      <c r="H1443">
        <v>5.2328770000000001E-4</v>
      </c>
      <c r="I1443">
        <v>4.7123290000000001E-4</v>
      </c>
      <c r="J1443">
        <v>4.2191780000000001E-4</v>
      </c>
      <c r="K1443">
        <v>3.8356160000000002E-4</v>
      </c>
      <c r="L1443">
        <v>3.4246569999999999E-4</v>
      </c>
      <c r="M1443">
        <v>3.0958910000000001E-4</v>
      </c>
      <c r="N1443">
        <v>2.7671230000000002E-4</v>
      </c>
    </row>
    <row r="1444" spans="1:14" hidden="1" x14ac:dyDescent="0.35">
      <c r="A1444" t="s">
        <v>694</v>
      </c>
      <c r="B1444" t="s">
        <v>37</v>
      </c>
      <c r="C1444" t="s">
        <v>35</v>
      </c>
      <c r="D1444" t="s">
        <v>38</v>
      </c>
      <c r="E1444" t="s">
        <v>584</v>
      </c>
      <c r="F1444" t="s">
        <v>26</v>
      </c>
      <c r="G1444" t="s">
        <v>26</v>
      </c>
      <c r="H1444">
        <v>3.5287669999999999E-3</v>
      </c>
      <c r="I1444">
        <v>3.183562E-3</v>
      </c>
      <c r="J1444">
        <v>2.8575340000000001E-3</v>
      </c>
      <c r="K1444">
        <v>2.5726030000000001E-3</v>
      </c>
      <c r="L1444">
        <v>2.315068E-3</v>
      </c>
      <c r="M1444">
        <v>2.0876710000000001E-3</v>
      </c>
      <c r="N1444">
        <v>1.8739729999999999E-3</v>
      </c>
    </row>
    <row r="1445" spans="1:14" hidden="1" x14ac:dyDescent="0.35">
      <c r="A1445" t="s">
        <v>694</v>
      </c>
      <c r="B1445" t="s">
        <v>37</v>
      </c>
      <c r="C1445" t="s">
        <v>115</v>
      </c>
      <c r="D1445" t="s">
        <v>115</v>
      </c>
      <c r="E1445" t="s">
        <v>584</v>
      </c>
      <c r="F1445" t="s">
        <v>581</v>
      </c>
      <c r="G1445" t="s">
        <v>396</v>
      </c>
      <c r="H1445">
        <v>1.0487669999999999E-2</v>
      </c>
      <c r="I1445">
        <v>9.4630140000000005E-3</v>
      </c>
      <c r="J1445">
        <v>8.4931510000000009E-3</v>
      </c>
      <c r="K1445">
        <v>7.6438360000000002E-3</v>
      </c>
      <c r="L1445">
        <v>6.8794520000000003E-3</v>
      </c>
      <c r="M1445">
        <v>6.2054800000000002E-3</v>
      </c>
      <c r="N1445">
        <v>5.5698639999999999E-3</v>
      </c>
    </row>
    <row r="1446" spans="1:14" hidden="1" x14ac:dyDescent="0.35">
      <c r="A1446" t="s">
        <v>694</v>
      </c>
      <c r="B1446" t="s">
        <v>37</v>
      </c>
      <c r="C1446" t="s">
        <v>115</v>
      </c>
      <c r="D1446" t="s">
        <v>115</v>
      </c>
      <c r="E1446" t="s">
        <v>584</v>
      </c>
      <c r="F1446" t="s">
        <v>581</v>
      </c>
      <c r="G1446" t="s">
        <v>25</v>
      </c>
      <c r="H1446">
        <v>2.5205479999999998E-4</v>
      </c>
      <c r="I1446">
        <v>2.273973E-4</v>
      </c>
      <c r="J1446">
        <v>2.0273970000000001E-4</v>
      </c>
      <c r="K1446">
        <v>1.8356159999999999E-4</v>
      </c>
      <c r="L1446">
        <v>1.643835E-4</v>
      </c>
      <c r="M1446">
        <v>1.4794520000000001E-4</v>
      </c>
      <c r="N1446">
        <v>1.3150689999999999E-4</v>
      </c>
    </row>
    <row r="1447" spans="1:14" hidden="1" x14ac:dyDescent="0.35">
      <c r="A1447" t="s">
        <v>694</v>
      </c>
      <c r="B1447" t="s">
        <v>37</v>
      </c>
      <c r="C1447" t="s">
        <v>115</v>
      </c>
      <c r="D1447" t="s">
        <v>115</v>
      </c>
      <c r="E1447" t="s">
        <v>584</v>
      </c>
      <c r="F1447" t="s">
        <v>26</v>
      </c>
      <c r="G1447" t="s">
        <v>26</v>
      </c>
      <c r="H1447">
        <v>1.7479450000000001E-3</v>
      </c>
      <c r="I1447">
        <v>1.578082E-3</v>
      </c>
      <c r="J1447">
        <v>1.4164379999999999E-3</v>
      </c>
      <c r="K1447">
        <v>1.2739730000000001E-3</v>
      </c>
      <c r="L1447">
        <v>1.1452050000000001E-3</v>
      </c>
      <c r="M1447">
        <v>1.0356160000000001E-3</v>
      </c>
      <c r="N1447">
        <v>9.2876709999999997E-4</v>
      </c>
    </row>
    <row r="1448" spans="1:14" hidden="1" x14ac:dyDescent="0.35">
      <c r="A1448" t="s">
        <v>696</v>
      </c>
      <c r="B1448" t="s">
        <v>34</v>
      </c>
      <c r="C1448" t="s">
        <v>230</v>
      </c>
      <c r="D1448" t="s">
        <v>230</v>
      </c>
      <c r="E1448" t="s">
        <v>697</v>
      </c>
      <c r="F1448" t="s">
        <v>581</v>
      </c>
      <c r="G1448" t="s">
        <v>396</v>
      </c>
      <c r="H1448">
        <v>29.91563</v>
      </c>
      <c r="I1448">
        <v>29.808610000000002</v>
      </c>
      <c r="J1448">
        <v>27.02186</v>
      </c>
      <c r="K1448">
        <v>22.72841</v>
      </c>
      <c r="L1448">
        <v>20.509820000000001</v>
      </c>
      <c r="M1448">
        <v>16.878710000000002</v>
      </c>
      <c r="N1448">
        <v>14.29515</v>
      </c>
    </row>
    <row r="1449" spans="1:14" hidden="1" x14ac:dyDescent="0.35">
      <c r="A1449" t="s">
        <v>696</v>
      </c>
      <c r="B1449" t="s">
        <v>34</v>
      </c>
      <c r="C1449" t="s">
        <v>230</v>
      </c>
      <c r="D1449" t="s">
        <v>230</v>
      </c>
      <c r="E1449" t="s">
        <v>697</v>
      </c>
      <c r="F1449" t="s">
        <v>581</v>
      </c>
      <c r="G1449" t="s">
        <v>25</v>
      </c>
      <c r="H1449">
        <v>6.5929529999999996</v>
      </c>
      <c r="I1449">
        <v>6.3684029999999998</v>
      </c>
      <c r="J1449">
        <v>5.7032220000000002</v>
      </c>
      <c r="K1449">
        <v>4.8508779999999998</v>
      </c>
      <c r="L1449">
        <v>4.3819949999999999</v>
      </c>
      <c r="M1449">
        <v>3.597372</v>
      </c>
      <c r="N1449">
        <v>3.044441</v>
      </c>
    </row>
    <row r="1450" spans="1:14" hidden="1" x14ac:dyDescent="0.35">
      <c r="A1450" t="s">
        <v>696</v>
      </c>
      <c r="B1450" t="s">
        <v>34</v>
      </c>
      <c r="C1450" t="s">
        <v>230</v>
      </c>
      <c r="D1450" t="s">
        <v>230</v>
      </c>
      <c r="E1450" t="s">
        <v>697</v>
      </c>
      <c r="F1450" t="s">
        <v>26</v>
      </c>
      <c r="G1450" t="s">
        <v>26</v>
      </c>
      <c r="H1450">
        <v>3.844754</v>
      </c>
      <c r="I1450">
        <v>3.7227589999999999</v>
      </c>
      <c r="J1450">
        <v>3.3318539999999999</v>
      </c>
      <c r="K1450">
        <v>2.8479369999999999</v>
      </c>
      <c r="L1450">
        <v>2.569696</v>
      </c>
      <c r="M1450">
        <v>2.121718</v>
      </c>
      <c r="N1450">
        <v>1.7981240000000001</v>
      </c>
    </row>
    <row r="1451" spans="1:14" hidden="1" x14ac:dyDescent="0.35">
      <c r="A1451" t="s">
        <v>696</v>
      </c>
      <c r="B1451" t="s">
        <v>34</v>
      </c>
      <c r="C1451" t="s">
        <v>230</v>
      </c>
      <c r="D1451" t="s">
        <v>230</v>
      </c>
      <c r="E1451" t="s">
        <v>584</v>
      </c>
      <c r="F1451" t="s">
        <v>581</v>
      </c>
      <c r="G1451" t="s">
        <v>396</v>
      </c>
      <c r="H1451">
        <v>19.3156</v>
      </c>
      <c r="I1451">
        <v>18.849620000000002</v>
      </c>
      <c r="J1451">
        <v>17.666720000000002</v>
      </c>
      <c r="K1451">
        <v>16.321619999999999</v>
      </c>
      <c r="L1451">
        <v>15.042339999999999</v>
      </c>
      <c r="M1451">
        <v>13.584300000000001</v>
      </c>
      <c r="N1451">
        <v>12.31376</v>
      </c>
    </row>
    <row r="1452" spans="1:14" hidden="1" x14ac:dyDescent="0.35">
      <c r="A1452" t="s">
        <v>696</v>
      </c>
      <c r="B1452" t="s">
        <v>34</v>
      </c>
      <c r="C1452" t="s">
        <v>230</v>
      </c>
      <c r="D1452" t="s">
        <v>230</v>
      </c>
      <c r="E1452" t="s">
        <v>584</v>
      </c>
      <c r="F1452" t="s">
        <v>581</v>
      </c>
      <c r="G1452" t="s">
        <v>25</v>
      </c>
      <c r="H1452">
        <v>5.450501</v>
      </c>
      <c r="I1452">
        <v>5.4454570000000002</v>
      </c>
      <c r="J1452">
        <v>4.7866989999999996</v>
      </c>
      <c r="K1452">
        <v>4.0622670000000003</v>
      </c>
      <c r="L1452">
        <v>3.4026800000000001</v>
      </c>
      <c r="M1452">
        <v>2.7776329999999998</v>
      </c>
      <c r="N1452">
        <v>2.2698179999999999</v>
      </c>
    </row>
    <row r="1453" spans="1:14" hidden="1" x14ac:dyDescent="0.35">
      <c r="A1453" t="s">
        <v>696</v>
      </c>
      <c r="B1453" t="s">
        <v>34</v>
      </c>
      <c r="C1453" t="s">
        <v>230</v>
      </c>
      <c r="D1453" t="s">
        <v>230</v>
      </c>
      <c r="E1453" t="s">
        <v>584</v>
      </c>
      <c r="F1453" t="s">
        <v>26</v>
      </c>
      <c r="G1453" t="s">
        <v>26</v>
      </c>
      <c r="H1453">
        <v>2.4439310000000001</v>
      </c>
      <c r="I1453">
        <v>1.910005</v>
      </c>
      <c r="J1453">
        <v>1.548797</v>
      </c>
      <c r="K1453">
        <v>1.3036350000000001</v>
      </c>
      <c r="L1453">
        <v>1.0902860000000001</v>
      </c>
      <c r="M1453">
        <v>0.8848916</v>
      </c>
      <c r="N1453">
        <v>0.72874620000000001</v>
      </c>
    </row>
    <row r="1454" spans="1:14" hidden="1" x14ac:dyDescent="0.35">
      <c r="A1454" t="s">
        <v>696</v>
      </c>
      <c r="B1454" t="s">
        <v>34</v>
      </c>
      <c r="C1454" t="s">
        <v>230</v>
      </c>
      <c r="D1454" t="s">
        <v>230</v>
      </c>
      <c r="E1454" t="s">
        <v>698</v>
      </c>
      <c r="F1454" t="s">
        <v>581</v>
      </c>
      <c r="G1454" t="s">
        <v>396</v>
      </c>
      <c r="H1454">
        <v>16.1252</v>
      </c>
      <c r="I1454">
        <v>16.71491</v>
      </c>
      <c r="J1454">
        <v>15.60155</v>
      </c>
      <c r="K1454">
        <v>13.09918</v>
      </c>
      <c r="L1454">
        <v>11.057079999999999</v>
      </c>
      <c r="M1454">
        <v>9.1155290000000004</v>
      </c>
      <c r="N1454">
        <v>7.6782909999999998</v>
      </c>
    </row>
    <row r="1455" spans="1:14" hidden="1" x14ac:dyDescent="0.35">
      <c r="A1455" t="s">
        <v>696</v>
      </c>
      <c r="B1455" t="s">
        <v>34</v>
      </c>
      <c r="C1455" t="s">
        <v>230</v>
      </c>
      <c r="D1455" t="s">
        <v>230</v>
      </c>
      <c r="E1455" t="s">
        <v>698</v>
      </c>
      <c r="F1455" t="s">
        <v>581</v>
      </c>
      <c r="G1455" t="s">
        <v>25</v>
      </c>
      <c r="H1455">
        <v>0.18585209999999999</v>
      </c>
      <c r="I1455">
        <v>0.17709069999999999</v>
      </c>
      <c r="J1455">
        <v>0.1633394</v>
      </c>
      <c r="K1455">
        <v>0.13882269999999999</v>
      </c>
      <c r="L1455">
        <v>0.1171967</v>
      </c>
      <c r="M1455">
        <v>9.66085E-2</v>
      </c>
      <c r="N1455">
        <v>8.1370139999999994E-2</v>
      </c>
    </row>
    <row r="1456" spans="1:14" hidden="1" x14ac:dyDescent="0.35">
      <c r="A1456" t="s">
        <v>696</v>
      </c>
      <c r="B1456" t="s">
        <v>34</v>
      </c>
      <c r="C1456" t="s">
        <v>230</v>
      </c>
      <c r="D1456" t="s">
        <v>230</v>
      </c>
      <c r="E1456" t="s">
        <v>698</v>
      </c>
      <c r="F1456" t="s">
        <v>26</v>
      </c>
      <c r="G1456" t="s">
        <v>26</v>
      </c>
      <c r="H1456">
        <v>1.6123510000000001</v>
      </c>
      <c r="I1456">
        <v>1.4166920000000001</v>
      </c>
      <c r="J1456">
        <v>1.306738</v>
      </c>
      <c r="K1456">
        <v>1.1105780000000001</v>
      </c>
      <c r="L1456">
        <v>0.93756309999999998</v>
      </c>
      <c r="M1456">
        <v>0.77287910000000004</v>
      </c>
      <c r="N1456">
        <v>0.65095999999999998</v>
      </c>
    </row>
    <row r="1457" spans="1:14" hidden="1" x14ac:dyDescent="0.35">
      <c r="A1457" t="s">
        <v>696</v>
      </c>
      <c r="B1457" t="s">
        <v>34</v>
      </c>
      <c r="C1457" t="s">
        <v>230</v>
      </c>
      <c r="D1457" t="s">
        <v>230</v>
      </c>
      <c r="E1457" t="s">
        <v>699</v>
      </c>
      <c r="F1457" t="s">
        <v>581</v>
      </c>
      <c r="G1457" t="s">
        <v>396</v>
      </c>
      <c r="H1457">
        <v>7.8524269999999996</v>
      </c>
      <c r="I1457">
        <v>8.5280900000000006</v>
      </c>
      <c r="J1457">
        <v>6.9128189999999998</v>
      </c>
      <c r="K1457">
        <v>5.490011</v>
      </c>
      <c r="L1457">
        <v>4.4622719999999996</v>
      </c>
      <c r="M1457">
        <v>3.6284109999999998</v>
      </c>
      <c r="N1457">
        <v>3.068127</v>
      </c>
    </row>
    <row r="1458" spans="1:14" hidden="1" x14ac:dyDescent="0.35">
      <c r="A1458" t="s">
        <v>696</v>
      </c>
      <c r="B1458" t="s">
        <v>34</v>
      </c>
      <c r="C1458" t="s">
        <v>230</v>
      </c>
      <c r="D1458" t="s">
        <v>230</v>
      </c>
      <c r="E1458" t="s">
        <v>699</v>
      </c>
      <c r="F1458" t="s">
        <v>581</v>
      </c>
      <c r="G1458" t="s">
        <v>25</v>
      </c>
      <c r="H1458">
        <v>9.0819170000000005E-2</v>
      </c>
      <c r="I1458">
        <v>8.7860820000000006E-2</v>
      </c>
      <c r="J1458">
        <v>7.0200819999999997E-2</v>
      </c>
      <c r="K1458">
        <v>5.6550129999999997E-2</v>
      </c>
      <c r="L1458">
        <v>4.5967939999999999E-2</v>
      </c>
      <c r="M1458">
        <v>3.7373700000000003E-2</v>
      </c>
      <c r="N1458">
        <v>3.1600000000000003E-2</v>
      </c>
    </row>
    <row r="1459" spans="1:14" hidden="1" x14ac:dyDescent="0.35">
      <c r="A1459" t="s">
        <v>696</v>
      </c>
      <c r="B1459" t="s">
        <v>34</v>
      </c>
      <c r="C1459" t="s">
        <v>230</v>
      </c>
      <c r="D1459" t="s">
        <v>230</v>
      </c>
      <c r="E1459" t="s">
        <v>699</v>
      </c>
      <c r="F1459" t="s">
        <v>26</v>
      </c>
      <c r="G1459" t="s">
        <v>26</v>
      </c>
      <c r="H1459">
        <v>0.72890410000000005</v>
      </c>
      <c r="I1459">
        <v>0.70286850000000001</v>
      </c>
      <c r="J1459">
        <v>0.56161070000000002</v>
      </c>
      <c r="K1459">
        <v>0.45242270000000001</v>
      </c>
      <c r="L1459">
        <v>0.36772850000000001</v>
      </c>
      <c r="M1459">
        <v>0.29899700000000001</v>
      </c>
      <c r="N1459">
        <v>0.25281670000000001</v>
      </c>
    </row>
    <row r="1460" spans="1:14" hidden="1" x14ac:dyDescent="0.35">
      <c r="A1460" t="s">
        <v>696</v>
      </c>
      <c r="B1460" t="s">
        <v>34</v>
      </c>
      <c r="C1460" t="s">
        <v>230</v>
      </c>
      <c r="D1460" t="s">
        <v>230</v>
      </c>
      <c r="E1460" t="s">
        <v>700</v>
      </c>
      <c r="F1460" t="s">
        <v>581</v>
      </c>
      <c r="G1460" t="s">
        <v>396</v>
      </c>
      <c r="H1460">
        <v>0.70086570000000004</v>
      </c>
      <c r="I1460">
        <v>0.58619120000000002</v>
      </c>
      <c r="J1460">
        <v>0.52466469999999998</v>
      </c>
      <c r="K1460">
        <v>0.47213240000000001</v>
      </c>
      <c r="L1460">
        <v>0.4249134</v>
      </c>
      <c r="M1460">
        <v>0.38340940000000001</v>
      </c>
      <c r="N1460">
        <v>0.34406979999999998</v>
      </c>
    </row>
    <row r="1461" spans="1:14" hidden="1" x14ac:dyDescent="0.35">
      <c r="A1461" t="s">
        <v>696</v>
      </c>
      <c r="B1461" t="s">
        <v>34</v>
      </c>
      <c r="C1461" t="s">
        <v>230</v>
      </c>
      <c r="D1461" t="s">
        <v>230</v>
      </c>
      <c r="E1461" t="s">
        <v>700</v>
      </c>
      <c r="F1461" t="s">
        <v>581</v>
      </c>
      <c r="G1461" t="s">
        <v>25</v>
      </c>
      <c r="H1461">
        <v>6.9164379999999996E-3</v>
      </c>
      <c r="I1461">
        <v>6.3549870000000003E-3</v>
      </c>
      <c r="J1461">
        <v>5.6877530000000003E-3</v>
      </c>
      <c r="K1461">
        <v>5.1181639999999997E-3</v>
      </c>
      <c r="L1461">
        <v>4.6055339999999997E-3</v>
      </c>
      <c r="M1461">
        <v>4.1580000000000002E-3</v>
      </c>
      <c r="N1461">
        <v>3.7294519999999999E-3</v>
      </c>
    </row>
    <row r="1462" spans="1:14" hidden="1" x14ac:dyDescent="0.35">
      <c r="A1462" t="s">
        <v>696</v>
      </c>
      <c r="B1462" t="s">
        <v>34</v>
      </c>
      <c r="C1462" t="s">
        <v>230</v>
      </c>
      <c r="D1462" t="s">
        <v>230</v>
      </c>
      <c r="E1462" t="s">
        <v>700</v>
      </c>
      <c r="F1462" t="s">
        <v>26</v>
      </c>
      <c r="G1462" t="s">
        <v>26</v>
      </c>
      <c r="H1462">
        <v>6.9164389999999999E-3</v>
      </c>
      <c r="I1462">
        <v>6.354986E-3</v>
      </c>
      <c r="J1462">
        <v>5.6877539999999997E-3</v>
      </c>
      <c r="K1462">
        <v>5.1181639999999997E-3</v>
      </c>
      <c r="L1462">
        <v>4.6055339999999997E-3</v>
      </c>
      <c r="M1462">
        <v>4.1580000000000002E-3</v>
      </c>
      <c r="N1462">
        <v>3.7294519999999999E-3</v>
      </c>
    </row>
    <row r="1463" spans="1:14" hidden="1" x14ac:dyDescent="0.35">
      <c r="A1463" t="s">
        <v>696</v>
      </c>
      <c r="B1463" t="s">
        <v>34</v>
      </c>
      <c r="C1463" t="s">
        <v>33</v>
      </c>
      <c r="D1463" t="s">
        <v>33</v>
      </c>
      <c r="E1463" t="s">
        <v>701</v>
      </c>
      <c r="F1463" t="s">
        <v>581</v>
      </c>
      <c r="G1463" t="s">
        <v>396</v>
      </c>
      <c r="H1463">
        <v>4.138083</v>
      </c>
      <c r="I1463">
        <v>4.018084</v>
      </c>
      <c r="J1463">
        <v>3.449195</v>
      </c>
      <c r="K1463">
        <v>2.9391189999999998</v>
      </c>
      <c r="L1463">
        <v>2.6138710000000001</v>
      </c>
      <c r="M1463">
        <v>2.278537</v>
      </c>
      <c r="N1463">
        <v>1.976308</v>
      </c>
    </row>
    <row r="1464" spans="1:14" hidden="1" x14ac:dyDescent="0.35">
      <c r="A1464" t="s">
        <v>696</v>
      </c>
      <c r="B1464" t="s">
        <v>34</v>
      </c>
      <c r="C1464" t="s">
        <v>33</v>
      </c>
      <c r="D1464" t="s">
        <v>33</v>
      </c>
      <c r="E1464" t="s">
        <v>701</v>
      </c>
      <c r="F1464" t="s">
        <v>581</v>
      </c>
      <c r="G1464" t="s">
        <v>25</v>
      </c>
      <c r="H1464">
        <v>0.57520819999999995</v>
      </c>
      <c r="I1464">
        <v>0.49564570000000002</v>
      </c>
      <c r="J1464">
        <v>0.41950789999999999</v>
      </c>
      <c r="K1464">
        <v>0.36240709999999998</v>
      </c>
      <c r="L1464">
        <v>0.32230110000000001</v>
      </c>
      <c r="M1464">
        <v>0.28094819999999998</v>
      </c>
      <c r="N1464">
        <v>0.2436712</v>
      </c>
    </row>
    <row r="1465" spans="1:14" hidden="1" x14ac:dyDescent="0.35">
      <c r="A1465" t="s">
        <v>696</v>
      </c>
      <c r="B1465" t="s">
        <v>34</v>
      </c>
      <c r="C1465" t="s">
        <v>33</v>
      </c>
      <c r="D1465" t="s">
        <v>33</v>
      </c>
      <c r="E1465" t="s">
        <v>701</v>
      </c>
      <c r="F1465" t="s">
        <v>26</v>
      </c>
      <c r="G1465" t="s">
        <v>26</v>
      </c>
      <c r="H1465">
        <v>0.80342469999999999</v>
      </c>
      <c r="I1465">
        <v>0.69389999999999996</v>
      </c>
      <c r="J1465">
        <v>0.58731120000000003</v>
      </c>
      <c r="K1465">
        <v>0.50736680000000001</v>
      </c>
      <c r="L1465">
        <v>0.4512195</v>
      </c>
      <c r="M1465">
        <v>0.3933219</v>
      </c>
      <c r="N1465">
        <v>0.34113890000000002</v>
      </c>
    </row>
    <row r="1466" spans="1:14" hidden="1" x14ac:dyDescent="0.35">
      <c r="A1466" t="s">
        <v>696</v>
      </c>
      <c r="B1466" t="s">
        <v>34</v>
      </c>
      <c r="C1466" t="s">
        <v>33</v>
      </c>
      <c r="D1466" t="s">
        <v>33</v>
      </c>
      <c r="E1466" t="s">
        <v>584</v>
      </c>
      <c r="F1466" t="s">
        <v>581</v>
      </c>
      <c r="G1466" t="s">
        <v>396</v>
      </c>
      <c r="H1466">
        <v>2.8878900000000001</v>
      </c>
      <c r="I1466">
        <v>2.0433560000000002</v>
      </c>
      <c r="J1466">
        <v>1.369704</v>
      </c>
      <c r="K1466">
        <v>0.9181397</v>
      </c>
      <c r="L1466">
        <v>0.61544659999999995</v>
      </c>
      <c r="M1466">
        <v>0.41254800000000003</v>
      </c>
      <c r="N1466">
        <v>0.2005101</v>
      </c>
    </row>
    <row r="1467" spans="1:14" hidden="1" x14ac:dyDescent="0.35">
      <c r="A1467" t="s">
        <v>696</v>
      </c>
      <c r="B1467" t="s">
        <v>34</v>
      </c>
      <c r="C1467" t="s">
        <v>33</v>
      </c>
      <c r="D1467" t="s">
        <v>33</v>
      </c>
      <c r="E1467" t="s">
        <v>584</v>
      </c>
      <c r="F1467" t="s">
        <v>581</v>
      </c>
      <c r="G1467" t="s">
        <v>25</v>
      </c>
      <c r="H1467">
        <v>1.298959</v>
      </c>
      <c r="I1467">
        <v>0.87072050000000001</v>
      </c>
      <c r="J1467">
        <v>0.58366019999999996</v>
      </c>
      <c r="K1467">
        <v>0.39123839999999999</v>
      </c>
      <c r="L1467">
        <v>0.26225749999999998</v>
      </c>
      <c r="M1467">
        <v>0.17579449999999999</v>
      </c>
      <c r="N1467">
        <v>3.5350689999999997E-2</v>
      </c>
    </row>
    <row r="1468" spans="1:14" hidden="1" x14ac:dyDescent="0.35">
      <c r="A1468" t="s">
        <v>696</v>
      </c>
      <c r="B1468" t="s">
        <v>34</v>
      </c>
      <c r="C1468" t="s">
        <v>33</v>
      </c>
      <c r="D1468" t="s">
        <v>33</v>
      </c>
      <c r="E1468" t="s">
        <v>584</v>
      </c>
      <c r="F1468" t="s">
        <v>26</v>
      </c>
      <c r="G1468" t="s">
        <v>26</v>
      </c>
      <c r="H1468">
        <v>0.24295340000000001</v>
      </c>
      <c r="I1468">
        <v>0.2300219</v>
      </c>
      <c r="J1468">
        <v>0.21785209999999999</v>
      </c>
      <c r="K1468">
        <v>0.20639730000000001</v>
      </c>
      <c r="L1468">
        <v>0.19560820000000001</v>
      </c>
      <c r="M1468">
        <v>0.18543560000000001</v>
      </c>
      <c r="N1468">
        <v>6.4445749999999996E-2</v>
      </c>
    </row>
    <row r="1469" spans="1:14" hidden="1" x14ac:dyDescent="0.35">
      <c r="A1469" t="s">
        <v>696</v>
      </c>
      <c r="B1469" t="s">
        <v>34</v>
      </c>
      <c r="C1469" t="s">
        <v>33</v>
      </c>
      <c r="D1469" t="s">
        <v>33</v>
      </c>
      <c r="E1469" t="s">
        <v>702</v>
      </c>
      <c r="F1469" t="s">
        <v>581</v>
      </c>
      <c r="G1469" t="s">
        <v>396</v>
      </c>
      <c r="H1469">
        <v>0.81999730000000004</v>
      </c>
      <c r="I1469">
        <v>1.161165</v>
      </c>
      <c r="J1469">
        <v>1.1735640000000001</v>
      </c>
      <c r="K1469">
        <v>1.164255</v>
      </c>
      <c r="L1469">
        <v>1.2334830000000001</v>
      </c>
      <c r="M1469">
        <v>1.1420809999999999</v>
      </c>
      <c r="N1469">
        <v>1.148577</v>
      </c>
    </row>
    <row r="1470" spans="1:14" hidden="1" x14ac:dyDescent="0.35">
      <c r="A1470" t="s">
        <v>696</v>
      </c>
      <c r="B1470" t="s">
        <v>34</v>
      </c>
      <c r="C1470" t="s">
        <v>33</v>
      </c>
      <c r="D1470" t="s">
        <v>33</v>
      </c>
      <c r="E1470" t="s">
        <v>702</v>
      </c>
      <c r="F1470" t="s">
        <v>581</v>
      </c>
      <c r="G1470" t="s">
        <v>25</v>
      </c>
      <c r="H1470">
        <v>8.9342469999999993E-3</v>
      </c>
      <c r="I1470">
        <v>1.262274E-2</v>
      </c>
      <c r="J1470">
        <v>1.275452E-2</v>
      </c>
      <c r="K1470">
        <v>1.2650959999999999E-2</v>
      </c>
      <c r="L1470">
        <v>1.340822E-2</v>
      </c>
      <c r="M1470">
        <v>1.241425E-2</v>
      </c>
      <c r="N1470">
        <v>1.2486570000000001E-2</v>
      </c>
    </row>
    <row r="1471" spans="1:14" hidden="1" x14ac:dyDescent="0.35">
      <c r="A1471" t="s">
        <v>696</v>
      </c>
      <c r="B1471" t="s">
        <v>34</v>
      </c>
      <c r="C1471" t="s">
        <v>33</v>
      </c>
      <c r="D1471" t="s">
        <v>33</v>
      </c>
      <c r="E1471" t="s">
        <v>702</v>
      </c>
      <c r="F1471" t="s">
        <v>26</v>
      </c>
      <c r="G1471" t="s">
        <v>26</v>
      </c>
      <c r="H1471">
        <v>6.3172599999999995E-2</v>
      </c>
      <c r="I1471">
        <v>8.881725E-2</v>
      </c>
      <c r="J1471">
        <v>8.9766849999999995E-2</v>
      </c>
      <c r="K1471">
        <v>8.9055899999999993E-2</v>
      </c>
      <c r="L1471">
        <v>9.435151E-2</v>
      </c>
      <c r="M1471">
        <v>8.7360270000000004E-2</v>
      </c>
      <c r="N1471">
        <v>8.7856719999999999E-2</v>
      </c>
    </row>
    <row r="1472" spans="1:14" hidden="1" x14ac:dyDescent="0.35">
      <c r="A1472" t="s">
        <v>696</v>
      </c>
      <c r="B1472" t="s">
        <v>34</v>
      </c>
      <c r="C1472" t="s">
        <v>33</v>
      </c>
      <c r="D1472" t="s">
        <v>33</v>
      </c>
      <c r="E1472" t="s">
        <v>703</v>
      </c>
      <c r="F1472" t="s">
        <v>581</v>
      </c>
      <c r="G1472" t="s">
        <v>396</v>
      </c>
      <c r="H1472">
        <v>0.65590689999999996</v>
      </c>
      <c r="I1472">
        <v>0.59621749999999996</v>
      </c>
      <c r="J1472">
        <v>0.5288041</v>
      </c>
      <c r="K1472">
        <v>0.47445229999999999</v>
      </c>
      <c r="L1472">
        <v>0.42688330000000002</v>
      </c>
      <c r="M1472">
        <v>0.38518279999999999</v>
      </c>
      <c r="N1472">
        <v>0.34566029999999998</v>
      </c>
    </row>
    <row r="1473" spans="1:14" hidden="1" x14ac:dyDescent="0.35">
      <c r="A1473" t="s">
        <v>696</v>
      </c>
      <c r="B1473" t="s">
        <v>34</v>
      </c>
      <c r="C1473" t="s">
        <v>33</v>
      </c>
      <c r="D1473" t="s">
        <v>33</v>
      </c>
      <c r="E1473" t="s">
        <v>703</v>
      </c>
      <c r="F1473" t="s">
        <v>581</v>
      </c>
      <c r="G1473" t="s">
        <v>25</v>
      </c>
      <c r="H1473">
        <v>5.3372599999999999E-2</v>
      </c>
      <c r="I1473">
        <v>4.7602739999999998E-2</v>
      </c>
      <c r="J1473">
        <v>4.221917E-2</v>
      </c>
      <c r="K1473">
        <v>3.7879450000000002E-2</v>
      </c>
      <c r="L1473">
        <v>3.4082189999999998E-2</v>
      </c>
      <c r="M1473">
        <v>3.075342E-2</v>
      </c>
      <c r="N1473">
        <v>2.7597259999999998E-2</v>
      </c>
    </row>
    <row r="1474" spans="1:14" hidden="1" x14ac:dyDescent="0.35">
      <c r="A1474" t="s">
        <v>696</v>
      </c>
      <c r="B1474" t="s">
        <v>34</v>
      </c>
      <c r="C1474" t="s">
        <v>33</v>
      </c>
      <c r="D1474" t="s">
        <v>33</v>
      </c>
      <c r="E1474" t="s">
        <v>703</v>
      </c>
      <c r="F1474" t="s">
        <v>26</v>
      </c>
      <c r="G1474" t="s">
        <v>26</v>
      </c>
      <c r="H1474">
        <v>0.21873970000000001</v>
      </c>
      <c r="I1474">
        <v>0.19574079999999999</v>
      </c>
      <c r="J1474">
        <v>0.1736085</v>
      </c>
      <c r="K1474">
        <v>0.15576470000000001</v>
      </c>
      <c r="L1474">
        <v>0.1401463</v>
      </c>
      <c r="M1474">
        <v>0.12645590000000001</v>
      </c>
      <c r="N1474">
        <v>0.1134814</v>
      </c>
    </row>
    <row r="1475" spans="1:14" hidden="1" x14ac:dyDescent="0.35">
      <c r="A1475" t="s">
        <v>696</v>
      </c>
      <c r="B1475" t="s">
        <v>34</v>
      </c>
      <c r="C1475" t="s">
        <v>33</v>
      </c>
      <c r="D1475" t="s">
        <v>33</v>
      </c>
      <c r="E1475" t="s">
        <v>683</v>
      </c>
      <c r="F1475" t="s">
        <v>581</v>
      </c>
      <c r="G1475" t="s">
        <v>396</v>
      </c>
      <c r="H1475">
        <v>0.1225343</v>
      </c>
      <c r="I1475">
        <v>0.11398079999999999</v>
      </c>
      <c r="J1475">
        <v>8.8712600000000003E-2</v>
      </c>
      <c r="K1475">
        <v>7.8009869999999995E-2</v>
      </c>
      <c r="L1475">
        <v>7.4297520000000006E-2</v>
      </c>
      <c r="M1475">
        <v>6.2550410000000001E-2</v>
      </c>
      <c r="N1475">
        <v>5.0441100000000003E-2</v>
      </c>
    </row>
    <row r="1476" spans="1:14" hidden="1" x14ac:dyDescent="0.35">
      <c r="A1476" t="s">
        <v>696</v>
      </c>
      <c r="B1476" t="s">
        <v>34</v>
      </c>
      <c r="C1476" t="s">
        <v>33</v>
      </c>
      <c r="D1476" t="s">
        <v>33</v>
      </c>
      <c r="E1476" t="s">
        <v>683</v>
      </c>
      <c r="F1476" t="s">
        <v>26</v>
      </c>
      <c r="G1476" t="s">
        <v>26</v>
      </c>
      <c r="H1476">
        <v>1.9320549999999999E-2</v>
      </c>
      <c r="I1476">
        <v>1.59674E-2</v>
      </c>
      <c r="J1476">
        <v>1.224603E-2</v>
      </c>
      <c r="K1476">
        <v>1.093151E-2</v>
      </c>
      <c r="L1476">
        <v>1.040904E-2</v>
      </c>
      <c r="M1476">
        <v>8.7619180000000005E-3</v>
      </c>
      <c r="N1476">
        <v>7.0663009999999997E-3</v>
      </c>
    </row>
    <row r="1477" spans="1:14" hidden="1" x14ac:dyDescent="0.35">
      <c r="A1477" t="s">
        <v>696</v>
      </c>
      <c r="B1477" t="s">
        <v>34</v>
      </c>
      <c r="C1477" t="s">
        <v>33</v>
      </c>
      <c r="D1477" t="s">
        <v>33</v>
      </c>
      <c r="E1477" t="s">
        <v>704</v>
      </c>
      <c r="F1477" t="s">
        <v>581</v>
      </c>
      <c r="G1477" t="s">
        <v>396</v>
      </c>
      <c r="H1477">
        <v>1.9835620000000002E-2</v>
      </c>
      <c r="I1477">
        <v>1.7898629999999999E-2</v>
      </c>
      <c r="J1477">
        <v>1.6063009999999999E-2</v>
      </c>
      <c r="K1477">
        <v>1.445479E-2</v>
      </c>
      <c r="L1477">
        <v>1.301096E-2</v>
      </c>
      <c r="M1477">
        <v>1.173972E-2</v>
      </c>
      <c r="N1477">
        <v>1.053424E-2</v>
      </c>
    </row>
    <row r="1478" spans="1:14" hidden="1" x14ac:dyDescent="0.35">
      <c r="A1478" t="s">
        <v>696</v>
      </c>
      <c r="B1478" t="s">
        <v>34</v>
      </c>
      <c r="C1478" t="s">
        <v>33</v>
      </c>
      <c r="D1478" t="s">
        <v>33</v>
      </c>
      <c r="E1478" t="s">
        <v>704</v>
      </c>
      <c r="F1478" t="s">
        <v>581</v>
      </c>
      <c r="G1478" t="s">
        <v>25</v>
      </c>
      <c r="H1478">
        <v>2.164383E-4</v>
      </c>
      <c r="I1478">
        <v>1.9452050000000001E-4</v>
      </c>
      <c r="J1478">
        <v>1.7260269999999999E-4</v>
      </c>
      <c r="K1478">
        <v>1.5616440000000001E-4</v>
      </c>
      <c r="L1478">
        <v>1.4246579999999999E-4</v>
      </c>
      <c r="M1478">
        <v>1.2876709999999999E-4</v>
      </c>
      <c r="N1478">
        <v>1.123288E-4</v>
      </c>
    </row>
    <row r="1479" spans="1:14" hidden="1" x14ac:dyDescent="0.35">
      <c r="A1479" t="s">
        <v>696</v>
      </c>
      <c r="B1479" t="s">
        <v>34</v>
      </c>
      <c r="C1479" t="s">
        <v>33</v>
      </c>
      <c r="D1479" t="s">
        <v>33</v>
      </c>
      <c r="E1479" t="s">
        <v>704</v>
      </c>
      <c r="F1479" t="s">
        <v>26</v>
      </c>
      <c r="G1479" t="s">
        <v>26</v>
      </c>
      <c r="H1479">
        <v>2.136986E-4</v>
      </c>
      <c r="I1479">
        <v>1.9452059999999999E-4</v>
      </c>
      <c r="J1479">
        <v>1.753425E-4</v>
      </c>
      <c r="K1479">
        <v>1.5616440000000001E-4</v>
      </c>
      <c r="L1479">
        <v>1.3972600000000001E-4</v>
      </c>
      <c r="M1479">
        <v>1.2602739999999999E-4</v>
      </c>
      <c r="N1479">
        <v>1.150686E-4</v>
      </c>
    </row>
    <row r="1480" spans="1:14" hidden="1" x14ac:dyDescent="0.35">
      <c r="A1480" t="s">
        <v>696</v>
      </c>
      <c r="B1480" t="s">
        <v>37</v>
      </c>
      <c r="C1480" t="s">
        <v>51</v>
      </c>
      <c r="D1480" t="s">
        <v>51</v>
      </c>
      <c r="E1480" t="s">
        <v>602</v>
      </c>
      <c r="F1480" t="s">
        <v>581</v>
      </c>
      <c r="G1480" t="s">
        <v>396</v>
      </c>
      <c r="H1480">
        <v>11.02685</v>
      </c>
      <c r="I1480">
        <v>11.33914</v>
      </c>
      <c r="J1480">
        <v>12.679320000000001</v>
      </c>
      <c r="K1480">
        <v>10.838480000000001</v>
      </c>
      <c r="L1480">
        <v>8.6108659999999997</v>
      </c>
      <c r="M1480">
        <v>6.5160489999999998</v>
      </c>
      <c r="N1480">
        <v>5.2161749999999998</v>
      </c>
    </row>
    <row r="1481" spans="1:14" hidden="1" x14ac:dyDescent="0.35">
      <c r="A1481" t="s">
        <v>696</v>
      </c>
      <c r="B1481" t="s">
        <v>37</v>
      </c>
      <c r="C1481" t="s">
        <v>51</v>
      </c>
      <c r="D1481" t="s">
        <v>51</v>
      </c>
      <c r="E1481" t="s">
        <v>602</v>
      </c>
      <c r="F1481" t="s">
        <v>581</v>
      </c>
      <c r="G1481" t="s">
        <v>25</v>
      </c>
      <c r="H1481">
        <v>3.090274</v>
      </c>
      <c r="I1481">
        <v>3.057509</v>
      </c>
      <c r="J1481">
        <v>3.4128479999999999</v>
      </c>
      <c r="K1481">
        <v>2.9173550000000001</v>
      </c>
      <c r="L1481">
        <v>2.3177620000000001</v>
      </c>
      <c r="M1481">
        <v>1.7539020000000001</v>
      </c>
      <c r="N1481">
        <v>1.404023</v>
      </c>
    </row>
    <row r="1482" spans="1:14" hidden="1" x14ac:dyDescent="0.35">
      <c r="A1482" t="s">
        <v>696</v>
      </c>
      <c r="B1482" t="s">
        <v>37</v>
      </c>
      <c r="C1482" t="s">
        <v>51</v>
      </c>
      <c r="D1482" t="s">
        <v>51</v>
      </c>
      <c r="E1482" t="s">
        <v>602</v>
      </c>
      <c r="F1482" t="s">
        <v>26</v>
      </c>
      <c r="G1482" t="s">
        <v>26</v>
      </c>
      <c r="H1482">
        <v>1.4438359999999999</v>
      </c>
      <c r="I1482">
        <v>0.96553089999999997</v>
      </c>
      <c r="J1482">
        <v>1.077742</v>
      </c>
      <c r="K1482">
        <v>0.92126929999999996</v>
      </c>
      <c r="L1482">
        <v>0.73192500000000005</v>
      </c>
      <c r="M1482">
        <v>0.55386299999999999</v>
      </c>
      <c r="N1482">
        <v>0.44337399999999999</v>
      </c>
    </row>
    <row r="1483" spans="1:14" hidden="1" x14ac:dyDescent="0.35">
      <c r="A1483" t="s">
        <v>696</v>
      </c>
      <c r="B1483" t="s">
        <v>37</v>
      </c>
      <c r="C1483" t="s">
        <v>51</v>
      </c>
      <c r="D1483" t="s">
        <v>51</v>
      </c>
      <c r="E1483" t="s">
        <v>705</v>
      </c>
      <c r="F1483" t="s">
        <v>581</v>
      </c>
      <c r="G1483" t="s">
        <v>396</v>
      </c>
      <c r="H1483">
        <v>0.59835609999999995</v>
      </c>
      <c r="I1483">
        <v>0.52795890000000001</v>
      </c>
      <c r="J1483">
        <v>0.46877540000000001</v>
      </c>
      <c r="K1483">
        <v>0.42009859999999999</v>
      </c>
      <c r="L1483">
        <v>0.37761650000000002</v>
      </c>
      <c r="M1483">
        <v>0.34071240000000003</v>
      </c>
      <c r="N1483">
        <v>0.30575340000000001</v>
      </c>
    </row>
    <row r="1484" spans="1:14" hidden="1" x14ac:dyDescent="0.35">
      <c r="A1484" t="s">
        <v>706</v>
      </c>
      <c r="B1484" t="s">
        <v>37</v>
      </c>
      <c r="C1484" t="s">
        <v>85</v>
      </c>
      <c r="D1484" t="s">
        <v>85</v>
      </c>
      <c r="E1484" t="s">
        <v>584</v>
      </c>
      <c r="F1484" t="s">
        <v>581</v>
      </c>
      <c r="G1484" t="s">
        <v>396</v>
      </c>
      <c r="H1484">
        <v>49.525480000000002</v>
      </c>
      <c r="I1484">
        <v>39.609859999999998</v>
      </c>
      <c r="J1484">
        <v>32.966520000000003</v>
      </c>
      <c r="K1484">
        <v>28.352820000000001</v>
      </c>
      <c r="L1484">
        <v>24.96285</v>
      </c>
      <c r="M1484">
        <v>22.104240000000001</v>
      </c>
      <c r="N1484">
        <v>19.99305</v>
      </c>
    </row>
    <row r="1485" spans="1:14" hidden="1" x14ac:dyDescent="0.35">
      <c r="A1485" t="s">
        <v>706</v>
      </c>
      <c r="B1485" t="s">
        <v>37</v>
      </c>
      <c r="C1485" t="s">
        <v>85</v>
      </c>
      <c r="D1485" t="s">
        <v>85</v>
      </c>
      <c r="E1485" t="s">
        <v>584</v>
      </c>
      <c r="F1485" t="s">
        <v>581</v>
      </c>
      <c r="G1485" t="s">
        <v>24</v>
      </c>
      <c r="H1485">
        <v>0.81315059999999995</v>
      </c>
      <c r="I1485">
        <v>0.79342469999999998</v>
      </c>
      <c r="J1485">
        <v>0.77768630000000005</v>
      </c>
      <c r="K1485">
        <v>0.76078279999999998</v>
      </c>
      <c r="L1485">
        <v>0.73846659999999997</v>
      </c>
      <c r="M1485">
        <v>0.70102229999999999</v>
      </c>
      <c r="N1485">
        <v>0.66844329999999996</v>
      </c>
    </row>
    <row r="1486" spans="1:14" hidden="1" x14ac:dyDescent="0.35">
      <c r="A1486" t="s">
        <v>706</v>
      </c>
      <c r="B1486" t="s">
        <v>37</v>
      </c>
      <c r="C1486" t="s">
        <v>85</v>
      </c>
      <c r="D1486" t="s">
        <v>85</v>
      </c>
      <c r="E1486" t="s">
        <v>584</v>
      </c>
      <c r="F1486" t="s">
        <v>581</v>
      </c>
      <c r="G1486" t="s">
        <v>25</v>
      </c>
      <c r="H1486">
        <v>14.76904</v>
      </c>
      <c r="I1486">
        <v>13.693149999999999</v>
      </c>
      <c r="J1486">
        <v>9.1829889999999992</v>
      </c>
      <c r="K1486">
        <v>6.163456</v>
      </c>
      <c r="L1486">
        <v>4.1314909999999996</v>
      </c>
      <c r="M1486">
        <v>2.7694209999999999</v>
      </c>
      <c r="N1486">
        <v>1.8563989999999999</v>
      </c>
    </row>
    <row r="1487" spans="1:14" hidden="1" x14ac:dyDescent="0.35">
      <c r="A1487" t="s">
        <v>706</v>
      </c>
      <c r="B1487" t="s">
        <v>37</v>
      </c>
      <c r="C1487" t="s">
        <v>85</v>
      </c>
      <c r="D1487" t="s">
        <v>85</v>
      </c>
      <c r="E1487" t="s">
        <v>584</v>
      </c>
      <c r="F1487" t="s">
        <v>26</v>
      </c>
      <c r="G1487" t="s">
        <v>26</v>
      </c>
      <c r="H1487">
        <v>26.806439999999998</v>
      </c>
      <c r="I1487">
        <v>30.883179999999999</v>
      </c>
      <c r="J1487">
        <v>20.711079999999999</v>
      </c>
      <c r="K1487">
        <v>13.9009</v>
      </c>
      <c r="L1487">
        <v>9.3180499999999995</v>
      </c>
      <c r="M1487">
        <v>6.2460769999999997</v>
      </c>
      <c r="N1487">
        <v>4.186871</v>
      </c>
    </row>
    <row r="1488" spans="1:14" hidden="1" x14ac:dyDescent="0.35">
      <c r="A1488" t="s">
        <v>706</v>
      </c>
      <c r="B1488" t="s">
        <v>37</v>
      </c>
      <c r="C1488" t="s">
        <v>85</v>
      </c>
      <c r="D1488" t="s">
        <v>85</v>
      </c>
      <c r="E1488" t="s">
        <v>707</v>
      </c>
      <c r="F1488" t="s">
        <v>581</v>
      </c>
      <c r="G1488" t="s">
        <v>396</v>
      </c>
      <c r="H1488">
        <v>1.659178</v>
      </c>
      <c r="I1488">
        <v>1.0448299999999999</v>
      </c>
      <c r="J1488">
        <v>0.97379230000000006</v>
      </c>
      <c r="K1488">
        <v>0.95792739999999998</v>
      </c>
      <c r="L1488">
        <v>0.94353920000000002</v>
      </c>
      <c r="M1488">
        <v>0.8362482</v>
      </c>
      <c r="N1488">
        <v>0.71721889999999999</v>
      </c>
    </row>
    <row r="1489" spans="1:14" hidden="1" x14ac:dyDescent="0.35">
      <c r="A1489" t="s">
        <v>706</v>
      </c>
      <c r="B1489" t="s">
        <v>37</v>
      </c>
      <c r="C1489" t="s">
        <v>85</v>
      </c>
      <c r="D1489" t="s">
        <v>85</v>
      </c>
      <c r="E1489" t="s">
        <v>707</v>
      </c>
      <c r="F1489" t="s">
        <v>581</v>
      </c>
      <c r="G1489" t="s">
        <v>25</v>
      </c>
      <c r="H1489">
        <v>0.2305479</v>
      </c>
      <c r="I1489">
        <v>0.1151205</v>
      </c>
      <c r="J1489">
        <v>0.1072529</v>
      </c>
      <c r="K1489">
        <v>0.1055019</v>
      </c>
      <c r="L1489">
        <v>0.1039156</v>
      </c>
      <c r="M1489">
        <v>9.2102470000000006E-2</v>
      </c>
      <c r="N1489">
        <v>7.8991229999999996E-2</v>
      </c>
    </row>
    <row r="1490" spans="1:14" hidden="1" x14ac:dyDescent="0.35">
      <c r="A1490" t="s">
        <v>706</v>
      </c>
      <c r="B1490" t="s">
        <v>37</v>
      </c>
      <c r="C1490" t="s">
        <v>85</v>
      </c>
      <c r="D1490" t="s">
        <v>85</v>
      </c>
      <c r="E1490" t="s">
        <v>707</v>
      </c>
      <c r="F1490" t="s">
        <v>26</v>
      </c>
      <c r="G1490" t="s">
        <v>26</v>
      </c>
      <c r="H1490">
        <v>0.19328770000000001</v>
      </c>
      <c r="I1490">
        <v>0.128663</v>
      </c>
      <c r="J1490">
        <v>0.1198693</v>
      </c>
      <c r="K1490">
        <v>0.1179162</v>
      </c>
      <c r="L1490">
        <v>0.1161441</v>
      </c>
      <c r="M1490">
        <v>0.1029381</v>
      </c>
      <c r="N1490">
        <v>8.8285199999999994E-2</v>
      </c>
    </row>
    <row r="1491" spans="1:14" hidden="1" x14ac:dyDescent="0.35">
      <c r="A1491" t="s">
        <v>706</v>
      </c>
      <c r="B1491" t="s">
        <v>37</v>
      </c>
      <c r="C1491" t="s">
        <v>273</v>
      </c>
      <c r="D1491" t="s">
        <v>273</v>
      </c>
      <c r="E1491" t="s">
        <v>584</v>
      </c>
      <c r="F1491" t="s">
        <v>581</v>
      </c>
      <c r="G1491" t="s">
        <v>396</v>
      </c>
      <c r="H1491">
        <v>24.457830000000001</v>
      </c>
      <c r="I1491">
        <v>30.97973</v>
      </c>
      <c r="J1491">
        <v>30.115259999999999</v>
      </c>
      <c r="K1491">
        <v>30.205760000000001</v>
      </c>
      <c r="L1491">
        <v>28.484249999999999</v>
      </c>
      <c r="M1491">
        <v>26.895119999999999</v>
      </c>
      <c r="N1491">
        <v>25.453690000000002</v>
      </c>
    </row>
    <row r="1492" spans="1:14" hidden="1" x14ac:dyDescent="0.35">
      <c r="A1492" t="s">
        <v>706</v>
      </c>
      <c r="B1492" t="s">
        <v>37</v>
      </c>
      <c r="C1492" t="s">
        <v>273</v>
      </c>
      <c r="D1492" t="s">
        <v>273</v>
      </c>
      <c r="E1492" t="s">
        <v>584</v>
      </c>
      <c r="F1492" t="s">
        <v>581</v>
      </c>
      <c r="G1492" t="s">
        <v>24</v>
      </c>
      <c r="H1492">
        <v>7.1506849999999997E-4</v>
      </c>
      <c r="I1492">
        <v>9.7479459999999995E-4</v>
      </c>
      <c r="J1492">
        <v>0</v>
      </c>
    </row>
    <row r="1493" spans="1:14" hidden="1" x14ac:dyDescent="0.35">
      <c r="A1493" t="s">
        <v>706</v>
      </c>
      <c r="B1493" t="s">
        <v>37</v>
      </c>
      <c r="C1493" t="s">
        <v>273</v>
      </c>
      <c r="D1493" t="s">
        <v>273</v>
      </c>
      <c r="E1493" t="s">
        <v>584</v>
      </c>
      <c r="F1493" t="s">
        <v>26</v>
      </c>
      <c r="G1493" t="s">
        <v>26</v>
      </c>
      <c r="H1493">
        <v>0.17017260000000001</v>
      </c>
      <c r="I1493">
        <v>0.2432581</v>
      </c>
      <c r="J1493">
        <v>0.23720359999999999</v>
      </c>
      <c r="K1493">
        <v>0.23953479999999999</v>
      </c>
      <c r="L1493">
        <v>0.22597210000000001</v>
      </c>
      <c r="M1493">
        <v>0.2141797</v>
      </c>
      <c r="N1493">
        <v>0.20343259999999999</v>
      </c>
    </row>
    <row r="1494" spans="1:14" hidden="1" x14ac:dyDescent="0.35">
      <c r="A1494" t="s">
        <v>706</v>
      </c>
      <c r="B1494" t="s">
        <v>37</v>
      </c>
      <c r="C1494" t="s">
        <v>111</v>
      </c>
      <c r="D1494" t="s">
        <v>111</v>
      </c>
      <c r="E1494" t="s">
        <v>584</v>
      </c>
      <c r="F1494" t="s">
        <v>581</v>
      </c>
      <c r="G1494" t="s">
        <v>396</v>
      </c>
      <c r="H1494">
        <v>4</v>
      </c>
      <c r="I1494">
        <v>3.8465750000000001</v>
      </c>
      <c r="J1494">
        <v>3.7226840000000001</v>
      </c>
      <c r="K1494">
        <v>3.5994440000000001</v>
      </c>
      <c r="L1494">
        <v>3.4479829999999998</v>
      </c>
      <c r="M1494">
        <v>3.2290869999999998</v>
      </c>
      <c r="N1494">
        <v>3.0365739999999999</v>
      </c>
    </row>
    <row r="1495" spans="1:14" hidden="1" x14ac:dyDescent="0.35">
      <c r="A1495" t="s">
        <v>706</v>
      </c>
      <c r="B1495" t="s">
        <v>37</v>
      </c>
      <c r="C1495" t="s">
        <v>111</v>
      </c>
      <c r="D1495" t="s">
        <v>111</v>
      </c>
      <c r="E1495" t="s">
        <v>584</v>
      </c>
      <c r="F1495" t="s">
        <v>581</v>
      </c>
      <c r="G1495" t="s">
        <v>25</v>
      </c>
      <c r="H1495">
        <v>0</v>
      </c>
    </row>
    <row r="1496" spans="1:14" hidden="1" x14ac:dyDescent="0.35">
      <c r="A1496" t="s">
        <v>706</v>
      </c>
      <c r="B1496" t="s">
        <v>37</v>
      </c>
      <c r="C1496" t="s">
        <v>111</v>
      </c>
      <c r="D1496" t="s">
        <v>111</v>
      </c>
      <c r="E1496" t="s">
        <v>584</v>
      </c>
      <c r="F1496" t="s">
        <v>26</v>
      </c>
      <c r="G1496" t="s">
        <v>26</v>
      </c>
      <c r="H1496">
        <v>0.83369870000000001</v>
      </c>
      <c r="I1496">
        <v>0.87538360000000004</v>
      </c>
      <c r="J1496">
        <v>0.76881719999999998</v>
      </c>
      <c r="K1496">
        <v>0.67401670000000002</v>
      </c>
      <c r="L1496">
        <v>0.58369309999999996</v>
      </c>
      <c r="M1496">
        <v>0.49291750000000001</v>
      </c>
      <c r="N1496">
        <v>0.4169387</v>
      </c>
    </row>
    <row r="1497" spans="1:14" hidden="1" x14ac:dyDescent="0.35">
      <c r="A1497" t="s">
        <v>706</v>
      </c>
      <c r="B1497" t="s">
        <v>37</v>
      </c>
      <c r="C1497" t="s">
        <v>252</v>
      </c>
      <c r="D1497" t="s">
        <v>252</v>
      </c>
      <c r="E1497" t="s">
        <v>584</v>
      </c>
      <c r="F1497" t="s">
        <v>581</v>
      </c>
      <c r="G1497" t="s">
        <v>396</v>
      </c>
      <c r="H1497">
        <v>1.469315E-2</v>
      </c>
      <c r="I1497">
        <v>9.8493150000000008E-3</v>
      </c>
      <c r="J1497">
        <v>0</v>
      </c>
      <c r="K1497">
        <v>0</v>
      </c>
      <c r="L1497">
        <v>0</v>
      </c>
      <c r="M1497">
        <v>0</v>
      </c>
      <c r="N1497">
        <v>0</v>
      </c>
    </row>
    <row r="1498" spans="1:14" hidden="1" x14ac:dyDescent="0.35">
      <c r="A1498" t="s">
        <v>706</v>
      </c>
      <c r="B1498" t="s">
        <v>37</v>
      </c>
      <c r="C1498" t="s">
        <v>252</v>
      </c>
      <c r="D1498" t="s">
        <v>252</v>
      </c>
      <c r="E1498" t="s">
        <v>584</v>
      </c>
      <c r="F1498" t="s">
        <v>26</v>
      </c>
      <c r="G1498" t="s">
        <v>26</v>
      </c>
      <c r="H1498">
        <v>3.225066</v>
      </c>
      <c r="I1498">
        <v>2.1618249999999999</v>
      </c>
      <c r="J1498">
        <v>0</v>
      </c>
      <c r="K1498">
        <v>0</v>
      </c>
      <c r="L1498">
        <v>0</v>
      </c>
      <c r="M1498">
        <v>0</v>
      </c>
      <c r="N1498">
        <v>0</v>
      </c>
    </row>
    <row r="1499" spans="1:14" hidden="1" x14ac:dyDescent="0.35">
      <c r="A1499" t="s">
        <v>708</v>
      </c>
      <c r="B1499" t="s">
        <v>37</v>
      </c>
      <c r="C1499" t="s">
        <v>35</v>
      </c>
      <c r="D1499" t="s">
        <v>267</v>
      </c>
      <c r="E1499" t="s">
        <v>588</v>
      </c>
      <c r="F1499" t="s">
        <v>581</v>
      </c>
      <c r="G1499" t="s">
        <v>396</v>
      </c>
      <c r="H1499">
        <v>49.838909999999998</v>
      </c>
      <c r="I1499">
        <v>41.457079999999998</v>
      </c>
      <c r="J1499">
        <v>49.603700000000003</v>
      </c>
      <c r="K1499">
        <v>36.746810000000004</v>
      </c>
      <c r="L1499">
        <v>32.22804</v>
      </c>
      <c r="M1499">
        <v>28.606909999999999</v>
      </c>
      <c r="N1499">
        <v>26.074570000000001</v>
      </c>
    </row>
    <row r="1500" spans="1:14" hidden="1" x14ac:dyDescent="0.35">
      <c r="A1500" t="s">
        <v>708</v>
      </c>
      <c r="B1500" t="s">
        <v>37</v>
      </c>
      <c r="C1500" t="s">
        <v>35</v>
      </c>
      <c r="D1500" t="s">
        <v>267</v>
      </c>
      <c r="E1500" t="s">
        <v>588</v>
      </c>
      <c r="F1500" t="s">
        <v>26</v>
      </c>
      <c r="G1500" t="s">
        <v>26</v>
      </c>
      <c r="H1500">
        <v>12.48452</v>
      </c>
      <c r="I1500">
        <v>8.3925359999999998</v>
      </c>
      <c r="J1500">
        <v>10.03885</v>
      </c>
      <c r="K1500">
        <v>7.4368550000000004</v>
      </c>
      <c r="L1500">
        <v>6.5223409999999999</v>
      </c>
      <c r="M1500">
        <v>5.7894930000000002</v>
      </c>
      <c r="N1500">
        <v>5.2769979999999999</v>
      </c>
    </row>
    <row r="1501" spans="1:14" hidden="1" x14ac:dyDescent="0.35">
      <c r="A1501" t="s">
        <v>708</v>
      </c>
      <c r="B1501" t="s">
        <v>37</v>
      </c>
      <c r="C1501" t="s">
        <v>35</v>
      </c>
      <c r="D1501" t="s">
        <v>267</v>
      </c>
      <c r="E1501" t="s">
        <v>587</v>
      </c>
      <c r="F1501" t="s">
        <v>581</v>
      </c>
      <c r="G1501" t="s">
        <v>396</v>
      </c>
      <c r="H1501">
        <v>0.5808219</v>
      </c>
      <c r="I1501">
        <v>0.55016960000000004</v>
      </c>
      <c r="J1501">
        <v>0.50276259999999995</v>
      </c>
      <c r="K1501">
        <v>0.47271400000000002</v>
      </c>
      <c r="L1501">
        <v>0.42365999999999998</v>
      </c>
      <c r="M1501">
        <v>0.35877419999999999</v>
      </c>
      <c r="N1501">
        <v>0.30989949999999999</v>
      </c>
    </row>
    <row r="1502" spans="1:14" hidden="1" x14ac:dyDescent="0.35">
      <c r="A1502" t="s">
        <v>708</v>
      </c>
      <c r="B1502" t="s">
        <v>37</v>
      </c>
      <c r="C1502" t="s">
        <v>35</v>
      </c>
      <c r="D1502" t="s">
        <v>267</v>
      </c>
      <c r="E1502" t="s">
        <v>587</v>
      </c>
      <c r="F1502" t="s">
        <v>581</v>
      </c>
      <c r="G1502" t="s">
        <v>25</v>
      </c>
      <c r="H1502">
        <v>0</v>
      </c>
      <c r="I1502">
        <v>0.2026992</v>
      </c>
      <c r="J1502">
        <v>0.18522820000000001</v>
      </c>
      <c r="K1502">
        <v>0.17415639999999999</v>
      </c>
      <c r="L1502">
        <v>0.1560858</v>
      </c>
      <c r="M1502">
        <v>0.1321792</v>
      </c>
      <c r="N1502">
        <v>0.1141712</v>
      </c>
    </row>
    <row r="1503" spans="1:14" hidden="1" x14ac:dyDescent="0.35">
      <c r="A1503" t="s">
        <v>708</v>
      </c>
      <c r="B1503" t="s">
        <v>37</v>
      </c>
      <c r="C1503" t="s">
        <v>35</v>
      </c>
      <c r="D1503" t="s">
        <v>267</v>
      </c>
      <c r="E1503" t="s">
        <v>587</v>
      </c>
      <c r="F1503" t="s">
        <v>26</v>
      </c>
      <c r="G1503" t="s">
        <v>26</v>
      </c>
      <c r="H1503">
        <v>0.27616439999999998</v>
      </c>
      <c r="I1503">
        <v>0.21234600000000001</v>
      </c>
      <c r="J1503">
        <v>0.19405069999999999</v>
      </c>
      <c r="K1503">
        <v>0.18245400000000001</v>
      </c>
      <c r="L1503">
        <v>0.16351840000000001</v>
      </c>
      <c r="M1503">
        <v>0.13847619999999999</v>
      </c>
      <c r="N1503">
        <v>0.11960990000000001</v>
      </c>
    </row>
    <row r="1504" spans="1:14" hidden="1" x14ac:dyDescent="0.35">
      <c r="A1504" t="s">
        <v>708</v>
      </c>
      <c r="B1504" t="s">
        <v>37</v>
      </c>
      <c r="C1504" t="s">
        <v>35</v>
      </c>
      <c r="D1504" t="s">
        <v>36</v>
      </c>
      <c r="E1504" t="s">
        <v>589</v>
      </c>
      <c r="F1504" t="s">
        <v>581</v>
      </c>
      <c r="G1504" t="s">
        <v>396</v>
      </c>
      <c r="H1504">
        <v>5.3654789999999997</v>
      </c>
      <c r="I1504">
        <v>4.4067410000000002</v>
      </c>
      <c r="J1504">
        <v>5.1960559999999996</v>
      </c>
      <c r="K1504">
        <v>5.2364509999999997</v>
      </c>
      <c r="L1504">
        <v>4.4742139999999999</v>
      </c>
      <c r="M1504">
        <v>3.2805840000000002</v>
      </c>
      <c r="N1504">
        <v>2.505795</v>
      </c>
    </row>
    <row r="1505" spans="1:14" hidden="1" x14ac:dyDescent="0.35">
      <c r="A1505" t="s">
        <v>708</v>
      </c>
      <c r="B1505" t="s">
        <v>37</v>
      </c>
      <c r="C1505" t="s">
        <v>35</v>
      </c>
      <c r="D1505" t="s">
        <v>36</v>
      </c>
      <c r="E1505" t="s">
        <v>589</v>
      </c>
      <c r="F1505" t="s">
        <v>26</v>
      </c>
      <c r="G1505" t="s">
        <v>26</v>
      </c>
      <c r="H1505">
        <v>2.713425</v>
      </c>
      <c r="I1505">
        <v>1.7999350000000001</v>
      </c>
      <c r="J1505">
        <v>2.1223339999999999</v>
      </c>
      <c r="K1505">
        <v>2.1388319999999998</v>
      </c>
      <c r="L1505">
        <v>1.8274969999999999</v>
      </c>
      <c r="M1505">
        <v>1.3399559999999999</v>
      </c>
      <c r="N1505">
        <v>1.023493</v>
      </c>
    </row>
    <row r="1506" spans="1:14" hidden="1" x14ac:dyDescent="0.35">
      <c r="A1506" t="s">
        <v>708</v>
      </c>
      <c r="B1506" t="s">
        <v>37</v>
      </c>
      <c r="C1506" t="s">
        <v>35</v>
      </c>
      <c r="D1506" t="s">
        <v>38</v>
      </c>
      <c r="E1506" t="s">
        <v>584</v>
      </c>
      <c r="F1506" t="s">
        <v>581</v>
      </c>
      <c r="G1506" t="s">
        <v>396</v>
      </c>
      <c r="H1506">
        <v>0.37917800000000002</v>
      </c>
      <c r="I1506">
        <v>0.34107399999999999</v>
      </c>
      <c r="J1506">
        <v>0.3059288</v>
      </c>
      <c r="K1506">
        <v>0.27533150000000001</v>
      </c>
      <c r="L1506">
        <v>0.2477945</v>
      </c>
      <c r="M1506">
        <v>0.22359180000000001</v>
      </c>
      <c r="N1506">
        <v>0.2006493</v>
      </c>
    </row>
    <row r="1507" spans="1:14" hidden="1" x14ac:dyDescent="0.35">
      <c r="A1507" t="s">
        <v>708</v>
      </c>
      <c r="B1507" t="s">
        <v>37</v>
      </c>
      <c r="C1507" t="s">
        <v>35</v>
      </c>
      <c r="D1507" t="s">
        <v>38</v>
      </c>
      <c r="E1507" t="s">
        <v>584</v>
      </c>
      <c r="F1507" t="s">
        <v>26</v>
      </c>
      <c r="G1507" t="s">
        <v>26</v>
      </c>
      <c r="H1507">
        <v>0.23520550000000001</v>
      </c>
      <c r="I1507">
        <v>0.17053699999999999</v>
      </c>
      <c r="J1507">
        <v>0.1529644</v>
      </c>
      <c r="K1507">
        <v>0.1376658</v>
      </c>
      <c r="L1507">
        <v>0.1238986</v>
      </c>
      <c r="M1507">
        <v>0.1117945</v>
      </c>
      <c r="N1507">
        <v>0.100326</v>
      </c>
    </row>
    <row r="1508" spans="1:14" hidden="1" x14ac:dyDescent="0.35">
      <c r="A1508" t="s">
        <v>708</v>
      </c>
      <c r="B1508" t="s">
        <v>37</v>
      </c>
      <c r="C1508" t="s">
        <v>79</v>
      </c>
      <c r="D1508" t="s">
        <v>79</v>
      </c>
      <c r="E1508" t="s">
        <v>617</v>
      </c>
      <c r="F1508" t="s">
        <v>581</v>
      </c>
      <c r="G1508" t="s">
        <v>396</v>
      </c>
      <c r="H1508">
        <v>3.560959</v>
      </c>
      <c r="I1508">
        <v>2.58195</v>
      </c>
      <c r="J1508">
        <v>2.2626080000000002</v>
      </c>
      <c r="K1508">
        <v>2.014351</v>
      </c>
      <c r="L1508">
        <v>1.8655299999999999</v>
      </c>
      <c r="M1508">
        <v>1.5184519999999999</v>
      </c>
      <c r="N1508">
        <v>1.2942670000000001</v>
      </c>
    </row>
    <row r="1509" spans="1:14" hidden="1" x14ac:dyDescent="0.35">
      <c r="A1509" t="s">
        <v>708</v>
      </c>
      <c r="B1509" t="s">
        <v>37</v>
      </c>
      <c r="C1509" t="s">
        <v>79</v>
      </c>
      <c r="D1509" t="s">
        <v>79</v>
      </c>
      <c r="E1509" t="s">
        <v>617</v>
      </c>
      <c r="F1509" t="s">
        <v>581</v>
      </c>
      <c r="G1509" t="s">
        <v>25</v>
      </c>
      <c r="H1509">
        <v>22.191780000000001</v>
      </c>
      <c r="I1509">
        <v>15.49249</v>
      </c>
      <c r="J1509">
        <v>13.57564</v>
      </c>
      <c r="K1509">
        <v>12.086119999999999</v>
      </c>
      <c r="L1509">
        <v>11.19317</v>
      </c>
      <c r="M1509">
        <v>9.1107130000000005</v>
      </c>
      <c r="N1509">
        <v>7.7656029999999996</v>
      </c>
    </row>
    <row r="1510" spans="1:14" hidden="1" x14ac:dyDescent="0.35">
      <c r="A1510" t="s">
        <v>708</v>
      </c>
      <c r="B1510" t="s">
        <v>37</v>
      </c>
      <c r="C1510" t="s">
        <v>79</v>
      </c>
      <c r="D1510" t="s">
        <v>79</v>
      </c>
      <c r="E1510" t="s">
        <v>617</v>
      </c>
      <c r="F1510" t="s">
        <v>26</v>
      </c>
      <c r="G1510" t="s">
        <v>26</v>
      </c>
      <c r="H1510">
        <v>34.430140000000002</v>
      </c>
      <c r="I1510">
        <v>24.96012</v>
      </c>
      <c r="J1510">
        <v>21.871870000000001</v>
      </c>
      <c r="K1510">
        <v>19.472079999999998</v>
      </c>
      <c r="L1510">
        <v>18.033439999999999</v>
      </c>
      <c r="M1510">
        <v>14.678369999999999</v>
      </c>
      <c r="N1510">
        <v>12.51125</v>
      </c>
    </row>
    <row r="1511" spans="1:14" hidden="1" x14ac:dyDescent="0.35">
      <c r="A1511" t="s">
        <v>708</v>
      </c>
      <c r="B1511" t="s">
        <v>37</v>
      </c>
      <c r="C1511" t="s">
        <v>61</v>
      </c>
      <c r="D1511" t="s">
        <v>62</v>
      </c>
      <c r="E1511" t="s">
        <v>584</v>
      </c>
      <c r="F1511" t="s">
        <v>581</v>
      </c>
      <c r="G1511" t="s">
        <v>396</v>
      </c>
      <c r="H1511">
        <v>0.11970740000000001</v>
      </c>
      <c r="I1511">
        <v>8.9236850000000006E-2</v>
      </c>
      <c r="J1511">
        <v>6.6521919999999998E-2</v>
      </c>
      <c r="K1511">
        <v>4.9589179999999997E-2</v>
      </c>
      <c r="L1511">
        <v>3.6966569999999997E-2</v>
      </c>
      <c r="M1511">
        <v>0</v>
      </c>
      <c r="N1511">
        <v>0</v>
      </c>
    </row>
    <row r="1512" spans="1:14" hidden="1" x14ac:dyDescent="0.35">
      <c r="A1512" t="s">
        <v>708</v>
      </c>
      <c r="B1512" t="s">
        <v>37</v>
      </c>
      <c r="C1512" t="s">
        <v>61</v>
      </c>
      <c r="D1512" t="s">
        <v>62</v>
      </c>
      <c r="E1512" t="s">
        <v>584</v>
      </c>
      <c r="F1512" t="s">
        <v>581</v>
      </c>
      <c r="G1512" t="s">
        <v>25</v>
      </c>
      <c r="H1512">
        <v>3.3875340000000002E-3</v>
      </c>
      <c r="I1512">
        <v>2.8684930000000002E-3</v>
      </c>
      <c r="J1512">
        <v>2.4291780000000002E-3</v>
      </c>
      <c r="K1512">
        <v>1.628219E-3</v>
      </c>
      <c r="L1512">
        <v>1.091507E-3</v>
      </c>
      <c r="M1512">
        <v>0</v>
      </c>
      <c r="N1512">
        <v>0</v>
      </c>
    </row>
    <row r="1513" spans="1:14" hidden="1" x14ac:dyDescent="0.35">
      <c r="A1513" t="s">
        <v>708</v>
      </c>
      <c r="B1513" t="s">
        <v>37</v>
      </c>
      <c r="C1513" t="s">
        <v>61</v>
      </c>
      <c r="D1513" t="s">
        <v>62</v>
      </c>
      <c r="E1513" t="s">
        <v>584</v>
      </c>
      <c r="F1513" t="s">
        <v>26</v>
      </c>
      <c r="G1513" t="s">
        <v>26</v>
      </c>
      <c r="H1513">
        <v>2.058041E-2</v>
      </c>
      <c r="I1513">
        <v>1.379384E-2</v>
      </c>
      <c r="J1513">
        <v>9.2465749999999999E-3</v>
      </c>
      <c r="K1513">
        <v>6.1980819999999997E-3</v>
      </c>
      <c r="L1513">
        <v>4.1547950000000002E-3</v>
      </c>
      <c r="M1513">
        <v>0</v>
      </c>
      <c r="N1513">
        <v>0</v>
      </c>
    </row>
    <row r="1514" spans="1:14" hidden="1" x14ac:dyDescent="0.35">
      <c r="A1514" t="s">
        <v>719</v>
      </c>
      <c r="B1514" t="s">
        <v>37</v>
      </c>
      <c r="C1514" t="s">
        <v>35</v>
      </c>
      <c r="D1514" t="s">
        <v>163</v>
      </c>
      <c r="E1514" t="s">
        <v>580</v>
      </c>
      <c r="F1514" t="s">
        <v>581</v>
      </c>
      <c r="G1514" t="s">
        <v>396</v>
      </c>
      <c r="H1514">
        <v>15.918900000000001</v>
      </c>
      <c r="I1514">
        <v>15.75127</v>
      </c>
      <c r="J1514">
        <v>13.26559</v>
      </c>
      <c r="K1514">
        <v>11.042490000000001</v>
      </c>
      <c r="L1514">
        <v>9.9319760000000006</v>
      </c>
      <c r="M1514">
        <v>8.8430769999999992</v>
      </c>
      <c r="N1514">
        <v>7.8701109999999996</v>
      </c>
    </row>
    <row r="1515" spans="1:14" hidden="1" x14ac:dyDescent="0.35">
      <c r="A1515" t="s">
        <v>719</v>
      </c>
      <c r="B1515" t="s">
        <v>37</v>
      </c>
      <c r="C1515" t="s">
        <v>35</v>
      </c>
      <c r="D1515" t="s">
        <v>163</v>
      </c>
      <c r="E1515" t="s">
        <v>580</v>
      </c>
      <c r="F1515" t="s">
        <v>581</v>
      </c>
      <c r="G1515" t="s">
        <v>25</v>
      </c>
      <c r="H1515">
        <v>0.14466029999999999</v>
      </c>
      <c r="I1515">
        <v>4.492324</v>
      </c>
      <c r="J1515">
        <v>3.7901690000000001</v>
      </c>
      <c r="K1515">
        <v>3.1550009999999999</v>
      </c>
      <c r="L1515">
        <v>2.8377089999999998</v>
      </c>
      <c r="M1515">
        <v>2.5265909999999998</v>
      </c>
      <c r="N1515">
        <v>2.248599</v>
      </c>
    </row>
    <row r="1516" spans="1:14" hidden="1" x14ac:dyDescent="0.35">
      <c r="A1516" t="s">
        <v>719</v>
      </c>
      <c r="B1516" t="s">
        <v>37</v>
      </c>
      <c r="C1516" t="s">
        <v>35</v>
      </c>
      <c r="D1516" t="s">
        <v>163</v>
      </c>
      <c r="E1516" t="s">
        <v>580</v>
      </c>
      <c r="F1516" t="s">
        <v>26</v>
      </c>
      <c r="G1516" t="s">
        <v>26</v>
      </c>
      <c r="H1516">
        <v>6.5380820000000002</v>
      </c>
      <c r="I1516">
        <v>4.7418990000000001</v>
      </c>
      <c r="J1516">
        <v>4.0007359999999998</v>
      </c>
      <c r="K1516">
        <v>3.330276</v>
      </c>
      <c r="L1516">
        <v>2.9953590000000001</v>
      </c>
      <c r="M1516">
        <v>2.666957</v>
      </c>
      <c r="N1516">
        <v>2.373526</v>
      </c>
    </row>
    <row r="1517" spans="1:14" hidden="1" x14ac:dyDescent="0.35">
      <c r="A1517" t="s">
        <v>719</v>
      </c>
      <c r="B1517" t="s">
        <v>37</v>
      </c>
      <c r="C1517" t="s">
        <v>35</v>
      </c>
      <c r="D1517" t="s">
        <v>129</v>
      </c>
      <c r="E1517" t="s">
        <v>580</v>
      </c>
      <c r="F1517" t="s">
        <v>581</v>
      </c>
      <c r="G1517" t="s">
        <v>396</v>
      </c>
      <c r="H1517">
        <v>13.58685</v>
      </c>
      <c r="I1517">
        <v>15.775219999999999</v>
      </c>
      <c r="J1517">
        <v>14.692</v>
      </c>
      <c r="K1517">
        <v>12.058149999999999</v>
      </c>
      <c r="L1517">
        <v>10.22078</v>
      </c>
      <c r="M1517">
        <v>8.7471929999999993</v>
      </c>
      <c r="N1517">
        <v>8.0236719999999995</v>
      </c>
    </row>
    <row r="1518" spans="1:14" hidden="1" x14ac:dyDescent="0.35">
      <c r="A1518" t="s">
        <v>719</v>
      </c>
      <c r="B1518" t="s">
        <v>37</v>
      </c>
      <c r="C1518" t="s">
        <v>35</v>
      </c>
      <c r="D1518" t="s">
        <v>129</v>
      </c>
      <c r="E1518" t="s">
        <v>580</v>
      </c>
      <c r="F1518" t="s">
        <v>581</v>
      </c>
      <c r="G1518" t="s">
        <v>25</v>
      </c>
      <c r="H1518">
        <v>9.6438360000000001E-2</v>
      </c>
      <c r="I1518">
        <v>3.50345</v>
      </c>
      <c r="J1518">
        <v>3.2648890000000002</v>
      </c>
      <c r="K1518">
        <v>2.6795909999999998</v>
      </c>
      <c r="L1518">
        <v>2.2712880000000002</v>
      </c>
      <c r="M1518">
        <v>1.943821</v>
      </c>
      <c r="N1518">
        <v>1.7830410000000001</v>
      </c>
    </row>
    <row r="1519" spans="1:14" hidden="1" x14ac:dyDescent="0.35">
      <c r="A1519" t="s">
        <v>719</v>
      </c>
      <c r="B1519" t="s">
        <v>37</v>
      </c>
      <c r="C1519" t="s">
        <v>35</v>
      </c>
      <c r="D1519" t="s">
        <v>129</v>
      </c>
      <c r="E1519" t="s">
        <v>580</v>
      </c>
      <c r="F1519" t="s">
        <v>26</v>
      </c>
      <c r="G1519" t="s">
        <v>26</v>
      </c>
      <c r="H1519">
        <v>2.991781</v>
      </c>
      <c r="I1519">
        <v>2.6275900000000001</v>
      </c>
      <c r="J1519">
        <v>2.4486680000000001</v>
      </c>
      <c r="K1519">
        <v>2.0096910000000001</v>
      </c>
      <c r="L1519">
        <v>1.703465</v>
      </c>
      <c r="M1519">
        <v>1.457865</v>
      </c>
      <c r="N1519">
        <v>1.3372790000000001</v>
      </c>
    </row>
    <row r="1520" spans="1:14" hidden="1" x14ac:dyDescent="0.35">
      <c r="A1520" t="s">
        <v>719</v>
      </c>
      <c r="B1520" t="s">
        <v>37</v>
      </c>
      <c r="C1520" t="s">
        <v>35</v>
      </c>
      <c r="D1520" t="s">
        <v>267</v>
      </c>
      <c r="E1520" t="s">
        <v>589</v>
      </c>
      <c r="F1520" t="s">
        <v>581</v>
      </c>
      <c r="G1520" t="s">
        <v>396</v>
      </c>
      <c r="H1520">
        <v>7.3578089999999996</v>
      </c>
      <c r="I1520">
        <v>7.4281709999999999</v>
      </c>
      <c r="J1520">
        <v>6.9692569999999998</v>
      </c>
      <c r="K1520">
        <v>6.2747469999999996</v>
      </c>
      <c r="L1520">
        <v>5.6165289999999999</v>
      </c>
      <c r="M1520">
        <v>4.3888819999999997</v>
      </c>
      <c r="N1520">
        <v>3.596956</v>
      </c>
    </row>
    <row r="1521" spans="1:14" hidden="1" x14ac:dyDescent="0.35">
      <c r="A1521" t="s">
        <v>719</v>
      </c>
      <c r="B1521" t="s">
        <v>37</v>
      </c>
      <c r="C1521" t="s">
        <v>35</v>
      </c>
      <c r="D1521" t="s">
        <v>267</v>
      </c>
      <c r="E1521" t="s">
        <v>589</v>
      </c>
      <c r="F1521" t="s">
        <v>581</v>
      </c>
      <c r="G1521" t="s">
        <v>25</v>
      </c>
      <c r="H1521">
        <v>8.1095890000000004E-2</v>
      </c>
      <c r="I1521">
        <v>2.5130949999999999</v>
      </c>
      <c r="J1521">
        <v>2.3588260000000001</v>
      </c>
      <c r="K1521">
        <v>2.1237620000000001</v>
      </c>
      <c r="L1521">
        <v>1.9009799999999999</v>
      </c>
      <c r="M1521">
        <v>1.4854700000000001</v>
      </c>
      <c r="N1521">
        <v>1.2174320000000001</v>
      </c>
    </row>
    <row r="1522" spans="1:14" hidden="1" x14ac:dyDescent="0.35">
      <c r="A1522" t="s">
        <v>719</v>
      </c>
      <c r="B1522" t="s">
        <v>37</v>
      </c>
      <c r="C1522" t="s">
        <v>35</v>
      </c>
      <c r="D1522" t="s">
        <v>267</v>
      </c>
      <c r="E1522" t="s">
        <v>589</v>
      </c>
      <c r="F1522" t="s">
        <v>26</v>
      </c>
      <c r="G1522" t="s">
        <v>26</v>
      </c>
      <c r="H1522">
        <v>1.941918</v>
      </c>
      <c r="I1522">
        <v>1.485015</v>
      </c>
      <c r="J1522">
        <v>1.393851</v>
      </c>
      <c r="K1522">
        <v>1.25495</v>
      </c>
      <c r="L1522">
        <v>1.1233059999999999</v>
      </c>
      <c r="M1522">
        <v>0.87777539999999998</v>
      </c>
      <c r="N1522">
        <v>0.71939050000000004</v>
      </c>
    </row>
    <row r="1523" spans="1:14" hidden="1" x14ac:dyDescent="0.35">
      <c r="A1523" t="s">
        <v>719</v>
      </c>
      <c r="B1523" t="s">
        <v>37</v>
      </c>
      <c r="C1523" t="s">
        <v>35</v>
      </c>
      <c r="D1523" t="s">
        <v>36</v>
      </c>
      <c r="E1523" t="s">
        <v>589</v>
      </c>
      <c r="F1523" t="s">
        <v>581</v>
      </c>
      <c r="G1523" t="s">
        <v>396</v>
      </c>
      <c r="H1523">
        <v>7.5857530000000004</v>
      </c>
      <c r="I1523">
        <v>6.509951</v>
      </c>
      <c r="J1523">
        <v>6.4537259999999996</v>
      </c>
      <c r="K1523">
        <v>5.7395170000000002</v>
      </c>
      <c r="L1523">
        <v>5.260281</v>
      </c>
      <c r="M1523">
        <v>4.5435569999999998</v>
      </c>
      <c r="N1523">
        <v>4.1435320000000004</v>
      </c>
    </row>
    <row r="1524" spans="1:14" hidden="1" x14ac:dyDescent="0.35">
      <c r="A1524" t="s">
        <v>719</v>
      </c>
      <c r="B1524" t="s">
        <v>37</v>
      </c>
      <c r="C1524" t="s">
        <v>35</v>
      </c>
      <c r="D1524" t="s">
        <v>36</v>
      </c>
      <c r="E1524" t="s">
        <v>589</v>
      </c>
      <c r="F1524" t="s">
        <v>581</v>
      </c>
      <c r="G1524" t="s">
        <v>25</v>
      </c>
      <c r="H1524">
        <v>5.917534E-2</v>
      </c>
      <c r="I1524">
        <v>1.5587219999999999</v>
      </c>
      <c r="J1524">
        <v>1.545258</v>
      </c>
      <c r="K1524">
        <v>1.3742490000000001</v>
      </c>
      <c r="L1524">
        <v>1.259503</v>
      </c>
      <c r="M1524">
        <v>1.087896</v>
      </c>
      <c r="N1524">
        <v>0.99211099999999997</v>
      </c>
    </row>
    <row r="1525" spans="1:14" hidden="1" x14ac:dyDescent="0.35">
      <c r="A1525" t="s">
        <v>719</v>
      </c>
      <c r="B1525" t="s">
        <v>37</v>
      </c>
      <c r="C1525" t="s">
        <v>35</v>
      </c>
      <c r="D1525" t="s">
        <v>36</v>
      </c>
      <c r="E1525" t="s">
        <v>589</v>
      </c>
      <c r="F1525" t="s">
        <v>26</v>
      </c>
      <c r="G1525" t="s">
        <v>26</v>
      </c>
      <c r="H1525">
        <v>1.6832879999999999</v>
      </c>
      <c r="I1525">
        <v>1.100274</v>
      </c>
      <c r="J1525">
        <v>1.09077</v>
      </c>
      <c r="K1525">
        <v>0.97006009999999998</v>
      </c>
      <c r="L1525">
        <v>0.8890631</v>
      </c>
      <c r="M1525">
        <v>0.76792550000000004</v>
      </c>
      <c r="N1525">
        <v>0.70031540000000003</v>
      </c>
    </row>
    <row r="1526" spans="1:14" hidden="1" x14ac:dyDescent="0.35">
      <c r="A1526" t="s">
        <v>719</v>
      </c>
      <c r="B1526" t="s">
        <v>37</v>
      </c>
      <c r="C1526" t="s">
        <v>35</v>
      </c>
      <c r="D1526" t="s">
        <v>36</v>
      </c>
      <c r="E1526" t="s">
        <v>587</v>
      </c>
      <c r="F1526" t="s">
        <v>581</v>
      </c>
      <c r="G1526" t="s">
        <v>396</v>
      </c>
      <c r="H1526">
        <v>0.79123290000000002</v>
      </c>
      <c r="I1526">
        <v>0.69045480000000004</v>
      </c>
      <c r="J1526">
        <v>0.6314246</v>
      </c>
      <c r="K1526">
        <v>0.56494250000000001</v>
      </c>
      <c r="L1526">
        <v>0.4865699</v>
      </c>
      <c r="M1526">
        <v>0.42489589999999999</v>
      </c>
      <c r="N1526">
        <v>0.37162469999999997</v>
      </c>
    </row>
    <row r="1527" spans="1:14" hidden="1" x14ac:dyDescent="0.35">
      <c r="A1527" t="s">
        <v>719</v>
      </c>
      <c r="B1527" t="s">
        <v>37</v>
      </c>
      <c r="C1527" t="s">
        <v>35</v>
      </c>
      <c r="D1527" t="s">
        <v>36</v>
      </c>
      <c r="E1527" t="s">
        <v>587</v>
      </c>
      <c r="F1527" t="s">
        <v>581</v>
      </c>
      <c r="G1527" t="s">
        <v>25</v>
      </c>
      <c r="H1527">
        <v>2.1917809999999999E-3</v>
      </c>
      <c r="I1527">
        <v>3.3950689999999999E-2</v>
      </c>
      <c r="J1527">
        <v>3.1052050000000001E-2</v>
      </c>
      <c r="K1527">
        <v>2.7783559999999999E-2</v>
      </c>
      <c r="L1527">
        <v>2.3928769999999999E-2</v>
      </c>
      <c r="M1527">
        <v>2.0893149999999999E-2</v>
      </c>
      <c r="N1527">
        <v>1.8276710000000002E-2</v>
      </c>
    </row>
    <row r="1528" spans="1:14" hidden="1" x14ac:dyDescent="0.35">
      <c r="A1528" t="s">
        <v>719</v>
      </c>
      <c r="B1528" t="s">
        <v>37</v>
      </c>
      <c r="C1528" t="s">
        <v>35</v>
      </c>
      <c r="D1528" t="s">
        <v>36</v>
      </c>
      <c r="E1528" t="s">
        <v>587</v>
      </c>
      <c r="F1528" t="s">
        <v>26</v>
      </c>
      <c r="G1528" t="s">
        <v>26</v>
      </c>
      <c r="H1528">
        <v>0.64876710000000004</v>
      </c>
      <c r="I1528">
        <v>0.40743839999999998</v>
      </c>
      <c r="J1528">
        <v>0.3726411</v>
      </c>
      <c r="K1528">
        <v>0.33340819999999999</v>
      </c>
      <c r="L1528">
        <v>0.28715619999999997</v>
      </c>
      <c r="M1528">
        <v>0.25075890000000001</v>
      </c>
      <c r="N1528">
        <v>0.2193206</v>
      </c>
    </row>
    <row r="1529" spans="1:14" hidden="1" x14ac:dyDescent="0.35">
      <c r="A1529" t="s">
        <v>719</v>
      </c>
      <c r="B1529" t="s">
        <v>37</v>
      </c>
      <c r="C1529" t="s">
        <v>79</v>
      </c>
      <c r="D1529" t="s">
        <v>79</v>
      </c>
      <c r="E1529" t="s">
        <v>615</v>
      </c>
      <c r="F1529" t="s">
        <v>581</v>
      </c>
      <c r="G1529" t="s">
        <v>396</v>
      </c>
      <c r="H1529">
        <v>27.269179999999999</v>
      </c>
      <c r="I1529">
        <v>28.0197</v>
      </c>
      <c r="J1529">
        <v>24.551469999999998</v>
      </c>
      <c r="K1529">
        <v>19.78023</v>
      </c>
      <c r="L1529">
        <v>15.347569999999999</v>
      </c>
      <c r="M1529">
        <v>11.22688</v>
      </c>
      <c r="N1529">
        <v>8.660774</v>
      </c>
    </row>
    <row r="1530" spans="1:14" hidden="1" x14ac:dyDescent="0.35">
      <c r="A1530" t="s">
        <v>719</v>
      </c>
      <c r="B1530" t="s">
        <v>37</v>
      </c>
      <c r="C1530" t="s">
        <v>79</v>
      </c>
      <c r="D1530" t="s">
        <v>79</v>
      </c>
      <c r="E1530" t="s">
        <v>615</v>
      </c>
      <c r="F1530" t="s">
        <v>581</v>
      </c>
      <c r="G1530" t="s">
        <v>25</v>
      </c>
      <c r="H1530">
        <v>3.8178109999999998</v>
      </c>
      <c r="I1530">
        <v>6.9939840000000002</v>
      </c>
      <c r="J1530">
        <v>6.1269660000000004</v>
      </c>
      <c r="K1530">
        <v>4.9363190000000001</v>
      </c>
      <c r="L1530">
        <v>3.8301289999999999</v>
      </c>
      <c r="M1530">
        <v>2.8011550000000001</v>
      </c>
      <c r="N1530">
        <v>2.160587</v>
      </c>
    </row>
    <row r="1531" spans="1:14" hidden="1" x14ac:dyDescent="0.35">
      <c r="A1531" t="s">
        <v>719</v>
      </c>
      <c r="B1531" t="s">
        <v>37</v>
      </c>
      <c r="C1531" t="s">
        <v>79</v>
      </c>
      <c r="D1531" t="s">
        <v>79</v>
      </c>
      <c r="E1531" t="s">
        <v>615</v>
      </c>
      <c r="F1531" t="s">
        <v>26</v>
      </c>
      <c r="G1531" t="s">
        <v>26</v>
      </c>
      <c r="H1531">
        <v>3.5445199999999999</v>
      </c>
      <c r="I1531">
        <v>8.6915080000000007</v>
      </c>
      <c r="J1531">
        <v>7.6150859999999998</v>
      </c>
      <c r="K1531">
        <v>6.1354369999999996</v>
      </c>
      <c r="L1531">
        <v>4.7605760000000004</v>
      </c>
      <c r="M1531">
        <v>3.4791889999999999</v>
      </c>
      <c r="N1531">
        <v>2.6823049999999999</v>
      </c>
    </row>
    <row r="1532" spans="1:14" hidden="1" x14ac:dyDescent="0.35">
      <c r="A1532" t="s">
        <v>719</v>
      </c>
      <c r="B1532" t="s">
        <v>37</v>
      </c>
      <c r="C1532" t="s">
        <v>79</v>
      </c>
      <c r="D1532" t="s">
        <v>79</v>
      </c>
      <c r="E1532" t="s">
        <v>584</v>
      </c>
      <c r="F1532" t="s">
        <v>581</v>
      </c>
      <c r="G1532" t="s">
        <v>396</v>
      </c>
      <c r="H1532">
        <v>4.0164379999999998E-3</v>
      </c>
      <c r="I1532">
        <v>3.9506849999999998E-3</v>
      </c>
      <c r="J1532">
        <v>2.1178080000000001E-3</v>
      </c>
      <c r="K1532">
        <v>2.0728769999999999E-3</v>
      </c>
      <c r="L1532">
        <v>2.0101369999999999E-3</v>
      </c>
      <c r="M1532">
        <v>1.909041E-3</v>
      </c>
      <c r="N1532">
        <v>1.8208219999999999E-3</v>
      </c>
    </row>
    <row r="1533" spans="1:14" hidden="1" x14ac:dyDescent="0.35">
      <c r="A1533" t="s">
        <v>719</v>
      </c>
      <c r="B1533" t="s">
        <v>37</v>
      </c>
      <c r="C1533" t="s">
        <v>79</v>
      </c>
      <c r="D1533" t="s">
        <v>79</v>
      </c>
      <c r="E1533" t="s">
        <v>584</v>
      </c>
      <c r="F1533" t="s">
        <v>581</v>
      </c>
      <c r="G1533" t="s">
        <v>24</v>
      </c>
      <c r="H1533">
        <v>3.4712319999999999E-3</v>
      </c>
      <c r="I1533">
        <v>2.7342460000000001E-3</v>
      </c>
      <c r="J1533">
        <v>9.917808000000001E-4</v>
      </c>
      <c r="K1533">
        <v>0</v>
      </c>
      <c r="L1533">
        <v>0</v>
      </c>
      <c r="M1533">
        <v>0</v>
      </c>
      <c r="N1533">
        <v>0</v>
      </c>
    </row>
    <row r="1534" spans="1:14" hidden="1" x14ac:dyDescent="0.35">
      <c r="A1534" t="s">
        <v>719</v>
      </c>
      <c r="B1534" t="s">
        <v>37</v>
      </c>
      <c r="C1534" t="s">
        <v>204</v>
      </c>
      <c r="D1534" t="s">
        <v>204</v>
      </c>
      <c r="E1534" t="s">
        <v>720</v>
      </c>
      <c r="F1534" t="s">
        <v>581</v>
      </c>
      <c r="G1534" t="s">
        <v>25</v>
      </c>
      <c r="L1534">
        <v>0</v>
      </c>
      <c r="M1534">
        <v>0</v>
      </c>
      <c r="N1534">
        <v>0</v>
      </c>
    </row>
    <row r="1535" spans="1:14" hidden="1" x14ac:dyDescent="0.35">
      <c r="A1535" t="s">
        <v>719</v>
      </c>
      <c r="B1535" t="s">
        <v>37</v>
      </c>
      <c r="C1535" t="s">
        <v>204</v>
      </c>
      <c r="D1535" t="s">
        <v>204</v>
      </c>
      <c r="E1535" t="s">
        <v>720</v>
      </c>
      <c r="F1535" t="s">
        <v>26</v>
      </c>
      <c r="G1535" t="s">
        <v>26</v>
      </c>
      <c r="L1535">
        <v>0</v>
      </c>
      <c r="M1535">
        <v>0</v>
      </c>
      <c r="N1535">
        <v>0</v>
      </c>
    </row>
    <row r="1536" spans="1:14" hidden="1" x14ac:dyDescent="0.35">
      <c r="A1536" t="s">
        <v>719</v>
      </c>
      <c r="B1536" t="s">
        <v>37</v>
      </c>
      <c r="C1536" t="s">
        <v>95</v>
      </c>
      <c r="D1536" t="s">
        <v>95</v>
      </c>
      <c r="E1536" t="s">
        <v>721</v>
      </c>
      <c r="F1536" t="s">
        <v>26</v>
      </c>
      <c r="G1536" t="s">
        <v>26</v>
      </c>
      <c r="L1536">
        <v>0</v>
      </c>
      <c r="M1536">
        <v>0</v>
      </c>
      <c r="N1536">
        <v>0</v>
      </c>
    </row>
    <row r="1537" spans="1:14" hidden="1" x14ac:dyDescent="0.35">
      <c r="A1537" t="s">
        <v>709</v>
      </c>
      <c r="B1537" t="s">
        <v>74</v>
      </c>
      <c r="C1537" t="s">
        <v>87</v>
      </c>
      <c r="D1537" t="s">
        <v>88</v>
      </c>
      <c r="E1537" t="s">
        <v>584</v>
      </c>
      <c r="F1537" t="s">
        <v>581</v>
      </c>
      <c r="G1537" t="s">
        <v>24</v>
      </c>
      <c r="H1537">
        <v>0.80107399999999995</v>
      </c>
      <c r="I1537">
        <v>2.2339289999999998</v>
      </c>
      <c r="J1537">
        <v>2.409319</v>
      </c>
      <c r="K1537">
        <v>2.175681</v>
      </c>
      <c r="L1537">
        <v>1.7877130000000001</v>
      </c>
      <c r="M1537">
        <v>1.4725680000000001</v>
      </c>
      <c r="N1537">
        <v>1.2063390000000001</v>
      </c>
    </row>
    <row r="1538" spans="1:14" hidden="1" x14ac:dyDescent="0.35">
      <c r="A1538" t="s">
        <v>709</v>
      </c>
      <c r="B1538" t="s">
        <v>74</v>
      </c>
      <c r="C1538" t="s">
        <v>87</v>
      </c>
      <c r="D1538" t="s">
        <v>88</v>
      </c>
      <c r="E1538" t="s">
        <v>584</v>
      </c>
      <c r="F1538" t="s">
        <v>26</v>
      </c>
      <c r="G1538" t="s">
        <v>26</v>
      </c>
      <c r="H1538">
        <v>5.7844899999999999</v>
      </c>
      <c r="I1538">
        <v>14.8233</v>
      </c>
      <c r="J1538">
        <v>14.859640000000001</v>
      </c>
      <c r="K1538">
        <v>13.083729999999999</v>
      </c>
      <c r="L1538">
        <v>10.750640000000001</v>
      </c>
      <c r="M1538">
        <v>8.8554770000000005</v>
      </c>
      <c r="N1538">
        <v>7.2544690000000003</v>
      </c>
    </row>
    <row r="1539" spans="1:14" hidden="1" x14ac:dyDescent="0.35">
      <c r="A1539" t="s">
        <v>709</v>
      </c>
      <c r="B1539" t="s">
        <v>74</v>
      </c>
      <c r="C1539" t="s">
        <v>87</v>
      </c>
      <c r="D1539" t="s">
        <v>91</v>
      </c>
      <c r="E1539" t="s">
        <v>584</v>
      </c>
      <c r="F1539" t="s">
        <v>581</v>
      </c>
      <c r="G1539" t="s">
        <v>396</v>
      </c>
      <c r="H1539">
        <v>0.72981430000000003</v>
      </c>
      <c r="I1539">
        <v>0.63505440000000002</v>
      </c>
      <c r="J1539">
        <v>0.57010229999999995</v>
      </c>
      <c r="K1539">
        <v>0.52059730000000004</v>
      </c>
      <c r="L1539">
        <v>0.48447370000000001</v>
      </c>
      <c r="M1539">
        <v>0.4133598</v>
      </c>
      <c r="N1539">
        <v>0.35136060000000002</v>
      </c>
    </row>
    <row r="1540" spans="1:14" hidden="1" x14ac:dyDescent="0.35">
      <c r="A1540" t="s">
        <v>709</v>
      </c>
      <c r="B1540" t="s">
        <v>74</v>
      </c>
      <c r="C1540" t="s">
        <v>87</v>
      </c>
      <c r="D1540" t="s">
        <v>91</v>
      </c>
      <c r="E1540" t="s">
        <v>584</v>
      </c>
      <c r="F1540" t="s">
        <v>581</v>
      </c>
      <c r="G1540" t="s">
        <v>25</v>
      </c>
      <c r="H1540">
        <v>5.9443509999999998E-2</v>
      </c>
      <c r="I1540">
        <v>1.258279E-2</v>
      </c>
      <c r="J1540">
        <v>1.129548E-2</v>
      </c>
      <c r="K1540">
        <v>1.03144E-2</v>
      </c>
      <c r="L1540">
        <v>9.5987520000000003E-3</v>
      </c>
      <c r="M1540">
        <v>8.1903419999999998E-3</v>
      </c>
      <c r="N1540">
        <v>6.9617569999999998E-3</v>
      </c>
    </row>
    <row r="1541" spans="1:14" hidden="1" x14ac:dyDescent="0.35">
      <c r="A1541" t="s">
        <v>709</v>
      </c>
      <c r="B1541" t="s">
        <v>74</v>
      </c>
      <c r="C1541" t="s">
        <v>87</v>
      </c>
      <c r="D1541" t="s">
        <v>91</v>
      </c>
      <c r="E1541" t="s">
        <v>584</v>
      </c>
      <c r="F1541" t="s">
        <v>26</v>
      </c>
      <c r="G1541" t="s">
        <v>26</v>
      </c>
      <c r="H1541">
        <v>0.13373489999999999</v>
      </c>
      <c r="I1541">
        <v>9.0940129999999994E-2</v>
      </c>
      <c r="J1541">
        <v>8.163898E-2</v>
      </c>
      <c r="K1541">
        <v>7.4549820000000003E-2</v>
      </c>
      <c r="L1541">
        <v>6.9376709999999994E-2</v>
      </c>
      <c r="M1541">
        <v>5.9193349999999999E-2</v>
      </c>
      <c r="N1541">
        <v>5.0314900000000003E-2</v>
      </c>
    </row>
    <row r="1542" spans="1:14" hidden="1" x14ac:dyDescent="0.35">
      <c r="A1542" t="s">
        <v>709</v>
      </c>
      <c r="B1542" t="s">
        <v>74</v>
      </c>
      <c r="C1542" t="s">
        <v>87</v>
      </c>
      <c r="D1542" t="s">
        <v>92</v>
      </c>
      <c r="E1542" t="s">
        <v>584</v>
      </c>
      <c r="F1542" t="s">
        <v>581</v>
      </c>
      <c r="G1542" t="s">
        <v>396</v>
      </c>
      <c r="H1542">
        <v>7.3622469999999997E-3</v>
      </c>
      <c r="I1542">
        <v>1.244081E-2</v>
      </c>
      <c r="J1542">
        <v>1.276388E-2</v>
      </c>
      <c r="K1542">
        <v>1.069606E-2</v>
      </c>
      <c r="L1542">
        <v>0</v>
      </c>
      <c r="M1542">
        <v>0</v>
      </c>
    </row>
    <row r="1543" spans="1:14" hidden="1" x14ac:dyDescent="0.35">
      <c r="A1543" t="s">
        <v>709</v>
      </c>
      <c r="B1543" t="s">
        <v>74</v>
      </c>
      <c r="C1543" t="s">
        <v>87</v>
      </c>
      <c r="D1543" t="s">
        <v>92</v>
      </c>
      <c r="E1543" t="s">
        <v>584</v>
      </c>
      <c r="F1543" t="s">
        <v>581</v>
      </c>
      <c r="G1543" t="s">
        <v>25</v>
      </c>
      <c r="H1543">
        <v>2.2238789999999998E-3</v>
      </c>
      <c r="I1543">
        <v>3.7586080000000001E-3</v>
      </c>
      <c r="J1543">
        <v>3.856328E-3</v>
      </c>
      <c r="K1543">
        <v>3.2313519999999998E-3</v>
      </c>
      <c r="L1543">
        <v>0</v>
      </c>
      <c r="M1543">
        <v>0</v>
      </c>
    </row>
    <row r="1544" spans="1:14" hidden="1" x14ac:dyDescent="0.35">
      <c r="A1544" t="s">
        <v>709</v>
      </c>
      <c r="B1544" t="s">
        <v>74</v>
      </c>
      <c r="C1544" t="s">
        <v>87</v>
      </c>
      <c r="D1544" t="s">
        <v>92</v>
      </c>
      <c r="E1544" t="s">
        <v>584</v>
      </c>
      <c r="F1544" t="s">
        <v>26</v>
      </c>
      <c r="G1544" t="s">
        <v>26</v>
      </c>
      <c r="H1544">
        <v>4.0029100000000001E-3</v>
      </c>
      <c r="I1544">
        <v>6.764618E-3</v>
      </c>
      <c r="J1544">
        <v>6.9403700000000004E-3</v>
      </c>
      <c r="K1544">
        <v>5.8158510000000004E-3</v>
      </c>
      <c r="L1544">
        <v>0</v>
      </c>
      <c r="M1544">
        <v>0</v>
      </c>
    </row>
    <row r="1545" spans="1:14" hidden="1" x14ac:dyDescent="0.35">
      <c r="A1545" t="s">
        <v>709</v>
      </c>
      <c r="B1545" t="s">
        <v>74</v>
      </c>
      <c r="C1545" t="s">
        <v>227</v>
      </c>
      <c r="D1545" t="s">
        <v>227</v>
      </c>
      <c r="E1545" t="s">
        <v>584</v>
      </c>
      <c r="F1545" t="s">
        <v>581</v>
      </c>
      <c r="G1545" t="s">
        <v>396</v>
      </c>
      <c r="H1545">
        <v>1.4059379999999999</v>
      </c>
      <c r="I1545">
        <v>6.6816149999999999</v>
      </c>
      <c r="J1545">
        <v>10.788539999999999</v>
      </c>
      <c r="K1545">
        <v>10.9589</v>
      </c>
      <c r="L1545">
        <v>10.9589</v>
      </c>
      <c r="M1545">
        <v>10.9589</v>
      </c>
      <c r="N1545">
        <v>10.9589</v>
      </c>
    </row>
    <row r="1546" spans="1:14" hidden="1" x14ac:dyDescent="0.35">
      <c r="A1546" t="s">
        <v>709</v>
      </c>
      <c r="B1546" t="s">
        <v>74</v>
      </c>
      <c r="C1546" t="s">
        <v>227</v>
      </c>
      <c r="D1546" t="s">
        <v>227</v>
      </c>
      <c r="E1546" t="s">
        <v>584</v>
      </c>
      <c r="F1546" t="s">
        <v>581</v>
      </c>
      <c r="G1546" t="s">
        <v>25</v>
      </c>
      <c r="H1546">
        <v>1.490959E-2</v>
      </c>
      <c r="I1546">
        <v>0</v>
      </c>
      <c r="J1546">
        <v>1.6684930000000001E-3</v>
      </c>
      <c r="K1546">
        <v>2.373151E-3</v>
      </c>
      <c r="L1546">
        <v>3.6191779999999998E-3</v>
      </c>
      <c r="M1546">
        <v>8.2663010000000002E-3</v>
      </c>
      <c r="N1546">
        <v>7.1528759999999999E-3</v>
      </c>
    </row>
    <row r="1547" spans="1:14" hidden="1" x14ac:dyDescent="0.35">
      <c r="A1547" t="s">
        <v>709</v>
      </c>
      <c r="B1547" t="s">
        <v>74</v>
      </c>
      <c r="C1547" t="s">
        <v>227</v>
      </c>
      <c r="D1547" t="s">
        <v>228</v>
      </c>
      <c r="E1547" t="s">
        <v>584</v>
      </c>
      <c r="F1547" t="s">
        <v>581</v>
      </c>
      <c r="G1547" t="s">
        <v>396</v>
      </c>
      <c r="H1547">
        <v>0.50214800000000004</v>
      </c>
      <c r="I1547">
        <v>0.54121059999999999</v>
      </c>
      <c r="J1547">
        <v>0.4034025</v>
      </c>
      <c r="K1547">
        <v>0.36173329999999998</v>
      </c>
      <c r="L1547">
        <v>0.30698710000000001</v>
      </c>
      <c r="M1547">
        <v>0.28061069999999999</v>
      </c>
      <c r="N1547">
        <v>0</v>
      </c>
    </row>
    <row r="1548" spans="1:14" hidden="1" x14ac:dyDescent="0.35">
      <c r="A1548" t="s">
        <v>709</v>
      </c>
      <c r="B1548" t="s">
        <v>74</v>
      </c>
      <c r="C1548" t="s">
        <v>227</v>
      </c>
      <c r="D1548" t="s">
        <v>228</v>
      </c>
      <c r="E1548" t="s">
        <v>584</v>
      </c>
      <c r="F1548" t="s">
        <v>581</v>
      </c>
      <c r="G1548" t="s">
        <v>25</v>
      </c>
      <c r="H1548">
        <v>4.9210770000000003E-3</v>
      </c>
      <c r="I1548">
        <v>3.6066380000000001E-3</v>
      </c>
      <c r="J1548">
        <v>2.5312709999999999E-3</v>
      </c>
      <c r="K1548">
        <v>2.307871E-3</v>
      </c>
      <c r="L1548">
        <v>1.974403E-3</v>
      </c>
      <c r="M1548">
        <v>1.6924220000000001E-3</v>
      </c>
      <c r="N1548">
        <v>2.5545210000000001E-5</v>
      </c>
    </row>
    <row r="1549" spans="1:14" hidden="1" x14ac:dyDescent="0.35">
      <c r="A1549" t="s">
        <v>709</v>
      </c>
      <c r="B1549" t="s">
        <v>74</v>
      </c>
      <c r="C1549" t="s">
        <v>227</v>
      </c>
      <c r="D1549" t="s">
        <v>228</v>
      </c>
      <c r="E1549" t="s">
        <v>584</v>
      </c>
      <c r="F1549" t="s">
        <v>26</v>
      </c>
      <c r="G1549" t="s">
        <v>26</v>
      </c>
      <c r="H1549">
        <v>4.894271E-2</v>
      </c>
      <c r="I1549">
        <v>5.3571229999999997E-2</v>
      </c>
      <c r="J1549">
        <v>4.019089E-2</v>
      </c>
      <c r="K1549">
        <v>3.5747189999999998E-2</v>
      </c>
      <c r="L1549">
        <v>3.032199E-2</v>
      </c>
      <c r="M1549">
        <v>2.687105E-2</v>
      </c>
      <c r="N1549">
        <v>0</v>
      </c>
    </row>
    <row r="1550" spans="1:14" hidden="1" x14ac:dyDescent="0.35">
      <c r="A1550" t="s">
        <v>709</v>
      </c>
      <c r="B1550" t="s">
        <v>74</v>
      </c>
      <c r="C1550" t="s">
        <v>71</v>
      </c>
      <c r="D1550" t="s">
        <v>75</v>
      </c>
      <c r="E1550" t="s">
        <v>584</v>
      </c>
      <c r="F1550" t="s">
        <v>581</v>
      </c>
      <c r="G1550" t="s">
        <v>396</v>
      </c>
      <c r="H1550">
        <v>2.6625700000000001</v>
      </c>
      <c r="I1550">
        <v>1.9720489999999999</v>
      </c>
      <c r="J1550">
        <v>1.391602</v>
      </c>
      <c r="K1550">
        <v>1.139256</v>
      </c>
      <c r="L1550">
        <v>1.1295599999999999</v>
      </c>
      <c r="M1550">
        <v>0.96012629999999999</v>
      </c>
      <c r="N1550">
        <v>0.74062070000000002</v>
      </c>
    </row>
    <row r="1551" spans="1:14" hidden="1" x14ac:dyDescent="0.35">
      <c r="A1551" t="s">
        <v>709</v>
      </c>
      <c r="B1551" t="s">
        <v>74</v>
      </c>
      <c r="C1551" t="s">
        <v>71</v>
      </c>
      <c r="D1551" t="s">
        <v>75</v>
      </c>
      <c r="E1551" t="s">
        <v>584</v>
      </c>
      <c r="F1551" t="s">
        <v>581</v>
      </c>
      <c r="G1551" t="s">
        <v>25</v>
      </c>
      <c r="H1551">
        <v>3.875116E-2</v>
      </c>
      <c r="I1551">
        <v>8.558866E-3</v>
      </c>
      <c r="J1551">
        <v>6.0382450000000002E-3</v>
      </c>
      <c r="K1551">
        <v>4.9460190000000003E-3</v>
      </c>
      <c r="L1551">
        <v>4.932077E-3</v>
      </c>
      <c r="M1551">
        <v>4.1884679999999999E-3</v>
      </c>
      <c r="N1551">
        <v>3.2303969999999999E-3</v>
      </c>
    </row>
    <row r="1552" spans="1:14" hidden="1" x14ac:dyDescent="0.35">
      <c r="A1552" t="s">
        <v>709</v>
      </c>
      <c r="B1552" t="s">
        <v>74</v>
      </c>
      <c r="C1552" t="s">
        <v>71</v>
      </c>
      <c r="D1552" t="s">
        <v>75</v>
      </c>
      <c r="E1552" t="s">
        <v>584</v>
      </c>
      <c r="F1552" t="s">
        <v>26</v>
      </c>
      <c r="G1552" t="s">
        <v>26</v>
      </c>
      <c r="H1552">
        <v>0.1468469</v>
      </c>
      <c r="I1552">
        <v>0.16844770000000001</v>
      </c>
      <c r="J1552">
        <v>0.11886529999999999</v>
      </c>
      <c r="K1552">
        <v>9.7314620000000004E-2</v>
      </c>
      <c r="L1552">
        <v>9.650765E-2</v>
      </c>
      <c r="M1552">
        <v>8.2031560000000003E-2</v>
      </c>
      <c r="N1552">
        <v>6.3277319999999998E-2</v>
      </c>
    </row>
    <row r="1553" spans="1:14" hidden="1" x14ac:dyDescent="0.35">
      <c r="A1553" t="s">
        <v>709</v>
      </c>
      <c r="B1553" t="s">
        <v>74</v>
      </c>
      <c r="C1553" t="s">
        <v>71</v>
      </c>
      <c r="D1553" t="s">
        <v>78</v>
      </c>
      <c r="E1553" t="s">
        <v>584</v>
      </c>
      <c r="F1553" t="s">
        <v>581</v>
      </c>
      <c r="G1553" t="s">
        <v>24</v>
      </c>
      <c r="H1553">
        <v>5.3813899999999998E-2</v>
      </c>
      <c r="I1553">
        <v>4.2270439999999999E-2</v>
      </c>
      <c r="J1553">
        <v>3.068131E-2</v>
      </c>
      <c r="K1553">
        <v>7.9461549999999999E-3</v>
      </c>
      <c r="L1553">
        <v>3.9090219999999998E-3</v>
      </c>
      <c r="M1553">
        <v>0</v>
      </c>
    </row>
    <row r="1554" spans="1:14" hidden="1" x14ac:dyDescent="0.35">
      <c r="A1554" t="s">
        <v>709</v>
      </c>
      <c r="B1554" t="s">
        <v>74</v>
      </c>
      <c r="C1554" t="s">
        <v>71</v>
      </c>
      <c r="D1554" t="s">
        <v>78</v>
      </c>
      <c r="E1554" t="s">
        <v>584</v>
      </c>
      <c r="F1554" t="s">
        <v>581</v>
      </c>
      <c r="G1554" t="s">
        <v>25</v>
      </c>
      <c r="H1554">
        <v>6.2980750000000002E-2</v>
      </c>
      <c r="I1554">
        <v>4.0115999999999999E-2</v>
      </c>
      <c r="J1554">
        <v>2.7102270000000001E-2</v>
      </c>
      <c r="K1554">
        <v>1.8006680000000001E-2</v>
      </c>
      <c r="L1554">
        <v>8.8582859999999999E-3</v>
      </c>
      <c r="M1554">
        <v>0</v>
      </c>
    </row>
    <row r="1555" spans="1:14" hidden="1" x14ac:dyDescent="0.35">
      <c r="A1555" t="s">
        <v>709</v>
      </c>
      <c r="B1555" t="s">
        <v>74</v>
      </c>
      <c r="C1555" t="s">
        <v>71</v>
      </c>
      <c r="D1555" t="s">
        <v>78</v>
      </c>
      <c r="E1555" t="s">
        <v>584</v>
      </c>
      <c r="F1555" t="s">
        <v>26</v>
      </c>
      <c r="G1555" t="s">
        <v>26</v>
      </c>
      <c r="H1555">
        <v>0.37511450000000002</v>
      </c>
      <c r="I1555">
        <v>0.26207629999999998</v>
      </c>
      <c r="J1555">
        <v>0.18320700000000001</v>
      </c>
      <c r="K1555">
        <v>8.5707110000000003E-2</v>
      </c>
      <c r="L1555">
        <v>4.2162650000000003E-2</v>
      </c>
      <c r="M1555">
        <v>0</v>
      </c>
    </row>
    <row r="1556" spans="1:14" hidden="1" x14ac:dyDescent="0.35">
      <c r="A1556" t="s">
        <v>709</v>
      </c>
      <c r="B1556" t="s">
        <v>74</v>
      </c>
      <c r="C1556" t="s">
        <v>71</v>
      </c>
      <c r="D1556" t="s">
        <v>137</v>
      </c>
      <c r="E1556" t="s">
        <v>584</v>
      </c>
      <c r="F1556" t="s">
        <v>581</v>
      </c>
      <c r="G1556" t="s">
        <v>396</v>
      </c>
      <c r="H1556">
        <v>0.32316820000000002</v>
      </c>
      <c r="I1556">
        <v>0.19316549999999999</v>
      </c>
      <c r="J1556">
        <v>0.13172880000000001</v>
      </c>
      <c r="K1556">
        <v>0.1087356</v>
      </c>
      <c r="L1556">
        <v>8.3342470000000002E-2</v>
      </c>
      <c r="M1556">
        <v>6.4290410000000006E-2</v>
      </c>
      <c r="N1556">
        <v>4.950657E-2</v>
      </c>
    </row>
    <row r="1557" spans="1:14" hidden="1" x14ac:dyDescent="0.35">
      <c r="A1557" t="s">
        <v>709</v>
      </c>
      <c r="B1557" t="s">
        <v>74</v>
      </c>
      <c r="C1557" t="s">
        <v>71</v>
      </c>
      <c r="D1557" t="s">
        <v>137</v>
      </c>
      <c r="E1557" t="s">
        <v>584</v>
      </c>
      <c r="F1557" t="s">
        <v>581</v>
      </c>
      <c r="G1557" t="s">
        <v>25</v>
      </c>
      <c r="H1557">
        <v>3.394521E-4</v>
      </c>
      <c r="I1557">
        <v>2.0301370000000001E-4</v>
      </c>
      <c r="J1557">
        <v>1.380822E-4</v>
      </c>
      <c r="K1557">
        <v>1.142466E-4</v>
      </c>
      <c r="L1557">
        <v>8.7123280000000005E-5</v>
      </c>
      <c r="M1557">
        <v>6.7397249999999996E-5</v>
      </c>
      <c r="N1557">
        <v>5.1780819999999999E-5</v>
      </c>
    </row>
    <row r="1558" spans="1:14" hidden="1" x14ac:dyDescent="0.35">
      <c r="A1558" t="s">
        <v>709</v>
      </c>
      <c r="B1558" t="s">
        <v>74</v>
      </c>
      <c r="C1558" t="s">
        <v>71</v>
      </c>
      <c r="D1558" t="s">
        <v>137</v>
      </c>
      <c r="E1558" t="s">
        <v>584</v>
      </c>
      <c r="F1558" t="s">
        <v>26</v>
      </c>
      <c r="G1558" t="s">
        <v>26</v>
      </c>
      <c r="H1558">
        <v>2.1782470000000002E-2</v>
      </c>
      <c r="I1558">
        <v>1.302E-2</v>
      </c>
      <c r="J1558">
        <v>8.8791779999999997E-3</v>
      </c>
      <c r="K1558">
        <v>7.3290409999999997E-3</v>
      </c>
      <c r="L1558">
        <v>5.6178080000000002E-3</v>
      </c>
      <c r="M1558">
        <v>4.3331510000000004E-3</v>
      </c>
      <c r="N1558">
        <v>3.3369860000000001E-3</v>
      </c>
    </row>
    <row r="1559" spans="1:14" hidden="1" x14ac:dyDescent="0.35">
      <c r="A1559" t="s">
        <v>709</v>
      </c>
      <c r="B1559" t="s">
        <v>74</v>
      </c>
      <c r="C1559" t="s">
        <v>146</v>
      </c>
      <c r="D1559" t="s">
        <v>147</v>
      </c>
      <c r="E1559" t="s">
        <v>584</v>
      </c>
      <c r="F1559" t="s">
        <v>581</v>
      </c>
      <c r="G1559" t="s">
        <v>396</v>
      </c>
      <c r="H1559">
        <v>0.38346330000000001</v>
      </c>
      <c r="I1559">
        <v>0.41422619999999999</v>
      </c>
      <c r="J1559">
        <v>0.28406389999999998</v>
      </c>
      <c r="K1559">
        <v>0.17769299999999999</v>
      </c>
      <c r="L1559">
        <v>8.735909E-2</v>
      </c>
      <c r="M1559">
        <v>0.1024357</v>
      </c>
      <c r="N1559">
        <v>0.2105766</v>
      </c>
    </row>
    <row r="1560" spans="1:14" hidden="1" x14ac:dyDescent="0.35">
      <c r="A1560" t="s">
        <v>709</v>
      </c>
      <c r="B1560" t="s">
        <v>74</v>
      </c>
      <c r="C1560" t="s">
        <v>146</v>
      </c>
      <c r="D1560" t="s">
        <v>147</v>
      </c>
      <c r="E1560" t="s">
        <v>584</v>
      </c>
      <c r="F1560" t="s">
        <v>581</v>
      </c>
      <c r="G1560" t="s">
        <v>24</v>
      </c>
      <c r="K1560">
        <v>0</v>
      </c>
      <c r="L1560">
        <v>5.2200089999999998E-2</v>
      </c>
      <c r="M1560">
        <v>0.1572914</v>
      </c>
      <c r="N1560">
        <v>0.13836899999999999</v>
      </c>
    </row>
    <row r="1561" spans="1:14" hidden="1" x14ac:dyDescent="0.35">
      <c r="A1561" t="s">
        <v>709</v>
      </c>
      <c r="B1561" t="s">
        <v>74</v>
      </c>
      <c r="C1561" t="s">
        <v>146</v>
      </c>
      <c r="D1561" t="s">
        <v>147</v>
      </c>
      <c r="E1561" t="s">
        <v>584</v>
      </c>
      <c r="F1561" t="s">
        <v>581</v>
      </c>
      <c r="G1561" t="s">
        <v>25</v>
      </c>
      <c r="H1561">
        <v>5.5753260000000002E-3</v>
      </c>
      <c r="I1561">
        <v>6.0167789999999999E-3</v>
      </c>
      <c r="J1561">
        <v>4.1282280000000003E-3</v>
      </c>
      <c r="K1561">
        <v>2.5761260000000002E-3</v>
      </c>
      <c r="L1561">
        <v>1.2659430000000001E-3</v>
      </c>
      <c r="M1561">
        <v>3.4373550000000003E-2</v>
      </c>
      <c r="N1561">
        <v>0.141874</v>
      </c>
    </row>
    <row r="1562" spans="1:14" hidden="1" x14ac:dyDescent="0.35">
      <c r="A1562" t="s">
        <v>709</v>
      </c>
      <c r="B1562" t="s">
        <v>74</v>
      </c>
      <c r="C1562" t="s">
        <v>146</v>
      </c>
      <c r="D1562" t="s">
        <v>147</v>
      </c>
      <c r="E1562" t="s">
        <v>584</v>
      </c>
      <c r="F1562" t="s">
        <v>26</v>
      </c>
      <c r="G1562" t="s">
        <v>26</v>
      </c>
      <c r="H1562">
        <v>0.52590110000000001</v>
      </c>
      <c r="I1562">
        <v>0.57763920000000002</v>
      </c>
      <c r="J1562">
        <v>0.39213310000000001</v>
      </c>
      <c r="K1562">
        <v>0.2564845</v>
      </c>
      <c r="L1562">
        <v>0.77181339999999998</v>
      </c>
      <c r="M1562">
        <v>2.0148039999999998</v>
      </c>
      <c r="N1562">
        <v>1.9151039999999999</v>
      </c>
    </row>
    <row r="1563" spans="1:14" hidden="1" x14ac:dyDescent="0.35">
      <c r="A1563" t="s">
        <v>709</v>
      </c>
      <c r="B1563" t="s">
        <v>74</v>
      </c>
      <c r="C1563" t="s">
        <v>146</v>
      </c>
      <c r="D1563" t="s">
        <v>146</v>
      </c>
      <c r="E1563" t="s">
        <v>584</v>
      </c>
      <c r="F1563" t="s">
        <v>581</v>
      </c>
      <c r="G1563" t="s">
        <v>396</v>
      </c>
      <c r="H1563">
        <v>0.2064414</v>
      </c>
      <c r="I1563">
        <v>0.1154067</v>
      </c>
      <c r="J1563">
        <v>3.0540270000000001E-2</v>
      </c>
      <c r="K1563">
        <v>0</v>
      </c>
    </row>
    <row r="1564" spans="1:14" hidden="1" x14ac:dyDescent="0.35">
      <c r="A1564" t="s">
        <v>709</v>
      </c>
      <c r="B1564" t="s">
        <v>74</v>
      </c>
      <c r="C1564" t="s">
        <v>146</v>
      </c>
      <c r="D1564" t="s">
        <v>146</v>
      </c>
      <c r="E1564" t="s">
        <v>584</v>
      </c>
      <c r="F1564" t="s">
        <v>581</v>
      </c>
      <c r="G1564" t="s">
        <v>25</v>
      </c>
      <c r="H1564">
        <v>2.1919999999999999E-4</v>
      </c>
      <c r="I1564">
        <v>0</v>
      </c>
    </row>
    <row r="1565" spans="1:14" hidden="1" x14ac:dyDescent="0.35">
      <c r="A1565" t="s">
        <v>709</v>
      </c>
      <c r="B1565" t="s">
        <v>59</v>
      </c>
      <c r="C1565" t="s">
        <v>161</v>
      </c>
      <c r="D1565" t="s">
        <v>161</v>
      </c>
      <c r="E1565" t="s">
        <v>584</v>
      </c>
      <c r="F1565" t="s">
        <v>581</v>
      </c>
      <c r="G1565" t="s">
        <v>396</v>
      </c>
      <c r="H1565">
        <v>0.1023975</v>
      </c>
      <c r="I1565">
        <v>2.0723660000000002</v>
      </c>
      <c r="J1565">
        <v>0.33591120000000002</v>
      </c>
      <c r="K1565">
        <v>1.3610300000000001E-2</v>
      </c>
      <c r="L1565">
        <v>1.2396290000000001E-2</v>
      </c>
      <c r="M1565">
        <v>0</v>
      </c>
    </row>
    <row r="1566" spans="1:14" hidden="1" x14ac:dyDescent="0.35">
      <c r="A1566" t="s">
        <v>709</v>
      </c>
      <c r="B1566" t="s">
        <v>59</v>
      </c>
      <c r="C1566" t="s">
        <v>161</v>
      </c>
      <c r="D1566" t="s">
        <v>161</v>
      </c>
      <c r="E1566" t="s">
        <v>584</v>
      </c>
      <c r="F1566" t="s">
        <v>581</v>
      </c>
      <c r="G1566" t="s">
        <v>24</v>
      </c>
      <c r="H1566">
        <v>2.3562940000000001</v>
      </c>
      <c r="I1566">
        <v>4.9888890000000004</v>
      </c>
      <c r="J1566">
        <v>4.7635100000000001</v>
      </c>
      <c r="K1566">
        <v>4.6989669999999997</v>
      </c>
      <c r="L1566">
        <v>4.4907909999999998</v>
      </c>
      <c r="M1566">
        <v>3.7547489999999999</v>
      </c>
      <c r="N1566">
        <v>3.3800720000000002</v>
      </c>
    </row>
    <row r="1567" spans="1:14" hidden="1" x14ac:dyDescent="0.35">
      <c r="A1567" t="s">
        <v>709</v>
      </c>
      <c r="B1567" t="s">
        <v>59</v>
      </c>
      <c r="C1567" t="s">
        <v>161</v>
      </c>
      <c r="D1567" t="s">
        <v>161</v>
      </c>
      <c r="E1567" t="s">
        <v>584</v>
      </c>
      <c r="F1567" t="s">
        <v>581</v>
      </c>
      <c r="G1567" t="s">
        <v>25</v>
      </c>
      <c r="H1567">
        <v>0.40120349999999999</v>
      </c>
      <c r="I1567">
        <v>0.51809320000000003</v>
      </c>
      <c r="J1567">
        <v>0.40689700000000001</v>
      </c>
      <c r="K1567">
        <v>0.39286599999999999</v>
      </c>
      <c r="L1567">
        <v>0.3314936</v>
      </c>
      <c r="M1567">
        <v>0.28704239999999998</v>
      </c>
      <c r="N1567">
        <v>0.25457229999999997</v>
      </c>
    </row>
    <row r="1568" spans="1:14" hidden="1" x14ac:dyDescent="0.35">
      <c r="A1568" t="s">
        <v>709</v>
      </c>
      <c r="B1568" t="s">
        <v>59</v>
      </c>
      <c r="C1568" t="s">
        <v>161</v>
      </c>
      <c r="D1568" t="s">
        <v>161</v>
      </c>
      <c r="E1568" t="s">
        <v>584</v>
      </c>
      <c r="F1568" t="s">
        <v>26</v>
      </c>
      <c r="G1568" t="s">
        <v>26</v>
      </c>
      <c r="H1568">
        <v>18.187249999999999</v>
      </c>
      <c r="I1568">
        <v>18.782419999999998</v>
      </c>
      <c r="J1568">
        <v>17.22878</v>
      </c>
      <c r="K1568">
        <v>17.02111</v>
      </c>
      <c r="L1568">
        <v>16.49933</v>
      </c>
      <c r="M1568">
        <v>13.827529999999999</v>
      </c>
      <c r="N1568">
        <v>12.71133</v>
      </c>
    </row>
    <row r="1569" spans="1:14" hidden="1" x14ac:dyDescent="0.35">
      <c r="A1569" t="s">
        <v>709</v>
      </c>
      <c r="B1569" t="s">
        <v>59</v>
      </c>
      <c r="C1569" t="s">
        <v>165</v>
      </c>
      <c r="D1569" t="s">
        <v>165</v>
      </c>
      <c r="E1569" t="s">
        <v>584</v>
      </c>
      <c r="F1569" t="s">
        <v>581</v>
      </c>
      <c r="G1569" t="s">
        <v>24</v>
      </c>
      <c r="H1569">
        <v>0.44262620000000003</v>
      </c>
      <c r="I1569">
        <v>0.48226580000000002</v>
      </c>
      <c r="J1569">
        <v>0.48410120000000001</v>
      </c>
      <c r="K1569">
        <v>0.47946759999999999</v>
      </c>
      <c r="L1569">
        <v>0.4118985</v>
      </c>
      <c r="M1569">
        <v>0.37721440000000001</v>
      </c>
      <c r="N1569">
        <v>0.30190280000000003</v>
      </c>
    </row>
    <row r="1570" spans="1:14" hidden="1" x14ac:dyDescent="0.35">
      <c r="A1570" t="s">
        <v>709</v>
      </c>
      <c r="B1570" t="s">
        <v>59</v>
      </c>
      <c r="C1570" t="s">
        <v>165</v>
      </c>
      <c r="D1570" t="s">
        <v>165</v>
      </c>
      <c r="E1570" t="s">
        <v>584</v>
      </c>
      <c r="F1570" t="s">
        <v>26</v>
      </c>
      <c r="G1570" t="s">
        <v>26</v>
      </c>
      <c r="H1570">
        <v>4.6858909999999998</v>
      </c>
      <c r="I1570">
        <v>4.2735609999999999</v>
      </c>
      <c r="J1570">
        <v>4.292224</v>
      </c>
      <c r="K1570">
        <v>4.2636500000000002</v>
      </c>
      <c r="L1570">
        <v>3.6747580000000002</v>
      </c>
      <c r="M1570">
        <v>3.3903210000000001</v>
      </c>
      <c r="N1570">
        <v>2.6769810000000001</v>
      </c>
    </row>
    <row r="1571" spans="1:14" hidden="1" x14ac:dyDescent="0.35">
      <c r="A1571" t="s">
        <v>709</v>
      </c>
      <c r="B1571" t="s">
        <v>32</v>
      </c>
      <c r="C1571" t="s">
        <v>30</v>
      </c>
      <c r="D1571" t="s">
        <v>30</v>
      </c>
      <c r="E1571" t="s">
        <v>584</v>
      </c>
      <c r="F1571" t="s">
        <v>581</v>
      </c>
      <c r="G1571" t="s">
        <v>396</v>
      </c>
      <c r="H1571">
        <v>13.05301</v>
      </c>
      <c r="I1571">
        <v>12.65479</v>
      </c>
      <c r="J1571">
        <v>12.2834</v>
      </c>
      <c r="K1571">
        <v>11.929959999999999</v>
      </c>
      <c r="L1571">
        <v>11.541980000000001</v>
      </c>
      <c r="M1571">
        <v>11.05777</v>
      </c>
      <c r="N1571">
        <v>10.635730000000001</v>
      </c>
    </row>
    <row r="1572" spans="1:14" hidden="1" x14ac:dyDescent="0.35">
      <c r="A1572" t="s">
        <v>709</v>
      </c>
      <c r="B1572" t="s">
        <v>69</v>
      </c>
      <c r="C1572" t="s">
        <v>68</v>
      </c>
      <c r="D1572" t="s">
        <v>68</v>
      </c>
      <c r="E1572" t="s">
        <v>584</v>
      </c>
      <c r="F1572" t="s">
        <v>581</v>
      </c>
      <c r="G1572" t="s">
        <v>396</v>
      </c>
      <c r="H1572">
        <v>0.4448395</v>
      </c>
      <c r="I1572">
        <v>0.54186840000000003</v>
      </c>
      <c r="J1572">
        <v>0.4853653</v>
      </c>
      <c r="K1572">
        <v>0.43790659999999998</v>
      </c>
      <c r="L1572">
        <v>0.39357819999999999</v>
      </c>
      <c r="M1572">
        <v>0.34734209999999999</v>
      </c>
      <c r="N1572">
        <v>0.1012303</v>
      </c>
    </row>
    <row r="1573" spans="1:14" hidden="1" x14ac:dyDescent="0.35">
      <c r="A1573" t="s">
        <v>709</v>
      </c>
      <c r="B1573" t="s">
        <v>69</v>
      </c>
      <c r="C1573" t="s">
        <v>68</v>
      </c>
      <c r="D1573" t="s">
        <v>68</v>
      </c>
      <c r="E1573" t="s">
        <v>584</v>
      </c>
      <c r="F1573" t="s">
        <v>581</v>
      </c>
      <c r="G1573" t="s">
        <v>24</v>
      </c>
      <c r="H1573">
        <v>1.001852</v>
      </c>
      <c r="I1573">
        <v>0.88816209999999995</v>
      </c>
      <c r="J1573">
        <v>0.91815690000000005</v>
      </c>
      <c r="K1573">
        <v>0.86446179999999995</v>
      </c>
      <c r="L1573">
        <v>0.80558240000000003</v>
      </c>
      <c r="M1573">
        <v>0.76255470000000003</v>
      </c>
      <c r="N1573">
        <v>0.78472660000000005</v>
      </c>
    </row>
    <row r="1574" spans="1:14" hidden="1" x14ac:dyDescent="0.35">
      <c r="A1574" t="s">
        <v>709</v>
      </c>
      <c r="B1574" t="s">
        <v>69</v>
      </c>
      <c r="C1574" t="s">
        <v>68</v>
      </c>
      <c r="D1574" t="s">
        <v>68</v>
      </c>
      <c r="E1574" t="s">
        <v>584</v>
      </c>
      <c r="F1574" t="s">
        <v>581</v>
      </c>
      <c r="G1574" t="s">
        <v>25</v>
      </c>
      <c r="H1574">
        <v>0.1019178</v>
      </c>
      <c r="I1574">
        <v>0.1303134</v>
      </c>
      <c r="J1574">
        <v>0.18606909999999999</v>
      </c>
      <c r="K1574">
        <v>0.21067379999999999</v>
      </c>
      <c r="L1574">
        <v>0.23143610000000001</v>
      </c>
      <c r="M1574">
        <v>0.25771169999999999</v>
      </c>
      <c r="N1574">
        <v>0.27638020000000002</v>
      </c>
    </row>
    <row r="1575" spans="1:14" hidden="1" x14ac:dyDescent="0.35">
      <c r="A1575" t="s">
        <v>709</v>
      </c>
      <c r="B1575" t="s">
        <v>69</v>
      </c>
      <c r="C1575" t="s">
        <v>68</v>
      </c>
      <c r="D1575" t="s">
        <v>68</v>
      </c>
      <c r="E1575" t="s">
        <v>584</v>
      </c>
      <c r="F1575" t="s">
        <v>26</v>
      </c>
      <c r="G1575" t="s">
        <v>26</v>
      </c>
      <c r="H1575">
        <v>7.4807670000000002</v>
      </c>
      <c r="I1575">
        <v>7.3022689999999999</v>
      </c>
      <c r="J1575">
        <v>7.6049090000000001</v>
      </c>
      <c r="K1575">
        <v>7.1931599999999998</v>
      </c>
      <c r="L1575">
        <v>6.8100880000000004</v>
      </c>
      <c r="M1575">
        <v>6.5983489999999998</v>
      </c>
      <c r="N1575">
        <v>6.5180860000000003</v>
      </c>
    </row>
    <row r="1576" spans="1:14" hidden="1" x14ac:dyDescent="0.35">
      <c r="A1576" t="s">
        <v>709</v>
      </c>
      <c r="B1576" t="s">
        <v>37</v>
      </c>
      <c r="C1576" t="s">
        <v>61</v>
      </c>
      <c r="D1576" t="s">
        <v>62</v>
      </c>
      <c r="E1576" t="s">
        <v>584</v>
      </c>
      <c r="F1576" t="s">
        <v>581</v>
      </c>
      <c r="G1576" t="s">
        <v>396</v>
      </c>
      <c r="H1576">
        <v>1.988491</v>
      </c>
      <c r="I1576">
        <v>1.988491</v>
      </c>
      <c r="J1576">
        <v>1.833358</v>
      </c>
      <c r="K1576">
        <v>1.6320110000000001</v>
      </c>
      <c r="L1576">
        <v>1.435705</v>
      </c>
      <c r="M1576">
        <v>1.2321279999999999</v>
      </c>
      <c r="N1576">
        <v>1.0595540000000001</v>
      </c>
    </row>
    <row r="1577" spans="1:14" hidden="1" x14ac:dyDescent="0.35">
      <c r="A1577" t="s">
        <v>709</v>
      </c>
      <c r="B1577" t="s">
        <v>37</v>
      </c>
      <c r="C1577" t="s">
        <v>61</v>
      </c>
      <c r="D1577" t="s">
        <v>62</v>
      </c>
      <c r="E1577" t="s">
        <v>584</v>
      </c>
      <c r="F1577" t="s">
        <v>581</v>
      </c>
      <c r="G1577" t="s">
        <v>24</v>
      </c>
      <c r="H1577">
        <v>7.6337530000000005E-4</v>
      </c>
      <c r="I1577">
        <v>5.1135340000000001E-4</v>
      </c>
      <c r="J1577">
        <v>3.4491730000000003E-4</v>
      </c>
      <c r="K1577">
        <v>2.3120549999999999E-4</v>
      </c>
      <c r="L1577">
        <v>1.5505860000000001E-4</v>
      </c>
      <c r="M1577">
        <v>1.0379619999999999E-4</v>
      </c>
      <c r="N1577">
        <v>0</v>
      </c>
    </row>
    <row r="1578" spans="1:14" hidden="1" x14ac:dyDescent="0.35">
      <c r="A1578" t="s">
        <v>709</v>
      </c>
      <c r="B1578" t="s">
        <v>37</v>
      </c>
      <c r="C1578" t="s">
        <v>61</v>
      </c>
      <c r="D1578" t="s">
        <v>62</v>
      </c>
      <c r="E1578" t="s">
        <v>584</v>
      </c>
      <c r="F1578" t="s">
        <v>26</v>
      </c>
      <c r="G1578" t="s">
        <v>26</v>
      </c>
      <c r="H1578">
        <v>7.3701000000000003E-2</v>
      </c>
      <c r="I1578">
        <v>8.8279499999999997E-2</v>
      </c>
      <c r="J1578">
        <v>8.7784970000000004E-2</v>
      </c>
      <c r="K1578">
        <v>8.5708019999999996E-2</v>
      </c>
      <c r="L1578">
        <v>8.1443639999999998E-2</v>
      </c>
      <c r="M1578">
        <v>7.5646400000000003E-2</v>
      </c>
      <c r="N1578">
        <v>7.0537379999999997E-2</v>
      </c>
    </row>
    <row r="1579" spans="1:14" hidden="1" x14ac:dyDescent="0.35">
      <c r="A1579" t="s">
        <v>709</v>
      </c>
      <c r="B1579" t="s">
        <v>37</v>
      </c>
      <c r="C1579" t="s">
        <v>79</v>
      </c>
      <c r="D1579" t="s">
        <v>79</v>
      </c>
      <c r="E1579" t="s">
        <v>584</v>
      </c>
      <c r="F1579" t="s">
        <v>581</v>
      </c>
      <c r="G1579" t="s">
        <v>396</v>
      </c>
      <c r="H1579">
        <v>3.1271229999999997E-2</v>
      </c>
      <c r="I1579">
        <v>3.065205E-2</v>
      </c>
      <c r="J1579">
        <v>3.0043839999999999E-2</v>
      </c>
      <c r="K1579">
        <v>2.938986E-2</v>
      </c>
      <c r="L1579">
        <v>2.8528769999999998E-2</v>
      </c>
      <c r="M1579">
        <v>2.7081089999999999E-2</v>
      </c>
      <c r="N1579">
        <v>2.582301E-2</v>
      </c>
    </row>
    <row r="1580" spans="1:14" hidden="1" x14ac:dyDescent="0.35">
      <c r="A1580" t="s">
        <v>709</v>
      </c>
      <c r="B1580" t="s">
        <v>37</v>
      </c>
      <c r="C1580" t="s">
        <v>79</v>
      </c>
      <c r="D1580" t="s">
        <v>79</v>
      </c>
      <c r="E1580" t="s">
        <v>584</v>
      </c>
      <c r="F1580" t="s">
        <v>26</v>
      </c>
      <c r="G1580" t="s">
        <v>26</v>
      </c>
      <c r="H1580">
        <v>0.68655069999999996</v>
      </c>
      <c r="I1580">
        <v>0.61233970000000004</v>
      </c>
      <c r="J1580">
        <v>0.54610820000000004</v>
      </c>
      <c r="K1580">
        <v>0.48623759999999999</v>
      </c>
      <c r="L1580">
        <v>0.42784470000000002</v>
      </c>
      <c r="M1580">
        <v>0.36726049999999999</v>
      </c>
      <c r="N1580">
        <v>0.31589590000000001</v>
      </c>
    </row>
    <row r="1581" spans="1:14" hidden="1" x14ac:dyDescent="0.35">
      <c r="A1581" t="s">
        <v>709</v>
      </c>
      <c r="B1581" t="s">
        <v>37</v>
      </c>
      <c r="C1581" t="s">
        <v>109</v>
      </c>
      <c r="D1581" t="s">
        <v>109</v>
      </c>
      <c r="E1581" t="s">
        <v>584</v>
      </c>
      <c r="F1581" t="s">
        <v>581</v>
      </c>
      <c r="G1581" t="s">
        <v>396</v>
      </c>
      <c r="H1581">
        <v>0.23392850000000001</v>
      </c>
      <c r="I1581">
        <v>0.21029729999999999</v>
      </c>
      <c r="J1581">
        <v>0.18904109999999999</v>
      </c>
      <c r="K1581">
        <v>0.16966390000000001</v>
      </c>
      <c r="L1581">
        <v>0.1505214</v>
      </c>
      <c r="M1581">
        <v>0.130301</v>
      </c>
      <c r="N1581">
        <v>0.1130482</v>
      </c>
    </row>
    <row r="1582" spans="1:14" hidden="1" x14ac:dyDescent="0.35">
      <c r="A1582" t="s">
        <v>709</v>
      </c>
      <c r="B1582" t="s">
        <v>37</v>
      </c>
      <c r="C1582" t="s">
        <v>109</v>
      </c>
      <c r="D1582" t="s">
        <v>109</v>
      </c>
      <c r="E1582" t="s">
        <v>584</v>
      </c>
      <c r="F1582" t="s">
        <v>581</v>
      </c>
      <c r="G1582" t="s">
        <v>24</v>
      </c>
      <c r="H1582">
        <v>1.246575E-5</v>
      </c>
      <c r="I1582">
        <v>0</v>
      </c>
    </row>
    <row r="1583" spans="1:14" hidden="1" x14ac:dyDescent="0.35">
      <c r="A1583" t="s">
        <v>709</v>
      </c>
      <c r="B1583" t="s">
        <v>37</v>
      </c>
      <c r="C1583" t="s">
        <v>109</v>
      </c>
      <c r="D1583" t="s">
        <v>109</v>
      </c>
      <c r="E1583" t="s">
        <v>584</v>
      </c>
      <c r="F1583" t="s">
        <v>581</v>
      </c>
      <c r="G1583" t="s">
        <v>25</v>
      </c>
      <c r="H1583">
        <v>2.2917810000000001E-3</v>
      </c>
      <c r="I1583">
        <v>2.2361640000000001E-3</v>
      </c>
      <c r="J1583">
        <v>2.1747939999999999E-3</v>
      </c>
      <c r="K1583">
        <v>2.1139039999999998E-3</v>
      </c>
      <c r="L1583">
        <v>2.0365209999999999E-3</v>
      </c>
      <c r="M1583">
        <v>1.918E-3</v>
      </c>
      <c r="N1583">
        <v>1.813575E-3</v>
      </c>
    </row>
    <row r="1584" spans="1:14" hidden="1" x14ac:dyDescent="0.35">
      <c r="A1584" t="s">
        <v>709</v>
      </c>
      <c r="B1584" t="s">
        <v>37</v>
      </c>
      <c r="C1584" t="s">
        <v>109</v>
      </c>
      <c r="D1584" t="s">
        <v>109</v>
      </c>
      <c r="E1584" t="s">
        <v>584</v>
      </c>
      <c r="F1584" t="s">
        <v>26</v>
      </c>
      <c r="G1584" t="s">
        <v>26</v>
      </c>
      <c r="H1584">
        <v>2.6773559999999998E-2</v>
      </c>
      <c r="I1584">
        <v>2.6217399999999998E-2</v>
      </c>
      <c r="J1584">
        <v>2.5671679999999999E-2</v>
      </c>
      <c r="K1584">
        <v>2.509567E-2</v>
      </c>
      <c r="L1584">
        <v>2.433459E-2</v>
      </c>
      <c r="M1584">
        <v>2.3076030000000001E-2</v>
      </c>
      <c r="N1584">
        <v>2.1979430000000001E-2</v>
      </c>
    </row>
    <row r="1585" spans="1:14" hidden="1" x14ac:dyDescent="0.35">
      <c r="A1585" t="s">
        <v>709</v>
      </c>
      <c r="B1585" t="s">
        <v>154</v>
      </c>
      <c r="C1585" t="s">
        <v>261</v>
      </c>
      <c r="D1585" t="s">
        <v>261</v>
      </c>
      <c r="E1585" t="s">
        <v>584</v>
      </c>
      <c r="F1585" t="s">
        <v>581</v>
      </c>
      <c r="G1585" t="s">
        <v>396</v>
      </c>
      <c r="H1585">
        <v>3.868182</v>
      </c>
      <c r="I1585">
        <v>4.2366440000000001</v>
      </c>
      <c r="J1585">
        <v>3.9762759999999999</v>
      </c>
      <c r="K1585">
        <v>2.3523070000000001</v>
      </c>
      <c r="L1585">
        <v>1.1341680000000001</v>
      </c>
      <c r="M1585">
        <v>0.74753020000000003</v>
      </c>
      <c r="N1585">
        <v>6.4646469999999998E-2</v>
      </c>
    </row>
    <row r="1586" spans="1:14" hidden="1" x14ac:dyDescent="0.35">
      <c r="A1586" t="s">
        <v>709</v>
      </c>
      <c r="B1586" t="s">
        <v>154</v>
      </c>
      <c r="C1586" t="s">
        <v>261</v>
      </c>
      <c r="D1586" t="s">
        <v>261</v>
      </c>
      <c r="E1586" t="s">
        <v>584</v>
      </c>
      <c r="F1586" t="s">
        <v>26</v>
      </c>
      <c r="G1586" t="s">
        <v>26</v>
      </c>
      <c r="H1586">
        <v>0</v>
      </c>
      <c r="I1586">
        <v>0</v>
      </c>
      <c r="J1586">
        <v>0</v>
      </c>
      <c r="K1586">
        <v>0.17922060000000001</v>
      </c>
      <c r="L1586">
        <v>0</v>
      </c>
    </row>
    <row r="1587" spans="1:14" hidden="1" x14ac:dyDescent="0.35">
      <c r="A1587" t="s">
        <v>709</v>
      </c>
      <c r="B1587" t="s">
        <v>31</v>
      </c>
      <c r="C1587" t="s">
        <v>30</v>
      </c>
      <c r="D1587" t="s">
        <v>30</v>
      </c>
      <c r="E1587" t="s">
        <v>584</v>
      </c>
      <c r="F1587" t="s">
        <v>581</v>
      </c>
      <c r="G1587" t="s">
        <v>396</v>
      </c>
      <c r="H1587">
        <v>2.1917810000000002</v>
      </c>
      <c r="I1587">
        <v>2.1229900000000002</v>
      </c>
      <c r="J1587">
        <v>2.0563180000000001</v>
      </c>
      <c r="K1587">
        <v>1.989908</v>
      </c>
      <c r="L1587">
        <v>1.9078200000000001</v>
      </c>
      <c r="M1587">
        <v>1.788281</v>
      </c>
      <c r="N1587">
        <v>1.6831910000000001</v>
      </c>
    </row>
    <row r="1588" spans="1:14" hidden="1" x14ac:dyDescent="0.35">
      <c r="A1588" t="s">
        <v>709</v>
      </c>
      <c r="B1588" t="s">
        <v>195</v>
      </c>
      <c r="C1588" t="s">
        <v>710</v>
      </c>
      <c r="D1588" t="s">
        <v>710</v>
      </c>
      <c r="E1588" t="s">
        <v>584</v>
      </c>
      <c r="F1588" t="s">
        <v>581</v>
      </c>
      <c r="G1588" t="s">
        <v>24</v>
      </c>
      <c r="H1588">
        <v>0.1835493</v>
      </c>
      <c r="I1588">
        <v>0.1439802</v>
      </c>
      <c r="J1588">
        <v>0.1394003</v>
      </c>
      <c r="K1588">
        <v>0.13454679999999999</v>
      </c>
      <c r="L1588">
        <v>0.1234867</v>
      </c>
      <c r="M1588">
        <v>0.1056182</v>
      </c>
      <c r="N1588">
        <v>7.6721639999999994E-2</v>
      </c>
    </row>
    <row r="1589" spans="1:14" hidden="1" x14ac:dyDescent="0.35">
      <c r="A1589" t="s">
        <v>709</v>
      </c>
      <c r="B1589" t="s">
        <v>195</v>
      </c>
      <c r="C1589" t="s">
        <v>710</v>
      </c>
      <c r="D1589" t="s">
        <v>710</v>
      </c>
      <c r="E1589" t="s">
        <v>584</v>
      </c>
      <c r="F1589" t="s">
        <v>26</v>
      </c>
      <c r="G1589" t="s">
        <v>26</v>
      </c>
      <c r="H1589">
        <v>1.3052490000000001</v>
      </c>
      <c r="I1589">
        <v>1.093729</v>
      </c>
      <c r="J1589">
        <v>1.052359</v>
      </c>
      <c r="K1589">
        <v>0.98669589999999996</v>
      </c>
      <c r="L1589">
        <v>0.89492640000000001</v>
      </c>
      <c r="M1589">
        <v>0.77192340000000004</v>
      </c>
      <c r="N1589">
        <v>0.59240479999999995</v>
      </c>
    </row>
    <row r="1590" spans="1:14" hidden="1" x14ac:dyDescent="0.35">
      <c r="A1590" t="s">
        <v>709</v>
      </c>
      <c r="B1590" t="s">
        <v>60</v>
      </c>
      <c r="C1590" t="s">
        <v>126</v>
      </c>
      <c r="D1590" t="s">
        <v>126</v>
      </c>
      <c r="E1590" t="s">
        <v>584</v>
      </c>
      <c r="F1590" t="s">
        <v>26</v>
      </c>
      <c r="G1590" t="s">
        <v>26</v>
      </c>
      <c r="H1590">
        <v>0</v>
      </c>
      <c r="I1590">
        <v>0</v>
      </c>
      <c r="J1590">
        <v>0</v>
      </c>
      <c r="K1590">
        <v>0.58489599999999997</v>
      </c>
      <c r="L1590">
        <v>0.7222809</v>
      </c>
      <c r="M1590">
        <v>0.78137409999999996</v>
      </c>
      <c r="N1590">
        <v>0.77923949999999997</v>
      </c>
    </row>
    <row r="1591" spans="1:14" hidden="1" x14ac:dyDescent="0.35">
      <c r="A1591" t="s">
        <v>709</v>
      </c>
      <c r="B1591" t="s">
        <v>625</v>
      </c>
      <c r="C1591" t="s">
        <v>626</v>
      </c>
      <c r="D1591" t="s">
        <v>626</v>
      </c>
      <c r="E1591" t="s">
        <v>584</v>
      </c>
      <c r="F1591" t="s">
        <v>581</v>
      </c>
      <c r="G1591" t="s">
        <v>24</v>
      </c>
      <c r="H1591">
        <v>1.228767E-3</v>
      </c>
      <c r="I1591">
        <v>1.20411E-3</v>
      </c>
      <c r="J1591">
        <v>1.180822E-3</v>
      </c>
      <c r="K1591">
        <v>1.154658E-3</v>
      </c>
      <c r="L1591">
        <v>1.1205480000000001E-3</v>
      </c>
      <c r="M1591">
        <v>1.0645209999999999E-3</v>
      </c>
      <c r="N1591">
        <v>1.0143839999999999E-3</v>
      </c>
    </row>
    <row r="1592" spans="1:14" hidden="1" x14ac:dyDescent="0.35">
      <c r="A1592" t="s">
        <v>709</v>
      </c>
      <c r="B1592" t="s">
        <v>625</v>
      </c>
      <c r="C1592" t="s">
        <v>626</v>
      </c>
      <c r="D1592" t="s">
        <v>626</v>
      </c>
      <c r="E1592" t="s">
        <v>584</v>
      </c>
      <c r="F1592" t="s">
        <v>581</v>
      </c>
      <c r="G1592" t="s">
        <v>25</v>
      </c>
      <c r="H1592">
        <v>1.1520549999999999E-3</v>
      </c>
      <c r="I1592">
        <v>7.7123290000000004E-4</v>
      </c>
      <c r="J1592">
        <v>5.1684929999999999E-4</v>
      </c>
      <c r="K1592">
        <v>0</v>
      </c>
    </row>
    <row r="1593" spans="1:14" hidden="1" x14ac:dyDescent="0.35">
      <c r="A1593" t="s">
        <v>709</v>
      </c>
      <c r="B1593" t="s">
        <v>625</v>
      </c>
      <c r="C1593" t="s">
        <v>626</v>
      </c>
      <c r="D1593" t="s">
        <v>626</v>
      </c>
      <c r="E1593" t="s">
        <v>584</v>
      </c>
      <c r="F1593" t="s">
        <v>26</v>
      </c>
      <c r="G1593" t="s">
        <v>26</v>
      </c>
      <c r="H1593">
        <v>7.2206839999999994E-2</v>
      </c>
      <c r="I1593">
        <v>6.755891E-2</v>
      </c>
      <c r="J1593">
        <v>6.3206849999999995E-2</v>
      </c>
      <c r="K1593">
        <v>5.9062740000000002E-2</v>
      </c>
      <c r="L1593">
        <v>5.4621919999999997E-2</v>
      </c>
      <c r="M1593">
        <v>4.9341509999999998E-2</v>
      </c>
      <c r="N1593">
        <v>4.4717260000000002E-2</v>
      </c>
    </row>
    <row r="1594" spans="1:14" hidden="1" x14ac:dyDescent="0.35">
      <c r="A1594" t="s">
        <v>709</v>
      </c>
      <c r="B1594" t="s">
        <v>53</v>
      </c>
      <c r="C1594" t="s">
        <v>52</v>
      </c>
      <c r="D1594" t="s">
        <v>52</v>
      </c>
      <c r="E1594" t="s">
        <v>584</v>
      </c>
      <c r="F1594" t="s">
        <v>581</v>
      </c>
      <c r="G1594" t="s">
        <v>396</v>
      </c>
      <c r="H1594">
        <v>0</v>
      </c>
    </row>
    <row r="1595" spans="1:14" hidden="1" x14ac:dyDescent="0.35">
      <c r="A1595" t="s">
        <v>711</v>
      </c>
      <c r="B1595" t="s">
        <v>74</v>
      </c>
      <c r="C1595" t="s">
        <v>87</v>
      </c>
      <c r="D1595" t="s">
        <v>87</v>
      </c>
      <c r="E1595" t="s">
        <v>584</v>
      </c>
      <c r="F1595" t="s">
        <v>581</v>
      </c>
      <c r="G1595" t="s">
        <v>396</v>
      </c>
      <c r="H1595">
        <v>31.457599999999999</v>
      </c>
      <c r="I1595">
        <v>21.552150000000001</v>
      </c>
      <c r="J1595">
        <v>15.8987</v>
      </c>
      <c r="K1595">
        <v>13.1044</v>
      </c>
      <c r="L1595">
        <v>10.6533</v>
      </c>
      <c r="M1595">
        <v>7.6969399999999997</v>
      </c>
      <c r="N1595">
        <v>5.8807739999999997</v>
      </c>
    </row>
    <row r="1596" spans="1:14" hidden="1" x14ac:dyDescent="0.35">
      <c r="A1596" t="s">
        <v>711</v>
      </c>
      <c r="B1596" t="s">
        <v>74</v>
      </c>
      <c r="C1596" t="s">
        <v>87</v>
      </c>
      <c r="D1596" t="s">
        <v>87</v>
      </c>
      <c r="E1596" t="s">
        <v>584</v>
      </c>
      <c r="F1596" t="s">
        <v>581</v>
      </c>
      <c r="G1596" t="s">
        <v>25</v>
      </c>
      <c r="H1596">
        <v>0.19553699999999999</v>
      </c>
      <c r="I1596">
        <v>0.1110616</v>
      </c>
      <c r="J1596">
        <v>7.0431510000000003E-2</v>
      </c>
      <c r="K1596">
        <v>4.9519180000000003E-2</v>
      </c>
      <c r="L1596">
        <v>3.5883560000000002E-2</v>
      </c>
      <c r="M1596">
        <v>2.682329E-2</v>
      </c>
      <c r="N1596">
        <v>2.0427399999999998E-2</v>
      </c>
    </row>
    <row r="1597" spans="1:14" hidden="1" x14ac:dyDescent="0.35">
      <c r="A1597" t="s">
        <v>711</v>
      </c>
      <c r="B1597" t="s">
        <v>74</v>
      </c>
      <c r="C1597" t="s">
        <v>87</v>
      </c>
      <c r="D1597" t="s">
        <v>87</v>
      </c>
      <c r="E1597" t="s">
        <v>584</v>
      </c>
      <c r="F1597" t="s">
        <v>26</v>
      </c>
      <c r="G1597" t="s">
        <v>26</v>
      </c>
      <c r="H1597">
        <v>1.4662599999999999</v>
      </c>
      <c r="I1597">
        <v>0.780223</v>
      </c>
      <c r="J1597">
        <v>0.3417636</v>
      </c>
      <c r="K1597">
        <v>0.29027350000000002</v>
      </c>
      <c r="L1597">
        <v>0.2430763</v>
      </c>
      <c r="M1597">
        <v>0.17056009999999999</v>
      </c>
      <c r="N1597">
        <v>0.1287277</v>
      </c>
    </row>
    <row r="1598" spans="1:14" hidden="1" x14ac:dyDescent="0.35">
      <c r="A1598" t="s">
        <v>711</v>
      </c>
      <c r="B1598" t="s">
        <v>74</v>
      </c>
      <c r="C1598" t="s">
        <v>87</v>
      </c>
      <c r="D1598" t="s">
        <v>88</v>
      </c>
      <c r="E1598" t="s">
        <v>584</v>
      </c>
      <c r="F1598" t="s">
        <v>581</v>
      </c>
      <c r="G1598" t="s">
        <v>396</v>
      </c>
      <c r="H1598">
        <v>0.15576470000000001</v>
      </c>
      <c r="I1598">
        <v>0.16515750000000001</v>
      </c>
      <c r="J1598">
        <v>0.1206199</v>
      </c>
      <c r="K1598">
        <v>0.100817</v>
      </c>
      <c r="L1598">
        <v>7.4298509999999998E-2</v>
      </c>
      <c r="M1598">
        <v>3.9992189999999997E-2</v>
      </c>
      <c r="N1598">
        <v>3.7734999999999998E-2</v>
      </c>
    </row>
    <row r="1599" spans="1:14" hidden="1" x14ac:dyDescent="0.35">
      <c r="A1599" t="s">
        <v>711</v>
      </c>
      <c r="B1599" t="s">
        <v>74</v>
      </c>
      <c r="C1599" t="s">
        <v>87</v>
      </c>
      <c r="D1599" t="s">
        <v>88</v>
      </c>
      <c r="E1599" t="s">
        <v>584</v>
      </c>
      <c r="F1599" t="s">
        <v>581</v>
      </c>
      <c r="G1599" t="s">
        <v>24</v>
      </c>
      <c r="H1599">
        <v>4.7328060000000001</v>
      </c>
      <c r="I1599">
        <v>4.9004989999999999</v>
      </c>
      <c r="J1599">
        <v>4.1535729999999997</v>
      </c>
      <c r="K1599">
        <v>4.0203670000000002</v>
      </c>
      <c r="L1599">
        <v>3.647227</v>
      </c>
      <c r="M1599">
        <v>3.300033</v>
      </c>
      <c r="N1599">
        <v>3.157645</v>
      </c>
    </row>
    <row r="1600" spans="1:14" hidden="1" x14ac:dyDescent="0.35">
      <c r="A1600" t="s">
        <v>711</v>
      </c>
      <c r="B1600" t="s">
        <v>74</v>
      </c>
      <c r="C1600" t="s">
        <v>87</v>
      </c>
      <c r="D1600" t="s">
        <v>88</v>
      </c>
      <c r="E1600" t="s">
        <v>584</v>
      </c>
      <c r="F1600" t="s">
        <v>581</v>
      </c>
      <c r="G1600" t="s">
        <v>25</v>
      </c>
      <c r="H1600">
        <v>0.72822209999999998</v>
      </c>
      <c r="I1600">
        <v>0.55981429999999999</v>
      </c>
      <c r="J1600">
        <v>0.4552834</v>
      </c>
      <c r="K1600">
        <v>0.44435669999999999</v>
      </c>
      <c r="L1600">
        <v>0.39551700000000001</v>
      </c>
      <c r="M1600">
        <v>0.34343079999999998</v>
      </c>
      <c r="N1600">
        <v>0.31908379999999997</v>
      </c>
    </row>
    <row r="1601" spans="1:14" hidden="1" x14ac:dyDescent="0.35">
      <c r="A1601" t="s">
        <v>711</v>
      </c>
      <c r="B1601" t="s">
        <v>74</v>
      </c>
      <c r="C1601" t="s">
        <v>87</v>
      </c>
      <c r="D1601" t="s">
        <v>88</v>
      </c>
      <c r="E1601" t="s">
        <v>584</v>
      </c>
      <c r="F1601" t="s">
        <v>26</v>
      </c>
      <c r="G1601" t="s">
        <v>26</v>
      </c>
      <c r="H1601">
        <v>3.722315</v>
      </c>
      <c r="I1601">
        <v>4.1829020000000003</v>
      </c>
      <c r="J1601">
        <v>3.6783030000000001</v>
      </c>
      <c r="K1601">
        <v>3.7660670000000001</v>
      </c>
      <c r="L1601">
        <v>3.4045559999999999</v>
      </c>
      <c r="M1601">
        <v>3.1414800000000001</v>
      </c>
      <c r="N1601">
        <v>3.5914579999999998</v>
      </c>
    </row>
    <row r="1602" spans="1:14" hidden="1" x14ac:dyDescent="0.35">
      <c r="A1602" t="s">
        <v>711</v>
      </c>
      <c r="B1602" t="s">
        <v>74</v>
      </c>
      <c r="C1602" t="s">
        <v>87</v>
      </c>
      <c r="D1602" t="s">
        <v>92</v>
      </c>
      <c r="E1602" t="s">
        <v>584</v>
      </c>
      <c r="F1602" t="s">
        <v>581</v>
      </c>
      <c r="G1602" t="s">
        <v>396</v>
      </c>
      <c r="H1602">
        <v>4.9698000000000002</v>
      </c>
      <c r="I1602">
        <v>0.73672610000000005</v>
      </c>
      <c r="J1602">
        <v>0</v>
      </c>
    </row>
    <row r="1603" spans="1:14" hidden="1" x14ac:dyDescent="0.35">
      <c r="A1603" t="s">
        <v>711</v>
      </c>
      <c r="B1603" t="s">
        <v>74</v>
      </c>
      <c r="C1603" t="s">
        <v>87</v>
      </c>
      <c r="D1603" t="s">
        <v>92</v>
      </c>
      <c r="E1603" t="s">
        <v>584</v>
      </c>
      <c r="F1603" t="s">
        <v>581</v>
      </c>
      <c r="G1603" t="s">
        <v>25</v>
      </c>
      <c r="H1603">
        <v>0.45772600000000002</v>
      </c>
      <c r="I1603">
        <v>6.7852060000000006E-2</v>
      </c>
      <c r="J1603">
        <v>0</v>
      </c>
    </row>
    <row r="1604" spans="1:14" hidden="1" x14ac:dyDescent="0.35">
      <c r="A1604" t="s">
        <v>711</v>
      </c>
      <c r="B1604" t="s">
        <v>74</v>
      </c>
      <c r="C1604" t="s">
        <v>87</v>
      </c>
      <c r="D1604" t="s">
        <v>92</v>
      </c>
      <c r="E1604" t="s">
        <v>584</v>
      </c>
      <c r="F1604" t="s">
        <v>26</v>
      </c>
      <c r="G1604" t="s">
        <v>26</v>
      </c>
      <c r="H1604">
        <v>0.62459730000000002</v>
      </c>
      <c r="I1604">
        <v>9.2589039999999997E-2</v>
      </c>
      <c r="J1604">
        <v>0</v>
      </c>
    </row>
    <row r="1605" spans="1:14" hidden="1" x14ac:dyDescent="0.35">
      <c r="A1605" t="s">
        <v>711</v>
      </c>
      <c r="B1605" t="s">
        <v>74</v>
      </c>
      <c r="C1605" t="s">
        <v>87</v>
      </c>
      <c r="D1605" t="s">
        <v>89</v>
      </c>
      <c r="E1605" t="s">
        <v>584</v>
      </c>
      <c r="F1605" t="s">
        <v>581</v>
      </c>
      <c r="G1605" t="s">
        <v>396</v>
      </c>
      <c r="H1605">
        <v>0.50104990000000005</v>
      </c>
      <c r="I1605">
        <v>7.5753420000000002E-2</v>
      </c>
      <c r="J1605">
        <v>0</v>
      </c>
    </row>
    <row r="1606" spans="1:14" hidden="1" x14ac:dyDescent="0.35">
      <c r="A1606" t="s">
        <v>711</v>
      </c>
      <c r="B1606" t="s">
        <v>74</v>
      </c>
      <c r="C1606" t="s">
        <v>87</v>
      </c>
      <c r="D1606" t="s">
        <v>89</v>
      </c>
      <c r="E1606" t="s">
        <v>584</v>
      </c>
      <c r="F1606" t="s">
        <v>581</v>
      </c>
      <c r="G1606" t="s">
        <v>25</v>
      </c>
      <c r="H1606">
        <v>1.486027E-3</v>
      </c>
      <c r="I1606">
        <v>2.246575E-4</v>
      </c>
      <c r="J1606">
        <v>0</v>
      </c>
    </row>
    <row r="1607" spans="1:14" hidden="1" x14ac:dyDescent="0.35">
      <c r="A1607" t="s">
        <v>711</v>
      </c>
      <c r="B1607" t="s">
        <v>74</v>
      </c>
      <c r="C1607" t="s">
        <v>87</v>
      </c>
      <c r="D1607" t="s">
        <v>89</v>
      </c>
      <c r="E1607" t="s">
        <v>584</v>
      </c>
      <c r="F1607" t="s">
        <v>26</v>
      </c>
      <c r="G1607" t="s">
        <v>26</v>
      </c>
      <c r="H1607">
        <v>0.82191780000000003</v>
      </c>
      <c r="I1607">
        <v>0.1242663</v>
      </c>
      <c r="J1607">
        <v>0</v>
      </c>
    </row>
    <row r="1608" spans="1:14" hidden="1" x14ac:dyDescent="0.35">
      <c r="A1608" t="s">
        <v>711</v>
      </c>
      <c r="B1608" t="s">
        <v>74</v>
      </c>
      <c r="C1608" t="s">
        <v>87</v>
      </c>
      <c r="D1608" t="s">
        <v>91</v>
      </c>
      <c r="E1608" t="s">
        <v>584</v>
      </c>
      <c r="F1608" t="s">
        <v>581</v>
      </c>
      <c r="G1608" t="s">
        <v>396</v>
      </c>
      <c r="H1608">
        <v>0.12755040000000001</v>
      </c>
      <c r="I1608">
        <v>0.1199149</v>
      </c>
      <c r="J1608">
        <v>7.8916739999999999E-2</v>
      </c>
      <c r="K1608">
        <v>6.9357580000000002E-2</v>
      </c>
      <c r="L1608">
        <v>5.489637E-2</v>
      </c>
      <c r="M1608">
        <v>7.6760259999999997E-2</v>
      </c>
      <c r="N1608">
        <v>7.2005479999999997E-2</v>
      </c>
    </row>
    <row r="1609" spans="1:14" hidden="1" x14ac:dyDescent="0.35">
      <c r="A1609" t="s">
        <v>711</v>
      </c>
      <c r="B1609" t="s">
        <v>74</v>
      </c>
      <c r="C1609" t="s">
        <v>87</v>
      </c>
      <c r="D1609" t="s">
        <v>91</v>
      </c>
      <c r="E1609" t="s">
        <v>584</v>
      </c>
      <c r="F1609" t="s">
        <v>581</v>
      </c>
      <c r="G1609" t="s">
        <v>25</v>
      </c>
      <c r="H1609">
        <v>2.3567449999999999E-3</v>
      </c>
      <c r="I1609">
        <v>2.2156680000000001E-3</v>
      </c>
      <c r="J1609">
        <v>1.4147929999999999E-3</v>
      </c>
      <c r="K1609">
        <v>1.105282E-3</v>
      </c>
      <c r="L1609">
        <v>8.4096959999999999E-4</v>
      </c>
      <c r="M1609">
        <v>8.6714300000000002E-4</v>
      </c>
      <c r="N1609">
        <v>8.0716469999999999E-4</v>
      </c>
    </row>
    <row r="1610" spans="1:14" hidden="1" x14ac:dyDescent="0.35">
      <c r="A1610" t="s">
        <v>711</v>
      </c>
      <c r="B1610" t="s">
        <v>74</v>
      </c>
      <c r="C1610" t="s">
        <v>87</v>
      </c>
      <c r="D1610" t="s">
        <v>91</v>
      </c>
      <c r="E1610" t="s">
        <v>584</v>
      </c>
      <c r="F1610" t="s">
        <v>26</v>
      </c>
      <c r="G1610" t="s">
        <v>26</v>
      </c>
      <c r="H1610">
        <v>1.424475E-2</v>
      </c>
      <c r="I1610">
        <v>1.3392019999999999E-2</v>
      </c>
      <c r="J1610">
        <v>8.8000149999999996E-3</v>
      </c>
      <c r="K1610">
        <v>7.6914440000000004E-3</v>
      </c>
      <c r="L1610">
        <v>6.0772919999999998E-3</v>
      </c>
      <c r="M1610">
        <v>8.4024289999999995E-3</v>
      </c>
      <c r="N1610">
        <v>7.8800099999999998E-3</v>
      </c>
    </row>
    <row r="1611" spans="1:14" hidden="1" x14ac:dyDescent="0.35">
      <c r="A1611" t="s">
        <v>711</v>
      </c>
      <c r="B1611" t="s">
        <v>74</v>
      </c>
      <c r="C1611" t="s">
        <v>96</v>
      </c>
      <c r="D1611" t="s">
        <v>348</v>
      </c>
      <c r="E1611" t="s">
        <v>584</v>
      </c>
      <c r="F1611" t="s">
        <v>581</v>
      </c>
      <c r="G1611" t="s">
        <v>25</v>
      </c>
      <c r="H1611">
        <v>0</v>
      </c>
      <c r="I1611">
        <v>1.0294519999999999E-3</v>
      </c>
      <c r="J1611">
        <v>2.0736970000000001</v>
      </c>
      <c r="K1611">
        <v>1.822025</v>
      </c>
      <c r="L1611">
        <v>1.344454</v>
      </c>
      <c r="M1611">
        <v>0.9946931</v>
      </c>
      <c r="N1611">
        <v>0.75079110000000004</v>
      </c>
    </row>
    <row r="1612" spans="1:14" hidden="1" x14ac:dyDescent="0.35">
      <c r="A1612" t="s">
        <v>711</v>
      </c>
      <c r="B1612" t="s">
        <v>74</v>
      </c>
      <c r="C1612" t="s">
        <v>96</v>
      </c>
      <c r="D1612" t="s">
        <v>348</v>
      </c>
      <c r="E1612" t="s">
        <v>584</v>
      </c>
      <c r="F1612" t="s">
        <v>26</v>
      </c>
      <c r="G1612" t="s">
        <v>26</v>
      </c>
      <c r="H1612">
        <v>0</v>
      </c>
      <c r="I1612">
        <v>1.1621920000000001E-2</v>
      </c>
      <c r="J1612">
        <v>29.241420000000002</v>
      </c>
      <c r="K1612">
        <v>32.821710000000003</v>
      </c>
      <c r="L1612">
        <v>24.847090000000001</v>
      </c>
      <c r="M1612">
        <v>18.33006</v>
      </c>
      <c r="N1612">
        <v>25.802610000000001</v>
      </c>
    </row>
    <row r="1613" spans="1:14" hidden="1" x14ac:dyDescent="0.35">
      <c r="A1613" t="s">
        <v>711</v>
      </c>
      <c r="B1613" t="s">
        <v>74</v>
      </c>
      <c r="C1613" t="s">
        <v>96</v>
      </c>
      <c r="D1613" t="s">
        <v>96</v>
      </c>
      <c r="E1613" t="s">
        <v>584</v>
      </c>
      <c r="F1613" t="s">
        <v>581</v>
      </c>
      <c r="G1613" t="s">
        <v>24</v>
      </c>
      <c r="H1613">
        <v>9.1185210000000003E-4</v>
      </c>
      <c r="I1613">
        <v>7.0142459999999997E-6</v>
      </c>
      <c r="J1613">
        <v>4.6761650000000003E-6</v>
      </c>
      <c r="K1613">
        <v>2.338082E-6</v>
      </c>
      <c r="L1613">
        <v>1.169041E-6</v>
      </c>
      <c r="M1613">
        <v>1.169041E-6</v>
      </c>
      <c r="N1613">
        <v>1.169041E-6</v>
      </c>
    </row>
    <row r="1614" spans="1:14" hidden="1" x14ac:dyDescent="0.35">
      <c r="A1614" t="s">
        <v>711</v>
      </c>
      <c r="B1614" t="s">
        <v>74</v>
      </c>
      <c r="C1614" t="s">
        <v>96</v>
      </c>
      <c r="D1614" t="s">
        <v>96</v>
      </c>
      <c r="E1614" t="s">
        <v>584</v>
      </c>
      <c r="F1614" t="s">
        <v>26</v>
      </c>
      <c r="G1614" t="s">
        <v>26</v>
      </c>
      <c r="H1614">
        <v>1.5087539999999999</v>
      </c>
      <c r="I1614">
        <v>2.1497419999999998</v>
      </c>
      <c r="J1614">
        <v>2.2228520000000001</v>
      </c>
      <c r="K1614">
        <v>0.95070290000000002</v>
      </c>
      <c r="L1614">
        <v>0.1627392</v>
      </c>
      <c r="M1614">
        <v>1.6806129999999999E-2</v>
      </c>
      <c r="N1614">
        <v>1.072478E-2</v>
      </c>
    </row>
    <row r="1615" spans="1:14" hidden="1" x14ac:dyDescent="0.35">
      <c r="A1615" t="s">
        <v>711</v>
      </c>
      <c r="B1615" t="s">
        <v>74</v>
      </c>
      <c r="C1615" t="s">
        <v>71</v>
      </c>
      <c r="D1615" t="s">
        <v>75</v>
      </c>
      <c r="E1615" t="s">
        <v>584</v>
      </c>
      <c r="F1615" t="s">
        <v>581</v>
      </c>
      <c r="G1615" t="s">
        <v>396</v>
      </c>
      <c r="H1615">
        <v>8.8738499999999991</v>
      </c>
      <c r="I1615">
        <v>6.5711019999999998</v>
      </c>
      <c r="J1615">
        <v>4.6337890000000002</v>
      </c>
      <c r="K1615">
        <v>3.7985980000000001</v>
      </c>
      <c r="L1615">
        <v>3.7944149999999999</v>
      </c>
      <c r="M1615">
        <v>3.2252540000000001</v>
      </c>
      <c r="N1615">
        <v>2.4878909999999999</v>
      </c>
    </row>
    <row r="1616" spans="1:14" hidden="1" x14ac:dyDescent="0.35">
      <c r="A1616" t="s">
        <v>711</v>
      </c>
      <c r="B1616" t="s">
        <v>74</v>
      </c>
      <c r="C1616" t="s">
        <v>71</v>
      </c>
      <c r="D1616" t="s">
        <v>75</v>
      </c>
      <c r="E1616" t="s">
        <v>584</v>
      </c>
      <c r="F1616" t="s">
        <v>581</v>
      </c>
      <c r="G1616" t="s">
        <v>25</v>
      </c>
      <c r="H1616">
        <v>0.1299612</v>
      </c>
      <c r="I1616">
        <v>2.8590310000000001E-2</v>
      </c>
      <c r="J1616">
        <v>2.016016E-2</v>
      </c>
      <c r="K1616">
        <v>1.652884E-2</v>
      </c>
      <c r="L1616">
        <v>1.6509840000000001E-2</v>
      </c>
      <c r="M1616">
        <v>1.403337E-2</v>
      </c>
      <c r="N1616">
        <v>1.082429E-2</v>
      </c>
    </row>
    <row r="1617" spans="1:14" hidden="1" x14ac:dyDescent="0.35">
      <c r="A1617" t="s">
        <v>711</v>
      </c>
      <c r="B1617" t="s">
        <v>74</v>
      </c>
      <c r="C1617" t="s">
        <v>71</v>
      </c>
      <c r="D1617" t="s">
        <v>75</v>
      </c>
      <c r="E1617" t="s">
        <v>584</v>
      </c>
      <c r="F1617" t="s">
        <v>26</v>
      </c>
      <c r="G1617" t="s">
        <v>26</v>
      </c>
      <c r="H1617">
        <v>0.48746260000000002</v>
      </c>
      <c r="I1617">
        <v>0.56142119999999995</v>
      </c>
      <c r="J1617">
        <v>0.39590259999999999</v>
      </c>
      <c r="K1617">
        <v>0.32454509999999998</v>
      </c>
      <c r="L1617">
        <v>0.32418829999999998</v>
      </c>
      <c r="M1617">
        <v>0.27556019999999998</v>
      </c>
      <c r="N1617">
        <v>0.212561</v>
      </c>
    </row>
    <row r="1618" spans="1:14" hidden="1" x14ac:dyDescent="0.35">
      <c r="A1618" t="s">
        <v>711</v>
      </c>
      <c r="B1618" t="s">
        <v>74</v>
      </c>
      <c r="C1618" t="s">
        <v>71</v>
      </c>
      <c r="D1618" t="s">
        <v>137</v>
      </c>
      <c r="E1618" t="s">
        <v>584</v>
      </c>
      <c r="F1618" t="s">
        <v>581</v>
      </c>
      <c r="G1618" t="s">
        <v>396</v>
      </c>
      <c r="H1618">
        <v>6.4043400000000004</v>
      </c>
      <c r="I1618">
        <v>5.0495919999999996</v>
      </c>
      <c r="J1618">
        <v>3.6982379999999999</v>
      </c>
      <c r="K1618">
        <v>3.1689790000000002</v>
      </c>
      <c r="L1618">
        <v>3.0123419999999999</v>
      </c>
      <c r="M1618">
        <v>2.5484249999999999</v>
      </c>
      <c r="N1618">
        <v>2.1020289999999999</v>
      </c>
    </row>
    <row r="1619" spans="1:14" hidden="1" x14ac:dyDescent="0.35">
      <c r="A1619" t="s">
        <v>711</v>
      </c>
      <c r="B1619" t="s">
        <v>74</v>
      </c>
      <c r="C1619" t="s">
        <v>71</v>
      </c>
      <c r="D1619" t="s">
        <v>137</v>
      </c>
      <c r="E1619" t="s">
        <v>584</v>
      </c>
      <c r="F1619" t="s">
        <v>581</v>
      </c>
      <c r="G1619" t="s">
        <v>25</v>
      </c>
      <c r="H1619">
        <v>1.1445200000000001E-2</v>
      </c>
      <c r="I1619">
        <v>4.6013699999999996E-3</v>
      </c>
      <c r="J1619">
        <v>3.9369870000000003E-3</v>
      </c>
      <c r="K1619">
        <v>4.0561649999999996E-3</v>
      </c>
      <c r="L1619">
        <v>3.8849319999999998E-3</v>
      </c>
      <c r="M1619">
        <v>3.758904E-3</v>
      </c>
      <c r="N1619">
        <v>2.8232880000000002E-3</v>
      </c>
    </row>
    <row r="1620" spans="1:14" hidden="1" x14ac:dyDescent="0.35">
      <c r="A1620" t="s">
        <v>711</v>
      </c>
      <c r="B1620" t="s">
        <v>74</v>
      </c>
      <c r="C1620" t="s">
        <v>71</v>
      </c>
      <c r="D1620" t="s">
        <v>137</v>
      </c>
      <c r="E1620" t="s">
        <v>584</v>
      </c>
      <c r="F1620" t="s">
        <v>26</v>
      </c>
      <c r="G1620" t="s">
        <v>26</v>
      </c>
      <c r="H1620">
        <v>9.8071220000000001E-2</v>
      </c>
      <c r="I1620">
        <v>6.9987670000000002E-2</v>
      </c>
      <c r="J1620">
        <v>3.8735609999999997E-2</v>
      </c>
      <c r="K1620">
        <v>3.1047950000000001E-2</v>
      </c>
      <c r="L1620">
        <v>2.316027E-2</v>
      </c>
      <c r="M1620">
        <v>1.724384E-2</v>
      </c>
      <c r="N1620">
        <v>1.371781E-2</v>
      </c>
    </row>
    <row r="1621" spans="1:14" hidden="1" x14ac:dyDescent="0.35">
      <c r="A1621" t="s">
        <v>711</v>
      </c>
      <c r="B1621" t="s">
        <v>74</v>
      </c>
      <c r="C1621" t="s">
        <v>146</v>
      </c>
      <c r="D1621" t="s">
        <v>147</v>
      </c>
      <c r="E1621" t="s">
        <v>584</v>
      </c>
      <c r="F1621" t="s">
        <v>581</v>
      </c>
      <c r="G1621" t="s">
        <v>396</v>
      </c>
      <c r="H1621">
        <v>1.679951</v>
      </c>
      <c r="I1621">
        <v>1.573334</v>
      </c>
      <c r="J1621">
        <v>1.031525</v>
      </c>
      <c r="K1621">
        <v>0.41910910000000001</v>
      </c>
      <c r="L1621">
        <v>0.20013810000000001</v>
      </c>
      <c r="M1621">
        <v>0.23467830000000001</v>
      </c>
      <c r="N1621">
        <v>0.4824273</v>
      </c>
    </row>
    <row r="1622" spans="1:14" hidden="1" x14ac:dyDescent="0.35">
      <c r="A1622" t="s">
        <v>711</v>
      </c>
      <c r="B1622" t="s">
        <v>74</v>
      </c>
      <c r="C1622" t="s">
        <v>146</v>
      </c>
      <c r="D1622" t="s">
        <v>147</v>
      </c>
      <c r="E1622" t="s">
        <v>584</v>
      </c>
      <c r="F1622" t="s">
        <v>581</v>
      </c>
      <c r="G1622" t="s">
        <v>24</v>
      </c>
      <c r="K1622">
        <v>0</v>
      </c>
      <c r="L1622">
        <v>0.1383807</v>
      </c>
      <c r="M1622">
        <v>0.41697440000000002</v>
      </c>
      <c r="N1622">
        <v>0.36681180000000002</v>
      </c>
    </row>
    <row r="1623" spans="1:14" hidden="1" x14ac:dyDescent="0.35">
      <c r="A1623" t="s">
        <v>711</v>
      </c>
      <c r="B1623" t="s">
        <v>74</v>
      </c>
      <c r="C1623" t="s">
        <v>146</v>
      </c>
      <c r="D1623" t="s">
        <v>147</v>
      </c>
      <c r="E1623" t="s">
        <v>584</v>
      </c>
      <c r="F1623" t="s">
        <v>581</v>
      </c>
      <c r="G1623" t="s">
        <v>25</v>
      </c>
      <c r="H1623">
        <v>1.8984640000000001E-2</v>
      </c>
      <c r="I1623">
        <v>1.8608619999999999E-2</v>
      </c>
      <c r="J1623">
        <v>1.2524830000000001E-2</v>
      </c>
      <c r="K1623">
        <v>5.9994660000000002E-3</v>
      </c>
      <c r="L1623">
        <v>2.9002530000000002E-3</v>
      </c>
      <c r="M1623">
        <v>7.8749189999999997E-2</v>
      </c>
      <c r="N1623">
        <v>0.32503070000000001</v>
      </c>
    </row>
    <row r="1624" spans="1:14" hidden="1" x14ac:dyDescent="0.35">
      <c r="A1624" t="s">
        <v>711</v>
      </c>
      <c r="B1624" t="s">
        <v>74</v>
      </c>
      <c r="C1624" t="s">
        <v>146</v>
      </c>
      <c r="D1624" t="s">
        <v>147</v>
      </c>
      <c r="E1624" t="s">
        <v>584</v>
      </c>
      <c r="F1624" t="s">
        <v>26</v>
      </c>
      <c r="G1624" t="s">
        <v>26</v>
      </c>
      <c r="H1624">
        <v>1.3068299999999999</v>
      </c>
      <c r="I1624">
        <v>1.4027890000000001</v>
      </c>
      <c r="J1624">
        <v>0.94704200000000005</v>
      </c>
      <c r="K1624">
        <v>0.58914120000000003</v>
      </c>
      <c r="L1624">
        <v>2.0005380000000001</v>
      </c>
      <c r="M1624">
        <v>5.2912229999999996</v>
      </c>
      <c r="N1624">
        <v>4.9815649999999998</v>
      </c>
    </row>
    <row r="1625" spans="1:14" hidden="1" x14ac:dyDescent="0.35">
      <c r="A1625" t="s">
        <v>711</v>
      </c>
      <c r="B1625" t="s">
        <v>74</v>
      </c>
      <c r="C1625" t="s">
        <v>146</v>
      </c>
      <c r="D1625" t="s">
        <v>146</v>
      </c>
      <c r="E1625" t="s">
        <v>584</v>
      </c>
      <c r="F1625" t="s">
        <v>581</v>
      </c>
      <c r="G1625" t="s">
        <v>396</v>
      </c>
      <c r="H1625">
        <v>0.37980999999999998</v>
      </c>
      <c r="I1625">
        <v>0.46356000000000003</v>
      </c>
      <c r="J1625">
        <v>0.2502856</v>
      </c>
      <c r="K1625">
        <v>2.8770340000000001E-3</v>
      </c>
      <c r="L1625">
        <v>0</v>
      </c>
    </row>
    <row r="1626" spans="1:14" hidden="1" x14ac:dyDescent="0.35">
      <c r="A1626" t="s">
        <v>711</v>
      </c>
      <c r="B1626" t="s">
        <v>74</v>
      </c>
      <c r="C1626" t="s">
        <v>127</v>
      </c>
      <c r="D1626" t="s">
        <v>127</v>
      </c>
      <c r="E1626" t="s">
        <v>584</v>
      </c>
      <c r="F1626" t="s">
        <v>581</v>
      </c>
      <c r="G1626" t="s">
        <v>396</v>
      </c>
      <c r="H1626">
        <v>3.4355859999999998</v>
      </c>
      <c r="I1626">
        <v>2.7184710000000001</v>
      </c>
      <c r="J1626">
        <v>2.3451040000000001</v>
      </c>
      <c r="K1626">
        <v>2.4359540000000002</v>
      </c>
      <c r="L1626">
        <v>2.0980850000000002</v>
      </c>
      <c r="M1626">
        <v>2.2558590000000001</v>
      </c>
      <c r="N1626">
        <v>1.9772529999999999</v>
      </c>
    </row>
    <row r="1627" spans="1:14" hidden="1" x14ac:dyDescent="0.35">
      <c r="A1627" t="s">
        <v>711</v>
      </c>
      <c r="B1627" t="s">
        <v>60</v>
      </c>
      <c r="C1627" t="s">
        <v>58</v>
      </c>
      <c r="D1627" t="s">
        <v>58</v>
      </c>
      <c r="E1627" t="s">
        <v>584</v>
      </c>
      <c r="F1627" t="s">
        <v>581</v>
      </c>
      <c r="G1627" t="s">
        <v>396</v>
      </c>
      <c r="H1627">
        <v>0.1236655</v>
      </c>
      <c r="I1627">
        <v>0.1116375</v>
      </c>
      <c r="J1627">
        <v>0.1020592</v>
      </c>
      <c r="K1627">
        <v>9.3206159999999996E-2</v>
      </c>
      <c r="L1627">
        <v>5.657185E-2</v>
      </c>
      <c r="M1627">
        <v>5.6809980000000003E-2</v>
      </c>
      <c r="N1627">
        <v>5.6987799999999998E-2</v>
      </c>
    </row>
    <row r="1628" spans="1:14" hidden="1" x14ac:dyDescent="0.35">
      <c r="A1628" t="s">
        <v>711</v>
      </c>
      <c r="B1628" t="s">
        <v>60</v>
      </c>
      <c r="C1628" t="s">
        <v>58</v>
      </c>
      <c r="D1628" t="s">
        <v>58</v>
      </c>
      <c r="E1628" t="s">
        <v>584</v>
      </c>
      <c r="F1628" t="s">
        <v>581</v>
      </c>
      <c r="G1628" t="s">
        <v>24</v>
      </c>
      <c r="H1628">
        <v>0.1826865</v>
      </c>
      <c r="I1628">
        <v>0.44560620000000001</v>
      </c>
      <c r="J1628">
        <v>0.33230749999999998</v>
      </c>
      <c r="K1628">
        <v>0.26327810000000001</v>
      </c>
      <c r="L1628">
        <v>0.1991057</v>
      </c>
      <c r="M1628">
        <v>0.16905249999999999</v>
      </c>
      <c r="N1628">
        <v>0.14885370000000001</v>
      </c>
    </row>
    <row r="1629" spans="1:14" hidden="1" x14ac:dyDescent="0.35">
      <c r="A1629" t="s">
        <v>711</v>
      </c>
      <c r="B1629" t="s">
        <v>60</v>
      </c>
      <c r="C1629" t="s">
        <v>58</v>
      </c>
      <c r="D1629" t="s">
        <v>58</v>
      </c>
      <c r="E1629" t="s">
        <v>584</v>
      </c>
      <c r="F1629" t="s">
        <v>26</v>
      </c>
      <c r="G1629" t="s">
        <v>26</v>
      </c>
      <c r="H1629">
        <v>7.5975450000000002</v>
      </c>
      <c r="I1629">
        <v>11.259740000000001</v>
      </c>
      <c r="J1629">
        <v>8.9787300000000005</v>
      </c>
      <c r="K1629">
        <v>7.3305660000000001</v>
      </c>
      <c r="L1629">
        <v>5.7431929999999998</v>
      </c>
      <c r="M1629">
        <v>4.8309329999999999</v>
      </c>
      <c r="N1629">
        <v>4.1554029999999997</v>
      </c>
    </row>
    <row r="1630" spans="1:14" hidden="1" x14ac:dyDescent="0.35">
      <c r="A1630" t="s">
        <v>711</v>
      </c>
      <c r="B1630" t="s">
        <v>60</v>
      </c>
      <c r="C1630" t="s">
        <v>153</v>
      </c>
      <c r="D1630" t="s">
        <v>153</v>
      </c>
      <c r="E1630" t="s">
        <v>584</v>
      </c>
      <c r="F1630" t="s">
        <v>581</v>
      </c>
      <c r="G1630" t="s">
        <v>24</v>
      </c>
      <c r="L1630">
        <v>0</v>
      </c>
      <c r="M1630">
        <v>0</v>
      </c>
      <c r="N1630">
        <v>-3.2660080000000002E-7</v>
      </c>
    </row>
    <row r="1631" spans="1:14" hidden="1" x14ac:dyDescent="0.35">
      <c r="A1631" t="s">
        <v>711</v>
      </c>
      <c r="B1631" t="s">
        <v>60</v>
      </c>
      <c r="C1631" t="s">
        <v>153</v>
      </c>
      <c r="D1631" t="s">
        <v>153</v>
      </c>
      <c r="E1631" t="s">
        <v>584</v>
      </c>
      <c r="F1631" t="s">
        <v>26</v>
      </c>
      <c r="G1631" t="s">
        <v>26</v>
      </c>
      <c r="L1631">
        <v>0</v>
      </c>
      <c r="M1631">
        <v>0</v>
      </c>
      <c r="N1631">
        <v>0</v>
      </c>
    </row>
    <row r="1632" spans="1:14" hidden="1" x14ac:dyDescent="0.35">
      <c r="A1632" t="s">
        <v>711</v>
      </c>
      <c r="B1632" t="s">
        <v>154</v>
      </c>
      <c r="C1632" t="s">
        <v>153</v>
      </c>
      <c r="D1632" t="s">
        <v>153</v>
      </c>
      <c r="E1632" t="s">
        <v>584</v>
      </c>
      <c r="F1632" t="s">
        <v>581</v>
      </c>
      <c r="G1632" t="s">
        <v>396</v>
      </c>
      <c r="H1632">
        <v>7.2963269999999998</v>
      </c>
      <c r="I1632">
        <v>6.9937649999999998</v>
      </c>
      <c r="J1632">
        <v>7.5327570000000001</v>
      </c>
      <c r="K1632">
        <v>6.7204430000000004</v>
      </c>
      <c r="L1632">
        <v>6.6658629999999999</v>
      </c>
      <c r="M1632">
        <v>6.2622239999999998</v>
      </c>
      <c r="N1632">
        <v>5.536397</v>
      </c>
    </row>
    <row r="1633" spans="1:14" hidden="1" x14ac:dyDescent="0.35">
      <c r="A1633" t="s">
        <v>711</v>
      </c>
      <c r="B1633" t="s">
        <v>154</v>
      </c>
      <c r="C1633" t="s">
        <v>153</v>
      </c>
      <c r="D1633" t="s">
        <v>153</v>
      </c>
      <c r="E1633" t="s">
        <v>584</v>
      </c>
      <c r="F1633" t="s">
        <v>26</v>
      </c>
      <c r="G1633" t="s">
        <v>26</v>
      </c>
      <c r="H1633">
        <v>0.97084700000000002</v>
      </c>
      <c r="I1633">
        <v>0.87678250000000002</v>
      </c>
      <c r="J1633">
        <v>0.89296319999999996</v>
      </c>
      <c r="K1633">
        <v>0.32159330000000003</v>
      </c>
      <c r="L1633">
        <v>0.26404420000000001</v>
      </c>
      <c r="M1633">
        <v>0.24805440000000001</v>
      </c>
      <c r="N1633">
        <v>0.21930450000000001</v>
      </c>
    </row>
    <row r="1634" spans="1:14" hidden="1" x14ac:dyDescent="0.35">
      <c r="A1634" t="s">
        <v>711</v>
      </c>
      <c r="B1634" t="s">
        <v>387</v>
      </c>
      <c r="C1634" t="s">
        <v>386</v>
      </c>
      <c r="D1634" t="s">
        <v>386</v>
      </c>
      <c r="E1634" t="s">
        <v>584</v>
      </c>
      <c r="F1634" t="s">
        <v>581</v>
      </c>
      <c r="G1634" t="s">
        <v>396</v>
      </c>
      <c r="M1634">
        <v>0</v>
      </c>
      <c r="N1634">
        <v>11.27252</v>
      </c>
    </row>
    <row r="1635" spans="1:14" hidden="1" x14ac:dyDescent="0.35">
      <c r="A1635" t="s">
        <v>711</v>
      </c>
      <c r="B1635" t="s">
        <v>150</v>
      </c>
      <c r="C1635" t="s">
        <v>148</v>
      </c>
      <c r="D1635" t="s">
        <v>149</v>
      </c>
      <c r="E1635" t="s">
        <v>584</v>
      </c>
      <c r="F1635" t="s">
        <v>581</v>
      </c>
      <c r="G1635" t="s">
        <v>396</v>
      </c>
      <c r="M1635">
        <v>0</v>
      </c>
      <c r="N1635">
        <v>7.4720709999999997</v>
      </c>
    </row>
    <row r="1636" spans="1:14" hidden="1" x14ac:dyDescent="0.35">
      <c r="A1636" t="s">
        <v>711</v>
      </c>
      <c r="B1636" t="s">
        <v>150</v>
      </c>
      <c r="C1636" t="s">
        <v>148</v>
      </c>
      <c r="D1636" t="s">
        <v>149</v>
      </c>
      <c r="E1636" t="s">
        <v>584</v>
      </c>
      <c r="F1636" t="s">
        <v>26</v>
      </c>
      <c r="G1636" t="s">
        <v>26</v>
      </c>
      <c r="M1636">
        <v>0</v>
      </c>
      <c r="N1636">
        <v>0.29100140000000002</v>
      </c>
    </row>
    <row r="1637" spans="1:14" hidden="1" x14ac:dyDescent="0.35">
      <c r="A1637" t="s">
        <v>711</v>
      </c>
      <c r="B1637" t="s">
        <v>312</v>
      </c>
      <c r="C1637" t="s">
        <v>319</v>
      </c>
      <c r="D1637" t="s">
        <v>319</v>
      </c>
      <c r="E1637" t="s">
        <v>584</v>
      </c>
      <c r="F1637" t="s">
        <v>581</v>
      </c>
      <c r="G1637" t="s">
        <v>396</v>
      </c>
      <c r="H1637">
        <v>0</v>
      </c>
    </row>
    <row r="1638" spans="1:14" hidden="1" x14ac:dyDescent="0.35">
      <c r="A1638" t="s">
        <v>729</v>
      </c>
      <c r="B1638" t="s">
        <v>37</v>
      </c>
      <c r="C1638" t="s">
        <v>218</v>
      </c>
      <c r="D1638" t="s">
        <v>218</v>
      </c>
      <c r="E1638" t="s">
        <v>593</v>
      </c>
      <c r="F1638" t="s">
        <v>581</v>
      </c>
      <c r="G1638" t="s">
        <v>396</v>
      </c>
      <c r="H1638">
        <v>41.293149999999997</v>
      </c>
      <c r="I1638">
        <v>40.574840000000002</v>
      </c>
      <c r="J1638">
        <v>37.561810000000001</v>
      </c>
      <c r="K1638">
        <v>32.122349999999997</v>
      </c>
      <c r="L1638">
        <v>30.217980000000001</v>
      </c>
      <c r="M1638">
        <v>32.329180000000001</v>
      </c>
      <c r="N1638">
        <v>36.867269999999998</v>
      </c>
    </row>
    <row r="1639" spans="1:14" hidden="1" x14ac:dyDescent="0.35">
      <c r="A1639" t="s">
        <v>729</v>
      </c>
      <c r="B1639" t="s">
        <v>37</v>
      </c>
      <c r="C1639" t="s">
        <v>218</v>
      </c>
      <c r="D1639" t="s">
        <v>218</v>
      </c>
      <c r="E1639" t="s">
        <v>593</v>
      </c>
      <c r="F1639" t="s">
        <v>581</v>
      </c>
      <c r="G1639" t="s">
        <v>25</v>
      </c>
      <c r="H1639">
        <v>16.69726</v>
      </c>
      <c r="I1639">
        <v>18.097349999999999</v>
      </c>
      <c r="J1639">
        <v>16.761959999999998</v>
      </c>
      <c r="K1639">
        <v>14.3346</v>
      </c>
      <c r="L1639">
        <v>13.484769999999999</v>
      </c>
      <c r="M1639">
        <v>14.42689</v>
      </c>
      <c r="N1639">
        <v>16.452020000000001</v>
      </c>
    </row>
    <row r="1640" spans="1:14" hidden="1" x14ac:dyDescent="0.35">
      <c r="A1640" t="s">
        <v>729</v>
      </c>
      <c r="B1640" t="s">
        <v>37</v>
      </c>
      <c r="C1640" t="s">
        <v>218</v>
      </c>
      <c r="D1640" t="s">
        <v>218</v>
      </c>
      <c r="E1640" t="s">
        <v>593</v>
      </c>
      <c r="F1640" t="s">
        <v>26</v>
      </c>
      <c r="G1640" t="s">
        <v>26</v>
      </c>
      <c r="H1640">
        <v>29.319179999999999</v>
      </c>
      <c r="I1640">
        <v>24.991579999999999</v>
      </c>
      <c r="J1640">
        <v>23.147459999999999</v>
      </c>
      <c r="K1640">
        <v>19.795400000000001</v>
      </c>
      <c r="L1640">
        <v>18.621829999999999</v>
      </c>
      <c r="M1640">
        <v>19.92285</v>
      </c>
      <c r="N1640">
        <v>22.719449999999998</v>
      </c>
    </row>
    <row r="1641" spans="1:14" hidden="1" x14ac:dyDescent="0.35">
      <c r="A1641" t="s">
        <v>729</v>
      </c>
      <c r="B1641" t="s">
        <v>37</v>
      </c>
      <c r="C1641" t="s">
        <v>218</v>
      </c>
      <c r="D1641" t="s">
        <v>218</v>
      </c>
      <c r="E1641" t="s">
        <v>730</v>
      </c>
      <c r="F1641" t="s">
        <v>581</v>
      </c>
      <c r="G1641" t="s">
        <v>396</v>
      </c>
      <c r="H1641">
        <v>0.6794521</v>
      </c>
      <c r="I1641">
        <v>0.91435489999999997</v>
      </c>
      <c r="J1641">
        <v>1.111774</v>
      </c>
      <c r="K1641">
        <v>1.2121869999999999</v>
      </c>
      <c r="L1641">
        <v>0.85942280000000004</v>
      </c>
      <c r="M1641">
        <v>0.61131639999999998</v>
      </c>
      <c r="N1641">
        <v>0.45556190000000002</v>
      </c>
    </row>
    <row r="1642" spans="1:14" hidden="1" x14ac:dyDescent="0.35">
      <c r="A1642" t="s">
        <v>729</v>
      </c>
      <c r="B1642" t="s">
        <v>37</v>
      </c>
      <c r="C1642" t="s">
        <v>218</v>
      </c>
      <c r="D1642" t="s">
        <v>218</v>
      </c>
      <c r="E1642" t="s">
        <v>730</v>
      </c>
      <c r="F1642" t="s">
        <v>581</v>
      </c>
      <c r="G1642" t="s">
        <v>25</v>
      </c>
      <c r="H1642">
        <v>0.13972599999999999</v>
      </c>
      <c r="I1642">
        <v>0.208174</v>
      </c>
      <c r="J1642">
        <v>0.25312659999999998</v>
      </c>
      <c r="K1642">
        <v>0.27599119999999999</v>
      </c>
      <c r="L1642">
        <v>0.19567019999999999</v>
      </c>
      <c r="M1642">
        <v>0.139186</v>
      </c>
      <c r="N1642">
        <v>0.1037167</v>
      </c>
    </row>
    <row r="1643" spans="1:14" hidden="1" x14ac:dyDescent="0.35">
      <c r="A1643" t="s">
        <v>729</v>
      </c>
      <c r="B1643" t="s">
        <v>37</v>
      </c>
      <c r="C1643" t="s">
        <v>218</v>
      </c>
      <c r="D1643" t="s">
        <v>218</v>
      </c>
      <c r="E1643" t="s">
        <v>730</v>
      </c>
      <c r="F1643" t="s">
        <v>26</v>
      </c>
      <c r="G1643" t="s">
        <v>26</v>
      </c>
      <c r="H1643">
        <v>0.18630140000000001</v>
      </c>
      <c r="I1643">
        <v>0.20817949999999999</v>
      </c>
      <c r="J1643">
        <v>0.2531274</v>
      </c>
      <c r="K1643">
        <v>0.27598929999999999</v>
      </c>
      <c r="L1643">
        <v>0.19567370000000001</v>
      </c>
      <c r="M1643">
        <v>0.13918249999999999</v>
      </c>
      <c r="N1643">
        <v>0.103723</v>
      </c>
    </row>
    <row r="1644" spans="1:14" hidden="1" x14ac:dyDescent="0.35">
      <c r="A1644" t="s">
        <v>729</v>
      </c>
      <c r="B1644" t="s">
        <v>37</v>
      </c>
      <c r="C1644" t="s">
        <v>218</v>
      </c>
      <c r="D1644" t="s">
        <v>218</v>
      </c>
      <c r="E1644" t="s">
        <v>594</v>
      </c>
      <c r="F1644" t="s">
        <v>581</v>
      </c>
      <c r="G1644" t="s">
        <v>396</v>
      </c>
      <c r="H1644">
        <v>0.32876719999999998</v>
      </c>
      <c r="I1644">
        <v>0.40767039999999999</v>
      </c>
      <c r="J1644">
        <v>0.53892240000000002</v>
      </c>
      <c r="K1644">
        <v>0.58939039999999998</v>
      </c>
      <c r="L1644">
        <v>0.67453430000000003</v>
      </c>
      <c r="M1644">
        <v>0.52042140000000003</v>
      </c>
      <c r="N1644">
        <v>0.39953070000000002</v>
      </c>
    </row>
    <row r="1645" spans="1:14" hidden="1" x14ac:dyDescent="0.35">
      <c r="A1645" t="s">
        <v>729</v>
      </c>
      <c r="B1645" t="s">
        <v>37</v>
      </c>
      <c r="C1645" t="s">
        <v>218</v>
      </c>
      <c r="D1645" t="s">
        <v>218</v>
      </c>
      <c r="E1645" t="s">
        <v>594</v>
      </c>
      <c r="F1645" t="s">
        <v>581</v>
      </c>
      <c r="G1645" t="s">
        <v>25</v>
      </c>
      <c r="H1645">
        <v>4.657534E-2</v>
      </c>
      <c r="I1645">
        <v>5.4140550000000003E-2</v>
      </c>
      <c r="J1645">
        <v>7.1579729999999994E-2</v>
      </c>
      <c r="K1645">
        <v>7.8275070000000002E-2</v>
      </c>
      <c r="L1645">
        <v>8.9587399999999998E-2</v>
      </c>
      <c r="M1645">
        <v>6.9115339999999997E-2</v>
      </c>
      <c r="N1645">
        <v>5.3066849999999999E-2</v>
      </c>
    </row>
    <row r="1646" spans="1:14" hidden="1" x14ac:dyDescent="0.35">
      <c r="A1646" t="s">
        <v>729</v>
      </c>
      <c r="B1646" t="s">
        <v>37</v>
      </c>
      <c r="C1646" t="s">
        <v>218</v>
      </c>
      <c r="D1646" t="s">
        <v>218</v>
      </c>
      <c r="E1646" t="s">
        <v>594</v>
      </c>
      <c r="F1646" t="s">
        <v>26</v>
      </c>
      <c r="G1646" t="s">
        <v>26</v>
      </c>
      <c r="H1646">
        <v>4.657534E-2</v>
      </c>
      <c r="I1646">
        <v>5.4143289999999997E-2</v>
      </c>
      <c r="J1646">
        <v>7.1575890000000003E-2</v>
      </c>
      <c r="K1646">
        <v>7.8279730000000006E-2</v>
      </c>
      <c r="L1646">
        <v>8.9587399999999998E-2</v>
      </c>
      <c r="M1646">
        <v>6.9120000000000001E-2</v>
      </c>
      <c r="N1646">
        <v>5.3064939999999998E-2</v>
      </c>
    </row>
    <row r="1647" spans="1:14" hidden="1" x14ac:dyDescent="0.35">
      <c r="A1647" t="s">
        <v>712</v>
      </c>
      <c r="B1647" t="s">
        <v>34</v>
      </c>
      <c r="C1647" t="s">
        <v>230</v>
      </c>
      <c r="D1647" t="s">
        <v>230</v>
      </c>
      <c r="E1647" t="s">
        <v>584</v>
      </c>
      <c r="F1647" t="s">
        <v>581</v>
      </c>
      <c r="G1647" t="s">
        <v>396</v>
      </c>
      <c r="H1647">
        <v>12.55786</v>
      </c>
      <c r="I1647">
        <v>15.27656</v>
      </c>
      <c r="J1647">
        <v>18.253509999999999</v>
      </c>
      <c r="K1647">
        <v>18.609639999999999</v>
      </c>
      <c r="L1647">
        <v>18.54609</v>
      </c>
      <c r="M1647">
        <v>18.454799999999999</v>
      </c>
      <c r="N1647">
        <v>17.30996</v>
      </c>
    </row>
    <row r="1648" spans="1:14" hidden="1" x14ac:dyDescent="0.35">
      <c r="A1648" t="s">
        <v>712</v>
      </c>
      <c r="B1648" t="s">
        <v>34</v>
      </c>
      <c r="C1648" t="s">
        <v>230</v>
      </c>
      <c r="D1648" t="s">
        <v>230</v>
      </c>
      <c r="E1648" t="s">
        <v>584</v>
      </c>
      <c r="F1648" t="s">
        <v>581</v>
      </c>
      <c r="G1648" t="s">
        <v>25</v>
      </c>
      <c r="H1648">
        <v>0.28367949999999997</v>
      </c>
      <c r="I1648">
        <v>0.1901534</v>
      </c>
      <c r="J1648">
        <v>0.1275241</v>
      </c>
      <c r="K1648">
        <v>8.5590689999999997E-2</v>
      </c>
      <c r="L1648">
        <v>5.7373420000000001E-2</v>
      </c>
      <c r="M1648">
        <v>3.8461099999999998E-2</v>
      </c>
      <c r="N1648">
        <v>2.577753E-2</v>
      </c>
    </row>
    <row r="1649" spans="1:14" hidden="1" x14ac:dyDescent="0.35">
      <c r="A1649" t="s">
        <v>712</v>
      </c>
      <c r="B1649" t="s">
        <v>34</v>
      </c>
      <c r="C1649" t="s">
        <v>230</v>
      </c>
      <c r="D1649" t="s">
        <v>230</v>
      </c>
      <c r="E1649" t="s">
        <v>584</v>
      </c>
      <c r="F1649" t="s">
        <v>26</v>
      </c>
      <c r="G1649" t="s">
        <v>26</v>
      </c>
      <c r="H1649">
        <v>0.68691239999999998</v>
      </c>
      <c r="I1649">
        <v>0.46045199999999997</v>
      </c>
      <c r="J1649">
        <v>0.30879069999999997</v>
      </c>
      <c r="K1649">
        <v>0.20725399999999999</v>
      </c>
      <c r="L1649">
        <v>0.13892660000000001</v>
      </c>
      <c r="M1649">
        <v>9.3126310000000004E-2</v>
      </c>
      <c r="N1649">
        <v>6.2423560000000003E-2</v>
      </c>
    </row>
    <row r="1650" spans="1:14" hidden="1" x14ac:dyDescent="0.35">
      <c r="A1650" t="s">
        <v>712</v>
      </c>
      <c r="B1650" t="s">
        <v>34</v>
      </c>
      <c r="C1650" t="s">
        <v>230</v>
      </c>
      <c r="D1650" t="s">
        <v>230</v>
      </c>
      <c r="E1650" t="s">
        <v>697</v>
      </c>
      <c r="F1650" t="s">
        <v>581</v>
      </c>
      <c r="G1650" t="s">
        <v>396</v>
      </c>
      <c r="H1650">
        <v>6.8307539999999998</v>
      </c>
      <c r="I1650">
        <v>7.945227</v>
      </c>
      <c r="J1650">
        <v>7.3041729999999996</v>
      </c>
      <c r="K1650">
        <v>6.3993219999999997</v>
      </c>
      <c r="L1650">
        <v>5.8556429999999997</v>
      </c>
      <c r="M1650">
        <v>5.7720510000000003</v>
      </c>
      <c r="N1650">
        <v>5.8163819999999999</v>
      </c>
    </row>
    <row r="1651" spans="1:14" hidden="1" x14ac:dyDescent="0.35">
      <c r="A1651" t="s">
        <v>712</v>
      </c>
      <c r="B1651" t="s">
        <v>34</v>
      </c>
      <c r="C1651" t="s">
        <v>230</v>
      </c>
      <c r="D1651" t="s">
        <v>230</v>
      </c>
      <c r="E1651" t="s">
        <v>697</v>
      </c>
      <c r="F1651" t="s">
        <v>581</v>
      </c>
      <c r="G1651" t="s">
        <v>25</v>
      </c>
      <c r="H1651">
        <v>0.1441479</v>
      </c>
      <c r="I1651">
        <v>0.1130192</v>
      </c>
      <c r="J1651">
        <v>0.1022334</v>
      </c>
      <c r="K1651">
        <v>9.092712E-2</v>
      </c>
      <c r="L1651">
        <v>8.1809590000000001E-2</v>
      </c>
      <c r="M1651">
        <v>7.4612330000000004E-2</v>
      </c>
      <c r="N1651">
        <v>6.708219E-2</v>
      </c>
    </row>
    <row r="1652" spans="1:14" hidden="1" x14ac:dyDescent="0.35">
      <c r="A1652" t="s">
        <v>712</v>
      </c>
      <c r="B1652" t="s">
        <v>34</v>
      </c>
      <c r="C1652" t="s">
        <v>230</v>
      </c>
      <c r="D1652" t="s">
        <v>230</v>
      </c>
      <c r="E1652" t="s">
        <v>697</v>
      </c>
      <c r="F1652" t="s">
        <v>26</v>
      </c>
      <c r="G1652" t="s">
        <v>26</v>
      </c>
      <c r="H1652">
        <v>0.28829589999999999</v>
      </c>
      <c r="I1652">
        <v>0.2260383</v>
      </c>
      <c r="J1652">
        <v>0.2044649</v>
      </c>
      <c r="K1652">
        <v>0.18185509999999999</v>
      </c>
      <c r="L1652">
        <v>0.16361999999999999</v>
      </c>
      <c r="M1652">
        <v>0.14922820000000001</v>
      </c>
      <c r="N1652">
        <v>0.13416169999999999</v>
      </c>
    </row>
    <row r="1653" spans="1:14" hidden="1" x14ac:dyDescent="0.35">
      <c r="A1653" t="s">
        <v>712</v>
      </c>
      <c r="B1653" t="s">
        <v>34</v>
      </c>
      <c r="C1653" t="s">
        <v>33</v>
      </c>
      <c r="D1653" t="s">
        <v>33</v>
      </c>
      <c r="E1653" t="s">
        <v>713</v>
      </c>
      <c r="F1653" t="s">
        <v>581</v>
      </c>
      <c r="G1653" t="s">
        <v>24</v>
      </c>
      <c r="H1653">
        <v>0.20562469999999999</v>
      </c>
      <c r="I1653">
        <v>0.2463526</v>
      </c>
      <c r="J1653">
        <v>0.22811970000000001</v>
      </c>
      <c r="K1653">
        <v>0.19031310000000001</v>
      </c>
      <c r="L1653">
        <v>0.16671839999999999</v>
      </c>
      <c r="M1653">
        <v>0.14568900000000001</v>
      </c>
      <c r="N1653">
        <v>0.1277847</v>
      </c>
    </row>
    <row r="1654" spans="1:14" hidden="1" x14ac:dyDescent="0.35">
      <c r="A1654" t="s">
        <v>712</v>
      </c>
      <c r="B1654" t="s">
        <v>34</v>
      </c>
      <c r="C1654" t="s">
        <v>33</v>
      </c>
      <c r="D1654" t="s">
        <v>33</v>
      </c>
      <c r="E1654" t="s">
        <v>713</v>
      </c>
      <c r="F1654" t="s">
        <v>581</v>
      </c>
      <c r="G1654" t="s">
        <v>25</v>
      </c>
      <c r="H1654">
        <v>4.5163399999999996</v>
      </c>
      <c r="I1654">
        <v>4.0649290000000002</v>
      </c>
      <c r="J1654">
        <v>3.7640289999999998</v>
      </c>
      <c r="K1654">
        <v>3.1402389999999998</v>
      </c>
      <c r="L1654">
        <v>2.7509079999999999</v>
      </c>
      <c r="M1654">
        <v>2.4039269999999999</v>
      </c>
      <c r="N1654">
        <v>2.1084749999999999</v>
      </c>
    </row>
    <row r="1655" spans="1:14" hidden="1" x14ac:dyDescent="0.35">
      <c r="A1655" t="s">
        <v>712</v>
      </c>
      <c r="B1655" t="s">
        <v>34</v>
      </c>
      <c r="C1655" t="s">
        <v>33</v>
      </c>
      <c r="D1655" t="s">
        <v>33</v>
      </c>
      <c r="E1655" t="s">
        <v>713</v>
      </c>
      <c r="F1655" t="s">
        <v>26</v>
      </c>
      <c r="G1655" t="s">
        <v>26</v>
      </c>
      <c r="H1655">
        <v>11.711119999999999</v>
      </c>
      <c r="I1655">
        <v>10.930350000000001</v>
      </c>
      <c r="J1655">
        <v>7.513865</v>
      </c>
      <c r="K1655">
        <v>6.2686279999999996</v>
      </c>
      <c r="L1655">
        <v>5.4914230000000002</v>
      </c>
      <c r="M1655">
        <v>4.7987510000000002</v>
      </c>
      <c r="N1655">
        <v>4.2089559999999997</v>
      </c>
    </row>
    <row r="1656" spans="1:14" hidden="1" x14ac:dyDescent="0.35">
      <c r="A1656" t="s">
        <v>712</v>
      </c>
      <c r="B1656" t="s">
        <v>34</v>
      </c>
      <c r="C1656" t="s">
        <v>33</v>
      </c>
      <c r="D1656" t="s">
        <v>33</v>
      </c>
      <c r="E1656" t="s">
        <v>675</v>
      </c>
      <c r="F1656" t="s">
        <v>581</v>
      </c>
      <c r="G1656" t="s">
        <v>396</v>
      </c>
      <c r="H1656">
        <v>4.991781E-2</v>
      </c>
      <c r="I1656">
        <v>4.3975069999999998E-2</v>
      </c>
      <c r="J1656">
        <v>3.6642470000000003E-2</v>
      </c>
      <c r="K1656">
        <v>2.9390139999999999E-2</v>
      </c>
      <c r="L1656">
        <v>2.532411E-2</v>
      </c>
      <c r="M1656">
        <v>2.2018360000000001E-2</v>
      </c>
      <c r="N1656">
        <v>1.927589E-2</v>
      </c>
    </row>
    <row r="1657" spans="1:14" hidden="1" x14ac:dyDescent="0.35">
      <c r="A1657" t="s">
        <v>712</v>
      </c>
      <c r="B1657" t="s">
        <v>34</v>
      </c>
      <c r="C1657" t="s">
        <v>33</v>
      </c>
      <c r="D1657" t="s">
        <v>33</v>
      </c>
      <c r="E1657" t="s">
        <v>675</v>
      </c>
      <c r="F1657" t="s">
        <v>581</v>
      </c>
      <c r="G1657" t="s">
        <v>25</v>
      </c>
      <c r="H1657">
        <v>1.25454</v>
      </c>
      <c r="I1657">
        <v>1.055409</v>
      </c>
      <c r="J1657">
        <v>0.87948490000000001</v>
      </c>
      <c r="K1657">
        <v>0.70538060000000002</v>
      </c>
      <c r="L1657">
        <v>0.60779539999999999</v>
      </c>
      <c r="M1657">
        <v>0.52845969999999998</v>
      </c>
      <c r="N1657">
        <v>0.46261089999999999</v>
      </c>
    </row>
    <row r="1658" spans="1:14" hidden="1" x14ac:dyDescent="0.35">
      <c r="A1658" t="s">
        <v>712</v>
      </c>
      <c r="B1658" t="s">
        <v>34</v>
      </c>
      <c r="C1658" t="s">
        <v>33</v>
      </c>
      <c r="D1658" t="s">
        <v>33</v>
      </c>
      <c r="E1658" t="s">
        <v>675</v>
      </c>
      <c r="F1658" t="s">
        <v>26</v>
      </c>
      <c r="G1658" t="s">
        <v>26</v>
      </c>
      <c r="H1658">
        <v>6.2459309999999997</v>
      </c>
      <c r="I1658">
        <v>5.2049289999999999</v>
      </c>
      <c r="J1658">
        <v>2.7854169999999998</v>
      </c>
      <c r="K1658">
        <v>2.234013</v>
      </c>
      <c r="L1658">
        <v>1.9249419999999999</v>
      </c>
      <c r="M1658">
        <v>1.673673</v>
      </c>
      <c r="N1658">
        <v>1.465112</v>
      </c>
    </row>
    <row r="1659" spans="1:14" hidden="1" x14ac:dyDescent="0.35">
      <c r="A1659" t="s">
        <v>712</v>
      </c>
      <c r="B1659" t="s">
        <v>34</v>
      </c>
      <c r="C1659" t="s">
        <v>33</v>
      </c>
      <c r="D1659" t="s">
        <v>33</v>
      </c>
      <c r="E1659" t="s">
        <v>714</v>
      </c>
      <c r="F1659" t="s">
        <v>581</v>
      </c>
      <c r="G1659" t="s">
        <v>396</v>
      </c>
      <c r="H1659">
        <v>2.7433339999999999</v>
      </c>
      <c r="I1659">
        <v>3.432061</v>
      </c>
      <c r="J1659">
        <v>2.9853399999999999</v>
      </c>
      <c r="K1659">
        <v>2.6315430000000002</v>
      </c>
      <c r="L1659">
        <v>2.4012899999999999</v>
      </c>
      <c r="M1659">
        <v>2.3055840000000001</v>
      </c>
      <c r="N1659">
        <v>2.4483480000000002</v>
      </c>
    </row>
    <row r="1660" spans="1:14" hidden="1" x14ac:dyDescent="0.35">
      <c r="A1660" t="s">
        <v>712</v>
      </c>
      <c r="B1660" t="s">
        <v>34</v>
      </c>
      <c r="C1660" t="s">
        <v>33</v>
      </c>
      <c r="D1660" t="s">
        <v>33</v>
      </c>
      <c r="E1660" t="s">
        <v>714</v>
      </c>
      <c r="F1660" t="s">
        <v>26</v>
      </c>
      <c r="G1660" t="s">
        <v>26</v>
      </c>
      <c r="H1660">
        <v>0.85357530000000004</v>
      </c>
      <c r="I1660">
        <v>0.71241270000000001</v>
      </c>
      <c r="J1660">
        <v>0.61968469999999998</v>
      </c>
      <c r="K1660">
        <v>0.54624410000000001</v>
      </c>
      <c r="L1660">
        <v>0.49844909999999998</v>
      </c>
      <c r="M1660">
        <v>0.4785838</v>
      </c>
      <c r="N1660">
        <v>0.50821729999999998</v>
      </c>
    </row>
    <row r="1661" spans="1:14" hidden="1" x14ac:dyDescent="0.35">
      <c r="A1661" t="s">
        <v>712</v>
      </c>
      <c r="B1661" t="s">
        <v>34</v>
      </c>
      <c r="C1661" t="s">
        <v>33</v>
      </c>
      <c r="D1661" t="s">
        <v>33</v>
      </c>
      <c r="E1661" t="s">
        <v>584</v>
      </c>
      <c r="F1661" t="s">
        <v>581</v>
      </c>
      <c r="G1661" t="s">
        <v>396</v>
      </c>
      <c r="H1661">
        <v>0.34664109999999998</v>
      </c>
      <c r="I1661">
        <v>0.25718360000000001</v>
      </c>
      <c r="J1661">
        <v>0.1840685</v>
      </c>
      <c r="K1661">
        <v>0.1347573</v>
      </c>
      <c r="L1661">
        <v>0.1011836</v>
      </c>
      <c r="M1661">
        <v>7.760794E-2</v>
      </c>
      <c r="N1661">
        <v>3.9449039999999998E-2</v>
      </c>
    </row>
    <row r="1662" spans="1:14" hidden="1" x14ac:dyDescent="0.35">
      <c r="A1662" t="s">
        <v>712</v>
      </c>
      <c r="B1662" t="s">
        <v>34</v>
      </c>
      <c r="C1662" t="s">
        <v>33</v>
      </c>
      <c r="D1662" t="s">
        <v>33</v>
      </c>
      <c r="E1662" t="s">
        <v>584</v>
      </c>
      <c r="F1662" t="s">
        <v>581</v>
      </c>
      <c r="G1662" t="s">
        <v>25</v>
      </c>
      <c r="H1662">
        <v>0.2272603</v>
      </c>
      <c r="I1662">
        <v>0.14628769999999999</v>
      </c>
      <c r="J1662">
        <v>0.13461419999999999</v>
      </c>
      <c r="K1662">
        <v>0.1238929</v>
      </c>
      <c r="L1662">
        <v>6.7370410000000006E-2</v>
      </c>
      <c r="M1662">
        <v>5.9530140000000002E-2</v>
      </c>
      <c r="N1662">
        <v>2.857726E-2</v>
      </c>
    </row>
    <row r="1663" spans="1:14" hidden="1" x14ac:dyDescent="0.35">
      <c r="A1663" t="s">
        <v>712</v>
      </c>
      <c r="B1663" t="s">
        <v>34</v>
      </c>
      <c r="C1663" t="s">
        <v>33</v>
      </c>
      <c r="D1663" t="s">
        <v>33</v>
      </c>
      <c r="E1663" t="s">
        <v>584</v>
      </c>
      <c r="F1663" t="s">
        <v>26</v>
      </c>
      <c r="G1663" t="s">
        <v>26</v>
      </c>
      <c r="H1663">
        <v>2.890482</v>
      </c>
      <c r="I1663">
        <v>2.1567509999999999</v>
      </c>
      <c r="J1663">
        <v>1.913613</v>
      </c>
      <c r="K1663">
        <v>1.6960109999999999</v>
      </c>
      <c r="L1663">
        <v>1.470755</v>
      </c>
      <c r="M1663">
        <v>1.255549</v>
      </c>
      <c r="N1663">
        <v>0.33760109999999999</v>
      </c>
    </row>
    <row r="1664" spans="1:14" hidden="1" x14ac:dyDescent="0.35">
      <c r="A1664" t="s">
        <v>712</v>
      </c>
      <c r="B1664" t="s">
        <v>34</v>
      </c>
      <c r="C1664" t="s">
        <v>33</v>
      </c>
      <c r="D1664" t="s">
        <v>33</v>
      </c>
      <c r="E1664" t="s">
        <v>699</v>
      </c>
      <c r="F1664" t="s">
        <v>581</v>
      </c>
      <c r="G1664" t="s">
        <v>396</v>
      </c>
      <c r="H1664">
        <v>1.2136990000000001</v>
      </c>
      <c r="I1664">
        <v>0.95580540000000003</v>
      </c>
      <c r="J1664">
        <v>0.76238110000000003</v>
      </c>
      <c r="K1664">
        <v>0.75637209999999999</v>
      </c>
      <c r="L1664">
        <v>0.68840199999999996</v>
      </c>
      <c r="M1664">
        <v>0.55155719999999997</v>
      </c>
      <c r="N1664">
        <v>0.43248769999999997</v>
      </c>
    </row>
    <row r="1665" spans="1:14" hidden="1" x14ac:dyDescent="0.35">
      <c r="A1665" t="s">
        <v>712</v>
      </c>
      <c r="B1665" t="s">
        <v>34</v>
      </c>
      <c r="C1665" t="s">
        <v>33</v>
      </c>
      <c r="D1665" t="s">
        <v>33</v>
      </c>
      <c r="E1665" t="s">
        <v>638</v>
      </c>
      <c r="F1665" t="s">
        <v>581</v>
      </c>
      <c r="G1665" t="s">
        <v>396</v>
      </c>
      <c r="H1665">
        <v>8.8821920000000006E-3</v>
      </c>
      <c r="I1665">
        <v>6.4328759999999997E-3</v>
      </c>
      <c r="J1665">
        <v>5.3041090000000004E-3</v>
      </c>
      <c r="K1665">
        <v>6.9813699999999998E-3</v>
      </c>
      <c r="L1665">
        <v>1.153671E-2</v>
      </c>
      <c r="M1665">
        <v>8.3512329999999996E-3</v>
      </c>
      <c r="N1665">
        <v>6.383835E-3</v>
      </c>
    </row>
    <row r="1666" spans="1:14" hidden="1" x14ac:dyDescent="0.35">
      <c r="A1666" t="s">
        <v>712</v>
      </c>
      <c r="B1666" t="s">
        <v>34</v>
      </c>
      <c r="C1666" t="s">
        <v>33</v>
      </c>
      <c r="D1666" t="s">
        <v>33</v>
      </c>
      <c r="E1666" t="s">
        <v>638</v>
      </c>
      <c r="F1666" t="s">
        <v>581</v>
      </c>
      <c r="G1666" t="s">
        <v>24</v>
      </c>
      <c r="H1666">
        <v>6.216986E-2</v>
      </c>
      <c r="I1666">
        <v>4.5030140000000003E-2</v>
      </c>
      <c r="J1666">
        <v>3.7134250000000001E-2</v>
      </c>
      <c r="K1666">
        <v>4.887288E-2</v>
      </c>
      <c r="L1666">
        <v>8.0769320000000006E-2</v>
      </c>
      <c r="M1666">
        <v>5.8469590000000002E-2</v>
      </c>
      <c r="N1666">
        <v>4.46907E-2</v>
      </c>
    </row>
    <row r="1667" spans="1:14" hidden="1" x14ac:dyDescent="0.35">
      <c r="A1667" t="s">
        <v>712</v>
      </c>
      <c r="B1667" t="s">
        <v>34</v>
      </c>
      <c r="C1667" t="s">
        <v>33</v>
      </c>
      <c r="D1667" t="s">
        <v>33</v>
      </c>
      <c r="E1667" t="s">
        <v>638</v>
      </c>
      <c r="F1667" t="s">
        <v>581</v>
      </c>
      <c r="G1667" t="s">
        <v>25</v>
      </c>
      <c r="H1667">
        <v>8.9013700000000005E-3</v>
      </c>
      <c r="I1667">
        <v>6.4328759999999997E-3</v>
      </c>
      <c r="J1667">
        <v>5.3041099999999999E-3</v>
      </c>
      <c r="K1667">
        <v>6.9821919999999999E-3</v>
      </c>
      <c r="L1667">
        <v>1.154137E-2</v>
      </c>
      <c r="M1667">
        <v>8.3531500000000002E-3</v>
      </c>
      <c r="N1667">
        <v>6.3830140000000002E-3</v>
      </c>
    </row>
    <row r="1668" spans="1:14" hidden="1" x14ac:dyDescent="0.35">
      <c r="A1668" t="s">
        <v>712</v>
      </c>
      <c r="B1668" t="s">
        <v>34</v>
      </c>
      <c r="C1668" t="s">
        <v>33</v>
      </c>
      <c r="D1668" t="s">
        <v>33</v>
      </c>
      <c r="E1668" t="s">
        <v>638</v>
      </c>
      <c r="F1668" t="s">
        <v>26</v>
      </c>
      <c r="G1668" t="s">
        <v>26</v>
      </c>
      <c r="H1668">
        <v>9.89178E-2</v>
      </c>
      <c r="I1668">
        <v>7.1138900000000005E-2</v>
      </c>
      <c r="J1668">
        <v>5.8663010000000002E-2</v>
      </c>
      <c r="K1668">
        <v>7.7209589999999995E-2</v>
      </c>
      <c r="L1668">
        <v>0.1275964</v>
      </c>
      <c r="M1668">
        <v>9.2367130000000006E-2</v>
      </c>
      <c r="N1668">
        <v>7.0603299999999994E-2</v>
      </c>
    </row>
    <row r="1669" spans="1:14" hidden="1" x14ac:dyDescent="0.35">
      <c r="A1669" t="s">
        <v>712</v>
      </c>
      <c r="B1669" t="s">
        <v>225</v>
      </c>
      <c r="C1669" t="s">
        <v>224</v>
      </c>
      <c r="D1669" t="s">
        <v>224</v>
      </c>
      <c r="E1669" t="s">
        <v>584</v>
      </c>
      <c r="F1669" t="s">
        <v>581</v>
      </c>
      <c r="G1669" t="s">
        <v>396</v>
      </c>
      <c r="H1669">
        <v>6.5033659999999998</v>
      </c>
      <c r="I1669">
        <v>6.124816</v>
      </c>
      <c r="J1669">
        <v>5.8976649999999999</v>
      </c>
      <c r="K1669">
        <v>5.3251390000000001</v>
      </c>
      <c r="L1669">
        <v>4.7742560000000003</v>
      </c>
      <c r="M1669">
        <v>4.2045349999999999</v>
      </c>
      <c r="N1669">
        <v>3.6295060000000001</v>
      </c>
    </row>
    <row r="1670" spans="1:14" hidden="1" x14ac:dyDescent="0.35">
      <c r="A1670" t="s">
        <v>712</v>
      </c>
      <c r="B1670" t="s">
        <v>225</v>
      </c>
      <c r="C1670" t="s">
        <v>715</v>
      </c>
      <c r="D1670" t="s">
        <v>715</v>
      </c>
      <c r="E1670" t="s">
        <v>584</v>
      </c>
      <c r="F1670" t="s">
        <v>581</v>
      </c>
      <c r="G1670" t="s">
        <v>396</v>
      </c>
      <c r="H1670">
        <v>4.6579800000000002</v>
      </c>
      <c r="I1670">
        <v>4.3596450000000004</v>
      </c>
      <c r="J1670">
        <v>4.0888030000000004</v>
      </c>
      <c r="K1670">
        <v>3.804074</v>
      </c>
      <c r="L1670">
        <v>3.5528949999999999</v>
      </c>
      <c r="M1670">
        <v>3.255322</v>
      </c>
      <c r="N1670">
        <v>2.7153079999999998</v>
      </c>
    </row>
    <row r="1671" spans="1:14" hidden="1" x14ac:dyDescent="0.35">
      <c r="A1671" t="s">
        <v>712</v>
      </c>
      <c r="B1671" t="s">
        <v>225</v>
      </c>
      <c r="C1671" t="s">
        <v>715</v>
      </c>
      <c r="D1671" t="s">
        <v>715</v>
      </c>
      <c r="E1671" t="s">
        <v>584</v>
      </c>
      <c r="F1671" t="s">
        <v>26</v>
      </c>
      <c r="G1671" t="s">
        <v>26</v>
      </c>
      <c r="H1671">
        <v>3.2876710000000003E-2</v>
      </c>
      <c r="I1671">
        <v>3.2876710000000003E-2</v>
      </c>
      <c r="J1671">
        <v>3.2876710000000003E-2</v>
      </c>
      <c r="K1671">
        <v>3.2876710000000003E-2</v>
      </c>
      <c r="L1671">
        <v>3.2876710000000003E-2</v>
      </c>
      <c r="M1671">
        <v>3.2876710000000003E-2</v>
      </c>
      <c r="N1671">
        <v>3.2876710000000003E-2</v>
      </c>
    </row>
    <row r="1672" spans="1:14" hidden="1" x14ac:dyDescent="0.35">
      <c r="A1672" t="s">
        <v>712</v>
      </c>
      <c r="B1672" t="s">
        <v>48</v>
      </c>
      <c r="C1672" t="s">
        <v>47</v>
      </c>
      <c r="D1672" t="s">
        <v>47</v>
      </c>
      <c r="E1672" t="s">
        <v>584</v>
      </c>
      <c r="F1672" t="s">
        <v>581</v>
      </c>
      <c r="G1672" t="s">
        <v>396</v>
      </c>
      <c r="M1672">
        <v>0</v>
      </c>
      <c r="N1672">
        <v>0</v>
      </c>
    </row>
    <row r="1673" spans="1:14" hidden="1" x14ac:dyDescent="0.35">
      <c r="A1673" t="s">
        <v>712</v>
      </c>
      <c r="B1673" t="s">
        <v>48</v>
      </c>
      <c r="C1673" t="s">
        <v>47</v>
      </c>
      <c r="D1673" t="s">
        <v>47</v>
      </c>
      <c r="E1673" t="s">
        <v>584</v>
      </c>
      <c r="F1673" t="s">
        <v>581</v>
      </c>
      <c r="G1673" t="s">
        <v>24</v>
      </c>
      <c r="H1673">
        <v>0.1073591</v>
      </c>
      <c r="I1673">
        <v>8.3131430000000006E-2</v>
      </c>
      <c r="J1673">
        <v>7.7360830000000005E-2</v>
      </c>
      <c r="K1673">
        <v>7.0941939999999995E-2</v>
      </c>
      <c r="L1673">
        <v>6.4717990000000003E-2</v>
      </c>
      <c r="M1673">
        <v>6.0130839999999998E-2</v>
      </c>
      <c r="N1673">
        <v>8.4768330000000003E-2</v>
      </c>
    </row>
    <row r="1674" spans="1:14" hidden="1" x14ac:dyDescent="0.35">
      <c r="A1674" t="s">
        <v>712</v>
      </c>
      <c r="B1674" t="s">
        <v>48</v>
      </c>
      <c r="C1674" t="s">
        <v>47</v>
      </c>
      <c r="D1674" t="s">
        <v>47</v>
      </c>
      <c r="E1674" t="s">
        <v>584</v>
      </c>
      <c r="F1674" t="s">
        <v>581</v>
      </c>
      <c r="G1674" t="s">
        <v>25</v>
      </c>
      <c r="H1674">
        <v>1.5806380000000001E-4</v>
      </c>
      <c r="I1674">
        <v>1.262762E-4</v>
      </c>
      <c r="J1674">
        <v>1.099825E-4</v>
      </c>
      <c r="K1674">
        <v>8.8257530000000002E-5</v>
      </c>
      <c r="L1674">
        <v>7.0606029999999997E-5</v>
      </c>
      <c r="M1674">
        <v>5.8385750000000003E-5</v>
      </c>
      <c r="N1674">
        <v>4.8881100000000002E-5</v>
      </c>
    </row>
    <row r="1675" spans="1:14" hidden="1" x14ac:dyDescent="0.35">
      <c r="A1675" t="s">
        <v>712</v>
      </c>
      <c r="B1675" t="s">
        <v>48</v>
      </c>
      <c r="C1675" t="s">
        <v>47</v>
      </c>
      <c r="D1675" t="s">
        <v>47</v>
      </c>
      <c r="E1675" t="s">
        <v>584</v>
      </c>
      <c r="F1675" t="s">
        <v>26</v>
      </c>
      <c r="G1675" t="s">
        <v>26</v>
      </c>
      <c r="H1675">
        <v>8.5939870000000003</v>
      </c>
      <c r="I1675">
        <v>9.7414950000000005</v>
      </c>
      <c r="J1675">
        <v>9.4447089999999996</v>
      </c>
      <c r="K1675">
        <v>8.8696629999999992</v>
      </c>
      <c r="L1675">
        <v>7.5621640000000001</v>
      </c>
      <c r="M1675">
        <v>6.9942479999999998</v>
      </c>
      <c r="N1675">
        <v>8.0820720000000001</v>
      </c>
    </row>
    <row r="1676" spans="1:14" hidden="1" x14ac:dyDescent="0.35">
      <c r="A1676" t="s">
        <v>712</v>
      </c>
      <c r="B1676" t="s">
        <v>48</v>
      </c>
      <c r="C1676" t="s">
        <v>47</v>
      </c>
      <c r="D1676" t="s">
        <v>50</v>
      </c>
      <c r="E1676" t="s">
        <v>584</v>
      </c>
      <c r="F1676" t="s">
        <v>581</v>
      </c>
      <c r="G1676" t="s">
        <v>24</v>
      </c>
      <c r="H1676">
        <v>2.7295890000000001E-3</v>
      </c>
      <c r="I1676">
        <v>2.8442459999999999E-3</v>
      </c>
      <c r="J1676">
        <v>2.4028769999999999E-3</v>
      </c>
      <c r="K1676">
        <v>2.0268489999999998E-3</v>
      </c>
      <c r="L1676">
        <v>7.0397250000000004E-4</v>
      </c>
      <c r="M1676">
        <v>5.6465750000000005E-4</v>
      </c>
      <c r="N1676">
        <v>4.7046579999999999E-4</v>
      </c>
    </row>
    <row r="1677" spans="1:14" hidden="1" x14ac:dyDescent="0.35">
      <c r="A1677" t="s">
        <v>712</v>
      </c>
      <c r="B1677" t="s">
        <v>48</v>
      </c>
      <c r="C1677" t="s">
        <v>47</v>
      </c>
      <c r="D1677" t="s">
        <v>50</v>
      </c>
      <c r="E1677" t="s">
        <v>584</v>
      </c>
      <c r="F1677" t="s">
        <v>26</v>
      </c>
      <c r="G1677" t="s">
        <v>26</v>
      </c>
      <c r="H1677">
        <v>0.123586</v>
      </c>
      <c r="I1677">
        <v>0.12966530000000001</v>
      </c>
      <c r="J1677">
        <v>0.10927969999999999</v>
      </c>
      <c r="K1677">
        <v>9.1996019999999998E-2</v>
      </c>
      <c r="L1677">
        <v>1.970852E-2</v>
      </c>
      <c r="M1677">
        <v>1.8378490000000001E-2</v>
      </c>
      <c r="N1677">
        <v>1.70714E-2</v>
      </c>
    </row>
    <row r="1678" spans="1:14" hidden="1" x14ac:dyDescent="0.35">
      <c r="A1678" t="s">
        <v>712</v>
      </c>
      <c r="B1678" t="s">
        <v>48</v>
      </c>
      <c r="C1678" t="s">
        <v>96</v>
      </c>
      <c r="D1678" t="s">
        <v>96</v>
      </c>
      <c r="E1678" t="s">
        <v>584</v>
      </c>
      <c r="F1678" t="s">
        <v>581</v>
      </c>
      <c r="G1678" t="s">
        <v>396</v>
      </c>
      <c r="M1678">
        <v>0</v>
      </c>
      <c r="N1678">
        <v>0</v>
      </c>
    </row>
    <row r="1679" spans="1:14" hidden="1" x14ac:dyDescent="0.35">
      <c r="A1679" t="s">
        <v>712</v>
      </c>
      <c r="B1679" t="s">
        <v>48</v>
      </c>
      <c r="C1679" t="s">
        <v>96</v>
      </c>
      <c r="D1679" t="s">
        <v>96</v>
      </c>
      <c r="E1679" t="s">
        <v>584</v>
      </c>
      <c r="F1679" t="s">
        <v>581</v>
      </c>
      <c r="G1679" t="s">
        <v>24</v>
      </c>
      <c r="H1679">
        <v>4.5057020000000003E-3</v>
      </c>
      <c r="I1679">
        <v>2.1823550000000001E-2</v>
      </c>
      <c r="J1679">
        <v>5.3545069999999997E-3</v>
      </c>
      <c r="K1679">
        <v>2.0611969999999999E-3</v>
      </c>
      <c r="L1679">
        <v>1.2903280000000001E-3</v>
      </c>
      <c r="M1679">
        <v>8.7770410000000002E-4</v>
      </c>
      <c r="N1679">
        <v>5.8790820000000001E-4</v>
      </c>
    </row>
    <row r="1680" spans="1:14" hidden="1" x14ac:dyDescent="0.35">
      <c r="A1680" t="s">
        <v>712</v>
      </c>
      <c r="B1680" t="s">
        <v>48</v>
      </c>
      <c r="C1680" t="s">
        <v>96</v>
      </c>
      <c r="D1680" t="s">
        <v>96</v>
      </c>
      <c r="E1680" t="s">
        <v>584</v>
      </c>
      <c r="F1680" t="s">
        <v>26</v>
      </c>
      <c r="G1680" t="s">
        <v>26</v>
      </c>
      <c r="H1680">
        <v>0.33301979999999998</v>
      </c>
      <c r="I1680">
        <v>0.48277779999999998</v>
      </c>
      <c r="J1680">
        <v>0.28421479999999999</v>
      </c>
      <c r="K1680">
        <v>0.1899691</v>
      </c>
      <c r="L1680">
        <v>0.16992769999999999</v>
      </c>
      <c r="M1680">
        <v>0.15274889999999999</v>
      </c>
      <c r="N1680">
        <v>0.12683159999999999</v>
      </c>
    </row>
    <row r="1681" spans="1:14" hidden="1" x14ac:dyDescent="0.35">
      <c r="A1681" t="s">
        <v>712</v>
      </c>
      <c r="B1681" t="s">
        <v>280</v>
      </c>
      <c r="C1681" t="s">
        <v>716</v>
      </c>
      <c r="D1681" t="s">
        <v>716</v>
      </c>
      <c r="E1681" t="s">
        <v>584</v>
      </c>
      <c r="F1681" t="s">
        <v>26</v>
      </c>
      <c r="G1681" t="s">
        <v>26</v>
      </c>
      <c r="H1681">
        <v>7.7643849999999999</v>
      </c>
      <c r="I1681">
        <v>6.6849309999999997</v>
      </c>
      <c r="J1681">
        <v>5.7051619999999996</v>
      </c>
      <c r="K1681">
        <v>4.8590350000000004</v>
      </c>
      <c r="L1681">
        <v>4.0843210000000001</v>
      </c>
      <c r="M1681">
        <v>3.3453240000000002</v>
      </c>
      <c r="N1681">
        <v>2.742499</v>
      </c>
    </row>
    <row r="1682" spans="1:14" hidden="1" x14ac:dyDescent="0.35">
      <c r="A1682" t="s">
        <v>712</v>
      </c>
      <c r="B1682" t="s">
        <v>53</v>
      </c>
      <c r="C1682" t="s">
        <v>52</v>
      </c>
      <c r="D1682" t="s">
        <v>52</v>
      </c>
      <c r="E1682" t="s">
        <v>584</v>
      </c>
      <c r="F1682" t="s">
        <v>581</v>
      </c>
      <c r="G1682" t="s">
        <v>396</v>
      </c>
      <c r="H1682">
        <v>5.661918</v>
      </c>
      <c r="I1682">
        <v>5.0011859999999997</v>
      </c>
      <c r="J1682">
        <v>4.417211</v>
      </c>
      <c r="K1682">
        <v>3.8946399999999999</v>
      </c>
      <c r="L1682">
        <v>3.39256</v>
      </c>
      <c r="M1682">
        <v>2.882225</v>
      </c>
      <c r="N1682">
        <v>2.4530099999999999</v>
      </c>
    </row>
    <row r="1683" spans="1:14" hidden="1" x14ac:dyDescent="0.35">
      <c r="A1683" t="s">
        <v>712</v>
      </c>
      <c r="B1683" t="s">
        <v>37</v>
      </c>
      <c r="C1683" t="s">
        <v>115</v>
      </c>
      <c r="D1683" t="s">
        <v>115</v>
      </c>
      <c r="E1683" t="s">
        <v>595</v>
      </c>
      <c r="F1683" t="s">
        <v>581</v>
      </c>
      <c r="G1683" t="s">
        <v>396</v>
      </c>
      <c r="H1683">
        <v>1.753425</v>
      </c>
      <c r="I1683">
        <v>1.886582</v>
      </c>
      <c r="J1683">
        <v>2.1428430000000001</v>
      </c>
      <c r="K1683">
        <v>1.727223</v>
      </c>
      <c r="L1683">
        <v>1.4599059999999999</v>
      </c>
      <c r="M1683">
        <v>1.0073399999999999</v>
      </c>
      <c r="N1683">
        <v>0.7024378</v>
      </c>
    </row>
    <row r="1684" spans="1:14" hidden="1" x14ac:dyDescent="0.35">
      <c r="A1684" t="s">
        <v>712</v>
      </c>
      <c r="B1684" t="s">
        <v>37</v>
      </c>
      <c r="C1684" t="s">
        <v>115</v>
      </c>
      <c r="D1684" t="s">
        <v>115</v>
      </c>
      <c r="E1684" t="s">
        <v>595</v>
      </c>
      <c r="F1684" t="s">
        <v>581</v>
      </c>
      <c r="G1684" t="s">
        <v>25</v>
      </c>
      <c r="H1684">
        <v>0.18630140000000001</v>
      </c>
      <c r="I1684">
        <v>0.1222225</v>
      </c>
      <c r="J1684">
        <v>0.13882410000000001</v>
      </c>
      <c r="K1684">
        <v>0.11190079999999999</v>
      </c>
      <c r="L1684">
        <v>9.458329E-2</v>
      </c>
      <c r="M1684">
        <v>6.5264929999999999E-2</v>
      </c>
      <c r="N1684">
        <v>4.5512329999999997E-2</v>
      </c>
    </row>
    <row r="1685" spans="1:14" hidden="1" x14ac:dyDescent="0.35">
      <c r="A1685" t="s">
        <v>712</v>
      </c>
      <c r="B1685" t="s">
        <v>37</v>
      </c>
      <c r="C1685" t="s">
        <v>115</v>
      </c>
      <c r="D1685" t="s">
        <v>115</v>
      </c>
      <c r="E1685" t="s">
        <v>595</v>
      </c>
      <c r="F1685" t="s">
        <v>26</v>
      </c>
      <c r="G1685" t="s">
        <v>26</v>
      </c>
      <c r="H1685">
        <v>1.3972599999999999</v>
      </c>
      <c r="I1685">
        <v>0.31778630000000002</v>
      </c>
      <c r="J1685">
        <v>0.36094870000000001</v>
      </c>
      <c r="K1685">
        <v>0.29094350000000002</v>
      </c>
      <c r="L1685">
        <v>0.24591370000000001</v>
      </c>
      <c r="M1685">
        <v>0.16968079999999999</v>
      </c>
      <c r="N1685">
        <v>0.1183211</v>
      </c>
    </row>
    <row r="1686" spans="1:14" hidden="1" x14ac:dyDescent="0.35">
      <c r="A1686" t="s">
        <v>712</v>
      </c>
      <c r="B1686" t="s">
        <v>49</v>
      </c>
      <c r="C1686" t="s">
        <v>47</v>
      </c>
      <c r="D1686" t="s">
        <v>50</v>
      </c>
      <c r="E1686" t="s">
        <v>584</v>
      </c>
      <c r="F1686" t="s">
        <v>581</v>
      </c>
      <c r="G1686" t="s">
        <v>396</v>
      </c>
      <c r="H1686">
        <v>0.56550959999999995</v>
      </c>
      <c r="I1686">
        <v>0.52118629999999999</v>
      </c>
      <c r="J1686">
        <v>0.48169830000000002</v>
      </c>
      <c r="K1686">
        <v>0.44622139999999999</v>
      </c>
      <c r="L1686">
        <v>0.41340139999999997</v>
      </c>
      <c r="M1686">
        <v>0.3808956</v>
      </c>
      <c r="N1686">
        <v>0.35220299999999999</v>
      </c>
    </row>
    <row r="1687" spans="1:14" hidden="1" x14ac:dyDescent="0.35">
      <c r="A1687" t="s">
        <v>712</v>
      </c>
      <c r="B1687" t="s">
        <v>49</v>
      </c>
      <c r="C1687" t="s">
        <v>47</v>
      </c>
      <c r="D1687" t="s">
        <v>50</v>
      </c>
      <c r="E1687" t="s">
        <v>584</v>
      </c>
      <c r="F1687" t="s">
        <v>26</v>
      </c>
      <c r="G1687" t="s">
        <v>26</v>
      </c>
      <c r="H1687">
        <v>1.0366550000000001</v>
      </c>
      <c r="I1687">
        <v>1.354649</v>
      </c>
      <c r="J1687">
        <v>0.96804520000000005</v>
      </c>
      <c r="K1687">
        <v>0.70560780000000001</v>
      </c>
      <c r="L1687">
        <v>0.48398269999999999</v>
      </c>
      <c r="M1687">
        <v>0.1737435</v>
      </c>
      <c r="N1687">
        <v>4.9365140000000002E-2</v>
      </c>
    </row>
    <row r="1688" spans="1:14" hidden="1" x14ac:dyDescent="0.35">
      <c r="A1688" t="s">
        <v>712</v>
      </c>
      <c r="B1688" t="s">
        <v>49</v>
      </c>
      <c r="C1688" t="s">
        <v>47</v>
      </c>
      <c r="D1688" t="s">
        <v>47</v>
      </c>
      <c r="E1688" t="s">
        <v>584</v>
      </c>
      <c r="F1688" t="s">
        <v>581</v>
      </c>
      <c r="G1688" t="s">
        <v>396</v>
      </c>
      <c r="H1688">
        <v>0.17894930000000001</v>
      </c>
      <c r="I1688">
        <v>0.15392600000000001</v>
      </c>
      <c r="J1688">
        <v>0.13351289999999999</v>
      </c>
      <c r="K1688">
        <v>0.11558640000000001</v>
      </c>
      <c r="L1688">
        <v>9.8808359999999998E-2</v>
      </c>
      <c r="M1688">
        <v>8.2340410000000003E-2</v>
      </c>
      <c r="N1688">
        <v>6.8707809999999994E-2</v>
      </c>
    </row>
    <row r="1689" spans="1:14" hidden="1" x14ac:dyDescent="0.35">
      <c r="A1689" t="s">
        <v>712</v>
      </c>
      <c r="B1689" t="s">
        <v>49</v>
      </c>
      <c r="C1689" t="s">
        <v>47</v>
      </c>
      <c r="D1689" t="s">
        <v>47</v>
      </c>
      <c r="E1689" t="s">
        <v>584</v>
      </c>
      <c r="F1689" t="s">
        <v>26</v>
      </c>
      <c r="G1689" t="s">
        <v>26</v>
      </c>
      <c r="H1689">
        <v>0.62798770000000004</v>
      </c>
      <c r="I1689">
        <v>0.57035340000000001</v>
      </c>
      <c r="J1689">
        <v>0.51878179999999996</v>
      </c>
      <c r="K1689">
        <v>0.4719872</v>
      </c>
      <c r="L1689">
        <v>0.42731580000000002</v>
      </c>
      <c r="M1689">
        <v>0.38256040000000002</v>
      </c>
      <c r="N1689">
        <v>0.34355400000000003</v>
      </c>
    </row>
    <row r="1690" spans="1:14" hidden="1" x14ac:dyDescent="0.35">
      <c r="A1690" t="s">
        <v>712</v>
      </c>
      <c r="B1690" t="s">
        <v>49</v>
      </c>
      <c r="C1690" t="s">
        <v>120</v>
      </c>
      <c r="D1690" t="s">
        <v>120</v>
      </c>
      <c r="E1690" t="s">
        <v>584</v>
      </c>
      <c r="F1690" t="s">
        <v>581</v>
      </c>
      <c r="G1690" t="s">
        <v>396</v>
      </c>
      <c r="H1690">
        <v>0.20036029999999999</v>
      </c>
      <c r="I1690">
        <v>0.16325480000000001</v>
      </c>
      <c r="J1690">
        <v>0.13709589999999999</v>
      </c>
      <c r="K1690">
        <v>0.11833150000000001</v>
      </c>
      <c r="L1690">
        <v>0.10457950000000001</v>
      </c>
      <c r="M1690">
        <v>9.4238359999999993E-2</v>
      </c>
      <c r="N1690">
        <v>8.6234249999999998E-2</v>
      </c>
    </row>
    <row r="1691" spans="1:14" hidden="1" x14ac:dyDescent="0.35">
      <c r="A1691" t="s">
        <v>712</v>
      </c>
      <c r="B1691" t="s">
        <v>49</v>
      </c>
      <c r="C1691" t="s">
        <v>120</v>
      </c>
      <c r="D1691" t="s">
        <v>120</v>
      </c>
      <c r="E1691" t="s">
        <v>584</v>
      </c>
      <c r="F1691" t="s">
        <v>26</v>
      </c>
      <c r="G1691" t="s">
        <v>26</v>
      </c>
      <c r="H1691">
        <v>9.4931509999999998E-4</v>
      </c>
      <c r="I1691">
        <v>8.0821919999999995E-4</v>
      </c>
      <c r="J1691">
        <v>6.8630130000000005E-4</v>
      </c>
      <c r="K1691">
        <v>0</v>
      </c>
    </row>
    <row r="1692" spans="1:14" hidden="1" x14ac:dyDescent="0.35">
      <c r="A1692" t="s">
        <v>712</v>
      </c>
      <c r="B1692" t="s">
        <v>717</v>
      </c>
      <c r="C1692" t="s">
        <v>718</v>
      </c>
      <c r="D1692" t="s">
        <v>718</v>
      </c>
      <c r="E1692" t="s">
        <v>584</v>
      </c>
      <c r="F1692" t="s">
        <v>26</v>
      </c>
      <c r="G1692" t="s">
        <v>26</v>
      </c>
      <c r="H1692">
        <v>0.14907119999999999</v>
      </c>
      <c r="I1692">
        <v>9.9923289999999998E-2</v>
      </c>
      <c r="J1692">
        <v>6.6980819999999996E-2</v>
      </c>
      <c r="K1692">
        <v>4.4898630000000002E-2</v>
      </c>
      <c r="L1692">
        <v>3.009589E-2</v>
      </c>
      <c r="M1692">
        <v>2.017534E-2</v>
      </c>
      <c r="N1692">
        <v>1.352329E-2</v>
      </c>
    </row>
    <row r="1693" spans="1:14" hidden="1" x14ac:dyDescent="0.35">
      <c r="A1693" t="s">
        <v>725</v>
      </c>
      <c r="B1693" t="s">
        <v>37</v>
      </c>
      <c r="C1693" t="s">
        <v>51</v>
      </c>
      <c r="D1693" t="s">
        <v>51</v>
      </c>
      <c r="E1693" t="s">
        <v>602</v>
      </c>
      <c r="F1693" t="s">
        <v>581</v>
      </c>
      <c r="G1693" t="s">
        <v>396</v>
      </c>
      <c r="H1693">
        <v>56.815390000000001</v>
      </c>
      <c r="I1693">
        <v>51.48883</v>
      </c>
      <c r="J1693">
        <v>50.317250000000001</v>
      </c>
      <c r="K1693">
        <v>43.738619999999997</v>
      </c>
      <c r="L1693">
        <v>35.173900000000003</v>
      </c>
      <c r="M1693">
        <v>27.647020000000001</v>
      </c>
      <c r="N1693">
        <v>22.61497</v>
      </c>
    </row>
    <row r="1694" spans="1:14" hidden="1" x14ac:dyDescent="0.35">
      <c r="A1694" t="s">
        <v>725</v>
      </c>
      <c r="B1694" t="s">
        <v>37</v>
      </c>
      <c r="C1694" t="s">
        <v>51</v>
      </c>
      <c r="D1694" t="s">
        <v>51</v>
      </c>
      <c r="E1694" t="s">
        <v>602</v>
      </c>
      <c r="F1694" t="s">
        <v>581</v>
      </c>
      <c r="G1694" t="s">
        <v>25</v>
      </c>
      <c r="H1694">
        <v>11.781230000000001</v>
      </c>
      <c r="I1694">
        <v>11.48502</v>
      </c>
      <c r="J1694">
        <v>11.30738</v>
      </c>
      <c r="K1694">
        <v>9.8320120000000006</v>
      </c>
      <c r="L1694">
        <v>7.8730320000000003</v>
      </c>
      <c r="M1694">
        <v>6.1708460000000001</v>
      </c>
      <c r="N1694">
        <v>5.0392489999999999</v>
      </c>
    </row>
    <row r="1695" spans="1:14" hidden="1" x14ac:dyDescent="0.35">
      <c r="A1695" t="s">
        <v>725</v>
      </c>
      <c r="B1695" t="s">
        <v>37</v>
      </c>
      <c r="C1695" t="s">
        <v>51</v>
      </c>
      <c r="D1695" t="s">
        <v>51</v>
      </c>
      <c r="E1695" t="s">
        <v>602</v>
      </c>
      <c r="F1695" t="s">
        <v>26</v>
      </c>
      <c r="G1695" t="s">
        <v>26</v>
      </c>
      <c r="H1695">
        <v>19.203009999999999</v>
      </c>
      <c r="I1695">
        <v>18.445070000000001</v>
      </c>
      <c r="J1695">
        <v>18.094370000000001</v>
      </c>
      <c r="K1695">
        <v>15.723470000000001</v>
      </c>
      <c r="L1695">
        <v>12.612109999999999</v>
      </c>
      <c r="M1695">
        <v>9.8970359999999999</v>
      </c>
      <c r="N1695">
        <v>8.0883789999999998</v>
      </c>
    </row>
    <row r="1696" spans="1:14" hidden="1" x14ac:dyDescent="0.35">
      <c r="A1696" t="s">
        <v>725</v>
      </c>
      <c r="B1696" t="s">
        <v>37</v>
      </c>
      <c r="C1696" t="s">
        <v>35</v>
      </c>
      <c r="D1696" t="s">
        <v>129</v>
      </c>
      <c r="E1696" t="s">
        <v>580</v>
      </c>
      <c r="F1696" t="s">
        <v>581</v>
      </c>
      <c r="G1696" t="s">
        <v>396</v>
      </c>
      <c r="H1696">
        <v>5.753425</v>
      </c>
      <c r="I1696">
        <v>7.5415739999999998</v>
      </c>
      <c r="J1696">
        <v>7.4348099999999997</v>
      </c>
      <c r="K1696">
        <v>6.5943820000000004</v>
      </c>
      <c r="L1696">
        <v>5.621378</v>
      </c>
      <c r="M1696">
        <v>4.9313200000000004</v>
      </c>
      <c r="N1696">
        <v>4.5408210000000002</v>
      </c>
    </row>
    <row r="1697" spans="1:14" hidden="1" x14ac:dyDescent="0.35">
      <c r="A1697" t="s">
        <v>725</v>
      </c>
      <c r="B1697" t="s">
        <v>37</v>
      </c>
      <c r="C1697" t="s">
        <v>35</v>
      </c>
      <c r="D1697" t="s">
        <v>129</v>
      </c>
      <c r="E1697" t="s">
        <v>580</v>
      </c>
      <c r="F1697" t="s">
        <v>581</v>
      </c>
      <c r="G1697" t="s">
        <v>25</v>
      </c>
      <c r="H1697">
        <v>0.74082190000000003</v>
      </c>
      <c r="I1697">
        <v>1.0056830000000001</v>
      </c>
      <c r="J1697">
        <v>0.99131349999999996</v>
      </c>
      <c r="K1697">
        <v>0.87925149999999996</v>
      </c>
      <c r="L1697">
        <v>0.74951290000000004</v>
      </c>
      <c r="M1697">
        <v>0.65751040000000005</v>
      </c>
      <c r="N1697">
        <v>0.60544140000000002</v>
      </c>
    </row>
    <row r="1698" spans="1:14" hidden="1" x14ac:dyDescent="0.35">
      <c r="A1698" t="s">
        <v>725</v>
      </c>
      <c r="B1698" t="s">
        <v>37</v>
      </c>
      <c r="C1698" t="s">
        <v>35</v>
      </c>
      <c r="D1698" t="s">
        <v>129</v>
      </c>
      <c r="E1698" t="s">
        <v>580</v>
      </c>
      <c r="F1698" t="s">
        <v>26</v>
      </c>
      <c r="G1698" t="s">
        <v>26</v>
      </c>
      <c r="H1698">
        <v>1.09589</v>
      </c>
      <c r="I1698">
        <v>1.5085280000000001</v>
      </c>
      <c r="J1698">
        <v>1.486961</v>
      </c>
      <c r="K1698">
        <v>1.3188759999999999</v>
      </c>
      <c r="L1698">
        <v>1.1242749999999999</v>
      </c>
      <c r="M1698">
        <v>0.98626349999999996</v>
      </c>
      <c r="N1698">
        <v>0.90816330000000001</v>
      </c>
    </row>
    <row r="1699" spans="1:14" hidden="1" x14ac:dyDescent="0.35">
      <c r="A1699" t="s">
        <v>726</v>
      </c>
      <c r="B1699" t="s">
        <v>34</v>
      </c>
      <c r="C1699" t="s">
        <v>33</v>
      </c>
      <c r="D1699" t="s">
        <v>33</v>
      </c>
      <c r="E1699" t="s">
        <v>675</v>
      </c>
      <c r="F1699" t="s">
        <v>581</v>
      </c>
      <c r="G1699" t="s">
        <v>25</v>
      </c>
      <c r="H1699">
        <v>4.2363809999999997</v>
      </c>
      <c r="I1699">
        <v>2.9874260000000001</v>
      </c>
      <c r="J1699">
        <v>2.8883760000000001</v>
      </c>
      <c r="K1699">
        <v>2.794816</v>
      </c>
      <c r="L1699">
        <v>2.7425649999999999</v>
      </c>
      <c r="M1699">
        <v>2.727557</v>
      </c>
      <c r="N1699">
        <v>2.6816439999999999</v>
      </c>
    </row>
    <row r="1700" spans="1:14" hidden="1" x14ac:dyDescent="0.35">
      <c r="A1700" t="s">
        <v>726</v>
      </c>
      <c r="B1700" t="s">
        <v>34</v>
      </c>
      <c r="C1700" t="s">
        <v>33</v>
      </c>
      <c r="D1700" t="s">
        <v>33</v>
      </c>
      <c r="E1700" t="s">
        <v>675</v>
      </c>
      <c r="F1700" t="s">
        <v>26</v>
      </c>
      <c r="G1700" t="s">
        <v>26</v>
      </c>
      <c r="H1700">
        <v>45.160710000000002</v>
      </c>
      <c r="I1700">
        <v>45.838549999999998</v>
      </c>
      <c r="J1700">
        <v>44.374879999999997</v>
      </c>
      <c r="K1700">
        <v>43.105400000000003</v>
      </c>
      <c r="L1700">
        <v>42.396500000000003</v>
      </c>
      <c r="M1700">
        <v>41.527830000000002</v>
      </c>
      <c r="N1700">
        <v>40.130699999999997</v>
      </c>
    </row>
    <row r="1701" spans="1:14" hidden="1" x14ac:dyDescent="0.35">
      <c r="A1701" t="s">
        <v>726</v>
      </c>
      <c r="B1701" t="s">
        <v>34</v>
      </c>
      <c r="C1701" t="s">
        <v>33</v>
      </c>
      <c r="D1701" t="s">
        <v>33</v>
      </c>
      <c r="E1701" t="s">
        <v>677</v>
      </c>
      <c r="F1701" t="s">
        <v>581</v>
      </c>
      <c r="G1701" t="s">
        <v>396</v>
      </c>
      <c r="H1701">
        <v>0</v>
      </c>
    </row>
    <row r="1702" spans="1:14" hidden="1" x14ac:dyDescent="0.35">
      <c r="A1702" t="s">
        <v>726</v>
      </c>
      <c r="B1702" t="s">
        <v>34</v>
      </c>
      <c r="C1702" t="s">
        <v>33</v>
      </c>
      <c r="D1702" t="s">
        <v>33</v>
      </c>
      <c r="E1702" t="s">
        <v>677</v>
      </c>
      <c r="F1702" t="s">
        <v>581</v>
      </c>
      <c r="G1702" t="s">
        <v>24</v>
      </c>
      <c r="H1702">
        <v>5.4630140000000004E-3</v>
      </c>
      <c r="I1702">
        <v>0.92691840000000003</v>
      </c>
      <c r="J1702">
        <v>0.8806022</v>
      </c>
      <c r="K1702">
        <v>0.7666655</v>
      </c>
      <c r="L1702">
        <v>0.72821069999999999</v>
      </c>
      <c r="M1702">
        <v>0.72322439999999999</v>
      </c>
      <c r="N1702">
        <v>0.70393779999999995</v>
      </c>
    </row>
    <row r="1703" spans="1:14" hidden="1" x14ac:dyDescent="0.35">
      <c r="A1703" t="s">
        <v>726</v>
      </c>
      <c r="B1703" t="s">
        <v>34</v>
      </c>
      <c r="C1703" t="s">
        <v>33</v>
      </c>
      <c r="D1703" t="s">
        <v>33</v>
      </c>
      <c r="E1703" t="s">
        <v>677</v>
      </c>
      <c r="F1703" t="s">
        <v>581</v>
      </c>
      <c r="G1703" t="s">
        <v>25</v>
      </c>
      <c r="H1703">
        <v>3.7069640000000001</v>
      </c>
      <c r="I1703">
        <v>3.7757339999999999</v>
      </c>
      <c r="J1703">
        <v>3.599872</v>
      </c>
      <c r="K1703">
        <v>3.1241240000000001</v>
      </c>
      <c r="L1703">
        <v>2.956216</v>
      </c>
      <c r="M1703">
        <v>2.9270269999999998</v>
      </c>
      <c r="N1703">
        <v>2.8428779999999998</v>
      </c>
    </row>
    <row r="1704" spans="1:14" hidden="1" x14ac:dyDescent="0.35">
      <c r="A1704" t="s">
        <v>726</v>
      </c>
      <c r="B1704" t="s">
        <v>34</v>
      </c>
      <c r="C1704" t="s">
        <v>33</v>
      </c>
      <c r="D1704" t="s">
        <v>33</v>
      </c>
      <c r="E1704" t="s">
        <v>677</v>
      </c>
      <c r="F1704" t="s">
        <v>26</v>
      </c>
      <c r="G1704" t="s">
        <v>26</v>
      </c>
      <c r="H1704">
        <v>11.343629999999999</v>
      </c>
      <c r="I1704">
        <v>14.204050000000001</v>
      </c>
      <c r="J1704">
        <v>13.53318</v>
      </c>
      <c r="K1704">
        <v>11.75173</v>
      </c>
      <c r="L1704">
        <v>11.127929999999999</v>
      </c>
      <c r="M1704">
        <v>11.024190000000001</v>
      </c>
      <c r="N1704">
        <v>10.71143</v>
      </c>
    </row>
    <row r="1705" spans="1:14" hidden="1" x14ac:dyDescent="0.35">
      <c r="A1705" t="s">
        <v>726</v>
      </c>
      <c r="B1705" t="s">
        <v>34</v>
      </c>
      <c r="C1705" t="s">
        <v>33</v>
      </c>
      <c r="D1705" t="s">
        <v>33</v>
      </c>
      <c r="E1705" t="s">
        <v>584</v>
      </c>
      <c r="F1705" t="s">
        <v>581</v>
      </c>
      <c r="G1705" t="s">
        <v>396</v>
      </c>
      <c r="H1705">
        <v>7.2054789999999997E-4</v>
      </c>
      <c r="I1705">
        <v>0</v>
      </c>
    </row>
    <row r="1706" spans="1:14" hidden="1" x14ac:dyDescent="0.35">
      <c r="A1706" t="s">
        <v>726</v>
      </c>
      <c r="B1706" t="s">
        <v>34</v>
      </c>
      <c r="C1706" t="s">
        <v>33</v>
      </c>
      <c r="D1706" t="s">
        <v>33</v>
      </c>
      <c r="E1706" t="s">
        <v>584</v>
      </c>
      <c r="F1706" t="s">
        <v>581</v>
      </c>
      <c r="G1706" t="s">
        <v>24</v>
      </c>
      <c r="H1706">
        <v>0</v>
      </c>
    </row>
    <row r="1707" spans="1:14" hidden="1" x14ac:dyDescent="0.35">
      <c r="A1707" t="s">
        <v>726</v>
      </c>
      <c r="B1707" t="s">
        <v>34</v>
      </c>
      <c r="C1707" t="s">
        <v>33</v>
      </c>
      <c r="D1707" t="s">
        <v>33</v>
      </c>
      <c r="E1707" t="s">
        <v>584</v>
      </c>
      <c r="F1707" t="s">
        <v>581</v>
      </c>
      <c r="G1707" t="s">
        <v>25</v>
      </c>
      <c r="H1707">
        <v>1.4971399999999999</v>
      </c>
      <c r="I1707">
        <v>1.405052</v>
      </c>
      <c r="J1707">
        <v>1.3314269999999999</v>
      </c>
      <c r="K1707">
        <v>1.269109</v>
      </c>
      <c r="L1707">
        <v>1.207608</v>
      </c>
      <c r="M1707">
        <v>1.130574</v>
      </c>
      <c r="N1707">
        <v>1.06653</v>
      </c>
    </row>
    <row r="1708" spans="1:14" hidden="1" x14ac:dyDescent="0.35">
      <c r="A1708" t="s">
        <v>726</v>
      </c>
      <c r="B1708" t="s">
        <v>34</v>
      </c>
      <c r="C1708" t="s">
        <v>33</v>
      </c>
      <c r="D1708" t="s">
        <v>33</v>
      </c>
      <c r="E1708" t="s">
        <v>584</v>
      </c>
      <c r="F1708" t="s">
        <v>26</v>
      </c>
      <c r="G1708" t="s">
        <v>26</v>
      </c>
      <c r="H1708">
        <v>6.4560389999999996</v>
      </c>
      <c r="I1708">
        <v>5.8965009999999998</v>
      </c>
      <c r="J1708">
        <v>5.4042750000000002</v>
      </c>
      <c r="K1708">
        <v>4.9648089999999998</v>
      </c>
      <c r="L1708">
        <v>4.5393150000000002</v>
      </c>
      <c r="M1708">
        <v>4.0907030000000004</v>
      </c>
      <c r="N1708">
        <v>3.706553</v>
      </c>
    </row>
    <row r="1709" spans="1:14" hidden="1" x14ac:dyDescent="0.35">
      <c r="A1709" t="s">
        <v>726</v>
      </c>
      <c r="B1709" t="s">
        <v>34</v>
      </c>
      <c r="C1709" t="s">
        <v>33</v>
      </c>
      <c r="D1709" t="s">
        <v>33</v>
      </c>
      <c r="E1709" t="s">
        <v>727</v>
      </c>
      <c r="F1709" t="s">
        <v>581</v>
      </c>
      <c r="G1709" t="s">
        <v>25</v>
      </c>
      <c r="H1709">
        <v>0.3380959</v>
      </c>
      <c r="I1709">
        <v>0.19677810000000001</v>
      </c>
      <c r="J1709">
        <v>0.2016877</v>
      </c>
      <c r="K1709">
        <v>0.17953430000000001</v>
      </c>
      <c r="L1709">
        <v>0.150811</v>
      </c>
      <c r="M1709">
        <v>0.1322931</v>
      </c>
      <c r="N1709">
        <v>0.1170658</v>
      </c>
    </row>
    <row r="1710" spans="1:14" hidden="1" x14ac:dyDescent="0.35">
      <c r="A1710" t="s">
        <v>726</v>
      </c>
      <c r="B1710" t="s">
        <v>34</v>
      </c>
      <c r="C1710" t="s">
        <v>33</v>
      </c>
      <c r="D1710" t="s">
        <v>33</v>
      </c>
      <c r="E1710" t="s">
        <v>727</v>
      </c>
      <c r="F1710" t="s">
        <v>26</v>
      </c>
      <c r="G1710" t="s">
        <v>26</v>
      </c>
      <c r="H1710">
        <v>2.425211</v>
      </c>
      <c r="I1710">
        <v>2.614331</v>
      </c>
      <c r="J1710">
        <v>2.679586</v>
      </c>
      <c r="K1710">
        <v>2.3852190000000002</v>
      </c>
      <c r="L1710">
        <v>2.0036139999999998</v>
      </c>
      <c r="M1710">
        <v>1.757614</v>
      </c>
      <c r="N1710">
        <v>1.555323</v>
      </c>
    </row>
    <row r="1711" spans="1:14" hidden="1" x14ac:dyDescent="0.35">
      <c r="A1711" t="s">
        <v>726</v>
      </c>
      <c r="B1711" t="s">
        <v>34</v>
      </c>
      <c r="C1711" t="s">
        <v>33</v>
      </c>
      <c r="D1711" t="s">
        <v>33</v>
      </c>
      <c r="E1711" t="s">
        <v>605</v>
      </c>
      <c r="F1711" t="s">
        <v>581</v>
      </c>
      <c r="G1711" t="s">
        <v>24</v>
      </c>
      <c r="I1711">
        <v>0</v>
      </c>
      <c r="J1711">
        <v>3.0657530000000001E-3</v>
      </c>
      <c r="K1711">
        <v>8.1994519999999994E-3</v>
      </c>
      <c r="L1711">
        <v>1.123452E-2</v>
      </c>
      <c r="M1711">
        <v>9.5684940000000003E-3</v>
      </c>
      <c r="N1711">
        <v>7.9569859999999992E-3</v>
      </c>
    </row>
    <row r="1712" spans="1:14" hidden="1" x14ac:dyDescent="0.35">
      <c r="A1712" t="s">
        <v>726</v>
      </c>
      <c r="B1712" t="s">
        <v>34</v>
      </c>
      <c r="C1712" t="s">
        <v>33</v>
      </c>
      <c r="D1712" t="s">
        <v>33</v>
      </c>
      <c r="E1712" t="s">
        <v>605</v>
      </c>
      <c r="F1712" t="s">
        <v>581</v>
      </c>
      <c r="G1712" t="s">
        <v>25</v>
      </c>
      <c r="I1712">
        <v>0</v>
      </c>
      <c r="J1712">
        <v>6.1334249999999996E-3</v>
      </c>
      <c r="K1712">
        <v>1.640082E-2</v>
      </c>
      <c r="L1712">
        <v>2.2469039999999999E-2</v>
      </c>
      <c r="M1712">
        <v>1.9137810000000002E-2</v>
      </c>
      <c r="N1712">
        <v>1.591397E-2</v>
      </c>
    </row>
    <row r="1713" spans="1:14" hidden="1" x14ac:dyDescent="0.35">
      <c r="A1713" t="s">
        <v>726</v>
      </c>
      <c r="B1713" t="s">
        <v>34</v>
      </c>
      <c r="C1713" t="s">
        <v>33</v>
      </c>
      <c r="D1713" t="s">
        <v>33</v>
      </c>
      <c r="E1713" t="s">
        <v>605</v>
      </c>
      <c r="F1713" t="s">
        <v>26</v>
      </c>
      <c r="G1713" t="s">
        <v>26</v>
      </c>
      <c r="I1713">
        <v>0</v>
      </c>
      <c r="J1713">
        <v>5.2977530000000002E-2</v>
      </c>
      <c r="K1713">
        <v>0.14165639999999999</v>
      </c>
      <c r="L1713">
        <v>0.19408249999999999</v>
      </c>
      <c r="M1713">
        <v>0.16529920000000001</v>
      </c>
      <c r="N1713">
        <v>0.1374561</v>
      </c>
    </row>
    <row r="1714" spans="1:14" hidden="1" x14ac:dyDescent="0.35">
      <c r="A1714" t="s">
        <v>722</v>
      </c>
      <c r="B1714" t="s">
        <v>307</v>
      </c>
      <c r="C1714" t="s">
        <v>306</v>
      </c>
      <c r="D1714" t="s">
        <v>306</v>
      </c>
      <c r="E1714" t="s">
        <v>584</v>
      </c>
      <c r="F1714" t="s">
        <v>581</v>
      </c>
      <c r="G1714" t="s">
        <v>396</v>
      </c>
      <c r="H1714">
        <v>55.182960000000001</v>
      </c>
      <c r="I1714">
        <v>45.816809999999997</v>
      </c>
      <c r="J1714">
        <v>47.338270000000001</v>
      </c>
      <c r="K1714">
        <v>51.973750000000003</v>
      </c>
      <c r="L1714">
        <v>45.344230000000003</v>
      </c>
      <c r="M1714">
        <v>43.07385</v>
      </c>
      <c r="N1714">
        <v>38.424390000000002</v>
      </c>
    </row>
    <row r="1715" spans="1:14" hidden="1" x14ac:dyDescent="0.35">
      <c r="A1715" t="s">
        <v>722</v>
      </c>
      <c r="B1715" t="s">
        <v>307</v>
      </c>
      <c r="C1715" t="s">
        <v>306</v>
      </c>
      <c r="D1715" t="s">
        <v>306</v>
      </c>
      <c r="E1715" t="s">
        <v>584</v>
      </c>
      <c r="F1715" t="s">
        <v>581</v>
      </c>
      <c r="G1715" t="s">
        <v>24</v>
      </c>
      <c r="H1715">
        <v>1.350627</v>
      </c>
      <c r="I1715">
        <v>3.768373</v>
      </c>
      <c r="J1715">
        <v>2.389481</v>
      </c>
      <c r="K1715">
        <v>1.543361</v>
      </c>
      <c r="L1715">
        <v>1.0055000000000001</v>
      </c>
      <c r="M1715">
        <v>0.69010309999999997</v>
      </c>
      <c r="N1715">
        <v>0.48993110000000001</v>
      </c>
    </row>
    <row r="1716" spans="1:14" hidden="1" x14ac:dyDescent="0.35">
      <c r="A1716" t="s">
        <v>722</v>
      </c>
      <c r="B1716" t="s">
        <v>307</v>
      </c>
      <c r="C1716" t="s">
        <v>306</v>
      </c>
      <c r="D1716" t="s">
        <v>306</v>
      </c>
      <c r="E1716" t="s">
        <v>584</v>
      </c>
      <c r="F1716" t="s">
        <v>26</v>
      </c>
      <c r="G1716" t="s">
        <v>26</v>
      </c>
      <c r="H1716">
        <v>2.0960160000000001</v>
      </c>
      <c r="I1716">
        <v>2.254089</v>
      </c>
      <c r="J1716">
        <v>4.6025159999999996</v>
      </c>
      <c r="K1716">
        <v>5.9482980000000003</v>
      </c>
      <c r="L1716">
        <v>8.2032769999999999</v>
      </c>
      <c r="M1716">
        <v>7.6305480000000001</v>
      </c>
      <c r="N1716">
        <v>6.832179</v>
      </c>
    </row>
    <row r="1717" spans="1:14" hidden="1" x14ac:dyDescent="0.35">
      <c r="A1717" t="s">
        <v>722</v>
      </c>
      <c r="B1717" t="s">
        <v>265</v>
      </c>
      <c r="C1717" t="s">
        <v>265</v>
      </c>
      <c r="D1717" t="s">
        <v>265</v>
      </c>
      <c r="E1717" t="s">
        <v>584</v>
      </c>
      <c r="F1717" t="s">
        <v>581</v>
      </c>
      <c r="G1717" t="s">
        <v>396</v>
      </c>
      <c r="H1717">
        <v>11.823779999999999</v>
      </c>
      <c r="I1717">
        <v>11.678660000000001</v>
      </c>
      <c r="J1717">
        <v>9.7330419999999993</v>
      </c>
      <c r="K1717">
        <v>9.0085730000000002</v>
      </c>
      <c r="L1717">
        <v>7.6465610000000002</v>
      </c>
      <c r="M1717">
        <v>4.8969849999999999</v>
      </c>
      <c r="N1717">
        <v>4.3771240000000002</v>
      </c>
    </row>
    <row r="1718" spans="1:14" hidden="1" x14ac:dyDescent="0.35">
      <c r="A1718" t="s">
        <v>722</v>
      </c>
      <c r="B1718" t="s">
        <v>265</v>
      </c>
      <c r="C1718" t="s">
        <v>44</v>
      </c>
      <c r="D1718" t="s">
        <v>44</v>
      </c>
      <c r="E1718" t="s">
        <v>584</v>
      </c>
      <c r="F1718" t="s">
        <v>581</v>
      </c>
      <c r="G1718" t="s">
        <v>396</v>
      </c>
      <c r="H1718">
        <v>1.915594</v>
      </c>
      <c r="I1718">
        <v>2.6145040000000002</v>
      </c>
      <c r="J1718">
        <v>2.562357</v>
      </c>
      <c r="K1718">
        <v>2.5310769999999998</v>
      </c>
      <c r="L1718">
        <v>3.363791</v>
      </c>
      <c r="M1718">
        <v>3.2422439999999999</v>
      </c>
      <c r="N1718">
        <v>2.5957590000000001</v>
      </c>
    </row>
    <row r="1719" spans="1:14" hidden="1" x14ac:dyDescent="0.35">
      <c r="A1719" t="s">
        <v>722</v>
      </c>
      <c r="B1719" t="s">
        <v>43</v>
      </c>
      <c r="C1719" t="s">
        <v>229</v>
      </c>
      <c r="D1719" t="s">
        <v>229</v>
      </c>
      <c r="E1719" t="s">
        <v>584</v>
      </c>
      <c r="F1719" t="s">
        <v>581</v>
      </c>
      <c r="G1719" t="s">
        <v>396</v>
      </c>
      <c r="H1719">
        <v>4.0868370000000001</v>
      </c>
      <c r="I1719">
        <v>3.5276230000000002</v>
      </c>
      <c r="J1719">
        <v>3.0430269999999999</v>
      </c>
      <c r="K1719">
        <v>2.9053179999999998</v>
      </c>
      <c r="L1719">
        <v>2.8739029999999999</v>
      </c>
      <c r="M1719">
        <v>2.3342499999999999</v>
      </c>
      <c r="N1719">
        <v>2.128047</v>
      </c>
    </row>
    <row r="1720" spans="1:14" hidden="1" x14ac:dyDescent="0.35">
      <c r="A1720" t="s">
        <v>722</v>
      </c>
      <c r="B1720" t="s">
        <v>264</v>
      </c>
      <c r="C1720" t="s">
        <v>264</v>
      </c>
      <c r="D1720" t="s">
        <v>264</v>
      </c>
      <c r="E1720" t="s">
        <v>584</v>
      </c>
      <c r="F1720" t="s">
        <v>581</v>
      </c>
      <c r="G1720" t="s">
        <v>396</v>
      </c>
      <c r="H1720">
        <v>1.21732</v>
      </c>
      <c r="I1720">
        <v>0.80977509999999997</v>
      </c>
      <c r="J1720">
        <v>0.81005899999999997</v>
      </c>
      <c r="K1720">
        <v>0.81005899999999997</v>
      </c>
      <c r="L1720">
        <v>0.79110930000000002</v>
      </c>
      <c r="M1720">
        <v>0.72268330000000003</v>
      </c>
      <c r="N1720">
        <v>0.64291299999999996</v>
      </c>
    </row>
    <row r="1721" spans="1:14" hidden="1" x14ac:dyDescent="0.35">
      <c r="A1721" t="s">
        <v>722</v>
      </c>
      <c r="B1721" t="s">
        <v>264</v>
      </c>
      <c r="C1721" t="s">
        <v>264</v>
      </c>
      <c r="D1721" t="s">
        <v>264</v>
      </c>
      <c r="E1721" t="s">
        <v>584</v>
      </c>
      <c r="F1721" t="s">
        <v>26</v>
      </c>
      <c r="G1721" t="s">
        <v>26</v>
      </c>
      <c r="H1721">
        <v>0.47666180000000002</v>
      </c>
      <c r="I1721">
        <v>0.37526130000000002</v>
      </c>
      <c r="J1721">
        <v>0.37539339999999999</v>
      </c>
      <c r="K1721">
        <v>0.37539299999999998</v>
      </c>
      <c r="L1721">
        <v>0.36661189999999999</v>
      </c>
      <c r="M1721">
        <v>0.33490199999999998</v>
      </c>
      <c r="N1721">
        <v>0.29793570000000003</v>
      </c>
    </row>
    <row r="1722" spans="1:14" hidden="1" x14ac:dyDescent="0.35">
      <c r="A1722" t="s">
        <v>722</v>
      </c>
      <c r="B1722" t="s">
        <v>366</v>
      </c>
      <c r="C1722" t="s">
        <v>723</v>
      </c>
      <c r="D1722" t="s">
        <v>724</v>
      </c>
      <c r="E1722" t="s">
        <v>584</v>
      </c>
      <c r="F1722" t="s">
        <v>581</v>
      </c>
      <c r="G1722" t="s">
        <v>396</v>
      </c>
      <c r="H1722">
        <v>0.62970689999999996</v>
      </c>
      <c r="I1722">
        <v>0.63341139999999996</v>
      </c>
      <c r="J1722">
        <v>0.42024339999999999</v>
      </c>
      <c r="K1722">
        <v>0.28508230000000001</v>
      </c>
      <c r="L1722">
        <v>0.20096030000000001</v>
      </c>
      <c r="M1722">
        <v>0.15372379999999999</v>
      </c>
      <c r="N1722">
        <v>1.2929189999999999</v>
      </c>
    </row>
    <row r="1723" spans="1:14" hidden="1" x14ac:dyDescent="0.35">
      <c r="A1723" t="s">
        <v>722</v>
      </c>
      <c r="B1723" t="s">
        <v>312</v>
      </c>
      <c r="C1723" t="s">
        <v>319</v>
      </c>
      <c r="D1723" t="s">
        <v>319</v>
      </c>
      <c r="E1723" t="s">
        <v>584</v>
      </c>
      <c r="F1723" t="s">
        <v>581</v>
      </c>
      <c r="G1723" t="s">
        <v>396</v>
      </c>
      <c r="H1723">
        <v>0</v>
      </c>
    </row>
    <row r="1724" spans="1:14" hidden="1" x14ac:dyDescent="0.35">
      <c r="A1724" t="s">
        <v>722</v>
      </c>
      <c r="B1724" t="s">
        <v>74</v>
      </c>
      <c r="C1724" t="s">
        <v>96</v>
      </c>
      <c r="D1724" t="s">
        <v>96</v>
      </c>
      <c r="E1724" t="s">
        <v>584</v>
      </c>
      <c r="F1724" t="s">
        <v>581</v>
      </c>
      <c r="G1724" t="s">
        <v>24</v>
      </c>
      <c r="H1724">
        <v>0</v>
      </c>
    </row>
    <row r="1725" spans="1:14" hidden="1" x14ac:dyDescent="0.35">
      <c r="A1725" t="s">
        <v>722</v>
      </c>
      <c r="B1725" t="s">
        <v>282</v>
      </c>
      <c r="C1725" t="s">
        <v>281</v>
      </c>
      <c r="D1725" t="s">
        <v>281</v>
      </c>
      <c r="E1725" t="s">
        <v>584</v>
      </c>
      <c r="F1725" t="s">
        <v>581</v>
      </c>
      <c r="G1725" t="s">
        <v>24</v>
      </c>
      <c r="N1725">
        <v>0</v>
      </c>
    </row>
    <row r="1726" spans="1:14" hidden="1" x14ac:dyDescent="0.35">
      <c r="A1726" t="s">
        <v>722</v>
      </c>
      <c r="B1726" t="s">
        <v>282</v>
      </c>
      <c r="C1726" t="s">
        <v>281</v>
      </c>
      <c r="D1726" t="s">
        <v>281</v>
      </c>
      <c r="E1726" t="s">
        <v>584</v>
      </c>
      <c r="F1726" t="s">
        <v>581</v>
      </c>
      <c r="G1726" t="s">
        <v>25</v>
      </c>
      <c r="N1726">
        <v>0</v>
      </c>
    </row>
    <row r="1727" spans="1:14" hidden="1" x14ac:dyDescent="0.35">
      <c r="A1727" t="s">
        <v>722</v>
      </c>
      <c r="B1727" t="s">
        <v>74</v>
      </c>
      <c r="C1727" t="s">
        <v>96</v>
      </c>
      <c r="D1727" t="s">
        <v>96</v>
      </c>
      <c r="E1727" t="s">
        <v>584</v>
      </c>
      <c r="F1727" t="s">
        <v>26</v>
      </c>
      <c r="G1727" t="s">
        <v>26</v>
      </c>
      <c r="H1727">
        <v>0</v>
      </c>
    </row>
    <row r="1728" spans="1:14" hidden="1" x14ac:dyDescent="0.35">
      <c r="A1728" t="s">
        <v>722</v>
      </c>
      <c r="B1728" t="s">
        <v>282</v>
      </c>
      <c r="C1728" t="s">
        <v>281</v>
      </c>
      <c r="D1728" t="s">
        <v>281</v>
      </c>
      <c r="E1728" t="s">
        <v>584</v>
      </c>
      <c r="F1728" t="s">
        <v>26</v>
      </c>
      <c r="G1728" t="s">
        <v>26</v>
      </c>
      <c r="N1728">
        <v>0</v>
      </c>
    </row>
    <row r="1729" spans="1:14" hidden="1" x14ac:dyDescent="0.35">
      <c r="A1729" t="s">
        <v>728</v>
      </c>
      <c r="B1729" t="s">
        <v>37</v>
      </c>
      <c r="C1729" t="s">
        <v>63</v>
      </c>
      <c r="D1729" t="s">
        <v>63</v>
      </c>
      <c r="E1729" t="s">
        <v>584</v>
      </c>
      <c r="F1729" t="s">
        <v>581</v>
      </c>
      <c r="G1729" t="s">
        <v>396</v>
      </c>
      <c r="H1729">
        <v>0.91808769999999995</v>
      </c>
      <c r="I1729">
        <v>0.79222740000000003</v>
      </c>
      <c r="J1729">
        <v>0.69019969999999997</v>
      </c>
      <c r="K1729">
        <v>0.60746049999999996</v>
      </c>
      <c r="L1729">
        <v>0.53604660000000004</v>
      </c>
      <c r="M1729">
        <v>0.47149259999999998</v>
      </c>
      <c r="N1729">
        <v>0.41555750000000002</v>
      </c>
    </row>
    <row r="1730" spans="1:14" hidden="1" x14ac:dyDescent="0.35">
      <c r="A1730" t="s">
        <v>728</v>
      </c>
      <c r="B1730" t="s">
        <v>37</v>
      </c>
      <c r="C1730" t="s">
        <v>63</v>
      </c>
      <c r="D1730" t="s">
        <v>63</v>
      </c>
      <c r="E1730" t="s">
        <v>584</v>
      </c>
      <c r="F1730" t="s">
        <v>581</v>
      </c>
      <c r="G1730" t="s">
        <v>25</v>
      </c>
      <c r="H1730">
        <v>2.842803</v>
      </c>
      <c r="I1730">
        <v>2.6830189999999998</v>
      </c>
      <c r="J1730">
        <v>2.5335169999999998</v>
      </c>
      <c r="K1730">
        <v>2.3937249999999999</v>
      </c>
      <c r="L1730">
        <v>2.2446769999999998</v>
      </c>
      <c r="M1730">
        <v>2.0655679999999998</v>
      </c>
      <c r="N1730">
        <v>1.906728</v>
      </c>
    </row>
    <row r="1731" spans="1:14" hidden="1" x14ac:dyDescent="0.35">
      <c r="A1731" t="s">
        <v>728</v>
      </c>
      <c r="B1731" t="s">
        <v>37</v>
      </c>
      <c r="C1731" t="s">
        <v>63</v>
      </c>
      <c r="D1731" t="s">
        <v>63</v>
      </c>
      <c r="E1731" t="s">
        <v>584</v>
      </c>
      <c r="F1731" t="s">
        <v>26</v>
      </c>
      <c r="G1731" t="s">
        <v>26</v>
      </c>
      <c r="H1731">
        <v>32.94473</v>
      </c>
      <c r="I1731">
        <v>31.125530000000001</v>
      </c>
      <c r="J1731">
        <v>29.422619999999998</v>
      </c>
      <c r="K1731">
        <v>27.866430000000001</v>
      </c>
      <c r="L1731">
        <v>26.29297</v>
      </c>
      <c r="M1731">
        <v>24.54795</v>
      </c>
      <c r="N1731">
        <v>22.970849999999999</v>
      </c>
    </row>
    <row r="1732" spans="1:14" hidden="1" x14ac:dyDescent="0.35">
      <c r="A1732" t="s">
        <v>728</v>
      </c>
      <c r="B1732" t="s">
        <v>37</v>
      </c>
      <c r="C1732" t="s">
        <v>63</v>
      </c>
      <c r="D1732" t="s">
        <v>63</v>
      </c>
      <c r="E1732" t="s">
        <v>608</v>
      </c>
      <c r="F1732" t="s">
        <v>581</v>
      </c>
      <c r="G1732" t="s">
        <v>25</v>
      </c>
      <c r="H1732">
        <v>1.8766</v>
      </c>
      <c r="I1732">
        <v>1.76814</v>
      </c>
      <c r="J1732">
        <v>1.8528549999999999</v>
      </c>
      <c r="K1732">
        <v>1.6904300000000001</v>
      </c>
      <c r="L1732">
        <v>1.4615670000000001</v>
      </c>
      <c r="M1732">
        <v>1.3391999999999999</v>
      </c>
      <c r="N1732">
        <v>1.3281130000000001</v>
      </c>
    </row>
    <row r="1733" spans="1:14" hidden="1" x14ac:dyDescent="0.35">
      <c r="A1733" t="s">
        <v>728</v>
      </c>
      <c r="B1733" t="s">
        <v>37</v>
      </c>
      <c r="C1733" t="s">
        <v>63</v>
      </c>
      <c r="D1733" t="s">
        <v>63</v>
      </c>
      <c r="E1733" t="s">
        <v>608</v>
      </c>
      <c r="F1733" t="s">
        <v>26</v>
      </c>
      <c r="G1733" t="s">
        <v>26</v>
      </c>
      <c r="H1733">
        <v>17.571429999999999</v>
      </c>
      <c r="I1733">
        <v>16.44595</v>
      </c>
      <c r="J1733">
        <v>16.90926</v>
      </c>
      <c r="K1733">
        <v>15.403269999999999</v>
      </c>
      <c r="L1733">
        <v>13.37889</v>
      </c>
      <c r="M1733">
        <v>12.24958</v>
      </c>
      <c r="N1733">
        <v>12.150650000000001</v>
      </c>
    </row>
    <row r="1734" spans="1:14" hidden="1" x14ac:dyDescent="0.35">
      <c r="A1734" t="s">
        <v>728</v>
      </c>
      <c r="B1734" t="s">
        <v>37</v>
      </c>
      <c r="C1734" t="s">
        <v>63</v>
      </c>
      <c r="D1734" t="s">
        <v>63</v>
      </c>
      <c r="E1734" t="s">
        <v>609</v>
      </c>
      <c r="F1734" t="s">
        <v>26</v>
      </c>
      <c r="G1734" t="s">
        <v>26</v>
      </c>
      <c r="H1734">
        <v>11.469900000000001</v>
      </c>
      <c r="I1734">
        <v>8.9925200000000007</v>
      </c>
      <c r="J1734">
        <v>9.6439909999999998</v>
      </c>
      <c r="K1734">
        <v>8.068206</v>
      </c>
      <c r="L1734">
        <v>6.09877</v>
      </c>
      <c r="M1734">
        <v>5.3016139999999998</v>
      </c>
      <c r="N1734">
        <v>5.9426040000000002</v>
      </c>
    </row>
    <row r="1735" spans="1:14" hidden="1" x14ac:dyDescent="0.35">
      <c r="A1735" t="s">
        <v>728</v>
      </c>
      <c r="B1735" t="s">
        <v>37</v>
      </c>
      <c r="C1735" t="s">
        <v>63</v>
      </c>
      <c r="D1735" t="s">
        <v>63</v>
      </c>
      <c r="E1735" t="s">
        <v>668</v>
      </c>
      <c r="F1735" t="s">
        <v>581</v>
      </c>
      <c r="G1735" t="s">
        <v>25</v>
      </c>
      <c r="H1735">
        <v>2.0979209999999999</v>
      </c>
      <c r="I1735">
        <v>1.885038</v>
      </c>
      <c r="J1735">
        <v>1.690118</v>
      </c>
      <c r="K1735">
        <v>1.5210440000000001</v>
      </c>
      <c r="L1735">
        <v>1.3689150000000001</v>
      </c>
      <c r="M1735">
        <v>1.2352080000000001</v>
      </c>
      <c r="N1735">
        <v>1.1084689999999999</v>
      </c>
    </row>
    <row r="1736" spans="1:14" hidden="1" x14ac:dyDescent="0.35">
      <c r="A1736" t="s">
        <v>728</v>
      </c>
      <c r="B1736" t="s">
        <v>37</v>
      </c>
      <c r="C1736" t="s">
        <v>63</v>
      </c>
      <c r="D1736" t="s">
        <v>63</v>
      </c>
      <c r="E1736" t="s">
        <v>668</v>
      </c>
      <c r="F1736" t="s">
        <v>26</v>
      </c>
      <c r="G1736" t="s">
        <v>26</v>
      </c>
      <c r="H1736">
        <v>8.3916880000000003</v>
      </c>
      <c r="I1736">
        <v>7.5401639999999999</v>
      </c>
      <c r="J1736">
        <v>6.7604660000000001</v>
      </c>
      <c r="K1736">
        <v>6.0841719999999997</v>
      </c>
      <c r="L1736">
        <v>5.4756710000000002</v>
      </c>
      <c r="M1736">
        <v>4.9408310000000002</v>
      </c>
      <c r="N1736">
        <v>4.4338790000000001</v>
      </c>
    </row>
    <row r="1737" spans="1:14" hidden="1" x14ac:dyDescent="0.35">
      <c r="A1737" t="s">
        <v>728</v>
      </c>
      <c r="B1737" t="s">
        <v>37</v>
      </c>
      <c r="C1737" t="s">
        <v>63</v>
      </c>
      <c r="D1737" t="s">
        <v>63</v>
      </c>
      <c r="E1737" t="s">
        <v>667</v>
      </c>
      <c r="F1737" t="s">
        <v>26</v>
      </c>
      <c r="G1737" t="s">
        <v>26</v>
      </c>
      <c r="H1737">
        <v>0.235874</v>
      </c>
      <c r="I1737">
        <v>0.43129210000000001</v>
      </c>
      <c r="J1737">
        <v>0.75090880000000004</v>
      </c>
      <c r="K1737">
        <v>0.75449980000000005</v>
      </c>
      <c r="L1737">
        <v>0.62465340000000003</v>
      </c>
      <c r="M1737">
        <v>0.4973784</v>
      </c>
      <c r="N1737">
        <v>0.40771750000000001</v>
      </c>
    </row>
    <row r="1738" spans="1:14" hidden="1" x14ac:dyDescent="0.35">
      <c r="A1738" t="s">
        <v>732</v>
      </c>
      <c r="B1738" t="s">
        <v>37</v>
      </c>
      <c r="C1738" t="s">
        <v>35</v>
      </c>
      <c r="D1738" t="s">
        <v>189</v>
      </c>
      <c r="E1738" t="s">
        <v>590</v>
      </c>
      <c r="F1738" t="s">
        <v>581</v>
      </c>
      <c r="G1738" t="s">
        <v>396</v>
      </c>
      <c r="H1738">
        <v>18.5137</v>
      </c>
      <c r="I1738">
        <v>16.49521</v>
      </c>
      <c r="J1738">
        <v>14.462540000000001</v>
      </c>
      <c r="K1738">
        <v>12.537430000000001</v>
      </c>
      <c r="L1738">
        <v>11.714</v>
      </c>
      <c r="M1738">
        <v>9.6208519999999993</v>
      </c>
      <c r="N1738">
        <v>8.0317220000000002</v>
      </c>
    </row>
    <row r="1739" spans="1:14" hidden="1" x14ac:dyDescent="0.35">
      <c r="A1739" t="s">
        <v>732</v>
      </c>
      <c r="B1739" t="s">
        <v>37</v>
      </c>
      <c r="C1739" t="s">
        <v>35</v>
      </c>
      <c r="D1739" t="s">
        <v>189</v>
      </c>
      <c r="E1739" t="s">
        <v>590</v>
      </c>
      <c r="F1739" t="s">
        <v>581</v>
      </c>
      <c r="G1739" t="s">
        <v>25</v>
      </c>
      <c r="H1739">
        <v>16.0274</v>
      </c>
      <c r="I1739">
        <v>15.494490000000001</v>
      </c>
      <c r="J1739">
        <v>13.58602</v>
      </c>
      <c r="K1739">
        <v>11.77758</v>
      </c>
      <c r="L1739">
        <v>11.004060000000001</v>
      </c>
      <c r="M1739">
        <v>9.0377700000000001</v>
      </c>
      <c r="N1739">
        <v>7.5449520000000003</v>
      </c>
    </row>
    <row r="1740" spans="1:14" hidden="1" x14ac:dyDescent="0.35">
      <c r="A1740" t="s">
        <v>732</v>
      </c>
      <c r="B1740" t="s">
        <v>37</v>
      </c>
      <c r="C1740" t="s">
        <v>35</v>
      </c>
      <c r="D1740" t="s">
        <v>189</v>
      </c>
      <c r="E1740" t="s">
        <v>590</v>
      </c>
      <c r="F1740" t="s">
        <v>26</v>
      </c>
      <c r="G1740" t="s">
        <v>26</v>
      </c>
      <c r="H1740">
        <v>17.860279999999999</v>
      </c>
      <c r="I1740">
        <v>17.993600000000001</v>
      </c>
      <c r="J1740">
        <v>15.77731</v>
      </c>
      <c r="K1740">
        <v>13.67719</v>
      </c>
      <c r="L1740">
        <v>12.77891</v>
      </c>
      <c r="M1740">
        <v>10.495469999999999</v>
      </c>
      <c r="N1740">
        <v>8.7618779999999994</v>
      </c>
    </row>
    <row r="1741" spans="1:14" hidden="1" x14ac:dyDescent="0.35">
      <c r="A1741" t="s">
        <v>732</v>
      </c>
      <c r="B1741" t="s">
        <v>37</v>
      </c>
      <c r="C1741" t="s">
        <v>35</v>
      </c>
      <c r="D1741" t="s">
        <v>189</v>
      </c>
      <c r="E1741" t="s">
        <v>589</v>
      </c>
      <c r="F1741" t="s">
        <v>581</v>
      </c>
      <c r="G1741" t="s">
        <v>396</v>
      </c>
      <c r="H1741">
        <v>8.5294509999999999</v>
      </c>
      <c r="I1741">
        <v>8.9342360000000003</v>
      </c>
      <c r="J1741">
        <v>8.3248320000000007</v>
      </c>
      <c r="K1741">
        <v>7.3929460000000002</v>
      </c>
      <c r="L1741">
        <v>7.2792789999999998</v>
      </c>
      <c r="M1741">
        <v>5.9225729999999999</v>
      </c>
      <c r="N1741">
        <v>4.8731410000000004</v>
      </c>
    </row>
    <row r="1742" spans="1:14" hidden="1" x14ac:dyDescent="0.35">
      <c r="A1742" t="s">
        <v>732</v>
      </c>
      <c r="B1742" t="s">
        <v>37</v>
      </c>
      <c r="C1742" t="s">
        <v>35</v>
      </c>
      <c r="D1742" t="s">
        <v>189</v>
      </c>
      <c r="E1742" t="s">
        <v>589</v>
      </c>
      <c r="F1742" t="s">
        <v>581</v>
      </c>
      <c r="G1742" t="s">
        <v>25</v>
      </c>
      <c r="H1742">
        <v>6.7684930000000003</v>
      </c>
      <c r="I1742">
        <v>7.655138</v>
      </c>
      <c r="J1742">
        <v>7.1355760000000004</v>
      </c>
      <c r="K1742">
        <v>6.336811</v>
      </c>
      <c r="L1742">
        <v>6.2393780000000003</v>
      </c>
      <c r="M1742">
        <v>5.0764889999999996</v>
      </c>
      <c r="N1742">
        <v>4.1769790000000002</v>
      </c>
    </row>
    <row r="1743" spans="1:14" hidden="1" x14ac:dyDescent="0.35">
      <c r="A1743" t="s">
        <v>732</v>
      </c>
      <c r="B1743" t="s">
        <v>37</v>
      </c>
      <c r="C1743" t="s">
        <v>35</v>
      </c>
      <c r="D1743" t="s">
        <v>189</v>
      </c>
      <c r="E1743" t="s">
        <v>589</v>
      </c>
      <c r="F1743" t="s">
        <v>26</v>
      </c>
      <c r="G1743" t="s">
        <v>26</v>
      </c>
      <c r="H1743">
        <v>7.5513700000000004</v>
      </c>
      <c r="I1743">
        <v>8.9309960000000004</v>
      </c>
      <c r="J1743">
        <v>8.3248320000000007</v>
      </c>
      <c r="K1743">
        <v>7.3929460000000002</v>
      </c>
      <c r="L1743">
        <v>7.2792789999999998</v>
      </c>
      <c r="M1743">
        <v>5.9225729999999999</v>
      </c>
      <c r="N1743">
        <v>4.8731410000000004</v>
      </c>
    </row>
    <row r="1744" spans="1:14" hidden="1" x14ac:dyDescent="0.35">
      <c r="A1744" t="s">
        <v>732</v>
      </c>
      <c r="B1744" t="s">
        <v>37</v>
      </c>
      <c r="C1744" t="s">
        <v>35</v>
      </c>
      <c r="D1744" t="s">
        <v>267</v>
      </c>
      <c r="E1744" t="s">
        <v>587</v>
      </c>
      <c r="F1744" t="s">
        <v>581</v>
      </c>
      <c r="G1744" t="s">
        <v>396</v>
      </c>
      <c r="H1744">
        <v>1.3849320000000001</v>
      </c>
      <c r="I1744">
        <v>0.99878619999999996</v>
      </c>
      <c r="J1744">
        <v>0.90360549999999995</v>
      </c>
      <c r="K1744">
        <v>0.78861369999999997</v>
      </c>
      <c r="L1744">
        <v>0.68903289999999995</v>
      </c>
      <c r="M1744">
        <v>0.6065699</v>
      </c>
      <c r="N1744">
        <v>0.53190420000000005</v>
      </c>
    </row>
    <row r="1745" spans="1:14" hidden="1" x14ac:dyDescent="0.35">
      <c r="A1745" t="s">
        <v>732</v>
      </c>
      <c r="B1745" t="s">
        <v>37</v>
      </c>
      <c r="C1745" t="s">
        <v>35</v>
      </c>
      <c r="D1745" t="s">
        <v>267</v>
      </c>
      <c r="E1745" t="s">
        <v>587</v>
      </c>
      <c r="F1745" t="s">
        <v>581</v>
      </c>
      <c r="G1745" t="s">
        <v>25</v>
      </c>
      <c r="H1745">
        <v>2.186299</v>
      </c>
      <c r="I1745">
        <v>1.815984</v>
      </c>
      <c r="J1745">
        <v>1.6429149999999999</v>
      </c>
      <c r="K1745">
        <v>1.4338409999999999</v>
      </c>
      <c r="L1745">
        <v>1.2527889999999999</v>
      </c>
      <c r="M1745">
        <v>1.1028579999999999</v>
      </c>
      <c r="N1745">
        <v>0.96709860000000003</v>
      </c>
    </row>
    <row r="1746" spans="1:14" hidden="1" x14ac:dyDescent="0.35">
      <c r="A1746" t="s">
        <v>732</v>
      </c>
      <c r="B1746" t="s">
        <v>37</v>
      </c>
      <c r="C1746" t="s">
        <v>35</v>
      </c>
      <c r="D1746" t="s">
        <v>267</v>
      </c>
      <c r="E1746" t="s">
        <v>587</v>
      </c>
      <c r="F1746" t="s">
        <v>26</v>
      </c>
      <c r="G1746" t="s">
        <v>26</v>
      </c>
      <c r="H1746">
        <v>2.0650680000000001</v>
      </c>
      <c r="I1746">
        <v>1.7251829999999999</v>
      </c>
      <c r="J1746">
        <v>1.56077</v>
      </c>
      <c r="K1746">
        <v>1.3621479999999999</v>
      </c>
      <c r="L1746">
        <v>1.190148</v>
      </c>
      <c r="M1746">
        <v>1.047712</v>
      </c>
      <c r="N1746">
        <v>0.91874520000000004</v>
      </c>
    </row>
    <row r="1747" spans="1:14" hidden="1" x14ac:dyDescent="0.35">
      <c r="A1747" t="s">
        <v>735</v>
      </c>
      <c r="B1747" t="s">
        <v>37</v>
      </c>
      <c r="C1747" t="s">
        <v>35</v>
      </c>
      <c r="D1747" t="s">
        <v>39</v>
      </c>
      <c r="E1747" t="s">
        <v>580</v>
      </c>
      <c r="F1747" t="s">
        <v>581</v>
      </c>
      <c r="G1747" t="s">
        <v>396</v>
      </c>
      <c r="H1747">
        <v>14.59726</v>
      </c>
      <c r="I1747">
        <v>14.13287</v>
      </c>
      <c r="J1747">
        <v>18.42164</v>
      </c>
      <c r="K1747">
        <v>17.03378</v>
      </c>
      <c r="L1747">
        <v>14.014430000000001</v>
      </c>
      <c r="M1747">
        <v>11.64114</v>
      </c>
      <c r="N1747">
        <v>10.24452</v>
      </c>
    </row>
    <row r="1748" spans="1:14" hidden="1" x14ac:dyDescent="0.35">
      <c r="A1748" t="s">
        <v>735</v>
      </c>
      <c r="B1748" t="s">
        <v>37</v>
      </c>
      <c r="C1748" t="s">
        <v>35</v>
      </c>
      <c r="D1748" t="s">
        <v>39</v>
      </c>
      <c r="E1748" t="s">
        <v>580</v>
      </c>
      <c r="F1748" t="s">
        <v>581</v>
      </c>
      <c r="G1748" t="s">
        <v>25</v>
      </c>
      <c r="H1748">
        <v>4.7437009999999997</v>
      </c>
      <c r="I1748">
        <v>5.4604330000000001</v>
      </c>
      <c r="J1748">
        <v>7.1174520000000001</v>
      </c>
      <c r="K1748">
        <v>6.581232</v>
      </c>
      <c r="L1748">
        <v>5.4146650000000003</v>
      </c>
      <c r="M1748">
        <v>4.4977150000000004</v>
      </c>
      <c r="N1748">
        <v>3.958107</v>
      </c>
    </row>
    <row r="1749" spans="1:14" hidden="1" x14ac:dyDescent="0.35">
      <c r="A1749" t="s">
        <v>735</v>
      </c>
      <c r="B1749" t="s">
        <v>37</v>
      </c>
      <c r="C1749" t="s">
        <v>35</v>
      </c>
      <c r="D1749" t="s">
        <v>39</v>
      </c>
      <c r="E1749" t="s">
        <v>580</v>
      </c>
      <c r="F1749" t="s">
        <v>26</v>
      </c>
      <c r="G1749" t="s">
        <v>26</v>
      </c>
      <c r="H1749">
        <v>6.1409589999999996</v>
      </c>
      <c r="I1749">
        <v>6.8255369999999997</v>
      </c>
      <c r="J1749">
        <v>8.8968190000000007</v>
      </c>
      <c r="K1749">
        <v>8.2265420000000002</v>
      </c>
      <c r="L1749">
        <v>6.7683340000000003</v>
      </c>
      <c r="M1749">
        <v>5.6221389999999998</v>
      </c>
      <c r="N1749">
        <v>4.9476360000000001</v>
      </c>
    </row>
    <row r="1750" spans="1:14" hidden="1" x14ac:dyDescent="0.35">
      <c r="A1750" t="s">
        <v>735</v>
      </c>
      <c r="B1750" t="s">
        <v>37</v>
      </c>
      <c r="C1750" t="s">
        <v>35</v>
      </c>
      <c r="D1750" t="s">
        <v>39</v>
      </c>
      <c r="E1750" t="s">
        <v>582</v>
      </c>
      <c r="F1750" t="s">
        <v>581</v>
      </c>
      <c r="G1750" t="s">
        <v>396</v>
      </c>
      <c r="H1750">
        <v>1.7863009999999999</v>
      </c>
      <c r="I1750">
        <v>2.76145</v>
      </c>
      <c r="J1750">
        <v>3.550084</v>
      </c>
      <c r="K1750">
        <v>3.3821119999999998</v>
      </c>
      <c r="L1750">
        <v>2.947533</v>
      </c>
      <c r="M1750">
        <v>2.6601029999999999</v>
      </c>
      <c r="N1750">
        <v>2.5785360000000002</v>
      </c>
    </row>
    <row r="1751" spans="1:14" hidden="1" x14ac:dyDescent="0.35">
      <c r="A1751" t="s">
        <v>735</v>
      </c>
      <c r="B1751" t="s">
        <v>37</v>
      </c>
      <c r="C1751" t="s">
        <v>35</v>
      </c>
      <c r="D1751" t="s">
        <v>39</v>
      </c>
      <c r="E1751" t="s">
        <v>582</v>
      </c>
      <c r="F1751" t="s">
        <v>581</v>
      </c>
      <c r="G1751" t="s">
        <v>25</v>
      </c>
      <c r="H1751">
        <v>0.21424660000000001</v>
      </c>
      <c r="I1751">
        <v>0.39120709999999997</v>
      </c>
      <c r="J1751">
        <v>0.50293120000000002</v>
      </c>
      <c r="K1751">
        <v>0.47914109999999999</v>
      </c>
      <c r="L1751">
        <v>0.41757369999999999</v>
      </c>
      <c r="M1751">
        <v>0.37684659999999998</v>
      </c>
      <c r="N1751">
        <v>0.36529539999999999</v>
      </c>
    </row>
    <row r="1752" spans="1:14" hidden="1" x14ac:dyDescent="0.35">
      <c r="A1752" t="s">
        <v>735</v>
      </c>
      <c r="B1752" t="s">
        <v>37</v>
      </c>
      <c r="C1752" t="s">
        <v>35</v>
      </c>
      <c r="D1752" t="s">
        <v>39</v>
      </c>
      <c r="E1752" t="s">
        <v>582</v>
      </c>
      <c r="F1752" t="s">
        <v>26</v>
      </c>
      <c r="G1752" t="s">
        <v>26</v>
      </c>
      <c r="H1752">
        <v>0.3306849</v>
      </c>
      <c r="I1752">
        <v>0.58680960000000004</v>
      </c>
      <c r="J1752">
        <v>0.75439369999999994</v>
      </c>
      <c r="K1752">
        <v>0.71869780000000005</v>
      </c>
      <c r="L1752">
        <v>0.62634900000000004</v>
      </c>
      <c r="M1752">
        <v>0.56527210000000006</v>
      </c>
      <c r="N1752">
        <v>0.54793970000000003</v>
      </c>
    </row>
    <row r="1753" spans="1:14" hidden="1" x14ac:dyDescent="0.35">
      <c r="A1753" t="s">
        <v>735</v>
      </c>
      <c r="B1753" t="s">
        <v>37</v>
      </c>
      <c r="C1753" t="s">
        <v>35</v>
      </c>
      <c r="D1753" t="s">
        <v>207</v>
      </c>
      <c r="E1753" t="s">
        <v>580</v>
      </c>
      <c r="F1753" t="s">
        <v>581</v>
      </c>
      <c r="G1753" t="s">
        <v>396</v>
      </c>
      <c r="H1753">
        <v>9.6832879999999992</v>
      </c>
      <c r="I1753">
        <v>9.8541329999999991</v>
      </c>
      <c r="J1753">
        <v>9.2982469999999999</v>
      </c>
      <c r="K1753">
        <v>8.2536740000000002</v>
      </c>
      <c r="L1753">
        <v>7.2371679999999996</v>
      </c>
      <c r="M1753">
        <v>6.6110230000000003</v>
      </c>
      <c r="N1753">
        <v>6.2487789999999999</v>
      </c>
    </row>
    <row r="1754" spans="1:14" hidden="1" x14ac:dyDescent="0.35">
      <c r="A1754" t="s">
        <v>735</v>
      </c>
      <c r="B1754" t="s">
        <v>37</v>
      </c>
      <c r="C1754" t="s">
        <v>35</v>
      </c>
      <c r="D1754" t="s">
        <v>207</v>
      </c>
      <c r="E1754" t="s">
        <v>580</v>
      </c>
      <c r="F1754" t="s">
        <v>581</v>
      </c>
      <c r="G1754" t="s">
        <v>25</v>
      </c>
      <c r="H1754">
        <v>2.214658</v>
      </c>
      <c r="I1754">
        <v>2.6736939999999998</v>
      </c>
      <c r="J1754">
        <v>2.526802</v>
      </c>
      <c r="K1754">
        <v>2.2591890000000001</v>
      </c>
      <c r="L1754">
        <v>1.9901470000000001</v>
      </c>
      <c r="M1754">
        <v>1.8350679999999999</v>
      </c>
      <c r="N1754">
        <v>1.7460020000000001</v>
      </c>
    </row>
    <row r="1755" spans="1:14" hidden="1" x14ac:dyDescent="0.35">
      <c r="A1755" t="s">
        <v>735</v>
      </c>
      <c r="B1755" t="s">
        <v>37</v>
      </c>
      <c r="C1755" t="s">
        <v>35</v>
      </c>
      <c r="D1755" t="s">
        <v>207</v>
      </c>
      <c r="E1755" t="s">
        <v>580</v>
      </c>
      <c r="F1755" t="s">
        <v>26</v>
      </c>
      <c r="G1755" t="s">
        <v>26</v>
      </c>
      <c r="H1755">
        <v>2.1517810000000002</v>
      </c>
      <c r="I1755">
        <v>2.5068920000000001</v>
      </c>
      <c r="J1755">
        <v>2.36904</v>
      </c>
      <c r="K1755">
        <v>2.1108120000000001</v>
      </c>
      <c r="L1755">
        <v>1.8553280000000001</v>
      </c>
      <c r="M1755">
        <v>1.703138</v>
      </c>
      <c r="N1755">
        <v>1.6154059999999999</v>
      </c>
    </row>
    <row r="1756" spans="1:14" hidden="1" x14ac:dyDescent="0.35">
      <c r="A1756" t="s">
        <v>735</v>
      </c>
      <c r="B1756" t="s">
        <v>37</v>
      </c>
      <c r="C1756" t="s">
        <v>35</v>
      </c>
      <c r="D1756" t="s">
        <v>207</v>
      </c>
      <c r="E1756" t="s">
        <v>582</v>
      </c>
      <c r="F1756" t="s">
        <v>581</v>
      </c>
      <c r="G1756" t="s">
        <v>396</v>
      </c>
      <c r="H1756">
        <v>2.6235620000000002</v>
      </c>
      <c r="I1756">
        <v>2.7179609999999998</v>
      </c>
      <c r="J1756">
        <v>3.38924</v>
      </c>
      <c r="K1756">
        <v>3.086713</v>
      </c>
      <c r="L1756">
        <v>2.7375210000000001</v>
      </c>
      <c r="M1756">
        <v>2.7465980000000001</v>
      </c>
      <c r="N1756">
        <v>3.0638350000000001</v>
      </c>
    </row>
    <row r="1757" spans="1:14" hidden="1" x14ac:dyDescent="0.35">
      <c r="A1757" t="s">
        <v>735</v>
      </c>
      <c r="B1757" t="s">
        <v>37</v>
      </c>
      <c r="C1757" t="s">
        <v>35</v>
      </c>
      <c r="D1757" t="s">
        <v>207</v>
      </c>
      <c r="E1757" t="s">
        <v>582</v>
      </c>
      <c r="F1757" t="s">
        <v>581</v>
      </c>
      <c r="G1757" t="s">
        <v>25</v>
      </c>
      <c r="H1757">
        <v>0.29342469999999998</v>
      </c>
      <c r="I1757">
        <v>0.36097940000000001</v>
      </c>
      <c r="J1757">
        <v>0.45013180000000003</v>
      </c>
      <c r="K1757">
        <v>0.40995589999999998</v>
      </c>
      <c r="L1757">
        <v>0.36357450000000002</v>
      </c>
      <c r="M1757">
        <v>0.36478490000000002</v>
      </c>
      <c r="N1757">
        <v>0.40691149999999998</v>
      </c>
    </row>
    <row r="1758" spans="1:14" hidden="1" x14ac:dyDescent="0.35">
      <c r="A1758" t="s">
        <v>735</v>
      </c>
      <c r="B1758" t="s">
        <v>37</v>
      </c>
      <c r="C1758" t="s">
        <v>35</v>
      </c>
      <c r="D1758" t="s">
        <v>207</v>
      </c>
      <c r="E1758" t="s">
        <v>582</v>
      </c>
      <c r="F1758" t="s">
        <v>26</v>
      </c>
      <c r="G1758" t="s">
        <v>26</v>
      </c>
      <c r="H1758">
        <v>0.3027397</v>
      </c>
      <c r="I1758">
        <v>0.36097940000000001</v>
      </c>
      <c r="J1758">
        <v>0.4501329</v>
      </c>
      <c r="K1758">
        <v>0.40995399999999999</v>
      </c>
      <c r="L1758">
        <v>0.3635756</v>
      </c>
      <c r="M1758">
        <v>0.3647822</v>
      </c>
      <c r="N1758">
        <v>0.4069161</v>
      </c>
    </row>
    <row r="1759" spans="1:14" hidden="1" x14ac:dyDescent="0.35">
      <c r="A1759" t="s">
        <v>735</v>
      </c>
      <c r="B1759" t="s">
        <v>37</v>
      </c>
      <c r="C1759" t="s">
        <v>35</v>
      </c>
      <c r="D1759" t="s">
        <v>207</v>
      </c>
      <c r="E1759" t="s">
        <v>584</v>
      </c>
      <c r="F1759" t="s">
        <v>581</v>
      </c>
      <c r="G1759" t="s">
        <v>25</v>
      </c>
      <c r="H1759">
        <v>7.0109580000000003E-3</v>
      </c>
      <c r="I1759">
        <v>6.8630130000000003E-3</v>
      </c>
      <c r="J1759">
        <v>6.7315059999999999E-3</v>
      </c>
      <c r="K1759">
        <v>6.5972599999999998E-3</v>
      </c>
      <c r="L1759">
        <v>6.4684929999999996E-3</v>
      </c>
      <c r="M1759">
        <v>6.3397260000000004E-3</v>
      </c>
      <c r="N1759">
        <v>6.2136980000000001E-3</v>
      </c>
    </row>
    <row r="1760" spans="1:14" hidden="1" x14ac:dyDescent="0.35">
      <c r="A1760" t="s">
        <v>735</v>
      </c>
      <c r="B1760" t="s">
        <v>37</v>
      </c>
      <c r="C1760" t="s">
        <v>35</v>
      </c>
      <c r="D1760" t="s">
        <v>207</v>
      </c>
      <c r="E1760" t="s">
        <v>584</v>
      </c>
      <c r="F1760" t="s">
        <v>26</v>
      </c>
      <c r="G1760" t="s">
        <v>26</v>
      </c>
      <c r="H1760">
        <v>0.31438359999999999</v>
      </c>
      <c r="I1760">
        <v>0.2943151</v>
      </c>
      <c r="J1760">
        <v>0.27552599999999999</v>
      </c>
      <c r="K1760">
        <v>0.25793700000000003</v>
      </c>
      <c r="L1760">
        <v>0.2414712</v>
      </c>
      <c r="M1760">
        <v>0.2260548</v>
      </c>
      <c r="N1760">
        <v>0.2116247</v>
      </c>
    </row>
    <row r="1761" spans="1:14" hidden="1" x14ac:dyDescent="0.35">
      <c r="A1761" t="s">
        <v>735</v>
      </c>
      <c r="B1761" t="s">
        <v>37</v>
      </c>
      <c r="C1761" t="s">
        <v>35</v>
      </c>
      <c r="D1761" t="s">
        <v>129</v>
      </c>
      <c r="E1761" t="s">
        <v>580</v>
      </c>
      <c r="F1761" t="s">
        <v>581</v>
      </c>
      <c r="G1761" t="s">
        <v>396</v>
      </c>
      <c r="H1761">
        <v>6.4964389999999996</v>
      </c>
      <c r="I1761">
        <v>5.7298720000000003</v>
      </c>
      <c r="J1761">
        <v>4.9566020000000002</v>
      </c>
      <c r="K1761">
        <v>5.4816760000000002</v>
      </c>
      <c r="L1761">
        <v>5.2482899999999999</v>
      </c>
      <c r="M1761">
        <v>5.0875440000000003</v>
      </c>
      <c r="N1761">
        <v>5.002211</v>
      </c>
    </row>
    <row r="1762" spans="1:14" hidden="1" x14ac:dyDescent="0.35">
      <c r="A1762" t="s">
        <v>735</v>
      </c>
      <c r="B1762" t="s">
        <v>37</v>
      </c>
      <c r="C1762" t="s">
        <v>35</v>
      </c>
      <c r="D1762" t="s">
        <v>129</v>
      </c>
      <c r="E1762" t="s">
        <v>580</v>
      </c>
      <c r="F1762" t="s">
        <v>581</v>
      </c>
      <c r="G1762" t="s">
        <v>25</v>
      </c>
      <c r="H1762">
        <v>1.816986</v>
      </c>
      <c r="I1762">
        <v>1.9099600000000001</v>
      </c>
      <c r="J1762">
        <v>1.6521999999999999</v>
      </c>
      <c r="K1762">
        <v>1.827221</v>
      </c>
      <c r="L1762">
        <v>1.749428</v>
      </c>
      <c r="M1762">
        <v>1.6958530000000001</v>
      </c>
      <c r="N1762">
        <v>1.6674040000000001</v>
      </c>
    </row>
    <row r="1763" spans="1:14" hidden="1" x14ac:dyDescent="0.35">
      <c r="A1763" t="s">
        <v>735</v>
      </c>
      <c r="B1763" t="s">
        <v>37</v>
      </c>
      <c r="C1763" t="s">
        <v>35</v>
      </c>
      <c r="D1763" t="s">
        <v>129</v>
      </c>
      <c r="E1763" t="s">
        <v>580</v>
      </c>
      <c r="F1763" t="s">
        <v>26</v>
      </c>
      <c r="G1763" t="s">
        <v>26</v>
      </c>
      <c r="H1763">
        <v>1.8827400000000001</v>
      </c>
      <c r="I1763">
        <v>1.909958</v>
      </c>
      <c r="J1763">
        <v>1.6521999999999999</v>
      </c>
      <c r="K1763">
        <v>1.8272269999999999</v>
      </c>
      <c r="L1763">
        <v>1.7494289999999999</v>
      </c>
      <c r="M1763">
        <v>1.6958500000000001</v>
      </c>
      <c r="N1763">
        <v>1.6674040000000001</v>
      </c>
    </row>
    <row r="1764" spans="1:14" hidden="1" x14ac:dyDescent="0.35">
      <c r="A1764" t="s">
        <v>735</v>
      </c>
      <c r="B1764" t="s">
        <v>37</v>
      </c>
      <c r="C1764" t="s">
        <v>79</v>
      </c>
      <c r="D1764" t="s">
        <v>79</v>
      </c>
      <c r="E1764" t="s">
        <v>615</v>
      </c>
      <c r="F1764" t="s">
        <v>581</v>
      </c>
      <c r="G1764" t="s">
        <v>396</v>
      </c>
      <c r="H1764">
        <v>2.7164380000000001</v>
      </c>
      <c r="I1764">
        <v>1.800384</v>
      </c>
      <c r="J1764">
        <v>2.4489869999999998</v>
      </c>
      <c r="K1764">
        <v>2.8216570000000001</v>
      </c>
      <c r="L1764">
        <v>2.9746169999999998</v>
      </c>
      <c r="M1764">
        <v>2.2910159999999999</v>
      </c>
      <c r="N1764">
        <v>1.52911</v>
      </c>
    </row>
    <row r="1765" spans="1:14" hidden="1" x14ac:dyDescent="0.35">
      <c r="A1765" t="s">
        <v>735</v>
      </c>
      <c r="B1765" t="s">
        <v>37</v>
      </c>
      <c r="C1765" t="s">
        <v>79</v>
      </c>
      <c r="D1765" t="s">
        <v>79</v>
      </c>
      <c r="E1765" t="s">
        <v>615</v>
      </c>
      <c r="F1765" t="s">
        <v>581</v>
      </c>
      <c r="G1765" t="s">
        <v>24</v>
      </c>
      <c r="H1765">
        <v>0.40165210000000001</v>
      </c>
      <c r="I1765">
        <v>0.34350540000000002</v>
      </c>
      <c r="J1765">
        <v>0.4644643</v>
      </c>
      <c r="K1765">
        <v>0.53514329999999999</v>
      </c>
      <c r="L1765">
        <v>0.5641524</v>
      </c>
      <c r="M1765">
        <v>0.43450220000000001</v>
      </c>
      <c r="N1765">
        <v>0.2900047</v>
      </c>
    </row>
    <row r="1766" spans="1:14" hidden="1" x14ac:dyDescent="0.35">
      <c r="A1766" t="s">
        <v>735</v>
      </c>
      <c r="B1766" t="s">
        <v>37</v>
      </c>
      <c r="C1766" t="s">
        <v>79</v>
      </c>
      <c r="D1766" t="s">
        <v>79</v>
      </c>
      <c r="E1766" t="s">
        <v>615</v>
      </c>
      <c r="F1766" t="s">
        <v>581</v>
      </c>
      <c r="G1766" t="s">
        <v>25</v>
      </c>
      <c r="H1766">
        <v>0.1458904</v>
      </c>
      <c r="I1766">
        <v>0.15578110000000001</v>
      </c>
      <c r="J1766">
        <v>0.21112049999999999</v>
      </c>
      <c r="K1766">
        <v>0.24324709999999999</v>
      </c>
      <c r="L1766">
        <v>0.25643290000000002</v>
      </c>
      <c r="M1766">
        <v>0.19750190000000001</v>
      </c>
      <c r="N1766">
        <v>0.1318192</v>
      </c>
    </row>
    <row r="1767" spans="1:14" hidden="1" x14ac:dyDescent="0.35">
      <c r="A1767" t="s">
        <v>735</v>
      </c>
      <c r="B1767" t="s">
        <v>37</v>
      </c>
      <c r="C1767" t="s">
        <v>79</v>
      </c>
      <c r="D1767" t="s">
        <v>79</v>
      </c>
      <c r="E1767" t="s">
        <v>615</v>
      </c>
      <c r="F1767" t="s">
        <v>26</v>
      </c>
      <c r="G1767" t="s">
        <v>26</v>
      </c>
      <c r="H1767">
        <v>0.76643839999999996</v>
      </c>
      <c r="I1767">
        <v>0.81004019999999999</v>
      </c>
      <c r="J1767">
        <v>1.09782</v>
      </c>
      <c r="K1767">
        <v>1.2648809999999999</v>
      </c>
      <c r="L1767">
        <v>1.3334490000000001</v>
      </c>
      <c r="M1767">
        <v>1.0270079999999999</v>
      </c>
      <c r="N1767">
        <v>0.68546220000000002</v>
      </c>
    </row>
    <row r="1768" spans="1:14" hidden="1" x14ac:dyDescent="0.35">
      <c r="A1768" t="s">
        <v>735</v>
      </c>
      <c r="B1768" t="s">
        <v>37</v>
      </c>
      <c r="C1768" t="s">
        <v>46</v>
      </c>
      <c r="D1768" t="s">
        <v>46</v>
      </c>
      <c r="E1768" t="s">
        <v>641</v>
      </c>
      <c r="F1768" t="s">
        <v>26</v>
      </c>
      <c r="G1768" t="s">
        <v>26</v>
      </c>
      <c r="H1768">
        <v>6.3472600000000003</v>
      </c>
      <c r="I1768">
        <v>3.6997949999999999</v>
      </c>
      <c r="J1768">
        <v>3.1521400000000002</v>
      </c>
      <c r="K1768">
        <v>3.069223</v>
      </c>
      <c r="L1768">
        <v>3.3440639999999999</v>
      </c>
      <c r="M1768">
        <v>2.846006</v>
      </c>
      <c r="N1768">
        <v>2.1560839999999999</v>
      </c>
    </row>
    <row r="1769" spans="1:14" hidden="1" x14ac:dyDescent="0.35">
      <c r="A1769" t="s">
        <v>735</v>
      </c>
      <c r="B1769" t="s">
        <v>37</v>
      </c>
      <c r="C1769" t="s">
        <v>46</v>
      </c>
      <c r="D1769" t="s">
        <v>46</v>
      </c>
      <c r="E1769" t="s">
        <v>584</v>
      </c>
      <c r="F1769" t="s">
        <v>581</v>
      </c>
      <c r="G1769" t="s">
        <v>396</v>
      </c>
      <c r="H1769">
        <v>1.315069E-2</v>
      </c>
      <c r="I1769">
        <v>8.8164390000000006E-3</v>
      </c>
      <c r="J1769">
        <v>5.9095889999999998E-3</v>
      </c>
      <c r="K1769">
        <v>3.9753419999999998E-3</v>
      </c>
      <c r="L1769">
        <v>2.6657529999999999E-3</v>
      </c>
      <c r="M1769">
        <v>1.7863009999999999E-3</v>
      </c>
      <c r="N1769">
        <v>1.1972599999999999E-3</v>
      </c>
    </row>
    <row r="1770" spans="1:14" hidden="1" x14ac:dyDescent="0.35">
      <c r="A1770" t="s">
        <v>735</v>
      </c>
      <c r="B1770" t="s">
        <v>37</v>
      </c>
      <c r="C1770" t="s">
        <v>46</v>
      </c>
      <c r="D1770" t="s">
        <v>46</v>
      </c>
      <c r="E1770" t="s">
        <v>584</v>
      </c>
      <c r="F1770" t="s">
        <v>26</v>
      </c>
      <c r="G1770" t="s">
        <v>26</v>
      </c>
      <c r="H1770">
        <v>0.22821920000000001</v>
      </c>
      <c r="I1770">
        <v>0.1529808</v>
      </c>
      <c r="J1770">
        <v>0.1025452</v>
      </c>
      <c r="K1770">
        <v>6.8736980000000003E-2</v>
      </c>
      <c r="L1770">
        <v>4.607671E-2</v>
      </c>
      <c r="M1770">
        <v>3.0884930000000001E-2</v>
      </c>
      <c r="N1770">
        <v>2.0704110000000001E-2</v>
      </c>
    </row>
    <row r="1771" spans="1:14" hidden="1" x14ac:dyDescent="0.35">
      <c r="A1771" t="s">
        <v>733</v>
      </c>
      <c r="B1771" t="s">
        <v>37</v>
      </c>
      <c r="C1771" t="s">
        <v>35</v>
      </c>
      <c r="D1771" t="s">
        <v>36</v>
      </c>
      <c r="E1771" t="s">
        <v>588</v>
      </c>
      <c r="F1771" t="s">
        <v>581</v>
      </c>
      <c r="G1771" t="s">
        <v>396</v>
      </c>
      <c r="H1771">
        <v>15.84219</v>
      </c>
      <c r="I1771">
        <v>17.32714</v>
      </c>
      <c r="J1771">
        <v>17.00732</v>
      </c>
      <c r="K1771">
        <v>14.108370000000001</v>
      </c>
      <c r="L1771">
        <v>12.05452</v>
      </c>
      <c r="M1771">
        <v>9.4241960000000002</v>
      </c>
      <c r="N1771">
        <v>7.6194730000000002</v>
      </c>
    </row>
    <row r="1772" spans="1:14" hidden="1" x14ac:dyDescent="0.35">
      <c r="A1772" t="s">
        <v>733</v>
      </c>
      <c r="B1772" t="s">
        <v>37</v>
      </c>
      <c r="C1772" t="s">
        <v>35</v>
      </c>
      <c r="D1772" t="s">
        <v>36</v>
      </c>
      <c r="E1772" t="s">
        <v>588</v>
      </c>
      <c r="F1772" t="s">
        <v>581</v>
      </c>
      <c r="G1772" t="s">
        <v>25</v>
      </c>
      <c r="H1772">
        <v>4.1928770000000002</v>
      </c>
      <c r="I1772">
        <v>5.685467</v>
      </c>
      <c r="J1772">
        <v>5.5805300000000004</v>
      </c>
      <c r="K1772">
        <v>4.629308</v>
      </c>
      <c r="L1772">
        <v>3.9553859999999998</v>
      </c>
      <c r="M1772">
        <v>3.0923120000000002</v>
      </c>
      <c r="N1772">
        <v>2.5001370000000001</v>
      </c>
    </row>
    <row r="1773" spans="1:14" hidden="1" x14ac:dyDescent="0.35">
      <c r="A1773" t="s">
        <v>733</v>
      </c>
      <c r="B1773" t="s">
        <v>37</v>
      </c>
      <c r="C1773" t="s">
        <v>35</v>
      </c>
      <c r="D1773" t="s">
        <v>36</v>
      </c>
      <c r="E1773" t="s">
        <v>588</v>
      </c>
      <c r="F1773" t="s">
        <v>26</v>
      </c>
      <c r="G1773" t="s">
        <v>26</v>
      </c>
      <c r="H1773">
        <v>3.2131509999999999</v>
      </c>
      <c r="I1773">
        <v>4.0610520000000001</v>
      </c>
      <c r="J1773">
        <v>3.9860920000000002</v>
      </c>
      <c r="K1773">
        <v>3.306648</v>
      </c>
      <c r="L1773">
        <v>2.8252790000000001</v>
      </c>
      <c r="M1773">
        <v>2.2087949999999998</v>
      </c>
      <c r="N1773">
        <v>1.785814</v>
      </c>
    </row>
    <row r="1774" spans="1:14" hidden="1" x14ac:dyDescent="0.35">
      <c r="A1774" t="s">
        <v>733</v>
      </c>
      <c r="B1774" t="s">
        <v>37</v>
      </c>
      <c r="C1774" t="s">
        <v>35</v>
      </c>
      <c r="D1774" t="s">
        <v>36</v>
      </c>
      <c r="E1774" t="s">
        <v>587</v>
      </c>
      <c r="F1774" t="s">
        <v>581</v>
      </c>
      <c r="G1774" t="s">
        <v>396</v>
      </c>
      <c r="H1774">
        <v>5.979177</v>
      </c>
      <c r="I1774">
        <v>5.2626390000000001</v>
      </c>
      <c r="J1774">
        <v>4.6366779999999999</v>
      </c>
      <c r="K1774">
        <v>4.0668119999999996</v>
      </c>
      <c r="L1774">
        <v>3.5841620000000001</v>
      </c>
      <c r="M1774">
        <v>3.1768320000000001</v>
      </c>
      <c r="N1774">
        <v>2.7758699999999998</v>
      </c>
    </row>
    <row r="1775" spans="1:14" hidden="1" x14ac:dyDescent="0.35">
      <c r="A1775" t="s">
        <v>733</v>
      </c>
      <c r="B1775" t="s">
        <v>37</v>
      </c>
      <c r="C1775" t="s">
        <v>35</v>
      </c>
      <c r="D1775" t="s">
        <v>36</v>
      </c>
      <c r="E1775" t="s">
        <v>587</v>
      </c>
      <c r="F1775" t="s">
        <v>581</v>
      </c>
      <c r="G1775" t="s">
        <v>25</v>
      </c>
      <c r="H1775">
        <v>1.0739730000000001</v>
      </c>
      <c r="I1775">
        <v>0.65782850000000004</v>
      </c>
      <c r="J1775">
        <v>0.57958489999999996</v>
      </c>
      <c r="K1775">
        <v>0.50834959999999996</v>
      </c>
      <c r="L1775">
        <v>0.44802189999999997</v>
      </c>
      <c r="M1775">
        <v>0.39710109999999998</v>
      </c>
      <c r="N1775">
        <v>0.34698190000000001</v>
      </c>
    </row>
    <row r="1776" spans="1:14" hidden="1" x14ac:dyDescent="0.35">
      <c r="A1776" t="s">
        <v>733</v>
      </c>
      <c r="B1776" t="s">
        <v>37</v>
      </c>
      <c r="C1776" t="s">
        <v>35</v>
      </c>
      <c r="D1776" t="s">
        <v>36</v>
      </c>
      <c r="E1776" t="s">
        <v>587</v>
      </c>
      <c r="F1776" t="s">
        <v>26</v>
      </c>
      <c r="G1776" t="s">
        <v>26</v>
      </c>
      <c r="H1776">
        <v>1.1528769999999999</v>
      </c>
      <c r="I1776">
        <v>0.65783049999999998</v>
      </c>
      <c r="J1776">
        <v>0.57958489999999996</v>
      </c>
      <c r="K1776">
        <v>0.50835149999999996</v>
      </c>
      <c r="L1776">
        <v>0.44802189999999997</v>
      </c>
      <c r="M1776">
        <v>0.39710380000000001</v>
      </c>
      <c r="N1776">
        <v>0.34698469999999998</v>
      </c>
    </row>
    <row r="1777" spans="1:14" hidden="1" x14ac:dyDescent="0.35">
      <c r="A1777" t="s">
        <v>733</v>
      </c>
      <c r="B1777" t="s">
        <v>37</v>
      </c>
      <c r="C1777" t="s">
        <v>35</v>
      </c>
      <c r="D1777" t="s">
        <v>36</v>
      </c>
      <c r="E1777" t="s">
        <v>584</v>
      </c>
      <c r="F1777" t="s">
        <v>581</v>
      </c>
      <c r="G1777" t="s">
        <v>396</v>
      </c>
      <c r="H1777">
        <v>0.14684929999999999</v>
      </c>
      <c r="I1777">
        <v>0.1037458</v>
      </c>
      <c r="J1777">
        <v>0.15095729999999999</v>
      </c>
      <c r="K1777">
        <v>0.1351359</v>
      </c>
      <c r="L1777">
        <v>0.10235320000000001</v>
      </c>
      <c r="M1777">
        <v>7.8722749999999994E-2</v>
      </c>
      <c r="N1777">
        <v>6.3093689999999994E-2</v>
      </c>
    </row>
    <row r="1778" spans="1:14" hidden="1" x14ac:dyDescent="0.35">
      <c r="A1778" t="s">
        <v>733</v>
      </c>
      <c r="B1778" t="s">
        <v>37</v>
      </c>
      <c r="C1778" t="s">
        <v>35</v>
      </c>
      <c r="D1778" t="s">
        <v>36</v>
      </c>
      <c r="E1778" t="s">
        <v>584</v>
      </c>
      <c r="F1778" t="s">
        <v>581</v>
      </c>
      <c r="G1778" t="s">
        <v>25</v>
      </c>
      <c r="H1778">
        <v>3.2873970000000002E-2</v>
      </c>
      <c r="I1778">
        <v>1.659617E-2</v>
      </c>
      <c r="J1778">
        <v>2.414411E-2</v>
      </c>
      <c r="K1778">
        <v>2.1622740000000001E-2</v>
      </c>
      <c r="L1778">
        <v>1.6377539999999999E-2</v>
      </c>
      <c r="M1778">
        <v>1.260027E-2</v>
      </c>
      <c r="N1778">
        <v>1.0095069999999999E-2</v>
      </c>
    </row>
    <row r="1779" spans="1:14" hidden="1" x14ac:dyDescent="0.35">
      <c r="A1779" t="s">
        <v>733</v>
      </c>
      <c r="B1779" t="s">
        <v>37</v>
      </c>
      <c r="C1779" t="s">
        <v>35</v>
      </c>
      <c r="D1779" t="s">
        <v>36</v>
      </c>
      <c r="E1779" t="s">
        <v>584</v>
      </c>
      <c r="F1779" t="s">
        <v>26</v>
      </c>
      <c r="G1779" t="s">
        <v>26</v>
      </c>
      <c r="H1779">
        <v>3.9452050000000002E-2</v>
      </c>
      <c r="I1779">
        <v>1.7983289999999999E-2</v>
      </c>
      <c r="J1779">
        <v>2.6164659999999999E-2</v>
      </c>
      <c r="K1779">
        <v>2.3426579999999999E-2</v>
      </c>
      <c r="L1779">
        <v>1.7740820000000001E-2</v>
      </c>
      <c r="M1779">
        <v>1.3644659999999999E-2</v>
      </c>
      <c r="N1779">
        <v>1.093562E-2</v>
      </c>
    </row>
    <row r="1780" spans="1:14" hidden="1" x14ac:dyDescent="0.35">
      <c r="A1780" t="s">
        <v>733</v>
      </c>
      <c r="B1780" t="s">
        <v>37</v>
      </c>
      <c r="C1780" t="s">
        <v>35</v>
      </c>
      <c r="D1780" t="s">
        <v>189</v>
      </c>
      <c r="E1780" t="s">
        <v>589</v>
      </c>
      <c r="F1780" t="s">
        <v>581</v>
      </c>
      <c r="G1780" t="s">
        <v>396</v>
      </c>
      <c r="H1780">
        <v>15.07945</v>
      </c>
      <c r="I1780">
        <v>10.753259999999999</v>
      </c>
      <c r="J1780">
        <v>9.0776950000000003</v>
      </c>
      <c r="K1780">
        <v>7.7595349999999996</v>
      </c>
      <c r="L1780">
        <v>6.948785</v>
      </c>
      <c r="M1780">
        <v>5.3686910000000001</v>
      </c>
      <c r="N1780">
        <v>4.3210870000000003</v>
      </c>
    </row>
    <row r="1781" spans="1:14" hidden="1" x14ac:dyDescent="0.35">
      <c r="A1781" t="s">
        <v>733</v>
      </c>
      <c r="B1781" t="s">
        <v>37</v>
      </c>
      <c r="C1781" t="s">
        <v>35</v>
      </c>
      <c r="D1781" t="s">
        <v>189</v>
      </c>
      <c r="E1781" t="s">
        <v>589</v>
      </c>
      <c r="F1781" t="s">
        <v>581</v>
      </c>
      <c r="G1781" t="s">
        <v>25</v>
      </c>
      <c r="H1781">
        <v>3.088219</v>
      </c>
      <c r="I1781">
        <v>2.7521429999999998</v>
      </c>
      <c r="J1781">
        <v>2.3159809999999998</v>
      </c>
      <c r="K1781">
        <v>1.970432</v>
      </c>
      <c r="L1781">
        <v>1.7572730000000001</v>
      </c>
      <c r="M1781">
        <v>1.3570469999999999</v>
      </c>
      <c r="N1781">
        <v>1.091799</v>
      </c>
    </row>
    <row r="1782" spans="1:14" hidden="1" x14ac:dyDescent="0.35">
      <c r="A1782" t="s">
        <v>733</v>
      </c>
      <c r="B1782" t="s">
        <v>37</v>
      </c>
      <c r="C1782" t="s">
        <v>35</v>
      </c>
      <c r="D1782" t="s">
        <v>189</v>
      </c>
      <c r="E1782" t="s">
        <v>589</v>
      </c>
      <c r="F1782" t="s">
        <v>26</v>
      </c>
      <c r="G1782" t="s">
        <v>26</v>
      </c>
      <c r="H1782">
        <v>3.3117809999999999</v>
      </c>
      <c r="I1782">
        <v>2.7521469999999999</v>
      </c>
      <c r="J1782">
        <v>2.315979</v>
      </c>
      <c r="K1782">
        <v>1.9704280000000001</v>
      </c>
      <c r="L1782">
        <v>1.7572669999999999</v>
      </c>
      <c r="M1782">
        <v>1.357046</v>
      </c>
      <c r="N1782">
        <v>1.091807</v>
      </c>
    </row>
    <row r="1783" spans="1:14" hidden="1" x14ac:dyDescent="0.35">
      <c r="A1783" t="s">
        <v>733</v>
      </c>
      <c r="B1783" t="s">
        <v>37</v>
      </c>
      <c r="C1783" t="s">
        <v>51</v>
      </c>
      <c r="D1783" t="s">
        <v>51</v>
      </c>
      <c r="E1783" t="s">
        <v>602</v>
      </c>
      <c r="F1783" t="s">
        <v>581</v>
      </c>
      <c r="G1783" t="s">
        <v>396</v>
      </c>
      <c r="H1783">
        <v>21.89808</v>
      </c>
      <c r="I1783">
        <v>20.25282</v>
      </c>
      <c r="J1783">
        <v>17.248670000000001</v>
      </c>
      <c r="K1783">
        <v>15.23272</v>
      </c>
      <c r="L1783">
        <v>13.406929999999999</v>
      </c>
      <c r="M1783">
        <v>11.135120000000001</v>
      </c>
      <c r="N1783">
        <v>9.3410810000000009</v>
      </c>
    </row>
    <row r="1784" spans="1:14" hidden="1" x14ac:dyDescent="0.35">
      <c r="A1784" t="s">
        <v>733</v>
      </c>
      <c r="B1784" t="s">
        <v>37</v>
      </c>
      <c r="C1784" t="s">
        <v>51</v>
      </c>
      <c r="D1784" t="s">
        <v>51</v>
      </c>
      <c r="E1784" t="s">
        <v>602</v>
      </c>
      <c r="F1784" t="s">
        <v>581</v>
      </c>
      <c r="G1784" t="s">
        <v>25</v>
      </c>
      <c r="H1784">
        <v>5.6775320000000002</v>
      </c>
      <c r="I1784">
        <v>4.4079810000000004</v>
      </c>
      <c r="J1784">
        <v>3.6561840000000001</v>
      </c>
      <c r="K1784">
        <v>3.2296800000000001</v>
      </c>
      <c r="L1784">
        <v>2.8116279999999998</v>
      </c>
      <c r="M1784">
        <v>2.3322409999999998</v>
      </c>
      <c r="N1784">
        <v>1.959443</v>
      </c>
    </row>
    <row r="1785" spans="1:14" hidden="1" x14ac:dyDescent="0.35">
      <c r="A1785" t="s">
        <v>733</v>
      </c>
      <c r="B1785" t="s">
        <v>37</v>
      </c>
      <c r="C1785" t="s">
        <v>51</v>
      </c>
      <c r="D1785" t="s">
        <v>51</v>
      </c>
      <c r="E1785" t="s">
        <v>602</v>
      </c>
      <c r="F1785" t="s">
        <v>26</v>
      </c>
      <c r="G1785" t="s">
        <v>26</v>
      </c>
      <c r="H1785">
        <v>6.3901370000000002</v>
      </c>
      <c r="I1785">
        <v>5.8500129999999997</v>
      </c>
      <c r="J1785">
        <v>4.89133</v>
      </c>
      <c r="K1785">
        <v>4.3423499999999997</v>
      </c>
      <c r="L1785">
        <v>3.7873589999999999</v>
      </c>
      <c r="M1785">
        <v>3.1389939999999998</v>
      </c>
      <c r="N1785">
        <v>2.632962</v>
      </c>
    </row>
    <row r="1786" spans="1:14" hidden="1" x14ac:dyDescent="0.35">
      <c r="A1786" t="s">
        <v>731</v>
      </c>
      <c r="B1786" t="s">
        <v>307</v>
      </c>
      <c r="C1786" t="s">
        <v>306</v>
      </c>
      <c r="D1786" t="s">
        <v>306</v>
      </c>
      <c r="E1786" t="s">
        <v>584</v>
      </c>
      <c r="F1786" t="s">
        <v>581</v>
      </c>
      <c r="G1786" t="s">
        <v>396</v>
      </c>
      <c r="H1786">
        <v>29.456510000000002</v>
      </c>
      <c r="I1786">
        <v>25.639589999999998</v>
      </c>
      <c r="J1786">
        <v>26.281500000000001</v>
      </c>
      <c r="K1786">
        <v>27.49925</v>
      </c>
      <c r="L1786">
        <v>25.308150000000001</v>
      </c>
      <c r="M1786">
        <v>25.19312</v>
      </c>
      <c r="N1786">
        <v>23.12313</v>
      </c>
    </row>
    <row r="1787" spans="1:14" hidden="1" x14ac:dyDescent="0.35">
      <c r="A1787" t="s">
        <v>731</v>
      </c>
      <c r="B1787" t="s">
        <v>307</v>
      </c>
      <c r="C1787" t="s">
        <v>306</v>
      </c>
      <c r="D1787" t="s">
        <v>306</v>
      </c>
      <c r="E1787" t="s">
        <v>584</v>
      </c>
      <c r="F1787" t="s">
        <v>581</v>
      </c>
      <c r="G1787" t="s">
        <v>24</v>
      </c>
      <c r="H1787">
        <v>0.48671229999999999</v>
      </c>
      <c r="I1787">
        <v>1.357972</v>
      </c>
      <c r="J1787">
        <v>0.86107429999999996</v>
      </c>
      <c r="K1787">
        <v>0.55616589999999999</v>
      </c>
      <c r="L1787">
        <v>0.3623422</v>
      </c>
      <c r="M1787">
        <v>0.24868580000000001</v>
      </c>
      <c r="N1787">
        <v>0.17655180000000001</v>
      </c>
    </row>
    <row r="1788" spans="1:14" hidden="1" x14ac:dyDescent="0.35">
      <c r="A1788" t="s">
        <v>731</v>
      </c>
      <c r="B1788" t="s">
        <v>307</v>
      </c>
      <c r="C1788" t="s">
        <v>306</v>
      </c>
      <c r="D1788" t="s">
        <v>306</v>
      </c>
      <c r="E1788" t="s">
        <v>584</v>
      </c>
      <c r="F1788" t="s">
        <v>26</v>
      </c>
      <c r="G1788" t="s">
        <v>26</v>
      </c>
      <c r="H1788">
        <v>1.3837520000000001</v>
      </c>
      <c r="I1788">
        <v>1.331205</v>
      </c>
      <c r="J1788">
        <v>2.7264900000000001</v>
      </c>
      <c r="K1788">
        <v>3.320783</v>
      </c>
      <c r="L1788">
        <v>4.2537349999999998</v>
      </c>
      <c r="M1788">
        <v>3.8879609999999998</v>
      </c>
      <c r="N1788">
        <v>3.4559540000000002</v>
      </c>
    </row>
    <row r="1789" spans="1:14" hidden="1" x14ac:dyDescent="0.35">
      <c r="A1789" t="s">
        <v>731</v>
      </c>
      <c r="B1789" t="s">
        <v>37</v>
      </c>
      <c r="C1789" t="s">
        <v>61</v>
      </c>
      <c r="D1789" t="s">
        <v>62</v>
      </c>
      <c r="E1789" t="s">
        <v>584</v>
      </c>
      <c r="F1789" t="s">
        <v>581</v>
      </c>
      <c r="G1789" t="s">
        <v>396</v>
      </c>
      <c r="H1789">
        <v>22.369299999999999</v>
      </c>
      <c r="I1789">
        <v>22.91441</v>
      </c>
      <c r="J1789">
        <v>21.005189999999999</v>
      </c>
      <c r="K1789">
        <v>18.584040000000002</v>
      </c>
      <c r="L1789">
        <v>15.48981</v>
      </c>
      <c r="M1789">
        <v>12.540570000000001</v>
      </c>
      <c r="N1789">
        <v>10.17817</v>
      </c>
    </row>
    <row r="1790" spans="1:14" hidden="1" x14ac:dyDescent="0.35">
      <c r="A1790" t="s">
        <v>731</v>
      </c>
      <c r="B1790" t="s">
        <v>37</v>
      </c>
      <c r="C1790" t="s">
        <v>61</v>
      </c>
      <c r="D1790" t="s">
        <v>62</v>
      </c>
      <c r="E1790" t="s">
        <v>584</v>
      </c>
      <c r="F1790" t="s">
        <v>581</v>
      </c>
      <c r="G1790" t="s">
        <v>24</v>
      </c>
      <c r="H1790">
        <v>0.22828709999999999</v>
      </c>
      <c r="I1790">
        <v>0.49579620000000002</v>
      </c>
      <c r="J1790">
        <v>0.49255779999999999</v>
      </c>
      <c r="K1790">
        <v>0.3894553</v>
      </c>
      <c r="L1790">
        <v>0.26802690000000001</v>
      </c>
      <c r="M1790">
        <v>0.17622460000000001</v>
      </c>
      <c r="N1790">
        <v>0.12031509999999999</v>
      </c>
    </row>
    <row r="1791" spans="1:14" hidden="1" x14ac:dyDescent="0.35">
      <c r="A1791" t="s">
        <v>731</v>
      </c>
      <c r="B1791" t="s">
        <v>37</v>
      </c>
      <c r="C1791" t="s">
        <v>61</v>
      </c>
      <c r="D1791" t="s">
        <v>62</v>
      </c>
      <c r="E1791" t="s">
        <v>584</v>
      </c>
      <c r="F1791" t="s">
        <v>581</v>
      </c>
      <c r="G1791" t="s">
        <v>25</v>
      </c>
      <c r="H1791">
        <v>0.19443060000000001</v>
      </c>
      <c r="I1791">
        <v>0.14807210000000001</v>
      </c>
      <c r="J1791">
        <v>0.11612599999999999</v>
      </c>
      <c r="K1791">
        <v>9.3880459999999999E-2</v>
      </c>
      <c r="L1791">
        <v>7.6994019999999996E-2</v>
      </c>
      <c r="M1791">
        <v>5.8491719999999997E-2</v>
      </c>
      <c r="N1791">
        <v>4.9346439999999998E-2</v>
      </c>
    </row>
    <row r="1792" spans="1:14" hidden="1" x14ac:dyDescent="0.35">
      <c r="A1792" t="s">
        <v>731</v>
      </c>
      <c r="B1792" t="s">
        <v>37</v>
      </c>
      <c r="C1792" t="s">
        <v>61</v>
      </c>
      <c r="D1792" t="s">
        <v>62</v>
      </c>
      <c r="E1792" t="s">
        <v>584</v>
      </c>
      <c r="F1792" t="s">
        <v>26</v>
      </c>
      <c r="G1792" t="s">
        <v>26</v>
      </c>
      <c r="H1792">
        <v>3.7111329999999998</v>
      </c>
      <c r="I1792">
        <v>3.6313550000000001</v>
      </c>
      <c r="J1792">
        <v>2.943009</v>
      </c>
      <c r="K1792">
        <v>2.3560240000000001</v>
      </c>
      <c r="L1792">
        <v>1.8309519999999999</v>
      </c>
      <c r="M1792">
        <v>1.299463</v>
      </c>
      <c r="N1792">
        <v>0.98145499999999997</v>
      </c>
    </row>
    <row r="1793" spans="1:14" hidden="1" x14ac:dyDescent="0.35">
      <c r="A1793" t="s">
        <v>731</v>
      </c>
      <c r="B1793" t="s">
        <v>37</v>
      </c>
      <c r="C1793" t="s">
        <v>109</v>
      </c>
      <c r="D1793" t="s">
        <v>109</v>
      </c>
      <c r="E1793" t="s">
        <v>584</v>
      </c>
      <c r="F1793" t="s">
        <v>581</v>
      </c>
      <c r="G1793" t="s">
        <v>24</v>
      </c>
      <c r="H1793">
        <v>1.254247E-3</v>
      </c>
      <c r="I1793">
        <v>1.14411E-3</v>
      </c>
      <c r="J1793">
        <v>1.0397259999999999E-3</v>
      </c>
      <c r="K1793">
        <v>9.4602749999999995E-4</v>
      </c>
      <c r="L1793">
        <v>8.59726E-4</v>
      </c>
      <c r="M1793">
        <v>7.8164390000000003E-4</v>
      </c>
      <c r="N1793">
        <v>7.1095890000000001E-4</v>
      </c>
    </row>
    <row r="1794" spans="1:14" hidden="1" x14ac:dyDescent="0.35">
      <c r="A1794" t="s">
        <v>731</v>
      </c>
      <c r="B1794" t="s">
        <v>37</v>
      </c>
      <c r="C1794" t="s">
        <v>109</v>
      </c>
      <c r="D1794" t="s">
        <v>109</v>
      </c>
      <c r="E1794" t="s">
        <v>584</v>
      </c>
      <c r="F1794" t="s">
        <v>26</v>
      </c>
      <c r="G1794" t="s">
        <v>26</v>
      </c>
      <c r="H1794">
        <v>3.1002740000000001E-3</v>
      </c>
      <c r="I1794">
        <v>2.8660270000000002E-3</v>
      </c>
      <c r="J1794">
        <v>2.649041E-3</v>
      </c>
      <c r="K1794">
        <v>2.4484929999999999E-3</v>
      </c>
      <c r="L1794">
        <v>2.2635620000000002E-3</v>
      </c>
      <c r="M1794">
        <v>2.098356E-3</v>
      </c>
      <c r="N1794">
        <v>1.9397259999999999E-3</v>
      </c>
    </row>
    <row r="1795" spans="1:14" hidden="1" x14ac:dyDescent="0.35">
      <c r="A1795" t="s">
        <v>731</v>
      </c>
      <c r="B1795" t="s">
        <v>43</v>
      </c>
      <c r="C1795" t="s">
        <v>229</v>
      </c>
      <c r="D1795" t="s">
        <v>229</v>
      </c>
      <c r="E1795" t="s">
        <v>584</v>
      </c>
      <c r="F1795" t="s">
        <v>581</v>
      </c>
      <c r="G1795" t="s">
        <v>396</v>
      </c>
      <c r="H1795">
        <v>11.579370000000001</v>
      </c>
      <c r="I1795">
        <v>9.9949340000000007</v>
      </c>
      <c r="J1795">
        <v>8.621912</v>
      </c>
      <c r="K1795">
        <v>8.2317339999999994</v>
      </c>
      <c r="L1795">
        <v>8.1427239999999994</v>
      </c>
      <c r="M1795">
        <v>6.6137090000000001</v>
      </c>
      <c r="N1795">
        <v>6.0294660000000002</v>
      </c>
    </row>
    <row r="1796" spans="1:14" hidden="1" x14ac:dyDescent="0.35">
      <c r="A1796" t="s">
        <v>731</v>
      </c>
      <c r="B1796" t="s">
        <v>312</v>
      </c>
      <c r="C1796" t="s">
        <v>319</v>
      </c>
      <c r="D1796" t="s">
        <v>319</v>
      </c>
      <c r="E1796" t="s">
        <v>584</v>
      </c>
      <c r="F1796" t="s">
        <v>581</v>
      </c>
      <c r="G1796" t="s">
        <v>24</v>
      </c>
      <c r="K1796">
        <v>0</v>
      </c>
      <c r="L1796">
        <v>0.31169219999999997</v>
      </c>
      <c r="M1796">
        <v>1.874538</v>
      </c>
      <c r="N1796">
        <v>2.8393190000000001</v>
      </c>
    </row>
    <row r="1797" spans="1:14" hidden="1" x14ac:dyDescent="0.35">
      <c r="A1797" t="s">
        <v>731</v>
      </c>
      <c r="B1797" t="s">
        <v>312</v>
      </c>
      <c r="C1797" t="s">
        <v>319</v>
      </c>
      <c r="D1797" t="s">
        <v>319</v>
      </c>
      <c r="E1797" t="s">
        <v>584</v>
      </c>
      <c r="F1797" t="s">
        <v>26</v>
      </c>
      <c r="G1797" t="s">
        <v>26</v>
      </c>
      <c r="K1797">
        <v>0</v>
      </c>
      <c r="L1797">
        <v>1.110317</v>
      </c>
      <c r="M1797">
        <v>7.3152999999999997</v>
      </c>
      <c r="N1797">
        <v>12.5197</v>
      </c>
    </row>
    <row r="1798" spans="1:14" hidden="1" x14ac:dyDescent="0.35">
      <c r="A1798" t="s">
        <v>731</v>
      </c>
      <c r="B1798" t="s">
        <v>320</v>
      </c>
      <c r="C1798" t="s">
        <v>311</v>
      </c>
      <c r="D1798" t="s">
        <v>311</v>
      </c>
      <c r="E1798" t="s">
        <v>584</v>
      </c>
      <c r="F1798" t="s">
        <v>26</v>
      </c>
      <c r="G1798" t="s">
        <v>26</v>
      </c>
      <c r="M1798">
        <v>0</v>
      </c>
      <c r="N1798">
        <v>0</v>
      </c>
    </row>
    <row r="1799" spans="1:14" hidden="1" x14ac:dyDescent="0.35">
      <c r="A1799" t="s">
        <v>734</v>
      </c>
      <c r="B1799" t="s">
        <v>37</v>
      </c>
      <c r="C1799" t="s">
        <v>51</v>
      </c>
      <c r="D1799" t="s">
        <v>51</v>
      </c>
      <c r="E1799" t="s">
        <v>602</v>
      </c>
      <c r="F1799" t="s">
        <v>581</v>
      </c>
      <c r="G1799" t="s">
        <v>396</v>
      </c>
      <c r="H1799">
        <v>30.249600000000001</v>
      </c>
      <c r="I1799">
        <v>30.628299999999999</v>
      </c>
      <c r="J1799">
        <v>31.098369999999999</v>
      </c>
      <c r="K1799">
        <v>24.490390000000001</v>
      </c>
      <c r="L1799">
        <v>18.08728</v>
      </c>
      <c r="M1799">
        <v>13.71772</v>
      </c>
      <c r="N1799">
        <v>10.936769999999999</v>
      </c>
    </row>
    <row r="1800" spans="1:14" hidden="1" x14ac:dyDescent="0.35">
      <c r="A1800" t="s">
        <v>734</v>
      </c>
      <c r="B1800" t="s">
        <v>37</v>
      </c>
      <c r="C1800" t="s">
        <v>51</v>
      </c>
      <c r="D1800" t="s">
        <v>51</v>
      </c>
      <c r="E1800" t="s">
        <v>602</v>
      </c>
      <c r="F1800" t="s">
        <v>581</v>
      </c>
      <c r="G1800" t="s">
        <v>25</v>
      </c>
      <c r="H1800">
        <v>3.391499</v>
      </c>
      <c r="I1800">
        <v>3.5833599999999999</v>
      </c>
      <c r="J1800">
        <v>3.6265619999999998</v>
      </c>
      <c r="K1800">
        <v>2.8559679999999998</v>
      </c>
      <c r="L1800">
        <v>2.1092620000000002</v>
      </c>
      <c r="M1800">
        <v>1.599704</v>
      </c>
      <c r="N1800">
        <v>1.2754019999999999</v>
      </c>
    </row>
    <row r="1801" spans="1:14" hidden="1" x14ac:dyDescent="0.35">
      <c r="A1801" t="s">
        <v>734</v>
      </c>
      <c r="B1801" t="s">
        <v>37</v>
      </c>
      <c r="C1801" t="s">
        <v>51</v>
      </c>
      <c r="D1801" t="s">
        <v>51</v>
      </c>
      <c r="E1801" t="s">
        <v>602</v>
      </c>
      <c r="F1801" t="s">
        <v>26</v>
      </c>
      <c r="G1801" t="s">
        <v>26</v>
      </c>
      <c r="H1801">
        <v>3.2410489999999998</v>
      </c>
      <c r="I1801">
        <v>3.5833599999999999</v>
      </c>
      <c r="J1801">
        <v>3.626563</v>
      </c>
      <c r="K1801">
        <v>2.8559679999999998</v>
      </c>
      <c r="L1801">
        <v>2.1092629999999999</v>
      </c>
      <c r="M1801">
        <v>1.5997049999999999</v>
      </c>
      <c r="N1801">
        <v>1.2753989999999999</v>
      </c>
    </row>
    <row r="1802" spans="1:14" hidden="1" x14ac:dyDescent="0.35">
      <c r="A1802" t="s">
        <v>734</v>
      </c>
      <c r="B1802" t="s">
        <v>37</v>
      </c>
      <c r="C1802" t="s">
        <v>63</v>
      </c>
      <c r="D1802" t="s">
        <v>63</v>
      </c>
      <c r="E1802" t="s">
        <v>621</v>
      </c>
      <c r="F1802" t="s">
        <v>26</v>
      </c>
      <c r="G1802" t="s">
        <v>26</v>
      </c>
      <c r="H1802">
        <v>32.114699999999999</v>
      </c>
      <c r="I1802">
        <v>26.124210000000001</v>
      </c>
      <c r="J1802">
        <v>24.871849999999998</v>
      </c>
      <c r="K1802">
        <v>23.184159999999999</v>
      </c>
      <c r="L1802">
        <v>20.54898</v>
      </c>
      <c r="M1802">
        <v>18.69868</v>
      </c>
      <c r="N1802">
        <v>17.707840000000001</v>
      </c>
    </row>
    <row r="1803" spans="1:14" hidden="1" x14ac:dyDescent="0.35">
      <c r="A1803" t="s">
        <v>734</v>
      </c>
      <c r="B1803" t="s">
        <v>37</v>
      </c>
      <c r="C1803" t="s">
        <v>248</v>
      </c>
      <c r="D1803" t="s">
        <v>248</v>
      </c>
      <c r="E1803" t="s">
        <v>584</v>
      </c>
      <c r="F1803" t="s">
        <v>581</v>
      </c>
      <c r="G1803" t="s">
        <v>396</v>
      </c>
      <c r="H1803">
        <v>1.8408</v>
      </c>
      <c r="I1803">
        <v>1.542575</v>
      </c>
      <c r="J1803">
        <v>1.2925219999999999</v>
      </c>
      <c r="K1803">
        <v>1.080611</v>
      </c>
      <c r="L1803">
        <v>0.89113929999999997</v>
      </c>
      <c r="M1803">
        <v>0.71574760000000004</v>
      </c>
      <c r="N1803">
        <v>0.5751233</v>
      </c>
    </row>
    <row r="1804" spans="1:14" hidden="1" x14ac:dyDescent="0.35">
      <c r="A1804" t="s">
        <v>734</v>
      </c>
      <c r="B1804" t="s">
        <v>37</v>
      </c>
      <c r="C1804" t="s">
        <v>248</v>
      </c>
      <c r="D1804" t="s">
        <v>248</v>
      </c>
      <c r="E1804" t="s">
        <v>584</v>
      </c>
      <c r="F1804" t="s">
        <v>26</v>
      </c>
      <c r="G1804" t="s">
        <v>26</v>
      </c>
      <c r="H1804">
        <v>0.70464919999999998</v>
      </c>
      <c r="I1804">
        <v>0.47233969999999997</v>
      </c>
      <c r="J1804">
        <v>0.31676379999999998</v>
      </c>
      <c r="K1804">
        <v>0.2126063</v>
      </c>
      <c r="L1804">
        <v>0.142514</v>
      </c>
      <c r="M1804">
        <v>9.5530409999999996E-2</v>
      </c>
      <c r="N1804">
        <v>6.4035069999999999E-2</v>
      </c>
    </row>
    <row r="1805" spans="1:14" hidden="1" x14ac:dyDescent="0.35">
      <c r="A1805" t="s">
        <v>734</v>
      </c>
      <c r="B1805" t="s">
        <v>37</v>
      </c>
      <c r="C1805" t="s">
        <v>218</v>
      </c>
      <c r="D1805" t="s">
        <v>218</v>
      </c>
      <c r="E1805" t="s">
        <v>593</v>
      </c>
      <c r="F1805" t="s">
        <v>581</v>
      </c>
      <c r="G1805" t="s">
        <v>396</v>
      </c>
      <c r="H1805">
        <v>0.7712</v>
      </c>
      <c r="I1805">
        <v>1.1405270000000001</v>
      </c>
      <c r="J1805">
        <v>1.3034619999999999</v>
      </c>
      <c r="K1805">
        <v>1.1090120000000001</v>
      </c>
      <c r="L1805">
        <v>1.0429269999999999</v>
      </c>
      <c r="M1805">
        <v>0.98509199999999997</v>
      </c>
      <c r="N1805">
        <v>0.91988309999999995</v>
      </c>
    </row>
    <row r="1806" spans="1:14" hidden="1" x14ac:dyDescent="0.35">
      <c r="A1806" t="s">
        <v>734</v>
      </c>
      <c r="B1806" t="s">
        <v>34</v>
      </c>
      <c r="C1806" t="s">
        <v>33</v>
      </c>
      <c r="D1806" t="s">
        <v>33</v>
      </c>
      <c r="E1806" t="s">
        <v>584</v>
      </c>
      <c r="F1806" t="s">
        <v>581</v>
      </c>
      <c r="G1806" t="s">
        <v>396</v>
      </c>
      <c r="H1806">
        <v>1.7339119999999999</v>
      </c>
      <c r="I1806">
        <v>1.8115889999999999</v>
      </c>
      <c r="J1806">
        <v>1.7127889999999999</v>
      </c>
      <c r="K1806">
        <v>1.620439</v>
      </c>
      <c r="L1806">
        <v>1.525131</v>
      </c>
      <c r="M1806">
        <v>0.67992600000000003</v>
      </c>
      <c r="N1806">
        <v>0.66761789999999999</v>
      </c>
    </row>
    <row r="1807" spans="1:14" hidden="1" x14ac:dyDescent="0.35">
      <c r="A1807" t="s">
        <v>734</v>
      </c>
      <c r="B1807" t="s">
        <v>34</v>
      </c>
      <c r="C1807" t="s">
        <v>33</v>
      </c>
      <c r="D1807" t="s">
        <v>33</v>
      </c>
      <c r="E1807" t="s">
        <v>584</v>
      </c>
      <c r="F1807" t="s">
        <v>581</v>
      </c>
      <c r="G1807" t="s">
        <v>25</v>
      </c>
      <c r="H1807">
        <v>0.60144390000000003</v>
      </c>
      <c r="I1807">
        <v>0.72883010000000004</v>
      </c>
      <c r="J1807">
        <v>0.76208770000000003</v>
      </c>
      <c r="K1807">
        <v>0.73481909999999995</v>
      </c>
      <c r="L1807">
        <v>0.71552740000000004</v>
      </c>
      <c r="M1807">
        <v>0.67988349999999997</v>
      </c>
      <c r="N1807">
        <v>0.66140770000000004</v>
      </c>
    </row>
    <row r="1808" spans="1:14" hidden="1" x14ac:dyDescent="0.35">
      <c r="A1808" t="s">
        <v>734</v>
      </c>
      <c r="B1808" t="s">
        <v>34</v>
      </c>
      <c r="C1808" t="s">
        <v>33</v>
      </c>
      <c r="D1808" t="s">
        <v>33</v>
      </c>
      <c r="E1808" t="s">
        <v>584</v>
      </c>
      <c r="F1808" t="s">
        <v>26</v>
      </c>
      <c r="G1808" t="s">
        <v>26</v>
      </c>
      <c r="H1808">
        <v>2.6044849999999999</v>
      </c>
      <c r="I1808">
        <v>2.0581010000000002</v>
      </c>
      <c r="J1808">
        <v>1.467276</v>
      </c>
      <c r="K1808">
        <v>1.2606740000000001</v>
      </c>
      <c r="L1808">
        <v>1.118015</v>
      </c>
      <c r="M1808">
        <v>0.82216659999999997</v>
      </c>
      <c r="N1808">
        <v>0.77385780000000004</v>
      </c>
    </row>
    <row r="1809" spans="1:14" hidden="1" x14ac:dyDescent="0.35">
      <c r="A1809" t="s">
        <v>734</v>
      </c>
      <c r="B1809" t="s">
        <v>34</v>
      </c>
      <c r="C1809" t="s">
        <v>33</v>
      </c>
      <c r="D1809" t="s">
        <v>33</v>
      </c>
      <c r="E1809" t="s">
        <v>604</v>
      </c>
      <c r="F1809" t="s">
        <v>581</v>
      </c>
      <c r="G1809" t="s">
        <v>396</v>
      </c>
      <c r="H1809">
        <v>0.85360279999999999</v>
      </c>
      <c r="I1809">
        <v>1.4438770000000001</v>
      </c>
      <c r="J1809">
        <v>1.381213</v>
      </c>
      <c r="K1809">
        <v>1.262902</v>
      </c>
      <c r="L1809">
        <v>1.1229849999999999</v>
      </c>
      <c r="M1809">
        <v>1.004324</v>
      </c>
      <c r="N1809">
        <v>0.97043480000000004</v>
      </c>
    </row>
    <row r="1810" spans="1:14" hidden="1" x14ac:dyDescent="0.35">
      <c r="A1810" t="s">
        <v>734</v>
      </c>
      <c r="B1810" t="s">
        <v>34</v>
      </c>
      <c r="C1810" t="s">
        <v>33</v>
      </c>
      <c r="D1810" t="s">
        <v>33</v>
      </c>
      <c r="E1810" t="s">
        <v>604</v>
      </c>
      <c r="F1810" t="s">
        <v>581</v>
      </c>
      <c r="G1810" t="s">
        <v>25</v>
      </c>
      <c r="H1810">
        <v>5.5471230000000003E-2</v>
      </c>
      <c r="I1810">
        <v>2.1232330000000001E-2</v>
      </c>
      <c r="J1810">
        <v>2.031123E-2</v>
      </c>
      <c r="K1810">
        <v>1.8574790000000001E-2</v>
      </c>
      <c r="L1810">
        <v>1.6514520000000001E-2</v>
      </c>
      <c r="M1810">
        <v>1.47663E-2</v>
      </c>
      <c r="N1810">
        <v>1.427397E-2</v>
      </c>
    </row>
    <row r="1811" spans="1:14" hidden="1" x14ac:dyDescent="0.35">
      <c r="A1811" t="s">
        <v>734</v>
      </c>
      <c r="B1811" t="s">
        <v>34</v>
      </c>
      <c r="C1811" t="s">
        <v>33</v>
      </c>
      <c r="D1811" t="s">
        <v>33</v>
      </c>
      <c r="E1811" t="s">
        <v>604</v>
      </c>
      <c r="F1811" t="s">
        <v>26</v>
      </c>
      <c r="G1811" t="s">
        <v>26</v>
      </c>
      <c r="H1811">
        <v>0.34300819999999999</v>
      </c>
      <c r="I1811">
        <v>0.66888049999999999</v>
      </c>
      <c r="J1811">
        <v>0.63985230000000004</v>
      </c>
      <c r="K1811">
        <v>0.58504330000000004</v>
      </c>
      <c r="L1811">
        <v>0.52022389999999996</v>
      </c>
      <c r="M1811">
        <v>0.4652578</v>
      </c>
      <c r="N1811">
        <v>0.44955810000000002</v>
      </c>
    </row>
    <row r="1812" spans="1:14" hidden="1" x14ac:dyDescent="0.35">
      <c r="A1812" t="s">
        <v>734</v>
      </c>
      <c r="B1812" t="s">
        <v>34</v>
      </c>
      <c r="C1812" t="s">
        <v>33</v>
      </c>
      <c r="D1812" t="s">
        <v>33</v>
      </c>
      <c r="E1812" t="s">
        <v>636</v>
      </c>
      <c r="F1812" t="s">
        <v>581</v>
      </c>
      <c r="G1812" t="s">
        <v>396</v>
      </c>
      <c r="H1812">
        <v>0</v>
      </c>
      <c r="I1812">
        <v>7.5890409999999995E-4</v>
      </c>
      <c r="J1812">
        <v>6.684932E-4</v>
      </c>
      <c r="K1812">
        <v>5.9999999999999995E-4</v>
      </c>
      <c r="L1812">
        <v>1.2915069999999999E-3</v>
      </c>
      <c r="M1812">
        <v>9.0246559999999996E-4</v>
      </c>
      <c r="N1812">
        <v>7.0301360000000004E-4</v>
      </c>
    </row>
    <row r="1813" spans="1:14" hidden="1" x14ac:dyDescent="0.35">
      <c r="A1813" t="s">
        <v>734</v>
      </c>
      <c r="B1813" t="s">
        <v>34</v>
      </c>
      <c r="C1813" t="s">
        <v>33</v>
      </c>
      <c r="D1813" t="s">
        <v>33</v>
      </c>
      <c r="E1813" t="s">
        <v>636</v>
      </c>
      <c r="F1813" t="s">
        <v>581</v>
      </c>
      <c r="G1813" t="s">
        <v>25</v>
      </c>
      <c r="H1813">
        <v>2.3090409999999999E-2</v>
      </c>
      <c r="I1813">
        <v>3.5621100000000003E-2</v>
      </c>
      <c r="J1813">
        <v>3.1416439999999997E-2</v>
      </c>
      <c r="K1813">
        <v>2.8189039999999999E-2</v>
      </c>
      <c r="L1813">
        <v>6.074301E-2</v>
      </c>
      <c r="M1813">
        <v>4.2361370000000002E-2</v>
      </c>
      <c r="N1813">
        <v>3.2958349999999997E-2</v>
      </c>
    </row>
    <row r="1814" spans="1:14" hidden="1" x14ac:dyDescent="0.35">
      <c r="A1814" t="s">
        <v>734</v>
      </c>
      <c r="B1814" t="s">
        <v>34</v>
      </c>
      <c r="C1814" t="s">
        <v>33</v>
      </c>
      <c r="D1814" t="s">
        <v>33</v>
      </c>
      <c r="E1814" t="s">
        <v>636</v>
      </c>
      <c r="F1814" t="s">
        <v>26</v>
      </c>
      <c r="G1814" t="s">
        <v>26</v>
      </c>
      <c r="H1814">
        <v>1.554795E-2</v>
      </c>
      <c r="I1814">
        <v>3.9621919999999998E-2</v>
      </c>
      <c r="J1814">
        <v>3.493972E-2</v>
      </c>
      <c r="K1814">
        <v>3.1353430000000002E-2</v>
      </c>
      <c r="L1814">
        <v>6.7561650000000001E-2</v>
      </c>
      <c r="M1814">
        <v>4.7119719999999997E-2</v>
      </c>
      <c r="N1814">
        <v>3.6658900000000001E-2</v>
      </c>
    </row>
    <row r="1815" spans="1:14" hidden="1" x14ac:dyDescent="0.35">
      <c r="A1815" t="s">
        <v>734</v>
      </c>
      <c r="B1815" t="s">
        <v>34</v>
      </c>
      <c r="C1815" t="s">
        <v>230</v>
      </c>
      <c r="D1815" t="s">
        <v>230</v>
      </c>
      <c r="E1815" t="s">
        <v>697</v>
      </c>
      <c r="F1815" t="s">
        <v>581</v>
      </c>
      <c r="G1815" t="s">
        <v>396</v>
      </c>
      <c r="H1815">
        <v>2.2965119999999999</v>
      </c>
      <c r="I1815">
        <v>0.98713390000000001</v>
      </c>
      <c r="J1815">
        <v>0.89342120000000003</v>
      </c>
      <c r="K1815">
        <v>0.76842770000000005</v>
      </c>
      <c r="L1815">
        <v>0.68951419999999997</v>
      </c>
      <c r="M1815">
        <v>0.59352170000000004</v>
      </c>
      <c r="N1815">
        <v>0.51469949999999998</v>
      </c>
    </row>
    <row r="1816" spans="1:14" hidden="1" x14ac:dyDescent="0.35">
      <c r="A1816" t="s">
        <v>734</v>
      </c>
      <c r="B1816" t="s">
        <v>34</v>
      </c>
      <c r="C1816" t="s">
        <v>230</v>
      </c>
      <c r="D1816" t="s">
        <v>230</v>
      </c>
      <c r="E1816" t="s">
        <v>584</v>
      </c>
      <c r="F1816" t="s">
        <v>581</v>
      </c>
      <c r="G1816" t="s">
        <v>396</v>
      </c>
      <c r="H1816">
        <v>1.810079</v>
      </c>
      <c r="I1816">
        <v>1.28074</v>
      </c>
      <c r="J1816">
        <v>0.85889890000000002</v>
      </c>
      <c r="K1816">
        <v>0.57647749999999998</v>
      </c>
      <c r="L1816">
        <v>0.38642389999999999</v>
      </c>
      <c r="M1816">
        <v>0.25902849999999999</v>
      </c>
      <c r="N1816">
        <v>0.17363129999999999</v>
      </c>
    </row>
    <row r="1817" spans="1:14" hidden="1" x14ac:dyDescent="0.35">
      <c r="A1817" t="s">
        <v>734</v>
      </c>
      <c r="B1817" t="s">
        <v>34</v>
      </c>
      <c r="C1817" t="s">
        <v>230</v>
      </c>
      <c r="D1817" t="s">
        <v>230</v>
      </c>
      <c r="E1817" t="s">
        <v>584</v>
      </c>
      <c r="F1817" t="s">
        <v>26</v>
      </c>
      <c r="G1817" t="s">
        <v>26</v>
      </c>
      <c r="H1817">
        <v>3.9509589999999997E-2</v>
      </c>
      <c r="I1817">
        <v>3.9509589999999997E-2</v>
      </c>
      <c r="J1817">
        <v>3.9509589999999997E-2</v>
      </c>
      <c r="K1817">
        <v>3.9509589999999997E-2</v>
      </c>
      <c r="L1817">
        <v>3.9509589999999997E-2</v>
      </c>
      <c r="M1817">
        <v>3.9509589999999997E-2</v>
      </c>
      <c r="N1817">
        <v>3.9509589999999997E-2</v>
      </c>
    </row>
    <row r="1818" spans="1:14" hidden="1" x14ac:dyDescent="0.35">
      <c r="A1818" t="s">
        <v>736</v>
      </c>
      <c r="B1818" t="s">
        <v>34</v>
      </c>
      <c r="C1818" t="s">
        <v>33</v>
      </c>
      <c r="D1818" t="s">
        <v>33</v>
      </c>
      <c r="E1818" t="s">
        <v>605</v>
      </c>
      <c r="F1818" t="s">
        <v>581</v>
      </c>
      <c r="G1818" t="s">
        <v>396</v>
      </c>
      <c r="H1818">
        <v>0</v>
      </c>
    </row>
    <row r="1819" spans="1:14" hidden="1" x14ac:dyDescent="0.35">
      <c r="A1819" t="s">
        <v>736</v>
      </c>
      <c r="B1819" t="s">
        <v>34</v>
      </c>
      <c r="C1819" t="s">
        <v>33</v>
      </c>
      <c r="D1819" t="s">
        <v>33</v>
      </c>
      <c r="E1819" t="s">
        <v>605</v>
      </c>
      <c r="F1819" t="s">
        <v>581</v>
      </c>
      <c r="G1819" t="s">
        <v>25</v>
      </c>
      <c r="H1819">
        <v>4.3871950000000002</v>
      </c>
      <c r="I1819">
        <v>4.1864720000000002</v>
      </c>
      <c r="J1819">
        <v>3.9046219999999998</v>
      </c>
      <c r="K1819">
        <v>3.3779520000000001</v>
      </c>
      <c r="L1819">
        <v>3.0598529999999999</v>
      </c>
      <c r="M1819">
        <v>2.6118359999999998</v>
      </c>
      <c r="N1819">
        <v>2.2137760000000002</v>
      </c>
    </row>
    <row r="1820" spans="1:14" hidden="1" x14ac:dyDescent="0.35">
      <c r="A1820" t="s">
        <v>736</v>
      </c>
      <c r="B1820" t="s">
        <v>34</v>
      </c>
      <c r="C1820" t="s">
        <v>33</v>
      </c>
      <c r="D1820" t="s">
        <v>33</v>
      </c>
      <c r="E1820" t="s">
        <v>605</v>
      </c>
      <c r="F1820" t="s">
        <v>26</v>
      </c>
      <c r="G1820" t="s">
        <v>26</v>
      </c>
      <c r="H1820">
        <v>42.064019999999999</v>
      </c>
      <c r="I1820">
        <v>42.094850000000001</v>
      </c>
      <c r="J1820">
        <v>39.089030000000001</v>
      </c>
      <c r="K1820">
        <v>33.808439999999997</v>
      </c>
      <c r="L1820">
        <v>30.611660000000001</v>
      </c>
      <c r="M1820">
        <v>26.106159999999999</v>
      </c>
      <c r="N1820">
        <v>22.11581</v>
      </c>
    </row>
    <row r="1821" spans="1:14" hidden="1" x14ac:dyDescent="0.35">
      <c r="A1821" t="s">
        <v>736</v>
      </c>
      <c r="B1821" t="s">
        <v>34</v>
      </c>
      <c r="C1821" t="s">
        <v>33</v>
      </c>
      <c r="D1821" t="s">
        <v>33</v>
      </c>
      <c r="E1821" t="s">
        <v>604</v>
      </c>
      <c r="F1821" t="s">
        <v>581</v>
      </c>
      <c r="G1821" t="s">
        <v>396</v>
      </c>
      <c r="H1821">
        <v>4.2273449999999997</v>
      </c>
      <c r="I1821">
        <v>4.6885300000000001</v>
      </c>
      <c r="J1821">
        <v>4.1334850000000003</v>
      </c>
      <c r="K1821">
        <v>3.5119440000000002</v>
      </c>
      <c r="L1821">
        <v>3.0977760000000001</v>
      </c>
      <c r="M1821">
        <v>2.8443489999999998</v>
      </c>
      <c r="N1821">
        <v>2.716116</v>
      </c>
    </row>
    <row r="1822" spans="1:14" hidden="1" x14ac:dyDescent="0.35">
      <c r="A1822" t="s">
        <v>736</v>
      </c>
      <c r="B1822" t="s">
        <v>34</v>
      </c>
      <c r="C1822" t="s">
        <v>33</v>
      </c>
      <c r="D1822" t="s">
        <v>33</v>
      </c>
      <c r="E1822" t="s">
        <v>604</v>
      </c>
      <c r="F1822" t="s">
        <v>581</v>
      </c>
      <c r="G1822" t="s">
        <v>25</v>
      </c>
      <c r="H1822">
        <v>6.8314219999999999</v>
      </c>
      <c r="I1822">
        <v>7.0329309999999996</v>
      </c>
      <c r="J1822">
        <v>6.2003529999999998</v>
      </c>
      <c r="K1822">
        <v>5.2680230000000003</v>
      </c>
      <c r="L1822">
        <v>4.6467549999999997</v>
      </c>
      <c r="M1822">
        <v>4.2666089999999999</v>
      </c>
      <c r="N1822">
        <v>4.0742570000000002</v>
      </c>
    </row>
    <row r="1823" spans="1:14" hidden="1" x14ac:dyDescent="0.35">
      <c r="A1823" t="s">
        <v>736</v>
      </c>
      <c r="B1823" t="s">
        <v>34</v>
      </c>
      <c r="C1823" t="s">
        <v>33</v>
      </c>
      <c r="D1823" t="s">
        <v>33</v>
      </c>
      <c r="E1823" t="s">
        <v>604</v>
      </c>
      <c r="F1823" t="s">
        <v>26</v>
      </c>
      <c r="G1823" t="s">
        <v>26</v>
      </c>
      <c r="H1823">
        <v>14.206659999999999</v>
      </c>
      <c r="I1823">
        <v>14.557700000000001</v>
      </c>
      <c r="J1823">
        <v>12.83431</v>
      </c>
      <c r="K1823">
        <v>10.904450000000001</v>
      </c>
      <c r="L1823">
        <v>9.6184790000000007</v>
      </c>
      <c r="M1823">
        <v>8.8315979999999996</v>
      </c>
      <c r="N1823">
        <v>8.4334520000000008</v>
      </c>
    </row>
    <row r="1824" spans="1:14" hidden="1" x14ac:dyDescent="0.35">
      <c r="A1824" t="s">
        <v>736</v>
      </c>
      <c r="B1824" t="s">
        <v>34</v>
      </c>
      <c r="C1824" t="s">
        <v>33</v>
      </c>
      <c r="D1824" t="s">
        <v>33</v>
      </c>
      <c r="E1824" t="s">
        <v>584</v>
      </c>
      <c r="F1824" t="s">
        <v>581</v>
      </c>
      <c r="G1824" t="s">
        <v>396</v>
      </c>
      <c r="H1824">
        <v>7.0520549999999998E-3</v>
      </c>
      <c r="I1824">
        <v>6.268493E-3</v>
      </c>
      <c r="J1824">
        <v>5.4438359999999996E-3</v>
      </c>
      <c r="K1824">
        <v>4.8624649999999998E-3</v>
      </c>
      <c r="L1824">
        <v>3.7345199999999999E-3</v>
      </c>
      <c r="M1824">
        <v>3.5443829999999999E-3</v>
      </c>
      <c r="N1824">
        <v>3.3808219999999999E-3</v>
      </c>
    </row>
    <row r="1825" spans="1:14" hidden="1" x14ac:dyDescent="0.35">
      <c r="A1825" t="s">
        <v>736</v>
      </c>
      <c r="B1825" t="s">
        <v>34</v>
      </c>
      <c r="C1825" t="s">
        <v>33</v>
      </c>
      <c r="D1825" t="s">
        <v>33</v>
      </c>
      <c r="E1825" t="s">
        <v>584</v>
      </c>
      <c r="F1825" t="s">
        <v>581</v>
      </c>
      <c r="G1825" t="s">
        <v>24</v>
      </c>
      <c r="H1825">
        <v>0</v>
      </c>
    </row>
    <row r="1826" spans="1:14" hidden="1" x14ac:dyDescent="0.35">
      <c r="A1826" t="s">
        <v>736</v>
      </c>
      <c r="B1826" t="s">
        <v>34</v>
      </c>
      <c r="C1826" t="s">
        <v>33</v>
      </c>
      <c r="D1826" t="s">
        <v>33</v>
      </c>
      <c r="E1826" t="s">
        <v>584</v>
      </c>
      <c r="F1826" t="s">
        <v>581</v>
      </c>
      <c r="G1826" t="s">
        <v>25</v>
      </c>
      <c r="H1826">
        <v>4.6216439999999998E-2</v>
      </c>
      <c r="I1826">
        <v>4.5309580000000002E-2</v>
      </c>
      <c r="J1826">
        <v>4.4410959999999999E-2</v>
      </c>
      <c r="K1826">
        <v>4.3446029999999997E-2</v>
      </c>
      <c r="L1826">
        <v>4.2172599999999998E-2</v>
      </c>
      <c r="M1826">
        <v>4.0030410000000002E-2</v>
      </c>
      <c r="N1826">
        <v>3.8169040000000001E-2</v>
      </c>
    </row>
    <row r="1827" spans="1:14" hidden="1" x14ac:dyDescent="0.35">
      <c r="A1827" t="s">
        <v>736</v>
      </c>
      <c r="B1827" t="s">
        <v>34</v>
      </c>
      <c r="C1827" t="s">
        <v>33</v>
      </c>
      <c r="D1827" t="s">
        <v>33</v>
      </c>
      <c r="E1827" t="s">
        <v>584</v>
      </c>
      <c r="F1827" t="s">
        <v>26</v>
      </c>
      <c r="G1827" t="s">
        <v>26</v>
      </c>
      <c r="H1827">
        <v>0.78166570000000002</v>
      </c>
      <c r="I1827">
        <v>0.78088769999999996</v>
      </c>
      <c r="J1827">
        <v>0.78010400000000002</v>
      </c>
      <c r="K1827">
        <v>0.77926220000000002</v>
      </c>
      <c r="L1827">
        <v>0.77815089999999998</v>
      </c>
      <c r="M1827">
        <v>0.77628520000000001</v>
      </c>
      <c r="N1827">
        <v>0.7746613</v>
      </c>
    </row>
    <row r="1828" spans="1:14" hidden="1" x14ac:dyDescent="0.35">
      <c r="A1828" t="s">
        <v>743</v>
      </c>
      <c r="B1828" t="s">
        <v>37</v>
      </c>
      <c r="C1828" t="s">
        <v>35</v>
      </c>
      <c r="D1828" t="s">
        <v>129</v>
      </c>
      <c r="E1828" t="s">
        <v>580</v>
      </c>
      <c r="F1828" t="s">
        <v>581</v>
      </c>
      <c r="G1828" t="s">
        <v>396</v>
      </c>
      <c r="H1828">
        <v>34.187399999999997</v>
      </c>
      <c r="I1828">
        <v>30.76998</v>
      </c>
      <c r="J1828">
        <v>31.10286</v>
      </c>
      <c r="K1828">
        <v>28.03848</v>
      </c>
      <c r="L1828">
        <v>23.219460000000002</v>
      </c>
      <c r="M1828">
        <v>19.660419999999998</v>
      </c>
      <c r="N1828">
        <v>17.380880000000001</v>
      </c>
    </row>
    <row r="1829" spans="1:14" hidden="1" x14ac:dyDescent="0.35">
      <c r="A1829" t="s">
        <v>743</v>
      </c>
      <c r="B1829" t="s">
        <v>37</v>
      </c>
      <c r="C1829" t="s">
        <v>35</v>
      </c>
      <c r="D1829" t="s">
        <v>129</v>
      </c>
      <c r="E1829" t="s">
        <v>580</v>
      </c>
      <c r="F1829" t="s">
        <v>581</v>
      </c>
      <c r="G1829" t="s">
        <v>25</v>
      </c>
      <c r="H1829">
        <v>11.487120000000001</v>
      </c>
      <c r="I1829">
        <v>10.791510000000001</v>
      </c>
      <c r="J1829">
        <v>10.91328</v>
      </c>
      <c r="K1829">
        <v>9.8380670000000006</v>
      </c>
      <c r="L1829">
        <v>8.147176</v>
      </c>
      <c r="M1829">
        <v>6.898396</v>
      </c>
      <c r="N1829">
        <v>6.0985500000000004</v>
      </c>
    </row>
    <row r="1830" spans="1:14" hidden="1" x14ac:dyDescent="0.35">
      <c r="A1830" t="s">
        <v>743</v>
      </c>
      <c r="B1830" t="s">
        <v>37</v>
      </c>
      <c r="C1830" t="s">
        <v>35</v>
      </c>
      <c r="D1830" t="s">
        <v>129</v>
      </c>
      <c r="E1830" t="s">
        <v>580</v>
      </c>
      <c r="F1830" t="s">
        <v>26</v>
      </c>
      <c r="G1830" t="s">
        <v>26</v>
      </c>
      <c r="H1830">
        <v>15.252599999999999</v>
      </c>
      <c r="I1830">
        <v>12.41023</v>
      </c>
      <c r="J1830">
        <v>12.550280000000001</v>
      </c>
      <c r="K1830">
        <v>11.31377</v>
      </c>
      <c r="L1830">
        <v>9.3692569999999993</v>
      </c>
      <c r="M1830">
        <v>7.9331519999999998</v>
      </c>
      <c r="N1830">
        <v>7.0133369999999999</v>
      </c>
    </row>
    <row r="1831" spans="1:14" hidden="1" x14ac:dyDescent="0.35">
      <c r="A1831" t="s">
        <v>743</v>
      </c>
      <c r="B1831" t="s">
        <v>37</v>
      </c>
      <c r="C1831" t="s">
        <v>35</v>
      </c>
      <c r="D1831" t="s">
        <v>39</v>
      </c>
      <c r="E1831" t="s">
        <v>582</v>
      </c>
      <c r="F1831" t="s">
        <v>581</v>
      </c>
      <c r="G1831" t="s">
        <v>396</v>
      </c>
      <c r="H1831">
        <v>8.5019179999999999</v>
      </c>
      <c r="I1831">
        <v>7.8785689999999997</v>
      </c>
      <c r="J1831">
        <v>7.417751</v>
      </c>
      <c r="K1831">
        <v>6.7248320000000001</v>
      </c>
      <c r="L1831">
        <v>5.9778180000000001</v>
      </c>
      <c r="M1831">
        <v>4.6500209999999997</v>
      </c>
      <c r="N1831">
        <v>3.6192530000000001</v>
      </c>
    </row>
    <row r="1832" spans="1:14" hidden="1" x14ac:dyDescent="0.35">
      <c r="A1832" t="s">
        <v>743</v>
      </c>
      <c r="B1832" t="s">
        <v>37</v>
      </c>
      <c r="C1832" t="s">
        <v>35</v>
      </c>
      <c r="D1832" t="s">
        <v>39</v>
      </c>
      <c r="E1832" t="s">
        <v>582</v>
      </c>
      <c r="F1832" t="s">
        <v>581</v>
      </c>
      <c r="G1832" t="s">
        <v>25</v>
      </c>
      <c r="H1832">
        <v>2.8536990000000002</v>
      </c>
      <c r="I1832">
        <v>2.7644099999999998</v>
      </c>
      <c r="J1832">
        <v>2.6027200000000001</v>
      </c>
      <c r="K1832">
        <v>2.3595899999999999</v>
      </c>
      <c r="L1832">
        <v>2.0974759999999999</v>
      </c>
      <c r="M1832">
        <v>1.631589</v>
      </c>
      <c r="N1832">
        <v>1.2699130000000001</v>
      </c>
    </row>
    <row r="1833" spans="1:14" hidden="1" x14ac:dyDescent="0.35">
      <c r="A1833" t="s">
        <v>743</v>
      </c>
      <c r="B1833" t="s">
        <v>37</v>
      </c>
      <c r="C1833" t="s">
        <v>35</v>
      </c>
      <c r="D1833" t="s">
        <v>39</v>
      </c>
      <c r="E1833" t="s">
        <v>582</v>
      </c>
      <c r="F1833" t="s">
        <v>26</v>
      </c>
      <c r="G1833" t="s">
        <v>26</v>
      </c>
      <c r="H1833">
        <v>3.7895889999999999</v>
      </c>
      <c r="I1833">
        <v>3.1790720000000001</v>
      </c>
      <c r="J1833">
        <v>2.9931290000000002</v>
      </c>
      <c r="K1833">
        <v>2.7135289999999999</v>
      </c>
      <c r="L1833">
        <v>2.4121039999999998</v>
      </c>
      <c r="M1833">
        <v>1.876323</v>
      </c>
      <c r="N1833">
        <v>1.4603999999999999</v>
      </c>
    </row>
    <row r="1834" spans="1:14" hidden="1" x14ac:dyDescent="0.35">
      <c r="A1834" t="s">
        <v>737</v>
      </c>
      <c r="B1834" t="s">
        <v>34</v>
      </c>
      <c r="C1834" t="s">
        <v>33</v>
      </c>
      <c r="D1834" t="s">
        <v>33</v>
      </c>
      <c r="E1834" t="s">
        <v>584</v>
      </c>
      <c r="F1834" t="s">
        <v>581</v>
      </c>
      <c r="G1834" t="s">
        <v>396</v>
      </c>
      <c r="H1834">
        <v>21.083320000000001</v>
      </c>
      <c r="I1834">
        <v>21.081659999999999</v>
      </c>
      <c r="J1834">
        <v>20.13391</v>
      </c>
      <c r="K1834">
        <v>18.909079999999999</v>
      </c>
      <c r="L1834">
        <v>17.81664</v>
      </c>
      <c r="M1834">
        <v>9.0763449999999999</v>
      </c>
      <c r="N1834">
        <v>8.5926279999999995</v>
      </c>
    </row>
    <row r="1835" spans="1:14" hidden="1" x14ac:dyDescent="0.35">
      <c r="A1835" t="s">
        <v>737</v>
      </c>
      <c r="B1835" t="s">
        <v>34</v>
      </c>
      <c r="C1835" t="s">
        <v>33</v>
      </c>
      <c r="D1835" t="s">
        <v>33</v>
      </c>
      <c r="E1835" t="s">
        <v>584</v>
      </c>
      <c r="F1835" t="s">
        <v>581</v>
      </c>
      <c r="G1835" t="s">
        <v>24</v>
      </c>
      <c r="H1835">
        <v>7.6936989999999997E-2</v>
      </c>
      <c r="I1835">
        <v>5.5126029999999999E-2</v>
      </c>
      <c r="J1835">
        <v>3.7641099999999997E-2</v>
      </c>
      <c r="K1835">
        <v>2.5917800000000001E-2</v>
      </c>
      <c r="L1835">
        <v>1.8063010000000001E-2</v>
      </c>
      <c r="M1835">
        <v>1.279452E-2</v>
      </c>
      <c r="N1835">
        <v>9.2657529999999998E-3</v>
      </c>
    </row>
    <row r="1836" spans="1:14" hidden="1" x14ac:dyDescent="0.35">
      <c r="A1836" t="s">
        <v>737</v>
      </c>
      <c r="B1836" t="s">
        <v>34</v>
      </c>
      <c r="C1836" t="s">
        <v>33</v>
      </c>
      <c r="D1836" t="s">
        <v>33</v>
      </c>
      <c r="E1836" t="s">
        <v>584</v>
      </c>
      <c r="F1836" t="s">
        <v>581</v>
      </c>
      <c r="G1836" t="s">
        <v>25</v>
      </c>
      <c r="H1836">
        <v>0.63023560000000001</v>
      </c>
      <c r="I1836">
        <v>0.46246579999999998</v>
      </c>
      <c r="J1836">
        <v>0.3471841</v>
      </c>
      <c r="K1836">
        <v>0.26736870000000001</v>
      </c>
      <c r="L1836">
        <v>0.21056030000000001</v>
      </c>
      <c r="M1836">
        <v>0.1625663</v>
      </c>
      <c r="N1836">
        <v>0.1343268</v>
      </c>
    </row>
    <row r="1837" spans="1:14" hidden="1" x14ac:dyDescent="0.35">
      <c r="A1837" t="s">
        <v>737</v>
      </c>
      <c r="B1837" t="s">
        <v>34</v>
      </c>
      <c r="C1837" t="s">
        <v>33</v>
      </c>
      <c r="D1837" t="s">
        <v>33</v>
      </c>
      <c r="E1837" t="s">
        <v>584</v>
      </c>
      <c r="F1837" t="s">
        <v>26</v>
      </c>
      <c r="G1837" t="s">
        <v>26</v>
      </c>
      <c r="H1837">
        <v>5.1428370000000001</v>
      </c>
      <c r="I1837">
        <v>3.6055830000000002</v>
      </c>
      <c r="J1837">
        <v>2.5661480000000001</v>
      </c>
      <c r="K1837">
        <v>1.8674850000000001</v>
      </c>
      <c r="L1837">
        <v>1.393743</v>
      </c>
      <c r="M1837">
        <v>0.89133969999999996</v>
      </c>
      <c r="N1837">
        <v>0.73003150000000006</v>
      </c>
    </row>
    <row r="1838" spans="1:14" hidden="1" x14ac:dyDescent="0.35">
      <c r="A1838" t="s">
        <v>737</v>
      </c>
      <c r="B1838" t="s">
        <v>34</v>
      </c>
      <c r="C1838" t="s">
        <v>33</v>
      </c>
      <c r="D1838" t="s">
        <v>33</v>
      </c>
      <c r="E1838" t="s">
        <v>699</v>
      </c>
      <c r="F1838" t="s">
        <v>581</v>
      </c>
      <c r="G1838" t="s">
        <v>396</v>
      </c>
      <c r="H1838">
        <v>12.816660000000001</v>
      </c>
      <c r="I1838">
        <v>9.5922920000000005</v>
      </c>
      <c r="J1838">
        <v>9.7083200000000005</v>
      </c>
      <c r="K1838">
        <v>8.1886159999999997</v>
      </c>
      <c r="L1838">
        <v>6.9837990000000003</v>
      </c>
      <c r="M1838">
        <v>6.0620149999999997</v>
      </c>
      <c r="N1838">
        <v>5.4126940000000001</v>
      </c>
    </row>
    <row r="1839" spans="1:14" hidden="1" x14ac:dyDescent="0.35">
      <c r="A1839" t="s">
        <v>737</v>
      </c>
      <c r="B1839" t="s">
        <v>34</v>
      </c>
      <c r="C1839" t="s">
        <v>33</v>
      </c>
      <c r="D1839" t="s">
        <v>33</v>
      </c>
      <c r="E1839" t="s">
        <v>699</v>
      </c>
      <c r="F1839" t="s">
        <v>581</v>
      </c>
      <c r="G1839" t="s">
        <v>25</v>
      </c>
      <c r="H1839">
        <v>7.4824660000000001E-2</v>
      </c>
      <c r="I1839">
        <v>0.53149670000000004</v>
      </c>
      <c r="J1839">
        <v>0.5316594</v>
      </c>
      <c r="K1839">
        <v>0.45368550000000002</v>
      </c>
      <c r="L1839">
        <v>0.38703920000000003</v>
      </c>
      <c r="M1839">
        <v>0.33619310000000002</v>
      </c>
      <c r="N1839">
        <v>0.3003825</v>
      </c>
    </row>
    <row r="1840" spans="1:14" hidden="1" x14ac:dyDescent="0.35">
      <c r="A1840" t="s">
        <v>737</v>
      </c>
      <c r="B1840" t="s">
        <v>34</v>
      </c>
      <c r="C1840" t="s">
        <v>33</v>
      </c>
      <c r="D1840" t="s">
        <v>33</v>
      </c>
      <c r="E1840" t="s">
        <v>699</v>
      </c>
      <c r="F1840" t="s">
        <v>26</v>
      </c>
      <c r="G1840" t="s">
        <v>26</v>
      </c>
      <c r="H1840">
        <v>0.86893149999999997</v>
      </c>
      <c r="I1840">
        <v>0.8504138</v>
      </c>
      <c r="J1840">
        <v>0.85063820000000001</v>
      </c>
      <c r="K1840">
        <v>0.72589429999999999</v>
      </c>
      <c r="L1840">
        <v>0.61926519999999996</v>
      </c>
      <c r="M1840">
        <v>0.53792390000000001</v>
      </c>
      <c r="N1840">
        <v>0.48062490000000002</v>
      </c>
    </row>
    <row r="1841" spans="1:14" hidden="1" x14ac:dyDescent="0.35">
      <c r="A1841" t="s">
        <v>737</v>
      </c>
      <c r="B1841" t="s">
        <v>34</v>
      </c>
      <c r="C1841" t="s">
        <v>33</v>
      </c>
      <c r="D1841" t="s">
        <v>33</v>
      </c>
      <c r="E1841" t="s">
        <v>702</v>
      </c>
      <c r="F1841" t="s">
        <v>581</v>
      </c>
      <c r="G1841" t="s">
        <v>396</v>
      </c>
      <c r="H1841">
        <v>0.86753979999999997</v>
      </c>
      <c r="I1841">
        <v>0.84721120000000005</v>
      </c>
      <c r="J1841">
        <v>0.94623889999999999</v>
      </c>
      <c r="K1841">
        <v>0.79150770000000004</v>
      </c>
      <c r="L1841">
        <v>0.71266580000000002</v>
      </c>
      <c r="M1841">
        <v>0.64741210000000005</v>
      </c>
      <c r="N1841">
        <v>0.70798530000000004</v>
      </c>
    </row>
    <row r="1842" spans="1:14" hidden="1" x14ac:dyDescent="0.35">
      <c r="A1842" t="s">
        <v>737</v>
      </c>
      <c r="B1842" t="s">
        <v>34</v>
      </c>
      <c r="C1842" t="s">
        <v>33</v>
      </c>
      <c r="D1842" t="s">
        <v>33</v>
      </c>
      <c r="E1842" t="s">
        <v>702</v>
      </c>
      <c r="F1842" t="s">
        <v>581</v>
      </c>
      <c r="G1842" t="s">
        <v>25</v>
      </c>
      <c r="H1842">
        <v>0.4592466</v>
      </c>
      <c r="I1842">
        <v>0.28240549999999998</v>
      </c>
      <c r="J1842">
        <v>0.31541340000000001</v>
      </c>
      <c r="K1842">
        <v>0.26383780000000001</v>
      </c>
      <c r="L1842">
        <v>0.23755670000000001</v>
      </c>
      <c r="M1842">
        <v>0.21580569999999999</v>
      </c>
      <c r="N1842">
        <v>0.23599970000000001</v>
      </c>
    </row>
    <row r="1843" spans="1:14" hidden="1" x14ac:dyDescent="0.35">
      <c r="A1843" t="s">
        <v>737</v>
      </c>
      <c r="B1843" t="s">
        <v>34</v>
      </c>
      <c r="C1843" t="s">
        <v>33</v>
      </c>
      <c r="D1843" t="s">
        <v>33</v>
      </c>
      <c r="E1843" t="s">
        <v>702</v>
      </c>
      <c r="F1843" t="s">
        <v>26</v>
      </c>
      <c r="G1843" t="s">
        <v>26</v>
      </c>
      <c r="H1843">
        <v>0.25392880000000001</v>
      </c>
      <c r="I1843">
        <v>0.2163079</v>
      </c>
      <c r="J1843">
        <v>0.2415899</v>
      </c>
      <c r="K1843">
        <v>0.20208490000000001</v>
      </c>
      <c r="L1843">
        <v>0.1819548</v>
      </c>
      <c r="M1843">
        <v>0.16529289999999999</v>
      </c>
      <c r="N1843">
        <v>0.1807597</v>
      </c>
    </row>
    <row r="1844" spans="1:14" hidden="1" x14ac:dyDescent="0.35">
      <c r="A1844" t="s">
        <v>737</v>
      </c>
      <c r="B1844" t="s">
        <v>34</v>
      </c>
      <c r="C1844" t="s">
        <v>33</v>
      </c>
      <c r="D1844" t="s">
        <v>33</v>
      </c>
      <c r="E1844" t="s">
        <v>738</v>
      </c>
      <c r="F1844" t="s">
        <v>581</v>
      </c>
      <c r="G1844" t="s">
        <v>396</v>
      </c>
      <c r="H1844">
        <v>0.78904110000000005</v>
      </c>
      <c r="I1844">
        <v>0.5550389</v>
      </c>
      <c r="J1844">
        <v>0.4992685</v>
      </c>
      <c r="K1844">
        <v>0.41846280000000002</v>
      </c>
      <c r="L1844">
        <v>0.34439829999999999</v>
      </c>
      <c r="M1844">
        <v>0.27696900000000002</v>
      </c>
      <c r="N1844">
        <v>0.2327285</v>
      </c>
    </row>
    <row r="1845" spans="1:14" hidden="1" x14ac:dyDescent="0.35">
      <c r="A1845" t="s">
        <v>737</v>
      </c>
      <c r="B1845" t="s">
        <v>34</v>
      </c>
      <c r="C1845" t="s">
        <v>33</v>
      </c>
      <c r="D1845" t="s">
        <v>33</v>
      </c>
      <c r="E1845" t="s">
        <v>738</v>
      </c>
      <c r="F1845" t="s">
        <v>581</v>
      </c>
      <c r="G1845" t="s">
        <v>25</v>
      </c>
      <c r="H1845">
        <v>1.4430139999999999E-2</v>
      </c>
      <c r="I1845">
        <v>8.9996969999999996E-2</v>
      </c>
      <c r="J1845">
        <v>8.0952049999999998E-2</v>
      </c>
      <c r="K1845">
        <v>6.7847669999999999E-2</v>
      </c>
      <c r="L1845">
        <v>5.5841370000000001E-2</v>
      </c>
      <c r="M1845">
        <v>4.4907679999999998E-2</v>
      </c>
      <c r="N1845">
        <v>3.773725E-2</v>
      </c>
    </row>
    <row r="1846" spans="1:14" hidden="1" x14ac:dyDescent="0.35">
      <c r="A1846" t="s">
        <v>737</v>
      </c>
      <c r="B1846" t="s">
        <v>34</v>
      </c>
      <c r="C1846" t="s">
        <v>33</v>
      </c>
      <c r="D1846" t="s">
        <v>33</v>
      </c>
      <c r="E1846" t="s">
        <v>738</v>
      </c>
      <c r="F1846" t="s">
        <v>26</v>
      </c>
      <c r="G1846" t="s">
        <v>26</v>
      </c>
      <c r="H1846">
        <v>0.45704109999999998</v>
      </c>
      <c r="I1846">
        <v>0.39372990000000002</v>
      </c>
      <c r="J1846">
        <v>0.3541666</v>
      </c>
      <c r="K1846">
        <v>0.29684709999999997</v>
      </c>
      <c r="L1846">
        <v>0.24430740000000001</v>
      </c>
      <c r="M1846">
        <v>0.19647400000000001</v>
      </c>
      <c r="N1846">
        <v>0.16508990000000001</v>
      </c>
    </row>
    <row r="1847" spans="1:14" hidden="1" x14ac:dyDescent="0.35">
      <c r="A1847" t="s">
        <v>737</v>
      </c>
      <c r="B1847" t="s">
        <v>34</v>
      </c>
      <c r="C1847" t="s">
        <v>33</v>
      </c>
      <c r="D1847" t="s">
        <v>33</v>
      </c>
      <c r="E1847" t="s">
        <v>714</v>
      </c>
      <c r="F1847" t="s">
        <v>581</v>
      </c>
      <c r="G1847" t="s">
        <v>396</v>
      </c>
      <c r="H1847">
        <v>5.2372599999999998E-2</v>
      </c>
      <c r="I1847">
        <v>8.5487949999999993E-2</v>
      </c>
      <c r="J1847">
        <v>8.4719169999999996E-2</v>
      </c>
      <c r="K1847">
        <v>8.8597529999999994E-2</v>
      </c>
      <c r="L1847">
        <v>8.8397799999999999E-2</v>
      </c>
      <c r="M1847">
        <v>8.8253419999999999E-2</v>
      </c>
      <c r="N1847">
        <v>7.0802740000000003E-2</v>
      </c>
    </row>
    <row r="1848" spans="1:14" hidden="1" x14ac:dyDescent="0.35">
      <c r="A1848" t="s">
        <v>737</v>
      </c>
      <c r="B1848" t="s">
        <v>34</v>
      </c>
      <c r="C1848" t="s">
        <v>33</v>
      </c>
      <c r="D1848" t="s">
        <v>33</v>
      </c>
      <c r="E1848" t="s">
        <v>714</v>
      </c>
      <c r="F1848" t="s">
        <v>581</v>
      </c>
      <c r="G1848" t="s">
        <v>25</v>
      </c>
      <c r="H1848">
        <v>2.183562E-2</v>
      </c>
      <c r="I1848">
        <v>2.0194520000000001E-2</v>
      </c>
      <c r="J1848">
        <v>2.0009320000000001E-2</v>
      </c>
      <c r="K1848">
        <v>2.0927399999999999E-2</v>
      </c>
      <c r="L1848">
        <v>2.0880269999999999E-2</v>
      </c>
      <c r="M1848">
        <v>2.0846300000000002E-2</v>
      </c>
      <c r="N1848">
        <v>1.671972E-2</v>
      </c>
    </row>
    <row r="1849" spans="1:14" hidden="1" x14ac:dyDescent="0.35">
      <c r="A1849" t="s">
        <v>737</v>
      </c>
      <c r="B1849" t="s">
        <v>34</v>
      </c>
      <c r="C1849" t="s">
        <v>33</v>
      </c>
      <c r="D1849" t="s">
        <v>33</v>
      </c>
      <c r="E1849" t="s">
        <v>714</v>
      </c>
      <c r="F1849" t="s">
        <v>26</v>
      </c>
      <c r="G1849" t="s">
        <v>26</v>
      </c>
      <c r="H1849">
        <v>4.1175339999999998E-2</v>
      </c>
      <c r="I1849">
        <v>3.6099449999999998E-2</v>
      </c>
      <c r="J1849">
        <v>3.5775620000000001E-2</v>
      </c>
      <c r="K1849">
        <v>3.74115E-2</v>
      </c>
      <c r="L1849">
        <v>3.7326030000000003E-2</v>
      </c>
      <c r="M1849">
        <v>3.726877E-2</v>
      </c>
      <c r="N1849">
        <v>2.989644E-2</v>
      </c>
    </row>
    <row r="1850" spans="1:14" hidden="1" x14ac:dyDescent="0.35">
      <c r="A1850" t="s">
        <v>737</v>
      </c>
      <c r="B1850" t="s">
        <v>34</v>
      </c>
      <c r="C1850" t="s">
        <v>33</v>
      </c>
      <c r="D1850" t="s">
        <v>33</v>
      </c>
      <c r="E1850" t="s">
        <v>739</v>
      </c>
      <c r="F1850" t="s">
        <v>581</v>
      </c>
      <c r="G1850" t="s">
        <v>396</v>
      </c>
      <c r="H1850">
        <v>1.9950679999999998E-2</v>
      </c>
      <c r="I1850">
        <v>3.4066850000000003E-2</v>
      </c>
      <c r="J1850">
        <v>3.4093970000000001E-2</v>
      </c>
      <c r="K1850">
        <v>3.614713E-2</v>
      </c>
      <c r="L1850">
        <v>3.4689310000000001E-2</v>
      </c>
      <c r="M1850">
        <v>3.1275890000000001E-2</v>
      </c>
      <c r="N1850">
        <v>2.6464660000000001E-2</v>
      </c>
    </row>
    <row r="1851" spans="1:14" hidden="1" x14ac:dyDescent="0.35">
      <c r="A1851" t="s">
        <v>737</v>
      </c>
      <c r="B1851" t="s">
        <v>34</v>
      </c>
      <c r="C1851" t="s">
        <v>33</v>
      </c>
      <c r="D1851" t="s">
        <v>33</v>
      </c>
      <c r="E1851" t="s">
        <v>739</v>
      </c>
      <c r="F1851" t="s">
        <v>581</v>
      </c>
      <c r="G1851" t="s">
        <v>25</v>
      </c>
      <c r="H1851">
        <v>4.8520550000000001E-3</v>
      </c>
      <c r="I1851">
        <v>4.5978080000000001E-3</v>
      </c>
      <c r="J1851">
        <v>4.6054800000000003E-3</v>
      </c>
      <c r="K1851">
        <v>4.8821910000000001E-3</v>
      </c>
      <c r="L1851">
        <v>4.6800000000000001E-3</v>
      </c>
      <c r="M1851">
        <v>4.2199999999999998E-3</v>
      </c>
      <c r="N1851">
        <v>3.566301E-3</v>
      </c>
    </row>
    <row r="1852" spans="1:14" hidden="1" x14ac:dyDescent="0.35">
      <c r="A1852" t="s">
        <v>737</v>
      </c>
      <c r="B1852" t="s">
        <v>34</v>
      </c>
      <c r="C1852" t="s">
        <v>33</v>
      </c>
      <c r="D1852" t="s">
        <v>33</v>
      </c>
      <c r="E1852" t="s">
        <v>739</v>
      </c>
      <c r="F1852" t="s">
        <v>26</v>
      </c>
      <c r="G1852" t="s">
        <v>26</v>
      </c>
      <c r="H1852">
        <v>1.0293149999999999E-2</v>
      </c>
      <c r="I1852">
        <v>9.8646580000000001E-3</v>
      </c>
      <c r="J1852">
        <v>9.8695889999999998E-3</v>
      </c>
      <c r="K1852">
        <v>1.046685E-2</v>
      </c>
      <c r="L1852">
        <v>1.004411E-2</v>
      </c>
      <c r="M1852">
        <v>9.0556149999999995E-3</v>
      </c>
      <c r="N1852">
        <v>7.6624650000000002E-3</v>
      </c>
    </row>
    <row r="1853" spans="1:14" hidden="1" x14ac:dyDescent="0.35">
      <c r="A1853" t="s">
        <v>737</v>
      </c>
      <c r="B1853" t="s">
        <v>34</v>
      </c>
      <c r="C1853" t="s">
        <v>230</v>
      </c>
      <c r="D1853" t="s">
        <v>230</v>
      </c>
      <c r="E1853" t="s">
        <v>699</v>
      </c>
      <c r="F1853" t="s">
        <v>581</v>
      </c>
      <c r="G1853" t="s">
        <v>396</v>
      </c>
      <c r="H1853">
        <v>4.4178629999999997</v>
      </c>
      <c r="I1853">
        <v>3.9498899999999999</v>
      </c>
      <c r="J1853">
        <v>3.9446949999999998</v>
      </c>
      <c r="K1853">
        <v>3.351197</v>
      </c>
      <c r="L1853">
        <v>3.015212</v>
      </c>
      <c r="M1853">
        <v>2.593048</v>
      </c>
      <c r="N1853">
        <v>2.15543</v>
      </c>
    </row>
    <row r="1854" spans="1:14" hidden="1" x14ac:dyDescent="0.35">
      <c r="A1854" t="s">
        <v>737</v>
      </c>
      <c r="B1854" t="s">
        <v>34</v>
      </c>
      <c r="C1854" t="s">
        <v>230</v>
      </c>
      <c r="D1854" t="s">
        <v>230</v>
      </c>
      <c r="E1854" t="s">
        <v>699</v>
      </c>
      <c r="F1854" t="s">
        <v>581</v>
      </c>
      <c r="G1854" t="s">
        <v>25</v>
      </c>
      <c r="H1854">
        <v>2.4136979999999999E-2</v>
      </c>
      <c r="I1854">
        <v>0.2188658</v>
      </c>
      <c r="J1854">
        <v>0.21604580000000001</v>
      </c>
      <c r="K1854">
        <v>0.18564900000000001</v>
      </c>
      <c r="L1854">
        <v>0.167077</v>
      </c>
      <c r="M1854">
        <v>0.1436732</v>
      </c>
      <c r="N1854">
        <v>0.119423</v>
      </c>
    </row>
    <row r="1855" spans="1:14" hidden="1" x14ac:dyDescent="0.35">
      <c r="A1855" t="s">
        <v>737</v>
      </c>
      <c r="B1855" t="s">
        <v>34</v>
      </c>
      <c r="C1855" t="s">
        <v>230</v>
      </c>
      <c r="D1855" t="s">
        <v>230</v>
      </c>
      <c r="E1855" t="s">
        <v>699</v>
      </c>
      <c r="F1855" t="s">
        <v>26</v>
      </c>
      <c r="G1855" t="s">
        <v>26</v>
      </c>
      <c r="H1855">
        <v>0.31378080000000003</v>
      </c>
      <c r="I1855">
        <v>0.35018280000000002</v>
      </c>
      <c r="J1855">
        <v>0.34567419999999999</v>
      </c>
      <c r="K1855">
        <v>0.29704059999999999</v>
      </c>
      <c r="L1855">
        <v>0.26732820000000002</v>
      </c>
      <c r="M1855">
        <v>0.22988459999999999</v>
      </c>
      <c r="N1855">
        <v>0.19107479999999999</v>
      </c>
    </row>
    <row r="1856" spans="1:14" hidden="1" x14ac:dyDescent="0.35">
      <c r="A1856" t="s">
        <v>737</v>
      </c>
      <c r="B1856" t="s">
        <v>37</v>
      </c>
      <c r="C1856" t="s">
        <v>79</v>
      </c>
      <c r="D1856" t="s">
        <v>79</v>
      </c>
      <c r="E1856" t="s">
        <v>600</v>
      </c>
      <c r="F1856" t="s">
        <v>581</v>
      </c>
      <c r="G1856" t="s">
        <v>396</v>
      </c>
      <c r="H1856">
        <v>9.1232869999999995</v>
      </c>
      <c r="I1856">
        <v>9.3671089999999992</v>
      </c>
      <c r="J1856">
        <v>8.6774430000000002</v>
      </c>
      <c r="K1856">
        <v>7.0562019999999999</v>
      </c>
      <c r="L1856">
        <v>5.9001989999999997</v>
      </c>
      <c r="M1856">
        <v>5.2745379999999997</v>
      </c>
      <c r="N1856">
        <v>4.819566</v>
      </c>
    </row>
    <row r="1857" spans="1:14" hidden="1" x14ac:dyDescent="0.35">
      <c r="A1857" t="s">
        <v>737</v>
      </c>
      <c r="B1857" t="s">
        <v>37</v>
      </c>
      <c r="C1857" t="s">
        <v>79</v>
      </c>
      <c r="D1857" t="s">
        <v>79</v>
      </c>
      <c r="E1857" t="s">
        <v>600</v>
      </c>
      <c r="F1857" t="s">
        <v>581</v>
      </c>
      <c r="G1857" t="s">
        <v>24</v>
      </c>
      <c r="H1857">
        <v>6.9253119999999999</v>
      </c>
      <c r="I1857">
        <v>6.0974399999999997</v>
      </c>
      <c r="J1857">
        <v>5.6148189999999998</v>
      </c>
      <c r="K1857">
        <v>4.5657759999999996</v>
      </c>
      <c r="L1857">
        <v>3.817777</v>
      </c>
      <c r="M1857">
        <v>3.412938</v>
      </c>
      <c r="N1857">
        <v>3.1185399999999999</v>
      </c>
    </row>
    <row r="1858" spans="1:14" hidden="1" x14ac:dyDescent="0.35">
      <c r="A1858" t="s">
        <v>737</v>
      </c>
      <c r="B1858" t="s">
        <v>37</v>
      </c>
      <c r="C1858" t="s">
        <v>79</v>
      </c>
      <c r="D1858" t="s">
        <v>79</v>
      </c>
      <c r="E1858" t="s">
        <v>600</v>
      </c>
      <c r="F1858" t="s">
        <v>581</v>
      </c>
      <c r="G1858" t="s">
        <v>25</v>
      </c>
      <c r="H1858">
        <v>6.5753430000000002</v>
      </c>
      <c r="I1858">
        <v>6.3315830000000002</v>
      </c>
      <c r="J1858">
        <v>5.8700380000000001</v>
      </c>
      <c r="K1858">
        <v>4.7733140000000001</v>
      </c>
      <c r="L1858">
        <v>3.9913120000000002</v>
      </c>
      <c r="M1858">
        <v>3.5680719999999999</v>
      </c>
      <c r="N1858">
        <v>3.2602920000000002</v>
      </c>
    </row>
    <row r="1859" spans="1:14" hidden="1" x14ac:dyDescent="0.35">
      <c r="A1859" t="s">
        <v>737</v>
      </c>
      <c r="B1859" t="s">
        <v>37</v>
      </c>
      <c r="C1859" t="s">
        <v>79</v>
      </c>
      <c r="D1859" t="s">
        <v>79</v>
      </c>
      <c r="E1859" t="s">
        <v>600</v>
      </c>
      <c r="F1859" t="s">
        <v>26</v>
      </c>
      <c r="G1859" t="s">
        <v>26</v>
      </c>
      <c r="H1859">
        <v>6.1438360000000003</v>
      </c>
      <c r="I1859">
        <v>5.7810119999999996</v>
      </c>
      <c r="J1859">
        <v>5.3595980000000001</v>
      </c>
      <c r="K1859">
        <v>4.3582429999999999</v>
      </c>
      <c r="L1859">
        <v>3.644244</v>
      </c>
      <c r="M1859">
        <v>3.2578040000000001</v>
      </c>
      <c r="N1859">
        <v>2.976788</v>
      </c>
    </row>
    <row r="1860" spans="1:14" hidden="1" x14ac:dyDescent="0.35">
      <c r="A1860" t="s">
        <v>737</v>
      </c>
      <c r="B1860" t="s">
        <v>37</v>
      </c>
      <c r="C1860" t="s">
        <v>79</v>
      </c>
      <c r="D1860" t="s">
        <v>79</v>
      </c>
      <c r="E1860" t="s">
        <v>584</v>
      </c>
      <c r="F1860" t="s">
        <v>581</v>
      </c>
      <c r="G1860" t="s">
        <v>396</v>
      </c>
      <c r="H1860">
        <v>6.575343E-3</v>
      </c>
      <c r="I1860">
        <v>5.49863E-3</v>
      </c>
      <c r="J1860">
        <v>4.5843840000000004E-3</v>
      </c>
      <c r="K1860">
        <v>3.8123290000000002E-3</v>
      </c>
      <c r="L1860">
        <v>3.1271229999999999E-3</v>
      </c>
      <c r="M1860">
        <v>2.498082E-3</v>
      </c>
      <c r="N1860">
        <v>1.9961639999999999E-3</v>
      </c>
    </row>
    <row r="1861" spans="1:14" hidden="1" x14ac:dyDescent="0.35">
      <c r="A1861" t="s">
        <v>737</v>
      </c>
      <c r="B1861" t="s">
        <v>37</v>
      </c>
      <c r="C1861" t="s">
        <v>79</v>
      </c>
      <c r="D1861" t="s">
        <v>79</v>
      </c>
      <c r="E1861" t="s">
        <v>584</v>
      </c>
      <c r="F1861" t="s">
        <v>581</v>
      </c>
      <c r="G1861" t="s">
        <v>24</v>
      </c>
      <c r="H1861">
        <v>2.1972599999999999E-3</v>
      </c>
      <c r="I1861">
        <v>1.9726029999999999E-3</v>
      </c>
      <c r="J1861">
        <v>1.7624660000000001E-3</v>
      </c>
      <c r="K1861">
        <v>1.573973E-3</v>
      </c>
      <c r="L1861">
        <v>1.3890409999999999E-3</v>
      </c>
      <c r="M1861">
        <v>1.19589E-3</v>
      </c>
      <c r="N1861">
        <v>1.0312330000000001E-3</v>
      </c>
    </row>
    <row r="1862" spans="1:14" hidden="1" x14ac:dyDescent="0.35">
      <c r="A1862" t="s">
        <v>737</v>
      </c>
      <c r="B1862" t="s">
        <v>37</v>
      </c>
      <c r="C1862" t="s">
        <v>79</v>
      </c>
      <c r="D1862" t="s">
        <v>79</v>
      </c>
      <c r="E1862" t="s">
        <v>584</v>
      </c>
      <c r="F1862" t="s">
        <v>581</v>
      </c>
      <c r="G1862" t="s">
        <v>25</v>
      </c>
      <c r="H1862">
        <v>7.013424E-2</v>
      </c>
      <c r="I1862">
        <v>6.7964380000000005E-2</v>
      </c>
      <c r="J1862">
        <v>6.5853419999999996E-2</v>
      </c>
      <c r="K1862">
        <v>6.3748490000000005E-2</v>
      </c>
      <c r="L1862">
        <v>6.1145480000000002E-2</v>
      </c>
      <c r="M1862">
        <v>5.7334799999999998E-2</v>
      </c>
      <c r="N1862">
        <v>5.3989860000000001E-2</v>
      </c>
    </row>
    <row r="1863" spans="1:14" hidden="1" x14ac:dyDescent="0.35">
      <c r="A1863" t="s">
        <v>737</v>
      </c>
      <c r="B1863" t="s">
        <v>37</v>
      </c>
      <c r="C1863" t="s">
        <v>79</v>
      </c>
      <c r="D1863" t="s">
        <v>79</v>
      </c>
      <c r="E1863" t="s">
        <v>584</v>
      </c>
      <c r="F1863" t="s">
        <v>26</v>
      </c>
      <c r="G1863" t="s">
        <v>26</v>
      </c>
      <c r="H1863">
        <v>0.61808220000000003</v>
      </c>
      <c r="I1863">
        <v>0.60804930000000001</v>
      </c>
      <c r="J1863">
        <v>0.59845919999999997</v>
      </c>
      <c r="K1863">
        <v>0.58909750000000005</v>
      </c>
      <c r="L1863">
        <v>0.57837070000000002</v>
      </c>
      <c r="M1863">
        <v>0.56429119999999999</v>
      </c>
      <c r="N1863">
        <v>0.55188599999999999</v>
      </c>
    </row>
    <row r="1864" spans="1:14" hidden="1" x14ac:dyDescent="0.35">
      <c r="A1864" t="s">
        <v>741</v>
      </c>
      <c r="B1864" t="s">
        <v>34</v>
      </c>
      <c r="C1864" t="s">
        <v>33</v>
      </c>
      <c r="D1864" t="s">
        <v>33</v>
      </c>
      <c r="E1864" t="s">
        <v>604</v>
      </c>
      <c r="F1864" t="s">
        <v>581</v>
      </c>
      <c r="G1864" t="s">
        <v>396</v>
      </c>
      <c r="H1864">
        <v>5.0732489999999997</v>
      </c>
      <c r="I1864">
        <v>4.6648389999999997</v>
      </c>
      <c r="J1864">
        <v>4.5048579999999996</v>
      </c>
      <c r="K1864">
        <v>4.0673859999999999</v>
      </c>
      <c r="L1864">
        <v>3.5316640000000001</v>
      </c>
      <c r="M1864">
        <v>3.2220439999999999</v>
      </c>
      <c r="N1864">
        <v>3.0153270000000001</v>
      </c>
    </row>
    <row r="1865" spans="1:14" hidden="1" x14ac:dyDescent="0.35">
      <c r="A1865" t="s">
        <v>741</v>
      </c>
      <c r="B1865" t="s">
        <v>34</v>
      </c>
      <c r="C1865" t="s">
        <v>33</v>
      </c>
      <c r="D1865" t="s">
        <v>33</v>
      </c>
      <c r="E1865" t="s">
        <v>604</v>
      </c>
      <c r="F1865" t="s">
        <v>581</v>
      </c>
      <c r="G1865" t="s">
        <v>24</v>
      </c>
      <c r="H1865">
        <v>0.66345209999999999</v>
      </c>
      <c r="I1865">
        <v>0.56314799999999998</v>
      </c>
      <c r="J1865">
        <v>0.49965749999999998</v>
      </c>
      <c r="K1865">
        <v>0.44147320000000001</v>
      </c>
      <c r="L1865">
        <v>0.38701469999999999</v>
      </c>
      <c r="M1865">
        <v>0.3409124</v>
      </c>
      <c r="N1865">
        <v>0.2986027</v>
      </c>
    </row>
    <row r="1866" spans="1:14" hidden="1" x14ac:dyDescent="0.35">
      <c r="A1866" t="s">
        <v>741</v>
      </c>
      <c r="B1866" t="s">
        <v>34</v>
      </c>
      <c r="C1866" t="s">
        <v>33</v>
      </c>
      <c r="D1866" t="s">
        <v>33</v>
      </c>
      <c r="E1866" t="s">
        <v>604</v>
      </c>
      <c r="F1866" t="s">
        <v>581</v>
      </c>
      <c r="G1866" t="s">
        <v>25</v>
      </c>
      <c r="H1866">
        <v>14.72706</v>
      </c>
      <c r="I1866">
        <v>16.14452</v>
      </c>
      <c r="J1866">
        <v>18.993269999999999</v>
      </c>
      <c r="K1866">
        <v>17.40709</v>
      </c>
      <c r="L1866">
        <v>13.626060000000001</v>
      </c>
      <c r="M1866">
        <v>10.714930000000001</v>
      </c>
      <c r="N1866">
        <v>8.8356729999999999</v>
      </c>
    </row>
    <row r="1867" spans="1:14" hidden="1" x14ac:dyDescent="0.35">
      <c r="A1867" t="s">
        <v>741</v>
      </c>
      <c r="B1867" t="s">
        <v>34</v>
      </c>
      <c r="C1867" t="s">
        <v>33</v>
      </c>
      <c r="D1867" t="s">
        <v>33</v>
      </c>
      <c r="E1867" t="s">
        <v>604</v>
      </c>
      <c r="F1867" t="s">
        <v>26</v>
      </c>
      <c r="G1867" t="s">
        <v>26</v>
      </c>
      <c r="H1867">
        <v>16.081320000000002</v>
      </c>
      <c r="I1867">
        <v>18.716850000000001</v>
      </c>
      <c r="J1867">
        <v>21.31493</v>
      </c>
      <c r="K1867">
        <v>19.47888</v>
      </c>
      <c r="L1867">
        <v>15.48649</v>
      </c>
      <c r="M1867">
        <v>12.479850000000001</v>
      </c>
      <c r="N1867">
        <v>10.52492</v>
      </c>
    </row>
    <row r="1868" spans="1:14" hidden="1" x14ac:dyDescent="0.35">
      <c r="A1868" t="s">
        <v>741</v>
      </c>
      <c r="B1868" t="s">
        <v>34</v>
      </c>
      <c r="C1868" t="s">
        <v>33</v>
      </c>
      <c r="D1868" t="s">
        <v>33</v>
      </c>
      <c r="E1868" t="s">
        <v>584</v>
      </c>
      <c r="F1868" t="s">
        <v>581</v>
      </c>
      <c r="G1868" t="s">
        <v>396</v>
      </c>
      <c r="H1868">
        <v>1.1245559999999999</v>
      </c>
      <c r="I1868">
        <v>0.97596439999999995</v>
      </c>
      <c r="J1868">
        <v>0.7758062</v>
      </c>
      <c r="K1868">
        <v>0.64775260000000001</v>
      </c>
      <c r="L1868">
        <v>0.53846249999999996</v>
      </c>
      <c r="M1868">
        <v>0.4357625</v>
      </c>
      <c r="N1868">
        <v>0.34846329999999998</v>
      </c>
    </row>
    <row r="1869" spans="1:14" hidden="1" x14ac:dyDescent="0.35">
      <c r="A1869" t="s">
        <v>741</v>
      </c>
      <c r="B1869" t="s">
        <v>34</v>
      </c>
      <c r="C1869" t="s">
        <v>33</v>
      </c>
      <c r="D1869" t="s">
        <v>33</v>
      </c>
      <c r="E1869" t="s">
        <v>584</v>
      </c>
      <c r="F1869" t="s">
        <v>581</v>
      </c>
      <c r="G1869" t="s">
        <v>24</v>
      </c>
      <c r="H1869">
        <v>3.953425E-3</v>
      </c>
      <c r="I1869">
        <v>4.1753420000000003E-3</v>
      </c>
      <c r="J1869">
        <v>4.1753420000000003E-3</v>
      </c>
      <c r="K1869">
        <v>4.1753420000000003E-3</v>
      </c>
      <c r="L1869">
        <v>4.1753420000000003E-3</v>
      </c>
      <c r="M1869">
        <v>4.1753420000000003E-3</v>
      </c>
      <c r="N1869">
        <v>4.1753420000000003E-3</v>
      </c>
    </row>
    <row r="1870" spans="1:14" hidden="1" x14ac:dyDescent="0.35">
      <c r="A1870" t="s">
        <v>741</v>
      </c>
      <c r="B1870" t="s">
        <v>34</v>
      </c>
      <c r="C1870" t="s">
        <v>33</v>
      </c>
      <c r="D1870" t="s">
        <v>33</v>
      </c>
      <c r="E1870" t="s">
        <v>584</v>
      </c>
      <c r="F1870" t="s">
        <v>581</v>
      </c>
      <c r="G1870" t="s">
        <v>25</v>
      </c>
      <c r="H1870">
        <v>0.82767939999999995</v>
      </c>
      <c r="I1870">
        <v>0.77294790000000002</v>
      </c>
      <c r="J1870">
        <v>0.7117618</v>
      </c>
      <c r="K1870">
        <v>0.66922579999999998</v>
      </c>
      <c r="L1870">
        <v>0.62639560000000005</v>
      </c>
      <c r="M1870">
        <v>0.39325310000000002</v>
      </c>
      <c r="N1870">
        <v>0.25909559999999998</v>
      </c>
    </row>
    <row r="1871" spans="1:14" hidden="1" x14ac:dyDescent="0.35">
      <c r="A1871" t="s">
        <v>741</v>
      </c>
      <c r="B1871" t="s">
        <v>34</v>
      </c>
      <c r="C1871" t="s">
        <v>33</v>
      </c>
      <c r="D1871" t="s">
        <v>33</v>
      </c>
      <c r="E1871" t="s">
        <v>584</v>
      </c>
      <c r="F1871" t="s">
        <v>26</v>
      </c>
      <c r="G1871" t="s">
        <v>26</v>
      </c>
      <c r="H1871">
        <v>10.78711</v>
      </c>
      <c r="I1871">
        <v>9.6580600000000008</v>
      </c>
      <c r="J1871">
        <v>8.5792070000000002</v>
      </c>
      <c r="K1871">
        <v>7.7207119999999998</v>
      </c>
      <c r="L1871">
        <v>6.8909510000000003</v>
      </c>
      <c r="M1871">
        <v>3.8956930000000001</v>
      </c>
      <c r="N1871">
        <v>1.8937109999999999</v>
      </c>
    </row>
    <row r="1872" spans="1:14" hidden="1" x14ac:dyDescent="0.35">
      <c r="A1872" t="s">
        <v>741</v>
      </c>
      <c r="B1872" t="s">
        <v>34</v>
      </c>
      <c r="C1872" t="s">
        <v>33</v>
      </c>
      <c r="D1872" t="s">
        <v>33</v>
      </c>
      <c r="E1872" t="s">
        <v>605</v>
      </c>
      <c r="F1872" t="s">
        <v>581</v>
      </c>
      <c r="G1872" t="s">
        <v>396</v>
      </c>
      <c r="H1872">
        <v>0.27935070000000001</v>
      </c>
      <c r="I1872">
        <v>0.29908990000000002</v>
      </c>
      <c r="J1872">
        <v>0.339397</v>
      </c>
      <c r="K1872">
        <v>0.312643</v>
      </c>
      <c r="L1872">
        <v>0.27738990000000002</v>
      </c>
      <c r="M1872">
        <v>0.2320663</v>
      </c>
      <c r="N1872">
        <v>0.20047970000000001</v>
      </c>
    </row>
    <row r="1873" spans="1:14" hidden="1" x14ac:dyDescent="0.35">
      <c r="A1873" t="s">
        <v>741</v>
      </c>
      <c r="B1873" t="s">
        <v>34</v>
      </c>
      <c r="C1873" t="s">
        <v>33</v>
      </c>
      <c r="D1873" t="s">
        <v>33</v>
      </c>
      <c r="E1873" t="s">
        <v>605</v>
      </c>
      <c r="F1873" t="s">
        <v>581</v>
      </c>
      <c r="G1873" t="s">
        <v>24</v>
      </c>
      <c r="H1873">
        <v>4.4498629999999997E-2</v>
      </c>
      <c r="I1873">
        <v>3.9686850000000003E-2</v>
      </c>
      <c r="J1873">
        <v>3.5169039999999999E-2</v>
      </c>
      <c r="K1873">
        <v>3.151151E-2</v>
      </c>
      <c r="L1873">
        <v>2.8331510000000001E-2</v>
      </c>
      <c r="M1873">
        <v>2.5563559999999999E-2</v>
      </c>
      <c r="N1873">
        <v>2.293972E-2</v>
      </c>
    </row>
    <row r="1874" spans="1:14" hidden="1" x14ac:dyDescent="0.35">
      <c r="A1874" t="s">
        <v>741</v>
      </c>
      <c r="B1874" t="s">
        <v>34</v>
      </c>
      <c r="C1874" t="s">
        <v>33</v>
      </c>
      <c r="D1874" t="s">
        <v>33</v>
      </c>
      <c r="E1874" t="s">
        <v>605</v>
      </c>
      <c r="F1874" t="s">
        <v>581</v>
      </c>
      <c r="G1874" t="s">
        <v>25</v>
      </c>
      <c r="H1874">
        <v>0.53814249999999997</v>
      </c>
      <c r="I1874">
        <v>0.49259340000000001</v>
      </c>
      <c r="J1874">
        <v>0.46029589999999998</v>
      </c>
      <c r="K1874">
        <v>0.41517369999999998</v>
      </c>
      <c r="L1874">
        <v>0.37208849999999999</v>
      </c>
      <c r="M1874">
        <v>0.32990029999999998</v>
      </c>
      <c r="N1874">
        <v>0.29356520000000003</v>
      </c>
    </row>
    <row r="1875" spans="1:14" hidden="1" x14ac:dyDescent="0.35">
      <c r="A1875" t="s">
        <v>741</v>
      </c>
      <c r="B1875" t="s">
        <v>34</v>
      </c>
      <c r="C1875" t="s">
        <v>33</v>
      </c>
      <c r="D1875" t="s">
        <v>33</v>
      </c>
      <c r="E1875" t="s">
        <v>605</v>
      </c>
      <c r="F1875" t="s">
        <v>26</v>
      </c>
      <c r="G1875" t="s">
        <v>26</v>
      </c>
      <c r="H1875">
        <v>4.8374030000000001</v>
      </c>
      <c r="I1875">
        <v>4.4037759999999997</v>
      </c>
      <c r="J1875">
        <v>4.1048220000000004</v>
      </c>
      <c r="K1875">
        <v>3.7013479999999999</v>
      </c>
      <c r="L1875">
        <v>3.3177400000000001</v>
      </c>
      <c r="M1875">
        <v>2.9439139999999999</v>
      </c>
      <c r="N1875">
        <v>2.6206770000000001</v>
      </c>
    </row>
    <row r="1876" spans="1:14" hidden="1" x14ac:dyDescent="0.35">
      <c r="A1876" t="s">
        <v>741</v>
      </c>
      <c r="B1876" t="s">
        <v>34</v>
      </c>
      <c r="C1876" t="s">
        <v>33</v>
      </c>
      <c r="D1876" t="s">
        <v>33</v>
      </c>
      <c r="E1876" t="s">
        <v>636</v>
      </c>
      <c r="F1876" t="s">
        <v>581</v>
      </c>
      <c r="G1876" t="s">
        <v>396</v>
      </c>
      <c r="H1876">
        <v>0.35571779999999997</v>
      </c>
      <c r="I1876">
        <v>0.3015929</v>
      </c>
      <c r="J1876">
        <v>0.23790739999999999</v>
      </c>
      <c r="K1876">
        <v>0.21154000000000001</v>
      </c>
      <c r="L1876">
        <v>0.20241509999999999</v>
      </c>
      <c r="M1876">
        <v>0.17987620000000001</v>
      </c>
      <c r="N1876">
        <v>0.14989479999999999</v>
      </c>
    </row>
    <row r="1877" spans="1:14" hidden="1" x14ac:dyDescent="0.35">
      <c r="A1877" t="s">
        <v>741</v>
      </c>
      <c r="B1877" t="s">
        <v>34</v>
      </c>
      <c r="C1877" t="s">
        <v>33</v>
      </c>
      <c r="D1877" t="s">
        <v>33</v>
      </c>
      <c r="E1877" t="s">
        <v>636</v>
      </c>
      <c r="F1877" t="s">
        <v>581</v>
      </c>
      <c r="G1877" t="s">
        <v>24</v>
      </c>
      <c r="H1877">
        <v>1.0543560000000001</v>
      </c>
      <c r="I1877">
        <v>0.84677579999999997</v>
      </c>
      <c r="J1877">
        <v>0.75431919999999997</v>
      </c>
      <c r="K1877">
        <v>0.71884939999999997</v>
      </c>
      <c r="L1877">
        <v>0.70705039999999997</v>
      </c>
      <c r="M1877">
        <v>0.67765920000000002</v>
      </c>
      <c r="N1877">
        <v>0.61667349999999999</v>
      </c>
    </row>
    <row r="1878" spans="1:14" hidden="1" x14ac:dyDescent="0.35">
      <c r="A1878" t="s">
        <v>741</v>
      </c>
      <c r="B1878" t="s">
        <v>34</v>
      </c>
      <c r="C1878" t="s">
        <v>33</v>
      </c>
      <c r="D1878" t="s">
        <v>33</v>
      </c>
      <c r="E1878" t="s">
        <v>636</v>
      </c>
      <c r="F1878" t="s">
        <v>581</v>
      </c>
      <c r="G1878" t="s">
        <v>25</v>
      </c>
      <c r="H1878">
        <v>0.3540548</v>
      </c>
      <c r="I1878">
        <v>0.29330600000000001</v>
      </c>
      <c r="J1878">
        <v>0.24370849999999999</v>
      </c>
      <c r="K1878">
        <v>0.2235731</v>
      </c>
      <c r="L1878">
        <v>0.21667639999999999</v>
      </c>
      <c r="M1878">
        <v>0.1995931</v>
      </c>
      <c r="N1878">
        <v>0.17375399999999999</v>
      </c>
    </row>
    <row r="1879" spans="1:14" hidden="1" x14ac:dyDescent="0.35">
      <c r="A1879" t="s">
        <v>741</v>
      </c>
      <c r="B1879" t="s">
        <v>34</v>
      </c>
      <c r="C1879" t="s">
        <v>33</v>
      </c>
      <c r="D1879" t="s">
        <v>33</v>
      </c>
      <c r="E1879" t="s">
        <v>636</v>
      </c>
      <c r="F1879" t="s">
        <v>26</v>
      </c>
      <c r="G1879" t="s">
        <v>26</v>
      </c>
      <c r="H1879">
        <v>2.9875669999999999</v>
      </c>
      <c r="I1879">
        <v>2.42665</v>
      </c>
      <c r="J1879">
        <v>2.0630510000000002</v>
      </c>
      <c r="K1879">
        <v>1.9173469999999999</v>
      </c>
      <c r="L1879">
        <v>1.8677550000000001</v>
      </c>
      <c r="M1879">
        <v>1.744807</v>
      </c>
      <c r="N1879">
        <v>1.543542</v>
      </c>
    </row>
    <row r="1880" spans="1:14" hidden="1" x14ac:dyDescent="0.35">
      <c r="A1880" t="s">
        <v>741</v>
      </c>
      <c r="B1880" t="s">
        <v>34</v>
      </c>
      <c r="C1880" t="s">
        <v>33</v>
      </c>
      <c r="D1880" t="s">
        <v>33</v>
      </c>
      <c r="E1880" t="s">
        <v>727</v>
      </c>
      <c r="F1880" t="s">
        <v>581</v>
      </c>
      <c r="G1880" t="s">
        <v>396</v>
      </c>
      <c r="H1880">
        <v>0.2184904</v>
      </c>
      <c r="I1880">
        <v>0.21263399999999999</v>
      </c>
      <c r="J1880">
        <v>0.19061810000000001</v>
      </c>
      <c r="K1880">
        <v>0.16848250000000001</v>
      </c>
      <c r="L1880">
        <v>0.15138850000000001</v>
      </c>
      <c r="M1880">
        <v>0.1365016</v>
      </c>
      <c r="N1880">
        <v>0.1224811</v>
      </c>
    </row>
    <row r="1881" spans="1:14" hidden="1" x14ac:dyDescent="0.35">
      <c r="A1881" t="s">
        <v>741</v>
      </c>
      <c r="B1881" t="s">
        <v>34</v>
      </c>
      <c r="C1881" t="s">
        <v>33</v>
      </c>
      <c r="D1881" t="s">
        <v>33</v>
      </c>
      <c r="E1881" t="s">
        <v>727</v>
      </c>
      <c r="F1881" t="s">
        <v>581</v>
      </c>
      <c r="G1881" t="s">
        <v>25</v>
      </c>
      <c r="H1881">
        <v>0.40753430000000002</v>
      </c>
      <c r="I1881">
        <v>0.35881370000000001</v>
      </c>
      <c r="J1881">
        <v>0.31720549999999997</v>
      </c>
      <c r="K1881">
        <v>0.28412880000000001</v>
      </c>
      <c r="L1881">
        <v>0.25530140000000001</v>
      </c>
      <c r="M1881">
        <v>0.23019729999999999</v>
      </c>
      <c r="N1881">
        <v>0.2065507</v>
      </c>
    </row>
    <row r="1882" spans="1:14" hidden="1" x14ac:dyDescent="0.35">
      <c r="A1882" t="s">
        <v>741</v>
      </c>
      <c r="B1882" t="s">
        <v>34</v>
      </c>
      <c r="C1882" t="s">
        <v>33</v>
      </c>
      <c r="D1882" t="s">
        <v>33</v>
      </c>
      <c r="E1882" t="s">
        <v>727</v>
      </c>
      <c r="F1882" t="s">
        <v>26</v>
      </c>
      <c r="G1882" t="s">
        <v>26</v>
      </c>
      <c r="H1882">
        <v>1.6487670000000001</v>
      </c>
      <c r="I1882">
        <v>1.43526</v>
      </c>
      <c r="J1882">
        <v>1.2688219999999999</v>
      </c>
      <c r="K1882">
        <v>1.136504</v>
      </c>
      <c r="L1882">
        <v>1.0211969999999999</v>
      </c>
      <c r="M1882">
        <v>0.92078079999999995</v>
      </c>
      <c r="N1882">
        <v>0.82620819999999995</v>
      </c>
    </row>
    <row r="1883" spans="1:14" hidden="1" x14ac:dyDescent="0.35">
      <c r="A1883" t="s">
        <v>741</v>
      </c>
      <c r="B1883" t="s">
        <v>34</v>
      </c>
      <c r="C1883" t="s">
        <v>33</v>
      </c>
      <c r="D1883" t="s">
        <v>33</v>
      </c>
      <c r="E1883" t="s">
        <v>742</v>
      </c>
      <c r="F1883" t="s">
        <v>26</v>
      </c>
      <c r="G1883" t="s">
        <v>26</v>
      </c>
      <c r="H1883">
        <v>0.7663972</v>
      </c>
      <c r="I1883">
        <v>0.62179169999999995</v>
      </c>
      <c r="J1883">
        <v>0.55527400000000005</v>
      </c>
      <c r="K1883">
        <v>0.49950139999999998</v>
      </c>
      <c r="L1883">
        <v>0.44954519999999998</v>
      </c>
      <c r="M1883">
        <v>0.40563559999999999</v>
      </c>
      <c r="N1883">
        <v>0.3640137</v>
      </c>
    </row>
    <row r="1884" spans="1:14" hidden="1" x14ac:dyDescent="0.35">
      <c r="A1884" t="s">
        <v>741</v>
      </c>
      <c r="B1884" t="s">
        <v>34</v>
      </c>
      <c r="C1884" t="s">
        <v>33</v>
      </c>
      <c r="D1884" t="s">
        <v>33</v>
      </c>
      <c r="E1884" t="s">
        <v>638</v>
      </c>
      <c r="F1884" t="s">
        <v>581</v>
      </c>
      <c r="G1884" t="s">
        <v>396</v>
      </c>
      <c r="H1884">
        <v>1.1772599999999999E-2</v>
      </c>
      <c r="I1884">
        <v>1.1276710000000001E-2</v>
      </c>
      <c r="J1884">
        <v>1.2968489999999999E-2</v>
      </c>
      <c r="K1884">
        <v>1.504877E-2</v>
      </c>
      <c r="L1884">
        <v>1.740767E-2</v>
      </c>
      <c r="M1884">
        <v>1.3718360000000001E-2</v>
      </c>
      <c r="N1884">
        <v>1.124767E-2</v>
      </c>
    </row>
    <row r="1885" spans="1:14" hidden="1" x14ac:dyDescent="0.35">
      <c r="A1885" t="s">
        <v>741</v>
      </c>
      <c r="B1885" t="s">
        <v>34</v>
      </c>
      <c r="C1885" t="s">
        <v>33</v>
      </c>
      <c r="D1885" t="s">
        <v>33</v>
      </c>
      <c r="E1885" t="s">
        <v>638</v>
      </c>
      <c r="F1885" t="s">
        <v>581</v>
      </c>
      <c r="G1885" t="s">
        <v>24</v>
      </c>
      <c r="H1885">
        <v>0.17401920000000001</v>
      </c>
      <c r="I1885">
        <v>0.13531969999999999</v>
      </c>
      <c r="J1885">
        <v>0.15562770000000001</v>
      </c>
      <c r="K1885">
        <v>0.1805698</v>
      </c>
      <c r="L1885">
        <v>0.20887749999999999</v>
      </c>
      <c r="M1885">
        <v>0.16461619999999999</v>
      </c>
      <c r="N1885">
        <v>0.13497999999999999</v>
      </c>
    </row>
    <row r="1886" spans="1:14" hidden="1" x14ac:dyDescent="0.35">
      <c r="A1886" t="s">
        <v>741</v>
      </c>
      <c r="B1886" t="s">
        <v>34</v>
      </c>
      <c r="C1886" t="s">
        <v>33</v>
      </c>
      <c r="D1886" t="s">
        <v>33</v>
      </c>
      <c r="E1886" t="s">
        <v>638</v>
      </c>
      <c r="F1886" t="s">
        <v>581</v>
      </c>
      <c r="G1886" t="s">
        <v>25</v>
      </c>
      <c r="H1886">
        <v>2.4375339999999999E-2</v>
      </c>
      <c r="I1886">
        <v>1.57863E-2</v>
      </c>
      <c r="J1886">
        <v>1.8159999999999999E-2</v>
      </c>
      <c r="K1886">
        <v>2.1067949999999998E-2</v>
      </c>
      <c r="L1886">
        <v>2.4369310000000002E-2</v>
      </c>
      <c r="M1886">
        <v>1.9204659999999998E-2</v>
      </c>
      <c r="N1886">
        <v>1.574822E-2</v>
      </c>
    </row>
    <row r="1887" spans="1:14" hidden="1" x14ac:dyDescent="0.35">
      <c r="A1887" t="s">
        <v>741</v>
      </c>
      <c r="B1887" t="s">
        <v>34</v>
      </c>
      <c r="C1887" t="s">
        <v>33</v>
      </c>
      <c r="D1887" t="s">
        <v>33</v>
      </c>
      <c r="E1887" t="s">
        <v>638</v>
      </c>
      <c r="F1887" t="s">
        <v>26</v>
      </c>
      <c r="G1887" t="s">
        <v>26</v>
      </c>
      <c r="H1887">
        <v>8.9394520000000005E-2</v>
      </c>
      <c r="I1887">
        <v>6.3484940000000004E-2</v>
      </c>
      <c r="J1887">
        <v>7.3009320000000003E-2</v>
      </c>
      <c r="K1887">
        <v>8.471397E-2</v>
      </c>
      <c r="L1887">
        <v>9.7995609999999997E-2</v>
      </c>
      <c r="M1887">
        <v>7.7228770000000002E-2</v>
      </c>
      <c r="N1887">
        <v>6.3326049999999995E-2</v>
      </c>
    </row>
    <row r="1888" spans="1:14" hidden="1" x14ac:dyDescent="0.35">
      <c r="A1888" t="s">
        <v>741</v>
      </c>
      <c r="B1888" t="s">
        <v>34</v>
      </c>
      <c r="C1888" t="s">
        <v>33</v>
      </c>
      <c r="D1888" t="s">
        <v>33</v>
      </c>
      <c r="E1888" t="s">
        <v>622</v>
      </c>
      <c r="F1888" t="s">
        <v>26</v>
      </c>
      <c r="G1888" t="s">
        <v>26</v>
      </c>
    </row>
    <row r="1889" spans="1:14" hidden="1" x14ac:dyDescent="0.35">
      <c r="A1889" t="s">
        <v>740</v>
      </c>
      <c r="B1889" t="s">
        <v>37</v>
      </c>
      <c r="C1889" t="s">
        <v>79</v>
      </c>
      <c r="D1889" t="s">
        <v>79</v>
      </c>
      <c r="E1889" t="s">
        <v>600</v>
      </c>
      <c r="F1889" t="s">
        <v>581</v>
      </c>
      <c r="G1889" t="s">
        <v>396</v>
      </c>
      <c r="H1889">
        <v>18.191099999999999</v>
      </c>
      <c r="I1889">
        <v>13.54768</v>
      </c>
      <c r="J1889">
        <v>12.07192</v>
      </c>
      <c r="K1889">
        <v>9.9297579999999996</v>
      </c>
      <c r="L1889">
        <v>7.6781839999999999</v>
      </c>
      <c r="M1889">
        <v>6.1337289999999998</v>
      </c>
      <c r="N1889">
        <v>5.1193970000000002</v>
      </c>
    </row>
    <row r="1890" spans="1:14" hidden="1" x14ac:dyDescent="0.35">
      <c r="A1890" t="s">
        <v>740</v>
      </c>
      <c r="B1890" t="s">
        <v>37</v>
      </c>
      <c r="C1890" t="s">
        <v>79</v>
      </c>
      <c r="D1890" t="s">
        <v>79</v>
      </c>
      <c r="E1890" t="s">
        <v>600</v>
      </c>
      <c r="F1890" t="s">
        <v>581</v>
      </c>
      <c r="G1890" t="s">
        <v>24</v>
      </c>
      <c r="H1890">
        <v>3.4461119999999998</v>
      </c>
      <c r="I1890">
        <v>2.525649</v>
      </c>
      <c r="J1890">
        <v>2.235541</v>
      </c>
      <c r="K1890">
        <v>1.8388439999999999</v>
      </c>
      <c r="L1890">
        <v>1.4218869999999999</v>
      </c>
      <c r="M1890">
        <v>1.135877</v>
      </c>
      <c r="N1890">
        <v>0.94803539999999997</v>
      </c>
    </row>
    <row r="1891" spans="1:14" hidden="1" x14ac:dyDescent="0.35">
      <c r="A1891" t="s">
        <v>740</v>
      </c>
      <c r="B1891" t="s">
        <v>37</v>
      </c>
      <c r="C1891" t="s">
        <v>79</v>
      </c>
      <c r="D1891" t="s">
        <v>79</v>
      </c>
      <c r="E1891" t="s">
        <v>600</v>
      </c>
      <c r="F1891" t="s">
        <v>581</v>
      </c>
      <c r="G1891" t="s">
        <v>25</v>
      </c>
      <c r="H1891">
        <v>5.8068470000000003</v>
      </c>
      <c r="I1891">
        <v>4.7744470000000003</v>
      </c>
      <c r="J1891">
        <v>4.247528</v>
      </c>
      <c r="K1891">
        <v>3.493805</v>
      </c>
      <c r="L1891">
        <v>2.701581</v>
      </c>
      <c r="M1891">
        <v>2.1581619999999999</v>
      </c>
      <c r="N1891">
        <v>1.8012710000000001</v>
      </c>
    </row>
    <row r="1892" spans="1:14" hidden="1" x14ac:dyDescent="0.35">
      <c r="A1892" t="s">
        <v>740</v>
      </c>
      <c r="B1892" t="s">
        <v>37</v>
      </c>
      <c r="C1892" t="s">
        <v>79</v>
      </c>
      <c r="D1892" t="s">
        <v>79</v>
      </c>
      <c r="E1892" t="s">
        <v>600</v>
      </c>
      <c r="F1892" t="s">
        <v>26</v>
      </c>
      <c r="G1892" t="s">
        <v>26</v>
      </c>
      <c r="H1892">
        <v>5.4698630000000001</v>
      </c>
      <c r="I1892">
        <v>4.2718759999999998</v>
      </c>
      <c r="J1892">
        <v>3.8004190000000002</v>
      </c>
      <c r="K1892">
        <v>3.1260349999999999</v>
      </c>
      <c r="L1892">
        <v>2.4172069999999999</v>
      </c>
      <c r="M1892">
        <v>1.9309879999999999</v>
      </c>
      <c r="N1892">
        <v>1.6116600000000001</v>
      </c>
    </row>
    <row r="1893" spans="1:14" hidden="1" x14ac:dyDescent="0.35">
      <c r="A1893" t="s">
        <v>740</v>
      </c>
      <c r="B1893" t="s">
        <v>37</v>
      </c>
      <c r="C1893" t="s">
        <v>79</v>
      </c>
      <c r="D1893" t="s">
        <v>79</v>
      </c>
      <c r="E1893" t="s">
        <v>615</v>
      </c>
      <c r="F1893" t="s">
        <v>581</v>
      </c>
      <c r="G1893" t="s">
        <v>396</v>
      </c>
      <c r="H1893">
        <v>0.62260280000000001</v>
      </c>
      <c r="I1893">
        <v>0.55472869999999996</v>
      </c>
      <c r="J1893">
        <v>0.48572320000000002</v>
      </c>
      <c r="K1893">
        <v>0.46422819999999998</v>
      </c>
      <c r="L1893">
        <v>0.51139100000000004</v>
      </c>
      <c r="M1893">
        <v>0.4169641</v>
      </c>
      <c r="N1893">
        <v>0.35079120000000003</v>
      </c>
    </row>
    <row r="1894" spans="1:14" hidden="1" x14ac:dyDescent="0.35">
      <c r="A1894" t="s">
        <v>740</v>
      </c>
      <c r="B1894" t="s">
        <v>37</v>
      </c>
      <c r="C1894" t="s">
        <v>79</v>
      </c>
      <c r="D1894" t="s">
        <v>79</v>
      </c>
      <c r="E1894" t="s">
        <v>615</v>
      </c>
      <c r="F1894" t="s">
        <v>581</v>
      </c>
      <c r="G1894" t="s">
        <v>25</v>
      </c>
      <c r="H1894">
        <v>6.1643839999999998E-2</v>
      </c>
      <c r="I1894">
        <v>6.1638360000000003E-2</v>
      </c>
      <c r="J1894">
        <v>5.3969860000000001E-2</v>
      </c>
      <c r="K1894">
        <v>5.1580559999999998E-2</v>
      </c>
      <c r="L1894">
        <v>5.681862E-2</v>
      </c>
      <c r="M1894">
        <v>4.6330410000000002E-2</v>
      </c>
      <c r="N1894">
        <v>3.8976709999999998E-2</v>
      </c>
    </row>
    <row r="1895" spans="1:14" hidden="1" x14ac:dyDescent="0.35">
      <c r="A1895" t="s">
        <v>740</v>
      </c>
      <c r="B1895" t="s">
        <v>37</v>
      </c>
      <c r="C1895" t="s">
        <v>79</v>
      </c>
      <c r="D1895" t="s">
        <v>79</v>
      </c>
      <c r="E1895" t="s">
        <v>615</v>
      </c>
      <c r="F1895" t="s">
        <v>26</v>
      </c>
      <c r="G1895" t="s">
        <v>26</v>
      </c>
      <c r="H1895">
        <v>0.16438359999999999</v>
      </c>
      <c r="I1895">
        <v>0.15409039999999999</v>
      </c>
      <c r="J1895">
        <v>0.1349233</v>
      </c>
      <c r="K1895">
        <v>0.12895309999999999</v>
      </c>
      <c r="L1895">
        <v>0.14205400000000001</v>
      </c>
      <c r="M1895">
        <v>0.11582439999999999</v>
      </c>
      <c r="N1895">
        <v>9.744274E-2</v>
      </c>
    </row>
    <row r="1896" spans="1:14" hidden="1" x14ac:dyDescent="0.35">
      <c r="A1896" t="s">
        <v>740</v>
      </c>
      <c r="B1896" t="s">
        <v>37</v>
      </c>
      <c r="C1896" t="s">
        <v>35</v>
      </c>
      <c r="D1896" t="s">
        <v>189</v>
      </c>
      <c r="E1896" t="s">
        <v>590</v>
      </c>
      <c r="F1896" t="s">
        <v>581</v>
      </c>
      <c r="G1896" t="s">
        <v>396</v>
      </c>
      <c r="H1896">
        <v>6.147945</v>
      </c>
      <c r="I1896">
        <v>8.0680379999999996</v>
      </c>
      <c r="J1896">
        <v>8.3835949999999997</v>
      </c>
      <c r="K1896">
        <v>8.6615459999999995</v>
      </c>
      <c r="L1896">
        <v>7.7992549999999996</v>
      </c>
      <c r="M1896">
        <v>6.4457779999999998</v>
      </c>
      <c r="N1896">
        <v>5.4265109999999996</v>
      </c>
    </row>
    <row r="1897" spans="1:14" hidden="1" x14ac:dyDescent="0.35">
      <c r="A1897" t="s">
        <v>740</v>
      </c>
      <c r="B1897" t="s">
        <v>37</v>
      </c>
      <c r="C1897" t="s">
        <v>35</v>
      </c>
      <c r="D1897" t="s">
        <v>189</v>
      </c>
      <c r="E1897" t="s">
        <v>590</v>
      </c>
      <c r="F1897" t="s">
        <v>581</v>
      </c>
      <c r="G1897" t="s">
        <v>25</v>
      </c>
      <c r="H1897">
        <v>7.2284940000000004</v>
      </c>
      <c r="I1897">
        <v>5.0425230000000001</v>
      </c>
      <c r="J1897">
        <v>5.2397460000000002</v>
      </c>
      <c r="K1897">
        <v>5.4134690000000001</v>
      </c>
      <c r="L1897">
        <v>4.8745339999999997</v>
      </c>
      <c r="M1897">
        <v>4.0286140000000001</v>
      </c>
      <c r="N1897">
        <v>3.391575</v>
      </c>
    </row>
    <row r="1898" spans="1:14" hidden="1" x14ac:dyDescent="0.35">
      <c r="A1898" t="s">
        <v>740</v>
      </c>
      <c r="B1898" t="s">
        <v>37</v>
      </c>
      <c r="C1898" t="s">
        <v>35</v>
      </c>
      <c r="D1898" t="s">
        <v>189</v>
      </c>
      <c r="E1898" t="s">
        <v>590</v>
      </c>
      <c r="F1898" t="s">
        <v>26</v>
      </c>
      <c r="G1898" t="s">
        <v>26</v>
      </c>
      <c r="H1898">
        <v>8.0613700000000001</v>
      </c>
      <c r="I1898">
        <v>7.0595359999999996</v>
      </c>
      <c r="J1898">
        <v>7.3356450000000004</v>
      </c>
      <c r="K1898">
        <v>7.5788529999999996</v>
      </c>
      <c r="L1898">
        <v>6.8243450000000001</v>
      </c>
      <c r="M1898">
        <v>5.6400560000000004</v>
      </c>
      <c r="N1898">
        <v>4.7481970000000002</v>
      </c>
    </row>
    <row r="1899" spans="1:14" hidden="1" x14ac:dyDescent="0.35">
      <c r="A1899" t="s">
        <v>740</v>
      </c>
      <c r="B1899" t="s">
        <v>37</v>
      </c>
      <c r="C1899" t="s">
        <v>35</v>
      </c>
      <c r="D1899" t="s">
        <v>38</v>
      </c>
      <c r="E1899" t="s">
        <v>584</v>
      </c>
      <c r="F1899" t="s">
        <v>581</v>
      </c>
      <c r="G1899" t="s">
        <v>396</v>
      </c>
      <c r="H1899">
        <v>1.534247E-2</v>
      </c>
      <c r="I1899">
        <v>1.5608220000000001E-2</v>
      </c>
      <c r="J1899">
        <v>1.397808E-2</v>
      </c>
      <c r="K1899">
        <v>1.257808E-2</v>
      </c>
      <c r="L1899">
        <v>1.132055E-2</v>
      </c>
      <c r="M1899">
        <v>1.021644E-2</v>
      </c>
      <c r="N1899">
        <v>9.1671249999999999E-3</v>
      </c>
    </row>
    <row r="1900" spans="1:14" hidden="1" x14ac:dyDescent="0.35">
      <c r="A1900" t="s">
        <v>740</v>
      </c>
      <c r="B1900" t="s">
        <v>37</v>
      </c>
      <c r="C1900" t="s">
        <v>35</v>
      </c>
      <c r="D1900" t="s">
        <v>38</v>
      </c>
      <c r="E1900" t="s">
        <v>584</v>
      </c>
      <c r="F1900" t="s">
        <v>581</v>
      </c>
      <c r="G1900" t="s">
        <v>25</v>
      </c>
      <c r="H1900">
        <v>0</v>
      </c>
      <c r="I1900">
        <v>8.9041100000000002E-4</v>
      </c>
      <c r="J1900">
        <v>8.0273970000000004E-4</v>
      </c>
      <c r="K1900">
        <v>7.2054789999999997E-4</v>
      </c>
      <c r="L1900">
        <v>6.4657539999999996E-4</v>
      </c>
      <c r="M1900">
        <v>5.8356170000000004E-4</v>
      </c>
      <c r="N1900">
        <v>5.2328770000000001E-4</v>
      </c>
    </row>
    <row r="1901" spans="1:14" hidden="1" x14ac:dyDescent="0.35">
      <c r="A1901" t="s">
        <v>740</v>
      </c>
      <c r="B1901" t="s">
        <v>37</v>
      </c>
      <c r="C1901" t="s">
        <v>35</v>
      </c>
      <c r="D1901" t="s">
        <v>38</v>
      </c>
      <c r="E1901" t="s">
        <v>584</v>
      </c>
      <c r="F1901" t="s">
        <v>26</v>
      </c>
      <c r="G1901" t="s">
        <v>26</v>
      </c>
      <c r="H1901">
        <v>9.3150690000000005E-3</v>
      </c>
      <c r="I1901">
        <v>8.0356170000000001E-3</v>
      </c>
      <c r="J1901">
        <v>7.1972599999999996E-3</v>
      </c>
      <c r="K1901">
        <v>6.4767119999999999E-3</v>
      </c>
      <c r="L1901">
        <v>5.830137E-3</v>
      </c>
      <c r="M1901">
        <v>5.2602739999999997E-3</v>
      </c>
      <c r="N1901">
        <v>4.7205479999999998E-3</v>
      </c>
    </row>
    <row r="1902" spans="1:14" hidden="1" x14ac:dyDescent="0.35">
      <c r="A1902" t="s">
        <v>740</v>
      </c>
      <c r="B1902" t="s">
        <v>37</v>
      </c>
      <c r="C1902" t="s">
        <v>99</v>
      </c>
      <c r="D1902" t="s">
        <v>101</v>
      </c>
      <c r="E1902" t="s">
        <v>634</v>
      </c>
      <c r="F1902" t="s">
        <v>581</v>
      </c>
      <c r="G1902" t="s">
        <v>396</v>
      </c>
      <c r="H1902">
        <v>8.3791779999999996</v>
      </c>
      <c r="I1902">
        <v>8.2960890000000003</v>
      </c>
      <c r="J1902">
        <v>8.6741539999999997</v>
      </c>
      <c r="K1902">
        <v>8.4324849999999998</v>
      </c>
      <c r="L1902">
        <v>7.5751920000000004</v>
      </c>
      <c r="M1902">
        <v>5.6308769999999999</v>
      </c>
      <c r="N1902">
        <v>4.5639620000000001</v>
      </c>
    </row>
    <row r="1903" spans="1:14" hidden="1" x14ac:dyDescent="0.35">
      <c r="A1903" t="s">
        <v>740</v>
      </c>
      <c r="B1903" t="s">
        <v>37</v>
      </c>
      <c r="C1903" t="s">
        <v>99</v>
      </c>
      <c r="D1903" t="s">
        <v>101</v>
      </c>
      <c r="E1903" t="s">
        <v>634</v>
      </c>
      <c r="F1903" t="s">
        <v>26</v>
      </c>
      <c r="G1903" t="s">
        <v>26</v>
      </c>
      <c r="H1903">
        <v>3.6305480000000001</v>
      </c>
      <c r="I1903">
        <v>3.2042060000000001</v>
      </c>
      <c r="J1903">
        <v>3.1699899999999999</v>
      </c>
      <c r="K1903">
        <v>3.0222720000000001</v>
      </c>
      <c r="L1903">
        <v>2.7396440000000002</v>
      </c>
      <c r="M1903">
        <v>2.1378750000000002</v>
      </c>
      <c r="N1903">
        <v>1.7769029999999999</v>
      </c>
    </row>
    <row r="1904" spans="1:14" hidden="1" x14ac:dyDescent="0.35">
      <c r="A1904" t="s">
        <v>740</v>
      </c>
      <c r="B1904" t="s">
        <v>37</v>
      </c>
      <c r="C1904" t="s">
        <v>99</v>
      </c>
      <c r="D1904" t="s">
        <v>101</v>
      </c>
      <c r="E1904" t="s">
        <v>584</v>
      </c>
      <c r="F1904" t="s">
        <v>581</v>
      </c>
      <c r="G1904" t="s">
        <v>396</v>
      </c>
      <c r="H1904">
        <v>1.8410960000000001</v>
      </c>
      <c r="I1904">
        <v>1.779833</v>
      </c>
      <c r="J1904">
        <v>1.720569</v>
      </c>
      <c r="K1904">
        <v>1.6617230000000001</v>
      </c>
      <c r="L1904">
        <v>1.589939</v>
      </c>
      <c r="M1904">
        <v>1.487217</v>
      </c>
      <c r="N1904">
        <v>1.396835</v>
      </c>
    </row>
    <row r="1905" spans="1:14" hidden="1" x14ac:dyDescent="0.35">
      <c r="A1905" t="s">
        <v>740</v>
      </c>
      <c r="B1905" t="s">
        <v>37</v>
      </c>
      <c r="C1905" t="s">
        <v>99</v>
      </c>
      <c r="D1905" t="s">
        <v>101</v>
      </c>
      <c r="E1905" t="s">
        <v>584</v>
      </c>
      <c r="F1905" t="s">
        <v>26</v>
      </c>
      <c r="G1905" t="s">
        <v>26</v>
      </c>
      <c r="H1905">
        <v>1.8350679999999999</v>
      </c>
      <c r="I1905">
        <v>1.7144600000000001</v>
      </c>
      <c r="J1905">
        <v>1.6017110000000001</v>
      </c>
      <c r="K1905">
        <v>1.4945189999999999</v>
      </c>
      <c r="L1905">
        <v>1.3800749999999999</v>
      </c>
      <c r="M1905">
        <v>1.244758</v>
      </c>
      <c r="N1905">
        <v>1.126325</v>
      </c>
    </row>
    <row r="1906" spans="1:14" hidden="1" x14ac:dyDescent="0.35">
      <c r="A1906" t="s">
        <v>744</v>
      </c>
      <c r="B1906" t="s">
        <v>34</v>
      </c>
      <c r="C1906" t="s">
        <v>33</v>
      </c>
      <c r="D1906" t="s">
        <v>33</v>
      </c>
      <c r="E1906" t="s">
        <v>584</v>
      </c>
      <c r="F1906" t="s">
        <v>581</v>
      </c>
      <c r="G1906" t="s">
        <v>396</v>
      </c>
      <c r="H1906">
        <v>4.7736989999999997</v>
      </c>
      <c r="I1906">
        <v>4.991765</v>
      </c>
      <c r="J1906">
        <v>4.9456819999999997</v>
      </c>
      <c r="K1906">
        <v>4.8978529999999996</v>
      </c>
      <c r="L1906">
        <v>4.8392929999999996</v>
      </c>
      <c r="M1906">
        <v>4.7504989999999996</v>
      </c>
      <c r="N1906">
        <v>4.556616</v>
      </c>
    </row>
    <row r="1907" spans="1:14" hidden="1" x14ac:dyDescent="0.35">
      <c r="A1907" t="s">
        <v>744</v>
      </c>
      <c r="B1907" t="s">
        <v>34</v>
      </c>
      <c r="C1907" t="s">
        <v>33</v>
      </c>
      <c r="D1907" t="s">
        <v>33</v>
      </c>
      <c r="E1907" t="s">
        <v>584</v>
      </c>
      <c r="F1907" t="s">
        <v>581</v>
      </c>
      <c r="G1907" t="s">
        <v>24</v>
      </c>
      <c r="H1907">
        <v>0</v>
      </c>
    </row>
    <row r="1908" spans="1:14" hidden="1" x14ac:dyDescent="0.35">
      <c r="A1908" t="s">
        <v>744</v>
      </c>
      <c r="B1908" t="s">
        <v>34</v>
      </c>
      <c r="C1908" t="s">
        <v>33</v>
      </c>
      <c r="D1908" t="s">
        <v>33</v>
      </c>
      <c r="E1908" t="s">
        <v>584</v>
      </c>
      <c r="F1908" t="s">
        <v>581</v>
      </c>
      <c r="G1908" t="s">
        <v>25</v>
      </c>
      <c r="H1908">
        <v>0.9140876</v>
      </c>
      <c r="I1908">
        <v>0.78396710000000003</v>
      </c>
      <c r="J1908">
        <v>0.69052159999999996</v>
      </c>
      <c r="K1908">
        <v>0.62243700000000002</v>
      </c>
      <c r="L1908">
        <v>0.57039169999999995</v>
      </c>
      <c r="M1908">
        <v>0.52721700000000005</v>
      </c>
      <c r="N1908">
        <v>0.36984359999999999</v>
      </c>
    </row>
    <row r="1909" spans="1:14" hidden="1" x14ac:dyDescent="0.35">
      <c r="A1909" t="s">
        <v>744</v>
      </c>
      <c r="B1909" t="s">
        <v>34</v>
      </c>
      <c r="C1909" t="s">
        <v>33</v>
      </c>
      <c r="D1909" t="s">
        <v>33</v>
      </c>
      <c r="E1909" t="s">
        <v>584</v>
      </c>
      <c r="F1909" t="s">
        <v>26</v>
      </c>
      <c r="G1909" t="s">
        <v>26</v>
      </c>
      <c r="H1909">
        <v>2.878606</v>
      </c>
      <c r="I1909">
        <v>2.666296</v>
      </c>
      <c r="J1909">
        <v>2.499123</v>
      </c>
      <c r="K1909">
        <v>2.363013</v>
      </c>
      <c r="L1909">
        <v>2.241212</v>
      </c>
      <c r="M1909">
        <v>2.1201050000000001</v>
      </c>
      <c r="N1909">
        <v>1.6075029999999999</v>
      </c>
    </row>
    <row r="1910" spans="1:14" hidden="1" x14ac:dyDescent="0.35">
      <c r="A1910" t="s">
        <v>744</v>
      </c>
      <c r="B1910" t="s">
        <v>34</v>
      </c>
      <c r="C1910" t="s">
        <v>33</v>
      </c>
      <c r="D1910" t="s">
        <v>33</v>
      </c>
      <c r="E1910" t="s">
        <v>699</v>
      </c>
      <c r="F1910" t="s">
        <v>581</v>
      </c>
      <c r="G1910" t="s">
        <v>396</v>
      </c>
      <c r="H1910">
        <v>6.9815560000000003</v>
      </c>
      <c r="I1910">
        <v>5.5406180000000003</v>
      </c>
      <c r="J1910">
        <v>4.7780810000000002</v>
      </c>
      <c r="K1910">
        <v>4.0334329999999996</v>
      </c>
      <c r="L1910">
        <v>3.2889080000000002</v>
      </c>
      <c r="M1910">
        <v>2.2229839999999998</v>
      </c>
      <c r="N1910">
        <v>1.5638129999999999</v>
      </c>
    </row>
    <row r="1911" spans="1:14" hidden="1" x14ac:dyDescent="0.35">
      <c r="A1911" t="s">
        <v>744</v>
      </c>
      <c r="B1911" t="s">
        <v>34</v>
      </c>
      <c r="C1911" t="s">
        <v>33</v>
      </c>
      <c r="D1911" t="s">
        <v>33</v>
      </c>
      <c r="E1911" t="s">
        <v>699</v>
      </c>
      <c r="F1911" t="s">
        <v>581</v>
      </c>
      <c r="G1911" t="s">
        <v>25</v>
      </c>
      <c r="H1911">
        <v>0.24802740000000001</v>
      </c>
      <c r="I1911">
        <v>0.19904359999999999</v>
      </c>
      <c r="J1911">
        <v>0.16726489999999999</v>
      </c>
      <c r="K1911">
        <v>0.14492550000000001</v>
      </c>
      <c r="L1911">
        <v>0.1183033</v>
      </c>
      <c r="M1911">
        <v>7.9918069999999994E-2</v>
      </c>
      <c r="N1911">
        <v>5.6190410000000003E-2</v>
      </c>
    </row>
    <row r="1912" spans="1:14" hidden="1" x14ac:dyDescent="0.35">
      <c r="A1912" t="s">
        <v>744</v>
      </c>
      <c r="B1912" t="s">
        <v>34</v>
      </c>
      <c r="C1912" t="s">
        <v>33</v>
      </c>
      <c r="D1912" t="s">
        <v>33</v>
      </c>
      <c r="E1912" t="s">
        <v>699</v>
      </c>
      <c r="F1912" t="s">
        <v>26</v>
      </c>
      <c r="G1912" t="s">
        <v>26</v>
      </c>
      <c r="H1912">
        <v>1.082301</v>
      </c>
      <c r="I1912">
        <v>0.92885669999999998</v>
      </c>
      <c r="J1912">
        <v>0.78057460000000001</v>
      </c>
      <c r="K1912">
        <v>0.67629700000000004</v>
      </c>
      <c r="L1912">
        <v>0.55207890000000004</v>
      </c>
      <c r="M1912">
        <v>0.37298189999999998</v>
      </c>
      <c r="N1912">
        <v>0.262212</v>
      </c>
    </row>
    <row r="1913" spans="1:14" hidden="1" x14ac:dyDescent="0.35">
      <c r="A1913" t="s">
        <v>744</v>
      </c>
      <c r="B1913" t="s">
        <v>34</v>
      </c>
      <c r="C1913" t="s">
        <v>33</v>
      </c>
      <c r="D1913" t="s">
        <v>33</v>
      </c>
      <c r="E1913" t="s">
        <v>692</v>
      </c>
      <c r="F1913" t="s">
        <v>581</v>
      </c>
      <c r="G1913" t="s">
        <v>396</v>
      </c>
      <c r="H1913">
        <v>4.9484519999999996</v>
      </c>
      <c r="I1913">
        <v>4.6570229999999997</v>
      </c>
      <c r="J1913">
        <v>4.049607</v>
      </c>
      <c r="K1913">
        <v>3.8127759999999999</v>
      </c>
      <c r="L1913">
        <v>3.4759950000000002</v>
      </c>
      <c r="M1913">
        <v>3.230397</v>
      </c>
      <c r="N1913">
        <v>3.098436</v>
      </c>
    </row>
    <row r="1914" spans="1:14" hidden="1" x14ac:dyDescent="0.35">
      <c r="A1914" t="s">
        <v>744</v>
      </c>
      <c r="B1914" t="s">
        <v>34</v>
      </c>
      <c r="C1914" t="s">
        <v>33</v>
      </c>
      <c r="D1914" t="s">
        <v>33</v>
      </c>
      <c r="E1914" t="s">
        <v>692</v>
      </c>
      <c r="F1914" t="s">
        <v>581</v>
      </c>
      <c r="G1914" t="s">
        <v>25</v>
      </c>
      <c r="H1914">
        <v>0.1106603</v>
      </c>
      <c r="I1914">
        <v>0.1011466</v>
      </c>
      <c r="J1914">
        <v>8.7956439999999997E-2</v>
      </c>
      <c r="K1914">
        <v>8.2810410000000001E-2</v>
      </c>
      <c r="L1914">
        <v>7.5495619999999999E-2</v>
      </c>
      <c r="M1914">
        <v>7.0164660000000004E-2</v>
      </c>
      <c r="N1914">
        <v>6.7295889999999997E-2</v>
      </c>
    </row>
    <row r="1915" spans="1:14" hidden="1" x14ac:dyDescent="0.35">
      <c r="A1915" t="s">
        <v>744</v>
      </c>
      <c r="B1915" t="s">
        <v>34</v>
      </c>
      <c r="C1915" t="s">
        <v>33</v>
      </c>
      <c r="D1915" t="s">
        <v>33</v>
      </c>
      <c r="E1915" t="s">
        <v>692</v>
      </c>
      <c r="F1915" t="s">
        <v>26</v>
      </c>
      <c r="G1915" t="s">
        <v>26</v>
      </c>
      <c r="H1915">
        <v>0.6456054</v>
      </c>
      <c r="I1915">
        <v>0.59674419999999995</v>
      </c>
      <c r="J1915">
        <v>0.51890849999999999</v>
      </c>
      <c r="K1915">
        <v>0.48856329999999998</v>
      </c>
      <c r="L1915">
        <v>0.44540740000000001</v>
      </c>
      <c r="M1915">
        <v>0.4139389</v>
      </c>
      <c r="N1915">
        <v>0.39702880000000002</v>
      </c>
    </row>
    <row r="1916" spans="1:14" hidden="1" x14ac:dyDescent="0.35">
      <c r="A1916" t="s">
        <v>744</v>
      </c>
      <c r="B1916" t="s">
        <v>34</v>
      </c>
      <c r="C1916" t="s">
        <v>33</v>
      </c>
      <c r="D1916" t="s">
        <v>33</v>
      </c>
      <c r="E1916" t="s">
        <v>745</v>
      </c>
      <c r="F1916" t="s">
        <v>581</v>
      </c>
      <c r="G1916" t="s">
        <v>396</v>
      </c>
      <c r="H1916">
        <v>3.5302880000000001</v>
      </c>
      <c r="I1916">
        <v>3.700253</v>
      </c>
      <c r="J1916">
        <v>3.1617289999999998</v>
      </c>
      <c r="K1916">
        <v>2.7478379999999998</v>
      </c>
      <c r="L1916">
        <v>2.5425010000000001</v>
      </c>
      <c r="M1916">
        <v>2.5622880000000001</v>
      </c>
      <c r="N1916">
        <v>2.3232029999999999</v>
      </c>
    </row>
    <row r="1917" spans="1:14" hidden="1" x14ac:dyDescent="0.35">
      <c r="A1917" t="s">
        <v>744</v>
      </c>
      <c r="B1917" t="s">
        <v>34</v>
      </c>
      <c r="C1917" t="s">
        <v>33</v>
      </c>
      <c r="D1917" t="s">
        <v>33</v>
      </c>
      <c r="E1917" t="s">
        <v>745</v>
      </c>
      <c r="F1917" t="s">
        <v>581</v>
      </c>
      <c r="G1917" t="s">
        <v>25</v>
      </c>
      <c r="H1917">
        <v>0.18563009999999999</v>
      </c>
      <c r="I1917">
        <v>0.18896879999999999</v>
      </c>
      <c r="J1917">
        <v>0.1614679</v>
      </c>
      <c r="K1917">
        <v>0.1403296</v>
      </c>
      <c r="L1917">
        <v>0.12984490000000001</v>
      </c>
      <c r="M1917">
        <v>0.13085730000000001</v>
      </c>
      <c r="N1917">
        <v>0.11864329999999999</v>
      </c>
    </row>
    <row r="1918" spans="1:14" hidden="1" x14ac:dyDescent="0.35">
      <c r="A1918" t="s">
        <v>744</v>
      </c>
      <c r="B1918" t="s">
        <v>34</v>
      </c>
      <c r="C1918" t="s">
        <v>33</v>
      </c>
      <c r="D1918" t="s">
        <v>33</v>
      </c>
      <c r="E1918" t="s">
        <v>745</v>
      </c>
      <c r="F1918" t="s">
        <v>26</v>
      </c>
      <c r="G1918" t="s">
        <v>26</v>
      </c>
      <c r="H1918">
        <v>1.0829949999999999</v>
      </c>
      <c r="I1918">
        <v>1.114881</v>
      </c>
      <c r="J1918">
        <v>0.95262230000000003</v>
      </c>
      <c r="K1918">
        <v>0.82791919999999997</v>
      </c>
      <c r="L1918">
        <v>0.76605210000000001</v>
      </c>
      <c r="M1918">
        <v>0.7720167</v>
      </c>
      <c r="N1918">
        <v>0.69997860000000001</v>
      </c>
    </row>
    <row r="1919" spans="1:14" hidden="1" x14ac:dyDescent="0.35">
      <c r="A1919" t="s">
        <v>744</v>
      </c>
      <c r="B1919" t="s">
        <v>34</v>
      </c>
      <c r="C1919" t="s">
        <v>33</v>
      </c>
      <c r="D1919" t="s">
        <v>33</v>
      </c>
      <c r="E1919" t="s">
        <v>746</v>
      </c>
      <c r="F1919" t="s">
        <v>581</v>
      </c>
      <c r="G1919" t="s">
        <v>396</v>
      </c>
      <c r="H1919">
        <v>2.1518030000000001</v>
      </c>
      <c r="I1919">
        <v>1.9614929999999999</v>
      </c>
      <c r="J1919">
        <v>2.0428929999999998</v>
      </c>
      <c r="K1919">
        <v>1.8496539999999999</v>
      </c>
      <c r="L1919">
        <v>1.622271</v>
      </c>
      <c r="M1919">
        <v>1.34796</v>
      </c>
      <c r="N1919">
        <v>1.1439049999999999</v>
      </c>
    </row>
    <row r="1920" spans="1:14" hidden="1" x14ac:dyDescent="0.35">
      <c r="A1920" t="s">
        <v>744</v>
      </c>
      <c r="B1920" t="s">
        <v>34</v>
      </c>
      <c r="C1920" t="s">
        <v>33</v>
      </c>
      <c r="D1920" t="s">
        <v>33</v>
      </c>
      <c r="E1920" t="s">
        <v>746</v>
      </c>
      <c r="F1920" t="s">
        <v>581</v>
      </c>
      <c r="G1920" t="s">
        <v>25</v>
      </c>
      <c r="H1920">
        <v>0.32203290000000001</v>
      </c>
      <c r="I1920">
        <v>0.2851014</v>
      </c>
      <c r="J1920">
        <v>0.29693619999999998</v>
      </c>
      <c r="K1920">
        <v>0.2688468</v>
      </c>
      <c r="L1920">
        <v>0.23579649999999999</v>
      </c>
      <c r="M1920">
        <v>0.19592570000000001</v>
      </c>
      <c r="N1920">
        <v>0.16626769999999999</v>
      </c>
    </row>
    <row r="1921" spans="1:14" hidden="1" x14ac:dyDescent="0.35">
      <c r="A1921" t="s">
        <v>744</v>
      </c>
      <c r="B1921" t="s">
        <v>34</v>
      </c>
      <c r="C1921" t="s">
        <v>33</v>
      </c>
      <c r="D1921" t="s">
        <v>33</v>
      </c>
      <c r="E1921" t="s">
        <v>746</v>
      </c>
      <c r="F1921" t="s">
        <v>26</v>
      </c>
      <c r="G1921" t="s">
        <v>26</v>
      </c>
      <c r="H1921">
        <v>1.707986</v>
      </c>
      <c r="I1921">
        <v>1.52915</v>
      </c>
      <c r="J1921">
        <v>1.5926009999999999</v>
      </c>
      <c r="K1921">
        <v>1.441959</v>
      </c>
      <c r="L1921">
        <v>1.264694</v>
      </c>
      <c r="M1921">
        <v>1.050845</v>
      </c>
      <c r="N1921">
        <v>0.89176909999999998</v>
      </c>
    </row>
    <row r="1922" spans="1:14" hidden="1" x14ac:dyDescent="0.35">
      <c r="A1922" t="s">
        <v>744</v>
      </c>
      <c r="B1922" t="s">
        <v>34</v>
      </c>
      <c r="C1922" t="s">
        <v>33</v>
      </c>
      <c r="D1922" t="s">
        <v>33</v>
      </c>
      <c r="E1922" t="s">
        <v>747</v>
      </c>
      <c r="F1922" t="s">
        <v>581</v>
      </c>
      <c r="G1922" t="s">
        <v>396</v>
      </c>
      <c r="H1922">
        <v>1.3966080000000001</v>
      </c>
      <c r="I1922">
        <v>2.2659959999999999</v>
      </c>
      <c r="J1922">
        <v>2.0727470000000001</v>
      </c>
      <c r="K1922">
        <v>1.888695</v>
      </c>
      <c r="L1922">
        <v>1.7745500000000001</v>
      </c>
      <c r="M1922">
        <v>1.707101</v>
      </c>
      <c r="N1922">
        <v>1.734035</v>
      </c>
    </row>
    <row r="1923" spans="1:14" hidden="1" x14ac:dyDescent="0.35">
      <c r="A1923" t="s">
        <v>744</v>
      </c>
      <c r="B1923" t="s">
        <v>34</v>
      </c>
      <c r="C1923" t="s">
        <v>33</v>
      </c>
      <c r="D1923" t="s">
        <v>33</v>
      </c>
      <c r="E1923" t="s">
        <v>747</v>
      </c>
      <c r="F1923" t="s">
        <v>581</v>
      </c>
      <c r="G1923" t="s">
        <v>25</v>
      </c>
      <c r="H1923">
        <v>0.42654520000000001</v>
      </c>
      <c r="I1923">
        <v>0.29134769999999999</v>
      </c>
      <c r="J1923">
        <v>0.26650190000000001</v>
      </c>
      <c r="K1923">
        <v>0.24283750000000001</v>
      </c>
      <c r="L1923">
        <v>0.2281619</v>
      </c>
      <c r="M1923">
        <v>0.2194844</v>
      </c>
      <c r="N1923">
        <v>0.22294929999999999</v>
      </c>
    </row>
    <row r="1924" spans="1:14" hidden="1" x14ac:dyDescent="0.35">
      <c r="A1924" t="s">
        <v>744</v>
      </c>
      <c r="B1924" t="s">
        <v>34</v>
      </c>
      <c r="C1924" t="s">
        <v>33</v>
      </c>
      <c r="D1924" t="s">
        <v>33</v>
      </c>
      <c r="E1924" t="s">
        <v>747</v>
      </c>
      <c r="F1924" t="s">
        <v>26</v>
      </c>
      <c r="G1924" t="s">
        <v>26</v>
      </c>
      <c r="H1924">
        <v>0.70266850000000003</v>
      </c>
      <c r="I1924">
        <v>0.68897070000000005</v>
      </c>
      <c r="J1924">
        <v>0.63020929999999997</v>
      </c>
      <c r="K1924">
        <v>0.57425090000000001</v>
      </c>
      <c r="L1924">
        <v>0.53954460000000004</v>
      </c>
      <c r="M1924">
        <v>0.5190342</v>
      </c>
      <c r="N1924">
        <v>0.52722380000000002</v>
      </c>
    </row>
    <row r="1925" spans="1:14" hidden="1" x14ac:dyDescent="0.35">
      <c r="A1925" t="s">
        <v>744</v>
      </c>
      <c r="B1925" t="s">
        <v>34</v>
      </c>
      <c r="C1925" t="s">
        <v>33</v>
      </c>
      <c r="D1925" t="s">
        <v>33</v>
      </c>
      <c r="E1925" t="s">
        <v>604</v>
      </c>
      <c r="F1925" t="s">
        <v>581</v>
      </c>
      <c r="G1925" t="s">
        <v>396</v>
      </c>
      <c r="H1925">
        <v>7.4164380000000002E-2</v>
      </c>
      <c r="I1925">
        <v>0.1190205</v>
      </c>
      <c r="J1925">
        <v>0.1092847</v>
      </c>
      <c r="K1925">
        <v>9.5852870000000007E-2</v>
      </c>
      <c r="L1925">
        <v>9.3428490000000003E-2</v>
      </c>
      <c r="M1925">
        <v>9.1041919999999998E-2</v>
      </c>
      <c r="N1925">
        <v>8.7175349999999999E-2</v>
      </c>
    </row>
    <row r="1926" spans="1:14" hidden="1" x14ac:dyDescent="0.35">
      <c r="A1926" t="s">
        <v>744</v>
      </c>
      <c r="B1926" t="s">
        <v>34</v>
      </c>
      <c r="C1926" t="s">
        <v>33</v>
      </c>
      <c r="D1926" t="s">
        <v>33</v>
      </c>
      <c r="E1926" t="s">
        <v>604</v>
      </c>
      <c r="F1926" t="s">
        <v>581</v>
      </c>
      <c r="G1926" t="s">
        <v>24</v>
      </c>
      <c r="H1926">
        <v>7.4164380000000002E-2</v>
      </c>
      <c r="I1926">
        <v>0.1190205</v>
      </c>
      <c r="J1926">
        <v>0.1092847</v>
      </c>
      <c r="K1926">
        <v>9.5852870000000007E-2</v>
      </c>
      <c r="L1926">
        <v>9.3428490000000003E-2</v>
      </c>
      <c r="M1926">
        <v>9.1041919999999998E-2</v>
      </c>
      <c r="N1926">
        <v>8.7175349999999999E-2</v>
      </c>
    </row>
    <row r="1927" spans="1:14" hidden="1" x14ac:dyDescent="0.35">
      <c r="A1927" t="s">
        <v>744</v>
      </c>
      <c r="B1927" t="s">
        <v>34</v>
      </c>
      <c r="C1927" t="s">
        <v>33</v>
      </c>
      <c r="D1927" t="s">
        <v>33</v>
      </c>
      <c r="E1927" t="s">
        <v>604</v>
      </c>
      <c r="F1927" t="s">
        <v>581</v>
      </c>
      <c r="G1927" t="s">
        <v>25</v>
      </c>
      <c r="H1927">
        <v>0.1993123</v>
      </c>
      <c r="I1927">
        <v>0.14283119999999999</v>
      </c>
      <c r="J1927">
        <v>0.13114300000000001</v>
      </c>
      <c r="K1927">
        <v>0.1150263</v>
      </c>
      <c r="L1927">
        <v>0.1121164</v>
      </c>
      <c r="M1927">
        <v>0.10924929999999999</v>
      </c>
      <c r="N1927">
        <v>0.1046164</v>
      </c>
    </row>
    <row r="1928" spans="1:14" hidden="1" x14ac:dyDescent="0.35">
      <c r="A1928" t="s">
        <v>744</v>
      </c>
      <c r="B1928" t="s">
        <v>34</v>
      </c>
      <c r="C1928" t="s">
        <v>33</v>
      </c>
      <c r="D1928" t="s">
        <v>33</v>
      </c>
      <c r="E1928" t="s">
        <v>604</v>
      </c>
      <c r="F1928" t="s">
        <v>26</v>
      </c>
      <c r="G1928" t="s">
        <v>26</v>
      </c>
      <c r="H1928">
        <v>0.4108192</v>
      </c>
      <c r="I1928">
        <v>0.41927950000000003</v>
      </c>
      <c r="J1928">
        <v>0.3849844</v>
      </c>
      <c r="K1928">
        <v>0.33766459999999998</v>
      </c>
      <c r="L1928">
        <v>0.32912249999999998</v>
      </c>
      <c r="M1928">
        <v>0.3207121</v>
      </c>
      <c r="N1928">
        <v>0.30709619999999999</v>
      </c>
    </row>
    <row r="1929" spans="1:14" hidden="1" x14ac:dyDescent="0.35">
      <c r="A1929" t="s">
        <v>744</v>
      </c>
      <c r="B1929" t="s">
        <v>34</v>
      </c>
      <c r="C1929" t="s">
        <v>230</v>
      </c>
      <c r="D1929" t="s">
        <v>230</v>
      </c>
      <c r="E1929" t="s">
        <v>584</v>
      </c>
      <c r="F1929" t="s">
        <v>581</v>
      </c>
      <c r="G1929" t="s">
        <v>396</v>
      </c>
      <c r="H1929">
        <v>20.095649999999999</v>
      </c>
      <c r="I1929">
        <v>21.674250000000001</v>
      </c>
      <c r="J1929">
        <v>22.04035</v>
      </c>
      <c r="K1929">
        <v>21.34055</v>
      </c>
      <c r="L1929">
        <v>21.147110000000001</v>
      </c>
      <c r="M1929">
        <v>20.90971</v>
      </c>
      <c r="N1929">
        <v>20.703029999999998</v>
      </c>
    </row>
    <row r="1930" spans="1:14" hidden="1" x14ac:dyDescent="0.35">
      <c r="A1930" t="s">
        <v>744</v>
      </c>
      <c r="B1930" t="s">
        <v>34</v>
      </c>
      <c r="C1930" t="s">
        <v>230</v>
      </c>
      <c r="D1930" t="s">
        <v>230</v>
      </c>
      <c r="E1930" t="s">
        <v>584</v>
      </c>
      <c r="F1930" t="s">
        <v>26</v>
      </c>
      <c r="G1930" t="s">
        <v>26</v>
      </c>
      <c r="H1930">
        <v>0.16083310000000001</v>
      </c>
      <c r="I1930">
        <v>0.14174990000000001</v>
      </c>
      <c r="J1930">
        <v>0.1252972</v>
      </c>
      <c r="K1930">
        <v>0.1108952</v>
      </c>
      <c r="L1930">
        <v>9.7306950000000003E-2</v>
      </c>
      <c r="M1930">
        <v>8.3584530000000004E-2</v>
      </c>
      <c r="N1930">
        <v>7.2210990000000003E-2</v>
      </c>
    </row>
    <row r="1931" spans="1:14" hidden="1" x14ac:dyDescent="0.35">
      <c r="A1931" t="s">
        <v>748</v>
      </c>
      <c r="B1931" t="s">
        <v>74</v>
      </c>
      <c r="C1931" t="s">
        <v>71</v>
      </c>
      <c r="D1931" t="s">
        <v>77</v>
      </c>
      <c r="E1931" t="s">
        <v>584</v>
      </c>
      <c r="F1931" t="s">
        <v>581</v>
      </c>
      <c r="G1931" t="s">
        <v>396</v>
      </c>
      <c r="H1931">
        <v>23.475380000000001</v>
      </c>
      <c r="I1931">
        <v>14.92116</v>
      </c>
      <c r="J1931">
        <v>14.996980000000001</v>
      </c>
      <c r="K1931">
        <v>15.21576</v>
      </c>
      <c r="L1931">
        <v>15.83324</v>
      </c>
      <c r="M1931">
        <v>13.97757</v>
      </c>
      <c r="N1931">
        <v>12.692500000000001</v>
      </c>
    </row>
    <row r="1932" spans="1:14" hidden="1" x14ac:dyDescent="0.35">
      <c r="A1932" t="s">
        <v>748</v>
      </c>
      <c r="B1932" t="s">
        <v>74</v>
      </c>
      <c r="C1932" t="s">
        <v>71</v>
      </c>
      <c r="D1932" t="s">
        <v>77</v>
      </c>
      <c r="E1932" t="s">
        <v>584</v>
      </c>
      <c r="F1932" t="s">
        <v>581</v>
      </c>
      <c r="G1932" t="s">
        <v>25</v>
      </c>
      <c r="H1932">
        <v>1.2086950000000001</v>
      </c>
      <c r="I1932">
        <v>0.84789970000000003</v>
      </c>
      <c r="J1932">
        <v>0.89679880000000001</v>
      </c>
      <c r="K1932">
        <v>0.93242570000000002</v>
      </c>
      <c r="L1932">
        <v>0.99051029999999995</v>
      </c>
      <c r="M1932">
        <v>0.87604530000000003</v>
      </c>
      <c r="N1932">
        <v>0.67841739999999995</v>
      </c>
    </row>
    <row r="1933" spans="1:14" hidden="1" x14ac:dyDescent="0.35">
      <c r="A1933" t="s">
        <v>748</v>
      </c>
      <c r="B1933" t="s">
        <v>74</v>
      </c>
      <c r="C1933" t="s">
        <v>71</v>
      </c>
      <c r="D1933" t="s">
        <v>77</v>
      </c>
      <c r="E1933" t="s">
        <v>584</v>
      </c>
      <c r="F1933" t="s">
        <v>26</v>
      </c>
      <c r="G1933" t="s">
        <v>26</v>
      </c>
      <c r="H1933">
        <v>4.4029449999999999</v>
      </c>
      <c r="I1933">
        <v>4.2094519999999997</v>
      </c>
      <c r="J1933">
        <v>4.4614279999999997</v>
      </c>
      <c r="K1933">
        <v>4.6532270000000002</v>
      </c>
      <c r="L1933">
        <v>4.9659700000000004</v>
      </c>
      <c r="M1933">
        <v>4.3953509999999998</v>
      </c>
      <c r="N1933">
        <v>3.5609350000000002</v>
      </c>
    </row>
    <row r="1934" spans="1:14" hidden="1" x14ac:dyDescent="0.35">
      <c r="A1934" t="s">
        <v>748</v>
      </c>
      <c r="B1934" t="s">
        <v>74</v>
      </c>
      <c r="C1934" t="s">
        <v>71</v>
      </c>
      <c r="D1934" t="s">
        <v>76</v>
      </c>
      <c r="E1934" t="s">
        <v>584</v>
      </c>
      <c r="F1934" t="s">
        <v>581</v>
      </c>
      <c r="G1934" t="s">
        <v>396</v>
      </c>
      <c r="H1934">
        <v>8.1021369999999995E-2</v>
      </c>
      <c r="I1934">
        <v>7.0804919999999993E-2</v>
      </c>
      <c r="J1934">
        <v>7.0831229999999995E-2</v>
      </c>
      <c r="K1934">
        <v>4.9898629999999999E-2</v>
      </c>
      <c r="L1934">
        <v>0</v>
      </c>
      <c r="M1934">
        <v>0</v>
      </c>
      <c r="N1934">
        <v>0</v>
      </c>
    </row>
    <row r="1935" spans="1:14" hidden="1" x14ac:dyDescent="0.35">
      <c r="A1935" t="s">
        <v>748</v>
      </c>
      <c r="B1935" t="s">
        <v>74</v>
      </c>
      <c r="C1935" t="s">
        <v>227</v>
      </c>
      <c r="D1935" t="s">
        <v>227</v>
      </c>
      <c r="E1935" t="s">
        <v>584</v>
      </c>
      <c r="F1935" t="s">
        <v>581</v>
      </c>
      <c r="G1935" t="s">
        <v>396</v>
      </c>
      <c r="H1935">
        <v>24.800470000000001</v>
      </c>
      <c r="I1935">
        <v>23.860479999999999</v>
      </c>
      <c r="J1935">
        <v>20.17962</v>
      </c>
      <c r="K1935">
        <v>16.681239999999999</v>
      </c>
      <c r="L1935">
        <v>14.852349999999999</v>
      </c>
      <c r="M1935">
        <v>13.301729999999999</v>
      </c>
      <c r="N1935">
        <v>12.29754</v>
      </c>
    </row>
    <row r="1936" spans="1:14" hidden="1" x14ac:dyDescent="0.35">
      <c r="A1936" t="s">
        <v>748</v>
      </c>
      <c r="B1936" t="s">
        <v>74</v>
      </c>
      <c r="C1936" t="s">
        <v>227</v>
      </c>
      <c r="D1936" t="s">
        <v>227</v>
      </c>
      <c r="E1936" t="s">
        <v>584</v>
      </c>
      <c r="F1936" t="s">
        <v>26</v>
      </c>
      <c r="G1936" t="s">
        <v>26</v>
      </c>
      <c r="H1936">
        <v>0.48397380000000001</v>
      </c>
      <c r="I1936">
        <v>0.4656303</v>
      </c>
      <c r="J1936">
        <v>0.39379950000000002</v>
      </c>
      <c r="K1936">
        <v>0.3255284</v>
      </c>
      <c r="L1936">
        <v>0.32881860000000002</v>
      </c>
      <c r="M1936">
        <v>0.32635150000000002</v>
      </c>
      <c r="N1936">
        <v>0.34927340000000001</v>
      </c>
    </row>
    <row r="1937" spans="1:14" hidden="1" x14ac:dyDescent="0.35">
      <c r="A1937" t="s">
        <v>748</v>
      </c>
      <c r="B1937" t="s">
        <v>74</v>
      </c>
      <c r="C1937" t="s">
        <v>87</v>
      </c>
      <c r="D1937" t="s">
        <v>87</v>
      </c>
      <c r="E1937" t="s">
        <v>584</v>
      </c>
      <c r="F1937" t="s">
        <v>581</v>
      </c>
      <c r="G1937" t="s">
        <v>396</v>
      </c>
      <c r="H1937">
        <v>5.0058259999999999</v>
      </c>
      <c r="I1937">
        <v>3.824341</v>
      </c>
      <c r="J1937">
        <v>2.3991600000000002</v>
      </c>
      <c r="K1937">
        <v>1.9789749999999999</v>
      </c>
      <c r="L1937">
        <v>1.9289210000000001</v>
      </c>
      <c r="M1937">
        <v>5.8826200000000002</v>
      </c>
      <c r="N1937">
        <v>2.712043</v>
      </c>
    </row>
    <row r="1938" spans="1:14" hidden="1" x14ac:dyDescent="0.35">
      <c r="A1938" t="s">
        <v>748</v>
      </c>
      <c r="B1938" t="s">
        <v>74</v>
      </c>
      <c r="C1938" t="s">
        <v>87</v>
      </c>
      <c r="D1938" t="s">
        <v>87</v>
      </c>
      <c r="E1938" t="s">
        <v>584</v>
      </c>
      <c r="F1938" t="s">
        <v>581</v>
      </c>
      <c r="G1938" t="s">
        <v>25</v>
      </c>
      <c r="H1938">
        <v>7.0309449999999996E-2</v>
      </c>
      <c r="I1938">
        <v>5.9306980000000002E-2</v>
      </c>
      <c r="J1938">
        <v>0.10564519999999999</v>
      </c>
      <c r="K1938">
        <v>9.0297260000000004E-2</v>
      </c>
      <c r="L1938">
        <v>8.214109E-2</v>
      </c>
      <c r="M1938">
        <v>7.0756169999999993E-2</v>
      </c>
      <c r="N1938">
        <v>2.521178E-2</v>
      </c>
    </row>
    <row r="1939" spans="1:14" hidden="1" x14ac:dyDescent="0.35">
      <c r="A1939" t="s">
        <v>748</v>
      </c>
      <c r="B1939" t="s">
        <v>74</v>
      </c>
      <c r="C1939" t="s">
        <v>87</v>
      </c>
      <c r="D1939" t="s">
        <v>87</v>
      </c>
      <c r="E1939" t="s">
        <v>584</v>
      </c>
      <c r="F1939" t="s">
        <v>26</v>
      </c>
      <c r="G1939" t="s">
        <v>26</v>
      </c>
      <c r="H1939">
        <v>0.14039589999999999</v>
      </c>
      <c r="I1939">
        <v>0.1470137</v>
      </c>
      <c r="J1939">
        <v>0.16709180000000001</v>
      </c>
      <c r="K1939">
        <v>0.13993559999999999</v>
      </c>
      <c r="L1939">
        <v>0.1417699</v>
      </c>
      <c r="M1939">
        <v>0.39362059999999999</v>
      </c>
      <c r="N1939">
        <v>0.1652535</v>
      </c>
    </row>
    <row r="1940" spans="1:14" hidden="1" x14ac:dyDescent="0.35">
      <c r="A1940" t="s">
        <v>748</v>
      </c>
      <c r="B1940" t="s">
        <v>74</v>
      </c>
      <c r="C1940" t="s">
        <v>87</v>
      </c>
      <c r="D1940" t="s">
        <v>89</v>
      </c>
      <c r="E1940" t="s">
        <v>584</v>
      </c>
      <c r="F1940" t="s">
        <v>581</v>
      </c>
      <c r="G1940" t="s">
        <v>396</v>
      </c>
      <c r="H1940">
        <v>0.62898220000000005</v>
      </c>
      <c r="I1940">
        <v>0.64123839999999999</v>
      </c>
      <c r="J1940">
        <v>0.499863</v>
      </c>
      <c r="K1940">
        <v>0.44456030000000002</v>
      </c>
      <c r="L1940">
        <v>0.41988999999999999</v>
      </c>
      <c r="M1940">
        <v>1.7812269999999999</v>
      </c>
      <c r="N1940">
        <v>1.5738909999999999</v>
      </c>
    </row>
    <row r="1941" spans="1:14" hidden="1" x14ac:dyDescent="0.35">
      <c r="A1941" t="s">
        <v>748</v>
      </c>
      <c r="B1941" t="s">
        <v>74</v>
      </c>
      <c r="C1941" t="s">
        <v>87</v>
      </c>
      <c r="D1941" t="s">
        <v>89</v>
      </c>
      <c r="E1941" t="s">
        <v>584</v>
      </c>
      <c r="F1941" t="s">
        <v>581</v>
      </c>
      <c r="G1941" t="s">
        <v>25</v>
      </c>
      <c r="H1941">
        <v>5.0000000000000001E-4</v>
      </c>
      <c r="I1941">
        <v>5.1095890000000003E-4</v>
      </c>
      <c r="J1941">
        <v>3.9726030000000002E-4</v>
      </c>
      <c r="K1941">
        <v>3.5342460000000001E-4</v>
      </c>
      <c r="L1941">
        <v>4.1452049999999999E-4</v>
      </c>
      <c r="M1941">
        <v>3.627945E-3</v>
      </c>
      <c r="N1941">
        <v>3.2075340000000002E-3</v>
      </c>
    </row>
    <row r="1942" spans="1:14" hidden="1" x14ac:dyDescent="0.35">
      <c r="A1942" t="s">
        <v>748</v>
      </c>
      <c r="B1942" t="s">
        <v>74</v>
      </c>
      <c r="C1942" t="s">
        <v>87</v>
      </c>
      <c r="D1942" t="s">
        <v>89</v>
      </c>
      <c r="E1942" t="s">
        <v>584</v>
      </c>
      <c r="F1942" t="s">
        <v>26</v>
      </c>
      <c r="G1942" t="s">
        <v>26</v>
      </c>
      <c r="H1942">
        <v>5.874658E-2</v>
      </c>
      <c r="I1942">
        <v>5.9890409999999998E-2</v>
      </c>
      <c r="J1942">
        <v>4.66863E-2</v>
      </c>
      <c r="K1942">
        <v>4.1520540000000002E-2</v>
      </c>
      <c r="L1942">
        <v>3.9147120000000001E-2</v>
      </c>
      <c r="M1942">
        <v>0.1644467</v>
      </c>
      <c r="N1942">
        <v>0.14530509999999999</v>
      </c>
    </row>
    <row r="1943" spans="1:14" hidden="1" x14ac:dyDescent="0.35">
      <c r="A1943" t="s">
        <v>748</v>
      </c>
      <c r="B1943" t="s">
        <v>74</v>
      </c>
      <c r="C1943" t="s">
        <v>146</v>
      </c>
      <c r="D1943" t="s">
        <v>147</v>
      </c>
      <c r="E1943" t="s">
        <v>584</v>
      </c>
      <c r="F1943" t="s">
        <v>581</v>
      </c>
      <c r="G1943" t="s">
        <v>396</v>
      </c>
      <c r="H1943">
        <v>0.79953099999999999</v>
      </c>
      <c r="I1943">
        <v>0.89863009999999999</v>
      </c>
      <c r="J1943">
        <v>1.139799</v>
      </c>
      <c r="K1943">
        <v>0.92162880000000003</v>
      </c>
      <c r="L1943">
        <v>0.71011570000000002</v>
      </c>
      <c r="M1943">
        <v>0.58339419999999997</v>
      </c>
      <c r="N1943">
        <v>0.46980739999999999</v>
      </c>
    </row>
    <row r="1944" spans="1:14" hidden="1" x14ac:dyDescent="0.35">
      <c r="A1944" t="s">
        <v>748</v>
      </c>
      <c r="B1944" t="s">
        <v>74</v>
      </c>
      <c r="C1944" t="s">
        <v>146</v>
      </c>
      <c r="D1944" t="s">
        <v>147</v>
      </c>
      <c r="E1944" t="s">
        <v>584</v>
      </c>
      <c r="F1944" t="s">
        <v>581</v>
      </c>
      <c r="G1944" t="s">
        <v>25</v>
      </c>
      <c r="H1944">
        <v>3.491002E-2</v>
      </c>
      <c r="I1944">
        <v>0</v>
      </c>
    </row>
    <row r="1945" spans="1:14" hidden="1" x14ac:dyDescent="0.35">
      <c r="A1945" t="s">
        <v>748</v>
      </c>
      <c r="B1945" t="s">
        <v>74</v>
      </c>
      <c r="C1945" t="s">
        <v>146</v>
      </c>
      <c r="D1945" t="s">
        <v>147</v>
      </c>
      <c r="E1945" t="s">
        <v>584</v>
      </c>
      <c r="F1945" t="s">
        <v>26</v>
      </c>
      <c r="G1945" t="s">
        <v>26</v>
      </c>
      <c r="H1945">
        <v>4.869238E-2</v>
      </c>
      <c r="I1945">
        <v>5.4727669999999999E-2</v>
      </c>
      <c r="J1945">
        <v>6.9415229999999994E-2</v>
      </c>
      <c r="K1945">
        <v>6.9378410000000001E-2</v>
      </c>
      <c r="L1945">
        <v>6.2655139999999998E-2</v>
      </c>
      <c r="M1945">
        <v>5.9177760000000003E-2</v>
      </c>
      <c r="N1945">
        <v>4.745986E-2</v>
      </c>
    </row>
    <row r="1946" spans="1:14" hidden="1" x14ac:dyDescent="0.35">
      <c r="A1946" t="s">
        <v>748</v>
      </c>
      <c r="B1946" t="s">
        <v>74</v>
      </c>
      <c r="C1946" t="s">
        <v>146</v>
      </c>
      <c r="D1946" t="s">
        <v>197</v>
      </c>
      <c r="E1946" t="s">
        <v>584</v>
      </c>
      <c r="F1946" t="s">
        <v>581</v>
      </c>
      <c r="G1946" t="s">
        <v>396</v>
      </c>
      <c r="H1946">
        <v>0.74152200000000001</v>
      </c>
      <c r="I1946">
        <v>2.1088339999999999</v>
      </c>
      <c r="J1946">
        <v>1.0327679999999999</v>
      </c>
      <c r="K1946">
        <v>0.63565890000000003</v>
      </c>
      <c r="L1946">
        <v>0.50214970000000003</v>
      </c>
      <c r="M1946">
        <v>0.33278659999999999</v>
      </c>
      <c r="N1946">
        <v>0.23584550000000001</v>
      </c>
    </row>
    <row r="1947" spans="1:14" hidden="1" x14ac:dyDescent="0.35">
      <c r="A1947" t="s">
        <v>748</v>
      </c>
      <c r="B1947" t="s">
        <v>74</v>
      </c>
      <c r="C1947" t="s">
        <v>146</v>
      </c>
      <c r="D1947" t="s">
        <v>197</v>
      </c>
      <c r="E1947" t="s">
        <v>584</v>
      </c>
      <c r="F1947" t="s">
        <v>26</v>
      </c>
      <c r="G1947" t="s">
        <v>26</v>
      </c>
      <c r="H1947">
        <v>0</v>
      </c>
      <c r="I1947">
        <v>0</v>
      </c>
      <c r="J1947">
        <v>0</v>
      </c>
      <c r="K1947">
        <v>2.436603E-2</v>
      </c>
      <c r="L1947">
        <v>0.10507560000000001</v>
      </c>
      <c r="M1947">
        <v>7.9169859999999995E-2</v>
      </c>
      <c r="N1947">
        <v>5.6109039999999999E-2</v>
      </c>
    </row>
    <row r="1948" spans="1:14" hidden="1" x14ac:dyDescent="0.35">
      <c r="A1948" t="s">
        <v>748</v>
      </c>
      <c r="B1948" t="s">
        <v>59</v>
      </c>
      <c r="C1948" t="s">
        <v>58</v>
      </c>
      <c r="D1948" t="s">
        <v>58</v>
      </c>
      <c r="E1948" t="s">
        <v>584</v>
      </c>
      <c r="F1948" t="s">
        <v>581</v>
      </c>
      <c r="G1948" t="s">
        <v>396</v>
      </c>
      <c r="H1948">
        <v>3.8478189999999999</v>
      </c>
      <c r="I1948">
        <v>3.1761379999999999</v>
      </c>
      <c r="J1948">
        <v>2.5824419999999999</v>
      </c>
      <c r="K1948">
        <v>0.1037503</v>
      </c>
      <c r="L1948">
        <v>9.9093299999999995E-2</v>
      </c>
      <c r="M1948">
        <v>8.2593700000000006E-2</v>
      </c>
      <c r="N1948">
        <v>0</v>
      </c>
    </row>
    <row r="1949" spans="1:14" hidden="1" x14ac:dyDescent="0.35">
      <c r="A1949" t="s">
        <v>748</v>
      </c>
      <c r="B1949" t="s">
        <v>59</v>
      </c>
      <c r="C1949" t="s">
        <v>58</v>
      </c>
      <c r="D1949" t="s">
        <v>58</v>
      </c>
      <c r="E1949" t="s">
        <v>584</v>
      </c>
      <c r="F1949" t="s">
        <v>581</v>
      </c>
      <c r="G1949" t="s">
        <v>24</v>
      </c>
      <c r="H1949">
        <v>0.1018329</v>
      </c>
      <c r="I1949">
        <v>8.0702739999999995E-2</v>
      </c>
      <c r="J1949">
        <v>6.0250690000000003E-2</v>
      </c>
      <c r="K1949">
        <v>0</v>
      </c>
      <c r="L1949">
        <v>0</v>
      </c>
      <c r="M1949">
        <v>0</v>
      </c>
      <c r="N1949">
        <v>0</v>
      </c>
    </row>
    <row r="1950" spans="1:14" hidden="1" x14ac:dyDescent="0.35">
      <c r="A1950" t="s">
        <v>748</v>
      </c>
      <c r="B1950" t="s">
        <v>59</v>
      </c>
      <c r="C1950" t="s">
        <v>58</v>
      </c>
      <c r="D1950" t="s">
        <v>58</v>
      </c>
      <c r="E1950" t="s">
        <v>584</v>
      </c>
      <c r="F1950" t="s">
        <v>581</v>
      </c>
      <c r="G1950" t="s">
        <v>25</v>
      </c>
      <c r="H1950">
        <v>5.1365750000000002E-2</v>
      </c>
      <c r="I1950">
        <v>3.894657E-2</v>
      </c>
      <c r="J1950">
        <v>2.9073970000000001E-2</v>
      </c>
      <c r="K1950">
        <v>1.369863E-6</v>
      </c>
      <c r="L1950">
        <v>0</v>
      </c>
      <c r="M1950">
        <v>0</v>
      </c>
      <c r="N1950">
        <v>0</v>
      </c>
    </row>
    <row r="1951" spans="1:14" hidden="1" x14ac:dyDescent="0.35">
      <c r="A1951" t="s">
        <v>748</v>
      </c>
      <c r="B1951" t="s">
        <v>59</v>
      </c>
      <c r="C1951" t="s">
        <v>58</v>
      </c>
      <c r="D1951" t="s">
        <v>58</v>
      </c>
      <c r="E1951" t="s">
        <v>584</v>
      </c>
      <c r="F1951" t="s">
        <v>26</v>
      </c>
      <c r="G1951" t="s">
        <v>26</v>
      </c>
      <c r="H1951">
        <v>0.13366159999999999</v>
      </c>
      <c r="I1951">
        <v>0</v>
      </c>
    </row>
    <row r="1952" spans="1:14" hidden="1" x14ac:dyDescent="0.35">
      <c r="A1952" t="s">
        <v>748</v>
      </c>
      <c r="B1952" t="s">
        <v>59</v>
      </c>
      <c r="C1952" t="s">
        <v>161</v>
      </c>
      <c r="D1952" t="s">
        <v>161</v>
      </c>
      <c r="E1952" t="s">
        <v>584</v>
      </c>
      <c r="F1952" t="s">
        <v>581</v>
      </c>
      <c r="G1952" t="s">
        <v>396</v>
      </c>
      <c r="H1952">
        <v>1.0556000000000001</v>
      </c>
      <c r="I1952">
        <v>0.53364549999999999</v>
      </c>
      <c r="J1952">
        <v>0.38469120000000001</v>
      </c>
      <c r="K1952">
        <v>0.26734439999999998</v>
      </c>
      <c r="L1952">
        <v>4.0141639999999999E-2</v>
      </c>
      <c r="M1952">
        <v>0</v>
      </c>
    </row>
    <row r="1953" spans="1:14" hidden="1" x14ac:dyDescent="0.35">
      <c r="A1953" t="s">
        <v>748</v>
      </c>
      <c r="B1953" t="s">
        <v>59</v>
      </c>
      <c r="C1953" t="s">
        <v>161</v>
      </c>
      <c r="D1953" t="s">
        <v>161</v>
      </c>
      <c r="E1953" t="s">
        <v>584</v>
      </c>
      <c r="F1953" t="s">
        <v>26</v>
      </c>
      <c r="G1953" t="s">
        <v>26</v>
      </c>
      <c r="H1953">
        <v>0.22909560000000001</v>
      </c>
      <c r="I1953">
        <v>0.4102345</v>
      </c>
      <c r="J1953">
        <v>0.29572789999999999</v>
      </c>
      <c r="K1953">
        <v>0.20551810000000001</v>
      </c>
      <c r="L1953">
        <v>3.085945E-2</v>
      </c>
      <c r="M1953">
        <v>0</v>
      </c>
    </row>
    <row r="1954" spans="1:14" hidden="1" x14ac:dyDescent="0.35">
      <c r="A1954" t="s">
        <v>752</v>
      </c>
      <c r="B1954" t="s">
        <v>34</v>
      </c>
      <c r="C1954" t="s">
        <v>33</v>
      </c>
      <c r="D1954" t="s">
        <v>33</v>
      </c>
      <c r="E1954" t="s">
        <v>753</v>
      </c>
      <c r="F1954" t="s">
        <v>581</v>
      </c>
      <c r="G1954" t="s">
        <v>396</v>
      </c>
      <c r="H1954">
        <v>6.841643E-2</v>
      </c>
      <c r="I1954">
        <v>7.1370409999999995E-2</v>
      </c>
      <c r="J1954">
        <v>6.7632059999999994E-2</v>
      </c>
      <c r="K1954">
        <v>6.1193150000000002E-2</v>
      </c>
      <c r="L1954">
        <v>5.7184110000000003E-2</v>
      </c>
      <c r="M1954">
        <v>5.272876E-2</v>
      </c>
      <c r="N1954">
        <v>4.8330959999999999E-2</v>
      </c>
    </row>
    <row r="1955" spans="1:14" hidden="1" x14ac:dyDescent="0.35">
      <c r="A1955" t="s">
        <v>752</v>
      </c>
      <c r="B1955" t="s">
        <v>34</v>
      </c>
      <c r="C1955" t="s">
        <v>33</v>
      </c>
      <c r="D1955" t="s">
        <v>33</v>
      </c>
      <c r="E1955" t="s">
        <v>753</v>
      </c>
      <c r="F1955" t="s">
        <v>581</v>
      </c>
      <c r="G1955" t="s">
        <v>24</v>
      </c>
      <c r="H1955">
        <v>9.049316E-3</v>
      </c>
      <c r="I1955">
        <v>9.4824660000000002E-3</v>
      </c>
      <c r="J1955">
        <v>8.5419180000000008E-3</v>
      </c>
      <c r="K1955">
        <v>7.1199999999999996E-3</v>
      </c>
      <c r="L1955">
        <v>6.2909589999999996E-3</v>
      </c>
      <c r="M1955">
        <v>5.3216440000000004E-3</v>
      </c>
      <c r="N1955">
        <v>4.4756170000000003E-3</v>
      </c>
    </row>
    <row r="1956" spans="1:14" hidden="1" x14ac:dyDescent="0.35">
      <c r="A1956" t="s">
        <v>752</v>
      </c>
      <c r="B1956" t="s">
        <v>34</v>
      </c>
      <c r="C1956" t="s">
        <v>33</v>
      </c>
      <c r="D1956" t="s">
        <v>33</v>
      </c>
      <c r="E1956" t="s">
        <v>753</v>
      </c>
      <c r="F1956" t="s">
        <v>581</v>
      </c>
      <c r="G1956" t="s">
        <v>25</v>
      </c>
      <c r="H1956">
        <v>8.9934650000000005</v>
      </c>
      <c r="I1956">
        <v>8.3963029999999996</v>
      </c>
      <c r="J1956">
        <v>7.7617649999999996</v>
      </c>
      <c r="K1956">
        <v>7.0030710000000003</v>
      </c>
      <c r="L1956">
        <v>6.4635259999999999</v>
      </c>
      <c r="M1956">
        <v>5.8838080000000001</v>
      </c>
      <c r="N1956">
        <v>5.3366749999999996</v>
      </c>
    </row>
    <row r="1957" spans="1:14" hidden="1" x14ac:dyDescent="0.35">
      <c r="A1957" t="s">
        <v>752</v>
      </c>
      <c r="B1957" t="s">
        <v>34</v>
      </c>
      <c r="C1957" t="s">
        <v>33</v>
      </c>
      <c r="D1957" t="s">
        <v>33</v>
      </c>
      <c r="E1957" t="s">
        <v>753</v>
      </c>
      <c r="F1957" t="s">
        <v>26</v>
      </c>
      <c r="G1957" t="s">
        <v>26</v>
      </c>
      <c r="H1957">
        <v>11.43075</v>
      </c>
      <c r="I1957">
        <v>11.612220000000001</v>
      </c>
      <c r="J1957">
        <v>10.57222</v>
      </c>
      <c r="K1957">
        <v>9.2995730000000005</v>
      </c>
      <c r="L1957">
        <v>8.4084679999999992</v>
      </c>
      <c r="M1957">
        <v>7.494802</v>
      </c>
      <c r="N1957">
        <v>6.6822720000000002</v>
      </c>
    </row>
    <row r="1958" spans="1:14" hidden="1" x14ac:dyDescent="0.35">
      <c r="A1958" t="s">
        <v>752</v>
      </c>
      <c r="B1958" t="s">
        <v>34</v>
      </c>
      <c r="C1958" t="s">
        <v>33</v>
      </c>
      <c r="D1958" t="s">
        <v>33</v>
      </c>
      <c r="E1958" t="s">
        <v>675</v>
      </c>
      <c r="F1958" t="s">
        <v>581</v>
      </c>
      <c r="G1958" t="s">
        <v>396</v>
      </c>
      <c r="H1958">
        <v>2.2446580000000001E-2</v>
      </c>
      <c r="I1958">
        <v>2.035698E-2</v>
      </c>
      <c r="J1958">
        <v>2.1300550000000001E-2</v>
      </c>
      <c r="K1958">
        <v>1.8729860000000001E-2</v>
      </c>
      <c r="L1958">
        <v>1.7659999999999999E-2</v>
      </c>
      <c r="M1958">
        <v>1.395397E-2</v>
      </c>
      <c r="N1958">
        <v>1.1373970000000001E-2</v>
      </c>
    </row>
    <row r="1959" spans="1:14" hidden="1" x14ac:dyDescent="0.35">
      <c r="A1959" t="s">
        <v>752</v>
      </c>
      <c r="B1959" t="s">
        <v>34</v>
      </c>
      <c r="C1959" t="s">
        <v>33</v>
      </c>
      <c r="D1959" t="s">
        <v>33</v>
      </c>
      <c r="E1959" t="s">
        <v>675</v>
      </c>
      <c r="F1959" t="s">
        <v>581</v>
      </c>
      <c r="G1959" t="s">
        <v>25</v>
      </c>
      <c r="H1959">
        <v>2.601915</v>
      </c>
      <c r="I1959">
        <v>2.408989</v>
      </c>
      <c r="J1959">
        <v>2.185276</v>
      </c>
      <c r="K1959">
        <v>1.860225</v>
      </c>
      <c r="L1959">
        <v>1.69286</v>
      </c>
      <c r="M1959">
        <v>1.4800789999999999</v>
      </c>
      <c r="N1959">
        <v>1.3327720000000001</v>
      </c>
    </row>
    <row r="1960" spans="1:14" hidden="1" x14ac:dyDescent="0.35">
      <c r="A1960" t="s">
        <v>752</v>
      </c>
      <c r="B1960" t="s">
        <v>34</v>
      </c>
      <c r="C1960" t="s">
        <v>33</v>
      </c>
      <c r="D1960" t="s">
        <v>33</v>
      </c>
      <c r="E1960" t="s">
        <v>675</v>
      </c>
      <c r="F1960" t="s">
        <v>26</v>
      </c>
      <c r="G1960" t="s">
        <v>26</v>
      </c>
      <c r="H1960">
        <v>16.523350000000001</v>
      </c>
      <c r="I1960">
        <v>15.023429999999999</v>
      </c>
      <c r="J1960">
        <v>13.28777</v>
      </c>
      <c r="K1960">
        <v>11.232760000000001</v>
      </c>
      <c r="L1960">
        <v>10.147270000000001</v>
      </c>
      <c r="M1960">
        <v>9.0720829999999992</v>
      </c>
      <c r="N1960">
        <v>8.3311150000000005</v>
      </c>
    </row>
    <row r="1961" spans="1:14" hidden="1" x14ac:dyDescent="0.35">
      <c r="A1961" t="s">
        <v>752</v>
      </c>
      <c r="B1961" t="s">
        <v>34</v>
      </c>
      <c r="C1961" t="s">
        <v>33</v>
      </c>
      <c r="D1961" t="s">
        <v>33</v>
      </c>
      <c r="E1961" t="s">
        <v>584</v>
      </c>
      <c r="F1961" t="s">
        <v>581</v>
      </c>
      <c r="G1961" t="s">
        <v>396</v>
      </c>
      <c r="H1961">
        <v>1.124619</v>
      </c>
      <c r="I1961">
        <v>1.106565</v>
      </c>
      <c r="J1961">
        <v>1.042643</v>
      </c>
      <c r="K1961">
        <v>0.98178299999999996</v>
      </c>
      <c r="L1961">
        <v>0.84462890000000002</v>
      </c>
      <c r="M1961">
        <v>0.59346739999999998</v>
      </c>
      <c r="N1961">
        <v>0.28676960000000001</v>
      </c>
    </row>
    <row r="1962" spans="1:14" hidden="1" x14ac:dyDescent="0.35">
      <c r="A1962" t="s">
        <v>752</v>
      </c>
      <c r="B1962" t="s">
        <v>34</v>
      </c>
      <c r="C1962" t="s">
        <v>33</v>
      </c>
      <c r="D1962" t="s">
        <v>33</v>
      </c>
      <c r="E1962" t="s">
        <v>584</v>
      </c>
      <c r="F1962" t="s">
        <v>581</v>
      </c>
      <c r="G1962" t="s">
        <v>24</v>
      </c>
      <c r="H1962">
        <v>1.992876E-2</v>
      </c>
      <c r="I1962">
        <v>2.1035620000000001E-2</v>
      </c>
      <c r="J1962">
        <v>2.1035620000000001E-2</v>
      </c>
      <c r="K1962">
        <v>2.1035620000000001E-2</v>
      </c>
      <c r="L1962">
        <v>2.1035620000000001E-2</v>
      </c>
      <c r="M1962">
        <v>2.1035620000000001E-2</v>
      </c>
      <c r="N1962">
        <v>2.1035620000000001E-2</v>
      </c>
    </row>
    <row r="1963" spans="1:14" hidden="1" x14ac:dyDescent="0.35">
      <c r="A1963" t="s">
        <v>752</v>
      </c>
      <c r="B1963" t="s">
        <v>34</v>
      </c>
      <c r="C1963" t="s">
        <v>33</v>
      </c>
      <c r="D1963" t="s">
        <v>33</v>
      </c>
      <c r="E1963" t="s">
        <v>584</v>
      </c>
      <c r="F1963" t="s">
        <v>581</v>
      </c>
      <c r="G1963" t="s">
        <v>25</v>
      </c>
      <c r="H1963">
        <v>3.13517</v>
      </c>
      <c r="I1963">
        <v>2.3747829999999999</v>
      </c>
      <c r="J1963">
        <v>1.8266260000000001</v>
      </c>
      <c r="K1963">
        <v>1.413319</v>
      </c>
      <c r="L1963">
        <v>1.0682320000000001</v>
      </c>
      <c r="M1963">
        <v>0.70153120000000002</v>
      </c>
      <c r="N1963">
        <v>0.21465809999999999</v>
      </c>
    </row>
    <row r="1964" spans="1:14" hidden="1" x14ac:dyDescent="0.35">
      <c r="A1964" t="s">
        <v>752</v>
      </c>
      <c r="B1964" t="s">
        <v>34</v>
      </c>
      <c r="C1964" t="s">
        <v>33</v>
      </c>
      <c r="D1964" t="s">
        <v>33</v>
      </c>
      <c r="E1964" t="s">
        <v>584</v>
      </c>
      <c r="F1964" t="s">
        <v>26</v>
      </c>
      <c r="G1964" t="s">
        <v>26</v>
      </c>
      <c r="H1964">
        <v>15.70853</v>
      </c>
      <c r="I1964">
        <v>13.61961</v>
      </c>
      <c r="J1964">
        <v>11.93023</v>
      </c>
      <c r="K1964">
        <v>10.50352</v>
      </c>
      <c r="L1964">
        <v>8.2487790000000007</v>
      </c>
      <c r="M1964">
        <v>4.8820410000000001</v>
      </c>
      <c r="N1964">
        <v>1.496961</v>
      </c>
    </row>
    <row r="1965" spans="1:14" hidden="1" x14ac:dyDescent="0.35">
      <c r="A1965" t="s">
        <v>752</v>
      </c>
      <c r="B1965" t="s">
        <v>34</v>
      </c>
      <c r="C1965" t="s">
        <v>33</v>
      </c>
      <c r="D1965" t="s">
        <v>33</v>
      </c>
      <c r="E1965" t="s">
        <v>727</v>
      </c>
      <c r="F1965" t="s">
        <v>581</v>
      </c>
      <c r="G1965" t="s">
        <v>396</v>
      </c>
      <c r="H1965">
        <v>1.8539730000000001E-2</v>
      </c>
      <c r="I1965">
        <v>2.5550409999999999E-2</v>
      </c>
      <c r="J1965">
        <v>2.3504379999999998E-2</v>
      </c>
      <c r="K1965">
        <v>2.042658E-2</v>
      </c>
      <c r="L1965">
        <v>1.7010689999999998E-2</v>
      </c>
      <c r="M1965">
        <v>1.46389E-2</v>
      </c>
      <c r="N1965">
        <v>1.2575619999999999E-2</v>
      </c>
    </row>
    <row r="1966" spans="1:14" hidden="1" x14ac:dyDescent="0.35">
      <c r="A1966" t="s">
        <v>752</v>
      </c>
      <c r="B1966" t="s">
        <v>34</v>
      </c>
      <c r="C1966" t="s">
        <v>33</v>
      </c>
      <c r="D1966" t="s">
        <v>33</v>
      </c>
      <c r="E1966" t="s">
        <v>727</v>
      </c>
      <c r="F1966" t="s">
        <v>581</v>
      </c>
      <c r="G1966" t="s">
        <v>25</v>
      </c>
      <c r="H1966">
        <v>0.25383289999999997</v>
      </c>
      <c r="I1966">
        <v>0.31137369999999998</v>
      </c>
      <c r="J1966">
        <v>0.28229700000000002</v>
      </c>
      <c r="K1966">
        <v>0.24892030000000001</v>
      </c>
      <c r="L1966">
        <v>0.20732249999999999</v>
      </c>
      <c r="M1966">
        <v>0.1784674</v>
      </c>
      <c r="N1966">
        <v>0.15329019999999999</v>
      </c>
    </row>
    <row r="1967" spans="1:14" hidden="1" x14ac:dyDescent="0.35">
      <c r="A1967" t="s">
        <v>752</v>
      </c>
      <c r="B1967" t="s">
        <v>34</v>
      </c>
      <c r="C1967" t="s">
        <v>33</v>
      </c>
      <c r="D1967" t="s">
        <v>33</v>
      </c>
      <c r="E1967" t="s">
        <v>727</v>
      </c>
      <c r="F1967" t="s">
        <v>26</v>
      </c>
      <c r="G1967" t="s">
        <v>26</v>
      </c>
      <c r="H1967">
        <v>1.6836990000000001</v>
      </c>
      <c r="I1967">
        <v>2.0598869999999998</v>
      </c>
      <c r="J1967">
        <v>1.8675200000000001</v>
      </c>
      <c r="K1967">
        <v>1.6466860000000001</v>
      </c>
      <c r="L1967">
        <v>1.371524</v>
      </c>
      <c r="M1967">
        <v>1.1806399999999999</v>
      </c>
      <c r="N1967">
        <v>1.014092</v>
      </c>
    </row>
    <row r="1968" spans="1:14" hidden="1" x14ac:dyDescent="0.35">
      <c r="A1968" t="s">
        <v>752</v>
      </c>
      <c r="B1968" t="s">
        <v>34</v>
      </c>
      <c r="C1968" t="s">
        <v>33</v>
      </c>
      <c r="D1968" t="s">
        <v>33</v>
      </c>
      <c r="E1968" t="s">
        <v>739</v>
      </c>
      <c r="F1968" t="s">
        <v>581</v>
      </c>
      <c r="G1968" t="s">
        <v>396</v>
      </c>
      <c r="H1968">
        <v>0.73546299999999998</v>
      </c>
      <c r="I1968">
        <v>0.70326699999999998</v>
      </c>
      <c r="J1968">
        <v>0.65355399999999997</v>
      </c>
      <c r="K1968">
        <v>0.59558250000000001</v>
      </c>
      <c r="L1968">
        <v>0.5571644</v>
      </c>
      <c r="M1968">
        <v>0.50896819999999998</v>
      </c>
      <c r="N1968">
        <v>0.57697529999999997</v>
      </c>
    </row>
    <row r="1969" spans="1:14" hidden="1" x14ac:dyDescent="0.35">
      <c r="A1969" t="s">
        <v>752</v>
      </c>
      <c r="B1969" t="s">
        <v>34</v>
      </c>
      <c r="C1969" t="s">
        <v>33</v>
      </c>
      <c r="D1969" t="s">
        <v>33</v>
      </c>
      <c r="E1969" t="s">
        <v>739</v>
      </c>
      <c r="F1969" t="s">
        <v>581</v>
      </c>
      <c r="G1969" t="s">
        <v>25</v>
      </c>
      <c r="H1969">
        <v>0.2134877</v>
      </c>
      <c r="I1969">
        <v>0.18405779999999999</v>
      </c>
      <c r="J1969">
        <v>0.1679071</v>
      </c>
      <c r="K1969">
        <v>0.15201529999999999</v>
      </c>
      <c r="L1969">
        <v>0.13921420000000001</v>
      </c>
      <c r="M1969">
        <v>0.1211841</v>
      </c>
      <c r="N1969">
        <v>0.1164594</v>
      </c>
    </row>
    <row r="1970" spans="1:14" hidden="1" x14ac:dyDescent="0.35">
      <c r="A1970" t="s">
        <v>752</v>
      </c>
      <c r="B1970" t="s">
        <v>34</v>
      </c>
      <c r="C1970" t="s">
        <v>33</v>
      </c>
      <c r="D1970" t="s">
        <v>33</v>
      </c>
      <c r="E1970" t="s">
        <v>739</v>
      </c>
      <c r="F1970" t="s">
        <v>26</v>
      </c>
      <c r="G1970" t="s">
        <v>26</v>
      </c>
      <c r="H1970">
        <v>0.89735339999999997</v>
      </c>
      <c r="I1970">
        <v>0.81206049999999996</v>
      </c>
      <c r="J1970">
        <v>0.74722759999999999</v>
      </c>
      <c r="K1970">
        <v>0.67858929999999995</v>
      </c>
      <c r="L1970">
        <v>0.62772249999999996</v>
      </c>
      <c r="M1970">
        <v>0.55917099999999997</v>
      </c>
      <c r="N1970">
        <v>0.58419589999999999</v>
      </c>
    </row>
    <row r="1971" spans="1:14" hidden="1" x14ac:dyDescent="0.35">
      <c r="A1971" t="s">
        <v>752</v>
      </c>
      <c r="B1971" t="s">
        <v>34</v>
      </c>
      <c r="C1971" t="s">
        <v>33</v>
      </c>
      <c r="D1971" t="s">
        <v>33</v>
      </c>
      <c r="E1971" t="s">
        <v>754</v>
      </c>
      <c r="F1971" t="s">
        <v>581</v>
      </c>
      <c r="G1971" t="s">
        <v>396</v>
      </c>
      <c r="H1971">
        <v>5.5616440000000003E-2</v>
      </c>
      <c r="I1971">
        <v>5.9175350000000002E-2</v>
      </c>
      <c r="J1971">
        <v>4.931178E-2</v>
      </c>
      <c r="K1971">
        <v>4.1649319999999997E-2</v>
      </c>
      <c r="L1971">
        <v>3.6483839999999997E-2</v>
      </c>
      <c r="M1971">
        <v>3.246164E-2</v>
      </c>
      <c r="N1971">
        <v>2.8940270000000001E-2</v>
      </c>
    </row>
    <row r="1972" spans="1:14" hidden="1" x14ac:dyDescent="0.35">
      <c r="A1972" t="s">
        <v>752</v>
      </c>
      <c r="B1972" t="s">
        <v>34</v>
      </c>
      <c r="C1972" t="s">
        <v>33</v>
      </c>
      <c r="D1972" t="s">
        <v>33</v>
      </c>
      <c r="E1972" t="s">
        <v>754</v>
      </c>
      <c r="F1972" t="s">
        <v>581</v>
      </c>
      <c r="G1972" t="s">
        <v>25</v>
      </c>
      <c r="H1972">
        <v>0.42150409999999999</v>
      </c>
      <c r="I1972">
        <v>0.46699889999999999</v>
      </c>
      <c r="J1972">
        <v>0.5588765</v>
      </c>
      <c r="K1972">
        <v>0.54401449999999996</v>
      </c>
      <c r="L1972">
        <v>0.54327429999999999</v>
      </c>
      <c r="M1972">
        <v>0.46133750000000001</v>
      </c>
      <c r="N1972">
        <v>0.38755810000000002</v>
      </c>
    </row>
    <row r="1973" spans="1:14" hidden="1" x14ac:dyDescent="0.35">
      <c r="A1973" t="s">
        <v>752</v>
      </c>
      <c r="B1973" t="s">
        <v>34</v>
      </c>
      <c r="C1973" t="s">
        <v>33</v>
      </c>
      <c r="D1973" t="s">
        <v>33</v>
      </c>
      <c r="E1973" t="s">
        <v>754</v>
      </c>
      <c r="F1973" t="s">
        <v>26</v>
      </c>
      <c r="G1973" t="s">
        <v>26</v>
      </c>
      <c r="H1973">
        <v>0.43035610000000002</v>
      </c>
      <c r="I1973">
        <v>0.551311</v>
      </c>
      <c r="J1973">
        <v>0.64274719999999996</v>
      </c>
      <c r="K1973">
        <v>0.62127010000000005</v>
      </c>
      <c r="L1973">
        <v>0.61651659999999997</v>
      </c>
      <c r="M1973">
        <v>0.52466170000000001</v>
      </c>
      <c r="N1973">
        <v>0.44203730000000002</v>
      </c>
    </row>
    <row r="1974" spans="1:14" hidden="1" x14ac:dyDescent="0.35">
      <c r="A1974" t="s">
        <v>752</v>
      </c>
      <c r="B1974" t="s">
        <v>34</v>
      </c>
      <c r="C1974" t="s">
        <v>33</v>
      </c>
      <c r="D1974" t="s">
        <v>33</v>
      </c>
      <c r="E1974" t="s">
        <v>746</v>
      </c>
      <c r="F1974" t="s">
        <v>581</v>
      </c>
      <c r="G1974" t="s">
        <v>396</v>
      </c>
      <c r="H1974">
        <v>1.670959E-2</v>
      </c>
      <c r="I1974">
        <v>1.8407400000000001E-2</v>
      </c>
      <c r="J1974">
        <v>1.6141639999999999E-2</v>
      </c>
      <c r="K1974">
        <v>1.420274E-2</v>
      </c>
      <c r="L1974">
        <v>1.249863E-2</v>
      </c>
      <c r="M1974">
        <v>1.1026579999999999E-2</v>
      </c>
      <c r="N1974">
        <v>9.6739770000000003E-3</v>
      </c>
    </row>
    <row r="1975" spans="1:14" hidden="1" x14ac:dyDescent="0.35">
      <c r="A1975" t="s">
        <v>752</v>
      </c>
      <c r="B1975" t="s">
        <v>34</v>
      </c>
      <c r="C1975" t="s">
        <v>33</v>
      </c>
      <c r="D1975" t="s">
        <v>33</v>
      </c>
      <c r="E1975" t="s">
        <v>746</v>
      </c>
      <c r="F1975" t="s">
        <v>26</v>
      </c>
      <c r="G1975" t="s">
        <v>26</v>
      </c>
      <c r="H1975">
        <v>1.5441099999999999E-2</v>
      </c>
      <c r="I1975">
        <v>1.243562E-2</v>
      </c>
      <c r="J1975">
        <v>1.0906030000000001E-2</v>
      </c>
      <c r="K1975">
        <v>9.5964380000000005E-3</v>
      </c>
      <c r="L1975">
        <v>8.4438350000000002E-3</v>
      </c>
      <c r="M1975">
        <v>7.4493149999999998E-3</v>
      </c>
      <c r="N1975">
        <v>6.5369859999999998E-3</v>
      </c>
    </row>
    <row r="1976" spans="1:14" hidden="1" x14ac:dyDescent="0.35">
      <c r="A1976" t="s">
        <v>749</v>
      </c>
      <c r="B1976" t="s">
        <v>37</v>
      </c>
      <c r="C1976" t="s">
        <v>79</v>
      </c>
      <c r="D1976" t="s">
        <v>79</v>
      </c>
      <c r="E1976" t="s">
        <v>600</v>
      </c>
      <c r="F1976" t="s">
        <v>581</v>
      </c>
      <c r="G1976" t="s">
        <v>396</v>
      </c>
      <c r="H1976">
        <v>1.069312</v>
      </c>
      <c r="I1976">
        <v>0.99591779999999996</v>
      </c>
      <c r="J1976">
        <v>0.85256109999999996</v>
      </c>
      <c r="K1976">
        <v>0.71433469999999999</v>
      </c>
      <c r="L1976">
        <v>0.65215889999999999</v>
      </c>
      <c r="M1976">
        <v>0.59589510000000001</v>
      </c>
      <c r="N1976">
        <v>0.53056080000000005</v>
      </c>
    </row>
    <row r="1977" spans="1:14" hidden="1" x14ac:dyDescent="0.35">
      <c r="A1977" t="s">
        <v>749</v>
      </c>
      <c r="B1977" t="s">
        <v>37</v>
      </c>
      <c r="C1977" t="s">
        <v>79</v>
      </c>
      <c r="D1977" t="s">
        <v>79</v>
      </c>
      <c r="E1977" t="s">
        <v>600</v>
      </c>
      <c r="F1977" t="s">
        <v>581</v>
      </c>
      <c r="G1977" t="s">
        <v>24</v>
      </c>
      <c r="H1977">
        <v>20.37115</v>
      </c>
      <c r="I1977">
        <v>16.338519999999999</v>
      </c>
      <c r="J1977">
        <v>14.521179999999999</v>
      </c>
      <c r="K1977">
        <v>11.555949999999999</v>
      </c>
      <c r="L1977">
        <v>10.015219999999999</v>
      </c>
      <c r="M1977">
        <v>9.0403400000000005</v>
      </c>
      <c r="N1977">
        <v>7.8884299999999996</v>
      </c>
    </row>
    <row r="1978" spans="1:14" hidden="1" x14ac:dyDescent="0.35">
      <c r="A1978" t="s">
        <v>749</v>
      </c>
      <c r="B1978" t="s">
        <v>37</v>
      </c>
      <c r="C1978" t="s">
        <v>79</v>
      </c>
      <c r="D1978" t="s">
        <v>79</v>
      </c>
      <c r="E1978" t="s">
        <v>600</v>
      </c>
      <c r="F1978" t="s">
        <v>581</v>
      </c>
      <c r="G1978" t="s">
        <v>25</v>
      </c>
      <c r="H1978">
        <v>21.71191</v>
      </c>
      <c r="I1978">
        <v>20.653919999999999</v>
      </c>
      <c r="J1978">
        <v>18.64141</v>
      </c>
      <c r="K1978">
        <v>14.626340000000001</v>
      </c>
      <c r="L1978">
        <v>12.484069999999999</v>
      </c>
      <c r="M1978">
        <v>11.22691</v>
      </c>
      <c r="N1978">
        <v>9.7348130000000008</v>
      </c>
    </row>
    <row r="1979" spans="1:14" hidden="1" x14ac:dyDescent="0.35">
      <c r="A1979" t="s">
        <v>749</v>
      </c>
      <c r="B1979" t="s">
        <v>37</v>
      </c>
      <c r="C1979" t="s">
        <v>79</v>
      </c>
      <c r="D1979" t="s">
        <v>79</v>
      </c>
      <c r="E1979" t="s">
        <v>600</v>
      </c>
      <c r="F1979" t="s">
        <v>26</v>
      </c>
      <c r="G1979" t="s">
        <v>26</v>
      </c>
      <c r="H1979">
        <v>20.502510000000001</v>
      </c>
      <c r="I1979">
        <v>19.505330000000001</v>
      </c>
      <c r="J1979">
        <v>17.608920000000001</v>
      </c>
      <c r="K1979">
        <v>13.81217</v>
      </c>
      <c r="L1979">
        <v>11.78533</v>
      </c>
      <c r="M1979">
        <v>10.5977</v>
      </c>
      <c r="N1979">
        <v>9.1879729999999995</v>
      </c>
    </row>
    <row r="1980" spans="1:14" hidden="1" x14ac:dyDescent="0.35">
      <c r="A1980" t="s">
        <v>749</v>
      </c>
      <c r="B1980" t="s">
        <v>37</v>
      </c>
      <c r="C1980" t="s">
        <v>79</v>
      </c>
      <c r="D1980" t="s">
        <v>79</v>
      </c>
      <c r="E1980" t="s">
        <v>615</v>
      </c>
      <c r="F1980" t="s">
        <v>581</v>
      </c>
      <c r="G1980" t="s">
        <v>396</v>
      </c>
      <c r="H1980">
        <v>2.3950659999999999</v>
      </c>
      <c r="I1980">
        <v>1.1688190000000001</v>
      </c>
      <c r="J1980">
        <v>0.93826030000000005</v>
      </c>
      <c r="K1980">
        <v>0.73908229999999997</v>
      </c>
      <c r="L1980">
        <v>0.62092080000000005</v>
      </c>
      <c r="M1980">
        <v>0.4774217</v>
      </c>
      <c r="N1980">
        <v>0.37885740000000001</v>
      </c>
    </row>
    <row r="1981" spans="1:14" hidden="1" x14ac:dyDescent="0.35">
      <c r="A1981" t="s">
        <v>749</v>
      </c>
      <c r="B1981" t="s">
        <v>37</v>
      </c>
      <c r="C1981" t="s">
        <v>79</v>
      </c>
      <c r="D1981" t="s">
        <v>79</v>
      </c>
      <c r="E1981" t="s">
        <v>615</v>
      </c>
      <c r="F1981" t="s">
        <v>581</v>
      </c>
      <c r="G1981" t="s">
        <v>25</v>
      </c>
      <c r="H1981">
        <v>7.7265749999999994E-2</v>
      </c>
      <c r="I1981">
        <v>3.7676710000000002E-2</v>
      </c>
      <c r="J1981">
        <v>3.0265750000000001E-2</v>
      </c>
      <c r="K1981">
        <v>2.3841089999999999E-2</v>
      </c>
      <c r="L1981">
        <v>2.0027670000000001E-2</v>
      </c>
      <c r="M1981">
        <v>1.540302E-2</v>
      </c>
      <c r="N1981">
        <v>1.2218359999999999E-2</v>
      </c>
    </row>
    <row r="1982" spans="1:14" hidden="1" x14ac:dyDescent="0.35">
      <c r="A1982" t="s">
        <v>749</v>
      </c>
      <c r="B1982" t="s">
        <v>37</v>
      </c>
      <c r="C1982" t="s">
        <v>79</v>
      </c>
      <c r="D1982" t="s">
        <v>79</v>
      </c>
      <c r="E1982" t="s">
        <v>615</v>
      </c>
      <c r="F1982" t="s">
        <v>26</v>
      </c>
      <c r="G1982" t="s">
        <v>26</v>
      </c>
      <c r="H1982">
        <v>0.1030137</v>
      </c>
      <c r="I1982">
        <v>5.0238350000000001E-2</v>
      </c>
      <c r="J1982">
        <v>4.0353420000000001E-2</v>
      </c>
      <c r="K1982">
        <v>3.1789039999999998E-2</v>
      </c>
      <c r="L1982">
        <v>2.6708490000000001E-2</v>
      </c>
      <c r="M1982">
        <v>2.0531779999999999E-2</v>
      </c>
      <c r="N1982">
        <v>1.6294800000000002E-2</v>
      </c>
    </row>
    <row r="1983" spans="1:14" hidden="1" x14ac:dyDescent="0.35">
      <c r="A1983" t="s">
        <v>749</v>
      </c>
      <c r="B1983" t="s">
        <v>37</v>
      </c>
      <c r="C1983" t="s">
        <v>79</v>
      </c>
      <c r="D1983" t="s">
        <v>79</v>
      </c>
      <c r="E1983" t="s">
        <v>614</v>
      </c>
      <c r="F1983" t="s">
        <v>581</v>
      </c>
      <c r="G1983" t="s">
        <v>396</v>
      </c>
      <c r="H1983">
        <v>0.76712610000000003</v>
      </c>
      <c r="I1983">
        <v>0.725074</v>
      </c>
      <c r="J1983">
        <v>0.77852109999999997</v>
      </c>
      <c r="K1983">
        <v>0.70990030000000004</v>
      </c>
      <c r="L1983">
        <v>0.69619799999999998</v>
      </c>
      <c r="M1983">
        <v>0.54844269999999995</v>
      </c>
      <c r="N1983">
        <v>0.44890390000000002</v>
      </c>
    </row>
    <row r="1984" spans="1:14" hidden="1" x14ac:dyDescent="0.35">
      <c r="A1984" t="s">
        <v>749</v>
      </c>
      <c r="B1984" t="s">
        <v>37</v>
      </c>
      <c r="C1984" t="s">
        <v>79</v>
      </c>
      <c r="D1984" t="s">
        <v>79</v>
      </c>
      <c r="E1984" t="s">
        <v>614</v>
      </c>
      <c r="F1984" t="s">
        <v>581</v>
      </c>
      <c r="G1984" t="s">
        <v>25</v>
      </c>
      <c r="H1984">
        <v>0.16438079999999999</v>
      </c>
      <c r="I1984">
        <v>0.1553726</v>
      </c>
      <c r="J1984">
        <v>0.16682330000000001</v>
      </c>
      <c r="K1984">
        <v>0.15212030000000001</v>
      </c>
      <c r="L1984">
        <v>0.14918490000000001</v>
      </c>
      <c r="M1984">
        <v>0.1175214</v>
      </c>
      <c r="N1984">
        <v>9.6190129999999999E-2</v>
      </c>
    </row>
    <row r="1985" spans="1:14" hidden="1" x14ac:dyDescent="0.35">
      <c r="A1985" t="s">
        <v>749</v>
      </c>
      <c r="B1985" t="s">
        <v>37</v>
      </c>
      <c r="C1985" t="s">
        <v>79</v>
      </c>
      <c r="D1985" t="s">
        <v>79</v>
      </c>
      <c r="E1985" t="s">
        <v>614</v>
      </c>
      <c r="F1985" t="s">
        <v>26</v>
      </c>
      <c r="G1985" t="s">
        <v>26</v>
      </c>
      <c r="H1985">
        <v>0.16438359999999999</v>
      </c>
      <c r="I1985">
        <v>0.1553726</v>
      </c>
      <c r="J1985">
        <v>0.1668279</v>
      </c>
      <c r="K1985">
        <v>0.15212030000000001</v>
      </c>
      <c r="L1985">
        <v>0.14918300000000001</v>
      </c>
      <c r="M1985">
        <v>0.1175233</v>
      </c>
      <c r="N1985">
        <v>9.6193689999999998E-2</v>
      </c>
    </row>
    <row r="1986" spans="1:14" hidden="1" x14ac:dyDescent="0.35">
      <c r="A1986" t="s">
        <v>749</v>
      </c>
      <c r="B1986" t="s">
        <v>37</v>
      </c>
      <c r="C1986" t="s">
        <v>79</v>
      </c>
      <c r="D1986" t="s">
        <v>79</v>
      </c>
      <c r="E1986" t="s">
        <v>750</v>
      </c>
      <c r="F1986" t="s">
        <v>581</v>
      </c>
      <c r="G1986" t="s">
        <v>396</v>
      </c>
      <c r="H1986">
        <v>4.7802740000000003E-2</v>
      </c>
      <c r="I1986">
        <v>4.1186309999999997E-2</v>
      </c>
      <c r="J1986">
        <v>3.589589E-2</v>
      </c>
      <c r="K1986">
        <v>3.1578080000000001E-2</v>
      </c>
      <c r="L1986">
        <v>2.7789040000000001E-2</v>
      </c>
      <c r="M1986">
        <v>2.451507E-2</v>
      </c>
      <c r="N1986">
        <v>2.1509589999999999E-2</v>
      </c>
    </row>
    <row r="1987" spans="1:14" hidden="1" x14ac:dyDescent="0.35">
      <c r="A1987" t="s">
        <v>749</v>
      </c>
      <c r="B1987" t="s">
        <v>37</v>
      </c>
      <c r="C1987" t="s">
        <v>79</v>
      </c>
      <c r="D1987" t="s">
        <v>79</v>
      </c>
      <c r="E1987" t="s">
        <v>750</v>
      </c>
      <c r="F1987" t="s">
        <v>26</v>
      </c>
      <c r="G1987" t="s">
        <v>26</v>
      </c>
      <c r="H1987">
        <v>5.3123290000000002E-3</v>
      </c>
      <c r="I1987">
        <v>4.5753429999999999E-3</v>
      </c>
      <c r="J1987">
        <v>3.9890409999999996E-3</v>
      </c>
      <c r="K1987">
        <v>3.509589E-3</v>
      </c>
      <c r="L1987">
        <v>3.0876710000000002E-3</v>
      </c>
      <c r="M1987">
        <v>2.7232879999999999E-3</v>
      </c>
      <c r="N1987">
        <v>2.3890410000000002E-3</v>
      </c>
    </row>
    <row r="1988" spans="1:14" hidden="1" x14ac:dyDescent="0.35">
      <c r="A1988" t="s">
        <v>749</v>
      </c>
      <c r="B1988" t="s">
        <v>37</v>
      </c>
      <c r="C1988" t="s">
        <v>46</v>
      </c>
      <c r="D1988" t="s">
        <v>46</v>
      </c>
      <c r="E1988" t="s">
        <v>750</v>
      </c>
      <c r="F1988" t="s">
        <v>581</v>
      </c>
      <c r="G1988" t="s">
        <v>396</v>
      </c>
      <c r="H1988">
        <v>7.8704120000000002E-2</v>
      </c>
      <c r="I1988">
        <v>6.7920549999999996E-2</v>
      </c>
      <c r="J1988">
        <v>0.1064942</v>
      </c>
      <c r="K1988">
        <v>0.13209560000000001</v>
      </c>
      <c r="L1988">
        <v>0.1942033</v>
      </c>
      <c r="M1988">
        <v>0.1344707</v>
      </c>
      <c r="N1988">
        <v>9.8657270000000005E-2</v>
      </c>
    </row>
    <row r="1989" spans="1:14" hidden="1" x14ac:dyDescent="0.35">
      <c r="A1989" t="s">
        <v>749</v>
      </c>
      <c r="B1989" t="s">
        <v>37</v>
      </c>
      <c r="C1989" t="s">
        <v>46</v>
      </c>
      <c r="D1989" t="s">
        <v>46</v>
      </c>
      <c r="E1989" t="s">
        <v>750</v>
      </c>
      <c r="F1989" t="s">
        <v>26</v>
      </c>
      <c r="G1989" t="s">
        <v>26</v>
      </c>
      <c r="H1989">
        <v>8.7452060000000002E-3</v>
      </c>
      <c r="I1989">
        <v>7.5479450000000003E-3</v>
      </c>
      <c r="J1989">
        <v>1.183288E-2</v>
      </c>
      <c r="K1989">
        <v>1.467836E-2</v>
      </c>
      <c r="L1989">
        <v>2.1578900000000002E-2</v>
      </c>
      <c r="M1989">
        <v>1.4941370000000001E-2</v>
      </c>
      <c r="N1989">
        <v>1.0963560000000001E-2</v>
      </c>
    </row>
    <row r="1990" spans="1:14" hidden="1" x14ac:dyDescent="0.35">
      <c r="A1990" t="s">
        <v>751</v>
      </c>
      <c r="B1990" t="s">
        <v>245</v>
      </c>
      <c r="C1990" t="s">
        <v>244</v>
      </c>
      <c r="D1990" t="s">
        <v>244</v>
      </c>
      <c r="E1990" t="s">
        <v>584</v>
      </c>
      <c r="F1990" t="s">
        <v>581</v>
      </c>
      <c r="G1990" t="s">
        <v>24</v>
      </c>
      <c r="H1990">
        <v>0.33564640000000001</v>
      </c>
      <c r="I1990">
        <v>0.3143454</v>
      </c>
      <c r="J1990">
        <v>0.30315930000000002</v>
      </c>
      <c r="K1990">
        <v>0.35948350000000001</v>
      </c>
      <c r="L1990">
        <v>0.42900840000000001</v>
      </c>
      <c r="M1990">
        <v>0.44157829999999998</v>
      </c>
      <c r="N1990">
        <v>0.35061229999999999</v>
      </c>
    </row>
    <row r="1991" spans="1:14" hidden="1" x14ac:dyDescent="0.35">
      <c r="A1991" t="s">
        <v>751</v>
      </c>
      <c r="B1991" t="s">
        <v>245</v>
      </c>
      <c r="C1991" t="s">
        <v>244</v>
      </c>
      <c r="D1991" t="s">
        <v>244</v>
      </c>
      <c r="E1991" t="s">
        <v>584</v>
      </c>
      <c r="F1991" t="s">
        <v>26</v>
      </c>
      <c r="G1991" t="s">
        <v>26</v>
      </c>
      <c r="H1991">
        <v>41.993699999999997</v>
      </c>
      <c r="I1991">
        <v>41.99371</v>
      </c>
      <c r="J1991">
        <v>42.134169999999997</v>
      </c>
      <c r="K1991">
        <v>43.340220000000002</v>
      </c>
      <c r="L1991">
        <v>44.780209999999997</v>
      </c>
      <c r="M1991">
        <v>45.439770000000003</v>
      </c>
      <c r="N1991">
        <v>45.439770000000003</v>
      </c>
    </row>
    <row r="1992" spans="1:14" hidden="1" x14ac:dyDescent="0.35">
      <c r="A1992" t="s">
        <v>756</v>
      </c>
      <c r="B1992" t="s">
        <v>34</v>
      </c>
      <c r="C1992" t="s">
        <v>33</v>
      </c>
      <c r="D1992" t="s">
        <v>33</v>
      </c>
      <c r="E1992" t="s">
        <v>605</v>
      </c>
      <c r="F1992" t="s">
        <v>581</v>
      </c>
      <c r="G1992" t="s">
        <v>24</v>
      </c>
      <c r="H1992">
        <v>13.136089999999999</v>
      </c>
      <c r="I1992">
        <v>14.16348</v>
      </c>
      <c r="J1992">
        <v>14.049239999999999</v>
      </c>
      <c r="K1992">
        <v>11.972989999999999</v>
      </c>
      <c r="L1992">
        <v>10.5471</v>
      </c>
      <c r="M1992">
        <v>9.6365800000000004</v>
      </c>
      <c r="N1992">
        <v>8.991968</v>
      </c>
    </row>
    <row r="1993" spans="1:14" hidden="1" x14ac:dyDescent="0.35">
      <c r="A1993" t="s">
        <v>756</v>
      </c>
      <c r="B1993" t="s">
        <v>34</v>
      </c>
      <c r="C1993" t="s">
        <v>33</v>
      </c>
      <c r="D1993" t="s">
        <v>33</v>
      </c>
      <c r="E1993" t="s">
        <v>605</v>
      </c>
      <c r="F1993" t="s">
        <v>581</v>
      </c>
      <c r="G1993" t="s">
        <v>25</v>
      </c>
      <c r="H1993">
        <v>4.4504140000000003</v>
      </c>
      <c r="I1993">
        <v>5.4225050000000001</v>
      </c>
      <c r="J1993">
        <v>5.7254680000000002</v>
      </c>
      <c r="K1993">
        <v>4.8958349999999999</v>
      </c>
      <c r="L1993">
        <v>4.3392790000000003</v>
      </c>
      <c r="M1993">
        <v>4.0888949999999999</v>
      </c>
      <c r="N1993">
        <v>3.8656100000000002</v>
      </c>
    </row>
    <row r="1994" spans="1:14" hidden="1" x14ac:dyDescent="0.35">
      <c r="A1994" t="s">
        <v>756</v>
      </c>
      <c r="B1994" t="s">
        <v>34</v>
      </c>
      <c r="C1994" t="s">
        <v>33</v>
      </c>
      <c r="D1994" t="s">
        <v>33</v>
      </c>
      <c r="E1994" t="s">
        <v>605</v>
      </c>
      <c r="F1994" t="s">
        <v>26</v>
      </c>
      <c r="G1994" t="s">
        <v>26</v>
      </c>
      <c r="H1994">
        <v>27.187660000000001</v>
      </c>
      <c r="I1994">
        <v>29.824639999999999</v>
      </c>
      <c r="J1994">
        <v>29.843219999999999</v>
      </c>
      <c r="K1994">
        <v>25.349769999999999</v>
      </c>
      <c r="L1994">
        <v>22.27674</v>
      </c>
      <c r="M1994">
        <v>20.316020000000002</v>
      </c>
      <c r="N1994">
        <v>18.884550000000001</v>
      </c>
    </row>
    <row r="1995" spans="1:14" hidden="1" x14ac:dyDescent="0.35">
      <c r="A1995" t="s">
        <v>756</v>
      </c>
      <c r="B1995" t="s">
        <v>34</v>
      </c>
      <c r="C1995" t="s">
        <v>33</v>
      </c>
      <c r="D1995" t="s">
        <v>33</v>
      </c>
      <c r="E1995" t="s">
        <v>584</v>
      </c>
      <c r="F1995" t="s">
        <v>581</v>
      </c>
      <c r="G1995" t="s">
        <v>396</v>
      </c>
      <c r="H1995">
        <v>0.3103206</v>
      </c>
      <c r="I1995">
        <v>0.32755889999999999</v>
      </c>
      <c r="J1995">
        <v>0.32520270000000001</v>
      </c>
      <c r="K1995">
        <v>0.23736160000000001</v>
      </c>
      <c r="L1995">
        <v>0.1732466</v>
      </c>
      <c r="M1995">
        <v>0.12645210000000001</v>
      </c>
      <c r="N1995">
        <v>9.2295890000000005E-2</v>
      </c>
    </row>
    <row r="1996" spans="1:14" hidden="1" x14ac:dyDescent="0.35">
      <c r="A1996" t="s">
        <v>756</v>
      </c>
      <c r="B1996" t="s">
        <v>34</v>
      </c>
      <c r="C1996" t="s">
        <v>33</v>
      </c>
      <c r="D1996" t="s">
        <v>33</v>
      </c>
      <c r="E1996" t="s">
        <v>584</v>
      </c>
      <c r="F1996" t="s">
        <v>581</v>
      </c>
      <c r="G1996" t="s">
        <v>24</v>
      </c>
      <c r="H1996">
        <v>0.12887950000000001</v>
      </c>
      <c r="I1996">
        <v>0.14703840000000001</v>
      </c>
      <c r="J1996">
        <v>0.16187950000000001</v>
      </c>
      <c r="K1996">
        <v>0.1823014</v>
      </c>
      <c r="L1996">
        <v>0.16428770000000001</v>
      </c>
      <c r="M1996">
        <v>0.13898360000000001</v>
      </c>
      <c r="N1996">
        <v>0.1175781</v>
      </c>
    </row>
    <row r="1997" spans="1:14" hidden="1" x14ac:dyDescent="0.35">
      <c r="A1997" t="s">
        <v>756</v>
      </c>
      <c r="B1997" t="s">
        <v>34</v>
      </c>
      <c r="C1997" t="s">
        <v>33</v>
      </c>
      <c r="D1997" t="s">
        <v>33</v>
      </c>
      <c r="E1997" t="s">
        <v>584</v>
      </c>
      <c r="F1997" t="s">
        <v>581</v>
      </c>
      <c r="G1997" t="s">
        <v>25</v>
      </c>
      <c r="H1997">
        <v>0.30817810000000001</v>
      </c>
      <c r="I1997">
        <v>0.30840279999999998</v>
      </c>
      <c r="J1997">
        <v>0.30735889999999999</v>
      </c>
      <c r="K1997">
        <v>0.30817810000000001</v>
      </c>
      <c r="L1997">
        <v>0.30719449999999998</v>
      </c>
      <c r="M1997">
        <v>0.27086850000000001</v>
      </c>
      <c r="N1997">
        <v>0.23883560000000001</v>
      </c>
    </row>
    <row r="1998" spans="1:14" hidden="1" x14ac:dyDescent="0.35">
      <c r="A1998" t="s">
        <v>756</v>
      </c>
      <c r="B1998" t="s">
        <v>34</v>
      </c>
      <c r="C1998" t="s">
        <v>33</v>
      </c>
      <c r="D1998" t="s">
        <v>33</v>
      </c>
      <c r="E1998" t="s">
        <v>584</v>
      </c>
      <c r="F1998" t="s">
        <v>26</v>
      </c>
      <c r="G1998" t="s">
        <v>26</v>
      </c>
      <c r="H1998">
        <v>1.204318</v>
      </c>
      <c r="I1998">
        <v>1.2023010000000001</v>
      </c>
      <c r="J1998">
        <v>1.2003349999999999</v>
      </c>
      <c r="K1998">
        <v>1.0449839999999999</v>
      </c>
      <c r="L1998">
        <v>0.88701090000000005</v>
      </c>
      <c r="M1998">
        <v>0.75291779999999997</v>
      </c>
      <c r="N1998">
        <v>0.63909859999999996</v>
      </c>
    </row>
    <row r="1999" spans="1:14" hidden="1" x14ac:dyDescent="0.35">
      <c r="A1999" t="s">
        <v>755</v>
      </c>
      <c r="B1999" t="s">
        <v>37</v>
      </c>
      <c r="C1999" t="s">
        <v>46</v>
      </c>
      <c r="D1999" t="s">
        <v>46</v>
      </c>
      <c r="E1999" t="s">
        <v>584</v>
      </c>
      <c r="F1999" t="s">
        <v>581</v>
      </c>
      <c r="G1999" t="s">
        <v>396</v>
      </c>
      <c r="H1999">
        <v>19.272300000000001</v>
      </c>
      <c r="I1999">
        <v>16.262280000000001</v>
      </c>
      <c r="J1999">
        <v>16.203800000000001</v>
      </c>
      <c r="K1999">
        <v>15.74131</v>
      </c>
      <c r="L1999">
        <v>14.55386</v>
      </c>
      <c r="M1999">
        <v>13.126849999999999</v>
      </c>
      <c r="N1999">
        <v>11.501760000000001</v>
      </c>
    </row>
    <row r="2000" spans="1:14" hidden="1" x14ac:dyDescent="0.35">
      <c r="A2000" t="s">
        <v>755</v>
      </c>
      <c r="B2000" t="s">
        <v>37</v>
      </c>
      <c r="C2000" t="s">
        <v>46</v>
      </c>
      <c r="D2000" t="s">
        <v>46</v>
      </c>
      <c r="E2000" t="s">
        <v>584</v>
      </c>
      <c r="F2000" t="s">
        <v>26</v>
      </c>
      <c r="G2000" t="s">
        <v>26</v>
      </c>
      <c r="H2000">
        <v>0.37396980000000002</v>
      </c>
      <c r="I2000">
        <v>1.7298629999999999E-2</v>
      </c>
      <c r="J2000">
        <v>1.552329E-2</v>
      </c>
      <c r="K2000">
        <v>1.3969860000000001E-2</v>
      </c>
      <c r="L2000">
        <v>1.25726E-2</v>
      </c>
      <c r="M2000">
        <v>1.134521E-2</v>
      </c>
      <c r="N2000">
        <v>1.018082E-2</v>
      </c>
    </row>
    <row r="2001" spans="1:14" hidden="1" x14ac:dyDescent="0.35">
      <c r="A2001" t="s">
        <v>755</v>
      </c>
      <c r="B2001" t="s">
        <v>37</v>
      </c>
      <c r="C2001" t="s">
        <v>51</v>
      </c>
      <c r="D2001" t="s">
        <v>51</v>
      </c>
      <c r="E2001" t="s">
        <v>584</v>
      </c>
      <c r="F2001" t="s">
        <v>581</v>
      </c>
      <c r="G2001" t="s">
        <v>396</v>
      </c>
      <c r="H2001">
        <v>13.818</v>
      </c>
      <c r="I2001">
        <v>12.70332</v>
      </c>
      <c r="J2001">
        <v>11.67794</v>
      </c>
      <c r="K2001">
        <v>13.67478</v>
      </c>
      <c r="L2001">
        <v>14.403549999999999</v>
      </c>
      <c r="M2001">
        <v>16.10576</v>
      </c>
      <c r="N2001">
        <v>11.23729</v>
      </c>
    </row>
    <row r="2002" spans="1:14" hidden="1" x14ac:dyDescent="0.35">
      <c r="A2002" t="s">
        <v>755</v>
      </c>
      <c r="B2002" t="s">
        <v>37</v>
      </c>
      <c r="C2002" t="s">
        <v>51</v>
      </c>
      <c r="D2002" t="s">
        <v>51</v>
      </c>
      <c r="E2002" t="s">
        <v>584</v>
      </c>
      <c r="F2002" t="s">
        <v>26</v>
      </c>
      <c r="G2002" t="s">
        <v>26</v>
      </c>
      <c r="H2002">
        <v>0.27246579999999998</v>
      </c>
      <c r="I2002">
        <v>0.1826383</v>
      </c>
      <c r="J2002">
        <v>0.1224833</v>
      </c>
      <c r="K2002">
        <v>8.220877E-2</v>
      </c>
      <c r="L2002">
        <v>5.5106299999999997E-2</v>
      </c>
      <c r="M2002">
        <v>3.6938079999999998E-2</v>
      </c>
      <c r="N2002">
        <v>7.4580820000000004E-3</v>
      </c>
    </row>
    <row r="2003" spans="1:14" hidden="1" x14ac:dyDescent="0.35">
      <c r="A2003" t="s">
        <v>755</v>
      </c>
      <c r="B2003" t="s">
        <v>37</v>
      </c>
      <c r="C2003" t="s">
        <v>79</v>
      </c>
      <c r="D2003" t="s">
        <v>79</v>
      </c>
      <c r="E2003" t="s">
        <v>584</v>
      </c>
      <c r="F2003" t="s">
        <v>581</v>
      </c>
      <c r="G2003" t="s">
        <v>396</v>
      </c>
      <c r="H2003">
        <v>11.68219</v>
      </c>
      <c r="I2003">
        <v>9.4640810000000002</v>
      </c>
      <c r="J2003">
        <v>7.8323150000000004</v>
      </c>
      <c r="K2003">
        <v>6.2799839999999998</v>
      </c>
      <c r="L2003">
        <v>5.1260469999999998</v>
      </c>
      <c r="M2003">
        <v>4.2015409999999997</v>
      </c>
      <c r="N2003">
        <v>3.5755170000000001</v>
      </c>
    </row>
    <row r="2004" spans="1:14" hidden="1" x14ac:dyDescent="0.35">
      <c r="A2004" t="s">
        <v>755</v>
      </c>
      <c r="B2004" t="s">
        <v>37</v>
      </c>
      <c r="C2004" t="s">
        <v>79</v>
      </c>
      <c r="D2004" t="s">
        <v>79</v>
      </c>
      <c r="E2004" t="s">
        <v>584</v>
      </c>
      <c r="F2004" t="s">
        <v>26</v>
      </c>
      <c r="G2004" t="s">
        <v>26</v>
      </c>
      <c r="H2004">
        <v>0.2235616</v>
      </c>
      <c r="I2004">
        <v>0.21121090000000001</v>
      </c>
      <c r="J2004">
        <v>0.19953650000000001</v>
      </c>
      <c r="K2004">
        <v>0.18829209999999999</v>
      </c>
      <c r="L2004">
        <v>0.1759038</v>
      </c>
      <c r="M2004">
        <v>0.16055559999999999</v>
      </c>
      <c r="N2004">
        <v>0.14706</v>
      </c>
    </row>
    <row r="2005" spans="1:14" hidden="1" x14ac:dyDescent="0.35">
      <c r="A2005" t="s">
        <v>755</v>
      </c>
      <c r="B2005" t="s">
        <v>37</v>
      </c>
      <c r="C2005" t="s">
        <v>115</v>
      </c>
      <c r="D2005" t="s">
        <v>115</v>
      </c>
      <c r="E2005" t="s">
        <v>584</v>
      </c>
      <c r="F2005" t="s">
        <v>581</v>
      </c>
      <c r="G2005" t="s">
        <v>396</v>
      </c>
      <c r="H2005">
        <v>8.2302630000000008</v>
      </c>
      <c r="I2005">
        <v>4.7084849999999996</v>
      </c>
      <c r="J2005">
        <v>4.3412329999999999</v>
      </c>
      <c r="K2005">
        <v>3.825021</v>
      </c>
      <c r="L2005">
        <v>3.3633320000000002</v>
      </c>
      <c r="M2005">
        <v>2.968693</v>
      </c>
      <c r="N2005">
        <v>2.6422370000000002</v>
      </c>
    </row>
    <row r="2006" spans="1:14" hidden="1" x14ac:dyDescent="0.35">
      <c r="A2006" t="s">
        <v>755</v>
      </c>
      <c r="B2006" t="s">
        <v>37</v>
      </c>
      <c r="C2006" t="s">
        <v>115</v>
      </c>
      <c r="D2006" t="s">
        <v>115</v>
      </c>
      <c r="E2006" t="s">
        <v>584</v>
      </c>
      <c r="F2006" t="s">
        <v>26</v>
      </c>
      <c r="G2006" t="s">
        <v>26</v>
      </c>
      <c r="H2006">
        <v>0.45660279999999998</v>
      </c>
      <c r="I2006">
        <v>0.93951510000000005</v>
      </c>
      <c r="J2006">
        <v>0.89587399999999995</v>
      </c>
      <c r="K2006">
        <v>0.85800270000000001</v>
      </c>
      <c r="L2006">
        <v>0.82393150000000004</v>
      </c>
      <c r="M2006">
        <v>0.79348220000000003</v>
      </c>
      <c r="N2006">
        <v>0.7641753</v>
      </c>
    </row>
    <row r="2007" spans="1:14" hidden="1" x14ac:dyDescent="0.35">
      <c r="A2007" t="s">
        <v>762</v>
      </c>
      <c r="B2007" t="s">
        <v>37</v>
      </c>
      <c r="C2007" t="s">
        <v>79</v>
      </c>
      <c r="D2007" t="s">
        <v>79</v>
      </c>
      <c r="E2007" t="s">
        <v>614</v>
      </c>
      <c r="F2007" t="s">
        <v>581</v>
      </c>
      <c r="G2007" t="s">
        <v>396</v>
      </c>
      <c r="H2007">
        <v>12.41473</v>
      </c>
      <c r="I2007">
        <v>11.98194</v>
      </c>
      <c r="J2007">
        <v>9.9146420000000006</v>
      </c>
      <c r="K2007">
        <v>8.4683630000000001</v>
      </c>
      <c r="L2007">
        <v>9.2308439999999994</v>
      </c>
      <c r="M2007">
        <v>7.4812609999999999</v>
      </c>
      <c r="N2007">
        <v>5.5966719999999999</v>
      </c>
    </row>
    <row r="2008" spans="1:14" hidden="1" x14ac:dyDescent="0.35">
      <c r="A2008" t="s">
        <v>762</v>
      </c>
      <c r="B2008" t="s">
        <v>37</v>
      </c>
      <c r="C2008" t="s">
        <v>79</v>
      </c>
      <c r="D2008" t="s">
        <v>79</v>
      </c>
      <c r="E2008" t="s">
        <v>614</v>
      </c>
      <c r="F2008" t="s">
        <v>581</v>
      </c>
      <c r="G2008" t="s">
        <v>25</v>
      </c>
      <c r="H2008">
        <v>1.629723</v>
      </c>
      <c r="I2008">
        <v>1.5741130000000001</v>
      </c>
      <c r="J2008">
        <v>1.308467</v>
      </c>
      <c r="K2008">
        <v>1.116004</v>
      </c>
      <c r="L2008">
        <v>1.2164189999999999</v>
      </c>
      <c r="M2008">
        <v>0.98185690000000003</v>
      </c>
      <c r="N2008">
        <v>0.73009199999999996</v>
      </c>
    </row>
    <row r="2009" spans="1:14" hidden="1" x14ac:dyDescent="0.35">
      <c r="A2009" t="s">
        <v>762</v>
      </c>
      <c r="B2009" t="s">
        <v>37</v>
      </c>
      <c r="C2009" t="s">
        <v>79</v>
      </c>
      <c r="D2009" t="s">
        <v>79</v>
      </c>
      <c r="E2009" t="s">
        <v>614</v>
      </c>
      <c r="F2009" t="s">
        <v>26</v>
      </c>
      <c r="G2009" t="s">
        <v>26</v>
      </c>
      <c r="H2009">
        <v>2.2527560000000002</v>
      </c>
      <c r="I2009">
        <v>2.214531</v>
      </c>
      <c r="J2009">
        <v>1.861604</v>
      </c>
      <c r="K2009">
        <v>1.5756950000000001</v>
      </c>
      <c r="L2009">
        <v>1.7169300000000001</v>
      </c>
      <c r="M2009">
        <v>1.3554580000000001</v>
      </c>
      <c r="N2009">
        <v>0.97413539999999998</v>
      </c>
    </row>
    <row r="2010" spans="1:14" hidden="1" x14ac:dyDescent="0.35">
      <c r="A2010" t="s">
        <v>762</v>
      </c>
      <c r="B2010" t="s">
        <v>37</v>
      </c>
      <c r="C2010" t="s">
        <v>79</v>
      </c>
      <c r="D2010" t="s">
        <v>79</v>
      </c>
      <c r="E2010" t="s">
        <v>601</v>
      </c>
      <c r="F2010" t="s">
        <v>581</v>
      </c>
      <c r="G2010" t="s">
        <v>396</v>
      </c>
      <c r="H2010">
        <v>9.9470869999999998</v>
      </c>
      <c r="I2010">
        <v>9.5830549999999999</v>
      </c>
      <c r="J2010">
        <v>8.1582779999999993</v>
      </c>
      <c r="K2010">
        <v>6.6473339999999999</v>
      </c>
      <c r="L2010">
        <v>6.0227560000000002</v>
      </c>
      <c r="M2010">
        <v>5.7064599999999999</v>
      </c>
      <c r="N2010">
        <v>5.7189920000000001</v>
      </c>
    </row>
    <row r="2011" spans="1:14" hidden="1" x14ac:dyDescent="0.35">
      <c r="A2011" t="s">
        <v>762</v>
      </c>
      <c r="B2011" t="s">
        <v>37</v>
      </c>
      <c r="C2011" t="s">
        <v>79</v>
      </c>
      <c r="D2011" t="s">
        <v>79</v>
      </c>
      <c r="E2011" t="s">
        <v>601</v>
      </c>
      <c r="F2011" t="s">
        <v>581</v>
      </c>
      <c r="G2011" t="s">
        <v>25</v>
      </c>
      <c r="H2011">
        <v>2.4389509999999999</v>
      </c>
      <c r="I2011">
        <v>2.3475679999999999</v>
      </c>
      <c r="J2011">
        <v>2.0003489999999999</v>
      </c>
      <c r="K2011">
        <v>1.629874</v>
      </c>
      <c r="L2011">
        <v>1.476734</v>
      </c>
      <c r="M2011">
        <v>1.3991819999999999</v>
      </c>
      <c r="N2011">
        <v>1.4022559999999999</v>
      </c>
    </row>
    <row r="2012" spans="1:14" hidden="1" x14ac:dyDescent="0.35">
      <c r="A2012" t="s">
        <v>762</v>
      </c>
      <c r="B2012" t="s">
        <v>37</v>
      </c>
      <c r="C2012" t="s">
        <v>79</v>
      </c>
      <c r="D2012" t="s">
        <v>79</v>
      </c>
      <c r="E2012" t="s">
        <v>601</v>
      </c>
      <c r="F2012" t="s">
        <v>26</v>
      </c>
      <c r="G2012" t="s">
        <v>26</v>
      </c>
      <c r="H2012">
        <v>3.2519309999999999</v>
      </c>
      <c r="I2012">
        <v>3.1300919999999999</v>
      </c>
      <c r="J2012">
        <v>2.6671290000000001</v>
      </c>
      <c r="K2012">
        <v>2.1731669999999998</v>
      </c>
      <c r="L2012">
        <v>1.968977</v>
      </c>
      <c r="M2012">
        <v>1.8655740000000001</v>
      </c>
      <c r="N2012">
        <v>1.8696699999999999</v>
      </c>
    </row>
    <row r="2013" spans="1:14" hidden="1" x14ac:dyDescent="0.35">
      <c r="A2013" t="s">
        <v>762</v>
      </c>
      <c r="B2013" t="s">
        <v>37</v>
      </c>
      <c r="C2013" t="s">
        <v>79</v>
      </c>
      <c r="D2013" t="s">
        <v>79</v>
      </c>
      <c r="E2013" t="s">
        <v>584</v>
      </c>
      <c r="F2013" t="s">
        <v>581</v>
      </c>
      <c r="G2013" t="s">
        <v>396</v>
      </c>
      <c r="H2013">
        <v>3.457392</v>
      </c>
      <c r="I2013">
        <v>3.504086</v>
      </c>
      <c r="J2013">
        <v>3.3405290000000001</v>
      </c>
      <c r="K2013">
        <v>3.0332669999999999</v>
      </c>
      <c r="L2013">
        <v>2.8109760000000001</v>
      </c>
      <c r="M2013">
        <v>2.7221839999999999</v>
      </c>
      <c r="N2013">
        <v>3.0580080000000001</v>
      </c>
    </row>
    <row r="2014" spans="1:14" hidden="1" x14ac:dyDescent="0.35">
      <c r="A2014" t="s">
        <v>762</v>
      </c>
      <c r="B2014" t="s">
        <v>37</v>
      </c>
      <c r="C2014" t="s">
        <v>79</v>
      </c>
      <c r="D2014" t="s">
        <v>79</v>
      </c>
      <c r="E2014" t="s">
        <v>584</v>
      </c>
      <c r="F2014" t="s">
        <v>581</v>
      </c>
      <c r="G2014" t="s">
        <v>24</v>
      </c>
      <c r="H2014">
        <v>3.5926029999999998E-2</v>
      </c>
      <c r="I2014">
        <v>3.4728769999999999E-2</v>
      </c>
      <c r="J2014">
        <v>3.356986E-2</v>
      </c>
      <c r="K2014">
        <v>3.2452050000000003E-2</v>
      </c>
      <c r="L2014">
        <v>3.1369859999999999E-2</v>
      </c>
      <c r="M2014">
        <v>3.0323289999999999E-2</v>
      </c>
      <c r="N2014">
        <v>2.9315069999999999E-2</v>
      </c>
    </row>
    <row r="2015" spans="1:14" hidden="1" x14ac:dyDescent="0.35">
      <c r="A2015" t="s">
        <v>762</v>
      </c>
      <c r="B2015" t="s">
        <v>37</v>
      </c>
      <c r="C2015" t="s">
        <v>79</v>
      </c>
      <c r="D2015" t="s">
        <v>79</v>
      </c>
      <c r="E2015" t="s">
        <v>584</v>
      </c>
      <c r="F2015" t="s">
        <v>581</v>
      </c>
      <c r="G2015" t="s">
        <v>25</v>
      </c>
      <c r="H2015">
        <v>1.70617</v>
      </c>
      <c r="I2015">
        <v>1.586975</v>
      </c>
      <c r="J2015">
        <v>1.431209</v>
      </c>
      <c r="K2015">
        <v>1.252257</v>
      </c>
      <c r="L2015">
        <v>1.1231739999999999</v>
      </c>
      <c r="M2015">
        <v>1.05559</v>
      </c>
      <c r="N2015">
        <v>1.1486080000000001</v>
      </c>
    </row>
    <row r="2016" spans="1:14" hidden="1" x14ac:dyDescent="0.35">
      <c r="A2016" t="s">
        <v>762</v>
      </c>
      <c r="B2016" t="s">
        <v>37</v>
      </c>
      <c r="C2016" t="s">
        <v>79</v>
      </c>
      <c r="D2016" t="s">
        <v>79</v>
      </c>
      <c r="E2016" t="s">
        <v>584</v>
      </c>
      <c r="F2016" t="s">
        <v>26</v>
      </c>
      <c r="G2016" t="s">
        <v>26</v>
      </c>
      <c r="H2016">
        <v>7.5793780000000002</v>
      </c>
      <c r="I2016">
        <v>7.7268280000000003</v>
      </c>
      <c r="J2016">
        <v>7.399273</v>
      </c>
      <c r="K2016">
        <v>6.7508739999999996</v>
      </c>
      <c r="L2016">
        <v>6.2727459999999997</v>
      </c>
      <c r="M2016">
        <v>6.072165</v>
      </c>
      <c r="N2016">
        <v>6.7704329999999997</v>
      </c>
    </row>
    <row r="2017" spans="1:14" hidden="1" x14ac:dyDescent="0.35">
      <c r="A2017" t="s">
        <v>762</v>
      </c>
      <c r="B2017" t="s">
        <v>37</v>
      </c>
      <c r="C2017" t="s">
        <v>79</v>
      </c>
      <c r="D2017" t="s">
        <v>79</v>
      </c>
      <c r="E2017" t="s">
        <v>640</v>
      </c>
      <c r="F2017" t="s">
        <v>581</v>
      </c>
      <c r="G2017" t="s">
        <v>396</v>
      </c>
      <c r="H2017">
        <v>1.3678380000000001</v>
      </c>
      <c r="I2017">
        <v>1.3198449999999999</v>
      </c>
      <c r="J2017">
        <v>1.102285</v>
      </c>
      <c r="K2017">
        <v>1.0412250000000001</v>
      </c>
      <c r="L2017">
        <v>0.91718029999999995</v>
      </c>
      <c r="M2017">
        <v>0.83016279999999998</v>
      </c>
      <c r="N2017">
        <v>0.74589030000000001</v>
      </c>
    </row>
    <row r="2018" spans="1:14" hidden="1" x14ac:dyDescent="0.35">
      <c r="A2018" t="s">
        <v>762</v>
      </c>
      <c r="B2018" t="s">
        <v>37</v>
      </c>
      <c r="C2018" t="s">
        <v>79</v>
      </c>
      <c r="D2018" t="s">
        <v>79</v>
      </c>
      <c r="E2018" t="s">
        <v>640</v>
      </c>
      <c r="F2018" t="s">
        <v>581</v>
      </c>
      <c r="G2018" t="s">
        <v>25</v>
      </c>
      <c r="H2018">
        <v>4.365753E-2</v>
      </c>
      <c r="I2018">
        <v>4.2124929999999998E-2</v>
      </c>
      <c r="J2018">
        <v>3.5182459999999999E-2</v>
      </c>
      <c r="K2018">
        <v>3.3233150000000003E-2</v>
      </c>
      <c r="L2018">
        <v>2.9272329999999999E-2</v>
      </c>
      <c r="M2018">
        <v>2.6493969999999999E-2</v>
      </c>
      <c r="N2018">
        <v>2.3804929999999998E-2</v>
      </c>
    </row>
    <row r="2019" spans="1:14" hidden="1" x14ac:dyDescent="0.35">
      <c r="A2019" t="s">
        <v>762</v>
      </c>
      <c r="B2019" t="s">
        <v>37</v>
      </c>
      <c r="C2019" t="s">
        <v>79</v>
      </c>
      <c r="D2019" t="s">
        <v>79</v>
      </c>
      <c r="E2019" t="s">
        <v>640</v>
      </c>
      <c r="F2019" t="s">
        <v>26</v>
      </c>
      <c r="G2019" t="s">
        <v>26</v>
      </c>
      <c r="H2019">
        <v>4.3654800000000001E-2</v>
      </c>
      <c r="I2019">
        <v>4.2122189999999997E-2</v>
      </c>
      <c r="J2019">
        <v>3.5177809999999997E-2</v>
      </c>
      <c r="K2019">
        <v>3.3229590000000003E-2</v>
      </c>
      <c r="L2019">
        <v>2.9271499999999999E-2</v>
      </c>
      <c r="M2019">
        <v>2.6495890000000001E-2</v>
      </c>
      <c r="N2019">
        <v>2.380521E-2</v>
      </c>
    </row>
    <row r="2020" spans="1:14" hidden="1" x14ac:dyDescent="0.35">
      <c r="A2020" t="s">
        <v>762</v>
      </c>
      <c r="B2020" t="s">
        <v>37</v>
      </c>
      <c r="C2020" t="s">
        <v>46</v>
      </c>
      <c r="D2020" t="s">
        <v>46</v>
      </c>
      <c r="E2020" t="s">
        <v>584</v>
      </c>
      <c r="F2020" t="s">
        <v>581</v>
      </c>
      <c r="G2020" t="s">
        <v>396</v>
      </c>
      <c r="H2020">
        <v>0.35992059999999998</v>
      </c>
      <c r="I2020">
        <v>0.3240384</v>
      </c>
      <c r="J2020">
        <v>0.29079169999999999</v>
      </c>
      <c r="K2020">
        <v>0.26170690000000002</v>
      </c>
      <c r="L2020">
        <v>0.2355343</v>
      </c>
      <c r="M2020">
        <v>0.21252599999999999</v>
      </c>
      <c r="N2020">
        <v>0.19072049999999999</v>
      </c>
    </row>
    <row r="2021" spans="1:14" hidden="1" x14ac:dyDescent="0.35">
      <c r="A2021" t="s">
        <v>762</v>
      </c>
      <c r="B2021" t="s">
        <v>37</v>
      </c>
      <c r="C2021" t="s">
        <v>46</v>
      </c>
      <c r="D2021" t="s">
        <v>46</v>
      </c>
      <c r="E2021" t="s">
        <v>584</v>
      </c>
      <c r="F2021" t="s">
        <v>581</v>
      </c>
      <c r="G2021" t="s">
        <v>24</v>
      </c>
      <c r="H2021">
        <v>2.852055E-3</v>
      </c>
      <c r="I2021">
        <v>2.8E-3</v>
      </c>
      <c r="J2021">
        <v>2.7479449999999999E-3</v>
      </c>
      <c r="K2021">
        <v>2.6931500000000001E-3</v>
      </c>
      <c r="L2021">
        <v>2.6383560000000001E-3</v>
      </c>
      <c r="M2021">
        <v>2.586302E-3</v>
      </c>
      <c r="N2021">
        <v>2.5369860000000002E-3</v>
      </c>
    </row>
    <row r="2022" spans="1:14" hidden="1" x14ac:dyDescent="0.35">
      <c r="A2022" t="s">
        <v>762</v>
      </c>
      <c r="B2022" t="s">
        <v>37</v>
      </c>
      <c r="C2022" t="s">
        <v>46</v>
      </c>
      <c r="D2022" t="s">
        <v>46</v>
      </c>
      <c r="E2022" t="s">
        <v>584</v>
      </c>
      <c r="F2022" t="s">
        <v>581</v>
      </c>
      <c r="G2022" t="s">
        <v>25</v>
      </c>
      <c r="H2022">
        <v>0.24722740000000001</v>
      </c>
      <c r="I2022">
        <v>0.20194519999999999</v>
      </c>
      <c r="J2022">
        <v>0.1673589</v>
      </c>
      <c r="K2022">
        <v>0.14122190000000001</v>
      </c>
      <c r="L2022">
        <v>0.1207945</v>
      </c>
      <c r="M2022">
        <v>0.104737</v>
      </c>
      <c r="N2022">
        <v>9.1183570000000005E-2</v>
      </c>
    </row>
    <row r="2023" spans="1:14" hidden="1" x14ac:dyDescent="0.35">
      <c r="A2023" t="s">
        <v>762</v>
      </c>
      <c r="B2023" t="s">
        <v>37</v>
      </c>
      <c r="C2023" t="s">
        <v>46</v>
      </c>
      <c r="D2023" t="s">
        <v>46</v>
      </c>
      <c r="E2023" t="s">
        <v>584</v>
      </c>
      <c r="F2023" t="s">
        <v>26</v>
      </c>
      <c r="G2023" t="s">
        <v>26</v>
      </c>
      <c r="H2023">
        <v>1.077353</v>
      </c>
      <c r="I2023">
        <v>0.97563840000000002</v>
      </c>
      <c r="J2023">
        <v>0.87893429999999995</v>
      </c>
      <c r="K2023">
        <v>0.79426030000000003</v>
      </c>
      <c r="L2023">
        <v>0.71799179999999996</v>
      </c>
      <c r="M2023">
        <v>0.65087390000000001</v>
      </c>
      <c r="N2023">
        <v>0.5872328</v>
      </c>
    </row>
    <row r="2024" spans="1:14" hidden="1" x14ac:dyDescent="0.35">
      <c r="A2024" t="s">
        <v>764</v>
      </c>
      <c r="B2024" t="s">
        <v>37</v>
      </c>
      <c r="C2024" t="s">
        <v>79</v>
      </c>
      <c r="D2024" t="s">
        <v>79</v>
      </c>
      <c r="E2024" t="s">
        <v>617</v>
      </c>
      <c r="F2024" t="s">
        <v>581</v>
      </c>
      <c r="G2024" t="s">
        <v>25</v>
      </c>
      <c r="H2024">
        <v>1.095205</v>
      </c>
      <c r="I2024">
        <v>0.85981370000000001</v>
      </c>
      <c r="J2024">
        <v>0.81517810000000002</v>
      </c>
      <c r="K2024">
        <v>0.66636189999999995</v>
      </c>
      <c r="L2024">
        <v>0.79837040000000004</v>
      </c>
      <c r="M2024">
        <v>0.85670570000000001</v>
      </c>
      <c r="N2024">
        <v>0.8551607</v>
      </c>
    </row>
    <row r="2025" spans="1:14" hidden="1" x14ac:dyDescent="0.35">
      <c r="A2025" t="s">
        <v>764</v>
      </c>
      <c r="B2025" t="s">
        <v>37</v>
      </c>
      <c r="C2025" t="s">
        <v>79</v>
      </c>
      <c r="D2025" t="s">
        <v>79</v>
      </c>
      <c r="E2025" t="s">
        <v>617</v>
      </c>
      <c r="F2025" t="s">
        <v>26</v>
      </c>
      <c r="G2025" t="s">
        <v>26</v>
      </c>
      <c r="H2025">
        <v>25.302119999999999</v>
      </c>
      <c r="I2025">
        <v>21.419419999999999</v>
      </c>
      <c r="J2025">
        <v>21.69651</v>
      </c>
      <c r="K2025">
        <v>21.445709999999998</v>
      </c>
      <c r="L2025">
        <v>22.967870000000001</v>
      </c>
      <c r="M2025">
        <v>25.991689999999998</v>
      </c>
      <c r="N2025">
        <v>28.636610000000001</v>
      </c>
    </row>
    <row r="2026" spans="1:14" hidden="1" x14ac:dyDescent="0.35">
      <c r="A2026" t="s">
        <v>764</v>
      </c>
      <c r="B2026" t="s">
        <v>37</v>
      </c>
      <c r="C2026" t="s">
        <v>79</v>
      </c>
      <c r="D2026" t="s">
        <v>79</v>
      </c>
      <c r="E2026" t="s">
        <v>600</v>
      </c>
      <c r="F2026" t="s">
        <v>581</v>
      </c>
      <c r="G2026" t="s">
        <v>24</v>
      </c>
      <c r="H2026">
        <v>1.9936389999999999</v>
      </c>
      <c r="I2026">
        <v>1.9101300000000001</v>
      </c>
      <c r="J2026">
        <v>1.7096439999999999</v>
      </c>
      <c r="K2026">
        <v>1.675753</v>
      </c>
      <c r="L2026">
        <v>1.6849860000000001</v>
      </c>
      <c r="M2026">
        <v>1.245873</v>
      </c>
      <c r="N2026">
        <v>1.0432360000000001</v>
      </c>
    </row>
    <row r="2027" spans="1:14" hidden="1" x14ac:dyDescent="0.35">
      <c r="A2027" t="s">
        <v>764</v>
      </c>
      <c r="B2027" t="s">
        <v>37</v>
      </c>
      <c r="C2027" t="s">
        <v>79</v>
      </c>
      <c r="D2027" t="s">
        <v>79</v>
      </c>
      <c r="E2027" t="s">
        <v>600</v>
      </c>
      <c r="F2027" t="s">
        <v>581</v>
      </c>
      <c r="G2027" t="s">
        <v>25</v>
      </c>
      <c r="H2027">
        <v>3.271239</v>
      </c>
      <c r="I2027">
        <v>2.6191330000000002</v>
      </c>
      <c r="J2027">
        <v>2.3242500000000001</v>
      </c>
      <c r="K2027">
        <v>2.2172239999999999</v>
      </c>
      <c r="L2027">
        <v>2.2037040000000001</v>
      </c>
      <c r="M2027">
        <v>1.6443129999999999</v>
      </c>
      <c r="N2027">
        <v>1.3285009999999999</v>
      </c>
    </row>
    <row r="2028" spans="1:14" hidden="1" x14ac:dyDescent="0.35">
      <c r="A2028" t="s">
        <v>764</v>
      </c>
      <c r="B2028" t="s">
        <v>37</v>
      </c>
      <c r="C2028" t="s">
        <v>79</v>
      </c>
      <c r="D2028" t="s">
        <v>79</v>
      </c>
      <c r="E2028" t="s">
        <v>600</v>
      </c>
      <c r="F2028" t="s">
        <v>26</v>
      </c>
      <c r="G2028" t="s">
        <v>26</v>
      </c>
      <c r="H2028">
        <v>3.8856160000000002</v>
      </c>
      <c r="I2028">
        <v>3.4381569999999999</v>
      </c>
      <c r="J2028">
        <v>3.2583410000000002</v>
      </c>
      <c r="K2028">
        <v>3.0966770000000001</v>
      </c>
      <c r="L2028">
        <v>3.0727600000000002</v>
      </c>
      <c r="M2028">
        <v>2.2957130000000001</v>
      </c>
      <c r="N2028">
        <v>1.8452900000000001</v>
      </c>
    </row>
    <row r="2029" spans="1:14" hidden="1" x14ac:dyDescent="0.35">
      <c r="A2029" t="s">
        <v>764</v>
      </c>
      <c r="B2029" t="s">
        <v>37</v>
      </c>
      <c r="C2029" t="s">
        <v>79</v>
      </c>
      <c r="D2029" t="s">
        <v>79</v>
      </c>
      <c r="E2029" t="s">
        <v>614</v>
      </c>
      <c r="F2029" t="s">
        <v>581</v>
      </c>
      <c r="G2029" t="s">
        <v>396</v>
      </c>
      <c r="H2029">
        <v>2.2726030000000002</v>
      </c>
      <c r="I2029">
        <v>4.1112140000000004</v>
      </c>
      <c r="J2029">
        <v>5.5209289999999998</v>
      </c>
      <c r="K2029">
        <v>4.5110029999999997</v>
      </c>
      <c r="L2029">
        <v>3.4254720000000001</v>
      </c>
      <c r="M2029">
        <v>3.3552059999999999</v>
      </c>
      <c r="N2029">
        <v>3.687189</v>
      </c>
    </row>
    <row r="2030" spans="1:14" hidden="1" x14ac:dyDescent="0.35">
      <c r="A2030" t="s">
        <v>764</v>
      </c>
      <c r="B2030" t="s">
        <v>37</v>
      </c>
      <c r="C2030" t="s">
        <v>79</v>
      </c>
      <c r="D2030" t="s">
        <v>79</v>
      </c>
      <c r="E2030" t="s">
        <v>614</v>
      </c>
      <c r="F2030" t="s">
        <v>581</v>
      </c>
      <c r="G2030" t="s">
        <v>25</v>
      </c>
      <c r="H2030">
        <v>0.19109309999999999</v>
      </c>
      <c r="I2030">
        <v>0.23358770000000001</v>
      </c>
      <c r="J2030">
        <v>0.30671860000000001</v>
      </c>
      <c r="K2030">
        <v>0.25061090000000003</v>
      </c>
      <c r="L2030">
        <v>0.19030630000000001</v>
      </c>
      <c r="M2030">
        <v>0.18640080000000001</v>
      </c>
      <c r="N2030">
        <v>0.20484189999999999</v>
      </c>
    </row>
    <row r="2031" spans="1:14" hidden="1" x14ac:dyDescent="0.35">
      <c r="A2031" t="s">
        <v>764</v>
      </c>
      <c r="B2031" t="s">
        <v>37</v>
      </c>
      <c r="C2031" t="s">
        <v>79</v>
      </c>
      <c r="D2031" t="s">
        <v>79</v>
      </c>
      <c r="E2031" t="s">
        <v>614</v>
      </c>
      <c r="F2031" t="s">
        <v>26</v>
      </c>
      <c r="G2031" t="s">
        <v>26</v>
      </c>
      <c r="H2031">
        <v>0.1623288</v>
      </c>
      <c r="I2031">
        <v>0.23358770000000001</v>
      </c>
      <c r="J2031">
        <v>0.30671860000000001</v>
      </c>
      <c r="K2031">
        <v>0.25061369999999999</v>
      </c>
      <c r="L2031">
        <v>0.19030440000000001</v>
      </c>
      <c r="M2031">
        <v>0.18639620000000001</v>
      </c>
      <c r="N2031">
        <v>0.2048403</v>
      </c>
    </row>
    <row r="2032" spans="1:14" hidden="1" x14ac:dyDescent="0.35">
      <c r="A2032" t="s">
        <v>764</v>
      </c>
      <c r="B2032" t="s">
        <v>37</v>
      </c>
      <c r="C2032" t="s">
        <v>79</v>
      </c>
      <c r="D2032" t="s">
        <v>79</v>
      </c>
      <c r="E2032" t="s">
        <v>615</v>
      </c>
      <c r="F2032" t="s">
        <v>581</v>
      </c>
      <c r="G2032" t="s">
        <v>396</v>
      </c>
      <c r="H2032">
        <v>0.12883559999999999</v>
      </c>
      <c r="I2032">
        <v>0.31170140000000002</v>
      </c>
      <c r="J2032">
        <v>0.33594299999999999</v>
      </c>
      <c r="K2032">
        <v>0.41320220000000002</v>
      </c>
      <c r="L2032">
        <v>0.58664660000000002</v>
      </c>
      <c r="M2032">
        <v>0.63059920000000003</v>
      </c>
      <c r="N2032">
        <v>0.67885700000000004</v>
      </c>
    </row>
    <row r="2033" spans="1:14" hidden="1" x14ac:dyDescent="0.35">
      <c r="A2033" t="s">
        <v>764</v>
      </c>
      <c r="B2033" t="s">
        <v>37</v>
      </c>
      <c r="C2033" t="s">
        <v>79</v>
      </c>
      <c r="D2033" t="s">
        <v>79</v>
      </c>
      <c r="E2033" t="s">
        <v>615</v>
      </c>
      <c r="F2033" t="s">
        <v>581</v>
      </c>
      <c r="G2033" t="s">
        <v>25</v>
      </c>
      <c r="H2033">
        <v>0.10952050000000001</v>
      </c>
      <c r="I2033">
        <v>0.12576960000000001</v>
      </c>
      <c r="J2033">
        <v>0.13555020000000001</v>
      </c>
      <c r="K2033">
        <v>0.16673070000000001</v>
      </c>
      <c r="L2033">
        <v>0.2367137</v>
      </c>
      <c r="M2033">
        <v>0.2544537</v>
      </c>
      <c r="N2033">
        <v>0.27392630000000001</v>
      </c>
    </row>
    <row r="2034" spans="1:14" hidden="1" x14ac:dyDescent="0.35">
      <c r="A2034" t="s">
        <v>764</v>
      </c>
      <c r="B2034" t="s">
        <v>37</v>
      </c>
      <c r="C2034" t="s">
        <v>79</v>
      </c>
      <c r="D2034" t="s">
        <v>79</v>
      </c>
      <c r="E2034" t="s">
        <v>615</v>
      </c>
      <c r="F2034" t="s">
        <v>26</v>
      </c>
      <c r="G2034" t="s">
        <v>26</v>
      </c>
      <c r="H2034">
        <v>0.12883559999999999</v>
      </c>
      <c r="I2034">
        <v>0.10936849999999999</v>
      </c>
      <c r="J2034">
        <v>0.1178737</v>
      </c>
      <c r="K2034">
        <v>0.144983</v>
      </c>
      <c r="L2034">
        <v>0.20583889999999999</v>
      </c>
      <c r="M2034">
        <v>0.22126380000000001</v>
      </c>
      <c r="N2034">
        <v>0.2381984</v>
      </c>
    </row>
    <row r="2035" spans="1:14" hidden="1" x14ac:dyDescent="0.35">
      <c r="A2035" t="s">
        <v>757</v>
      </c>
      <c r="B2035" t="s">
        <v>168</v>
      </c>
      <c r="C2035" t="s">
        <v>87</v>
      </c>
      <c r="D2035" t="s">
        <v>87</v>
      </c>
      <c r="E2035" t="s">
        <v>584</v>
      </c>
      <c r="F2035" t="s">
        <v>581</v>
      </c>
      <c r="G2035" t="s">
        <v>396</v>
      </c>
      <c r="H2035">
        <v>28.104109999999999</v>
      </c>
      <c r="I2035">
        <v>23.382210000000001</v>
      </c>
      <c r="J2035">
        <v>22.57255</v>
      </c>
      <c r="K2035">
        <v>24.59395</v>
      </c>
      <c r="L2035">
        <v>21.652529999999999</v>
      </c>
      <c r="M2035">
        <v>17.25816</v>
      </c>
      <c r="N2035">
        <v>14.474729999999999</v>
      </c>
    </row>
    <row r="2036" spans="1:14" hidden="1" x14ac:dyDescent="0.35">
      <c r="A2036" t="s">
        <v>757</v>
      </c>
      <c r="B2036" t="s">
        <v>168</v>
      </c>
      <c r="C2036" t="s">
        <v>87</v>
      </c>
      <c r="D2036" t="s">
        <v>87</v>
      </c>
      <c r="E2036" t="s">
        <v>584</v>
      </c>
      <c r="F2036" t="s">
        <v>581</v>
      </c>
      <c r="G2036" t="s">
        <v>24</v>
      </c>
      <c r="H2036">
        <v>2.9691749999999999</v>
      </c>
      <c r="I2036">
        <v>0</v>
      </c>
      <c r="J2036">
        <v>0</v>
      </c>
      <c r="K2036">
        <v>1.0777859999999999</v>
      </c>
      <c r="L2036">
        <v>5.1520000000000001</v>
      </c>
      <c r="M2036">
        <v>4.7890410000000001</v>
      </c>
      <c r="N2036">
        <v>4.4160000000000004</v>
      </c>
    </row>
    <row r="2037" spans="1:14" hidden="1" x14ac:dyDescent="0.35">
      <c r="A2037" t="s">
        <v>757</v>
      </c>
      <c r="B2037" t="s">
        <v>168</v>
      </c>
      <c r="C2037" t="s">
        <v>87</v>
      </c>
      <c r="D2037" t="s">
        <v>87</v>
      </c>
      <c r="E2037" t="s">
        <v>584</v>
      </c>
      <c r="F2037" t="s">
        <v>26</v>
      </c>
      <c r="G2037" t="s">
        <v>26</v>
      </c>
      <c r="H2037">
        <v>13.76763</v>
      </c>
      <c r="I2037">
        <v>4.5445979999999997</v>
      </c>
      <c r="J2037">
        <v>3.293571</v>
      </c>
      <c r="K2037">
        <v>7.9937100000000001</v>
      </c>
      <c r="L2037">
        <v>16.602830000000001</v>
      </c>
      <c r="M2037">
        <v>14.793850000000001</v>
      </c>
      <c r="N2037">
        <v>17.317720000000001</v>
      </c>
    </row>
    <row r="2038" spans="1:14" hidden="1" x14ac:dyDescent="0.35">
      <c r="A2038" t="s">
        <v>757</v>
      </c>
      <c r="B2038" t="s">
        <v>168</v>
      </c>
      <c r="C2038" t="s">
        <v>87</v>
      </c>
      <c r="D2038" t="s">
        <v>169</v>
      </c>
      <c r="E2038" t="s">
        <v>584</v>
      </c>
      <c r="F2038" t="s">
        <v>581</v>
      </c>
      <c r="G2038" t="s">
        <v>396</v>
      </c>
      <c r="H2038">
        <v>0.11531180000000001</v>
      </c>
      <c r="I2038">
        <v>0.79559290000000005</v>
      </c>
      <c r="J2038">
        <v>0.1253957</v>
      </c>
      <c r="K2038">
        <v>7.5473969999999995E-4</v>
      </c>
      <c r="L2038">
        <v>0</v>
      </c>
    </row>
    <row r="2039" spans="1:14" hidden="1" x14ac:dyDescent="0.35">
      <c r="A2039" t="s">
        <v>757</v>
      </c>
      <c r="B2039" t="s">
        <v>168</v>
      </c>
      <c r="C2039" t="s">
        <v>87</v>
      </c>
      <c r="D2039" t="s">
        <v>169</v>
      </c>
      <c r="E2039" t="s">
        <v>584</v>
      </c>
      <c r="F2039" t="s">
        <v>581</v>
      </c>
      <c r="G2039" t="s">
        <v>24</v>
      </c>
      <c r="H2039">
        <v>5.3233969999999999E-2</v>
      </c>
      <c r="I2039">
        <v>0</v>
      </c>
      <c r="J2039">
        <v>0</v>
      </c>
      <c r="K2039">
        <v>1.008219E-2</v>
      </c>
      <c r="L2039">
        <v>9.0739730000000005E-2</v>
      </c>
      <c r="M2039">
        <v>4.5769120000000003E-2</v>
      </c>
      <c r="N2039">
        <v>9.7375829999999993E-3</v>
      </c>
    </row>
    <row r="2040" spans="1:14" hidden="1" x14ac:dyDescent="0.35">
      <c r="A2040" t="s">
        <v>757</v>
      </c>
      <c r="B2040" t="s">
        <v>168</v>
      </c>
      <c r="C2040" t="s">
        <v>87</v>
      </c>
      <c r="D2040" t="s">
        <v>169</v>
      </c>
      <c r="E2040" t="s">
        <v>584</v>
      </c>
      <c r="F2040" t="s">
        <v>26</v>
      </c>
      <c r="G2040" t="s">
        <v>26</v>
      </c>
      <c r="H2040">
        <v>1.0631870000000001</v>
      </c>
      <c r="I2040">
        <v>0.49021360000000003</v>
      </c>
      <c r="J2040">
        <v>7.7264340000000001E-2</v>
      </c>
      <c r="K2040">
        <v>0.41544819999999999</v>
      </c>
      <c r="L2040">
        <v>1.512329</v>
      </c>
      <c r="M2040">
        <v>0.76281049999999995</v>
      </c>
      <c r="N2040">
        <v>0.16229260000000001</v>
      </c>
    </row>
    <row r="2041" spans="1:14" hidden="1" x14ac:dyDescent="0.35">
      <c r="A2041" t="s">
        <v>757</v>
      </c>
      <c r="B2041" t="s">
        <v>168</v>
      </c>
      <c r="C2041" t="s">
        <v>262</v>
      </c>
      <c r="D2041" t="s">
        <v>758</v>
      </c>
      <c r="E2041" t="s">
        <v>584</v>
      </c>
      <c r="F2041" t="s">
        <v>581</v>
      </c>
      <c r="G2041" t="s">
        <v>396</v>
      </c>
      <c r="N2041">
        <v>0</v>
      </c>
    </row>
    <row r="2042" spans="1:14" hidden="1" x14ac:dyDescent="0.35">
      <c r="A2042" t="s">
        <v>760</v>
      </c>
      <c r="B2042" t="s">
        <v>34</v>
      </c>
      <c r="C2042" t="s">
        <v>33</v>
      </c>
      <c r="D2042" t="s">
        <v>33</v>
      </c>
      <c r="E2042" t="s">
        <v>605</v>
      </c>
      <c r="F2042" t="s">
        <v>581</v>
      </c>
      <c r="G2042" t="s">
        <v>25</v>
      </c>
      <c r="H2042">
        <v>1.8685510000000001</v>
      </c>
      <c r="I2042">
        <v>0.78647089999999997</v>
      </c>
      <c r="J2042">
        <v>0.83023480000000005</v>
      </c>
      <c r="K2042">
        <v>0.70400390000000002</v>
      </c>
      <c r="L2042">
        <v>0.64477870000000004</v>
      </c>
      <c r="M2042">
        <v>0.57361609999999996</v>
      </c>
      <c r="N2042">
        <v>0.51580870000000001</v>
      </c>
    </row>
    <row r="2043" spans="1:14" hidden="1" x14ac:dyDescent="0.35">
      <c r="A2043" t="s">
        <v>760</v>
      </c>
      <c r="B2043" t="s">
        <v>34</v>
      </c>
      <c r="C2043" t="s">
        <v>33</v>
      </c>
      <c r="D2043" t="s">
        <v>33</v>
      </c>
      <c r="E2043" t="s">
        <v>605</v>
      </c>
      <c r="F2043" t="s">
        <v>26</v>
      </c>
      <c r="G2043" t="s">
        <v>26</v>
      </c>
      <c r="H2043">
        <v>35.407510000000002</v>
      </c>
      <c r="I2043">
        <v>30.455770000000001</v>
      </c>
      <c r="J2043">
        <v>29.575990000000001</v>
      </c>
      <c r="K2043">
        <v>26.859960000000001</v>
      </c>
      <c r="L2043">
        <v>24.575379999999999</v>
      </c>
      <c r="M2043">
        <v>22.66685</v>
      </c>
      <c r="N2043">
        <v>21.073830000000001</v>
      </c>
    </row>
    <row r="2044" spans="1:14" hidden="1" x14ac:dyDescent="0.35">
      <c r="A2044" t="s">
        <v>760</v>
      </c>
      <c r="B2044" t="s">
        <v>34</v>
      </c>
      <c r="C2044" t="s">
        <v>33</v>
      </c>
      <c r="D2044" t="s">
        <v>33</v>
      </c>
      <c r="E2044" t="s">
        <v>604</v>
      </c>
      <c r="F2044" t="s">
        <v>581</v>
      </c>
      <c r="G2044" t="s">
        <v>396</v>
      </c>
      <c r="H2044">
        <v>3.7082190000000001E-2</v>
      </c>
      <c r="I2044">
        <v>1.899546</v>
      </c>
      <c r="J2044">
        <v>2.0922529999999999</v>
      </c>
      <c r="K2044">
        <v>1.8315330000000001</v>
      </c>
      <c r="L2044">
        <v>1.650442</v>
      </c>
      <c r="M2044">
        <v>1.5499769999999999</v>
      </c>
      <c r="N2044">
        <v>1.604903</v>
      </c>
    </row>
    <row r="2045" spans="1:14" hidden="1" x14ac:dyDescent="0.35">
      <c r="A2045" t="s">
        <v>760</v>
      </c>
      <c r="B2045" t="s">
        <v>34</v>
      </c>
      <c r="C2045" t="s">
        <v>33</v>
      </c>
      <c r="D2045" t="s">
        <v>33</v>
      </c>
      <c r="E2045" t="s">
        <v>604</v>
      </c>
      <c r="F2045" t="s">
        <v>581</v>
      </c>
      <c r="G2045" t="s">
        <v>25</v>
      </c>
      <c r="H2045">
        <v>0.55558079999999999</v>
      </c>
      <c r="I2045">
        <v>1.7096260000000001</v>
      </c>
      <c r="J2045">
        <v>1.883065</v>
      </c>
      <c r="K2045">
        <v>1.648414</v>
      </c>
      <c r="L2045">
        <v>1.4854259999999999</v>
      </c>
      <c r="M2045">
        <v>1.395008</v>
      </c>
      <c r="N2045">
        <v>1.4444399999999999</v>
      </c>
    </row>
    <row r="2046" spans="1:14" hidden="1" x14ac:dyDescent="0.35">
      <c r="A2046" t="s">
        <v>760</v>
      </c>
      <c r="B2046" t="s">
        <v>34</v>
      </c>
      <c r="C2046" t="s">
        <v>33</v>
      </c>
      <c r="D2046" t="s">
        <v>33</v>
      </c>
      <c r="E2046" t="s">
        <v>604</v>
      </c>
      <c r="F2046" t="s">
        <v>26</v>
      </c>
      <c r="G2046" t="s">
        <v>26</v>
      </c>
      <c r="H2046">
        <v>3.5844</v>
      </c>
      <c r="I2046">
        <v>5.9838079999999998</v>
      </c>
      <c r="J2046">
        <v>6.5908569999999997</v>
      </c>
      <c r="K2046">
        <v>5.7695629999999998</v>
      </c>
      <c r="L2046">
        <v>5.1991019999999999</v>
      </c>
      <c r="M2046">
        <v>4.8826210000000003</v>
      </c>
      <c r="N2046">
        <v>5.0556549999999998</v>
      </c>
    </row>
    <row r="2047" spans="1:14" hidden="1" x14ac:dyDescent="0.35">
      <c r="A2047" t="s">
        <v>759</v>
      </c>
      <c r="B2047" t="s">
        <v>37</v>
      </c>
      <c r="C2047" t="s">
        <v>61</v>
      </c>
      <c r="D2047" t="s">
        <v>62</v>
      </c>
      <c r="E2047" t="s">
        <v>584</v>
      </c>
      <c r="F2047" t="s">
        <v>581</v>
      </c>
      <c r="G2047" t="s">
        <v>396</v>
      </c>
      <c r="H2047">
        <v>29.302980000000002</v>
      </c>
      <c r="I2047">
        <v>29.017859999999999</v>
      </c>
      <c r="J2047">
        <v>27.765820000000001</v>
      </c>
      <c r="K2047">
        <v>21.721319999999999</v>
      </c>
      <c r="L2047">
        <v>17.27957</v>
      </c>
      <c r="M2047">
        <v>11.15194</v>
      </c>
      <c r="N2047">
        <v>8.8866060000000004</v>
      </c>
    </row>
    <row r="2048" spans="1:14" hidden="1" x14ac:dyDescent="0.35">
      <c r="A2048" t="s">
        <v>759</v>
      </c>
      <c r="B2048" t="s">
        <v>37</v>
      </c>
      <c r="C2048" t="s">
        <v>61</v>
      </c>
      <c r="D2048" t="s">
        <v>62</v>
      </c>
      <c r="E2048" t="s">
        <v>584</v>
      </c>
      <c r="F2048" t="s">
        <v>581</v>
      </c>
      <c r="G2048" t="s">
        <v>24</v>
      </c>
      <c r="H2048">
        <v>0.20901330000000001</v>
      </c>
      <c r="I2048">
        <v>0.1580173</v>
      </c>
      <c r="J2048">
        <v>0.1251825</v>
      </c>
      <c r="K2048">
        <v>6.4629619999999999E-2</v>
      </c>
      <c r="L2048">
        <v>4.6333859999999998E-2</v>
      </c>
      <c r="M2048">
        <v>7.0543840000000003E-3</v>
      </c>
      <c r="N2048">
        <v>2.4243839999999999E-3</v>
      </c>
    </row>
    <row r="2049" spans="1:14" hidden="1" x14ac:dyDescent="0.35">
      <c r="A2049" t="s">
        <v>759</v>
      </c>
      <c r="B2049" t="s">
        <v>37</v>
      </c>
      <c r="C2049" t="s">
        <v>61</v>
      </c>
      <c r="D2049" t="s">
        <v>62</v>
      </c>
      <c r="E2049" t="s">
        <v>584</v>
      </c>
      <c r="F2049" t="s">
        <v>581</v>
      </c>
      <c r="G2049" t="s">
        <v>25</v>
      </c>
      <c r="H2049">
        <v>0.72353460000000003</v>
      </c>
      <c r="I2049">
        <v>0.54650900000000002</v>
      </c>
      <c r="J2049">
        <v>0.47341450000000002</v>
      </c>
      <c r="K2049">
        <v>0.25351639999999998</v>
      </c>
      <c r="L2049">
        <v>0.19325239999999999</v>
      </c>
      <c r="M2049">
        <v>3.5916320000000002E-2</v>
      </c>
      <c r="N2049">
        <v>2.470027E-2</v>
      </c>
    </row>
    <row r="2050" spans="1:14" hidden="1" x14ac:dyDescent="0.35">
      <c r="A2050" t="s">
        <v>759</v>
      </c>
      <c r="B2050" t="s">
        <v>37</v>
      </c>
      <c r="C2050" t="s">
        <v>61</v>
      </c>
      <c r="D2050" t="s">
        <v>62</v>
      </c>
      <c r="E2050" t="s">
        <v>584</v>
      </c>
      <c r="F2050" t="s">
        <v>26</v>
      </c>
      <c r="G2050" t="s">
        <v>26</v>
      </c>
      <c r="H2050">
        <v>8.1852850000000004</v>
      </c>
      <c r="I2050">
        <v>7.7603989999999996</v>
      </c>
      <c r="J2050">
        <v>6.6405729999999998</v>
      </c>
      <c r="K2050">
        <v>4.9304629999999996</v>
      </c>
      <c r="L2050">
        <v>4.0692320000000004</v>
      </c>
      <c r="M2050">
        <v>1.8605430000000001</v>
      </c>
      <c r="N2050">
        <v>1.4032119999999999</v>
      </c>
    </row>
    <row r="2051" spans="1:14" hidden="1" x14ac:dyDescent="0.35">
      <c r="A2051" t="s">
        <v>759</v>
      </c>
      <c r="B2051" t="s">
        <v>37</v>
      </c>
      <c r="C2051" t="s">
        <v>109</v>
      </c>
      <c r="D2051" t="s">
        <v>109</v>
      </c>
      <c r="E2051" t="s">
        <v>584</v>
      </c>
      <c r="F2051" t="s">
        <v>581</v>
      </c>
      <c r="G2051" t="s">
        <v>396</v>
      </c>
      <c r="H2051">
        <v>6.5980270000000001</v>
      </c>
      <c r="I2051">
        <v>5.6953040000000001</v>
      </c>
      <c r="J2051">
        <v>4.2450890000000001</v>
      </c>
      <c r="K2051">
        <v>3.8315549999999998</v>
      </c>
      <c r="L2051">
        <v>3.4501230000000001</v>
      </c>
      <c r="M2051">
        <v>1.4301969999999999</v>
      </c>
      <c r="N2051">
        <v>0.93540440000000002</v>
      </c>
    </row>
    <row r="2052" spans="1:14" hidden="1" x14ac:dyDescent="0.35">
      <c r="A2052" t="s">
        <v>759</v>
      </c>
      <c r="B2052" t="s">
        <v>37</v>
      </c>
      <c r="C2052" t="s">
        <v>109</v>
      </c>
      <c r="D2052" t="s">
        <v>109</v>
      </c>
      <c r="E2052" t="s">
        <v>584</v>
      </c>
      <c r="F2052" t="s">
        <v>581</v>
      </c>
      <c r="G2052" t="s">
        <v>24</v>
      </c>
      <c r="H2052">
        <v>0.98526910000000001</v>
      </c>
      <c r="I2052">
        <v>0.85735740000000005</v>
      </c>
      <c r="J2052">
        <v>0.68973850000000003</v>
      </c>
      <c r="K2052">
        <v>0.57025919999999997</v>
      </c>
      <c r="L2052">
        <v>0.47044049999999998</v>
      </c>
      <c r="M2052">
        <v>0.27930949999999999</v>
      </c>
      <c r="N2052">
        <v>0.17965110000000001</v>
      </c>
    </row>
    <row r="2053" spans="1:14" hidden="1" x14ac:dyDescent="0.35">
      <c r="A2053" t="s">
        <v>759</v>
      </c>
      <c r="B2053" t="s">
        <v>37</v>
      </c>
      <c r="C2053" t="s">
        <v>109</v>
      </c>
      <c r="D2053" t="s">
        <v>109</v>
      </c>
      <c r="E2053" t="s">
        <v>584</v>
      </c>
      <c r="F2053" t="s">
        <v>581</v>
      </c>
      <c r="G2053" t="s">
        <v>25</v>
      </c>
      <c r="H2053">
        <v>0.58803530000000004</v>
      </c>
      <c r="I2053">
        <v>0.4863768</v>
      </c>
      <c r="J2053">
        <v>0.36937249999999999</v>
      </c>
      <c r="K2053">
        <v>0.31643779999999999</v>
      </c>
      <c r="L2053">
        <v>0.228932</v>
      </c>
      <c r="M2053">
        <v>0.1663377</v>
      </c>
      <c r="N2053">
        <v>0.1223134</v>
      </c>
    </row>
    <row r="2054" spans="1:14" hidden="1" x14ac:dyDescent="0.35">
      <c r="A2054" t="s">
        <v>759</v>
      </c>
      <c r="B2054" t="s">
        <v>37</v>
      </c>
      <c r="C2054" t="s">
        <v>109</v>
      </c>
      <c r="D2054" t="s">
        <v>109</v>
      </c>
      <c r="E2054" t="s">
        <v>584</v>
      </c>
      <c r="F2054" t="s">
        <v>26</v>
      </c>
      <c r="G2054" t="s">
        <v>26</v>
      </c>
      <c r="H2054">
        <v>4.0404340000000003</v>
      </c>
      <c r="I2054">
        <v>3.4243250000000001</v>
      </c>
      <c r="J2054">
        <v>2.716825</v>
      </c>
      <c r="K2054">
        <v>2.3277019999999999</v>
      </c>
      <c r="L2054">
        <v>1.849577</v>
      </c>
      <c r="M2054">
        <v>1.400898</v>
      </c>
      <c r="N2054">
        <v>0.92032590000000003</v>
      </c>
    </row>
    <row r="2055" spans="1:14" hidden="1" x14ac:dyDescent="0.35">
      <c r="A2055" t="s">
        <v>759</v>
      </c>
      <c r="B2055" t="s">
        <v>37</v>
      </c>
      <c r="C2055" t="s">
        <v>266</v>
      </c>
      <c r="D2055" t="s">
        <v>266</v>
      </c>
      <c r="E2055" t="s">
        <v>584</v>
      </c>
      <c r="F2055" t="s">
        <v>581</v>
      </c>
      <c r="G2055" t="s">
        <v>396</v>
      </c>
      <c r="H2055">
        <v>0.85892060000000003</v>
      </c>
      <c r="I2055">
        <v>0.57575350000000003</v>
      </c>
      <c r="J2055">
        <v>0.3859397</v>
      </c>
      <c r="K2055">
        <v>0.25870140000000003</v>
      </c>
      <c r="L2055">
        <v>0.1734137</v>
      </c>
      <c r="M2055">
        <v>0.1162411</v>
      </c>
      <c r="N2055">
        <v>7.7920539999999996E-2</v>
      </c>
    </row>
    <row r="2056" spans="1:14" hidden="1" x14ac:dyDescent="0.35">
      <c r="A2056" t="s">
        <v>759</v>
      </c>
      <c r="B2056" t="s">
        <v>37</v>
      </c>
      <c r="C2056" t="s">
        <v>266</v>
      </c>
      <c r="D2056" t="s">
        <v>266</v>
      </c>
      <c r="E2056" t="s">
        <v>584</v>
      </c>
      <c r="F2056" t="s">
        <v>26</v>
      </c>
      <c r="G2056" t="s">
        <v>26</v>
      </c>
      <c r="H2056">
        <v>1.1750689999999999E-2</v>
      </c>
      <c r="I2056">
        <v>9.6219170000000007E-3</v>
      </c>
      <c r="J2056">
        <v>7.8794520000000003E-3</v>
      </c>
      <c r="K2056">
        <v>6.4712329999999998E-3</v>
      </c>
      <c r="L2056">
        <v>5.2986300000000004E-3</v>
      </c>
      <c r="M2056">
        <v>4.3397260000000003E-3</v>
      </c>
      <c r="N2056">
        <v>3.5534249999999998E-3</v>
      </c>
    </row>
    <row r="2057" spans="1:14" hidden="1" x14ac:dyDescent="0.35">
      <c r="A2057" t="s">
        <v>759</v>
      </c>
      <c r="B2057" t="s">
        <v>37</v>
      </c>
      <c r="C2057" t="s">
        <v>79</v>
      </c>
      <c r="D2057" t="s">
        <v>79</v>
      </c>
      <c r="E2057" t="s">
        <v>600</v>
      </c>
      <c r="F2057" t="s">
        <v>581</v>
      </c>
      <c r="G2057" t="s">
        <v>396</v>
      </c>
      <c r="H2057">
        <v>8.199178E-2</v>
      </c>
      <c r="I2057">
        <v>7.7666310000000002E-2</v>
      </c>
      <c r="J2057">
        <v>8.0301919999999999E-2</v>
      </c>
      <c r="K2057">
        <v>7.5056170000000005E-2</v>
      </c>
      <c r="L2057">
        <v>7.2625750000000003E-2</v>
      </c>
      <c r="M2057">
        <v>6.0576169999999999E-2</v>
      </c>
      <c r="N2057">
        <v>5.005863E-2</v>
      </c>
    </row>
    <row r="2058" spans="1:14" hidden="1" x14ac:dyDescent="0.35">
      <c r="A2058" t="s">
        <v>759</v>
      </c>
      <c r="B2058" t="s">
        <v>37</v>
      </c>
      <c r="C2058" t="s">
        <v>79</v>
      </c>
      <c r="D2058" t="s">
        <v>79</v>
      </c>
      <c r="E2058" t="s">
        <v>600</v>
      </c>
      <c r="F2058" t="s">
        <v>581</v>
      </c>
      <c r="G2058" t="s">
        <v>24</v>
      </c>
      <c r="H2058">
        <v>3.1904109999999999E-2</v>
      </c>
      <c r="I2058">
        <v>2.839918E-2</v>
      </c>
      <c r="J2058">
        <v>2.919973E-2</v>
      </c>
      <c r="K2058">
        <v>2.7291780000000002E-2</v>
      </c>
      <c r="L2058">
        <v>2.6407949999999999E-2</v>
      </c>
      <c r="M2058">
        <v>2.202575E-2</v>
      </c>
      <c r="N2058">
        <v>1.820219E-2</v>
      </c>
    </row>
    <row r="2059" spans="1:14" hidden="1" x14ac:dyDescent="0.35">
      <c r="A2059" t="s">
        <v>759</v>
      </c>
      <c r="B2059" t="s">
        <v>37</v>
      </c>
      <c r="C2059" t="s">
        <v>79</v>
      </c>
      <c r="D2059" t="s">
        <v>79</v>
      </c>
      <c r="E2059" t="s">
        <v>600</v>
      </c>
      <c r="F2059" t="s">
        <v>581</v>
      </c>
      <c r="G2059" t="s">
        <v>25</v>
      </c>
      <c r="H2059">
        <v>4.9693149999999998E-2</v>
      </c>
      <c r="I2059">
        <v>4.7069590000000001E-2</v>
      </c>
      <c r="J2059">
        <v>4.8670680000000001E-2</v>
      </c>
      <c r="K2059">
        <v>4.5485749999999998E-2</v>
      </c>
      <c r="L2059">
        <v>4.4018080000000001E-2</v>
      </c>
      <c r="M2059">
        <v>3.6711229999999997E-2</v>
      </c>
      <c r="N2059">
        <v>3.034603E-2</v>
      </c>
    </row>
    <row r="2060" spans="1:14" hidden="1" x14ac:dyDescent="0.35">
      <c r="A2060" t="s">
        <v>759</v>
      </c>
      <c r="B2060" t="s">
        <v>37</v>
      </c>
      <c r="C2060" t="s">
        <v>79</v>
      </c>
      <c r="D2060" t="s">
        <v>79</v>
      </c>
      <c r="E2060" t="s">
        <v>600</v>
      </c>
      <c r="F2060" t="s">
        <v>26</v>
      </c>
      <c r="G2060" t="s">
        <v>26</v>
      </c>
      <c r="H2060">
        <v>8.6961650000000001E-2</v>
      </c>
      <c r="I2060">
        <v>8.2374509999999998E-2</v>
      </c>
      <c r="J2060">
        <v>8.5165749999999998E-2</v>
      </c>
      <c r="K2060">
        <v>7.9603289999999993E-2</v>
      </c>
      <c r="L2060">
        <v>7.7026020000000001E-2</v>
      </c>
      <c r="M2060">
        <v>6.4247659999999998E-2</v>
      </c>
      <c r="N2060">
        <v>5.3091510000000001E-2</v>
      </c>
    </row>
    <row r="2061" spans="1:14" hidden="1" x14ac:dyDescent="0.35">
      <c r="A2061" t="s">
        <v>759</v>
      </c>
      <c r="B2061" t="s">
        <v>37</v>
      </c>
      <c r="C2061" t="s">
        <v>248</v>
      </c>
      <c r="D2061" t="s">
        <v>248</v>
      </c>
      <c r="E2061" t="s">
        <v>635</v>
      </c>
      <c r="F2061" t="s">
        <v>581</v>
      </c>
      <c r="G2061" t="s">
        <v>396</v>
      </c>
      <c r="H2061">
        <v>7.9298629999999995E-2</v>
      </c>
      <c r="I2061">
        <v>0.1357389</v>
      </c>
      <c r="J2061">
        <v>0.19559699999999999</v>
      </c>
      <c r="K2061">
        <v>0.2454559</v>
      </c>
      <c r="L2061">
        <v>0.24445700000000001</v>
      </c>
      <c r="M2061">
        <v>0.19298219999999999</v>
      </c>
      <c r="N2061">
        <v>0.14806050000000001</v>
      </c>
    </row>
    <row r="2062" spans="1:14" hidden="1" x14ac:dyDescent="0.35">
      <c r="A2062" t="s">
        <v>759</v>
      </c>
      <c r="B2062" t="s">
        <v>37</v>
      </c>
      <c r="C2062" t="s">
        <v>248</v>
      </c>
      <c r="D2062" t="s">
        <v>248</v>
      </c>
      <c r="E2062" t="s">
        <v>635</v>
      </c>
      <c r="F2062" t="s">
        <v>581</v>
      </c>
      <c r="G2062" t="s">
        <v>24</v>
      </c>
      <c r="H2062">
        <v>3.10685E-3</v>
      </c>
      <c r="I2062">
        <v>5.7342469999999996E-3</v>
      </c>
      <c r="J2062">
        <v>8.2353429999999991E-3</v>
      </c>
      <c r="K2062">
        <v>1.033562E-2</v>
      </c>
      <c r="L2062">
        <v>1.029452E-2</v>
      </c>
      <c r="M2062">
        <v>8.1273979999999992E-3</v>
      </c>
      <c r="N2062">
        <v>6.2347940000000001E-3</v>
      </c>
    </row>
    <row r="2063" spans="1:14" hidden="1" x14ac:dyDescent="0.35">
      <c r="A2063" t="s">
        <v>759</v>
      </c>
      <c r="B2063" t="s">
        <v>37</v>
      </c>
      <c r="C2063" t="s">
        <v>248</v>
      </c>
      <c r="D2063" t="s">
        <v>248</v>
      </c>
      <c r="E2063" t="s">
        <v>635</v>
      </c>
      <c r="F2063" t="s">
        <v>26</v>
      </c>
      <c r="G2063" t="s">
        <v>26</v>
      </c>
      <c r="H2063">
        <v>8.8767130000000003E-4</v>
      </c>
      <c r="I2063">
        <v>1.5221919999999999E-3</v>
      </c>
      <c r="J2063">
        <v>2.1868489999999998E-3</v>
      </c>
      <c r="K2063">
        <v>2.7449319999999998E-3</v>
      </c>
      <c r="L2063">
        <v>2.7353429999999999E-3</v>
      </c>
      <c r="M2063">
        <v>2.158082E-3</v>
      </c>
      <c r="N2063">
        <v>1.6558899999999999E-3</v>
      </c>
    </row>
    <row r="2064" spans="1:14" hidden="1" x14ac:dyDescent="0.35">
      <c r="A2064" t="s">
        <v>759</v>
      </c>
      <c r="B2064" t="s">
        <v>37</v>
      </c>
      <c r="C2064" t="s">
        <v>46</v>
      </c>
      <c r="D2064" t="s">
        <v>46</v>
      </c>
      <c r="E2064" t="s">
        <v>584</v>
      </c>
      <c r="F2064" t="s">
        <v>581</v>
      </c>
      <c r="G2064" t="s">
        <v>396</v>
      </c>
      <c r="H2064">
        <v>3.7358910000000002E-2</v>
      </c>
      <c r="I2064">
        <v>3.5657540000000001E-2</v>
      </c>
      <c r="J2064">
        <v>3.4030680000000001E-2</v>
      </c>
      <c r="K2064">
        <v>3.2444109999999998E-2</v>
      </c>
      <c r="L2064">
        <v>3.0631229999999999E-2</v>
      </c>
      <c r="M2064">
        <v>2.8264379999999999E-2</v>
      </c>
      <c r="N2064">
        <v>2.6177809999999999E-2</v>
      </c>
    </row>
    <row r="2065" spans="1:14" hidden="1" x14ac:dyDescent="0.35">
      <c r="A2065" t="s">
        <v>759</v>
      </c>
      <c r="B2065" t="s">
        <v>37</v>
      </c>
      <c r="C2065" t="s">
        <v>46</v>
      </c>
      <c r="D2065" t="s">
        <v>46</v>
      </c>
      <c r="E2065" t="s">
        <v>584</v>
      </c>
      <c r="F2065" t="s">
        <v>581</v>
      </c>
      <c r="G2065" t="s">
        <v>24</v>
      </c>
      <c r="H2065">
        <v>9.2328769999999998E-4</v>
      </c>
      <c r="I2065">
        <v>0</v>
      </c>
    </row>
    <row r="2066" spans="1:14" hidden="1" x14ac:dyDescent="0.35">
      <c r="A2066" t="s">
        <v>759</v>
      </c>
      <c r="B2066" t="s">
        <v>37</v>
      </c>
      <c r="C2066" t="s">
        <v>46</v>
      </c>
      <c r="D2066" t="s">
        <v>46</v>
      </c>
      <c r="E2066" t="s">
        <v>584</v>
      </c>
      <c r="F2066" t="s">
        <v>581</v>
      </c>
      <c r="G2066" t="s">
        <v>25</v>
      </c>
      <c r="H2066">
        <v>4.4383560000000001E-3</v>
      </c>
      <c r="I2066">
        <v>2.9753430000000001E-3</v>
      </c>
      <c r="J2066">
        <v>1.9953420000000002E-3</v>
      </c>
      <c r="K2066">
        <v>1.337534E-3</v>
      </c>
      <c r="L2066">
        <v>8.9753420000000003E-4</v>
      </c>
      <c r="M2066">
        <v>0</v>
      </c>
      <c r="N2066">
        <v>0</v>
      </c>
    </row>
    <row r="2067" spans="1:14" hidden="1" x14ac:dyDescent="0.35">
      <c r="A2067" t="s">
        <v>759</v>
      </c>
      <c r="B2067" t="s">
        <v>37</v>
      </c>
      <c r="C2067" t="s">
        <v>46</v>
      </c>
      <c r="D2067" t="s">
        <v>46</v>
      </c>
      <c r="E2067" t="s">
        <v>584</v>
      </c>
      <c r="F2067" t="s">
        <v>26</v>
      </c>
      <c r="G2067" t="s">
        <v>26</v>
      </c>
      <c r="H2067">
        <v>0.12882189999999999</v>
      </c>
      <c r="I2067">
        <v>0.1262712</v>
      </c>
      <c r="J2067">
        <v>0.1237668</v>
      </c>
      <c r="K2067">
        <v>0.121077</v>
      </c>
      <c r="L2067">
        <v>0.1175247</v>
      </c>
      <c r="M2067">
        <v>0.1115666</v>
      </c>
      <c r="N2067">
        <v>0.10638160000000001</v>
      </c>
    </row>
    <row r="2068" spans="1:14" hidden="1" x14ac:dyDescent="0.35">
      <c r="A2068" t="s">
        <v>759</v>
      </c>
      <c r="B2068" t="s">
        <v>150</v>
      </c>
      <c r="C2068" t="s">
        <v>148</v>
      </c>
      <c r="D2068" t="s">
        <v>149</v>
      </c>
      <c r="E2068" t="s">
        <v>584</v>
      </c>
      <c r="F2068" t="s">
        <v>581</v>
      </c>
      <c r="G2068" t="s">
        <v>396</v>
      </c>
      <c r="M2068">
        <v>0</v>
      </c>
      <c r="N2068">
        <v>10.460900000000001</v>
      </c>
    </row>
    <row r="2069" spans="1:14" hidden="1" x14ac:dyDescent="0.35">
      <c r="A2069" t="s">
        <v>759</v>
      </c>
      <c r="B2069" t="s">
        <v>150</v>
      </c>
      <c r="C2069" t="s">
        <v>148</v>
      </c>
      <c r="D2069" t="s">
        <v>149</v>
      </c>
      <c r="E2069" t="s">
        <v>584</v>
      </c>
      <c r="F2069" t="s">
        <v>26</v>
      </c>
      <c r="G2069" t="s">
        <v>26</v>
      </c>
      <c r="M2069">
        <v>0</v>
      </c>
      <c r="N2069">
        <v>0.40740189999999998</v>
      </c>
    </row>
    <row r="2070" spans="1:14" hidden="1" x14ac:dyDescent="0.35">
      <c r="A2070" t="s">
        <v>761</v>
      </c>
      <c r="B2070" t="s">
        <v>34</v>
      </c>
      <c r="C2070" t="s">
        <v>33</v>
      </c>
      <c r="D2070" t="s">
        <v>33</v>
      </c>
      <c r="E2070" t="s">
        <v>605</v>
      </c>
      <c r="F2070" t="s">
        <v>581</v>
      </c>
      <c r="G2070" t="s">
        <v>25</v>
      </c>
      <c r="H2070">
        <v>3.8983539999999999</v>
      </c>
      <c r="I2070">
        <v>3.6193490000000001</v>
      </c>
      <c r="J2070">
        <v>3.2690600000000001</v>
      </c>
      <c r="K2070">
        <v>2.9554510000000001</v>
      </c>
      <c r="L2070">
        <v>2.653607</v>
      </c>
      <c r="M2070">
        <v>2.3092540000000001</v>
      </c>
      <c r="N2070">
        <v>2.0286200000000001</v>
      </c>
    </row>
    <row r="2071" spans="1:14" hidden="1" x14ac:dyDescent="0.35">
      <c r="A2071" t="s">
        <v>761</v>
      </c>
      <c r="B2071" t="s">
        <v>34</v>
      </c>
      <c r="C2071" t="s">
        <v>33</v>
      </c>
      <c r="D2071" t="s">
        <v>33</v>
      </c>
      <c r="E2071" t="s">
        <v>605</v>
      </c>
      <c r="F2071" t="s">
        <v>26</v>
      </c>
      <c r="G2071" t="s">
        <v>26</v>
      </c>
      <c r="H2071">
        <v>41.633420000000001</v>
      </c>
      <c r="I2071">
        <v>40.180729999999997</v>
      </c>
      <c r="J2071">
        <v>36.043550000000003</v>
      </c>
      <c r="K2071">
        <v>32.465130000000002</v>
      </c>
      <c r="L2071">
        <v>29.15605</v>
      </c>
      <c r="M2071">
        <v>25.38317</v>
      </c>
      <c r="N2071">
        <v>22.30903</v>
      </c>
    </row>
    <row r="2072" spans="1:14" hidden="1" x14ac:dyDescent="0.35">
      <c r="A2072" t="s">
        <v>763</v>
      </c>
      <c r="B2072" t="s">
        <v>201</v>
      </c>
      <c r="C2072" t="s">
        <v>220</v>
      </c>
      <c r="D2072" t="s">
        <v>220</v>
      </c>
      <c r="E2072" t="s">
        <v>584</v>
      </c>
      <c r="F2072" t="s">
        <v>581</v>
      </c>
      <c r="G2072" t="s">
        <v>396</v>
      </c>
      <c r="H2072">
        <v>16.956720000000001</v>
      </c>
      <c r="I2072">
        <v>20.081969999999998</v>
      </c>
      <c r="J2072">
        <v>19.636569999999999</v>
      </c>
      <c r="K2072">
        <v>19.831900000000001</v>
      </c>
      <c r="L2072">
        <v>19.4772</v>
      </c>
      <c r="M2072">
        <v>18.946269999999998</v>
      </c>
      <c r="N2072">
        <v>17.966719999999999</v>
      </c>
    </row>
    <row r="2073" spans="1:14" hidden="1" x14ac:dyDescent="0.35">
      <c r="A2073" t="s">
        <v>763</v>
      </c>
      <c r="B2073" t="s">
        <v>201</v>
      </c>
      <c r="C2073" t="s">
        <v>220</v>
      </c>
      <c r="D2073" t="s">
        <v>220</v>
      </c>
      <c r="E2073" t="s">
        <v>606</v>
      </c>
      <c r="F2073" t="s">
        <v>581</v>
      </c>
      <c r="G2073" t="s">
        <v>396</v>
      </c>
      <c r="N2073">
        <v>0</v>
      </c>
    </row>
    <row r="2074" spans="1:14" hidden="1" x14ac:dyDescent="0.35">
      <c r="A2074" t="s">
        <v>763</v>
      </c>
      <c r="B2074" t="s">
        <v>201</v>
      </c>
      <c r="C2074" t="s">
        <v>220</v>
      </c>
      <c r="D2074" t="s">
        <v>220</v>
      </c>
      <c r="E2074" t="s">
        <v>606</v>
      </c>
      <c r="F2074" t="s">
        <v>581</v>
      </c>
      <c r="G2074" t="s">
        <v>24</v>
      </c>
      <c r="N2074">
        <v>0</v>
      </c>
    </row>
    <row r="2075" spans="1:14" hidden="1" x14ac:dyDescent="0.35">
      <c r="A2075" t="s">
        <v>763</v>
      </c>
      <c r="B2075" t="s">
        <v>201</v>
      </c>
      <c r="C2075" t="s">
        <v>220</v>
      </c>
      <c r="D2075" t="s">
        <v>220</v>
      </c>
      <c r="E2075" t="s">
        <v>606</v>
      </c>
      <c r="F2075" t="s">
        <v>581</v>
      </c>
      <c r="G2075" t="s">
        <v>25</v>
      </c>
      <c r="N2075">
        <v>0</v>
      </c>
    </row>
    <row r="2076" spans="1:14" hidden="1" x14ac:dyDescent="0.35">
      <c r="A2076" t="s">
        <v>763</v>
      </c>
      <c r="B2076" t="s">
        <v>201</v>
      </c>
      <c r="C2076" t="s">
        <v>220</v>
      </c>
      <c r="D2076" t="s">
        <v>220</v>
      </c>
      <c r="E2076" t="s">
        <v>606</v>
      </c>
      <c r="F2076" t="s">
        <v>26</v>
      </c>
      <c r="G2076" t="s">
        <v>26</v>
      </c>
      <c r="N2076">
        <v>0</v>
      </c>
    </row>
    <row r="2077" spans="1:14" hidden="1" x14ac:dyDescent="0.35">
      <c r="A2077" t="s">
        <v>763</v>
      </c>
      <c r="B2077" t="s">
        <v>201</v>
      </c>
      <c r="C2077" t="s">
        <v>216</v>
      </c>
      <c r="D2077" t="s">
        <v>216</v>
      </c>
      <c r="E2077" t="s">
        <v>584</v>
      </c>
      <c r="F2077" t="s">
        <v>581</v>
      </c>
      <c r="G2077" t="s">
        <v>396</v>
      </c>
      <c r="H2077">
        <v>14.15931</v>
      </c>
      <c r="I2077">
        <v>16.375240000000002</v>
      </c>
      <c r="J2077">
        <v>15.332420000000001</v>
      </c>
      <c r="K2077">
        <v>14.908149999999999</v>
      </c>
      <c r="L2077">
        <v>13.71557</v>
      </c>
      <c r="M2077">
        <v>12.34904</v>
      </c>
      <c r="N2077">
        <v>8.7539230000000003</v>
      </c>
    </row>
    <row r="2078" spans="1:14" hidden="1" x14ac:dyDescent="0.35">
      <c r="A2078" t="s">
        <v>763</v>
      </c>
      <c r="B2078" t="s">
        <v>201</v>
      </c>
      <c r="C2078" t="s">
        <v>216</v>
      </c>
      <c r="D2078" t="s">
        <v>216</v>
      </c>
      <c r="E2078" t="s">
        <v>584</v>
      </c>
      <c r="F2078" t="s">
        <v>581</v>
      </c>
      <c r="G2078" t="s">
        <v>24</v>
      </c>
      <c r="N2078">
        <v>0</v>
      </c>
    </row>
    <row r="2079" spans="1:14" hidden="1" x14ac:dyDescent="0.35">
      <c r="A2079" t="s">
        <v>763</v>
      </c>
      <c r="B2079" t="s">
        <v>201</v>
      </c>
      <c r="C2079" t="s">
        <v>216</v>
      </c>
      <c r="D2079" t="s">
        <v>216</v>
      </c>
      <c r="E2079" t="s">
        <v>584</v>
      </c>
      <c r="F2079" t="s">
        <v>581</v>
      </c>
      <c r="G2079" t="s">
        <v>25</v>
      </c>
      <c r="N2079">
        <v>0</v>
      </c>
    </row>
    <row r="2080" spans="1:14" hidden="1" x14ac:dyDescent="0.35">
      <c r="A2080" t="s">
        <v>763</v>
      </c>
      <c r="B2080" t="s">
        <v>201</v>
      </c>
      <c r="C2080" t="s">
        <v>216</v>
      </c>
      <c r="D2080" t="s">
        <v>216</v>
      </c>
      <c r="E2080" t="s">
        <v>584</v>
      </c>
      <c r="F2080" t="s">
        <v>26</v>
      </c>
      <c r="G2080" t="s">
        <v>26</v>
      </c>
      <c r="H2080">
        <v>0.20821919999999999</v>
      </c>
      <c r="I2080">
        <v>0.22156439999999999</v>
      </c>
      <c r="J2080">
        <v>0.17275070000000001</v>
      </c>
      <c r="K2080">
        <v>0.1626493</v>
      </c>
      <c r="L2080">
        <v>0.1245233</v>
      </c>
      <c r="M2080">
        <v>0.1123151</v>
      </c>
      <c r="N2080">
        <v>0.1011233</v>
      </c>
    </row>
    <row r="2081" spans="1:14" hidden="1" x14ac:dyDescent="0.35">
      <c r="A2081" t="s">
        <v>763</v>
      </c>
      <c r="B2081" t="s">
        <v>201</v>
      </c>
      <c r="C2081" t="s">
        <v>257</v>
      </c>
      <c r="D2081" t="s">
        <v>257</v>
      </c>
      <c r="E2081" t="s">
        <v>584</v>
      </c>
      <c r="F2081" t="s">
        <v>581</v>
      </c>
      <c r="G2081" t="s">
        <v>396</v>
      </c>
      <c r="H2081">
        <v>0.91250489999999995</v>
      </c>
      <c r="I2081">
        <v>0.73629860000000003</v>
      </c>
      <c r="J2081">
        <v>0.63560910000000004</v>
      </c>
      <c r="K2081">
        <v>0.58350519999999995</v>
      </c>
      <c r="L2081">
        <v>0.53787070000000003</v>
      </c>
      <c r="M2081">
        <v>0.49378420000000001</v>
      </c>
      <c r="N2081">
        <v>0.44134469999999998</v>
      </c>
    </row>
    <row r="2082" spans="1:14" hidden="1" x14ac:dyDescent="0.35">
      <c r="A2082" t="s">
        <v>763</v>
      </c>
      <c r="B2082" t="s">
        <v>201</v>
      </c>
      <c r="C2082" t="s">
        <v>257</v>
      </c>
      <c r="D2082" t="s">
        <v>257</v>
      </c>
      <c r="E2082" t="s">
        <v>584</v>
      </c>
      <c r="F2082" t="s">
        <v>581</v>
      </c>
      <c r="G2082" t="s">
        <v>24</v>
      </c>
      <c r="K2082">
        <v>0</v>
      </c>
      <c r="L2082">
        <v>0</v>
      </c>
      <c r="M2082">
        <v>0</v>
      </c>
      <c r="N2082">
        <v>0</v>
      </c>
    </row>
    <row r="2083" spans="1:14" hidden="1" x14ac:dyDescent="0.35">
      <c r="A2083" t="s">
        <v>763</v>
      </c>
      <c r="B2083" t="s">
        <v>201</v>
      </c>
      <c r="C2083" t="s">
        <v>257</v>
      </c>
      <c r="D2083" t="s">
        <v>257</v>
      </c>
      <c r="E2083" t="s">
        <v>584</v>
      </c>
      <c r="F2083" t="s">
        <v>581</v>
      </c>
      <c r="G2083" t="s">
        <v>25</v>
      </c>
      <c r="K2083">
        <v>0</v>
      </c>
      <c r="L2083">
        <v>0</v>
      </c>
      <c r="M2083">
        <v>0</v>
      </c>
      <c r="N2083">
        <v>0</v>
      </c>
    </row>
    <row r="2084" spans="1:14" hidden="1" x14ac:dyDescent="0.35">
      <c r="A2084" t="s">
        <v>763</v>
      </c>
      <c r="B2084" t="s">
        <v>201</v>
      </c>
      <c r="C2084" t="s">
        <v>257</v>
      </c>
      <c r="D2084" t="s">
        <v>257</v>
      </c>
      <c r="E2084" t="s">
        <v>584</v>
      </c>
      <c r="F2084" t="s">
        <v>26</v>
      </c>
      <c r="G2084" t="s">
        <v>26</v>
      </c>
      <c r="H2084">
        <v>0.20342460000000001</v>
      </c>
      <c r="I2084">
        <v>0.1050325</v>
      </c>
      <c r="J2084">
        <v>0.1050411</v>
      </c>
      <c r="K2084">
        <v>0.1050411</v>
      </c>
      <c r="L2084">
        <v>0.1050411</v>
      </c>
      <c r="M2084">
        <v>0.1051718</v>
      </c>
      <c r="N2084">
        <v>9.9929589999999999E-2</v>
      </c>
    </row>
    <row r="2085" spans="1:14" hidden="1" x14ac:dyDescent="0.35">
      <c r="A2085" t="s">
        <v>765</v>
      </c>
      <c r="B2085" t="s">
        <v>37</v>
      </c>
      <c r="C2085" t="s">
        <v>51</v>
      </c>
      <c r="D2085" t="s">
        <v>51</v>
      </c>
      <c r="E2085" t="s">
        <v>602</v>
      </c>
      <c r="F2085" t="s">
        <v>581</v>
      </c>
      <c r="G2085" t="s">
        <v>396</v>
      </c>
      <c r="H2085">
        <v>30.657489999999999</v>
      </c>
      <c r="I2085">
        <v>30.469909999999999</v>
      </c>
      <c r="J2085">
        <v>26.37912</v>
      </c>
      <c r="K2085">
        <v>22.19905</v>
      </c>
      <c r="L2085">
        <v>18.93328</v>
      </c>
      <c r="M2085">
        <v>16.440660000000001</v>
      </c>
      <c r="N2085">
        <v>14.3916</v>
      </c>
    </row>
    <row r="2086" spans="1:14" hidden="1" x14ac:dyDescent="0.35">
      <c r="A2086" t="s">
        <v>765</v>
      </c>
      <c r="B2086" t="s">
        <v>37</v>
      </c>
      <c r="C2086" t="s">
        <v>51</v>
      </c>
      <c r="D2086" t="s">
        <v>51</v>
      </c>
      <c r="E2086" t="s">
        <v>602</v>
      </c>
      <c r="F2086" t="s">
        <v>581</v>
      </c>
      <c r="G2086" t="s">
        <v>25</v>
      </c>
      <c r="H2086">
        <v>5.1860169999999997</v>
      </c>
      <c r="I2086">
        <v>5.0509810000000002</v>
      </c>
      <c r="J2086">
        <v>4.4020419999999998</v>
      </c>
      <c r="K2086">
        <v>3.711716</v>
      </c>
      <c r="L2086">
        <v>3.18119</v>
      </c>
      <c r="M2086">
        <v>2.754791</v>
      </c>
      <c r="N2086">
        <v>2.4040780000000002</v>
      </c>
    </row>
    <row r="2087" spans="1:14" hidden="1" x14ac:dyDescent="0.35">
      <c r="A2087" t="s">
        <v>765</v>
      </c>
      <c r="B2087" t="s">
        <v>37</v>
      </c>
      <c r="C2087" t="s">
        <v>51</v>
      </c>
      <c r="D2087" t="s">
        <v>51</v>
      </c>
      <c r="E2087" t="s">
        <v>602</v>
      </c>
      <c r="F2087" t="s">
        <v>26</v>
      </c>
      <c r="G2087" t="s">
        <v>26</v>
      </c>
      <c r="H2087">
        <v>5.8653719999999998</v>
      </c>
      <c r="I2087">
        <v>5.7410310000000004</v>
      </c>
      <c r="J2087">
        <v>4.9961289999999998</v>
      </c>
      <c r="K2087">
        <v>4.2116819999999997</v>
      </c>
      <c r="L2087">
        <v>3.6078299999999999</v>
      </c>
      <c r="M2087">
        <v>3.1262699999999999</v>
      </c>
      <c r="N2087">
        <v>2.7300520000000001</v>
      </c>
    </row>
    <row r="2088" spans="1:14" hidden="1" x14ac:dyDescent="0.35">
      <c r="A2088" t="s">
        <v>766</v>
      </c>
      <c r="B2088" t="s">
        <v>37</v>
      </c>
      <c r="C2088" t="s">
        <v>218</v>
      </c>
      <c r="D2088" t="s">
        <v>218</v>
      </c>
      <c r="E2088" t="s">
        <v>593</v>
      </c>
      <c r="F2088" t="s">
        <v>581</v>
      </c>
      <c r="G2088" t="s">
        <v>396</v>
      </c>
      <c r="H2088">
        <v>14.73096</v>
      </c>
      <c r="I2088">
        <v>10.96175</v>
      </c>
      <c r="J2088">
        <v>9.9839529999999996</v>
      </c>
      <c r="K2088">
        <v>10.175700000000001</v>
      </c>
      <c r="L2088">
        <v>7.3785040000000004</v>
      </c>
      <c r="M2088">
        <v>5.5503119999999999</v>
      </c>
      <c r="N2088">
        <v>4.1423959999999997</v>
      </c>
    </row>
    <row r="2089" spans="1:14" hidden="1" x14ac:dyDescent="0.35">
      <c r="A2089" t="s">
        <v>766</v>
      </c>
      <c r="B2089" t="s">
        <v>37</v>
      </c>
      <c r="C2089" t="s">
        <v>218</v>
      </c>
      <c r="D2089" t="s">
        <v>218</v>
      </c>
      <c r="E2089" t="s">
        <v>593</v>
      </c>
      <c r="F2089" t="s">
        <v>581</v>
      </c>
      <c r="G2089" t="s">
        <v>24</v>
      </c>
      <c r="H2089">
        <v>4.2520550000000002E-3</v>
      </c>
      <c r="I2089">
        <v>1.9732880000000001E-2</v>
      </c>
      <c r="J2089">
        <v>3.0134520000000001E-2</v>
      </c>
      <c r="K2089">
        <v>3.1715340000000002E-2</v>
      </c>
      <c r="L2089">
        <v>2.588795E-2</v>
      </c>
      <c r="M2089">
        <v>2.2367939999999999E-2</v>
      </c>
      <c r="N2089">
        <v>1.687452E-2</v>
      </c>
    </row>
    <row r="2090" spans="1:14" hidden="1" x14ac:dyDescent="0.35">
      <c r="A2090" t="s">
        <v>766</v>
      </c>
      <c r="B2090" t="s">
        <v>37</v>
      </c>
      <c r="C2090" t="s">
        <v>218</v>
      </c>
      <c r="D2090" t="s">
        <v>218</v>
      </c>
      <c r="E2090" t="s">
        <v>593</v>
      </c>
      <c r="F2090" t="s">
        <v>581</v>
      </c>
      <c r="G2090" t="s">
        <v>25</v>
      </c>
      <c r="H2090">
        <v>4.6878089999999997</v>
      </c>
      <c r="I2090">
        <v>3.8251849999999998</v>
      </c>
      <c r="J2090">
        <v>3.3865630000000002</v>
      </c>
      <c r="K2090">
        <v>3.446637</v>
      </c>
      <c r="L2090">
        <v>2.4848560000000002</v>
      </c>
      <c r="M2090">
        <v>1.8548309999999999</v>
      </c>
      <c r="N2090">
        <v>1.3834249999999999</v>
      </c>
    </row>
    <row r="2091" spans="1:14" hidden="1" x14ac:dyDescent="0.35">
      <c r="A2091" t="s">
        <v>766</v>
      </c>
      <c r="B2091" t="s">
        <v>37</v>
      </c>
      <c r="C2091" t="s">
        <v>218</v>
      </c>
      <c r="D2091" t="s">
        <v>218</v>
      </c>
      <c r="E2091" t="s">
        <v>593</v>
      </c>
      <c r="F2091" t="s">
        <v>26</v>
      </c>
      <c r="G2091" t="s">
        <v>26</v>
      </c>
      <c r="H2091">
        <v>6.313288</v>
      </c>
      <c r="I2091">
        <v>5.9883610000000003</v>
      </c>
      <c r="J2091">
        <v>5.3213499999999998</v>
      </c>
      <c r="K2091">
        <v>5.4176019999999996</v>
      </c>
      <c r="L2091">
        <v>3.9111739999999999</v>
      </c>
      <c r="M2091">
        <v>2.9248989999999999</v>
      </c>
      <c r="N2091">
        <v>2.1818740000000001</v>
      </c>
    </row>
    <row r="2092" spans="1:14" hidden="1" x14ac:dyDescent="0.35">
      <c r="A2092" t="s">
        <v>766</v>
      </c>
      <c r="B2092" t="s">
        <v>37</v>
      </c>
      <c r="C2092" t="s">
        <v>218</v>
      </c>
      <c r="D2092" t="s">
        <v>218</v>
      </c>
      <c r="E2092" t="s">
        <v>594</v>
      </c>
      <c r="F2092" t="s">
        <v>581</v>
      </c>
      <c r="G2092" t="s">
        <v>396</v>
      </c>
      <c r="H2092">
        <v>5.6394520000000004</v>
      </c>
      <c r="I2092">
        <v>4.2939579999999999</v>
      </c>
      <c r="J2092">
        <v>4.308764</v>
      </c>
      <c r="K2092">
        <v>5.6065550000000002</v>
      </c>
      <c r="L2092">
        <v>5.5824220000000002</v>
      </c>
      <c r="M2092">
        <v>3.9794339999999999</v>
      </c>
      <c r="N2092">
        <v>3.1422340000000002</v>
      </c>
    </row>
    <row r="2093" spans="1:14" hidden="1" x14ac:dyDescent="0.35">
      <c r="A2093" t="s">
        <v>766</v>
      </c>
      <c r="B2093" t="s">
        <v>37</v>
      </c>
      <c r="C2093" t="s">
        <v>218</v>
      </c>
      <c r="D2093" t="s">
        <v>218</v>
      </c>
      <c r="E2093" t="s">
        <v>594</v>
      </c>
      <c r="F2093" t="s">
        <v>581</v>
      </c>
      <c r="G2093" t="s">
        <v>25</v>
      </c>
      <c r="H2093">
        <v>0.8663014</v>
      </c>
      <c r="I2093">
        <v>0.74136760000000002</v>
      </c>
      <c r="J2093">
        <v>0.74393480000000001</v>
      </c>
      <c r="K2093">
        <v>0.96800989999999998</v>
      </c>
      <c r="L2093">
        <v>0.96383890000000005</v>
      </c>
      <c r="M2093">
        <v>0.68707479999999999</v>
      </c>
      <c r="N2093">
        <v>0.54253209999999996</v>
      </c>
    </row>
    <row r="2094" spans="1:14" hidden="1" x14ac:dyDescent="0.35">
      <c r="A2094" t="s">
        <v>766</v>
      </c>
      <c r="B2094" t="s">
        <v>37</v>
      </c>
      <c r="C2094" t="s">
        <v>218</v>
      </c>
      <c r="D2094" t="s">
        <v>218</v>
      </c>
      <c r="E2094" t="s">
        <v>594</v>
      </c>
      <c r="F2094" t="s">
        <v>26</v>
      </c>
      <c r="G2094" t="s">
        <v>26</v>
      </c>
      <c r="H2094">
        <v>0.71027390000000001</v>
      </c>
      <c r="I2094">
        <v>0.39919779999999999</v>
      </c>
      <c r="J2094">
        <v>0.40058080000000001</v>
      </c>
      <c r="K2094">
        <v>0.52123580000000003</v>
      </c>
      <c r="L2094">
        <v>0.51898929999999999</v>
      </c>
      <c r="M2094">
        <v>0.36996440000000003</v>
      </c>
      <c r="N2094">
        <v>0.29212900000000003</v>
      </c>
    </row>
    <row r="2095" spans="1:14" hidden="1" x14ac:dyDescent="0.35">
      <c r="A2095" t="s">
        <v>766</v>
      </c>
      <c r="B2095" t="s">
        <v>37</v>
      </c>
      <c r="C2095" t="s">
        <v>218</v>
      </c>
      <c r="D2095" t="s">
        <v>218</v>
      </c>
      <c r="E2095" t="s">
        <v>584</v>
      </c>
      <c r="F2095" t="s">
        <v>581</v>
      </c>
      <c r="G2095" t="s">
        <v>396</v>
      </c>
      <c r="H2095">
        <v>0.6334246</v>
      </c>
      <c r="I2095">
        <v>0.62619999999999998</v>
      </c>
      <c r="J2095">
        <v>0.61704110000000001</v>
      </c>
      <c r="K2095">
        <v>0.60855619999999999</v>
      </c>
      <c r="L2095">
        <v>0.60058630000000002</v>
      </c>
      <c r="M2095">
        <v>0.59315890000000004</v>
      </c>
      <c r="N2095">
        <v>0.57348220000000005</v>
      </c>
    </row>
    <row r="2096" spans="1:14" hidden="1" x14ac:dyDescent="0.35">
      <c r="A2096" t="s">
        <v>766</v>
      </c>
      <c r="B2096" t="s">
        <v>37</v>
      </c>
      <c r="C2096" t="s">
        <v>218</v>
      </c>
      <c r="D2096" t="s">
        <v>218</v>
      </c>
      <c r="E2096" t="s">
        <v>584</v>
      </c>
      <c r="F2096" t="s">
        <v>581</v>
      </c>
      <c r="G2096" t="s">
        <v>25</v>
      </c>
      <c r="H2096">
        <v>0.17698630000000001</v>
      </c>
      <c r="I2096">
        <v>0.1512192</v>
      </c>
      <c r="J2096">
        <v>0.12865209999999999</v>
      </c>
      <c r="K2096">
        <v>0.1095343</v>
      </c>
      <c r="L2096">
        <v>9.3339720000000001E-2</v>
      </c>
      <c r="M2096">
        <v>7.9597269999999998E-2</v>
      </c>
      <c r="N2096">
        <v>6.7931500000000006E-2</v>
      </c>
    </row>
    <row r="2097" spans="1:14" hidden="1" x14ac:dyDescent="0.35">
      <c r="A2097" t="s">
        <v>766</v>
      </c>
      <c r="B2097" t="s">
        <v>37</v>
      </c>
      <c r="C2097" t="s">
        <v>218</v>
      </c>
      <c r="D2097" t="s">
        <v>218</v>
      </c>
      <c r="E2097" t="s">
        <v>584</v>
      </c>
      <c r="F2097" t="s">
        <v>26</v>
      </c>
      <c r="G2097" t="s">
        <v>26</v>
      </c>
      <c r="H2097">
        <v>0.54493150000000001</v>
      </c>
      <c r="I2097">
        <v>0.53175890000000003</v>
      </c>
      <c r="J2097">
        <v>0.52138079999999998</v>
      </c>
      <c r="K2097">
        <v>0.5126657</v>
      </c>
      <c r="L2097">
        <v>0.48682740000000002</v>
      </c>
      <c r="M2097">
        <v>0.45011230000000002</v>
      </c>
      <c r="N2097">
        <v>0.41643560000000002</v>
      </c>
    </row>
    <row r="2098" spans="1:14" hidden="1" x14ac:dyDescent="0.35">
      <c r="A2098" t="s">
        <v>766</v>
      </c>
      <c r="B2098" t="s">
        <v>37</v>
      </c>
      <c r="C2098" t="s">
        <v>218</v>
      </c>
      <c r="D2098" t="s">
        <v>218</v>
      </c>
      <c r="E2098" t="s">
        <v>730</v>
      </c>
      <c r="F2098" t="s">
        <v>581</v>
      </c>
      <c r="G2098" t="s">
        <v>396</v>
      </c>
      <c r="K2098">
        <v>0</v>
      </c>
      <c r="L2098">
        <v>1.1641100000000001E-3</v>
      </c>
      <c r="M2098">
        <v>7.7753420000000004E-4</v>
      </c>
      <c r="N2098">
        <v>3.810959E-4</v>
      </c>
    </row>
    <row r="2099" spans="1:14" hidden="1" x14ac:dyDescent="0.35">
      <c r="A2099" t="s">
        <v>766</v>
      </c>
      <c r="B2099" t="s">
        <v>37</v>
      </c>
      <c r="C2099" t="s">
        <v>218</v>
      </c>
      <c r="D2099" t="s">
        <v>218</v>
      </c>
      <c r="E2099" t="s">
        <v>730</v>
      </c>
      <c r="F2099" t="s">
        <v>581</v>
      </c>
      <c r="G2099" t="s">
        <v>25</v>
      </c>
      <c r="K2099">
        <v>0</v>
      </c>
      <c r="L2099">
        <v>1.668493E-4</v>
      </c>
      <c r="M2099">
        <v>1.093151E-4</v>
      </c>
      <c r="N2099">
        <v>5.4794499999999999E-5</v>
      </c>
    </row>
    <row r="2100" spans="1:14" hidden="1" x14ac:dyDescent="0.35">
      <c r="A2100" t="s">
        <v>766</v>
      </c>
      <c r="B2100" t="s">
        <v>37</v>
      </c>
      <c r="C2100" t="s">
        <v>218</v>
      </c>
      <c r="D2100" t="s">
        <v>218</v>
      </c>
      <c r="E2100" t="s">
        <v>730</v>
      </c>
      <c r="F2100" t="s">
        <v>26</v>
      </c>
      <c r="G2100" t="s">
        <v>26</v>
      </c>
      <c r="K2100">
        <v>0</v>
      </c>
      <c r="L2100">
        <v>2.4657539999999999E-4</v>
      </c>
      <c r="M2100">
        <v>1.641096E-4</v>
      </c>
      <c r="N2100">
        <v>8.1643829999999994E-5</v>
      </c>
    </row>
    <row r="2101" spans="1:14" hidden="1" x14ac:dyDescent="0.35">
      <c r="A2101" t="s">
        <v>766</v>
      </c>
      <c r="B2101" t="s">
        <v>37</v>
      </c>
      <c r="C2101" t="s">
        <v>266</v>
      </c>
      <c r="D2101" t="s">
        <v>266</v>
      </c>
      <c r="E2101" t="s">
        <v>767</v>
      </c>
      <c r="F2101" t="s">
        <v>581</v>
      </c>
      <c r="G2101" t="s">
        <v>25</v>
      </c>
      <c r="H2101">
        <v>2.5619179999999998E-2</v>
      </c>
      <c r="I2101">
        <v>2.031233E-2</v>
      </c>
      <c r="J2101">
        <v>1.8202739999999999E-2</v>
      </c>
      <c r="K2101">
        <v>1.6380820000000001E-2</v>
      </c>
      <c r="L2101">
        <v>1.4742470000000001E-2</v>
      </c>
      <c r="M2101">
        <v>1.330137E-2</v>
      </c>
      <c r="N2101">
        <v>1.193699E-2</v>
      </c>
    </row>
    <row r="2102" spans="1:14" hidden="1" x14ac:dyDescent="0.35">
      <c r="A2102" t="s">
        <v>766</v>
      </c>
      <c r="B2102" t="s">
        <v>37</v>
      </c>
      <c r="C2102" t="s">
        <v>266</v>
      </c>
      <c r="D2102" t="s">
        <v>266</v>
      </c>
      <c r="E2102" t="s">
        <v>767</v>
      </c>
      <c r="F2102" t="s">
        <v>26</v>
      </c>
      <c r="G2102" t="s">
        <v>26</v>
      </c>
      <c r="H2102">
        <v>1.863014E-2</v>
      </c>
      <c r="I2102">
        <v>1.6619180000000001E-2</v>
      </c>
      <c r="J2102">
        <v>1.4893150000000001E-2</v>
      </c>
      <c r="K2102">
        <v>1.340274E-2</v>
      </c>
      <c r="L2102">
        <v>1.2063010000000001E-2</v>
      </c>
      <c r="M2102">
        <v>1.0884929999999999E-2</v>
      </c>
      <c r="N2102">
        <v>9.7671230000000008E-3</v>
      </c>
    </row>
    <row r="2103" spans="1:14" hidden="1" x14ac:dyDescent="0.35">
      <c r="A2103" t="s">
        <v>766</v>
      </c>
      <c r="B2103" t="s">
        <v>37</v>
      </c>
      <c r="C2103" t="s">
        <v>266</v>
      </c>
      <c r="D2103" t="s">
        <v>266</v>
      </c>
      <c r="E2103" t="s">
        <v>768</v>
      </c>
      <c r="F2103" t="s">
        <v>581</v>
      </c>
      <c r="G2103" t="s">
        <v>25</v>
      </c>
      <c r="M2103">
        <v>0</v>
      </c>
      <c r="N2103">
        <v>0</v>
      </c>
    </row>
    <row r="2104" spans="1:14" hidden="1" x14ac:dyDescent="0.35">
      <c r="A2104" t="s">
        <v>766</v>
      </c>
      <c r="B2104" t="s">
        <v>37</v>
      </c>
      <c r="C2104" t="s">
        <v>266</v>
      </c>
      <c r="D2104" t="s">
        <v>266</v>
      </c>
      <c r="E2104" t="s">
        <v>768</v>
      </c>
      <c r="F2104" t="s">
        <v>26</v>
      </c>
      <c r="G2104" t="s">
        <v>26</v>
      </c>
      <c r="M2104">
        <v>0</v>
      </c>
      <c r="N2104">
        <v>0</v>
      </c>
    </row>
    <row r="2105" spans="1:14" hidden="1" x14ac:dyDescent="0.35">
      <c r="A2105" t="s">
        <v>769</v>
      </c>
      <c r="B2105" t="s">
        <v>37</v>
      </c>
      <c r="C2105" t="s">
        <v>109</v>
      </c>
      <c r="D2105" t="s">
        <v>109</v>
      </c>
      <c r="E2105" t="s">
        <v>584</v>
      </c>
      <c r="F2105" t="s">
        <v>581</v>
      </c>
      <c r="G2105" t="s">
        <v>396</v>
      </c>
      <c r="H2105">
        <v>8.7793589999999995</v>
      </c>
      <c r="I2105">
        <v>6.5466490000000004</v>
      </c>
      <c r="J2105">
        <v>4.9254230000000003</v>
      </c>
      <c r="K2105">
        <v>3.8230940000000002</v>
      </c>
      <c r="L2105">
        <v>3.0506600000000001</v>
      </c>
      <c r="M2105">
        <v>0.77392760000000005</v>
      </c>
      <c r="N2105">
        <v>0.50591600000000003</v>
      </c>
    </row>
    <row r="2106" spans="1:14" hidden="1" x14ac:dyDescent="0.35">
      <c r="A2106" t="s">
        <v>769</v>
      </c>
      <c r="B2106" t="s">
        <v>37</v>
      </c>
      <c r="C2106" t="s">
        <v>109</v>
      </c>
      <c r="D2106" t="s">
        <v>109</v>
      </c>
      <c r="E2106" t="s">
        <v>584</v>
      </c>
      <c r="F2106" t="s">
        <v>581</v>
      </c>
      <c r="G2106" t="s">
        <v>24</v>
      </c>
      <c r="H2106">
        <v>3.7958069999999999</v>
      </c>
      <c r="I2106">
        <v>3.0493990000000002</v>
      </c>
      <c r="J2106">
        <v>2.1334170000000001</v>
      </c>
      <c r="K2106">
        <v>1.536187</v>
      </c>
      <c r="L2106">
        <v>1.113764</v>
      </c>
      <c r="M2106">
        <v>0.54023080000000001</v>
      </c>
      <c r="N2106">
        <v>0.34506500000000001</v>
      </c>
    </row>
    <row r="2107" spans="1:14" hidden="1" x14ac:dyDescent="0.35">
      <c r="A2107" t="s">
        <v>769</v>
      </c>
      <c r="B2107" t="s">
        <v>37</v>
      </c>
      <c r="C2107" t="s">
        <v>109</v>
      </c>
      <c r="D2107" t="s">
        <v>109</v>
      </c>
      <c r="E2107" t="s">
        <v>584</v>
      </c>
      <c r="F2107" t="s">
        <v>581</v>
      </c>
      <c r="G2107" t="s">
        <v>25</v>
      </c>
      <c r="H2107">
        <v>2.7439</v>
      </c>
      <c r="I2107">
        <v>2.1633969999999998</v>
      </c>
      <c r="J2107">
        <v>1.7446710000000001</v>
      </c>
      <c r="K2107">
        <v>1.450359</v>
      </c>
      <c r="L2107">
        <v>1.222002</v>
      </c>
      <c r="M2107">
        <v>0.57464579999999998</v>
      </c>
      <c r="N2107">
        <v>0.34255010000000002</v>
      </c>
    </row>
    <row r="2108" spans="1:14" hidden="1" x14ac:dyDescent="0.35">
      <c r="A2108" t="s">
        <v>769</v>
      </c>
      <c r="B2108" t="s">
        <v>37</v>
      </c>
      <c r="C2108" t="s">
        <v>109</v>
      </c>
      <c r="D2108" t="s">
        <v>109</v>
      </c>
      <c r="E2108" t="s">
        <v>584</v>
      </c>
      <c r="F2108" t="s">
        <v>26</v>
      </c>
      <c r="G2108" t="s">
        <v>26</v>
      </c>
      <c r="H2108">
        <v>15.070029999999999</v>
      </c>
      <c r="I2108">
        <v>12.865019999999999</v>
      </c>
      <c r="J2108">
        <v>10.96321</v>
      </c>
      <c r="K2108">
        <v>9.5845310000000001</v>
      </c>
      <c r="L2108">
        <v>8.4315130000000007</v>
      </c>
      <c r="M2108">
        <v>4.321682</v>
      </c>
      <c r="N2108">
        <v>2.7280199999999999</v>
      </c>
    </row>
    <row r="2109" spans="1:14" hidden="1" x14ac:dyDescent="0.35">
      <c r="A2109" t="s">
        <v>769</v>
      </c>
      <c r="B2109" t="s">
        <v>37</v>
      </c>
      <c r="C2109" t="s">
        <v>61</v>
      </c>
      <c r="D2109" t="s">
        <v>62</v>
      </c>
      <c r="E2109" t="s">
        <v>584</v>
      </c>
      <c r="F2109" t="s">
        <v>581</v>
      </c>
      <c r="G2109" t="s">
        <v>396</v>
      </c>
      <c r="H2109">
        <v>6.6392009999999999</v>
      </c>
      <c r="I2109">
        <v>6.4378149999999996</v>
      </c>
      <c r="J2109">
        <v>5.7444230000000003</v>
      </c>
      <c r="K2109">
        <v>4.9842139999999997</v>
      </c>
      <c r="L2109">
        <v>3.591958</v>
      </c>
      <c r="M2109">
        <v>2.187344</v>
      </c>
      <c r="N2109">
        <v>0.98153040000000003</v>
      </c>
    </row>
    <row r="2110" spans="1:14" hidden="1" x14ac:dyDescent="0.35">
      <c r="A2110" t="s">
        <v>769</v>
      </c>
      <c r="B2110" t="s">
        <v>37</v>
      </c>
      <c r="C2110" t="s">
        <v>61</v>
      </c>
      <c r="D2110" t="s">
        <v>62</v>
      </c>
      <c r="E2110" t="s">
        <v>584</v>
      </c>
      <c r="F2110" t="s">
        <v>581</v>
      </c>
      <c r="G2110" t="s">
        <v>24</v>
      </c>
      <c r="H2110">
        <v>0.68491590000000002</v>
      </c>
      <c r="I2110">
        <v>1.453387</v>
      </c>
      <c r="J2110">
        <v>1.4434750000000001</v>
      </c>
      <c r="K2110">
        <v>1.14642</v>
      </c>
      <c r="L2110">
        <v>0.79463760000000006</v>
      </c>
      <c r="M2110">
        <v>0.52948729999999999</v>
      </c>
      <c r="N2110">
        <v>0.34590579999999999</v>
      </c>
    </row>
    <row r="2111" spans="1:14" hidden="1" x14ac:dyDescent="0.35">
      <c r="A2111" t="s">
        <v>769</v>
      </c>
      <c r="B2111" t="s">
        <v>37</v>
      </c>
      <c r="C2111" t="s">
        <v>61</v>
      </c>
      <c r="D2111" t="s">
        <v>62</v>
      </c>
      <c r="E2111" t="s">
        <v>584</v>
      </c>
      <c r="F2111" t="s">
        <v>581</v>
      </c>
      <c r="G2111" t="s">
        <v>25</v>
      </c>
      <c r="H2111">
        <v>0.1165998</v>
      </c>
      <c r="I2111">
        <v>9.4518179999999993E-2</v>
      </c>
      <c r="J2111">
        <v>8.1807610000000003E-2</v>
      </c>
      <c r="K2111">
        <v>7.7216469999999995E-2</v>
      </c>
      <c r="L2111">
        <v>7.2476070000000004E-2</v>
      </c>
      <c r="M2111">
        <v>4.630049E-2</v>
      </c>
      <c r="N2111">
        <v>4.2431510000000001E-4</v>
      </c>
    </row>
    <row r="2112" spans="1:14" hidden="1" x14ac:dyDescent="0.35">
      <c r="A2112" t="s">
        <v>769</v>
      </c>
      <c r="B2112" t="s">
        <v>37</v>
      </c>
      <c r="C2112" t="s">
        <v>61</v>
      </c>
      <c r="D2112" t="s">
        <v>62</v>
      </c>
      <c r="E2112" t="s">
        <v>584</v>
      </c>
      <c r="F2112" t="s">
        <v>26</v>
      </c>
      <c r="G2112" t="s">
        <v>26</v>
      </c>
      <c r="H2112">
        <v>1.8657189999999999</v>
      </c>
      <c r="I2112">
        <v>1.916094</v>
      </c>
      <c r="J2112">
        <v>1.7253799999999999</v>
      </c>
      <c r="K2112">
        <v>1.529495</v>
      </c>
      <c r="L2112">
        <v>1.0062880000000001</v>
      </c>
      <c r="M2112">
        <v>0.70010950000000005</v>
      </c>
      <c r="N2112">
        <v>0.23618420000000001</v>
      </c>
    </row>
    <row r="2113" spans="1:14" hidden="1" x14ac:dyDescent="0.35">
      <c r="A2113" t="s">
        <v>769</v>
      </c>
      <c r="B2113" t="s">
        <v>37</v>
      </c>
      <c r="C2113" t="s">
        <v>79</v>
      </c>
      <c r="D2113" t="s">
        <v>79</v>
      </c>
      <c r="E2113" t="s">
        <v>584</v>
      </c>
      <c r="F2113" t="s">
        <v>581</v>
      </c>
      <c r="G2113" t="s">
        <v>24</v>
      </c>
      <c r="H2113">
        <v>5.2739730000000004E-3</v>
      </c>
      <c r="I2113">
        <v>0</v>
      </c>
    </row>
    <row r="2114" spans="1:14" hidden="1" x14ac:dyDescent="0.35">
      <c r="A2114" t="s">
        <v>769</v>
      </c>
      <c r="B2114" t="s">
        <v>37</v>
      </c>
      <c r="C2114" t="s">
        <v>79</v>
      </c>
      <c r="D2114" t="s">
        <v>79</v>
      </c>
      <c r="E2114" t="s">
        <v>584</v>
      </c>
      <c r="F2114" t="s">
        <v>581</v>
      </c>
      <c r="G2114" t="s">
        <v>25</v>
      </c>
      <c r="H2114">
        <v>3.3534250000000002E-3</v>
      </c>
      <c r="I2114">
        <v>0</v>
      </c>
    </row>
    <row r="2115" spans="1:14" hidden="1" x14ac:dyDescent="0.35">
      <c r="A2115" t="s">
        <v>769</v>
      </c>
      <c r="B2115" t="s">
        <v>37</v>
      </c>
      <c r="C2115" t="s">
        <v>79</v>
      </c>
      <c r="D2115" t="s">
        <v>79</v>
      </c>
      <c r="E2115" t="s">
        <v>584</v>
      </c>
      <c r="F2115" t="s">
        <v>26</v>
      </c>
      <c r="G2115" t="s">
        <v>26</v>
      </c>
      <c r="H2115">
        <v>6.2265750000000002E-2</v>
      </c>
      <c r="I2115">
        <v>4.4917810000000002E-2</v>
      </c>
      <c r="J2115">
        <v>4.4027400000000001E-2</v>
      </c>
      <c r="K2115">
        <v>4.3156170000000001E-2</v>
      </c>
      <c r="L2115">
        <v>4.2301369999999998E-2</v>
      </c>
      <c r="M2115">
        <v>0</v>
      </c>
    </row>
    <row r="2116" spans="1:14" hidden="1" x14ac:dyDescent="0.35">
      <c r="A2116" t="s">
        <v>770</v>
      </c>
      <c r="B2116" t="s">
        <v>34</v>
      </c>
      <c r="C2116" t="s">
        <v>33</v>
      </c>
      <c r="D2116" t="s">
        <v>33</v>
      </c>
      <c r="E2116" t="s">
        <v>675</v>
      </c>
      <c r="F2116" t="s">
        <v>581</v>
      </c>
      <c r="G2116" t="s">
        <v>396</v>
      </c>
      <c r="H2116">
        <v>3.8142469999999998E-2</v>
      </c>
      <c r="I2116">
        <v>3.7165480000000001E-2</v>
      </c>
      <c r="J2116">
        <v>3.4415889999999998E-2</v>
      </c>
      <c r="K2116">
        <v>2.936795E-2</v>
      </c>
      <c r="L2116">
        <v>2.6804379999999999E-2</v>
      </c>
      <c r="M2116">
        <v>2.4491510000000001E-2</v>
      </c>
      <c r="N2116">
        <v>2.121342E-2</v>
      </c>
    </row>
    <row r="2117" spans="1:14" hidden="1" x14ac:dyDescent="0.35">
      <c r="A2117" t="s">
        <v>770</v>
      </c>
      <c r="B2117" t="s">
        <v>34</v>
      </c>
      <c r="C2117" t="s">
        <v>33</v>
      </c>
      <c r="D2117" t="s">
        <v>33</v>
      </c>
      <c r="E2117" t="s">
        <v>675</v>
      </c>
      <c r="F2117" t="s">
        <v>581</v>
      </c>
      <c r="G2117" t="s">
        <v>25</v>
      </c>
      <c r="H2117">
        <v>7.5391659999999998</v>
      </c>
      <c r="I2117">
        <v>7.0152469999999996</v>
      </c>
      <c r="J2117">
        <v>6.2564669999999998</v>
      </c>
      <c r="K2117">
        <v>5.0337820000000004</v>
      </c>
      <c r="L2117">
        <v>4.3415059999999999</v>
      </c>
      <c r="M2117">
        <v>3.75339</v>
      </c>
      <c r="N2117">
        <v>3.2027000000000001</v>
      </c>
    </row>
    <row r="2118" spans="1:14" hidden="1" x14ac:dyDescent="0.35">
      <c r="A2118" t="s">
        <v>770</v>
      </c>
      <c r="B2118" t="s">
        <v>34</v>
      </c>
      <c r="C2118" t="s">
        <v>33</v>
      </c>
      <c r="D2118" t="s">
        <v>33</v>
      </c>
      <c r="E2118" t="s">
        <v>675</v>
      </c>
      <c r="F2118" t="s">
        <v>26</v>
      </c>
      <c r="G2118" t="s">
        <v>26</v>
      </c>
      <c r="H2118">
        <v>17.0123</v>
      </c>
      <c r="I2118">
        <v>15.421749999999999</v>
      </c>
      <c r="J2118">
        <v>13.71373</v>
      </c>
      <c r="K2118">
        <v>10.98095</v>
      </c>
      <c r="L2118">
        <v>9.4244350000000008</v>
      </c>
      <c r="M2118">
        <v>8.1063410000000005</v>
      </c>
      <c r="N2118">
        <v>6.9070900000000002</v>
      </c>
    </row>
    <row r="2119" spans="1:14" hidden="1" x14ac:dyDescent="0.35">
      <c r="A2119" t="s">
        <v>770</v>
      </c>
      <c r="B2119" t="s">
        <v>34</v>
      </c>
      <c r="C2119" t="s">
        <v>33</v>
      </c>
      <c r="D2119" t="s">
        <v>33</v>
      </c>
      <c r="E2119" t="s">
        <v>771</v>
      </c>
      <c r="F2119" t="s">
        <v>581</v>
      </c>
      <c r="G2119" t="s">
        <v>396</v>
      </c>
      <c r="H2119">
        <v>0.29814249999999998</v>
      </c>
      <c r="I2119">
        <v>0.29118329999999998</v>
      </c>
      <c r="J2119">
        <v>0.27495320000000001</v>
      </c>
      <c r="K2119">
        <v>0.24661340000000001</v>
      </c>
      <c r="L2119">
        <v>0.22274079999999999</v>
      </c>
      <c r="M2119">
        <v>0.1874682</v>
      </c>
      <c r="N2119">
        <v>0.16104679999999999</v>
      </c>
    </row>
    <row r="2120" spans="1:14" hidden="1" x14ac:dyDescent="0.35">
      <c r="A2120" t="s">
        <v>770</v>
      </c>
      <c r="B2120" t="s">
        <v>34</v>
      </c>
      <c r="C2120" t="s">
        <v>33</v>
      </c>
      <c r="D2120" t="s">
        <v>33</v>
      </c>
      <c r="E2120" t="s">
        <v>771</v>
      </c>
      <c r="F2120" t="s">
        <v>581</v>
      </c>
      <c r="G2120" t="s">
        <v>25</v>
      </c>
      <c r="H2120">
        <v>0.5386164</v>
      </c>
      <c r="I2120">
        <v>0.51090409999999997</v>
      </c>
      <c r="J2120">
        <v>0.4824291</v>
      </c>
      <c r="K2120">
        <v>0.43270409999999998</v>
      </c>
      <c r="L2120">
        <v>0.39081860000000002</v>
      </c>
      <c r="M2120">
        <v>0.32892900000000003</v>
      </c>
      <c r="N2120">
        <v>0.28257339999999997</v>
      </c>
    </row>
    <row r="2121" spans="1:14" hidden="1" x14ac:dyDescent="0.35">
      <c r="A2121" t="s">
        <v>770</v>
      </c>
      <c r="B2121" t="s">
        <v>34</v>
      </c>
      <c r="C2121" t="s">
        <v>33</v>
      </c>
      <c r="D2121" t="s">
        <v>33</v>
      </c>
      <c r="E2121" t="s">
        <v>771</v>
      </c>
      <c r="F2121" t="s">
        <v>26</v>
      </c>
      <c r="G2121" t="s">
        <v>26</v>
      </c>
      <c r="H2121">
        <v>3.5159500000000001</v>
      </c>
      <c r="I2121">
        <v>3.372582</v>
      </c>
      <c r="J2121">
        <v>3.184599</v>
      </c>
      <c r="K2121">
        <v>2.8563540000000001</v>
      </c>
      <c r="L2121">
        <v>2.5798619999999999</v>
      </c>
      <c r="M2121">
        <v>2.1713290000000001</v>
      </c>
      <c r="N2121">
        <v>1.865313</v>
      </c>
    </row>
    <row r="2122" spans="1:14" hidden="1" x14ac:dyDescent="0.35">
      <c r="A2122" t="s">
        <v>770</v>
      </c>
      <c r="B2122" t="s">
        <v>34</v>
      </c>
      <c r="C2122" t="s">
        <v>33</v>
      </c>
      <c r="D2122" t="s">
        <v>33</v>
      </c>
      <c r="E2122" t="s">
        <v>584</v>
      </c>
      <c r="F2122" t="s">
        <v>581</v>
      </c>
      <c r="G2122" t="s">
        <v>396</v>
      </c>
      <c r="H2122">
        <v>0.12844659999999999</v>
      </c>
      <c r="I2122">
        <v>0.1158658</v>
      </c>
      <c r="J2122">
        <v>0.1003863</v>
      </c>
      <c r="K2122">
        <v>8.8273969999999993E-2</v>
      </c>
      <c r="L2122">
        <v>5.9005479999999999E-2</v>
      </c>
      <c r="M2122">
        <v>5.3243829999999999E-2</v>
      </c>
      <c r="N2122">
        <v>4.7780820000000002E-2</v>
      </c>
    </row>
    <row r="2123" spans="1:14" hidden="1" x14ac:dyDescent="0.35">
      <c r="A2123" t="s">
        <v>770</v>
      </c>
      <c r="B2123" t="s">
        <v>34</v>
      </c>
      <c r="C2123" t="s">
        <v>33</v>
      </c>
      <c r="D2123" t="s">
        <v>33</v>
      </c>
      <c r="E2123" t="s">
        <v>584</v>
      </c>
      <c r="F2123" t="s">
        <v>581</v>
      </c>
      <c r="G2123" t="s">
        <v>24</v>
      </c>
      <c r="H2123">
        <v>0.12775890000000001</v>
      </c>
      <c r="I2123">
        <v>0.1093206</v>
      </c>
      <c r="J2123">
        <v>9.1394520000000007E-2</v>
      </c>
      <c r="K2123">
        <v>7.7000009999999994E-2</v>
      </c>
      <c r="L2123">
        <v>4.4991780000000002E-2</v>
      </c>
      <c r="M2123">
        <v>4.044383E-2</v>
      </c>
      <c r="N2123">
        <v>3.8523290000000002E-2</v>
      </c>
    </row>
    <row r="2124" spans="1:14" hidden="1" x14ac:dyDescent="0.35">
      <c r="A2124" t="s">
        <v>770</v>
      </c>
      <c r="B2124" t="s">
        <v>34</v>
      </c>
      <c r="C2124" t="s">
        <v>33</v>
      </c>
      <c r="D2124" t="s">
        <v>33</v>
      </c>
      <c r="E2124" t="s">
        <v>584</v>
      </c>
      <c r="F2124" t="s">
        <v>581</v>
      </c>
      <c r="G2124" t="s">
        <v>25</v>
      </c>
      <c r="H2124">
        <v>0.324463</v>
      </c>
      <c r="I2124">
        <v>0.30660270000000001</v>
      </c>
      <c r="J2124">
        <v>0.29315619999999998</v>
      </c>
      <c r="K2124">
        <v>0.2710959</v>
      </c>
      <c r="L2124">
        <v>0.18924930000000001</v>
      </c>
      <c r="M2124">
        <v>0.1597797</v>
      </c>
      <c r="N2124">
        <v>0.1593378</v>
      </c>
    </row>
    <row r="2125" spans="1:14" hidden="1" x14ac:dyDescent="0.35">
      <c r="A2125" t="s">
        <v>770</v>
      </c>
      <c r="B2125" t="s">
        <v>34</v>
      </c>
      <c r="C2125" t="s">
        <v>33</v>
      </c>
      <c r="D2125" t="s">
        <v>33</v>
      </c>
      <c r="E2125" t="s">
        <v>584</v>
      </c>
      <c r="F2125" t="s">
        <v>26</v>
      </c>
      <c r="G2125" t="s">
        <v>26</v>
      </c>
      <c r="H2125">
        <v>2.3026270000000002</v>
      </c>
      <c r="I2125">
        <v>2.2078519999999999</v>
      </c>
      <c r="J2125">
        <v>2.1594329999999999</v>
      </c>
      <c r="K2125">
        <v>1.972602</v>
      </c>
      <c r="L2125">
        <v>1.6797530000000001</v>
      </c>
      <c r="M2125">
        <v>1.243579</v>
      </c>
      <c r="N2125">
        <v>1.1792400000000001</v>
      </c>
    </row>
    <row r="2126" spans="1:14" hidden="1" x14ac:dyDescent="0.35">
      <c r="A2126" t="s">
        <v>770</v>
      </c>
      <c r="B2126" t="s">
        <v>34</v>
      </c>
      <c r="C2126" t="s">
        <v>33</v>
      </c>
      <c r="D2126" t="s">
        <v>33</v>
      </c>
      <c r="E2126" t="s">
        <v>739</v>
      </c>
      <c r="F2126" t="s">
        <v>581</v>
      </c>
      <c r="G2126" t="s">
        <v>396</v>
      </c>
      <c r="H2126">
        <v>4.6364379999999997E-2</v>
      </c>
      <c r="I2126">
        <v>4.1876709999999998E-2</v>
      </c>
      <c r="J2126">
        <v>3.6733429999999997E-2</v>
      </c>
      <c r="K2126">
        <v>3.232521E-2</v>
      </c>
      <c r="L2126">
        <v>2.8445749999999999E-2</v>
      </c>
      <c r="M2126">
        <v>2.5095070000000001E-2</v>
      </c>
      <c r="N2126">
        <v>2.2019179999999999E-2</v>
      </c>
    </row>
    <row r="2127" spans="1:14" hidden="1" x14ac:dyDescent="0.35">
      <c r="A2127" t="s">
        <v>770</v>
      </c>
      <c r="B2127" t="s">
        <v>34</v>
      </c>
      <c r="C2127" t="s">
        <v>33</v>
      </c>
      <c r="D2127" t="s">
        <v>33</v>
      </c>
      <c r="E2127" t="s">
        <v>739</v>
      </c>
      <c r="F2127" t="s">
        <v>581</v>
      </c>
      <c r="G2127" t="s">
        <v>25</v>
      </c>
      <c r="H2127">
        <v>3.1835620000000002E-2</v>
      </c>
      <c r="I2127">
        <v>2.7928769999999999E-2</v>
      </c>
      <c r="J2127">
        <v>2.449863E-2</v>
      </c>
      <c r="K2127">
        <v>2.1556160000000001E-2</v>
      </c>
      <c r="L2127">
        <v>1.8972599999999999E-2</v>
      </c>
      <c r="M2127">
        <v>1.6739730000000001E-2</v>
      </c>
      <c r="N2127">
        <v>1.4684930000000001E-2</v>
      </c>
    </row>
    <row r="2128" spans="1:14" hidden="1" x14ac:dyDescent="0.35">
      <c r="A2128" t="s">
        <v>770</v>
      </c>
      <c r="B2128" t="s">
        <v>34</v>
      </c>
      <c r="C2128" t="s">
        <v>33</v>
      </c>
      <c r="D2128" t="s">
        <v>33</v>
      </c>
      <c r="E2128" t="s">
        <v>739</v>
      </c>
      <c r="F2128" t="s">
        <v>26</v>
      </c>
      <c r="G2128" t="s">
        <v>26</v>
      </c>
      <c r="H2128">
        <v>0.19981650000000001</v>
      </c>
      <c r="I2128">
        <v>0.1772532</v>
      </c>
      <c r="J2128">
        <v>0.1554825</v>
      </c>
      <c r="K2128">
        <v>0.13682030000000001</v>
      </c>
      <c r="L2128">
        <v>0.1204011</v>
      </c>
      <c r="M2128">
        <v>0.1062203</v>
      </c>
      <c r="N2128">
        <v>9.3199180000000006E-2</v>
      </c>
    </row>
    <row r="2129" spans="1:14" hidden="1" x14ac:dyDescent="0.35">
      <c r="A2129" t="s">
        <v>770</v>
      </c>
      <c r="B2129" t="s">
        <v>34</v>
      </c>
      <c r="C2129" t="s">
        <v>33</v>
      </c>
      <c r="D2129" t="s">
        <v>33</v>
      </c>
      <c r="E2129" t="s">
        <v>638</v>
      </c>
      <c r="F2129" t="s">
        <v>581</v>
      </c>
      <c r="G2129" t="s">
        <v>24</v>
      </c>
      <c r="H2129">
        <v>1.7838360000000001E-2</v>
      </c>
      <c r="I2129">
        <v>1.6282189999999998E-2</v>
      </c>
      <c r="J2129">
        <v>1.4610959999999999E-2</v>
      </c>
      <c r="K2129">
        <v>1.315069E-2</v>
      </c>
      <c r="L2129">
        <v>1.183562E-2</v>
      </c>
      <c r="M2129">
        <v>1.067945E-2</v>
      </c>
      <c r="N2129">
        <v>9.5835639999999993E-3</v>
      </c>
    </row>
    <row r="2130" spans="1:14" hidden="1" x14ac:dyDescent="0.35">
      <c r="A2130" t="s">
        <v>770</v>
      </c>
      <c r="B2130" t="s">
        <v>34</v>
      </c>
      <c r="C2130" t="s">
        <v>33</v>
      </c>
      <c r="D2130" t="s">
        <v>33</v>
      </c>
      <c r="E2130" t="s">
        <v>638</v>
      </c>
      <c r="F2130" t="s">
        <v>581</v>
      </c>
      <c r="G2130" t="s">
        <v>25</v>
      </c>
      <c r="H2130">
        <v>7.1534249999999997E-3</v>
      </c>
      <c r="I2130">
        <v>6.5123289999999999E-3</v>
      </c>
      <c r="J2130">
        <v>5.8465749999999997E-3</v>
      </c>
      <c r="K2130">
        <v>5.2602739999999997E-3</v>
      </c>
      <c r="L2130">
        <v>4.7342469999999996E-3</v>
      </c>
      <c r="M2130">
        <v>4.273972E-3</v>
      </c>
      <c r="N2130">
        <v>3.8328780000000001E-3</v>
      </c>
    </row>
    <row r="2131" spans="1:14" hidden="1" x14ac:dyDescent="0.35">
      <c r="A2131" t="s">
        <v>770</v>
      </c>
      <c r="B2131" t="s">
        <v>34</v>
      </c>
      <c r="C2131" t="s">
        <v>33</v>
      </c>
      <c r="D2131" t="s">
        <v>33</v>
      </c>
      <c r="E2131" t="s">
        <v>638</v>
      </c>
      <c r="F2131" t="s">
        <v>26</v>
      </c>
      <c r="G2131" t="s">
        <v>26</v>
      </c>
      <c r="H2131">
        <v>4.6956159999999997E-2</v>
      </c>
      <c r="I2131">
        <v>4.2556169999999997E-2</v>
      </c>
      <c r="J2131">
        <v>3.8190960000000003E-2</v>
      </c>
      <c r="K2131">
        <v>3.4369869999999997E-2</v>
      </c>
      <c r="L2131">
        <v>3.093342E-2</v>
      </c>
      <c r="M2131">
        <v>2.7912329999999999E-2</v>
      </c>
      <c r="N2131">
        <v>2.504849E-2</v>
      </c>
    </row>
    <row r="2132" spans="1:14" hidden="1" x14ac:dyDescent="0.35">
      <c r="A2132" t="s">
        <v>772</v>
      </c>
      <c r="B2132" t="s">
        <v>37</v>
      </c>
      <c r="C2132" t="s">
        <v>46</v>
      </c>
      <c r="D2132" t="s">
        <v>46</v>
      </c>
      <c r="E2132" t="s">
        <v>584</v>
      </c>
      <c r="F2132" t="s">
        <v>581</v>
      </c>
      <c r="G2132" t="s">
        <v>396</v>
      </c>
      <c r="H2132">
        <v>0.12561639999999999</v>
      </c>
      <c r="I2132">
        <v>0.1148356</v>
      </c>
      <c r="J2132">
        <v>0.10286579999999999</v>
      </c>
      <c r="K2132">
        <v>9.2350680000000004E-2</v>
      </c>
      <c r="L2132">
        <v>8.3021910000000004E-2</v>
      </c>
      <c r="M2132">
        <v>7.4871229999999997E-2</v>
      </c>
      <c r="N2132">
        <v>6.7172599999999999E-2</v>
      </c>
    </row>
    <row r="2133" spans="1:14" hidden="1" x14ac:dyDescent="0.35">
      <c r="A2133" t="s">
        <v>772</v>
      </c>
      <c r="B2133" t="s">
        <v>37</v>
      </c>
      <c r="C2133" t="s">
        <v>46</v>
      </c>
      <c r="D2133" t="s">
        <v>46</v>
      </c>
      <c r="E2133" t="s">
        <v>584</v>
      </c>
      <c r="F2133" t="s">
        <v>581</v>
      </c>
      <c r="G2133" t="s">
        <v>25</v>
      </c>
      <c r="H2133">
        <v>0.22341920000000001</v>
      </c>
      <c r="I2133">
        <v>0.24419450000000001</v>
      </c>
      <c r="J2133">
        <v>0.22404299999999999</v>
      </c>
      <c r="K2133">
        <v>0.20746909999999999</v>
      </c>
      <c r="L2133">
        <v>0.18814990000000001</v>
      </c>
      <c r="M2133">
        <v>0.16628000000000001</v>
      </c>
      <c r="N2133">
        <v>0.14511950000000001</v>
      </c>
    </row>
    <row r="2134" spans="1:14" hidden="1" x14ac:dyDescent="0.35">
      <c r="A2134" t="s">
        <v>772</v>
      </c>
      <c r="B2134" t="s">
        <v>37</v>
      </c>
      <c r="C2134" t="s">
        <v>46</v>
      </c>
      <c r="D2134" t="s">
        <v>46</v>
      </c>
      <c r="E2134" t="s">
        <v>584</v>
      </c>
      <c r="F2134" t="s">
        <v>26</v>
      </c>
      <c r="G2134" t="s">
        <v>26</v>
      </c>
      <c r="H2134">
        <v>10.798769999999999</v>
      </c>
      <c r="I2134">
        <v>9.5617429999999999</v>
      </c>
      <c r="J2134">
        <v>8.8379549999999991</v>
      </c>
      <c r="K2134">
        <v>8.2617639999999994</v>
      </c>
      <c r="L2134">
        <v>7.5143149999999999</v>
      </c>
      <c r="M2134">
        <v>6.6129860000000003</v>
      </c>
      <c r="N2134">
        <v>5.7352600000000002</v>
      </c>
    </row>
    <row r="2135" spans="1:14" hidden="1" x14ac:dyDescent="0.35">
      <c r="A2135" t="s">
        <v>772</v>
      </c>
      <c r="B2135" t="s">
        <v>37</v>
      </c>
      <c r="C2135" t="s">
        <v>105</v>
      </c>
      <c r="D2135" t="s">
        <v>105</v>
      </c>
      <c r="E2135" t="s">
        <v>633</v>
      </c>
      <c r="F2135" t="s">
        <v>581</v>
      </c>
      <c r="G2135" t="s">
        <v>396</v>
      </c>
      <c r="H2135">
        <v>1.22034</v>
      </c>
      <c r="I2135">
        <v>1.218639</v>
      </c>
      <c r="J2135">
        <v>0.9841915</v>
      </c>
      <c r="K2135">
        <v>0.93594489999999997</v>
      </c>
      <c r="L2135">
        <v>0.94943750000000005</v>
      </c>
      <c r="M2135">
        <v>0.91846939999999999</v>
      </c>
      <c r="N2135">
        <v>0.9475247</v>
      </c>
    </row>
    <row r="2136" spans="1:14" hidden="1" x14ac:dyDescent="0.35">
      <c r="A2136" t="s">
        <v>772</v>
      </c>
      <c r="B2136" t="s">
        <v>37</v>
      </c>
      <c r="C2136" t="s">
        <v>105</v>
      </c>
      <c r="D2136" t="s">
        <v>105</v>
      </c>
      <c r="E2136" t="s">
        <v>633</v>
      </c>
      <c r="F2136" t="s">
        <v>581</v>
      </c>
      <c r="G2136" t="s">
        <v>25</v>
      </c>
      <c r="H2136">
        <v>1.5079450000000001</v>
      </c>
      <c r="I2136">
        <v>1.4733210000000001</v>
      </c>
      <c r="J2136">
        <v>1.1716580000000001</v>
      </c>
      <c r="K2136">
        <v>1.1142190000000001</v>
      </c>
      <c r="L2136">
        <v>1.1302810000000001</v>
      </c>
      <c r="M2136">
        <v>1.0934170000000001</v>
      </c>
      <c r="N2136">
        <v>1.12801</v>
      </c>
    </row>
    <row r="2137" spans="1:14" hidden="1" x14ac:dyDescent="0.35">
      <c r="A2137" t="s">
        <v>772</v>
      </c>
      <c r="B2137" t="s">
        <v>37</v>
      </c>
      <c r="C2137" t="s">
        <v>105</v>
      </c>
      <c r="D2137" t="s">
        <v>105</v>
      </c>
      <c r="E2137" t="s">
        <v>633</v>
      </c>
      <c r="F2137" t="s">
        <v>26</v>
      </c>
      <c r="G2137" t="s">
        <v>26</v>
      </c>
      <c r="H2137">
        <v>3.2350680000000001</v>
      </c>
      <c r="I2137">
        <v>3.1823860000000002</v>
      </c>
      <c r="J2137">
        <v>2.530786</v>
      </c>
      <c r="K2137">
        <v>2.4067090000000002</v>
      </c>
      <c r="L2137">
        <v>2.4414039999999999</v>
      </c>
      <c r="M2137">
        <v>2.3617780000000002</v>
      </c>
      <c r="N2137">
        <v>2.4364919999999999</v>
      </c>
    </row>
    <row r="2138" spans="1:14" hidden="1" x14ac:dyDescent="0.35">
      <c r="A2138" t="s">
        <v>772</v>
      </c>
      <c r="B2138" t="s">
        <v>37</v>
      </c>
      <c r="C2138" t="s">
        <v>99</v>
      </c>
      <c r="D2138" t="s">
        <v>101</v>
      </c>
      <c r="E2138" t="s">
        <v>584</v>
      </c>
      <c r="F2138" t="s">
        <v>581</v>
      </c>
      <c r="G2138" t="s">
        <v>25</v>
      </c>
      <c r="H2138">
        <v>0.44945200000000002</v>
      </c>
      <c r="I2138">
        <v>0.37584269999999997</v>
      </c>
      <c r="J2138">
        <v>0.35192770000000001</v>
      </c>
      <c r="K2138">
        <v>0.31326989999999999</v>
      </c>
      <c r="L2138">
        <v>0.27724660000000001</v>
      </c>
      <c r="M2138">
        <v>0.24704519999999999</v>
      </c>
      <c r="N2138">
        <v>0.22036910000000001</v>
      </c>
    </row>
    <row r="2139" spans="1:14" hidden="1" x14ac:dyDescent="0.35">
      <c r="A2139" t="s">
        <v>772</v>
      </c>
      <c r="B2139" t="s">
        <v>37</v>
      </c>
      <c r="C2139" t="s">
        <v>99</v>
      </c>
      <c r="D2139" t="s">
        <v>101</v>
      </c>
      <c r="E2139" t="s">
        <v>584</v>
      </c>
      <c r="F2139" t="s">
        <v>26</v>
      </c>
      <c r="G2139" t="s">
        <v>26</v>
      </c>
      <c r="H2139">
        <v>2.5499999999999998</v>
      </c>
      <c r="I2139">
        <v>2.129775</v>
      </c>
      <c r="J2139">
        <v>1.994272</v>
      </c>
      <c r="K2139">
        <v>1.775191</v>
      </c>
      <c r="L2139">
        <v>1.571056</v>
      </c>
      <c r="M2139">
        <v>1.3999280000000001</v>
      </c>
      <c r="N2139">
        <v>1.248745</v>
      </c>
    </row>
    <row r="2141" spans="1:14" ht="150" customHeight="1" x14ac:dyDescent="0.35">
      <c r="A2141" s="484" t="s">
        <v>809</v>
      </c>
      <c r="B2141" s="485"/>
      <c r="C2141" s="485"/>
      <c r="D2141" s="485"/>
      <c r="E2141" s="485"/>
      <c r="F2141" s="485"/>
      <c r="G2141" s="485"/>
      <c r="H2141" s="485"/>
      <c r="I2141" s="485"/>
      <c r="J2141" s="485"/>
      <c r="K2141" s="485"/>
      <c r="L2141" s="485"/>
      <c r="M2141" s="485"/>
      <c r="N2141" s="485"/>
    </row>
    <row r="2143" spans="1:14" ht="15" thickBot="1" x14ac:dyDescent="0.4"/>
    <row r="2144" spans="1:14" ht="15.5" thickTop="1" thickBot="1" x14ac:dyDescent="0.4">
      <c r="A2144" s="162" t="s">
        <v>773</v>
      </c>
      <c r="C2144" s="486" t="s">
        <v>774</v>
      </c>
      <c r="D2144" s="487"/>
      <c r="E2144" s="487"/>
      <c r="F2144" s="487"/>
      <c r="G2144" s="487"/>
      <c r="H2144" s="487"/>
      <c r="I2144" s="488"/>
      <c r="K2144" s="486" t="s">
        <v>775</v>
      </c>
      <c r="L2144" s="488"/>
      <c r="N2144" s="163" t="s">
        <v>776</v>
      </c>
    </row>
    <row r="2145" spans="1:14" ht="15" thickBot="1" x14ac:dyDescent="0.4">
      <c r="A2145" s="164" t="s">
        <v>808</v>
      </c>
      <c r="C2145" s="165" t="s">
        <v>576</v>
      </c>
      <c r="D2145" s="166" t="s">
        <v>29</v>
      </c>
      <c r="E2145" s="166" t="s">
        <v>27</v>
      </c>
      <c r="F2145" s="166" t="s">
        <v>28</v>
      </c>
      <c r="G2145" s="166" t="s">
        <v>577</v>
      </c>
      <c r="H2145" s="166" t="s">
        <v>578</v>
      </c>
      <c r="I2145" s="167" t="s">
        <v>23</v>
      </c>
      <c r="K2145" s="165" t="s">
        <v>22</v>
      </c>
      <c r="L2145" s="167" t="s">
        <v>778</v>
      </c>
      <c r="N2145" s="168" t="s">
        <v>779</v>
      </c>
    </row>
    <row r="2146" spans="1:14" ht="15.5" thickTop="1" thickBot="1" x14ac:dyDescent="0.4">
      <c r="C2146" s="169" t="s">
        <v>780</v>
      </c>
      <c r="D2146" s="170" t="s">
        <v>781</v>
      </c>
      <c r="E2146" s="170" t="s">
        <v>782</v>
      </c>
      <c r="F2146" s="170" t="s">
        <v>783</v>
      </c>
      <c r="G2146" s="170" t="s">
        <v>784</v>
      </c>
      <c r="H2146" s="170" t="s">
        <v>785</v>
      </c>
      <c r="I2146" s="171" t="s">
        <v>786</v>
      </c>
      <c r="K2146" s="169" t="s">
        <v>787</v>
      </c>
      <c r="L2146" s="172" t="s">
        <v>788</v>
      </c>
      <c r="N2146" s="173" t="s">
        <v>789</v>
      </c>
    </row>
    <row r="2147" spans="1:14" ht="15.5" thickTop="1" thickBot="1" x14ac:dyDescent="0.4">
      <c r="A2147" s="174" t="s">
        <v>790</v>
      </c>
      <c r="C2147" s="175" t="s">
        <v>206</v>
      </c>
      <c r="D2147" s="176"/>
      <c r="E2147" s="176"/>
      <c r="F2147" s="176"/>
      <c r="G2147" s="176"/>
      <c r="H2147" s="176"/>
      <c r="I2147" s="177" t="s">
        <v>791</v>
      </c>
      <c r="K2147" s="175" t="s">
        <v>792</v>
      </c>
      <c r="L2147" s="178"/>
      <c r="N2147" s="179" t="s">
        <v>576</v>
      </c>
    </row>
    <row r="2148" spans="1:14" ht="15.5" thickTop="1" thickBot="1" x14ac:dyDescent="0.4">
      <c r="C2148" s="175" t="s">
        <v>623</v>
      </c>
      <c r="D2148" s="176"/>
      <c r="E2148" s="176"/>
      <c r="F2148" s="176"/>
      <c r="G2148" s="176"/>
      <c r="H2148" s="176"/>
      <c r="I2148" s="177" t="s">
        <v>793</v>
      </c>
      <c r="K2148" s="175" t="s">
        <v>794</v>
      </c>
      <c r="L2148" s="178"/>
      <c r="N2148" s="180" t="s">
        <v>795</v>
      </c>
    </row>
    <row r="2149" spans="1:14" ht="15" thickTop="1" x14ac:dyDescent="0.35">
      <c r="C2149" s="175" t="s">
        <v>222</v>
      </c>
      <c r="D2149" s="176"/>
      <c r="E2149" s="176"/>
      <c r="F2149" s="176"/>
      <c r="G2149" s="176"/>
      <c r="H2149" s="176"/>
      <c r="I2149" s="177" t="s">
        <v>796</v>
      </c>
      <c r="K2149" s="175" t="s">
        <v>797</v>
      </c>
      <c r="L2149" s="178"/>
    </row>
    <row r="2150" spans="1:14" x14ac:dyDescent="0.35">
      <c r="C2150" s="175" t="s">
        <v>226</v>
      </c>
      <c r="D2150" s="176"/>
      <c r="E2150" s="176"/>
      <c r="F2150" s="176"/>
      <c r="G2150" s="176"/>
      <c r="H2150" s="176"/>
      <c r="I2150" s="177" t="s">
        <v>798</v>
      </c>
      <c r="K2150" s="175" t="s">
        <v>799</v>
      </c>
      <c r="L2150" s="178"/>
    </row>
    <row r="2151" spans="1:14" x14ac:dyDescent="0.35">
      <c r="C2151" s="175" t="s">
        <v>682</v>
      </c>
      <c r="D2151" s="176"/>
      <c r="E2151" s="176"/>
      <c r="F2151" s="176"/>
      <c r="G2151" s="176"/>
      <c r="H2151" s="176"/>
      <c r="I2151" s="172" t="s">
        <v>800</v>
      </c>
      <c r="K2151" s="175" t="s">
        <v>801</v>
      </c>
      <c r="L2151" s="178"/>
    </row>
    <row r="2152" spans="1:14" x14ac:dyDescent="0.35">
      <c r="C2152" s="175" t="s">
        <v>607</v>
      </c>
      <c r="D2152" s="176"/>
      <c r="E2152" s="176"/>
      <c r="F2152" s="176"/>
      <c r="G2152" s="176"/>
      <c r="H2152" s="176"/>
      <c r="I2152" s="178"/>
      <c r="K2152" s="175" t="s">
        <v>802</v>
      </c>
      <c r="L2152" s="178"/>
    </row>
    <row r="2153" spans="1:14" x14ac:dyDescent="0.35">
      <c r="C2153" s="175" t="s">
        <v>231</v>
      </c>
      <c r="D2153" s="176"/>
      <c r="E2153" s="176"/>
      <c r="F2153" s="176"/>
      <c r="G2153" s="176"/>
      <c r="H2153" s="176"/>
      <c r="I2153" s="178"/>
      <c r="K2153" s="175" t="s">
        <v>803</v>
      </c>
      <c r="L2153" s="178"/>
    </row>
    <row r="2154" spans="1:14" ht="15" thickBot="1" x14ac:dyDescent="0.4">
      <c r="C2154" s="175" t="s">
        <v>232</v>
      </c>
      <c r="D2154" s="176"/>
      <c r="E2154" s="176"/>
      <c r="F2154" s="176"/>
      <c r="G2154" s="176"/>
      <c r="H2154" s="176"/>
      <c r="I2154" s="178"/>
      <c r="K2154" s="181" t="s">
        <v>804</v>
      </c>
      <c r="L2154" s="182"/>
    </row>
    <row r="2155" spans="1:14" ht="15" thickTop="1" x14ac:dyDescent="0.35">
      <c r="C2155" s="175" t="s">
        <v>240</v>
      </c>
      <c r="D2155" s="176"/>
      <c r="E2155" s="176"/>
      <c r="F2155" s="176"/>
      <c r="G2155" s="176"/>
      <c r="H2155" s="176"/>
      <c r="I2155" s="178"/>
    </row>
    <row r="2156" spans="1:14" x14ac:dyDescent="0.35">
      <c r="C2156" s="175" t="s">
        <v>242</v>
      </c>
      <c r="D2156" s="176"/>
      <c r="E2156" s="176"/>
      <c r="F2156" s="176"/>
      <c r="G2156" s="176"/>
      <c r="H2156" s="176"/>
      <c r="I2156" s="178"/>
    </row>
    <row r="2157" spans="1:14" x14ac:dyDescent="0.35">
      <c r="C2157" s="175" t="s">
        <v>669</v>
      </c>
      <c r="D2157" s="176"/>
      <c r="E2157" s="176"/>
      <c r="F2157" s="176"/>
      <c r="G2157" s="176"/>
      <c r="H2157" s="176"/>
      <c r="I2157" s="178"/>
    </row>
    <row r="2158" spans="1:14" x14ac:dyDescent="0.35">
      <c r="C2158" s="175" t="s">
        <v>243</v>
      </c>
      <c r="D2158" s="176"/>
      <c r="E2158" s="176"/>
      <c r="F2158" s="176"/>
      <c r="G2158" s="176"/>
      <c r="H2158" s="176"/>
      <c r="I2158" s="178"/>
    </row>
    <row r="2159" spans="1:14" x14ac:dyDescent="0.35">
      <c r="C2159" s="175" t="s">
        <v>250</v>
      </c>
      <c r="D2159" s="176"/>
      <c r="E2159" s="176"/>
      <c r="F2159" s="176"/>
      <c r="G2159" s="176"/>
      <c r="H2159" s="176"/>
      <c r="I2159" s="178"/>
    </row>
    <row r="2160" spans="1:14" x14ac:dyDescent="0.35">
      <c r="C2160" s="175" t="s">
        <v>722</v>
      </c>
      <c r="D2160" s="176"/>
      <c r="E2160" s="176"/>
      <c r="F2160" s="176"/>
      <c r="G2160" s="176"/>
      <c r="H2160" s="176"/>
      <c r="I2160" s="178"/>
    </row>
    <row r="2161" spans="3:9" x14ac:dyDescent="0.35">
      <c r="C2161" s="175" t="s">
        <v>648</v>
      </c>
      <c r="D2161" s="176"/>
      <c r="E2161" s="176"/>
      <c r="F2161" s="176"/>
      <c r="G2161" s="176"/>
      <c r="H2161" s="176"/>
      <c r="I2161" s="178"/>
    </row>
    <row r="2162" spans="3:9" x14ac:dyDescent="0.35">
      <c r="C2162" s="175" t="s">
        <v>690</v>
      </c>
      <c r="D2162" s="176"/>
      <c r="E2162" s="176"/>
      <c r="F2162" s="176"/>
      <c r="G2162" s="176"/>
      <c r="H2162" s="176"/>
      <c r="I2162" s="178"/>
    </row>
    <row r="2163" spans="3:9" x14ac:dyDescent="0.35">
      <c r="C2163" s="175" t="s">
        <v>711</v>
      </c>
      <c r="D2163" s="176"/>
      <c r="E2163" s="176"/>
      <c r="F2163" s="176"/>
      <c r="G2163" s="176"/>
      <c r="H2163" s="176"/>
      <c r="I2163" s="178"/>
    </row>
    <row r="2164" spans="3:9" x14ac:dyDescent="0.35">
      <c r="C2164" s="175" t="s">
        <v>680</v>
      </c>
      <c r="D2164" s="176"/>
      <c r="E2164" s="176"/>
      <c r="F2164" s="176"/>
      <c r="G2164" s="176"/>
      <c r="H2164" s="176"/>
      <c r="I2164" s="178"/>
    </row>
    <row r="2165" spans="3:9" x14ac:dyDescent="0.35">
      <c r="C2165" s="175" t="s">
        <v>645</v>
      </c>
      <c r="D2165" s="176"/>
      <c r="E2165" s="176"/>
      <c r="F2165" s="176"/>
      <c r="G2165" s="176"/>
      <c r="H2165" s="176"/>
      <c r="I2165" s="178"/>
    </row>
    <row r="2166" spans="3:9" x14ac:dyDescent="0.35">
      <c r="C2166" s="175" t="s">
        <v>694</v>
      </c>
      <c r="D2166" s="176"/>
      <c r="E2166" s="176"/>
      <c r="F2166" s="176"/>
      <c r="G2166" s="176"/>
      <c r="H2166" s="176"/>
      <c r="I2166" s="178"/>
    </row>
    <row r="2167" spans="3:9" x14ac:dyDescent="0.35">
      <c r="C2167" s="175" t="s">
        <v>805</v>
      </c>
      <c r="D2167" s="176"/>
      <c r="E2167" s="176"/>
      <c r="F2167" s="176"/>
      <c r="G2167" s="176"/>
      <c r="H2167" s="176"/>
      <c r="I2167" s="178"/>
    </row>
    <row r="2168" spans="3:9" x14ac:dyDescent="0.35">
      <c r="C2168" s="183" t="s">
        <v>806</v>
      </c>
      <c r="D2168" s="176"/>
      <c r="E2168" s="176"/>
      <c r="F2168" s="176"/>
      <c r="G2168" s="176"/>
      <c r="H2168" s="176"/>
      <c r="I2168" s="178"/>
    </row>
    <row r="2169" spans="3:9" x14ac:dyDescent="0.35">
      <c r="C2169" s="184"/>
      <c r="D2169" s="176"/>
      <c r="E2169" s="176"/>
      <c r="F2169" s="176"/>
      <c r="G2169" s="176"/>
      <c r="H2169" s="176"/>
      <c r="I2169" s="178"/>
    </row>
    <row r="2170" spans="3:9" x14ac:dyDescent="0.35">
      <c r="C2170" s="184"/>
      <c r="D2170" s="176"/>
      <c r="E2170" s="176"/>
      <c r="F2170" s="176"/>
      <c r="G2170" s="176"/>
      <c r="H2170" s="176"/>
      <c r="I2170" s="178"/>
    </row>
    <row r="2171" spans="3:9" x14ac:dyDescent="0.35">
      <c r="C2171" s="184"/>
      <c r="D2171" s="176"/>
      <c r="E2171" s="176"/>
      <c r="F2171" s="176"/>
      <c r="G2171" s="176"/>
      <c r="H2171" s="176"/>
      <c r="I2171" s="178"/>
    </row>
    <row r="2172" spans="3:9" x14ac:dyDescent="0.35">
      <c r="C2172" s="184"/>
      <c r="D2172" s="176"/>
      <c r="E2172" s="176"/>
      <c r="F2172" s="176"/>
      <c r="G2172" s="176"/>
      <c r="H2172" s="176"/>
      <c r="I2172" s="178"/>
    </row>
    <row r="2173" spans="3:9" x14ac:dyDescent="0.35">
      <c r="C2173" s="184"/>
      <c r="D2173" s="176"/>
      <c r="E2173" s="176"/>
      <c r="F2173" s="176"/>
      <c r="G2173" s="176"/>
      <c r="H2173" s="176"/>
      <c r="I2173" s="178"/>
    </row>
    <row r="2174" spans="3:9" x14ac:dyDescent="0.35">
      <c r="C2174" s="184"/>
      <c r="D2174" s="176"/>
      <c r="E2174" s="176"/>
      <c r="F2174" s="176"/>
      <c r="G2174" s="176"/>
      <c r="H2174" s="176"/>
      <c r="I2174" s="178"/>
    </row>
    <row r="2175" spans="3:9" x14ac:dyDescent="0.35">
      <c r="C2175" s="184"/>
      <c r="D2175" s="176"/>
      <c r="E2175" s="176"/>
      <c r="F2175" s="176"/>
      <c r="G2175" s="176"/>
      <c r="H2175" s="176"/>
      <c r="I2175" s="178"/>
    </row>
    <row r="2176" spans="3:9" x14ac:dyDescent="0.35">
      <c r="C2176" s="184"/>
      <c r="D2176" s="176"/>
      <c r="E2176" s="176"/>
      <c r="F2176" s="176"/>
      <c r="G2176" s="176"/>
      <c r="H2176" s="176"/>
      <c r="I2176" s="178"/>
    </row>
    <row r="2177" spans="3:9" x14ac:dyDescent="0.35">
      <c r="C2177" s="184"/>
      <c r="D2177" s="176"/>
      <c r="E2177" s="176"/>
      <c r="F2177" s="176"/>
      <c r="G2177" s="176"/>
      <c r="H2177" s="176"/>
      <c r="I2177" s="178"/>
    </row>
    <row r="2178" spans="3:9" x14ac:dyDescent="0.35">
      <c r="C2178" s="184"/>
      <c r="D2178" s="176"/>
      <c r="E2178" s="176"/>
      <c r="F2178" s="176"/>
      <c r="G2178" s="176"/>
      <c r="H2178" s="176"/>
      <c r="I2178" s="178"/>
    </row>
    <row r="2179" spans="3:9" x14ac:dyDescent="0.35">
      <c r="C2179" s="184"/>
      <c r="D2179" s="176"/>
      <c r="E2179" s="176"/>
      <c r="F2179" s="176"/>
      <c r="G2179" s="176"/>
      <c r="H2179" s="176"/>
      <c r="I2179" s="178"/>
    </row>
    <row r="2180" spans="3:9" x14ac:dyDescent="0.35">
      <c r="C2180" s="184"/>
      <c r="D2180" s="176"/>
      <c r="E2180" s="176"/>
      <c r="F2180" s="176"/>
      <c r="G2180" s="176"/>
      <c r="H2180" s="176"/>
      <c r="I2180" s="178"/>
    </row>
    <row r="2181" spans="3:9" x14ac:dyDescent="0.35">
      <c r="C2181" s="184"/>
      <c r="D2181" s="176"/>
      <c r="E2181" s="176"/>
      <c r="F2181" s="176"/>
      <c r="G2181" s="176"/>
      <c r="H2181" s="176"/>
      <c r="I2181" s="178"/>
    </row>
    <row r="2182" spans="3:9" x14ac:dyDescent="0.35">
      <c r="C2182" s="184"/>
      <c r="D2182" s="176"/>
      <c r="E2182" s="176"/>
      <c r="F2182" s="176"/>
      <c r="G2182" s="176"/>
      <c r="H2182" s="176"/>
      <c r="I2182" s="178"/>
    </row>
    <row r="2183" spans="3:9" x14ac:dyDescent="0.35">
      <c r="C2183" s="184"/>
      <c r="D2183" s="176"/>
      <c r="E2183" s="176"/>
      <c r="F2183" s="176"/>
      <c r="G2183" s="176"/>
      <c r="H2183" s="176"/>
      <c r="I2183" s="178"/>
    </row>
    <row r="2184" spans="3:9" x14ac:dyDescent="0.35">
      <c r="C2184" s="184"/>
      <c r="D2184" s="176"/>
      <c r="E2184" s="176"/>
      <c r="F2184" s="176"/>
      <c r="G2184" s="176"/>
      <c r="H2184" s="176"/>
      <c r="I2184" s="178"/>
    </row>
    <row r="2185" spans="3:9" x14ac:dyDescent="0.35">
      <c r="C2185" s="184"/>
      <c r="D2185" s="176"/>
      <c r="E2185" s="176"/>
      <c r="F2185" s="176"/>
      <c r="G2185" s="176"/>
      <c r="H2185" s="176"/>
      <c r="I2185" s="178"/>
    </row>
    <row r="2186" spans="3:9" x14ac:dyDescent="0.35">
      <c r="C2186" s="184"/>
      <c r="D2186" s="176"/>
      <c r="E2186" s="176"/>
      <c r="F2186" s="176"/>
      <c r="G2186" s="176"/>
      <c r="H2186" s="176"/>
      <c r="I2186" s="178"/>
    </row>
    <row r="2187" spans="3:9" x14ac:dyDescent="0.35">
      <c r="C2187" s="184"/>
      <c r="D2187" s="176"/>
      <c r="E2187" s="176"/>
      <c r="F2187" s="176"/>
      <c r="G2187" s="176"/>
      <c r="H2187" s="176"/>
      <c r="I2187" s="178"/>
    </row>
    <row r="2188" spans="3:9" x14ac:dyDescent="0.35">
      <c r="C2188" s="184"/>
      <c r="D2188" s="176"/>
      <c r="E2188" s="176"/>
      <c r="F2188" s="176"/>
      <c r="G2188" s="176"/>
      <c r="H2188" s="176"/>
      <c r="I2188" s="178"/>
    </row>
    <row r="2189" spans="3:9" x14ac:dyDescent="0.35">
      <c r="C2189" s="184"/>
      <c r="D2189" s="176"/>
      <c r="E2189" s="176"/>
      <c r="F2189" s="176"/>
      <c r="G2189" s="176"/>
      <c r="H2189" s="176"/>
      <c r="I2189" s="178"/>
    </row>
    <row r="2190" spans="3:9" x14ac:dyDescent="0.35">
      <c r="C2190" s="184"/>
      <c r="D2190" s="176"/>
      <c r="E2190" s="176"/>
      <c r="F2190" s="176"/>
      <c r="G2190" s="176"/>
      <c r="H2190" s="176"/>
      <c r="I2190" s="178"/>
    </row>
    <row r="2191" spans="3:9" x14ac:dyDescent="0.35">
      <c r="C2191" s="184"/>
      <c r="D2191" s="176"/>
      <c r="E2191" s="176"/>
      <c r="F2191" s="176"/>
      <c r="G2191" s="176"/>
      <c r="H2191" s="176"/>
      <c r="I2191" s="178"/>
    </row>
    <row r="2192" spans="3:9" x14ac:dyDescent="0.35">
      <c r="C2192" s="184"/>
      <c r="D2192" s="176"/>
      <c r="E2192" s="176"/>
      <c r="F2192" s="176"/>
      <c r="G2192" s="176"/>
      <c r="H2192" s="176"/>
      <c r="I2192" s="178"/>
    </row>
    <row r="2193" spans="3:9" x14ac:dyDescent="0.35">
      <c r="C2193" s="184"/>
      <c r="D2193" s="176"/>
      <c r="E2193" s="176"/>
      <c r="F2193" s="176"/>
      <c r="G2193" s="176"/>
      <c r="H2193" s="176"/>
      <c r="I2193" s="178"/>
    </row>
    <row r="2194" spans="3:9" x14ac:dyDescent="0.35">
      <c r="C2194" s="184"/>
      <c r="D2194" s="176"/>
      <c r="E2194" s="176"/>
      <c r="F2194" s="176"/>
      <c r="G2194" s="176"/>
      <c r="H2194" s="176"/>
      <c r="I2194" s="178"/>
    </row>
    <row r="2195" spans="3:9" x14ac:dyDescent="0.35">
      <c r="C2195" s="184"/>
      <c r="D2195" s="176"/>
      <c r="E2195" s="176"/>
      <c r="F2195" s="176"/>
      <c r="G2195" s="176"/>
      <c r="H2195" s="176"/>
      <c r="I2195" s="178"/>
    </row>
    <row r="2196" spans="3:9" x14ac:dyDescent="0.35">
      <c r="C2196" s="184"/>
      <c r="D2196" s="176"/>
      <c r="E2196" s="176"/>
      <c r="F2196" s="176"/>
      <c r="G2196" s="176"/>
      <c r="H2196" s="176"/>
      <c r="I2196" s="178"/>
    </row>
    <row r="2197" spans="3:9" x14ac:dyDescent="0.35">
      <c r="C2197" s="184"/>
      <c r="D2197" s="176"/>
      <c r="E2197" s="176"/>
      <c r="F2197" s="176"/>
      <c r="G2197" s="176"/>
      <c r="H2197" s="176"/>
      <c r="I2197" s="178"/>
    </row>
    <row r="2198" spans="3:9" x14ac:dyDescent="0.35">
      <c r="C2198" s="184"/>
      <c r="D2198" s="176"/>
      <c r="E2198" s="176"/>
      <c r="F2198" s="176"/>
      <c r="G2198" s="176"/>
      <c r="H2198" s="176"/>
      <c r="I2198" s="178"/>
    </row>
    <row r="2199" spans="3:9" x14ac:dyDescent="0.35">
      <c r="C2199" s="184"/>
      <c r="D2199" s="176"/>
      <c r="E2199" s="176"/>
      <c r="F2199" s="176"/>
      <c r="G2199" s="176"/>
      <c r="H2199" s="176"/>
      <c r="I2199" s="178"/>
    </row>
    <row r="2200" spans="3:9" x14ac:dyDescent="0.35">
      <c r="C2200" s="184"/>
      <c r="D2200" s="176"/>
      <c r="E2200" s="176"/>
      <c r="F2200" s="176"/>
      <c r="G2200" s="176"/>
      <c r="H2200" s="176"/>
      <c r="I2200" s="178"/>
    </row>
    <row r="2201" spans="3:9" x14ac:dyDescent="0.35">
      <c r="C2201" s="184"/>
      <c r="D2201" s="176"/>
      <c r="E2201" s="176"/>
      <c r="F2201" s="176"/>
      <c r="G2201" s="176"/>
      <c r="H2201" s="176"/>
      <c r="I2201" s="178"/>
    </row>
    <row r="2202" spans="3:9" x14ac:dyDescent="0.35">
      <c r="C2202" s="184"/>
      <c r="D2202" s="176"/>
      <c r="E2202" s="176"/>
      <c r="F2202" s="176"/>
      <c r="G2202" s="176"/>
      <c r="H2202" s="176"/>
      <c r="I2202" s="178"/>
    </row>
    <row r="2203" spans="3:9" x14ac:dyDescent="0.35">
      <c r="C2203" s="184"/>
      <c r="D2203" s="176"/>
      <c r="E2203" s="176"/>
      <c r="F2203" s="176"/>
      <c r="G2203" s="176"/>
      <c r="H2203" s="176"/>
      <c r="I2203" s="178"/>
    </row>
    <row r="2204" spans="3:9" x14ac:dyDescent="0.35">
      <c r="C2204" s="184"/>
      <c r="D2204" s="176"/>
      <c r="E2204" s="176"/>
      <c r="F2204" s="176"/>
      <c r="G2204" s="176"/>
      <c r="H2204" s="176"/>
      <c r="I2204" s="178"/>
    </row>
    <row r="2205" spans="3:9" x14ac:dyDescent="0.35">
      <c r="C2205" s="184"/>
      <c r="D2205" s="176"/>
      <c r="E2205" s="176"/>
      <c r="F2205" s="176"/>
      <c r="G2205" s="176"/>
      <c r="H2205" s="176"/>
      <c r="I2205" s="178"/>
    </row>
    <row r="2206" spans="3:9" x14ac:dyDescent="0.35">
      <c r="C2206" s="184"/>
      <c r="D2206" s="176"/>
      <c r="E2206" s="176"/>
      <c r="F2206" s="176"/>
      <c r="G2206" s="176"/>
      <c r="H2206" s="176"/>
      <c r="I2206" s="178"/>
    </row>
    <row r="2207" spans="3:9" x14ac:dyDescent="0.35">
      <c r="C2207" s="184"/>
      <c r="D2207" s="176"/>
      <c r="E2207" s="176"/>
      <c r="F2207" s="176"/>
      <c r="G2207" s="176"/>
      <c r="H2207" s="176"/>
      <c r="I2207" s="178"/>
    </row>
    <row r="2208" spans="3:9" x14ac:dyDescent="0.35">
      <c r="C2208" s="184"/>
      <c r="D2208" s="176"/>
      <c r="E2208" s="176"/>
      <c r="F2208" s="176"/>
      <c r="G2208" s="176"/>
      <c r="H2208" s="176"/>
      <c r="I2208" s="178"/>
    </row>
    <row r="2209" spans="3:9" x14ac:dyDescent="0.35">
      <c r="C2209" s="184"/>
      <c r="D2209" s="176"/>
      <c r="E2209" s="176"/>
      <c r="F2209" s="176"/>
      <c r="G2209" s="176"/>
      <c r="H2209" s="176"/>
      <c r="I2209" s="178"/>
    </row>
    <row r="2210" spans="3:9" x14ac:dyDescent="0.35">
      <c r="C2210" s="184"/>
      <c r="D2210" s="176"/>
      <c r="E2210" s="176"/>
      <c r="F2210" s="176"/>
      <c r="G2210" s="176"/>
      <c r="H2210" s="176"/>
      <c r="I2210" s="178"/>
    </row>
    <row r="2211" spans="3:9" x14ac:dyDescent="0.35">
      <c r="C2211" s="184"/>
      <c r="D2211" s="176"/>
      <c r="E2211" s="176"/>
      <c r="F2211" s="176"/>
      <c r="G2211" s="176"/>
      <c r="H2211" s="176"/>
      <c r="I2211" s="178"/>
    </row>
    <row r="2212" spans="3:9" x14ac:dyDescent="0.35">
      <c r="C2212" s="184"/>
      <c r="D2212" s="176"/>
      <c r="E2212" s="176"/>
      <c r="F2212" s="176"/>
      <c r="G2212" s="176"/>
      <c r="H2212" s="176"/>
      <c r="I2212" s="178"/>
    </row>
    <row r="2213" spans="3:9" x14ac:dyDescent="0.35">
      <c r="C2213" s="184"/>
      <c r="D2213" s="176"/>
      <c r="E2213" s="176"/>
      <c r="F2213" s="176"/>
      <c r="G2213" s="176"/>
      <c r="H2213" s="176"/>
      <c r="I2213" s="178"/>
    </row>
    <row r="2214" spans="3:9" x14ac:dyDescent="0.35">
      <c r="C2214" s="184"/>
      <c r="D2214" s="176"/>
      <c r="E2214" s="176"/>
      <c r="F2214" s="176"/>
      <c r="G2214" s="176"/>
      <c r="H2214" s="176"/>
      <c r="I2214" s="178"/>
    </row>
    <row r="2215" spans="3:9" x14ac:dyDescent="0.35">
      <c r="C2215" s="184"/>
      <c r="D2215" s="176"/>
      <c r="E2215" s="176"/>
      <c r="F2215" s="176"/>
      <c r="G2215" s="176"/>
      <c r="H2215" s="176"/>
      <c r="I2215" s="178"/>
    </row>
    <row r="2216" spans="3:9" x14ac:dyDescent="0.35">
      <c r="C2216" s="184"/>
      <c r="D2216" s="176"/>
      <c r="E2216" s="176"/>
      <c r="F2216" s="176"/>
      <c r="G2216" s="176"/>
      <c r="H2216" s="176"/>
      <c r="I2216" s="178"/>
    </row>
    <row r="2217" spans="3:9" x14ac:dyDescent="0.35">
      <c r="C2217" s="184"/>
      <c r="D2217" s="176"/>
      <c r="E2217" s="176"/>
      <c r="F2217" s="176"/>
      <c r="G2217" s="176"/>
      <c r="H2217" s="176"/>
      <c r="I2217" s="178"/>
    </row>
    <row r="2218" spans="3:9" x14ac:dyDescent="0.35">
      <c r="C2218" s="184"/>
      <c r="D2218" s="176"/>
      <c r="E2218" s="176"/>
      <c r="F2218" s="176"/>
      <c r="G2218" s="176"/>
      <c r="H2218" s="176"/>
      <c r="I2218" s="178"/>
    </row>
    <row r="2219" spans="3:9" x14ac:dyDescent="0.35">
      <c r="C2219" s="184"/>
      <c r="D2219" s="176"/>
      <c r="E2219" s="176"/>
      <c r="F2219" s="176"/>
      <c r="G2219" s="176"/>
      <c r="H2219" s="176"/>
      <c r="I2219" s="178"/>
    </row>
    <row r="2220" spans="3:9" x14ac:dyDescent="0.35">
      <c r="C2220" s="184"/>
      <c r="D2220" s="176"/>
      <c r="E2220" s="176"/>
      <c r="F2220" s="176"/>
      <c r="G2220" s="176"/>
      <c r="H2220" s="176"/>
      <c r="I2220" s="178"/>
    </row>
    <row r="2221" spans="3:9" x14ac:dyDescent="0.35">
      <c r="C2221" s="184"/>
      <c r="D2221" s="176"/>
      <c r="E2221" s="176"/>
      <c r="F2221" s="176"/>
      <c r="G2221" s="176"/>
      <c r="H2221" s="176"/>
      <c r="I2221" s="178"/>
    </row>
    <row r="2222" spans="3:9" x14ac:dyDescent="0.35">
      <c r="C2222" s="184"/>
      <c r="D2222" s="176"/>
      <c r="E2222" s="176"/>
      <c r="F2222" s="176"/>
      <c r="G2222" s="176"/>
      <c r="H2222" s="176"/>
      <c r="I2222" s="178"/>
    </row>
    <row r="2223" spans="3:9" x14ac:dyDescent="0.35">
      <c r="C2223" s="184"/>
      <c r="D2223" s="176"/>
      <c r="E2223" s="176"/>
      <c r="F2223" s="176"/>
      <c r="G2223" s="176"/>
      <c r="H2223" s="176"/>
      <c r="I2223" s="178"/>
    </row>
    <row r="2224" spans="3:9" x14ac:dyDescent="0.35">
      <c r="C2224" s="184"/>
      <c r="D2224" s="176"/>
      <c r="E2224" s="176"/>
      <c r="F2224" s="176"/>
      <c r="G2224" s="176"/>
      <c r="H2224" s="176"/>
      <c r="I2224" s="178"/>
    </row>
    <row r="2225" spans="3:9" x14ac:dyDescent="0.35">
      <c r="C2225" s="184"/>
      <c r="D2225" s="176"/>
      <c r="E2225" s="176"/>
      <c r="F2225" s="176"/>
      <c r="G2225" s="176"/>
      <c r="H2225" s="176"/>
      <c r="I2225" s="178"/>
    </row>
    <row r="2226" spans="3:9" x14ac:dyDescent="0.35">
      <c r="C2226" s="184"/>
      <c r="D2226" s="176"/>
      <c r="E2226" s="176"/>
      <c r="F2226" s="176"/>
      <c r="G2226" s="176"/>
      <c r="H2226" s="176"/>
      <c r="I2226" s="178"/>
    </row>
    <row r="2227" spans="3:9" x14ac:dyDescent="0.35">
      <c r="C2227" s="184"/>
      <c r="D2227" s="176"/>
      <c r="E2227" s="176"/>
      <c r="F2227" s="176"/>
      <c r="G2227" s="176"/>
      <c r="H2227" s="176"/>
      <c r="I2227" s="178"/>
    </row>
    <row r="2228" spans="3:9" x14ac:dyDescent="0.35">
      <c r="C2228" s="184"/>
      <c r="D2228" s="176"/>
      <c r="E2228" s="176"/>
      <c r="F2228" s="176"/>
      <c r="G2228" s="176"/>
      <c r="H2228" s="176"/>
      <c r="I2228" s="178"/>
    </row>
    <row r="2229" spans="3:9" ht="15" thickBot="1" x14ac:dyDescent="0.4">
      <c r="C2229" s="185"/>
      <c r="D2229" s="186"/>
      <c r="E2229" s="186"/>
      <c r="F2229" s="186"/>
      <c r="G2229" s="186"/>
      <c r="H2229" s="186"/>
      <c r="I2229" s="182"/>
    </row>
    <row r="2230" spans="3:9" ht="15" thickTop="1" x14ac:dyDescent="0.35"/>
  </sheetData>
  <autoFilter ref="A8:N2139" xr:uid="{B1478E8F-C15A-4491-948C-E1E909AB434D}">
    <filterColumn colId="0">
      <filters>
        <filter val="Concho Resources"/>
      </filters>
    </filterColumn>
    <filterColumn colId="6">
      <filters>
        <filter val="Oil"/>
      </filters>
    </filterColumn>
  </autoFilter>
  <mergeCells count="3">
    <mergeCell ref="A2141:N2141"/>
    <mergeCell ref="C2144:I2144"/>
    <mergeCell ref="K2144:L214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31999-4643-4E4C-B28C-C0A53C6FF89B}">
  <sheetPr filterMode="1"/>
  <dimension ref="A1:O8108"/>
  <sheetViews>
    <sheetView showGridLines="0" zoomScale="90" zoomScaleNormal="90" workbookViewId="0">
      <selection activeCell="F3970" sqref="F3970"/>
    </sheetView>
  </sheetViews>
  <sheetFormatPr defaultRowHeight="14.5" x14ac:dyDescent="0.35"/>
  <cols>
    <col min="1" max="1" width="12.54296875" bestFit="1" customWidth="1"/>
    <col min="3" max="3" width="22.90625" bestFit="1" customWidth="1"/>
    <col min="4" max="5" width="14.90625" bestFit="1" customWidth="1"/>
    <col min="6" max="6" width="15.90625" bestFit="1" customWidth="1"/>
    <col min="7" max="7" width="14.90625" bestFit="1" customWidth="1"/>
    <col min="8" max="8" width="15.81640625" bestFit="1" customWidth="1"/>
    <col min="9" max="9" width="15.453125" bestFit="1" customWidth="1"/>
    <col min="10" max="10" width="10" bestFit="1" customWidth="1"/>
    <col min="11" max="11" width="14.81640625" bestFit="1" customWidth="1"/>
    <col min="12" max="12" width="12.90625" bestFit="1" customWidth="1"/>
    <col min="13" max="13" width="10" bestFit="1" customWidth="1"/>
    <col min="14" max="14" width="18.453125" bestFit="1" customWidth="1"/>
    <col min="15" max="15" width="12.54296875" bestFit="1" customWidth="1"/>
  </cols>
  <sheetData>
    <row r="1" spans="1:14" x14ac:dyDescent="0.35">
      <c r="A1" t="s">
        <v>573</v>
      </c>
    </row>
    <row r="2" spans="1:14" x14ac:dyDescent="0.35">
      <c r="A2" t="s">
        <v>871</v>
      </c>
    </row>
    <row r="3" spans="1:14" x14ac:dyDescent="0.35">
      <c r="A3" t="s">
        <v>872</v>
      </c>
    </row>
    <row r="8" spans="1:14" s="35" customFormat="1" x14ac:dyDescent="0.35">
      <c r="A8" s="54" t="s">
        <v>576</v>
      </c>
      <c r="B8" s="54" t="s">
        <v>29</v>
      </c>
      <c r="C8" s="54" t="s">
        <v>27</v>
      </c>
      <c r="D8" s="54" t="s">
        <v>28</v>
      </c>
      <c r="E8" s="54" t="s">
        <v>577</v>
      </c>
      <c r="F8" s="54" t="s">
        <v>578</v>
      </c>
      <c r="G8" s="54" t="s">
        <v>274</v>
      </c>
      <c r="H8" s="54">
        <v>2019</v>
      </c>
      <c r="I8" s="54">
        <v>2020</v>
      </c>
      <c r="J8" s="54">
        <v>2021</v>
      </c>
      <c r="K8" s="54">
        <v>2022</v>
      </c>
      <c r="L8" s="54">
        <v>2023</v>
      </c>
      <c r="M8" s="54">
        <v>2024</v>
      </c>
      <c r="N8" s="54">
        <v>2025</v>
      </c>
    </row>
    <row r="9" spans="1:14" hidden="1" x14ac:dyDescent="0.35">
      <c r="A9" s="52" t="s">
        <v>206</v>
      </c>
      <c r="B9" s="52" t="s">
        <v>37</v>
      </c>
      <c r="C9" s="52" t="s">
        <v>57</v>
      </c>
      <c r="D9" s="52" t="s">
        <v>57</v>
      </c>
      <c r="E9" s="52" t="s">
        <v>584</v>
      </c>
      <c r="F9" s="52" t="s">
        <v>581</v>
      </c>
      <c r="G9" s="195" t="s">
        <v>275</v>
      </c>
      <c r="H9" s="195">
        <v>1447.8630000000001</v>
      </c>
      <c r="I9" s="195">
        <v>-648.53089999999997</v>
      </c>
      <c r="J9" s="195">
        <v>-139.9444</v>
      </c>
      <c r="K9" s="195">
        <v>-105.78700000000001</v>
      </c>
      <c r="L9" s="195">
        <v>-236.26939999999999</v>
      </c>
      <c r="M9" s="195">
        <v>-0.3691816</v>
      </c>
      <c r="N9" s="195">
        <v>-388.71159999999998</v>
      </c>
    </row>
    <row r="10" spans="1:14" hidden="1" x14ac:dyDescent="0.35">
      <c r="A10" s="52" t="s">
        <v>206</v>
      </c>
      <c r="B10" s="52" t="s">
        <v>37</v>
      </c>
      <c r="C10" s="52" t="s">
        <v>57</v>
      </c>
      <c r="D10" s="52" t="s">
        <v>57</v>
      </c>
      <c r="E10" s="52" t="s">
        <v>584</v>
      </c>
      <c r="F10" s="52" t="s">
        <v>581</v>
      </c>
      <c r="G10" s="195" t="s">
        <v>276</v>
      </c>
      <c r="H10" s="195">
        <v>472.58249999999998</v>
      </c>
      <c r="I10" s="195">
        <v>-289.89999999999998</v>
      </c>
      <c r="J10" s="195">
        <v>-298.01029999999997</v>
      </c>
      <c r="K10" s="195">
        <v>-245.4118</v>
      </c>
      <c r="L10" s="195">
        <v>-237.1532</v>
      </c>
      <c r="M10" s="195">
        <v>-203.77090000000001</v>
      </c>
      <c r="N10" s="195">
        <v>-308.41860000000003</v>
      </c>
    </row>
    <row r="11" spans="1:14" hidden="1" x14ac:dyDescent="0.35">
      <c r="A11" s="52" t="s">
        <v>206</v>
      </c>
      <c r="B11" s="52" t="s">
        <v>37</v>
      </c>
      <c r="C11" s="52" t="s">
        <v>57</v>
      </c>
      <c r="D11" s="52" t="s">
        <v>57</v>
      </c>
      <c r="E11" s="52" t="s">
        <v>584</v>
      </c>
      <c r="F11" s="52" t="s">
        <v>581</v>
      </c>
      <c r="G11" s="195" t="s">
        <v>277</v>
      </c>
      <c r="H11" s="195">
        <v>1122.204</v>
      </c>
      <c r="I11" s="195">
        <v>1479.9110000000001</v>
      </c>
      <c r="J11" s="195">
        <v>796.66830000000004</v>
      </c>
      <c r="K11" s="195">
        <v>651.14890000000003</v>
      </c>
      <c r="L11" s="195">
        <v>728.35410000000002</v>
      </c>
      <c r="M11" s="195">
        <v>464.92</v>
      </c>
      <c r="N11" s="195">
        <v>435.48270000000002</v>
      </c>
    </row>
    <row r="12" spans="1:14" hidden="1" x14ac:dyDescent="0.35">
      <c r="A12" s="52" t="s">
        <v>206</v>
      </c>
      <c r="B12" s="52" t="s">
        <v>37</v>
      </c>
      <c r="C12" s="52" t="s">
        <v>57</v>
      </c>
      <c r="D12" s="52" t="s">
        <v>57</v>
      </c>
      <c r="E12" s="52" t="s">
        <v>584</v>
      </c>
      <c r="F12" s="52" t="s">
        <v>581</v>
      </c>
      <c r="G12" s="195" t="s">
        <v>278</v>
      </c>
      <c r="H12" s="195">
        <v>5.1917549999999997</v>
      </c>
      <c r="I12" s="195">
        <v>25.117560000000001</v>
      </c>
      <c r="J12" s="195">
        <v>10.13851</v>
      </c>
      <c r="K12" s="195">
        <v>9.5506399999999996</v>
      </c>
      <c r="L12" s="195">
        <v>11.924670000000001</v>
      </c>
      <c r="M12" s="195">
        <v>10.58212</v>
      </c>
      <c r="N12" s="195">
        <v>11.952579999999999</v>
      </c>
    </row>
    <row r="13" spans="1:14" hidden="1" x14ac:dyDescent="0.35">
      <c r="A13" s="52" t="s">
        <v>206</v>
      </c>
      <c r="B13" s="52" t="s">
        <v>37</v>
      </c>
      <c r="C13" s="52" t="s">
        <v>57</v>
      </c>
      <c r="D13" s="52" t="s">
        <v>57</v>
      </c>
      <c r="E13" s="52" t="s">
        <v>584</v>
      </c>
      <c r="F13" s="52" t="s">
        <v>581</v>
      </c>
      <c r="G13" s="195" t="s">
        <v>279</v>
      </c>
      <c r="H13" s="195">
        <v>1680.3679999999999</v>
      </c>
      <c r="I13" s="195">
        <v>1332.96</v>
      </c>
      <c r="J13" s="195">
        <v>1289.6890000000001</v>
      </c>
      <c r="K13" s="195">
        <v>1391.508</v>
      </c>
      <c r="L13" s="195">
        <v>1440.865</v>
      </c>
      <c r="M13" s="195">
        <v>1396.14</v>
      </c>
      <c r="N13" s="195">
        <v>1874.5519999999999</v>
      </c>
    </row>
    <row r="14" spans="1:14" hidden="1" x14ac:dyDescent="0.35">
      <c r="A14" s="52" t="s">
        <v>206</v>
      </c>
      <c r="B14" s="52" t="s">
        <v>37</v>
      </c>
      <c r="C14" s="52" t="s">
        <v>57</v>
      </c>
      <c r="D14" s="52" t="s">
        <v>57</v>
      </c>
      <c r="E14" s="52" t="s">
        <v>584</v>
      </c>
      <c r="F14" s="52" t="s">
        <v>26</v>
      </c>
      <c r="G14" s="195" t="s">
        <v>275</v>
      </c>
      <c r="H14" s="195">
        <v>0.63533470000000003</v>
      </c>
      <c r="I14" s="195">
        <v>-0.56147769999999997</v>
      </c>
      <c r="J14" s="195">
        <v>2.7367679999999998E-2</v>
      </c>
      <c r="K14" s="195">
        <v>-7.0371370000000003E-2</v>
      </c>
      <c r="L14" s="195">
        <v>-5.0132379999999997E-2</v>
      </c>
      <c r="M14" s="195">
        <v>-0.31386829999999999</v>
      </c>
      <c r="N14" s="195">
        <v>-1.602255E-2</v>
      </c>
    </row>
    <row r="15" spans="1:14" hidden="1" x14ac:dyDescent="0.35">
      <c r="A15" s="52" t="s">
        <v>206</v>
      </c>
      <c r="B15" s="52" t="s">
        <v>37</v>
      </c>
      <c r="C15" s="52" t="s">
        <v>57</v>
      </c>
      <c r="D15" s="52" t="s">
        <v>57</v>
      </c>
      <c r="E15" s="52" t="s">
        <v>584</v>
      </c>
      <c r="F15" s="52" t="s">
        <v>26</v>
      </c>
      <c r="G15" s="195" t="s">
        <v>276</v>
      </c>
      <c r="H15" s="195">
        <v>0.19913239999999999</v>
      </c>
      <c r="I15" s="195">
        <v>-9.4391010000000001E-3</v>
      </c>
      <c r="J15" s="195">
        <v>-0.52058459999999995</v>
      </c>
      <c r="K15" s="195">
        <v>-0.48490349999999999</v>
      </c>
      <c r="L15" s="195">
        <v>-2.6339320000000002</v>
      </c>
      <c r="M15" s="195">
        <v>-1.1373329999999999</v>
      </c>
      <c r="N15" s="195">
        <v>-0.46116760000000001</v>
      </c>
    </row>
    <row r="16" spans="1:14" hidden="1" x14ac:dyDescent="0.35">
      <c r="A16" s="52" t="s">
        <v>206</v>
      </c>
      <c r="B16" s="52" t="s">
        <v>37</v>
      </c>
      <c r="C16" s="52" t="s">
        <v>57</v>
      </c>
      <c r="D16" s="52" t="s">
        <v>57</v>
      </c>
      <c r="E16" s="52" t="s">
        <v>584</v>
      </c>
      <c r="F16" s="52" t="s">
        <v>26</v>
      </c>
      <c r="G16" s="195" t="s">
        <v>278</v>
      </c>
      <c r="H16" s="195">
        <v>0</v>
      </c>
      <c r="I16" s="195">
        <v>0.99149220000000005</v>
      </c>
      <c r="J16" s="195">
        <v>0.45417039999999997</v>
      </c>
      <c r="K16" s="195">
        <v>0.45417039999999997</v>
      </c>
      <c r="L16" s="195">
        <v>2.6120299999999999</v>
      </c>
      <c r="M16" s="195">
        <v>1.0002409999999999</v>
      </c>
      <c r="N16" s="195">
        <v>0.45417039999999997</v>
      </c>
    </row>
    <row r="17" spans="1:14" hidden="1" x14ac:dyDescent="0.35">
      <c r="A17" s="52" t="s">
        <v>206</v>
      </c>
      <c r="B17" s="52" t="s">
        <v>37</v>
      </c>
      <c r="C17" s="52" t="s">
        <v>57</v>
      </c>
      <c r="D17" s="52" t="s">
        <v>57</v>
      </c>
      <c r="E17" s="52" t="s">
        <v>584</v>
      </c>
      <c r="F17" s="52" t="s">
        <v>26</v>
      </c>
      <c r="G17" s="195" t="s">
        <v>279</v>
      </c>
      <c r="H17" s="195">
        <v>5.601458</v>
      </c>
      <c r="I17" s="195">
        <v>4.0020720000000001</v>
      </c>
      <c r="J17" s="195">
        <v>3.090551</v>
      </c>
      <c r="K17" s="195">
        <v>2.20872</v>
      </c>
      <c r="L17" s="195">
        <v>1.5293570000000001</v>
      </c>
      <c r="M17" s="195">
        <v>1.431848</v>
      </c>
      <c r="N17" s="195">
        <v>0.69841399999999998</v>
      </c>
    </row>
    <row r="18" spans="1:14" hidden="1" x14ac:dyDescent="0.35">
      <c r="A18" s="52" t="s">
        <v>206</v>
      </c>
      <c r="B18" s="52" t="s">
        <v>37</v>
      </c>
      <c r="C18" s="52" t="s">
        <v>79</v>
      </c>
      <c r="D18" s="52" t="s">
        <v>79</v>
      </c>
      <c r="E18" s="52" t="s">
        <v>600</v>
      </c>
      <c r="F18" s="52" t="s">
        <v>581</v>
      </c>
      <c r="G18" s="195" t="s">
        <v>275</v>
      </c>
      <c r="H18" s="195">
        <v>-19.203240000000001</v>
      </c>
      <c r="I18" s="195">
        <v>242.32400000000001</v>
      </c>
      <c r="J18" s="195">
        <v>307.56279999999998</v>
      </c>
      <c r="K18" s="195">
        <v>328.92180000000002</v>
      </c>
      <c r="L18" s="195">
        <v>226.81379999999999</v>
      </c>
      <c r="M18" s="195">
        <v>95.259140000000002</v>
      </c>
      <c r="N18" s="195">
        <v>60.062600000000003</v>
      </c>
    </row>
    <row r="19" spans="1:14" hidden="1" x14ac:dyDescent="0.35">
      <c r="A19" s="52" t="s">
        <v>206</v>
      </c>
      <c r="B19" s="52" t="s">
        <v>37</v>
      </c>
      <c r="C19" s="52" t="s">
        <v>79</v>
      </c>
      <c r="D19" s="52" t="s">
        <v>79</v>
      </c>
      <c r="E19" s="52" t="s">
        <v>600</v>
      </c>
      <c r="F19" s="52" t="s">
        <v>581</v>
      </c>
      <c r="G19" s="195" t="s">
        <v>276</v>
      </c>
      <c r="H19" s="195">
        <v>79.168189999999996</v>
      </c>
      <c r="I19" s="195">
        <v>-123.8984</v>
      </c>
      <c r="J19" s="195">
        <v>-170.042</v>
      </c>
      <c r="K19" s="195">
        <v>-190.27119999999999</v>
      </c>
      <c r="L19" s="195">
        <v>-161.4649</v>
      </c>
      <c r="M19" s="195">
        <v>-13.577030000000001</v>
      </c>
      <c r="N19" s="195">
        <v>-2.0320819999999999</v>
      </c>
    </row>
    <row r="20" spans="1:14" hidden="1" x14ac:dyDescent="0.35">
      <c r="A20" s="52" t="s">
        <v>206</v>
      </c>
      <c r="B20" s="52" t="s">
        <v>37</v>
      </c>
      <c r="C20" s="52" t="s">
        <v>79</v>
      </c>
      <c r="D20" s="52" t="s">
        <v>79</v>
      </c>
      <c r="E20" s="52" t="s">
        <v>600</v>
      </c>
      <c r="F20" s="52" t="s">
        <v>581</v>
      </c>
      <c r="G20" s="195" t="s">
        <v>277</v>
      </c>
      <c r="H20" s="195">
        <v>1668.2840000000001</v>
      </c>
      <c r="I20" s="195">
        <v>169.04300000000001</v>
      </c>
      <c r="J20" s="195">
        <v>108.2784</v>
      </c>
      <c r="K20" s="195">
        <v>44.226770000000002</v>
      </c>
      <c r="L20" s="195">
        <v>39.1721</v>
      </c>
      <c r="M20" s="195">
        <v>0</v>
      </c>
      <c r="N20" s="195">
        <v>0</v>
      </c>
    </row>
    <row r="21" spans="1:14" hidden="1" x14ac:dyDescent="0.35">
      <c r="A21" s="52" t="s">
        <v>206</v>
      </c>
      <c r="B21" s="52" t="s">
        <v>37</v>
      </c>
      <c r="C21" s="52" t="s">
        <v>79</v>
      </c>
      <c r="D21" s="52" t="s">
        <v>79</v>
      </c>
      <c r="E21" s="52" t="s">
        <v>600</v>
      </c>
      <c r="F21" s="52" t="s">
        <v>581</v>
      </c>
      <c r="G21" s="195" t="s">
        <v>278</v>
      </c>
      <c r="H21" s="195">
        <v>205.64510000000001</v>
      </c>
      <c r="I21" s="195">
        <v>106.90949999999999</v>
      </c>
      <c r="J21" s="195">
        <v>25.45316</v>
      </c>
      <c r="K21" s="195">
        <v>15.41616</v>
      </c>
      <c r="L21" s="195">
        <v>9.1760570000000001</v>
      </c>
      <c r="M21" s="195">
        <v>0</v>
      </c>
      <c r="N21" s="195">
        <v>0</v>
      </c>
    </row>
    <row r="22" spans="1:14" hidden="1" x14ac:dyDescent="0.35">
      <c r="A22" s="52" t="s">
        <v>206</v>
      </c>
      <c r="B22" s="52" t="s">
        <v>37</v>
      </c>
      <c r="C22" s="52" t="s">
        <v>79</v>
      </c>
      <c r="D22" s="52" t="s">
        <v>79</v>
      </c>
      <c r="E22" s="52" t="s">
        <v>600</v>
      </c>
      <c r="F22" s="52" t="s">
        <v>581</v>
      </c>
      <c r="G22" s="195" t="s">
        <v>279</v>
      </c>
      <c r="H22" s="195">
        <v>897.83439999999996</v>
      </c>
      <c r="I22" s="195">
        <v>604.09990000000005</v>
      </c>
      <c r="J22" s="195">
        <v>514.10329999999999</v>
      </c>
      <c r="K22" s="195">
        <v>395.02749999999997</v>
      </c>
      <c r="L22" s="195">
        <v>317.64400000000001</v>
      </c>
      <c r="M22" s="195">
        <v>222.80099999999999</v>
      </c>
      <c r="N22" s="195">
        <v>162.07339999999999</v>
      </c>
    </row>
    <row r="23" spans="1:14" hidden="1" x14ac:dyDescent="0.35">
      <c r="A23" s="52" t="s">
        <v>206</v>
      </c>
      <c r="B23" s="52" t="s">
        <v>37</v>
      </c>
      <c r="C23" s="52" t="s">
        <v>79</v>
      </c>
      <c r="D23" s="52" t="s">
        <v>79</v>
      </c>
      <c r="E23" s="52" t="s">
        <v>600</v>
      </c>
      <c r="F23" s="52" t="s">
        <v>26</v>
      </c>
      <c r="G23" s="195" t="s">
        <v>275</v>
      </c>
      <c r="H23" s="195">
        <v>3.209641</v>
      </c>
      <c r="I23" s="195">
        <v>-12.773429999999999</v>
      </c>
      <c r="J23" s="195">
        <v>-6.078589</v>
      </c>
      <c r="K23" s="195">
        <v>-7.5600129999999996</v>
      </c>
      <c r="L23" s="195">
        <v>-12.55349</v>
      </c>
      <c r="M23" s="195">
        <v>-8.6077049999999993</v>
      </c>
      <c r="N23" s="195">
        <v>-6.346673</v>
      </c>
    </row>
    <row r="24" spans="1:14" hidden="1" x14ac:dyDescent="0.35">
      <c r="A24" s="52" t="s">
        <v>206</v>
      </c>
      <c r="B24" s="52" t="s">
        <v>37</v>
      </c>
      <c r="C24" s="52" t="s">
        <v>79</v>
      </c>
      <c r="D24" s="52" t="s">
        <v>79</v>
      </c>
      <c r="E24" s="52" t="s">
        <v>600</v>
      </c>
      <c r="F24" s="52" t="s">
        <v>26</v>
      </c>
      <c r="G24" s="195" t="s">
        <v>276</v>
      </c>
      <c r="H24" s="195">
        <v>0.93043799999999999</v>
      </c>
      <c r="I24" s="195">
        <v>-3.7028859999999999</v>
      </c>
      <c r="J24" s="195">
        <v>-1.7621199999999999</v>
      </c>
      <c r="K24" s="195">
        <v>-2.1915659999999999</v>
      </c>
      <c r="L24" s="195">
        <v>-3.6391279999999999</v>
      </c>
      <c r="M24" s="195">
        <v>-2.4952860000000001</v>
      </c>
      <c r="N24" s="195">
        <v>-1.839836</v>
      </c>
    </row>
    <row r="25" spans="1:14" hidden="1" x14ac:dyDescent="0.35">
      <c r="A25" s="52" t="s">
        <v>206</v>
      </c>
      <c r="B25" s="52" t="s">
        <v>37</v>
      </c>
      <c r="C25" s="52" t="s">
        <v>79</v>
      </c>
      <c r="D25" s="52" t="s">
        <v>79</v>
      </c>
      <c r="E25" s="52" t="s">
        <v>600</v>
      </c>
      <c r="F25" s="52" t="s">
        <v>26</v>
      </c>
      <c r="G25" s="195" t="s">
        <v>279</v>
      </c>
      <c r="H25" s="195">
        <v>218.68629999999999</v>
      </c>
      <c r="I25" s="195">
        <v>177.39109999999999</v>
      </c>
      <c r="J25" s="195">
        <v>157.7123</v>
      </c>
      <c r="K25" s="195">
        <v>123.6148</v>
      </c>
      <c r="L25" s="195">
        <v>98.779939999999996</v>
      </c>
      <c r="M25" s="195">
        <v>70.102649999999997</v>
      </c>
      <c r="N25" s="195">
        <v>51.577750000000002</v>
      </c>
    </row>
    <row r="26" spans="1:14" hidden="1" x14ac:dyDescent="0.35">
      <c r="A26" s="52" t="s">
        <v>206</v>
      </c>
      <c r="B26" s="52" t="s">
        <v>37</v>
      </c>
      <c r="C26" s="52" t="s">
        <v>79</v>
      </c>
      <c r="D26" s="52" t="s">
        <v>79</v>
      </c>
      <c r="E26" s="52" t="s">
        <v>601</v>
      </c>
      <c r="F26" s="52" t="s">
        <v>581</v>
      </c>
      <c r="G26" s="195" t="s">
        <v>275</v>
      </c>
      <c r="H26" s="195">
        <v>-42.965069999999997</v>
      </c>
      <c r="I26" s="195">
        <v>23.61195</v>
      </c>
      <c r="J26" s="195">
        <v>19.45862</v>
      </c>
      <c r="K26" s="195">
        <v>20.62773</v>
      </c>
      <c r="L26" s="195">
        <v>19.330749999999998</v>
      </c>
      <c r="M26" s="195">
        <v>6.4048870000000004</v>
      </c>
      <c r="N26" s="195">
        <v>5.7010680000000002</v>
      </c>
    </row>
    <row r="27" spans="1:14" hidden="1" x14ac:dyDescent="0.35">
      <c r="A27" s="52" t="s">
        <v>206</v>
      </c>
      <c r="B27" s="52" t="s">
        <v>37</v>
      </c>
      <c r="C27" s="52" t="s">
        <v>79</v>
      </c>
      <c r="D27" s="52" t="s">
        <v>79</v>
      </c>
      <c r="E27" s="52" t="s">
        <v>601</v>
      </c>
      <c r="F27" s="52" t="s">
        <v>581</v>
      </c>
      <c r="G27" s="195" t="s">
        <v>276</v>
      </c>
      <c r="H27" s="195">
        <v>14.36199</v>
      </c>
      <c r="I27" s="195">
        <v>-1.8605959999999999</v>
      </c>
      <c r="J27" s="195">
        <v>-5.5014580000000004</v>
      </c>
      <c r="K27" s="195">
        <v>-10.103440000000001</v>
      </c>
      <c r="L27" s="195">
        <v>-11.12786</v>
      </c>
      <c r="M27" s="195">
        <v>0.41733769999999998</v>
      </c>
      <c r="N27" s="195">
        <v>1.1790160000000001</v>
      </c>
    </row>
    <row r="28" spans="1:14" hidden="1" x14ac:dyDescent="0.35">
      <c r="A28" s="52" t="s">
        <v>206</v>
      </c>
      <c r="B28" s="52" t="s">
        <v>37</v>
      </c>
      <c r="C28" s="52" t="s">
        <v>79</v>
      </c>
      <c r="D28" s="52" t="s">
        <v>79</v>
      </c>
      <c r="E28" s="52" t="s">
        <v>601</v>
      </c>
      <c r="F28" s="52" t="s">
        <v>581</v>
      </c>
      <c r="G28" s="195" t="s">
        <v>277</v>
      </c>
      <c r="H28" s="195">
        <v>55.55153</v>
      </c>
      <c r="I28" s="195">
        <v>2.33602</v>
      </c>
      <c r="J28" s="195">
        <v>2.3312330000000001</v>
      </c>
      <c r="K28" s="195">
        <v>2.096549</v>
      </c>
      <c r="L28" s="195">
        <v>0.85693870000000005</v>
      </c>
      <c r="M28" s="195">
        <v>0.90565300000000004</v>
      </c>
      <c r="N28" s="195">
        <v>1.6868810000000001</v>
      </c>
    </row>
    <row r="29" spans="1:14" hidden="1" x14ac:dyDescent="0.35">
      <c r="A29" s="52" t="s">
        <v>206</v>
      </c>
      <c r="B29" s="52" t="s">
        <v>37</v>
      </c>
      <c r="C29" s="52" t="s">
        <v>79</v>
      </c>
      <c r="D29" s="52" t="s">
        <v>79</v>
      </c>
      <c r="E29" s="52" t="s">
        <v>601</v>
      </c>
      <c r="F29" s="52" t="s">
        <v>581</v>
      </c>
      <c r="G29" s="195" t="s">
        <v>278</v>
      </c>
      <c r="H29" s="195">
        <v>94.891270000000006</v>
      </c>
      <c r="I29" s="195">
        <v>13.70603</v>
      </c>
      <c r="J29" s="195">
        <v>5.1717320000000004</v>
      </c>
      <c r="K29" s="195">
        <v>4.0643630000000002</v>
      </c>
      <c r="L29" s="195">
        <v>4.164917</v>
      </c>
      <c r="M29" s="195">
        <v>4.2147449999999997</v>
      </c>
      <c r="N29" s="195">
        <v>3.18866</v>
      </c>
    </row>
    <row r="30" spans="1:14" hidden="1" x14ac:dyDescent="0.35">
      <c r="A30" s="52" t="s">
        <v>206</v>
      </c>
      <c r="B30" s="52" t="s">
        <v>37</v>
      </c>
      <c r="C30" s="52" t="s">
        <v>79</v>
      </c>
      <c r="D30" s="52" t="s">
        <v>79</v>
      </c>
      <c r="E30" s="52" t="s">
        <v>601</v>
      </c>
      <c r="F30" s="52" t="s">
        <v>581</v>
      </c>
      <c r="G30" s="195" t="s">
        <v>279</v>
      </c>
      <c r="H30" s="195">
        <v>34.13335</v>
      </c>
      <c r="I30" s="195">
        <v>25.33512</v>
      </c>
      <c r="J30" s="195">
        <v>16.232309999999998</v>
      </c>
      <c r="K30" s="195">
        <v>12.988799999999999</v>
      </c>
      <c r="L30" s="195">
        <v>12.072340000000001</v>
      </c>
      <c r="M30" s="195">
        <v>10.08916</v>
      </c>
      <c r="N30" s="195">
        <v>9.385942</v>
      </c>
    </row>
    <row r="31" spans="1:14" hidden="1" x14ac:dyDescent="0.35">
      <c r="A31" s="52" t="s">
        <v>206</v>
      </c>
      <c r="B31" s="52" t="s">
        <v>37</v>
      </c>
      <c r="C31" s="52" t="s">
        <v>79</v>
      </c>
      <c r="D31" s="52" t="s">
        <v>79</v>
      </c>
      <c r="E31" s="52" t="s">
        <v>601</v>
      </c>
      <c r="F31" s="52" t="s">
        <v>26</v>
      </c>
      <c r="G31" s="195" t="s">
        <v>275</v>
      </c>
      <c r="H31" s="195">
        <v>2.8932600000000002</v>
      </c>
      <c r="I31" s="195">
        <v>1.5476890000000001</v>
      </c>
      <c r="J31" s="195">
        <v>1.2781089999999999</v>
      </c>
      <c r="K31" s="195">
        <v>0.8553267</v>
      </c>
      <c r="L31" s="195">
        <v>0.42411339999999997</v>
      </c>
      <c r="M31" s="195">
        <v>0.4098598</v>
      </c>
      <c r="N31" s="195">
        <v>0.41423759999999998</v>
      </c>
    </row>
    <row r="32" spans="1:14" hidden="1" x14ac:dyDescent="0.35">
      <c r="A32" s="52" t="s">
        <v>206</v>
      </c>
      <c r="B32" s="52" t="s">
        <v>37</v>
      </c>
      <c r="C32" s="52" t="s">
        <v>79</v>
      </c>
      <c r="D32" s="52" t="s">
        <v>79</v>
      </c>
      <c r="E32" s="52" t="s">
        <v>601</v>
      </c>
      <c r="F32" s="52" t="s">
        <v>26</v>
      </c>
      <c r="G32" s="195" t="s">
        <v>276</v>
      </c>
      <c r="H32" s="195">
        <v>0.7690939</v>
      </c>
      <c r="I32" s="195">
        <v>0.41140959999999999</v>
      </c>
      <c r="J32" s="195">
        <v>0.33974979999999999</v>
      </c>
      <c r="K32" s="195">
        <v>0.2273656</v>
      </c>
      <c r="L32" s="195">
        <v>0.1127398</v>
      </c>
      <c r="M32" s="195">
        <v>0.1089494</v>
      </c>
      <c r="N32" s="195">
        <v>0.1101126</v>
      </c>
    </row>
    <row r="33" spans="1:14" hidden="1" x14ac:dyDescent="0.35">
      <c r="A33" s="52" t="s">
        <v>206</v>
      </c>
      <c r="B33" s="52" t="s">
        <v>37</v>
      </c>
      <c r="C33" s="52" t="s">
        <v>79</v>
      </c>
      <c r="D33" s="52" t="s">
        <v>79</v>
      </c>
      <c r="E33" s="52" t="s">
        <v>601</v>
      </c>
      <c r="F33" s="52" t="s">
        <v>26</v>
      </c>
      <c r="G33" s="195" t="s">
        <v>279</v>
      </c>
      <c r="H33" s="195">
        <v>10.28914</v>
      </c>
      <c r="I33" s="195">
        <v>9.1971989999999995</v>
      </c>
      <c r="J33" s="195">
        <v>6.0807700000000002</v>
      </c>
      <c r="K33" s="195">
        <v>4.8616599999999996</v>
      </c>
      <c r="L33" s="195">
        <v>4.4761850000000001</v>
      </c>
      <c r="M33" s="195">
        <v>3.7314340000000001</v>
      </c>
      <c r="N33" s="195">
        <v>3.4609709999999998</v>
      </c>
    </row>
    <row r="34" spans="1:14" hidden="1" x14ac:dyDescent="0.35">
      <c r="A34" s="52" t="s">
        <v>206</v>
      </c>
      <c r="B34" s="52" t="s">
        <v>37</v>
      </c>
      <c r="C34" s="52" t="s">
        <v>79</v>
      </c>
      <c r="D34" s="52" t="s">
        <v>79</v>
      </c>
      <c r="E34" s="52" t="s">
        <v>584</v>
      </c>
      <c r="F34" s="52" t="s">
        <v>581</v>
      </c>
      <c r="G34" s="195" t="s">
        <v>275</v>
      </c>
      <c r="H34" s="195">
        <v>39.073090000000001</v>
      </c>
      <c r="I34" s="195">
        <v>9.3084349999999993</v>
      </c>
      <c r="J34" s="195">
        <v>6.7700529999999999</v>
      </c>
      <c r="K34" s="195">
        <v>4.5019910000000003</v>
      </c>
      <c r="L34" s="195">
        <v>2.4235980000000001</v>
      </c>
      <c r="M34" s="195">
        <v>1.0088900000000001</v>
      </c>
      <c r="N34" s="195">
        <v>0.69390819999999998</v>
      </c>
    </row>
    <row r="35" spans="1:14" hidden="1" x14ac:dyDescent="0.35">
      <c r="A35" s="52" t="s">
        <v>206</v>
      </c>
      <c r="B35" s="52" t="s">
        <v>37</v>
      </c>
      <c r="C35" s="52" t="s">
        <v>79</v>
      </c>
      <c r="D35" s="52" t="s">
        <v>79</v>
      </c>
      <c r="E35" s="52" t="s">
        <v>584</v>
      </c>
      <c r="F35" s="52" t="s">
        <v>581</v>
      </c>
      <c r="G35" s="195" t="s">
        <v>276</v>
      </c>
      <c r="H35" s="195">
        <v>10.386520000000001</v>
      </c>
      <c r="I35" s="195">
        <v>-0.58001290000000005</v>
      </c>
      <c r="J35" s="195">
        <v>-2.0886610000000001</v>
      </c>
      <c r="K35" s="195">
        <v>-1.5662180000000001</v>
      </c>
      <c r="L35" s="195">
        <v>-0.56689199999999995</v>
      </c>
      <c r="M35" s="195">
        <v>0.26818599999999998</v>
      </c>
      <c r="N35" s="195">
        <v>0.18445639999999999</v>
      </c>
    </row>
    <row r="36" spans="1:14" hidden="1" x14ac:dyDescent="0.35">
      <c r="A36" s="52" t="s">
        <v>206</v>
      </c>
      <c r="B36" s="52" t="s">
        <v>37</v>
      </c>
      <c r="C36" s="52" t="s">
        <v>79</v>
      </c>
      <c r="D36" s="52" t="s">
        <v>79</v>
      </c>
      <c r="E36" s="52" t="s">
        <v>584</v>
      </c>
      <c r="F36" s="52" t="s">
        <v>581</v>
      </c>
      <c r="G36" s="195" t="s">
        <v>277</v>
      </c>
      <c r="H36" s="195"/>
      <c r="I36" s="195">
        <v>0</v>
      </c>
      <c r="J36" s="195"/>
      <c r="K36" s="195"/>
      <c r="L36" s="195"/>
      <c r="M36" s="195"/>
      <c r="N36" s="195"/>
    </row>
    <row r="37" spans="1:14" hidden="1" x14ac:dyDescent="0.35">
      <c r="A37" s="52" t="s">
        <v>206</v>
      </c>
      <c r="B37" s="52" t="s">
        <v>37</v>
      </c>
      <c r="C37" s="52" t="s">
        <v>79</v>
      </c>
      <c r="D37" s="52" t="s">
        <v>79</v>
      </c>
      <c r="E37" s="52" t="s">
        <v>584</v>
      </c>
      <c r="F37" s="52" t="s">
        <v>581</v>
      </c>
      <c r="G37" s="195" t="s">
        <v>279</v>
      </c>
      <c r="H37" s="195">
        <v>17.21547</v>
      </c>
      <c r="I37" s="195">
        <v>8.4580649999999995</v>
      </c>
      <c r="J37" s="195">
        <v>5.5129789999999996</v>
      </c>
      <c r="K37" s="195">
        <v>4.0717850000000002</v>
      </c>
      <c r="L37" s="195">
        <v>2.9602369999999998</v>
      </c>
      <c r="M37" s="195">
        <v>2.0340229999999999</v>
      </c>
      <c r="N37" s="195">
        <v>1.397607</v>
      </c>
    </row>
    <row r="38" spans="1:14" hidden="1" x14ac:dyDescent="0.35">
      <c r="A38" s="52" t="s">
        <v>206</v>
      </c>
      <c r="B38" s="52" t="s">
        <v>37</v>
      </c>
      <c r="C38" s="52" t="s">
        <v>79</v>
      </c>
      <c r="D38" s="52" t="s">
        <v>79</v>
      </c>
      <c r="E38" s="52" t="s">
        <v>584</v>
      </c>
      <c r="F38" s="52" t="s">
        <v>26</v>
      </c>
      <c r="G38" s="195" t="s">
        <v>275</v>
      </c>
      <c r="H38" s="195">
        <v>-9.2464139999999997</v>
      </c>
      <c r="I38" s="195">
        <v>-10.125819999999999</v>
      </c>
      <c r="J38" s="195">
        <v>-5.513153</v>
      </c>
      <c r="K38" s="195">
        <v>-3.4546800000000002</v>
      </c>
      <c r="L38" s="195">
        <v>-2.2439529999999999</v>
      </c>
      <c r="M38" s="195">
        <v>-0.21830959999999999</v>
      </c>
      <c r="N38" s="195">
        <v>-0.59178960000000003</v>
      </c>
    </row>
    <row r="39" spans="1:14" hidden="1" x14ac:dyDescent="0.35">
      <c r="A39" s="52" t="s">
        <v>206</v>
      </c>
      <c r="B39" s="52" t="s">
        <v>37</v>
      </c>
      <c r="C39" s="52" t="s">
        <v>79</v>
      </c>
      <c r="D39" s="52" t="s">
        <v>79</v>
      </c>
      <c r="E39" s="52" t="s">
        <v>584</v>
      </c>
      <c r="F39" s="52" t="s">
        <v>26</v>
      </c>
      <c r="G39" s="195" t="s">
        <v>276</v>
      </c>
      <c r="H39" s="195">
        <v>-3.6940089999999999</v>
      </c>
      <c r="I39" s="195">
        <v>-0.59739580000000003</v>
      </c>
      <c r="J39" s="195">
        <v>-0.64712060000000005</v>
      </c>
      <c r="K39" s="195">
        <v>-0.7820298</v>
      </c>
      <c r="L39" s="195">
        <v>-1.024977</v>
      </c>
      <c r="M39" s="195">
        <v>-1.437017</v>
      </c>
      <c r="N39" s="195">
        <v>-0.90948370000000001</v>
      </c>
    </row>
    <row r="40" spans="1:14" hidden="1" x14ac:dyDescent="0.35">
      <c r="A40" s="52" t="s">
        <v>206</v>
      </c>
      <c r="B40" s="52" t="s">
        <v>37</v>
      </c>
      <c r="C40" s="52" t="s">
        <v>79</v>
      </c>
      <c r="D40" s="52" t="s">
        <v>79</v>
      </c>
      <c r="E40" s="52" t="s">
        <v>584</v>
      </c>
      <c r="F40" s="52" t="s">
        <v>26</v>
      </c>
      <c r="G40" s="195" t="s">
        <v>277</v>
      </c>
      <c r="H40" s="195">
        <v>13.904400000000001</v>
      </c>
      <c r="I40" s="195">
        <v>10.779960000000001</v>
      </c>
      <c r="J40" s="195">
        <v>6.4493669999999996</v>
      </c>
      <c r="K40" s="195">
        <v>4.0115639999999999</v>
      </c>
      <c r="L40" s="195">
        <v>2.6229640000000001</v>
      </c>
      <c r="M40" s="195"/>
      <c r="N40" s="195"/>
    </row>
    <row r="41" spans="1:14" hidden="1" x14ac:dyDescent="0.35">
      <c r="A41" s="52" t="s">
        <v>206</v>
      </c>
      <c r="B41" s="52" t="s">
        <v>37</v>
      </c>
      <c r="C41" s="52" t="s">
        <v>79</v>
      </c>
      <c r="D41" s="52" t="s">
        <v>79</v>
      </c>
      <c r="E41" s="52" t="s">
        <v>584</v>
      </c>
      <c r="F41" s="52" t="s">
        <v>26</v>
      </c>
      <c r="G41" s="195" t="s">
        <v>279</v>
      </c>
      <c r="H41" s="195">
        <v>7.5550660000000001</v>
      </c>
      <c r="I41" s="195">
        <v>6.4641929999999999</v>
      </c>
      <c r="J41" s="195">
        <v>6.3018260000000001</v>
      </c>
      <c r="K41" s="195">
        <v>6.7923689999999999</v>
      </c>
      <c r="L41" s="195">
        <v>7.106973</v>
      </c>
      <c r="M41" s="195">
        <v>6.8388999999999998</v>
      </c>
      <c r="N41" s="195">
        <v>6.6100409999999998</v>
      </c>
    </row>
    <row r="42" spans="1:14" hidden="1" x14ac:dyDescent="0.35">
      <c r="A42" s="52" t="s">
        <v>206</v>
      </c>
      <c r="B42" s="52" t="s">
        <v>37</v>
      </c>
      <c r="C42" s="52" t="s">
        <v>51</v>
      </c>
      <c r="D42" s="52" t="s">
        <v>51</v>
      </c>
      <c r="E42" s="52" t="s">
        <v>602</v>
      </c>
      <c r="F42" s="52" t="s">
        <v>581</v>
      </c>
      <c r="G42" s="195" t="s">
        <v>275</v>
      </c>
      <c r="H42" s="195">
        <v>389.71839999999997</v>
      </c>
      <c r="I42" s="195">
        <v>90.837050000000005</v>
      </c>
      <c r="J42" s="195">
        <v>131.94139999999999</v>
      </c>
      <c r="K42" s="195">
        <v>127.09180000000001</v>
      </c>
      <c r="L42" s="195">
        <v>81.533919999999995</v>
      </c>
      <c r="M42" s="195">
        <v>45.48753</v>
      </c>
      <c r="N42" s="195">
        <v>35.726840000000003</v>
      </c>
    </row>
    <row r="43" spans="1:14" hidden="1" x14ac:dyDescent="0.35">
      <c r="A43" s="52" t="s">
        <v>206</v>
      </c>
      <c r="B43" s="52" t="s">
        <v>37</v>
      </c>
      <c r="C43" s="52" t="s">
        <v>51</v>
      </c>
      <c r="D43" s="52" t="s">
        <v>51</v>
      </c>
      <c r="E43" s="52" t="s">
        <v>602</v>
      </c>
      <c r="F43" s="52" t="s">
        <v>581</v>
      </c>
      <c r="G43" s="195" t="s">
        <v>276</v>
      </c>
      <c r="H43" s="195">
        <v>106.434</v>
      </c>
      <c r="I43" s="195">
        <v>-24.494610000000002</v>
      </c>
      <c r="J43" s="195">
        <v>-36.429130000000001</v>
      </c>
      <c r="K43" s="195">
        <v>-39.322589999999998</v>
      </c>
      <c r="L43" s="195">
        <v>-37.311680000000003</v>
      </c>
      <c r="M43" s="195">
        <v>0.68971439999999995</v>
      </c>
      <c r="N43" s="195">
        <v>7.5474740000000002</v>
      </c>
    </row>
    <row r="44" spans="1:14" hidden="1" x14ac:dyDescent="0.35">
      <c r="A44" s="52" t="s">
        <v>206</v>
      </c>
      <c r="B44" s="52" t="s">
        <v>37</v>
      </c>
      <c r="C44" s="52" t="s">
        <v>51</v>
      </c>
      <c r="D44" s="52" t="s">
        <v>51</v>
      </c>
      <c r="E44" s="52" t="s">
        <v>602</v>
      </c>
      <c r="F44" s="52" t="s">
        <v>581</v>
      </c>
      <c r="G44" s="195" t="s">
        <v>277</v>
      </c>
      <c r="H44" s="195">
        <v>385.66309999999999</v>
      </c>
      <c r="I44" s="195">
        <v>9.0458490000000005</v>
      </c>
      <c r="J44" s="195">
        <v>6.9625560000000002</v>
      </c>
      <c r="K44" s="195">
        <v>2.5216210000000001</v>
      </c>
      <c r="L44" s="195">
        <v>1.9316390000000001</v>
      </c>
      <c r="M44" s="195">
        <v>3.1469770000000001</v>
      </c>
      <c r="N44" s="195">
        <v>5.989344</v>
      </c>
    </row>
    <row r="45" spans="1:14" hidden="1" x14ac:dyDescent="0.35">
      <c r="A45" s="52" t="s">
        <v>206</v>
      </c>
      <c r="B45" s="52" t="s">
        <v>37</v>
      </c>
      <c r="C45" s="52" t="s">
        <v>51</v>
      </c>
      <c r="D45" s="52" t="s">
        <v>51</v>
      </c>
      <c r="E45" s="52" t="s">
        <v>602</v>
      </c>
      <c r="F45" s="52" t="s">
        <v>581</v>
      </c>
      <c r="G45" s="195" t="s">
        <v>278</v>
      </c>
      <c r="H45" s="195">
        <v>139.67590000000001</v>
      </c>
      <c r="I45" s="195">
        <v>99.441940000000002</v>
      </c>
      <c r="J45" s="195">
        <v>18.3142</v>
      </c>
      <c r="K45" s="195">
        <v>12.7181</v>
      </c>
      <c r="L45" s="195">
        <v>10.649520000000001</v>
      </c>
      <c r="M45" s="195">
        <v>6.9726460000000001</v>
      </c>
      <c r="N45" s="195">
        <v>3.7725469999999999</v>
      </c>
    </row>
    <row r="46" spans="1:14" hidden="1" x14ac:dyDescent="0.35">
      <c r="A46" s="52" t="s">
        <v>206</v>
      </c>
      <c r="B46" s="52" t="s">
        <v>37</v>
      </c>
      <c r="C46" s="52" t="s">
        <v>51</v>
      </c>
      <c r="D46" s="52" t="s">
        <v>51</v>
      </c>
      <c r="E46" s="52" t="s">
        <v>602</v>
      </c>
      <c r="F46" s="52" t="s">
        <v>581</v>
      </c>
      <c r="G46" s="195" t="s">
        <v>279</v>
      </c>
      <c r="H46" s="195">
        <v>469.3005</v>
      </c>
      <c r="I46" s="195">
        <v>369.07279999999997</v>
      </c>
      <c r="J46" s="195">
        <v>342.41719999999998</v>
      </c>
      <c r="K46" s="195">
        <v>308.20490000000001</v>
      </c>
      <c r="L46" s="195">
        <v>294.66829999999999</v>
      </c>
      <c r="M46" s="195">
        <v>255.44239999999999</v>
      </c>
      <c r="N46" s="195">
        <v>228.83090000000001</v>
      </c>
    </row>
    <row r="47" spans="1:14" hidden="1" x14ac:dyDescent="0.35">
      <c r="A47" s="52" t="s">
        <v>206</v>
      </c>
      <c r="B47" s="52" t="s">
        <v>37</v>
      </c>
      <c r="C47" s="52" t="s">
        <v>51</v>
      </c>
      <c r="D47" s="52" t="s">
        <v>51</v>
      </c>
      <c r="E47" s="52" t="s">
        <v>602</v>
      </c>
      <c r="F47" s="52" t="s">
        <v>26</v>
      </c>
      <c r="G47" s="195" t="s">
        <v>275</v>
      </c>
      <c r="H47" s="195">
        <v>-0.28475099999999998</v>
      </c>
      <c r="I47" s="195">
        <v>-6.6005649999999996</v>
      </c>
      <c r="J47" s="195">
        <v>-3.8378739999999998</v>
      </c>
      <c r="K47" s="195">
        <v>-4.7783160000000002</v>
      </c>
      <c r="L47" s="195">
        <v>-8.6572340000000008</v>
      </c>
      <c r="M47" s="195">
        <v>-7.1386050000000001</v>
      </c>
      <c r="N47" s="195">
        <v>-6.2890670000000002</v>
      </c>
    </row>
    <row r="48" spans="1:14" hidden="1" x14ac:dyDescent="0.35">
      <c r="A48" s="52" t="s">
        <v>206</v>
      </c>
      <c r="B48" s="52" t="s">
        <v>37</v>
      </c>
      <c r="C48" s="52" t="s">
        <v>51</v>
      </c>
      <c r="D48" s="52" t="s">
        <v>51</v>
      </c>
      <c r="E48" s="52" t="s">
        <v>602</v>
      </c>
      <c r="F48" s="52" t="s">
        <v>26</v>
      </c>
      <c r="G48" s="195" t="s">
        <v>276</v>
      </c>
      <c r="H48" s="195">
        <v>-7.5665999999999997E-2</v>
      </c>
      <c r="I48" s="195">
        <v>-1.75457</v>
      </c>
      <c r="J48" s="195">
        <v>-1.020197</v>
      </c>
      <c r="K48" s="195">
        <v>-1.270181</v>
      </c>
      <c r="L48" s="195">
        <v>-2.3012890000000001</v>
      </c>
      <c r="M48" s="195">
        <v>-1.897605</v>
      </c>
      <c r="N48" s="195">
        <v>-1.6717820000000001</v>
      </c>
    </row>
    <row r="49" spans="1:14" hidden="1" x14ac:dyDescent="0.35">
      <c r="A49" s="52" t="s">
        <v>206</v>
      </c>
      <c r="B49" s="52" t="s">
        <v>37</v>
      </c>
      <c r="C49" s="52" t="s">
        <v>51</v>
      </c>
      <c r="D49" s="52" t="s">
        <v>51</v>
      </c>
      <c r="E49" s="52" t="s">
        <v>602</v>
      </c>
      <c r="F49" s="52" t="s">
        <v>26</v>
      </c>
      <c r="G49" s="195" t="s">
        <v>279</v>
      </c>
      <c r="H49" s="195">
        <v>81.391149999999996</v>
      </c>
      <c r="I49" s="195">
        <v>69.03322</v>
      </c>
      <c r="J49" s="195">
        <v>65.010959999999997</v>
      </c>
      <c r="K49" s="195">
        <v>59.205100000000002</v>
      </c>
      <c r="L49" s="195">
        <v>56.15645</v>
      </c>
      <c r="M49" s="195">
        <v>48.7943</v>
      </c>
      <c r="N49" s="195">
        <v>43.690930000000002</v>
      </c>
    </row>
    <row r="50" spans="1:14" hidden="1" x14ac:dyDescent="0.35">
      <c r="A50" s="52" t="s">
        <v>206</v>
      </c>
      <c r="B50" s="52" t="s">
        <v>37</v>
      </c>
      <c r="C50" s="52" t="s">
        <v>51</v>
      </c>
      <c r="D50" s="52" t="s">
        <v>51</v>
      </c>
      <c r="E50" s="52" t="s">
        <v>584</v>
      </c>
      <c r="F50" s="52" t="s">
        <v>581</v>
      </c>
      <c r="G50" s="195" t="s">
        <v>275</v>
      </c>
      <c r="H50" s="195">
        <v>-1.874576</v>
      </c>
      <c r="I50" s="195">
        <v>-3.9098120000000001</v>
      </c>
      <c r="J50" s="195">
        <v>-3.992054</v>
      </c>
      <c r="K50" s="195">
        <v>-3.8809110000000002</v>
      </c>
      <c r="L50" s="195">
        <v>-4.125896</v>
      </c>
      <c r="M50" s="195">
        <v>-3.7342960000000001</v>
      </c>
      <c r="N50" s="195">
        <v>-3.4049170000000002</v>
      </c>
    </row>
    <row r="51" spans="1:14" hidden="1" x14ac:dyDescent="0.35">
      <c r="A51" s="52" t="s">
        <v>206</v>
      </c>
      <c r="B51" s="52" t="s">
        <v>37</v>
      </c>
      <c r="C51" s="52" t="s">
        <v>51</v>
      </c>
      <c r="D51" s="52" t="s">
        <v>51</v>
      </c>
      <c r="E51" s="52" t="s">
        <v>584</v>
      </c>
      <c r="F51" s="52" t="s">
        <v>581</v>
      </c>
      <c r="G51" s="195" t="s">
        <v>276</v>
      </c>
      <c r="H51" s="195">
        <v>-2.075313</v>
      </c>
      <c r="I51" s="195">
        <v>-2.2489400000000002</v>
      </c>
      <c r="J51" s="195">
        <v>-2.04827</v>
      </c>
      <c r="K51" s="195">
        <v>-1.8817950000000001</v>
      </c>
      <c r="L51" s="195">
        <v>-1.299763</v>
      </c>
      <c r="M51" s="195">
        <v>-1.225265</v>
      </c>
      <c r="N51" s="195">
        <v>-1.150209</v>
      </c>
    </row>
    <row r="52" spans="1:14" hidden="1" x14ac:dyDescent="0.35">
      <c r="A52" s="52" t="s">
        <v>206</v>
      </c>
      <c r="B52" s="52" t="s">
        <v>37</v>
      </c>
      <c r="C52" s="52" t="s">
        <v>51</v>
      </c>
      <c r="D52" s="52" t="s">
        <v>51</v>
      </c>
      <c r="E52" s="52" t="s">
        <v>584</v>
      </c>
      <c r="F52" s="52" t="s">
        <v>581</v>
      </c>
      <c r="G52" s="195" t="s">
        <v>277</v>
      </c>
      <c r="H52" s="195">
        <v>6.8131870000000001</v>
      </c>
      <c r="I52" s="195">
        <v>6.5079500000000001</v>
      </c>
      <c r="J52" s="195">
        <v>6.2228289999999999</v>
      </c>
      <c r="K52" s="195">
        <v>5.9081060000000001</v>
      </c>
      <c r="L52" s="195">
        <v>5.5440329999999998</v>
      </c>
      <c r="M52" s="195">
        <v>5.0889040000000003</v>
      </c>
      <c r="N52" s="195">
        <v>4.6945810000000003</v>
      </c>
    </row>
    <row r="53" spans="1:14" hidden="1" x14ac:dyDescent="0.35">
      <c r="A53" s="52" t="s">
        <v>206</v>
      </c>
      <c r="B53" s="52" t="s">
        <v>37</v>
      </c>
      <c r="C53" s="52" t="s">
        <v>51</v>
      </c>
      <c r="D53" s="52" t="s">
        <v>51</v>
      </c>
      <c r="E53" s="52" t="s">
        <v>584</v>
      </c>
      <c r="F53" s="52" t="s">
        <v>581</v>
      </c>
      <c r="G53" s="195" t="s">
        <v>279</v>
      </c>
      <c r="H53" s="195">
        <v>1.5242370000000001</v>
      </c>
      <c r="I53" s="195">
        <v>1.1763129999999999</v>
      </c>
      <c r="J53" s="195">
        <v>1.109999</v>
      </c>
      <c r="K53" s="195">
        <v>1.125443</v>
      </c>
      <c r="L53" s="195">
        <v>1.116806</v>
      </c>
      <c r="M53" s="195">
        <v>1.044889</v>
      </c>
      <c r="N53" s="195">
        <v>0.98229270000000002</v>
      </c>
    </row>
    <row r="54" spans="1:14" hidden="1" x14ac:dyDescent="0.35">
      <c r="A54" s="52" t="s">
        <v>206</v>
      </c>
      <c r="B54" s="52" t="s">
        <v>37</v>
      </c>
      <c r="C54" s="52" t="s">
        <v>51</v>
      </c>
      <c r="D54" s="52" t="s">
        <v>51</v>
      </c>
      <c r="E54" s="52" t="s">
        <v>584</v>
      </c>
      <c r="F54" s="52" t="s">
        <v>26</v>
      </c>
      <c r="G54" s="195" t="s">
        <v>275</v>
      </c>
      <c r="H54" s="195">
        <v>0.19159399999999999</v>
      </c>
      <c r="I54" s="195">
        <v>8.6937200000000006E-2</v>
      </c>
      <c r="J54" s="195">
        <v>0.1010182</v>
      </c>
      <c r="K54" s="195">
        <v>6.9849190000000005E-2</v>
      </c>
      <c r="L54" s="195">
        <v>4.2222000000000003E-2</v>
      </c>
      <c r="M54" s="195">
        <v>3.7143000000000002E-2</v>
      </c>
      <c r="N54" s="195">
        <v>3.41464E-2</v>
      </c>
    </row>
    <row r="55" spans="1:14" hidden="1" x14ac:dyDescent="0.35">
      <c r="A55" s="52" t="s">
        <v>206</v>
      </c>
      <c r="B55" s="52" t="s">
        <v>37</v>
      </c>
      <c r="C55" s="52" t="s">
        <v>51</v>
      </c>
      <c r="D55" s="52" t="s">
        <v>51</v>
      </c>
      <c r="E55" s="52" t="s">
        <v>584</v>
      </c>
      <c r="F55" s="52" t="s">
        <v>26</v>
      </c>
      <c r="G55" s="195" t="s">
        <v>276</v>
      </c>
      <c r="H55" s="195">
        <v>5.0930000000000003E-2</v>
      </c>
      <c r="I55" s="195">
        <v>2.31098E-2</v>
      </c>
      <c r="J55" s="195">
        <v>2.68528E-2</v>
      </c>
      <c r="K55" s="195">
        <v>1.8566599999999999E-2</v>
      </c>
      <c r="L55" s="195">
        <v>1.12234E-2</v>
      </c>
      <c r="M55" s="195">
        <v>9.8736009999999992E-3</v>
      </c>
      <c r="N55" s="195">
        <v>9.077E-3</v>
      </c>
    </row>
    <row r="56" spans="1:14" hidden="1" x14ac:dyDescent="0.35">
      <c r="A56" s="52" t="s">
        <v>206</v>
      </c>
      <c r="B56" s="52" t="s">
        <v>37</v>
      </c>
      <c r="C56" s="52" t="s">
        <v>51</v>
      </c>
      <c r="D56" s="52" t="s">
        <v>51</v>
      </c>
      <c r="E56" s="52" t="s">
        <v>584</v>
      </c>
      <c r="F56" s="52" t="s">
        <v>26</v>
      </c>
      <c r="G56" s="195" t="s">
        <v>279</v>
      </c>
      <c r="H56" s="195">
        <v>0.67856309999999997</v>
      </c>
      <c r="I56" s="195">
        <v>0.59500319999999995</v>
      </c>
      <c r="J56" s="195">
        <v>0.58474519999999997</v>
      </c>
      <c r="K56" s="195">
        <v>0.62163820000000003</v>
      </c>
      <c r="L56" s="195">
        <v>0.64512320000000001</v>
      </c>
      <c r="M56" s="195">
        <v>0.62445399999999995</v>
      </c>
      <c r="N56" s="195">
        <v>0.60683699999999996</v>
      </c>
    </row>
    <row r="57" spans="1:14" hidden="1" x14ac:dyDescent="0.35">
      <c r="A57" s="52" t="s">
        <v>206</v>
      </c>
      <c r="B57" s="52" t="s">
        <v>37</v>
      </c>
      <c r="C57" s="52" t="s">
        <v>35</v>
      </c>
      <c r="D57" s="52" t="s">
        <v>38</v>
      </c>
      <c r="E57" s="52" t="s">
        <v>584</v>
      </c>
      <c r="F57" s="52" t="s">
        <v>581</v>
      </c>
      <c r="G57" s="195" t="s">
        <v>275</v>
      </c>
      <c r="H57" s="195">
        <v>77.776889999999995</v>
      </c>
      <c r="I57" s="195">
        <v>-56.294150000000002</v>
      </c>
      <c r="J57" s="195">
        <v>-49.210700000000003</v>
      </c>
      <c r="K57" s="195">
        <v>-35.968719999999998</v>
      </c>
      <c r="L57" s="195">
        <v>-29.527999999999999</v>
      </c>
      <c r="M57" s="195">
        <v>-17.75177</v>
      </c>
      <c r="N57" s="195">
        <v>-100.8451</v>
      </c>
    </row>
    <row r="58" spans="1:14" hidden="1" x14ac:dyDescent="0.35">
      <c r="A58" s="52" t="s">
        <v>206</v>
      </c>
      <c r="B58" s="52" t="s">
        <v>37</v>
      </c>
      <c r="C58" s="52" t="s">
        <v>35</v>
      </c>
      <c r="D58" s="52" t="s">
        <v>38</v>
      </c>
      <c r="E58" s="52" t="s">
        <v>584</v>
      </c>
      <c r="F58" s="52" t="s">
        <v>581</v>
      </c>
      <c r="G58" s="195" t="s">
        <v>276</v>
      </c>
      <c r="H58" s="195">
        <v>25.101649999999999</v>
      </c>
      <c r="I58" s="195">
        <v>-14.04482</v>
      </c>
      <c r="J58" s="195">
        <v>-15.27807</v>
      </c>
      <c r="K58" s="195">
        <v>-22.560459999999999</v>
      </c>
      <c r="L58" s="195">
        <v>-21.184930000000001</v>
      </c>
      <c r="M58" s="195">
        <v>-15.22091</v>
      </c>
      <c r="N58" s="195">
        <v>-34.576050000000002</v>
      </c>
    </row>
    <row r="59" spans="1:14" hidden="1" x14ac:dyDescent="0.35">
      <c r="A59" s="52" t="s">
        <v>206</v>
      </c>
      <c r="B59" s="52" t="s">
        <v>37</v>
      </c>
      <c r="C59" s="52" t="s">
        <v>35</v>
      </c>
      <c r="D59" s="52" t="s">
        <v>38</v>
      </c>
      <c r="E59" s="52" t="s">
        <v>584</v>
      </c>
      <c r="F59" s="52" t="s">
        <v>581</v>
      </c>
      <c r="G59" s="195" t="s">
        <v>277</v>
      </c>
      <c r="H59" s="195">
        <v>162.12280000000001</v>
      </c>
      <c r="I59" s="195">
        <v>113.10939999999999</v>
      </c>
      <c r="J59" s="195">
        <v>91.797409999999999</v>
      </c>
      <c r="K59" s="195">
        <v>78.568820000000002</v>
      </c>
      <c r="L59" s="195">
        <v>65.176599999999993</v>
      </c>
      <c r="M59" s="195">
        <v>45.883560000000003</v>
      </c>
      <c r="N59" s="195">
        <v>40.128590000000003</v>
      </c>
    </row>
    <row r="60" spans="1:14" hidden="1" x14ac:dyDescent="0.35">
      <c r="A60" s="52" t="s">
        <v>206</v>
      </c>
      <c r="B60" s="52" t="s">
        <v>37</v>
      </c>
      <c r="C60" s="52" t="s">
        <v>35</v>
      </c>
      <c r="D60" s="52" t="s">
        <v>38</v>
      </c>
      <c r="E60" s="52" t="s">
        <v>584</v>
      </c>
      <c r="F60" s="52" t="s">
        <v>581</v>
      </c>
      <c r="G60" s="195" t="s">
        <v>279</v>
      </c>
      <c r="H60" s="195">
        <v>125.07980000000001</v>
      </c>
      <c r="I60" s="195">
        <v>82.850660000000005</v>
      </c>
      <c r="J60" s="195">
        <v>72.019279999999995</v>
      </c>
      <c r="K60" s="195">
        <v>70.472849999999994</v>
      </c>
      <c r="L60" s="195">
        <v>67.031660000000002</v>
      </c>
      <c r="M60" s="195">
        <v>58.862110000000001</v>
      </c>
      <c r="N60" s="195">
        <v>136.08430000000001</v>
      </c>
    </row>
    <row r="61" spans="1:14" hidden="1" x14ac:dyDescent="0.35">
      <c r="A61" s="52" t="s">
        <v>206</v>
      </c>
      <c r="B61" s="52" t="s">
        <v>37</v>
      </c>
      <c r="C61" s="52" t="s">
        <v>35</v>
      </c>
      <c r="D61" s="52" t="s">
        <v>38</v>
      </c>
      <c r="E61" s="52" t="s">
        <v>584</v>
      </c>
      <c r="F61" s="52" t="s">
        <v>26</v>
      </c>
      <c r="G61" s="195" t="s">
        <v>275</v>
      </c>
      <c r="H61" s="195">
        <v>-7.2385999999999999</v>
      </c>
      <c r="I61" s="195">
        <v>-10.47925</v>
      </c>
      <c r="J61" s="195">
        <v>-8.773517</v>
      </c>
      <c r="K61" s="195">
        <v>-12.425179999999999</v>
      </c>
      <c r="L61" s="195">
        <v>-15.25597</v>
      </c>
      <c r="M61" s="195">
        <v>-14.709820000000001</v>
      </c>
      <c r="N61" s="195">
        <v>-124.1725</v>
      </c>
    </row>
    <row r="62" spans="1:14" hidden="1" x14ac:dyDescent="0.35">
      <c r="A62" s="52" t="s">
        <v>206</v>
      </c>
      <c r="B62" s="52" t="s">
        <v>37</v>
      </c>
      <c r="C62" s="52" t="s">
        <v>35</v>
      </c>
      <c r="D62" s="52" t="s">
        <v>38</v>
      </c>
      <c r="E62" s="52" t="s">
        <v>584</v>
      </c>
      <c r="F62" s="52" t="s">
        <v>26</v>
      </c>
      <c r="G62" s="195" t="s">
        <v>276</v>
      </c>
      <c r="H62" s="195">
        <v>-1.924185</v>
      </c>
      <c r="I62" s="195">
        <v>-2.7856230000000002</v>
      </c>
      <c r="J62" s="195">
        <v>-2.3322029999999998</v>
      </c>
      <c r="K62" s="195">
        <v>-3.3028960000000001</v>
      </c>
      <c r="L62" s="195">
        <v>-4.0553850000000002</v>
      </c>
      <c r="M62" s="195">
        <v>-3.9102039999999998</v>
      </c>
      <c r="N62" s="195">
        <v>-33.007869999999997</v>
      </c>
    </row>
    <row r="63" spans="1:14" hidden="1" x14ac:dyDescent="0.35">
      <c r="A63" s="52" t="s">
        <v>206</v>
      </c>
      <c r="B63" s="52" t="s">
        <v>37</v>
      </c>
      <c r="C63" s="52" t="s">
        <v>35</v>
      </c>
      <c r="D63" s="52" t="s">
        <v>38</v>
      </c>
      <c r="E63" s="52" t="s">
        <v>584</v>
      </c>
      <c r="F63" s="52" t="s">
        <v>26</v>
      </c>
      <c r="G63" s="195" t="s">
        <v>277</v>
      </c>
      <c r="H63" s="195"/>
      <c r="I63" s="195"/>
      <c r="J63" s="195"/>
      <c r="K63" s="195"/>
      <c r="L63" s="195">
        <v>0</v>
      </c>
      <c r="M63" s="195"/>
      <c r="N63" s="195">
        <v>0</v>
      </c>
    </row>
    <row r="64" spans="1:14" hidden="1" x14ac:dyDescent="0.35">
      <c r="A64" s="52" t="s">
        <v>206</v>
      </c>
      <c r="B64" s="52" t="s">
        <v>37</v>
      </c>
      <c r="C64" s="52" t="s">
        <v>35</v>
      </c>
      <c r="D64" s="52" t="s">
        <v>38</v>
      </c>
      <c r="E64" s="52" t="s">
        <v>584</v>
      </c>
      <c r="F64" s="52" t="s">
        <v>26</v>
      </c>
      <c r="G64" s="195" t="s">
        <v>279</v>
      </c>
      <c r="H64" s="195">
        <v>72.944760000000002</v>
      </c>
      <c r="I64" s="195">
        <v>61.831470000000003</v>
      </c>
      <c r="J64" s="195">
        <v>59.941220000000001</v>
      </c>
      <c r="K64" s="195">
        <v>64.199449999999999</v>
      </c>
      <c r="L64" s="195">
        <v>66.906390000000002</v>
      </c>
      <c r="M64" s="195">
        <v>64.470259999999996</v>
      </c>
      <c r="N64" s="195">
        <v>179.4426</v>
      </c>
    </row>
    <row r="65" spans="1:14" hidden="1" x14ac:dyDescent="0.35">
      <c r="A65" s="52" t="s">
        <v>206</v>
      </c>
      <c r="B65" s="52" t="s">
        <v>37</v>
      </c>
      <c r="C65" s="52" t="s">
        <v>35</v>
      </c>
      <c r="D65" s="52" t="s">
        <v>38</v>
      </c>
      <c r="E65" s="52" t="s">
        <v>603</v>
      </c>
      <c r="F65" s="52" t="s">
        <v>581</v>
      </c>
      <c r="G65" s="195" t="s">
        <v>275</v>
      </c>
      <c r="H65" s="195">
        <v>48.563079999999999</v>
      </c>
      <c r="I65" s="195">
        <v>5.3764430000000001</v>
      </c>
      <c r="J65" s="195">
        <v>3.2462849999999999</v>
      </c>
      <c r="K65" s="195">
        <v>2.8352170000000001</v>
      </c>
      <c r="L65" s="195">
        <v>1.5268010000000001</v>
      </c>
      <c r="M65" s="195">
        <v>1.4845280000000001</v>
      </c>
      <c r="N65" s="195">
        <v>1.344738</v>
      </c>
    </row>
    <row r="66" spans="1:14" hidden="1" x14ac:dyDescent="0.35">
      <c r="A66" s="52" t="s">
        <v>206</v>
      </c>
      <c r="B66" s="52" t="s">
        <v>37</v>
      </c>
      <c r="C66" s="52" t="s">
        <v>35</v>
      </c>
      <c r="D66" s="52" t="s">
        <v>38</v>
      </c>
      <c r="E66" s="52" t="s">
        <v>603</v>
      </c>
      <c r="F66" s="52" t="s">
        <v>581</v>
      </c>
      <c r="G66" s="195" t="s">
        <v>276</v>
      </c>
      <c r="H66" s="195">
        <v>-3.5607449999999998</v>
      </c>
      <c r="I66" s="195">
        <v>0.88319119999999995</v>
      </c>
      <c r="J66" s="195">
        <v>0.63049679999999997</v>
      </c>
      <c r="K66" s="195">
        <v>0.4636036</v>
      </c>
      <c r="L66" s="195">
        <v>0.4058581</v>
      </c>
      <c r="M66" s="195">
        <v>0.39462140000000001</v>
      </c>
      <c r="N66" s="195">
        <v>0.35746220000000001</v>
      </c>
    </row>
    <row r="67" spans="1:14" hidden="1" x14ac:dyDescent="0.35">
      <c r="A67" s="52" t="s">
        <v>206</v>
      </c>
      <c r="B67" s="52" t="s">
        <v>37</v>
      </c>
      <c r="C67" s="52" t="s">
        <v>35</v>
      </c>
      <c r="D67" s="52" t="s">
        <v>38</v>
      </c>
      <c r="E67" s="52" t="s">
        <v>603</v>
      </c>
      <c r="F67" s="52" t="s">
        <v>581</v>
      </c>
      <c r="G67" s="195" t="s">
        <v>277</v>
      </c>
      <c r="H67" s="195">
        <v>0</v>
      </c>
      <c r="I67" s="195"/>
      <c r="J67" s="195"/>
      <c r="K67" s="195"/>
      <c r="L67" s="195"/>
      <c r="M67" s="195">
        <v>0</v>
      </c>
      <c r="N67" s="195">
        <v>0</v>
      </c>
    </row>
    <row r="68" spans="1:14" hidden="1" x14ac:dyDescent="0.35">
      <c r="A68" s="52" t="s">
        <v>206</v>
      </c>
      <c r="B68" s="52" t="s">
        <v>37</v>
      </c>
      <c r="C68" s="52" t="s">
        <v>35</v>
      </c>
      <c r="D68" s="52" t="s">
        <v>38</v>
      </c>
      <c r="E68" s="52" t="s">
        <v>603</v>
      </c>
      <c r="F68" s="52" t="s">
        <v>581</v>
      </c>
      <c r="G68" s="195" t="s">
        <v>278</v>
      </c>
      <c r="H68" s="195">
        <v>0</v>
      </c>
      <c r="I68" s="195"/>
      <c r="J68" s="195"/>
      <c r="K68" s="195"/>
      <c r="L68" s="195"/>
      <c r="M68" s="195"/>
      <c r="N68" s="195"/>
    </row>
    <row r="69" spans="1:14" hidden="1" x14ac:dyDescent="0.35">
      <c r="A69" s="52" t="s">
        <v>206</v>
      </c>
      <c r="B69" s="52" t="s">
        <v>37</v>
      </c>
      <c r="C69" s="52" t="s">
        <v>35</v>
      </c>
      <c r="D69" s="52" t="s">
        <v>38</v>
      </c>
      <c r="E69" s="52" t="s">
        <v>603</v>
      </c>
      <c r="F69" s="52" t="s">
        <v>581</v>
      </c>
      <c r="G69" s="195" t="s">
        <v>279</v>
      </c>
      <c r="H69" s="195">
        <v>21.3611</v>
      </c>
      <c r="I69" s="195">
        <v>13.01951</v>
      </c>
      <c r="J69" s="195">
        <v>10.710470000000001</v>
      </c>
      <c r="K69" s="195">
        <v>9.784789</v>
      </c>
      <c r="L69" s="195">
        <v>9.8811</v>
      </c>
      <c r="M69" s="195">
        <v>8.8498359999999998</v>
      </c>
      <c r="N69" s="195">
        <v>7.9606430000000001</v>
      </c>
    </row>
    <row r="70" spans="1:14" hidden="1" x14ac:dyDescent="0.35">
      <c r="A70" s="52" t="s">
        <v>206</v>
      </c>
      <c r="B70" s="52" t="s">
        <v>37</v>
      </c>
      <c r="C70" s="52" t="s">
        <v>35</v>
      </c>
      <c r="D70" s="52" t="s">
        <v>38</v>
      </c>
      <c r="E70" s="52" t="s">
        <v>603</v>
      </c>
      <c r="F70" s="52" t="s">
        <v>26</v>
      </c>
      <c r="G70" s="195" t="s">
        <v>275</v>
      </c>
      <c r="H70" s="195">
        <v>1.244494</v>
      </c>
      <c r="I70" s="195">
        <v>0.21949679999999999</v>
      </c>
      <c r="J70" s="195">
        <v>0.36431999999999998</v>
      </c>
      <c r="K70" s="195">
        <v>0.222689</v>
      </c>
      <c r="L70" s="195">
        <v>-0.119517</v>
      </c>
      <c r="M70" s="195">
        <v>-8.2389000000000004E-2</v>
      </c>
      <c r="N70" s="195">
        <v>-7.0494799999999996E-2</v>
      </c>
    </row>
    <row r="71" spans="1:14" hidden="1" x14ac:dyDescent="0.35">
      <c r="A71" s="52" t="s">
        <v>206</v>
      </c>
      <c r="B71" s="52" t="s">
        <v>37</v>
      </c>
      <c r="C71" s="52" t="s">
        <v>35</v>
      </c>
      <c r="D71" s="52" t="s">
        <v>38</v>
      </c>
      <c r="E71" s="52" t="s">
        <v>603</v>
      </c>
      <c r="F71" s="52" t="s">
        <v>26</v>
      </c>
      <c r="G71" s="195" t="s">
        <v>276</v>
      </c>
      <c r="H71" s="195">
        <v>0.33081300000000002</v>
      </c>
      <c r="I71" s="195">
        <v>5.8346990000000001E-2</v>
      </c>
      <c r="J71" s="195">
        <v>9.6845189999999998E-2</v>
      </c>
      <c r="K71" s="195">
        <v>5.9195400000000002E-2</v>
      </c>
      <c r="L71" s="195">
        <v>-3.1770199999999998E-2</v>
      </c>
      <c r="M71" s="195">
        <v>-2.1900800000000002E-2</v>
      </c>
      <c r="N71" s="195">
        <v>-1.8738999999999999E-2</v>
      </c>
    </row>
    <row r="72" spans="1:14" hidden="1" x14ac:dyDescent="0.35">
      <c r="A72" s="52" t="s">
        <v>206</v>
      </c>
      <c r="B72" s="52" t="s">
        <v>37</v>
      </c>
      <c r="C72" s="52" t="s">
        <v>35</v>
      </c>
      <c r="D72" s="52" t="s">
        <v>38</v>
      </c>
      <c r="E72" s="52" t="s">
        <v>603</v>
      </c>
      <c r="F72" s="52" t="s">
        <v>26</v>
      </c>
      <c r="G72" s="195" t="s">
        <v>279</v>
      </c>
      <c r="H72" s="195">
        <v>8.1949660000000009</v>
      </c>
      <c r="I72" s="195">
        <v>5.1887080000000001</v>
      </c>
      <c r="J72" s="195">
        <v>4.3547820000000002</v>
      </c>
      <c r="K72" s="195">
        <v>4.0302819999999997</v>
      </c>
      <c r="L72" s="195">
        <v>4.0361500000000001</v>
      </c>
      <c r="M72" s="195">
        <v>3.6226409999999998</v>
      </c>
      <c r="N72" s="195">
        <v>3.2585549999999999</v>
      </c>
    </row>
    <row r="73" spans="1:14" hidden="1" x14ac:dyDescent="0.35">
      <c r="A73" s="52" t="s">
        <v>206</v>
      </c>
      <c r="B73" s="52" t="s">
        <v>37</v>
      </c>
      <c r="C73" s="52" t="s">
        <v>35</v>
      </c>
      <c r="D73" s="52" t="s">
        <v>38</v>
      </c>
      <c r="E73" s="52" t="s">
        <v>586</v>
      </c>
      <c r="F73" s="52" t="s">
        <v>581</v>
      </c>
      <c r="G73" s="195" t="s">
        <v>275</v>
      </c>
      <c r="H73" s="195">
        <v>17.002140000000001</v>
      </c>
      <c r="I73" s="195">
        <v>0.46071319999999999</v>
      </c>
      <c r="J73" s="195">
        <v>2.7561049999999998</v>
      </c>
      <c r="K73" s="195">
        <v>4.859674</v>
      </c>
      <c r="L73" s="195">
        <v>1.5435589999999999</v>
      </c>
      <c r="M73" s="195">
        <v>1.5021</v>
      </c>
      <c r="N73" s="195">
        <v>1.068365</v>
      </c>
    </row>
    <row r="74" spans="1:14" hidden="1" x14ac:dyDescent="0.35">
      <c r="A74" s="52" t="s">
        <v>206</v>
      </c>
      <c r="B74" s="52" t="s">
        <v>37</v>
      </c>
      <c r="C74" s="52" t="s">
        <v>35</v>
      </c>
      <c r="D74" s="52" t="s">
        <v>38</v>
      </c>
      <c r="E74" s="52" t="s">
        <v>586</v>
      </c>
      <c r="F74" s="52" t="s">
        <v>581</v>
      </c>
      <c r="G74" s="195" t="s">
        <v>276</v>
      </c>
      <c r="H74" s="195">
        <v>0.60669799999999996</v>
      </c>
      <c r="I74" s="195">
        <v>-1.6890879999999999</v>
      </c>
      <c r="J74" s="195">
        <v>-1.687236</v>
      </c>
      <c r="K74" s="195">
        <v>-3.1229930000000001</v>
      </c>
      <c r="L74" s="195">
        <v>-1.027998</v>
      </c>
      <c r="M74" s="195">
        <v>-0.33614559999999999</v>
      </c>
      <c r="N74" s="195">
        <v>-7.4497979999999997E-3</v>
      </c>
    </row>
    <row r="75" spans="1:14" hidden="1" x14ac:dyDescent="0.35">
      <c r="A75" s="52" t="s">
        <v>206</v>
      </c>
      <c r="B75" s="52" t="s">
        <v>37</v>
      </c>
      <c r="C75" s="52" t="s">
        <v>35</v>
      </c>
      <c r="D75" s="52" t="s">
        <v>38</v>
      </c>
      <c r="E75" s="52" t="s">
        <v>586</v>
      </c>
      <c r="F75" s="52" t="s">
        <v>581</v>
      </c>
      <c r="G75" s="195" t="s">
        <v>277</v>
      </c>
      <c r="H75" s="195">
        <v>9.0701230000000006</v>
      </c>
      <c r="I75" s="195">
        <v>1.103208</v>
      </c>
      <c r="J75" s="195">
        <v>0.89605460000000003</v>
      </c>
      <c r="K75" s="195">
        <v>0.37026779999999998</v>
      </c>
      <c r="L75" s="195">
        <v>0.36013780000000001</v>
      </c>
      <c r="M75" s="195">
        <v>0</v>
      </c>
      <c r="N75" s="195">
        <v>0</v>
      </c>
    </row>
    <row r="76" spans="1:14" hidden="1" x14ac:dyDescent="0.35">
      <c r="A76" s="52" t="s">
        <v>206</v>
      </c>
      <c r="B76" s="52" t="s">
        <v>37</v>
      </c>
      <c r="C76" s="52" t="s">
        <v>35</v>
      </c>
      <c r="D76" s="52" t="s">
        <v>38</v>
      </c>
      <c r="E76" s="52" t="s">
        <v>586</v>
      </c>
      <c r="F76" s="52" t="s">
        <v>581</v>
      </c>
      <c r="G76" s="195" t="s">
        <v>278</v>
      </c>
      <c r="H76" s="195">
        <v>3.8663310000000002</v>
      </c>
      <c r="I76" s="195">
        <v>4.8351389999999999</v>
      </c>
      <c r="J76" s="195">
        <v>1.2902089999999999</v>
      </c>
      <c r="K76" s="195">
        <v>0.57688720000000004</v>
      </c>
      <c r="L76" s="195">
        <v>0.79918319999999998</v>
      </c>
      <c r="M76" s="195">
        <v>0.24538080000000001</v>
      </c>
      <c r="N76" s="195">
        <v>0.10468479999999999</v>
      </c>
    </row>
    <row r="77" spans="1:14" hidden="1" x14ac:dyDescent="0.35">
      <c r="A77" s="52" t="s">
        <v>206</v>
      </c>
      <c r="B77" s="52" t="s">
        <v>37</v>
      </c>
      <c r="C77" s="52" t="s">
        <v>35</v>
      </c>
      <c r="D77" s="52" t="s">
        <v>38</v>
      </c>
      <c r="E77" s="52" t="s">
        <v>586</v>
      </c>
      <c r="F77" s="52" t="s">
        <v>581</v>
      </c>
      <c r="G77" s="195" t="s">
        <v>279</v>
      </c>
      <c r="H77" s="195">
        <v>12.798690000000001</v>
      </c>
      <c r="I77" s="195">
        <v>7.8140869999999998</v>
      </c>
      <c r="J77" s="195">
        <v>6.6923529999999998</v>
      </c>
      <c r="K77" s="195">
        <v>5.6957440000000004</v>
      </c>
      <c r="L77" s="195">
        <v>5.0771930000000003</v>
      </c>
      <c r="M77" s="195">
        <v>4.1360099999999997</v>
      </c>
      <c r="N77" s="195">
        <v>3.5028250000000001</v>
      </c>
    </row>
    <row r="78" spans="1:14" hidden="1" x14ac:dyDescent="0.35">
      <c r="A78" s="52" t="s">
        <v>206</v>
      </c>
      <c r="B78" s="52" t="s">
        <v>37</v>
      </c>
      <c r="C78" s="52" t="s">
        <v>35</v>
      </c>
      <c r="D78" s="52" t="s">
        <v>38</v>
      </c>
      <c r="E78" s="52" t="s">
        <v>586</v>
      </c>
      <c r="F78" s="52" t="s">
        <v>26</v>
      </c>
      <c r="G78" s="195" t="s">
        <v>275</v>
      </c>
      <c r="H78" s="195">
        <v>0.43459799999999998</v>
      </c>
      <c r="I78" s="195">
        <v>-4.4133600000000002E-2</v>
      </c>
      <c r="J78" s="195">
        <v>6.6615800000000003E-2</v>
      </c>
      <c r="K78" s="195">
        <v>-8.1479549999999995E-4</v>
      </c>
      <c r="L78" s="195">
        <v>-0.1570742</v>
      </c>
      <c r="M78" s="195">
        <v>-0.1199046</v>
      </c>
      <c r="N78" s="195">
        <v>-0.102697</v>
      </c>
    </row>
    <row r="79" spans="1:14" hidden="1" x14ac:dyDescent="0.35">
      <c r="A79" s="52" t="s">
        <v>206</v>
      </c>
      <c r="B79" s="52" t="s">
        <v>37</v>
      </c>
      <c r="C79" s="52" t="s">
        <v>35</v>
      </c>
      <c r="D79" s="52" t="s">
        <v>38</v>
      </c>
      <c r="E79" s="52" t="s">
        <v>586</v>
      </c>
      <c r="F79" s="52" t="s">
        <v>26</v>
      </c>
      <c r="G79" s="195" t="s">
        <v>276</v>
      </c>
      <c r="H79" s="195">
        <v>0.115526</v>
      </c>
      <c r="I79" s="195">
        <v>-1.1733E-2</v>
      </c>
      <c r="J79" s="195">
        <v>1.7707000000000001E-2</v>
      </c>
      <c r="K79" s="195">
        <v>-2.1599980000000001E-4</v>
      </c>
      <c r="L79" s="195">
        <v>-4.1753999999999999E-2</v>
      </c>
      <c r="M79" s="195">
        <v>-3.1873400000000003E-2</v>
      </c>
      <c r="N79" s="195">
        <v>-2.7299199999999999E-2</v>
      </c>
    </row>
    <row r="80" spans="1:14" hidden="1" x14ac:dyDescent="0.35">
      <c r="A80" s="52" t="s">
        <v>206</v>
      </c>
      <c r="B80" s="52" t="s">
        <v>37</v>
      </c>
      <c r="C80" s="52" t="s">
        <v>35</v>
      </c>
      <c r="D80" s="52" t="s">
        <v>38</v>
      </c>
      <c r="E80" s="52" t="s">
        <v>586</v>
      </c>
      <c r="F80" s="52" t="s">
        <v>26</v>
      </c>
      <c r="G80" s="195" t="s">
        <v>279</v>
      </c>
      <c r="H80" s="195">
        <v>5.2879230000000002</v>
      </c>
      <c r="I80" s="195">
        <v>3.2048420000000002</v>
      </c>
      <c r="J80" s="195">
        <v>2.8171249999999999</v>
      </c>
      <c r="K80" s="195">
        <v>2.4246020000000001</v>
      </c>
      <c r="L80" s="195">
        <v>2.1375410000000001</v>
      </c>
      <c r="M80" s="195">
        <v>1.7458320000000001</v>
      </c>
      <c r="N80" s="195">
        <v>1.4796389999999999</v>
      </c>
    </row>
    <row r="81" spans="1:14" hidden="1" x14ac:dyDescent="0.35">
      <c r="A81" s="52" t="s">
        <v>206</v>
      </c>
      <c r="B81" s="52" t="s">
        <v>37</v>
      </c>
      <c r="C81" s="52" t="s">
        <v>35</v>
      </c>
      <c r="D81" s="52" t="s">
        <v>129</v>
      </c>
      <c r="E81" s="52" t="s">
        <v>582</v>
      </c>
      <c r="F81" s="52" t="s">
        <v>581</v>
      </c>
      <c r="G81" s="195" t="s">
        <v>275</v>
      </c>
      <c r="H81" s="195">
        <v>-30.427990000000001</v>
      </c>
      <c r="I81" s="195">
        <v>-6.530335</v>
      </c>
      <c r="J81" s="195">
        <v>21.294519999999999</v>
      </c>
      <c r="K81" s="195">
        <v>41.738</v>
      </c>
      <c r="L81" s="195">
        <v>25.886009999999999</v>
      </c>
      <c r="M81" s="195">
        <v>10.559760000000001</v>
      </c>
      <c r="N81" s="195">
        <v>5.995946</v>
      </c>
    </row>
    <row r="82" spans="1:14" hidden="1" x14ac:dyDescent="0.35">
      <c r="A82" s="52" t="s">
        <v>206</v>
      </c>
      <c r="B82" s="52" t="s">
        <v>37</v>
      </c>
      <c r="C82" s="52" t="s">
        <v>35</v>
      </c>
      <c r="D82" s="52" t="s">
        <v>129</v>
      </c>
      <c r="E82" s="52" t="s">
        <v>582</v>
      </c>
      <c r="F82" s="52" t="s">
        <v>581</v>
      </c>
      <c r="G82" s="195" t="s">
        <v>276</v>
      </c>
      <c r="H82" s="195">
        <v>26.285049999999998</v>
      </c>
      <c r="I82" s="195">
        <v>-12.47369</v>
      </c>
      <c r="J82" s="195">
        <v>-14.99263</v>
      </c>
      <c r="K82" s="195">
        <v>-30.219550000000002</v>
      </c>
      <c r="L82" s="195">
        <v>-24.08201</v>
      </c>
      <c r="M82" s="195">
        <v>-4.3215029999999999</v>
      </c>
      <c r="N82" s="195">
        <v>-0.6664466</v>
      </c>
    </row>
    <row r="83" spans="1:14" hidden="1" x14ac:dyDescent="0.35">
      <c r="A83" s="52" t="s">
        <v>206</v>
      </c>
      <c r="B83" s="52" t="s">
        <v>37</v>
      </c>
      <c r="C83" s="52" t="s">
        <v>35</v>
      </c>
      <c r="D83" s="52" t="s">
        <v>129</v>
      </c>
      <c r="E83" s="52" t="s">
        <v>582</v>
      </c>
      <c r="F83" s="52" t="s">
        <v>581</v>
      </c>
      <c r="G83" s="195" t="s">
        <v>277</v>
      </c>
      <c r="H83" s="195">
        <v>143.47139999999999</v>
      </c>
      <c r="I83" s="195">
        <v>3.3870830000000001</v>
      </c>
      <c r="J83" s="195">
        <v>3.3800409999999999</v>
      </c>
      <c r="K83" s="195">
        <v>0.70539220000000002</v>
      </c>
      <c r="L83" s="195">
        <v>0.54088380000000003</v>
      </c>
      <c r="M83" s="195">
        <v>0</v>
      </c>
      <c r="N83" s="195">
        <v>0</v>
      </c>
    </row>
    <row r="84" spans="1:14" hidden="1" x14ac:dyDescent="0.35">
      <c r="A84" s="52" t="s">
        <v>206</v>
      </c>
      <c r="B84" s="52" t="s">
        <v>37</v>
      </c>
      <c r="C84" s="52" t="s">
        <v>35</v>
      </c>
      <c r="D84" s="52" t="s">
        <v>129</v>
      </c>
      <c r="E84" s="52" t="s">
        <v>582</v>
      </c>
      <c r="F84" s="52" t="s">
        <v>581</v>
      </c>
      <c r="G84" s="195" t="s">
        <v>278</v>
      </c>
      <c r="H84" s="195">
        <v>126.83280000000001</v>
      </c>
      <c r="I84" s="195">
        <v>53.739579999999997</v>
      </c>
      <c r="J84" s="195">
        <v>14.22508</v>
      </c>
      <c r="K84" s="195">
        <v>6.4638439999999999</v>
      </c>
      <c r="L84" s="195">
        <v>3.817475</v>
      </c>
      <c r="M84" s="195">
        <v>0</v>
      </c>
      <c r="N84" s="195">
        <v>0</v>
      </c>
    </row>
    <row r="85" spans="1:14" hidden="1" x14ac:dyDescent="0.35">
      <c r="A85" s="52" t="s">
        <v>206</v>
      </c>
      <c r="B85" s="52" t="s">
        <v>37</v>
      </c>
      <c r="C85" s="52" t="s">
        <v>35</v>
      </c>
      <c r="D85" s="52" t="s">
        <v>129</v>
      </c>
      <c r="E85" s="52" t="s">
        <v>582</v>
      </c>
      <c r="F85" s="52" t="s">
        <v>581</v>
      </c>
      <c r="G85" s="195" t="s">
        <v>279</v>
      </c>
      <c r="H85" s="195">
        <v>143.07679999999999</v>
      </c>
      <c r="I85" s="195">
        <v>122.6553</v>
      </c>
      <c r="J85" s="195">
        <v>115.9161</v>
      </c>
      <c r="K85" s="195">
        <v>98.887609999999995</v>
      </c>
      <c r="L85" s="195">
        <v>90.939819999999997</v>
      </c>
      <c r="M85" s="195">
        <v>75.672060000000002</v>
      </c>
      <c r="N85" s="195">
        <v>64.706429999999997</v>
      </c>
    </row>
    <row r="86" spans="1:14" hidden="1" x14ac:dyDescent="0.35">
      <c r="A86" s="52" t="s">
        <v>206</v>
      </c>
      <c r="B86" s="52" t="s">
        <v>37</v>
      </c>
      <c r="C86" s="52" t="s">
        <v>35</v>
      </c>
      <c r="D86" s="52" t="s">
        <v>129</v>
      </c>
      <c r="E86" s="52" t="s">
        <v>582</v>
      </c>
      <c r="F86" s="52" t="s">
        <v>26</v>
      </c>
      <c r="G86" s="195" t="s">
        <v>275</v>
      </c>
      <c r="H86" s="195">
        <v>-3.764662</v>
      </c>
      <c r="I86" s="195">
        <v>-6.5668350000000002</v>
      </c>
      <c r="J86" s="195">
        <v>-5.0187600000000003</v>
      </c>
      <c r="K86" s="195">
        <v>-4.9914360000000002</v>
      </c>
      <c r="L86" s="195">
        <v>-6.6502600000000003</v>
      </c>
      <c r="M86" s="195">
        <v>-5.3965949999999996</v>
      </c>
      <c r="N86" s="195">
        <v>-4.6021359999999998</v>
      </c>
    </row>
    <row r="87" spans="1:14" hidden="1" x14ac:dyDescent="0.35">
      <c r="A87" s="52" t="s">
        <v>206</v>
      </c>
      <c r="B87" s="52" t="s">
        <v>37</v>
      </c>
      <c r="C87" s="52" t="s">
        <v>35</v>
      </c>
      <c r="D87" s="52" t="s">
        <v>129</v>
      </c>
      <c r="E87" s="52" t="s">
        <v>582</v>
      </c>
      <c r="F87" s="52" t="s">
        <v>26</v>
      </c>
      <c r="G87" s="195" t="s">
        <v>276</v>
      </c>
      <c r="H87" s="195">
        <v>-1.0007360000000001</v>
      </c>
      <c r="I87" s="195">
        <v>-1.7456160000000001</v>
      </c>
      <c r="J87" s="195">
        <v>-1.3340989999999999</v>
      </c>
      <c r="K87" s="195">
        <v>-1.32684</v>
      </c>
      <c r="L87" s="195">
        <v>-1.7677879999999999</v>
      </c>
      <c r="M87" s="195">
        <v>-1.434537</v>
      </c>
      <c r="N87" s="195">
        <v>-1.223352</v>
      </c>
    </row>
    <row r="88" spans="1:14" hidden="1" x14ac:dyDescent="0.35">
      <c r="A88" s="52" t="s">
        <v>206</v>
      </c>
      <c r="B88" s="52" t="s">
        <v>37</v>
      </c>
      <c r="C88" s="52" t="s">
        <v>35</v>
      </c>
      <c r="D88" s="52" t="s">
        <v>129</v>
      </c>
      <c r="E88" s="52" t="s">
        <v>582</v>
      </c>
      <c r="F88" s="52" t="s">
        <v>26</v>
      </c>
      <c r="G88" s="195" t="s">
        <v>279</v>
      </c>
      <c r="H88" s="195">
        <v>52.24653</v>
      </c>
      <c r="I88" s="195">
        <v>43.175780000000003</v>
      </c>
      <c r="J88" s="195">
        <v>41.650910000000003</v>
      </c>
      <c r="K88" s="195">
        <v>35.896210000000004</v>
      </c>
      <c r="L88" s="195">
        <v>32.692700000000002</v>
      </c>
      <c r="M88" s="195">
        <v>27.257259999999999</v>
      </c>
      <c r="N88" s="195">
        <v>23.309629999999999</v>
      </c>
    </row>
    <row r="89" spans="1:14" hidden="1" x14ac:dyDescent="0.35">
      <c r="A89" s="52" t="s">
        <v>206</v>
      </c>
      <c r="B89" s="52" t="s">
        <v>37</v>
      </c>
      <c r="C89" s="52" t="s">
        <v>35</v>
      </c>
      <c r="D89" s="52" t="s">
        <v>39</v>
      </c>
      <c r="E89" s="52" t="s">
        <v>582</v>
      </c>
      <c r="F89" s="52" t="s">
        <v>581</v>
      </c>
      <c r="G89" s="195" t="s">
        <v>275</v>
      </c>
      <c r="H89" s="195">
        <v>-74.178520000000006</v>
      </c>
      <c r="I89" s="195">
        <v>-8.3597129999999993</v>
      </c>
      <c r="J89" s="195">
        <v>11.536530000000001</v>
      </c>
      <c r="K89" s="195">
        <v>7.7492130000000001</v>
      </c>
      <c r="L89" s="195">
        <v>14.82902</v>
      </c>
      <c r="M89" s="195">
        <v>7.0811679999999999</v>
      </c>
      <c r="N89" s="195">
        <v>4.2280670000000002</v>
      </c>
    </row>
    <row r="90" spans="1:14" hidden="1" x14ac:dyDescent="0.35">
      <c r="A90" s="52" t="s">
        <v>206</v>
      </c>
      <c r="B90" s="52" t="s">
        <v>37</v>
      </c>
      <c r="C90" s="52" t="s">
        <v>35</v>
      </c>
      <c r="D90" s="52" t="s">
        <v>39</v>
      </c>
      <c r="E90" s="52" t="s">
        <v>582</v>
      </c>
      <c r="F90" s="52" t="s">
        <v>581</v>
      </c>
      <c r="G90" s="195" t="s">
        <v>276</v>
      </c>
      <c r="H90" s="195">
        <v>4.8273679999999999</v>
      </c>
      <c r="I90" s="195">
        <v>-5.9148420000000002</v>
      </c>
      <c r="J90" s="195">
        <v>-9.4966139999999992</v>
      </c>
      <c r="K90" s="195">
        <v>-4.0989409999999999</v>
      </c>
      <c r="L90" s="195">
        <v>-14.3424</v>
      </c>
      <c r="M90" s="195">
        <v>-2.4636170000000002</v>
      </c>
      <c r="N90" s="195">
        <v>-0.40572900000000001</v>
      </c>
    </row>
    <row r="91" spans="1:14" hidden="1" x14ac:dyDescent="0.35">
      <c r="A91" s="52" t="s">
        <v>206</v>
      </c>
      <c r="B91" s="52" t="s">
        <v>37</v>
      </c>
      <c r="C91" s="52" t="s">
        <v>35</v>
      </c>
      <c r="D91" s="52" t="s">
        <v>39</v>
      </c>
      <c r="E91" s="52" t="s">
        <v>582</v>
      </c>
      <c r="F91" s="52" t="s">
        <v>581</v>
      </c>
      <c r="G91" s="195" t="s">
        <v>277</v>
      </c>
      <c r="H91" s="195">
        <v>102.25539999999999</v>
      </c>
      <c r="I91" s="195">
        <v>3.0880190000000001</v>
      </c>
      <c r="J91" s="195">
        <v>2.3856009999999999</v>
      </c>
      <c r="K91" s="195">
        <v>1.574505</v>
      </c>
      <c r="L91" s="195">
        <v>0.48695620000000001</v>
      </c>
      <c r="M91" s="195">
        <v>0</v>
      </c>
      <c r="N91" s="195">
        <v>0</v>
      </c>
    </row>
    <row r="92" spans="1:14" hidden="1" x14ac:dyDescent="0.35">
      <c r="A92" s="52" t="s">
        <v>206</v>
      </c>
      <c r="B92" s="52" t="s">
        <v>37</v>
      </c>
      <c r="C92" s="52" t="s">
        <v>35</v>
      </c>
      <c r="D92" s="52" t="s">
        <v>39</v>
      </c>
      <c r="E92" s="52" t="s">
        <v>582</v>
      </c>
      <c r="F92" s="52" t="s">
        <v>581</v>
      </c>
      <c r="G92" s="195" t="s">
        <v>278</v>
      </c>
      <c r="H92" s="195">
        <v>60.724299999999999</v>
      </c>
      <c r="I92" s="195">
        <v>30.097819999999999</v>
      </c>
      <c r="J92" s="195">
        <v>8.4465149999999998</v>
      </c>
      <c r="K92" s="195">
        <v>5.2720669999999998</v>
      </c>
      <c r="L92" s="195">
        <v>4.3291380000000004</v>
      </c>
      <c r="M92" s="195">
        <v>0</v>
      </c>
      <c r="N92" s="195">
        <v>0</v>
      </c>
    </row>
    <row r="93" spans="1:14" hidden="1" x14ac:dyDescent="0.35">
      <c r="A93" s="52" t="s">
        <v>206</v>
      </c>
      <c r="B93" s="52" t="s">
        <v>37</v>
      </c>
      <c r="C93" s="52" t="s">
        <v>35</v>
      </c>
      <c r="D93" s="52" t="s">
        <v>39</v>
      </c>
      <c r="E93" s="52" t="s">
        <v>582</v>
      </c>
      <c r="F93" s="52" t="s">
        <v>581</v>
      </c>
      <c r="G93" s="195" t="s">
        <v>279</v>
      </c>
      <c r="H93" s="195">
        <v>45.366050000000001</v>
      </c>
      <c r="I93" s="195">
        <v>48.307859999999998</v>
      </c>
      <c r="J93" s="195">
        <v>43.971629999999998</v>
      </c>
      <c r="K93" s="195">
        <v>37.709180000000003</v>
      </c>
      <c r="L93" s="195">
        <v>35.599649999999997</v>
      </c>
      <c r="M93" s="195">
        <v>28.986149999999999</v>
      </c>
      <c r="N93" s="195">
        <v>24.128070000000001</v>
      </c>
    </row>
    <row r="94" spans="1:14" hidden="1" x14ac:dyDescent="0.35">
      <c r="A94" s="52" t="s">
        <v>206</v>
      </c>
      <c r="B94" s="52" t="s">
        <v>37</v>
      </c>
      <c r="C94" s="52" t="s">
        <v>35</v>
      </c>
      <c r="D94" s="52" t="s">
        <v>39</v>
      </c>
      <c r="E94" s="52" t="s">
        <v>582</v>
      </c>
      <c r="F94" s="52" t="s">
        <v>26</v>
      </c>
      <c r="G94" s="195" t="s">
        <v>275</v>
      </c>
      <c r="H94" s="195">
        <v>0.63331499999999996</v>
      </c>
      <c r="I94" s="195">
        <v>-0.79741980000000001</v>
      </c>
      <c r="J94" s="195">
        <v>-0.18308579999999999</v>
      </c>
      <c r="K94" s="195">
        <v>-0.42467460000000001</v>
      </c>
      <c r="L94" s="195">
        <v>-1.252051</v>
      </c>
      <c r="M94" s="195">
        <v>-0.97334469999999995</v>
      </c>
      <c r="N94" s="195">
        <v>-0.80693970000000004</v>
      </c>
    </row>
    <row r="95" spans="1:14" hidden="1" x14ac:dyDescent="0.35">
      <c r="A95" s="52" t="s">
        <v>206</v>
      </c>
      <c r="B95" s="52" t="s">
        <v>37</v>
      </c>
      <c r="C95" s="52" t="s">
        <v>35</v>
      </c>
      <c r="D95" s="52" t="s">
        <v>39</v>
      </c>
      <c r="E95" s="52" t="s">
        <v>582</v>
      </c>
      <c r="F95" s="52" t="s">
        <v>26</v>
      </c>
      <c r="G95" s="195" t="s">
        <v>276</v>
      </c>
      <c r="H95" s="195">
        <v>0.168354</v>
      </c>
      <c r="I95" s="195">
        <v>-0.2119732</v>
      </c>
      <c r="J95" s="195">
        <v>-4.8669200000000003E-2</v>
      </c>
      <c r="K95" s="195">
        <v>-0.11289</v>
      </c>
      <c r="L95" s="195">
        <v>-0.33282339999999999</v>
      </c>
      <c r="M95" s="195">
        <v>-0.25873620000000003</v>
      </c>
      <c r="N95" s="195">
        <v>-0.21450279999999999</v>
      </c>
    </row>
    <row r="96" spans="1:14" hidden="1" x14ac:dyDescent="0.35">
      <c r="A96" s="52" t="s">
        <v>206</v>
      </c>
      <c r="B96" s="52" t="s">
        <v>37</v>
      </c>
      <c r="C96" s="52" t="s">
        <v>35</v>
      </c>
      <c r="D96" s="52" t="s">
        <v>39</v>
      </c>
      <c r="E96" s="52" t="s">
        <v>582</v>
      </c>
      <c r="F96" s="52" t="s">
        <v>26</v>
      </c>
      <c r="G96" s="195" t="s">
        <v>279</v>
      </c>
      <c r="H96" s="195">
        <v>14.49267</v>
      </c>
      <c r="I96" s="195">
        <v>14.91802</v>
      </c>
      <c r="J96" s="195">
        <v>13.77009</v>
      </c>
      <c r="K96" s="195">
        <v>11.94204</v>
      </c>
      <c r="L96" s="195">
        <v>11.19422</v>
      </c>
      <c r="M96" s="195">
        <v>9.1342269999999992</v>
      </c>
      <c r="N96" s="195">
        <v>7.6041819999999998</v>
      </c>
    </row>
    <row r="97" spans="1:14" hidden="1" x14ac:dyDescent="0.35">
      <c r="A97" s="52" t="s">
        <v>206</v>
      </c>
      <c r="B97" s="52" t="s">
        <v>37</v>
      </c>
      <c r="C97" s="52" t="s">
        <v>35</v>
      </c>
      <c r="D97" s="52" t="s">
        <v>207</v>
      </c>
      <c r="E97" s="52" t="s">
        <v>583</v>
      </c>
      <c r="F97" s="52" t="s">
        <v>581</v>
      </c>
      <c r="G97" s="195" t="s">
        <v>275</v>
      </c>
      <c r="H97" s="195">
        <v>17.69736</v>
      </c>
      <c r="I97" s="195">
        <v>4.1975429999999996</v>
      </c>
      <c r="J97" s="195">
        <v>3.890501</v>
      </c>
      <c r="K97" s="195">
        <v>2.823696</v>
      </c>
      <c r="L97" s="195">
        <v>2.0064039999999999</v>
      </c>
      <c r="M97" s="195">
        <v>1.717527</v>
      </c>
      <c r="N97" s="195">
        <v>1.5464979999999999</v>
      </c>
    </row>
    <row r="98" spans="1:14" hidden="1" x14ac:dyDescent="0.35">
      <c r="A98" s="52" t="s">
        <v>206</v>
      </c>
      <c r="B98" s="52" t="s">
        <v>37</v>
      </c>
      <c r="C98" s="52" t="s">
        <v>35</v>
      </c>
      <c r="D98" s="52" t="s">
        <v>207</v>
      </c>
      <c r="E98" s="52" t="s">
        <v>583</v>
      </c>
      <c r="F98" s="52" t="s">
        <v>581</v>
      </c>
      <c r="G98" s="195" t="s">
        <v>276</v>
      </c>
      <c r="H98" s="195">
        <v>3.717489</v>
      </c>
      <c r="I98" s="195">
        <v>0.58969020000000005</v>
      </c>
      <c r="J98" s="195">
        <v>-0.36285519999999999</v>
      </c>
      <c r="K98" s="195">
        <v>0.21263899999999999</v>
      </c>
      <c r="L98" s="195">
        <v>0.36390060000000002</v>
      </c>
      <c r="M98" s="195">
        <v>0.45655839999999998</v>
      </c>
      <c r="N98" s="195">
        <v>0.41109479999999998</v>
      </c>
    </row>
    <row r="99" spans="1:14" hidden="1" x14ac:dyDescent="0.35">
      <c r="A99" s="52" t="s">
        <v>206</v>
      </c>
      <c r="B99" s="52" t="s">
        <v>37</v>
      </c>
      <c r="C99" s="52" t="s">
        <v>35</v>
      </c>
      <c r="D99" s="52" t="s">
        <v>207</v>
      </c>
      <c r="E99" s="52" t="s">
        <v>583</v>
      </c>
      <c r="F99" s="52" t="s">
        <v>581</v>
      </c>
      <c r="G99" s="195" t="s">
        <v>277</v>
      </c>
      <c r="H99" s="195">
        <v>1.556265</v>
      </c>
      <c r="I99" s="195">
        <v>1.9999999999999999E-7</v>
      </c>
      <c r="J99" s="195">
        <v>0</v>
      </c>
      <c r="K99" s="195"/>
      <c r="L99" s="195"/>
      <c r="M99" s="195">
        <v>0</v>
      </c>
      <c r="N99" s="195">
        <v>0</v>
      </c>
    </row>
    <row r="100" spans="1:14" hidden="1" x14ac:dyDescent="0.35">
      <c r="A100" s="52" t="s">
        <v>206</v>
      </c>
      <c r="B100" s="52" t="s">
        <v>37</v>
      </c>
      <c r="C100" s="52" t="s">
        <v>35</v>
      </c>
      <c r="D100" s="52" t="s">
        <v>207</v>
      </c>
      <c r="E100" s="52" t="s">
        <v>583</v>
      </c>
      <c r="F100" s="52" t="s">
        <v>581</v>
      </c>
      <c r="G100" s="195" t="s">
        <v>279</v>
      </c>
      <c r="H100" s="195">
        <v>7.12791</v>
      </c>
      <c r="I100" s="195">
        <v>4.3232749999999998</v>
      </c>
      <c r="J100" s="195">
        <v>3.7199849999999999</v>
      </c>
      <c r="K100" s="195">
        <v>3.3242859999999999</v>
      </c>
      <c r="L100" s="195">
        <v>3.2862330000000002</v>
      </c>
      <c r="M100" s="195">
        <v>2.9222399999999999</v>
      </c>
      <c r="N100" s="195">
        <v>2.6241490000000001</v>
      </c>
    </row>
    <row r="101" spans="1:14" hidden="1" x14ac:dyDescent="0.35">
      <c r="A101" s="52" t="s">
        <v>206</v>
      </c>
      <c r="B101" s="52" t="s">
        <v>37</v>
      </c>
      <c r="C101" s="52" t="s">
        <v>61</v>
      </c>
      <c r="D101" s="52" t="s">
        <v>62</v>
      </c>
      <c r="E101" s="52" t="s">
        <v>584</v>
      </c>
      <c r="F101" s="52" t="s">
        <v>581</v>
      </c>
      <c r="G101" s="195" t="s">
        <v>275</v>
      </c>
      <c r="H101" s="195">
        <v>154.44460000000001</v>
      </c>
      <c r="I101" s="195">
        <v>46.544530000000002</v>
      </c>
      <c r="J101" s="195">
        <v>33.47063</v>
      </c>
      <c r="K101" s="195">
        <v>21.94952</v>
      </c>
      <c r="L101" s="195">
        <v>14.001289999999999</v>
      </c>
      <c r="M101" s="195">
        <v>5.620851</v>
      </c>
      <c r="N101" s="195">
        <v>5.0207430000000004</v>
      </c>
    </row>
    <row r="102" spans="1:14" hidden="1" x14ac:dyDescent="0.35">
      <c r="A102" s="52" t="s">
        <v>206</v>
      </c>
      <c r="B102" s="52" t="s">
        <v>37</v>
      </c>
      <c r="C102" s="52" t="s">
        <v>61</v>
      </c>
      <c r="D102" s="52" t="s">
        <v>62</v>
      </c>
      <c r="E102" s="52" t="s">
        <v>584</v>
      </c>
      <c r="F102" s="52" t="s">
        <v>581</v>
      </c>
      <c r="G102" s="195" t="s">
        <v>276</v>
      </c>
      <c r="H102" s="195">
        <v>35.9041</v>
      </c>
      <c r="I102" s="195">
        <v>5.2023200000000003</v>
      </c>
      <c r="J102" s="195">
        <v>2.3709750000000001</v>
      </c>
      <c r="K102" s="195">
        <v>-4.5993329999999999E-2</v>
      </c>
      <c r="L102" s="195">
        <v>-0.84566399999999997</v>
      </c>
      <c r="M102" s="195">
        <v>-0.52710319999999999</v>
      </c>
      <c r="N102" s="195">
        <v>0.45160529999999999</v>
      </c>
    </row>
    <row r="103" spans="1:14" hidden="1" x14ac:dyDescent="0.35">
      <c r="A103" s="52" t="s">
        <v>206</v>
      </c>
      <c r="B103" s="52" t="s">
        <v>37</v>
      </c>
      <c r="C103" s="52" t="s">
        <v>61</v>
      </c>
      <c r="D103" s="52" t="s">
        <v>62</v>
      </c>
      <c r="E103" s="52" t="s">
        <v>584</v>
      </c>
      <c r="F103" s="52" t="s">
        <v>581</v>
      </c>
      <c r="G103" s="195" t="s">
        <v>277</v>
      </c>
      <c r="H103" s="195">
        <v>24.99427</v>
      </c>
      <c r="I103" s="195">
        <v>19.388719999999999</v>
      </c>
      <c r="J103" s="195">
        <v>5.7633089999999996</v>
      </c>
      <c r="K103" s="195">
        <v>6.7661639999999998</v>
      </c>
      <c r="L103" s="195">
        <v>6.8536419999999998</v>
      </c>
      <c r="M103" s="195">
        <v>3.6822430000000002</v>
      </c>
      <c r="N103" s="195">
        <v>1.566506</v>
      </c>
    </row>
    <row r="104" spans="1:14" hidden="1" x14ac:dyDescent="0.35">
      <c r="A104" s="52" t="s">
        <v>206</v>
      </c>
      <c r="B104" s="52" t="s">
        <v>37</v>
      </c>
      <c r="C104" s="52" t="s">
        <v>61</v>
      </c>
      <c r="D104" s="52" t="s">
        <v>62</v>
      </c>
      <c r="E104" s="52" t="s">
        <v>584</v>
      </c>
      <c r="F104" s="52" t="s">
        <v>581</v>
      </c>
      <c r="G104" s="195" t="s">
        <v>278</v>
      </c>
      <c r="H104" s="195">
        <v>20.93027</v>
      </c>
      <c r="I104" s="195">
        <v>1.46523E-2</v>
      </c>
      <c r="J104" s="195">
        <v>1.46523E-2</v>
      </c>
      <c r="K104" s="195">
        <v>1.46523E-2</v>
      </c>
      <c r="L104" s="195">
        <v>1.46523E-2</v>
      </c>
      <c r="M104" s="195">
        <v>1.46523E-2</v>
      </c>
      <c r="N104" s="195">
        <v>1.46523E-2</v>
      </c>
    </row>
    <row r="105" spans="1:14" hidden="1" x14ac:dyDescent="0.35">
      <c r="A105" s="52" t="s">
        <v>206</v>
      </c>
      <c r="B105" s="52" t="s">
        <v>37</v>
      </c>
      <c r="C105" s="52" t="s">
        <v>61</v>
      </c>
      <c r="D105" s="52" t="s">
        <v>62</v>
      </c>
      <c r="E105" s="52" t="s">
        <v>584</v>
      </c>
      <c r="F105" s="52" t="s">
        <v>581</v>
      </c>
      <c r="G105" s="195" t="s">
        <v>279</v>
      </c>
      <c r="H105" s="195">
        <v>39.511099999999999</v>
      </c>
      <c r="I105" s="195">
        <v>36.24953</v>
      </c>
      <c r="J105" s="195">
        <v>33.427570000000003</v>
      </c>
      <c r="K105" s="195">
        <v>32.725589999999997</v>
      </c>
      <c r="L105" s="195">
        <v>30.57264</v>
      </c>
      <c r="M105" s="195">
        <v>31.520289999999999</v>
      </c>
      <c r="N105" s="195">
        <v>26.198139999999999</v>
      </c>
    </row>
    <row r="106" spans="1:14" hidden="1" x14ac:dyDescent="0.35">
      <c r="A106" s="52" t="s">
        <v>206</v>
      </c>
      <c r="B106" s="52" t="s">
        <v>37</v>
      </c>
      <c r="C106" s="52" t="s">
        <v>61</v>
      </c>
      <c r="D106" s="52" t="s">
        <v>62</v>
      </c>
      <c r="E106" s="52" t="s">
        <v>584</v>
      </c>
      <c r="F106" s="52" t="s">
        <v>26</v>
      </c>
      <c r="G106" s="195" t="s">
        <v>275</v>
      </c>
      <c r="H106" s="195">
        <v>3.8194650000000001</v>
      </c>
      <c r="I106" s="195">
        <v>1.6994210000000001</v>
      </c>
      <c r="J106" s="195">
        <v>1.216396</v>
      </c>
      <c r="K106" s="195">
        <v>0.71327300000000005</v>
      </c>
      <c r="L106" s="195">
        <v>0.95765999999999996</v>
      </c>
      <c r="M106" s="195">
        <v>-0.23338619999999999</v>
      </c>
      <c r="N106" s="195">
        <v>0.43988699999999997</v>
      </c>
    </row>
    <row r="107" spans="1:14" hidden="1" x14ac:dyDescent="0.35">
      <c r="A107" s="52" t="s">
        <v>206</v>
      </c>
      <c r="B107" s="52" t="s">
        <v>37</v>
      </c>
      <c r="C107" s="52" t="s">
        <v>61</v>
      </c>
      <c r="D107" s="52" t="s">
        <v>62</v>
      </c>
      <c r="E107" s="52" t="s">
        <v>584</v>
      </c>
      <c r="F107" s="52" t="s">
        <v>26</v>
      </c>
      <c r="G107" s="195" t="s">
        <v>276</v>
      </c>
      <c r="H107" s="195">
        <v>1.0153049999999999</v>
      </c>
      <c r="I107" s="195">
        <v>0.45174500000000001</v>
      </c>
      <c r="J107" s="195">
        <v>0.32334540000000001</v>
      </c>
      <c r="K107" s="195">
        <v>0.1896043</v>
      </c>
      <c r="L107" s="195">
        <v>0.25456800000000002</v>
      </c>
      <c r="M107" s="195">
        <v>-6.203914E-2</v>
      </c>
      <c r="N107" s="195">
        <v>0.1169317</v>
      </c>
    </row>
    <row r="108" spans="1:14" hidden="1" x14ac:dyDescent="0.35">
      <c r="A108" s="52" t="s">
        <v>206</v>
      </c>
      <c r="B108" s="52" t="s">
        <v>37</v>
      </c>
      <c r="C108" s="52" t="s">
        <v>61</v>
      </c>
      <c r="D108" s="52" t="s">
        <v>62</v>
      </c>
      <c r="E108" s="52" t="s">
        <v>584</v>
      </c>
      <c r="F108" s="52" t="s">
        <v>26</v>
      </c>
      <c r="G108" s="195" t="s">
        <v>279</v>
      </c>
      <c r="H108" s="195">
        <v>5.0008460000000001</v>
      </c>
      <c r="I108" s="195">
        <v>4.0231070000000004</v>
      </c>
      <c r="J108" s="195">
        <v>3.6086459999999998</v>
      </c>
      <c r="K108" s="195">
        <v>3.3938190000000001</v>
      </c>
      <c r="L108" s="195">
        <v>2.3710010000000001</v>
      </c>
      <c r="M108" s="195">
        <v>3.1837010000000001</v>
      </c>
      <c r="N108" s="195">
        <v>1.8520350000000001</v>
      </c>
    </row>
    <row r="109" spans="1:14" hidden="1" x14ac:dyDescent="0.35">
      <c r="A109" s="52" t="s">
        <v>206</v>
      </c>
      <c r="B109" s="52" t="s">
        <v>37</v>
      </c>
      <c r="C109" s="52" t="s">
        <v>105</v>
      </c>
      <c r="D109" s="52" t="s">
        <v>105</v>
      </c>
      <c r="E109" s="52" t="s">
        <v>584</v>
      </c>
      <c r="F109" s="52" t="s">
        <v>581</v>
      </c>
      <c r="G109" s="195" t="s">
        <v>275</v>
      </c>
      <c r="H109" s="195">
        <v>16.373349999999999</v>
      </c>
      <c r="I109" s="195">
        <v>-3.7394569999999998</v>
      </c>
      <c r="J109" s="195">
        <v>-4.1496370000000002</v>
      </c>
      <c r="K109" s="195">
        <v>-3.6758160000000002</v>
      </c>
      <c r="L109" s="195">
        <v>-3.031075</v>
      </c>
      <c r="M109" s="195">
        <v>-2.7449170000000001</v>
      </c>
      <c r="N109" s="195">
        <v>-2.287963</v>
      </c>
    </row>
    <row r="110" spans="1:14" hidden="1" x14ac:dyDescent="0.35">
      <c r="A110" s="52" t="s">
        <v>206</v>
      </c>
      <c r="B110" s="52" t="s">
        <v>37</v>
      </c>
      <c r="C110" s="52" t="s">
        <v>105</v>
      </c>
      <c r="D110" s="52" t="s">
        <v>105</v>
      </c>
      <c r="E110" s="52" t="s">
        <v>584</v>
      </c>
      <c r="F110" s="52" t="s">
        <v>581</v>
      </c>
      <c r="G110" s="195" t="s">
        <v>276</v>
      </c>
      <c r="H110" s="195">
        <v>6.7397799999999997</v>
      </c>
      <c r="I110" s="195">
        <v>-1.170264</v>
      </c>
      <c r="J110" s="195">
        <v>-1.410533</v>
      </c>
      <c r="K110" s="195">
        <v>-1.662679</v>
      </c>
      <c r="L110" s="195">
        <v>-1.9061539999999999</v>
      </c>
      <c r="M110" s="195">
        <v>-1.3969009999999999</v>
      </c>
      <c r="N110" s="195">
        <v>-1.189705</v>
      </c>
    </row>
    <row r="111" spans="1:14" hidden="1" x14ac:dyDescent="0.35">
      <c r="A111" s="52" t="s">
        <v>206</v>
      </c>
      <c r="B111" s="52" t="s">
        <v>37</v>
      </c>
      <c r="C111" s="52" t="s">
        <v>105</v>
      </c>
      <c r="D111" s="52" t="s">
        <v>105</v>
      </c>
      <c r="E111" s="52" t="s">
        <v>584</v>
      </c>
      <c r="F111" s="52" t="s">
        <v>581</v>
      </c>
      <c r="G111" s="195" t="s">
        <v>277</v>
      </c>
      <c r="H111" s="195">
        <v>10.70337</v>
      </c>
      <c r="I111" s="195">
        <v>7.3526540000000002</v>
      </c>
      <c r="J111" s="195">
        <v>6.6079920000000003</v>
      </c>
      <c r="K111" s="195">
        <v>6.0253670000000001</v>
      </c>
      <c r="L111" s="195">
        <v>5.5311899999999996</v>
      </c>
      <c r="M111" s="195">
        <v>5.0374179999999997</v>
      </c>
      <c r="N111" s="195">
        <v>4.5935899999999998</v>
      </c>
    </row>
    <row r="112" spans="1:14" hidden="1" x14ac:dyDescent="0.35">
      <c r="A112" s="52" t="s">
        <v>206</v>
      </c>
      <c r="B112" s="52" t="s">
        <v>37</v>
      </c>
      <c r="C112" s="52" t="s">
        <v>105</v>
      </c>
      <c r="D112" s="52" t="s">
        <v>105</v>
      </c>
      <c r="E112" s="52" t="s">
        <v>584</v>
      </c>
      <c r="F112" s="52" t="s">
        <v>581</v>
      </c>
      <c r="G112" s="195" t="s">
        <v>279</v>
      </c>
      <c r="H112" s="195">
        <v>24.365960000000001</v>
      </c>
      <c r="I112" s="195">
        <v>13.86984</v>
      </c>
      <c r="J112" s="195">
        <v>9.9448109999999996</v>
      </c>
      <c r="K112" s="195">
        <v>8.3083220000000004</v>
      </c>
      <c r="L112" s="195">
        <v>7.0688209999999998</v>
      </c>
      <c r="M112" s="195">
        <v>5.8891770000000001</v>
      </c>
      <c r="N112" s="195">
        <v>5.1045480000000003</v>
      </c>
    </row>
    <row r="113" spans="1:14" hidden="1" x14ac:dyDescent="0.35">
      <c r="A113" s="52" t="s">
        <v>206</v>
      </c>
      <c r="B113" s="52" t="s">
        <v>37</v>
      </c>
      <c r="C113" s="52" t="s">
        <v>105</v>
      </c>
      <c r="D113" s="52" t="s">
        <v>105</v>
      </c>
      <c r="E113" s="52" t="s">
        <v>584</v>
      </c>
      <c r="F113" s="52" t="s">
        <v>26</v>
      </c>
      <c r="G113" s="195" t="s">
        <v>275</v>
      </c>
      <c r="H113" s="195">
        <v>-0.12386999999999999</v>
      </c>
      <c r="I113" s="195">
        <v>-3.4647770000000002</v>
      </c>
      <c r="J113" s="195">
        <v>-2.7815159999999999</v>
      </c>
      <c r="K113" s="195">
        <v>-5.3588050000000003</v>
      </c>
      <c r="L113" s="195">
        <v>-7.3801639999999997</v>
      </c>
      <c r="M113" s="195">
        <v>-7.0872169999999999</v>
      </c>
      <c r="N113" s="195">
        <v>-6.7625409999999997</v>
      </c>
    </row>
    <row r="114" spans="1:14" hidden="1" x14ac:dyDescent="0.35">
      <c r="A114" s="52" t="s">
        <v>206</v>
      </c>
      <c r="B114" s="52" t="s">
        <v>37</v>
      </c>
      <c r="C114" s="52" t="s">
        <v>105</v>
      </c>
      <c r="D114" s="52" t="s">
        <v>105</v>
      </c>
      <c r="E114" s="52" t="s">
        <v>584</v>
      </c>
      <c r="F114" s="52" t="s">
        <v>26</v>
      </c>
      <c r="G114" s="195" t="s">
        <v>276</v>
      </c>
      <c r="H114" s="195">
        <v>-0.67654599999999998</v>
      </c>
      <c r="I114" s="195">
        <v>-1.850077</v>
      </c>
      <c r="J114" s="195">
        <v>-0.96423230000000004</v>
      </c>
      <c r="K114" s="195">
        <v>-1.8575299999999999</v>
      </c>
      <c r="L114" s="195">
        <v>-2.558141</v>
      </c>
      <c r="M114" s="195">
        <v>-2.4565990000000002</v>
      </c>
      <c r="N114" s="195">
        <v>-2.344058</v>
      </c>
    </row>
    <row r="115" spans="1:14" hidden="1" x14ac:dyDescent="0.35">
      <c r="A115" s="52" t="s">
        <v>206</v>
      </c>
      <c r="B115" s="52" t="s">
        <v>37</v>
      </c>
      <c r="C115" s="52" t="s">
        <v>105</v>
      </c>
      <c r="D115" s="52" t="s">
        <v>105</v>
      </c>
      <c r="E115" s="52" t="s">
        <v>584</v>
      </c>
      <c r="F115" s="52" t="s">
        <v>26</v>
      </c>
      <c r="G115" s="195" t="s">
        <v>279</v>
      </c>
      <c r="H115" s="195">
        <v>52.464039999999997</v>
      </c>
      <c r="I115" s="195">
        <v>44.634970000000003</v>
      </c>
      <c r="J115" s="195">
        <v>43.258940000000003</v>
      </c>
      <c r="K115" s="195">
        <v>46.356589999999997</v>
      </c>
      <c r="L115" s="195">
        <v>48.210830000000001</v>
      </c>
      <c r="M115" s="195">
        <v>46.099760000000003</v>
      </c>
      <c r="N115" s="195">
        <v>44.266379999999998</v>
      </c>
    </row>
    <row r="116" spans="1:14" hidden="1" x14ac:dyDescent="0.35">
      <c r="A116" s="52" t="s">
        <v>206</v>
      </c>
      <c r="B116" s="52" t="s">
        <v>37</v>
      </c>
      <c r="C116" s="52" t="s">
        <v>115</v>
      </c>
      <c r="D116" s="52" t="s">
        <v>115</v>
      </c>
      <c r="E116" s="52" t="s">
        <v>584</v>
      </c>
      <c r="F116" s="52" t="s">
        <v>26</v>
      </c>
      <c r="G116" s="195" t="s">
        <v>275</v>
      </c>
      <c r="H116" s="195">
        <v>-1.709303</v>
      </c>
      <c r="I116" s="195">
        <v>-4.0518039999999997</v>
      </c>
      <c r="J116" s="195">
        <v>-3.1355550000000001</v>
      </c>
      <c r="K116" s="195">
        <v>-3.1957230000000001</v>
      </c>
      <c r="L116" s="195">
        <v>-5.3084740000000004</v>
      </c>
      <c r="M116" s="195">
        <v>-4.734979</v>
      </c>
      <c r="N116" s="195">
        <v>-4.3380020000000004</v>
      </c>
    </row>
    <row r="117" spans="1:14" hidden="1" x14ac:dyDescent="0.35">
      <c r="A117" s="52" t="s">
        <v>206</v>
      </c>
      <c r="B117" s="52" t="s">
        <v>37</v>
      </c>
      <c r="C117" s="52" t="s">
        <v>115</v>
      </c>
      <c r="D117" s="52" t="s">
        <v>115</v>
      </c>
      <c r="E117" s="52" t="s">
        <v>584</v>
      </c>
      <c r="F117" s="52" t="s">
        <v>26</v>
      </c>
      <c r="G117" s="195" t="s">
        <v>276</v>
      </c>
      <c r="H117" s="195">
        <v>-0.78367100000000001</v>
      </c>
      <c r="I117" s="195">
        <v>-1.776025</v>
      </c>
      <c r="J117" s="195">
        <v>-0.95714840000000001</v>
      </c>
      <c r="K117" s="195">
        <v>-1.3440829999999999</v>
      </c>
      <c r="L117" s="195">
        <v>-1.4111130000000001</v>
      </c>
      <c r="M117" s="195">
        <v>-1.2586660000000001</v>
      </c>
      <c r="N117" s="195">
        <v>-1.1531389999999999</v>
      </c>
    </row>
    <row r="118" spans="1:14" hidden="1" x14ac:dyDescent="0.35">
      <c r="A118" s="52" t="s">
        <v>206</v>
      </c>
      <c r="B118" s="52" t="s">
        <v>37</v>
      </c>
      <c r="C118" s="52" t="s">
        <v>115</v>
      </c>
      <c r="D118" s="52" t="s">
        <v>115</v>
      </c>
      <c r="E118" s="52" t="s">
        <v>584</v>
      </c>
      <c r="F118" s="52" t="s">
        <v>26</v>
      </c>
      <c r="G118" s="195" t="s">
        <v>277</v>
      </c>
      <c r="H118" s="195">
        <v>0</v>
      </c>
      <c r="I118" s="195"/>
      <c r="J118" s="195"/>
      <c r="K118" s="195"/>
      <c r="L118" s="195"/>
      <c r="M118" s="195">
        <v>0</v>
      </c>
      <c r="N118" s="195">
        <v>0</v>
      </c>
    </row>
    <row r="119" spans="1:14" hidden="1" x14ac:dyDescent="0.35">
      <c r="A119" s="52" t="s">
        <v>206</v>
      </c>
      <c r="B119" s="52" t="s">
        <v>37</v>
      </c>
      <c r="C119" s="52" t="s">
        <v>115</v>
      </c>
      <c r="D119" s="52" t="s">
        <v>115</v>
      </c>
      <c r="E119" s="52" t="s">
        <v>584</v>
      </c>
      <c r="F119" s="52" t="s">
        <v>26</v>
      </c>
      <c r="G119" s="195" t="s">
        <v>279</v>
      </c>
      <c r="H119" s="195">
        <v>28.263539999999999</v>
      </c>
      <c r="I119" s="195">
        <v>31.04055</v>
      </c>
      <c r="J119" s="195">
        <v>27.391919999999999</v>
      </c>
      <c r="K119" s="195">
        <v>26.013680000000001</v>
      </c>
      <c r="L119" s="195">
        <v>26.505410000000001</v>
      </c>
      <c r="M119" s="195">
        <v>24.267700000000001</v>
      </c>
      <c r="N119" s="195">
        <v>22.325939999999999</v>
      </c>
    </row>
    <row r="120" spans="1:14" hidden="1" x14ac:dyDescent="0.35">
      <c r="A120" s="52" t="s">
        <v>206</v>
      </c>
      <c r="B120" s="52" t="s">
        <v>37</v>
      </c>
      <c r="C120" s="52" t="s">
        <v>99</v>
      </c>
      <c r="D120" s="52" t="s">
        <v>101</v>
      </c>
      <c r="E120" s="52" t="s">
        <v>584</v>
      </c>
      <c r="F120" s="52" t="s">
        <v>26</v>
      </c>
      <c r="G120" s="195" t="s">
        <v>275</v>
      </c>
      <c r="H120" s="195">
        <v>-1.8455839999999999</v>
      </c>
      <c r="I120" s="195">
        <v>-0.18723110000000001</v>
      </c>
      <c r="J120" s="195">
        <v>-0.65182099999999998</v>
      </c>
      <c r="K120" s="195">
        <v>-0.30391760000000001</v>
      </c>
      <c r="L120" s="195">
        <v>-0.21322920000000001</v>
      </c>
      <c r="M120" s="195">
        <v>0.10910599999999999</v>
      </c>
      <c r="N120" s="195">
        <v>-28.21698</v>
      </c>
    </row>
    <row r="121" spans="1:14" hidden="1" x14ac:dyDescent="0.35">
      <c r="A121" s="52" t="s">
        <v>206</v>
      </c>
      <c r="B121" s="52" t="s">
        <v>37</v>
      </c>
      <c r="C121" s="52" t="s">
        <v>99</v>
      </c>
      <c r="D121" s="52" t="s">
        <v>101</v>
      </c>
      <c r="E121" s="52" t="s">
        <v>584</v>
      </c>
      <c r="F121" s="52" t="s">
        <v>26</v>
      </c>
      <c r="G121" s="195" t="s">
        <v>276</v>
      </c>
      <c r="H121" s="195">
        <v>-1.5887690000000001</v>
      </c>
      <c r="I121" s="195">
        <v>-2.6689829999999999</v>
      </c>
      <c r="J121" s="195">
        <v>-0.86104749999999997</v>
      </c>
      <c r="K121" s="195">
        <v>-0.68448679999999995</v>
      </c>
      <c r="L121" s="195">
        <v>-0.52348159999999999</v>
      </c>
      <c r="M121" s="195">
        <v>-0.36646640000000003</v>
      </c>
      <c r="N121" s="195">
        <v>-7.7069409999999996</v>
      </c>
    </row>
    <row r="122" spans="1:14" hidden="1" x14ac:dyDescent="0.35">
      <c r="A122" s="52" t="s">
        <v>206</v>
      </c>
      <c r="B122" s="52" t="s">
        <v>37</v>
      </c>
      <c r="C122" s="52" t="s">
        <v>99</v>
      </c>
      <c r="D122" s="52" t="s">
        <v>101</v>
      </c>
      <c r="E122" s="52" t="s">
        <v>584</v>
      </c>
      <c r="F122" s="52" t="s">
        <v>26</v>
      </c>
      <c r="G122" s="195" t="s">
        <v>277</v>
      </c>
      <c r="H122" s="195">
        <v>3.680984</v>
      </c>
      <c r="I122" s="195">
        <v>2.8027899999999999</v>
      </c>
      <c r="J122" s="195">
        <v>1.538203</v>
      </c>
      <c r="K122" s="195">
        <v>0.84418499999999996</v>
      </c>
      <c r="L122" s="195">
        <v>0.46329880000000001</v>
      </c>
      <c r="M122" s="195"/>
      <c r="N122" s="195"/>
    </row>
    <row r="123" spans="1:14" hidden="1" x14ac:dyDescent="0.35">
      <c r="A123" s="52" t="s">
        <v>206</v>
      </c>
      <c r="B123" s="52" t="s">
        <v>37</v>
      </c>
      <c r="C123" s="52" t="s">
        <v>99</v>
      </c>
      <c r="D123" s="52" t="s">
        <v>101</v>
      </c>
      <c r="E123" s="52" t="s">
        <v>584</v>
      </c>
      <c r="F123" s="52" t="s">
        <v>26</v>
      </c>
      <c r="G123" s="195" t="s">
        <v>279</v>
      </c>
      <c r="H123" s="195">
        <v>2.690887</v>
      </c>
      <c r="I123" s="195">
        <v>2.2416930000000002</v>
      </c>
      <c r="J123" s="195">
        <v>2.1266959999999999</v>
      </c>
      <c r="K123" s="195">
        <v>2.229549</v>
      </c>
      <c r="L123" s="195">
        <v>2.2663820000000001</v>
      </c>
      <c r="M123" s="195">
        <v>2.1163729999999998</v>
      </c>
      <c r="N123" s="195">
        <v>35.923920000000003</v>
      </c>
    </row>
    <row r="124" spans="1:14" hidden="1" x14ac:dyDescent="0.35">
      <c r="A124" s="52" t="s">
        <v>206</v>
      </c>
      <c r="B124" s="52" t="s">
        <v>37</v>
      </c>
      <c r="C124" s="52" t="s">
        <v>109</v>
      </c>
      <c r="D124" s="52" t="s">
        <v>109</v>
      </c>
      <c r="E124" s="52" t="s">
        <v>584</v>
      </c>
      <c r="F124" s="52" t="s">
        <v>581</v>
      </c>
      <c r="G124" s="195" t="s">
        <v>275</v>
      </c>
      <c r="H124" s="195">
        <v>1.1639900000000001</v>
      </c>
      <c r="I124" s="195">
        <v>-3.5851039999999998</v>
      </c>
      <c r="J124" s="195">
        <v>4.9839840000000003E-3</v>
      </c>
      <c r="K124" s="195">
        <v>-5.9018950000000001E-2</v>
      </c>
      <c r="L124" s="195">
        <v>3.2777130000000002E-2</v>
      </c>
      <c r="M124" s="195">
        <v>8.68996E-3</v>
      </c>
      <c r="N124" s="195">
        <v>-8.4611549999999997E-3</v>
      </c>
    </row>
    <row r="125" spans="1:14" hidden="1" x14ac:dyDescent="0.35">
      <c r="A125" s="52" t="s">
        <v>206</v>
      </c>
      <c r="B125" s="52" t="s">
        <v>37</v>
      </c>
      <c r="C125" s="52" t="s">
        <v>109</v>
      </c>
      <c r="D125" s="52" t="s">
        <v>109</v>
      </c>
      <c r="E125" s="52" t="s">
        <v>584</v>
      </c>
      <c r="F125" s="52" t="s">
        <v>581</v>
      </c>
      <c r="G125" s="195" t="s">
        <v>276</v>
      </c>
      <c r="H125" s="195">
        <v>0.3033013</v>
      </c>
      <c r="I125" s="195">
        <v>-1.0107660000000001</v>
      </c>
      <c r="J125" s="195">
        <v>-4.9745030000000003E-2</v>
      </c>
      <c r="K125" s="195">
        <v>-5.4976530000000003E-2</v>
      </c>
      <c r="L125" s="195">
        <v>4.3204469999999999E-4</v>
      </c>
      <c r="M125" s="195">
        <v>-1.270728E-3</v>
      </c>
      <c r="N125" s="195">
        <v>-4.0971039999999999E-3</v>
      </c>
    </row>
    <row r="126" spans="1:14" hidden="1" x14ac:dyDescent="0.35">
      <c r="A126" s="52" t="s">
        <v>206</v>
      </c>
      <c r="B126" s="52" t="s">
        <v>37</v>
      </c>
      <c r="C126" s="52" t="s">
        <v>109</v>
      </c>
      <c r="D126" s="52" t="s">
        <v>109</v>
      </c>
      <c r="E126" s="52" t="s">
        <v>584</v>
      </c>
      <c r="F126" s="52" t="s">
        <v>581</v>
      </c>
      <c r="G126" s="195" t="s">
        <v>277</v>
      </c>
      <c r="H126" s="195">
        <v>0.48066540000000002</v>
      </c>
      <c r="I126" s="195">
        <v>0.17272299999999999</v>
      </c>
      <c r="J126" s="195">
        <v>0.15404699999999999</v>
      </c>
      <c r="K126" s="195">
        <v>0.15099779999999999</v>
      </c>
      <c r="L126" s="195">
        <v>0.14800779999999999</v>
      </c>
      <c r="M126" s="195">
        <v>0.14507700000000001</v>
      </c>
      <c r="N126" s="195">
        <v>0.142204</v>
      </c>
    </row>
    <row r="127" spans="1:14" hidden="1" x14ac:dyDescent="0.35">
      <c r="A127" s="52" t="s">
        <v>206</v>
      </c>
      <c r="B127" s="52" t="s">
        <v>37</v>
      </c>
      <c r="C127" s="52" t="s">
        <v>109</v>
      </c>
      <c r="D127" s="52" t="s">
        <v>109</v>
      </c>
      <c r="E127" s="52" t="s">
        <v>584</v>
      </c>
      <c r="F127" s="52" t="s">
        <v>581</v>
      </c>
      <c r="G127" s="195" t="s">
        <v>278</v>
      </c>
      <c r="H127" s="195"/>
      <c r="I127" s="195"/>
      <c r="J127" s="195">
        <v>0</v>
      </c>
      <c r="K127" s="195">
        <v>0</v>
      </c>
      <c r="L127" s="195">
        <v>0</v>
      </c>
      <c r="M127" s="195">
        <v>0</v>
      </c>
      <c r="N127" s="195">
        <v>0</v>
      </c>
    </row>
    <row r="128" spans="1:14" hidden="1" x14ac:dyDescent="0.35">
      <c r="A128" s="52" t="s">
        <v>206</v>
      </c>
      <c r="B128" s="52" t="s">
        <v>37</v>
      </c>
      <c r="C128" s="52" t="s">
        <v>109</v>
      </c>
      <c r="D128" s="52" t="s">
        <v>109</v>
      </c>
      <c r="E128" s="52" t="s">
        <v>584</v>
      </c>
      <c r="F128" s="52" t="s">
        <v>581</v>
      </c>
      <c r="G128" s="195" t="s">
        <v>279</v>
      </c>
      <c r="H128" s="195">
        <v>0.74106609999999995</v>
      </c>
      <c r="I128" s="195">
        <v>5.3762169999999996</v>
      </c>
      <c r="J128" s="195">
        <v>0.64666389999999996</v>
      </c>
      <c r="K128" s="195">
        <v>0.66029990000000005</v>
      </c>
      <c r="L128" s="195">
        <v>0.2859389</v>
      </c>
      <c r="M128" s="195">
        <v>0.26480930000000003</v>
      </c>
      <c r="N128" s="195">
        <v>0.24726980000000001</v>
      </c>
    </row>
    <row r="129" spans="1:14" hidden="1" x14ac:dyDescent="0.35">
      <c r="A129" s="52" t="s">
        <v>206</v>
      </c>
      <c r="B129" s="52" t="s">
        <v>37</v>
      </c>
      <c r="C129" s="52" t="s">
        <v>109</v>
      </c>
      <c r="D129" s="52" t="s">
        <v>109</v>
      </c>
      <c r="E129" s="52" t="s">
        <v>584</v>
      </c>
      <c r="F129" s="52" t="s">
        <v>26</v>
      </c>
      <c r="G129" s="195" t="s">
        <v>275</v>
      </c>
      <c r="H129" s="195">
        <v>0.40401100000000001</v>
      </c>
      <c r="I129" s="195">
        <v>5.2697860000000003E-3</v>
      </c>
      <c r="J129" s="195">
        <v>0.13172980000000001</v>
      </c>
      <c r="K129" s="195">
        <v>6.1940229999999999E-2</v>
      </c>
      <c r="L129" s="195">
        <v>3.1127780000000001E-2</v>
      </c>
      <c r="M129" s="195">
        <v>-1.287553E-4</v>
      </c>
      <c r="N129" s="195">
        <v>-2.5426009999999999E-2</v>
      </c>
    </row>
    <row r="130" spans="1:14" hidden="1" x14ac:dyDescent="0.35">
      <c r="A130" s="52" t="s">
        <v>206</v>
      </c>
      <c r="B130" s="52" t="s">
        <v>37</v>
      </c>
      <c r="C130" s="52" t="s">
        <v>109</v>
      </c>
      <c r="D130" s="52" t="s">
        <v>109</v>
      </c>
      <c r="E130" s="52" t="s">
        <v>584</v>
      </c>
      <c r="F130" s="52" t="s">
        <v>26</v>
      </c>
      <c r="G130" s="195" t="s">
        <v>276</v>
      </c>
      <c r="H130" s="195">
        <v>9.175353E-2</v>
      </c>
      <c r="I130" s="195">
        <v>-1.6843629999999998E-2</v>
      </c>
      <c r="J130" s="195">
        <v>2.8253799999999999E-2</v>
      </c>
      <c r="K130" s="195">
        <v>1.1054390000000001E-2</v>
      </c>
      <c r="L130" s="195">
        <v>4.7457979999999999E-3</v>
      </c>
      <c r="M130" s="195">
        <v>-2.452896E-3</v>
      </c>
      <c r="N130" s="195">
        <v>-6.7589579999999998E-3</v>
      </c>
    </row>
    <row r="131" spans="1:14" hidden="1" x14ac:dyDescent="0.35">
      <c r="A131" s="52" t="s">
        <v>206</v>
      </c>
      <c r="B131" s="52" t="s">
        <v>37</v>
      </c>
      <c r="C131" s="52" t="s">
        <v>109</v>
      </c>
      <c r="D131" s="52" t="s">
        <v>109</v>
      </c>
      <c r="E131" s="52" t="s">
        <v>584</v>
      </c>
      <c r="F131" s="52" t="s">
        <v>26</v>
      </c>
      <c r="G131" s="195" t="s">
        <v>277</v>
      </c>
      <c r="H131" s="195">
        <v>0.1343067</v>
      </c>
      <c r="I131" s="195"/>
      <c r="J131" s="195">
        <v>0</v>
      </c>
      <c r="K131" s="195"/>
      <c r="L131" s="195"/>
      <c r="M131" s="195"/>
      <c r="N131" s="195"/>
    </row>
    <row r="132" spans="1:14" hidden="1" x14ac:dyDescent="0.35">
      <c r="A132" s="52" t="s">
        <v>206</v>
      </c>
      <c r="B132" s="52" t="s">
        <v>37</v>
      </c>
      <c r="C132" s="52" t="s">
        <v>109</v>
      </c>
      <c r="D132" s="52" t="s">
        <v>109</v>
      </c>
      <c r="E132" s="52" t="s">
        <v>584</v>
      </c>
      <c r="F132" s="52" t="s">
        <v>26</v>
      </c>
      <c r="G132" s="195" t="s">
        <v>279</v>
      </c>
      <c r="H132" s="195">
        <v>1.117175</v>
      </c>
      <c r="I132" s="195">
        <v>1.1224099999999999</v>
      </c>
      <c r="J132" s="195">
        <v>0.80941209999999997</v>
      </c>
      <c r="K132" s="195">
        <v>0.74277130000000002</v>
      </c>
      <c r="L132" s="195">
        <v>0.61801740000000005</v>
      </c>
      <c r="M132" s="195">
        <v>0.52525840000000001</v>
      </c>
      <c r="N132" s="195">
        <v>0.45058959999999998</v>
      </c>
    </row>
    <row r="133" spans="1:14" hidden="1" x14ac:dyDescent="0.35">
      <c r="A133" s="52" t="s">
        <v>206</v>
      </c>
      <c r="B133" s="52" t="s">
        <v>37</v>
      </c>
      <c r="C133" s="52" t="s">
        <v>118</v>
      </c>
      <c r="D133" s="52" t="s">
        <v>118</v>
      </c>
      <c r="E133" s="52" t="s">
        <v>584</v>
      </c>
      <c r="F133" s="52" t="s">
        <v>26</v>
      </c>
      <c r="G133" s="195" t="s">
        <v>275</v>
      </c>
      <c r="H133" s="195">
        <v>-1.213138</v>
      </c>
      <c r="I133" s="195">
        <v>-0.92740730000000005</v>
      </c>
      <c r="J133" s="195">
        <v>-0.40792339999999999</v>
      </c>
      <c r="K133" s="195">
        <v>-0.25254579999999999</v>
      </c>
      <c r="L133" s="195">
        <v>-0.2163938</v>
      </c>
      <c r="M133" s="195">
        <v>-6.2327E-2</v>
      </c>
      <c r="N133" s="195">
        <v>-14.57863</v>
      </c>
    </row>
    <row r="134" spans="1:14" hidden="1" x14ac:dyDescent="0.35">
      <c r="A134" s="52" t="s">
        <v>206</v>
      </c>
      <c r="B134" s="52" t="s">
        <v>37</v>
      </c>
      <c r="C134" s="52" t="s">
        <v>118</v>
      </c>
      <c r="D134" s="52" t="s">
        <v>118</v>
      </c>
      <c r="E134" s="52" t="s">
        <v>584</v>
      </c>
      <c r="F134" s="52" t="s">
        <v>26</v>
      </c>
      <c r="G134" s="195" t="s">
        <v>276</v>
      </c>
      <c r="H134" s="195">
        <v>-0.65099799999999997</v>
      </c>
      <c r="I134" s="195">
        <v>-0.61311890000000002</v>
      </c>
      <c r="J134" s="195">
        <v>-0.48086780000000001</v>
      </c>
      <c r="K134" s="195">
        <v>-0.3833298</v>
      </c>
      <c r="L134" s="195">
        <v>-0.29609940000000001</v>
      </c>
      <c r="M134" s="195">
        <v>-0.2132628</v>
      </c>
      <c r="N134" s="195">
        <v>-3.9824999999999999</v>
      </c>
    </row>
    <row r="135" spans="1:14" hidden="1" x14ac:dyDescent="0.35">
      <c r="A135" s="52" t="s">
        <v>206</v>
      </c>
      <c r="B135" s="52" t="s">
        <v>37</v>
      </c>
      <c r="C135" s="52" t="s">
        <v>118</v>
      </c>
      <c r="D135" s="52" t="s">
        <v>118</v>
      </c>
      <c r="E135" s="52" t="s">
        <v>584</v>
      </c>
      <c r="F135" s="52" t="s">
        <v>26</v>
      </c>
      <c r="G135" s="195" t="s">
        <v>277</v>
      </c>
      <c r="H135" s="195">
        <v>2.1688399999999999</v>
      </c>
      <c r="I135" s="195">
        <v>1.655251</v>
      </c>
      <c r="J135" s="195">
        <v>1.03843</v>
      </c>
      <c r="K135" s="195">
        <v>0.69981210000000005</v>
      </c>
      <c r="L135" s="195">
        <v>0.50655059999999996</v>
      </c>
      <c r="M135" s="195"/>
      <c r="N135" s="195"/>
    </row>
    <row r="136" spans="1:14" hidden="1" x14ac:dyDescent="0.35">
      <c r="A136" s="52" t="s">
        <v>206</v>
      </c>
      <c r="B136" s="52" t="s">
        <v>37</v>
      </c>
      <c r="C136" s="52" t="s">
        <v>118</v>
      </c>
      <c r="D136" s="52" t="s">
        <v>118</v>
      </c>
      <c r="E136" s="52" t="s">
        <v>584</v>
      </c>
      <c r="F136" s="52" t="s">
        <v>26</v>
      </c>
      <c r="G136" s="195" t="s">
        <v>279</v>
      </c>
      <c r="H136" s="195">
        <v>1.435616</v>
      </c>
      <c r="I136" s="195">
        <v>1.2015169999999999</v>
      </c>
      <c r="J136" s="195">
        <v>1.164741</v>
      </c>
      <c r="K136" s="195">
        <v>1.2296819999999999</v>
      </c>
      <c r="L136" s="195">
        <v>1.2624390000000001</v>
      </c>
      <c r="M136" s="195">
        <v>1.19868</v>
      </c>
      <c r="N136" s="195">
        <v>18.567</v>
      </c>
    </row>
    <row r="137" spans="1:14" hidden="1" x14ac:dyDescent="0.35">
      <c r="A137" s="52" t="s">
        <v>206</v>
      </c>
      <c r="B137" s="52" t="s">
        <v>37</v>
      </c>
      <c r="C137" s="52" t="s">
        <v>46</v>
      </c>
      <c r="D137" s="52" t="s">
        <v>46</v>
      </c>
      <c r="E137" s="52" t="s">
        <v>584</v>
      </c>
      <c r="F137" s="52" t="s">
        <v>26</v>
      </c>
      <c r="G137" s="195" t="s">
        <v>275</v>
      </c>
      <c r="H137" s="195">
        <v>-2.6016999999999998E-2</v>
      </c>
      <c r="I137" s="195">
        <v>-2.0496199999999999E-2</v>
      </c>
      <c r="J137" s="195">
        <v>-1.8990400000000001E-2</v>
      </c>
      <c r="K137" s="195">
        <v>-2.0442599999999998E-2</v>
      </c>
      <c r="L137" s="195">
        <v>-2.0676799999999999E-2</v>
      </c>
      <c r="M137" s="195">
        <v>-2.1145000000000001E-2</v>
      </c>
      <c r="N137" s="195">
        <v>-2.06906E-2</v>
      </c>
    </row>
    <row r="138" spans="1:14" hidden="1" x14ac:dyDescent="0.35">
      <c r="A138" s="52" t="s">
        <v>206</v>
      </c>
      <c r="B138" s="52" t="s">
        <v>37</v>
      </c>
      <c r="C138" s="52" t="s">
        <v>46</v>
      </c>
      <c r="D138" s="52" t="s">
        <v>46</v>
      </c>
      <c r="E138" s="52" t="s">
        <v>584</v>
      </c>
      <c r="F138" s="52" t="s">
        <v>26</v>
      </c>
      <c r="G138" s="195" t="s">
        <v>276</v>
      </c>
      <c r="H138" s="195">
        <v>-7.0590009999999996E-3</v>
      </c>
      <c r="I138" s="195">
        <v>-7.8461999999999994E-3</v>
      </c>
      <c r="J138" s="195">
        <v>-6.3646010000000001E-3</v>
      </c>
      <c r="K138" s="195">
        <v>-6.4257999999999997E-3</v>
      </c>
      <c r="L138" s="195">
        <v>-7.3765999999999997E-3</v>
      </c>
      <c r="M138" s="195">
        <v>-6.2074000000000001E-3</v>
      </c>
      <c r="N138" s="195">
        <v>-5.9328000000000002E-3</v>
      </c>
    </row>
    <row r="139" spans="1:14" hidden="1" x14ac:dyDescent="0.35">
      <c r="A139" s="52" t="s">
        <v>206</v>
      </c>
      <c r="B139" s="52" t="s">
        <v>37</v>
      </c>
      <c r="C139" s="52" t="s">
        <v>46</v>
      </c>
      <c r="D139" s="52" t="s">
        <v>46</v>
      </c>
      <c r="E139" s="52" t="s">
        <v>584</v>
      </c>
      <c r="F139" s="52" t="s">
        <v>26</v>
      </c>
      <c r="G139" s="195" t="s">
        <v>277</v>
      </c>
      <c r="H139" s="195">
        <v>5.1915000000000003E-2</v>
      </c>
      <c r="I139" s="195">
        <v>3.9627999999999997E-2</v>
      </c>
      <c r="J139" s="195">
        <v>3.7718000000000002E-2</v>
      </c>
      <c r="K139" s="195">
        <v>3.6970999999999997E-2</v>
      </c>
      <c r="L139" s="195">
        <v>3.6239E-2</v>
      </c>
      <c r="M139" s="195">
        <v>3.5521999999999998E-2</v>
      </c>
      <c r="N139" s="195">
        <v>3.4916000000000003E-2</v>
      </c>
    </row>
    <row r="140" spans="1:14" hidden="1" x14ac:dyDescent="0.35">
      <c r="A140" s="52" t="s">
        <v>206</v>
      </c>
      <c r="B140" s="52" t="s">
        <v>37</v>
      </c>
      <c r="C140" s="52" t="s">
        <v>46</v>
      </c>
      <c r="D140" s="52" t="s">
        <v>46</v>
      </c>
      <c r="E140" s="52" t="s">
        <v>584</v>
      </c>
      <c r="F140" s="52" t="s">
        <v>26</v>
      </c>
      <c r="G140" s="195" t="s">
        <v>279</v>
      </c>
      <c r="H140" s="195">
        <v>3.4509999999999999E-2</v>
      </c>
      <c r="I140" s="195">
        <v>2.9469200000000001E-2</v>
      </c>
      <c r="J140" s="195">
        <v>2.8836199999999999E-2</v>
      </c>
      <c r="K140" s="195">
        <v>3.1279000000000001E-2</v>
      </c>
      <c r="L140" s="195">
        <v>3.3356999999999998E-2</v>
      </c>
      <c r="M140" s="195">
        <v>3.3509999999999998E-2</v>
      </c>
      <c r="N140" s="195">
        <v>3.3764799999999998E-2</v>
      </c>
    </row>
    <row r="141" spans="1:14" hidden="1" x14ac:dyDescent="0.35">
      <c r="A141" s="52" t="s">
        <v>206</v>
      </c>
      <c r="B141" s="52" t="s">
        <v>37</v>
      </c>
      <c r="C141" s="52" t="s">
        <v>114</v>
      </c>
      <c r="D141" s="52" t="s">
        <v>114</v>
      </c>
      <c r="E141" s="52" t="s">
        <v>584</v>
      </c>
      <c r="F141" s="52" t="s">
        <v>581</v>
      </c>
      <c r="G141" s="195" t="s">
        <v>275</v>
      </c>
      <c r="H141" s="195"/>
      <c r="I141" s="195"/>
      <c r="J141" s="195"/>
      <c r="K141" s="195"/>
      <c r="L141" s="195"/>
      <c r="M141" s="195">
        <v>0</v>
      </c>
      <c r="N141" s="195">
        <v>0</v>
      </c>
    </row>
    <row r="142" spans="1:14" hidden="1" x14ac:dyDescent="0.35">
      <c r="A142" s="52" t="s">
        <v>206</v>
      </c>
      <c r="B142" s="52" t="s">
        <v>37</v>
      </c>
      <c r="C142" s="52" t="s">
        <v>114</v>
      </c>
      <c r="D142" s="52" t="s">
        <v>114</v>
      </c>
      <c r="E142" s="52" t="s">
        <v>584</v>
      </c>
      <c r="F142" s="52" t="s">
        <v>581</v>
      </c>
      <c r="G142" s="195" t="s">
        <v>276</v>
      </c>
      <c r="H142" s="195"/>
      <c r="I142" s="195"/>
      <c r="J142" s="195"/>
      <c r="K142" s="195"/>
      <c r="L142" s="195"/>
      <c r="M142" s="195">
        <v>0</v>
      </c>
      <c r="N142" s="195">
        <v>0</v>
      </c>
    </row>
    <row r="143" spans="1:14" hidden="1" x14ac:dyDescent="0.35">
      <c r="A143" s="52" t="s">
        <v>206</v>
      </c>
      <c r="B143" s="52" t="s">
        <v>37</v>
      </c>
      <c r="C143" s="52" t="s">
        <v>114</v>
      </c>
      <c r="D143" s="52" t="s">
        <v>114</v>
      </c>
      <c r="E143" s="52" t="s">
        <v>584</v>
      </c>
      <c r="F143" s="52" t="s">
        <v>581</v>
      </c>
      <c r="G143" s="195" t="s">
        <v>277</v>
      </c>
      <c r="H143" s="195"/>
      <c r="I143" s="195"/>
      <c r="J143" s="195"/>
      <c r="K143" s="195"/>
      <c r="L143" s="195"/>
      <c r="M143" s="195">
        <v>0</v>
      </c>
      <c r="N143" s="195">
        <v>0</v>
      </c>
    </row>
    <row r="144" spans="1:14" hidden="1" x14ac:dyDescent="0.35">
      <c r="A144" s="52" t="s">
        <v>206</v>
      </c>
      <c r="B144" s="52" t="s">
        <v>37</v>
      </c>
      <c r="C144" s="52" t="s">
        <v>114</v>
      </c>
      <c r="D144" s="52" t="s">
        <v>114</v>
      </c>
      <c r="E144" s="52" t="s">
        <v>584</v>
      </c>
      <c r="F144" s="52" t="s">
        <v>26</v>
      </c>
      <c r="G144" s="195" t="s">
        <v>275</v>
      </c>
      <c r="H144" s="195">
        <v>3.9053740000000001E-3</v>
      </c>
      <c r="I144" s="195">
        <v>-3.9544990000000002E-3</v>
      </c>
      <c r="J144" s="195">
        <v>1.23375E-3</v>
      </c>
      <c r="K144" s="195">
        <v>9.869999E-4</v>
      </c>
      <c r="L144" s="195">
        <v>7.4037500000000004E-4</v>
      </c>
      <c r="M144" s="195">
        <v>4.9350000000000002E-4</v>
      </c>
      <c r="N144" s="195">
        <v>2.4675000000000001E-4</v>
      </c>
    </row>
    <row r="145" spans="1:14" hidden="1" x14ac:dyDescent="0.35">
      <c r="A145" s="52" t="s">
        <v>206</v>
      </c>
      <c r="B145" s="52" t="s">
        <v>37</v>
      </c>
      <c r="C145" s="52" t="s">
        <v>114</v>
      </c>
      <c r="D145" s="52" t="s">
        <v>114</v>
      </c>
      <c r="E145" s="52" t="s">
        <v>584</v>
      </c>
      <c r="F145" s="52" t="s">
        <v>26</v>
      </c>
      <c r="G145" s="195" t="s">
        <v>276</v>
      </c>
      <c r="H145" s="195">
        <v>-9.5873750000000004E-3</v>
      </c>
      <c r="I145" s="195">
        <v>-1.7272500000000001E-3</v>
      </c>
      <c r="J145" s="195">
        <v>0</v>
      </c>
      <c r="K145" s="195">
        <v>0</v>
      </c>
      <c r="L145" s="195">
        <v>0</v>
      </c>
      <c r="M145" s="195">
        <v>0</v>
      </c>
      <c r="N145" s="195">
        <v>0</v>
      </c>
    </row>
    <row r="146" spans="1:14" hidden="1" x14ac:dyDescent="0.35">
      <c r="A146" s="52" t="s">
        <v>206</v>
      </c>
      <c r="B146" s="52" t="s">
        <v>37</v>
      </c>
      <c r="C146" s="52" t="s">
        <v>114</v>
      </c>
      <c r="D146" s="52" t="s">
        <v>114</v>
      </c>
      <c r="E146" s="52" t="s">
        <v>584</v>
      </c>
      <c r="F146" s="52" t="s">
        <v>26</v>
      </c>
      <c r="G146" s="195" t="s">
        <v>278</v>
      </c>
      <c r="H146" s="195">
        <v>5.6818750000000003E-3</v>
      </c>
      <c r="I146" s="195">
        <v>5.6818750000000003E-3</v>
      </c>
      <c r="J146" s="195">
        <v>0</v>
      </c>
      <c r="K146" s="195">
        <v>0</v>
      </c>
      <c r="L146" s="195">
        <v>0</v>
      </c>
      <c r="M146" s="195">
        <v>0</v>
      </c>
      <c r="N146" s="195"/>
    </row>
    <row r="147" spans="1:14" hidden="1" x14ac:dyDescent="0.35">
      <c r="A147" s="52" t="s">
        <v>206</v>
      </c>
      <c r="B147" s="52" t="s">
        <v>37</v>
      </c>
      <c r="C147" s="52" t="s">
        <v>114</v>
      </c>
      <c r="D147" s="52" t="s">
        <v>114</v>
      </c>
      <c r="E147" s="52" t="s">
        <v>584</v>
      </c>
      <c r="F147" s="52" t="s">
        <v>26</v>
      </c>
      <c r="G147" s="195" t="s">
        <v>279</v>
      </c>
      <c r="H147" s="195">
        <v>0</v>
      </c>
      <c r="I147" s="195"/>
      <c r="J147" s="195"/>
      <c r="K147" s="195"/>
      <c r="L147" s="195"/>
      <c r="M147" s="195"/>
      <c r="N147" s="195"/>
    </row>
    <row r="148" spans="1:14" hidden="1" x14ac:dyDescent="0.35">
      <c r="A148" s="52" t="s">
        <v>206</v>
      </c>
      <c r="B148" s="52" t="s">
        <v>37</v>
      </c>
      <c r="C148" s="52" t="s">
        <v>318</v>
      </c>
      <c r="D148" s="52" t="s">
        <v>318</v>
      </c>
      <c r="E148" s="52" t="s">
        <v>584</v>
      </c>
      <c r="F148" s="52" t="s">
        <v>581</v>
      </c>
      <c r="G148" s="195" t="s">
        <v>275</v>
      </c>
      <c r="H148" s="195">
        <v>58.39931</v>
      </c>
      <c r="I148" s="195">
        <v>0</v>
      </c>
      <c r="J148" s="195"/>
      <c r="K148" s="195"/>
      <c r="L148" s="195"/>
      <c r="M148" s="195"/>
      <c r="N148" s="195"/>
    </row>
    <row r="149" spans="1:14" hidden="1" x14ac:dyDescent="0.35">
      <c r="A149" s="52" t="s">
        <v>206</v>
      </c>
      <c r="B149" s="52" t="s">
        <v>37</v>
      </c>
      <c r="C149" s="52" t="s">
        <v>318</v>
      </c>
      <c r="D149" s="52" t="s">
        <v>318</v>
      </c>
      <c r="E149" s="52" t="s">
        <v>584</v>
      </c>
      <c r="F149" s="52" t="s">
        <v>581</v>
      </c>
      <c r="G149" s="195" t="s">
        <v>276</v>
      </c>
      <c r="H149" s="195">
        <v>-25.237760000000002</v>
      </c>
      <c r="I149" s="195">
        <v>0</v>
      </c>
      <c r="J149" s="195"/>
      <c r="K149" s="195"/>
      <c r="L149" s="195"/>
      <c r="M149" s="195"/>
      <c r="N149" s="195"/>
    </row>
    <row r="150" spans="1:14" hidden="1" x14ac:dyDescent="0.35">
      <c r="A150" s="52" t="s">
        <v>206</v>
      </c>
      <c r="B150" s="52" t="s">
        <v>37</v>
      </c>
      <c r="C150" s="52" t="s">
        <v>318</v>
      </c>
      <c r="D150" s="52" t="s">
        <v>318</v>
      </c>
      <c r="E150" s="52" t="s">
        <v>584</v>
      </c>
      <c r="F150" s="52" t="s">
        <v>581</v>
      </c>
      <c r="G150" s="195" t="s">
        <v>278</v>
      </c>
      <c r="H150" s="195">
        <v>-33.161549999999998</v>
      </c>
      <c r="I150" s="195">
        <v>0</v>
      </c>
      <c r="J150" s="195"/>
      <c r="K150" s="195"/>
      <c r="L150" s="195"/>
      <c r="M150" s="195"/>
      <c r="N150" s="195"/>
    </row>
    <row r="151" spans="1:14" hidden="1" x14ac:dyDescent="0.35">
      <c r="A151" s="52" t="s">
        <v>206</v>
      </c>
      <c r="B151" s="52" t="s">
        <v>37</v>
      </c>
      <c r="C151" s="52" t="s">
        <v>318</v>
      </c>
      <c r="D151" s="52" t="s">
        <v>318</v>
      </c>
      <c r="E151" s="52" t="s">
        <v>584</v>
      </c>
      <c r="F151" s="52" t="s">
        <v>26</v>
      </c>
      <c r="G151" s="195" t="s">
        <v>275</v>
      </c>
      <c r="H151" s="195">
        <v>38.932879999999997</v>
      </c>
      <c r="I151" s="195">
        <v>0</v>
      </c>
      <c r="J151" s="195"/>
      <c r="K151" s="195"/>
      <c r="L151" s="195"/>
      <c r="M151" s="195"/>
      <c r="N151" s="195"/>
    </row>
    <row r="152" spans="1:14" hidden="1" x14ac:dyDescent="0.35">
      <c r="A152" s="52" t="s">
        <v>206</v>
      </c>
      <c r="B152" s="52" t="s">
        <v>37</v>
      </c>
      <c r="C152" s="52" t="s">
        <v>318</v>
      </c>
      <c r="D152" s="52" t="s">
        <v>318</v>
      </c>
      <c r="E152" s="52" t="s">
        <v>584</v>
      </c>
      <c r="F152" s="52" t="s">
        <v>26</v>
      </c>
      <c r="G152" s="195" t="s">
        <v>276</v>
      </c>
      <c r="H152" s="195">
        <v>-16.82517</v>
      </c>
      <c r="I152" s="195">
        <v>0</v>
      </c>
      <c r="J152" s="195"/>
      <c r="K152" s="195"/>
      <c r="L152" s="195"/>
      <c r="M152" s="195"/>
      <c r="N152" s="195"/>
    </row>
    <row r="153" spans="1:14" hidden="1" x14ac:dyDescent="0.35">
      <c r="A153" s="52" t="s">
        <v>206</v>
      </c>
      <c r="B153" s="52" t="s">
        <v>37</v>
      </c>
      <c r="C153" s="52" t="s">
        <v>318</v>
      </c>
      <c r="D153" s="52" t="s">
        <v>318</v>
      </c>
      <c r="E153" s="52" t="s">
        <v>584</v>
      </c>
      <c r="F153" s="52" t="s">
        <v>26</v>
      </c>
      <c r="G153" s="195" t="s">
        <v>278</v>
      </c>
      <c r="H153" s="195">
        <v>-22.107700000000001</v>
      </c>
      <c r="I153" s="195">
        <v>0</v>
      </c>
      <c r="J153" s="195"/>
      <c r="K153" s="195"/>
      <c r="L153" s="195"/>
      <c r="M153" s="195"/>
      <c r="N153" s="195"/>
    </row>
    <row r="154" spans="1:14" hidden="1" x14ac:dyDescent="0.35">
      <c r="A154" s="52" t="s">
        <v>206</v>
      </c>
      <c r="B154" s="52" t="s">
        <v>53</v>
      </c>
      <c r="C154" s="52" t="s">
        <v>186</v>
      </c>
      <c r="D154" s="52" t="s">
        <v>186</v>
      </c>
      <c r="E154" s="52" t="s">
        <v>584</v>
      </c>
      <c r="F154" s="52" t="s">
        <v>26</v>
      </c>
      <c r="G154" s="195" t="s">
        <v>275</v>
      </c>
      <c r="H154" s="195">
        <v>427.89319999999998</v>
      </c>
      <c r="I154" s="195">
        <v>490.19150000000002</v>
      </c>
      <c r="J154" s="195">
        <v>497.63</v>
      </c>
      <c r="K154" s="195">
        <v>489.05900000000003</v>
      </c>
      <c r="L154" s="195">
        <v>495.9744</v>
      </c>
      <c r="M154" s="195">
        <v>503.43090000000001</v>
      </c>
      <c r="N154" s="195">
        <v>329.81729999999999</v>
      </c>
    </row>
    <row r="155" spans="1:14" hidden="1" x14ac:dyDescent="0.35">
      <c r="A155" s="52" t="s">
        <v>206</v>
      </c>
      <c r="B155" s="52" t="s">
        <v>53</v>
      </c>
      <c r="C155" s="52" t="s">
        <v>186</v>
      </c>
      <c r="D155" s="52" t="s">
        <v>186</v>
      </c>
      <c r="E155" s="52" t="s">
        <v>584</v>
      </c>
      <c r="F155" s="52" t="s">
        <v>26</v>
      </c>
      <c r="G155" s="195" t="s">
        <v>276</v>
      </c>
      <c r="H155" s="195">
        <v>288.09780000000001</v>
      </c>
      <c r="I155" s="195">
        <v>324.01990000000001</v>
      </c>
      <c r="J155" s="195">
        <v>330.05630000000002</v>
      </c>
      <c r="K155" s="195">
        <v>329.30259999999998</v>
      </c>
      <c r="L155" s="195">
        <v>335.25909999999999</v>
      </c>
      <c r="M155" s="195">
        <v>341.5222</v>
      </c>
      <c r="N155" s="195">
        <v>532.02009999999996</v>
      </c>
    </row>
    <row r="156" spans="1:14" hidden="1" x14ac:dyDescent="0.35">
      <c r="A156" s="52" t="s">
        <v>206</v>
      </c>
      <c r="B156" s="52" t="s">
        <v>53</v>
      </c>
      <c r="C156" s="52" t="s">
        <v>186</v>
      </c>
      <c r="D156" s="52" t="s">
        <v>186</v>
      </c>
      <c r="E156" s="52" t="s">
        <v>584</v>
      </c>
      <c r="F156" s="52" t="s">
        <v>26</v>
      </c>
      <c r="G156" s="195" t="s">
        <v>277</v>
      </c>
      <c r="H156" s="195">
        <v>7.5</v>
      </c>
      <c r="I156" s="195">
        <v>9.8850829999999998</v>
      </c>
      <c r="J156" s="195">
        <v>13.86628</v>
      </c>
      <c r="K156" s="195">
        <v>21.901039999999998</v>
      </c>
      <c r="L156" s="195">
        <v>30.003990000000002</v>
      </c>
      <c r="M156" s="195">
        <v>37.783200000000001</v>
      </c>
      <c r="N156" s="195">
        <v>42.93365</v>
      </c>
    </row>
    <row r="157" spans="1:14" hidden="1" x14ac:dyDescent="0.35">
      <c r="A157" s="52" t="s">
        <v>206</v>
      </c>
      <c r="B157" s="52" t="s">
        <v>53</v>
      </c>
      <c r="C157" s="52" t="s">
        <v>186</v>
      </c>
      <c r="D157" s="52" t="s">
        <v>186</v>
      </c>
      <c r="E157" s="52" t="s">
        <v>584</v>
      </c>
      <c r="F157" s="52" t="s">
        <v>26</v>
      </c>
      <c r="G157" s="195" t="s">
        <v>279</v>
      </c>
      <c r="H157" s="195">
        <v>323.65890000000002</v>
      </c>
      <c r="I157" s="195">
        <v>315.28160000000003</v>
      </c>
      <c r="J157" s="195">
        <v>326.30990000000003</v>
      </c>
      <c r="K157" s="195">
        <v>356.79660000000001</v>
      </c>
      <c r="L157" s="195">
        <v>365.74810000000002</v>
      </c>
      <c r="M157" s="195">
        <v>374.92399999999998</v>
      </c>
      <c r="N157" s="195">
        <v>384.3306</v>
      </c>
    </row>
    <row r="158" spans="1:14" hidden="1" x14ac:dyDescent="0.35">
      <c r="A158" s="52" t="s">
        <v>206</v>
      </c>
      <c r="B158" s="52" t="s">
        <v>53</v>
      </c>
      <c r="C158" s="52" t="s">
        <v>166</v>
      </c>
      <c r="D158" s="52" t="s">
        <v>166</v>
      </c>
      <c r="E158" s="52" t="s">
        <v>584</v>
      </c>
      <c r="F158" s="52" t="s">
        <v>26</v>
      </c>
      <c r="G158" s="195" t="s">
        <v>275</v>
      </c>
      <c r="H158" s="195">
        <v>294.78859999999997</v>
      </c>
      <c r="I158" s="195">
        <v>355.82119999999998</v>
      </c>
      <c r="J158" s="195">
        <v>386.24279999999999</v>
      </c>
      <c r="K158" s="195">
        <v>373.9153</v>
      </c>
      <c r="L158" s="195">
        <v>360.25790000000001</v>
      </c>
      <c r="M158" s="195">
        <v>337.46359999999999</v>
      </c>
      <c r="N158" s="195">
        <v>347.45490000000001</v>
      </c>
    </row>
    <row r="159" spans="1:14" hidden="1" x14ac:dyDescent="0.35">
      <c r="A159" s="52" t="s">
        <v>206</v>
      </c>
      <c r="B159" s="52" t="s">
        <v>53</v>
      </c>
      <c r="C159" s="52" t="s">
        <v>166</v>
      </c>
      <c r="D159" s="52" t="s">
        <v>166</v>
      </c>
      <c r="E159" s="52" t="s">
        <v>584</v>
      </c>
      <c r="F159" s="52" t="s">
        <v>26</v>
      </c>
      <c r="G159" s="195" t="s">
        <v>276</v>
      </c>
      <c r="H159" s="195">
        <v>283.82490000000001</v>
      </c>
      <c r="I159" s="195">
        <v>313.19279999999998</v>
      </c>
      <c r="J159" s="195">
        <v>337.93869999999998</v>
      </c>
      <c r="K159" s="195">
        <v>374.3304</v>
      </c>
      <c r="L159" s="195">
        <v>379.5222</v>
      </c>
      <c r="M159" s="195">
        <v>389.36860000000001</v>
      </c>
      <c r="N159" s="195">
        <v>367.13279999999997</v>
      </c>
    </row>
    <row r="160" spans="1:14" hidden="1" x14ac:dyDescent="0.35">
      <c r="A160" s="52" t="s">
        <v>206</v>
      </c>
      <c r="B160" s="52" t="s">
        <v>53</v>
      </c>
      <c r="C160" s="52" t="s">
        <v>166</v>
      </c>
      <c r="D160" s="52" t="s">
        <v>166</v>
      </c>
      <c r="E160" s="52" t="s">
        <v>584</v>
      </c>
      <c r="F160" s="52" t="s">
        <v>26</v>
      </c>
      <c r="G160" s="195" t="s">
        <v>277</v>
      </c>
      <c r="H160" s="195">
        <v>174.78970000000001</v>
      </c>
      <c r="I160" s="195">
        <v>127.1974</v>
      </c>
      <c r="J160" s="195">
        <v>97.073449999999994</v>
      </c>
      <c r="K160" s="195">
        <v>62.738250000000001</v>
      </c>
      <c r="L160" s="195">
        <v>61.663629999999998</v>
      </c>
      <c r="M160" s="195">
        <v>69.034220000000005</v>
      </c>
      <c r="N160" s="195">
        <v>36.153889999999997</v>
      </c>
    </row>
    <row r="161" spans="1:14" hidden="1" x14ac:dyDescent="0.35">
      <c r="A161" s="52" t="s">
        <v>206</v>
      </c>
      <c r="B161" s="52" t="s">
        <v>53</v>
      </c>
      <c r="C161" s="52" t="s">
        <v>166</v>
      </c>
      <c r="D161" s="52" t="s">
        <v>166</v>
      </c>
      <c r="E161" s="52" t="s">
        <v>584</v>
      </c>
      <c r="F161" s="52" t="s">
        <v>26</v>
      </c>
      <c r="G161" s="195" t="s">
        <v>278</v>
      </c>
      <c r="H161" s="195">
        <v>2.0241639999999999</v>
      </c>
      <c r="I161" s="195">
        <v>2.5880010000000002</v>
      </c>
      <c r="J161" s="195">
        <v>5.6816930000000001</v>
      </c>
      <c r="K161" s="195">
        <v>7.4317799999999998</v>
      </c>
      <c r="L161" s="195">
        <v>4.3029869999999999</v>
      </c>
      <c r="M161" s="195">
        <v>3.5054910000000001</v>
      </c>
      <c r="N161" s="195">
        <v>4.2337670000000003</v>
      </c>
    </row>
    <row r="162" spans="1:14" hidden="1" x14ac:dyDescent="0.35">
      <c r="A162" s="52" t="s">
        <v>206</v>
      </c>
      <c r="B162" s="52" t="s">
        <v>53</v>
      </c>
      <c r="C162" s="52" t="s">
        <v>166</v>
      </c>
      <c r="D162" s="52" t="s">
        <v>166</v>
      </c>
      <c r="E162" s="52" t="s">
        <v>584</v>
      </c>
      <c r="F162" s="52" t="s">
        <v>26</v>
      </c>
      <c r="G162" s="195" t="s">
        <v>279</v>
      </c>
      <c r="H162" s="195">
        <v>255.67509999999999</v>
      </c>
      <c r="I162" s="195">
        <v>239.62520000000001</v>
      </c>
      <c r="J162" s="195">
        <v>250.3245</v>
      </c>
      <c r="K162" s="195">
        <v>260.03960000000001</v>
      </c>
      <c r="L162" s="195">
        <v>267.02850000000001</v>
      </c>
      <c r="M162" s="195">
        <v>262.25450000000001</v>
      </c>
      <c r="N162" s="195">
        <v>246.5934</v>
      </c>
    </row>
    <row r="163" spans="1:14" hidden="1" x14ac:dyDescent="0.35">
      <c r="A163" s="52" t="s">
        <v>206</v>
      </c>
      <c r="B163" s="52" t="s">
        <v>53</v>
      </c>
      <c r="C163" s="52" t="s">
        <v>178</v>
      </c>
      <c r="D163" s="52" t="s">
        <v>178</v>
      </c>
      <c r="E163" s="52" t="s">
        <v>584</v>
      </c>
      <c r="F163" s="52" t="s">
        <v>581</v>
      </c>
      <c r="G163" s="195" t="s">
        <v>275</v>
      </c>
      <c r="H163" s="195"/>
      <c r="I163" s="195"/>
      <c r="J163" s="195"/>
      <c r="K163" s="195"/>
      <c r="L163" s="195"/>
      <c r="M163" s="195"/>
      <c r="N163" s="195">
        <v>0</v>
      </c>
    </row>
    <row r="164" spans="1:14" hidden="1" x14ac:dyDescent="0.35">
      <c r="A164" s="52" t="s">
        <v>206</v>
      </c>
      <c r="B164" s="52" t="s">
        <v>53</v>
      </c>
      <c r="C164" s="52" t="s">
        <v>178</v>
      </c>
      <c r="D164" s="52" t="s">
        <v>178</v>
      </c>
      <c r="E164" s="52" t="s">
        <v>584</v>
      </c>
      <c r="F164" s="52" t="s">
        <v>581</v>
      </c>
      <c r="G164" s="195" t="s">
        <v>276</v>
      </c>
      <c r="H164" s="195"/>
      <c r="I164" s="195"/>
      <c r="J164" s="195"/>
      <c r="K164" s="195"/>
      <c r="L164" s="195"/>
      <c r="M164" s="195"/>
      <c r="N164" s="195">
        <v>0</v>
      </c>
    </row>
    <row r="165" spans="1:14" hidden="1" x14ac:dyDescent="0.35">
      <c r="A165" s="52" t="s">
        <v>206</v>
      </c>
      <c r="B165" s="52" t="s">
        <v>53</v>
      </c>
      <c r="C165" s="52" t="s">
        <v>178</v>
      </c>
      <c r="D165" s="52" t="s">
        <v>178</v>
      </c>
      <c r="E165" s="52" t="s">
        <v>584</v>
      </c>
      <c r="F165" s="52" t="s">
        <v>581</v>
      </c>
      <c r="G165" s="195" t="s">
        <v>279</v>
      </c>
      <c r="H165" s="195"/>
      <c r="I165" s="195"/>
      <c r="J165" s="195"/>
      <c r="K165" s="195"/>
      <c r="L165" s="195"/>
      <c r="M165" s="195"/>
      <c r="N165" s="195">
        <v>0</v>
      </c>
    </row>
    <row r="166" spans="1:14" hidden="1" x14ac:dyDescent="0.35">
      <c r="A166" s="52" t="s">
        <v>206</v>
      </c>
      <c r="B166" s="52" t="s">
        <v>53</v>
      </c>
      <c r="C166" s="52" t="s">
        <v>178</v>
      </c>
      <c r="D166" s="52" t="s">
        <v>178</v>
      </c>
      <c r="E166" s="52" t="s">
        <v>584</v>
      </c>
      <c r="F166" s="52" t="s">
        <v>26</v>
      </c>
      <c r="G166" s="195" t="s">
        <v>275</v>
      </c>
      <c r="H166" s="195">
        <v>7.2923749999999998</v>
      </c>
      <c r="I166" s="195">
        <v>6.4983849999999999</v>
      </c>
      <c r="J166" s="195">
        <v>6.9931850000000004</v>
      </c>
      <c r="K166" s="195">
        <v>7.4746300000000003</v>
      </c>
      <c r="L166" s="195">
        <v>7.9570059999999998</v>
      </c>
      <c r="M166" s="195">
        <v>8.5784210000000005</v>
      </c>
      <c r="N166" s="195">
        <v>9.9385110000000001</v>
      </c>
    </row>
    <row r="167" spans="1:14" hidden="1" x14ac:dyDescent="0.35">
      <c r="A167" s="52" t="s">
        <v>206</v>
      </c>
      <c r="B167" s="52" t="s">
        <v>53</v>
      </c>
      <c r="C167" s="52" t="s">
        <v>178</v>
      </c>
      <c r="D167" s="52" t="s">
        <v>178</v>
      </c>
      <c r="E167" s="52" t="s">
        <v>584</v>
      </c>
      <c r="F167" s="52" t="s">
        <v>26</v>
      </c>
      <c r="G167" s="195" t="s">
        <v>276</v>
      </c>
      <c r="H167" s="195">
        <v>5.0294480000000004</v>
      </c>
      <c r="I167" s="195">
        <v>4.5953179999999998</v>
      </c>
      <c r="J167" s="195">
        <v>4.8631140000000004</v>
      </c>
      <c r="K167" s="195">
        <v>5.2059439999999997</v>
      </c>
      <c r="L167" s="195">
        <v>4.7848369999999996</v>
      </c>
      <c r="M167" s="195">
        <v>5.9580859999999998</v>
      </c>
      <c r="N167" s="195">
        <v>6.6662999999999997</v>
      </c>
    </row>
    <row r="168" spans="1:14" hidden="1" x14ac:dyDescent="0.35">
      <c r="A168" s="52" t="s">
        <v>206</v>
      </c>
      <c r="B168" s="52" t="s">
        <v>53</v>
      </c>
      <c r="C168" s="52" t="s">
        <v>178</v>
      </c>
      <c r="D168" s="52" t="s">
        <v>178</v>
      </c>
      <c r="E168" s="52" t="s">
        <v>584</v>
      </c>
      <c r="F168" s="52" t="s">
        <v>26</v>
      </c>
      <c r="G168" s="195" t="s">
        <v>277</v>
      </c>
      <c r="H168" s="195">
        <v>1.566128</v>
      </c>
      <c r="I168" s="195">
        <v>2.2461319999999998</v>
      </c>
      <c r="J168" s="195">
        <v>2.2033100000000001</v>
      </c>
      <c r="K168" s="195">
        <v>2.25074</v>
      </c>
      <c r="L168" s="195">
        <v>2.3090350000000002</v>
      </c>
      <c r="M168" s="195">
        <v>2.3754970000000002</v>
      </c>
      <c r="N168" s="195">
        <v>1.2462569999999999</v>
      </c>
    </row>
    <row r="169" spans="1:14" hidden="1" x14ac:dyDescent="0.35">
      <c r="A169" s="52" t="s">
        <v>206</v>
      </c>
      <c r="B169" s="52" t="s">
        <v>53</v>
      </c>
      <c r="C169" s="52" t="s">
        <v>178</v>
      </c>
      <c r="D169" s="52" t="s">
        <v>178</v>
      </c>
      <c r="E169" s="52" t="s">
        <v>584</v>
      </c>
      <c r="F169" s="52" t="s">
        <v>26</v>
      </c>
      <c r="G169" s="195" t="s">
        <v>278</v>
      </c>
      <c r="H169" s="195">
        <v>1.6453430000000002E-2</v>
      </c>
      <c r="I169" s="195">
        <v>0.14928350000000001</v>
      </c>
      <c r="J169" s="195">
        <v>9.7272310000000001E-2</v>
      </c>
      <c r="K169" s="195">
        <v>9.7272310000000001E-2</v>
      </c>
      <c r="L169" s="195">
        <v>0.86287879999999995</v>
      </c>
      <c r="M169" s="195">
        <v>9.7272310000000001E-2</v>
      </c>
      <c r="N169" s="195">
        <v>9.7272310000000001E-2</v>
      </c>
    </row>
    <row r="170" spans="1:14" hidden="1" x14ac:dyDescent="0.35">
      <c r="A170" s="52" t="s">
        <v>206</v>
      </c>
      <c r="B170" s="52" t="s">
        <v>53</v>
      </c>
      <c r="C170" s="52" t="s">
        <v>178</v>
      </c>
      <c r="D170" s="52" t="s">
        <v>178</v>
      </c>
      <c r="E170" s="52" t="s">
        <v>584</v>
      </c>
      <c r="F170" s="52" t="s">
        <v>26</v>
      </c>
      <c r="G170" s="195" t="s">
        <v>279</v>
      </c>
      <c r="H170" s="195">
        <v>5.1341299999999999</v>
      </c>
      <c r="I170" s="195">
        <v>4.4187950000000003</v>
      </c>
      <c r="J170" s="195">
        <v>4.668005</v>
      </c>
      <c r="K170" s="195">
        <v>5.1612609999999997</v>
      </c>
      <c r="L170" s="195">
        <v>5.653753</v>
      </c>
      <c r="M170" s="195">
        <v>5.9714549999999997</v>
      </c>
      <c r="N170" s="195">
        <v>6.2855679999999996</v>
      </c>
    </row>
    <row r="171" spans="1:14" hidden="1" x14ac:dyDescent="0.35">
      <c r="A171" s="52" t="s">
        <v>206</v>
      </c>
      <c r="B171" s="52" t="s">
        <v>53</v>
      </c>
      <c r="C171" s="52" t="s">
        <v>318</v>
      </c>
      <c r="D171" s="52" t="s">
        <v>318</v>
      </c>
      <c r="E171" s="52" t="s">
        <v>584</v>
      </c>
      <c r="F171" s="52" t="s">
        <v>581</v>
      </c>
      <c r="G171" s="195" t="s">
        <v>275</v>
      </c>
      <c r="H171" s="195">
        <v>-9.1834939999999996</v>
      </c>
      <c r="I171" s="195">
        <v>0</v>
      </c>
      <c r="J171" s="195"/>
      <c r="K171" s="195"/>
      <c r="L171" s="195"/>
      <c r="M171" s="195"/>
      <c r="N171" s="195"/>
    </row>
    <row r="172" spans="1:14" hidden="1" x14ac:dyDescent="0.35">
      <c r="A172" s="52" t="s">
        <v>206</v>
      </c>
      <c r="B172" s="52" t="s">
        <v>53</v>
      </c>
      <c r="C172" s="52" t="s">
        <v>318</v>
      </c>
      <c r="D172" s="52" t="s">
        <v>318</v>
      </c>
      <c r="E172" s="52" t="s">
        <v>584</v>
      </c>
      <c r="F172" s="52" t="s">
        <v>581</v>
      </c>
      <c r="G172" s="195" t="s">
        <v>276</v>
      </c>
      <c r="H172" s="195">
        <v>-4.0301619999999998</v>
      </c>
      <c r="I172" s="195">
        <v>0</v>
      </c>
      <c r="J172" s="195"/>
      <c r="K172" s="195"/>
      <c r="L172" s="195"/>
      <c r="M172" s="195"/>
      <c r="N172" s="195"/>
    </row>
    <row r="173" spans="1:14" hidden="1" x14ac:dyDescent="0.35">
      <c r="A173" s="52" t="s">
        <v>206</v>
      </c>
      <c r="B173" s="52" t="s">
        <v>53</v>
      </c>
      <c r="C173" s="52" t="s">
        <v>318</v>
      </c>
      <c r="D173" s="52" t="s">
        <v>318</v>
      </c>
      <c r="E173" s="52" t="s">
        <v>584</v>
      </c>
      <c r="F173" s="52" t="s">
        <v>581</v>
      </c>
      <c r="G173" s="195" t="s">
        <v>278</v>
      </c>
      <c r="H173" s="195">
        <v>13.213660000000001</v>
      </c>
      <c r="I173" s="195">
        <v>0</v>
      </c>
      <c r="J173" s="195"/>
      <c r="K173" s="195"/>
      <c r="L173" s="195"/>
      <c r="M173" s="195"/>
      <c r="N173" s="195"/>
    </row>
    <row r="174" spans="1:14" hidden="1" x14ac:dyDescent="0.35">
      <c r="A174" s="52" t="s">
        <v>206</v>
      </c>
      <c r="B174" s="52" t="s">
        <v>53</v>
      </c>
      <c r="C174" s="52" t="s">
        <v>318</v>
      </c>
      <c r="D174" s="52" t="s">
        <v>318</v>
      </c>
      <c r="E174" s="52" t="s">
        <v>584</v>
      </c>
      <c r="F174" s="52" t="s">
        <v>26</v>
      </c>
      <c r="G174" s="195" t="s">
        <v>275</v>
      </c>
      <c r="H174" s="195">
        <v>-6.1223280000000004</v>
      </c>
      <c r="I174" s="195">
        <v>0</v>
      </c>
      <c r="J174" s="195"/>
      <c r="K174" s="195"/>
      <c r="L174" s="195"/>
      <c r="M174" s="195"/>
      <c r="N174" s="195"/>
    </row>
    <row r="175" spans="1:14" hidden="1" x14ac:dyDescent="0.35">
      <c r="A175" s="52" t="s">
        <v>206</v>
      </c>
      <c r="B175" s="52" t="s">
        <v>53</v>
      </c>
      <c r="C175" s="52" t="s">
        <v>318</v>
      </c>
      <c r="D175" s="52" t="s">
        <v>318</v>
      </c>
      <c r="E175" s="52" t="s">
        <v>584</v>
      </c>
      <c r="F175" s="52" t="s">
        <v>26</v>
      </c>
      <c r="G175" s="195" t="s">
        <v>276</v>
      </c>
      <c r="H175" s="195">
        <v>-2.6867779999999999</v>
      </c>
      <c r="I175" s="195">
        <v>0</v>
      </c>
      <c r="J175" s="195"/>
      <c r="K175" s="195"/>
      <c r="L175" s="195"/>
      <c r="M175" s="195"/>
      <c r="N175" s="195"/>
    </row>
    <row r="176" spans="1:14" hidden="1" x14ac:dyDescent="0.35">
      <c r="A176" s="52" t="s">
        <v>206</v>
      </c>
      <c r="B176" s="52" t="s">
        <v>53</v>
      </c>
      <c r="C176" s="52" t="s">
        <v>318</v>
      </c>
      <c r="D176" s="52" t="s">
        <v>318</v>
      </c>
      <c r="E176" s="52" t="s">
        <v>584</v>
      </c>
      <c r="F176" s="52" t="s">
        <v>26</v>
      </c>
      <c r="G176" s="195" t="s">
        <v>278</v>
      </c>
      <c r="H176" s="195">
        <v>8.8091069999999991</v>
      </c>
      <c r="I176" s="195">
        <v>0</v>
      </c>
      <c r="J176" s="195"/>
      <c r="K176" s="195"/>
      <c r="L176" s="195"/>
      <c r="M176" s="195"/>
      <c r="N176" s="195"/>
    </row>
    <row r="177" spans="1:14" hidden="1" x14ac:dyDescent="0.35">
      <c r="A177" s="52" t="s">
        <v>206</v>
      </c>
      <c r="B177" s="52" t="s">
        <v>53</v>
      </c>
      <c r="C177" s="52" t="s">
        <v>52</v>
      </c>
      <c r="D177" s="52" t="s">
        <v>52</v>
      </c>
      <c r="E177" s="52" t="s">
        <v>584</v>
      </c>
      <c r="F177" s="52" t="s">
        <v>26</v>
      </c>
      <c r="G177" s="195" t="s">
        <v>275</v>
      </c>
      <c r="H177" s="195">
        <v>-2.3809500000000001E-2</v>
      </c>
      <c r="I177" s="195">
        <v>-2.3809500000000001E-2</v>
      </c>
      <c r="J177" s="195">
        <v>0</v>
      </c>
      <c r="K177" s="195">
        <v>0</v>
      </c>
      <c r="L177" s="195">
        <v>0</v>
      </c>
      <c r="M177" s="195">
        <v>0</v>
      </c>
      <c r="N177" s="195">
        <v>0</v>
      </c>
    </row>
    <row r="178" spans="1:14" hidden="1" x14ac:dyDescent="0.35">
      <c r="A178" s="52" t="s">
        <v>206</v>
      </c>
      <c r="B178" s="52" t="s">
        <v>53</v>
      </c>
      <c r="C178" s="52" t="s">
        <v>52</v>
      </c>
      <c r="D178" s="52" t="s">
        <v>52</v>
      </c>
      <c r="E178" s="52" t="s">
        <v>584</v>
      </c>
      <c r="F178" s="52" t="s">
        <v>26</v>
      </c>
      <c r="G178" s="195" t="s">
        <v>276</v>
      </c>
      <c r="H178" s="195">
        <v>-1.0204E-2</v>
      </c>
      <c r="I178" s="195">
        <v>-1.0204E-2</v>
      </c>
      <c r="J178" s="195">
        <v>-3.4013500000000002E-2</v>
      </c>
      <c r="K178" s="195">
        <v>-3.4013500000000002E-2</v>
      </c>
      <c r="L178" s="195">
        <v>-3.4013000000000002E-2</v>
      </c>
      <c r="M178" s="195">
        <v>-3.4013500000000002E-2</v>
      </c>
      <c r="N178" s="195">
        <v>-3.4013000000000002E-2</v>
      </c>
    </row>
    <row r="179" spans="1:14" hidden="1" x14ac:dyDescent="0.35">
      <c r="A179" s="52" t="s">
        <v>206</v>
      </c>
      <c r="B179" s="52" t="s">
        <v>53</v>
      </c>
      <c r="C179" s="52" t="s">
        <v>52</v>
      </c>
      <c r="D179" s="52" t="s">
        <v>52</v>
      </c>
      <c r="E179" s="52" t="s">
        <v>584</v>
      </c>
      <c r="F179" s="52" t="s">
        <v>26</v>
      </c>
      <c r="G179" s="195" t="s">
        <v>278</v>
      </c>
      <c r="H179" s="195">
        <v>3.4013500000000002E-2</v>
      </c>
      <c r="I179" s="195">
        <v>3.4013500000000002E-2</v>
      </c>
      <c r="J179" s="195">
        <v>3.4013500000000002E-2</v>
      </c>
      <c r="K179" s="195">
        <v>3.4013500000000002E-2</v>
      </c>
      <c r="L179" s="195">
        <v>3.4013500000000002E-2</v>
      </c>
      <c r="M179" s="195">
        <v>3.4013500000000002E-2</v>
      </c>
      <c r="N179" s="195">
        <v>3.4013500000000002E-2</v>
      </c>
    </row>
    <row r="180" spans="1:14" hidden="1" x14ac:dyDescent="0.35">
      <c r="A180" s="52" t="s">
        <v>206</v>
      </c>
      <c r="B180" s="52" t="s">
        <v>53</v>
      </c>
      <c r="C180" s="52" t="s">
        <v>214</v>
      </c>
      <c r="D180" s="52" t="s">
        <v>214</v>
      </c>
      <c r="E180" s="52" t="s">
        <v>584</v>
      </c>
      <c r="F180" s="52" t="s">
        <v>26</v>
      </c>
      <c r="G180" s="195" t="s">
        <v>275</v>
      </c>
      <c r="H180" s="195">
        <v>-9.3891749999999996E-2</v>
      </c>
      <c r="I180" s="195">
        <v>-9.3891740000000001E-2</v>
      </c>
      <c r="J180" s="195">
        <v>0</v>
      </c>
      <c r="K180" s="195">
        <v>0</v>
      </c>
      <c r="L180" s="195">
        <v>0</v>
      </c>
      <c r="M180" s="195">
        <v>0</v>
      </c>
      <c r="N180" s="195">
        <v>0</v>
      </c>
    </row>
    <row r="181" spans="1:14" hidden="1" x14ac:dyDescent="0.35">
      <c r="A181" s="52" t="s">
        <v>206</v>
      </c>
      <c r="B181" s="52" t="s">
        <v>53</v>
      </c>
      <c r="C181" s="52" t="s">
        <v>214</v>
      </c>
      <c r="D181" s="52" t="s">
        <v>214</v>
      </c>
      <c r="E181" s="52" t="s">
        <v>584</v>
      </c>
      <c r="F181" s="52" t="s">
        <v>26</v>
      </c>
      <c r="G181" s="195" t="s">
        <v>276</v>
      </c>
      <c r="H181" s="195">
        <v>-4.0239370000000003E-2</v>
      </c>
      <c r="I181" s="195">
        <v>-4.0238999999999997E-2</v>
      </c>
      <c r="J181" s="195">
        <v>-0.1341311</v>
      </c>
      <c r="K181" s="195">
        <v>-1.031477</v>
      </c>
      <c r="L181" s="195">
        <v>-0.84316310000000005</v>
      </c>
      <c r="M181" s="195">
        <v>-0.13413040000000001</v>
      </c>
      <c r="N181" s="195">
        <v>-0.13667180000000001</v>
      </c>
    </row>
    <row r="182" spans="1:14" hidden="1" x14ac:dyDescent="0.35">
      <c r="A182" s="52" t="s">
        <v>206</v>
      </c>
      <c r="B182" s="52" t="s">
        <v>53</v>
      </c>
      <c r="C182" s="52" t="s">
        <v>214</v>
      </c>
      <c r="D182" s="52" t="s">
        <v>214</v>
      </c>
      <c r="E182" s="52" t="s">
        <v>584</v>
      </c>
      <c r="F182" s="52" t="s">
        <v>26</v>
      </c>
      <c r="G182" s="195" t="s">
        <v>277</v>
      </c>
      <c r="H182" s="195"/>
      <c r="I182" s="195"/>
      <c r="J182" s="195">
        <v>0</v>
      </c>
      <c r="K182" s="195">
        <v>2.5406249999999999E-3</v>
      </c>
      <c r="L182" s="195">
        <v>2.5406249999999999E-3</v>
      </c>
      <c r="M182" s="195">
        <v>0</v>
      </c>
      <c r="N182" s="195">
        <v>2.54025E-3</v>
      </c>
    </row>
    <row r="183" spans="1:14" hidden="1" x14ac:dyDescent="0.35">
      <c r="A183" s="52" t="s">
        <v>206</v>
      </c>
      <c r="B183" s="52" t="s">
        <v>53</v>
      </c>
      <c r="C183" s="52" t="s">
        <v>214</v>
      </c>
      <c r="D183" s="52" t="s">
        <v>214</v>
      </c>
      <c r="E183" s="52" t="s">
        <v>584</v>
      </c>
      <c r="F183" s="52" t="s">
        <v>26</v>
      </c>
      <c r="G183" s="195" t="s">
        <v>278</v>
      </c>
      <c r="H183" s="195">
        <v>0.1341311</v>
      </c>
      <c r="I183" s="195">
        <v>0.1341311</v>
      </c>
      <c r="J183" s="195">
        <v>0.1341311</v>
      </c>
      <c r="K183" s="195">
        <v>1.0289360000000001</v>
      </c>
      <c r="L183" s="195">
        <v>0.84062250000000005</v>
      </c>
      <c r="M183" s="195">
        <v>0.1341311</v>
      </c>
      <c r="N183" s="195">
        <v>0.1341311</v>
      </c>
    </row>
    <row r="184" spans="1:14" hidden="1" x14ac:dyDescent="0.35">
      <c r="A184" s="52" t="s">
        <v>206</v>
      </c>
      <c r="B184" s="52" t="s">
        <v>53</v>
      </c>
      <c r="C184" s="52" t="s">
        <v>181</v>
      </c>
      <c r="D184" s="52" t="s">
        <v>181</v>
      </c>
      <c r="E184" s="52" t="s">
        <v>584</v>
      </c>
      <c r="F184" s="52" t="s">
        <v>26</v>
      </c>
      <c r="G184" s="195" t="s">
        <v>275</v>
      </c>
      <c r="H184" s="195">
        <v>0</v>
      </c>
      <c r="I184" s="195"/>
      <c r="J184" s="195">
        <v>0</v>
      </c>
      <c r="K184" s="195">
        <v>0</v>
      </c>
      <c r="L184" s="195">
        <v>0</v>
      </c>
      <c r="M184" s="195">
        <v>0</v>
      </c>
      <c r="N184" s="195">
        <v>0</v>
      </c>
    </row>
    <row r="185" spans="1:14" hidden="1" x14ac:dyDescent="0.35">
      <c r="A185" s="52" t="s">
        <v>206</v>
      </c>
      <c r="B185" s="52" t="s">
        <v>53</v>
      </c>
      <c r="C185" s="52" t="s">
        <v>181</v>
      </c>
      <c r="D185" s="52" t="s">
        <v>181</v>
      </c>
      <c r="E185" s="52" t="s">
        <v>584</v>
      </c>
      <c r="F185" s="52" t="s">
        <v>26</v>
      </c>
      <c r="G185" s="195" t="s">
        <v>276</v>
      </c>
      <c r="H185" s="195"/>
      <c r="I185" s="195"/>
      <c r="J185" s="195">
        <v>0</v>
      </c>
      <c r="K185" s="195">
        <v>0</v>
      </c>
      <c r="L185" s="195">
        <v>0</v>
      </c>
      <c r="M185" s="195">
        <v>0</v>
      </c>
      <c r="N185" s="195">
        <v>0</v>
      </c>
    </row>
    <row r="186" spans="1:14" hidden="1" x14ac:dyDescent="0.35">
      <c r="A186" s="52" t="s">
        <v>206</v>
      </c>
      <c r="B186" s="52" t="s">
        <v>53</v>
      </c>
      <c r="C186" s="52" t="s">
        <v>181</v>
      </c>
      <c r="D186" s="52" t="s">
        <v>181</v>
      </c>
      <c r="E186" s="52" t="s">
        <v>584</v>
      </c>
      <c r="F186" s="52" t="s">
        <v>26</v>
      </c>
      <c r="G186" s="195" t="s">
        <v>278</v>
      </c>
      <c r="H186" s="195"/>
      <c r="I186" s="195"/>
      <c r="J186" s="195">
        <v>0</v>
      </c>
      <c r="K186" s="195">
        <v>0</v>
      </c>
      <c r="L186" s="195">
        <v>0</v>
      </c>
      <c r="M186" s="195">
        <v>0</v>
      </c>
      <c r="N186" s="195"/>
    </row>
    <row r="187" spans="1:14" hidden="1" x14ac:dyDescent="0.35">
      <c r="A187" s="52" t="s">
        <v>206</v>
      </c>
      <c r="B187" s="52" t="s">
        <v>73</v>
      </c>
      <c r="C187" s="52" t="s">
        <v>87</v>
      </c>
      <c r="D187" s="52" t="s">
        <v>88</v>
      </c>
      <c r="E187" s="52" t="s">
        <v>584</v>
      </c>
      <c r="F187" s="52" t="s">
        <v>581</v>
      </c>
      <c r="G187" s="195" t="s">
        <v>275</v>
      </c>
      <c r="H187" s="195">
        <v>204.6215</v>
      </c>
      <c r="I187" s="195">
        <v>64.256609999999995</v>
      </c>
      <c r="J187" s="195">
        <v>44.233919999999998</v>
      </c>
      <c r="K187" s="195">
        <v>-63.523470000000003</v>
      </c>
      <c r="L187" s="195">
        <v>-55.310949999999998</v>
      </c>
      <c r="M187" s="195">
        <v>-21.045999999999999</v>
      </c>
      <c r="N187" s="195">
        <v>-2.240618</v>
      </c>
    </row>
    <row r="188" spans="1:14" hidden="1" x14ac:dyDescent="0.35">
      <c r="A188" s="52" t="s">
        <v>206</v>
      </c>
      <c r="B188" s="52" t="s">
        <v>73</v>
      </c>
      <c r="C188" s="52" t="s">
        <v>87</v>
      </c>
      <c r="D188" s="52" t="s">
        <v>88</v>
      </c>
      <c r="E188" s="52" t="s">
        <v>584</v>
      </c>
      <c r="F188" s="52" t="s">
        <v>581</v>
      </c>
      <c r="G188" s="195" t="s">
        <v>276</v>
      </c>
      <c r="H188" s="195">
        <v>293.40769999999998</v>
      </c>
      <c r="I188" s="195">
        <v>-20.955100000000002</v>
      </c>
      <c r="J188" s="195">
        <v>-18.27223</v>
      </c>
      <c r="K188" s="195">
        <v>-92.228030000000004</v>
      </c>
      <c r="L188" s="195">
        <v>-127.0617</v>
      </c>
      <c r="M188" s="195">
        <v>-139.7689</v>
      </c>
      <c r="N188" s="195">
        <v>-150.1387</v>
      </c>
    </row>
    <row r="189" spans="1:14" hidden="1" x14ac:dyDescent="0.35">
      <c r="A189" s="52" t="s">
        <v>206</v>
      </c>
      <c r="B189" s="52" t="s">
        <v>73</v>
      </c>
      <c r="C189" s="52" t="s">
        <v>87</v>
      </c>
      <c r="D189" s="52" t="s">
        <v>88</v>
      </c>
      <c r="E189" s="52" t="s">
        <v>584</v>
      </c>
      <c r="F189" s="52" t="s">
        <v>581</v>
      </c>
      <c r="G189" s="195" t="s">
        <v>277</v>
      </c>
      <c r="H189" s="195">
        <v>150.9546</v>
      </c>
      <c r="I189" s="195">
        <v>149.36080000000001</v>
      </c>
      <c r="J189" s="195">
        <v>141.5171</v>
      </c>
      <c r="K189" s="195">
        <v>240.40209999999999</v>
      </c>
      <c r="L189" s="195">
        <v>239.41669999999999</v>
      </c>
      <c r="M189" s="195">
        <v>198.60570000000001</v>
      </c>
      <c r="N189" s="195">
        <v>183.96619999999999</v>
      </c>
    </row>
    <row r="190" spans="1:14" hidden="1" x14ac:dyDescent="0.35">
      <c r="A190" s="52" t="s">
        <v>206</v>
      </c>
      <c r="B190" s="52" t="s">
        <v>73</v>
      </c>
      <c r="C190" s="52" t="s">
        <v>87</v>
      </c>
      <c r="D190" s="52" t="s">
        <v>88</v>
      </c>
      <c r="E190" s="52" t="s">
        <v>584</v>
      </c>
      <c r="F190" s="52" t="s">
        <v>581</v>
      </c>
      <c r="G190" s="195" t="s">
        <v>278</v>
      </c>
      <c r="H190" s="195">
        <v>5.6288930000000001E-2</v>
      </c>
      <c r="I190" s="195">
        <v>8.3338330000000006E-3</v>
      </c>
      <c r="J190" s="195">
        <v>1.001113E-2</v>
      </c>
      <c r="K190" s="195">
        <v>8.4542669999999997E-3</v>
      </c>
      <c r="L190" s="195">
        <v>7.5848950000000004E-3</v>
      </c>
      <c r="M190" s="195">
        <v>1.5581650000000001E-2</v>
      </c>
      <c r="N190" s="195">
        <v>1.5581650000000001E-2</v>
      </c>
    </row>
    <row r="191" spans="1:14" hidden="1" x14ac:dyDescent="0.35">
      <c r="A191" s="52" t="s">
        <v>206</v>
      </c>
      <c r="B191" s="52" t="s">
        <v>73</v>
      </c>
      <c r="C191" s="52" t="s">
        <v>87</v>
      </c>
      <c r="D191" s="52" t="s">
        <v>88</v>
      </c>
      <c r="E191" s="52" t="s">
        <v>584</v>
      </c>
      <c r="F191" s="52" t="s">
        <v>581</v>
      </c>
      <c r="G191" s="195" t="s">
        <v>279</v>
      </c>
      <c r="H191" s="195">
        <v>165.20189999999999</v>
      </c>
      <c r="I191" s="195">
        <v>170.524</v>
      </c>
      <c r="J191" s="195">
        <v>172.11240000000001</v>
      </c>
      <c r="K191" s="195">
        <v>195.6164</v>
      </c>
      <c r="L191" s="195">
        <v>194.53620000000001</v>
      </c>
      <c r="M191" s="195">
        <v>205.6919</v>
      </c>
      <c r="N191" s="195">
        <v>209.05090000000001</v>
      </c>
    </row>
    <row r="192" spans="1:14" hidden="1" x14ac:dyDescent="0.35">
      <c r="A192" s="52" t="s">
        <v>206</v>
      </c>
      <c r="B192" s="52" t="s">
        <v>73</v>
      </c>
      <c r="C192" s="52" t="s">
        <v>87</v>
      </c>
      <c r="D192" s="52" t="s">
        <v>88</v>
      </c>
      <c r="E192" s="52" t="s">
        <v>584</v>
      </c>
      <c r="F192" s="52" t="s">
        <v>26</v>
      </c>
      <c r="G192" s="195" t="s">
        <v>275</v>
      </c>
      <c r="H192" s="195">
        <v>10.263920000000001</v>
      </c>
      <c r="I192" s="195">
        <v>8.7231749999999995</v>
      </c>
      <c r="J192" s="195">
        <v>10.9483</v>
      </c>
      <c r="K192" s="195">
        <v>-7.2416479999999996</v>
      </c>
      <c r="L192" s="195">
        <v>-5.3940429999999999</v>
      </c>
      <c r="M192" s="195">
        <v>-2.2614640000000001</v>
      </c>
      <c r="N192" s="195">
        <v>16.806850000000001</v>
      </c>
    </row>
    <row r="193" spans="1:14" hidden="1" x14ac:dyDescent="0.35">
      <c r="A193" s="52" t="s">
        <v>206</v>
      </c>
      <c r="B193" s="52" t="s">
        <v>73</v>
      </c>
      <c r="C193" s="52" t="s">
        <v>87</v>
      </c>
      <c r="D193" s="52" t="s">
        <v>88</v>
      </c>
      <c r="E193" s="52" t="s">
        <v>584</v>
      </c>
      <c r="F193" s="52" t="s">
        <v>26</v>
      </c>
      <c r="G193" s="195" t="s">
        <v>276</v>
      </c>
      <c r="H193" s="195">
        <v>37.095529999999997</v>
      </c>
      <c r="I193" s="195">
        <v>31.49165</v>
      </c>
      <c r="J193" s="195">
        <v>31.379570000000001</v>
      </c>
      <c r="K193" s="195">
        <v>30.4709</v>
      </c>
      <c r="L193" s="195">
        <v>25.490410000000001</v>
      </c>
      <c r="M193" s="195">
        <v>16.550999999999998</v>
      </c>
      <c r="N193" s="195">
        <v>20.70505</v>
      </c>
    </row>
    <row r="194" spans="1:14" hidden="1" x14ac:dyDescent="0.35">
      <c r="A194" s="52" t="s">
        <v>206</v>
      </c>
      <c r="B194" s="52" t="s">
        <v>73</v>
      </c>
      <c r="C194" s="52" t="s">
        <v>87</v>
      </c>
      <c r="D194" s="52" t="s">
        <v>88</v>
      </c>
      <c r="E194" s="52" t="s">
        <v>584</v>
      </c>
      <c r="F194" s="52" t="s">
        <v>26</v>
      </c>
      <c r="G194" s="195" t="s">
        <v>277</v>
      </c>
      <c r="H194" s="195">
        <v>0.14130000000000001</v>
      </c>
      <c r="I194" s="195">
        <v>0.14130000000000001</v>
      </c>
      <c r="J194" s="195">
        <v>0.6841834</v>
      </c>
      <c r="K194" s="195">
        <v>20.015920000000001</v>
      </c>
      <c r="L194" s="195">
        <v>21.063659999999999</v>
      </c>
      <c r="M194" s="195">
        <v>19.381489999999999</v>
      </c>
      <c r="N194" s="195">
        <v>1.802624</v>
      </c>
    </row>
    <row r="195" spans="1:14" hidden="1" x14ac:dyDescent="0.35">
      <c r="A195" s="52" t="s">
        <v>206</v>
      </c>
      <c r="B195" s="52" t="s">
        <v>73</v>
      </c>
      <c r="C195" s="52" t="s">
        <v>87</v>
      </c>
      <c r="D195" s="52" t="s">
        <v>88</v>
      </c>
      <c r="E195" s="52" t="s">
        <v>584</v>
      </c>
      <c r="F195" s="52" t="s">
        <v>26</v>
      </c>
      <c r="G195" s="195" t="s">
        <v>278</v>
      </c>
      <c r="H195" s="195"/>
      <c r="I195" s="195">
        <v>2.8437629999999998E-2</v>
      </c>
      <c r="J195" s="195">
        <v>9.609534</v>
      </c>
      <c r="K195" s="195">
        <v>2.8848349999999998E-2</v>
      </c>
      <c r="L195" s="195">
        <v>2.588126E-2</v>
      </c>
      <c r="M195" s="195">
        <v>5.3168859999999998E-2</v>
      </c>
      <c r="N195" s="195">
        <v>5.3168859999999998E-2</v>
      </c>
    </row>
    <row r="196" spans="1:14" hidden="1" x14ac:dyDescent="0.35">
      <c r="A196" s="52" t="s">
        <v>206</v>
      </c>
      <c r="B196" s="52" t="s">
        <v>73</v>
      </c>
      <c r="C196" s="52" t="s">
        <v>87</v>
      </c>
      <c r="D196" s="52" t="s">
        <v>88</v>
      </c>
      <c r="E196" s="52" t="s">
        <v>584</v>
      </c>
      <c r="F196" s="52" t="s">
        <v>26</v>
      </c>
      <c r="G196" s="195" t="s">
        <v>279</v>
      </c>
      <c r="H196" s="195">
        <v>13.77746</v>
      </c>
      <c r="I196" s="195">
        <v>18.918330000000001</v>
      </c>
      <c r="J196" s="195">
        <v>16.654440000000001</v>
      </c>
      <c r="K196" s="195">
        <v>13.875679999999999</v>
      </c>
      <c r="L196" s="195">
        <v>10.058439999999999</v>
      </c>
      <c r="M196" s="195">
        <v>9.4904399999999995</v>
      </c>
      <c r="N196" s="195">
        <v>10.108610000000001</v>
      </c>
    </row>
    <row r="197" spans="1:14" hidden="1" x14ac:dyDescent="0.35">
      <c r="A197" s="52" t="s">
        <v>206</v>
      </c>
      <c r="B197" s="52" t="s">
        <v>73</v>
      </c>
      <c r="C197" s="52" t="s">
        <v>87</v>
      </c>
      <c r="D197" s="52" t="s">
        <v>132</v>
      </c>
      <c r="E197" s="52" t="s">
        <v>584</v>
      </c>
      <c r="F197" s="52" t="s">
        <v>581</v>
      </c>
      <c r="G197" s="195" t="s">
        <v>275</v>
      </c>
      <c r="H197" s="195">
        <v>120.0291</v>
      </c>
      <c r="I197" s="195">
        <v>36.389740000000003</v>
      </c>
      <c r="J197" s="195">
        <v>11.261939999999999</v>
      </c>
      <c r="K197" s="195">
        <v>-17.31972</v>
      </c>
      <c r="L197" s="195">
        <v>-26.865369999999999</v>
      </c>
      <c r="M197" s="195">
        <v>-14.37218</v>
      </c>
      <c r="N197" s="195">
        <v>-17.737580000000001</v>
      </c>
    </row>
    <row r="198" spans="1:14" hidden="1" x14ac:dyDescent="0.35">
      <c r="A198" s="52" t="s">
        <v>206</v>
      </c>
      <c r="B198" s="52" t="s">
        <v>73</v>
      </c>
      <c r="C198" s="52" t="s">
        <v>87</v>
      </c>
      <c r="D198" s="52" t="s">
        <v>132</v>
      </c>
      <c r="E198" s="52" t="s">
        <v>584</v>
      </c>
      <c r="F198" s="52" t="s">
        <v>581</v>
      </c>
      <c r="G198" s="195" t="s">
        <v>276</v>
      </c>
      <c r="H198" s="195">
        <v>51.020029999999998</v>
      </c>
      <c r="I198" s="195">
        <v>-56.27666</v>
      </c>
      <c r="J198" s="195">
        <v>-60.94594</v>
      </c>
      <c r="K198" s="195">
        <v>-84.319760000000002</v>
      </c>
      <c r="L198" s="195">
        <v>-88.587019999999995</v>
      </c>
      <c r="M198" s="195">
        <v>-98.860290000000006</v>
      </c>
      <c r="N198" s="195">
        <v>-109.706</v>
      </c>
    </row>
    <row r="199" spans="1:14" hidden="1" x14ac:dyDescent="0.35">
      <c r="A199" s="52" t="s">
        <v>206</v>
      </c>
      <c r="B199" s="52" t="s">
        <v>73</v>
      </c>
      <c r="C199" s="52" t="s">
        <v>87</v>
      </c>
      <c r="D199" s="52" t="s">
        <v>132</v>
      </c>
      <c r="E199" s="52" t="s">
        <v>584</v>
      </c>
      <c r="F199" s="52" t="s">
        <v>581</v>
      </c>
      <c r="G199" s="195" t="s">
        <v>277</v>
      </c>
      <c r="H199" s="195">
        <v>89.899519999999995</v>
      </c>
      <c r="I199" s="195">
        <v>79.307370000000006</v>
      </c>
      <c r="J199" s="195">
        <v>81.215040000000002</v>
      </c>
      <c r="K199" s="195">
        <v>100.58920000000001</v>
      </c>
      <c r="L199" s="195">
        <v>105.5487</v>
      </c>
      <c r="M199" s="195">
        <v>91.979370000000003</v>
      </c>
      <c r="N199" s="195">
        <v>93.328509999999994</v>
      </c>
    </row>
    <row r="200" spans="1:14" hidden="1" x14ac:dyDescent="0.35">
      <c r="A200" s="52" t="s">
        <v>206</v>
      </c>
      <c r="B200" s="52" t="s">
        <v>73</v>
      </c>
      <c r="C200" s="52" t="s">
        <v>87</v>
      </c>
      <c r="D200" s="52" t="s">
        <v>132</v>
      </c>
      <c r="E200" s="52" t="s">
        <v>584</v>
      </c>
      <c r="F200" s="52" t="s">
        <v>581</v>
      </c>
      <c r="G200" s="195" t="s">
        <v>279</v>
      </c>
      <c r="H200" s="195">
        <v>79.751480000000001</v>
      </c>
      <c r="I200" s="195">
        <v>80.358829999999998</v>
      </c>
      <c r="J200" s="195">
        <v>77.472570000000005</v>
      </c>
      <c r="K200" s="195">
        <v>88.132810000000006</v>
      </c>
      <c r="L200" s="195">
        <v>88.288349999999994</v>
      </c>
      <c r="M200" s="195">
        <v>87.947239999999994</v>
      </c>
      <c r="N200" s="195">
        <v>87.303920000000005</v>
      </c>
    </row>
    <row r="201" spans="1:14" hidden="1" x14ac:dyDescent="0.35">
      <c r="A201" s="52" t="s">
        <v>206</v>
      </c>
      <c r="B201" s="52" t="s">
        <v>73</v>
      </c>
      <c r="C201" s="52" t="s">
        <v>87</v>
      </c>
      <c r="D201" s="52" t="s">
        <v>132</v>
      </c>
      <c r="E201" s="52" t="s">
        <v>584</v>
      </c>
      <c r="F201" s="52" t="s">
        <v>26</v>
      </c>
      <c r="G201" s="195" t="s">
        <v>275</v>
      </c>
      <c r="H201" s="195">
        <v>2.8453490000000001</v>
      </c>
      <c r="I201" s="195">
        <v>1.6729149999999999</v>
      </c>
      <c r="J201" s="195">
        <v>1.752677</v>
      </c>
      <c r="K201" s="195">
        <v>1.384271</v>
      </c>
      <c r="L201" s="195">
        <v>1.3185659999999999</v>
      </c>
      <c r="M201" s="195">
        <v>1.093513</v>
      </c>
      <c r="N201" s="195">
        <v>0.83197560000000004</v>
      </c>
    </row>
    <row r="202" spans="1:14" hidden="1" x14ac:dyDescent="0.35">
      <c r="A202" s="52" t="s">
        <v>206</v>
      </c>
      <c r="B202" s="52" t="s">
        <v>73</v>
      </c>
      <c r="C202" s="52" t="s">
        <v>87</v>
      </c>
      <c r="D202" s="52" t="s">
        <v>132</v>
      </c>
      <c r="E202" s="52" t="s">
        <v>584</v>
      </c>
      <c r="F202" s="52" t="s">
        <v>26</v>
      </c>
      <c r="G202" s="195" t="s">
        <v>276</v>
      </c>
      <c r="H202" s="195">
        <v>10.174379999999999</v>
      </c>
      <c r="I202" s="195">
        <v>5.9919880000000001</v>
      </c>
      <c r="J202" s="195">
        <v>6.2712950000000003</v>
      </c>
      <c r="K202" s="195">
        <v>4.9541000000000004</v>
      </c>
      <c r="L202" s="195">
        <v>4.7163409999999999</v>
      </c>
      <c r="M202" s="195">
        <v>3.9122509999999999</v>
      </c>
      <c r="N202" s="195">
        <v>2.9778180000000001</v>
      </c>
    </row>
    <row r="203" spans="1:14" hidden="1" x14ac:dyDescent="0.35">
      <c r="A203" s="52" t="s">
        <v>206</v>
      </c>
      <c r="B203" s="52" t="s">
        <v>73</v>
      </c>
      <c r="C203" s="52" t="s">
        <v>87</v>
      </c>
      <c r="D203" s="52" t="s">
        <v>132</v>
      </c>
      <c r="E203" s="52" t="s">
        <v>584</v>
      </c>
      <c r="F203" s="52" t="s">
        <v>26</v>
      </c>
      <c r="G203" s="195" t="s">
        <v>279</v>
      </c>
      <c r="H203" s="195">
        <v>4.2356579999999999</v>
      </c>
      <c r="I203" s="195">
        <v>4.4855320000000001</v>
      </c>
      <c r="J203" s="195">
        <v>3.4196960000000001</v>
      </c>
      <c r="K203" s="195">
        <v>2.893005</v>
      </c>
      <c r="L203" s="195">
        <v>2.2584499999999998</v>
      </c>
      <c r="M203" s="195">
        <v>2.0494210000000002</v>
      </c>
      <c r="N203" s="195">
        <v>1.8086329999999999</v>
      </c>
    </row>
    <row r="204" spans="1:14" hidden="1" x14ac:dyDescent="0.35">
      <c r="A204" s="52" t="s">
        <v>206</v>
      </c>
      <c r="B204" s="52" t="s">
        <v>73</v>
      </c>
      <c r="C204" s="52" t="s">
        <v>87</v>
      </c>
      <c r="D204" s="52" t="s">
        <v>208</v>
      </c>
      <c r="E204" s="52" t="s">
        <v>584</v>
      </c>
      <c r="F204" s="52" t="s">
        <v>581</v>
      </c>
      <c r="G204" s="195" t="s">
        <v>275</v>
      </c>
      <c r="H204" s="195">
        <v>-58.607030000000002</v>
      </c>
      <c r="I204" s="195">
        <v>-44.082920000000001</v>
      </c>
      <c r="J204" s="195">
        <v>5.1276849999999996</v>
      </c>
      <c r="K204" s="195">
        <v>-0.86866929999999998</v>
      </c>
      <c r="L204" s="195">
        <v>31.725999999999999</v>
      </c>
      <c r="M204" s="195">
        <v>31.640440000000002</v>
      </c>
      <c r="N204" s="195">
        <v>21.204070000000002</v>
      </c>
    </row>
    <row r="205" spans="1:14" hidden="1" x14ac:dyDescent="0.35">
      <c r="A205" s="52" t="s">
        <v>206</v>
      </c>
      <c r="B205" s="52" t="s">
        <v>73</v>
      </c>
      <c r="C205" s="52" t="s">
        <v>87</v>
      </c>
      <c r="D205" s="52" t="s">
        <v>208</v>
      </c>
      <c r="E205" s="52" t="s">
        <v>584</v>
      </c>
      <c r="F205" s="52" t="s">
        <v>581</v>
      </c>
      <c r="G205" s="195" t="s">
        <v>276</v>
      </c>
      <c r="H205" s="195">
        <v>-12.326180000000001</v>
      </c>
      <c r="I205" s="195">
        <v>-22.60764</v>
      </c>
      <c r="J205" s="195">
        <v>1.1008819999999999</v>
      </c>
      <c r="K205" s="195">
        <v>-20.65644</v>
      </c>
      <c r="L205" s="195">
        <v>-24.94725</v>
      </c>
      <c r="M205" s="195">
        <v>-13.079050000000001</v>
      </c>
      <c r="N205" s="195">
        <v>-6.7025819999999996</v>
      </c>
    </row>
    <row r="206" spans="1:14" hidden="1" x14ac:dyDescent="0.35">
      <c r="A206" s="52" t="s">
        <v>206</v>
      </c>
      <c r="B206" s="52" t="s">
        <v>73</v>
      </c>
      <c r="C206" s="52" t="s">
        <v>87</v>
      </c>
      <c r="D206" s="52" t="s">
        <v>208</v>
      </c>
      <c r="E206" s="52" t="s">
        <v>584</v>
      </c>
      <c r="F206" s="52" t="s">
        <v>581</v>
      </c>
      <c r="G206" s="195" t="s">
        <v>277</v>
      </c>
      <c r="H206" s="195">
        <v>70.585489999999993</v>
      </c>
      <c r="I206" s="195">
        <v>66.495679999999993</v>
      </c>
      <c r="J206" s="195">
        <v>30.028359999999999</v>
      </c>
      <c r="K206" s="195">
        <v>37.35772</v>
      </c>
      <c r="L206" s="195">
        <v>1.169705</v>
      </c>
      <c r="M206" s="195">
        <v>1.2936460000000001</v>
      </c>
      <c r="N206" s="195">
        <v>1.3601909999999999</v>
      </c>
    </row>
    <row r="207" spans="1:14" hidden="1" x14ac:dyDescent="0.35">
      <c r="A207" s="52" t="s">
        <v>206</v>
      </c>
      <c r="B207" s="52" t="s">
        <v>73</v>
      </c>
      <c r="C207" s="52" t="s">
        <v>87</v>
      </c>
      <c r="D207" s="52" t="s">
        <v>208</v>
      </c>
      <c r="E207" s="52" t="s">
        <v>584</v>
      </c>
      <c r="F207" s="52" t="s">
        <v>581</v>
      </c>
      <c r="G207" s="195" t="s">
        <v>279</v>
      </c>
      <c r="H207" s="195">
        <v>0.34772320000000001</v>
      </c>
      <c r="I207" s="195">
        <v>2.9509340000000002</v>
      </c>
      <c r="J207" s="195">
        <v>8.5525249999999993</v>
      </c>
      <c r="K207" s="195">
        <v>28.39631</v>
      </c>
      <c r="L207" s="195">
        <v>26.731100000000001</v>
      </c>
      <c r="M207" s="195">
        <v>8.7415070000000004</v>
      </c>
      <c r="N207" s="195">
        <v>7.954205</v>
      </c>
    </row>
    <row r="208" spans="1:14" hidden="1" x14ac:dyDescent="0.35">
      <c r="A208" s="52" t="s">
        <v>206</v>
      </c>
      <c r="B208" s="52" t="s">
        <v>73</v>
      </c>
      <c r="C208" s="52" t="s">
        <v>87</v>
      </c>
      <c r="D208" s="52" t="s">
        <v>87</v>
      </c>
      <c r="E208" s="52" t="s">
        <v>584</v>
      </c>
      <c r="F208" s="52" t="s">
        <v>581</v>
      </c>
      <c r="G208" s="195" t="s">
        <v>275</v>
      </c>
      <c r="H208" s="195">
        <v>1.857704</v>
      </c>
      <c r="I208" s="195">
        <v>-0.3841407</v>
      </c>
      <c r="J208" s="195">
        <v>7.5170319999999999E-2</v>
      </c>
      <c r="K208" s="195">
        <v>0.62635580000000002</v>
      </c>
      <c r="L208" s="195">
        <v>0.81637329999999997</v>
      </c>
      <c r="M208" s="195">
        <v>1.1063339999999999</v>
      </c>
      <c r="N208" s="195">
        <v>0.65040109999999995</v>
      </c>
    </row>
    <row r="209" spans="1:14" hidden="1" x14ac:dyDescent="0.35">
      <c r="A209" s="52" t="s">
        <v>206</v>
      </c>
      <c r="B209" s="52" t="s">
        <v>73</v>
      </c>
      <c r="C209" s="52" t="s">
        <v>87</v>
      </c>
      <c r="D209" s="52" t="s">
        <v>87</v>
      </c>
      <c r="E209" s="52" t="s">
        <v>584</v>
      </c>
      <c r="F209" s="52" t="s">
        <v>581</v>
      </c>
      <c r="G209" s="195" t="s">
        <v>276</v>
      </c>
      <c r="H209" s="195">
        <v>6.762054</v>
      </c>
      <c r="I209" s="195">
        <v>3.5566109999999998E-2</v>
      </c>
      <c r="J209" s="195">
        <v>0.1223375</v>
      </c>
      <c r="K209" s="195">
        <v>-0.86887499999999995</v>
      </c>
      <c r="L209" s="195">
        <v>-0.76672569999999995</v>
      </c>
      <c r="M209" s="195">
        <v>-0.9786745</v>
      </c>
      <c r="N209" s="195">
        <v>-1.0328619999999999</v>
      </c>
    </row>
    <row r="210" spans="1:14" hidden="1" x14ac:dyDescent="0.35">
      <c r="A210" s="52" t="s">
        <v>206</v>
      </c>
      <c r="B210" s="52" t="s">
        <v>73</v>
      </c>
      <c r="C210" s="52" t="s">
        <v>87</v>
      </c>
      <c r="D210" s="52" t="s">
        <v>87</v>
      </c>
      <c r="E210" s="52" t="s">
        <v>584</v>
      </c>
      <c r="F210" s="52" t="s">
        <v>581</v>
      </c>
      <c r="G210" s="195" t="s">
        <v>277</v>
      </c>
      <c r="H210" s="195">
        <v>3.0351819999999998</v>
      </c>
      <c r="I210" s="195">
        <v>2.7217709999999999</v>
      </c>
      <c r="J210" s="195">
        <v>1.7131130000000001</v>
      </c>
      <c r="K210" s="195">
        <v>1.091704</v>
      </c>
      <c r="L210" s="195">
        <v>0.78324879999999997</v>
      </c>
      <c r="M210" s="195">
        <v>0.38068879999999999</v>
      </c>
      <c r="N210" s="195"/>
    </row>
    <row r="211" spans="1:14" hidden="1" x14ac:dyDescent="0.35">
      <c r="A211" s="52" t="s">
        <v>206</v>
      </c>
      <c r="B211" s="52" t="s">
        <v>73</v>
      </c>
      <c r="C211" s="52" t="s">
        <v>87</v>
      </c>
      <c r="D211" s="52" t="s">
        <v>87</v>
      </c>
      <c r="E211" s="52" t="s">
        <v>584</v>
      </c>
      <c r="F211" s="52" t="s">
        <v>581</v>
      </c>
      <c r="G211" s="195" t="s">
        <v>278</v>
      </c>
      <c r="H211" s="195">
        <v>4.9051549999999999E-2</v>
      </c>
      <c r="I211" s="195">
        <v>8.1730199999999996E-3</v>
      </c>
      <c r="J211" s="195">
        <v>0</v>
      </c>
      <c r="K211" s="195">
        <v>0</v>
      </c>
      <c r="L211" s="195">
        <v>0</v>
      </c>
      <c r="M211" s="195">
        <v>0</v>
      </c>
      <c r="N211" s="195"/>
    </row>
    <row r="212" spans="1:14" hidden="1" x14ac:dyDescent="0.35">
      <c r="A212" s="52" t="s">
        <v>206</v>
      </c>
      <c r="B212" s="52" t="s">
        <v>73</v>
      </c>
      <c r="C212" s="52" t="s">
        <v>87</v>
      </c>
      <c r="D212" s="52" t="s">
        <v>87</v>
      </c>
      <c r="E212" s="52" t="s">
        <v>584</v>
      </c>
      <c r="F212" s="52" t="s">
        <v>581</v>
      </c>
      <c r="G212" s="195" t="s">
        <v>279</v>
      </c>
      <c r="H212" s="195">
        <v>3.3543850000000002</v>
      </c>
      <c r="I212" s="195">
        <v>3.2445309999999998</v>
      </c>
      <c r="J212" s="195">
        <v>3.1694840000000002</v>
      </c>
      <c r="K212" s="195">
        <v>3.6600380000000001</v>
      </c>
      <c r="L212" s="195">
        <v>3.7420179999999998</v>
      </c>
      <c r="M212" s="195">
        <v>3.7881300000000002</v>
      </c>
      <c r="N212" s="195">
        <v>3.7996819999999998</v>
      </c>
    </row>
    <row r="213" spans="1:14" hidden="1" x14ac:dyDescent="0.35">
      <c r="A213" s="52" t="s">
        <v>206</v>
      </c>
      <c r="B213" s="52" t="s">
        <v>73</v>
      </c>
      <c r="C213" s="52" t="s">
        <v>87</v>
      </c>
      <c r="D213" s="52" t="s">
        <v>87</v>
      </c>
      <c r="E213" s="52" t="s">
        <v>584</v>
      </c>
      <c r="F213" s="52" t="s">
        <v>26</v>
      </c>
      <c r="G213" s="195" t="s">
        <v>275</v>
      </c>
      <c r="H213" s="195">
        <v>1.3052299999999999</v>
      </c>
      <c r="I213" s="195">
        <v>0.63799819999999996</v>
      </c>
      <c r="J213" s="195">
        <v>0.64972850000000004</v>
      </c>
      <c r="K213" s="195">
        <v>0.54163749999999999</v>
      </c>
      <c r="L213" s="195">
        <v>0.55620959999999997</v>
      </c>
      <c r="M213" s="195">
        <v>0.49466009999999999</v>
      </c>
      <c r="N213" s="195">
        <v>0.40377689999999999</v>
      </c>
    </row>
    <row r="214" spans="1:14" hidden="1" x14ac:dyDescent="0.35">
      <c r="A214" s="52" t="s">
        <v>206</v>
      </c>
      <c r="B214" s="52" t="s">
        <v>73</v>
      </c>
      <c r="C214" s="52" t="s">
        <v>87</v>
      </c>
      <c r="D214" s="52" t="s">
        <v>87</v>
      </c>
      <c r="E214" s="52" t="s">
        <v>584</v>
      </c>
      <c r="F214" s="52" t="s">
        <v>26</v>
      </c>
      <c r="G214" s="195" t="s">
        <v>276</v>
      </c>
      <c r="H214" s="195">
        <v>4.6647270000000001</v>
      </c>
      <c r="I214" s="195">
        <v>2.257504</v>
      </c>
      <c r="J214" s="195">
        <v>2.293606</v>
      </c>
      <c r="K214" s="195">
        <v>1.9116230000000001</v>
      </c>
      <c r="L214" s="195">
        <v>1.9652620000000001</v>
      </c>
      <c r="M214" s="195">
        <v>1.7225809999999999</v>
      </c>
      <c r="N214" s="195">
        <v>1.398061</v>
      </c>
    </row>
    <row r="215" spans="1:14" hidden="1" x14ac:dyDescent="0.35">
      <c r="A215" s="52" t="s">
        <v>206</v>
      </c>
      <c r="B215" s="52" t="s">
        <v>73</v>
      </c>
      <c r="C215" s="52" t="s">
        <v>87</v>
      </c>
      <c r="D215" s="52" t="s">
        <v>87</v>
      </c>
      <c r="E215" s="52" t="s">
        <v>584</v>
      </c>
      <c r="F215" s="52" t="s">
        <v>26</v>
      </c>
      <c r="G215" s="195" t="s">
        <v>278</v>
      </c>
      <c r="H215" s="195"/>
      <c r="I215" s="195">
        <v>2.38704E-2</v>
      </c>
      <c r="J215" s="195">
        <v>2.8675200000000001E-2</v>
      </c>
      <c r="K215" s="195">
        <v>2.4216000000000001E-2</v>
      </c>
      <c r="L215" s="195">
        <v>2.1725600000000001E-2</v>
      </c>
      <c r="M215" s="195">
        <v>4.4630400000000001E-2</v>
      </c>
      <c r="N215" s="195">
        <v>4.4630400000000001E-2</v>
      </c>
    </row>
    <row r="216" spans="1:14" hidden="1" x14ac:dyDescent="0.35">
      <c r="A216" s="52" t="s">
        <v>206</v>
      </c>
      <c r="B216" s="52" t="s">
        <v>73</v>
      </c>
      <c r="C216" s="52" t="s">
        <v>87</v>
      </c>
      <c r="D216" s="52" t="s">
        <v>87</v>
      </c>
      <c r="E216" s="52" t="s">
        <v>584</v>
      </c>
      <c r="F216" s="52" t="s">
        <v>26</v>
      </c>
      <c r="G216" s="195" t="s">
        <v>279</v>
      </c>
      <c r="H216" s="195">
        <v>1.4502520000000001</v>
      </c>
      <c r="I216" s="195">
        <v>1.0946549999999999</v>
      </c>
      <c r="J216" s="195">
        <v>0.76729899999999995</v>
      </c>
      <c r="K216" s="195">
        <v>0.61956389999999995</v>
      </c>
      <c r="L216" s="195">
        <v>0.45065650000000002</v>
      </c>
      <c r="M216" s="195">
        <v>0.42111579999999998</v>
      </c>
      <c r="N216" s="195">
        <v>0.37695260000000003</v>
      </c>
    </row>
    <row r="217" spans="1:14" hidden="1" x14ac:dyDescent="0.35">
      <c r="A217" s="52" t="s">
        <v>206</v>
      </c>
      <c r="B217" s="52" t="s">
        <v>73</v>
      </c>
      <c r="C217" s="52" t="s">
        <v>80</v>
      </c>
      <c r="D217" s="52" t="s">
        <v>152</v>
      </c>
      <c r="E217" s="52" t="s">
        <v>584</v>
      </c>
      <c r="F217" s="52" t="s">
        <v>581</v>
      </c>
      <c r="G217" s="195" t="s">
        <v>275</v>
      </c>
      <c r="H217" s="195">
        <v>19.008389999999999</v>
      </c>
      <c r="I217" s="195">
        <v>-11.86112</v>
      </c>
      <c r="J217" s="195">
        <v>19.681999999999999</v>
      </c>
      <c r="K217" s="195">
        <v>28.879650000000002</v>
      </c>
      <c r="L217" s="195">
        <v>24.83887</v>
      </c>
      <c r="M217" s="195">
        <v>1.749179</v>
      </c>
      <c r="N217" s="195">
        <v>-4.5228320000000002</v>
      </c>
    </row>
    <row r="218" spans="1:14" hidden="1" x14ac:dyDescent="0.35">
      <c r="A218" s="52" t="s">
        <v>206</v>
      </c>
      <c r="B218" s="52" t="s">
        <v>73</v>
      </c>
      <c r="C218" s="52" t="s">
        <v>80</v>
      </c>
      <c r="D218" s="52" t="s">
        <v>152</v>
      </c>
      <c r="E218" s="52" t="s">
        <v>584</v>
      </c>
      <c r="F218" s="52" t="s">
        <v>581</v>
      </c>
      <c r="G218" s="195" t="s">
        <v>276</v>
      </c>
      <c r="H218" s="195">
        <v>116.84990000000001</v>
      </c>
      <c r="I218" s="195">
        <v>-9.6484159999999992</v>
      </c>
      <c r="J218" s="195">
        <v>-20.84995</v>
      </c>
      <c r="K218" s="195">
        <v>-21.829370000000001</v>
      </c>
      <c r="L218" s="195">
        <v>-9.2958700000000007</v>
      </c>
      <c r="M218" s="195">
        <v>-78.956789999999998</v>
      </c>
      <c r="N218" s="195">
        <v>-65.800600000000003</v>
      </c>
    </row>
    <row r="219" spans="1:14" hidden="1" x14ac:dyDescent="0.35">
      <c r="A219" s="52" t="s">
        <v>206</v>
      </c>
      <c r="B219" s="52" t="s">
        <v>73</v>
      </c>
      <c r="C219" s="52" t="s">
        <v>80</v>
      </c>
      <c r="D219" s="52" t="s">
        <v>152</v>
      </c>
      <c r="E219" s="52" t="s">
        <v>584</v>
      </c>
      <c r="F219" s="52" t="s">
        <v>581</v>
      </c>
      <c r="G219" s="195" t="s">
        <v>277</v>
      </c>
      <c r="H219" s="195">
        <v>99.790909999999997</v>
      </c>
      <c r="I219" s="195">
        <v>87.938220000000001</v>
      </c>
      <c r="J219" s="195">
        <v>52.709960000000002</v>
      </c>
      <c r="K219" s="195">
        <v>41.795900000000003</v>
      </c>
      <c r="L219" s="195">
        <v>43.328000000000003</v>
      </c>
      <c r="M219" s="195">
        <v>44.427840000000003</v>
      </c>
      <c r="N219" s="195">
        <v>44.970939999999999</v>
      </c>
    </row>
    <row r="220" spans="1:14" hidden="1" x14ac:dyDescent="0.35">
      <c r="A220" s="52" t="s">
        <v>206</v>
      </c>
      <c r="B220" s="52" t="s">
        <v>73</v>
      </c>
      <c r="C220" s="52" t="s">
        <v>80</v>
      </c>
      <c r="D220" s="52" t="s">
        <v>152</v>
      </c>
      <c r="E220" s="52" t="s">
        <v>584</v>
      </c>
      <c r="F220" s="52" t="s">
        <v>581</v>
      </c>
      <c r="G220" s="195" t="s">
        <v>278</v>
      </c>
      <c r="H220" s="195">
        <v>6.8474199999999999E-2</v>
      </c>
      <c r="I220" s="195">
        <v>9.6504199999999998E-3</v>
      </c>
      <c r="J220" s="195">
        <v>0</v>
      </c>
      <c r="K220" s="195">
        <v>0</v>
      </c>
      <c r="L220" s="195"/>
      <c r="M220" s="195">
        <v>0</v>
      </c>
      <c r="N220" s="195"/>
    </row>
    <row r="221" spans="1:14" hidden="1" x14ac:dyDescent="0.35">
      <c r="A221" s="52" t="s">
        <v>206</v>
      </c>
      <c r="B221" s="52" t="s">
        <v>73</v>
      </c>
      <c r="C221" s="52" t="s">
        <v>80</v>
      </c>
      <c r="D221" s="52" t="s">
        <v>152</v>
      </c>
      <c r="E221" s="52" t="s">
        <v>584</v>
      </c>
      <c r="F221" s="52" t="s">
        <v>581</v>
      </c>
      <c r="G221" s="195" t="s">
        <v>279</v>
      </c>
      <c r="H221" s="195">
        <v>51.598990000000001</v>
      </c>
      <c r="I221" s="195">
        <v>50.510550000000002</v>
      </c>
      <c r="J221" s="195">
        <v>50.008069999999996</v>
      </c>
      <c r="K221" s="195">
        <v>60.656570000000002</v>
      </c>
      <c r="L221" s="195">
        <v>63.438279999999999</v>
      </c>
      <c r="M221" s="195">
        <v>48.876220000000004</v>
      </c>
      <c r="N221" s="195">
        <v>51.399990000000003</v>
      </c>
    </row>
    <row r="222" spans="1:14" hidden="1" x14ac:dyDescent="0.35">
      <c r="A222" s="52" t="s">
        <v>206</v>
      </c>
      <c r="B222" s="52" t="s">
        <v>73</v>
      </c>
      <c r="C222" s="52" t="s">
        <v>80</v>
      </c>
      <c r="D222" s="52" t="s">
        <v>152</v>
      </c>
      <c r="E222" s="52" t="s">
        <v>584</v>
      </c>
      <c r="F222" s="52" t="s">
        <v>26</v>
      </c>
      <c r="G222" s="195" t="s">
        <v>275</v>
      </c>
      <c r="H222" s="195">
        <v>5.0691800000000002</v>
      </c>
      <c r="I222" s="195">
        <v>7.5583830000000001</v>
      </c>
      <c r="J222" s="195">
        <v>10.797829999999999</v>
      </c>
      <c r="K222" s="195">
        <v>11.875030000000001</v>
      </c>
      <c r="L222" s="195">
        <v>13.501379999999999</v>
      </c>
      <c r="M222" s="195">
        <v>1.5282530000000001</v>
      </c>
      <c r="N222" s="195">
        <v>2.46265</v>
      </c>
    </row>
    <row r="223" spans="1:14" hidden="1" x14ac:dyDescent="0.35">
      <c r="A223" s="52" t="s">
        <v>206</v>
      </c>
      <c r="B223" s="52" t="s">
        <v>73</v>
      </c>
      <c r="C223" s="52" t="s">
        <v>80</v>
      </c>
      <c r="D223" s="52" t="s">
        <v>152</v>
      </c>
      <c r="E223" s="52" t="s">
        <v>584</v>
      </c>
      <c r="F223" s="52" t="s">
        <v>26</v>
      </c>
      <c r="G223" s="195" t="s">
        <v>276</v>
      </c>
      <c r="H223" s="195">
        <v>14.09104</v>
      </c>
      <c r="I223" s="195">
        <v>22.8611</v>
      </c>
      <c r="J223" s="195">
        <v>23.97034</v>
      </c>
      <c r="K223" s="195">
        <v>32.735080000000004</v>
      </c>
      <c r="L223" s="195">
        <v>43.872410000000002</v>
      </c>
      <c r="M223" s="195">
        <v>5.3983549999999996</v>
      </c>
      <c r="N223" s="195">
        <v>8.7130349999999996</v>
      </c>
    </row>
    <row r="224" spans="1:14" hidden="1" x14ac:dyDescent="0.35">
      <c r="A224" s="52" t="s">
        <v>206</v>
      </c>
      <c r="B224" s="52" t="s">
        <v>73</v>
      </c>
      <c r="C224" s="52" t="s">
        <v>80</v>
      </c>
      <c r="D224" s="52" t="s">
        <v>152</v>
      </c>
      <c r="E224" s="52" t="s">
        <v>584</v>
      </c>
      <c r="F224" s="52" t="s">
        <v>26</v>
      </c>
      <c r="G224" s="195" t="s">
        <v>277</v>
      </c>
      <c r="H224" s="195"/>
      <c r="I224" s="195"/>
      <c r="J224" s="195"/>
      <c r="K224" s="195"/>
      <c r="L224" s="195">
        <v>0</v>
      </c>
      <c r="M224" s="195">
        <v>0</v>
      </c>
      <c r="N224" s="195">
        <v>2.4024899999999998E-2</v>
      </c>
    </row>
    <row r="225" spans="1:14" hidden="1" x14ac:dyDescent="0.35">
      <c r="A225" s="52" t="s">
        <v>206</v>
      </c>
      <c r="B225" s="52" t="s">
        <v>73</v>
      </c>
      <c r="C225" s="52" t="s">
        <v>80</v>
      </c>
      <c r="D225" s="52" t="s">
        <v>152</v>
      </c>
      <c r="E225" s="52" t="s">
        <v>584</v>
      </c>
      <c r="F225" s="52" t="s">
        <v>26</v>
      </c>
      <c r="G225" s="195" t="s">
        <v>278</v>
      </c>
      <c r="H225" s="195">
        <v>22.98893</v>
      </c>
      <c r="I225" s="195">
        <v>3.5081059999999997E-2</v>
      </c>
      <c r="J225" s="195">
        <v>11.367000000000001</v>
      </c>
      <c r="K225" s="195">
        <v>6.4302739999999998</v>
      </c>
      <c r="L225" s="195">
        <v>4.3737560000000002</v>
      </c>
      <c r="M225" s="195">
        <v>6.5590880000000004E-2</v>
      </c>
      <c r="N225" s="195">
        <v>6.5590880000000004E-2</v>
      </c>
    </row>
    <row r="226" spans="1:14" hidden="1" x14ac:dyDescent="0.35">
      <c r="A226" s="52" t="s">
        <v>206</v>
      </c>
      <c r="B226" s="52" t="s">
        <v>73</v>
      </c>
      <c r="C226" s="52" t="s">
        <v>80</v>
      </c>
      <c r="D226" s="52" t="s">
        <v>152</v>
      </c>
      <c r="E226" s="52" t="s">
        <v>584</v>
      </c>
      <c r="F226" s="52" t="s">
        <v>26</v>
      </c>
      <c r="G226" s="195" t="s">
        <v>279</v>
      </c>
      <c r="H226" s="195">
        <v>29.20513</v>
      </c>
      <c r="I226" s="195">
        <v>37.070770000000003</v>
      </c>
      <c r="J226" s="195">
        <v>26.80058</v>
      </c>
      <c r="K226" s="195">
        <v>23.660509999999999</v>
      </c>
      <c r="L226" s="195">
        <v>13.786060000000001</v>
      </c>
      <c r="M226" s="195">
        <v>2.1269909999999999</v>
      </c>
      <c r="N226" s="195">
        <v>3.0204840000000002</v>
      </c>
    </row>
    <row r="227" spans="1:14" hidden="1" x14ac:dyDescent="0.35">
      <c r="A227" s="52" t="s">
        <v>206</v>
      </c>
      <c r="B227" s="52" t="s">
        <v>73</v>
      </c>
      <c r="C227" s="52" t="s">
        <v>80</v>
      </c>
      <c r="D227" s="52" t="s">
        <v>211</v>
      </c>
      <c r="E227" s="52" t="s">
        <v>584</v>
      </c>
      <c r="F227" s="52" t="s">
        <v>581</v>
      </c>
      <c r="G227" s="195" t="s">
        <v>275</v>
      </c>
      <c r="H227" s="195">
        <v>1.8146119999999999</v>
      </c>
      <c r="I227" s="195">
        <v>0.74600610000000001</v>
      </c>
      <c r="J227" s="195">
        <v>0.42076770000000002</v>
      </c>
      <c r="K227" s="195">
        <v>0.27563080000000001</v>
      </c>
      <c r="L227" s="195">
        <v>8.6583830000000001E-2</v>
      </c>
      <c r="M227" s="195">
        <v>4.5665860000000003E-2</v>
      </c>
      <c r="N227" s="195">
        <v>1.9120459999999999E-2</v>
      </c>
    </row>
    <row r="228" spans="1:14" hidden="1" x14ac:dyDescent="0.35">
      <c r="A228" s="52" t="s">
        <v>206</v>
      </c>
      <c r="B228" s="52" t="s">
        <v>73</v>
      </c>
      <c r="C228" s="52" t="s">
        <v>80</v>
      </c>
      <c r="D228" s="52" t="s">
        <v>211</v>
      </c>
      <c r="E228" s="52" t="s">
        <v>584</v>
      </c>
      <c r="F228" s="52" t="s">
        <v>581</v>
      </c>
      <c r="G228" s="195" t="s">
        <v>276</v>
      </c>
      <c r="H228" s="195">
        <v>4.5847340000000001</v>
      </c>
      <c r="I228" s="195">
        <v>1.4610590000000001</v>
      </c>
      <c r="J228" s="195">
        <v>0.87366149999999998</v>
      </c>
      <c r="K228" s="195">
        <v>0.68924549999999996</v>
      </c>
      <c r="L228" s="195">
        <v>0.29818529999999999</v>
      </c>
      <c r="M228" s="195">
        <v>0.16323860000000001</v>
      </c>
      <c r="N228" s="195">
        <v>6.8400959999999997E-2</v>
      </c>
    </row>
    <row r="229" spans="1:14" hidden="1" x14ac:dyDescent="0.35">
      <c r="A229" s="52" t="s">
        <v>206</v>
      </c>
      <c r="B229" s="52" t="s">
        <v>73</v>
      </c>
      <c r="C229" s="52" t="s">
        <v>80</v>
      </c>
      <c r="D229" s="52" t="s">
        <v>211</v>
      </c>
      <c r="E229" s="52" t="s">
        <v>584</v>
      </c>
      <c r="F229" s="52" t="s">
        <v>581</v>
      </c>
      <c r="G229" s="195" t="s">
        <v>277</v>
      </c>
      <c r="H229" s="195">
        <v>0</v>
      </c>
      <c r="I229" s="195"/>
      <c r="J229" s="195"/>
      <c r="K229" s="195"/>
      <c r="L229" s="195"/>
      <c r="M229" s="195"/>
      <c r="N229" s="195"/>
    </row>
    <row r="230" spans="1:14" hidden="1" x14ac:dyDescent="0.35">
      <c r="A230" s="52" t="s">
        <v>206</v>
      </c>
      <c r="B230" s="52" t="s">
        <v>73</v>
      </c>
      <c r="C230" s="52" t="s">
        <v>80</v>
      </c>
      <c r="D230" s="52" t="s">
        <v>211</v>
      </c>
      <c r="E230" s="52" t="s">
        <v>584</v>
      </c>
      <c r="F230" s="52" t="s">
        <v>581</v>
      </c>
      <c r="G230" s="195" t="s">
        <v>279</v>
      </c>
      <c r="H230" s="195">
        <v>0.33561350000000001</v>
      </c>
      <c r="I230" s="195">
        <v>0.28827720000000001</v>
      </c>
      <c r="J230" s="195">
        <v>0.19825780000000001</v>
      </c>
      <c r="K230" s="195">
        <v>0.1908234</v>
      </c>
      <c r="L230" s="195">
        <v>8.90759E-2</v>
      </c>
      <c r="M230" s="195">
        <v>5.8230499999999998E-2</v>
      </c>
      <c r="N230" s="195">
        <v>3.6941399999999999E-2</v>
      </c>
    </row>
    <row r="231" spans="1:14" hidden="1" x14ac:dyDescent="0.35">
      <c r="A231" s="52" t="s">
        <v>206</v>
      </c>
      <c r="B231" s="52" t="s">
        <v>73</v>
      </c>
      <c r="C231" s="52" t="s">
        <v>80</v>
      </c>
      <c r="D231" s="52" t="s">
        <v>211</v>
      </c>
      <c r="E231" s="52" t="s">
        <v>584</v>
      </c>
      <c r="F231" s="52" t="s">
        <v>26</v>
      </c>
      <c r="G231" s="195" t="s">
        <v>275</v>
      </c>
      <c r="H231" s="195">
        <v>79.247590000000002</v>
      </c>
      <c r="I231" s="195">
        <v>54.201270000000001</v>
      </c>
      <c r="J231" s="195">
        <v>39.337699999999998</v>
      </c>
      <c r="K231" s="195">
        <v>24.794750000000001</v>
      </c>
      <c r="L231" s="195">
        <v>17.041029999999999</v>
      </c>
      <c r="M231" s="195">
        <v>8.7019970000000004</v>
      </c>
      <c r="N231" s="195">
        <v>5.6565989999999999</v>
      </c>
    </row>
    <row r="232" spans="1:14" hidden="1" x14ac:dyDescent="0.35">
      <c r="A232" s="52" t="s">
        <v>206</v>
      </c>
      <c r="B232" s="52" t="s">
        <v>73</v>
      </c>
      <c r="C232" s="52" t="s">
        <v>80</v>
      </c>
      <c r="D232" s="52" t="s">
        <v>211</v>
      </c>
      <c r="E232" s="52" t="s">
        <v>584</v>
      </c>
      <c r="F232" s="52" t="s">
        <v>26</v>
      </c>
      <c r="G232" s="195" t="s">
        <v>276</v>
      </c>
      <c r="H232" s="195">
        <v>6.7881099999999996</v>
      </c>
      <c r="I232" s="195">
        <v>3.1416529999999998</v>
      </c>
      <c r="J232" s="195">
        <v>23.324349999999999</v>
      </c>
      <c r="K232" s="195">
        <v>25.840330000000002</v>
      </c>
      <c r="L232" s="195">
        <v>34.315179999999998</v>
      </c>
      <c r="M232" s="195">
        <v>36.475749999999998</v>
      </c>
      <c r="N232" s="195">
        <v>26.16874</v>
      </c>
    </row>
    <row r="233" spans="1:14" hidden="1" x14ac:dyDescent="0.35">
      <c r="A233" s="52" t="s">
        <v>206</v>
      </c>
      <c r="B233" s="52" t="s">
        <v>73</v>
      </c>
      <c r="C233" s="52" t="s">
        <v>80</v>
      </c>
      <c r="D233" s="52" t="s">
        <v>211</v>
      </c>
      <c r="E233" s="52" t="s">
        <v>584</v>
      </c>
      <c r="F233" s="52" t="s">
        <v>26</v>
      </c>
      <c r="G233" s="195" t="s">
        <v>277</v>
      </c>
      <c r="H233" s="195">
        <v>0</v>
      </c>
      <c r="I233" s="195">
        <v>3.6273E-3</v>
      </c>
      <c r="J233" s="195">
        <v>0.6812416</v>
      </c>
      <c r="K233" s="195">
        <v>1.9163209999999999</v>
      </c>
      <c r="L233" s="195">
        <v>2.646433</v>
      </c>
      <c r="M233" s="195">
        <v>3.1943389999999998</v>
      </c>
      <c r="N233" s="195">
        <v>4.3874550000000001</v>
      </c>
    </row>
    <row r="234" spans="1:14" hidden="1" x14ac:dyDescent="0.35">
      <c r="A234" s="52" t="s">
        <v>206</v>
      </c>
      <c r="B234" s="52" t="s">
        <v>73</v>
      </c>
      <c r="C234" s="52" t="s">
        <v>80</v>
      </c>
      <c r="D234" s="52" t="s">
        <v>211</v>
      </c>
      <c r="E234" s="52" t="s">
        <v>584</v>
      </c>
      <c r="F234" s="52" t="s">
        <v>26</v>
      </c>
      <c r="G234" s="195" t="s">
        <v>278</v>
      </c>
      <c r="H234" s="195">
        <v>1.54374E-2</v>
      </c>
      <c r="I234" s="195">
        <v>1.0084600000000001E-2</v>
      </c>
      <c r="J234" s="195">
        <v>1.8876500000000001E-2</v>
      </c>
      <c r="K234" s="195">
        <v>0.15704560000000001</v>
      </c>
      <c r="L234" s="195">
        <v>9.1781999999999992E-3</v>
      </c>
      <c r="M234" s="195">
        <v>1.88551E-2</v>
      </c>
      <c r="N234" s="195">
        <v>1.88551E-2</v>
      </c>
    </row>
    <row r="235" spans="1:14" hidden="1" x14ac:dyDescent="0.35">
      <c r="A235" s="52" t="s">
        <v>206</v>
      </c>
      <c r="B235" s="52" t="s">
        <v>73</v>
      </c>
      <c r="C235" s="52" t="s">
        <v>80</v>
      </c>
      <c r="D235" s="52" t="s">
        <v>211</v>
      </c>
      <c r="E235" s="52" t="s">
        <v>584</v>
      </c>
      <c r="F235" s="52" t="s">
        <v>26</v>
      </c>
      <c r="G235" s="195" t="s">
        <v>279</v>
      </c>
      <c r="H235" s="195">
        <v>41.899479999999997</v>
      </c>
      <c r="I235" s="195">
        <v>37.392800000000001</v>
      </c>
      <c r="J235" s="195">
        <v>37.670639999999999</v>
      </c>
      <c r="K235" s="195">
        <v>50.801160000000003</v>
      </c>
      <c r="L235" s="195">
        <v>51.974580000000003</v>
      </c>
      <c r="M235" s="195">
        <v>47.100619999999999</v>
      </c>
      <c r="N235" s="195">
        <v>36.784329999999997</v>
      </c>
    </row>
    <row r="236" spans="1:14" hidden="1" x14ac:dyDescent="0.35">
      <c r="A236" s="52" t="s">
        <v>206</v>
      </c>
      <c r="B236" s="52" t="s">
        <v>73</v>
      </c>
      <c r="C236" s="52" t="s">
        <v>80</v>
      </c>
      <c r="D236" s="52" t="s">
        <v>83</v>
      </c>
      <c r="E236" s="52" t="s">
        <v>584</v>
      </c>
      <c r="F236" s="52" t="s">
        <v>26</v>
      </c>
      <c r="G236" s="195" t="s">
        <v>275</v>
      </c>
      <c r="H236" s="195">
        <v>-1.6651999999999999E-3</v>
      </c>
      <c r="I236" s="195">
        <v>4.5144E-3</v>
      </c>
      <c r="J236" s="195">
        <v>2.8724000000000002E-3</v>
      </c>
      <c r="K236" s="195">
        <v>-3.9023599999999999E-2</v>
      </c>
      <c r="L236" s="195">
        <v>-3.2791439999999998E-2</v>
      </c>
      <c r="M236" s="195">
        <v>1.5306800000000001E-2</v>
      </c>
      <c r="N236" s="195">
        <v>-0.79358870000000004</v>
      </c>
    </row>
    <row r="237" spans="1:14" hidden="1" x14ac:dyDescent="0.35">
      <c r="A237" s="52" t="s">
        <v>206</v>
      </c>
      <c r="B237" s="52" t="s">
        <v>73</v>
      </c>
      <c r="C237" s="52" t="s">
        <v>80</v>
      </c>
      <c r="D237" s="52" t="s">
        <v>83</v>
      </c>
      <c r="E237" s="52" t="s">
        <v>584</v>
      </c>
      <c r="F237" s="52" t="s">
        <v>26</v>
      </c>
      <c r="G237" s="195" t="s">
        <v>276</v>
      </c>
      <c r="H237" s="195">
        <v>-3.3372400000000003E-2</v>
      </c>
      <c r="I237" s="195">
        <v>-4.5139990000000003E-3</v>
      </c>
      <c r="J237" s="195">
        <v>-5.7439999999999998E-4</v>
      </c>
      <c r="K237" s="195">
        <v>-7.9376800000000008E-3</v>
      </c>
      <c r="L237" s="195">
        <v>-1.5306719999999999E-2</v>
      </c>
      <c r="M237" s="195">
        <v>-1.5306719999999999E-2</v>
      </c>
      <c r="N237" s="195">
        <v>-0.16837440000000001</v>
      </c>
    </row>
    <row r="238" spans="1:14" hidden="1" x14ac:dyDescent="0.35">
      <c r="A238" s="52" t="s">
        <v>206</v>
      </c>
      <c r="B238" s="52" t="s">
        <v>73</v>
      </c>
      <c r="C238" s="52" t="s">
        <v>80</v>
      </c>
      <c r="D238" s="52" t="s">
        <v>83</v>
      </c>
      <c r="E238" s="52" t="s">
        <v>584</v>
      </c>
      <c r="F238" s="52" t="s">
        <v>26</v>
      </c>
      <c r="G238" s="195" t="s">
        <v>277</v>
      </c>
      <c r="H238" s="195"/>
      <c r="I238" s="195"/>
      <c r="J238" s="195">
        <v>0</v>
      </c>
      <c r="K238" s="195">
        <v>4.8098160000000001E-2</v>
      </c>
      <c r="L238" s="195">
        <v>4.8098160000000001E-2</v>
      </c>
      <c r="M238" s="195">
        <v>0</v>
      </c>
      <c r="N238" s="195">
        <v>0.96196300000000001</v>
      </c>
    </row>
    <row r="239" spans="1:14" hidden="1" x14ac:dyDescent="0.35">
      <c r="A239" s="52" t="s">
        <v>206</v>
      </c>
      <c r="B239" s="52" t="s">
        <v>73</v>
      </c>
      <c r="C239" s="52" t="s">
        <v>80</v>
      </c>
      <c r="D239" s="52" t="s">
        <v>83</v>
      </c>
      <c r="E239" s="52" t="s">
        <v>584</v>
      </c>
      <c r="F239" s="52" t="s">
        <v>26</v>
      </c>
      <c r="G239" s="195" t="s">
        <v>278</v>
      </c>
      <c r="H239" s="195">
        <v>3.5037600000000002E-2</v>
      </c>
      <c r="I239" s="195">
        <v>0</v>
      </c>
      <c r="J239" s="195"/>
      <c r="K239" s="195"/>
      <c r="L239" s="195"/>
      <c r="M239" s="195"/>
      <c r="N239" s="195"/>
    </row>
    <row r="240" spans="1:14" hidden="1" x14ac:dyDescent="0.35">
      <c r="A240" s="52" t="s">
        <v>206</v>
      </c>
      <c r="B240" s="52" t="s">
        <v>73</v>
      </c>
      <c r="C240" s="52" t="s">
        <v>80</v>
      </c>
      <c r="D240" s="52" t="s">
        <v>83</v>
      </c>
      <c r="E240" s="52" t="s">
        <v>584</v>
      </c>
      <c r="F240" s="52" t="s">
        <v>26</v>
      </c>
      <c r="G240" s="195" t="s">
        <v>279</v>
      </c>
      <c r="H240" s="195"/>
      <c r="I240" s="195"/>
      <c r="J240" s="195"/>
      <c r="K240" s="195"/>
      <c r="L240" s="195"/>
      <c r="M240" s="195"/>
      <c r="N240" s="195">
        <v>0</v>
      </c>
    </row>
    <row r="241" spans="1:14" hidden="1" x14ac:dyDescent="0.35">
      <c r="A241" s="52" t="s">
        <v>206</v>
      </c>
      <c r="B241" s="52" t="s">
        <v>73</v>
      </c>
      <c r="C241" s="52" t="s">
        <v>80</v>
      </c>
      <c r="D241" s="52" t="s">
        <v>84</v>
      </c>
      <c r="E241" s="52" t="s">
        <v>584</v>
      </c>
      <c r="F241" s="52" t="s">
        <v>26</v>
      </c>
      <c r="G241" s="195" t="s">
        <v>275</v>
      </c>
      <c r="H241" s="195">
        <v>0.37290689999999999</v>
      </c>
      <c r="I241" s="195">
        <v>0.37428699999999998</v>
      </c>
      <c r="J241" s="195">
        <v>5.7422039999999999E-4</v>
      </c>
      <c r="K241" s="195">
        <v>7.0947219999999999E-5</v>
      </c>
      <c r="L241" s="195">
        <v>-2.3888449999999999E-2</v>
      </c>
      <c r="M241" s="195">
        <v>-0.25408849999999999</v>
      </c>
      <c r="N241" s="195">
        <v>-1.3471120000000001</v>
      </c>
    </row>
    <row r="242" spans="1:14" hidden="1" x14ac:dyDescent="0.35">
      <c r="A242" s="52" t="s">
        <v>206</v>
      </c>
      <c r="B242" s="52" t="s">
        <v>73</v>
      </c>
      <c r="C242" s="52" t="s">
        <v>80</v>
      </c>
      <c r="D242" s="52" t="s">
        <v>84</v>
      </c>
      <c r="E242" s="52" t="s">
        <v>584</v>
      </c>
      <c r="F242" s="52" t="s">
        <v>26</v>
      </c>
      <c r="G242" s="195" t="s">
        <v>276</v>
      </c>
      <c r="H242" s="195">
        <v>-0.399621</v>
      </c>
      <c r="I242" s="195">
        <v>-0.3917387</v>
      </c>
      <c r="J242" s="195">
        <v>-1.2648700000000001E-2</v>
      </c>
      <c r="K242" s="195">
        <v>-1.116115E-2</v>
      </c>
      <c r="L242" s="195">
        <v>-1.4766400000000001E-2</v>
      </c>
      <c r="M242" s="195">
        <v>-7.1217160000000002E-2</v>
      </c>
      <c r="N242" s="195">
        <v>-0.34267379999999997</v>
      </c>
    </row>
    <row r="243" spans="1:14" hidden="1" x14ac:dyDescent="0.35">
      <c r="A243" s="52" t="s">
        <v>206</v>
      </c>
      <c r="B243" s="52" t="s">
        <v>73</v>
      </c>
      <c r="C243" s="52" t="s">
        <v>80</v>
      </c>
      <c r="D243" s="52" t="s">
        <v>84</v>
      </c>
      <c r="E243" s="52" t="s">
        <v>584</v>
      </c>
      <c r="F243" s="52" t="s">
        <v>26</v>
      </c>
      <c r="G243" s="195" t="s">
        <v>277</v>
      </c>
      <c r="H243" s="195"/>
      <c r="I243" s="195"/>
      <c r="J243" s="195"/>
      <c r="K243" s="195">
        <v>0</v>
      </c>
      <c r="L243" s="195">
        <v>2.7910000000000001E-2</v>
      </c>
      <c r="M243" s="195">
        <v>0.30701000000000001</v>
      </c>
      <c r="N243" s="195">
        <v>1.66265</v>
      </c>
    </row>
    <row r="244" spans="1:14" hidden="1" x14ac:dyDescent="0.35">
      <c r="A244" s="52" t="s">
        <v>206</v>
      </c>
      <c r="B244" s="52" t="s">
        <v>73</v>
      </c>
      <c r="C244" s="52" t="s">
        <v>80</v>
      </c>
      <c r="D244" s="52" t="s">
        <v>84</v>
      </c>
      <c r="E244" s="52" t="s">
        <v>584</v>
      </c>
      <c r="F244" s="52" t="s">
        <v>26</v>
      </c>
      <c r="G244" s="195" t="s">
        <v>278</v>
      </c>
      <c r="H244" s="195">
        <v>2.6714060000000001E-2</v>
      </c>
      <c r="I244" s="195">
        <v>1.7451290000000001E-2</v>
      </c>
      <c r="J244" s="195">
        <v>1.303604E-2</v>
      </c>
      <c r="K244" s="195">
        <v>1.156574E-2</v>
      </c>
      <c r="L244" s="195">
        <v>1.07449E-2</v>
      </c>
      <c r="M244" s="195">
        <v>1.8295680000000002E-2</v>
      </c>
      <c r="N244" s="195">
        <v>1.8295680000000002E-2</v>
      </c>
    </row>
    <row r="245" spans="1:14" hidden="1" x14ac:dyDescent="0.35">
      <c r="A245" s="52" t="s">
        <v>206</v>
      </c>
      <c r="B245" s="52" t="s">
        <v>73</v>
      </c>
      <c r="C245" s="52" t="s">
        <v>80</v>
      </c>
      <c r="D245" s="52" t="s">
        <v>84</v>
      </c>
      <c r="E245" s="52" t="s">
        <v>584</v>
      </c>
      <c r="F245" s="52" t="s">
        <v>26</v>
      </c>
      <c r="G245" s="195" t="s">
        <v>279</v>
      </c>
      <c r="H245" s="195"/>
      <c r="I245" s="195"/>
      <c r="J245" s="195"/>
      <c r="K245" s="195"/>
      <c r="L245" s="195"/>
      <c r="M245" s="195">
        <v>0</v>
      </c>
      <c r="N245" s="195">
        <v>8.8408270000000008E-3</v>
      </c>
    </row>
    <row r="246" spans="1:14" hidden="1" x14ac:dyDescent="0.35">
      <c r="A246" s="52" t="s">
        <v>206</v>
      </c>
      <c r="B246" s="52" t="s">
        <v>73</v>
      </c>
      <c r="C246" s="52" t="s">
        <v>80</v>
      </c>
      <c r="D246" s="52" t="s">
        <v>82</v>
      </c>
      <c r="E246" s="52" t="s">
        <v>584</v>
      </c>
      <c r="F246" s="52" t="s">
        <v>581</v>
      </c>
      <c r="G246" s="195" t="s">
        <v>275</v>
      </c>
      <c r="H246" s="195">
        <v>-4.4035999999999997E-3</v>
      </c>
      <c r="I246" s="195"/>
      <c r="J246" s="195"/>
      <c r="K246" s="195"/>
      <c r="L246" s="195">
        <v>0</v>
      </c>
      <c r="M246" s="195"/>
      <c r="N246" s="195">
        <v>0</v>
      </c>
    </row>
    <row r="247" spans="1:14" hidden="1" x14ac:dyDescent="0.35">
      <c r="A247" s="52" t="s">
        <v>206</v>
      </c>
      <c r="B247" s="52" t="s">
        <v>73</v>
      </c>
      <c r="C247" s="52" t="s">
        <v>80</v>
      </c>
      <c r="D247" s="52" t="s">
        <v>82</v>
      </c>
      <c r="E247" s="52" t="s">
        <v>584</v>
      </c>
      <c r="F247" s="52" t="s">
        <v>581</v>
      </c>
      <c r="G247" s="195" t="s">
        <v>276</v>
      </c>
      <c r="H247" s="195">
        <v>-2.75024E-2</v>
      </c>
      <c r="I247" s="195"/>
      <c r="J247" s="195"/>
      <c r="K247" s="195"/>
      <c r="L247" s="195">
        <v>0</v>
      </c>
      <c r="M247" s="195"/>
      <c r="N247" s="195">
        <v>0</v>
      </c>
    </row>
    <row r="248" spans="1:14" hidden="1" x14ac:dyDescent="0.35">
      <c r="A248" s="52" t="s">
        <v>206</v>
      </c>
      <c r="B248" s="52" t="s">
        <v>73</v>
      </c>
      <c r="C248" s="52" t="s">
        <v>80</v>
      </c>
      <c r="D248" s="52" t="s">
        <v>82</v>
      </c>
      <c r="E248" s="52" t="s">
        <v>584</v>
      </c>
      <c r="F248" s="52" t="s">
        <v>581</v>
      </c>
      <c r="G248" s="195" t="s">
        <v>277</v>
      </c>
      <c r="H248" s="195"/>
      <c r="I248" s="195"/>
      <c r="J248" s="195"/>
      <c r="K248" s="195">
        <v>0</v>
      </c>
      <c r="L248" s="195"/>
      <c r="M248" s="195">
        <v>0</v>
      </c>
      <c r="N248" s="195">
        <v>0</v>
      </c>
    </row>
    <row r="249" spans="1:14" hidden="1" x14ac:dyDescent="0.35">
      <c r="A249" s="52" t="s">
        <v>206</v>
      </c>
      <c r="B249" s="52" t="s">
        <v>73</v>
      </c>
      <c r="C249" s="52" t="s">
        <v>80</v>
      </c>
      <c r="D249" s="52" t="s">
        <v>82</v>
      </c>
      <c r="E249" s="52" t="s">
        <v>584</v>
      </c>
      <c r="F249" s="52" t="s">
        <v>581</v>
      </c>
      <c r="G249" s="195" t="s">
        <v>278</v>
      </c>
      <c r="H249" s="195">
        <v>3.1906200000000003E-2</v>
      </c>
      <c r="I249" s="195">
        <v>0</v>
      </c>
      <c r="J249" s="195"/>
      <c r="K249" s="195">
        <v>0</v>
      </c>
      <c r="L249" s="195"/>
      <c r="M249" s="195"/>
      <c r="N249" s="195"/>
    </row>
    <row r="250" spans="1:14" hidden="1" x14ac:dyDescent="0.35">
      <c r="A250" s="52" t="s">
        <v>206</v>
      </c>
      <c r="B250" s="52" t="s">
        <v>73</v>
      </c>
      <c r="C250" s="52" t="s">
        <v>80</v>
      </c>
      <c r="D250" s="52" t="s">
        <v>82</v>
      </c>
      <c r="E250" s="52" t="s">
        <v>584</v>
      </c>
      <c r="F250" s="52" t="s">
        <v>581</v>
      </c>
      <c r="G250" s="195" t="s">
        <v>279</v>
      </c>
      <c r="H250" s="195"/>
      <c r="I250" s="195"/>
      <c r="J250" s="195"/>
      <c r="K250" s="195"/>
      <c r="L250" s="195"/>
      <c r="M250" s="195"/>
      <c r="N250" s="195">
        <v>0</v>
      </c>
    </row>
    <row r="251" spans="1:14" hidden="1" x14ac:dyDescent="0.35">
      <c r="A251" s="52" t="s">
        <v>206</v>
      </c>
      <c r="B251" s="52" t="s">
        <v>73</v>
      </c>
      <c r="C251" s="52" t="s">
        <v>80</v>
      </c>
      <c r="D251" s="52" t="s">
        <v>82</v>
      </c>
      <c r="E251" s="52" t="s">
        <v>584</v>
      </c>
      <c r="F251" s="52" t="s">
        <v>26</v>
      </c>
      <c r="G251" s="195" t="s">
        <v>275</v>
      </c>
      <c r="H251" s="195">
        <v>0</v>
      </c>
      <c r="I251" s="195">
        <v>-1.3630000000000001E-3</v>
      </c>
      <c r="J251" s="195">
        <v>0</v>
      </c>
      <c r="K251" s="195">
        <v>0</v>
      </c>
      <c r="L251" s="195">
        <v>0</v>
      </c>
      <c r="M251" s="195">
        <v>0</v>
      </c>
      <c r="N251" s="195">
        <v>0</v>
      </c>
    </row>
    <row r="252" spans="1:14" hidden="1" x14ac:dyDescent="0.35">
      <c r="A252" s="52" t="s">
        <v>206</v>
      </c>
      <c r="B252" s="52" t="s">
        <v>73</v>
      </c>
      <c r="C252" s="52" t="s">
        <v>80</v>
      </c>
      <c r="D252" s="52" t="s">
        <v>82</v>
      </c>
      <c r="E252" s="52" t="s">
        <v>584</v>
      </c>
      <c r="F252" s="52" t="s">
        <v>26</v>
      </c>
      <c r="G252" s="195" t="s">
        <v>276</v>
      </c>
      <c r="H252" s="195"/>
      <c r="I252" s="195">
        <v>-1.94802E-2</v>
      </c>
      <c r="J252" s="195">
        <v>-3.9308010000000002</v>
      </c>
      <c r="K252" s="195">
        <v>-2.1144E-2</v>
      </c>
      <c r="L252" s="195">
        <v>-4.7969610000000003E-2</v>
      </c>
      <c r="M252" s="195">
        <v>-6.797019E-2</v>
      </c>
      <c r="N252" s="195">
        <v>-0.32897019999999999</v>
      </c>
    </row>
    <row r="253" spans="1:14" hidden="1" x14ac:dyDescent="0.35">
      <c r="A253" s="52" t="s">
        <v>206</v>
      </c>
      <c r="B253" s="52" t="s">
        <v>73</v>
      </c>
      <c r="C253" s="52" t="s">
        <v>80</v>
      </c>
      <c r="D253" s="52" t="s">
        <v>82</v>
      </c>
      <c r="E253" s="52" t="s">
        <v>584</v>
      </c>
      <c r="F253" s="52" t="s">
        <v>26</v>
      </c>
      <c r="G253" s="195" t="s">
        <v>277</v>
      </c>
      <c r="H253" s="195"/>
      <c r="I253" s="195"/>
      <c r="J253" s="195"/>
      <c r="K253" s="195">
        <v>0</v>
      </c>
      <c r="L253" s="195">
        <v>2.9000000000000001E-2</v>
      </c>
      <c r="M253" s="195">
        <v>2.9000000000000001E-2</v>
      </c>
      <c r="N253" s="195">
        <v>0.28999999999999998</v>
      </c>
    </row>
    <row r="254" spans="1:14" hidden="1" x14ac:dyDescent="0.35">
      <c r="A254" s="52" t="s">
        <v>206</v>
      </c>
      <c r="B254" s="52" t="s">
        <v>73</v>
      </c>
      <c r="C254" s="52" t="s">
        <v>80</v>
      </c>
      <c r="D254" s="52" t="s">
        <v>82</v>
      </c>
      <c r="E254" s="52" t="s">
        <v>584</v>
      </c>
      <c r="F254" s="52" t="s">
        <v>26</v>
      </c>
      <c r="G254" s="195" t="s">
        <v>278</v>
      </c>
      <c r="H254" s="195"/>
      <c r="I254" s="195">
        <v>2.0843E-2</v>
      </c>
      <c r="J254" s="195">
        <v>3.9308010000000002</v>
      </c>
      <c r="K254" s="195">
        <v>2.1144199999999998E-2</v>
      </c>
      <c r="L254" s="195">
        <v>1.89696E-2</v>
      </c>
      <c r="M254" s="195">
        <v>3.8969999999999998E-2</v>
      </c>
      <c r="N254" s="195">
        <v>3.8969999999999998E-2</v>
      </c>
    </row>
    <row r="255" spans="1:14" hidden="1" x14ac:dyDescent="0.35">
      <c r="A255" s="52" t="s">
        <v>206</v>
      </c>
      <c r="B255" s="52" t="s">
        <v>73</v>
      </c>
      <c r="C255" s="52" t="s">
        <v>80</v>
      </c>
      <c r="D255" s="52" t="s">
        <v>82</v>
      </c>
      <c r="E255" s="52" t="s">
        <v>584</v>
      </c>
      <c r="F255" s="52" t="s">
        <v>26</v>
      </c>
      <c r="G255" s="195" t="s">
        <v>279</v>
      </c>
      <c r="H255" s="195"/>
      <c r="I255" s="195"/>
      <c r="J255" s="195"/>
      <c r="K255" s="195"/>
      <c r="L255" s="195"/>
      <c r="M255" s="195"/>
      <c r="N255" s="195">
        <v>0</v>
      </c>
    </row>
    <row r="256" spans="1:14" hidden="1" x14ac:dyDescent="0.35">
      <c r="A256" s="52" t="s">
        <v>206</v>
      </c>
      <c r="B256" s="52" t="s">
        <v>73</v>
      </c>
      <c r="C256" s="52" t="s">
        <v>80</v>
      </c>
      <c r="D256" s="52" t="s">
        <v>347</v>
      </c>
      <c r="E256" s="52" t="s">
        <v>584</v>
      </c>
      <c r="F256" s="52" t="s">
        <v>581</v>
      </c>
      <c r="G256" s="195" t="s">
        <v>275</v>
      </c>
      <c r="H256" s="195">
        <v>-2.5273299999999999E-2</v>
      </c>
      <c r="I256" s="195"/>
      <c r="J256" s="195"/>
      <c r="K256" s="195"/>
      <c r="L256" s="195">
        <v>0</v>
      </c>
      <c r="M256" s="195"/>
      <c r="N256" s="195"/>
    </row>
    <row r="257" spans="1:14" hidden="1" x14ac:dyDescent="0.35">
      <c r="A257" s="52" t="s">
        <v>206</v>
      </c>
      <c r="B257" s="52" t="s">
        <v>73</v>
      </c>
      <c r="C257" s="52" t="s">
        <v>80</v>
      </c>
      <c r="D257" s="52" t="s">
        <v>347</v>
      </c>
      <c r="E257" s="52" t="s">
        <v>584</v>
      </c>
      <c r="F257" s="52" t="s">
        <v>581</v>
      </c>
      <c r="G257" s="195" t="s">
        <v>276</v>
      </c>
      <c r="H257" s="195">
        <v>-0.1155713</v>
      </c>
      <c r="I257" s="195"/>
      <c r="J257" s="195"/>
      <c r="K257" s="195"/>
      <c r="L257" s="195">
        <v>0</v>
      </c>
      <c r="M257" s="195"/>
      <c r="N257" s="195"/>
    </row>
    <row r="258" spans="1:14" hidden="1" x14ac:dyDescent="0.35">
      <c r="A258" s="52" t="s">
        <v>206</v>
      </c>
      <c r="B258" s="52" t="s">
        <v>73</v>
      </c>
      <c r="C258" s="52" t="s">
        <v>80</v>
      </c>
      <c r="D258" s="52" t="s">
        <v>347</v>
      </c>
      <c r="E258" s="52" t="s">
        <v>584</v>
      </c>
      <c r="F258" s="52" t="s">
        <v>581</v>
      </c>
      <c r="G258" s="195" t="s">
        <v>277</v>
      </c>
      <c r="H258" s="195"/>
      <c r="I258" s="195"/>
      <c r="J258" s="195"/>
      <c r="K258" s="195">
        <v>0</v>
      </c>
      <c r="L258" s="195"/>
      <c r="M258" s="195"/>
      <c r="N258" s="195">
        <v>0</v>
      </c>
    </row>
    <row r="259" spans="1:14" hidden="1" x14ac:dyDescent="0.35">
      <c r="A259" s="52" t="s">
        <v>206</v>
      </c>
      <c r="B259" s="52" t="s">
        <v>73</v>
      </c>
      <c r="C259" s="52" t="s">
        <v>80</v>
      </c>
      <c r="D259" s="52" t="s">
        <v>347</v>
      </c>
      <c r="E259" s="52" t="s">
        <v>584</v>
      </c>
      <c r="F259" s="52" t="s">
        <v>581</v>
      </c>
      <c r="G259" s="195" t="s">
        <v>278</v>
      </c>
      <c r="H259" s="195">
        <v>0.14084459999999999</v>
      </c>
      <c r="I259" s="195"/>
      <c r="J259" s="195">
        <v>0</v>
      </c>
      <c r="K259" s="195"/>
      <c r="L259" s="195"/>
      <c r="M259" s="195"/>
      <c r="N259" s="195"/>
    </row>
    <row r="260" spans="1:14" hidden="1" x14ac:dyDescent="0.35">
      <c r="A260" s="52" t="s">
        <v>206</v>
      </c>
      <c r="B260" s="52" t="s">
        <v>73</v>
      </c>
      <c r="C260" s="52" t="s">
        <v>80</v>
      </c>
      <c r="D260" s="52" t="s">
        <v>347</v>
      </c>
      <c r="E260" s="52" t="s">
        <v>584</v>
      </c>
      <c r="F260" s="52" t="s">
        <v>26</v>
      </c>
      <c r="G260" s="195" t="s">
        <v>275</v>
      </c>
      <c r="H260" s="195">
        <v>0</v>
      </c>
      <c r="I260" s="195">
        <v>-8.8456200000000003</v>
      </c>
      <c r="J260" s="195">
        <v>0</v>
      </c>
      <c r="K260" s="195">
        <v>0</v>
      </c>
      <c r="L260" s="195">
        <v>0</v>
      </c>
      <c r="M260" s="195">
        <v>0</v>
      </c>
      <c r="N260" s="195">
        <v>0</v>
      </c>
    </row>
    <row r="261" spans="1:14" hidden="1" x14ac:dyDescent="0.35">
      <c r="A261" s="52" t="s">
        <v>206</v>
      </c>
      <c r="B261" s="52" t="s">
        <v>73</v>
      </c>
      <c r="C261" s="52" t="s">
        <v>80</v>
      </c>
      <c r="D261" s="52" t="s">
        <v>347</v>
      </c>
      <c r="E261" s="52" t="s">
        <v>584</v>
      </c>
      <c r="F261" s="52" t="s">
        <v>26</v>
      </c>
      <c r="G261" s="195" t="s">
        <v>276</v>
      </c>
      <c r="H261" s="195"/>
      <c r="I261" s="195">
        <v>-37.525570000000002</v>
      </c>
      <c r="J261" s="195">
        <v>-0.1105275</v>
      </c>
      <c r="K261" s="195">
        <v>-9.3339439999999996E-2</v>
      </c>
      <c r="L261" s="195">
        <v>-0.17798829999999999</v>
      </c>
      <c r="M261" s="195">
        <v>-0.26627699999999999</v>
      </c>
      <c r="N261" s="195">
        <v>-0.17202709999999999</v>
      </c>
    </row>
    <row r="262" spans="1:14" hidden="1" x14ac:dyDescent="0.35">
      <c r="A262" s="52" t="s">
        <v>206</v>
      </c>
      <c r="B262" s="52" t="s">
        <v>73</v>
      </c>
      <c r="C262" s="52" t="s">
        <v>80</v>
      </c>
      <c r="D262" s="52" t="s">
        <v>347</v>
      </c>
      <c r="E262" s="52" t="s">
        <v>584</v>
      </c>
      <c r="F262" s="52" t="s">
        <v>26</v>
      </c>
      <c r="G262" s="195" t="s">
        <v>277</v>
      </c>
      <c r="H262" s="195"/>
      <c r="I262" s="195"/>
      <c r="J262" s="195"/>
      <c r="K262" s="195">
        <v>0</v>
      </c>
      <c r="L262" s="195">
        <v>9.4250009999999995E-2</v>
      </c>
      <c r="M262" s="195">
        <v>9.425E-2</v>
      </c>
      <c r="N262" s="195">
        <v>0</v>
      </c>
    </row>
    <row r="263" spans="1:14" hidden="1" x14ac:dyDescent="0.35">
      <c r="A263" s="52" t="s">
        <v>206</v>
      </c>
      <c r="B263" s="52" t="s">
        <v>73</v>
      </c>
      <c r="C263" s="52" t="s">
        <v>80</v>
      </c>
      <c r="D263" s="52" t="s">
        <v>347</v>
      </c>
      <c r="E263" s="52" t="s">
        <v>584</v>
      </c>
      <c r="F263" s="52" t="s">
        <v>26</v>
      </c>
      <c r="G263" s="195" t="s">
        <v>278</v>
      </c>
      <c r="H263" s="195">
        <v>0</v>
      </c>
      <c r="I263" s="195">
        <v>46.371189999999999</v>
      </c>
      <c r="J263" s="195">
        <v>0.11052729999999999</v>
      </c>
      <c r="K263" s="195">
        <v>9.333806E-2</v>
      </c>
      <c r="L263" s="195">
        <v>8.3738859999999998E-2</v>
      </c>
      <c r="M263" s="195">
        <v>0.17202700000000001</v>
      </c>
      <c r="N263" s="195">
        <v>0.17202700000000001</v>
      </c>
    </row>
    <row r="264" spans="1:14" hidden="1" x14ac:dyDescent="0.35">
      <c r="A264" s="52" t="s">
        <v>206</v>
      </c>
      <c r="B264" s="52" t="s">
        <v>73</v>
      </c>
      <c r="C264" s="52" t="s">
        <v>71</v>
      </c>
      <c r="D264" s="52" t="s">
        <v>72</v>
      </c>
      <c r="E264" s="52" t="s">
        <v>584</v>
      </c>
      <c r="F264" s="52" t="s">
        <v>581</v>
      </c>
      <c r="G264" s="195" t="s">
        <v>275</v>
      </c>
      <c r="H264" s="195">
        <v>17.313230000000001</v>
      </c>
      <c r="I264" s="195">
        <v>6.4684809999999997</v>
      </c>
      <c r="J264" s="195">
        <v>5.4387499999999998</v>
      </c>
      <c r="K264" s="195">
        <v>3.065534</v>
      </c>
      <c r="L264" s="195">
        <v>4.8323520000000002</v>
      </c>
      <c r="M264" s="195">
        <v>4.1759339999999998</v>
      </c>
      <c r="N264" s="195">
        <v>3.5559919999999998</v>
      </c>
    </row>
    <row r="265" spans="1:14" hidden="1" x14ac:dyDescent="0.35">
      <c r="A265" s="52" t="s">
        <v>206</v>
      </c>
      <c r="B265" s="52" t="s">
        <v>73</v>
      </c>
      <c r="C265" s="52" t="s">
        <v>71</v>
      </c>
      <c r="D265" s="52" t="s">
        <v>72</v>
      </c>
      <c r="E265" s="52" t="s">
        <v>584</v>
      </c>
      <c r="F265" s="52" t="s">
        <v>581</v>
      </c>
      <c r="G265" s="195" t="s">
        <v>276</v>
      </c>
      <c r="H265" s="195">
        <v>61.06326</v>
      </c>
      <c r="I265" s="195">
        <v>22.803080000000001</v>
      </c>
      <c r="J265" s="195">
        <v>19.427499999999998</v>
      </c>
      <c r="K265" s="195">
        <v>16.905740000000002</v>
      </c>
      <c r="L265" s="195">
        <v>15.639699999999999</v>
      </c>
      <c r="M265" s="195">
        <v>13.259600000000001</v>
      </c>
      <c r="N265" s="195">
        <v>11.290850000000001</v>
      </c>
    </row>
    <row r="266" spans="1:14" hidden="1" x14ac:dyDescent="0.35">
      <c r="A266" s="52" t="s">
        <v>206</v>
      </c>
      <c r="B266" s="52" t="s">
        <v>73</v>
      </c>
      <c r="C266" s="52" t="s">
        <v>71</v>
      </c>
      <c r="D266" s="52" t="s">
        <v>72</v>
      </c>
      <c r="E266" s="52" t="s">
        <v>584</v>
      </c>
      <c r="F266" s="52" t="s">
        <v>581</v>
      </c>
      <c r="G266" s="195" t="s">
        <v>277</v>
      </c>
      <c r="H266" s="195">
        <v>0</v>
      </c>
      <c r="I266" s="195">
        <v>6.5000000000000002E-2</v>
      </c>
      <c r="J266" s="195">
        <v>0.14377719999999999</v>
      </c>
      <c r="K266" s="195">
        <v>2.2725939999999998</v>
      </c>
      <c r="L266" s="195">
        <v>5.2786239999999998E-2</v>
      </c>
      <c r="M266" s="195">
        <v>5.2890920000000001E-2</v>
      </c>
      <c r="N266" s="195">
        <v>0.1456875</v>
      </c>
    </row>
    <row r="267" spans="1:14" hidden="1" x14ac:dyDescent="0.35">
      <c r="A267" s="52" t="s">
        <v>206</v>
      </c>
      <c r="B267" s="52" t="s">
        <v>73</v>
      </c>
      <c r="C267" s="52" t="s">
        <v>71</v>
      </c>
      <c r="D267" s="52" t="s">
        <v>72</v>
      </c>
      <c r="E267" s="52" t="s">
        <v>584</v>
      </c>
      <c r="F267" s="52" t="s">
        <v>581</v>
      </c>
      <c r="G267" s="195" t="s">
        <v>278</v>
      </c>
      <c r="H267" s="195">
        <v>2.5549550000000001</v>
      </c>
      <c r="I267" s="195">
        <v>4.6981999999999996E-3</v>
      </c>
      <c r="J267" s="195">
        <v>1.128764E-3</v>
      </c>
      <c r="K267" s="195">
        <v>9.5321200000000005E-4</v>
      </c>
      <c r="L267" s="195">
        <v>0</v>
      </c>
      <c r="M267" s="195"/>
      <c r="N267" s="195"/>
    </row>
    <row r="268" spans="1:14" hidden="1" x14ac:dyDescent="0.35">
      <c r="A268" s="52" t="s">
        <v>206</v>
      </c>
      <c r="B268" s="52" t="s">
        <v>73</v>
      </c>
      <c r="C268" s="52" t="s">
        <v>71</v>
      </c>
      <c r="D268" s="52" t="s">
        <v>72</v>
      </c>
      <c r="E268" s="52" t="s">
        <v>584</v>
      </c>
      <c r="F268" s="52" t="s">
        <v>581</v>
      </c>
      <c r="G268" s="195" t="s">
        <v>279</v>
      </c>
      <c r="H268" s="195">
        <v>2.7860200000000002</v>
      </c>
      <c r="I268" s="195">
        <v>2.444016</v>
      </c>
      <c r="J268" s="195">
        <v>2.3769770000000001</v>
      </c>
      <c r="K268" s="195">
        <v>2.6348379999999998</v>
      </c>
      <c r="L268" s="195">
        <v>2.5394519999999998</v>
      </c>
      <c r="M268" s="195">
        <v>2.2209460000000001</v>
      </c>
      <c r="N268" s="195">
        <v>2.007174</v>
      </c>
    </row>
    <row r="269" spans="1:14" hidden="1" x14ac:dyDescent="0.35">
      <c r="A269" s="52" t="s">
        <v>206</v>
      </c>
      <c r="B269" s="52" t="s">
        <v>73</v>
      </c>
      <c r="C269" s="52" t="s">
        <v>71</v>
      </c>
      <c r="D269" s="52" t="s">
        <v>72</v>
      </c>
      <c r="E269" s="52" t="s">
        <v>584</v>
      </c>
      <c r="F269" s="52" t="s">
        <v>26</v>
      </c>
      <c r="G269" s="195" t="s">
        <v>275</v>
      </c>
      <c r="H269" s="195">
        <v>11.22878</v>
      </c>
      <c r="I269" s="195">
        <v>14.06368</v>
      </c>
      <c r="J269" s="195">
        <v>14.556950000000001</v>
      </c>
      <c r="K269" s="195">
        <v>11.45537</v>
      </c>
      <c r="L269" s="195">
        <v>10.04082</v>
      </c>
      <c r="M269" s="195">
        <v>7.7052160000000001</v>
      </c>
      <c r="N269" s="195">
        <v>3.0770680000000001</v>
      </c>
    </row>
    <row r="270" spans="1:14" hidden="1" x14ac:dyDescent="0.35">
      <c r="A270" s="52" t="s">
        <v>206</v>
      </c>
      <c r="B270" s="52" t="s">
        <v>73</v>
      </c>
      <c r="C270" s="52" t="s">
        <v>71</v>
      </c>
      <c r="D270" s="52" t="s">
        <v>72</v>
      </c>
      <c r="E270" s="52" t="s">
        <v>584</v>
      </c>
      <c r="F270" s="52" t="s">
        <v>26</v>
      </c>
      <c r="G270" s="195" t="s">
        <v>276</v>
      </c>
      <c r="H270" s="195">
        <v>32.846510000000002</v>
      </c>
      <c r="I270" s="195">
        <v>15.999779999999999</v>
      </c>
      <c r="J270" s="195">
        <v>20.409099999999999</v>
      </c>
      <c r="K270" s="195">
        <v>17.178799999999999</v>
      </c>
      <c r="L270" s="195">
        <v>17.925180000000001</v>
      </c>
      <c r="M270" s="195">
        <v>19.32404</v>
      </c>
      <c r="N270" s="195">
        <v>20.238700000000001</v>
      </c>
    </row>
    <row r="271" spans="1:14" hidden="1" x14ac:dyDescent="0.35">
      <c r="A271" s="52" t="s">
        <v>206</v>
      </c>
      <c r="B271" s="52" t="s">
        <v>73</v>
      </c>
      <c r="C271" s="52" t="s">
        <v>71</v>
      </c>
      <c r="D271" s="52" t="s">
        <v>72</v>
      </c>
      <c r="E271" s="52" t="s">
        <v>584</v>
      </c>
      <c r="F271" s="52" t="s">
        <v>26</v>
      </c>
      <c r="G271" s="195" t="s">
        <v>277</v>
      </c>
      <c r="H271" s="195">
        <v>20.490320000000001</v>
      </c>
      <c r="I271" s="195">
        <v>6.4293820000000004</v>
      </c>
      <c r="J271" s="195">
        <v>6.2706419999999996</v>
      </c>
      <c r="K271" s="195">
        <v>7.1429039999999997</v>
      </c>
      <c r="L271" s="195">
        <v>7.4225890000000003</v>
      </c>
      <c r="M271" s="195">
        <v>8.0127179999999996</v>
      </c>
      <c r="N271" s="195">
        <v>11.62022</v>
      </c>
    </row>
    <row r="272" spans="1:14" hidden="1" x14ac:dyDescent="0.35">
      <c r="A272" s="52" t="s">
        <v>206</v>
      </c>
      <c r="B272" s="52" t="s">
        <v>73</v>
      </c>
      <c r="C272" s="52" t="s">
        <v>71</v>
      </c>
      <c r="D272" s="52" t="s">
        <v>72</v>
      </c>
      <c r="E272" s="52" t="s">
        <v>584</v>
      </c>
      <c r="F272" s="52" t="s">
        <v>26</v>
      </c>
      <c r="G272" s="195" t="s">
        <v>278</v>
      </c>
      <c r="H272" s="195">
        <v>1.252589E-2</v>
      </c>
      <c r="I272" s="195">
        <v>1.3710969999999999E-2</v>
      </c>
      <c r="J272" s="195">
        <v>6.6409199999999998E-3</v>
      </c>
      <c r="K272" s="195">
        <v>5.6082010000000002E-3</v>
      </c>
      <c r="L272" s="195">
        <v>5.0313909999999996E-3</v>
      </c>
      <c r="M272" s="195">
        <v>1.033617E-2</v>
      </c>
      <c r="N272" s="195">
        <v>1.033617E-2</v>
      </c>
    </row>
    <row r="273" spans="1:14" hidden="1" x14ac:dyDescent="0.35">
      <c r="A273" s="52" t="s">
        <v>206</v>
      </c>
      <c r="B273" s="52" t="s">
        <v>73</v>
      </c>
      <c r="C273" s="52" t="s">
        <v>71</v>
      </c>
      <c r="D273" s="52" t="s">
        <v>72</v>
      </c>
      <c r="E273" s="52" t="s">
        <v>584</v>
      </c>
      <c r="F273" s="52" t="s">
        <v>26</v>
      </c>
      <c r="G273" s="195" t="s">
        <v>279</v>
      </c>
      <c r="H273" s="195">
        <v>36.825879999999998</v>
      </c>
      <c r="I273" s="195">
        <v>35.23986</v>
      </c>
      <c r="J273" s="195">
        <v>35.994750000000003</v>
      </c>
      <c r="K273" s="195">
        <v>42.391080000000002</v>
      </c>
      <c r="L273" s="195">
        <v>42.202469999999998</v>
      </c>
      <c r="M273" s="195">
        <v>41.913460000000001</v>
      </c>
      <c r="N273" s="195">
        <v>41.822310000000002</v>
      </c>
    </row>
    <row r="274" spans="1:14" hidden="1" x14ac:dyDescent="0.35">
      <c r="A274" s="52" t="s">
        <v>206</v>
      </c>
      <c r="B274" s="52" t="s">
        <v>73</v>
      </c>
      <c r="C274" s="52" t="s">
        <v>71</v>
      </c>
      <c r="D274" s="52" t="s">
        <v>140</v>
      </c>
      <c r="E274" s="52" t="s">
        <v>584</v>
      </c>
      <c r="F274" s="52" t="s">
        <v>581</v>
      </c>
      <c r="G274" s="195" t="s">
        <v>275</v>
      </c>
      <c r="H274" s="195">
        <v>51.265540000000001</v>
      </c>
      <c r="I274" s="195">
        <v>19.49306</v>
      </c>
      <c r="J274" s="195">
        <v>12.306240000000001</v>
      </c>
      <c r="K274" s="195">
        <v>7.9884029999999999</v>
      </c>
      <c r="L274" s="195">
        <v>17.538260000000001</v>
      </c>
      <c r="M274" s="195">
        <v>12.7736</v>
      </c>
      <c r="N274" s="195">
        <v>10.57588</v>
      </c>
    </row>
    <row r="275" spans="1:14" hidden="1" x14ac:dyDescent="0.35">
      <c r="A275" s="52" t="s">
        <v>206</v>
      </c>
      <c r="B275" s="52" t="s">
        <v>73</v>
      </c>
      <c r="C275" s="52" t="s">
        <v>71</v>
      </c>
      <c r="D275" s="52" t="s">
        <v>140</v>
      </c>
      <c r="E275" s="52" t="s">
        <v>584</v>
      </c>
      <c r="F275" s="52" t="s">
        <v>581</v>
      </c>
      <c r="G275" s="195" t="s">
        <v>276</v>
      </c>
      <c r="H275" s="195">
        <v>132.95650000000001</v>
      </c>
      <c r="I275" s="195">
        <v>11.86206</v>
      </c>
      <c r="J275" s="195">
        <v>5.9588640000000002</v>
      </c>
      <c r="K275" s="195">
        <v>0.66853260000000003</v>
      </c>
      <c r="L275" s="195">
        <v>-1.510974</v>
      </c>
      <c r="M275" s="195">
        <v>-3.2073969999999998</v>
      </c>
      <c r="N275" s="195">
        <v>-4.3163029999999996</v>
      </c>
    </row>
    <row r="276" spans="1:14" hidden="1" x14ac:dyDescent="0.35">
      <c r="A276" s="52" t="s">
        <v>206</v>
      </c>
      <c r="B276" s="52" t="s">
        <v>73</v>
      </c>
      <c r="C276" s="52" t="s">
        <v>71</v>
      </c>
      <c r="D276" s="52" t="s">
        <v>140</v>
      </c>
      <c r="E276" s="52" t="s">
        <v>584</v>
      </c>
      <c r="F276" s="52" t="s">
        <v>581</v>
      </c>
      <c r="G276" s="195" t="s">
        <v>277</v>
      </c>
      <c r="H276" s="195">
        <v>22.62058</v>
      </c>
      <c r="I276" s="195">
        <v>21.885120000000001</v>
      </c>
      <c r="J276" s="195">
        <v>20.296589999999998</v>
      </c>
      <c r="K276" s="195">
        <v>17.84665</v>
      </c>
      <c r="L276" s="195"/>
      <c r="M276" s="195">
        <v>2.6344180000000001</v>
      </c>
      <c r="N276" s="195">
        <v>0</v>
      </c>
    </row>
    <row r="277" spans="1:14" hidden="1" x14ac:dyDescent="0.35">
      <c r="A277" s="52" t="s">
        <v>206</v>
      </c>
      <c r="B277" s="52" t="s">
        <v>73</v>
      </c>
      <c r="C277" s="52" t="s">
        <v>71</v>
      </c>
      <c r="D277" s="52" t="s">
        <v>140</v>
      </c>
      <c r="E277" s="52" t="s">
        <v>584</v>
      </c>
      <c r="F277" s="52" t="s">
        <v>581</v>
      </c>
      <c r="G277" s="195" t="s">
        <v>278</v>
      </c>
      <c r="H277" s="195">
        <v>1.3557E-2</v>
      </c>
      <c r="I277" s="195">
        <v>0</v>
      </c>
      <c r="J277" s="195"/>
      <c r="K277" s="195">
        <v>0</v>
      </c>
      <c r="L277" s="195"/>
      <c r="M277" s="195"/>
      <c r="N277" s="195"/>
    </row>
    <row r="278" spans="1:14" hidden="1" x14ac:dyDescent="0.35">
      <c r="A278" s="52" t="s">
        <v>206</v>
      </c>
      <c r="B278" s="52" t="s">
        <v>73</v>
      </c>
      <c r="C278" s="52" t="s">
        <v>71</v>
      </c>
      <c r="D278" s="52" t="s">
        <v>140</v>
      </c>
      <c r="E278" s="52" t="s">
        <v>584</v>
      </c>
      <c r="F278" s="52" t="s">
        <v>581</v>
      </c>
      <c r="G278" s="195" t="s">
        <v>279</v>
      </c>
      <c r="H278" s="195">
        <v>31.170839999999998</v>
      </c>
      <c r="I278" s="195">
        <v>29.063120000000001</v>
      </c>
      <c r="J278" s="195">
        <v>28.280819999999999</v>
      </c>
      <c r="K278" s="195">
        <v>32.988590000000002</v>
      </c>
      <c r="L278" s="195">
        <v>32.698590000000003</v>
      </c>
      <c r="M278" s="195">
        <v>32.477550000000001</v>
      </c>
      <c r="N278" s="195">
        <v>32.41236</v>
      </c>
    </row>
    <row r="279" spans="1:14" hidden="1" x14ac:dyDescent="0.35">
      <c r="A279" s="52" t="s">
        <v>206</v>
      </c>
      <c r="B279" s="52" t="s">
        <v>73</v>
      </c>
      <c r="C279" s="52" t="s">
        <v>71</v>
      </c>
      <c r="D279" s="52" t="s">
        <v>140</v>
      </c>
      <c r="E279" s="52" t="s">
        <v>584</v>
      </c>
      <c r="F279" s="52" t="s">
        <v>26</v>
      </c>
      <c r="G279" s="195" t="s">
        <v>275</v>
      </c>
      <c r="H279" s="195">
        <v>4.4536100000000003</v>
      </c>
      <c r="I279" s="195">
        <v>2.4285809999999999</v>
      </c>
      <c r="J279" s="195">
        <v>2.604975</v>
      </c>
      <c r="K279" s="195">
        <v>2.5154550000000002</v>
      </c>
      <c r="L279" s="195">
        <v>2.3239000000000001</v>
      </c>
      <c r="M279" s="195">
        <v>1.9996910000000001</v>
      </c>
      <c r="N279" s="195">
        <v>1.727136</v>
      </c>
    </row>
    <row r="280" spans="1:14" hidden="1" x14ac:dyDescent="0.35">
      <c r="A280" s="52" t="s">
        <v>206</v>
      </c>
      <c r="B280" s="52" t="s">
        <v>73</v>
      </c>
      <c r="C280" s="52" t="s">
        <v>71</v>
      </c>
      <c r="D280" s="52" t="s">
        <v>140</v>
      </c>
      <c r="E280" s="52" t="s">
        <v>584</v>
      </c>
      <c r="F280" s="52" t="s">
        <v>26</v>
      </c>
      <c r="G280" s="195" t="s">
        <v>276</v>
      </c>
      <c r="H280" s="195">
        <v>15.91517</v>
      </c>
      <c r="I280" s="195">
        <v>8.6755619999999993</v>
      </c>
      <c r="J280" s="195">
        <v>9.2303809999999995</v>
      </c>
      <c r="K280" s="195">
        <v>8.9788639999999997</v>
      </c>
      <c r="L280" s="195">
        <v>8.2902039999999992</v>
      </c>
      <c r="M280" s="195">
        <v>7.1239239999999997</v>
      </c>
      <c r="N280" s="195">
        <v>6.1230310000000001</v>
      </c>
    </row>
    <row r="281" spans="1:14" hidden="1" x14ac:dyDescent="0.35">
      <c r="A281" s="52" t="s">
        <v>206</v>
      </c>
      <c r="B281" s="52" t="s">
        <v>73</v>
      </c>
      <c r="C281" s="52" t="s">
        <v>71</v>
      </c>
      <c r="D281" s="52" t="s">
        <v>140</v>
      </c>
      <c r="E281" s="52" t="s">
        <v>584</v>
      </c>
      <c r="F281" s="52" t="s">
        <v>26</v>
      </c>
      <c r="G281" s="195" t="s">
        <v>277</v>
      </c>
      <c r="H281" s="195"/>
      <c r="I281" s="195"/>
      <c r="J281" s="195"/>
      <c r="K281" s="195">
        <v>0</v>
      </c>
      <c r="L281" s="195">
        <v>1.4499999999999999E-3</v>
      </c>
      <c r="M281" s="195">
        <v>1.4499999999999999E-3</v>
      </c>
      <c r="N281" s="195">
        <v>2.9000000000000001E-2</v>
      </c>
    </row>
    <row r="282" spans="1:14" hidden="1" x14ac:dyDescent="0.35">
      <c r="A282" s="52" t="s">
        <v>206</v>
      </c>
      <c r="B282" s="52" t="s">
        <v>73</v>
      </c>
      <c r="C282" s="52" t="s">
        <v>71</v>
      </c>
      <c r="D282" s="52" t="s">
        <v>140</v>
      </c>
      <c r="E282" s="52" t="s">
        <v>584</v>
      </c>
      <c r="F282" s="52" t="s">
        <v>26</v>
      </c>
      <c r="G282" s="195" t="s">
        <v>278</v>
      </c>
      <c r="H282" s="195"/>
      <c r="I282" s="195">
        <v>8.8561999999999998E-3</v>
      </c>
      <c r="J282" s="195">
        <v>7.8279600000000005E-2</v>
      </c>
      <c r="K282" s="195">
        <v>8.9841999999999995E-3</v>
      </c>
      <c r="L282" s="195">
        <v>8.0601990000000005E-3</v>
      </c>
      <c r="M282" s="195">
        <v>1.6558400000000001E-2</v>
      </c>
      <c r="N282" s="195">
        <v>1.6558400000000001E-2</v>
      </c>
    </row>
    <row r="283" spans="1:14" hidden="1" x14ac:dyDescent="0.35">
      <c r="A283" s="52" t="s">
        <v>206</v>
      </c>
      <c r="B283" s="52" t="s">
        <v>73</v>
      </c>
      <c r="C283" s="52" t="s">
        <v>71</v>
      </c>
      <c r="D283" s="52" t="s">
        <v>140</v>
      </c>
      <c r="E283" s="52" t="s">
        <v>584</v>
      </c>
      <c r="F283" s="52" t="s">
        <v>26</v>
      </c>
      <c r="G283" s="195" t="s">
        <v>279</v>
      </c>
      <c r="H283" s="195">
        <v>4.6547739999999997</v>
      </c>
      <c r="I283" s="195">
        <v>3.7369889999999999</v>
      </c>
      <c r="J283" s="195">
        <v>2.652177</v>
      </c>
      <c r="K283" s="195">
        <v>2.3796089999999999</v>
      </c>
      <c r="L283" s="195">
        <v>1.4655279999999999</v>
      </c>
      <c r="M283" s="195">
        <v>1.281307</v>
      </c>
      <c r="N283" s="195">
        <v>1.127265</v>
      </c>
    </row>
    <row r="284" spans="1:14" hidden="1" x14ac:dyDescent="0.35">
      <c r="A284" s="52" t="s">
        <v>206</v>
      </c>
      <c r="B284" s="52" t="s">
        <v>73</v>
      </c>
      <c r="C284" s="52" t="s">
        <v>71</v>
      </c>
      <c r="D284" s="52" t="s">
        <v>139</v>
      </c>
      <c r="E284" s="52" t="s">
        <v>584</v>
      </c>
      <c r="F284" s="52" t="s">
        <v>581</v>
      </c>
      <c r="G284" s="195" t="s">
        <v>275</v>
      </c>
      <c r="H284" s="195">
        <v>-9.0175219999999996</v>
      </c>
      <c r="I284" s="195">
        <v>1.7555940000000001</v>
      </c>
      <c r="J284" s="195">
        <v>1.7215290000000001</v>
      </c>
      <c r="K284" s="195">
        <v>1.727894</v>
      </c>
      <c r="L284" s="195">
        <v>-0.27162360000000002</v>
      </c>
      <c r="M284" s="195">
        <v>-2.3723019999999999</v>
      </c>
      <c r="N284" s="195">
        <v>0.25022179999999999</v>
      </c>
    </row>
    <row r="285" spans="1:14" hidden="1" x14ac:dyDescent="0.35">
      <c r="A285" s="52" t="s">
        <v>206</v>
      </c>
      <c r="B285" s="52" t="s">
        <v>73</v>
      </c>
      <c r="C285" s="52" t="s">
        <v>71</v>
      </c>
      <c r="D285" s="52" t="s">
        <v>139</v>
      </c>
      <c r="E285" s="52" t="s">
        <v>584</v>
      </c>
      <c r="F285" s="52" t="s">
        <v>581</v>
      </c>
      <c r="G285" s="195" t="s">
        <v>276</v>
      </c>
      <c r="H285" s="195">
        <v>-41.378140000000002</v>
      </c>
      <c r="I285" s="195">
        <v>-1.823207</v>
      </c>
      <c r="J285" s="195">
        <v>-0.88995329999999995</v>
      </c>
      <c r="K285" s="195">
        <v>-13.059990000000001</v>
      </c>
      <c r="L285" s="195">
        <v>-0.17780380000000001</v>
      </c>
      <c r="M285" s="195">
        <v>-0.70085200000000003</v>
      </c>
      <c r="N285" s="195">
        <v>1.751984</v>
      </c>
    </row>
    <row r="286" spans="1:14" hidden="1" x14ac:dyDescent="0.35">
      <c r="A286" s="52" t="s">
        <v>206</v>
      </c>
      <c r="B286" s="52" t="s">
        <v>73</v>
      </c>
      <c r="C286" s="52" t="s">
        <v>71</v>
      </c>
      <c r="D286" s="52" t="s">
        <v>139</v>
      </c>
      <c r="E286" s="52" t="s">
        <v>584</v>
      </c>
      <c r="F286" s="52" t="s">
        <v>581</v>
      </c>
      <c r="G286" s="195" t="s">
        <v>277</v>
      </c>
      <c r="H286" s="195"/>
      <c r="I286" s="195">
        <v>0</v>
      </c>
      <c r="J286" s="195">
        <v>0.04</v>
      </c>
      <c r="K286" s="195">
        <v>0.04</v>
      </c>
      <c r="L286" s="195">
        <v>0.32054080000000001</v>
      </c>
      <c r="M286" s="195">
        <v>2.8793869999999999</v>
      </c>
      <c r="N286" s="195">
        <v>1.2489669999999999</v>
      </c>
    </row>
    <row r="287" spans="1:14" hidden="1" x14ac:dyDescent="0.35">
      <c r="A287" s="52" t="s">
        <v>206</v>
      </c>
      <c r="B287" s="52" t="s">
        <v>73</v>
      </c>
      <c r="C287" s="52" t="s">
        <v>71</v>
      </c>
      <c r="D287" s="52" t="s">
        <v>139</v>
      </c>
      <c r="E287" s="52" t="s">
        <v>584</v>
      </c>
      <c r="F287" s="52" t="s">
        <v>581</v>
      </c>
      <c r="G287" s="195" t="s">
        <v>278</v>
      </c>
      <c r="H287" s="195">
        <v>50.395659999999999</v>
      </c>
      <c r="I287" s="195">
        <v>6.7613599999999996E-2</v>
      </c>
      <c r="J287" s="195">
        <v>0.53255520000000001</v>
      </c>
      <c r="K287" s="195">
        <v>12.69623</v>
      </c>
      <c r="L287" s="195">
        <v>6.1536800000000003E-2</v>
      </c>
      <c r="M287" s="195">
        <v>0.1264168</v>
      </c>
      <c r="N287" s="195">
        <v>0.12641720000000001</v>
      </c>
    </row>
    <row r="288" spans="1:14" hidden="1" x14ac:dyDescent="0.35">
      <c r="A288" s="52" t="s">
        <v>206</v>
      </c>
      <c r="B288" s="52" t="s">
        <v>73</v>
      </c>
      <c r="C288" s="52" t="s">
        <v>71</v>
      </c>
      <c r="D288" s="52" t="s">
        <v>139</v>
      </c>
      <c r="E288" s="52" t="s">
        <v>584</v>
      </c>
      <c r="F288" s="52" t="s">
        <v>581</v>
      </c>
      <c r="G288" s="195" t="s">
        <v>279</v>
      </c>
      <c r="H288" s="195"/>
      <c r="I288" s="195"/>
      <c r="J288" s="195"/>
      <c r="K288" s="195">
        <v>0</v>
      </c>
      <c r="L288" s="195">
        <v>6.7350599999999997E-2</v>
      </c>
      <c r="M288" s="195">
        <v>6.7350599999999997E-2</v>
      </c>
      <c r="N288" s="195">
        <v>0.75354679999999996</v>
      </c>
    </row>
    <row r="289" spans="1:14" hidden="1" x14ac:dyDescent="0.35">
      <c r="A289" s="52" t="s">
        <v>206</v>
      </c>
      <c r="B289" s="52" t="s">
        <v>73</v>
      </c>
      <c r="C289" s="52" t="s">
        <v>71</v>
      </c>
      <c r="D289" s="52" t="s">
        <v>139</v>
      </c>
      <c r="E289" s="52" t="s">
        <v>584</v>
      </c>
      <c r="F289" s="52" t="s">
        <v>26</v>
      </c>
      <c r="G289" s="195" t="s">
        <v>275</v>
      </c>
      <c r="H289" s="195">
        <v>1.379632</v>
      </c>
      <c r="I289" s="195">
        <v>1.660809</v>
      </c>
      <c r="J289" s="195">
        <v>1.5784180000000001</v>
      </c>
      <c r="K289" s="195">
        <v>-0.62803450000000005</v>
      </c>
      <c r="L289" s="195">
        <v>-10.98409</v>
      </c>
      <c r="M289" s="195">
        <v>-26.150729999999999</v>
      </c>
      <c r="N289" s="195">
        <v>-5.1376720000000002</v>
      </c>
    </row>
    <row r="290" spans="1:14" hidden="1" x14ac:dyDescent="0.35">
      <c r="A290" s="52" t="s">
        <v>206</v>
      </c>
      <c r="B290" s="52" t="s">
        <v>73</v>
      </c>
      <c r="C290" s="52" t="s">
        <v>71</v>
      </c>
      <c r="D290" s="52" t="s">
        <v>139</v>
      </c>
      <c r="E290" s="52" t="s">
        <v>584</v>
      </c>
      <c r="F290" s="52" t="s">
        <v>26</v>
      </c>
      <c r="G290" s="195" t="s">
        <v>276</v>
      </c>
      <c r="H290" s="195">
        <v>-1.387276</v>
      </c>
      <c r="I290" s="195">
        <v>-1.7358100000000001</v>
      </c>
      <c r="J290" s="195">
        <v>-1.735387</v>
      </c>
      <c r="K290" s="195">
        <v>-12.424950000000001</v>
      </c>
      <c r="L290" s="195">
        <v>-2.4225449999999999</v>
      </c>
      <c r="M290" s="195">
        <v>-7.8474130000000004</v>
      </c>
      <c r="N290" s="195">
        <v>-1.2102980000000001</v>
      </c>
    </row>
    <row r="291" spans="1:14" hidden="1" x14ac:dyDescent="0.35">
      <c r="A291" s="52" t="s">
        <v>206</v>
      </c>
      <c r="B291" s="52" t="s">
        <v>73</v>
      </c>
      <c r="C291" s="52" t="s">
        <v>71</v>
      </c>
      <c r="D291" s="52" t="s">
        <v>139</v>
      </c>
      <c r="E291" s="52" t="s">
        <v>584</v>
      </c>
      <c r="F291" s="52" t="s">
        <v>26</v>
      </c>
      <c r="G291" s="195" t="s">
        <v>277</v>
      </c>
      <c r="H291" s="195"/>
      <c r="I291" s="195">
        <v>0</v>
      </c>
      <c r="J291" s="195">
        <v>9.9999989999999997E-2</v>
      </c>
      <c r="K291" s="195">
        <v>1.1000000000000001</v>
      </c>
      <c r="L291" s="195">
        <v>13.26272</v>
      </c>
      <c r="M291" s="195">
        <v>33.806220000000003</v>
      </c>
      <c r="N291" s="195">
        <v>18.455880000000001</v>
      </c>
    </row>
    <row r="292" spans="1:14" hidden="1" x14ac:dyDescent="0.35">
      <c r="A292" s="52" t="s">
        <v>206</v>
      </c>
      <c r="B292" s="52" t="s">
        <v>73</v>
      </c>
      <c r="C292" s="52" t="s">
        <v>71</v>
      </c>
      <c r="D292" s="52" t="s">
        <v>139</v>
      </c>
      <c r="E292" s="52" t="s">
        <v>584</v>
      </c>
      <c r="F292" s="52" t="s">
        <v>26</v>
      </c>
      <c r="G292" s="195" t="s">
        <v>278</v>
      </c>
      <c r="H292" s="195">
        <v>7.6445990000000002E-3</v>
      </c>
      <c r="I292" s="195">
        <v>7.5000990000000003E-2</v>
      </c>
      <c r="J292" s="195">
        <v>6.0101399999999999E-2</v>
      </c>
      <c r="K292" s="195">
        <v>11.95453</v>
      </c>
      <c r="L292" s="195">
        <v>4.5534400000000003E-2</v>
      </c>
      <c r="M292" s="195">
        <v>9.3543200000000007E-2</v>
      </c>
      <c r="N292" s="195">
        <v>9.3543200000000007E-2</v>
      </c>
    </row>
    <row r="293" spans="1:14" hidden="1" x14ac:dyDescent="0.35">
      <c r="A293" s="52" t="s">
        <v>206</v>
      </c>
      <c r="B293" s="52" t="s">
        <v>73</v>
      </c>
      <c r="C293" s="52" t="s">
        <v>71</v>
      </c>
      <c r="D293" s="52" t="s">
        <v>139</v>
      </c>
      <c r="E293" s="52" t="s">
        <v>584</v>
      </c>
      <c r="F293" s="52" t="s">
        <v>26</v>
      </c>
      <c r="G293" s="195" t="s">
        <v>279</v>
      </c>
      <c r="H293" s="195"/>
      <c r="I293" s="195"/>
      <c r="J293" s="195"/>
      <c r="K293" s="195">
        <v>0</v>
      </c>
      <c r="L293" s="195">
        <v>9.8374199999999995E-2</v>
      </c>
      <c r="M293" s="195">
        <v>9.8374199999999995E-2</v>
      </c>
      <c r="N293" s="195">
        <v>2.8395609999999998</v>
      </c>
    </row>
    <row r="294" spans="1:14" hidden="1" x14ac:dyDescent="0.35">
      <c r="A294" s="52" t="s">
        <v>206</v>
      </c>
      <c r="B294" s="52" t="s">
        <v>73</v>
      </c>
      <c r="C294" s="52" t="s">
        <v>71</v>
      </c>
      <c r="D294" s="52" t="s">
        <v>335</v>
      </c>
      <c r="E294" s="52" t="s">
        <v>584</v>
      </c>
      <c r="F294" s="52" t="s">
        <v>581</v>
      </c>
      <c r="G294" s="195" t="s">
        <v>275</v>
      </c>
      <c r="H294" s="195">
        <v>-1.084784E-4</v>
      </c>
      <c r="I294" s="195">
        <v>9.4531279999999993E-6</v>
      </c>
      <c r="J294" s="195">
        <v>0</v>
      </c>
      <c r="K294" s="195">
        <v>0</v>
      </c>
      <c r="L294" s="195">
        <v>0</v>
      </c>
      <c r="M294" s="195">
        <v>0</v>
      </c>
      <c r="N294" s="195">
        <v>0</v>
      </c>
    </row>
    <row r="295" spans="1:14" hidden="1" x14ac:dyDescent="0.35">
      <c r="A295" s="52" t="s">
        <v>206</v>
      </c>
      <c r="B295" s="52" t="s">
        <v>73</v>
      </c>
      <c r="C295" s="52" t="s">
        <v>71</v>
      </c>
      <c r="D295" s="52" t="s">
        <v>335</v>
      </c>
      <c r="E295" s="52" t="s">
        <v>584</v>
      </c>
      <c r="F295" s="52" t="s">
        <v>581</v>
      </c>
      <c r="G295" s="195" t="s">
        <v>276</v>
      </c>
      <c r="H295" s="195">
        <v>-2.173908E-3</v>
      </c>
      <c r="I295" s="195">
        <v>-1.500438E-3</v>
      </c>
      <c r="J295" s="195">
        <v>-1.791134E-3</v>
      </c>
      <c r="K295" s="195">
        <v>-5.9052170000000001E-2</v>
      </c>
      <c r="L295" s="195">
        <v>-1.356962E-3</v>
      </c>
      <c r="M295" s="195">
        <v>-2.787664E-3</v>
      </c>
      <c r="N295" s="195">
        <v>-2.7876889999999999E-3</v>
      </c>
    </row>
    <row r="296" spans="1:14" hidden="1" x14ac:dyDescent="0.35">
      <c r="A296" s="52" t="s">
        <v>206</v>
      </c>
      <c r="B296" s="52" t="s">
        <v>73</v>
      </c>
      <c r="C296" s="52" t="s">
        <v>71</v>
      </c>
      <c r="D296" s="52" t="s">
        <v>335</v>
      </c>
      <c r="E296" s="52" t="s">
        <v>584</v>
      </c>
      <c r="F296" s="52" t="s">
        <v>581</v>
      </c>
      <c r="G296" s="195" t="s">
        <v>277</v>
      </c>
      <c r="H296" s="195"/>
      <c r="I296" s="195"/>
      <c r="J296" s="195"/>
      <c r="K296" s="195"/>
      <c r="L296" s="195"/>
      <c r="M296" s="195"/>
      <c r="N296" s="195">
        <v>0</v>
      </c>
    </row>
    <row r="297" spans="1:14" hidden="1" x14ac:dyDescent="0.35">
      <c r="A297" s="52" t="s">
        <v>206</v>
      </c>
      <c r="B297" s="52" t="s">
        <v>73</v>
      </c>
      <c r="C297" s="52" t="s">
        <v>71</v>
      </c>
      <c r="D297" s="52" t="s">
        <v>335</v>
      </c>
      <c r="E297" s="52" t="s">
        <v>584</v>
      </c>
      <c r="F297" s="52" t="s">
        <v>581</v>
      </c>
      <c r="G297" s="195" t="s">
        <v>278</v>
      </c>
      <c r="H297" s="195">
        <v>2.282386E-3</v>
      </c>
      <c r="I297" s="195">
        <v>1.4909840000000001E-3</v>
      </c>
      <c r="J297" s="195">
        <v>1.791082E-3</v>
      </c>
      <c r="K297" s="195">
        <v>5.9052149999999998E-2</v>
      </c>
      <c r="L297" s="195">
        <v>1.3569879999999999E-3</v>
      </c>
      <c r="M297" s="195">
        <v>2.7876889999999999E-3</v>
      </c>
      <c r="N297" s="195">
        <v>2.7876889999999999E-3</v>
      </c>
    </row>
    <row r="298" spans="1:14" hidden="1" x14ac:dyDescent="0.35">
      <c r="A298" s="52" t="s">
        <v>206</v>
      </c>
      <c r="B298" s="52" t="s">
        <v>73</v>
      </c>
      <c r="C298" s="52" t="s">
        <v>71</v>
      </c>
      <c r="D298" s="52" t="s">
        <v>335</v>
      </c>
      <c r="E298" s="52" t="s">
        <v>584</v>
      </c>
      <c r="F298" s="52" t="s">
        <v>26</v>
      </c>
      <c r="G298" s="195" t="s">
        <v>275</v>
      </c>
      <c r="H298" s="195">
        <v>-1.032095E-4</v>
      </c>
      <c r="I298" s="195">
        <v>9.0398829999999998E-6</v>
      </c>
      <c r="J298" s="195">
        <v>8.5052250000000002E-5</v>
      </c>
      <c r="K298" s="195">
        <v>1.0543079999999999E-5</v>
      </c>
      <c r="L298" s="195">
        <v>-6.2111659999999994E-5</v>
      </c>
      <c r="M298" s="195">
        <v>-2.2267620000000002E-3</v>
      </c>
      <c r="N298" s="195">
        <v>-1.8157850000000001E-3</v>
      </c>
    </row>
    <row r="299" spans="1:14" hidden="1" x14ac:dyDescent="0.35">
      <c r="A299" s="52" t="s">
        <v>206</v>
      </c>
      <c r="B299" s="52" t="s">
        <v>73</v>
      </c>
      <c r="C299" s="52" t="s">
        <v>71</v>
      </c>
      <c r="D299" s="52" t="s">
        <v>335</v>
      </c>
      <c r="E299" s="52" t="s">
        <v>584</v>
      </c>
      <c r="F299" s="52" t="s">
        <v>26</v>
      </c>
      <c r="G299" s="195" t="s">
        <v>276</v>
      </c>
      <c r="H299" s="195">
        <v>-2.0686839999999999E-3</v>
      </c>
      <c r="I299" s="195">
        <v>-1.4278089999999999E-3</v>
      </c>
      <c r="J299" s="195">
        <v>-4.7314679999999997E-4</v>
      </c>
      <c r="K299" s="195">
        <v>-4.706105E-4</v>
      </c>
      <c r="L299" s="195">
        <v>-4.6843569999999998E-4</v>
      </c>
      <c r="M299" s="195">
        <v>-8.8660460000000003E-4</v>
      </c>
      <c r="N299" s="195">
        <v>-1.2975829999999999E-3</v>
      </c>
    </row>
    <row r="300" spans="1:14" hidden="1" x14ac:dyDescent="0.35">
      <c r="A300" s="52" t="s">
        <v>206</v>
      </c>
      <c r="B300" s="52" t="s">
        <v>73</v>
      </c>
      <c r="C300" s="52" t="s">
        <v>71</v>
      </c>
      <c r="D300" s="52" t="s">
        <v>335</v>
      </c>
      <c r="E300" s="52" t="s">
        <v>584</v>
      </c>
      <c r="F300" s="52" t="s">
        <v>26</v>
      </c>
      <c r="G300" s="195" t="s">
        <v>277</v>
      </c>
      <c r="H300" s="195"/>
      <c r="I300" s="195"/>
      <c r="J300" s="195"/>
      <c r="K300" s="195"/>
      <c r="L300" s="195">
        <v>0</v>
      </c>
      <c r="M300" s="195">
        <v>2.58282E-3</v>
      </c>
      <c r="N300" s="195">
        <v>2.58282E-3</v>
      </c>
    </row>
    <row r="301" spans="1:14" hidden="1" x14ac:dyDescent="0.35">
      <c r="A301" s="52" t="s">
        <v>206</v>
      </c>
      <c r="B301" s="52" t="s">
        <v>73</v>
      </c>
      <c r="C301" s="52" t="s">
        <v>71</v>
      </c>
      <c r="D301" s="52" t="s">
        <v>335</v>
      </c>
      <c r="E301" s="52" t="s">
        <v>584</v>
      </c>
      <c r="F301" s="52" t="s">
        <v>26</v>
      </c>
      <c r="G301" s="195" t="s">
        <v>278</v>
      </c>
      <c r="H301" s="195">
        <v>2.1718929999999998E-3</v>
      </c>
      <c r="I301" s="195">
        <v>1.4188200000000001E-3</v>
      </c>
      <c r="J301" s="195">
        <v>5.3054739999999995E-4</v>
      </c>
      <c r="K301" s="195">
        <v>5.3054739999999995E-4</v>
      </c>
      <c r="L301" s="195">
        <v>5.3054739999999995E-4</v>
      </c>
      <c r="M301" s="195">
        <v>5.3054739999999995E-4</v>
      </c>
      <c r="N301" s="195">
        <v>5.3054739999999995E-4</v>
      </c>
    </row>
    <row r="302" spans="1:14" hidden="1" x14ac:dyDescent="0.35">
      <c r="A302" s="52" t="s">
        <v>206</v>
      </c>
      <c r="B302" s="52" t="s">
        <v>73</v>
      </c>
      <c r="C302" s="52" t="s">
        <v>71</v>
      </c>
      <c r="D302" s="52" t="s">
        <v>336</v>
      </c>
      <c r="E302" s="52" t="s">
        <v>584</v>
      </c>
      <c r="F302" s="52" t="s">
        <v>581</v>
      </c>
      <c r="G302" s="195" t="s">
        <v>275</v>
      </c>
      <c r="H302" s="195">
        <v>-4.1599999999999996E-3</v>
      </c>
      <c r="I302" s="195">
        <v>-1.145E-3</v>
      </c>
      <c r="J302" s="195">
        <v>0</v>
      </c>
      <c r="K302" s="195">
        <v>0</v>
      </c>
      <c r="L302" s="195">
        <v>0</v>
      </c>
      <c r="M302" s="195">
        <v>0</v>
      </c>
      <c r="N302" s="195">
        <v>0</v>
      </c>
    </row>
    <row r="303" spans="1:14" hidden="1" x14ac:dyDescent="0.35">
      <c r="A303" s="52" t="s">
        <v>206</v>
      </c>
      <c r="B303" s="52" t="s">
        <v>73</v>
      </c>
      <c r="C303" s="52" t="s">
        <v>71</v>
      </c>
      <c r="D303" s="52" t="s">
        <v>336</v>
      </c>
      <c r="E303" s="52" t="s">
        <v>584</v>
      </c>
      <c r="F303" s="52" t="s">
        <v>581</v>
      </c>
      <c r="G303" s="195" t="s">
        <v>276</v>
      </c>
      <c r="H303" s="195">
        <v>-3.2326000000000001E-2</v>
      </c>
      <c r="I303" s="195">
        <v>-1.6367199999999998E-2</v>
      </c>
      <c r="J303" s="195">
        <v>-1.272724</v>
      </c>
      <c r="K303" s="195">
        <v>-1.7765199999999998E-2</v>
      </c>
      <c r="L303" s="195">
        <v>-2.1738400000000001E-2</v>
      </c>
      <c r="M303" s="195">
        <v>-3.8542399999999997E-2</v>
      </c>
      <c r="N303" s="195">
        <v>-0.1487424</v>
      </c>
    </row>
    <row r="304" spans="1:14" hidden="1" x14ac:dyDescent="0.35">
      <c r="A304" s="52" t="s">
        <v>206</v>
      </c>
      <c r="B304" s="52" t="s">
        <v>73</v>
      </c>
      <c r="C304" s="52" t="s">
        <v>71</v>
      </c>
      <c r="D304" s="52" t="s">
        <v>336</v>
      </c>
      <c r="E304" s="52" t="s">
        <v>584</v>
      </c>
      <c r="F304" s="52" t="s">
        <v>581</v>
      </c>
      <c r="G304" s="195" t="s">
        <v>277</v>
      </c>
      <c r="H304" s="195"/>
      <c r="I304" s="195"/>
      <c r="J304" s="195"/>
      <c r="K304" s="195">
        <v>0</v>
      </c>
      <c r="L304" s="195">
        <v>5.7999999999999996E-3</v>
      </c>
      <c r="M304" s="195">
        <v>5.7999999999999996E-3</v>
      </c>
      <c r="N304" s="195">
        <v>0.11600000000000001</v>
      </c>
    </row>
    <row r="305" spans="1:14" hidden="1" x14ac:dyDescent="0.35">
      <c r="A305" s="52" t="s">
        <v>206</v>
      </c>
      <c r="B305" s="52" t="s">
        <v>73</v>
      </c>
      <c r="C305" s="52" t="s">
        <v>71</v>
      </c>
      <c r="D305" s="52" t="s">
        <v>336</v>
      </c>
      <c r="E305" s="52" t="s">
        <v>584</v>
      </c>
      <c r="F305" s="52" t="s">
        <v>581</v>
      </c>
      <c r="G305" s="195" t="s">
        <v>278</v>
      </c>
      <c r="H305" s="195">
        <v>3.6485999999999998E-2</v>
      </c>
      <c r="I305" s="195">
        <v>1.7512199999999999E-2</v>
      </c>
      <c r="J305" s="195">
        <v>1.2727250000000001</v>
      </c>
      <c r="K305" s="195">
        <v>1.7765400000000001E-2</v>
      </c>
      <c r="L305" s="195">
        <v>1.5938399999999998E-2</v>
      </c>
      <c r="M305" s="195">
        <v>3.2742599999999997E-2</v>
      </c>
      <c r="N305" s="195">
        <v>3.2742599999999997E-2</v>
      </c>
    </row>
    <row r="306" spans="1:14" hidden="1" x14ac:dyDescent="0.35">
      <c r="A306" s="52" t="s">
        <v>206</v>
      </c>
      <c r="B306" s="52" t="s">
        <v>73</v>
      </c>
      <c r="C306" s="52" t="s">
        <v>71</v>
      </c>
      <c r="D306" s="52" t="s">
        <v>336</v>
      </c>
      <c r="E306" s="52" t="s">
        <v>584</v>
      </c>
      <c r="F306" s="52" t="s">
        <v>581</v>
      </c>
      <c r="G306" s="195" t="s">
        <v>279</v>
      </c>
      <c r="H306" s="195"/>
      <c r="I306" s="195"/>
      <c r="J306" s="195"/>
      <c r="K306" s="195"/>
      <c r="L306" s="195"/>
      <c r="M306" s="195"/>
      <c r="N306" s="195">
        <v>0</v>
      </c>
    </row>
    <row r="307" spans="1:14" hidden="1" x14ac:dyDescent="0.35">
      <c r="A307" s="52" t="s">
        <v>206</v>
      </c>
      <c r="B307" s="52" t="s">
        <v>73</v>
      </c>
      <c r="C307" s="52" t="s">
        <v>71</v>
      </c>
      <c r="D307" s="52" t="s">
        <v>336</v>
      </c>
      <c r="E307" s="52" t="s">
        <v>584</v>
      </c>
      <c r="F307" s="52" t="s">
        <v>26</v>
      </c>
      <c r="G307" s="195" t="s">
        <v>275</v>
      </c>
      <c r="H307" s="195">
        <v>0</v>
      </c>
      <c r="I307" s="195">
        <v>3.999996E-5</v>
      </c>
      <c r="J307" s="195">
        <v>0</v>
      </c>
      <c r="K307" s="195">
        <v>0</v>
      </c>
      <c r="L307" s="195">
        <v>0</v>
      </c>
      <c r="M307" s="195">
        <v>0</v>
      </c>
      <c r="N307" s="195">
        <v>0</v>
      </c>
    </row>
    <row r="308" spans="1:14" hidden="1" x14ac:dyDescent="0.35">
      <c r="A308" s="52" t="s">
        <v>206</v>
      </c>
      <c r="B308" s="52" t="s">
        <v>73</v>
      </c>
      <c r="C308" s="52" t="s">
        <v>71</v>
      </c>
      <c r="D308" s="52" t="s">
        <v>336</v>
      </c>
      <c r="E308" s="52" t="s">
        <v>584</v>
      </c>
      <c r="F308" s="52" t="s">
        <v>26</v>
      </c>
      <c r="G308" s="195" t="s">
        <v>276</v>
      </c>
      <c r="H308" s="195"/>
      <c r="I308" s="195">
        <v>-6.3628000000000001E-3</v>
      </c>
      <c r="J308" s="195">
        <v>-1.27396E-2</v>
      </c>
      <c r="K308" s="195">
        <v>-6.4140000000000004E-3</v>
      </c>
      <c r="L308" s="195">
        <v>-7.2043999999999997E-3</v>
      </c>
      <c r="M308" s="195">
        <v>-1.32712E-2</v>
      </c>
      <c r="N308" s="195">
        <v>-4.082119E-2</v>
      </c>
    </row>
    <row r="309" spans="1:14" hidden="1" x14ac:dyDescent="0.35">
      <c r="A309" s="52" t="s">
        <v>206</v>
      </c>
      <c r="B309" s="52" t="s">
        <v>73</v>
      </c>
      <c r="C309" s="52" t="s">
        <v>71</v>
      </c>
      <c r="D309" s="52" t="s">
        <v>336</v>
      </c>
      <c r="E309" s="52" t="s">
        <v>584</v>
      </c>
      <c r="F309" s="52" t="s">
        <v>26</v>
      </c>
      <c r="G309" s="195" t="s">
        <v>277</v>
      </c>
      <c r="H309" s="195"/>
      <c r="I309" s="195"/>
      <c r="J309" s="195"/>
      <c r="K309" s="195">
        <v>0</v>
      </c>
      <c r="L309" s="195">
        <v>1.4499999999999999E-3</v>
      </c>
      <c r="M309" s="195">
        <v>1.4499999999999999E-3</v>
      </c>
      <c r="N309" s="195">
        <v>2.9000000000000001E-2</v>
      </c>
    </row>
    <row r="310" spans="1:14" hidden="1" x14ac:dyDescent="0.35">
      <c r="A310" s="52" t="s">
        <v>206</v>
      </c>
      <c r="B310" s="52" t="s">
        <v>73</v>
      </c>
      <c r="C310" s="52" t="s">
        <v>71</v>
      </c>
      <c r="D310" s="52" t="s">
        <v>336</v>
      </c>
      <c r="E310" s="52" t="s">
        <v>584</v>
      </c>
      <c r="F310" s="52" t="s">
        <v>26</v>
      </c>
      <c r="G310" s="195" t="s">
        <v>278</v>
      </c>
      <c r="H310" s="195"/>
      <c r="I310" s="195">
        <v>6.3226000000000003E-3</v>
      </c>
      <c r="J310" s="195">
        <v>1.27396E-2</v>
      </c>
      <c r="K310" s="195">
        <v>6.4140000000000004E-3</v>
      </c>
      <c r="L310" s="195">
        <v>5.7543999999999998E-3</v>
      </c>
      <c r="M310" s="195">
        <v>1.18212E-2</v>
      </c>
      <c r="N310" s="195">
        <v>1.18212E-2</v>
      </c>
    </row>
    <row r="311" spans="1:14" hidden="1" x14ac:dyDescent="0.35">
      <c r="A311" s="52" t="s">
        <v>206</v>
      </c>
      <c r="B311" s="52" t="s">
        <v>73</v>
      </c>
      <c r="C311" s="52" t="s">
        <v>71</v>
      </c>
      <c r="D311" s="52" t="s">
        <v>336</v>
      </c>
      <c r="E311" s="52" t="s">
        <v>584</v>
      </c>
      <c r="F311" s="52" t="s">
        <v>26</v>
      </c>
      <c r="G311" s="195" t="s">
        <v>279</v>
      </c>
      <c r="H311" s="195"/>
      <c r="I311" s="195"/>
      <c r="J311" s="195"/>
      <c r="K311" s="195"/>
      <c r="L311" s="195"/>
      <c r="M311" s="195"/>
      <c r="N311" s="195">
        <v>0</v>
      </c>
    </row>
    <row r="312" spans="1:14" hidden="1" x14ac:dyDescent="0.35">
      <c r="A312" s="52" t="s">
        <v>206</v>
      </c>
      <c r="B312" s="52" t="s">
        <v>73</v>
      </c>
      <c r="C312" s="52" t="s">
        <v>71</v>
      </c>
      <c r="D312" s="52" t="s">
        <v>143</v>
      </c>
      <c r="E312" s="52" t="s">
        <v>584</v>
      </c>
      <c r="F312" s="52" t="s">
        <v>581</v>
      </c>
      <c r="G312" s="195" t="s">
        <v>275</v>
      </c>
      <c r="H312" s="195">
        <v>-2.1668799999999998E-2</v>
      </c>
      <c r="I312" s="195">
        <v>-6.7854900000000002</v>
      </c>
      <c r="J312" s="195">
        <v>0</v>
      </c>
      <c r="K312" s="195">
        <v>0</v>
      </c>
      <c r="L312" s="195">
        <v>0</v>
      </c>
      <c r="M312" s="195">
        <v>0</v>
      </c>
      <c r="N312" s="195">
        <v>0</v>
      </c>
    </row>
    <row r="313" spans="1:14" hidden="1" x14ac:dyDescent="0.35">
      <c r="A313" s="52" t="s">
        <v>206</v>
      </c>
      <c r="B313" s="52" t="s">
        <v>73</v>
      </c>
      <c r="C313" s="52" t="s">
        <v>71</v>
      </c>
      <c r="D313" s="52" t="s">
        <v>143</v>
      </c>
      <c r="E313" s="52" t="s">
        <v>584</v>
      </c>
      <c r="F313" s="52" t="s">
        <v>581</v>
      </c>
      <c r="G313" s="195" t="s">
        <v>276</v>
      </c>
      <c r="H313" s="195">
        <v>-0.1123108</v>
      </c>
      <c r="I313" s="195">
        <v>-28.80387</v>
      </c>
      <c r="J313" s="195">
        <v>-2.608514</v>
      </c>
      <c r="K313" s="195">
        <v>-8.8788019999999995E-2</v>
      </c>
      <c r="L313" s="195">
        <v>-9.1257240000000003E-2</v>
      </c>
      <c r="M313" s="195">
        <v>-0.1752416</v>
      </c>
      <c r="N313" s="195">
        <v>-0.45364159999999998</v>
      </c>
    </row>
    <row r="314" spans="1:14" hidden="1" x14ac:dyDescent="0.35">
      <c r="A314" s="52" t="s">
        <v>206</v>
      </c>
      <c r="B314" s="52" t="s">
        <v>73</v>
      </c>
      <c r="C314" s="52" t="s">
        <v>71</v>
      </c>
      <c r="D314" s="52" t="s">
        <v>143</v>
      </c>
      <c r="E314" s="52" t="s">
        <v>584</v>
      </c>
      <c r="F314" s="52" t="s">
        <v>581</v>
      </c>
      <c r="G314" s="195" t="s">
        <v>277</v>
      </c>
      <c r="H314" s="195"/>
      <c r="I314" s="195"/>
      <c r="J314" s="195"/>
      <c r="K314" s="195">
        <v>0</v>
      </c>
      <c r="L314" s="195">
        <v>1.1599999999999999E-2</v>
      </c>
      <c r="M314" s="195">
        <v>1.1599999999999999E-2</v>
      </c>
      <c r="N314" s="195">
        <v>0.28999999999999998</v>
      </c>
    </row>
    <row r="315" spans="1:14" hidden="1" x14ac:dyDescent="0.35">
      <c r="A315" s="52" t="s">
        <v>206</v>
      </c>
      <c r="B315" s="52" t="s">
        <v>73</v>
      </c>
      <c r="C315" s="52" t="s">
        <v>71</v>
      </c>
      <c r="D315" s="52" t="s">
        <v>143</v>
      </c>
      <c r="E315" s="52" t="s">
        <v>584</v>
      </c>
      <c r="F315" s="52" t="s">
        <v>581</v>
      </c>
      <c r="G315" s="195" t="s">
        <v>278</v>
      </c>
      <c r="H315" s="195">
        <v>0.13397919999999999</v>
      </c>
      <c r="I315" s="195">
        <v>35.589359999999999</v>
      </c>
      <c r="J315" s="195">
        <v>2.608514</v>
      </c>
      <c r="K315" s="195">
        <v>8.8788409999999998E-2</v>
      </c>
      <c r="L315" s="195">
        <v>7.9656790000000005E-2</v>
      </c>
      <c r="M315" s="195">
        <v>0.1636416</v>
      </c>
      <c r="N315" s="195">
        <v>0.1636416</v>
      </c>
    </row>
    <row r="316" spans="1:14" hidden="1" x14ac:dyDescent="0.35">
      <c r="A316" s="52" t="s">
        <v>206</v>
      </c>
      <c r="B316" s="52" t="s">
        <v>73</v>
      </c>
      <c r="C316" s="52" t="s">
        <v>71</v>
      </c>
      <c r="D316" s="52" t="s">
        <v>143</v>
      </c>
      <c r="E316" s="52" t="s">
        <v>584</v>
      </c>
      <c r="F316" s="52" t="s">
        <v>581</v>
      </c>
      <c r="G316" s="195" t="s">
        <v>279</v>
      </c>
      <c r="H316" s="195"/>
      <c r="I316" s="195"/>
      <c r="J316" s="195"/>
      <c r="K316" s="195"/>
      <c r="L316" s="195"/>
      <c r="M316" s="195"/>
      <c r="N316" s="195">
        <v>0</v>
      </c>
    </row>
    <row r="317" spans="1:14" hidden="1" x14ac:dyDescent="0.35">
      <c r="A317" s="52" t="s">
        <v>206</v>
      </c>
      <c r="B317" s="52" t="s">
        <v>73</v>
      </c>
      <c r="C317" s="52" t="s">
        <v>71</v>
      </c>
      <c r="D317" s="52" t="s">
        <v>143</v>
      </c>
      <c r="E317" s="52" t="s">
        <v>584</v>
      </c>
      <c r="F317" s="52" t="s">
        <v>26</v>
      </c>
      <c r="G317" s="195" t="s">
        <v>275</v>
      </c>
      <c r="H317" s="195"/>
      <c r="I317" s="195"/>
      <c r="J317" s="195"/>
      <c r="K317" s="195"/>
      <c r="L317" s="195"/>
      <c r="M317" s="195"/>
      <c r="N317" s="195">
        <v>0</v>
      </c>
    </row>
    <row r="318" spans="1:14" hidden="1" x14ac:dyDescent="0.35">
      <c r="A318" s="52" t="s">
        <v>206</v>
      </c>
      <c r="B318" s="52" t="s">
        <v>73</v>
      </c>
      <c r="C318" s="52" t="s">
        <v>71</v>
      </c>
      <c r="D318" s="52" t="s">
        <v>143</v>
      </c>
      <c r="E318" s="52" t="s">
        <v>584</v>
      </c>
      <c r="F318" s="52" t="s">
        <v>26</v>
      </c>
      <c r="G318" s="195" t="s">
        <v>276</v>
      </c>
      <c r="H318" s="195"/>
      <c r="I318" s="195"/>
      <c r="J318" s="195"/>
      <c r="K318" s="195"/>
      <c r="L318" s="195"/>
      <c r="M318" s="195"/>
      <c r="N318" s="195">
        <v>0</v>
      </c>
    </row>
    <row r="319" spans="1:14" hidden="1" x14ac:dyDescent="0.35">
      <c r="A319" s="52" t="s">
        <v>206</v>
      </c>
      <c r="B319" s="52" t="s">
        <v>73</v>
      </c>
      <c r="C319" s="52" t="s">
        <v>71</v>
      </c>
      <c r="D319" s="52" t="s">
        <v>143</v>
      </c>
      <c r="E319" s="52" t="s">
        <v>584</v>
      </c>
      <c r="F319" s="52" t="s">
        <v>26</v>
      </c>
      <c r="G319" s="195" t="s">
        <v>279</v>
      </c>
      <c r="H319" s="195"/>
      <c r="I319" s="195"/>
      <c r="J319" s="195"/>
      <c r="K319" s="195"/>
      <c r="L319" s="195"/>
      <c r="M319" s="195"/>
      <c r="N319" s="195">
        <v>0</v>
      </c>
    </row>
    <row r="320" spans="1:14" hidden="1" x14ac:dyDescent="0.35">
      <c r="A320" s="52" t="s">
        <v>206</v>
      </c>
      <c r="B320" s="52" t="s">
        <v>73</v>
      </c>
      <c r="C320" s="52" t="s">
        <v>97</v>
      </c>
      <c r="D320" s="52" t="s">
        <v>170</v>
      </c>
      <c r="E320" s="52" t="s">
        <v>584</v>
      </c>
      <c r="F320" s="52" t="s">
        <v>581</v>
      </c>
      <c r="G320" s="195" t="s">
        <v>275</v>
      </c>
      <c r="H320" s="195">
        <v>1.016856</v>
      </c>
      <c r="I320" s="195">
        <v>0.37448670000000001</v>
      </c>
      <c r="J320" s="195">
        <v>0.3676702</v>
      </c>
      <c r="K320" s="195">
        <v>0.4152421</v>
      </c>
      <c r="L320" s="195">
        <v>0.42993589999999998</v>
      </c>
      <c r="M320" s="195">
        <v>0.43822630000000001</v>
      </c>
      <c r="N320" s="195">
        <v>0.43846550000000001</v>
      </c>
    </row>
    <row r="321" spans="1:14" hidden="1" x14ac:dyDescent="0.35">
      <c r="A321" s="52" t="s">
        <v>206</v>
      </c>
      <c r="B321" s="52" t="s">
        <v>73</v>
      </c>
      <c r="C321" s="52" t="s">
        <v>97</v>
      </c>
      <c r="D321" s="52" t="s">
        <v>170</v>
      </c>
      <c r="E321" s="52" t="s">
        <v>584</v>
      </c>
      <c r="F321" s="52" t="s">
        <v>581</v>
      </c>
      <c r="G321" s="195" t="s">
        <v>276</v>
      </c>
      <c r="H321" s="195">
        <v>3.8006500000000001</v>
      </c>
      <c r="I321" s="195">
        <v>1.451616</v>
      </c>
      <c r="J321" s="195">
        <v>1.2811300000000001</v>
      </c>
      <c r="K321" s="195">
        <v>1.358698</v>
      </c>
      <c r="L321" s="195">
        <v>1.4198949999999999</v>
      </c>
      <c r="M321" s="195">
        <v>1.4699089999999999</v>
      </c>
      <c r="N321" s="195">
        <v>1.5131490000000001</v>
      </c>
    </row>
    <row r="322" spans="1:14" hidden="1" x14ac:dyDescent="0.35">
      <c r="A322" s="52" t="s">
        <v>206</v>
      </c>
      <c r="B322" s="52" t="s">
        <v>73</v>
      </c>
      <c r="C322" s="52" t="s">
        <v>97</v>
      </c>
      <c r="D322" s="52" t="s">
        <v>170</v>
      </c>
      <c r="E322" s="52" t="s">
        <v>584</v>
      </c>
      <c r="F322" s="52" t="s">
        <v>581</v>
      </c>
      <c r="G322" s="195" t="s">
        <v>277</v>
      </c>
      <c r="H322" s="195">
        <v>6.5474939999999995E-2</v>
      </c>
      <c r="I322" s="195">
        <v>6.2189010000000003E-2</v>
      </c>
      <c r="J322" s="195">
        <v>2.6652450000000001E-2</v>
      </c>
      <c r="K322" s="195">
        <v>0</v>
      </c>
      <c r="L322" s="195"/>
      <c r="M322" s="195"/>
      <c r="N322" s="195"/>
    </row>
    <row r="323" spans="1:14" hidden="1" x14ac:dyDescent="0.35">
      <c r="A323" s="52" t="s">
        <v>206</v>
      </c>
      <c r="B323" s="52" t="s">
        <v>73</v>
      </c>
      <c r="C323" s="52" t="s">
        <v>97</v>
      </c>
      <c r="D323" s="52" t="s">
        <v>170</v>
      </c>
      <c r="E323" s="52" t="s">
        <v>584</v>
      </c>
      <c r="F323" s="52" t="s">
        <v>581</v>
      </c>
      <c r="G323" s="195" t="s">
        <v>279</v>
      </c>
      <c r="H323" s="195">
        <v>0.20243949999999999</v>
      </c>
      <c r="I323" s="195">
        <v>0.20949180000000001</v>
      </c>
      <c r="J323" s="195">
        <v>0.21645220000000001</v>
      </c>
      <c r="K323" s="195">
        <v>0.25202809999999998</v>
      </c>
      <c r="L323" s="195">
        <v>0.26505099999999998</v>
      </c>
      <c r="M323" s="195">
        <v>0.2708335</v>
      </c>
      <c r="N323" s="195">
        <v>0.27052290000000001</v>
      </c>
    </row>
    <row r="324" spans="1:14" hidden="1" x14ac:dyDescent="0.35">
      <c r="A324" s="52" t="s">
        <v>206</v>
      </c>
      <c r="B324" s="52" t="s">
        <v>73</v>
      </c>
      <c r="C324" s="52" t="s">
        <v>97</v>
      </c>
      <c r="D324" s="52" t="s">
        <v>170</v>
      </c>
      <c r="E324" s="52" t="s">
        <v>584</v>
      </c>
      <c r="F324" s="52" t="s">
        <v>26</v>
      </c>
      <c r="G324" s="195" t="s">
        <v>275</v>
      </c>
      <c r="H324" s="195">
        <v>12.10708</v>
      </c>
      <c r="I324" s="195">
        <v>9.5403880000000001</v>
      </c>
      <c r="J324" s="195">
        <v>14.292400000000001</v>
      </c>
      <c r="K324" s="195">
        <v>16.574480000000001</v>
      </c>
      <c r="L324" s="195">
        <v>17.111719999999998</v>
      </c>
      <c r="M324" s="195">
        <v>19.22437</v>
      </c>
      <c r="N324" s="195">
        <v>18.403459999999999</v>
      </c>
    </row>
    <row r="325" spans="1:14" hidden="1" x14ac:dyDescent="0.35">
      <c r="A325" s="52" t="s">
        <v>206</v>
      </c>
      <c r="B325" s="52" t="s">
        <v>73</v>
      </c>
      <c r="C325" s="52" t="s">
        <v>97</v>
      </c>
      <c r="D325" s="52" t="s">
        <v>170</v>
      </c>
      <c r="E325" s="52" t="s">
        <v>584</v>
      </c>
      <c r="F325" s="52" t="s">
        <v>26</v>
      </c>
      <c r="G325" s="195" t="s">
        <v>276</v>
      </c>
      <c r="H325" s="195">
        <v>64.860150000000004</v>
      </c>
      <c r="I325" s="195">
        <v>43.454329999999999</v>
      </c>
      <c r="J325" s="195">
        <v>48.137790000000003</v>
      </c>
      <c r="K325" s="195">
        <v>51.13232</v>
      </c>
      <c r="L325" s="195">
        <v>53.32685</v>
      </c>
      <c r="M325" s="195">
        <v>55.292819999999999</v>
      </c>
      <c r="N325" s="195">
        <v>58.303460000000001</v>
      </c>
    </row>
    <row r="326" spans="1:14" hidden="1" x14ac:dyDescent="0.35">
      <c r="A326" s="52" t="s">
        <v>206</v>
      </c>
      <c r="B326" s="52" t="s">
        <v>73</v>
      </c>
      <c r="C326" s="52" t="s">
        <v>97</v>
      </c>
      <c r="D326" s="52" t="s">
        <v>170</v>
      </c>
      <c r="E326" s="52" t="s">
        <v>584</v>
      </c>
      <c r="F326" s="52" t="s">
        <v>26</v>
      </c>
      <c r="G326" s="195" t="s">
        <v>277</v>
      </c>
      <c r="H326" s="195">
        <v>10.17849</v>
      </c>
      <c r="I326" s="195">
        <v>6.8164189999999998</v>
      </c>
      <c r="J326" s="195">
        <v>3.7962020000000001</v>
      </c>
      <c r="K326" s="195">
        <v>2.842959</v>
      </c>
      <c r="L326" s="195">
        <v>3.0853969999999999</v>
      </c>
      <c r="M326" s="195">
        <v>1.322184</v>
      </c>
      <c r="N326" s="195">
        <v>1.4456169999999999</v>
      </c>
    </row>
    <row r="327" spans="1:14" hidden="1" x14ac:dyDescent="0.35">
      <c r="A327" s="52" t="s">
        <v>206</v>
      </c>
      <c r="B327" s="52" t="s">
        <v>73</v>
      </c>
      <c r="C327" s="52" t="s">
        <v>97</v>
      </c>
      <c r="D327" s="52" t="s">
        <v>170</v>
      </c>
      <c r="E327" s="52" t="s">
        <v>584</v>
      </c>
      <c r="F327" s="52" t="s">
        <v>26</v>
      </c>
      <c r="G327" s="195" t="s">
        <v>279</v>
      </c>
      <c r="H327" s="195">
        <v>16.498629999999999</v>
      </c>
      <c r="I327" s="195">
        <v>18.185279999999999</v>
      </c>
      <c r="J327" s="195">
        <v>18.598990000000001</v>
      </c>
      <c r="K327" s="195">
        <v>19.87574</v>
      </c>
      <c r="L327" s="195">
        <v>19.712019999999999</v>
      </c>
      <c r="M327" s="195">
        <v>19.802399999999999</v>
      </c>
      <c r="N327" s="195">
        <v>19.895060000000001</v>
      </c>
    </row>
    <row r="328" spans="1:14" hidden="1" x14ac:dyDescent="0.35">
      <c r="A328" s="52" t="s">
        <v>206</v>
      </c>
      <c r="B328" s="52" t="s">
        <v>73</v>
      </c>
      <c r="C328" s="52" t="s">
        <v>97</v>
      </c>
      <c r="D328" s="52" t="s">
        <v>212</v>
      </c>
      <c r="E328" s="52" t="s">
        <v>584</v>
      </c>
      <c r="F328" s="52" t="s">
        <v>581</v>
      </c>
      <c r="G328" s="195" t="s">
        <v>275</v>
      </c>
      <c r="H328" s="195">
        <v>12.71565</v>
      </c>
      <c r="I328" s="195">
        <v>7.3628640000000001</v>
      </c>
      <c r="J328" s="195">
        <v>7.2447359999999996</v>
      </c>
      <c r="K328" s="195">
        <v>4.883426</v>
      </c>
      <c r="L328" s="195">
        <v>10.310689999999999</v>
      </c>
      <c r="M328" s="195">
        <v>0.82111440000000002</v>
      </c>
      <c r="N328" s="195">
        <v>-0.30050320000000003</v>
      </c>
    </row>
    <row r="329" spans="1:14" hidden="1" x14ac:dyDescent="0.35">
      <c r="A329" s="52" t="s">
        <v>206</v>
      </c>
      <c r="B329" s="52" t="s">
        <v>73</v>
      </c>
      <c r="C329" s="52" t="s">
        <v>97</v>
      </c>
      <c r="D329" s="52" t="s">
        <v>212</v>
      </c>
      <c r="E329" s="52" t="s">
        <v>584</v>
      </c>
      <c r="F329" s="52" t="s">
        <v>581</v>
      </c>
      <c r="G329" s="195" t="s">
        <v>276</v>
      </c>
      <c r="H329" s="195">
        <v>14.107570000000001</v>
      </c>
      <c r="I329" s="195">
        <v>-3.3792430000000002</v>
      </c>
      <c r="J329" s="195">
        <v>-1.5017609999999999</v>
      </c>
      <c r="K329" s="195">
        <v>-2.5853660000000001</v>
      </c>
      <c r="L329" s="195">
        <v>5.6808620000000003</v>
      </c>
      <c r="M329" s="195">
        <v>0.1432186</v>
      </c>
      <c r="N329" s="195">
        <v>-0.70596970000000003</v>
      </c>
    </row>
    <row r="330" spans="1:14" hidden="1" x14ac:dyDescent="0.35">
      <c r="A330" s="52" t="s">
        <v>206</v>
      </c>
      <c r="B330" s="52" t="s">
        <v>73</v>
      </c>
      <c r="C330" s="52" t="s">
        <v>97</v>
      </c>
      <c r="D330" s="52" t="s">
        <v>212</v>
      </c>
      <c r="E330" s="52" t="s">
        <v>584</v>
      </c>
      <c r="F330" s="52" t="s">
        <v>581</v>
      </c>
      <c r="G330" s="195" t="s">
        <v>277</v>
      </c>
      <c r="H330" s="195">
        <v>11.78444</v>
      </c>
      <c r="I330" s="195">
        <v>9.6143879999999999</v>
      </c>
      <c r="J330" s="195">
        <v>7.6010169999999997</v>
      </c>
      <c r="K330" s="195">
        <v>7.5676629999999996</v>
      </c>
      <c r="L330" s="195">
        <v>0.90075870000000002</v>
      </c>
      <c r="M330" s="195">
        <v>7.5839299999999996</v>
      </c>
      <c r="N330" s="195">
        <v>7.8151109999999999</v>
      </c>
    </row>
    <row r="331" spans="1:14" hidden="1" x14ac:dyDescent="0.35">
      <c r="A331" s="52" t="s">
        <v>206</v>
      </c>
      <c r="B331" s="52" t="s">
        <v>73</v>
      </c>
      <c r="C331" s="52" t="s">
        <v>97</v>
      </c>
      <c r="D331" s="52" t="s">
        <v>212</v>
      </c>
      <c r="E331" s="52" t="s">
        <v>584</v>
      </c>
      <c r="F331" s="52" t="s">
        <v>581</v>
      </c>
      <c r="G331" s="195" t="s">
        <v>278</v>
      </c>
      <c r="H331" s="195">
        <v>4.9384320000000004E-3</v>
      </c>
      <c r="I331" s="195">
        <v>0.79844820000000005</v>
      </c>
      <c r="J331" s="195">
        <v>3.6301609999999998E-2</v>
      </c>
      <c r="K331" s="195">
        <v>2.6201280000000002E-3</v>
      </c>
      <c r="L331" s="195">
        <v>2.350656E-3</v>
      </c>
      <c r="M331" s="195">
        <v>4.8290399999999997E-3</v>
      </c>
      <c r="N331" s="195">
        <v>4.8290399999999997E-3</v>
      </c>
    </row>
    <row r="332" spans="1:14" hidden="1" x14ac:dyDescent="0.35">
      <c r="A332" s="52" t="s">
        <v>206</v>
      </c>
      <c r="B332" s="52" t="s">
        <v>73</v>
      </c>
      <c r="C332" s="52" t="s">
        <v>97</v>
      </c>
      <c r="D332" s="52" t="s">
        <v>212</v>
      </c>
      <c r="E332" s="52" t="s">
        <v>584</v>
      </c>
      <c r="F332" s="52" t="s">
        <v>581</v>
      </c>
      <c r="G332" s="195" t="s">
        <v>279</v>
      </c>
      <c r="H332" s="195">
        <v>9.0386539999999993</v>
      </c>
      <c r="I332" s="195">
        <v>9.4691200000000002</v>
      </c>
      <c r="J332" s="195">
        <v>9.6062399999999997</v>
      </c>
      <c r="K332" s="195">
        <v>11.275359999999999</v>
      </c>
      <c r="L332" s="195">
        <v>4.2938000000000001</v>
      </c>
      <c r="M332" s="195">
        <v>11.637370000000001</v>
      </c>
      <c r="N332" s="195">
        <v>11.60285</v>
      </c>
    </row>
    <row r="333" spans="1:14" hidden="1" x14ac:dyDescent="0.35">
      <c r="A333" s="52" t="s">
        <v>206</v>
      </c>
      <c r="B333" s="52" t="s">
        <v>73</v>
      </c>
      <c r="C333" s="52" t="s">
        <v>97</v>
      </c>
      <c r="D333" s="52" t="s">
        <v>212</v>
      </c>
      <c r="E333" s="52" t="s">
        <v>584</v>
      </c>
      <c r="F333" s="52" t="s">
        <v>26</v>
      </c>
      <c r="G333" s="195" t="s">
        <v>275</v>
      </c>
      <c r="H333" s="195">
        <v>3.5936170000000001</v>
      </c>
      <c r="I333" s="195">
        <v>3.0764490000000002</v>
      </c>
      <c r="J333" s="195">
        <v>3.9140459999999999</v>
      </c>
      <c r="K333" s="195">
        <v>4.5307139999999997</v>
      </c>
      <c r="L333" s="195">
        <v>0.25868930000000001</v>
      </c>
      <c r="M333" s="195">
        <v>7.3650159999999998</v>
      </c>
      <c r="N333" s="195">
        <v>6.7364230000000003</v>
      </c>
    </row>
    <row r="334" spans="1:14" hidden="1" x14ac:dyDescent="0.35">
      <c r="A334" s="52" t="s">
        <v>206</v>
      </c>
      <c r="B334" s="52" t="s">
        <v>73</v>
      </c>
      <c r="C334" s="52" t="s">
        <v>97</v>
      </c>
      <c r="D334" s="52" t="s">
        <v>212</v>
      </c>
      <c r="E334" s="52" t="s">
        <v>584</v>
      </c>
      <c r="F334" s="52" t="s">
        <v>26</v>
      </c>
      <c r="G334" s="195" t="s">
        <v>276</v>
      </c>
      <c r="H334" s="195">
        <v>12.50367</v>
      </c>
      <c r="I334" s="195">
        <v>10.99972</v>
      </c>
      <c r="J334" s="195">
        <v>13.984970000000001</v>
      </c>
      <c r="K334" s="195">
        <v>16.186699999999998</v>
      </c>
      <c r="L334" s="195">
        <v>15.186030000000001</v>
      </c>
      <c r="M334" s="195">
        <v>22.663450000000001</v>
      </c>
      <c r="N334" s="195">
        <v>20.418600000000001</v>
      </c>
    </row>
    <row r="335" spans="1:14" hidden="1" x14ac:dyDescent="0.35">
      <c r="A335" s="52" t="s">
        <v>206</v>
      </c>
      <c r="B335" s="52" t="s">
        <v>73</v>
      </c>
      <c r="C335" s="52" t="s">
        <v>97</v>
      </c>
      <c r="D335" s="52" t="s">
        <v>212</v>
      </c>
      <c r="E335" s="52" t="s">
        <v>584</v>
      </c>
      <c r="F335" s="52" t="s">
        <v>26</v>
      </c>
      <c r="G335" s="195" t="s">
        <v>277</v>
      </c>
      <c r="H335" s="195"/>
      <c r="I335" s="195"/>
      <c r="J335" s="195">
        <v>0</v>
      </c>
      <c r="K335" s="195"/>
      <c r="L335" s="195">
        <v>5.000896</v>
      </c>
      <c r="M335" s="195">
        <v>0</v>
      </c>
      <c r="N335" s="195">
        <v>0</v>
      </c>
    </row>
    <row r="336" spans="1:14" hidden="1" x14ac:dyDescent="0.35">
      <c r="A336" s="52" t="s">
        <v>206</v>
      </c>
      <c r="B336" s="52" t="s">
        <v>73</v>
      </c>
      <c r="C336" s="52" t="s">
        <v>97</v>
      </c>
      <c r="D336" s="52" t="s">
        <v>212</v>
      </c>
      <c r="E336" s="52" t="s">
        <v>584</v>
      </c>
      <c r="F336" s="52" t="s">
        <v>26</v>
      </c>
      <c r="G336" s="195" t="s">
        <v>278</v>
      </c>
      <c r="H336" s="195">
        <v>1.1212080000000001E-3</v>
      </c>
      <c r="I336" s="195">
        <v>1.3757039999999999E-3</v>
      </c>
      <c r="J336" s="195">
        <v>7.7275200000000003E-4</v>
      </c>
      <c r="K336" s="195">
        <v>6.5258410000000003E-4</v>
      </c>
      <c r="L336" s="195">
        <v>5.8545600000000004E-4</v>
      </c>
      <c r="M336" s="195">
        <v>1.202736E-3</v>
      </c>
      <c r="N336" s="195">
        <v>1.202736E-3</v>
      </c>
    </row>
    <row r="337" spans="1:14" hidden="1" x14ac:dyDescent="0.35">
      <c r="A337" s="52" t="s">
        <v>206</v>
      </c>
      <c r="B337" s="52" t="s">
        <v>73</v>
      </c>
      <c r="C337" s="52" t="s">
        <v>97</v>
      </c>
      <c r="D337" s="52" t="s">
        <v>212</v>
      </c>
      <c r="E337" s="52" t="s">
        <v>584</v>
      </c>
      <c r="F337" s="52" t="s">
        <v>26</v>
      </c>
      <c r="G337" s="195" t="s">
        <v>279</v>
      </c>
      <c r="H337" s="195">
        <v>3.4310839999999998</v>
      </c>
      <c r="I337" s="195">
        <v>4.6676650000000004</v>
      </c>
      <c r="J337" s="195">
        <v>3.9012389999999999</v>
      </c>
      <c r="K337" s="195">
        <v>4.0971399999999996</v>
      </c>
      <c r="L337" s="195">
        <v>10.757680000000001</v>
      </c>
      <c r="M337" s="195">
        <v>3.8373919999999999</v>
      </c>
      <c r="N337" s="195">
        <v>3.4713799999999999</v>
      </c>
    </row>
    <row r="338" spans="1:14" hidden="1" x14ac:dyDescent="0.35">
      <c r="A338" s="52" t="s">
        <v>206</v>
      </c>
      <c r="B338" s="52" t="s">
        <v>73</v>
      </c>
      <c r="C338" s="52" t="s">
        <v>97</v>
      </c>
      <c r="D338" s="52" t="s">
        <v>98</v>
      </c>
      <c r="E338" s="52" t="s">
        <v>584</v>
      </c>
      <c r="F338" s="52" t="s">
        <v>581</v>
      </c>
      <c r="G338" s="195" t="s">
        <v>275</v>
      </c>
      <c r="H338" s="195">
        <v>20.692070000000001</v>
      </c>
      <c r="I338" s="195">
        <v>2.7755930000000002</v>
      </c>
      <c r="J338" s="195">
        <v>3.8577439999999998</v>
      </c>
      <c r="K338" s="195">
        <v>-3.3105630000000001</v>
      </c>
      <c r="L338" s="195">
        <v>-16.34723</v>
      </c>
      <c r="M338" s="195">
        <v>-6.2055699999999998</v>
      </c>
      <c r="N338" s="195">
        <v>12.122680000000001</v>
      </c>
    </row>
    <row r="339" spans="1:14" hidden="1" x14ac:dyDescent="0.35">
      <c r="A339" s="52" t="s">
        <v>206</v>
      </c>
      <c r="B339" s="52" t="s">
        <v>73</v>
      </c>
      <c r="C339" s="52" t="s">
        <v>97</v>
      </c>
      <c r="D339" s="52" t="s">
        <v>98</v>
      </c>
      <c r="E339" s="52" t="s">
        <v>584</v>
      </c>
      <c r="F339" s="52" t="s">
        <v>581</v>
      </c>
      <c r="G339" s="195" t="s">
        <v>276</v>
      </c>
      <c r="H339" s="195">
        <v>63.91357</v>
      </c>
      <c r="I339" s="195">
        <v>6.354228</v>
      </c>
      <c r="J339" s="195">
        <v>-2.9069150000000001</v>
      </c>
      <c r="K339" s="195">
        <v>-5.4160279999999998</v>
      </c>
      <c r="L339" s="195">
        <v>-10.29879</v>
      </c>
      <c r="M339" s="195">
        <v>-12.27148</v>
      </c>
      <c r="N339" s="195">
        <v>4.7374700000000001</v>
      </c>
    </row>
    <row r="340" spans="1:14" hidden="1" x14ac:dyDescent="0.35">
      <c r="A340" s="52" t="s">
        <v>206</v>
      </c>
      <c r="B340" s="52" t="s">
        <v>73</v>
      </c>
      <c r="C340" s="52" t="s">
        <v>97</v>
      </c>
      <c r="D340" s="52" t="s">
        <v>98</v>
      </c>
      <c r="E340" s="52" t="s">
        <v>584</v>
      </c>
      <c r="F340" s="52" t="s">
        <v>581</v>
      </c>
      <c r="G340" s="195" t="s">
        <v>277</v>
      </c>
      <c r="H340" s="195">
        <v>9.054138</v>
      </c>
      <c r="I340" s="195">
        <v>9.7561149999999994</v>
      </c>
      <c r="J340" s="195">
        <v>6.4258699999999997</v>
      </c>
      <c r="K340" s="195">
        <v>12.43455</v>
      </c>
      <c r="L340" s="195">
        <v>27.893899999999999</v>
      </c>
      <c r="M340" s="195">
        <v>19.37856</v>
      </c>
      <c r="N340" s="195">
        <v>5.4707850000000002</v>
      </c>
    </row>
    <row r="341" spans="1:14" hidden="1" x14ac:dyDescent="0.35">
      <c r="A341" s="52" t="s">
        <v>206</v>
      </c>
      <c r="B341" s="52" t="s">
        <v>73</v>
      </c>
      <c r="C341" s="52" t="s">
        <v>97</v>
      </c>
      <c r="D341" s="52" t="s">
        <v>98</v>
      </c>
      <c r="E341" s="52" t="s">
        <v>584</v>
      </c>
      <c r="F341" s="52" t="s">
        <v>581</v>
      </c>
      <c r="G341" s="195" t="s">
        <v>278</v>
      </c>
      <c r="H341" s="195">
        <v>0.10203379999999999</v>
      </c>
      <c r="I341" s="195">
        <v>6.6654599999999994E-2</v>
      </c>
      <c r="J341" s="195">
        <v>4.3137189999999999</v>
      </c>
      <c r="K341" s="195">
        <v>5.9702400000000003E-2</v>
      </c>
      <c r="L341" s="195">
        <v>5.3562409999999998E-2</v>
      </c>
      <c r="M341" s="195">
        <v>0.1100348</v>
      </c>
      <c r="N341" s="195">
        <v>0.1100348</v>
      </c>
    </row>
    <row r="342" spans="1:14" hidden="1" x14ac:dyDescent="0.35">
      <c r="A342" s="52" t="s">
        <v>206</v>
      </c>
      <c r="B342" s="52" t="s">
        <v>73</v>
      </c>
      <c r="C342" s="52" t="s">
        <v>97</v>
      </c>
      <c r="D342" s="52" t="s">
        <v>98</v>
      </c>
      <c r="E342" s="52" t="s">
        <v>584</v>
      </c>
      <c r="F342" s="52" t="s">
        <v>581</v>
      </c>
      <c r="G342" s="195" t="s">
        <v>279</v>
      </c>
      <c r="H342" s="195">
        <v>21.644449999999999</v>
      </c>
      <c r="I342" s="195">
        <v>20.038019999999999</v>
      </c>
      <c r="J342" s="195">
        <v>19.590669999999999</v>
      </c>
      <c r="K342" s="195">
        <v>22.317979999999999</v>
      </c>
      <c r="L342" s="195">
        <v>22.243449999999999</v>
      </c>
      <c r="M342" s="195">
        <v>24.536339999999999</v>
      </c>
      <c r="N342" s="195">
        <v>29.868099999999998</v>
      </c>
    </row>
    <row r="343" spans="1:14" hidden="1" x14ac:dyDescent="0.35">
      <c r="A343" s="52" t="s">
        <v>206</v>
      </c>
      <c r="B343" s="52" t="s">
        <v>73</v>
      </c>
      <c r="C343" s="52" t="s">
        <v>97</v>
      </c>
      <c r="D343" s="52" t="s">
        <v>98</v>
      </c>
      <c r="E343" s="52" t="s">
        <v>584</v>
      </c>
      <c r="F343" s="52" t="s">
        <v>26</v>
      </c>
      <c r="G343" s="195" t="s">
        <v>275</v>
      </c>
      <c r="H343" s="195">
        <v>-3.9916000000000002E-4</v>
      </c>
      <c r="I343" s="195">
        <v>3.4664959999999998E-5</v>
      </c>
      <c r="J343" s="195">
        <v>0</v>
      </c>
      <c r="K343" s="195">
        <v>0</v>
      </c>
      <c r="L343" s="195">
        <v>0</v>
      </c>
      <c r="M343" s="195">
        <v>0</v>
      </c>
      <c r="N343" s="195">
        <v>0</v>
      </c>
    </row>
    <row r="344" spans="1:14" hidden="1" x14ac:dyDescent="0.35">
      <c r="A344" s="52" t="s">
        <v>206</v>
      </c>
      <c r="B344" s="52" t="s">
        <v>73</v>
      </c>
      <c r="C344" s="52" t="s">
        <v>97</v>
      </c>
      <c r="D344" s="52" t="s">
        <v>98</v>
      </c>
      <c r="E344" s="52" t="s">
        <v>584</v>
      </c>
      <c r="F344" s="52" t="s">
        <v>26</v>
      </c>
      <c r="G344" s="195" t="s">
        <v>276</v>
      </c>
      <c r="H344" s="195">
        <v>-7.9972150000000002E-3</v>
      </c>
      <c r="I344" s="195">
        <v>-5.5198249999999999E-3</v>
      </c>
      <c r="J344" s="195">
        <v>-2.182402E-2</v>
      </c>
      <c r="K344" s="195">
        <v>-8.7252070000000001E-2</v>
      </c>
      <c r="L344" s="195">
        <v>-4.9918150000000001E-3</v>
      </c>
      <c r="M344" s="195">
        <v>-1.4786250000000001E-2</v>
      </c>
      <c r="N344" s="195">
        <v>-1.4786219999999999E-2</v>
      </c>
    </row>
    <row r="345" spans="1:14" hidden="1" x14ac:dyDescent="0.35">
      <c r="A345" s="52" t="s">
        <v>206</v>
      </c>
      <c r="B345" s="52" t="s">
        <v>73</v>
      </c>
      <c r="C345" s="52" t="s">
        <v>97</v>
      </c>
      <c r="D345" s="52" t="s">
        <v>98</v>
      </c>
      <c r="E345" s="52" t="s">
        <v>584</v>
      </c>
      <c r="F345" s="52" t="s">
        <v>26</v>
      </c>
      <c r="G345" s="195" t="s">
        <v>277</v>
      </c>
      <c r="H345" s="195"/>
      <c r="I345" s="195"/>
      <c r="J345" s="195"/>
      <c r="K345" s="195"/>
      <c r="L345" s="195">
        <v>0</v>
      </c>
      <c r="M345" s="195">
        <v>4.5312499999999997E-3</v>
      </c>
      <c r="N345" s="195">
        <v>4.5312499999999997E-3</v>
      </c>
    </row>
    <row r="346" spans="1:14" hidden="1" x14ac:dyDescent="0.35">
      <c r="A346" s="52" t="s">
        <v>206</v>
      </c>
      <c r="B346" s="52" t="s">
        <v>73</v>
      </c>
      <c r="C346" s="52" t="s">
        <v>97</v>
      </c>
      <c r="D346" s="52" t="s">
        <v>98</v>
      </c>
      <c r="E346" s="52" t="s">
        <v>584</v>
      </c>
      <c r="F346" s="52" t="s">
        <v>26</v>
      </c>
      <c r="G346" s="195" t="s">
        <v>278</v>
      </c>
      <c r="H346" s="195">
        <v>8.3961239999999996E-3</v>
      </c>
      <c r="I346" s="195">
        <v>5.48491E-3</v>
      </c>
      <c r="J346" s="195">
        <v>2.182402E-2</v>
      </c>
      <c r="K346" s="195">
        <v>8.7251830000000002E-2</v>
      </c>
      <c r="L346" s="195">
        <v>4.9918139999999998E-3</v>
      </c>
      <c r="M346" s="195">
        <v>1.0254920000000001E-2</v>
      </c>
      <c r="N346" s="195">
        <v>1.0254920000000001E-2</v>
      </c>
    </row>
    <row r="347" spans="1:14" hidden="1" x14ac:dyDescent="0.35">
      <c r="A347" s="52" t="s">
        <v>206</v>
      </c>
      <c r="B347" s="52" t="s">
        <v>73</v>
      </c>
      <c r="C347" s="52" t="s">
        <v>97</v>
      </c>
      <c r="D347" s="52" t="s">
        <v>98</v>
      </c>
      <c r="E347" s="52" t="s">
        <v>584</v>
      </c>
      <c r="F347" s="52" t="s">
        <v>26</v>
      </c>
      <c r="G347" s="195" t="s">
        <v>279</v>
      </c>
      <c r="H347" s="195"/>
      <c r="I347" s="195"/>
      <c r="J347" s="195"/>
      <c r="K347" s="195"/>
      <c r="L347" s="195"/>
      <c r="M347" s="195"/>
      <c r="N347" s="195">
        <v>0</v>
      </c>
    </row>
    <row r="348" spans="1:14" hidden="1" x14ac:dyDescent="0.35">
      <c r="A348" s="52" t="s">
        <v>206</v>
      </c>
      <c r="B348" s="52" t="s">
        <v>73</v>
      </c>
      <c r="C348" s="52" t="s">
        <v>97</v>
      </c>
      <c r="D348" s="52" t="s">
        <v>171</v>
      </c>
      <c r="E348" s="52" t="s">
        <v>584</v>
      </c>
      <c r="F348" s="52" t="s">
        <v>581</v>
      </c>
      <c r="G348" s="195" t="s">
        <v>275</v>
      </c>
      <c r="H348" s="195">
        <v>11.426019999999999</v>
      </c>
      <c r="I348" s="195">
        <v>0.64888999999999997</v>
      </c>
      <c r="J348" s="195">
        <v>-0.48537360000000002</v>
      </c>
      <c r="K348" s="195">
        <v>-0.47525650000000003</v>
      </c>
      <c r="L348" s="195">
        <v>-0.49664029999999998</v>
      </c>
      <c r="M348" s="195">
        <v>-0.49101410000000001</v>
      </c>
      <c r="N348" s="195">
        <v>-0.11047070000000001</v>
      </c>
    </row>
    <row r="349" spans="1:14" hidden="1" x14ac:dyDescent="0.35">
      <c r="A349" s="52" t="s">
        <v>206</v>
      </c>
      <c r="B349" s="52" t="s">
        <v>73</v>
      </c>
      <c r="C349" s="52" t="s">
        <v>97</v>
      </c>
      <c r="D349" s="52" t="s">
        <v>171</v>
      </c>
      <c r="E349" s="52" t="s">
        <v>584</v>
      </c>
      <c r="F349" s="52" t="s">
        <v>581</v>
      </c>
      <c r="G349" s="195" t="s">
        <v>276</v>
      </c>
      <c r="H349" s="195">
        <v>15.085369999999999</v>
      </c>
      <c r="I349" s="195">
        <v>-6.7912140000000001</v>
      </c>
      <c r="J349" s="195">
        <v>-10.291650000000001</v>
      </c>
      <c r="K349" s="195">
        <v>-9.0937950000000001</v>
      </c>
      <c r="L349" s="195">
        <v>-8.9701690000000003</v>
      </c>
      <c r="M349" s="195">
        <v>-9.1883330000000001</v>
      </c>
      <c r="N349" s="195">
        <v>-9.7928130000000007</v>
      </c>
    </row>
    <row r="350" spans="1:14" hidden="1" x14ac:dyDescent="0.35">
      <c r="A350" s="52" t="s">
        <v>206</v>
      </c>
      <c r="B350" s="52" t="s">
        <v>73</v>
      </c>
      <c r="C350" s="52" t="s">
        <v>97</v>
      </c>
      <c r="D350" s="52" t="s">
        <v>171</v>
      </c>
      <c r="E350" s="52" t="s">
        <v>584</v>
      </c>
      <c r="F350" s="52" t="s">
        <v>581</v>
      </c>
      <c r="G350" s="195" t="s">
        <v>277</v>
      </c>
      <c r="H350" s="195">
        <v>14.79574</v>
      </c>
      <c r="I350" s="195">
        <v>18.053149999999999</v>
      </c>
      <c r="J350" s="195">
        <v>18.07563</v>
      </c>
      <c r="K350" s="195">
        <v>18.106739999999999</v>
      </c>
      <c r="L350" s="195">
        <v>18.135560000000002</v>
      </c>
      <c r="M350" s="195">
        <v>18.138940000000002</v>
      </c>
      <c r="N350" s="195">
        <v>18.150659999999998</v>
      </c>
    </row>
    <row r="351" spans="1:14" hidden="1" x14ac:dyDescent="0.35">
      <c r="A351" s="52" t="s">
        <v>206</v>
      </c>
      <c r="B351" s="52" t="s">
        <v>73</v>
      </c>
      <c r="C351" s="52" t="s">
        <v>97</v>
      </c>
      <c r="D351" s="52" t="s">
        <v>171</v>
      </c>
      <c r="E351" s="52" t="s">
        <v>584</v>
      </c>
      <c r="F351" s="52" t="s">
        <v>581</v>
      </c>
      <c r="G351" s="195" t="s">
        <v>278</v>
      </c>
      <c r="H351" s="195">
        <v>6.6095980000000004E-3</v>
      </c>
      <c r="I351" s="195">
        <v>2.9539290000000001E-3</v>
      </c>
      <c r="J351" s="195">
        <v>3.5484869999999999E-3</v>
      </c>
      <c r="K351" s="195">
        <v>0.28002850000000001</v>
      </c>
      <c r="L351" s="195">
        <v>2.6884650000000001E-3</v>
      </c>
      <c r="M351" s="195">
        <v>5.5229340000000002E-3</v>
      </c>
      <c r="N351" s="195">
        <v>2.6253589999999999E-3</v>
      </c>
    </row>
    <row r="352" spans="1:14" hidden="1" x14ac:dyDescent="0.35">
      <c r="A352" s="52" t="s">
        <v>206</v>
      </c>
      <c r="B352" s="52" t="s">
        <v>73</v>
      </c>
      <c r="C352" s="52" t="s">
        <v>97</v>
      </c>
      <c r="D352" s="52" t="s">
        <v>171</v>
      </c>
      <c r="E352" s="52" t="s">
        <v>584</v>
      </c>
      <c r="F352" s="52" t="s">
        <v>581</v>
      </c>
      <c r="G352" s="195" t="s">
        <v>279</v>
      </c>
      <c r="H352" s="195">
        <v>3.584724</v>
      </c>
      <c r="I352" s="195">
        <v>3.2871320000000002</v>
      </c>
      <c r="J352" s="195">
        <v>3.0240719999999999</v>
      </c>
      <c r="K352" s="195">
        <v>3.8610609999999999</v>
      </c>
      <c r="L352" s="195">
        <v>3.917116</v>
      </c>
      <c r="M352" s="195">
        <v>3.9690919999999998</v>
      </c>
      <c r="N352" s="195">
        <v>4.022113</v>
      </c>
    </row>
    <row r="353" spans="1:14" hidden="1" x14ac:dyDescent="0.35">
      <c r="A353" s="52" t="s">
        <v>206</v>
      </c>
      <c r="B353" s="52" t="s">
        <v>73</v>
      </c>
      <c r="C353" s="52" t="s">
        <v>97</v>
      </c>
      <c r="D353" s="52" t="s">
        <v>171</v>
      </c>
      <c r="E353" s="52" t="s">
        <v>584</v>
      </c>
      <c r="F353" s="52" t="s">
        <v>26</v>
      </c>
      <c r="G353" s="195" t="s">
        <v>275</v>
      </c>
      <c r="H353" s="195">
        <v>-9.9252299999999998E-5</v>
      </c>
      <c r="I353" s="195">
        <v>1.733298E-5</v>
      </c>
      <c r="J353" s="195">
        <v>0</v>
      </c>
      <c r="K353" s="195">
        <v>0</v>
      </c>
      <c r="L353" s="195">
        <v>0</v>
      </c>
      <c r="M353" s="195">
        <v>0</v>
      </c>
      <c r="N353" s="195">
        <v>0</v>
      </c>
    </row>
    <row r="354" spans="1:14" hidden="1" x14ac:dyDescent="0.35">
      <c r="A354" s="52" t="s">
        <v>206</v>
      </c>
      <c r="B354" s="52" t="s">
        <v>73</v>
      </c>
      <c r="C354" s="52" t="s">
        <v>97</v>
      </c>
      <c r="D354" s="52" t="s">
        <v>171</v>
      </c>
      <c r="E354" s="52" t="s">
        <v>584</v>
      </c>
      <c r="F354" s="52" t="s">
        <v>26</v>
      </c>
      <c r="G354" s="195" t="s">
        <v>276</v>
      </c>
      <c r="H354" s="195">
        <v>-1.9893549999999999E-3</v>
      </c>
      <c r="I354" s="195">
        <v>-2.745637E-3</v>
      </c>
      <c r="J354" s="195">
        <v>-3.277421E-3</v>
      </c>
      <c r="K354" s="195">
        <v>-2.767706E-3</v>
      </c>
      <c r="L354" s="195">
        <v>-2.7266959999999998E-3</v>
      </c>
      <c r="M354" s="195">
        <v>-5.3445430000000002E-3</v>
      </c>
      <c r="N354" s="195">
        <v>-1.114153E-2</v>
      </c>
    </row>
    <row r="355" spans="1:14" hidden="1" x14ac:dyDescent="0.35">
      <c r="A355" s="52" t="s">
        <v>206</v>
      </c>
      <c r="B355" s="52" t="s">
        <v>73</v>
      </c>
      <c r="C355" s="52" t="s">
        <v>97</v>
      </c>
      <c r="D355" s="52" t="s">
        <v>171</v>
      </c>
      <c r="E355" s="52" t="s">
        <v>584</v>
      </c>
      <c r="F355" s="52" t="s">
        <v>26</v>
      </c>
      <c r="G355" s="195" t="s">
        <v>277</v>
      </c>
      <c r="H355" s="195"/>
      <c r="I355" s="195"/>
      <c r="J355" s="195"/>
      <c r="K355" s="195">
        <v>0</v>
      </c>
      <c r="L355" s="195">
        <v>2.4360000000000001E-4</v>
      </c>
      <c r="M355" s="195">
        <v>2.4360000000000001E-4</v>
      </c>
      <c r="N355" s="195">
        <v>0</v>
      </c>
    </row>
    <row r="356" spans="1:14" hidden="1" x14ac:dyDescent="0.35">
      <c r="A356" s="52" t="s">
        <v>206</v>
      </c>
      <c r="B356" s="52" t="s">
        <v>73</v>
      </c>
      <c r="C356" s="52" t="s">
        <v>97</v>
      </c>
      <c r="D356" s="52" t="s">
        <v>171</v>
      </c>
      <c r="E356" s="52" t="s">
        <v>584</v>
      </c>
      <c r="F356" s="52" t="s">
        <v>26</v>
      </c>
      <c r="G356" s="195" t="s">
        <v>278</v>
      </c>
      <c r="H356" s="195">
        <v>2.0885550000000002E-3</v>
      </c>
      <c r="I356" s="195">
        <v>2.7282280000000001E-3</v>
      </c>
      <c r="J356" s="195">
        <v>3.277397E-3</v>
      </c>
      <c r="K356" s="195">
        <v>2.767682E-3</v>
      </c>
      <c r="L356" s="195">
        <v>2.4830479999999999E-3</v>
      </c>
      <c r="M356" s="195">
        <v>5.1009949999999997E-3</v>
      </c>
      <c r="N356" s="195">
        <v>1.114156E-2</v>
      </c>
    </row>
    <row r="357" spans="1:14" hidden="1" x14ac:dyDescent="0.35">
      <c r="A357" s="52" t="s">
        <v>206</v>
      </c>
      <c r="B357" s="52" t="s">
        <v>73</v>
      </c>
      <c r="C357" s="52" t="s">
        <v>97</v>
      </c>
      <c r="D357" s="52" t="s">
        <v>213</v>
      </c>
      <c r="E357" s="52" t="s">
        <v>584</v>
      </c>
      <c r="F357" s="52" t="s">
        <v>581</v>
      </c>
      <c r="G357" s="195" t="s">
        <v>275</v>
      </c>
      <c r="H357" s="195">
        <v>1.6217680000000001</v>
      </c>
      <c r="I357" s="195">
        <v>1.712914</v>
      </c>
      <c r="J357" s="195">
        <v>1.425171</v>
      </c>
      <c r="K357" s="195">
        <v>0.59196709999999997</v>
      </c>
      <c r="L357" s="195">
        <v>0.17326059999999999</v>
      </c>
      <c r="M357" s="195">
        <v>-0.29521649999999999</v>
      </c>
      <c r="N357" s="195">
        <v>-0.47003470000000003</v>
      </c>
    </row>
    <row r="358" spans="1:14" hidden="1" x14ac:dyDescent="0.35">
      <c r="A358" s="52" t="s">
        <v>206</v>
      </c>
      <c r="B358" s="52" t="s">
        <v>73</v>
      </c>
      <c r="C358" s="52" t="s">
        <v>97</v>
      </c>
      <c r="D358" s="52" t="s">
        <v>213</v>
      </c>
      <c r="E358" s="52" t="s">
        <v>584</v>
      </c>
      <c r="F358" s="52" t="s">
        <v>581</v>
      </c>
      <c r="G358" s="195" t="s">
        <v>276</v>
      </c>
      <c r="H358" s="195">
        <v>-1.331698</v>
      </c>
      <c r="I358" s="195">
        <v>-3.2713290000000002</v>
      </c>
      <c r="J358" s="195">
        <v>-3.3872249999999999</v>
      </c>
      <c r="K358" s="195">
        <v>-3.1114269999999999</v>
      </c>
      <c r="L358" s="195">
        <v>-2.427225</v>
      </c>
      <c r="M358" s="195">
        <v>-2.269927</v>
      </c>
      <c r="N358" s="195">
        <v>-2.2855660000000002</v>
      </c>
    </row>
    <row r="359" spans="1:14" hidden="1" x14ac:dyDescent="0.35">
      <c r="A359" s="52" t="s">
        <v>206</v>
      </c>
      <c r="B359" s="52" t="s">
        <v>73</v>
      </c>
      <c r="C359" s="52" t="s">
        <v>97</v>
      </c>
      <c r="D359" s="52" t="s">
        <v>213</v>
      </c>
      <c r="E359" s="52" t="s">
        <v>584</v>
      </c>
      <c r="F359" s="52" t="s">
        <v>581</v>
      </c>
      <c r="G359" s="195" t="s">
        <v>277</v>
      </c>
      <c r="H359" s="195">
        <v>2.5144850000000001</v>
      </c>
      <c r="I359" s="195">
        <v>1.7124600000000001</v>
      </c>
      <c r="J359" s="195">
        <v>1.8097909999999999</v>
      </c>
      <c r="K359" s="195">
        <v>1.9943789999999999</v>
      </c>
      <c r="L359" s="195">
        <v>1.6611180000000001</v>
      </c>
      <c r="M359" s="195">
        <v>1.850597</v>
      </c>
      <c r="N359" s="195">
        <v>1.927775</v>
      </c>
    </row>
    <row r="360" spans="1:14" hidden="1" x14ac:dyDescent="0.35">
      <c r="A360" s="52" t="s">
        <v>206</v>
      </c>
      <c r="B360" s="52" t="s">
        <v>73</v>
      </c>
      <c r="C360" s="52" t="s">
        <v>97</v>
      </c>
      <c r="D360" s="52" t="s">
        <v>213</v>
      </c>
      <c r="E360" s="52" t="s">
        <v>584</v>
      </c>
      <c r="F360" s="52" t="s">
        <v>581</v>
      </c>
      <c r="G360" s="195" t="s">
        <v>278</v>
      </c>
      <c r="H360" s="195">
        <v>4.4692799999999997E-4</v>
      </c>
      <c r="I360" s="195">
        <v>2.9196000000000002E-4</v>
      </c>
      <c r="J360" s="195">
        <v>3.8628E-3</v>
      </c>
      <c r="K360" s="195">
        <v>2.9618400000000001E-4</v>
      </c>
      <c r="L360" s="195">
        <v>2.6572800000000001E-4</v>
      </c>
      <c r="M360" s="195">
        <v>5.4588E-4</v>
      </c>
      <c r="N360" s="195">
        <v>5.4587989999999996E-4</v>
      </c>
    </row>
    <row r="361" spans="1:14" hidden="1" x14ac:dyDescent="0.35">
      <c r="A361" s="52" t="s">
        <v>206</v>
      </c>
      <c r="B361" s="52" t="s">
        <v>73</v>
      </c>
      <c r="C361" s="52" t="s">
        <v>97</v>
      </c>
      <c r="D361" s="52" t="s">
        <v>213</v>
      </c>
      <c r="E361" s="52" t="s">
        <v>584</v>
      </c>
      <c r="F361" s="52" t="s">
        <v>581</v>
      </c>
      <c r="G361" s="195" t="s">
        <v>279</v>
      </c>
      <c r="H361" s="195">
        <v>1.5828089999999999</v>
      </c>
      <c r="I361" s="195">
        <v>1.5451170000000001</v>
      </c>
      <c r="J361" s="195">
        <v>1.5021819999999999</v>
      </c>
      <c r="K361" s="195">
        <v>1.7323249999999999</v>
      </c>
      <c r="L361" s="195">
        <v>1.752793</v>
      </c>
      <c r="M361" s="195">
        <v>1.755328</v>
      </c>
      <c r="N361" s="195">
        <v>1.7619009999999999</v>
      </c>
    </row>
    <row r="362" spans="1:14" hidden="1" x14ac:dyDescent="0.35">
      <c r="A362" s="52" t="s">
        <v>206</v>
      </c>
      <c r="B362" s="52" t="s">
        <v>73</v>
      </c>
      <c r="C362" s="52" t="s">
        <v>97</v>
      </c>
      <c r="D362" s="52" t="s">
        <v>213</v>
      </c>
      <c r="E362" s="52" t="s">
        <v>584</v>
      </c>
      <c r="F362" s="52" t="s">
        <v>26</v>
      </c>
      <c r="G362" s="195" t="s">
        <v>275</v>
      </c>
      <c r="H362" s="195">
        <v>6.1272490000000004E-3</v>
      </c>
      <c r="I362" s="195">
        <v>2.5716530000000001E-3</v>
      </c>
      <c r="J362" s="195">
        <v>2.1586750000000001E-3</v>
      </c>
      <c r="K362" s="195">
        <v>1.4143580000000001E-3</v>
      </c>
      <c r="L362" s="195">
        <v>1.211246E-3</v>
      </c>
      <c r="M362" s="195">
        <v>9.4654090000000004E-4</v>
      </c>
      <c r="N362" s="195">
        <v>7.3870100000000003E-4</v>
      </c>
    </row>
    <row r="363" spans="1:14" hidden="1" x14ac:dyDescent="0.35">
      <c r="A363" s="52" t="s">
        <v>206</v>
      </c>
      <c r="B363" s="52" t="s">
        <v>73</v>
      </c>
      <c r="C363" s="52" t="s">
        <v>97</v>
      </c>
      <c r="D363" s="52" t="s">
        <v>213</v>
      </c>
      <c r="E363" s="52" t="s">
        <v>584</v>
      </c>
      <c r="F363" s="52" t="s">
        <v>26</v>
      </c>
      <c r="G363" s="195" t="s">
        <v>276</v>
      </c>
      <c r="H363" s="195">
        <v>2.193022E-2</v>
      </c>
      <c r="I363" s="195">
        <v>9.2287159999999997E-3</v>
      </c>
      <c r="J363" s="195">
        <v>7.7372359999999998E-3</v>
      </c>
      <c r="K363" s="195">
        <v>5.0753810000000003E-3</v>
      </c>
      <c r="L363" s="195">
        <v>4.3452619999999999E-3</v>
      </c>
      <c r="M363" s="195">
        <v>3.3949779999999999E-3</v>
      </c>
      <c r="N363" s="195">
        <v>2.6486930000000001E-3</v>
      </c>
    </row>
    <row r="364" spans="1:14" hidden="1" x14ac:dyDescent="0.35">
      <c r="A364" s="52" t="s">
        <v>206</v>
      </c>
      <c r="B364" s="52" t="s">
        <v>73</v>
      </c>
      <c r="C364" s="52" t="s">
        <v>97</v>
      </c>
      <c r="D364" s="52" t="s">
        <v>213</v>
      </c>
      <c r="E364" s="52" t="s">
        <v>584</v>
      </c>
      <c r="F364" s="52" t="s">
        <v>26</v>
      </c>
      <c r="G364" s="195" t="s">
        <v>279</v>
      </c>
      <c r="H364" s="195">
        <v>1.3173509999999999E-2</v>
      </c>
      <c r="I364" s="195">
        <v>1.015949E-2</v>
      </c>
      <c r="J364" s="195">
        <v>6.8966399999999999E-3</v>
      </c>
      <c r="K364" s="195">
        <v>5.6217369999999999E-3</v>
      </c>
      <c r="L364" s="195">
        <v>4.4708880000000001E-3</v>
      </c>
      <c r="M364" s="195">
        <v>3.4190399999999999E-3</v>
      </c>
      <c r="N364" s="195">
        <v>2.6150399999999999E-3</v>
      </c>
    </row>
    <row r="365" spans="1:14" hidden="1" x14ac:dyDescent="0.35">
      <c r="A365" s="52" t="s">
        <v>206</v>
      </c>
      <c r="B365" s="52" t="s">
        <v>73</v>
      </c>
      <c r="C365" s="52" t="s">
        <v>324</v>
      </c>
      <c r="D365" s="52" t="s">
        <v>370</v>
      </c>
      <c r="E365" s="52" t="s">
        <v>584</v>
      </c>
      <c r="F365" s="52" t="s">
        <v>581</v>
      </c>
      <c r="G365" s="195" t="s">
        <v>275</v>
      </c>
      <c r="H365" s="195">
        <v>-1.4036230000000001</v>
      </c>
      <c r="I365" s="195"/>
      <c r="J365" s="195"/>
      <c r="K365" s="195"/>
      <c r="L365" s="195">
        <v>0</v>
      </c>
      <c r="M365" s="195">
        <v>-2.5461899999999998E-3</v>
      </c>
      <c r="N365" s="195">
        <v>-2.5461899999999998E-3</v>
      </c>
    </row>
    <row r="366" spans="1:14" hidden="1" x14ac:dyDescent="0.35">
      <c r="A366" s="52" t="s">
        <v>206</v>
      </c>
      <c r="B366" s="52" t="s">
        <v>73</v>
      </c>
      <c r="C366" s="52" t="s">
        <v>324</v>
      </c>
      <c r="D366" s="52" t="s">
        <v>370</v>
      </c>
      <c r="E366" s="52" t="s">
        <v>584</v>
      </c>
      <c r="F366" s="52" t="s">
        <v>581</v>
      </c>
      <c r="G366" s="195" t="s">
        <v>276</v>
      </c>
      <c r="H366" s="195">
        <v>-6.4540579999999999</v>
      </c>
      <c r="I366" s="195"/>
      <c r="J366" s="195"/>
      <c r="K366" s="195"/>
      <c r="L366" s="195">
        <v>0</v>
      </c>
      <c r="M366" s="195">
        <v>-1.035726E-2</v>
      </c>
      <c r="N366" s="195">
        <v>-1.0357409999999999E-2</v>
      </c>
    </row>
    <row r="367" spans="1:14" hidden="1" x14ac:dyDescent="0.35">
      <c r="A367" s="52" t="s">
        <v>206</v>
      </c>
      <c r="B367" s="52" t="s">
        <v>73</v>
      </c>
      <c r="C367" s="52" t="s">
        <v>324</v>
      </c>
      <c r="D367" s="52" t="s">
        <v>370</v>
      </c>
      <c r="E367" s="52" t="s">
        <v>584</v>
      </c>
      <c r="F367" s="52" t="s">
        <v>581</v>
      </c>
      <c r="G367" s="195" t="s">
        <v>277</v>
      </c>
      <c r="H367" s="195"/>
      <c r="I367" s="195"/>
      <c r="J367" s="195">
        <v>0</v>
      </c>
      <c r="K367" s="195">
        <v>0</v>
      </c>
      <c r="L367" s="195"/>
      <c r="M367" s="195">
        <v>0</v>
      </c>
      <c r="N367" s="195"/>
    </row>
    <row r="368" spans="1:14" hidden="1" x14ac:dyDescent="0.35">
      <c r="A368" s="52" t="s">
        <v>206</v>
      </c>
      <c r="B368" s="52" t="s">
        <v>73</v>
      </c>
      <c r="C368" s="52" t="s">
        <v>324</v>
      </c>
      <c r="D368" s="52" t="s">
        <v>370</v>
      </c>
      <c r="E368" s="52" t="s">
        <v>584</v>
      </c>
      <c r="F368" s="52" t="s">
        <v>581</v>
      </c>
      <c r="G368" s="195" t="s">
        <v>278</v>
      </c>
      <c r="H368" s="195">
        <v>7.8576810000000004</v>
      </c>
      <c r="I368" s="195">
        <v>0</v>
      </c>
      <c r="J368" s="195"/>
      <c r="K368" s="195"/>
      <c r="L368" s="195"/>
      <c r="M368" s="195"/>
      <c r="N368" s="195">
        <v>0</v>
      </c>
    </row>
    <row r="369" spans="1:14" hidden="1" x14ac:dyDescent="0.35">
      <c r="A369" s="52" t="s">
        <v>206</v>
      </c>
      <c r="B369" s="52" t="s">
        <v>73</v>
      </c>
      <c r="C369" s="52" t="s">
        <v>324</v>
      </c>
      <c r="D369" s="52" t="s">
        <v>370</v>
      </c>
      <c r="E369" s="52" t="s">
        <v>584</v>
      </c>
      <c r="F369" s="52" t="s">
        <v>581</v>
      </c>
      <c r="G369" s="195" t="s">
        <v>279</v>
      </c>
      <c r="H369" s="195"/>
      <c r="I369" s="195"/>
      <c r="J369" s="195"/>
      <c r="K369" s="195"/>
      <c r="L369" s="195">
        <v>0</v>
      </c>
      <c r="M369" s="195">
        <v>1.290375E-2</v>
      </c>
      <c r="N369" s="195">
        <v>1.290375E-2</v>
      </c>
    </row>
    <row r="370" spans="1:14" hidden="1" x14ac:dyDescent="0.35">
      <c r="A370" s="52" t="s">
        <v>206</v>
      </c>
      <c r="B370" s="52" t="s">
        <v>73</v>
      </c>
      <c r="C370" s="52" t="s">
        <v>324</v>
      </c>
      <c r="D370" s="52" t="s">
        <v>370</v>
      </c>
      <c r="E370" s="52" t="s">
        <v>584</v>
      </c>
      <c r="F370" s="52" t="s">
        <v>26</v>
      </c>
      <c r="G370" s="195" t="s">
        <v>275</v>
      </c>
      <c r="H370" s="195">
        <v>0.24182680000000001</v>
      </c>
      <c r="I370" s="195">
        <v>0.5598651</v>
      </c>
      <c r="J370" s="195">
        <v>6.4603610000000006E-2</v>
      </c>
      <c r="K370" s="195">
        <v>6.3147599999999998E-2</v>
      </c>
      <c r="L370" s="195">
        <v>-7.3222799999999996E-3</v>
      </c>
      <c r="M370" s="195">
        <v>-5.1396000000000005E-4</v>
      </c>
      <c r="N370" s="195">
        <v>1.85637E-3</v>
      </c>
    </row>
    <row r="371" spans="1:14" hidden="1" x14ac:dyDescent="0.35">
      <c r="A371" s="52" t="s">
        <v>206</v>
      </c>
      <c r="B371" s="52" t="s">
        <v>73</v>
      </c>
      <c r="C371" s="52" t="s">
        <v>324</v>
      </c>
      <c r="D371" s="52" t="s">
        <v>370</v>
      </c>
      <c r="E371" s="52" t="s">
        <v>584</v>
      </c>
      <c r="F371" s="52" t="s">
        <v>26</v>
      </c>
      <c r="G371" s="195" t="s">
        <v>276</v>
      </c>
      <c r="H371" s="195">
        <v>-0.26284950000000001</v>
      </c>
      <c r="I371" s="195">
        <v>-0.60508919999999999</v>
      </c>
      <c r="J371" s="195">
        <v>-0.1007091</v>
      </c>
      <c r="K371" s="195">
        <v>-9.7990969999999997E-2</v>
      </c>
      <c r="L371" s="195">
        <v>-6.258822E-2</v>
      </c>
      <c r="M371" s="195">
        <v>-6.4536679999999999E-2</v>
      </c>
      <c r="N371" s="195">
        <v>-8.0287199999999996E-3</v>
      </c>
    </row>
    <row r="372" spans="1:14" hidden="1" x14ac:dyDescent="0.35">
      <c r="A372" s="52" t="s">
        <v>206</v>
      </c>
      <c r="B372" s="52" t="s">
        <v>73</v>
      </c>
      <c r="C372" s="52" t="s">
        <v>324</v>
      </c>
      <c r="D372" s="52" t="s">
        <v>370</v>
      </c>
      <c r="E372" s="52" t="s">
        <v>584</v>
      </c>
      <c r="F372" s="52" t="s">
        <v>26</v>
      </c>
      <c r="G372" s="195" t="s">
        <v>277</v>
      </c>
      <c r="H372" s="195"/>
      <c r="I372" s="195"/>
      <c r="J372" s="195">
        <v>0</v>
      </c>
      <c r="K372" s="195">
        <v>3.7499999999999999E-3</v>
      </c>
      <c r="L372" s="195">
        <v>4.1250000000000002E-2</v>
      </c>
      <c r="M372" s="195">
        <v>0</v>
      </c>
      <c r="N372" s="195">
        <v>0</v>
      </c>
    </row>
    <row r="373" spans="1:14" hidden="1" x14ac:dyDescent="0.35">
      <c r="A373" s="52" t="s">
        <v>206</v>
      </c>
      <c r="B373" s="52" t="s">
        <v>73</v>
      </c>
      <c r="C373" s="52" t="s">
        <v>324</v>
      </c>
      <c r="D373" s="52" t="s">
        <v>370</v>
      </c>
      <c r="E373" s="52" t="s">
        <v>584</v>
      </c>
      <c r="F373" s="52" t="s">
        <v>26</v>
      </c>
      <c r="G373" s="195" t="s">
        <v>278</v>
      </c>
      <c r="H373" s="195">
        <v>2.10225E-2</v>
      </c>
      <c r="I373" s="195">
        <v>4.5223949999999999E-2</v>
      </c>
      <c r="J373" s="195">
        <v>3.7829099999999997E-2</v>
      </c>
      <c r="K373" s="195">
        <v>3.1945950000000001E-2</v>
      </c>
      <c r="L373" s="195">
        <v>2.8660499999999998E-2</v>
      </c>
      <c r="M373" s="195">
        <v>5.8878E-2</v>
      </c>
      <c r="N373" s="195">
        <v>0</v>
      </c>
    </row>
    <row r="374" spans="1:14" hidden="1" x14ac:dyDescent="0.35">
      <c r="A374" s="52" t="s">
        <v>206</v>
      </c>
      <c r="B374" s="52" t="s">
        <v>73</v>
      </c>
      <c r="C374" s="52" t="s">
        <v>324</v>
      </c>
      <c r="D374" s="52" t="s">
        <v>370</v>
      </c>
      <c r="E374" s="52" t="s">
        <v>584</v>
      </c>
      <c r="F374" s="52" t="s">
        <v>26</v>
      </c>
      <c r="G374" s="195" t="s">
        <v>279</v>
      </c>
      <c r="H374" s="195"/>
      <c r="I374" s="195"/>
      <c r="J374" s="195"/>
      <c r="K374" s="195"/>
      <c r="L374" s="195">
        <v>0</v>
      </c>
      <c r="M374" s="195">
        <v>6.1725E-3</v>
      </c>
      <c r="N374" s="195">
        <v>6.1725E-3</v>
      </c>
    </row>
    <row r="375" spans="1:14" hidden="1" x14ac:dyDescent="0.35">
      <c r="A375" s="52" t="s">
        <v>206</v>
      </c>
      <c r="B375" s="52" t="s">
        <v>73</v>
      </c>
      <c r="C375" s="52" t="s">
        <v>262</v>
      </c>
      <c r="D375" s="52" t="s">
        <v>375</v>
      </c>
      <c r="E375" s="52" t="s">
        <v>584</v>
      </c>
      <c r="F375" s="52" t="s">
        <v>581</v>
      </c>
      <c r="G375" s="195" t="s">
        <v>275</v>
      </c>
      <c r="H375" s="195">
        <v>-1.23164E-2</v>
      </c>
      <c r="I375" s="195">
        <v>-3.8111999999999998E-3</v>
      </c>
      <c r="J375" s="195">
        <v>0</v>
      </c>
      <c r="K375" s="195">
        <v>0</v>
      </c>
      <c r="L375" s="195">
        <v>0</v>
      </c>
      <c r="M375" s="195">
        <v>0</v>
      </c>
      <c r="N375" s="195">
        <v>0</v>
      </c>
    </row>
    <row r="376" spans="1:14" hidden="1" x14ac:dyDescent="0.35">
      <c r="A376" s="52" t="s">
        <v>206</v>
      </c>
      <c r="B376" s="52" t="s">
        <v>73</v>
      </c>
      <c r="C376" s="52" t="s">
        <v>262</v>
      </c>
      <c r="D376" s="52" t="s">
        <v>375</v>
      </c>
      <c r="E376" s="52" t="s">
        <v>584</v>
      </c>
      <c r="F376" s="52" t="s">
        <v>581</v>
      </c>
      <c r="G376" s="195" t="s">
        <v>276</v>
      </c>
      <c r="H376" s="195">
        <v>-7.6920790000000003E-2</v>
      </c>
      <c r="I376" s="195">
        <v>-5.4483209999999997E-2</v>
      </c>
      <c r="J376" s="195">
        <v>-3.6778330000000001</v>
      </c>
      <c r="K376" s="195">
        <v>-5.913761E-2</v>
      </c>
      <c r="L376" s="195">
        <v>-6.4655589999999999E-2</v>
      </c>
      <c r="M376" s="195">
        <v>-0.1205936</v>
      </c>
      <c r="N376" s="195">
        <v>-0.34099400000000002</v>
      </c>
    </row>
    <row r="377" spans="1:14" hidden="1" x14ac:dyDescent="0.35">
      <c r="A377" s="52" t="s">
        <v>206</v>
      </c>
      <c r="B377" s="52" t="s">
        <v>73</v>
      </c>
      <c r="C377" s="52" t="s">
        <v>262</v>
      </c>
      <c r="D377" s="52" t="s">
        <v>375</v>
      </c>
      <c r="E377" s="52" t="s">
        <v>584</v>
      </c>
      <c r="F377" s="52" t="s">
        <v>581</v>
      </c>
      <c r="G377" s="195" t="s">
        <v>277</v>
      </c>
      <c r="H377" s="195"/>
      <c r="I377" s="195"/>
      <c r="J377" s="195"/>
      <c r="K377" s="195">
        <v>0</v>
      </c>
      <c r="L377" s="195">
        <v>1.1599999999999999E-2</v>
      </c>
      <c r="M377" s="195">
        <v>1.1599999999999999E-2</v>
      </c>
      <c r="N377" s="195">
        <v>0.23200000000000001</v>
      </c>
    </row>
    <row r="378" spans="1:14" hidden="1" x14ac:dyDescent="0.35">
      <c r="A378" s="52" t="s">
        <v>206</v>
      </c>
      <c r="B378" s="52" t="s">
        <v>73</v>
      </c>
      <c r="C378" s="52" t="s">
        <v>262</v>
      </c>
      <c r="D378" s="52" t="s">
        <v>375</v>
      </c>
      <c r="E378" s="52" t="s">
        <v>584</v>
      </c>
      <c r="F378" s="52" t="s">
        <v>581</v>
      </c>
      <c r="G378" s="195" t="s">
        <v>278</v>
      </c>
      <c r="H378" s="195">
        <v>8.9237200000000003E-2</v>
      </c>
      <c r="I378" s="195">
        <v>5.8295199999999998E-2</v>
      </c>
      <c r="J378" s="195">
        <v>3.6778330000000001</v>
      </c>
      <c r="K378" s="195">
        <v>5.9137599999999999E-2</v>
      </c>
      <c r="L378" s="195">
        <v>5.305559E-2</v>
      </c>
      <c r="M378" s="195">
        <v>0.10899399999999999</v>
      </c>
      <c r="N378" s="195">
        <v>0.10899399999999999</v>
      </c>
    </row>
    <row r="379" spans="1:14" hidden="1" x14ac:dyDescent="0.35">
      <c r="A379" s="52" t="s">
        <v>206</v>
      </c>
      <c r="B379" s="52" t="s">
        <v>73</v>
      </c>
      <c r="C379" s="52" t="s">
        <v>262</v>
      </c>
      <c r="D379" s="52" t="s">
        <v>375</v>
      </c>
      <c r="E379" s="52" t="s">
        <v>584</v>
      </c>
      <c r="F379" s="52" t="s">
        <v>581</v>
      </c>
      <c r="G379" s="195" t="s">
        <v>279</v>
      </c>
      <c r="H379" s="195"/>
      <c r="I379" s="195"/>
      <c r="J379" s="195"/>
      <c r="K379" s="195"/>
      <c r="L379" s="195"/>
      <c r="M379" s="195"/>
      <c r="N379" s="195">
        <v>0</v>
      </c>
    </row>
    <row r="380" spans="1:14" hidden="1" x14ac:dyDescent="0.35">
      <c r="A380" s="52" t="s">
        <v>206</v>
      </c>
      <c r="B380" s="52" t="s">
        <v>73</v>
      </c>
      <c r="C380" s="52" t="s">
        <v>262</v>
      </c>
      <c r="D380" s="52" t="s">
        <v>375</v>
      </c>
      <c r="E380" s="52" t="s">
        <v>584</v>
      </c>
      <c r="F380" s="52" t="s">
        <v>26</v>
      </c>
      <c r="G380" s="195" t="s">
        <v>275</v>
      </c>
      <c r="H380" s="195"/>
      <c r="I380" s="195"/>
      <c r="J380" s="195"/>
      <c r="K380" s="195"/>
      <c r="L380" s="195"/>
      <c r="M380" s="195"/>
      <c r="N380" s="195">
        <v>0</v>
      </c>
    </row>
    <row r="381" spans="1:14" hidden="1" x14ac:dyDescent="0.35">
      <c r="A381" s="52" t="s">
        <v>206</v>
      </c>
      <c r="B381" s="52" t="s">
        <v>73</v>
      </c>
      <c r="C381" s="52" t="s">
        <v>262</v>
      </c>
      <c r="D381" s="52" t="s">
        <v>375</v>
      </c>
      <c r="E381" s="52" t="s">
        <v>584</v>
      </c>
      <c r="F381" s="52" t="s">
        <v>26</v>
      </c>
      <c r="G381" s="195" t="s">
        <v>276</v>
      </c>
      <c r="H381" s="195"/>
      <c r="I381" s="195"/>
      <c r="J381" s="195"/>
      <c r="K381" s="195"/>
      <c r="L381" s="195"/>
      <c r="M381" s="195"/>
      <c r="N381" s="195">
        <v>0</v>
      </c>
    </row>
    <row r="382" spans="1:14" hidden="1" x14ac:dyDescent="0.35">
      <c r="A382" s="52" t="s">
        <v>206</v>
      </c>
      <c r="B382" s="52" t="s">
        <v>73</v>
      </c>
      <c r="C382" s="52" t="s">
        <v>262</v>
      </c>
      <c r="D382" s="52" t="s">
        <v>375</v>
      </c>
      <c r="E382" s="52" t="s">
        <v>584</v>
      </c>
      <c r="F382" s="52" t="s">
        <v>26</v>
      </c>
      <c r="G382" s="195" t="s">
        <v>279</v>
      </c>
      <c r="H382" s="195"/>
      <c r="I382" s="195"/>
      <c r="J382" s="195"/>
      <c r="K382" s="195"/>
      <c r="L382" s="195"/>
      <c r="M382" s="195"/>
      <c r="N382" s="195">
        <v>0</v>
      </c>
    </row>
    <row r="383" spans="1:14" hidden="1" x14ac:dyDescent="0.35">
      <c r="A383" s="52" t="s">
        <v>206</v>
      </c>
      <c r="B383" s="52" t="s">
        <v>73</v>
      </c>
      <c r="C383" s="52" t="s">
        <v>318</v>
      </c>
      <c r="D383" s="52" t="s">
        <v>318</v>
      </c>
      <c r="E383" s="52" t="s">
        <v>584</v>
      </c>
      <c r="F383" s="52" t="s">
        <v>581</v>
      </c>
      <c r="G383" s="195" t="s">
        <v>275</v>
      </c>
      <c r="H383" s="195">
        <v>-1.216315</v>
      </c>
      <c r="I383" s="195">
        <v>0</v>
      </c>
      <c r="J383" s="195"/>
      <c r="K383" s="195"/>
      <c r="L383" s="195"/>
      <c r="M383" s="195"/>
      <c r="N383" s="195"/>
    </row>
    <row r="384" spans="1:14" hidden="1" x14ac:dyDescent="0.35">
      <c r="A384" s="52" t="s">
        <v>206</v>
      </c>
      <c r="B384" s="52" t="s">
        <v>73</v>
      </c>
      <c r="C384" s="52" t="s">
        <v>318</v>
      </c>
      <c r="D384" s="52" t="s">
        <v>318</v>
      </c>
      <c r="E384" s="52" t="s">
        <v>584</v>
      </c>
      <c r="F384" s="52" t="s">
        <v>581</v>
      </c>
      <c r="G384" s="195" t="s">
        <v>276</v>
      </c>
      <c r="H384" s="195">
        <v>-6.0234399999999999</v>
      </c>
      <c r="I384" s="195">
        <v>0</v>
      </c>
      <c r="J384" s="195"/>
      <c r="K384" s="195"/>
      <c r="L384" s="195"/>
      <c r="M384" s="195"/>
      <c r="N384" s="195"/>
    </row>
    <row r="385" spans="1:14" hidden="1" x14ac:dyDescent="0.35">
      <c r="A385" s="52" t="s">
        <v>206</v>
      </c>
      <c r="B385" s="52" t="s">
        <v>73</v>
      </c>
      <c r="C385" s="52" t="s">
        <v>318</v>
      </c>
      <c r="D385" s="52" t="s">
        <v>318</v>
      </c>
      <c r="E385" s="52" t="s">
        <v>584</v>
      </c>
      <c r="F385" s="52" t="s">
        <v>581</v>
      </c>
      <c r="G385" s="195" t="s">
        <v>278</v>
      </c>
      <c r="H385" s="195">
        <v>7.2397520000000002</v>
      </c>
      <c r="I385" s="195">
        <v>0</v>
      </c>
      <c r="J385" s="195"/>
      <c r="K385" s="195"/>
      <c r="L385" s="195"/>
      <c r="M385" s="195"/>
      <c r="N385" s="195"/>
    </row>
    <row r="386" spans="1:14" hidden="1" x14ac:dyDescent="0.35">
      <c r="A386" s="52" t="s">
        <v>206</v>
      </c>
      <c r="B386" s="52" t="s">
        <v>73</v>
      </c>
      <c r="C386" s="52" t="s">
        <v>318</v>
      </c>
      <c r="D386" s="52" t="s">
        <v>318</v>
      </c>
      <c r="E386" s="52" t="s">
        <v>584</v>
      </c>
      <c r="F386" s="52" t="s">
        <v>26</v>
      </c>
      <c r="G386" s="195" t="s">
        <v>275</v>
      </c>
      <c r="H386" s="195">
        <v>-0.81087500000000001</v>
      </c>
      <c r="I386" s="195">
        <v>0</v>
      </c>
      <c r="J386" s="195"/>
      <c r="K386" s="195"/>
      <c r="L386" s="195"/>
      <c r="M386" s="195"/>
      <c r="N386" s="195"/>
    </row>
    <row r="387" spans="1:14" hidden="1" x14ac:dyDescent="0.35">
      <c r="A387" s="52" t="s">
        <v>206</v>
      </c>
      <c r="B387" s="52" t="s">
        <v>73</v>
      </c>
      <c r="C387" s="52" t="s">
        <v>318</v>
      </c>
      <c r="D387" s="52" t="s">
        <v>318</v>
      </c>
      <c r="E387" s="52" t="s">
        <v>584</v>
      </c>
      <c r="F387" s="52" t="s">
        <v>26</v>
      </c>
      <c r="G387" s="195" t="s">
        <v>276</v>
      </c>
      <c r="H387" s="195">
        <v>-4.0156260000000001</v>
      </c>
      <c r="I387" s="195">
        <v>0</v>
      </c>
      <c r="J387" s="195"/>
      <c r="K387" s="195"/>
      <c r="L387" s="195"/>
      <c r="M387" s="195"/>
      <c r="N387" s="195"/>
    </row>
    <row r="388" spans="1:14" hidden="1" x14ac:dyDescent="0.35">
      <c r="A388" s="52" t="s">
        <v>206</v>
      </c>
      <c r="B388" s="52" t="s">
        <v>73</v>
      </c>
      <c r="C388" s="52" t="s">
        <v>318</v>
      </c>
      <c r="D388" s="52" t="s">
        <v>318</v>
      </c>
      <c r="E388" s="52" t="s">
        <v>584</v>
      </c>
      <c r="F388" s="52" t="s">
        <v>26</v>
      </c>
      <c r="G388" s="195" t="s">
        <v>278</v>
      </c>
      <c r="H388" s="195">
        <v>4.8265039999999999</v>
      </c>
      <c r="I388" s="195">
        <v>0</v>
      </c>
      <c r="J388" s="195"/>
      <c r="K388" s="195"/>
      <c r="L388" s="195"/>
      <c r="M388" s="195"/>
      <c r="N388" s="195"/>
    </row>
    <row r="389" spans="1:14" hidden="1" x14ac:dyDescent="0.35">
      <c r="A389" s="52" t="s">
        <v>206</v>
      </c>
      <c r="B389" s="52" t="s">
        <v>73</v>
      </c>
      <c r="C389" s="52" t="s">
        <v>184</v>
      </c>
      <c r="D389" s="52" t="s">
        <v>185</v>
      </c>
      <c r="E389" s="52" t="s">
        <v>584</v>
      </c>
      <c r="F389" s="52" t="s">
        <v>581</v>
      </c>
      <c r="G389" s="195" t="s">
        <v>275</v>
      </c>
      <c r="H389" s="195">
        <v>-2.1686400000000002E-2</v>
      </c>
      <c r="I389" s="195"/>
      <c r="J389" s="195"/>
      <c r="K389" s="195"/>
      <c r="L389" s="195">
        <v>0</v>
      </c>
      <c r="M389" s="195"/>
      <c r="N389" s="195"/>
    </row>
    <row r="390" spans="1:14" hidden="1" x14ac:dyDescent="0.35">
      <c r="A390" s="52" t="s">
        <v>206</v>
      </c>
      <c r="B390" s="52" t="s">
        <v>73</v>
      </c>
      <c r="C390" s="52" t="s">
        <v>184</v>
      </c>
      <c r="D390" s="52" t="s">
        <v>185</v>
      </c>
      <c r="E390" s="52" t="s">
        <v>584</v>
      </c>
      <c r="F390" s="52" t="s">
        <v>581</v>
      </c>
      <c r="G390" s="195" t="s">
        <v>276</v>
      </c>
      <c r="H390" s="195">
        <v>-9.9168599999999996E-2</v>
      </c>
      <c r="I390" s="195"/>
      <c r="J390" s="195"/>
      <c r="K390" s="195"/>
      <c r="L390" s="195">
        <v>0</v>
      </c>
      <c r="M390" s="195"/>
      <c r="N390" s="195"/>
    </row>
    <row r="391" spans="1:14" hidden="1" x14ac:dyDescent="0.35">
      <c r="A391" s="52" t="s">
        <v>206</v>
      </c>
      <c r="B391" s="52" t="s">
        <v>73</v>
      </c>
      <c r="C391" s="52" t="s">
        <v>184</v>
      </c>
      <c r="D391" s="52" t="s">
        <v>185</v>
      </c>
      <c r="E391" s="52" t="s">
        <v>584</v>
      </c>
      <c r="F391" s="52" t="s">
        <v>581</v>
      </c>
      <c r="G391" s="195" t="s">
        <v>277</v>
      </c>
      <c r="H391" s="195"/>
      <c r="I391" s="195"/>
      <c r="J391" s="195"/>
      <c r="K391" s="195"/>
      <c r="L391" s="195">
        <v>0</v>
      </c>
      <c r="M391" s="195"/>
      <c r="N391" s="195">
        <v>0</v>
      </c>
    </row>
    <row r="392" spans="1:14" hidden="1" x14ac:dyDescent="0.35">
      <c r="A392" s="52" t="s">
        <v>206</v>
      </c>
      <c r="B392" s="52" t="s">
        <v>73</v>
      </c>
      <c r="C392" s="52" t="s">
        <v>184</v>
      </c>
      <c r="D392" s="52" t="s">
        <v>185</v>
      </c>
      <c r="E392" s="52" t="s">
        <v>584</v>
      </c>
      <c r="F392" s="52" t="s">
        <v>581</v>
      </c>
      <c r="G392" s="195" t="s">
        <v>278</v>
      </c>
      <c r="H392" s="195">
        <v>0.120855</v>
      </c>
      <c r="I392" s="195"/>
      <c r="J392" s="195">
        <v>0</v>
      </c>
      <c r="K392" s="195"/>
      <c r="L392" s="195">
        <v>0</v>
      </c>
      <c r="M392" s="195"/>
      <c r="N392" s="195"/>
    </row>
    <row r="393" spans="1:14" hidden="1" x14ac:dyDescent="0.35">
      <c r="A393" s="52" t="s">
        <v>206</v>
      </c>
      <c r="B393" s="52" t="s">
        <v>73</v>
      </c>
      <c r="C393" s="52" t="s">
        <v>184</v>
      </c>
      <c r="D393" s="52" t="s">
        <v>185</v>
      </c>
      <c r="E393" s="52" t="s">
        <v>584</v>
      </c>
      <c r="F393" s="52" t="s">
        <v>26</v>
      </c>
      <c r="G393" s="195" t="s">
        <v>275</v>
      </c>
      <c r="H393" s="195">
        <v>0</v>
      </c>
      <c r="I393" s="195">
        <v>-1.0167600000000001E-2</v>
      </c>
      <c r="J393" s="195">
        <v>0</v>
      </c>
      <c r="K393" s="195">
        <v>0</v>
      </c>
      <c r="L393" s="195">
        <v>0</v>
      </c>
      <c r="M393" s="195">
        <v>0</v>
      </c>
      <c r="N393" s="195">
        <v>0</v>
      </c>
    </row>
    <row r="394" spans="1:14" hidden="1" x14ac:dyDescent="0.35">
      <c r="A394" s="52" t="s">
        <v>206</v>
      </c>
      <c r="B394" s="52" t="s">
        <v>73</v>
      </c>
      <c r="C394" s="52" t="s">
        <v>184</v>
      </c>
      <c r="D394" s="52" t="s">
        <v>185</v>
      </c>
      <c r="E394" s="52" t="s">
        <v>584</v>
      </c>
      <c r="F394" s="52" t="s">
        <v>26</v>
      </c>
      <c r="G394" s="195" t="s">
        <v>276</v>
      </c>
      <c r="H394" s="195"/>
      <c r="I394" s="195">
        <v>-6.8782200000000002E-2</v>
      </c>
      <c r="J394" s="195">
        <v>-9.48402E-2</v>
      </c>
      <c r="K394" s="195">
        <v>-4.946523</v>
      </c>
      <c r="L394" s="195">
        <v>-7.1853589999999995E-2</v>
      </c>
      <c r="M394" s="195">
        <v>-0.16501199999999999</v>
      </c>
      <c r="N394" s="195">
        <v>-0.16501199999999999</v>
      </c>
    </row>
    <row r="395" spans="1:14" hidden="1" x14ac:dyDescent="0.35">
      <c r="A395" s="52" t="s">
        <v>206</v>
      </c>
      <c r="B395" s="52" t="s">
        <v>73</v>
      </c>
      <c r="C395" s="52" t="s">
        <v>184</v>
      </c>
      <c r="D395" s="52" t="s">
        <v>185</v>
      </c>
      <c r="E395" s="52" t="s">
        <v>584</v>
      </c>
      <c r="F395" s="52" t="s">
        <v>26</v>
      </c>
      <c r="G395" s="195" t="s">
        <v>277</v>
      </c>
      <c r="H395" s="195"/>
      <c r="I395" s="195"/>
      <c r="J395" s="195"/>
      <c r="K395" s="195"/>
      <c r="L395" s="195">
        <v>0</v>
      </c>
      <c r="M395" s="195">
        <v>1.7399999999999999E-2</v>
      </c>
      <c r="N395" s="195">
        <v>1.7399999999999999E-2</v>
      </c>
    </row>
    <row r="396" spans="1:14" hidden="1" x14ac:dyDescent="0.35">
      <c r="A396" s="52" t="s">
        <v>206</v>
      </c>
      <c r="B396" s="52" t="s">
        <v>73</v>
      </c>
      <c r="C396" s="52" t="s">
        <v>184</v>
      </c>
      <c r="D396" s="52" t="s">
        <v>185</v>
      </c>
      <c r="E396" s="52" t="s">
        <v>584</v>
      </c>
      <c r="F396" s="52" t="s">
        <v>26</v>
      </c>
      <c r="G396" s="195" t="s">
        <v>278</v>
      </c>
      <c r="H396" s="195"/>
      <c r="I396" s="195">
        <v>7.8949809999999995E-2</v>
      </c>
      <c r="J396" s="195">
        <v>9.48402E-2</v>
      </c>
      <c r="K396" s="195">
        <v>4.9465219999999999</v>
      </c>
      <c r="L396" s="195">
        <v>7.1854199999999993E-2</v>
      </c>
      <c r="M396" s="195">
        <v>0.14761199999999999</v>
      </c>
      <c r="N396" s="195">
        <v>0.14761199999999999</v>
      </c>
    </row>
    <row r="397" spans="1:14" hidden="1" x14ac:dyDescent="0.35">
      <c r="A397" s="52" t="s">
        <v>206</v>
      </c>
      <c r="B397" s="52" t="s">
        <v>73</v>
      </c>
      <c r="C397" s="52" t="s">
        <v>184</v>
      </c>
      <c r="D397" s="52" t="s">
        <v>378</v>
      </c>
      <c r="E397" s="52" t="s">
        <v>584</v>
      </c>
      <c r="F397" s="52" t="s">
        <v>581</v>
      </c>
      <c r="G397" s="195" t="s">
        <v>275</v>
      </c>
      <c r="H397" s="195">
        <v>-1.1698800000000001E-2</v>
      </c>
      <c r="I397" s="195"/>
      <c r="J397" s="195"/>
      <c r="K397" s="195"/>
      <c r="L397" s="195">
        <v>0</v>
      </c>
      <c r="M397" s="195"/>
      <c r="N397" s="195">
        <v>0</v>
      </c>
    </row>
    <row r="398" spans="1:14" hidden="1" x14ac:dyDescent="0.35">
      <c r="A398" s="52" t="s">
        <v>206</v>
      </c>
      <c r="B398" s="52" t="s">
        <v>73</v>
      </c>
      <c r="C398" s="52" t="s">
        <v>184</v>
      </c>
      <c r="D398" s="52" t="s">
        <v>378</v>
      </c>
      <c r="E398" s="52" t="s">
        <v>584</v>
      </c>
      <c r="F398" s="52" t="s">
        <v>581</v>
      </c>
      <c r="G398" s="195" t="s">
        <v>276</v>
      </c>
      <c r="H398" s="195">
        <v>-7.30624E-2</v>
      </c>
      <c r="I398" s="195"/>
      <c r="J398" s="195"/>
      <c r="K398" s="195"/>
      <c r="L398" s="195">
        <v>0</v>
      </c>
      <c r="M398" s="195"/>
      <c r="N398" s="195">
        <v>0</v>
      </c>
    </row>
    <row r="399" spans="1:14" hidden="1" x14ac:dyDescent="0.35">
      <c r="A399" s="52" t="s">
        <v>206</v>
      </c>
      <c r="B399" s="52" t="s">
        <v>73</v>
      </c>
      <c r="C399" s="52" t="s">
        <v>184</v>
      </c>
      <c r="D399" s="52" t="s">
        <v>378</v>
      </c>
      <c r="E399" s="52" t="s">
        <v>584</v>
      </c>
      <c r="F399" s="52" t="s">
        <v>581</v>
      </c>
      <c r="G399" s="195" t="s">
        <v>277</v>
      </c>
      <c r="H399" s="195"/>
      <c r="I399" s="195"/>
      <c r="J399" s="195"/>
      <c r="K399" s="195">
        <v>0</v>
      </c>
      <c r="L399" s="195"/>
      <c r="M399" s="195">
        <v>0</v>
      </c>
      <c r="N399" s="195">
        <v>0</v>
      </c>
    </row>
    <row r="400" spans="1:14" hidden="1" x14ac:dyDescent="0.35">
      <c r="A400" s="52" t="s">
        <v>206</v>
      </c>
      <c r="B400" s="52" t="s">
        <v>73</v>
      </c>
      <c r="C400" s="52" t="s">
        <v>184</v>
      </c>
      <c r="D400" s="52" t="s">
        <v>378</v>
      </c>
      <c r="E400" s="52" t="s">
        <v>584</v>
      </c>
      <c r="F400" s="52" t="s">
        <v>581</v>
      </c>
      <c r="G400" s="195" t="s">
        <v>278</v>
      </c>
      <c r="H400" s="195">
        <v>8.4761989999999995E-2</v>
      </c>
      <c r="I400" s="195">
        <v>0</v>
      </c>
      <c r="J400" s="195"/>
      <c r="K400" s="195">
        <v>0</v>
      </c>
      <c r="L400" s="195"/>
      <c r="M400" s="195"/>
      <c r="N400" s="195"/>
    </row>
    <row r="401" spans="1:14" hidden="1" x14ac:dyDescent="0.35">
      <c r="A401" s="52" t="s">
        <v>206</v>
      </c>
      <c r="B401" s="52" t="s">
        <v>73</v>
      </c>
      <c r="C401" s="52" t="s">
        <v>184</v>
      </c>
      <c r="D401" s="52" t="s">
        <v>378</v>
      </c>
      <c r="E401" s="52" t="s">
        <v>584</v>
      </c>
      <c r="F401" s="52" t="s">
        <v>581</v>
      </c>
      <c r="G401" s="195" t="s">
        <v>279</v>
      </c>
      <c r="H401" s="195"/>
      <c r="I401" s="195"/>
      <c r="J401" s="195"/>
      <c r="K401" s="195"/>
      <c r="L401" s="195"/>
      <c r="M401" s="195"/>
      <c r="N401" s="195">
        <v>0</v>
      </c>
    </row>
    <row r="402" spans="1:14" hidden="1" x14ac:dyDescent="0.35">
      <c r="A402" s="52" t="s">
        <v>206</v>
      </c>
      <c r="B402" s="52" t="s">
        <v>73</v>
      </c>
      <c r="C402" s="52" t="s">
        <v>184</v>
      </c>
      <c r="D402" s="52" t="s">
        <v>378</v>
      </c>
      <c r="E402" s="52" t="s">
        <v>584</v>
      </c>
      <c r="F402" s="52" t="s">
        <v>26</v>
      </c>
      <c r="G402" s="195" t="s">
        <v>275</v>
      </c>
      <c r="H402" s="195">
        <v>0</v>
      </c>
      <c r="I402" s="195">
        <v>-3.6203989999999998E-3</v>
      </c>
      <c r="J402" s="195">
        <v>0</v>
      </c>
      <c r="K402" s="195">
        <v>0</v>
      </c>
      <c r="L402" s="195">
        <v>0</v>
      </c>
      <c r="M402" s="195">
        <v>0</v>
      </c>
      <c r="N402" s="195">
        <v>0</v>
      </c>
    </row>
    <row r="403" spans="1:14" hidden="1" x14ac:dyDescent="0.35">
      <c r="A403" s="52" t="s">
        <v>206</v>
      </c>
      <c r="B403" s="52" t="s">
        <v>73</v>
      </c>
      <c r="C403" s="52" t="s">
        <v>184</v>
      </c>
      <c r="D403" s="52" t="s">
        <v>378</v>
      </c>
      <c r="E403" s="52" t="s">
        <v>584</v>
      </c>
      <c r="F403" s="52" t="s">
        <v>26</v>
      </c>
      <c r="G403" s="195" t="s">
        <v>276</v>
      </c>
      <c r="H403" s="195"/>
      <c r="I403" s="195">
        <v>-5.17508E-2</v>
      </c>
      <c r="J403" s="195">
        <v>-20.463280000000001</v>
      </c>
      <c r="K403" s="195">
        <v>-5.617171E-2</v>
      </c>
      <c r="L403" s="195">
        <v>-0.1083948</v>
      </c>
      <c r="M403" s="195">
        <v>-0.1615277</v>
      </c>
      <c r="N403" s="195">
        <v>-0.68352760000000001</v>
      </c>
    </row>
    <row r="404" spans="1:14" hidden="1" x14ac:dyDescent="0.35">
      <c r="A404" s="52" t="s">
        <v>206</v>
      </c>
      <c r="B404" s="52" t="s">
        <v>73</v>
      </c>
      <c r="C404" s="52" t="s">
        <v>184</v>
      </c>
      <c r="D404" s="52" t="s">
        <v>378</v>
      </c>
      <c r="E404" s="52" t="s">
        <v>584</v>
      </c>
      <c r="F404" s="52" t="s">
        <v>26</v>
      </c>
      <c r="G404" s="195" t="s">
        <v>277</v>
      </c>
      <c r="H404" s="195"/>
      <c r="I404" s="195"/>
      <c r="J404" s="195"/>
      <c r="K404" s="195">
        <v>0</v>
      </c>
      <c r="L404" s="195">
        <v>5.8000009999999998E-2</v>
      </c>
      <c r="M404" s="195">
        <v>5.8000000000000003E-2</v>
      </c>
      <c r="N404" s="195">
        <v>0.57999999999999996</v>
      </c>
    </row>
    <row r="405" spans="1:14" hidden="1" x14ac:dyDescent="0.35">
      <c r="A405" s="52" t="s">
        <v>206</v>
      </c>
      <c r="B405" s="52" t="s">
        <v>73</v>
      </c>
      <c r="C405" s="52" t="s">
        <v>184</v>
      </c>
      <c r="D405" s="52" t="s">
        <v>378</v>
      </c>
      <c r="E405" s="52" t="s">
        <v>584</v>
      </c>
      <c r="F405" s="52" t="s">
        <v>26</v>
      </c>
      <c r="G405" s="195" t="s">
        <v>278</v>
      </c>
      <c r="H405" s="195"/>
      <c r="I405" s="195">
        <v>5.5371200000000002E-2</v>
      </c>
      <c r="J405" s="195">
        <v>20.463280000000001</v>
      </c>
      <c r="K405" s="195">
        <v>5.6171600000000002E-2</v>
      </c>
      <c r="L405" s="195">
        <v>5.0394799999999997E-2</v>
      </c>
      <c r="M405" s="195">
        <v>0.1035276</v>
      </c>
      <c r="N405" s="195">
        <v>0.1035276</v>
      </c>
    </row>
    <row r="406" spans="1:14" hidden="1" x14ac:dyDescent="0.35">
      <c r="A406" s="52" t="s">
        <v>206</v>
      </c>
      <c r="B406" s="52" t="s">
        <v>73</v>
      </c>
      <c r="C406" s="52" t="s">
        <v>184</v>
      </c>
      <c r="D406" s="52" t="s">
        <v>378</v>
      </c>
      <c r="E406" s="52" t="s">
        <v>584</v>
      </c>
      <c r="F406" s="52" t="s">
        <v>26</v>
      </c>
      <c r="G406" s="195" t="s">
        <v>279</v>
      </c>
      <c r="H406" s="195"/>
      <c r="I406" s="195"/>
      <c r="J406" s="195"/>
      <c r="K406" s="195"/>
      <c r="L406" s="195"/>
      <c r="M406" s="195"/>
      <c r="N406" s="195">
        <v>0</v>
      </c>
    </row>
    <row r="407" spans="1:14" hidden="1" x14ac:dyDescent="0.35">
      <c r="A407" s="52" t="s">
        <v>206</v>
      </c>
      <c r="B407" s="52" t="s">
        <v>73</v>
      </c>
      <c r="C407" s="52" t="s">
        <v>184</v>
      </c>
      <c r="D407" s="52" t="s">
        <v>356</v>
      </c>
      <c r="E407" s="52" t="s">
        <v>584</v>
      </c>
      <c r="F407" s="52" t="s">
        <v>581</v>
      </c>
      <c r="G407" s="195" t="s">
        <v>275</v>
      </c>
      <c r="H407" s="195">
        <v>-1.39928E-2</v>
      </c>
      <c r="I407" s="195"/>
      <c r="J407" s="195"/>
      <c r="K407" s="195"/>
      <c r="L407" s="195">
        <v>0</v>
      </c>
      <c r="M407" s="195"/>
      <c r="N407" s="195">
        <v>0</v>
      </c>
    </row>
    <row r="408" spans="1:14" hidden="1" x14ac:dyDescent="0.35">
      <c r="A408" s="52" t="s">
        <v>206</v>
      </c>
      <c r="B408" s="52" t="s">
        <v>73</v>
      </c>
      <c r="C408" s="52" t="s">
        <v>184</v>
      </c>
      <c r="D408" s="52" t="s">
        <v>356</v>
      </c>
      <c r="E408" s="52" t="s">
        <v>584</v>
      </c>
      <c r="F408" s="52" t="s">
        <v>581</v>
      </c>
      <c r="G408" s="195" t="s">
        <v>276</v>
      </c>
      <c r="H408" s="195">
        <v>-0.13950319999999999</v>
      </c>
      <c r="I408" s="195"/>
      <c r="J408" s="195"/>
      <c r="K408" s="195"/>
      <c r="L408" s="195">
        <v>0</v>
      </c>
      <c r="M408" s="195"/>
      <c r="N408" s="195">
        <v>0</v>
      </c>
    </row>
    <row r="409" spans="1:14" hidden="1" x14ac:dyDescent="0.35">
      <c r="A409" s="52" t="s">
        <v>206</v>
      </c>
      <c r="B409" s="52" t="s">
        <v>73</v>
      </c>
      <c r="C409" s="52" t="s">
        <v>184</v>
      </c>
      <c r="D409" s="52" t="s">
        <v>356</v>
      </c>
      <c r="E409" s="52" t="s">
        <v>584</v>
      </c>
      <c r="F409" s="52" t="s">
        <v>581</v>
      </c>
      <c r="G409" s="195" t="s">
        <v>277</v>
      </c>
      <c r="H409" s="195"/>
      <c r="I409" s="195"/>
      <c r="J409" s="195"/>
      <c r="K409" s="195">
        <v>0</v>
      </c>
      <c r="L409" s="195"/>
      <c r="M409" s="195">
        <v>0</v>
      </c>
      <c r="N409" s="195">
        <v>0</v>
      </c>
    </row>
    <row r="410" spans="1:14" hidden="1" x14ac:dyDescent="0.35">
      <c r="A410" s="52" t="s">
        <v>206</v>
      </c>
      <c r="B410" s="52" t="s">
        <v>73</v>
      </c>
      <c r="C410" s="52" t="s">
        <v>184</v>
      </c>
      <c r="D410" s="52" t="s">
        <v>356</v>
      </c>
      <c r="E410" s="52" t="s">
        <v>584</v>
      </c>
      <c r="F410" s="52" t="s">
        <v>581</v>
      </c>
      <c r="G410" s="195" t="s">
        <v>278</v>
      </c>
      <c r="H410" s="195">
        <v>0.15349599999999999</v>
      </c>
      <c r="I410" s="195">
        <v>0</v>
      </c>
      <c r="J410" s="195">
        <v>0</v>
      </c>
      <c r="K410" s="195">
        <v>0</v>
      </c>
      <c r="L410" s="195"/>
      <c r="M410" s="195"/>
      <c r="N410" s="195"/>
    </row>
    <row r="411" spans="1:14" hidden="1" x14ac:dyDescent="0.35">
      <c r="A411" s="52" t="s">
        <v>206</v>
      </c>
      <c r="B411" s="52" t="s">
        <v>73</v>
      </c>
      <c r="C411" s="52" t="s">
        <v>184</v>
      </c>
      <c r="D411" s="52" t="s">
        <v>356</v>
      </c>
      <c r="E411" s="52" t="s">
        <v>584</v>
      </c>
      <c r="F411" s="52" t="s">
        <v>581</v>
      </c>
      <c r="G411" s="195" t="s">
        <v>279</v>
      </c>
      <c r="H411" s="195"/>
      <c r="I411" s="195"/>
      <c r="J411" s="195"/>
      <c r="K411" s="195"/>
      <c r="L411" s="195"/>
      <c r="M411" s="195"/>
      <c r="N411" s="195">
        <v>0</v>
      </c>
    </row>
    <row r="412" spans="1:14" hidden="1" x14ac:dyDescent="0.35">
      <c r="A412" s="52" t="s">
        <v>206</v>
      </c>
      <c r="B412" s="52" t="s">
        <v>73</v>
      </c>
      <c r="C412" s="52" t="s">
        <v>184</v>
      </c>
      <c r="D412" s="52" t="s">
        <v>356</v>
      </c>
      <c r="E412" s="52" t="s">
        <v>584</v>
      </c>
      <c r="F412" s="52" t="s">
        <v>26</v>
      </c>
      <c r="G412" s="195" t="s">
        <v>275</v>
      </c>
      <c r="H412" s="195">
        <v>0</v>
      </c>
      <c r="I412" s="195">
        <v>-6.7014849999999999</v>
      </c>
      <c r="J412" s="195">
        <v>0</v>
      </c>
      <c r="K412" s="195">
        <v>0</v>
      </c>
      <c r="L412" s="195">
        <v>0</v>
      </c>
      <c r="M412" s="195">
        <v>0</v>
      </c>
      <c r="N412" s="195">
        <v>0</v>
      </c>
    </row>
    <row r="413" spans="1:14" hidden="1" x14ac:dyDescent="0.35">
      <c r="A413" s="52" t="s">
        <v>206</v>
      </c>
      <c r="B413" s="52" t="s">
        <v>73</v>
      </c>
      <c r="C413" s="52" t="s">
        <v>184</v>
      </c>
      <c r="D413" s="52" t="s">
        <v>356</v>
      </c>
      <c r="E413" s="52" t="s">
        <v>584</v>
      </c>
      <c r="F413" s="52" t="s">
        <v>26</v>
      </c>
      <c r="G413" s="195" t="s">
        <v>276</v>
      </c>
      <c r="H413" s="195"/>
      <c r="I413" s="195">
        <v>-28.5105</v>
      </c>
      <c r="J413" s="195">
        <v>-1.585118</v>
      </c>
      <c r="K413" s="195">
        <v>-0.1017231</v>
      </c>
      <c r="L413" s="195">
        <v>-0.20726240000000001</v>
      </c>
      <c r="M413" s="195">
        <v>-0.3034808</v>
      </c>
      <c r="N413" s="195">
        <v>-1.34748</v>
      </c>
    </row>
    <row r="414" spans="1:14" hidden="1" x14ac:dyDescent="0.35">
      <c r="A414" s="52" t="s">
        <v>206</v>
      </c>
      <c r="B414" s="52" t="s">
        <v>73</v>
      </c>
      <c r="C414" s="52" t="s">
        <v>184</v>
      </c>
      <c r="D414" s="52" t="s">
        <v>356</v>
      </c>
      <c r="E414" s="52" t="s">
        <v>584</v>
      </c>
      <c r="F414" s="52" t="s">
        <v>26</v>
      </c>
      <c r="G414" s="195" t="s">
        <v>277</v>
      </c>
      <c r="H414" s="195"/>
      <c r="I414" s="195"/>
      <c r="J414" s="195"/>
      <c r="K414" s="195">
        <v>0</v>
      </c>
      <c r="L414" s="195">
        <v>0.11600000000000001</v>
      </c>
      <c r="M414" s="195">
        <v>0.11600000000000001</v>
      </c>
      <c r="N414" s="195">
        <v>1.1599999999999999</v>
      </c>
    </row>
    <row r="415" spans="1:14" hidden="1" x14ac:dyDescent="0.35">
      <c r="A415" s="52" t="s">
        <v>206</v>
      </c>
      <c r="B415" s="52" t="s">
        <v>73</v>
      </c>
      <c r="C415" s="52" t="s">
        <v>184</v>
      </c>
      <c r="D415" s="52" t="s">
        <v>356</v>
      </c>
      <c r="E415" s="52" t="s">
        <v>584</v>
      </c>
      <c r="F415" s="52" t="s">
        <v>26</v>
      </c>
      <c r="G415" s="195" t="s">
        <v>278</v>
      </c>
      <c r="H415" s="195">
        <v>0</v>
      </c>
      <c r="I415" s="195">
        <v>35.211979999999997</v>
      </c>
      <c r="J415" s="195">
        <v>1.5851170000000001</v>
      </c>
      <c r="K415" s="195">
        <v>0.1017216</v>
      </c>
      <c r="L415" s="195">
        <v>9.1260809999999998E-2</v>
      </c>
      <c r="M415" s="195">
        <v>0.18748000000000001</v>
      </c>
      <c r="N415" s="195">
        <v>0.18748000000000001</v>
      </c>
    </row>
    <row r="416" spans="1:14" hidden="1" x14ac:dyDescent="0.35">
      <c r="A416" s="52" t="s">
        <v>206</v>
      </c>
      <c r="B416" s="52" t="s">
        <v>73</v>
      </c>
      <c r="C416" s="52" t="s">
        <v>184</v>
      </c>
      <c r="D416" s="52" t="s">
        <v>356</v>
      </c>
      <c r="E416" s="52" t="s">
        <v>584</v>
      </c>
      <c r="F416" s="52" t="s">
        <v>26</v>
      </c>
      <c r="G416" s="195" t="s">
        <v>279</v>
      </c>
      <c r="H416" s="195"/>
      <c r="I416" s="195"/>
      <c r="J416" s="195"/>
      <c r="K416" s="195"/>
      <c r="L416" s="195"/>
      <c r="M416" s="195"/>
      <c r="N416" s="195">
        <v>0</v>
      </c>
    </row>
    <row r="417" spans="1:14" hidden="1" x14ac:dyDescent="0.35">
      <c r="A417" s="52" t="s">
        <v>206</v>
      </c>
      <c r="B417" s="52" t="s">
        <v>31</v>
      </c>
      <c r="C417" s="52" t="s">
        <v>30</v>
      </c>
      <c r="D417" s="52" t="s">
        <v>30</v>
      </c>
      <c r="E417" s="52" t="s">
        <v>584</v>
      </c>
      <c r="F417" s="52" t="s">
        <v>581</v>
      </c>
      <c r="G417" s="195" t="s">
        <v>275</v>
      </c>
      <c r="H417" s="195">
        <v>109.41200000000001</v>
      </c>
      <c r="I417" s="195">
        <v>38.362949999999998</v>
      </c>
      <c r="J417" s="195">
        <v>32.435229999999997</v>
      </c>
      <c r="K417" s="195">
        <v>32.494889999999998</v>
      </c>
      <c r="L417" s="195">
        <v>33.19567</v>
      </c>
      <c r="M417" s="195">
        <v>33.994199999999999</v>
      </c>
      <c r="N417" s="195">
        <v>34.803179999999998</v>
      </c>
    </row>
    <row r="418" spans="1:14" hidden="1" x14ac:dyDescent="0.35">
      <c r="A418" s="52" t="s">
        <v>206</v>
      </c>
      <c r="B418" s="52" t="s">
        <v>31</v>
      </c>
      <c r="C418" s="52" t="s">
        <v>30</v>
      </c>
      <c r="D418" s="52" t="s">
        <v>30</v>
      </c>
      <c r="E418" s="52" t="s">
        <v>584</v>
      </c>
      <c r="F418" s="52" t="s">
        <v>581</v>
      </c>
      <c r="G418" s="195" t="s">
        <v>276</v>
      </c>
      <c r="H418" s="195">
        <v>328.79360000000003</v>
      </c>
      <c r="I418" s="195">
        <v>114.9756</v>
      </c>
      <c r="J418" s="195">
        <v>97.025490000000005</v>
      </c>
      <c r="K418" s="195">
        <v>97.599459999999993</v>
      </c>
      <c r="L418" s="195">
        <v>100.08540000000001</v>
      </c>
      <c r="M418" s="195">
        <v>102.595</v>
      </c>
      <c r="N418" s="195">
        <v>105.12949999999999</v>
      </c>
    </row>
    <row r="419" spans="1:14" hidden="1" x14ac:dyDescent="0.35">
      <c r="A419" s="52" t="s">
        <v>206</v>
      </c>
      <c r="B419" s="52" t="s">
        <v>31</v>
      </c>
      <c r="C419" s="52" t="s">
        <v>30</v>
      </c>
      <c r="D419" s="52" t="s">
        <v>30</v>
      </c>
      <c r="E419" s="52" t="s">
        <v>584</v>
      </c>
      <c r="F419" s="52" t="s">
        <v>581</v>
      </c>
      <c r="G419" s="195" t="s">
        <v>277</v>
      </c>
      <c r="H419" s="195">
        <v>0.64428359999999996</v>
      </c>
      <c r="I419" s="195">
        <v>0.52445850000000005</v>
      </c>
      <c r="J419" s="195">
        <v>0.53392890000000004</v>
      </c>
      <c r="K419" s="195">
        <v>0.67754789999999998</v>
      </c>
      <c r="L419" s="195">
        <v>0.80275229999999997</v>
      </c>
      <c r="M419" s="195">
        <v>0.88983959999999995</v>
      </c>
      <c r="N419" s="195">
        <v>1.0259579999999999</v>
      </c>
    </row>
    <row r="420" spans="1:14" hidden="1" x14ac:dyDescent="0.35">
      <c r="A420" s="52" t="s">
        <v>206</v>
      </c>
      <c r="B420" s="52" t="s">
        <v>31</v>
      </c>
      <c r="C420" s="52" t="s">
        <v>30</v>
      </c>
      <c r="D420" s="52" t="s">
        <v>30</v>
      </c>
      <c r="E420" s="52" t="s">
        <v>584</v>
      </c>
      <c r="F420" s="52" t="s">
        <v>581</v>
      </c>
      <c r="G420" s="195" t="s">
        <v>279</v>
      </c>
      <c r="H420" s="195">
        <v>39.212589999999999</v>
      </c>
      <c r="I420" s="195">
        <v>36.843890000000002</v>
      </c>
      <c r="J420" s="195">
        <v>38.379429999999999</v>
      </c>
      <c r="K420" s="195">
        <v>41.813409999999998</v>
      </c>
      <c r="L420" s="195">
        <v>42.81908</v>
      </c>
      <c r="M420" s="195">
        <v>43.849829999999997</v>
      </c>
      <c r="N420" s="195">
        <v>44.906440000000003</v>
      </c>
    </row>
    <row r="421" spans="1:14" hidden="1" x14ac:dyDescent="0.35">
      <c r="A421" s="52" t="s">
        <v>206</v>
      </c>
      <c r="B421" s="52" t="s">
        <v>31</v>
      </c>
      <c r="C421" s="52" t="s">
        <v>30</v>
      </c>
      <c r="D421" s="52" t="s">
        <v>30</v>
      </c>
      <c r="E421" s="52" t="s">
        <v>584</v>
      </c>
      <c r="F421" s="52" t="s">
        <v>26</v>
      </c>
      <c r="G421" s="195" t="s">
        <v>275</v>
      </c>
      <c r="H421" s="195">
        <v>102.6686</v>
      </c>
      <c r="I421" s="195">
        <v>75.438999999999993</v>
      </c>
      <c r="J421" s="195">
        <v>79.851900000000001</v>
      </c>
      <c r="K421" s="195">
        <v>77.988600000000005</v>
      </c>
      <c r="L421" s="195">
        <v>79.866560000000007</v>
      </c>
      <c r="M421" s="195">
        <v>81.972629999999995</v>
      </c>
      <c r="N421" s="195">
        <v>84.067750000000004</v>
      </c>
    </row>
    <row r="422" spans="1:14" hidden="1" x14ac:dyDescent="0.35">
      <c r="A422" s="52" t="s">
        <v>206</v>
      </c>
      <c r="B422" s="52" t="s">
        <v>31</v>
      </c>
      <c r="C422" s="52" t="s">
        <v>30</v>
      </c>
      <c r="D422" s="52" t="s">
        <v>30</v>
      </c>
      <c r="E422" s="52" t="s">
        <v>584</v>
      </c>
      <c r="F422" s="52" t="s">
        <v>26</v>
      </c>
      <c r="G422" s="195" t="s">
        <v>276</v>
      </c>
      <c r="H422" s="195">
        <v>307.60989999999998</v>
      </c>
      <c r="I422" s="195">
        <v>225.9212</v>
      </c>
      <c r="J422" s="195">
        <v>239.15989999999999</v>
      </c>
      <c r="K422" s="195">
        <v>233.9658</v>
      </c>
      <c r="L422" s="195">
        <v>239.59970000000001</v>
      </c>
      <c r="M422" s="195">
        <v>245.9179</v>
      </c>
      <c r="N422" s="195">
        <v>252.20320000000001</v>
      </c>
    </row>
    <row r="423" spans="1:14" hidden="1" x14ac:dyDescent="0.35">
      <c r="A423" s="52" t="s">
        <v>206</v>
      </c>
      <c r="B423" s="52" t="s">
        <v>31</v>
      </c>
      <c r="C423" s="52" t="s">
        <v>30</v>
      </c>
      <c r="D423" s="52" t="s">
        <v>30</v>
      </c>
      <c r="E423" s="52" t="s">
        <v>584</v>
      </c>
      <c r="F423" s="52" t="s">
        <v>26</v>
      </c>
      <c r="G423" s="195" t="s">
        <v>279</v>
      </c>
      <c r="H423" s="195">
        <v>231.58840000000001</v>
      </c>
      <c r="I423" s="195">
        <v>215.94159999999999</v>
      </c>
      <c r="J423" s="195">
        <v>225.7063</v>
      </c>
      <c r="K423" s="195">
        <v>246.2003</v>
      </c>
      <c r="L423" s="195">
        <v>252.23179999999999</v>
      </c>
      <c r="M423" s="195">
        <v>258.41500000000002</v>
      </c>
      <c r="N423" s="195">
        <v>264.75420000000003</v>
      </c>
    </row>
    <row r="424" spans="1:14" hidden="1" x14ac:dyDescent="0.35">
      <c r="A424" s="52" t="s">
        <v>206</v>
      </c>
      <c r="B424" s="52" t="s">
        <v>59</v>
      </c>
      <c r="C424" s="52" t="s">
        <v>161</v>
      </c>
      <c r="D424" s="52" t="s">
        <v>161</v>
      </c>
      <c r="E424" s="52" t="s">
        <v>584</v>
      </c>
      <c r="F424" s="52" t="s">
        <v>581</v>
      </c>
      <c r="G424" s="195" t="s">
        <v>275</v>
      </c>
      <c r="H424" s="195">
        <v>420.69260000000003</v>
      </c>
      <c r="I424" s="195">
        <v>125.7037</v>
      </c>
      <c r="J424" s="195">
        <v>49.866869999999999</v>
      </c>
      <c r="K424" s="195">
        <v>33.168660000000003</v>
      </c>
      <c r="L424" s="195">
        <v>125.6281</v>
      </c>
      <c r="M424" s="195">
        <v>89.41771</v>
      </c>
      <c r="N424" s="195">
        <v>80.965919999999997</v>
      </c>
    </row>
    <row r="425" spans="1:14" hidden="1" x14ac:dyDescent="0.35">
      <c r="A425" s="52" t="s">
        <v>206</v>
      </c>
      <c r="B425" s="52" t="s">
        <v>59</v>
      </c>
      <c r="C425" s="52" t="s">
        <v>161</v>
      </c>
      <c r="D425" s="52" t="s">
        <v>161</v>
      </c>
      <c r="E425" s="52" t="s">
        <v>584</v>
      </c>
      <c r="F425" s="52" t="s">
        <v>581</v>
      </c>
      <c r="G425" s="195" t="s">
        <v>276</v>
      </c>
      <c r="H425" s="195">
        <v>220.6026</v>
      </c>
      <c r="I425" s="195">
        <v>68.656270000000006</v>
      </c>
      <c r="J425" s="195">
        <v>62.83184</v>
      </c>
      <c r="K425" s="195">
        <v>47.909190000000002</v>
      </c>
      <c r="L425" s="195">
        <v>48.423929999999999</v>
      </c>
      <c r="M425" s="195">
        <v>42.784689999999998</v>
      </c>
      <c r="N425" s="195">
        <v>29.657800000000002</v>
      </c>
    </row>
    <row r="426" spans="1:14" hidden="1" x14ac:dyDescent="0.35">
      <c r="A426" s="52" t="s">
        <v>206</v>
      </c>
      <c r="B426" s="52" t="s">
        <v>59</v>
      </c>
      <c r="C426" s="52" t="s">
        <v>161</v>
      </c>
      <c r="D426" s="52" t="s">
        <v>161</v>
      </c>
      <c r="E426" s="52" t="s">
        <v>584</v>
      </c>
      <c r="F426" s="52" t="s">
        <v>581</v>
      </c>
      <c r="G426" s="195" t="s">
        <v>277</v>
      </c>
      <c r="H426" s="195">
        <v>109.8259</v>
      </c>
      <c r="I426" s="195">
        <v>94.516229999999993</v>
      </c>
      <c r="J426" s="195">
        <v>160.4255</v>
      </c>
      <c r="K426" s="195">
        <v>192.10900000000001</v>
      </c>
      <c r="L426" s="195">
        <v>72.883799999999994</v>
      </c>
      <c r="M426" s="195">
        <v>64.074889999999996</v>
      </c>
      <c r="N426" s="195">
        <v>44.55688</v>
      </c>
    </row>
    <row r="427" spans="1:14" hidden="1" x14ac:dyDescent="0.35">
      <c r="A427" s="52" t="s">
        <v>206</v>
      </c>
      <c r="B427" s="52" t="s">
        <v>59</v>
      </c>
      <c r="C427" s="52" t="s">
        <v>161</v>
      </c>
      <c r="D427" s="52" t="s">
        <v>161</v>
      </c>
      <c r="E427" s="52" t="s">
        <v>584</v>
      </c>
      <c r="F427" s="52" t="s">
        <v>581</v>
      </c>
      <c r="G427" s="195" t="s">
        <v>278</v>
      </c>
      <c r="H427" s="195">
        <v>0.1099189</v>
      </c>
      <c r="I427" s="195">
        <v>0.1099189</v>
      </c>
      <c r="J427" s="195">
        <v>1.0991890000000001E-2</v>
      </c>
      <c r="K427" s="195">
        <v>1.0991890000000001E-2</v>
      </c>
      <c r="L427" s="195">
        <v>1.0991890000000001E-2</v>
      </c>
      <c r="M427" s="195">
        <v>1.0991890000000001E-2</v>
      </c>
      <c r="N427" s="195">
        <v>0</v>
      </c>
    </row>
    <row r="428" spans="1:14" hidden="1" x14ac:dyDescent="0.35">
      <c r="A428" s="52" t="s">
        <v>206</v>
      </c>
      <c r="B428" s="52" t="s">
        <v>59</v>
      </c>
      <c r="C428" s="52" t="s">
        <v>161</v>
      </c>
      <c r="D428" s="52" t="s">
        <v>161</v>
      </c>
      <c r="E428" s="52" t="s">
        <v>584</v>
      </c>
      <c r="F428" s="52" t="s">
        <v>581</v>
      </c>
      <c r="G428" s="195" t="s">
        <v>279</v>
      </c>
      <c r="H428" s="195">
        <v>135.29239999999999</v>
      </c>
      <c r="I428" s="195">
        <v>133.9881</v>
      </c>
      <c r="J428" s="195">
        <v>155.83600000000001</v>
      </c>
      <c r="K428" s="195">
        <v>163.167</v>
      </c>
      <c r="L428" s="195">
        <v>163.46440000000001</v>
      </c>
      <c r="M428" s="195">
        <v>157.40049999999999</v>
      </c>
      <c r="N428" s="195">
        <v>146.93209999999999</v>
      </c>
    </row>
    <row r="429" spans="1:14" hidden="1" x14ac:dyDescent="0.35">
      <c r="A429" s="52" t="s">
        <v>206</v>
      </c>
      <c r="B429" s="52" t="s">
        <v>59</v>
      </c>
      <c r="C429" s="52" t="s">
        <v>161</v>
      </c>
      <c r="D429" s="52" t="s">
        <v>161</v>
      </c>
      <c r="E429" s="52" t="s">
        <v>584</v>
      </c>
      <c r="F429" s="52" t="s">
        <v>26</v>
      </c>
      <c r="G429" s="195" t="s">
        <v>275</v>
      </c>
      <c r="H429" s="195">
        <v>7.8607209999999998</v>
      </c>
      <c r="I429" s="195">
        <v>112.9817</v>
      </c>
      <c r="J429" s="195">
        <v>112.3916</v>
      </c>
      <c r="K429" s="195">
        <v>100.2713</v>
      </c>
      <c r="L429" s="195">
        <v>80.936859999999996</v>
      </c>
      <c r="M429" s="195">
        <v>-96.152500000000003</v>
      </c>
      <c r="N429" s="195">
        <v>-82.655010000000004</v>
      </c>
    </row>
    <row r="430" spans="1:14" hidden="1" x14ac:dyDescent="0.35">
      <c r="A430" s="52" t="s">
        <v>206</v>
      </c>
      <c r="B430" s="52" t="s">
        <v>59</v>
      </c>
      <c r="C430" s="52" t="s">
        <v>161</v>
      </c>
      <c r="D430" s="52" t="s">
        <v>161</v>
      </c>
      <c r="E430" s="52" t="s">
        <v>584</v>
      </c>
      <c r="F430" s="52" t="s">
        <v>26</v>
      </c>
      <c r="G430" s="195" t="s">
        <v>276</v>
      </c>
      <c r="H430" s="195">
        <v>-8.8281910000000003</v>
      </c>
      <c r="I430" s="195">
        <v>-2.7558989999999999</v>
      </c>
      <c r="J430" s="195">
        <v>-6.528702</v>
      </c>
      <c r="K430" s="195">
        <v>-2.6625209999999999</v>
      </c>
      <c r="L430" s="195">
        <v>-1.8801300000000001</v>
      </c>
      <c r="M430" s="195">
        <v>-0.76708449999999995</v>
      </c>
      <c r="N430" s="195">
        <v>2.9931540000000001</v>
      </c>
    </row>
    <row r="431" spans="1:14" hidden="1" x14ac:dyDescent="0.35">
      <c r="A431" s="52" t="s">
        <v>206</v>
      </c>
      <c r="B431" s="52" t="s">
        <v>59</v>
      </c>
      <c r="C431" s="52" t="s">
        <v>161</v>
      </c>
      <c r="D431" s="52" t="s">
        <v>161</v>
      </c>
      <c r="E431" s="52" t="s">
        <v>584</v>
      </c>
      <c r="F431" s="52" t="s">
        <v>26</v>
      </c>
      <c r="G431" s="195" t="s">
        <v>277</v>
      </c>
      <c r="H431" s="195">
        <v>111.26130000000001</v>
      </c>
      <c r="I431" s="195">
        <v>20.3794</v>
      </c>
      <c r="J431" s="195">
        <v>22.103120000000001</v>
      </c>
      <c r="K431" s="195">
        <v>18.57705</v>
      </c>
      <c r="L431" s="195">
        <v>18.66845</v>
      </c>
      <c r="M431" s="195">
        <v>140.15559999999999</v>
      </c>
      <c r="N431" s="195">
        <v>117.4806</v>
      </c>
    </row>
    <row r="432" spans="1:14" hidden="1" x14ac:dyDescent="0.35">
      <c r="A432" s="52" t="s">
        <v>206</v>
      </c>
      <c r="B432" s="52" t="s">
        <v>59</v>
      </c>
      <c r="C432" s="52" t="s">
        <v>161</v>
      </c>
      <c r="D432" s="52" t="s">
        <v>161</v>
      </c>
      <c r="E432" s="52" t="s">
        <v>584</v>
      </c>
      <c r="F432" s="52" t="s">
        <v>26</v>
      </c>
      <c r="G432" s="195" t="s">
        <v>278</v>
      </c>
      <c r="H432" s="195">
        <v>3.5276849999999998E-2</v>
      </c>
      <c r="I432" s="195">
        <v>3.5276849999999998E-2</v>
      </c>
      <c r="J432" s="195">
        <v>3.5276849999999998E-2</v>
      </c>
      <c r="K432" s="195">
        <v>3.5276849999999998E-2</v>
      </c>
      <c r="L432" s="195">
        <v>3.5276849999999998E-2</v>
      </c>
      <c r="M432" s="195">
        <v>3.5276849999999998E-2</v>
      </c>
      <c r="N432" s="195">
        <v>3.5276849999999998E-2</v>
      </c>
    </row>
    <row r="433" spans="1:14" hidden="1" x14ac:dyDescent="0.35">
      <c r="A433" s="52" t="s">
        <v>206</v>
      </c>
      <c r="B433" s="52" t="s">
        <v>59</v>
      </c>
      <c r="C433" s="52" t="s">
        <v>161</v>
      </c>
      <c r="D433" s="52" t="s">
        <v>161</v>
      </c>
      <c r="E433" s="52" t="s">
        <v>584</v>
      </c>
      <c r="F433" s="52" t="s">
        <v>26</v>
      </c>
      <c r="G433" s="195" t="s">
        <v>279</v>
      </c>
      <c r="H433" s="195">
        <v>22.196750000000002</v>
      </c>
      <c r="I433" s="195">
        <v>22.339729999999999</v>
      </c>
      <c r="J433" s="195">
        <v>24.45655</v>
      </c>
      <c r="K433" s="195">
        <v>24.28969</v>
      </c>
      <c r="L433" s="195">
        <v>23.892410000000002</v>
      </c>
      <c r="M433" s="195">
        <v>21.519290000000002</v>
      </c>
      <c r="N433" s="195">
        <v>19.037610000000001</v>
      </c>
    </row>
    <row r="434" spans="1:14" hidden="1" x14ac:dyDescent="0.35">
      <c r="A434" s="52" t="s">
        <v>206</v>
      </c>
      <c r="B434" s="52" t="s">
        <v>59</v>
      </c>
      <c r="C434" s="52" t="s">
        <v>318</v>
      </c>
      <c r="D434" s="52" t="s">
        <v>318</v>
      </c>
      <c r="E434" s="52" t="s">
        <v>584</v>
      </c>
      <c r="F434" s="52" t="s">
        <v>581</v>
      </c>
      <c r="G434" s="195" t="s">
        <v>275</v>
      </c>
      <c r="H434" s="195">
        <v>-8.4636399999999998</v>
      </c>
      <c r="I434" s="195">
        <v>0</v>
      </c>
      <c r="J434" s="195"/>
      <c r="K434" s="195"/>
      <c r="L434" s="195"/>
      <c r="M434" s="195"/>
      <c r="N434" s="195"/>
    </row>
    <row r="435" spans="1:14" hidden="1" x14ac:dyDescent="0.35">
      <c r="A435" s="52" t="s">
        <v>206</v>
      </c>
      <c r="B435" s="52" t="s">
        <v>59</v>
      </c>
      <c r="C435" s="52" t="s">
        <v>318</v>
      </c>
      <c r="D435" s="52" t="s">
        <v>318</v>
      </c>
      <c r="E435" s="52" t="s">
        <v>584</v>
      </c>
      <c r="F435" s="52" t="s">
        <v>581</v>
      </c>
      <c r="G435" s="195" t="s">
        <v>278</v>
      </c>
      <c r="H435" s="195">
        <v>8.4636399999999998</v>
      </c>
      <c r="I435" s="195">
        <v>0</v>
      </c>
      <c r="J435" s="195"/>
      <c r="K435" s="195"/>
      <c r="L435" s="195"/>
      <c r="M435" s="195"/>
      <c r="N435" s="195"/>
    </row>
    <row r="436" spans="1:14" hidden="1" x14ac:dyDescent="0.35">
      <c r="A436" s="52" t="s">
        <v>206</v>
      </c>
      <c r="B436" s="52" t="s">
        <v>59</v>
      </c>
      <c r="C436" s="52" t="s">
        <v>318</v>
      </c>
      <c r="D436" s="52" t="s">
        <v>318</v>
      </c>
      <c r="E436" s="52" t="s">
        <v>584</v>
      </c>
      <c r="F436" s="52" t="s">
        <v>26</v>
      </c>
      <c r="G436" s="195" t="s">
        <v>275</v>
      </c>
      <c r="H436" s="195">
        <v>-5.6424260000000004</v>
      </c>
      <c r="I436" s="195">
        <v>0</v>
      </c>
      <c r="J436" s="195"/>
      <c r="K436" s="195"/>
      <c r="L436" s="195"/>
      <c r="M436" s="195"/>
      <c r="N436" s="195"/>
    </row>
    <row r="437" spans="1:14" hidden="1" x14ac:dyDescent="0.35">
      <c r="A437" s="52" t="s">
        <v>206</v>
      </c>
      <c r="B437" s="52" t="s">
        <v>59</v>
      </c>
      <c r="C437" s="52" t="s">
        <v>318</v>
      </c>
      <c r="D437" s="52" t="s">
        <v>318</v>
      </c>
      <c r="E437" s="52" t="s">
        <v>584</v>
      </c>
      <c r="F437" s="52" t="s">
        <v>26</v>
      </c>
      <c r="G437" s="195" t="s">
        <v>278</v>
      </c>
      <c r="H437" s="195">
        <v>5.6424260000000004</v>
      </c>
      <c r="I437" s="195">
        <v>0</v>
      </c>
      <c r="J437" s="195"/>
      <c r="K437" s="195"/>
      <c r="L437" s="195"/>
      <c r="M437" s="195"/>
      <c r="N437" s="195"/>
    </row>
    <row r="438" spans="1:14" hidden="1" x14ac:dyDescent="0.35">
      <c r="A438" s="52" t="s">
        <v>206</v>
      </c>
      <c r="B438" s="52" t="s">
        <v>59</v>
      </c>
      <c r="C438" s="52" t="s">
        <v>165</v>
      </c>
      <c r="D438" s="52" t="s">
        <v>165</v>
      </c>
      <c r="E438" s="52" t="s">
        <v>584</v>
      </c>
      <c r="F438" s="52" t="s">
        <v>581</v>
      </c>
      <c r="G438" s="195" t="s">
        <v>275</v>
      </c>
      <c r="H438" s="195">
        <v>-19.18751</v>
      </c>
      <c r="I438" s="195">
        <v>-0.70796899999999996</v>
      </c>
      <c r="J438" s="195">
        <v>0</v>
      </c>
      <c r="K438" s="195">
        <v>0</v>
      </c>
      <c r="L438" s="195">
        <v>0</v>
      </c>
      <c r="M438" s="195">
        <v>0</v>
      </c>
      <c r="N438" s="195">
        <v>0</v>
      </c>
    </row>
    <row r="439" spans="1:14" hidden="1" x14ac:dyDescent="0.35">
      <c r="A439" s="52" t="s">
        <v>206</v>
      </c>
      <c r="B439" s="52" t="s">
        <v>59</v>
      </c>
      <c r="C439" s="52" t="s">
        <v>165</v>
      </c>
      <c r="D439" s="52" t="s">
        <v>165</v>
      </c>
      <c r="E439" s="52" t="s">
        <v>584</v>
      </c>
      <c r="F439" s="52" t="s">
        <v>581</v>
      </c>
      <c r="G439" s="195" t="s">
        <v>277</v>
      </c>
      <c r="H439" s="195">
        <v>0.5</v>
      </c>
      <c r="I439" s="195">
        <v>0.5</v>
      </c>
      <c r="J439" s="195">
        <v>0</v>
      </c>
      <c r="K439" s="195"/>
      <c r="L439" s="195"/>
      <c r="M439" s="195"/>
      <c r="N439" s="195"/>
    </row>
    <row r="440" spans="1:14" hidden="1" x14ac:dyDescent="0.35">
      <c r="A440" s="52" t="s">
        <v>206</v>
      </c>
      <c r="B440" s="52" t="s">
        <v>59</v>
      </c>
      <c r="C440" s="52" t="s">
        <v>165</v>
      </c>
      <c r="D440" s="52" t="s">
        <v>165</v>
      </c>
      <c r="E440" s="52" t="s">
        <v>584</v>
      </c>
      <c r="F440" s="52" t="s">
        <v>581</v>
      </c>
      <c r="G440" s="195" t="s">
        <v>278</v>
      </c>
      <c r="H440" s="195">
        <v>18.68751</v>
      </c>
      <c r="I440" s="195">
        <v>0.20796899999999999</v>
      </c>
      <c r="J440" s="195">
        <v>0</v>
      </c>
      <c r="K440" s="195">
        <v>0</v>
      </c>
      <c r="L440" s="195">
        <v>0</v>
      </c>
      <c r="M440" s="195">
        <v>0</v>
      </c>
      <c r="N440" s="195">
        <v>0</v>
      </c>
    </row>
    <row r="441" spans="1:14" hidden="1" x14ac:dyDescent="0.35">
      <c r="A441" s="52" t="s">
        <v>206</v>
      </c>
      <c r="B441" s="52" t="s">
        <v>59</v>
      </c>
      <c r="C441" s="52" t="s">
        <v>165</v>
      </c>
      <c r="D441" s="52" t="s">
        <v>165</v>
      </c>
      <c r="E441" s="52" t="s">
        <v>584</v>
      </c>
      <c r="F441" s="52" t="s">
        <v>26</v>
      </c>
      <c r="G441" s="195" t="s">
        <v>275</v>
      </c>
      <c r="H441" s="195">
        <v>-16.651409999999998</v>
      </c>
      <c r="I441" s="195">
        <v>-0.29595549999999998</v>
      </c>
      <c r="J441" s="195">
        <v>0</v>
      </c>
      <c r="K441" s="195">
        <v>0</v>
      </c>
      <c r="L441" s="195">
        <v>0</v>
      </c>
      <c r="M441" s="195">
        <v>0</v>
      </c>
      <c r="N441" s="195">
        <v>0</v>
      </c>
    </row>
    <row r="442" spans="1:14" hidden="1" x14ac:dyDescent="0.35">
      <c r="A442" s="52" t="s">
        <v>206</v>
      </c>
      <c r="B442" s="52" t="s">
        <v>59</v>
      </c>
      <c r="C442" s="52" t="s">
        <v>165</v>
      </c>
      <c r="D442" s="52" t="s">
        <v>165</v>
      </c>
      <c r="E442" s="52" t="s">
        <v>584</v>
      </c>
      <c r="F442" s="52" t="s">
        <v>26</v>
      </c>
      <c r="G442" s="195" t="s">
        <v>276</v>
      </c>
      <c r="H442" s="195"/>
      <c r="I442" s="195"/>
      <c r="J442" s="195">
        <v>-0.29595549999999998</v>
      </c>
      <c r="K442" s="195">
        <v>-0.29595549999999998</v>
      </c>
      <c r="L442" s="195">
        <v>-0.29595549999999998</v>
      </c>
      <c r="M442" s="195">
        <v>-10.403130000000001</v>
      </c>
      <c r="N442" s="195">
        <v>-0.29595549999999998</v>
      </c>
    </row>
    <row r="443" spans="1:14" hidden="1" x14ac:dyDescent="0.35">
      <c r="A443" s="52" t="s">
        <v>206</v>
      </c>
      <c r="B443" s="52" t="s">
        <v>59</v>
      </c>
      <c r="C443" s="52" t="s">
        <v>165</v>
      </c>
      <c r="D443" s="52" t="s">
        <v>165</v>
      </c>
      <c r="E443" s="52" t="s">
        <v>584</v>
      </c>
      <c r="F443" s="52" t="s">
        <v>26</v>
      </c>
      <c r="G443" s="195" t="s">
        <v>277</v>
      </c>
      <c r="H443" s="195"/>
      <c r="I443" s="195"/>
      <c r="J443" s="195"/>
      <c r="K443" s="195"/>
      <c r="L443" s="195"/>
      <c r="M443" s="195"/>
      <c r="N443" s="195">
        <v>0</v>
      </c>
    </row>
    <row r="444" spans="1:14" hidden="1" x14ac:dyDescent="0.35">
      <c r="A444" s="52" t="s">
        <v>206</v>
      </c>
      <c r="B444" s="52" t="s">
        <v>59</v>
      </c>
      <c r="C444" s="52" t="s">
        <v>165</v>
      </c>
      <c r="D444" s="52" t="s">
        <v>165</v>
      </c>
      <c r="E444" s="52" t="s">
        <v>584</v>
      </c>
      <c r="F444" s="52" t="s">
        <v>26</v>
      </c>
      <c r="G444" s="195" t="s">
        <v>278</v>
      </c>
      <c r="H444" s="195">
        <v>16.651409999999998</v>
      </c>
      <c r="I444" s="195">
        <v>0.29595549999999998</v>
      </c>
      <c r="J444" s="195">
        <v>0.29595549999999998</v>
      </c>
      <c r="K444" s="195">
        <v>0.29595549999999998</v>
      </c>
      <c r="L444" s="195">
        <v>0.29595549999999998</v>
      </c>
      <c r="M444" s="195">
        <v>10.403130000000001</v>
      </c>
      <c r="N444" s="195">
        <v>0.29595549999999998</v>
      </c>
    </row>
    <row r="445" spans="1:14" hidden="1" x14ac:dyDescent="0.35">
      <c r="A445" s="52" t="s">
        <v>206</v>
      </c>
      <c r="B445" s="52" t="s">
        <v>174</v>
      </c>
      <c r="C445" s="52" t="s">
        <v>198</v>
      </c>
      <c r="D445" s="52" t="s">
        <v>198</v>
      </c>
      <c r="E445" s="52" t="s">
        <v>584</v>
      </c>
      <c r="F445" s="52" t="s">
        <v>581</v>
      </c>
      <c r="G445" s="195" t="s">
        <v>275</v>
      </c>
      <c r="H445" s="195">
        <v>203.1251</v>
      </c>
      <c r="I445" s="195">
        <v>42.486289999999997</v>
      </c>
      <c r="J445" s="195">
        <v>18.638449999999999</v>
      </c>
      <c r="K445" s="195">
        <v>71.754519999999999</v>
      </c>
      <c r="L445" s="195">
        <v>78.430070000000001</v>
      </c>
      <c r="M445" s="195">
        <v>65.64143</v>
      </c>
      <c r="N445" s="195">
        <v>47.070050000000002</v>
      </c>
    </row>
    <row r="446" spans="1:14" hidden="1" x14ac:dyDescent="0.35">
      <c r="A446" s="52" t="s">
        <v>206</v>
      </c>
      <c r="B446" s="52" t="s">
        <v>174</v>
      </c>
      <c r="C446" s="52" t="s">
        <v>198</v>
      </c>
      <c r="D446" s="52" t="s">
        <v>198</v>
      </c>
      <c r="E446" s="52" t="s">
        <v>584</v>
      </c>
      <c r="F446" s="52" t="s">
        <v>581</v>
      </c>
      <c r="G446" s="195" t="s">
        <v>276</v>
      </c>
      <c r="H446" s="195">
        <v>139.05459999999999</v>
      </c>
      <c r="I446" s="195">
        <v>46.792769999999997</v>
      </c>
      <c r="J446" s="195">
        <v>43.529150000000001</v>
      </c>
      <c r="K446" s="195">
        <v>47.958970000000001</v>
      </c>
      <c r="L446" s="195">
        <v>50.863039999999998</v>
      </c>
      <c r="M446" s="195">
        <v>45.919089999999997</v>
      </c>
      <c r="N446" s="195">
        <v>40.971240000000002</v>
      </c>
    </row>
    <row r="447" spans="1:14" hidden="1" x14ac:dyDescent="0.35">
      <c r="A447" s="52" t="s">
        <v>206</v>
      </c>
      <c r="B447" s="52" t="s">
        <v>174</v>
      </c>
      <c r="C447" s="52" t="s">
        <v>198</v>
      </c>
      <c r="D447" s="52" t="s">
        <v>198</v>
      </c>
      <c r="E447" s="52" t="s">
        <v>584</v>
      </c>
      <c r="F447" s="52" t="s">
        <v>581</v>
      </c>
      <c r="G447" s="195" t="s">
        <v>277</v>
      </c>
      <c r="H447" s="195">
        <v>170.48929999999999</v>
      </c>
      <c r="I447" s="195">
        <v>95.154110000000003</v>
      </c>
      <c r="J447" s="195">
        <v>92.694190000000006</v>
      </c>
      <c r="K447" s="195">
        <v>33.028939999999999</v>
      </c>
      <c r="L447" s="195">
        <v>31.348669999999998</v>
      </c>
      <c r="M447" s="195">
        <v>27.910270000000001</v>
      </c>
      <c r="N447" s="195">
        <v>28.047599999999999</v>
      </c>
    </row>
    <row r="448" spans="1:14" hidden="1" x14ac:dyDescent="0.35">
      <c r="A448" s="52" t="s">
        <v>206</v>
      </c>
      <c r="B448" s="52" t="s">
        <v>174</v>
      </c>
      <c r="C448" s="52" t="s">
        <v>198</v>
      </c>
      <c r="D448" s="52" t="s">
        <v>198</v>
      </c>
      <c r="E448" s="52" t="s">
        <v>584</v>
      </c>
      <c r="F448" s="52" t="s">
        <v>581</v>
      </c>
      <c r="G448" s="195" t="s">
        <v>278</v>
      </c>
      <c r="H448" s="195">
        <v>5.0590820000000001</v>
      </c>
      <c r="I448" s="195">
        <v>8.4043539999999997</v>
      </c>
      <c r="J448" s="195">
        <v>2.3422350000000001</v>
      </c>
      <c r="K448" s="195">
        <v>0.50991059999999999</v>
      </c>
      <c r="L448" s="195">
        <v>5.3299260000000001E-2</v>
      </c>
      <c r="M448" s="195">
        <v>4.9801640000000001E-2</v>
      </c>
      <c r="N448" s="195">
        <v>4.9801640000000001E-2</v>
      </c>
    </row>
    <row r="449" spans="1:14" hidden="1" x14ac:dyDescent="0.35">
      <c r="A449" s="52" t="s">
        <v>206</v>
      </c>
      <c r="B449" s="52" t="s">
        <v>174</v>
      </c>
      <c r="C449" s="52" t="s">
        <v>198</v>
      </c>
      <c r="D449" s="52" t="s">
        <v>198</v>
      </c>
      <c r="E449" s="52" t="s">
        <v>584</v>
      </c>
      <c r="F449" s="52" t="s">
        <v>581</v>
      </c>
      <c r="G449" s="195" t="s">
        <v>279</v>
      </c>
      <c r="H449" s="195">
        <v>171.29589999999999</v>
      </c>
      <c r="I449" s="195">
        <v>168.25839999999999</v>
      </c>
      <c r="J449" s="195">
        <v>185.6335</v>
      </c>
      <c r="K449" s="195">
        <v>206.95679999999999</v>
      </c>
      <c r="L449" s="195">
        <v>216.227</v>
      </c>
      <c r="M449" s="195">
        <v>198.76</v>
      </c>
      <c r="N449" s="195">
        <v>182.65129999999999</v>
      </c>
    </row>
    <row r="450" spans="1:14" hidden="1" x14ac:dyDescent="0.35">
      <c r="A450" s="52" t="s">
        <v>206</v>
      </c>
      <c r="B450" s="52" t="s">
        <v>174</v>
      </c>
      <c r="C450" s="52" t="s">
        <v>198</v>
      </c>
      <c r="D450" s="52" t="s">
        <v>198</v>
      </c>
      <c r="E450" s="52" t="s">
        <v>584</v>
      </c>
      <c r="F450" s="52" t="s">
        <v>26</v>
      </c>
      <c r="G450" s="195" t="s">
        <v>275</v>
      </c>
      <c r="H450" s="195">
        <v>3.5922070000000001</v>
      </c>
      <c r="I450" s="195">
        <v>4.269101</v>
      </c>
      <c r="J450" s="195">
        <v>0.63841789999999998</v>
      </c>
      <c r="K450" s="195">
        <v>1.3709290000000001</v>
      </c>
      <c r="L450" s="195">
        <v>1.3787</v>
      </c>
      <c r="M450" s="195">
        <v>1.2547349999999999</v>
      </c>
      <c r="N450" s="195">
        <v>0.97307650000000001</v>
      </c>
    </row>
    <row r="451" spans="1:14" hidden="1" x14ac:dyDescent="0.35">
      <c r="A451" s="52" t="s">
        <v>206</v>
      </c>
      <c r="B451" s="52" t="s">
        <v>174</v>
      </c>
      <c r="C451" s="52" t="s">
        <v>198</v>
      </c>
      <c r="D451" s="52" t="s">
        <v>198</v>
      </c>
      <c r="E451" s="52" t="s">
        <v>584</v>
      </c>
      <c r="F451" s="52" t="s">
        <v>26</v>
      </c>
      <c r="G451" s="195" t="s">
        <v>276</v>
      </c>
      <c r="H451" s="195">
        <v>2.0992860000000002</v>
      </c>
      <c r="I451" s="195">
        <v>2.50589</v>
      </c>
      <c r="J451" s="195">
        <v>1.957673</v>
      </c>
      <c r="K451" s="195">
        <v>1.8227899999999999</v>
      </c>
      <c r="L451" s="195">
        <v>1.8573489999999999</v>
      </c>
      <c r="M451" s="195">
        <v>1.7161839999999999</v>
      </c>
      <c r="N451" s="195">
        <v>1.3567119999999999</v>
      </c>
    </row>
    <row r="452" spans="1:14" hidden="1" x14ac:dyDescent="0.35">
      <c r="A452" s="52" t="s">
        <v>206</v>
      </c>
      <c r="B452" s="52" t="s">
        <v>174</v>
      </c>
      <c r="C452" s="52" t="s">
        <v>198</v>
      </c>
      <c r="D452" s="52" t="s">
        <v>198</v>
      </c>
      <c r="E452" s="52" t="s">
        <v>584</v>
      </c>
      <c r="F452" s="52" t="s">
        <v>26</v>
      </c>
      <c r="G452" s="195" t="s">
        <v>277</v>
      </c>
      <c r="H452" s="195">
        <v>0</v>
      </c>
      <c r="I452" s="195">
        <v>0</v>
      </c>
      <c r="J452" s="195">
        <v>1.3013969999999999</v>
      </c>
      <c r="K452" s="195">
        <v>9.7999999999999993E-7</v>
      </c>
      <c r="L452" s="195">
        <v>0</v>
      </c>
      <c r="M452" s="195"/>
      <c r="N452" s="195">
        <v>0</v>
      </c>
    </row>
    <row r="453" spans="1:14" hidden="1" x14ac:dyDescent="0.35">
      <c r="A453" s="52" t="s">
        <v>206</v>
      </c>
      <c r="B453" s="52" t="s">
        <v>174</v>
      </c>
      <c r="C453" s="52" t="s">
        <v>198</v>
      </c>
      <c r="D453" s="52" t="s">
        <v>198</v>
      </c>
      <c r="E453" s="52" t="s">
        <v>584</v>
      </c>
      <c r="F453" s="52" t="s">
        <v>26</v>
      </c>
      <c r="G453" s="195" t="s">
        <v>278</v>
      </c>
      <c r="H453" s="195">
        <v>5.2569999999999999E-2</v>
      </c>
      <c r="I453" s="195">
        <v>6.467299E-2</v>
      </c>
      <c r="J453" s="195">
        <v>0</v>
      </c>
      <c r="K453" s="195">
        <v>0</v>
      </c>
      <c r="L453" s="195">
        <v>0</v>
      </c>
      <c r="M453" s="195">
        <v>0</v>
      </c>
      <c r="N453" s="195">
        <v>0</v>
      </c>
    </row>
    <row r="454" spans="1:14" hidden="1" x14ac:dyDescent="0.35">
      <c r="A454" s="52" t="s">
        <v>206</v>
      </c>
      <c r="B454" s="52" t="s">
        <v>174</v>
      </c>
      <c r="C454" s="52" t="s">
        <v>198</v>
      </c>
      <c r="D454" s="52" t="s">
        <v>198</v>
      </c>
      <c r="E454" s="52" t="s">
        <v>584</v>
      </c>
      <c r="F454" s="52" t="s">
        <v>26</v>
      </c>
      <c r="G454" s="195" t="s">
        <v>279</v>
      </c>
      <c r="H454" s="195">
        <v>1.369224</v>
      </c>
      <c r="I454" s="195">
        <v>2.5932680000000001</v>
      </c>
      <c r="J454" s="195">
        <v>3.337742</v>
      </c>
      <c r="K454" s="195">
        <v>3.6408100000000001</v>
      </c>
      <c r="L454" s="195">
        <v>3.7295630000000002</v>
      </c>
      <c r="M454" s="195">
        <v>3.4794459999999998</v>
      </c>
      <c r="N454" s="195">
        <v>2.7826590000000002</v>
      </c>
    </row>
    <row r="455" spans="1:14" hidden="1" x14ac:dyDescent="0.35">
      <c r="A455" s="52" t="s">
        <v>206</v>
      </c>
      <c r="B455" s="52" t="s">
        <v>174</v>
      </c>
      <c r="C455" s="52" t="s">
        <v>318</v>
      </c>
      <c r="D455" s="52" t="s">
        <v>318</v>
      </c>
      <c r="E455" s="52" t="s">
        <v>584</v>
      </c>
      <c r="F455" s="52" t="s">
        <v>581</v>
      </c>
      <c r="G455" s="195" t="s">
        <v>275</v>
      </c>
      <c r="H455" s="195">
        <v>-1.219228</v>
      </c>
      <c r="I455" s="195">
        <v>0</v>
      </c>
      <c r="J455" s="195"/>
      <c r="K455" s="195"/>
      <c r="L455" s="195"/>
      <c r="M455" s="195"/>
      <c r="N455" s="195"/>
    </row>
    <row r="456" spans="1:14" hidden="1" x14ac:dyDescent="0.35">
      <c r="A456" s="52" t="s">
        <v>206</v>
      </c>
      <c r="B456" s="52" t="s">
        <v>174</v>
      </c>
      <c r="C456" s="52" t="s">
        <v>318</v>
      </c>
      <c r="D456" s="52" t="s">
        <v>318</v>
      </c>
      <c r="E456" s="52" t="s">
        <v>584</v>
      </c>
      <c r="F456" s="52" t="s">
        <v>581</v>
      </c>
      <c r="G456" s="195" t="s">
        <v>278</v>
      </c>
      <c r="H456" s="195">
        <v>1.219228</v>
      </c>
      <c r="I456" s="195">
        <v>0</v>
      </c>
      <c r="J456" s="195"/>
      <c r="K456" s="195"/>
      <c r="L456" s="195"/>
      <c r="M456" s="195"/>
      <c r="N456" s="195"/>
    </row>
    <row r="457" spans="1:14" hidden="1" x14ac:dyDescent="0.35">
      <c r="A457" s="52" t="s">
        <v>206</v>
      </c>
      <c r="B457" s="52" t="s">
        <v>174</v>
      </c>
      <c r="C457" s="52" t="s">
        <v>318</v>
      </c>
      <c r="D457" s="52" t="s">
        <v>318</v>
      </c>
      <c r="E457" s="52" t="s">
        <v>584</v>
      </c>
      <c r="F457" s="52" t="s">
        <v>26</v>
      </c>
      <c r="G457" s="195" t="s">
        <v>275</v>
      </c>
      <c r="H457" s="195">
        <v>-0.81281809999999999</v>
      </c>
      <c r="I457" s="195">
        <v>0</v>
      </c>
      <c r="J457" s="195"/>
      <c r="K457" s="195"/>
      <c r="L457" s="195"/>
      <c r="M457" s="195"/>
      <c r="N457" s="195"/>
    </row>
    <row r="458" spans="1:14" hidden="1" x14ac:dyDescent="0.35">
      <c r="A458" s="52" t="s">
        <v>206</v>
      </c>
      <c r="B458" s="52" t="s">
        <v>174</v>
      </c>
      <c r="C458" s="52" t="s">
        <v>318</v>
      </c>
      <c r="D458" s="52" t="s">
        <v>318</v>
      </c>
      <c r="E458" s="52" t="s">
        <v>584</v>
      </c>
      <c r="F458" s="52" t="s">
        <v>26</v>
      </c>
      <c r="G458" s="195" t="s">
        <v>278</v>
      </c>
      <c r="H458" s="195">
        <v>0.81281809999999999</v>
      </c>
      <c r="I458" s="195">
        <v>0</v>
      </c>
      <c r="J458" s="195"/>
      <c r="K458" s="195"/>
      <c r="L458" s="195"/>
      <c r="M458" s="195"/>
      <c r="N458" s="195"/>
    </row>
    <row r="459" spans="1:14" hidden="1" x14ac:dyDescent="0.35">
      <c r="A459" s="52" t="s">
        <v>206</v>
      </c>
      <c r="B459" s="52" t="s">
        <v>174</v>
      </c>
      <c r="C459" s="52" t="s">
        <v>377</v>
      </c>
      <c r="D459" s="52" t="s">
        <v>377</v>
      </c>
      <c r="E459" s="52" t="s">
        <v>584</v>
      </c>
      <c r="F459" s="52" t="s">
        <v>26</v>
      </c>
      <c r="G459" s="195" t="s">
        <v>279</v>
      </c>
      <c r="H459" s="195">
        <v>0</v>
      </c>
      <c r="I459" s="195"/>
      <c r="J459" s="195"/>
      <c r="K459" s="195"/>
      <c r="L459" s="195"/>
      <c r="M459" s="195"/>
      <c r="N459" s="195"/>
    </row>
    <row r="460" spans="1:14" hidden="1" x14ac:dyDescent="0.35">
      <c r="A460" s="52" t="s">
        <v>206</v>
      </c>
      <c r="B460" s="52" t="s">
        <v>60</v>
      </c>
      <c r="C460" s="52" t="s">
        <v>202</v>
      </c>
      <c r="D460" s="52" t="s">
        <v>202</v>
      </c>
      <c r="E460" s="52" t="s">
        <v>584</v>
      </c>
      <c r="F460" s="52" t="s">
        <v>581</v>
      </c>
      <c r="G460" s="195" t="s">
        <v>275</v>
      </c>
      <c r="H460" s="195">
        <v>16.297560000000001</v>
      </c>
      <c r="I460" s="195">
        <v>3.948969</v>
      </c>
      <c r="J460" s="195">
        <v>-10.98648</v>
      </c>
      <c r="K460" s="195">
        <v>-15.447139999999999</v>
      </c>
      <c r="L460" s="195">
        <v>-16.79027</v>
      </c>
      <c r="M460" s="195">
        <v>22.42746</v>
      </c>
      <c r="N460" s="195">
        <v>18.812950000000001</v>
      </c>
    </row>
    <row r="461" spans="1:14" hidden="1" x14ac:dyDescent="0.35">
      <c r="A461" s="52" t="s">
        <v>206</v>
      </c>
      <c r="B461" s="52" t="s">
        <v>60</v>
      </c>
      <c r="C461" s="52" t="s">
        <v>202</v>
      </c>
      <c r="D461" s="52" t="s">
        <v>202</v>
      </c>
      <c r="E461" s="52" t="s">
        <v>584</v>
      </c>
      <c r="F461" s="52" t="s">
        <v>581</v>
      </c>
      <c r="G461" s="195" t="s">
        <v>276</v>
      </c>
      <c r="H461" s="195">
        <v>27.630939999999999</v>
      </c>
      <c r="I461" s="195">
        <v>9.4398590000000002</v>
      </c>
      <c r="J461" s="195">
        <v>8.7993190000000006</v>
      </c>
      <c r="K461" s="195">
        <v>8.6541750000000004</v>
      </c>
      <c r="L461" s="195">
        <v>8.2767719999999994</v>
      </c>
      <c r="M461" s="195">
        <v>30.405850000000001</v>
      </c>
      <c r="N461" s="195">
        <v>29.358730000000001</v>
      </c>
    </row>
    <row r="462" spans="1:14" hidden="1" x14ac:dyDescent="0.35">
      <c r="A462" s="52" t="s">
        <v>206</v>
      </c>
      <c r="B462" s="52" t="s">
        <v>60</v>
      </c>
      <c r="C462" s="52" t="s">
        <v>202</v>
      </c>
      <c r="D462" s="52" t="s">
        <v>202</v>
      </c>
      <c r="E462" s="52" t="s">
        <v>584</v>
      </c>
      <c r="F462" s="52" t="s">
        <v>581</v>
      </c>
      <c r="G462" s="195" t="s">
        <v>277</v>
      </c>
      <c r="H462" s="195">
        <v>7.5522200000000002</v>
      </c>
      <c r="I462" s="195">
        <v>3.7478259999999999</v>
      </c>
      <c r="J462" s="195">
        <v>17.925660000000001</v>
      </c>
      <c r="K462" s="195">
        <v>22.21462</v>
      </c>
      <c r="L462" s="195">
        <v>23.191800000000001</v>
      </c>
      <c r="M462" s="195">
        <v>22.028839999999999</v>
      </c>
      <c r="N462" s="195">
        <v>22.996169999999999</v>
      </c>
    </row>
    <row r="463" spans="1:14" hidden="1" x14ac:dyDescent="0.35">
      <c r="A463" s="52" t="s">
        <v>206</v>
      </c>
      <c r="B463" s="52" t="s">
        <v>60</v>
      </c>
      <c r="C463" s="52" t="s">
        <v>202</v>
      </c>
      <c r="D463" s="52" t="s">
        <v>202</v>
      </c>
      <c r="E463" s="52" t="s">
        <v>584</v>
      </c>
      <c r="F463" s="52" t="s">
        <v>581</v>
      </c>
      <c r="G463" s="195" t="s">
        <v>279</v>
      </c>
      <c r="H463" s="195">
        <v>5.9148820000000004</v>
      </c>
      <c r="I463" s="195">
        <v>5.2430599999999998</v>
      </c>
      <c r="J463" s="195">
        <v>5.3240910000000001</v>
      </c>
      <c r="K463" s="195">
        <v>5.2004960000000002</v>
      </c>
      <c r="L463" s="195">
        <v>5.0254839999999996</v>
      </c>
      <c r="M463" s="195">
        <v>20.454840000000001</v>
      </c>
      <c r="N463" s="195">
        <v>18.843669999999999</v>
      </c>
    </row>
    <row r="464" spans="1:14" hidden="1" x14ac:dyDescent="0.35">
      <c r="A464" s="52" t="s">
        <v>206</v>
      </c>
      <c r="B464" s="52" t="s">
        <v>60</v>
      </c>
      <c r="C464" s="52" t="s">
        <v>202</v>
      </c>
      <c r="D464" s="52" t="s">
        <v>202</v>
      </c>
      <c r="E464" s="52" t="s">
        <v>584</v>
      </c>
      <c r="F464" s="52" t="s">
        <v>26</v>
      </c>
      <c r="G464" s="195" t="s">
        <v>275</v>
      </c>
      <c r="H464" s="195">
        <v>356.15769999999998</v>
      </c>
      <c r="I464" s="195">
        <v>217.00219999999999</v>
      </c>
      <c r="J464" s="195">
        <v>56.2074</v>
      </c>
      <c r="K464" s="195">
        <v>41.04307</v>
      </c>
      <c r="L464" s="195">
        <v>36.917180000000002</v>
      </c>
      <c r="M464" s="195">
        <v>7.809158</v>
      </c>
      <c r="N464" s="195">
        <v>13.632669999999999</v>
      </c>
    </row>
    <row r="465" spans="1:14" hidden="1" x14ac:dyDescent="0.35">
      <c r="A465" s="52" t="s">
        <v>206</v>
      </c>
      <c r="B465" s="52" t="s">
        <v>60</v>
      </c>
      <c r="C465" s="52" t="s">
        <v>202</v>
      </c>
      <c r="D465" s="52" t="s">
        <v>202</v>
      </c>
      <c r="E465" s="52" t="s">
        <v>584</v>
      </c>
      <c r="F465" s="52" t="s">
        <v>26</v>
      </c>
      <c r="G465" s="195" t="s">
        <v>276</v>
      </c>
      <c r="H465" s="195">
        <v>238.36170000000001</v>
      </c>
      <c r="I465" s="195">
        <v>135.1164</v>
      </c>
      <c r="J465" s="195">
        <v>55.100909999999999</v>
      </c>
      <c r="K465" s="195">
        <v>42.576030000000003</v>
      </c>
      <c r="L465" s="195">
        <v>39.849519999999998</v>
      </c>
      <c r="M465" s="195">
        <v>39.06306</v>
      </c>
      <c r="N465" s="195">
        <v>27.770160000000001</v>
      </c>
    </row>
    <row r="466" spans="1:14" hidden="1" x14ac:dyDescent="0.35">
      <c r="A466" s="52" t="s">
        <v>206</v>
      </c>
      <c r="B466" s="52" t="s">
        <v>60</v>
      </c>
      <c r="C466" s="52" t="s">
        <v>202</v>
      </c>
      <c r="D466" s="52" t="s">
        <v>202</v>
      </c>
      <c r="E466" s="52" t="s">
        <v>584</v>
      </c>
      <c r="F466" s="52" t="s">
        <v>26</v>
      </c>
      <c r="G466" s="195" t="s">
        <v>277</v>
      </c>
      <c r="H466" s="195">
        <v>11.16902</v>
      </c>
      <c r="I466" s="195">
        <v>10.71959</v>
      </c>
      <c r="J466" s="195">
        <v>32.494030000000002</v>
      </c>
      <c r="K466" s="195">
        <v>40.268479999999997</v>
      </c>
      <c r="L466" s="195">
        <v>41.972499999999997</v>
      </c>
      <c r="M466" s="195">
        <v>40.00808</v>
      </c>
      <c r="N466" s="195">
        <v>40.733750000000001</v>
      </c>
    </row>
    <row r="467" spans="1:14" hidden="1" x14ac:dyDescent="0.35">
      <c r="A467" s="52" t="s">
        <v>206</v>
      </c>
      <c r="B467" s="52" t="s">
        <v>60</v>
      </c>
      <c r="C467" s="52" t="s">
        <v>202</v>
      </c>
      <c r="D467" s="52" t="s">
        <v>202</v>
      </c>
      <c r="E467" s="52" t="s">
        <v>584</v>
      </c>
      <c r="F467" s="52" t="s">
        <v>26</v>
      </c>
      <c r="G467" s="195" t="s">
        <v>278</v>
      </c>
      <c r="H467" s="195">
        <v>5.7947940000000003E-2</v>
      </c>
      <c r="I467" s="195">
        <v>0.11303390000000001</v>
      </c>
      <c r="J467" s="195">
        <v>6.3748609999999997E-2</v>
      </c>
      <c r="K467" s="195">
        <v>5.3367449999999997E-2</v>
      </c>
      <c r="L467" s="195">
        <v>5.3367449999999997E-2</v>
      </c>
      <c r="M467" s="195">
        <v>5.3367449999999997E-2</v>
      </c>
      <c r="N467" s="195">
        <v>4.4602379999999997E-2</v>
      </c>
    </row>
    <row r="468" spans="1:14" hidden="1" x14ac:dyDescent="0.35">
      <c r="A468" s="52" t="s">
        <v>206</v>
      </c>
      <c r="B468" s="52" t="s">
        <v>60</v>
      </c>
      <c r="C468" s="52" t="s">
        <v>202</v>
      </c>
      <c r="D468" s="52" t="s">
        <v>202</v>
      </c>
      <c r="E468" s="52" t="s">
        <v>584</v>
      </c>
      <c r="F468" s="52" t="s">
        <v>26</v>
      </c>
      <c r="G468" s="195" t="s">
        <v>279</v>
      </c>
      <c r="H468" s="195">
        <v>158.37430000000001</v>
      </c>
      <c r="I468" s="195">
        <v>140.36940000000001</v>
      </c>
      <c r="J468" s="195">
        <v>143.18870000000001</v>
      </c>
      <c r="K468" s="195">
        <v>147.30179999999999</v>
      </c>
      <c r="L468" s="195">
        <v>140.8398</v>
      </c>
      <c r="M468" s="195">
        <v>106.5663</v>
      </c>
      <c r="N468" s="195">
        <v>94.085819999999998</v>
      </c>
    </row>
    <row r="469" spans="1:14" hidden="1" x14ac:dyDescent="0.35">
      <c r="A469" s="52" t="s">
        <v>206</v>
      </c>
      <c r="B469" s="52" t="s">
        <v>60</v>
      </c>
      <c r="C469" s="52" t="s">
        <v>317</v>
      </c>
      <c r="D469" s="52" t="s">
        <v>317</v>
      </c>
      <c r="E469" s="52" t="s">
        <v>584</v>
      </c>
      <c r="F469" s="52" t="s">
        <v>26</v>
      </c>
      <c r="G469" s="195" t="s">
        <v>275</v>
      </c>
      <c r="H469" s="195">
        <v>-0.16169220000000001</v>
      </c>
      <c r="I469" s="195">
        <v>-0.31539600000000001</v>
      </c>
      <c r="J469" s="195">
        <v>0</v>
      </c>
      <c r="K469" s="195">
        <v>0</v>
      </c>
      <c r="L469" s="195">
        <v>0</v>
      </c>
      <c r="M469" s="195">
        <v>0</v>
      </c>
      <c r="N469" s="195">
        <v>0</v>
      </c>
    </row>
    <row r="470" spans="1:14" hidden="1" x14ac:dyDescent="0.35">
      <c r="A470" s="52" t="s">
        <v>206</v>
      </c>
      <c r="B470" s="52" t="s">
        <v>60</v>
      </c>
      <c r="C470" s="52" t="s">
        <v>317</v>
      </c>
      <c r="D470" s="52" t="s">
        <v>317</v>
      </c>
      <c r="E470" s="52" t="s">
        <v>584</v>
      </c>
      <c r="F470" s="52" t="s">
        <v>26</v>
      </c>
      <c r="G470" s="195" t="s">
        <v>276</v>
      </c>
      <c r="H470" s="195"/>
      <c r="I470" s="195"/>
      <c r="J470" s="195">
        <v>-7.7260309999999999</v>
      </c>
      <c r="K470" s="195">
        <v>-0.1203048</v>
      </c>
      <c r="L470" s="195">
        <v>-0.1203048</v>
      </c>
      <c r="M470" s="195">
        <v>-0.1203048</v>
      </c>
      <c r="N470" s="195">
        <v>-0.1203048</v>
      </c>
    </row>
    <row r="471" spans="1:14" hidden="1" x14ac:dyDescent="0.35">
      <c r="A471" s="52" t="s">
        <v>206</v>
      </c>
      <c r="B471" s="52" t="s">
        <v>60</v>
      </c>
      <c r="C471" s="52" t="s">
        <v>317</v>
      </c>
      <c r="D471" s="52" t="s">
        <v>317</v>
      </c>
      <c r="E471" s="52" t="s">
        <v>584</v>
      </c>
      <c r="F471" s="52" t="s">
        <v>26</v>
      </c>
      <c r="G471" s="195" t="s">
        <v>278</v>
      </c>
      <c r="H471" s="195">
        <v>0.16169220000000001</v>
      </c>
      <c r="I471" s="195">
        <v>0.31539600000000001</v>
      </c>
      <c r="J471" s="195">
        <v>7.7260330000000002</v>
      </c>
      <c r="K471" s="195">
        <v>0.1203048</v>
      </c>
      <c r="L471" s="195">
        <v>0.1203048</v>
      </c>
      <c r="M471" s="195">
        <v>0.1203048</v>
      </c>
      <c r="N471" s="195">
        <v>0.1203048</v>
      </c>
    </row>
    <row r="472" spans="1:14" hidden="1" x14ac:dyDescent="0.35">
      <c r="A472" s="52" t="s">
        <v>206</v>
      </c>
      <c r="B472" s="52" t="s">
        <v>60</v>
      </c>
      <c r="C472" s="52" t="s">
        <v>318</v>
      </c>
      <c r="D472" s="52" t="s">
        <v>318</v>
      </c>
      <c r="E472" s="52" t="s">
        <v>584</v>
      </c>
      <c r="F472" s="52" t="s">
        <v>581</v>
      </c>
      <c r="G472" s="195" t="s">
        <v>275</v>
      </c>
      <c r="H472" s="195">
        <v>-5.8252999999999999E-2</v>
      </c>
      <c r="I472" s="195">
        <v>0</v>
      </c>
      <c r="J472" s="195"/>
      <c r="K472" s="195"/>
      <c r="L472" s="195"/>
      <c r="M472" s="195"/>
      <c r="N472" s="195"/>
    </row>
    <row r="473" spans="1:14" hidden="1" x14ac:dyDescent="0.35">
      <c r="A473" s="52" t="s">
        <v>206</v>
      </c>
      <c r="B473" s="52" t="s">
        <v>60</v>
      </c>
      <c r="C473" s="52" t="s">
        <v>318</v>
      </c>
      <c r="D473" s="52" t="s">
        <v>318</v>
      </c>
      <c r="E473" s="52" t="s">
        <v>584</v>
      </c>
      <c r="F473" s="52" t="s">
        <v>581</v>
      </c>
      <c r="G473" s="195" t="s">
        <v>278</v>
      </c>
      <c r="H473" s="195">
        <v>5.8252999999999999E-2</v>
      </c>
      <c r="I473" s="195">
        <v>0</v>
      </c>
      <c r="J473" s="195"/>
      <c r="K473" s="195"/>
      <c r="L473" s="195"/>
      <c r="M473" s="195"/>
      <c r="N473" s="195"/>
    </row>
    <row r="474" spans="1:14" hidden="1" x14ac:dyDescent="0.35">
      <c r="A474" s="52" t="s">
        <v>206</v>
      </c>
      <c r="B474" s="52" t="s">
        <v>60</v>
      </c>
      <c r="C474" s="52" t="s">
        <v>318</v>
      </c>
      <c r="D474" s="52" t="s">
        <v>318</v>
      </c>
      <c r="E474" s="52" t="s">
        <v>584</v>
      </c>
      <c r="F474" s="52" t="s">
        <v>26</v>
      </c>
      <c r="G474" s="195" t="s">
        <v>275</v>
      </c>
      <c r="H474" s="195">
        <v>-3.8835000000000001E-2</v>
      </c>
      <c r="I474" s="195">
        <v>0</v>
      </c>
      <c r="J474" s="195"/>
      <c r="K474" s="195"/>
      <c r="L474" s="195"/>
      <c r="M474" s="195"/>
      <c r="N474" s="195"/>
    </row>
    <row r="475" spans="1:14" hidden="1" x14ac:dyDescent="0.35">
      <c r="A475" s="52" t="s">
        <v>206</v>
      </c>
      <c r="B475" s="52" t="s">
        <v>60</v>
      </c>
      <c r="C475" s="52" t="s">
        <v>318</v>
      </c>
      <c r="D475" s="52" t="s">
        <v>318</v>
      </c>
      <c r="E475" s="52" t="s">
        <v>584</v>
      </c>
      <c r="F475" s="52" t="s">
        <v>26</v>
      </c>
      <c r="G475" s="195" t="s">
        <v>278</v>
      </c>
      <c r="H475" s="195">
        <v>3.8835000000000001E-2</v>
      </c>
      <c r="I475" s="195">
        <v>0</v>
      </c>
      <c r="J475" s="195"/>
      <c r="K475" s="195"/>
      <c r="L475" s="195"/>
      <c r="M475" s="195"/>
      <c r="N475" s="195"/>
    </row>
    <row r="476" spans="1:14" hidden="1" x14ac:dyDescent="0.35">
      <c r="A476" s="52" t="s">
        <v>206</v>
      </c>
      <c r="B476" s="52" t="s">
        <v>34</v>
      </c>
      <c r="C476" s="52" t="s">
        <v>33</v>
      </c>
      <c r="D476" s="52" t="s">
        <v>33</v>
      </c>
      <c r="E476" s="52" t="s">
        <v>584</v>
      </c>
      <c r="F476" s="52" t="s">
        <v>581</v>
      </c>
      <c r="G476" s="195" t="s">
        <v>275</v>
      </c>
      <c r="H476" s="195">
        <v>126.7157</v>
      </c>
      <c r="I476" s="195">
        <v>-77.467290000000006</v>
      </c>
      <c r="J476" s="195">
        <v>-115.8197</v>
      </c>
      <c r="K476" s="195">
        <v>-203.4898</v>
      </c>
      <c r="L476" s="195">
        <v>-240.15870000000001</v>
      </c>
      <c r="M476" s="195">
        <v>-210.2629</v>
      </c>
      <c r="N476" s="195">
        <v>-212.27080000000001</v>
      </c>
    </row>
    <row r="477" spans="1:14" hidden="1" x14ac:dyDescent="0.35">
      <c r="A477" s="52" t="s">
        <v>206</v>
      </c>
      <c r="B477" s="52" t="s">
        <v>34</v>
      </c>
      <c r="C477" s="52" t="s">
        <v>33</v>
      </c>
      <c r="D477" s="52" t="s">
        <v>33</v>
      </c>
      <c r="E477" s="52" t="s">
        <v>584</v>
      </c>
      <c r="F477" s="52" t="s">
        <v>581</v>
      </c>
      <c r="G477" s="195" t="s">
        <v>276</v>
      </c>
      <c r="H477" s="195">
        <v>54.375720000000001</v>
      </c>
      <c r="I477" s="195">
        <v>-60.122010000000003</v>
      </c>
      <c r="J477" s="195">
        <v>-59.155290000000001</v>
      </c>
      <c r="K477" s="195">
        <v>-71.041480000000007</v>
      </c>
      <c r="L477" s="195">
        <v>-74.641959999999997</v>
      </c>
      <c r="M477" s="195">
        <v>-56.014530000000001</v>
      </c>
      <c r="N477" s="195">
        <v>-59.301319999999997</v>
      </c>
    </row>
    <row r="478" spans="1:14" hidden="1" x14ac:dyDescent="0.35">
      <c r="A478" s="52" t="s">
        <v>206</v>
      </c>
      <c r="B478" s="52" t="s">
        <v>34</v>
      </c>
      <c r="C478" s="52" t="s">
        <v>33</v>
      </c>
      <c r="D478" s="52" t="s">
        <v>33</v>
      </c>
      <c r="E478" s="52" t="s">
        <v>584</v>
      </c>
      <c r="F478" s="52" t="s">
        <v>581</v>
      </c>
      <c r="G478" s="195" t="s">
        <v>277</v>
      </c>
      <c r="H478" s="195">
        <v>205</v>
      </c>
      <c r="I478" s="195">
        <v>22.5</v>
      </c>
      <c r="J478" s="195">
        <v>33</v>
      </c>
      <c r="K478" s="195">
        <v>62.199330000000003</v>
      </c>
      <c r="L478" s="195">
        <v>68.516450000000006</v>
      </c>
      <c r="M478" s="195">
        <v>74.976079999999996</v>
      </c>
      <c r="N478" s="195">
        <v>76.850560000000002</v>
      </c>
    </row>
    <row r="479" spans="1:14" hidden="1" x14ac:dyDescent="0.35">
      <c r="A479" s="52" t="s">
        <v>206</v>
      </c>
      <c r="B479" s="52" t="s">
        <v>34</v>
      </c>
      <c r="C479" s="52" t="s">
        <v>33</v>
      </c>
      <c r="D479" s="52" t="s">
        <v>33</v>
      </c>
      <c r="E479" s="52" t="s">
        <v>584</v>
      </c>
      <c r="F479" s="52" t="s">
        <v>581</v>
      </c>
      <c r="G479" s="195" t="s">
        <v>278</v>
      </c>
      <c r="H479" s="195">
        <v>2.6494940000000002E-2</v>
      </c>
      <c r="I479" s="195">
        <v>2.8260360000000002E-2</v>
      </c>
      <c r="J479" s="195">
        <v>5.2094339999999998E-4</v>
      </c>
      <c r="K479" s="195">
        <v>5.2094339999999998E-4</v>
      </c>
      <c r="L479" s="195">
        <v>5.2094339999999998E-4</v>
      </c>
      <c r="M479" s="195">
        <v>5.2094339999999998E-4</v>
      </c>
      <c r="N479" s="195">
        <v>5.2094339999999998E-4</v>
      </c>
    </row>
    <row r="480" spans="1:14" hidden="1" x14ac:dyDescent="0.35">
      <c r="A480" s="52" t="s">
        <v>206</v>
      </c>
      <c r="B480" s="52" t="s">
        <v>34</v>
      </c>
      <c r="C480" s="52" t="s">
        <v>33</v>
      </c>
      <c r="D480" s="52" t="s">
        <v>33</v>
      </c>
      <c r="E480" s="52" t="s">
        <v>584</v>
      </c>
      <c r="F480" s="52" t="s">
        <v>581</v>
      </c>
      <c r="G480" s="195" t="s">
        <v>279</v>
      </c>
      <c r="H480" s="195">
        <v>470.28219999999999</v>
      </c>
      <c r="I480" s="195">
        <v>283.19720000000001</v>
      </c>
      <c r="J480" s="195">
        <v>357.97489999999999</v>
      </c>
      <c r="K480" s="195">
        <v>492.57150000000001</v>
      </c>
      <c r="L480" s="195">
        <v>534.84870000000001</v>
      </c>
      <c r="M480" s="195">
        <v>488.39839999999998</v>
      </c>
      <c r="N480" s="195">
        <v>500.56290000000001</v>
      </c>
    </row>
    <row r="481" spans="1:14" hidden="1" x14ac:dyDescent="0.35">
      <c r="A481" s="52" t="s">
        <v>206</v>
      </c>
      <c r="B481" s="52" t="s">
        <v>34</v>
      </c>
      <c r="C481" s="52" t="s">
        <v>33</v>
      </c>
      <c r="D481" s="52" t="s">
        <v>33</v>
      </c>
      <c r="E481" s="52" t="s">
        <v>584</v>
      </c>
      <c r="F481" s="52" t="s">
        <v>26</v>
      </c>
      <c r="G481" s="195" t="s">
        <v>275</v>
      </c>
      <c r="H481" s="195"/>
      <c r="I481" s="195"/>
      <c r="J481" s="195"/>
      <c r="K481" s="195"/>
      <c r="L481" s="195"/>
      <c r="M481" s="195"/>
      <c r="N481" s="195">
        <v>0</v>
      </c>
    </row>
    <row r="482" spans="1:14" hidden="1" x14ac:dyDescent="0.35">
      <c r="A482" s="52" t="s">
        <v>206</v>
      </c>
      <c r="B482" s="52" t="s">
        <v>34</v>
      </c>
      <c r="C482" s="52" t="s">
        <v>33</v>
      </c>
      <c r="D482" s="52" t="s">
        <v>33</v>
      </c>
      <c r="E482" s="52" t="s">
        <v>584</v>
      </c>
      <c r="F482" s="52" t="s">
        <v>26</v>
      </c>
      <c r="G482" s="195" t="s">
        <v>276</v>
      </c>
      <c r="H482" s="195"/>
      <c r="I482" s="195"/>
      <c r="J482" s="195"/>
      <c r="K482" s="195"/>
      <c r="L482" s="195"/>
      <c r="M482" s="195"/>
      <c r="N482" s="195">
        <v>0</v>
      </c>
    </row>
    <row r="483" spans="1:14" hidden="1" x14ac:dyDescent="0.35">
      <c r="A483" s="52" t="s">
        <v>206</v>
      </c>
      <c r="B483" s="52" t="s">
        <v>34</v>
      </c>
      <c r="C483" s="52" t="s">
        <v>33</v>
      </c>
      <c r="D483" s="52" t="s">
        <v>33</v>
      </c>
      <c r="E483" s="52" t="s">
        <v>584</v>
      </c>
      <c r="F483" s="52" t="s">
        <v>26</v>
      </c>
      <c r="G483" s="195" t="s">
        <v>279</v>
      </c>
      <c r="H483" s="195"/>
      <c r="I483" s="195"/>
      <c r="J483" s="195"/>
      <c r="K483" s="195"/>
      <c r="L483" s="195"/>
      <c r="M483" s="195"/>
      <c r="N483" s="195">
        <v>0</v>
      </c>
    </row>
    <row r="484" spans="1:14" hidden="1" x14ac:dyDescent="0.35">
      <c r="A484" s="52" t="s">
        <v>206</v>
      </c>
      <c r="B484" s="52" t="s">
        <v>34</v>
      </c>
      <c r="C484" s="52" t="s">
        <v>33</v>
      </c>
      <c r="D484" s="52" t="s">
        <v>33</v>
      </c>
      <c r="E484" s="52" t="s">
        <v>604</v>
      </c>
      <c r="F484" s="52" t="s">
        <v>581</v>
      </c>
      <c r="G484" s="195" t="s">
        <v>275</v>
      </c>
      <c r="H484" s="195">
        <v>-141.18950000000001</v>
      </c>
      <c r="I484" s="195">
        <v>12.49347</v>
      </c>
      <c r="J484" s="195">
        <v>13.7332</v>
      </c>
      <c r="K484" s="195">
        <v>19.706009999999999</v>
      </c>
      <c r="L484" s="195">
        <v>6.7850910000000004</v>
      </c>
      <c r="M484" s="195">
        <v>6.9978600000000002</v>
      </c>
      <c r="N484" s="195">
        <v>4.6887869999999996</v>
      </c>
    </row>
    <row r="485" spans="1:14" hidden="1" x14ac:dyDescent="0.35">
      <c r="A485" s="52" t="s">
        <v>206</v>
      </c>
      <c r="B485" s="52" t="s">
        <v>34</v>
      </c>
      <c r="C485" s="52" t="s">
        <v>33</v>
      </c>
      <c r="D485" s="52" t="s">
        <v>33</v>
      </c>
      <c r="E485" s="52" t="s">
        <v>604</v>
      </c>
      <c r="F485" s="52" t="s">
        <v>581</v>
      </c>
      <c r="G485" s="195" t="s">
        <v>276</v>
      </c>
      <c r="H485" s="195">
        <v>-13.376580000000001</v>
      </c>
      <c r="I485" s="195">
        <v>-12.74837</v>
      </c>
      <c r="J485" s="195">
        <v>-13.294700000000001</v>
      </c>
      <c r="K485" s="195">
        <v>-8.9607279999999996</v>
      </c>
      <c r="L485" s="195">
        <v>0.35804239999999998</v>
      </c>
      <c r="M485" s="195">
        <v>1.212861</v>
      </c>
      <c r="N485" s="195">
        <v>1.713273</v>
      </c>
    </row>
    <row r="486" spans="1:14" hidden="1" x14ac:dyDescent="0.35">
      <c r="A486" s="52" t="s">
        <v>206</v>
      </c>
      <c r="B486" s="52" t="s">
        <v>34</v>
      </c>
      <c r="C486" s="52" t="s">
        <v>33</v>
      </c>
      <c r="D486" s="52" t="s">
        <v>33</v>
      </c>
      <c r="E486" s="52" t="s">
        <v>604</v>
      </c>
      <c r="F486" s="52" t="s">
        <v>581</v>
      </c>
      <c r="G486" s="195" t="s">
        <v>277</v>
      </c>
      <c r="H486" s="195">
        <v>139.98490000000001</v>
      </c>
      <c r="I486" s="195">
        <v>2.1930459999999998</v>
      </c>
      <c r="J486" s="195">
        <v>1.202618</v>
      </c>
      <c r="K486" s="195">
        <v>0.78987209999999997</v>
      </c>
      <c r="L486" s="195">
        <v>0.73020359999999995</v>
      </c>
      <c r="M486" s="195">
        <v>0.46308640000000001</v>
      </c>
      <c r="N486" s="195">
        <v>0.88703220000000005</v>
      </c>
    </row>
    <row r="487" spans="1:14" hidden="1" x14ac:dyDescent="0.35">
      <c r="A487" s="52" t="s">
        <v>206</v>
      </c>
      <c r="B487" s="52" t="s">
        <v>34</v>
      </c>
      <c r="C487" s="52" t="s">
        <v>33</v>
      </c>
      <c r="D487" s="52" t="s">
        <v>33</v>
      </c>
      <c r="E487" s="52" t="s">
        <v>604</v>
      </c>
      <c r="F487" s="52" t="s">
        <v>581</v>
      </c>
      <c r="G487" s="195" t="s">
        <v>278</v>
      </c>
      <c r="H487" s="195">
        <v>26.987749999999998</v>
      </c>
      <c r="I487" s="195">
        <v>11.84694</v>
      </c>
      <c r="J487" s="195">
        <v>12.100899999999999</v>
      </c>
      <c r="K487" s="195">
        <v>1.8645910000000001</v>
      </c>
      <c r="L487" s="195">
        <v>1.654498</v>
      </c>
      <c r="M487" s="195">
        <v>1.1720999999999999</v>
      </c>
      <c r="N487" s="195">
        <v>1.939127</v>
      </c>
    </row>
    <row r="488" spans="1:14" hidden="1" x14ac:dyDescent="0.35">
      <c r="A488" s="52" t="s">
        <v>206</v>
      </c>
      <c r="B488" s="52" t="s">
        <v>34</v>
      </c>
      <c r="C488" s="52" t="s">
        <v>33</v>
      </c>
      <c r="D488" s="52" t="s">
        <v>33</v>
      </c>
      <c r="E488" s="52" t="s">
        <v>604</v>
      </c>
      <c r="F488" s="52" t="s">
        <v>581</v>
      </c>
      <c r="G488" s="195" t="s">
        <v>279</v>
      </c>
      <c r="H488" s="195">
        <v>3.113178</v>
      </c>
      <c r="I488" s="195">
        <v>14.14518</v>
      </c>
      <c r="J488" s="195">
        <v>16.935390000000002</v>
      </c>
      <c r="K488" s="195">
        <v>16.224170000000001</v>
      </c>
      <c r="L488" s="195">
        <v>15.11392</v>
      </c>
      <c r="M488" s="195">
        <v>11.72584</v>
      </c>
      <c r="N488" s="195">
        <v>10.597250000000001</v>
      </c>
    </row>
    <row r="489" spans="1:14" hidden="1" x14ac:dyDescent="0.35">
      <c r="A489" s="52" t="s">
        <v>206</v>
      </c>
      <c r="B489" s="52" t="s">
        <v>34</v>
      </c>
      <c r="C489" s="52" t="s">
        <v>33</v>
      </c>
      <c r="D489" s="52" t="s">
        <v>33</v>
      </c>
      <c r="E489" s="52" t="s">
        <v>604</v>
      </c>
      <c r="F489" s="52" t="s">
        <v>26</v>
      </c>
      <c r="G489" s="195" t="s">
        <v>275</v>
      </c>
      <c r="H489" s="195">
        <v>-0.50517299999999998</v>
      </c>
      <c r="I489" s="195">
        <v>-2.5682550000000002</v>
      </c>
      <c r="J489" s="195">
        <v>-3.7952729999999999</v>
      </c>
      <c r="K489" s="195">
        <v>-3.6226060000000002</v>
      </c>
      <c r="L489" s="195">
        <v>-4.1100300000000001</v>
      </c>
      <c r="M489" s="195">
        <v>-2.0165570000000002</v>
      </c>
      <c r="N489" s="195">
        <v>-1.667001</v>
      </c>
    </row>
    <row r="490" spans="1:14" hidden="1" x14ac:dyDescent="0.35">
      <c r="A490" s="52" t="s">
        <v>206</v>
      </c>
      <c r="B490" s="52" t="s">
        <v>34</v>
      </c>
      <c r="C490" s="52" t="s">
        <v>33</v>
      </c>
      <c r="D490" s="52" t="s">
        <v>33</v>
      </c>
      <c r="E490" s="52" t="s">
        <v>604</v>
      </c>
      <c r="F490" s="52" t="s">
        <v>26</v>
      </c>
      <c r="G490" s="195" t="s">
        <v>276</v>
      </c>
      <c r="H490" s="195">
        <v>-0.16839000000000001</v>
      </c>
      <c r="I490" s="195">
        <v>-0.85608510000000004</v>
      </c>
      <c r="J490" s="195">
        <v>-1.265091</v>
      </c>
      <c r="K490" s="195">
        <v>-1.207535</v>
      </c>
      <c r="L490" s="195">
        <v>-1.3700110000000001</v>
      </c>
      <c r="M490" s="195">
        <v>-0.67218619999999996</v>
      </c>
      <c r="N490" s="195">
        <v>-0.55566760000000004</v>
      </c>
    </row>
    <row r="491" spans="1:14" hidden="1" x14ac:dyDescent="0.35">
      <c r="A491" s="52" t="s">
        <v>206</v>
      </c>
      <c r="B491" s="52" t="s">
        <v>34</v>
      </c>
      <c r="C491" s="52" t="s">
        <v>33</v>
      </c>
      <c r="D491" s="52" t="s">
        <v>33</v>
      </c>
      <c r="E491" s="52" t="s">
        <v>604</v>
      </c>
      <c r="F491" s="52" t="s">
        <v>26</v>
      </c>
      <c r="G491" s="195" t="s">
        <v>279</v>
      </c>
      <c r="H491" s="195">
        <v>5.9227340000000002</v>
      </c>
      <c r="I491" s="195">
        <v>16.770399999999999</v>
      </c>
      <c r="J491" s="195">
        <v>20.587070000000001</v>
      </c>
      <c r="K491" s="195">
        <v>20.029119999999999</v>
      </c>
      <c r="L491" s="195">
        <v>18.289149999999999</v>
      </c>
      <c r="M491" s="195">
        <v>14.01249</v>
      </c>
      <c r="N491" s="195">
        <v>12.69975</v>
      </c>
    </row>
    <row r="492" spans="1:14" hidden="1" x14ac:dyDescent="0.35">
      <c r="A492" s="52" t="s">
        <v>206</v>
      </c>
      <c r="B492" s="52" t="s">
        <v>34</v>
      </c>
      <c r="C492" s="52" t="s">
        <v>33</v>
      </c>
      <c r="D492" s="52" t="s">
        <v>33</v>
      </c>
      <c r="E492" s="52" t="s">
        <v>605</v>
      </c>
      <c r="F492" s="52" t="s">
        <v>581</v>
      </c>
      <c r="G492" s="195" t="s">
        <v>275</v>
      </c>
      <c r="H492" s="195"/>
      <c r="I492" s="195">
        <v>0</v>
      </c>
      <c r="J492" s="195">
        <v>1.46648E-2</v>
      </c>
      <c r="K492" s="195">
        <v>1.82854E-2</v>
      </c>
      <c r="L492" s="195">
        <v>1.2511400000000001E-2</v>
      </c>
      <c r="M492" s="195">
        <v>6.6002000000000005E-2</v>
      </c>
      <c r="N492" s="195">
        <v>7.02488E-2</v>
      </c>
    </row>
    <row r="493" spans="1:14" hidden="1" x14ac:dyDescent="0.35">
      <c r="A493" s="52" t="s">
        <v>206</v>
      </c>
      <c r="B493" s="52" t="s">
        <v>34</v>
      </c>
      <c r="C493" s="52" t="s">
        <v>33</v>
      </c>
      <c r="D493" s="52" t="s">
        <v>33</v>
      </c>
      <c r="E493" s="52" t="s">
        <v>605</v>
      </c>
      <c r="F493" s="52" t="s">
        <v>581</v>
      </c>
      <c r="G493" s="195" t="s">
        <v>276</v>
      </c>
      <c r="H493" s="195"/>
      <c r="I493" s="195">
        <v>0</v>
      </c>
      <c r="J493" s="195">
        <v>4.8896010000000004E-3</v>
      </c>
      <c r="K493" s="195">
        <v>6.0949990000000002E-3</v>
      </c>
      <c r="L493" s="195">
        <v>4.1711999999999999E-3</v>
      </c>
      <c r="M493" s="195">
        <v>2.2001199999999999E-2</v>
      </c>
      <c r="N493" s="195">
        <v>2.3415999999999999E-2</v>
      </c>
    </row>
    <row r="494" spans="1:14" hidden="1" x14ac:dyDescent="0.35">
      <c r="A494" s="52" t="s">
        <v>206</v>
      </c>
      <c r="B494" s="52" t="s">
        <v>34</v>
      </c>
      <c r="C494" s="52" t="s">
        <v>33</v>
      </c>
      <c r="D494" s="52" t="s">
        <v>33</v>
      </c>
      <c r="E494" s="52" t="s">
        <v>605</v>
      </c>
      <c r="F494" s="52" t="s">
        <v>581</v>
      </c>
      <c r="G494" s="195" t="s">
        <v>279</v>
      </c>
      <c r="H494" s="195"/>
      <c r="I494" s="195">
        <v>0</v>
      </c>
      <c r="J494" s="195">
        <v>0.15226919999999999</v>
      </c>
      <c r="K494" s="195">
        <v>0.28921360000000002</v>
      </c>
      <c r="L494" s="195">
        <v>0.42755979999999999</v>
      </c>
      <c r="M494" s="195">
        <v>0.53087779999999996</v>
      </c>
      <c r="N494" s="195">
        <v>0.51780740000000003</v>
      </c>
    </row>
    <row r="495" spans="1:14" hidden="1" x14ac:dyDescent="0.35">
      <c r="A495" s="52" t="s">
        <v>206</v>
      </c>
      <c r="B495" s="52" t="s">
        <v>34</v>
      </c>
      <c r="C495" s="52" t="s">
        <v>33</v>
      </c>
      <c r="D495" s="52" t="s">
        <v>33</v>
      </c>
      <c r="E495" s="52" t="s">
        <v>605</v>
      </c>
      <c r="F495" s="52" t="s">
        <v>26</v>
      </c>
      <c r="G495" s="195" t="s">
        <v>275</v>
      </c>
      <c r="H495" s="195">
        <v>-102.9375</v>
      </c>
      <c r="I495" s="195">
        <v>9.821949</v>
      </c>
      <c r="J495" s="195">
        <v>9.4919510000000002</v>
      </c>
      <c r="K495" s="195">
        <v>6.1303000000000001</v>
      </c>
      <c r="L495" s="195">
        <v>-1.321752</v>
      </c>
      <c r="M495" s="195">
        <v>3.5580420000000001E-2</v>
      </c>
      <c r="N495" s="195">
        <v>-1.0359940000000001</v>
      </c>
    </row>
    <row r="496" spans="1:14" hidden="1" x14ac:dyDescent="0.35">
      <c r="A496" s="52" t="s">
        <v>206</v>
      </c>
      <c r="B496" s="52" t="s">
        <v>34</v>
      </c>
      <c r="C496" s="52" t="s">
        <v>33</v>
      </c>
      <c r="D496" s="52" t="s">
        <v>33</v>
      </c>
      <c r="E496" s="52" t="s">
        <v>605</v>
      </c>
      <c r="F496" s="52" t="s">
        <v>26</v>
      </c>
      <c r="G496" s="195" t="s">
        <v>276</v>
      </c>
      <c r="H496" s="195">
        <v>-10.0625</v>
      </c>
      <c r="I496" s="195">
        <v>-10.07854</v>
      </c>
      <c r="J496" s="195">
        <v>-10.03598</v>
      </c>
      <c r="K496" s="195">
        <v>-7.0736400000000001</v>
      </c>
      <c r="L496" s="195">
        <v>-0.13859460000000001</v>
      </c>
      <c r="M496" s="195">
        <v>-7.2311990000000007E-2</v>
      </c>
      <c r="N496" s="195">
        <v>-0.18602460000000001</v>
      </c>
    </row>
    <row r="497" spans="1:14" hidden="1" x14ac:dyDescent="0.35">
      <c r="A497" s="52" t="s">
        <v>206</v>
      </c>
      <c r="B497" s="52" t="s">
        <v>34</v>
      </c>
      <c r="C497" s="52" t="s">
        <v>33</v>
      </c>
      <c r="D497" s="52" t="s">
        <v>33</v>
      </c>
      <c r="E497" s="52" t="s">
        <v>605</v>
      </c>
      <c r="F497" s="52" t="s">
        <v>26</v>
      </c>
      <c r="G497" s="195" t="s">
        <v>277</v>
      </c>
      <c r="H497" s="195">
        <v>113</v>
      </c>
      <c r="I497" s="195">
        <v>0.136987</v>
      </c>
      <c r="J497" s="195">
        <v>0.2487538</v>
      </c>
      <c r="K497" s="195">
        <v>0.52203279999999996</v>
      </c>
      <c r="L497" s="195">
        <v>0.74328419999999995</v>
      </c>
      <c r="M497" s="195">
        <v>0.38482359999999999</v>
      </c>
      <c r="N497" s="195">
        <v>0.75874649999999999</v>
      </c>
    </row>
    <row r="498" spans="1:14" hidden="1" x14ac:dyDescent="0.35">
      <c r="A498" s="52" t="s">
        <v>206</v>
      </c>
      <c r="B498" s="52" t="s">
        <v>34</v>
      </c>
      <c r="C498" s="52" t="s">
        <v>33</v>
      </c>
      <c r="D498" s="52" t="s">
        <v>33</v>
      </c>
      <c r="E498" s="52" t="s">
        <v>605</v>
      </c>
      <c r="F498" s="52" t="s">
        <v>26</v>
      </c>
      <c r="G498" s="195" t="s">
        <v>278</v>
      </c>
      <c r="H498" s="195">
        <v>0</v>
      </c>
      <c r="I498" s="195">
        <v>0.11959980000000001</v>
      </c>
      <c r="J498" s="195">
        <v>0.70358200000000004</v>
      </c>
      <c r="K498" s="195">
        <v>1.079315</v>
      </c>
      <c r="L498" s="195">
        <v>1.401429</v>
      </c>
      <c r="M498" s="195">
        <v>0.84461900000000001</v>
      </c>
      <c r="N498" s="195">
        <v>1.536986</v>
      </c>
    </row>
    <row r="499" spans="1:14" hidden="1" x14ac:dyDescent="0.35">
      <c r="A499" s="52" t="s">
        <v>206</v>
      </c>
      <c r="B499" s="52" t="s">
        <v>34</v>
      </c>
      <c r="C499" s="52" t="s">
        <v>33</v>
      </c>
      <c r="D499" s="52" t="s">
        <v>33</v>
      </c>
      <c r="E499" s="52" t="s">
        <v>605</v>
      </c>
      <c r="F499" s="52" t="s">
        <v>26</v>
      </c>
      <c r="G499" s="195" t="s">
        <v>279</v>
      </c>
      <c r="H499" s="195"/>
      <c r="I499" s="195">
        <v>0</v>
      </c>
      <c r="J499" s="195">
        <v>0.79116819999999999</v>
      </c>
      <c r="K499" s="195">
        <v>1.4848589999999999</v>
      </c>
      <c r="L499" s="195">
        <v>2.2183079999999999</v>
      </c>
      <c r="M499" s="195">
        <v>2.7481119999999999</v>
      </c>
      <c r="N499" s="195">
        <v>2.6805859999999999</v>
      </c>
    </row>
    <row r="500" spans="1:14" hidden="1" x14ac:dyDescent="0.35">
      <c r="A500" s="52" t="s">
        <v>206</v>
      </c>
      <c r="B500" s="52" t="s">
        <v>34</v>
      </c>
      <c r="C500" s="52" t="s">
        <v>263</v>
      </c>
      <c r="D500" s="52" t="s">
        <v>263</v>
      </c>
      <c r="E500" s="52" t="s">
        <v>584</v>
      </c>
      <c r="F500" s="52" t="s">
        <v>581</v>
      </c>
      <c r="G500" s="195" t="s">
        <v>275</v>
      </c>
      <c r="H500" s="195">
        <v>-0.57761770000000001</v>
      </c>
      <c r="I500" s="195">
        <v>-0.68104350000000002</v>
      </c>
      <c r="J500" s="195">
        <v>-7.726826E-3</v>
      </c>
      <c r="K500" s="195">
        <v>1.328175E-3</v>
      </c>
      <c r="L500" s="195">
        <v>-3.9498249999999997E-3</v>
      </c>
      <c r="M500" s="195">
        <v>-3.9498249999999997E-3</v>
      </c>
      <c r="N500" s="195">
        <v>-5.0248000000000003E-3</v>
      </c>
    </row>
    <row r="501" spans="1:14" hidden="1" x14ac:dyDescent="0.35">
      <c r="A501" s="52" t="s">
        <v>206</v>
      </c>
      <c r="B501" s="52" t="s">
        <v>34</v>
      </c>
      <c r="C501" s="52" t="s">
        <v>263</v>
      </c>
      <c r="D501" s="52" t="s">
        <v>263</v>
      </c>
      <c r="E501" s="52" t="s">
        <v>584</v>
      </c>
      <c r="F501" s="52" t="s">
        <v>581</v>
      </c>
      <c r="G501" s="195" t="s">
        <v>276</v>
      </c>
      <c r="H501" s="195">
        <v>-0.21393429999999999</v>
      </c>
      <c r="I501" s="195">
        <v>-0.2214198</v>
      </c>
      <c r="J501" s="195">
        <v>-1.099585</v>
      </c>
      <c r="K501" s="195">
        <v>-1.0021690000000001</v>
      </c>
      <c r="L501" s="195">
        <v>-4.0403589999999996</v>
      </c>
      <c r="M501" s="195">
        <v>-0.70947000000000005</v>
      </c>
      <c r="N501" s="195">
        <v>-0.7096751</v>
      </c>
    </row>
    <row r="502" spans="1:14" hidden="1" x14ac:dyDescent="0.35">
      <c r="A502" s="52" t="s">
        <v>206</v>
      </c>
      <c r="B502" s="52" t="s">
        <v>34</v>
      </c>
      <c r="C502" s="52" t="s">
        <v>263</v>
      </c>
      <c r="D502" s="52" t="s">
        <v>263</v>
      </c>
      <c r="E502" s="52" t="s">
        <v>584</v>
      </c>
      <c r="F502" s="52" t="s">
        <v>581</v>
      </c>
      <c r="G502" s="195" t="s">
        <v>277</v>
      </c>
      <c r="H502" s="195"/>
      <c r="I502" s="195"/>
      <c r="J502" s="195"/>
      <c r="K502" s="195"/>
      <c r="L502" s="195">
        <v>0</v>
      </c>
      <c r="M502" s="195">
        <v>6.3625000000000002E-5</v>
      </c>
      <c r="N502" s="195">
        <v>1.3464900000000001E-3</v>
      </c>
    </row>
    <row r="503" spans="1:14" hidden="1" x14ac:dyDescent="0.35">
      <c r="A503" s="52" t="s">
        <v>206</v>
      </c>
      <c r="B503" s="52" t="s">
        <v>34</v>
      </c>
      <c r="C503" s="52" t="s">
        <v>263</v>
      </c>
      <c r="D503" s="52" t="s">
        <v>263</v>
      </c>
      <c r="E503" s="52" t="s">
        <v>584</v>
      </c>
      <c r="F503" s="52" t="s">
        <v>581</v>
      </c>
      <c r="G503" s="195" t="s">
        <v>278</v>
      </c>
      <c r="H503" s="195">
        <v>0.79154899999999995</v>
      </c>
      <c r="I503" s="195">
        <v>0.90246300000000002</v>
      </c>
      <c r="J503" s="195">
        <v>1.1178680000000001</v>
      </c>
      <c r="K503" s="195">
        <v>1.006119</v>
      </c>
      <c r="L503" s="195">
        <v>4.0443119999999997</v>
      </c>
      <c r="M503" s="195">
        <v>0.71335499999999996</v>
      </c>
      <c r="N503" s="195">
        <v>0.71335499999999996</v>
      </c>
    </row>
    <row r="504" spans="1:14" hidden="1" x14ac:dyDescent="0.35">
      <c r="A504" s="52" t="s">
        <v>206</v>
      </c>
      <c r="B504" s="52" t="s">
        <v>34</v>
      </c>
      <c r="C504" s="52" t="s">
        <v>263</v>
      </c>
      <c r="D504" s="52" t="s">
        <v>263</v>
      </c>
      <c r="E504" s="52" t="s">
        <v>584</v>
      </c>
      <c r="F504" s="52" t="s">
        <v>26</v>
      </c>
      <c r="G504" s="195" t="s">
        <v>275</v>
      </c>
      <c r="H504" s="195">
        <v>-0.10814799999999999</v>
      </c>
      <c r="I504" s="195">
        <v>-0.10814799999999999</v>
      </c>
      <c r="J504" s="195">
        <v>0.02</v>
      </c>
      <c r="K504" s="195">
        <v>0.01</v>
      </c>
      <c r="L504" s="195">
        <v>0</v>
      </c>
      <c r="M504" s="195">
        <v>0</v>
      </c>
      <c r="N504" s="195">
        <v>0</v>
      </c>
    </row>
    <row r="505" spans="1:14" hidden="1" x14ac:dyDescent="0.35">
      <c r="A505" s="52" t="s">
        <v>206</v>
      </c>
      <c r="B505" s="52" t="s">
        <v>34</v>
      </c>
      <c r="C505" s="52" t="s">
        <v>263</v>
      </c>
      <c r="D505" s="52" t="s">
        <v>263</v>
      </c>
      <c r="E505" s="52" t="s">
        <v>584</v>
      </c>
      <c r="F505" s="52" t="s">
        <v>26</v>
      </c>
      <c r="G505" s="195" t="s">
        <v>276</v>
      </c>
      <c r="H505" s="195">
        <v>-0.04</v>
      </c>
      <c r="I505" s="195">
        <v>-0.04</v>
      </c>
      <c r="J505" s="195">
        <v>0</v>
      </c>
      <c r="K505" s="195">
        <v>0</v>
      </c>
      <c r="L505" s="195">
        <v>0</v>
      </c>
      <c r="M505" s="195">
        <v>0</v>
      </c>
      <c r="N505" s="195">
        <v>0</v>
      </c>
    </row>
    <row r="506" spans="1:14" hidden="1" x14ac:dyDescent="0.35">
      <c r="A506" s="52" t="s">
        <v>206</v>
      </c>
      <c r="B506" s="52" t="s">
        <v>34</v>
      </c>
      <c r="C506" s="52" t="s">
        <v>263</v>
      </c>
      <c r="D506" s="52" t="s">
        <v>263</v>
      </c>
      <c r="E506" s="52" t="s">
        <v>584</v>
      </c>
      <c r="F506" s="52" t="s">
        <v>26</v>
      </c>
      <c r="G506" s="195" t="s">
        <v>277</v>
      </c>
      <c r="H506" s="195"/>
      <c r="I506" s="195"/>
      <c r="J506" s="195">
        <v>0</v>
      </c>
      <c r="K506" s="195"/>
      <c r="L506" s="195"/>
      <c r="M506" s="195"/>
      <c r="N506" s="195"/>
    </row>
    <row r="507" spans="1:14" hidden="1" x14ac:dyDescent="0.35">
      <c r="A507" s="52" t="s">
        <v>206</v>
      </c>
      <c r="B507" s="52" t="s">
        <v>34</v>
      </c>
      <c r="C507" s="52" t="s">
        <v>263</v>
      </c>
      <c r="D507" s="52" t="s">
        <v>263</v>
      </c>
      <c r="E507" s="52" t="s">
        <v>584</v>
      </c>
      <c r="F507" s="52" t="s">
        <v>26</v>
      </c>
      <c r="G507" s="195" t="s">
        <v>278</v>
      </c>
      <c r="H507" s="195">
        <v>0.148148</v>
      </c>
      <c r="I507" s="195">
        <v>0.148148</v>
      </c>
      <c r="J507" s="195">
        <v>0</v>
      </c>
      <c r="K507" s="195">
        <v>0</v>
      </c>
      <c r="L507" s="195">
        <v>0</v>
      </c>
      <c r="M507" s="195">
        <v>0</v>
      </c>
      <c r="N507" s="195"/>
    </row>
    <row r="508" spans="1:14" hidden="1" x14ac:dyDescent="0.35">
      <c r="A508" s="52" t="s">
        <v>206</v>
      </c>
      <c r="B508" s="52" t="s">
        <v>34</v>
      </c>
      <c r="C508" s="52" t="s">
        <v>302</v>
      </c>
      <c r="D508" s="52" t="s">
        <v>302</v>
      </c>
      <c r="E508" s="52" t="s">
        <v>584</v>
      </c>
      <c r="F508" s="52" t="s">
        <v>581</v>
      </c>
      <c r="G508" s="195" t="s">
        <v>275</v>
      </c>
      <c r="H508" s="195">
        <v>-3.9125829999999999E-3</v>
      </c>
      <c r="I508" s="195">
        <v>-3.9125840000000002E-3</v>
      </c>
      <c r="J508" s="195">
        <v>1.2361169999999999E-3</v>
      </c>
      <c r="K508" s="195">
        <v>6.1808670000000003E-4</v>
      </c>
      <c r="L508" s="195">
        <v>0</v>
      </c>
      <c r="M508" s="195">
        <v>0</v>
      </c>
      <c r="N508" s="195">
        <v>0</v>
      </c>
    </row>
    <row r="509" spans="1:14" hidden="1" x14ac:dyDescent="0.35">
      <c r="A509" s="52" t="s">
        <v>206</v>
      </c>
      <c r="B509" s="52" t="s">
        <v>34</v>
      </c>
      <c r="C509" s="52" t="s">
        <v>302</v>
      </c>
      <c r="D509" s="52" t="s">
        <v>302</v>
      </c>
      <c r="E509" s="52" t="s">
        <v>584</v>
      </c>
      <c r="F509" s="52" t="s">
        <v>581</v>
      </c>
      <c r="G509" s="195" t="s">
        <v>276</v>
      </c>
      <c r="H509" s="195">
        <v>-3.2296320000000001E-3</v>
      </c>
      <c r="I509" s="195">
        <v>-3.2295190000000001E-3</v>
      </c>
      <c r="J509" s="195">
        <v>-2.8049490000000002E-3</v>
      </c>
      <c r="K509" s="195">
        <v>-4.1072570000000003E-2</v>
      </c>
      <c r="L509" s="195">
        <v>-2.8048919999999998E-3</v>
      </c>
      <c r="M509" s="195">
        <v>-2.8048919999999998E-3</v>
      </c>
      <c r="N509" s="195">
        <v>-2.8049490000000002E-3</v>
      </c>
    </row>
    <row r="510" spans="1:14" hidden="1" x14ac:dyDescent="0.35">
      <c r="A510" s="52" t="s">
        <v>206</v>
      </c>
      <c r="B510" s="52" t="s">
        <v>34</v>
      </c>
      <c r="C510" s="52" t="s">
        <v>302</v>
      </c>
      <c r="D510" s="52" t="s">
        <v>302</v>
      </c>
      <c r="E510" s="52" t="s">
        <v>584</v>
      </c>
      <c r="F510" s="52" t="s">
        <v>581</v>
      </c>
      <c r="G510" s="195" t="s">
        <v>278</v>
      </c>
      <c r="H510" s="195">
        <v>7.1421590000000004E-3</v>
      </c>
      <c r="I510" s="195">
        <v>7.1421590000000004E-3</v>
      </c>
      <c r="J510" s="195">
        <v>2.8048930000000001E-3</v>
      </c>
      <c r="K510" s="195">
        <v>4.1072459999999998E-2</v>
      </c>
      <c r="L510" s="195">
        <v>2.8048919999999998E-3</v>
      </c>
      <c r="M510" s="195">
        <v>2.8048930000000001E-3</v>
      </c>
      <c r="N510" s="195">
        <v>2.8048930000000001E-3</v>
      </c>
    </row>
    <row r="511" spans="1:14" hidden="1" x14ac:dyDescent="0.35">
      <c r="A511" s="52" t="s">
        <v>206</v>
      </c>
      <c r="B511" s="52" t="s">
        <v>34</v>
      </c>
      <c r="C511" s="52" t="s">
        <v>380</v>
      </c>
      <c r="D511" s="52" t="s">
        <v>380</v>
      </c>
      <c r="E511" s="52" t="s">
        <v>584</v>
      </c>
      <c r="F511" s="52" t="s">
        <v>581</v>
      </c>
      <c r="G511" s="195" t="s">
        <v>275</v>
      </c>
      <c r="H511" s="195">
        <v>-4.9217150000000001E-2</v>
      </c>
      <c r="I511" s="195">
        <v>-4.9217150000000001E-2</v>
      </c>
      <c r="J511" s="195">
        <v>0</v>
      </c>
      <c r="K511" s="195">
        <v>0</v>
      </c>
      <c r="L511" s="195">
        <v>0</v>
      </c>
      <c r="M511" s="195">
        <v>0</v>
      </c>
      <c r="N511" s="195">
        <v>0</v>
      </c>
    </row>
    <row r="512" spans="1:14" hidden="1" x14ac:dyDescent="0.35">
      <c r="A512" s="52" t="s">
        <v>206</v>
      </c>
      <c r="B512" s="52" t="s">
        <v>34</v>
      </c>
      <c r="C512" s="52" t="s">
        <v>380</v>
      </c>
      <c r="D512" s="52" t="s">
        <v>380</v>
      </c>
      <c r="E512" s="52" t="s">
        <v>584</v>
      </c>
      <c r="F512" s="52" t="s">
        <v>581</v>
      </c>
      <c r="G512" s="195" t="s">
        <v>276</v>
      </c>
      <c r="H512" s="195"/>
      <c r="I512" s="195"/>
      <c r="J512" s="195">
        <v>-3.0037310000000002</v>
      </c>
      <c r="K512" s="195">
        <v>-1.6737470000000001</v>
      </c>
      <c r="L512" s="195">
        <v>-4.9217150000000001E-2</v>
      </c>
      <c r="M512" s="195">
        <v>-6.6522150000000002E-2</v>
      </c>
      <c r="N512" s="195">
        <v>-7.8203040000000001E-2</v>
      </c>
    </row>
    <row r="513" spans="1:14" hidden="1" x14ac:dyDescent="0.35">
      <c r="A513" s="52" t="s">
        <v>206</v>
      </c>
      <c r="B513" s="52" t="s">
        <v>34</v>
      </c>
      <c r="C513" s="52" t="s">
        <v>380</v>
      </c>
      <c r="D513" s="52" t="s">
        <v>380</v>
      </c>
      <c r="E513" s="52" t="s">
        <v>584</v>
      </c>
      <c r="F513" s="52" t="s">
        <v>581</v>
      </c>
      <c r="G513" s="195" t="s">
        <v>277</v>
      </c>
      <c r="H513" s="195"/>
      <c r="I513" s="195"/>
      <c r="J513" s="195"/>
      <c r="K513" s="195"/>
      <c r="L513" s="195">
        <v>0</v>
      </c>
      <c r="M513" s="195">
        <v>1.7305000000000001E-2</v>
      </c>
      <c r="N513" s="195">
        <v>2.898587E-2</v>
      </c>
    </row>
    <row r="514" spans="1:14" hidden="1" x14ac:dyDescent="0.35">
      <c r="A514" s="52" t="s">
        <v>206</v>
      </c>
      <c r="B514" s="52" t="s">
        <v>34</v>
      </c>
      <c r="C514" s="52" t="s">
        <v>380</v>
      </c>
      <c r="D514" s="52" t="s">
        <v>380</v>
      </c>
      <c r="E514" s="52" t="s">
        <v>584</v>
      </c>
      <c r="F514" s="52" t="s">
        <v>581</v>
      </c>
      <c r="G514" s="195" t="s">
        <v>278</v>
      </c>
      <c r="H514" s="195">
        <v>4.9217150000000001E-2</v>
      </c>
      <c r="I514" s="195">
        <v>4.9217150000000001E-2</v>
      </c>
      <c r="J514" s="195">
        <v>3.0037310000000002</v>
      </c>
      <c r="K514" s="195">
        <v>1.6737470000000001</v>
      </c>
      <c r="L514" s="195">
        <v>4.9217150000000001E-2</v>
      </c>
      <c r="M514" s="195">
        <v>4.9217150000000001E-2</v>
      </c>
      <c r="N514" s="195">
        <v>4.9217150000000001E-2</v>
      </c>
    </row>
    <row r="515" spans="1:14" hidden="1" x14ac:dyDescent="0.35">
      <c r="A515" s="52" t="s">
        <v>206</v>
      </c>
      <c r="B515" s="52" t="s">
        <v>34</v>
      </c>
      <c r="C515" s="52" t="s">
        <v>380</v>
      </c>
      <c r="D515" s="52" t="s">
        <v>380</v>
      </c>
      <c r="E515" s="52" t="s">
        <v>584</v>
      </c>
      <c r="F515" s="52" t="s">
        <v>26</v>
      </c>
      <c r="G515" s="195" t="s">
        <v>275</v>
      </c>
      <c r="H515" s="195"/>
      <c r="I515" s="195">
        <v>0</v>
      </c>
      <c r="J515" s="195">
        <v>0</v>
      </c>
      <c r="K515" s="195">
        <v>0</v>
      </c>
      <c r="L515" s="195">
        <v>0</v>
      </c>
      <c r="M515" s="195">
        <v>0</v>
      </c>
      <c r="N515" s="195">
        <v>0</v>
      </c>
    </row>
    <row r="516" spans="1:14" hidden="1" x14ac:dyDescent="0.35">
      <c r="A516" s="52" t="s">
        <v>206</v>
      </c>
      <c r="B516" s="52" t="s">
        <v>34</v>
      </c>
      <c r="C516" s="52" t="s">
        <v>380</v>
      </c>
      <c r="D516" s="52" t="s">
        <v>380</v>
      </c>
      <c r="E516" s="52" t="s">
        <v>584</v>
      </c>
      <c r="F516" s="52" t="s">
        <v>26</v>
      </c>
      <c r="G516" s="195" t="s">
        <v>277</v>
      </c>
      <c r="H516" s="195"/>
      <c r="I516" s="195"/>
      <c r="J516" s="195"/>
      <c r="K516" s="195"/>
      <c r="L516" s="195"/>
      <c r="M516" s="195">
        <v>0</v>
      </c>
      <c r="N516" s="195">
        <v>0</v>
      </c>
    </row>
    <row r="517" spans="1:14" hidden="1" x14ac:dyDescent="0.35">
      <c r="A517" s="52" t="s">
        <v>206</v>
      </c>
      <c r="B517" s="52" t="s">
        <v>34</v>
      </c>
      <c r="C517" s="52" t="s">
        <v>380</v>
      </c>
      <c r="D517" s="52" t="s">
        <v>380</v>
      </c>
      <c r="E517" s="52" t="s">
        <v>584</v>
      </c>
      <c r="F517" s="52" t="s">
        <v>26</v>
      </c>
      <c r="G517" s="195" t="s">
        <v>278</v>
      </c>
      <c r="H517" s="195"/>
      <c r="I517" s="195">
        <v>0</v>
      </c>
      <c r="J517" s="195">
        <v>0</v>
      </c>
      <c r="K517" s="195">
        <v>0</v>
      </c>
      <c r="L517" s="195">
        <v>0</v>
      </c>
      <c r="M517" s="195">
        <v>0</v>
      </c>
      <c r="N517" s="195">
        <v>0</v>
      </c>
    </row>
    <row r="518" spans="1:14" hidden="1" x14ac:dyDescent="0.35">
      <c r="A518" s="52" t="s">
        <v>206</v>
      </c>
      <c r="B518" s="52" t="s">
        <v>34</v>
      </c>
      <c r="C518" s="52" t="s">
        <v>292</v>
      </c>
      <c r="D518" s="52" t="s">
        <v>292</v>
      </c>
      <c r="E518" s="52" t="s">
        <v>584</v>
      </c>
      <c r="F518" s="52" t="s">
        <v>581</v>
      </c>
      <c r="G518" s="195" t="s">
        <v>275</v>
      </c>
      <c r="H518" s="195">
        <v>-2.63152E-3</v>
      </c>
      <c r="I518" s="195">
        <v>-2.6314419999999999E-3</v>
      </c>
      <c r="J518" s="195">
        <v>0</v>
      </c>
      <c r="K518" s="195">
        <v>0</v>
      </c>
      <c r="L518" s="195">
        <v>0</v>
      </c>
      <c r="M518" s="195">
        <v>0</v>
      </c>
      <c r="N518" s="195">
        <v>0</v>
      </c>
    </row>
    <row r="519" spans="1:14" hidden="1" x14ac:dyDescent="0.35">
      <c r="A519" s="52" t="s">
        <v>206</v>
      </c>
      <c r="B519" s="52" t="s">
        <v>34</v>
      </c>
      <c r="C519" s="52" t="s">
        <v>292</v>
      </c>
      <c r="D519" s="52" t="s">
        <v>292</v>
      </c>
      <c r="E519" s="52" t="s">
        <v>584</v>
      </c>
      <c r="F519" s="52" t="s">
        <v>581</v>
      </c>
      <c r="G519" s="195" t="s">
        <v>276</v>
      </c>
      <c r="H519" s="195">
        <v>-9.7324330000000004E-4</v>
      </c>
      <c r="I519" s="195">
        <v>-9.7324330000000004E-4</v>
      </c>
      <c r="J519" s="195">
        <v>-9.5660910000000002E-2</v>
      </c>
      <c r="K519" s="195">
        <v>-3.604763E-3</v>
      </c>
      <c r="L519" s="195">
        <v>-3.604763E-3</v>
      </c>
      <c r="M519" s="195">
        <v>-3.604763E-3</v>
      </c>
      <c r="N519" s="195">
        <v>-3.604763E-3</v>
      </c>
    </row>
    <row r="520" spans="1:14" hidden="1" x14ac:dyDescent="0.35">
      <c r="A520" s="52" t="s">
        <v>206</v>
      </c>
      <c r="B520" s="52" t="s">
        <v>34</v>
      </c>
      <c r="C520" s="52" t="s">
        <v>292</v>
      </c>
      <c r="D520" s="52" t="s">
        <v>292</v>
      </c>
      <c r="E520" s="52" t="s">
        <v>584</v>
      </c>
      <c r="F520" s="52" t="s">
        <v>581</v>
      </c>
      <c r="G520" s="195" t="s">
        <v>278</v>
      </c>
      <c r="H520" s="195">
        <v>3.604763E-3</v>
      </c>
      <c r="I520" s="195">
        <v>3.604763E-3</v>
      </c>
      <c r="J520" s="195">
        <v>9.5660919999999997E-2</v>
      </c>
      <c r="K520" s="195">
        <v>3.604763E-3</v>
      </c>
      <c r="L520" s="195">
        <v>3.604763E-3</v>
      </c>
      <c r="M520" s="195">
        <v>3.604763E-3</v>
      </c>
      <c r="N520" s="195">
        <v>3.604763E-3</v>
      </c>
    </row>
    <row r="521" spans="1:14" hidden="1" x14ac:dyDescent="0.35">
      <c r="A521" s="52" t="s">
        <v>206</v>
      </c>
      <c r="B521" s="52" t="s">
        <v>34</v>
      </c>
      <c r="C521" s="52" t="s">
        <v>300</v>
      </c>
      <c r="D521" s="52" t="s">
        <v>300</v>
      </c>
      <c r="E521" s="52" t="s">
        <v>584</v>
      </c>
      <c r="F521" s="52" t="s">
        <v>581</v>
      </c>
      <c r="G521" s="195" t="s">
        <v>275</v>
      </c>
      <c r="H521" s="195">
        <v>-0.1258975</v>
      </c>
      <c r="I521" s="195">
        <v>-0.1258975</v>
      </c>
      <c r="J521" s="195">
        <v>0</v>
      </c>
      <c r="K521" s="195">
        <v>0</v>
      </c>
      <c r="L521" s="195">
        <v>0</v>
      </c>
      <c r="M521" s="195">
        <v>0</v>
      </c>
      <c r="N521" s="195">
        <v>0</v>
      </c>
    </row>
    <row r="522" spans="1:14" hidden="1" x14ac:dyDescent="0.35">
      <c r="A522" s="52" t="s">
        <v>206</v>
      </c>
      <c r="B522" s="52" t="s">
        <v>34</v>
      </c>
      <c r="C522" s="52" t="s">
        <v>308</v>
      </c>
      <c r="D522" s="52" t="s">
        <v>308</v>
      </c>
      <c r="E522" s="52" t="s">
        <v>584</v>
      </c>
      <c r="F522" s="52" t="s">
        <v>581</v>
      </c>
      <c r="G522" s="195" t="s">
        <v>275</v>
      </c>
      <c r="H522" s="195">
        <v>-4.4503520000000003E-3</v>
      </c>
      <c r="I522" s="195">
        <v>-4.4503520000000003E-3</v>
      </c>
      <c r="J522" s="195">
        <v>0</v>
      </c>
      <c r="K522" s="195">
        <v>0</v>
      </c>
      <c r="L522" s="195">
        <v>0</v>
      </c>
      <c r="M522" s="195">
        <v>0</v>
      </c>
      <c r="N522" s="195">
        <v>0</v>
      </c>
    </row>
    <row r="523" spans="1:14" hidden="1" x14ac:dyDescent="0.35">
      <c r="A523" s="52" t="s">
        <v>206</v>
      </c>
      <c r="B523" s="52" t="s">
        <v>34</v>
      </c>
      <c r="C523" s="52" t="s">
        <v>308</v>
      </c>
      <c r="D523" s="52" t="s">
        <v>308</v>
      </c>
      <c r="E523" s="52" t="s">
        <v>584</v>
      </c>
      <c r="F523" s="52" t="s">
        <v>581</v>
      </c>
      <c r="G523" s="195" t="s">
        <v>276</v>
      </c>
      <c r="H523" s="195">
        <v>-1.6459700000000001E-3</v>
      </c>
      <c r="I523" s="195">
        <v>-1.646034E-3</v>
      </c>
      <c r="J523" s="195">
        <v>-6.0963859999999996E-3</v>
      </c>
      <c r="K523" s="195">
        <v>-6.0963859999999996E-3</v>
      </c>
      <c r="L523" s="195">
        <v>-6.0963859999999996E-3</v>
      </c>
      <c r="M523" s="195">
        <v>-6.0963859999999996E-3</v>
      </c>
      <c r="N523" s="195">
        <v>-0.8601183</v>
      </c>
    </row>
    <row r="524" spans="1:14" hidden="1" x14ac:dyDescent="0.35">
      <c r="A524" s="52" t="s">
        <v>206</v>
      </c>
      <c r="B524" s="52" t="s">
        <v>34</v>
      </c>
      <c r="C524" s="52" t="s">
        <v>300</v>
      </c>
      <c r="D524" s="52" t="s">
        <v>300</v>
      </c>
      <c r="E524" s="52" t="s">
        <v>584</v>
      </c>
      <c r="F524" s="52" t="s">
        <v>581</v>
      </c>
      <c r="G524" s="195" t="s">
        <v>276</v>
      </c>
      <c r="H524" s="195"/>
      <c r="I524" s="195"/>
      <c r="J524" s="195">
        <v>-0.1258975</v>
      </c>
      <c r="K524" s="195">
        <v>-0.1258975</v>
      </c>
      <c r="L524" s="195">
        <v>-0.1258975</v>
      </c>
      <c r="M524" s="195">
        <v>-0.1258975</v>
      </c>
      <c r="N524" s="195">
        <v>-0.1258975</v>
      </c>
    </row>
    <row r="525" spans="1:14" hidden="1" x14ac:dyDescent="0.35">
      <c r="A525" s="52" t="s">
        <v>206</v>
      </c>
      <c r="B525" s="52" t="s">
        <v>34</v>
      </c>
      <c r="C525" s="52" t="s">
        <v>308</v>
      </c>
      <c r="D525" s="52" t="s">
        <v>308</v>
      </c>
      <c r="E525" s="52" t="s">
        <v>584</v>
      </c>
      <c r="F525" s="52" t="s">
        <v>581</v>
      </c>
      <c r="G525" s="195" t="s">
        <v>278</v>
      </c>
      <c r="H525" s="195">
        <v>6.0963859999999996E-3</v>
      </c>
      <c r="I525" s="195">
        <v>6.0963859999999996E-3</v>
      </c>
      <c r="J525" s="195">
        <v>6.0963859999999996E-3</v>
      </c>
      <c r="K525" s="195">
        <v>6.0963859999999996E-3</v>
      </c>
      <c r="L525" s="195">
        <v>6.0963859999999996E-3</v>
      </c>
      <c r="M525" s="195">
        <v>6.0963859999999996E-3</v>
      </c>
      <c r="N525" s="195">
        <v>0.86011820000000005</v>
      </c>
    </row>
    <row r="526" spans="1:14" hidden="1" x14ac:dyDescent="0.35">
      <c r="A526" s="52" t="s">
        <v>206</v>
      </c>
      <c r="B526" s="52" t="s">
        <v>34</v>
      </c>
      <c r="C526" s="52" t="s">
        <v>300</v>
      </c>
      <c r="D526" s="52" t="s">
        <v>300</v>
      </c>
      <c r="E526" s="52" t="s">
        <v>584</v>
      </c>
      <c r="F526" s="52" t="s">
        <v>581</v>
      </c>
      <c r="G526" s="195" t="s">
        <v>278</v>
      </c>
      <c r="H526" s="195">
        <v>0.1258975</v>
      </c>
      <c r="I526" s="195">
        <v>0.1258975</v>
      </c>
      <c r="J526" s="195">
        <v>0.1258975</v>
      </c>
      <c r="K526" s="195">
        <v>0.1258975</v>
      </c>
      <c r="L526" s="195">
        <v>0.1258975</v>
      </c>
      <c r="M526" s="195">
        <v>0.1258975</v>
      </c>
      <c r="N526" s="195">
        <v>0.1258975</v>
      </c>
    </row>
    <row r="527" spans="1:14" hidden="1" x14ac:dyDescent="0.35">
      <c r="A527" s="52" t="s">
        <v>206</v>
      </c>
      <c r="B527" s="52" t="s">
        <v>34</v>
      </c>
      <c r="C527" s="52" t="s">
        <v>341</v>
      </c>
      <c r="D527" s="52" t="s">
        <v>341</v>
      </c>
      <c r="E527" s="52" t="s">
        <v>584</v>
      </c>
      <c r="F527" s="52" t="s">
        <v>581</v>
      </c>
      <c r="G527" s="195" t="s">
        <v>275</v>
      </c>
      <c r="H527" s="195">
        <v>-2.6637600000000001E-2</v>
      </c>
      <c r="I527" s="195">
        <v>-5.1465919999999998E-2</v>
      </c>
      <c r="J527" s="195">
        <v>0</v>
      </c>
      <c r="K527" s="195">
        <v>0</v>
      </c>
      <c r="L527" s="195">
        <v>0</v>
      </c>
      <c r="M527" s="195">
        <v>0</v>
      </c>
      <c r="N527" s="195">
        <v>0</v>
      </c>
    </row>
    <row r="528" spans="1:14" hidden="1" x14ac:dyDescent="0.35">
      <c r="A528" s="52" t="s">
        <v>206</v>
      </c>
      <c r="B528" s="52" t="s">
        <v>34</v>
      </c>
      <c r="C528" s="52" t="s">
        <v>341</v>
      </c>
      <c r="D528" s="52" t="s">
        <v>341</v>
      </c>
      <c r="E528" s="52" t="s">
        <v>584</v>
      </c>
      <c r="F528" s="52" t="s">
        <v>581</v>
      </c>
      <c r="G528" s="195" t="s">
        <v>276</v>
      </c>
      <c r="H528" s="195">
        <v>-9.8524800000000003E-3</v>
      </c>
      <c r="I528" s="195">
        <v>-1.164944E-2</v>
      </c>
      <c r="J528" s="195">
        <v>-3.6490960000000003E-2</v>
      </c>
      <c r="K528" s="195">
        <v>-3.6490080000000001E-2</v>
      </c>
      <c r="L528" s="195">
        <v>-3.6490080000000001E-2</v>
      </c>
      <c r="M528" s="195">
        <v>-3.6489639999999997E-2</v>
      </c>
      <c r="N528" s="195">
        <v>-3.6490080000000001E-2</v>
      </c>
    </row>
    <row r="529" spans="1:14" hidden="1" x14ac:dyDescent="0.35">
      <c r="A529" s="52" t="s">
        <v>206</v>
      </c>
      <c r="B529" s="52" t="s">
        <v>34</v>
      </c>
      <c r="C529" s="52" t="s">
        <v>341</v>
      </c>
      <c r="D529" s="52" t="s">
        <v>341</v>
      </c>
      <c r="E529" s="52" t="s">
        <v>584</v>
      </c>
      <c r="F529" s="52" t="s">
        <v>581</v>
      </c>
      <c r="G529" s="195" t="s">
        <v>278</v>
      </c>
      <c r="H529" s="195">
        <v>3.6490080000000001E-2</v>
      </c>
      <c r="I529" s="195">
        <v>6.31158E-2</v>
      </c>
      <c r="J529" s="195">
        <v>3.6490080000000001E-2</v>
      </c>
      <c r="K529" s="195">
        <v>3.6490080000000001E-2</v>
      </c>
      <c r="L529" s="195">
        <v>3.6490080000000001E-2</v>
      </c>
      <c r="M529" s="195">
        <v>3.6490080000000001E-2</v>
      </c>
      <c r="N529" s="195">
        <v>3.6490080000000001E-2</v>
      </c>
    </row>
    <row r="530" spans="1:14" hidden="1" x14ac:dyDescent="0.35">
      <c r="A530" s="52" t="s">
        <v>206</v>
      </c>
      <c r="B530" s="52" t="s">
        <v>34</v>
      </c>
      <c r="C530" s="52" t="s">
        <v>57</v>
      </c>
      <c r="D530" s="52" t="s">
        <v>57</v>
      </c>
      <c r="E530" s="52" t="s">
        <v>584</v>
      </c>
      <c r="F530" s="52" t="s">
        <v>581</v>
      </c>
      <c r="G530" s="195" t="s">
        <v>275</v>
      </c>
      <c r="H530" s="195">
        <v>-4.4267359999999999E-2</v>
      </c>
      <c r="I530" s="195">
        <v>-4.4267359999999999E-2</v>
      </c>
      <c r="J530" s="195">
        <v>0</v>
      </c>
      <c r="K530" s="195">
        <v>0</v>
      </c>
      <c r="L530" s="195">
        <v>0</v>
      </c>
      <c r="M530" s="195">
        <v>0</v>
      </c>
      <c r="N530" s="195">
        <v>0</v>
      </c>
    </row>
    <row r="531" spans="1:14" hidden="1" x14ac:dyDescent="0.35">
      <c r="A531" s="52" t="s">
        <v>206</v>
      </c>
      <c r="B531" s="52" t="s">
        <v>34</v>
      </c>
      <c r="C531" s="52" t="s">
        <v>57</v>
      </c>
      <c r="D531" s="52" t="s">
        <v>57</v>
      </c>
      <c r="E531" s="52" t="s">
        <v>584</v>
      </c>
      <c r="F531" s="52" t="s">
        <v>581</v>
      </c>
      <c r="G531" s="195" t="s">
        <v>276</v>
      </c>
      <c r="H531" s="195">
        <v>-1.6373059999999998E-2</v>
      </c>
      <c r="I531" s="195">
        <v>-1.6373059999999998E-2</v>
      </c>
      <c r="J531" s="195">
        <v>-0.1053992</v>
      </c>
      <c r="K531" s="195">
        <v>-6.064042E-2</v>
      </c>
      <c r="L531" s="195">
        <v>-6.0639709999999999E-2</v>
      </c>
      <c r="M531" s="195">
        <v>-6.064042E-2</v>
      </c>
      <c r="N531" s="195">
        <v>-6.0639709999999999E-2</v>
      </c>
    </row>
    <row r="532" spans="1:14" hidden="1" x14ac:dyDescent="0.35">
      <c r="A532" s="52" t="s">
        <v>206</v>
      </c>
      <c r="B532" s="52" t="s">
        <v>34</v>
      </c>
      <c r="C532" s="52" t="s">
        <v>57</v>
      </c>
      <c r="D532" s="52" t="s">
        <v>57</v>
      </c>
      <c r="E532" s="52" t="s">
        <v>584</v>
      </c>
      <c r="F532" s="52" t="s">
        <v>581</v>
      </c>
      <c r="G532" s="195" t="s">
        <v>278</v>
      </c>
      <c r="H532" s="195">
        <v>6.0639709999999999E-2</v>
      </c>
      <c r="I532" s="195">
        <v>6.0639709999999999E-2</v>
      </c>
      <c r="J532" s="195">
        <v>0.1053999</v>
      </c>
      <c r="K532" s="195">
        <v>6.0639709999999999E-2</v>
      </c>
      <c r="L532" s="195">
        <v>6.0639709999999999E-2</v>
      </c>
      <c r="M532" s="195">
        <v>6.0639709999999999E-2</v>
      </c>
      <c r="N532" s="195">
        <v>6.0639709999999999E-2</v>
      </c>
    </row>
    <row r="533" spans="1:14" hidden="1" x14ac:dyDescent="0.35">
      <c r="A533" s="52" t="s">
        <v>206</v>
      </c>
      <c r="B533" s="52" t="s">
        <v>34</v>
      </c>
      <c r="C533" s="52" t="s">
        <v>318</v>
      </c>
      <c r="D533" s="52" t="s">
        <v>318</v>
      </c>
      <c r="E533" s="52" t="s">
        <v>584</v>
      </c>
      <c r="F533" s="52" t="s">
        <v>581</v>
      </c>
      <c r="G533" s="195" t="s">
        <v>275</v>
      </c>
      <c r="H533" s="195">
        <v>-86.255650000000003</v>
      </c>
      <c r="I533" s="195">
        <v>0</v>
      </c>
      <c r="J533" s="195"/>
      <c r="K533" s="195"/>
      <c r="L533" s="195"/>
      <c r="M533" s="195"/>
      <c r="N533" s="195"/>
    </row>
    <row r="534" spans="1:14" hidden="1" x14ac:dyDescent="0.35">
      <c r="A534" s="52" t="s">
        <v>206</v>
      </c>
      <c r="B534" s="52" t="s">
        <v>34</v>
      </c>
      <c r="C534" s="52" t="s">
        <v>318</v>
      </c>
      <c r="D534" s="52" t="s">
        <v>318</v>
      </c>
      <c r="E534" s="52" t="s">
        <v>584</v>
      </c>
      <c r="F534" s="52" t="s">
        <v>581</v>
      </c>
      <c r="G534" s="195" t="s">
        <v>276</v>
      </c>
      <c r="H534" s="195">
        <v>-16.541709999999998</v>
      </c>
      <c r="I534" s="195">
        <v>0</v>
      </c>
      <c r="J534" s="195"/>
      <c r="K534" s="195"/>
      <c r="L534" s="195"/>
      <c r="M534" s="195"/>
      <c r="N534" s="195"/>
    </row>
    <row r="535" spans="1:14" hidden="1" x14ac:dyDescent="0.35">
      <c r="A535" s="52" t="s">
        <v>206</v>
      </c>
      <c r="B535" s="52" t="s">
        <v>34</v>
      </c>
      <c r="C535" s="52" t="s">
        <v>318</v>
      </c>
      <c r="D535" s="52" t="s">
        <v>318</v>
      </c>
      <c r="E535" s="52" t="s">
        <v>584</v>
      </c>
      <c r="F535" s="52" t="s">
        <v>581</v>
      </c>
      <c r="G535" s="195" t="s">
        <v>278</v>
      </c>
      <c r="H535" s="195">
        <v>102.7974</v>
      </c>
      <c r="I535" s="195">
        <v>0</v>
      </c>
      <c r="J535" s="195"/>
      <c r="K535" s="195"/>
      <c r="L535" s="195"/>
      <c r="M535" s="195"/>
      <c r="N535" s="195"/>
    </row>
    <row r="536" spans="1:14" hidden="1" x14ac:dyDescent="0.35">
      <c r="A536" s="52" t="s">
        <v>206</v>
      </c>
      <c r="B536" s="52" t="s">
        <v>34</v>
      </c>
      <c r="C536" s="52" t="s">
        <v>318</v>
      </c>
      <c r="D536" s="52" t="s">
        <v>318</v>
      </c>
      <c r="E536" s="52" t="s">
        <v>584</v>
      </c>
      <c r="F536" s="52" t="s">
        <v>26</v>
      </c>
      <c r="G536" s="195" t="s">
        <v>275</v>
      </c>
      <c r="H536" s="195">
        <v>-57.503770000000003</v>
      </c>
      <c r="I536" s="195">
        <v>0</v>
      </c>
      <c r="J536" s="195"/>
      <c r="K536" s="195"/>
      <c r="L536" s="195"/>
      <c r="M536" s="195"/>
      <c r="N536" s="195"/>
    </row>
    <row r="537" spans="1:14" hidden="1" x14ac:dyDescent="0.35">
      <c r="A537" s="52" t="s">
        <v>206</v>
      </c>
      <c r="B537" s="52" t="s">
        <v>34</v>
      </c>
      <c r="C537" s="52" t="s">
        <v>318</v>
      </c>
      <c r="D537" s="52" t="s">
        <v>318</v>
      </c>
      <c r="E537" s="52" t="s">
        <v>584</v>
      </c>
      <c r="F537" s="52" t="s">
        <v>26</v>
      </c>
      <c r="G537" s="195" t="s">
        <v>276</v>
      </c>
      <c r="H537" s="195">
        <v>-11.027810000000001</v>
      </c>
      <c r="I537" s="195">
        <v>0</v>
      </c>
      <c r="J537" s="195"/>
      <c r="K537" s="195"/>
      <c r="L537" s="195"/>
      <c r="M537" s="195"/>
      <c r="N537" s="195"/>
    </row>
    <row r="538" spans="1:14" hidden="1" x14ac:dyDescent="0.35">
      <c r="A538" s="52" t="s">
        <v>206</v>
      </c>
      <c r="B538" s="52" t="s">
        <v>34</v>
      </c>
      <c r="C538" s="52" t="s">
        <v>318</v>
      </c>
      <c r="D538" s="52" t="s">
        <v>318</v>
      </c>
      <c r="E538" s="52" t="s">
        <v>584</v>
      </c>
      <c r="F538" s="52" t="s">
        <v>26</v>
      </c>
      <c r="G538" s="195" t="s">
        <v>278</v>
      </c>
      <c r="H538" s="195">
        <v>68.531570000000002</v>
      </c>
      <c r="I538" s="195">
        <v>0</v>
      </c>
      <c r="J538" s="195"/>
      <c r="K538" s="195"/>
      <c r="L538" s="195"/>
      <c r="M538" s="195"/>
      <c r="N538" s="195"/>
    </row>
    <row r="539" spans="1:14" hidden="1" x14ac:dyDescent="0.35">
      <c r="A539" s="52" t="s">
        <v>206</v>
      </c>
      <c r="B539" s="52" t="s">
        <v>210</v>
      </c>
      <c r="C539" s="52" t="s">
        <v>209</v>
      </c>
      <c r="D539" s="52" t="s">
        <v>209</v>
      </c>
      <c r="E539" s="52" t="s">
        <v>584</v>
      </c>
      <c r="F539" s="52" t="s">
        <v>581</v>
      </c>
      <c r="G539" s="195" t="s">
        <v>275</v>
      </c>
      <c r="H539" s="195">
        <v>325.46960000000001</v>
      </c>
      <c r="I539" s="195">
        <v>34.26238</v>
      </c>
      <c r="J539" s="195">
        <v>67.119169999999997</v>
      </c>
      <c r="K539" s="195">
        <v>65.201189999999997</v>
      </c>
      <c r="L539" s="195">
        <v>78.347139999999996</v>
      </c>
      <c r="M539" s="195">
        <v>74.452759999999998</v>
      </c>
      <c r="N539" s="195">
        <v>67.024860000000004</v>
      </c>
    </row>
    <row r="540" spans="1:14" hidden="1" x14ac:dyDescent="0.35">
      <c r="A540" s="52" t="s">
        <v>206</v>
      </c>
      <c r="B540" s="52" t="s">
        <v>210</v>
      </c>
      <c r="C540" s="52" t="s">
        <v>209</v>
      </c>
      <c r="D540" s="52" t="s">
        <v>209</v>
      </c>
      <c r="E540" s="52" t="s">
        <v>584</v>
      </c>
      <c r="F540" s="52" t="s">
        <v>581</v>
      </c>
      <c r="G540" s="195" t="s">
        <v>276</v>
      </c>
      <c r="H540" s="195">
        <v>105.7732</v>
      </c>
      <c r="I540" s="195">
        <v>23.501069999999999</v>
      </c>
      <c r="J540" s="195">
        <v>34.419989999999999</v>
      </c>
      <c r="K540" s="195">
        <v>36.157530000000001</v>
      </c>
      <c r="L540" s="195">
        <v>37.182769999999998</v>
      </c>
      <c r="M540" s="195">
        <v>34.038339999999998</v>
      </c>
      <c r="N540" s="195">
        <v>30.65607</v>
      </c>
    </row>
    <row r="541" spans="1:14" hidden="1" x14ac:dyDescent="0.35">
      <c r="A541" s="52" t="s">
        <v>206</v>
      </c>
      <c r="B541" s="52" t="s">
        <v>210</v>
      </c>
      <c r="C541" s="52" t="s">
        <v>209</v>
      </c>
      <c r="D541" s="52" t="s">
        <v>209</v>
      </c>
      <c r="E541" s="52" t="s">
        <v>584</v>
      </c>
      <c r="F541" s="52" t="s">
        <v>581</v>
      </c>
      <c r="G541" s="195" t="s">
        <v>277</v>
      </c>
      <c r="H541" s="195">
        <v>78.624099999999999</v>
      </c>
      <c r="I541" s="195">
        <v>34.369660000000003</v>
      </c>
      <c r="J541" s="195">
        <v>36.966720000000002</v>
      </c>
      <c r="K541" s="195">
        <v>40.817010000000003</v>
      </c>
      <c r="L541" s="195">
        <v>31.61326</v>
      </c>
      <c r="M541" s="195">
        <v>28.330269999999999</v>
      </c>
      <c r="N541" s="195">
        <v>21.94181</v>
      </c>
    </row>
    <row r="542" spans="1:14" hidden="1" x14ac:dyDescent="0.35">
      <c r="A542" s="52" t="s">
        <v>206</v>
      </c>
      <c r="B542" s="52" t="s">
        <v>210</v>
      </c>
      <c r="C542" s="52" t="s">
        <v>209</v>
      </c>
      <c r="D542" s="52" t="s">
        <v>209</v>
      </c>
      <c r="E542" s="52" t="s">
        <v>584</v>
      </c>
      <c r="F542" s="52" t="s">
        <v>581</v>
      </c>
      <c r="G542" s="195" t="s">
        <v>278</v>
      </c>
      <c r="H542" s="195">
        <v>0.1362188</v>
      </c>
      <c r="I542" s="195">
        <v>0.1362188</v>
      </c>
      <c r="J542" s="195">
        <v>0.1362188</v>
      </c>
      <c r="K542" s="195">
        <v>0.1362188</v>
      </c>
      <c r="L542" s="195">
        <v>0.27861599999999997</v>
      </c>
      <c r="M542" s="195">
        <v>0.1362188</v>
      </c>
      <c r="N542" s="195">
        <v>1.2456510000000001</v>
      </c>
    </row>
    <row r="543" spans="1:14" hidden="1" x14ac:dyDescent="0.35">
      <c r="A543" s="52" t="s">
        <v>206</v>
      </c>
      <c r="B543" s="52" t="s">
        <v>210</v>
      </c>
      <c r="C543" s="52" t="s">
        <v>209</v>
      </c>
      <c r="D543" s="52" t="s">
        <v>209</v>
      </c>
      <c r="E543" s="52" t="s">
        <v>584</v>
      </c>
      <c r="F543" s="52" t="s">
        <v>581</v>
      </c>
      <c r="G543" s="195" t="s">
        <v>279</v>
      </c>
      <c r="H543" s="195">
        <v>88.637349999999998</v>
      </c>
      <c r="I543" s="195">
        <v>53.037869999999998</v>
      </c>
      <c r="J543" s="195">
        <v>93.327929999999995</v>
      </c>
      <c r="K543" s="195">
        <v>101.0654</v>
      </c>
      <c r="L543" s="195">
        <v>105.44410000000001</v>
      </c>
      <c r="M543" s="195">
        <v>95.413039999999995</v>
      </c>
      <c r="N543" s="195">
        <v>83.273719999999997</v>
      </c>
    </row>
    <row r="544" spans="1:14" hidden="1" x14ac:dyDescent="0.35">
      <c r="A544" s="52" t="s">
        <v>206</v>
      </c>
      <c r="B544" s="52" t="s">
        <v>210</v>
      </c>
      <c r="C544" s="52" t="s">
        <v>209</v>
      </c>
      <c r="D544" s="52" t="s">
        <v>209</v>
      </c>
      <c r="E544" s="52" t="s">
        <v>584</v>
      </c>
      <c r="F544" s="52" t="s">
        <v>26</v>
      </c>
      <c r="G544" s="195" t="s">
        <v>275</v>
      </c>
      <c r="H544" s="195">
        <v>-11.57217</v>
      </c>
      <c r="I544" s="195">
        <v>-5.8080030000000002</v>
      </c>
      <c r="J544" s="195">
        <v>-9.9938970000000005</v>
      </c>
      <c r="K544" s="195">
        <v>-10.49579</v>
      </c>
      <c r="L544" s="195">
        <v>-12.60732</v>
      </c>
      <c r="M544" s="195">
        <v>-13.128920000000001</v>
      </c>
      <c r="N544" s="195">
        <v>-12.7159</v>
      </c>
    </row>
    <row r="545" spans="1:14" hidden="1" x14ac:dyDescent="0.35">
      <c r="A545" s="52" t="s">
        <v>206</v>
      </c>
      <c r="B545" s="52" t="s">
        <v>210</v>
      </c>
      <c r="C545" s="52" t="s">
        <v>209</v>
      </c>
      <c r="D545" s="52" t="s">
        <v>209</v>
      </c>
      <c r="E545" s="52" t="s">
        <v>584</v>
      </c>
      <c r="F545" s="52" t="s">
        <v>26</v>
      </c>
      <c r="G545" s="195" t="s">
        <v>276</v>
      </c>
      <c r="H545" s="195">
        <v>39.512999999999998</v>
      </c>
      <c r="I545" s="195">
        <v>21.621960000000001</v>
      </c>
      <c r="J545" s="195">
        <v>42.583820000000003</v>
      </c>
      <c r="K545" s="195">
        <v>44.252560000000003</v>
      </c>
      <c r="L545" s="195">
        <v>47.075690000000002</v>
      </c>
      <c r="M545" s="195">
        <v>49.363079999999997</v>
      </c>
      <c r="N545" s="195">
        <v>47.511009999999999</v>
      </c>
    </row>
    <row r="546" spans="1:14" hidden="1" x14ac:dyDescent="0.35">
      <c r="A546" s="52" t="s">
        <v>206</v>
      </c>
      <c r="B546" s="52" t="s">
        <v>210</v>
      </c>
      <c r="C546" s="52" t="s">
        <v>209</v>
      </c>
      <c r="D546" s="52" t="s">
        <v>209</v>
      </c>
      <c r="E546" s="52" t="s">
        <v>584</v>
      </c>
      <c r="F546" s="52" t="s">
        <v>26</v>
      </c>
      <c r="G546" s="195" t="s">
        <v>277</v>
      </c>
      <c r="H546" s="195">
        <v>2.5234040000000002</v>
      </c>
      <c r="I546" s="195">
        <v>1.6711469999999999</v>
      </c>
      <c r="J546" s="195">
        <v>1.304</v>
      </c>
      <c r="K546" s="195">
        <v>0.81499999999999995</v>
      </c>
      <c r="L546" s="195">
        <v>2.31169</v>
      </c>
      <c r="M546" s="195">
        <v>2.2700330000000002</v>
      </c>
      <c r="N546" s="195">
        <v>2.3065540000000002</v>
      </c>
    </row>
    <row r="547" spans="1:14" hidden="1" x14ac:dyDescent="0.35">
      <c r="A547" s="52" t="s">
        <v>206</v>
      </c>
      <c r="B547" s="52" t="s">
        <v>210</v>
      </c>
      <c r="C547" s="52" t="s">
        <v>209</v>
      </c>
      <c r="D547" s="52" t="s">
        <v>209</v>
      </c>
      <c r="E547" s="52" t="s">
        <v>584</v>
      </c>
      <c r="F547" s="52" t="s">
        <v>26</v>
      </c>
      <c r="G547" s="195" t="s">
        <v>278</v>
      </c>
      <c r="H547" s="195"/>
      <c r="I547" s="195"/>
      <c r="J547" s="195">
        <v>0</v>
      </c>
      <c r="K547" s="195">
        <v>0</v>
      </c>
      <c r="L547" s="195">
        <v>0</v>
      </c>
      <c r="M547" s="195">
        <v>0</v>
      </c>
      <c r="N547" s="195">
        <v>0</v>
      </c>
    </row>
    <row r="548" spans="1:14" hidden="1" x14ac:dyDescent="0.35">
      <c r="A548" s="52" t="s">
        <v>206</v>
      </c>
      <c r="B548" s="52" t="s">
        <v>210</v>
      </c>
      <c r="C548" s="52" t="s">
        <v>209</v>
      </c>
      <c r="D548" s="52" t="s">
        <v>209</v>
      </c>
      <c r="E548" s="52" t="s">
        <v>584</v>
      </c>
      <c r="F548" s="52" t="s">
        <v>26</v>
      </c>
      <c r="G548" s="195" t="s">
        <v>279</v>
      </c>
      <c r="H548" s="195">
        <v>13.350149999999999</v>
      </c>
      <c r="I548" s="195">
        <v>6.7365550000000001</v>
      </c>
      <c r="J548" s="195">
        <v>13.019119999999999</v>
      </c>
      <c r="K548" s="195">
        <v>14.484690000000001</v>
      </c>
      <c r="L548" s="195">
        <v>15.381220000000001</v>
      </c>
      <c r="M548" s="195">
        <v>16.081160000000001</v>
      </c>
      <c r="N548" s="195">
        <v>15.51178</v>
      </c>
    </row>
    <row r="549" spans="1:14" hidden="1" x14ac:dyDescent="0.35">
      <c r="A549" s="52" t="s">
        <v>206</v>
      </c>
      <c r="B549" s="52" t="s">
        <v>210</v>
      </c>
      <c r="C549" s="52" t="s">
        <v>318</v>
      </c>
      <c r="D549" s="52" t="s">
        <v>318</v>
      </c>
      <c r="E549" s="52" t="s">
        <v>584</v>
      </c>
      <c r="F549" s="52" t="s">
        <v>581</v>
      </c>
      <c r="G549" s="195" t="s">
        <v>275</v>
      </c>
      <c r="H549" s="195">
        <v>-4.110665</v>
      </c>
      <c r="I549" s="195">
        <v>0</v>
      </c>
      <c r="J549" s="195"/>
      <c r="K549" s="195"/>
      <c r="L549" s="195"/>
      <c r="M549" s="195"/>
      <c r="N549" s="195"/>
    </row>
    <row r="550" spans="1:14" hidden="1" x14ac:dyDescent="0.35">
      <c r="A550" s="52" t="s">
        <v>206</v>
      </c>
      <c r="B550" s="52" t="s">
        <v>210</v>
      </c>
      <c r="C550" s="52" t="s">
        <v>376</v>
      </c>
      <c r="D550" s="52" t="s">
        <v>376</v>
      </c>
      <c r="E550" s="52" t="s">
        <v>584</v>
      </c>
      <c r="F550" s="52" t="s">
        <v>581</v>
      </c>
      <c r="G550" s="195" t="s">
        <v>275</v>
      </c>
      <c r="H550" s="195">
        <v>-7.5998740000000004E-3</v>
      </c>
      <c r="I550" s="195">
        <v>-7.5998740000000004E-3</v>
      </c>
      <c r="J550" s="195">
        <v>0</v>
      </c>
      <c r="K550" s="195">
        <v>0</v>
      </c>
      <c r="L550" s="195">
        <v>0</v>
      </c>
      <c r="M550" s="195">
        <v>0</v>
      </c>
      <c r="N550" s="195">
        <v>0</v>
      </c>
    </row>
    <row r="551" spans="1:14" hidden="1" x14ac:dyDescent="0.35">
      <c r="A551" s="52" t="s">
        <v>206</v>
      </c>
      <c r="B551" s="52" t="s">
        <v>210</v>
      </c>
      <c r="C551" s="52" t="s">
        <v>376</v>
      </c>
      <c r="D551" s="52" t="s">
        <v>376</v>
      </c>
      <c r="E551" s="52" t="s">
        <v>584</v>
      </c>
      <c r="F551" s="52" t="s">
        <v>581</v>
      </c>
      <c r="G551" s="195" t="s">
        <v>276</v>
      </c>
      <c r="H551" s="195"/>
      <c r="I551" s="195"/>
      <c r="J551" s="195">
        <v>-7.5998740000000004E-3</v>
      </c>
      <c r="K551" s="195">
        <v>-7.5997110000000003E-3</v>
      </c>
      <c r="L551" s="195">
        <v>-7.5998760000000002E-3</v>
      </c>
      <c r="M551" s="195">
        <v>-7.5998740000000004E-3</v>
      </c>
      <c r="N551" s="195">
        <v>-0.2497212</v>
      </c>
    </row>
    <row r="552" spans="1:14" hidden="1" x14ac:dyDescent="0.35">
      <c r="A552" s="52" t="s">
        <v>206</v>
      </c>
      <c r="B552" s="52" t="s">
        <v>210</v>
      </c>
      <c r="C552" s="52" t="s">
        <v>318</v>
      </c>
      <c r="D552" s="52" t="s">
        <v>318</v>
      </c>
      <c r="E552" s="52" t="s">
        <v>584</v>
      </c>
      <c r="F552" s="52" t="s">
        <v>581</v>
      </c>
      <c r="G552" s="195" t="s">
        <v>278</v>
      </c>
      <c r="H552" s="195">
        <v>4.110665</v>
      </c>
      <c r="I552" s="195">
        <v>0</v>
      </c>
      <c r="J552" s="195"/>
      <c r="K552" s="195"/>
      <c r="L552" s="195"/>
      <c r="M552" s="195"/>
      <c r="N552" s="195"/>
    </row>
    <row r="553" spans="1:14" hidden="1" x14ac:dyDescent="0.35">
      <c r="A553" s="52" t="s">
        <v>206</v>
      </c>
      <c r="B553" s="52" t="s">
        <v>210</v>
      </c>
      <c r="C553" s="52" t="s">
        <v>376</v>
      </c>
      <c r="D553" s="52" t="s">
        <v>376</v>
      </c>
      <c r="E553" s="52" t="s">
        <v>584</v>
      </c>
      <c r="F553" s="52" t="s">
        <v>581</v>
      </c>
      <c r="G553" s="195" t="s">
        <v>278</v>
      </c>
      <c r="H553" s="195">
        <v>7.5998740000000004E-3</v>
      </c>
      <c r="I553" s="195">
        <v>7.5998740000000004E-3</v>
      </c>
      <c r="J553" s="195">
        <v>7.5998740000000004E-3</v>
      </c>
      <c r="K553" s="195">
        <v>7.5997110000000003E-3</v>
      </c>
      <c r="L553" s="195">
        <v>7.5998760000000002E-3</v>
      </c>
      <c r="M553" s="195">
        <v>7.5998740000000004E-3</v>
      </c>
      <c r="N553" s="195">
        <v>0.2497212</v>
      </c>
    </row>
    <row r="554" spans="1:14" hidden="1" x14ac:dyDescent="0.35">
      <c r="A554" s="52" t="s">
        <v>206</v>
      </c>
      <c r="B554" s="52" t="s">
        <v>210</v>
      </c>
      <c r="C554" s="52" t="s">
        <v>318</v>
      </c>
      <c r="D554" s="52" t="s">
        <v>318</v>
      </c>
      <c r="E554" s="52" t="s">
        <v>584</v>
      </c>
      <c r="F554" s="52" t="s">
        <v>26</v>
      </c>
      <c r="G554" s="195" t="s">
        <v>275</v>
      </c>
      <c r="H554" s="195">
        <v>-2.740443</v>
      </c>
      <c r="I554" s="195">
        <v>0</v>
      </c>
      <c r="J554" s="195"/>
      <c r="K554" s="195"/>
      <c r="L554" s="195"/>
      <c r="M554" s="195"/>
      <c r="N554" s="195"/>
    </row>
    <row r="555" spans="1:14" hidden="1" x14ac:dyDescent="0.35">
      <c r="A555" s="52" t="s">
        <v>206</v>
      </c>
      <c r="B555" s="52" t="s">
        <v>210</v>
      </c>
      <c r="C555" s="52" t="s">
        <v>318</v>
      </c>
      <c r="D555" s="52" t="s">
        <v>318</v>
      </c>
      <c r="E555" s="52" t="s">
        <v>584</v>
      </c>
      <c r="F555" s="52" t="s">
        <v>26</v>
      </c>
      <c r="G555" s="195" t="s">
        <v>278</v>
      </c>
      <c r="H555" s="195">
        <v>2.740443</v>
      </c>
      <c r="I555" s="195">
        <v>0</v>
      </c>
      <c r="J555" s="195"/>
      <c r="K555" s="195"/>
      <c r="L555" s="195"/>
      <c r="M555" s="195"/>
      <c r="N555" s="195"/>
    </row>
    <row r="556" spans="1:14" hidden="1" x14ac:dyDescent="0.35">
      <c r="A556" s="52" t="s">
        <v>206</v>
      </c>
      <c r="B556" s="52" t="s">
        <v>217</v>
      </c>
      <c r="C556" s="52" t="s">
        <v>216</v>
      </c>
      <c r="D556" s="52" t="s">
        <v>216</v>
      </c>
      <c r="E556" s="52" t="s">
        <v>584</v>
      </c>
      <c r="F556" s="52" t="s">
        <v>581</v>
      </c>
      <c r="G556" s="195" t="s">
        <v>275</v>
      </c>
      <c r="H556" s="195">
        <v>60.237810000000003</v>
      </c>
      <c r="I556" s="195">
        <v>20.917529999999999</v>
      </c>
      <c r="J556" s="195">
        <v>4.116879</v>
      </c>
      <c r="K556" s="195">
        <v>1.763207</v>
      </c>
      <c r="L556" s="195">
        <v>7.9199020000000004</v>
      </c>
      <c r="M556" s="195">
        <v>11.670730000000001</v>
      </c>
      <c r="N556" s="195">
        <v>13.864319999999999</v>
      </c>
    </row>
    <row r="557" spans="1:14" hidden="1" x14ac:dyDescent="0.35">
      <c r="A557" s="52" t="s">
        <v>206</v>
      </c>
      <c r="B557" s="52" t="s">
        <v>217</v>
      </c>
      <c r="C557" s="52" t="s">
        <v>216</v>
      </c>
      <c r="D557" s="52" t="s">
        <v>216</v>
      </c>
      <c r="E557" s="52" t="s">
        <v>584</v>
      </c>
      <c r="F557" s="52" t="s">
        <v>581</v>
      </c>
      <c r="G557" s="195" t="s">
        <v>276</v>
      </c>
      <c r="H557" s="195">
        <v>14.112730000000001</v>
      </c>
      <c r="I557" s="195">
        <v>1.517039</v>
      </c>
      <c r="J557" s="195">
        <v>2.1185099999999998E-2</v>
      </c>
      <c r="K557" s="195">
        <v>-1.8183050000000001</v>
      </c>
      <c r="L557" s="195">
        <v>-4.5833550000000001</v>
      </c>
      <c r="M557" s="195">
        <v>-1.5964309999999999</v>
      </c>
      <c r="N557" s="195">
        <v>-2.125232</v>
      </c>
    </row>
    <row r="558" spans="1:14" hidden="1" x14ac:dyDescent="0.35">
      <c r="A558" s="52" t="s">
        <v>206</v>
      </c>
      <c r="B558" s="52" t="s">
        <v>217</v>
      </c>
      <c r="C558" s="52" t="s">
        <v>216</v>
      </c>
      <c r="D558" s="52" t="s">
        <v>216</v>
      </c>
      <c r="E558" s="52" t="s">
        <v>584</v>
      </c>
      <c r="F558" s="52" t="s">
        <v>581</v>
      </c>
      <c r="G558" s="195" t="s">
        <v>277</v>
      </c>
      <c r="H558" s="195">
        <v>41.442630000000001</v>
      </c>
      <c r="I558" s="195">
        <v>35.520740000000004</v>
      </c>
      <c r="J558" s="195">
        <v>35.266719999999999</v>
      </c>
      <c r="K558" s="195">
        <v>34.398159999999997</v>
      </c>
      <c r="L558" s="195">
        <v>26.106570000000001</v>
      </c>
      <c r="M558" s="195">
        <v>19.492699999999999</v>
      </c>
      <c r="N558" s="195">
        <v>13.0001</v>
      </c>
    </row>
    <row r="559" spans="1:14" hidden="1" x14ac:dyDescent="0.35">
      <c r="A559" s="52" t="s">
        <v>206</v>
      </c>
      <c r="B559" s="52" t="s">
        <v>217</v>
      </c>
      <c r="C559" s="52" t="s">
        <v>216</v>
      </c>
      <c r="D559" s="52" t="s">
        <v>216</v>
      </c>
      <c r="E559" s="52" t="s">
        <v>584</v>
      </c>
      <c r="F559" s="52" t="s">
        <v>581</v>
      </c>
      <c r="G559" s="195" t="s">
        <v>278</v>
      </c>
      <c r="H559" s="195">
        <v>0.24663570000000001</v>
      </c>
      <c r="I559" s="195">
        <v>0.24663570000000001</v>
      </c>
      <c r="J559" s="195">
        <v>0.24663570000000001</v>
      </c>
      <c r="K559" s="195">
        <v>1.0277339999999999</v>
      </c>
      <c r="L559" s="195">
        <v>3.5005470000000001</v>
      </c>
      <c r="M559" s="195">
        <v>0.24663570000000001</v>
      </c>
      <c r="N559" s="195">
        <v>0.24663570000000001</v>
      </c>
    </row>
    <row r="560" spans="1:14" hidden="1" x14ac:dyDescent="0.35">
      <c r="A560" s="52" t="s">
        <v>206</v>
      </c>
      <c r="B560" s="52" t="s">
        <v>217</v>
      </c>
      <c r="C560" s="52" t="s">
        <v>216</v>
      </c>
      <c r="D560" s="52" t="s">
        <v>216</v>
      </c>
      <c r="E560" s="52" t="s">
        <v>584</v>
      </c>
      <c r="F560" s="52" t="s">
        <v>581</v>
      </c>
      <c r="G560" s="195" t="s">
        <v>279</v>
      </c>
      <c r="H560" s="195">
        <v>23.29842</v>
      </c>
      <c r="I560" s="195">
        <v>24.20168</v>
      </c>
      <c r="J560" s="195">
        <v>20.819430000000001</v>
      </c>
      <c r="K560" s="195">
        <v>20.39256</v>
      </c>
      <c r="L560" s="195">
        <v>19.116710000000001</v>
      </c>
      <c r="M560" s="195">
        <v>17.490680000000001</v>
      </c>
      <c r="N560" s="195">
        <v>14.91269</v>
      </c>
    </row>
    <row r="561" spans="1:14" hidden="1" x14ac:dyDescent="0.35">
      <c r="A561" s="52" t="s">
        <v>206</v>
      </c>
      <c r="B561" s="52" t="s">
        <v>217</v>
      </c>
      <c r="C561" s="52" t="s">
        <v>318</v>
      </c>
      <c r="D561" s="52" t="s">
        <v>318</v>
      </c>
      <c r="E561" s="52" t="s">
        <v>584</v>
      </c>
      <c r="F561" s="52" t="s">
        <v>581</v>
      </c>
      <c r="G561" s="195" t="s">
        <v>275</v>
      </c>
      <c r="H561" s="195">
        <v>-2.4964970000000002</v>
      </c>
      <c r="I561" s="195">
        <v>0</v>
      </c>
      <c r="J561" s="195"/>
      <c r="K561" s="195"/>
      <c r="L561" s="195"/>
      <c r="M561" s="195"/>
      <c r="N561" s="195"/>
    </row>
    <row r="562" spans="1:14" hidden="1" x14ac:dyDescent="0.35">
      <c r="A562" s="52" t="s">
        <v>206</v>
      </c>
      <c r="B562" s="52" t="s">
        <v>217</v>
      </c>
      <c r="C562" s="52" t="s">
        <v>318</v>
      </c>
      <c r="D562" s="52" t="s">
        <v>318</v>
      </c>
      <c r="E562" s="52" t="s">
        <v>584</v>
      </c>
      <c r="F562" s="52" t="s">
        <v>581</v>
      </c>
      <c r="G562" s="195" t="s">
        <v>278</v>
      </c>
      <c r="H562" s="195">
        <v>2.4964970000000002</v>
      </c>
      <c r="I562" s="195">
        <v>0</v>
      </c>
      <c r="J562" s="195"/>
      <c r="K562" s="195"/>
      <c r="L562" s="195"/>
      <c r="M562" s="195"/>
      <c r="N562" s="195"/>
    </row>
    <row r="563" spans="1:14" hidden="1" x14ac:dyDescent="0.35">
      <c r="A563" s="52" t="s">
        <v>206</v>
      </c>
      <c r="B563" s="52" t="s">
        <v>217</v>
      </c>
      <c r="C563" s="52" t="s">
        <v>318</v>
      </c>
      <c r="D563" s="52" t="s">
        <v>318</v>
      </c>
      <c r="E563" s="52" t="s">
        <v>584</v>
      </c>
      <c r="F563" s="52" t="s">
        <v>26</v>
      </c>
      <c r="G563" s="195" t="s">
        <v>275</v>
      </c>
      <c r="H563" s="195">
        <v>-1.664331</v>
      </c>
      <c r="I563" s="195">
        <v>0</v>
      </c>
      <c r="J563" s="195"/>
      <c r="K563" s="195"/>
      <c r="L563" s="195"/>
      <c r="M563" s="195"/>
      <c r="N563" s="195"/>
    </row>
    <row r="564" spans="1:14" hidden="1" x14ac:dyDescent="0.35">
      <c r="A564" s="52" t="s">
        <v>206</v>
      </c>
      <c r="B564" s="52" t="s">
        <v>217</v>
      </c>
      <c r="C564" s="52" t="s">
        <v>318</v>
      </c>
      <c r="D564" s="52" t="s">
        <v>318</v>
      </c>
      <c r="E564" s="52" t="s">
        <v>584</v>
      </c>
      <c r="F564" s="52" t="s">
        <v>26</v>
      </c>
      <c r="G564" s="195" t="s">
        <v>278</v>
      </c>
      <c r="H564" s="195">
        <v>1.664331</v>
      </c>
      <c r="I564" s="195">
        <v>0</v>
      </c>
      <c r="J564" s="195"/>
      <c r="K564" s="195"/>
      <c r="L564" s="195"/>
      <c r="M564" s="195"/>
      <c r="N564" s="195"/>
    </row>
    <row r="565" spans="1:14" hidden="1" x14ac:dyDescent="0.35">
      <c r="A565" s="52" t="s">
        <v>206</v>
      </c>
      <c r="B565" s="52" t="s">
        <v>201</v>
      </c>
      <c r="C565" s="52" t="s">
        <v>220</v>
      </c>
      <c r="D565" s="52" t="s">
        <v>220</v>
      </c>
      <c r="E565" s="52" t="s">
        <v>606</v>
      </c>
      <c r="F565" s="52" t="s">
        <v>581</v>
      </c>
      <c r="G565" s="195" t="s">
        <v>275</v>
      </c>
      <c r="H565" s="195">
        <v>-0.77638799999999997</v>
      </c>
      <c r="I565" s="195">
        <v>-0.77638799999999997</v>
      </c>
      <c r="J565" s="195">
        <v>0</v>
      </c>
      <c r="K565" s="195">
        <v>0</v>
      </c>
      <c r="L565" s="195">
        <v>3.7266559999999997E-2</v>
      </c>
      <c r="M565" s="195">
        <v>0</v>
      </c>
      <c r="N565" s="195">
        <v>0</v>
      </c>
    </row>
    <row r="566" spans="1:14" hidden="1" x14ac:dyDescent="0.35">
      <c r="A566" s="52" t="s">
        <v>206</v>
      </c>
      <c r="B566" s="52" t="s">
        <v>201</v>
      </c>
      <c r="C566" s="52" t="s">
        <v>220</v>
      </c>
      <c r="D566" s="52" t="s">
        <v>220</v>
      </c>
      <c r="E566" s="52" t="s">
        <v>606</v>
      </c>
      <c r="F566" s="52" t="s">
        <v>581</v>
      </c>
      <c r="G566" s="195" t="s">
        <v>276</v>
      </c>
      <c r="H566" s="195"/>
      <c r="I566" s="195">
        <v>0</v>
      </c>
      <c r="J566" s="195">
        <v>0</v>
      </c>
      <c r="K566" s="195">
        <v>-7.238E-2</v>
      </c>
      <c r="L566" s="195">
        <v>-0.29433680000000001</v>
      </c>
      <c r="M566" s="195">
        <v>-0.76730880000000001</v>
      </c>
      <c r="N566" s="195">
        <v>-0.78434669999999995</v>
      </c>
    </row>
    <row r="567" spans="1:14" hidden="1" x14ac:dyDescent="0.35">
      <c r="A567" s="52" t="s">
        <v>206</v>
      </c>
      <c r="B567" s="52" t="s">
        <v>201</v>
      </c>
      <c r="C567" s="52" t="s">
        <v>220</v>
      </c>
      <c r="D567" s="52" t="s">
        <v>220</v>
      </c>
      <c r="E567" s="52" t="s">
        <v>606</v>
      </c>
      <c r="F567" s="52" t="s">
        <v>581</v>
      </c>
      <c r="G567" s="195" t="s">
        <v>277</v>
      </c>
      <c r="H567" s="195"/>
      <c r="I567" s="195">
        <v>0</v>
      </c>
      <c r="J567" s="195">
        <v>0</v>
      </c>
      <c r="K567" s="195">
        <v>7.238E-2</v>
      </c>
      <c r="L567" s="195">
        <v>0.29433680000000001</v>
      </c>
      <c r="M567" s="195">
        <v>0.30252079999999998</v>
      </c>
      <c r="N567" s="195">
        <v>0.3092376</v>
      </c>
    </row>
    <row r="568" spans="1:14" hidden="1" x14ac:dyDescent="0.35">
      <c r="A568" s="52" t="s">
        <v>206</v>
      </c>
      <c r="B568" s="52" t="s">
        <v>201</v>
      </c>
      <c r="C568" s="52" t="s">
        <v>220</v>
      </c>
      <c r="D568" s="52" t="s">
        <v>220</v>
      </c>
      <c r="E568" s="52" t="s">
        <v>606</v>
      </c>
      <c r="F568" s="52" t="s">
        <v>581</v>
      </c>
      <c r="G568" s="195" t="s">
        <v>278</v>
      </c>
      <c r="H568" s="195">
        <v>0.77638799999999997</v>
      </c>
      <c r="I568" s="195">
        <v>0.77638799999999997</v>
      </c>
      <c r="J568" s="195">
        <v>0</v>
      </c>
      <c r="K568" s="195">
        <v>0</v>
      </c>
      <c r="L568" s="195">
        <v>0</v>
      </c>
      <c r="M568" s="195">
        <v>0.46478740000000002</v>
      </c>
      <c r="N568" s="195">
        <v>0.47510989999999997</v>
      </c>
    </row>
    <row r="569" spans="1:14" hidden="1" x14ac:dyDescent="0.35">
      <c r="A569" s="52" t="s">
        <v>206</v>
      </c>
      <c r="B569" s="52" t="s">
        <v>201</v>
      </c>
      <c r="C569" s="52" t="s">
        <v>220</v>
      </c>
      <c r="D569" s="52" t="s">
        <v>220</v>
      </c>
      <c r="E569" s="52" t="s">
        <v>606</v>
      </c>
      <c r="F569" s="52" t="s">
        <v>581</v>
      </c>
      <c r="G569" s="195" t="s">
        <v>279</v>
      </c>
      <c r="H569" s="195"/>
      <c r="I569" s="195">
        <v>0</v>
      </c>
      <c r="J569" s="195"/>
      <c r="K569" s="195"/>
      <c r="L569" s="195"/>
      <c r="M569" s="195"/>
      <c r="N569" s="195">
        <v>0</v>
      </c>
    </row>
    <row r="570" spans="1:14" hidden="1" x14ac:dyDescent="0.35">
      <c r="A570" s="52" t="s">
        <v>206</v>
      </c>
      <c r="B570" s="52" t="s">
        <v>201</v>
      </c>
      <c r="C570" s="52" t="s">
        <v>220</v>
      </c>
      <c r="D570" s="52" t="s">
        <v>220</v>
      </c>
      <c r="E570" s="52" t="s">
        <v>606</v>
      </c>
      <c r="F570" s="52" t="s">
        <v>26</v>
      </c>
      <c r="G570" s="195" t="s">
        <v>275</v>
      </c>
      <c r="H570" s="195"/>
      <c r="I570" s="195">
        <v>0</v>
      </c>
      <c r="J570" s="195">
        <v>0</v>
      </c>
      <c r="K570" s="195"/>
      <c r="L570" s="195">
        <v>0</v>
      </c>
      <c r="M570" s="195">
        <v>0</v>
      </c>
      <c r="N570" s="195">
        <v>0</v>
      </c>
    </row>
    <row r="571" spans="1:14" hidden="1" x14ac:dyDescent="0.35">
      <c r="A571" s="52" t="s">
        <v>206</v>
      </c>
      <c r="B571" s="52" t="s">
        <v>201</v>
      </c>
      <c r="C571" s="52" t="s">
        <v>220</v>
      </c>
      <c r="D571" s="52" t="s">
        <v>220</v>
      </c>
      <c r="E571" s="52" t="s">
        <v>606</v>
      </c>
      <c r="F571" s="52" t="s">
        <v>26</v>
      </c>
      <c r="G571" s="195" t="s">
        <v>276</v>
      </c>
      <c r="H571" s="195"/>
      <c r="I571" s="195">
        <v>0</v>
      </c>
      <c r="J571" s="195"/>
      <c r="K571" s="195"/>
      <c r="L571" s="195"/>
      <c r="M571" s="195"/>
      <c r="N571" s="195">
        <v>0</v>
      </c>
    </row>
    <row r="572" spans="1:14" hidden="1" x14ac:dyDescent="0.35">
      <c r="A572" s="52" t="s">
        <v>206</v>
      </c>
      <c r="B572" s="52" t="s">
        <v>201</v>
      </c>
      <c r="C572" s="52" t="s">
        <v>220</v>
      </c>
      <c r="D572" s="52" t="s">
        <v>220</v>
      </c>
      <c r="E572" s="52" t="s">
        <v>606</v>
      </c>
      <c r="F572" s="52" t="s">
        <v>26</v>
      </c>
      <c r="G572" s="195" t="s">
        <v>277</v>
      </c>
      <c r="H572" s="195"/>
      <c r="I572" s="195">
        <v>0</v>
      </c>
      <c r="J572" s="195"/>
      <c r="K572" s="195">
        <v>0</v>
      </c>
      <c r="L572" s="195"/>
      <c r="M572" s="195"/>
      <c r="N572" s="195"/>
    </row>
    <row r="573" spans="1:14" hidden="1" x14ac:dyDescent="0.35">
      <c r="A573" s="52" t="s">
        <v>206</v>
      </c>
      <c r="B573" s="52" t="s">
        <v>201</v>
      </c>
      <c r="C573" s="52" t="s">
        <v>220</v>
      </c>
      <c r="D573" s="52" t="s">
        <v>220</v>
      </c>
      <c r="E573" s="52" t="s">
        <v>606</v>
      </c>
      <c r="F573" s="52" t="s">
        <v>26</v>
      </c>
      <c r="G573" s="195" t="s">
        <v>279</v>
      </c>
      <c r="H573" s="195"/>
      <c r="I573" s="195">
        <v>0</v>
      </c>
      <c r="J573" s="195"/>
      <c r="K573" s="195"/>
      <c r="L573" s="195"/>
      <c r="M573" s="195"/>
      <c r="N573" s="195">
        <v>0</v>
      </c>
    </row>
    <row r="574" spans="1:14" hidden="1" x14ac:dyDescent="0.35">
      <c r="A574" s="52" t="s">
        <v>206</v>
      </c>
      <c r="B574" s="52" t="s">
        <v>201</v>
      </c>
      <c r="C574" s="52" t="s">
        <v>220</v>
      </c>
      <c r="D574" s="52" t="s">
        <v>220</v>
      </c>
      <c r="E574" s="52" t="s">
        <v>584</v>
      </c>
      <c r="F574" s="52" t="s">
        <v>581</v>
      </c>
      <c r="G574" s="195" t="s">
        <v>275</v>
      </c>
      <c r="H574" s="195">
        <v>-0.58135919999999996</v>
      </c>
      <c r="I574" s="195">
        <v>-0.58135919999999996</v>
      </c>
      <c r="J574" s="195">
        <v>0</v>
      </c>
      <c r="K574" s="195">
        <v>0</v>
      </c>
      <c r="L574" s="195">
        <v>0</v>
      </c>
      <c r="M574" s="195">
        <v>0</v>
      </c>
      <c r="N574" s="195">
        <v>0</v>
      </c>
    </row>
    <row r="575" spans="1:14" hidden="1" x14ac:dyDescent="0.35">
      <c r="A575" s="52" t="s">
        <v>206</v>
      </c>
      <c r="B575" s="52" t="s">
        <v>201</v>
      </c>
      <c r="C575" s="52" t="s">
        <v>220</v>
      </c>
      <c r="D575" s="52" t="s">
        <v>220</v>
      </c>
      <c r="E575" s="52" t="s">
        <v>584</v>
      </c>
      <c r="F575" s="52" t="s">
        <v>581</v>
      </c>
      <c r="G575" s="195" t="s">
        <v>276</v>
      </c>
      <c r="H575" s="195"/>
      <c r="I575" s="195"/>
      <c r="J575" s="195">
        <v>-4.8976550000000003</v>
      </c>
      <c r="K575" s="195">
        <v>-0.58135919999999996</v>
      </c>
      <c r="L575" s="195">
        <v>-0.58135919999999996</v>
      </c>
      <c r="M575" s="195">
        <v>-0.58135919999999996</v>
      </c>
      <c r="N575" s="195">
        <v>-0.58135919999999996</v>
      </c>
    </row>
    <row r="576" spans="1:14" hidden="1" x14ac:dyDescent="0.35">
      <c r="A576" s="52" t="s">
        <v>206</v>
      </c>
      <c r="B576" s="52" t="s">
        <v>201</v>
      </c>
      <c r="C576" s="52" t="s">
        <v>220</v>
      </c>
      <c r="D576" s="52" t="s">
        <v>220</v>
      </c>
      <c r="E576" s="52" t="s">
        <v>584</v>
      </c>
      <c r="F576" s="52" t="s">
        <v>581</v>
      </c>
      <c r="G576" s="195" t="s">
        <v>278</v>
      </c>
      <c r="H576" s="195">
        <v>0.58135919999999996</v>
      </c>
      <c r="I576" s="195">
        <v>0.58135919999999996</v>
      </c>
      <c r="J576" s="195">
        <v>4.8976550000000003</v>
      </c>
      <c r="K576" s="195">
        <v>0.58135919999999996</v>
      </c>
      <c r="L576" s="195">
        <v>0.58135919999999996</v>
      </c>
      <c r="M576" s="195">
        <v>0.58135919999999996</v>
      </c>
      <c r="N576" s="195">
        <v>0.58135919999999996</v>
      </c>
    </row>
    <row r="577" spans="1:14" hidden="1" x14ac:dyDescent="0.35">
      <c r="A577" s="52" t="s">
        <v>206</v>
      </c>
      <c r="B577" s="52" t="s">
        <v>201</v>
      </c>
      <c r="C577" s="52" t="s">
        <v>318</v>
      </c>
      <c r="D577" s="52" t="s">
        <v>318</v>
      </c>
      <c r="E577" s="52" t="s">
        <v>584</v>
      </c>
      <c r="F577" s="52" t="s">
        <v>581</v>
      </c>
      <c r="G577" s="195" t="s">
        <v>275</v>
      </c>
      <c r="H577" s="195">
        <v>-16.54982</v>
      </c>
      <c r="I577" s="195">
        <v>0</v>
      </c>
      <c r="J577" s="195"/>
      <c r="K577" s="195"/>
      <c r="L577" s="195"/>
      <c r="M577" s="195"/>
      <c r="N577" s="195"/>
    </row>
    <row r="578" spans="1:14" hidden="1" x14ac:dyDescent="0.35">
      <c r="A578" s="52" t="s">
        <v>206</v>
      </c>
      <c r="B578" s="52" t="s">
        <v>201</v>
      </c>
      <c r="C578" s="52" t="s">
        <v>318</v>
      </c>
      <c r="D578" s="52" t="s">
        <v>318</v>
      </c>
      <c r="E578" s="52" t="s">
        <v>584</v>
      </c>
      <c r="F578" s="52" t="s">
        <v>581</v>
      </c>
      <c r="G578" s="195" t="s">
        <v>278</v>
      </c>
      <c r="H578" s="195">
        <v>16.54982</v>
      </c>
      <c r="I578" s="195">
        <v>0</v>
      </c>
      <c r="J578" s="195"/>
      <c r="K578" s="195"/>
      <c r="L578" s="195"/>
      <c r="M578" s="195"/>
      <c r="N578" s="195"/>
    </row>
    <row r="579" spans="1:14" hidden="1" x14ac:dyDescent="0.35">
      <c r="A579" s="52" t="s">
        <v>206</v>
      </c>
      <c r="B579" s="52" t="s">
        <v>201</v>
      </c>
      <c r="C579" s="52" t="s">
        <v>318</v>
      </c>
      <c r="D579" s="52" t="s">
        <v>318</v>
      </c>
      <c r="E579" s="52" t="s">
        <v>584</v>
      </c>
      <c r="F579" s="52" t="s">
        <v>26</v>
      </c>
      <c r="G579" s="195" t="s">
        <v>275</v>
      </c>
      <c r="H579" s="195">
        <v>-11.03321</v>
      </c>
      <c r="I579" s="195">
        <v>0</v>
      </c>
      <c r="J579" s="195"/>
      <c r="K579" s="195"/>
      <c r="L579" s="195"/>
      <c r="M579" s="195"/>
      <c r="N579" s="195"/>
    </row>
    <row r="580" spans="1:14" hidden="1" x14ac:dyDescent="0.35">
      <c r="A580" s="52" t="s">
        <v>206</v>
      </c>
      <c r="B580" s="52" t="s">
        <v>201</v>
      </c>
      <c r="C580" s="52" t="s">
        <v>318</v>
      </c>
      <c r="D580" s="52" t="s">
        <v>318</v>
      </c>
      <c r="E580" s="52" t="s">
        <v>584</v>
      </c>
      <c r="F580" s="52" t="s">
        <v>26</v>
      </c>
      <c r="G580" s="195" t="s">
        <v>278</v>
      </c>
      <c r="H580" s="195">
        <v>11.03321</v>
      </c>
      <c r="I580" s="195">
        <v>0</v>
      </c>
      <c r="J580" s="195"/>
      <c r="K580" s="195"/>
      <c r="L580" s="195"/>
      <c r="M580" s="195"/>
      <c r="N580" s="195"/>
    </row>
    <row r="581" spans="1:14" hidden="1" x14ac:dyDescent="0.35">
      <c r="A581" s="52" t="s">
        <v>206</v>
      </c>
      <c r="B581" s="52" t="s">
        <v>74</v>
      </c>
      <c r="C581" s="52" t="s">
        <v>318</v>
      </c>
      <c r="D581" s="52" t="s">
        <v>318</v>
      </c>
      <c r="E581" s="52" t="s">
        <v>584</v>
      </c>
      <c r="F581" s="52" t="s">
        <v>581</v>
      </c>
      <c r="G581" s="195" t="s">
        <v>275</v>
      </c>
      <c r="H581" s="195">
        <v>-3.0829999999999998E-3</v>
      </c>
      <c r="I581" s="195">
        <v>0</v>
      </c>
      <c r="J581" s="195"/>
      <c r="K581" s="195"/>
      <c r="L581" s="195"/>
      <c r="M581" s="195"/>
      <c r="N581" s="195"/>
    </row>
    <row r="582" spans="1:14" hidden="1" x14ac:dyDescent="0.35">
      <c r="A582" s="52" t="s">
        <v>206</v>
      </c>
      <c r="B582" s="52" t="s">
        <v>74</v>
      </c>
      <c r="C582" s="52" t="s">
        <v>318</v>
      </c>
      <c r="D582" s="52" t="s">
        <v>318</v>
      </c>
      <c r="E582" s="52" t="s">
        <v>584</v>
      </c>
      <c r="F582" s="52" t="s">
        <v>581</v>
      </c>
      <c r="G582" s="195" t="s">
        <v>276</v>
      </c>
      <c r="H582" s="195">
        <v>-5.7359999999999998E-3</v>
      </c>
      <c r="I582" s="195">
        <v>0</v>
      </c>
      <c r="J582" s="195"/>
      <c r="K582" s="195"/>
      <c r="L582" s="195"/>
      <c r="M582" s="195"/>
      <c r="N582" s="195"/>
    </row>
    <row r="583" spans="1:14" hidden="1" x14ac:dyDescent="0.35">
      <c r="A583" s="52" t="s">
        <v>206</v>
      </c>
      <c r="B583" s="52" t="s">
        <v>74</v>
      </c>
      <c r="C583" s="52" t="s">
        <v>318</v>
      </c>
      <c r="D583" s="52" t="s">
        <v>318</v>
      </c>
      <c r="E583" s="52" t="s">
        <v>584</v>
      </c>
      <c r="F583" s="52" t="s">
        <v>581</v>
      </c>
      <c r="G583" s="195" t="s">
        <v>278</v>
      </c>
      <c r="H583" s="195">
        <v>8.8260000000000005E-3</v>
      </c>
      <c r="I583" s="195">
        <v>0</v>
      </c>
      <c r="J583" s="195"/>
      <c r="K583" s="195"/>
      <c r="L583" s="195"/>
      <c r="M583" s="195"/>
      <c r="N583" s="195"/>
    </row>
    <row r="584" spans="1:14" hidden="1" x14ac:dyDescent="0.35">
      <c r="A584" s="52" t="s">
        <v>206</v>
      </c>
      <c r="B584" s="52" t="s">
        <v>74</v>
      </c>
      <c r="C584" s="52" t="s">
        <v>318</v>
      </c>
      <c r="D584" s="52" t="s">
        <v>318</v>
      </c>
      <c r="E584" s="52" t="s">
        <v>584</v>
      </c>
      <c r="F584" s="52" t="s">
        <v>26</v>
      </c>
      <c r="G584" s="195" t="s">
        <v>275</v>
      </c>
      <c r="H584" s="195">
        <v>-2.0590000000000001E-3</v>
      </c>
      <c r="I584" s="195">
        <v>0</v>
      </c>
      <c r="J584" s="195"/>
      <c r="K584" s="195"/>
      <c r="L584" s="195"/>
      <c r="M584" s="195"/>
      <c r="N584" s="195"/>
    </row>
    <row r="585" spans="1:14" hidden="1" x14ac:dyDescent="0.35">
      <c r="A585" s="52" t="s">
        <v>206</v>
      </c>
      <c r="B585" s="52" t="s">
        <v>74</v>
      </c>
      <c r="C585" s="52" t="s">
        <v>318</v>
      </c>
      <c r="D585" s="52" t="s">
        <v>318</v>
      </c>
      <c r="E585" s="52" t="s">
        <v>584</v>
      </c>
      <c r="F585" s="52" t="s">
        <v>26</v>
      </c>
      <c r="G585" s="195" t="s">
        <v>276</v>
      </c>
      <c r="H585" s="195">
        <v>-3.8240000000000001E-3</v>
      </c>
      <c r="I585" s="195">
        <v>0</v>
      </c>
      <c r="J585" s="195"/>
      <c r="K585" s="195"/>
      <c r="L585" s="195"/>
      <c r="M585" s="195"/>
      <c r="N585" s="195"/>
    </row>
    <row r="586" spans="1:14" hidden="1" x14ac:dyDescent="0.35">
      <c r="A586" s="52" t="s">
        <v>206</v>
      </c>
      <c r="B586" s="52" t="s">
        <v>74</v>
      </c>
      <c r="C586" s="52" t="s">
        <v>318</v>
      </c>
      <c r="D586" s="52" t="s">
        <v>318</v>
      </c>
      <c r="E586" s="52" t="s">
        <v>584</v>
      </c>
      <c r="F586" s="52" t="s">
        <v>26</v>
      </c>
      <c r="G586" s="195" t="s">
        <v>278</v>
      </c>
      <c r="H586" s="195">
        <v>5.8840000000000003E-3</v>
      </c>
      <c r="I586" s="195">
        <v>0</v>
      </c>
      <c r="J586" s="195"/>
      <c r="K586" s="195"/>
      <c r="L586" s="195"/>
      <c r="M586" s="195"/>
      <c r="N586" s="195"/>
    </row>
    <row r="587" spans="1:14" hidden="1" x14ac:dyDescent="0.35">
      <c r="A587" s="52" t="s">
        <v>206</v>
      </c>
      <c r="B587" s="52" t="s">
        <v>74</v>
      </c>
      <c r="C587" s="52" t="s">
        <v>224</v>
      </c>
      <c r="D587" s="52" t="s">
        <v>224</v>
      </c>
      <c r="E587" s="52" t="s">
        <v>584</v>
      </c>
      <c r="F587" s="52" t="s">
        <v>581</v>
      </c>
      <c r="G587" s="195" t="s">
        <v>275</v>
      </c>
      <c r="H587" s="195"/>
      <c r="I587" s="195"/>
      <c r="J587" s="195">
        <v>0</v>
      </c>
      <c r="K587" s="195">
        <v>0</v>
      </c>
      <c r="L587" s="195">
        <v>0</v>
      </c>
      <c r="M587" s="195">
        <v>0</v>
      </c>
      <c r="N587" s="195">
        <v>0</v>
      </c>
    </row>
    <row r="588" spans="1:14" hidden="1" x14ac:dyDescent="0.35">
      <c r="A588" s="52" t="s">
        <v>206</v>
      </c>
      <c r="B588" s="52" t="s">
        <v>74</v>
      </c>
      <c r="C588" s="52" t="s">
        <v>224</v>
      </c>
      <c r="D588" s="52" t="s">
        <v>224</v>
      </c>
      <c r="E588" s="52" t="s">
        <v>584</v>
      </c>
      <c r="F588" s="52" t="s">
        <v>581</v>
      </c>
      <c r="G588" s="195" t="s">
        <v>276</v>
      </c>
      <c r="H588" s="195"/>
      <c r="I588" s="195"/>
      <c r="J588" s="195">
        <v>0</v>
      </c>
      <c r="K588" s="195">
        <v>0</v>
      </c>
      <c r="L588" s="195">
        <v>0</v>
      </c>
      <c r="M588" s="195">
        <v>0</v>
      </c>
      <c r="N588" s="195">
        <v>0</v>
      </c>
    </row>
    <row r="589" spans="1:14" hidden="1" x14ac:dyDescent="0.35">
      <c r="A589" s="52" t="s">
        <v>206</v>
      </c>
      <c r="B589" s="52" t="s">
        <v>74</v>
      </c>
      <c r="C589" s="52" t="s">
        <v>224</v>
      </c>
      <c r="D589" s="52" t="s">
        <v>224</v>
      </c>
      <c r="E589" s="52" t="s">
        <v>584</v>
      </c>
      <c r="F589" s="52" t="s">
        <v>581</v>
      </c>
      <c r="G589" s="195" t="s">
        <v>278</v>
      </c>
      <c r="H589" s="195"/>
      <c r="I589" s="195"/>
      <c r="J589" s="195">
        <v>0</v>
      </c>
      <c r="K589" s="195">
        <v>0</v>
      </c>
      <c r="L589" s="195">
        <v>0</v>
      </c>
      <c r="M589" s="195">
        <v>0</v>
      </c>
      <c r="N589" s="195">
        <v>0</v>
      </c>
    </row>
    <row r="590" spans="1:14" hidden="1" x14ac:dyDescent="0.35">
      <c r="A590" s="52" t="s">
        <v>206</v>
      </c>
      <c r="B590" s="52" t="s">
        <v>104</v>
      </c>
      <c r="C590" s="52" t="s">
        <v>318</v>
      </c>
      <c r="D590" s="52" t="s">
        <v>318</v>
      </c>
      <c r="E590" s="52" t="s">
        <v>584</v>
      </c>
      <c r="F590" s="52" t="s">
        <v>581</v>
      </c>
      <c r="G590" s="195" t="s">
        <v>275</v>
      </c>
      <c r="H590" s="195">
        <v>-0.44045099999999998</v>
      </c>
      <c r="I590" s="195">
        <v>0</v>
      </c>
      <c r="J590" s="195"/>
      <c r="K590" s="195"/>
      <c r="L590" s="195"/>
      <c r="M590" s="195"/>
      <c r="N590" s="195"/>
    </row>
    <row r="591" spans="1:14" hidden="1" x14ac:dyDescent="0.35">
      <c r="A591" s="52" t="s">
        <v>206</v>
      </c>
      <c r="B591" s="52" t="s">
        <v>104</v>
      </c>
      <c r="C591" s="52" t="s">
        <v>318</v>
      </c>
      <c r="D591" s="52" t="s">
        <v>318</v>
      </c>
      <c r="E591" s="52" t="s">
        <v>584</v>
      </c>
      <c r="F591" s="52" t="s">
        <v>581</v>
      </c>
      <c r="G591" s="195" t="s">
        <v>276</v>
      </c>
      <c r="H591" s="195">
        <v>-3.5712000000000001E-2</v>
      </c>
      <c r="I591" s="195">
        <v>0</v>
      </c>
      <c r="J591" s="195"/>
      <c r="K591" s="195"/>
      <c r="L591" s="195"/>
      <c r="M591" s="195"/>
      <c r="N591" s="195"/>
    </row>
    <row r="592" spans="1:14" hidden="1" x14ac:dyDescent="0.35">
      <c r="A592" s="52" t="s">
        <v>206</v>
      </c>
      <c r="B592" s="52" t="s">
        <v>104</v>
      </c>
      <c r="C592" s="52" t="s">
        <v>318</v>
      </c>
      <c r="D592" s="52" t="s">
        <v>318</v>
      </c>
      <c r="E592" s="52" t="s">
        <v>584</v>
      </c>
      <c r="F592" s="52" t="s">
        <v>581</v>
      </c>
      <c r="G592" s="195" t="s">
        <v>278</v>
      </c>
      <c r="H592" s="195">
        <v>0.47616399999999998</v>
      </c>
      <c r="I592" s="195">
        <v>0</v>
      </c>
      <c r="J592" s="195"/>
      <c r="K592" s="195"/>
      <c r="L592" s="195"/>
      <c r="M592" s="195"/>
      <c r="N592" s="195"/>
    </row>
    <row r="593" spans="1:14" hidden="1" x14ac:dyDescent="0.35">
      <c r="A593" s="52" t="s">
        <v>206</v>
      </c>
      <c r="B593" s="52" t="s">
        <v>104</v>
      </c>
      <c r="C593" s="52" t="s">
        <v>318</v>
      </c>
      <c r="D593" s="52" t="s">
        <v>318</v>
      </c>
      <c r="E593" s="52" t="s">
        <v>584</v>
      </c>
      <c r="F593" s="52" t="s">
        <v>26</v>
      </c>
      <c r="G593" s="195" t="s">
        <v>275</v>
      </c>
      <c r="H593" s="195">
        <v>-0.29363299999999998</v>
      </c>
      <c r="I593" s="195">
        <v>0</v>
      </c>
      <c r="J593" s="195"/>
      <c r="K593" s="195"/>
      <c r="L593" s="195"/>
      <c r="M593" s="195"/>
      <c r="N593" s="195"/>
    </row>
    <row r="594" spans="1:14" hidden="1" x14ac:dyDescent="0.35">
      <c r="A594" s="52" t="s">
        <v>206</v>
      </c>
      <c r="B594" s="52" t="s">
        <v>104</v>
      </c>
      <c r="C594" s="52" t="s">
        <v>318</v>
      </c>
      <c r="D594" s="52" t="s">
        <v>318</v>
      </c>
      <c r="E594" s="52" t="s">
        <v>584</v>
      </c>
      <c r="F594" s="52" t="s">
        <v>26</v>
      </c>
      <c r="G594" s="195" t="s">
        <v>276</v>
      </c>
      <c r="H594" s="195">
        <v>-2.3807999999999999E-2</v>
      </c>
      <c r="I594" s="195">
        <v>0</v>
      </c>
      <c r="J594" s="195"/>
      <c r="K594" s="195"/>
      <c r="L594" s="195"/>
      <c r="M594" s="195"/>
      <c r="N594" s="195"/>
    </row>
    <row r="595" spans="1:14" hidden="1" x14ac:dyDescent="0.35">
      <c r="A595" s="52" t="s">
        <v>206</v>
      </c>
      <c r="B595" s="52" t="s">
        <v>104</v>
      </c>
      <c r="C595" s="52" t="s">
        <v>318</v>
      </c>
      <c r="D595" s="52" t="s">
        <v>318</v>
      </c>
      <c r="E595" s="52" t="s">
        <v>584</v>
      </c>
      <c r="F595" s="52" t="s">
        <v>26</v>
      </c>
      <c r="G595" s="195" t="s">
        <v>278</v>
      </c>
      <c r="H595" s="195">
        <v>0.317442</v>
      </c>
      <c r="I595" s="195">
        <v>0</v>
      </c>
      <c r="J595" s="195"/>
      <c r="K595" s="195"/>
      <c r="L595" s="195"/>
      <c r="M595" s="195"/>
      <c r="N595" s="195"/>
    </row>
    <row r="596" spans="1:14" hidden="1" x14ac:dyDescent="0.35">
      <c r="A596" s="52" t="s">
        <v>206</v>
      </c>
      <c r="B596" s="52" t="s">
        <v>104</v>
      </c>
      <c r="C596" s="52" t="s">
        <v>103</v>
      </c>
      <c r="D596" s="52" t="s">
        <v>103</v>
      </c>
      <c r="E596" s="52" t="s">
        <v>584</v>
      </c>
      <c r="F596" s="52" t="s">
        <v>581</v>
      </c>
      <c r="G596" s="195" t="s">
        <v>275</v>
      </c>
      <c r="H596" s="195">
        <v>-3.6882999999999999E-2</v>
      </c>
      <c r="I596" s="195">
        <v>-3.6882999999999999E-2</v>
      </c>
      <c r="J596" s="195">
        <v>0</v>
      </c>
      <c r="K596" s="195">
        <v>0</v>
      </c>
      <c r="L596" s="195">
        <v>0</v>
      </c>
      <c r="M596" s="195">
        <v>0</v>
      </c>
      <c r="N596" s="195">
        <v>0</v>
      </c>
    </row>
    <row r="597" spans="1:14" hidden="1" x14ac:dyDescent="0.35">
      <c r="A597" s="52" t="s">
        <v>206</v>
      </c>
      <c r="B597" s="52" t="s">
        <v>104</v>
      </c>
      <c r="C597" s="52" t="s">
        <v>103</v>
      </c>
      <c r="D597" s="52" t="s">
        <v>103</v>
      </c>
      <c r="E597" s="52" t="s">
        <v>584</v>
      </c>
      <c r="F597" s="52" t="s">
        <v>581</v>
      </c>
      <c r="G597" s="195" t="s">
        <v>276</v>
      </c>
      <c r="H597" s="195"/>
      <c r="I597" s="195"/>
      <c r="J597" s="195">
        <v>-3.6882999999999999E-2</v>
      </c>
      <c r="K597" s="195">
        <v>-0.540771</v>
      </c>
      <c r="L597" s="195">
        <v>-3.6882999999999999E-2</v>
      </c>
      <c r="M597" s="195">
        <v>-3.6882999999999999E-2</v>
      </c>
      <c r="N597" s="195">
        <v>-3.6882999999999999E-2</v>
      </c>
    </row>
    <row r="598" spans="1:14" hidden="1" x14ac:dyDescent="0.35">
      <c r="A598" s="52" t="s">
        <v>206</v>
      </c>
      <c r="B598" s="52" t="s">
        <v>104</v>
      </c>
      <c r="C598" s="52" t="s">
        <v>103</v>
      </c>
      <c r="D598" s="52" t="s">
        <v>103</v>
      </c>
      <c r="E598" s="52" t="s">
        <v>584</v>
      </c>
      <c r="F598" s="52" t="s">
        <v>581</v>
      </c>
      <c r="G598" s="195" t="s">
        <v>278</v>
      </c>
      <c r="H598" s="195">
        <v>3.6882999999999999E-2</v>
      </c>
      <c r="I598" s="195">
        <v>3.6882999999999999E-2</v>
      </c>
      <c r="J598" s="195">
        <v>3.6882999999999999E-2</v>
      </c>
      <c r="K598" s="195">
        <v>0.540771</v>
      </c>
      <c r="L598" s="195">
        <v>3.6882999999999999E-2</v>
      </c>
      <c r="M598" s="195">
        <v>3.6882999999999999E-2</v>
      </c>
      <c r="N598" s="195">
        <v>3.6882999999999999E-2</v>
      </c>
    </row>
    <row r="599" spans="1:14" hidden="1" x14ac:dyDescent="0.35">
      <c r="A599" s="52" t="s">
        <v>206</v>
      </c>
      <c r="B599" s="52" t="s">
        <v>162</v>
      </c>
      <c r="C599" s="52" t="s">
        <v>161</v>
      </c>
      <c r="D599" s="52" t="s">
        <v>161</v>
      </c>
      <c r="E599" s="52" t="s">
        <v>584</v>
      </c>
      <c r="F599" s="52" t="s">
        <v>581</v>
      </c>
      <c r="G599" s="195" t="s">
        <v>275</v>
      </c>
      <c r="H599" s="195">
        <v>-4.3329819999999998E-2</v>
      </c>
      <c r="I599" s="195">
        <v>-4.3329819999999998E-2</v>
      </c>
      <c r="J599" s="195">
        <v>-8.6660209999999994E-3</v>
      </c>
      <c r="K599" s="195">
        <v>-3.4935870000000001E-2</v>
      </c>
      <c r="L599" s="195">
        <v>-2.3677380000000001E-2</v>
      </c>
      <c r="M599" s="195">
        <v>2.5925380000000001E-3</v>
      </c>
      <c r="N599" s="195">
        <v>-0.56311389999999995</v>
      </c>
    </row>
    <row r="600" spans="1:14" hidden="1" x14ac:dyDescent="0.35">
      <c r="A600" s="52" t="s">
        <v>206</v>
      </c>
      <c r="B600" s="52" t="s">
        <v>162</v>
      </c>
      <c r="C600" s="52" t="s">
        <v>161</v>
      </c>
      <c r="D600" s="52" t="s">
        <v>161</v>
      </c>
      <c r="E600" s="52" t="s">
        <v>584</v>
      </c>
      <c r="F600" s="52" t="s">
        <v>581</v>
      </c>
      <c r="G600" s="195" t="s">
        <v>276</v>
      </c>
      <c r="H600" s="195">
        <v>-1.272593E-2</v>
      </c>
      <c r="I600" s="195">
        <v>-1.272593E-2</v>
      </c>
      <c r="J600" s="195">
        <v>-2.5452449999999998E-3</v>
      </c>
      <c r="K600" s="195">
        <v>-1.38038E-2</v>
      </c>
      <c r="L600" s="195">
        <v>-2.5062250000000001E-2</v>
      </c>
      <c r="M600" s="195">
        <v>-1.380375E-2</v>
      </c>
      <c r="N600" s="195">
        <v>-0.2277158</v>
      </c>
    </row>
    <row r="601" spans="1:14" hidden="1" x14ac:dyDescent="0.35">
      <c r="A601" s="52" t="s">
        <v>206</v>
      </c>
      <c r="B601" s="52" t="s">
        <v>162</v>
      </c>
      <c r="C601" s="52" t="s">
        <v>161</v>
      </c>
      <c r="D601" s="52" t="s">
        <v>161</v>
      </c>
      <c r="E601" s="52" t="s">
        <v>584</v>
      </c>
      <c r="F601" s="52" t="s">
        <v>581</v>
      </c>
      <c r="G601" s="195" t="s">
        <v>277</v>
      </c>
      <c r="H601" s="195"/>
      <c r="I601" s="195"/>
      <c r="J601" s="195">
        <v>0</v>
      </c>
      <c r="K601" s="195">
        <v>3.752842E-2</v>
      </c>
      <c r="L601" s="195">
        <v>3.752842E-2</v>
      </c>
      <c r="M601" s="195">
        <v>0</v>
      </c>
      <c r="N601" s="195">
        <v>0.77961829999999999</v>
      </c>
    </row>
    <row r="602" spans="1:14" hidden="1" x14ac:dyDescent="0.35">
      <c r="A602" s="52" t="s">
        <v>206</v>
      </c>
      <c r="B602" s="52" t="s">
        <v>162</v>
      </c>
      <c r="C602" s="52" t="s">
        <v>161</v>
      </c>
      <c r="D602" s="52" t="s">
        <v>161</v>
      </c>
      <c r="E602" s="52" t="s">
        <v>584</v>
      </c>
      <c r="F602" s="52" t="s">
        <v>581</v>
      </c>
      <c r="G602" s="195" t="s">
        <v>278</v>
      </c>
      <c r="H602" s="195">
        <v>5.6056040000000001E-2</v>
      </c>
      <c r="I602" s="195">
        <v>5.6056040000000001E-2</v>
      </c>
      <c r="J602" s="195">
        <v>1.1211209999999999E-2</v>
      </c>
      <c r="K602" s="195">
        <v>1.1211209999999999E-2</v>
      </c>
      <c r="L602" s="195">
        <v>1.1211209999999999E-2</v>
      </c>
      <c r="M602" s="195">
        <v>1.1211209999999999E-2</v>
      </c>
      <c r="N602" s="195">
        <v>1.1211209999999999E-2</v>
      </c>
    </row>
    <row r="603" spans="1:14" hidden="1" x14ac:dyDescent="0.35">
      <c r="A603" s="52" t="s">
        <v>206</v>
      </c>
      <c r="B603" s="52" t="s">
        <v>162</v>
      </c>
      <c r="C603" s="52" t="s">
        <v>161</v>
      </c>
      <c r="D603" s="52" t="s">
        <v>161</v>
      </c>
      <c r="E603" s="52" t="s">
        <v>584</v>
      </c>
      <c r="F603" s="52" t="s">
        <v>581</v>
      </c>
      <c r="G603" s="195" t="s">
        <v>279</v>
      </c>
      <c r="H603" s="195"/>
      <c r="I603" s="195"/>
      <c r="J603" s="195"/>
      <c r="K603" s="195"/>
      <c r="L603" s="195"/>
      <c r="M603" s="195"/>
      <c r="N603" s="195">
        <v>0</v>
      </c>
    </row>
    <row r="604" spans="1:14" hidden="1" x14ac:dyDescent="0.35">
      <c r="A604" s="52" t="s">
        <v>206</v>
      </c>
      <c r="B604" s="52" t="s">
        <v>162</v>
      </c>
      <c r="C604" s="52" t="s">
        <v>161</v>
      </c>
      <c r="D604" s="52" t="s">
        <v>161</v>
      </c>
      <c r="E604" s="52" t="s">
        <v>584</v>
      </c>
      <c r="F604" s="52" t="s">
        <v>26</v>
      </c>
      <c r="G604" s="195" t="s">
        <v>275</v>
      </c>
      <c r="H604" s="195"/>
      <c r="I604" s="195"/>
      <c r="J604" s="195"/>
      <c r="K604" s="195"/>
      <c r="L604" s="195"/>
      <c r="M604" s="195"/>
      <c r="N604" s="195">
        <v>0</v>
      </c>
    </row>
    <row r="605" spans="1:14" hidden="1" x14ac:dyDescent="0.35">
      <c r="A605" s="52" t="s">
        <v>206</v>
      </c>
      <c r="B605" s="52" t="s">
        <v>162</v>
      </c>
      <c r="C605" s="52" t="s">
        <v>161</v>
      </c>
      <c r="D605" s="52" t="s">
        <v>161</v>
      </c>
      <c r="E605" s="52" t="s">
        <v>584</v>
      </c>
      <c r="F605" s="52" t="s">
        <v>26</v>
      </c>
      <c r="G605" s="195" t="s">
        <v>276</v>
      </c>
      <c r="H605" s="195"/>
      <c r="I605" s="195"/>
      <c r="J605" s="195"/>
      <c r="K605" s="195"/>
      <c r="L605" s="195"/>
      <c r="M605" s="195"/>
      <c r="N605" s="195">
        <v>0</v>
      </c>
    </row>
    <row r="606" spans="1:14" hidden="1" x14ac:dyDescent="0.35">
      <c r="A606" s="52" t="s">
        <v>206</v>
      </c>
      <c r="B606" s="52" t="s">
        <v>162</v>
      </c>
      <c r="C606" s="52" t="s">
        <v>161</v>
      </c>
      <c r="D606" s="52" t="s">
        <v>161</v>
      </c>
      <c r="E606" s="52" t="s">
        <v>584</v>
      </c>
      <c r="F606" s="52" t="s">
        <v>26</v>
      </c>
      <c r="G606" s="195" t="s">
        <v>277</v>
      </c>
      <c r="H606" s="195"/>
      <c r="I606" s="195"/>
      <c r="J606" s="195"/>
      <c r="K606" s="195"/>
      <c r="L606" s="195"/>
      <c r="M606" s="195"/>
      <c r="N606" s="195">
        <v>0</v>
      </c>
    </row>
    <row r="607" spans="1:14" hidden="1" x14ac:dyDescent="0.35">
      <c r="A607" s="52" t="s">
        <v>206</v>
      </c>
      <c r="B607" s="52" t="s">
        <v>162</v>
      </c>
      <c r="C607" s="52" t="s">
        <v>161</v>
      </c>
      <c r="D607" s="52" t="s">
        <v>161</v>
      </c>
      <c r="E607" s="52" t="s">
        <v>584</v>
      </c>
      <c r="F607" s="52" t="s">
        <v>26</v>
      </c>
      <c r="G607" s="195" t="s">
        <v>279</v>
      </c>
      <c r="H607" s="195"/>
      <c r="I607" s="195"/>
      <c r="J607" s="195"/>
      <c r="K607" s="195"/>
      <c r="L607" s="195"/>
      <c r="M607" s="195"/>
      <c r="N607" s="195">
        <v>0</v>
      </c>
    </row>
    <row r="608" spans="1:14" hidden="1" x14ac:dyDescent="0.35">
      <c r="A608" s="52" t="s">
        <v>206</v>
      </c>
      <c r="B608" s="52" t="s">
        <v>162</v>
      </c>
      <c r="C608" s="52" t="s">
        <v>318</v>
      </c>
      <c r="D608" s="52" t="s">
        <v>318</v>
      </c>
      <c r="E608" s="52" t="s">
        <v>584</v>
      </c>
      <c r="F608" s="52" t="s">
        <v>581</v>
      </c>
      <c r="G608" s="195" t="s">
        <v>275</v>
      </c>
      <c r="H608" s="195">
        <v>-9.0379000000000001E-2</v>
      </c>
      <c r="I608" s="195">
        <v>0</v>
      </c>
      <c r="J608" s="195"/>
      <c r="K608" s="195"/>
      <c r="L608" s="195"/>
      <c r="M608" s="195"/>
      <c r="N608" s="195"/>
    </row>
    <row r="609" spans="1:14" hidden="1" x14ac:dyDescent="0.35">
      <c r="A609" s="52" t="s">
        <v>206</v>
      </c>
      <c r="B609" s="52" t="s">
        <v>162</v>
      </c>
      <c r="C609" s="52" t="s">
        <v>318</v>
      </c>
      <c r="D609" s="52" t="s">
        <v>318</v>
      </c>
      <c r="E609" s="52" t="s">
        <v>584</v>
      </c>
      <c r="F609" s="52" t="s">
        <v>581</v>
      </c>
      <c r="G609" s="195" t="s">
        <v>276</v>
      </c>
      <c r="H609" s="195">
        <v>-3.7650000000000001E-3</v>
      </c>
      <c r="I609" s="195">
        <v>0</v>
      </c>
      <c r="J609" s="195"/>
      <c r="K609" s="195"/>
      <c r="L609" s="195"/>
      <c r="M609" s="195"/>
      <c r="N609" s="195"/>
    </row>
    <row r="610" spans="1:14" hidden="1" x14ac:dyDescent="0.35">
      <c r="A610" s="52" t="s">
        <v>206</v>
      </c>
      <c r="B610" s="52" t="s">
        <v>162</v>
      </c>
      <c r="C610" s="52" t="s">
        <v>318</v>
      </c>
      <c r="D610" s="52" t="s">
        <v>318</v>
      </c>
      <c r="E610" s="52" t="s">
        <v>584</v>
      </c>
      <c r="F610" s="52" t="s">
        <v>581</v>
      </c>
      <c r="G610" s="195" t="s">
        <v>278</v>
      </c>
      <c r="H610" s="195">
        <v>9.4144000000000005E-2</v>
      </c>
      <c r="I610" s="195">
        <v>0</v>
      </c>
      <c r="J610" s="195"/>
      <c r="K610" s="195"/>
      <c r="L610" s="195"/>
      <c r="M610" s="195"/>
      <c r="N610" s="195"/>
    </row>
    <row r="611" spans="1:14" hidden="1" x14ac:dyDescent="0.35">
      <c r="A611" s="52" t="s">
        <v>206</v>
      </c>
      <c r="B611" s="52" t="s">
        <v>162</v>
      </c>
      <c r="C611" s="52" t="s">
        <v>318</v>
      </c>
      <c r="D611" s="52" t="s">
        <v>318</v>
      </c>
      <c r="E611" s="52" t="s">
        <v>584</v>
      </c>
      <c r="F611" s="52" t="s">
        <v>26</v>
      </c>
      <c r="G611" s="195" t="s">
        <v>275</v>
      </c>
      <c r="H611" s="195">
        <v>-6.0253000000000001E-2</v>
      </c>
      <c r="I611" s="195">
        <v>0</v>
      </c>
      <c r="J611" s="195"/>
      <c r="K611" s="195"/>
      <c r="L611" s="195"/>
      <c r="M611" s="195"/>
      <c r="N611" s="195"/>
    </row>
    <row r="612" spans="1:14" hidden="1" x14ac:dyDescent="0.35">
      <c r="A612" s="52" t="s">
        <v>206</v>
      </c>
      <c r="B612" s="52" t="s">
        <v>162</v>
      </c>
      <c r="C612" s="52" t="s">
        <v>318</v>
      </c>
      <c r="D612" s="52" t="s">
        <v>318</v>
      </c>
      <c r="E612" s="52" t="s">
        <v>584</v>
      </c>
      <c r="F612" s="52" t="s">
        <v>26</v>
      </c>
      <c r="G612" s="195" t="s">
        <v>276</v>
      </c>
      <c r="H612" s="195">
        <v>-2.5110000000000002E-3</v>
      </c>
      <c r="I612" s="195">
        <v>0</v>
      </c>
      <c r="J612" s="195"/>
      <c r="K612" s="195"/>
      <c r="L612" s="195"/>
      <c r="M612" s="195"/>
      <c r="N612" s="195"/>
    </row>
    <row r="613" spans="1:14" hidden="1" x14ac:dyDescent="0.35">
      <c r="A613" s="52" t="s">
        <v>206</v>
      </c>
      <c r="B613" s="52" t="s">
        <v>162</v>
      </c>
      <c r="C613" s="52" t="s">
        <v>318</v>
      </c>
      <c r="D613" s="52" t="s">
        <v>318</v>
      </c>
      <c r="E613" s="52" t="s">
        <v>584</v>
      </c>
      <c r="F613" s="52" t="s">
        <v>26</v>
      </c>
      <c r="G613" s="195" t="s">
        <v>278</v>
      </c>
      <c r="H613" s="195">
        <v>6.2764E-2</v>
      </c>
      <c r="I613" s="195">
        <v>0</v>
      </c>
      <c r="J613" s="195"/>
      <c r="K613" s="195"/>
      <c r="L613" s="195"/>
      <c r="M613" s="195"/>
      <c r="N613" s="195"/>
    </row>
    <row r="614" spans="1:14" hidden="1" x14ac:dyDescent="0.35">
      <c r="A614" s="52" t="s">
        <v>206</v>
      </c>
      <c r="B614" s="52" t="s">
        <v>374</v>
      </c>
      <c r="C614" s="52" t="s">
        <v>373</v>
      </c>
      <c r="D614" s="52" t="s">
        <v>373</v>
      </c>
      <c r="E614" s="52" t="s">
        <v>584</v>
      </c>
      <c r="F614" s="52" t="s">
        <v>581</v>
      </c>
      <c r="G614" s="195" t="s">
        <v>275</v>
      </c>
      <c r="H614" s="195">
        <v>-8.0877989999999997E-2</v>
      </c>
      <c r="I614" s="195">
        <v>-8.0877989999999997E-2</v>
      </c>
      <c r="J614" s="195">
        <v>0</v>
      </c>
      <c r="K614" s="195">
        <v>0</v>
      </c>
      <c r="L614" s="195">
        <v>0</v>
      </c>
      <c r="M614" s="195">
        <v>0</v>
      </c>
      <c r="N614" s="195">
        <v>0</v>
      </c>
    </row>
    <row r="615" spans="1:14" hidden="1" x14ac:dyDescent="0.35">
      <c r="A615" s="52" t="s">
        <v>206</v>
      </c>
      <c r="B615" s="52" t="s">
        <v>374</v>
      </c>
      <c r="C615" s="52" t="s">
        <v>373</v>
      </c>
      <c r="D615" s="52" t="s">
        <v>373</v>
      </c>
      <c r="E615" s="52" t="s">
        <v>584</v>
      </c>
      <c r="F615" s="52" t="s">
        <v>581</v>
      </c>
      <c r="G615" s="195" t="s">
        <v>276</v>
      </c>
      <c r="H615" s="195"/>
      <c r="I615" s="195"/>
      <c r="J615" s="195">
        <v>-0.75210180000000004</v>
      </c>
      <c r="K615" s="195">
        <v>-8.0877989999999997E-2</v>
      </c>
      <c r="L615" s="195">
        <v>-8.0877989999999997E-2</v>
      </c>
      <c r="M615" s="195">
        <v>-8.0877989999999997E-2</v>
      </c>
      <c r="N615" s="195">
        <v>-0.105878</v>
      </c>
    </row>
    <row r="616" spans="1:14" hidden="1" x14ac:dyDescent="0.35">
      <c r="A616" s="52" t="s">
        <v>206</v>
      </c>
      <c r="B616" s="52" t="s">
        <v>374</v>
      </c>
      <c r="C616" s="52" t="s">
        <v>373</v>
      </c>
      <c r="D616" s="52" t="s">
        <v>373</v>
      </c>
      <c r="E616" s="52" t="s">
        <v>584</v>
      </c>
      <c r="F616" s="52" t="s">
        <v>581</v>
      </c>
      <c r="G616" s="195" t="s">
        <v>277</v>
      </c>
      <c r="H616" s="195"/>
      <c r="I616" s="195"/>
      <c r="J616" s="195"/>
      <c r="K616" s="195"/>
      <c r="L616" s="195"/>
      <c r="M616" s="195">
        <v>0</v>
      </c>
      <c r="N616" s="195">
        <v>2.5000000000000001E-2</v>
      </c>
    </row>
    <row r="617" spans="1:14" hidden="1" x14ac:dyDescent="0.35">
      <c r="A617" s="52" t="s">
        <v>206</v>
      </c>
      <c r="B617" s="52" t="s">
        <v>374</v>
      </c>
      <c r="C617" s="52" t="s">
        <v>373</v>
      </c>
      <c r="D617" s="52" t="s">
        <v>373</v>
      </c>
      <c r="E617" s="52" t="s">
        <v>584</v>
      </c>
      <c r="F617" s="52" t="s">
        <v>581</v>
      </c>
      <c r="G617" s="195" t="s">
        <v>278</v>
      </c>
      <c r="H617" s="195">
        <v>8.0877989999999997E-2</v>
      </c>
      <c r="I617" s="195">
        <v>8.0877989999999997E-2</v>
      </c>
      <c r="J617" s="195">
        <v>0.75210189999999999</v>
      </c>
      <c r="K617" s="195">
        <v>8.0877989999999997E-2</v>
      </c>
      <c r="L617" s="195">
        <v>8.0877989999999997E-2</v>
      </c>
      <c r="M617" s="195">
        <v>8.0877989999999997E-2</v>
      </c>
      <c r="N617" s="195">
        <v>8.0877989999999997E-2</v>
      </c>
    </row>
    <row r="618" spans="1:14" hidden="1" x14ac:dyDescent="0.35">
      <c r="A618" s="52" t="s">
        <v>206</v>
      </c>
      <c r="B618" s="52" t="s">
        <v>374</v>
      </c>
      <c r="C618" s="52" t="s">
        <v>318</v>
      </c>
      <c r="D618" s="52" t="s">
        <v>318</v>
      </c>
      <c r="E618" s="52" t="s">
        <v>584</v>
      </c>
      <c r="F618" s="52" t="s">
        <v>581</v>
      </c>
      <c r="G618" s="195" t="s">
        <v>275</v>
      </c>
      <c r="H618" s="195">
        <v>-1.2840499999999999</v>
      </c>
      <c r="I618" s="195">
        <v>0</v>
      </c>
      <c r="J618" s="195"/>
      <c r="K618" s="195"/>
      <c r="L618" s="195"/>
      <c r="M618" s="195"/>
      <c r="N618" s="195"/>
    </row>
    <row r="619" spans="1:14" hidden="1" x14ac:dyDescent="0.35">
      <c r="A619" s="52" t="s">
        <v>206</v>
      </c>
      <c r="B619" s="52" t="s">
        <v>374</v>
      </c>
      <c r="C619" s="52" t="s">
        <v>191</v>
      </c>
      <c r="D619" s="52" t="s">
        <v>191</v>
      </c>
      <c r="E619" s="52" t="s">
        <v>584</v>
      </c>
      <c r="F619" s="52" t="s">
        <v>581</v>
      </c>
      <c r="G619" s="195" t="s">
        <v>275</v>
      </c>
      <c r="H619" s="195">
        <v>-7.4225979999999997E-2</v>
      </c>
      <c r="I619" s="195">
        <v>-7.4225979999999997E-2</v>
      </c>
      <c r="J619" s="195">
        <v>0</v>
      </c>
      <c r="K619" s="195">
        <v>0</v>
      </c>
      <c r="L619" s="195">
        <v>0</v>
      </c>
      <c r="M619" s="195">
        <v>0</v>
      </c>
      <c r="N619" s="195">
        <v>0</v>
      </c>
    </row>
    <row r="620" spans="1:14" hidden="1" x14ac:dyDescent="0.35">
      <c r="A620" s="52" t="s">
        <v>206</v>
      </c>
      <c r="B620" s="52" t="s">
        <v>374</v>
      </c>
      <c r="C620" s="52" t="s">
        <v>191</v>
      </c>
      <c r="D620" s="52" t="s">
        <v>191</v>
      </c>
      <c r="E620" s="52" t="s">
        <v>584</v>
      </c>
      <c r="F620" s="52" t="s">
        <v>581</v>
      </c>
      <c r="G620" s="195" t="s">
        <v>276</v>
      </c>
      <c r="H620" s="195"/>
      <c r="I620" s="195"/>
      <c r="J620" s="195">
        <v>-7.4225979999999997E-2</v>
      </c>
      <c r="K620" s="195">
        <v>-7.4225979999999997E-2</v>
      </c>
      <c r="L620" s="195">
        <v>-7.4225979999999997E-2</v>
      </c>
      <c r="M620" s="195">
        <v>-7.4225979999999997E-2</v>
      </c>
      <c r="N620" s="195">
        <v>-7.4225979999999997E-2</v>
      </c>
    </row>
    <row r="621" spans="1:14" hidden="1" x14ac:dyDescent="0.35">
      <c r="A621" s="52" t="s">
        <v>206</v>
      </c>
      <c r="B621" s="52" t="s">
        <v>374</v>
      </c>
      <c r="C621" s="52" t="s">
        <v>191</v>
      </c>
      <c r="D621" s="52" t="s">
        <v>191</v>
      </c>
      <c r="E621" s="52" t="s">
        <v>584</v>
      </c>
      <c r="F621" s="52" t="s">
        <v>581</v>
      </c>
      <c r="G621" s="195" t="s">
        <v>278</v>
      </c>
      <c r="H621" s="195">
        <v>7.4225979999999997E-2</v>
      </c>
      <c r="I621" s="195">
        <v>7.4225979999999997E-2</v>
      </c>
      <c r="J621" s="195">
        <v>7.4225979999999997E-2</v>
      </c>
      <c r="K621" s="195">
        <v>7.4225979999999997E-2</v>
      </c>
      <c r="L621" s="195">
        <v>7.4225979999999997E-2</v>
      </c>
      <c r="M621" s="195">
        <v>7.4225979999999997E-2</v>
      </c>
      <c r="N621" s="195">
        <v>7.4225979999999997E-2</v>
      </c>
    </row>
    <row r="622" spans="1:14" hidden="1" x14ac:dyDescent="0.35">
      <c r="A622" s="52" t="s">
        <v>206</v>
      </c>
      <c r="B622" s="52" t="s">
        <v>374</v>
      </c>
      <c r="C622" s="52" t="s">
        <v>318</v>
      </c>
      <c r="D622" s="52" t="s">
        <v>318</v>
      </c>
      <c r="E622" s="52" t="s">
        <v>584</v>
      </c>
      <c r="F622" s="52" t="s">
        <v>581</v>
      </c>
      <c r="G622" s="195" t="s">
        <v>278</v>
      </c>
      <c r="H622" s="195">
        <v>1.2840499999999999</v>
      </c>
      <c r="I622" s="195">
        <v>0</v>
      </c>
      <c r="J622" s="195"/>
      <c r="K622" s="195"/>
      <c r="L622" s="195"/>
      <c r="M622" s="195"/>
      <c r="N622" s="195"/>
    </row>
    <row r="623" spans="1:14" hidden="1" x14ac:dyDescent="0.35">
      <c r="A623" s="52" t="s">
        <v>206</v>
      </c>
      <c r="B623" s="52" t="s">
        <v>374</v>
      </c>
      <c r="C623" s="52" t="s">
        <v>318</v>
      </c>
      <c r="D623" s="52" t="s">
        <v>318</v>
      </c>
      <c r="E623" s="52" t="s">
        <v>584</v>
      </c>
      <c r="F623" s="52" t="s">
        <v>26</v>
      </c>
      <c r="G623" s="195" t="s">
        <v>275</v>
      </c>
      <c r="H623" s="195">
        <v>-0.85603390000000001</v>
      </c>
      <c r="I623" s="195">
        <v>0</v>
      </c>
      <c r="J623" s="195"/>
      <c r="K623" s="195"/>
      <c r="L623" s="195"/>
      <c r="M623" s="195"/>
      <c r="N623" s="195"/>
    </row>
    <row r="624" spans="1:14" hidden="1" x14ac:dyDescent="0.35">
      <c r="A624" s="52" t="s">
        <v>206</v>
      </c>
      <c r="B624" s="52" t="s">
        <v>374</v>
      </c>
      <c r="C624" s="52" t="s">
        <v>318</v>
      </c>
      <c r="D624" s="52" t="s">
        <v>318</v>
      </c>
      <c r="E624" s="52" t="s">
        <v>584</v>
      </c>
      <c r="F624" s="52" t="s">
        <v>26</v>
      </c>
      <c r="G624" s="195" t="s">
        <v>278</v>
      </c>
      <c r="H624" s="195">
        <v>0.85603390000000001</v>
      </c>
      <c r="I624" s="195">
        <v>0</v>
      </c>
      <c r="J624" s="195"/>
      <c r="K624" s="195"/>
      <c r="L624" s="195"/>
      <c r="M624" s="195"/>
      <c r="N624" s="195"/>
    </row>
    <row r="625" spans="1:14" hidden="1" x14ac:dyDescent="0.35">
      <c r="A625" s="52" t="s">
        <v>206</v>
      </c>
      <c r="B625" s="52" t="s">
        <v>361</v>
      </c>
      <c r="C625" s="52" t="s">
        <v>318</v>
      </c>
      <c r="D625" s="52" t="s">
        <v>318</v>
      </c>
      <c r="E625" s="52" t="s">
        <v>584</v>
      </c>
      <c r="F625" s="52" t="s">
        <v>581</v>
      </c>
      <c r="G625" s="195" t="s">
        <v>275</v>
      </c>
      <c r="H625" s="195">
        <v>-1.6416E-2</v>
      </c>
      <c r="I625" s="195">
        <v>0</v>
      </c>
      <c r="J625" s="195"/>
      <c r="K625" s="195"/>
      <c r="L625" s="195"/>
      <c r="M625" s="195"/>
      <c r="N625" s="195"/>
    </row>
    <row r="626" spans="1:14" hidden="1" x14ac:dyDescent="0.35">
      <c r="A626" s="52" t="s">
        <v>206</v>
      </c>
      <c r="B626" s="52" t="s">
        <v>361</v>
      </c>
      <c r="C626" s="52" t="s">
        <v>318</v>
      </c>
      <c r="D626" s="52" t="s">
        <v>318</v>
      </c>
      <c r="E626" s="52" t="s">
        <v>584</v>
      </c>
      <c r="F626" s="52" t="s">
        <v>581</v>
      </c>
      <c r="G626" s="195" t="s">
        <v>276</v>
      </c>
      <c r="H626" s="195">
        <v>-1.2359999999999999E-3</v>
      </c>
      <c r="I626" s="195">
        <v>0</v>
      </c>
      <c r="J626" s="195"/>
      <c r="K626" s="195"/>
      <c r="L626" s="195"/>
      <c r="M626" s="195"/>
      <c r="N626" s="195"/>
    </row>
    <row r="627" spans="1:14" hidden="1" x14ac:dyDescent="0.35">
      <c r="A627" s="52" t="s">
        <v>206</v>
      </c>
      <c r="B627" s="52" t="s">
        <v>361</v>
      </c>
      <c r="C627" s="52" t="s">
        <v>318</v>
      </c>
      <c r="D627" s="52" t="s">
        <v>318</v>
      </c>
      <c r="E627" s="52" t="s">
        <v>584</v>
      </c>
      <c r="F627" s="52" t="s">
        <v>581</v>
      </c>
      <c r="G627" s="195" t="s">
        <v>278</v>
      </c>
      <c r="H627" s="195">
        <v>1.7651E-2</v>
      </c>
      <c r="I627" s="195">
        <v>0</v>
      </c>
      <c r="J627" s="195"/>
      <c r="K627" s="195"/>
      <c r="L627" s="195"/>
      <c r="M627" s="195"/>
      <c r="N627" s="195"/>
    </row>
    <row r="628" spans="1:14" hidden="1" x14ac:dyDescent="0.35">
      <c r="A628" s="52" t="s">
        <v>206</v>
      </c>
      <c r="B628" s="52" t="s">
        <v>361</v>
      </c>
      <c r="C628" s="52" t="s">
        <v>318</v>
      </c>
      <c r="D628" s="52" t="s">
        <v>318</v>
      </c>
      <c r="E628" s="52" t="s">
        <v>584</v>
      </c>
      <c r="F628" s="52" t="s">
        <v>26</v>
      </c>
      <c r="G628" s="195" t="s">
        <v>275</v>
      </c>
      <c r="H628" s="195">
        <v>-1.0944000000000001E-2</v>
      </c>
      <c r="I628" s="195">
        <v>0</v>
      </c>
      <c r="J628" s="195"/>
      <c r="K628" s="195"/>
      <c r="L628" s="195"/>
      <c r="M628" s="195"/>
      <c r="N628" s="195"/>
    </row>
    <row r="629" spans="1:14" hidden="1" x14ac:dyDescent="0.35">
      <c r="A629" s="52" t="s">
        <v>206</v>
      </c>
      <c r="B629" s="52" t="s">
        <v>361</v>
      </c>
      <c r="C629" s="52" t="s">
        <v>318</v>
      </c>
      <c r="D629" s="52" t="s">
        <v>318</v>
      </c>
      <c r="E629" s="52" t="s">
        <v>584</v>
      </c>
      <c r="F629" s="52" t="s">
        <v>26</v>
      </c>
      <c r="G629" s="195" t="s">
        <v>276</v>
      </c>
      <c r="H629" s="195">
        <v>-8.2399990000000005E-4</v>
      </c>
      <c r="I629" s="195">
        <v>0</v>
      </c>
      <c r="J629" s="195"/>
      <c r="K629" s="195"/>
      <c r="L629" s="195"/>
      <c r="M629" s="195"/>
      <c r="N629" s="195"/>
    </row>
    <row r="630" spans="1:14" hidden="1" x14ac:dyDescent="0.35">
      <c r="A630" s="52" t="s">
        <v>206</v>
      </c>
      <c r="B630" s="52" t="s">
        <v>361</v>
      </c>
      <c r="C630" s="52" t="s">
        <v>318</v>
      </c>
      <c r="D630" s="52" t="s">
        <v>318</v>
      </c>
      <c r="E630" s="52" t="s">
        <v>584</v>
      </c>
      <c r="F630" s="52" t="s">
        <v>26</v>
      </c>
      <c r="G630" s="195" t="s">
        <v>278</v>
      </c>
      <c r="H630" s="195">
        <v>1.1767E-2</v>
      </c>
      <c r="I630" s="195">
        <v>0</v>
      </c>
      <c r="J630" s="195"/>
      <c r="K630" s="195"/>
      <c r="L630" s="195"/>
      <c r="M630" s="195"/>
      <c r="N630" s="195"/>
    </row>
    <row r="631" spans="1:14" hidden="1" x14ac:dyDescent="0.35">
      <c r="A631" s="52" t="s">
        <v>206</v>
      </c>
      <c r="B631" s="52" t="s">
        <v>361</v>
      </c>
      <c r="C631" s="52" t="s">
        <v>214</v>
      </c>
      <c r="D631" s="52" t="s">
        <v>214</v>
      </c>
      <c r="E631" s="52" t="s">
        <v>584</v>
      </c>
      <c r="F631" s="52" t="s">
        <v>581</v>
      </c>
      <c r="G631" s="195" t="s">
        <v>275</v>
      </c>
      <c r="H631" s="195">
        <v>-1.6666839999999999E-2</v>
      </c>
      <c r="I631" s="195">
        <v>-2.015834E-2</v>
      </c>
      <c r="J631" s="195">
        <v>0</v>
      </c>
      <c r="K631" s="195">
        <v>0</v>
      </c>
      <c r="L631" s="195">
        <v>0</v>
      </c>
      <c r="M631" s="195">
        <v>0</v>
      </c>
      <c r="N631" s="195">
        <v>0</v>
      </c>
    </row>
    <row r="632" spans="1:14" hidden="1" x14ac:dyDescent="0.35">
      <c r="A632" s="52" t="s">
        <v>206</v>
      </c>
      <c r="B632" s="52" t="s">
        <v>361</v>
      </c>
      <c r="C632" s="52" t="s">
        <v>214</v>
      </c>
      <c r="D632" s="52" t="s">
        <v>214</v>
      </c>
      <c r="E632" s="52" t="s">
        <v>584</v>
      </c>
      <c r="F632" s="52" t="s">
        <v>581</v>
      </c>
      <c r="G632" s="195" t="s">
        <v>276</v>
      </c>
      <c r="H632" s="195">
        <v>-1.9717729999999999E-2</v>
      </c>
      <c r="I632" s="195">
        <v>-1.622622E-2</v>
      </c>
      <c r="J632" s="195">
        <v>-3.6384569999999998E-2</v>
      </c>
      <c r="K632" s="195">
        <v>-0.2121161</v>
      </c>
      <c r="L632" s="195">
        <v>-3.6383329999999998E-2</v>
      </c>
      <c r="M632" s="195">
        <v>-4.1333540000000002E-2</v>
      </c>
      <c r="N632" s="195">
        <v>-4.133303E-2</v>
      </c>
    </row>
    <row r="633" spans="1:14" hidden="1" x14ac:dyDescent="0.35">
      <c r="A633" s="52" t="s">
        <v>206</v>
      </c>
      <c r="B633" s="52" t="s">
        <v>361</v>
      </c>
      <c r="C633" s="52" t="s">
        <v>214</v>
      </c>
      <c r="D633" s="52" t="s">
        <v>214</v>
      </c>
      <c r="E633" s="52" t="s">
        <v>584</v>
      </c>
      <c r="F633" s="52" t="s">
        <v>581</v>
      </c>
      <c r="G633" s="195" t="s">
        <v>277</v>
      </c>
      <c r="H633" s="195"/>
      <c r="I633" s="195"/>
      <c r="J633" s="195">
        <v>0</v>
      </c>
      <c r="K633" s="195">
        <v>0.1757321</v>
      </c>
      <c r="L633" s="195">
        <v>0</v>
      </c>
      <c r="M633" s="195">
        <v>0</v>
      </c>
      <c r="N633" s="195">
        <v>0</v>
      </c>
    </row>
    <row r="634" spans="1:14" hidden="1" x14ac:dyDescent="0.35">
      <c r="A634" s="52" t="s">
        <v>206</v>
      </c>
      <c r="B634" s="52" t="s">
        <v>361</v>
      </c>
      <c r="C634" s="52" t="s">
        <v>214</v>
      </c>
      <c r="D634" s="52" t="s">
        <v>214</v>
      </c>
      <c r="E634" s="52" t="s">
        <v>584</v>
      </c>
      <c r="F634" s="52" t="s">
        <v>581</v>
      </c>
      <c r="G634" s="195" t="s">
        <v>278</v>
      </c>
      <c r="H634" s="195">
        <v>3.6383949999999998E-2</v>
      </c>
      <c r="I634" s="195">
        <v>3.6383949999999998E-2</v>
      </c>
      <c r="J634" s="195">
        <v>3.6383949999999998E-2</v>
      </c>
      <c r="K634" s="195">
        <v>3.6383949999999998E-2</v>
      </c>
      <c r="L634" s="195">
        <v>3.6383949999999998E-2</v>
      </c>
      <c r="M634" s="195">
        <v>3.6383949999999998E-2</v>
      </c>
      <c r="N634" s="195">
        <v>3.6383949999999998E-2</v>
      </c>
    </row>
    <row r="635" spans="1:14" hidden="1" x14ac:dyDescent="0.35">
      <c r="A635" s="52" t="s">
        <v>206</v>
      </c>
      <c r="B635" s="52" t="s">
        <v>361</v>
      </c>
      <c r="C635" s="52" t="s">
        <v>214</v>
      </c>
      <c r="D635" s="52" t="s">
        <v>214</v>
      </c>
      <c r="E635" s="52" t="s">
        <v>584</v>
      </c>
      <c r="F635" s="52" t="s">
        <v>581</v>
      </c>
      <c r="G635" s="195" t="s">
        <v>279</v>
      </c>
      <c r="H635" s="195"/>
      <c r="I635" s="195"/>
      <c r="J635" s="195"/>
      <c r="K635" s="195"/>
      <c r="L635" s="195">
        <v>0</v>
      </c>
      <c r="M635" s="195">
        <v>4.948577E-3</v>
      </c>
      <c r="N635" s="195">
        <v>4.949083E-3</v>
      </c>
    </row>
    <row r="636" spans="1:14" hidden="1" x14ac:dyDescent="0.35">
      <c r="A636" s="52" t="s">
        <v>206</v>
      </c>
      <c r="B636" s="52" t="s">
        <v>361</v>
      </c>
      <c r="C636" s="52" t="s">
        <v>214</v>
      </c>
      <c r="D636" s="52" t="s">
        <v>214</v>
      </c>
      <c r="E636" s="52" t="s">
        <v>584</v>
      </c>
      <c r="F636" s="52" t="s">
        <v>26</v>
      </c>
      <c r="G636" s="195" t="s">
        <v>275</v>
      </c>
      <c r="H636" s="195">
        <v>-2.4453280000000001E-2</v>
      </c>
      <c r="I636" s="195">
        <v>-2.445278E-2</v>
      </c>
      <c r="J636" s="195">
        <v>0</v>
      </c>
      <c r="K636" s="195">
        <v>0</v>
      </c>
      <c r="L636" s="195">
        <v>0</v>
      </c>
      <c r="M636" s="195">
        <v>0</v>
      </c>
      <c r="N636" s="195">
        <v>0</v>
      </c>
    </row>
    <row r="637" spans="1:14" hidden="1" x14ac:dyDescent="0.35">
      <c r="A637" s="52" t="s">
        <v>206</v>
      </c>
      <c r="B637" s="52" t="s">
        <v>361</v>
      </c>
      <c r="C637" s="52" t="s">
        <v>214</v>
      </c>
      <c r="D637" s="52" t="s">
        <v>214</v>
      </c>
      <c r="E637" s="52" t="s">
        <v>584</v>
      </c>
      <c r="F637" s="52" t="s">
        <v>26</v>
      </c>
      <c r="G637" s="195" t="s">
        <v>276</v>
      </c>
      <c r="H637" s="195">
        <v>-1.3166840000000001E-2</v>
      </c>
      <c r="I637" s="195">
        <v>-1.3166840000000001E-2</v>
      </c>
      <c r="J637" s="195">
        <v>-3.7620630000000002E-2</v>
      </c>
      <c r="K637" s="195">
        <v>-5.6880269999999997E-2</v>
      </c>
      <c r="L637" s="195">
        <v>-0.44208449999999999</v>
      </c>
      <c r="M637" s="195">
        <v>-4.5402459999999999E-2</v>
      </c>
      <c r="N637" s="195">
        <v>-7.78183E-3</v>
      </c>
    </row>
    <row r="638" spans="1:14" hidden="1" x14ac:dyDescent="0.35">
      <c r="A638" s="52" t="s">
        <v>206</v>
      </c>
      <c r="B638" s="52" t="s">
        <v>361</v>
      </c>
      <c r="C638" s="52" t="s">
        <v>214</v>
      </c>
      <c r="D638" s="52" t="s">
        <v>214</v>
      </c>
      <c r="E638" s="52" t="s">
        <v>584</v>
      </c>
      <c r="F638" s="52" t="s">
        <v>26</v>
      </c>
      <c r="G638" s="195" t="s">
        <v>277</v>
      </c>
      <c r="H638" s="195"/>
      <c r="I638" s="195"/>
      <c r="J638" s="195">
        <v>0</v>
      </c>
      <c r="K638" s="195">
        <v>1.9260159999999998E-2</v>
      </c>
      <c r="L638" s="195">
        <v>0.40446379999999998</v>
      </c>
      <c r="M638" s="195">
        <v>0</v>
      </c>
      <c r="N638" s="195"/>
    </row>
    <row r="639" spans="1:14" hidden="1" x14ac:dyDescent="0.35">
      <c r="A639" s="52" t="s">
        <v>206</v>
      </c>
      <c r="B639" s="52" t="s">
        <v>361</v>
      </c>
      <c r="C639" s="52" t="s">
        <v>214</v>
      </c>
      <c r="D639" s="52" t="s">
        <v>214</v>
      </c>
      <c r="E639" s="52" t="s">
        <v>584</v>
      </c>
      <c r="F639" s="52" t="s">
        <v>26</v>
      </c>
      <c r="G639" s="195" t="s">
        <v>278</v>
      </c>
      <c r="H639" s="195">
        <v>3.762012E-2</v>
      </c>
      <c r="I639" s="195">
        <v>3.762012E-2</v>
      </c>
      <c r="J639" s="195">
        <v>3.762012E-2</v>
      </c>
      <c r="K639" s="195">
        <v>3.762012E-2</v>
      </c>
      <c r="L639" s="195">
        <v>3.762012E-2</v>
      </c>
      <c r="M639" s="195">
        <v>3.762012E-2</v>
      </c>
      <c r="N639" s="195">
        <v>0</v>
      </c>
    </row>
    <row r="640" spans="1:14" hidden="1" x14ac:dyDescent="0.35">
      <c r="A640" s="52" t="s">
        <v>206</v>
      </c>
      <c r="B640" s="52" t="s">
        <v>361</v>
      </c>
      <c r="C640" s="52" t="s">
        <v>214</v>
      </c>
      <c r="D640" s="52" t="s">
        <v>214</v>
      </c>
      <c r="E640" s="52" t="s">
        <v>584</v>
      </c>
      <c r="F640" s="52" t="s">
        <v>26</v>
      </c>
      <c r="G640" s="195" t="s">
        <v>279</v>
      </c>
      <c r="H640" s="195"/>
      <c r="I640" s="195"/>
      <c r="J640" s="195"/>
      <c r="K640" s="195"/>
      <c r="L640" s="195">
        <v>0</v>
      </c>
      <c r="M640" s="195">
        <v>7.7823379999999998E-3</v>
      </c>
      <c r="N640" s="195">
        <v>7.7818310000000003E-3</v>
      </c>
    </row>
    <row r="641" spans="1:14" hidden="1" x14ac:dyDescent="0.35">
      <c r="A641" s="52" t="s">
        <v>206</v>
      </c>
      <c r="B641" s="52" t="s">
        <v>353</v>
      </c>
      <c r="C641" s="52" t="s">
        <v>352</v>
      </c>
      <c r="D641" s="52" t="s">
        <v>352</v>
      </c>
      <c r="E641" s="52" t="s">
        <v>584</v>
      </c>
      <c r="F641" s="52" t="s">
        <v>581</v>
      </c>
      <c r="G641" s="195" t="s">
        <v>275</v>
      </c>
      <c r="H641" s="195">
        <v>-3.3610149999999998E-2</v>
      </c>
      <c r="I641" s="195">
        <v>-3.3610149999999998E-2</v>
      </c>
      <c r="J641" s="195">
        <v>0</v>
      </c>
      <c r="K641" s="195">
        <v>0</v>
      </c>
      <c r="L641" s="195">
        <v>0</v>
      </c>
      <c r="M641" s="195">
        <v>0</v>
      </c>
      <c r="N641" s="195">
        <v>0</v>
      </c>
    </row>
    <row r="642" spans="1:14" hidden="1" x14ac:dyDescent="0.35">
      <c r="A642" s="52" t="s">
        <v>206</v>
      </c>
      <c r="B642" s="52" t="s">
        <v>353</v>
      </c>
      <c r="C642" s="52" t="s">
        <v>352</v>
      </c>
      <c r="D642" s="52" t="s">
        <v>352</v>
      </c>
      <c r="E642" s="52" t="s">
        <v>584</v>
      </c>
      <c r="F642" s="52" t="s">
        <v>581</v>
      </c>
      <c r="G642" s="195" t="s">
        <v>276</v>
      </c>
      <c r="H642" s="195">
        <v>-1.8097800000000001E-2</v>
      </c>
      <c r="I642" s="195">
        <v>-1.8097800000000001E-2</v>
      </c>
      <c r="J642" s="195">
        <v>-5.1708299999999999E-2</v>
      </c>
      <c r="K642" s="195">
        <v>-5.1708299999999999E-2</v>
      </c>
      <c r="L642" s="195">
        <v>-5.1708299999999999E-2</v>
      </c>
      <c r="M642" s="195">
        <v>-13.6418</v>
      </c>
      <c r="N642" s="195">
        <v>-6.1332940000000002E-2</v>
      </c>
    </row>
    <row r="643" spans="1:14" hidden="1" x14ac:dyDescent="0.35">
      <c r="A643" s="52" t="s">
        <v>206</v>
      </c>
      <c r="B643" s="52" t="s">
        <v>353</v>
      </c>
      <c r="C643" s="52" t="s">
        <v>352</v>
      </c>
      <c r="D643" s="52" t="s">
        <v>352</v>
      </c>
      <c r="E643" s="52" t="s">
        <v>584</v>
      </c>
      <c r="F643" s="52" t="s">
        <v>581</v>
      </c>
      <c r="G643" s="195" t="s">
        <v>277</v>
      </c>
      <c r="H643" s="195"/>
      <c r="I643" s="195"/>
      <c r="J643" s="195"/>
      <c r="K643" s="195"/>
      <c r="L643" s="195"/>
      <c r="M643" s="195">
        <v>0</v>
      </c>
      <c r="N643" s="195">
        <v>9.6249999999999999E-3</v>
      </c>
    </row>
    <row r="644" spans="1:14" hidden="1" x14ac:dyDescent="0.35">
      <c r="A644" s="52" t="s">
        <v>206</v>
      </c>
      <c r="B644" s="52" t="s">
        <v>353</v>
      </c>
      <c r="C644" s="52" t="s">
        <v>352</v>
      </c>
      <c r="D644" s="52" t="s">
        <v>352</v>
      </c>
      <c r="E644" s="52" t="s">
        <v>584</v>
      </c>
      <c r="F644" s="52" t="s">
        <v>581</v>
      </c>
      <c r="G644" s="195" t="s">
        <v>278</v>
      </c>
      <c r="H644" s="195">
        <v>5.1707950000000003E-2</v>
      </c>
      <c r="I644" s="195">
        <v>5.1707950000000003E-2</v>
      </c>
      <c r="J644" s="195">
        <v>5.1707950000000003E-2</v>
      </c>
      <c r="K644" s="195">
        <v>5.1707950000000003E-2</v>
      </c>
      <c r="L644" s="195">
        <v>5.1707950000000003E-2</v>
      </c>
      <c r="M644" s="195">
        <v>13.6418</v>
      </c>
      <c r="N644" s="195">
        <v>5.1707950000000003E-2</v>
      </c>
    </row>
    <row r="645" spans="1:14" hidden="1" x14ac:dyDescent="0.35">
      <c r="A645" s="52" t="s">
        <v>206</v>
      </c>
      <c r="B645" s="52" t="s">
        <v>353</v>
      </c>
      <c r="C645" s="52" t="s">
        <v>369</v>
      </c>
      <c r="D645" s="52" t="s">
        <v>369</v>
      </c>
      <c r="E645" s="52" t="s">
        <v>584</v>
      </c>
      <c r="F645" s="52" t="s">
        <v>581</v>
      </c>
      <c r="G645" s="195" t="s">
        <v>275</v>
      </c>
      <c r="H645" s="195">
        <v>-8.3245490000000005E-2</v>
      </c>
      <c r="I645" s="195">
        <v>-8.3245490000000005E-2</v>
      </c>
      <c r="J645" s="195">
        <v>0</v>
      </c>
      <c r="K645" s="195">
        <v>0</v>
      </c>
      <c r="L645" s="195">
        <v>0</v>
      </c>
      <c r="M645" s="195">
        <v>0</v>
      </c>
      <c r="N645" s="195">
        <v>0</v>
      </c>
    </row>
    <row r="646" spans="1:14" hidden="1" x14ac:dyDescent="0.35">
      <c r="A646" s="52" t="s">
        <v>206</v>
      </c>
      <c r="B646" s="52" t="s">
        <v>353</v>
      </c>
      <c r="C646" s="52" t="s">
        <v>369</v>
      </c>
      <c r="D646" s="52" t="s">
        <v>369</v>
      </c>
      <c r="E646" s="52" t="s">
        <v>584</v>
      </c>
      <c r="F646" s="52" t="s">
        <v>581</v>
      </c>
      <c r="G646" s="195" t="s">
        <v>276</v>
      </c>
      <c r="H646" s="195">
        <v>-4.4824589999999997E-2</v>
      </c>
      <c r="I646" s="195">
        <v>-4.4824589999999997E-2</v>
      </c>
      <c r="J646" s="195">
        <v>-0.12806880000000001</v>
      </c>
      <c r="K646" s="195">
        <v>-0.12806880000000001</v>
      </c>
      <c r="L646" s="195">
        <v>-0.1280695</v>
      </c>
      <c r="M646" s="195">
        <v>-0.1280695</v>
      </c>
      <c r="N646" s="195">
        <v>-8.6182420000000004</v>
      </c>
    </row>
    <row r="647" spans="1:14" hidden="1" x14ac:dyDescent="0.35">
      <c r="A647" s="52" t="s">
        <v>206</v>
      </c>
      <c r="B647" s="52" t="s">
        <v>353</v>
      </c>
      <c r="C647" s="52" t="s">
        <v>369</v>
      </c>
      <c r="D647" s="52" t="s">
        <v>369</v>
      </c>
      <c r="E647" s="52" t="s">
        <v>584</v>
      </c>
      <c r="F647" s="52" t="s">
        <v>581</v>
      </c>
      <c r="G647" s="195" t="s">
        <v>277</v>
      </c>
      <c r="H647" s="195"/>
      <c r="I647" s="195"/>
      <c r="J647" s="195"/>
      <c r="K647" s="195"/>
      <c r="L647" s="195"/>
      <c r="M647" s="195"/>
      <c r="N647" s="195">
        <v>0</v>
      </c>
    </row>
    <row r="648" spans="1:14" hidden="1" x14ac:dyDescent="0.35">
      <c r="A648" s="52" t="s">
        <v>206</v>
      </c>
      <c r="B648" s="52" t="s">
        <v>353</v>
      </c>
      <c r="C648" s="52" t="s">
        <v>369</v>
      </c>
      <c r="D648" s="52" t="s">
        <v>369</v>
      </c>
      <c r="E648" s="52" t="s">
        <v>584</v>
      </c>
      <c r="F648" s="52" t="s">
        <v>581</v>
      </c>
      <c r="G648" s="195" t="s">
        <v>278</v>
      </c>
      <c r="H648" s="195">
        <v>0.1280695</v>
      </c>
      <c r="I648" s="195">
        <v>0.1280695</v>
      </c>
      <c r="J648" s="195">
        <v>0.1280695</v>
      </c>
      <c r="K648" s="195">
        <v>0.1280695</v>
      </c>
      <c r="L648" s="195">
        <v>0.1280695</v>
      </c>
      <c r="M648" s="195">
        <v>0.1280695</v>
      </c>
      <c r="N648" s="195">
        <v>8.6182400000000001</v>
      </c>
    </row>
    <row r="649" spans="1:14" hidden="1" x14ac:dyDescent="0.35">
      <c r="A649" s="52" t="s">
        <v>206</v>
      </c>
      <c r="B649" s="52" t="s">
        <v>353</v>
      </c>
      <c r="C649" s="52" t="s">
        <v>318</v>
      </c>
      <c r="D649" s="52" t="s">
        <v>318</v>
      </c>
      <c r="E649" s="52" t="s">
        <v>584</v>
      </c>
      <c r="F649" s="52" t="s">
        <v>581</v>
      </c>
      <c r="G649" s="195" t="s">
        <v>275</v>
      </c>
      <c r="H649" s="195">
        <v>-1.2742199999999999</v>
      </c>
      <c r="I649" s="195">
        <v>0</v>
      </c>
      <c r="J649" s="195"/>
      <c r="K649" s="195"/>
      <c r="L649" s="195"/>
      <c r="M649" s="195"/>
      <c r="N649" s="195"/>
    </row>
    <row r="650" spans="1:14" hidden="1" x14ac:dyDescent="0.35">
      <c r="A650" s="52" t="s">
        <v>206</v>
      </c>
      <c r="B650" s="52" t="s">
        <v>353</v>
      </c>
      <c r="C650" s="52" t="s">
        <v>318</v>
      </c>
      <c r="D650" s="52" t="s">
        <v>318</v>
      </c>
      <c r="E650" s="52" t="s">
        <v>584</v>
      </c>
      <c r="F650" s="52" t="s">
        <v>581</v>
      </c>
      <c r="G650" s="195" t="s">
        <v>276</v>
      </c>
      <c r="H650" s="195">
        <v>-0.21409400000000001</v>
      </c>
      <c r="I650" s="195">
        <v>0</v>
      </c>
      <c r="J650" s="195"/>
      <c r="K650" s="195"/>
      <c r="L650" s="195"/>
      <c r="M650" s="195"/>
      <c r="N650" s="195"/>
    </row>
    <row r="651" spans="1:14" hidden="1" x14ac:dyDescent="0.35">
      <c r="A651" s="52" t="s">
        <v>206</v>
      </c>
      <c r="B651" s="52" t="s">
        <v>353</v>
      </c>
      <c r="C651" s="52" t="s">
        <v>318</v>
      </c>
      <c r="D651" s="52" t="s">
        <v>318</v>
      </c>
      <c r="E651" s="52" t="s">
        <v>584</v>
      </c>
      <c r="F651" s="52" t="s">
        <v>581</v>
      </c>
      <c r="G651" s="195" t="s">
        <v>278</v>
      </c>
      <c r="H651" s="195">
        <v>1.4883120000000001</v>
      </c>
      <c r="I651" s="195">
        <v>0</v>
      </c>
      <c r="J651" s="195"/>
      <c r="K651" s="195"/>
      <c r="L651" s="195"/>
      <c r="M651" s="195"/>
      <c r="N651" s="195"/>
    </row>
    <row r="652" spans="1:14" hidden="1" x14ac:dyDescent="0.35">
      <c r="A652" s="52" t="s">
        <v>206</v>
      </c>
      <c r="B652" s="52" t="s">
        <v>353</v>
      </c>
      <c r="C652" s="52" t="s">
        <v>318</v>
      </c>
      <c r="D652" s="52" t="s">
        <v>318</v>
      </c>
      <c r="E652" s="52" t="s">
        <v>584</v>
      </c>
      <c r="F652" s="52" t="s">
        <v>26</v>
      </c>
      <c r="G652" s="195" t="s">
        <v>275</v>
      </c>
      <c r="H652" s="195">
        <v>-0.84948000000000001</v>
      </c>
      <c r="I652" s="195">
        <v>0</v>
      </c>
      <c r="J652" s="195"/>
      <c r="K652" s="195"/>
      <c r="L652" s="195"/>
      <c r="M652" s="195"/>
      <c r="N652" s="195"/>
    </row>
    <row r="653" spans="1:14" hidden="1" x14ac:dyDescent="0.35">
      <c r="A653" s="52" t="s">
        <v>206</v>
      </c>
      <c r="B653" s="52" t="s">
        <v>353</v>
      </c>
      <c r="C653" s="52" t="s">
        <v>318</v>
      </c>
      <c r="D653" s="52" t="s">
        <v>318</v>
      </c>
      <c r="E653" s="52" t="s">
        <v>584</v>
      </c>
      <c r="F653" s="52" t="s">
        <v>26</v>
      </c>
      <c r="G653" s="195" t="s">
        <v>276</v>
      </c>
      <c r="H653" s="195">
        <v>-0.14273</v>
      </c>
      <c r="I653" s="195">
        <v>0</v>
      </c>
      <c r="J653" s="195"/>
      <c r="K653" s="195"/>
      <c r="L653" s="195"/>
      <c r="M653" s="195"/>
      <c r="N653" s="195"/>
    </row>
    <row r="654" spans="1:14" hidden="1" x14ac:dyDescent="0.35">
      <c r="A654" s="52" t="s">
        <v>206</v>
      </c>
      <c r="B654" s="52" t="s">
        <v>353</v>
      </c>
      <c r="C654" s="52" t="s">
        <v>318</v>
      </c>
      <c r="D654" s="52" t="s">
        <v>318</v>
      </c>
      <c r="E654" s="52" t="s">
        <v>584</v>
      </c>
      <c r="F654" s="52" t="s">
        <v>26</v>
      </c>
      <c r="G654" s="195" t="s">
        <v>278</v>
      </c>
      <c r="H654" s="195">
        <v>0.99220799999999998</v>
      </c>
      <c r="I654" s="195">
        <v>0</v>
      </c>
      <c r="J654" s="195"/>
      <c r="K654" s="195"/>
      <c r="L654" s="195"/>
      <c r="M654" s="195"/>
      <c r="N654" s="195"/>
    </row>
    <row r="655" spans="1:14" hidden="1" x14ac:dyDescent="0.35">
      <c r="A655" s="52" t="s">
        <v>579</v>
      </c>
      <c r="B655" s="52" t="s">
        <v>37</v>
      </c>
      <c r="C655" s="52" t="s">
        <v>35</v>
      </c>
      <c r="D655" s="52" t="s">
        <v>129</v>
      </c>
      <c r="E655" s="52" t="s">
        <v>580</v>
      </c>
      <c r="F655" s="52" t="s">
        <v>581</v>
      </c>
      <c r="G655" s="195" t="s">
        <v>275</v>
      </c>
      <c r="H655" s="195">
        <v>-159.1755</v>
      </c>
      <c r="I655" s="195">
        <v>268.4058</v>
      </c>
      <c r="J655" s="195">
        <v>237.24270000000001</v>
      </c>
      <c r="K655" s="195">
        <v>237.63310000000001</v>
      </c>
      <c r="L655" s="195">
        <v>209.2216</v>
      </c>
      <c r="M655" s="195">
        <v>98.610839999999996</v>
      </c>
      <c r="N655" s="195">
        <v>80.930490000000006</v>
      </c>
    </row>
    <row r="656" spans="1:14" hidden="1" x14ac:dyDescent="0.35">
      <c r="A656" s="52" t="s">
        <v>579</v>
      </c>
      <c r="B656" s="52" t="s">
        <v>37</v>
      </c>
      <c r="C656" s="52" t="s">
        <v>35</v>
      </c>
      <c r="D656" s="52" t="s">
        <v>129</v>
      </c>
      <c r="E656" s="52" t="s">
        <v>580</v>
      </c>
      <c r="F656" s="52" t="s">
        <v>581</v>
      </c>
      <c r="G656" s="195" t="s">
        <v>276</v>
      </c>
      <c r="H656" s="195">
        <v>29.274899999999999</v>
      </c>
      <c r="I656" s="195">
        <v>-166.49940000000001</v>
      </c>
      <c r="J656" s="195">
        <v>-158.51079999999999</v>
      </c>
      <c r="K656" s="195">
        <v>-151.4538</v>
      </c>
      <c r="L656" s="195">
        <v>-131.72569999999999</v>
      </c>
      <c r="M656" s="195">
        <v>1.2380469999999999</v>
      </c>
      <c r="N656" s="195">
        <v>6.7789989999999998</v>
      </c>
    </row>
    <row r="657" spans="1:14" hidden="1" x14ac:dyDescent="0.35">
      <c r="A657" s="52" t="s">
        <v>579</v>
      </c>
      <c r="B657" s="52" t="s">
        <v>37</v>
      </c>
      <c r="C657" s="52" t="s">
        <v>35</v>
      </c>
      <c r="D657" s="52" t="s">
        <v>129</v>
      </c>
      <c r="E657" s="52" t="s">
        <v>580</v>
      </c>
      <c r="F657" s="52" t="s">
        <v>581</v>
      </c>
      <c r="G657" s="195" t="s">
        <v>277</v>
      </c>
      <c r="H657" s="195">
        <v>1698.1</v>
      </c>
      <c r="I657" s="195">
        <v>119.6592</v>
      </c>
      <c r="J657" s="195">
        <v>26.06916</v>
      </c>
      <c r="K657" s="195">
        <v>12.407439999999999</v>
      </c>
      <c r="L657" s="195">
        <v>4.6871549999999997</v>
      </c>
      <c r="M657" s="195">
        <v>2.2698930000000002</v>
      </c>
      <c r="N657" s="195">
        <v>5.9031989999999999</v>
      </c>
    </row>
    <row r="658" spans="1:14" hidden="1" x14ac:dyDescent="0.35">
      <c r="A658" s="52" t="s">
        <v>579</v>
      </c>
      <c r="B658" s="52" t="s">
        <v>37</v>
      </c>
      <c r="C658" s="52" t="s">
        <v>35</v>
      </c>
      <c r="D658" s="52" t="s">
        <v>129</v>
      </c>
      <c r="E658" s="52" t="s">
        <v>580</v>
      </c>
      <c r="F658" s="52" t="s">
        <v>581</v>
      </c>
      <c r="G658" s="195" t="s">
        <v>278</v>
      </c>
      <c r="H658" s="195">
        <v>0</v>
      </c>
      <c r="I658" s="195">
        <v>60.350380000000001</v>
      </c>
      <c r="J658" s="195">
        <v>92.468689999999995</v>
      </c>
      <c r="K658" s="195">
        <v>88.577770000000001</v>
      </c>
      <c r="L658" s="195">
        <v>45.992899999999999</v>
      </c>
      <c r="M658" s="195">
        <v>13.919790000000001</v>
      </c>
      <c r="N658" s="195">
        <v>9.7753490000000003</v>
      </c>
    </row>
    <row r="659" spans="1:14" hidden="1" x14ac:dyDescent="0.35">
      <c r="A659" s="52" t="s">
        <v>579</v>
      </c>
      <c r="B659" s="52" t="s">
        <v>37</v>
      </c>
      <c r="C659" s="52" t="s">
        <v>35</v>
      </c>
      <c r="D659" s="52" t="s">
        <v>129</v>
      </c>
      <c r="E659" s="52" t="s">
        <v>580</v>
      </c>
      <c r="F659" s="52" t="s">
        <v>581</v>
      </c>
      <c r="G659" s="195" t="s">
        <v>279</v>
      </c>
      <c r="H659" s="195">
        <v>725.24680000000001</v>
      </c>
      <c r="I659" s="195">
        <v>521.29420000000005</v>
      </c>
      <c r="J659" s="195">
        <v>468.79610000000002</v>
      </c>
      <c r="K659" s="195">
        <v>498.23020000000002</v>
      </c>
      <c r="L659" s="195">
        <v>521.54970000000003</v>
      </c>
      <c r="M659" s="195">
        <v>435.88639999999998</v>
      </c>
      <c r="N659" s="195">
        <v>372.52519999999998</v>
      </c>
    </row>
    <row r="660" spans="1:14" hidden="1" x14ac:dyDescent="0.35">
      <c r="A660" s="52" t="s">
        <v>579</v>
      </c>
      <c r="B660" s="52" t="s">
        <v>37</v>
      </c>
      <c r="C660" s="52" t="s">
        <v>35</v>
      </c>
      <c r="D660" s="52" t="s">
        <v>129</v>
      </c>
      <c r="E660" s="52" t="s">
        <v>580</v>
      </c>
      <c r="F660" s="52" t="s">
        <v>26</v>
      </c>
      <c r="G660" s="195" t="s">
        <v>275</v>
      </c>
      <c r="H660" s="195">
        <v>-7.5994780000000004</v>
      </c>
      <c r="I660" s="195">
        <v>-20.279789999999998</v>
      </c>
      <c r="J660" s="195">
        <v>-14.085599999999999</v>
      </c>
      <c r="K660" s="195">
        <v>-19.552879999999998</v>
      </c>
      <c r="L660" s="195">
        <v>-30.56033</v>
      </c>
      <c r="M660" s="195">
        <v>-24.8626</v>
      </c>
      <c r="N660" s="195">
        <v>-21.060099999999998</v>
      </c>
    </row>
    <row r="661" spans="1:14" hidden="1" x14ac:dyDescent="0.35">
      <c r="A661" s="52" t="s">
        <v>579</v>
      </c>
      <c r="B661" s="52" t="s">
        <v>37</v>
      </c>
      <c r="C661" s="52" t="s">
        <v>35</v>
      </c>
      <c r="D661" s="52" t="s">
        <v>129</v>
      </c>
      <c r="E661" s="52" t="s">
        <v>580</v>
      </c>
      <c r="F661" s="52" t="s">
        <v>26</v>
      </c>
      <c r="G661" s="195" t="s">
        <v>276</v>
      </c>
      <c r="H661" s="195">
        <v>-2.0201039999999999</v>
      </c>
      <c r="I661" s="195">
        <v>-5.3908519999999998</v>
      </c>
      <c r="J661" s="195">
        <v>-3.7442760000000002</v>
      </c>
      <c r="K661" s="195">
        <v>-5.1975889999999998</v>
      </c>
      <c r="L661" s="195">
        <v>-8.1236350000000002</v>
      </c>
      <c r="M661" s="195">
        <v>-6.6090390000000001</v>
      </c>
      <c r="N661" s="195">
        <v>-5.5982589999999997</v>
      </c>
    </row>
    <row r="662" spans="1:14" hidden="1" x14ac:dyDescent="0.35">
      <c r="A662" s="52" t="s">
        <v>579</v>
      </c>
      <c r="B662" s="52" t="s">
        <v>37</v>
      </c>
      <c r="C662" s="52" t="s">
        <v>35</v>
      </c>
      <c r="D662" s="52" t="s">
        <v>129</v>
      </c>
      <c r="E662" s="52" t="s">
        <v>580</v>
      </c>
      <c r="F662" s="52" t="s">
        <v>26</v>
      </c>
      <c r="G662" s="195" t="s">
        <v>279</v>
      </c>
      <c r="H662" s="195">
        <v>196.70859999999999</v>
      </c>
      <c r="I662" s="195">
        <v>167.33580000000001</v>
      </c>
      <c r="J662" s="195">
        <v>155.36539999999999</v>
      </c>
      <c r="K662" s="195">
        <v>165.85400000000001</v>
      </c>
      <c r="L662" s="195">
        <v>171.3989</v>
      </c>
      <c r="M662" s="195">
        <v>143.64330000000001</v>
      </c>
      <c r="N662" s="195">
        <v>123.0954</v>
      </c>
    </row>
    <row r="663" spans="1:14" hidden="1" x14ac:dyDescent="0.35">
      <c r="A663" s="52" t="s">
        <v>579</v>
      </c>
      <c r="B663" s="52" t="s">
        <v>37</v>
      </c>
      <c r="C663" s="52" t="s">
        <v>35</v>
      </c>
      <c r="D663" s="52" t="s">
        <v>129</v>
      </c>
      <c r="E663" s="52" t="s">
        <v>582</v>
      </c>
      <c r="F663" s="52" t="s">
        <v>581</v>
      </c>
      <c r="G663" s="195" t="s">
        <v>275</v>
      </c>
      <c r="H663" s="195">
        <v>-18.219719999999999</v>
      </c>
      <c r="I663" s="195">
        <v>17.619520000000001</v>
      </c>
      <c r="J663" s="195">
        <v>8.5494219999999999</v>
      </c>
      <c r="K663" s="195">
        <v>21.047180000000001</v>
      </c>
      <c r="L663" s="195">
        <v>15.849819999999999</v>
      </c>
      <c r="M663" s="195">
        <v>7.8231549999999999</v>
      </c>
      <c r="N663" s="195">
        <v>7.3666140000000002</v>
      </c>
    </row>
    <row r="664" spans="1:14" hidden="1" x14ac:dyDescent="0.35">
      <c r="A664" s="52" t="s">
        <v>579</v>
      </c>
      <c r="B664" s="52" t="s">
        <v>37</v>
      </c>
      <c r="C664" s="52" t="s">
        <v>35</v>
      </c>
      <c r="D664" s="52" t="s">
        <v>129</v>
      </c>
      <c r="E664" s="52" t="s">
        <v>582</v>
      </c>
      <c r="F664" s="52" t="s">
        <v>581</v>
      </c>
      <c r="G664" s="195" t="s">
        <v>276</v>
      </c>
      <c r="H664" s="195">
        <v>12.17755</v>
      </c>
      <c r="I664" s="195">
        <v>-7.75082</v>
      </c>
      <c r="J664" s="195">
        <v>-9.0135570000000005</v>
      </c>
      <c r="K664" s="195">
        <v>-12.506550000000001</v>
      </c>
      <c r="L664" s="195">
        <v>-11.309189999999999</v>
      </c>
      <c r="M664" s="195">
        <v>-0.46331319999999998</v>
      </c>
      <c r="N664" s="195">
        <v>-0.44628109999999999</v>
      </c>
    </row>
    <row r="665" spans="1:14" hidden="1" x14ac:dyDescent="0.35">
      <c r="A665" s="52" t="s">
        <v>579</v>
      </c>
      <c r="B665" s="52" t="s">
        <v>37</v>
      </c>
      <c r="C665" s="52" t="s">
        <v>35</v>
      </c>
      <c r="D665" s="52" t="s">
        <v>129</v>
      </c>
      <c r="E665" s="52" t="s">
        <v>582</v>
      </c>
      <c r="F665" s="52" t="s">
        <v>581</v>
      </c>
      <c r="G665" s="195" t="s">
        <v>277</v>
      </c>
      <c r="H665" s="195">
        <v>138.6</v>
      </c>
      <c r="I665" s="195">
        <v>9.2602139999999995</v>
      </c>
      <c r="J665" s="195">
        <v>2.4968020000000002</v>
      </c>
      <c r="K665" s="195">
        <v>1.5042329999999999</v>
      </c>
      <c r="L665" s="195">
        <v>0.49764459999999999</v>
      </c>
      <c r="M665" s="195">
        <v>0</v>
      </c>
      <c r="N665" s="195">
        <v>0</v>
      </c>
    </row>
    <row r="666" spans="1:14" hidden="1" x14ac:dyDescent="0.35">
      <c r="A666" s="52" t="s">
        <v>579</v>
      </c>
      <c r="B666" s="52" t="s">
        <v>37</v>
      </c>
      <c r="C666" s="52" t="s">
        <v>35</v>
      </c>
      <c r="D666" s="52" t="s">
        <v>129</v>
      </c>
      <c r="E666" s="52" t="s">
        <v>582</v>
      </c>
      <c r="F666" s="52" t="s">
        <v>581</v>
      </c>
      <c r="G666" s="195" t="s">
        <v>278</v>
      </c>
      <c r="H666" s="195">
        <v>0</v>
      </c>
      <c r="I666" s="195">
        <v>5.336938</v>
      </c>
      <c r="J666" s="195">
        <v>16.350190000000001</v>
      </c>
      <c r="K666" s="195">
        <v>5.9983610000000001</v>
      </c>
      <c r="L666" s="195">
        <v>3.8576239999999999</v>
      </c>
      <c r="M666" s="195">
        <v>0</v>
      </c>
      <c r="N666" s="195">
        <v>0</v>
      </c>
    </row>
    <row r="667" spans="1:14" hidden="1" x14ac:dyDescent="0.35">
      <c r="A667" s="52" t="s">
        <v>579</v>
      </c>
      <c r="B667" s="52" t="s">
        <v>37</v>
      </c>
      <c r="C667" s="52" t="s">
        <v>35</v>
      </c>
      <c r="D667" s="52" t="s">
        <v>129</v>
      </c>
      <c r="E667" s="52" t="s">
        <v>582</v>
      </c>
      <c r="F667" s="52" t="s">
        <v>581</v>
      </c>
      <c r="G667" s="195" t="s">
        <v>279</v>
      </c>
      <c r="H667" s="195">
        <v>63.482779999999998</v>
      </c>
      <c r="I667" s="195">
        <v>52.18938</v>
      </c>
      <c r="J667" s="195">
        <v>52.93526</v>
      </c>
      <c r="K667" s="195">
        <v>50.9039</v>
      </c>
      <c r="L667" s="195">
        <v>46.63203</v>
      </c>
      <c r="M667" s="195">
        <v>37.143630000000002</v>
      </c>
      <c r="N667" s="195">
        <v>30.652979999999999</v>
      </c>
    </row>
    <row r="668" spans="1:14" hidden="1" x14ac:dyDescent="0.35">
      <c r="A668" s="52" t="s">
        <v>579</v>
      </c>
      <c r="B668" s="52" t="s">
        <v>37</v>
      </c>
      <c r="C668" s="52" t="s">
        <v>35</v>
      </c>
      <c r="D668" s="52" t="s">
        <v>129</v>
      </c>
      <c r="E668" s="52" t="s">
        <v>582</v>
      </c>
      <c r="F668" s="52" t="s">
        <v>26</v>
      </c>
      <c r="G668" s="195" t="s">
        <v>275</v>
      </c>
      <c r="H668" s="195">
        <v>1.72697E-3</v>
      </c>
      <c r="I668" s="195">
        <v>-1.668104</v>
      </c>
      <c r="J668" s="195">
        <v>-1.165864</v>
      </c>
      <c r="K668" s="195">
        <v>-1.586463</v>
      </c>
      <c r="L668" s="195">
        <v>-2.4601150000000001</v>
      </c>
      <c r="M668" s="195">
        <v>-1.920957</v>
      </c>
      <c r="N668" s="195">
        <v>-1.6266929999999999</v>
      </c>
    </row>
    <row r="669" spans="1:14" hidden="1" x14ac:dyDescent="0.35">
      <c r="A669" s="52" t="s">
        <v>579</v>
      </c>
      <c r="B669" s="52" t="s">
        <v>37</v>
      </c>
      <c r="C669" s="52" t="s">
        <v>35</v>
      </c>
      <c r="D669" s="52" t="s">
        <v>129</v>
      </c>
      <c r="E669" s="52" t="s">
        <v>582</v>
      </c>
      <c r="F669" s="52" t="s">
        <v>26</v>
      </c>
      <c r="G669" s="195" t="s">
        <v>276</v>
      </c>
      <c r="H669" s="195">
        <v>4.5900889999999999E-4</v>
      </c>
      <c r="I669" s="195">
        <v>-0.44342239999999999</v>
      </c>
      <c r="J669" s="195">
        <v>-0.30991259999999998</v>
      </c>
      <c r="K669" s="195">
        <v>-0.42171959999999997</v>
      </c>
      <c r="L669" s="195">
        <v>-0.65395709999999996</v>
      </c>
      <c r="M669" s="195">
        <v>-0.51063400000000003</v>
      </c>
      <c r="N669" s="195">
        <v>-0.4324134</v>
      </c>
    </row>
    <row r="670" spans="1:14" hidden="1" x14ac:dyDescent="0.35">
      <c r="A670" s="52" t="s">
        <v>579</v>
      </c>
      <c r="B670" s="52" t="s">
        <v>37</v>
      </c>
      <c r="C670" s="52" t="s">
        <v>35</v>
      </c>
      <c r="D670" s="52" t="s">
        <v>129</v>
      </c>
      <c r="E670" s="52" t="s">
        <v>582</v>
      </c>
      <c r="F670" s="52" t="s">
        <v>26</v>
      </c>
      <c r="G670" s="195" t="s">
        <v>279</v>
      </c>
      <c r="H670" s="195">
        <v>19.77599</v>
      </c>
      <c r="I670" s="195">
        <v>18.12134</v>
      </c>
      <c r="J670" s="195">
        <v>18.361889999999999</v>
      </c>
      <c r="K670" s="195">
        <v>17.676670000000001</v>
      </c>
      <c r="L670" s="195">
        <v>16.083490000000001</v>
      </c>
      <c r="M670" s="195">
        <v>12.96128</v>
      </c>
      <c r="N670" s="195">
        <v>11.04115</v>
      </c>
    </row>
    <row r="671" spans="1:14" hidden="1" x14ac:dyDescent="0.35">
      <c r="A671" s="52" t="s">
        <v>579</v>
      </c>
      <c r="B671" s="52" t="s">
        <v>37</v>
      </c>
      <c r="C671" s="52" t="s">
        <v>35</v>
      </c>
      <c r="D671" s="52" t="s">
        <v>129</v>
      </c>
      <c r="E671" s="52" t="s">
        <v>583</v>
      </c>
      <c r="F671" s="52" t="s">
        <v>581</v>
      </c>
      <c r="G671" s="195" t="s">
        <v>275</v>
      </c>
      <c r="H671" s="195">
        <v>37.373339999999999</v>
      </c>
      <c r="I671" s="195">
        <v>4.7486550000000003</v>
      </c>
      <c r="J671" s="195">
        <v>2.8212869999999999</v>
      </c>
      <c r="K671" s="195">
        <v>2.3569019999999998</v>
      </c>
      <c r="L671" s="195">
        <v>1.115694</v>
      </c>
      <c r="M671" s="195">
        <v>1.4362729999999999</v>
      </c>
      <c r="N671" s="195">
        <v>1.223484</v>
      </c>
    </row>
    <row r="672" spans="1:14" hidden="1" x14ac:dyDescent="0.35">
      <c r="A672" s="52" t="s">
        <v>579</v>
      </c>
      <c r="B672" s="52" t="s">
        <v>37</v>
      </c>
      <c r="C672" s="52" t="s">
        <v>35</v>
      </c>
      <c r="D672" s="52" t="s">
        <v>129</v>
      </c>
      <c r="E672" s="52" t="s">
        <v>583</v>
      </c>
      <c r="F672" s="52" t="s">
        <v>581</v>
      </c>
      <c r="G672" s="195" t="s">
        <v>276</v>
      </c>
      <c r="H672" s="195">
        <v>5.4347050000000001</v>
      </c>
      <c r="I672" s="195">
        <v>1.2623009999999999</v>
      </c>
      <c r="J672" s="195">
        <v>0.74996200000000002</v>
      </c>
      <c r="K672" s="195">
        <v>0.62846769999999996</v>
      </c>
      <c r="L672" s="195">
        <v>0.36635689999999999</v>
      </c>
      <c r="M672" s="195">
        <v>0.36744759999999999</v>
      </c>
      <c r="N672" s="195">
        <v>0.31375239999999999</v>
      </c>
    </row>
    <row r="673" spans="1:14" hidden="1" x14ac:dyDescent="0.35">
      <c r="A673" s="52" t="s">
        <v>579</v>
      </c>
      <c r="B673" s="52" t="s">
        <v>37</v>
      </c>
      <c r="C673" s="52" t="s">
        <v>35</v>
      </c>
      <c r="D673" s="52" t="s">
        <v>129</v>
      </c>
      <c r="E673" s="52" t="s">
        <v>583</v>
      </c>
      <c r="F673" s="52" t="s">
        <v>581</v>
      </c>
      <c r="G673" s="195" t="s">
        <v>277</v>
      </c>
      <c r="H673" s="195"/>
      <c r="I673" s="195"/>
      <c r="J673" s="195">
        <v>0</v>
      </c>
      <c r="K673" s="195">
        <v>9.1722000000000001E-3</v>
      </c>
      <c r="L673" s="195">
        <v>0.32997559999999998</v>
      </c>
      <c r="M673" s="195">
        <v>0</v>
      </c>
      <c r="N673" s="195">
        <v>0</v>
      </c>
    </row>
    <row r="674" spans="1:14" hidden="1" x14ac:dyDescent="0.35">
      <c r="A674" s="52" t="s">
        <v>579</v>
      </c>
      <c r="B674" s="52" t="s">
        <v>37</v>
      </c>
      <c r="C674" s="52" t="s">
        <v>35</v>
      </c>
      <c r="D674" s="52" t="s">
        <v>129</v>
      </c>
      <c r="E674" s="52" t="s">
        <v>583</v>
      </c>
      <c r="F674" s="52" t="s">
        <v>581</v>
      </c>
      <c r="G674" s="195" t="s">
        <v>279</v>
      </c>
      <c r="H674" s="195">
        <v>21.38804</v>
      </c>
      <c r="I674" s="195">
        <v>14.46777</v>
      </c>
      <c r="J674" s="195">
        <v>12.335190000000001</v>
      </c>
      <c r="K674" s="195">
        <v>11.51591</v>
      </c>
      <c r="L674" s="195">
        <v>12.961919999999999</v>
      </c>
      <c r="M674" s="195">
        <v>12.0692</v>
      </c>
      <c r="N674" s="195">
        <v>10.83539</v>
      </c>
    </row>
    <row r="675" spans="1:14" hidden="1" x14ac:dyDescent="0.35">
      <c r="A675" s="52" t="s">
        <v>579</v>
      </c>
      <c r="B675" s="52" t="s">
        <v>37</v>
      </c>
      <c r="C675" s="52" t="s">
        <v>35</v>
      </c>
      <c r="D675" s="52" t="s">
        <v>129</v>
      </c>
      <c r="E675" s="52" t="s">
        <v>583</v>
      </c>
      <c r="F675" s="52" t="s">
        <v>26</v>
      </c>
      <c r="G675" s="195" t="s">
        <v>275</v>
      </c>
      <c r="H675" s="195">
        <v>-0.22755900000000001</v>
      </c>
      <c r="I675" s="195">
        <v>-0.5919162</v>
      </c>
      <c r="J675" s="195">
        <v>-0.39658919999999998</v>
      </c>
      <c r="K675" s="195">
        <v>-0.4568102</v>
      </c>
      <c r="L675" s="195">
        <v>-0.78230299999999997</v>
      </c>
      <c r="M675" s="195">
        <v>-0.71178960000000002</v>
      </c>
      <c r="N675" s="195">
        <v>-0.64141099999999995</v>
      </c>
    </row>
    <row r="676" spans="1:14" hidden="1" x14ac:dyDescent="0.35">
      <c r="A676" s="52" t="s">
        <v>579</v>
      </c>
      <c r="B676" s="52" t="s">
        <v>37</v>
      </c>
      <c r="C676" s="52" t="s">
        <v>35</v>
      </c>
      <c r="D676" s="52" t="s">
        <v>129</v>
      </c>
      <c r="E676" s="52" t="s">
        <v>583</v>
      </c>
      <c r="F676" s="52" t="s">
        <v>26</v>
      </c>
      <c r="G676" s="195" t="s">
        <v>276</v>
      </c>
      <c r="H676" s="195">
        <v>-6.0491999999999997E-2</v>
      </c>
      <c r="I676" s="195">
        <v>-0.15734500000000001</v>
      </c>
      <c r="J676" s="195">
        <v>-0.10542260000000001</v>
      </c>
      <c r="K676" s="195">
        <v>-0.1214312</v>
      </c>
      <c r="L676" s="195">
        <v>-0.207953</v>
      </c>
      <c r="M676" s="195">
        <v>-0.18920999999999999</v>
      </c>
      <c r="N676" s="195">
        <v>-0.17050199999999999</v>
      </c>
    </row>
    <row r="677" spans="1:14" hidden="1" x14ac:dyDescent="0.35">
      <c r="A677" s="52" t="s">
        <v>579</v>
      </c>
      <c r="B677" s="52" t="s">
        <v>37</v>
      </c>
      <c r="C677" s="52" t="s">
        <v>35</v>
      </c>
      <c r="D677" s="52" t="s">
        <v>129</v>
      </c>
      <c r="E677" s="52" t="s">
        <v>583</v>
      </c>
      <c r="F677" s="52" t="s">
        <v>26</v>
      </c>
      <c r="G677" s="195" t="s">
        <v>279</v>
      </c>
      <c r="H677" s="195">
        <v>5.9693180000000003</v>
      </c>
      <c r="I677" s="195">
        <v>4.6608900000000002</v>
      </c>
      <c r="J677" s="195">
        <v>4.0415809999999999</v>
      </c>
      <c r="K677" s="195">
        <v>3.8017069999999999</v>
      </c>
      <c r="L677" s="195">
        <v>4.2647190000000004</v>
      </c>
      <c r="M677" s="195">
        <v>3.9660009999999999</v>
      </c>
      <c r="N677" s="195">
        <v>3.5462180000000001</v>
      </c>
    </row>
    <row r="678" spans="1:14" hidden="1" x14ac:dyDescent="0.35">
      <c r="A678" s="52" t="s">
        <v>579</v>
      </c>
      <c r="B678" s="52" t="s">
        <v>37</v>
      </c>
      <c r="C678" s="52" t="s">
        <v>35</v>
      </c>
      <c r="D678" s="52" t="s">
        <v>129</v>
      </c>
      <c r="E678" s="52" t="s">
        <v>584</v>
      </c>
      <c r="F678" s="52" t="s">
        <v>581</v>
      </c>
      <c r="G678" s="195" t="s">
        <v>275</v>
      </c>
      <c r="H678" s="195">
        <v>2.0542000000000001E-2</v>
      </c>
      <c r="I678" s="195">
        <v>0</v>
      </c>
      <c r="J678" s="195"/>
      <c r="K678" s="195"/>
      <c r="L678" s="195"/>
      <c r="M678" s="195"/>
      <c r="N678" s="195"/>
    </row>
    <row r="679" spans="1:14" hidden="1" x14ac:dyDescent="0.35">
      <c r="A679" s="52" t="s">
        <v>579</v>
      </c>
      <c r="B679" s="52" t="s">
        <v>37</v>
      </c>
      <c r="C679" s="52" t="s">
        <v>35</v>
      </c>
      <c r="D679" s="52" t="s">
        <v>129</v>
      </c>
      <c r="E679" s="52" t="s">
        <v>584</v>
      </c>
      <c r="F679" s="52" t="s">
        <v>581</v>
      </c>
      <c r="G679" s="195" t="s">
        <v>276</v>
      </c>
      <c r="H679" s="195">
        <v>5.4599999999999996E-3</v>
      </c>
      <c r="I679" s="195">
        <v>0</v>
      </c>
      <c r="J679" s="195"/>
      <c r="K679" s="195"/>
      <c r="L679" s="195"/>
      <c r="M679" s="195"/>
      <c r="N679" s="195"/>
    </row>
    <row r="680" spans="1:14" hidden="1" x14ac:dyDescent="0.35">
      <c r="A680" s="52" t="s">
        <v>579</v>
      </c>
      <c r="B680" s="52" t="s">
        <v>37</v>
      </c>
      <c r="C680" s="52" t="s">
        <v>35</v>
      </c>
      <c r="D680" s="52" t="s">
        <v>129</v>
      </c>
      <c r="E680" s="52" t="s">
        <v>584</v>
      </c>
      <c r="F680" s="52" t="s">
        <v>581</v>
      </c>
      <c r="G680" s="195" t="s">
        <v>279</v>
      </c>
      <c r="H680" s="195">
        <v>6.7039999999999999E-3</v>
      </c>
      <c r="I680" s="195">
        <v>0</v>
      </c>
      <c r="J680" s="195"/>
      <c r="K680" s="195"/>
      <c r="L680" s="195"/>
      <c r="M680" s="195"/>
      <c r="N680" s="195"/>
    </row>
    <row r="681" spans="1:14" hidden="1" x14ac:dyDescent="0.35">
      <c r="A681" s="52" t="s">
        <v>579</v>
      </c>
      <c r="B681" s="52" t="s">
        <v>37</v>
      </c>
      <c r="C681" s="52" t="s">
        <v>35</v>
      </c>
      <c r="D681" s="52" t="s">
        <v>129</v>
      </c>
      <c r="E681" s="52" t="s">
        <v>584</v>
      </c>
      <c r="F681" s="52" t="s">
        <v>26</v>
      </c>
      <c r="G681" s="195" t="s">
        <v>275</v>
      </c>
      <c r="H681" s="195">
        <v>2.4629340000000002</v>
      </c>
      <c r="I681" s="195">
        <v>1.814217</v>
      </c>
      <c r="J681" s="195">
        <v>1.0077320000000001</v>
      </c>
      <c r="K681" s="195">
        <v>1.7924659999999999</v>
      </c>
      <c r="L681" s="195">
        <v>0.15165400000000001</v>
      </c>
      <c r="M681" s="195">
        <v>0.14087340000000001</v>
      </c>
      <c r="N681" s="195">
        <v>0.14121980000000001</v>
      </c>
    </row>
    <row r="682" spans="1:14" hidden="1" x14ac:dyDescent="0.35">
      <c r="A682" s="52" t="s">
        <v>579</v>
      </c>
      <c r="B682" s="52" t="s">
        <v>37</v>
      </c>
      <c r="C682" s="52" t="s">
        <v>35</v>
      </c>
      <c r="D682" s="52" t="s">
        <v>129</v>
      </c>
      <c r="E682" s="52" t="s">
        <v>584</v>
      </c>
      <c r="F682" s="52" t="s">
        <v>26</v>
      </c>
      <c r="G682" s="195" t="s">
        <v>276</v>
      </c>
      <c r="H682" s="195">
        <v>-0.93879999999999997</v>
      </c>
      <c r="I682" s="195">
        <v>-1.1209279999999999</v>
      </c>
      <c r="J682" s="195">
        <v>-0.17846600000000001</v>
      </c>
      <c r="K682" s="195">
        <v>-1.308899</v>
      </c>
      <c r="L682" s="195">
        <v>4.0312800000000003E-2</v>
      </c>
      <c r="M682" s="195">
        <v>3.74472E-2</v>
      </c>
      <c r="N682" s="195">
        <v>3.7539389999999999E-2</v>
      </c>
    </row>
    <row r="683" spans="1:14" hidden="1" x14ac:dyDescent="0.35">
      <c r="A683" s="52" t="s">
        <v>579</v>
      </c>
      <c r="B683" s="52" t="s">
        <v>37</v>
      </c>
      <c r="C683" s="52" t="s">
        <v>35</v>
      </c>
      <c r="D683" s="52" t="s">
        <v>129</v>
      </c>
      <c r="E683" s="52" t="s">
        <v>584</v>
      </c>
      <c r="F683" s="52" t="s">
        <v>26</v>
      </c>
      <c r="G683" s="195" t="s">
        <v>277</v>
      </c>
      <c r="H683" s="195">
        <v>0</v>
      </c>
      <c r="I683" s="195"/>
      <c r="J683" s="195"/>
      <c r="K683" s="195"/>
      <c r="L683" s="195"/>
      <c r="M683" s="195"/>
      <c r="N683" s="195"/>
    </row>
    <row r="684" spans="1:14" hidden="1" x14ac:dyDescent="0.35">
      <c r="A684" s="52" t="s">
        <v>579</v>
      </c>
      <c r="B684" s="52" t="s">
        <v>37</v>
      </c>
      <c r="C684" s="52" t="s">
        <v>35</v>
      </c>
      <c r="D684" s="52" t="s">
        <v>129</v>
      </c>
      <c r="E684" s="52" t="s">
        <v>584</v>
      </c>
      <c r="F684" s="52" t="s">
        <v>26</v>
      </c>
      <c r="G684" s="195" t="s">
        <v>279</v>
      </c>
      <c r="H684" s="195">
        <v>5.4170730000000002</v>
      </c>
      <c r="I684" s="195">
        <v>4.6198899999999998</v>
      </c>
      <c r="J684" s="195">
        <v>4.5409329999999999</v>
      </c>
      <c r="K684" s="195">
        <v>4.8673229999999998</v>
      </c>
      <c r="L684" s="195">
        <v>5.0723770000000004</v>
      </c>
      <c r="M684" s="195">
        <v>4.8818000000000001</v>
      </c>
      <c r="N684" s="195">
        <v>4.7200259999999998</v>
      </c>
    </row>
    <row r="685" spans="1:14" hidden="1" x14ac:dyDescent="0.35">
      <c r="A685" s="52" t="s">
        <v>579</v>
      </c>
      <c r="B685" s="52" t="s">
        <v>37</v>
      </c>
      <c r="C685" s="52" t="s">
        <v>35</v>
      </c>
      <c r="D685" s="52" t="s">
        <v>39</v>
      </c>
      <c r="E685" s="52" t="s">
        <v>582</v>
      </c>
      <c r="F685" s="52" t="s">
        <v>581</v>
      </c>
      <c r="G685" s="195" t="s">
        <v>275</v>
      </c>
      <c r="H685" s="195">
        <v>95.938289999999995</v>
      </c>
      <c r="I685" s="195">
        <v>131.49029999999999</v>
      </c>
      <c r="J685" s="195">
        <v>156.5872</v>
      </c>
      <c r="K685" s="195">
        <v>213.16759999999999</v>
      </c>
      <c r="L685" s="195">
        <v>116.08150000000001</v>
      </c>
      <c r="M685" s="195">
        <v>23.337330000000001</v>
      </c>
      <c r="N685" s="195">
        <v>12.45078</v>
      </c>
    </row>
    <row r="686" spans="1:14" hidden="1" x14ac:dyDescent="0.35">
      <c r="A686" s="52" t="s">
        <v>579</v>
      </c>
      <c r="B686" s="52" t="s">
        <v>37</v>
      </c>
      <c r="C686" s="52" t="s">
        <v>35</v>
      </c>
      <c r="D686" s="52" t="s">
        <v>39</v>
      </c>
      <c r="E686" s="52" t="s">
        <v>582</v>
      </c>
      <c r="F686" s="52" t="s">
        <v>581</v>
      </c>
      <c r="G686" s="195" t="s">
        <v>276</v>
      </c>
      <c r="H686" s="195">
        <v>164.3647</v>
      </c>
      <c r="I686" s="195">
        <v>-64.486670000000004</v>
      </c>
      <c r="J686" s="195">
        <v>-85.27</v>
      </c>
      <c r="K686" s="195">
        <v>-156.21889999999999</v>
      </c>
      <c r="L686" s="195">
        <v>-98.229550000000003</v>
      </c>
      <c r="M686" s="195">
        <v>-7.246759</v>
      </c>
      <c r="N686" s="195">
        <v>1.7992109999999999</v>
      </c>
    </row>
    <row r="687" spans="1:14" hidden="1" x14ac:dyDescent="0.35">
      <c r="A687" s="52" t="s">
        <v>579</v>
      </c>
      <c r="B687" s="52" t="s">
        <v>37</v>
      </c>
      <c r="C687" s="52" t="s">
        <v>35</v>
      </c>
      <c r="D687" s="52" t="s">
        <v>39</v>
      </c>
      <c r="E687" s="52" t="s">
        <v>582</v>
      </c>
      <c r="F687" s="52" t="s">
        <v>581</v>
      </c>
      <c r="G687" s="195" t="s">
        <v>277</v>
      </c>
      <c r="H687" s="195">
        <v>1155</v>
      </c>
      <c r="I687" s="195">
        <v>79.643879999999996</v>
      </c>
      <c r="J687" s="195">
        <v>9.4755559999999992</v>
      </c>
      <c r="K687" s="195">
        <v>2.8110590000000002</v>
      </c>
      <c r="L687" s="195"/>
      <c r="M687" s="195">
        <v>2.077394</v>
      </c>
      <c r="N687" s="195">
        <v>6.0452180000000002</v>
      </c>
    </row>
    <row r="688" spans="1:14" hidden="1" x14ac:dyDescent="0.35">
      <c r="A688" s="52" t="s">
        <v>579</v>
      </c>
      <c r="B688" s="52" t="s">
        <v>37</v>
      </c>
      <c r="C688" s="52" t="s">
        <v>35</v>
      </c>
      <c r="D688" s="52" t="s">
        <v>39</v>
      </c>
      <c r="E688" s="52" t="s">
        <v>582</v>
      </c>
      <c r="F688" s="52" t="s">
        <v>581</v>
      </c>
      <c r="G688" s="195" t="s">
        <v>278</v>
      </c>
      <c r="H688" s="195">
        <v>0</v>
      </c>
      <c r="I688" s="195">
        <v>51.005589999999998</v>
      </c>
      <c r="J688" s="195">
        <v>21.18459</v>
      </c>
      <c r="K688" s="195">
        <v>13.11162</v>
      </c>
      <c r="L688" s="195"/>
      <c r="M688" s="195">
        <v>9.8703070000000004</v>
      </c>
      <c r="N688" s="195">
        <v>8.4428959999999993</v>
      </c>
    </row>
    <row r="689" spans="1:14" hidden="1" x14ac:dyDescent="0.35">
      <c r="A689" s="52" t="s">
        <v>579</v>
      </c>
      <c r="B689" s="52" t="s">
        <v>37</v>
      </c>
      <c r="C689" s="52" t="s">
        <v>35</v>
      </c>
      <c r="D689" s="52" t="s">
        <v>39</v>
      </c>
      <c r="E689" s="52" t="s">
        <v>582</v>
      </c>
      <c r="F689" s="52" t="s">
        <v>581</v>
      </c>
      <c r="G689" s="195" t="s">
        <v>279</v>
      </c>
      <c r="H689" s="195">
        <v>757.5607</v>
      </c>
      <c r="I689" s="195">
        <v>592.07280000000003</v>
      </c>
      <c r="J689" s="195">
        <v>446.05790000000002</v>
      </c>
      <c r="K689" s="195">
        <v>359.11320000000001</v>
      </c>
      <c r="L689" s="195">
        <v>330.29899999999998</v>
      </c>
      <c r="M689" s="195">
        <v>286.483</v>
      </c>
      <c r="N689" s="195">
        <v>260.85019999999997</v>
      </c>
    </row>
    <row r="690" spans="1:14" hidden="1" x14ac:dyDescent="0.35">
      <c r="A690" s="52" t="s">
        <v>579</v>
      </c>
      <c r="B690" s="52" t="s">
        <v>37</v>
      </c>
      <c r="C690" s="52" t="s">
        <v>35</v>
      </c>
      <c r="D690" s="52" t="s">
        <v>39</v>
      </c>
      <c r="E690" s="52" t="s">
        <v>582</v>
      </c>
      <c r="F690" s="52" t="s">
        <v>26</v>
      </c>
      <c r="G690" s="195" t="s">
        <v>275</v>
      </c>
      <c r="H690" s="195">
        <v>-3.1984140000000001</v>
      </c>
      <c r="I690" s="195">
        <v>-18.358750000000001</v>
      </c>
      <c r="J690" s="195">
        <v>-9.7960329999999995</v>
      </c>
      <c r="K690" s="195">
        <v>-10.714829999999999</v>
      </c>
      <c r="L690" s="195">
        <v>-16.411629999999999</v>
      </c>
      <c r="M690" s="195">
        <v>-13.87635</v>
      </c>
      <c r="N690" s="195">
        <v>-12.431330000000001</v>
      </c>
    </row>
    <row r="691" spans="1:14" hidden="1" x14ac:dyDescent="0.35">
      <c r="A691" s="52" t="s">
        <v>579</v>
      </c>
      <c r="B691" s="52" t="s">
        <v>37</v>
      </c>
      <c r="C691" s="52" t="s">
        <v>35</v>
      </c>
      <c r="D691" s="52" t="s">
        <v>39</v>
      </c>
      <c r="E691" s="52" t="s">
        <v>582</v>
      </c>
      <c r="F691" s="52" t="s">
        <v>26</v>
      </c>
      <c r="G691" s="195" t="s">
        <v>276</v>
      </c>
      <c r="H691" s="195">
        <v>-0.85021999999999998</v>
      </c>
      <c r="I691" s="195">
        <v>-4.8801829999999997</v>
      </c>
      <c r="J691" s="195">
        <v>-2.6040009999999998</v>
      </c>
      <c r="K691" s="195">
        <v>-2.8482409999999998</v>
      </c>
      <c r="L691" s="195">
        <v>-4.3625809999999996</v>
      </c>
      <c r="M691" s="195">
        <v>-3.6886399999999999</v>
      </c>
      <c r="N691" s="195">
        <v>-3.304538</v>
      </c>
    </row>
    <row r="692" spans="1:14" hidden="1" x14ac:dyDescent="0.35">
      <c r="A692" s="52" t="s">
        <v>579</v>
      </c>
      <c r="B692" s="52" t="s">
        <v>37</v>
      </c>
      <c r="C692" s="52" t="s">
        <v>35</v>
      </c>
      <c r="D692" s="52" t="s">
        <v>39</v>
      </c>
      <c r="E692" s="52" t="s">
        <v>582</v>
      </c>
      <c r="F692" s="52" t="s">
        <v>26</v>
      </c>
      <c r="G692" s="195" t="s">
        <v>279</v>
      </c>
      <c r="H692" s="195">
        <v>191.3039</v>
      </c>
      <c r="I692" s="195">
        <v>169.49270000000001</v>
      </c>
      <c r="J692" s="195">
        <v>129.80199999999999</v>
      </c>
      <c r="K692" s="195">
        <v>105.36839999999999</v>
      </c>
      <c r="L692" s="195">
        <v>96.303629999999998</v>
      </c>
      <c r="M692" s="195">
        <v>83.549599999999998</v>
      </c>
      <c r="N692" s="195">
        <v>76.027360000000002</v>
      </c>
    </row>
    <row r="693" spans="1:14" hidden="1" x14ac:dyDescent="0.35">
      <c r="A693" s="52" t="s">
        <v>579</v>
      </c>
      <c r="B693" s="52" t="s">
        <v>37</v>
      </c>
      <c r="C693" s="52" t="s">
        <v>35</v>
      </c>
      <c r="D693" s="52" t="s">
        <v>39</v>
      </c>
      <c r="E693" s="52" t="s">
        <v>585</v>
      </c>
      <c r="F693" s="52" t="s">
        <v>581</v>
      </c>
      <c r="G693" s="195" t="s">
        <v>275</v>
      </c>
      <c r="H693" s="195">
        <v>5.713012</v>
      </c>
      <c r="I693" s="195">
        <v>1.28257</v>
      </c>
      <c r="J693" s="195">
        <v>0.75828459999999998</v>
      </c>
      <c r="K693" s="195">
        <v>0.69545040000000002</v>
      </c>
      <c r="L693" s="195">
        <v>0.53292539999999999</v>
      </c>
      <c r="M693" s="195">
        <v>0.47712919999999998</v>
      </c>
      <c r="N693" s="195">
        <v>0.41793340000000001</v>
      </c>
    </row>
    <row r="694" spans="1:14" hidden="1" x14ac:dyDescent="0.35">
      <c r="A694" s="52" t="s">
        <v>579</v>
      </c>
      <c r="B694" s="52" t="s">
        <v>37</v>
      </c>
      <c r="C694" s="52" t="s">
        <v>35</v>
      </c>
      <c r="D694" s="52" t="s">
        <v>39</v>
      </c>
      <c r="E694" s="52" t="s">
        <v>585</v>
      </c>
      <c r="F694" s="52" t="s">
        <v>581</v>
      </c>
      <c r="G694" s="195" t="s">
        <v>276</v>
      </c>
      <c r="H694" s="195">
        <v>1.1918340000000001</v>
      </c>
      <c r="I694" s="195">
        <v>0.11180619999999999</v>
      </c>
      <c r="J694" s="195">
        <v>0.20156959999999999</v>
      </c>
      <c r="K694" s="195">
        <v>0.184867</v>
      </c>
      <c r="L694" s="195">
        <v>0.14166339999999999</v>
      </c>
      <c r="M694" s="195">
        <v>0.12683240000000001</v>
      </c>
      <c r="N694" s="195">
        <v>0.1110966</v>
      </c>
    </row>
    <row r="695" spans="1:14" hidden="1" x14ac:dyDescent="0.35">
      <c r="A695" s="52" t="s">
        <v>579</v>
      </c>
      <c r="B695" s="52" t="s">
        <v>37</v>
      </c>
      <c r="C695" s="52" t="s">
        <v>35</v>
      </c>
      <c r="D695" s="52" t="s">
        <v>39</v>
      </c>
      <c r="E695" s="52" t="s">
        <v>585</v>
      </c>
      <c r="F695" s="52" t="s">
        <v>581</v>
      </c>
      <c r="G695" s="195" t="s">
        <v>279</v>
      </c>
      <c r="H695" s="195">
        <v>2.4591180000000001</v>
      </c>
      <c r="I695" s="195">
        <v>1.592957</v>
      </c>
      <c r="J695" s="195">
        <v>1.360692</v>
      </c>
      <c r="K695" s="195">
        <v>1.319636</v>
      </c>
      <c r="L695" s="195">
        <v>1.3329869999999999</v>
      </c>
      <c r="M695" s="195">
        <v>1.1965479999999999</v>
      </c>
      <c r="N695" s="195">
        <v>1.087523</v>
      </c>
    </row>
    <row r="696" spans="1:14" hidden="1" x14ac:dyDescent="0.35">
      <c r="A696" s="52" t="s">
        <v>579</v>
      </c>
      <c r="B696" s="52" t="s">
        <v>37</v>
      </c>
      <c r="C696" s="52" t="s">
        <v>35</v>
      </c>
      <c r="D696" s="52" t="s">
        <v>39</v>
      </c>
      <c r="E696" s="52" t="s">
        <v>585</v>
      </c>
      <c r="F696" s="52" t="s">
        <v>26</v>
      </c>
      <c r="G696" s="195" t="s">
        <v>275</v>
      </c>
      <c r="H696" s="195">
        <v>8.1870999999999999E-2</v>
      </c>
      <c r="I696" s="195">
        <v>9.3554009999999993E-3</v>
      </c>
      <c r="J696" s="195">
        <v>1.95362E-2</v>
      </c>
      <c r="K696" s="195">
        <v>6.8193999999999998E-3</v>
      </c>
      <c r="L696" s="195">
        <v>-2.3782999999999999E-2</v>
      </c>
      <c r="M696" s="195">
        <v>-2.1984400000000001E-2</v>
      </c>
      <c r="N696" s="195">
        <v>-2.20926E-2</v>
      </c>
    </row>
    <row r="697" spans="1:14" hidden="1" x14ac:dyDescent="0.35">
      <c r="A697" s="52" t="s">
        <v>579</v>
      </c>
      <c r="B697" s="52" t="s">
        <v>37</v>
      </c>
      <c r="C697" s="52" t="s">
        <v>35</v>
      </c>
      <c r="D697" s="52" t="s">
        <v>39</v>
      </c>
      <c r="E697" s="52" t="s">
        <v>585</v>
      </c>
      <c r="F697" s="52" t="s">
        <v>26</v>
      </c>
      <c r="G697" s="195" t="s">
        <v>276</v>
      </c>
      <c r="H697" s="195">
        <v>2.1763999999999999E-2</v>
      </c>
      <c r="I697" s="195">
        <v>2.4870000000000001E-3</v>
      </c>
      <c r="J697" s="195">
        <v>5.1932000000000002E-3</v>
      </c>
      <c r="K697" s="195">
        <v>1.8124E-3</v>
      </c>
      <c r="L697" s="195">
        <v>-6.3222E-3</v>
      </c>
      <c r="M697" s="195">
        <v>-5.8441999999999999E-3</v>
      </c>
      <c r="N697" s="195">
        <v>-5.8729999999999997E-3</v>
      </c>
    </row>
    <row r="698" spans="1:14" hidden="1" x14ac:dyDescent="0.35">
      <c r="A698" s="52" t="s">
        <v>579</v>
      </c>
      <c r="B698" s="52" t="s">
        <v>37</v>
      </c>
      <c r="C698" s="52" t="s">
        <v>35</v>
      </c>
      <c r="D698" s="52" t="s">
        <v>39</v>
      </c>
      <c r="E698" s="52" t="s">
        <v>585</v>
      </c>
      <c r="F698" s="52" t="s">
        <v>26</v>
      </c>
      <c r="G698" s="195" t="s">
        <v>279</v>
      </c>
      <c r="H698" s="195">
        <v>0.61721000000000004</v>
      </c>
      <c r="I698" s="195">
        <v>0.48463879999999998</v>
      </c>
      <c r="J698" s="195">
        <v>0.42452820000000002</v>
      </c>
      <c r="K698" s="195">
        <v>0.41655799999999998</v>
      </c>
      <c r="L698" s="195">
        <v>0.41724339999999999</v>
      </c>
      <c r="M698" s="195">
        <v>0.37407620000000003</v>
      </c>
      <c r="N698" s="195">
        <v>0.33890140000000002</v>
      </c>
    </row>
    <row r="699" spans="1:14" hidden="1" x14ac:dyDescent="0.35">
      <c r="A699" s="52" t="s">
        <v>579</v>
      </c>
      <c r="B699" s="52" t="s">
        <v>37</v>
      </c>
      <c r="C699" s="52" t="s">
        <v>35</v>
      </c>
      <c r="D699" s="52" t="s">
        <v>38</v>
      </c>
      <c r="E699" s="52" t="s">
        <v>584</v>
      </c>
      <c r="F699" s="52" t="s">
        <v>581</v>
      </c>
      <c r="G699" s="195" t="s">
        <v>275</v>
      </c>
      <c r="H699" s="195">
        <v>233.00360000000001</v>
      </c>
      <c r="I699" s="195">
        <v>-206.42320000000001</v>
      </c>
      <c r="J699" s="195">
        <v>-175.75890000000001</v>
      </c>
      <c r="K699" s="195">
        <v>-164.8467</v>
      </c>
      <c r="L699" s="195">
        <v>-161.79429999999999</v>
      </c>
      <c r="M699" s="195">
        <v>-146.3262</v>
      </c>
      <c r="N699" s="195">
        <v>-1077.2139999999999</v>
      </c>
    </row>
    <row r="700" spans="1:14" hidden="1" x14ac:dyDescent="0.35">
      <c r="A700" s="52" t="s">
        <v>579</v>
      </c>
      <c r="B700" s="52" t="s">
        <v>37</v>
      </c>
      <c r="C700" s="52" t="s">
        <v>35</v>
      </c>
      <c r="D700" s="52" t="s">
        <v>38</v>
      </c>
      <c r="E700" s="52" t="s">
        <v>584</v>
      </c>
      <c r="F700" s="52" t="s">
        <v>581</v>
      </c>
      <c r="G700" s="195" t="s">
        <v>276</v>
      </c>
      <c r="H700" s="195">
        <v>60.689399999999999</v>
      </c>
      <c r="I700" s="195">
        <v>-113.05929999999999</v>
      </c>
      <c r="J700" s="195">
        <v>-105.9543</v>
      </c>
      <c r="K700" s="195">
        <v>-103.1806</v>
      </c>
      <c r="L700" s="195">
        <v>-91.759789999999995</v>
      </c>
      <c r="M700" s="195">
        <v>-59.115189999999998</v>
      </c>
      <c r="N700" s="195">
        <v>-297.94569999999999</v>
      </c>
    </row>
    <row r="701" spans="1:14" hidden="1" x14ac:dyDescent="0.35">
      <c r="A701" s="52" t="s">
        <v>579</v>
      </c>
      <c r="B701" s="52" t="s">
        <v>37</v>
      </c>
      <c r="C701" s="52" t="s">
        <v>35</v>
      </c>
      <c r="D701" s="52" t="s">
        <v>38</v>
      </c>
      <c r="E701" s="52" t="s">
        <v>584</v>
      </c>
      <c r="F701" s="52" t="s">
        <v>581</v>
      </c>
      <c r="G701" s="195" t="s">
        <v>277</v>
      </c>
      <c r="H701" s="195">
        <v>446.70859999999999</v>
      </c>
      <c r="I701" s="195">
        <v>170.4905</v>
      </c>
      <c r="J701" s="195">
        <v>109.2769</v>
      </c>
      <c r="K701" s="195">
        <v>74.537850000000006</v>
      </c>
      <c r="L701" s="195">
        <v>53.682810000000003</v>
      </c>
      <c r="M701" s="195">
        <v>28.866849999999999</v>
      </c>
      <c r="N701" s="195">
        <v>25.316690000000001</v>
      </c>
    </row>
    <row r="702" spans="1:14" hidden="1" x14ac:dyDescent="0.35">
      <c r="A702" s="52" t="s">
        <v>579</v>
      </c>
      <c r="B702" s="52" t="s">
        <v>37</v>
      </c>
      <c r="C702" s="52" t="s">
        <v>35</v>
      </c>
      <c r="D702" s="52" t="s">
        <v>38</v>
      </c>
      <c r="E702" s="52" t="s">
        <v>584</v>
      </c>
      <c r="F702" s="52" t="s">
        <v>581</v>
      </c>
      <c r="G702" s="195" t="s">
        <v>279</v>
      </c>
      <c r="H702" s="195">
        <v>973.16290000000004</v>
      </c>
      <c r="I702" s="195">
        <v>654.87969999999996</v>
      </c>
      <c r="J702" s="195">
        <v>539.29470000000003</v>
      </c>
      <c r="K702" s="195">
        <v>500.8723</v>
      </c>
      <c r="L702" s="195">
        <v>454.73950000000002</v>
      </c>
      <c r="M702" s="195">
        <v>383.95420000000001</v>
      </c>
      <c r="N702" s="195">
        <v>1397.5350000000001</v>
      </c>
    </row>
    <row r="703" spans="1:14" hidden="1" x14ac:dyDescent="0.35">
      <c r="A703" s="52" t="s">
        <v>579</v>
      </c>
      <c r="B703" s="52" t="s">
        <v>37</v>
      </c>
      <c r="C703" s="52" t="s">
        <v>35</v>
      </c>
      <c r="D703" s="52" t="s">
        <v>38</v>
      </c>
      <c r="E703" s="52" t="s">
        <v>584</v>
      </c>
      <c r="F703" s="52" t="s">
        <v>26</v>
      </c>
      <c r="G703" s="195" t="s">
        <v>275</v>
      </c>
      <c r="H703" s="195">
        <v>-49.423430000000003</v>
      </c>
      <c r="I703" s="195">
        <v>-50.048299999999998</v>
      </c>
      <c r="J703" s="195">
        <v>-48.583759999999998</v>
      </c>
      <c r="K703" s="195">
        <v>-49.524990000000003</v>
      </c>
      <c r="L703" s="195">
        <v>-49.424909999999997</v>
      </c>
      <c r="M703" s="195">
        <v>-46.997050000000002</v>
      </c>
      <c r="N703" s="195">
        <v>-103.79259999999999</v>
      </c>
    </row>
    <row r="704" spans="1:14" hidden="1" x14ac:dyDescent="0.35">
      <c r="A704" s="52" t="s">
        <v>579</v>
      </c>
      <c r="B704" s="52" t="s">
        <v>37</v>
      </c>
      <c r="C704" s="52" t="s">
        <v>35</v>
      </c>
      <c r="D704" s="52" t="s">
        <v>38</v>
      </c>
      <c r="E704" s="52" t="s">
        <v>584</v>
      </c>
      <c r="F704" s="52" t="s">
        <v>26</v>
      </c>
      <c r="G704" s="195" t="s">
        <v>276</v>
      </c>
      <c r="H704" s="195">
        <v>-15.398619999999999</v>
      </c>
      <c r="I704" s="195">
        <v>-14.749549999999999</v>
      </c>
      <c r="J704" s="195">
        <v>-13.93355</v>
      </c>
      <c r="K704" s="195">
        <v>-13.88181</v>
      </c>
      <c r="L704" s="195">
        <v>-13.672790000000001</v>
      </c>
      <c r="M704" s="195">
        <v>-13.201560000000001</v>
      </c>
      <c r="N704" s="195">
        <v>-28.399539999999998</v>
      </c>
    </row>
    <row r="705" spans="1:14" hidden="1" x14ac:dyDescent="0.35">
      <c r="A705" s="52" t="s">
        <v>579</v>
      </c>
      <c r="B705" s="52" t="s">
        <v>37</v>
      </c>
      <c r="C705" s="52" t="s">
        <v>35</v>
      </c>
      <c r="D705" s="52" t="s">
        <v>38</v>
      </c>
      <c r="E705" s="52" t="s">
        <v>584</v>
      </c>
      <c r="F705" s="52" t="s">
        <v>26</v>
      </c>
      <c r="G705" s="195" t="s">
        <v>277</v>
      </c>
      <c r="H705" s="195">
        <v>50.300249999999998</v>
      </c>
      <c r="I705" s="195">
        <v>49.615749999999998</v>
      </c>
      <c r="J705" s="195">
        <v>48.976030000000002</v>
      </c>
      <c r="K705" s="195">
        <v>48.156239999999997</v>
      </c>
      <c r="L705" s="195">
        <v>47.05838</v>
      </c>
      <c r="M705" s="195">
        <v>45.456389999999999</v>
      </c>
      <c r="N705" s="195">
        <v>44.055630000000001</v>
      </c>
    </row>
    <row r="706" spans="1:14" hidden="1" x14ac:dyDescent="0.35">
      <c r="A706" s="52" t="s">
        <v>579</v>
      </c>
      <c r="B706" s="52" t="s">
        <v>37</v>
      </c>
      <c r="C706" s="52" t="s">
        <v>35</v>
      </c>
      <c r="D706" s="52" t="s">
        <v>38</v>
      </c>
      <c r="E706" s="52" t="s">
        <v>584</v>
      </c>
      <c r="F706" s="52" t="s">
        <v>26</v>
      </c>
      <c r="G706" s="195" t="s">
        <v>279</v>
      </c>
      <c r="H706" s="195">
        <v>44.113109999999999</v>
      </c>
      <c r="I706" s="195">
        <v>36.850859999999997</v>
      </c>
      <c r="J706" s="195">
        <v>34.524679999999996</v>
      </c>
      <c r="K706" s="195">
        <v>35.34939</v>
      </c>
      <c r="L706" s="195">
        <v>35.130000000000003</v>
      </c>
      <c r="M706" s="195">
        <v>32.623069999999998</v>
      </c>
      <c r="N706" s="195">
        <v>98.309420000000003</v>
      </c>
    </row>
    <row r="707" spans="1:14" hidden="1" x14ac:dyDescent="0.35">
      <c r="A707" s="52" t="s">
        <v>579</v>
      </c>
      <c r="B707" s="52" t="s">
        <v>37</v>
      </c>
      <c r="C707" s="52" t="s">
        <v>35</v>
      </c>
      <c r="D707" s="52" t="s">
        <v>38</v>
      </c>
      <c r="E707" s="52" t="s">
        <v>586</v>
      </c>
      <c r="F707" s="52" t="s">
        <v>581</v>
      </c>
      <c r="G707" s="195" t="s">
        <v>275</v>
      </c>
      <c r="H707" s="195">
        <v>5.453519</v>
      </c>
      <c r="I707" s="195">
        <v>3.508289</v>
      </c>
      <c r="J707" s="195">
        <v>1.921163</v>
      </c>
      <c r="K707" s="195">
        <v>0.62968429999999997</v>
      </c>
      <c r="L707" s="195">
        <v>-1.795587</v>
      </c>
      <c r="M707" s="195">
        <v>0.25474799999999997</v>
      </c>
      <c r="N707" s="195">
        <v>0.24280560000000001</v>
      </c>
    </row>
    <row r="708" spans="1:14" hidden="1" x14ac:dyDescent="0.35">
      <c r="A708" s="52" t="s">
        <v>579</v>
      </c>
      <c r="B708" s="52" t="s">
        <v>37</v>
      </c>
      <c r="C708" s="52" t="s">
        <v>35</v>
      </c>
      <c r="D708" s="52" t="s">
        <v>38</v>
      </c>
      <c r="E708" s="52" t="s">
        <v>586</v>
      </c>
      <c r="F708" s="52" t="s">
        <v>581</v>
      </c>
      <c r="G708" s="195" t="s">
        <v>276</v>
      </c>
      <c r="H708" s="195">
        <v>-1.087618</v>
      </c>
      <c r="I708" s="195">
        <v>-2.9405000000000001</v>
      </c>
      <c r="J708" s="195">
        <v>-1.5828279999999999</v>
      </c>
      <c r="K708" s="195">
        <v>-0.61263880000000004</v>
      </c>
      <c r="L708" s="195">
        <v>-4.9296E-2</v>
      </c>
      <c r="M708" s="195">
        <v>-2.98182E-2</v>
      </c>
      <c r="N708" s="195">
        <v>-1.3485E-2</v>
      </c>
    </row>
    <row r="709" spans="1:14" hidden="1" x14ac:dyDescent="0.35">
      <c r="A709" s="52" t="s">
        <v>579</v>
      </c>
      <c r="B709" s="52" t="s">
        <v>37</v>
      </c>
      <c r="C709" s="52" t="s">
        <v>35</v>
      </c>
      <c r="D709" s="52" t="s">
        <v>38</v>
      </c>
      <c r="E709" s="52" t="s">
        <v>586</v>
      </c>
      <c r="F709" s="52" t="s">
        <v>581</v>
      </c>
      <c r="G709" s="195" t="s">
        <v>277</v>
      </c>
      <c r="H709" s="195">
        <v>0</v>
      </c>
      <c r="I709" s="195"/>
      <c r="J709" s="195">
        <v>0</v>
      </c>
      <c r="K709" s="195">
        <v>0.28058539999999998</v>
      </c>
      <c r="L709" s="195">
        <v>2.068784</v>
      </c>
      <c r="M709" s="195">
        <v>0</v>
      </c>
      <c r="N709" s="195">
        <v>0</v>
      </c>
    </row>
    <row r="710" spans="1:14" hidden="1" x14ac:dyDescent="0.35">
      <c r="A710" s="52" t="s">
        <v>579</v>
      </c>
      <c r="B710" s="52" t="s">
        <v>37</v>
      </c>
      <c r="C710" s="52" t="s">
        <v>35</v>
      </c>
      <c r="D710" s="52" t="s">
        <v>38</v>
      </c>
      <c r="E710" s="52" t="s">
        <v>586</v>
      </c>
      <c r="F710" s="52" t="s">
        <v>581</v>
      </c>
      <c r="G710" s="195" t="s">
        <v>279</v>
      </c>
      <c r="H710" s="195">
        <v>2.0584310000000001</v>
      </c>
      <c r="I710" s="195">
        <v>1.242305</v>
      </c>
      <c r="J710" s="195">
        <v>1.0093369999999999</v>
      </c>
      <c r="K710" s="195">
        <v>0.94470240000000005</v>
      </c>
      <c r="L710" s="195">
        <v>1.2066840000000001</v>
      </c>
      <c r="M710" s="195">
        <v>0.98744200000000004</v>
      </c>
      <c r="N710" s="195">
        <v>0.79866440000000005</v>
      </c>
    </row>
    <row r="711" spans="1:14" hidden="1" x14ac:dyDescent="0.35">
      <c r="A711" s="52" t="s">
        <v>579</v>
      </c>
      <c r="B711" s="52" t="s">
        <v>37</v>
      </c>
      <c r="C711" s="52" t="s">
        <v>35</v>
      </c>
      <c r="D711" s="52" t="s">
        <v>38</v>
      </c>
      <c r="E711" s="52" t="s">
        <v>586</v>
      </c>
      <c r="F711" s="52" t="s">
        <v>26</v>
      </c>
      <c r="G711" s="195" t="s">
        <v>275</v>
      </c>
      <c r="H711" s="195">
        <v>-3.7789999999999998E-3</v>
      </c>
      <c r="I711" s="195">
        <v>-3.2088400000000003E-2</v>
      </c>
      <c r="J711" s="195">
        <v>-1.8657E-2</v>
      </c>
      <c r="K711" s="195">
        <v>-2.2436399999999999E-2</v>
      </c>
      <c r="L711" s="195">
        <v>-4.8097599999999997E-2</v>
      </c>
      <c r="M711" s="195">
        <v>-3.8800000000000001E-2</v>
      </c>
      <c r="N711" s="195">
        <v>-3.2234400000000003E-2</v>
      </c>
    </row>
    <row r="712" spans="1:14" hidden="1" x14ac:dyDescent="0.35">
      <c r="A712" s="52" t="s">
        <v>579</v>
      </c>
      <c r="B712" s="52" t="s">
        <v>37</v>
      </c>
      <c r="C712" s="52" t="s">
        <v>35</v>
      </c>
      <c r="D712" s="52" t="s">
        <v>38</v>
      </c>
      <c r="E712" s="52" t="s">
        <v>586</v>
      </c>
      <c r="F712" s="52" t="s">
        <v>26</v>
      </c>
      <c r="G712" s="195" t="s">
        <v>276</v>
      </c>
      <c r="H712" s="195">
        <v>-1.0039999999999999E-3</v>
      </c>
      <c r="I712" s="195">
        <v>-8.5296009999999995E-3</v>
      </c>
      <c r="J712" s="195">
        <v>-4.9588000000000002E-3</v>
      </c>
      <c r="K712" s="195">
        <v>-5.9636000000000003E-3</v>
      </c>
      <c r="L712" s="195">
        <v>-1.2784999999999999E-2</v>
      </c>
      <c r="M712" s="195">
        <v>-1.03134E-2</v>
      </c>
      <c r="N712" s="195">
        <v>-8.5690000000000002E-3</v>
      </c>
    </row>
    <row r="713" spans="1:14" hidden="1" x14ac:dyDescent="0.35">
      <c r="A713" s="52" t="s">
        <v>579</v>
      </c>
      <c r="B713" s="52" t="s">
        <v>37</v>
      </c>
      <c r="C713" s="52" t="s">
        <v>35</v>
      </c>
      <c r="D713" s="52" t="s">
        <v>38</v>
      </c>
      <c r="E713" s="52" t="s">
        <v>586</v>
      </c>
      <c r="F713" s="52" t="s">
        <v>26</v>
      </c>
      <c r="G713" s="195" t="s">
        <v>279</v>
      </c>
      <c r="H713" s="195">
        <v>0.13006300000000001</v>
      </c>
      <c r="I713" s="195">
        <v>0.29454000000000002</v>
      </c>
      <c r="J713" s="195">
        <v>0.2437928</v>
      </c>
      <c r="K713" s="195">
        <v>0.2305796</v>
      </c>
      <c r="L713" s="195">
        <v>0.2929794</v>
      </c>
      <c r="M713" s="195">
        <v>0.24539320000000001</v>
      </c>
      <c r="N713" s="195">
        <v>0.2073342</v>
      </c>
    </row>
    <row r="714" spans="1:14" hidden="1" x14ac:dyDescent="0.35">
      <c r="A714" s="52" t="s">
        <v>579</v>
      </c>
      <c r="B714" s="52" t="s">
        <v>37</v>
      </c>
      <c r="C714" s="52" t="s">
        <v>35</v>
      </c>
      <c r="D714" s="52" t="s">
        <v>190</v>
      </c>
      <c r="E714" s="52" t="s">
        <v>584</v>
      </c>
      <c r="F714" s="52" t="s">
        <v>581</v>
      </c>
      <c r="G714" s="195" t="s">
        <v>275</v>
      </c>
      <c r="H714" s="195">
        <v>464.28629999999998</v>
      </c>
      <c r="I714" s="195">
        <v>85.590549999999993</v>
      </c>
      <c r="J714" s="195">
        <v>45.477629999999998</v>
      </c>
      <c r="K714" s="195">
        <v>43.551650000000002</v>
      </c>
      <c r="L714" s="195">
        <v>30.079750000000001</v>
      </c>
      <c r="M714" s="195">
        <v>24.067519999999998</v>
      </c>
      <c r="N714" s="195">
        <v>21.538779999999999</v>
      </c>
    </row>
    <row r="715" spans="1:14" hidden="1" x14ac:dyDescent="0.35">
      <c r="A715" s="52" t="s">
        <v>579</v>
      </c>
      <c r="B715" s="52" t="s">
        <v>37</v>
      </c>
      <c r="C715" s="52" t="s">
        <v>35</v>
      </c>
      <c r="D715" s="52" t="s">
        <v>190</v>
      </c>
      <c r="E715" s="52" t="s">
        <v>584</v>
      </c>
      <c r="F715" s="52" t="s">
        <v>581</v>
      </c>
      <c r="G715" s="195" t="s">
        <v>276</v>
      </c>
      <c r="H715" s="195">
        <v>114.7762</v>
      </c>
      <c r="I715" s="195">
        <v>1.7332179999999999</v>
      </c>
      <c r="J715" s="195">
        <v>9.0674840000000003</v>
      </c>
      <c r="K715" s="195">
        <v>4.3098999999999998</v>
      </c>
      <c r="L715" s="195">
        <v>8.0118179999999997E-2</v>
      </c>
      <c r="M715" s="195">
        <v>5.8466849999999999</v>
      </c>
      <c r="N715" s="195">
        <v>5.0270820000000001</v>
      </c>
    </row>
    <row r="716" spans="1:14" hidden="1" x14ac:dyDescent="0.35">
      <c r="A716" s="52" t="s">
        <v>579</v>
      </c>
      <c r="B716" s="52" t="s">
        <v>37</v>
      </c>
      <c r="C716" s="52" t="s">
        <v>35</v>
      </c>
      <c r="D716" s="52" t="s">
        <v>190</v>
      </c>
      <c r="E716" s="52" t="s">
        <v>584</v>
      </c>
      <c r="F716" s="52" t="s">
        <v>581</v>
      </c>
      <c r="G716" s="195" t="s">
        <v>277</v>
      </c>
      <c r="H716" s="195">
        <v>72.853530000000006</v>
      </c>
      <c r="I716" s="195">
        <v>1.8062849999999999</v>
      </c>
      <c r="J716" s="195">
        <v>4.763725</v>
      </c>
      <c r="K716" s="195">
        <v>4.6556379999999997</v>
      </c>
      <c r="L716" s="195">
        <v>1.558055</v>
      </c>
      <c r="M716" s="195">
        <v>0</v>
      </c>
      <c r="N716" s="195">
        <v>0</v>
      </c>
    </row>
    <row r="717" spans="1:14" hidden="1" x14ac:dyDescent="0.35">
      <c r="A717" s="52" t="s">
        <v>579</v>
      </c>
      <c r="B717" s="52" t="s">
        <v>37</v>
      </c>
      <c r="C717" s="52" t="s">
        <v>35</v>
      </c>
      <c r="D717" s="52" t="s">
        <v>190</v>
      </c>
      <c r="E717" s="52" t="s">
        <v>584</v>
      </c>
      <c r="F717" s="52" t="s">
        <v>581</v>
      </c>
      <c r="G717" s="195" t="s">
        <v>279</v>
      </c>
      <c r="H717" s="195">
        <v>308.80810000000002</v>
      </c>
      <c r="I717" s="195">
        <v>183.29140000000001</v>
      </c>
      <c r="J717" s="195">
        <v>162.73599999999999</v>
      </c>
      <c r="K717" s="195">
        <v>154.8648</v>
      </c>
      <c r="L717" s="195">
        <v>158.3212</v>
      </c>
      <c r="M717" s="195">
        <v>141.28659999999999</v>
      </c>
      <c r="N717" s="195">
        <v>127.3151</v>
      </c>
    </row>
    <row r="718" spans="1:14" hidden="1" x14ac:dyDescent="0.35">
      <c r="A718" s="52" t="s">
        <v>579</v>
      </c>
      <c r="B718" s="52" t="s">
        <v>37</v>
      </c>
      <c r="C718" s="52" t="s">
        <v>35</v>
      </c>
      <c r="D718" s="52" t="s">
        <v>190</v>
      </c>
      <c r="E718" s="52" t="s">
        <v>584</v>
      </c>
      <c r="F718" s="52" t="s">
        <v>26</v>
      </c>
      <c r="G718" s="195" t="s">
        <v>275</v>
      </c>
      <c r="H718" s="195">
        <v>-0.33630300000000002</v>
      </c>
      <c r="I718" s="195">
        <v>-3.197479</v>
      </c>
      <c r="J718" s="195">
        <v>-2.0301719999999999</v>
      </c>
      <c r="K718" s="195">
        <v>-2.5016069999999999</v>
      </c>
      <c r="L718" s="195">
        <v>-4.3298379999999996</v>
      </c>
      <c r="M718" s="195">
        <v>-3.7383799999999998</v>
      </c>
      <c r="N718" s="195">
        <v>-3.3498519999999998</v>
      </c>
    </row>
    <row r="719" spans="1:14" hidden="1" x14ac:dyDescent="0.35">
      <c r="A719" s="52" t="s">
        <v>579</v>
      </c>
      <c r="B719" s="52" t="s">
        <v>37</v>
      </c>
      <c r="C719" s="52" t="s">
        <v>35</v>
      </c>
      <c r="D719" s="52" t="s">
        <v>190</v>
      </c>
      <c r="E719" s="52" t="s">
        <v>584</v>
      </c>
      <c r="F719" s="52" t="s">
        <v>26</v>
      </c>
      <c r="G719" s="195" t="s">
        <v>276</v>
      </c>
      <c r="H719" s="195">
        <v>-8.9400999999999994E-2</v>
      </c>
      <c r="I719" s="195">
        <v>-0.84997180000000006</v>
      </c>
      <c r="J719" s="195">
        <v>-0.53966499999999995</v>
      </c>
      <c r="K719" s="195">
        <v>-0.66498869999999999</v>
      </c>
      <c r="L719" s="195">
        <v>-1.150971</v>
      </c>
      <c r="M719" s="195">
        <v>-0.99374620000000002</v>
      </c>
      <c r="N719" s="195">
        <v>-0.89046570000000003</v>
      </c>
    </row>
    <row r="720" spans="1:14" hidden="1" x14ac:dyDescent="0.35">
      <c r="A720" s="52" t="s">
        <v>579</v>
      </c>
      <c r="B720" s="52" t="s">
        <v>37</v>
      </c>
      <c r="C720" s="52" t="s">
        <v>35</v>
      </c>
      <c r="D720" s="52" t="s">
        <v>190</v>
      </c>
      <c r="E720" s="52" t="s">
        <v>584</v>
      </c>
      <c r="F720" s="52" t="s">
        <v>26</v>
      </c>
      <c r="G720" s="195" t="s">
        <v>279</v>
      </c>
      <c r="H720" s="195">
        <v>11.575620000000001</v>
      </c>
      <c r="I720" s="195">
        <v>29.471419999999998</v>
      </c>
      <c r="J720" s="195">
        <v>26.901910000000001</v>
      </c>
      <c r="K720" s="195">
        <v>25.90334</v>
      </c>
      <c r="L720" s="195">
        <v>26.282299999999999</v>
      </c>
      <c r="M720" s="195">
        <v>23.4361</v>
      </c>
      <c r="N720" s="195">
        <v>21.06015</v>
      </c>
    </row>
    <row r="721" spans="1:14" hidden="1" x14ac:dyDescent="0.35">
      <c r="A721" s="52" t="s">
        <v>579</v>
      </c>
      <c r="B721" s="52" t="s">
        <v>37</v>
      </c>
      <c r="C721" s="52" t="s">
        <v>35</v>
      </c>
      <c r="D721" s="52" t="s">
        <v>163</v>
      </c>
      <c r="E721" s="52" t="s">
        <v>580</v>
      </c>
      <c r="F721" s="52" t="s">
        <v>581</v>
      </c>
      <c r="G721" s="195" t="s">
        <v>275</v>
      </c>
      <c r="H721" s="195">
        <v>35.207889999999999</v>
      </c>
      <c r="I721" s="195">
        <v>57.461799999999997</v>
      </c>
      <c r="J721" s="195">
        <v>66.718630000000005</v>
      </c>
      <c r="K721" s="195">
        <v>67.980360000000005</v>
      </c>
      <c r="L721" s="195">
        <v>56.514580000000002</v>
      </c>
      <c r="M721" s="195">
        <v>34.855159999999998</v>
      </c>
      <c r="N721" s="195">
        <v>21.33361</v>
      </c>
    </row>
    <row r="722" spans="1:14" hidden="1" x14ac:dyDescent="0.35">
      <c r="A722" s="52" t="s">
        <v>579</v>
      </c>
      <c r="B722" s="52" t="s">
        <v>37</v>
      </c>
      <c r="C722" s="52" t="s">
        <v>35</v>
      </c>
      <c r="D722" s="52" t="s">
        <v>163</v>
      </c>
      <c r="E722" s="52" t="s">
        <v>580</v>
      </c>
      <c r="F722" s="52" t="s">
        <v>581</v>
      </c>
      <c r="G722" s="195" t="s">
        <v>276</v>
      </c>
      <c r="H722" s="195">
        <v>54.46987</v>
      </c>
      <c r="I722" s="195">
        <v>-5.934812</v>
      </c>
      <c r="J722" s="195">
        <v>-22.45702</v>
      </c>
      <c r="K722" s="195">
        <v>-14.731669999999999</v>
      </c>
      <c r="L722" s="195">
        <v>-19.175730000000001</v>
      </c>
      <c r="M722" s="195">
        <v>5.215497</v>
      </c>
      <c r="N722" s="195">
        <v>5.7368959999999998</v>
      </c>
    </row>
    <row r="723" spans="1:14" hidden="1" x14ac:dyDescent="0.35">
      <c r="A723" s="52" t="s">
        <v>579</v>
      </c>
      <c r="B723" s="52" t="s">
        <v>37</v>
      </c>
      <c r="C723" s="52" t="s">
        <v>35</v>
      </c>
      <c r="D723" s="52" t="s">
        <v>163</v>
      </c>
      <c r="E723" s="52" t="s">
        <v>580</v>
      </c>
      <c r="F723" s="52" t="s">
        <v>581</v>
      </c>
      <c r="G723" s="195" t="s">
        <v>277</v>
      </c>
      <c r="H723" s="195">
        <v>317.3</v>
      </c>
      <c r="I723" s="195">
        <v>23.375900000000001</v>
      </c>
      <c r="J723" s="195">
        <v>3.5815830000000002</v>
      </c>
      <c r="K723" s="195">
        <v>2.3953540000000002</v>
      </c>
      <c r="L723" s="195">
        <v>1.6599619999999999</v>
      </c>
      <c r="M723" s="195">
        <v>1.306824</v>
      </c>
      <c r="N723" s="195">
        <v>8.2390439999999998</v>
      </c>
    </row>
    <row r="724" spans="1:14" hidden="1" x14ac:dyDescent="0.35">
      <c r="A724" s="52" t="s">
        <v>579</v>
      </c>
      <c r="B724" s="52" t="s">
        <v>37</v>
      </c>
      <c r="C724" s="52" t="s">
        <v>35</v>
      </c>
      <c r="D724" s="52" t="s">
        <v>163</v>
      </c>
      <c r="E724" s="52" t="s">
        <v>580</v>
      </c>
      <c r="F724" s="52" t="s">
        <v>581</v>
      </c>
      <c r="G724" s="195" t="s">
        <v>278</v>
      </c>
      <c r="H724" s="195">
        <v>0</v>
      </c>
      <c r="I724" s="195">
        <v>14.67658</v>
      </c>
      <c r="J724" s="195">
        <v>23.30095</v>
      </c>
      <c r="K724" s="195">
        <v>11.647650000000001</v>
      </c>
      <c r="L724" s="195">
        <v>11.963329999999999</v>
      </c>
      <c r="M724" s="195">
        <v>7.5448769999999996</v>
      </c>
      <c r="N724" s="195">
        <v>11.58248</v>
      </c>
    </row>
    <row r="725" spans="1:14" hidden="1" x14ac:dyDescent="0.35">
      <c r="A725" s="52" t="s">
        <v>579</v>
      </c>
      <c r="B725" s="52" t="s">
        <v>37</v>
      </c>
      <c r="C725" s="52" t="s">
        <v>35</v>
      </c>
      <c r="D725" s="52" t="s">
        <v>163</v>
      </c>
      <c r="E725" s="52" t="s">
        <v>580</v>
      </c>
      <c r="F725" s="52" t="s">
        <v>581</v>
      </c>
      <c r="G725" s="195" t="s">
        <v>279</v>
      </c>
      <c r="H725" s="195">
        <v>164.5949</v>
      </c>
      <c r="I725" s="195">
        <v>125.8617</v>
      </c>
      <c r="J725" s="195">
        <v>124.9563</v>
      </c>
      <c r="K725" s="195">
        <v>128.18459999999999</v>
      </c>
      <c r="L725" s="195">
        <v>128.86250000000001</v>
      </c>
      <c r="M725" s="195">
        <v>115.5705</v>
      </c>
      <c r="N725" s="195">
        <v>104.9272</v>
      </c>
    </row>
    <row r="726" spans="1:14" hidden="1" x14ac:dyDescent="0.35">
      <c r="A726" s="52" t="s">
        <v>579</v>
      </c>
      <c r="B726" s="52" t="s">
        <v>37</v>
      </c>
      <c r="C726" s="52" t="s">
        <v>35</v>
      </c>
      <c r="D726" s="52" t="s">
        <v>163</v>
      </c>
      <c r="E726" s="52" t="s">
        <v>580</v>
      </c>
      <c r="F726" s="52" t="s">
        <v>26</v>
      </c>
      <c r="G726" s="195" t="s">
        <v>275</v>
      </c>
      <c r="H726" s="195">
        <v>0.490199</v>
      </c>
      <c r="I726" s="195">
        <v>-1.3185500000000001</v>
      </c>
      <c r="J726" s="195">
        <v>-0.78261740000000002</v>
      </c>
      <c r="K726" s="195">
        <v>-1.465044</v>
      </c>
      <c r="L726" s="195">
        <v>-2.6884600000000001</v>
      </c>
      <c r="M726" s="195">
        <v>-2.3106599999999999</v>
      </c>
      <c r="N726" s="195">
        <v>-2.0334690000000002</v>
      </c>
    </row>
    <row r="727" spans="1:14" hidden="1" x14ac:dyDescent="0.35">
      <c r="A727" s="52" t="s">
        <v>579</v>
      </c>
      <c r="B727" s="52" t="s">
        <v>37</v>
      </c>
      <c r="C727" s="52" t="s">
        <v>35</v>
      </c>
      <c r="D727" s="52" t="s">
        <v>163</v>
      </c>
      <c r="E727" s="52" t="s">
        <v>580</v>
      </c>
      <c r="F727" s="52" t="s">
        <v>26</v>
      </c>
      <c r="G727" s="195" t="s">
        <v>276</v>
      </c>
      <c r="H727" s="195">
        <v>0.13031000000000001</v>
      </c>
      <c r="I727" s="195">
        <v>-0.35049780000000003</v>
      </c>
      <c r="J727" s="195">
        <v>-0.20804259999999999</v>
      </c>
      <c r="K727" s="195">
        <v>-0.38943919999999999</v>
      </c>
      <c r="L727" s="195">
        <v>-0.71465120000000004</v>
      </c>
      <c r="M727" s="195">
        <v>-0.61422379999999999</v>
      </c>
      <c r="N727" s="195">
        <v>-0.54054120000000005</v>
      </c>
    </row>
    <row r="728" spans="1:14" hidden="1" x14ac:dyDescent="0.35">
      <c r="A728" s="52" t="s">
        <v>579</v>
      </c>
      <c r="B728" s="52" t="s">
        <v>37</v>
      </c>
      <c r="C728" s="52" t="s">
        <v>35</v>
      </c>
      <c r="D728" s="52" t="s">
        <v>163</v>
      </c>
      <c r="E728" s="52" t="s">
        <v>580</v>
      </c>
      <c r="F728" s="52" t="s">
        <v>26</v>
      </c>
      <c r="G728" s="195" t="s">
        <v>279</v>
      </c>
      <c r="H728" s="195">
        <v>21.141010000000001</v>
      </c>
      <c r="I728" s="195">
        <v>19.300630000000002</v>
      </c>
      <c r="J728" s="195">
        <v>19.711310000000001</v>
      </c>
      <c r="K728" s="195">
        <v>20.43094</v>
      </c>
      <c r="L728" s="195">
        <v>20.38522</v>
      </c>
      <c r="M728" s="195">
        <v>18.29449</v>
      </c>
      <c r="N728" s="195">
        <v>16.58184</v>
      </c>
    </row>
    <row r="729" spans="1:14" hidden="1" x14ac:dyDescent="0.35">
      <c r="A729" s="52" t="s">
        <v>579</v>
      </c>
      <c r="B729" s="52" t="s">
        <v>37</v>
      </c>
      <c r="C729" s="52" t="s">
        <v>35</v>
      </c>
      <c r="D729" s="52" t="s">
        <v>36</v>
      </c>
      <c r="E729" s="52" t="s">
        <v>587</v>
      </c>
      <c r="F729" s="52" t="s">
        <v>581</v>
      </c>
      <c r="G729" s="195" t="s">
        <v>275</v>
      </c>
      <c r="H729" s="195">
        <v>135.5275</v>
      </c>
      <c r="I729" s="195">
        <v>26.479019999999998</v>
      </c>
      <c r="J729" s="195">
        <v>17.93028</v>
      </c>
      <c r="K729" s="195">
        <v>13.038489999999999</v>
      </c>
      <c r="L729" s="195">
        <v>7.8307229999999999</v>
      </c>
      <c r="M729" s="195">
        <v>5.3618269999999999</v>
      </c>
      <c r="N729" s="195">
        <v>4.6962669999999997</v>
      </c>
    </row>
    <row r="730" spans="1:14" hidden="1" x14ac:dyDescent="0.35">
      <c r="A730" s="52" t="s">
        <v>579</v>
      </c>
      <c r="B730" s="52" t="s">
        <v>37</v>
      </c>
      <c r="C730" s="52" t="s">
        <v>35</v>
      </c>
      <c r="D730" s="52" t="s">
        <v>36</v>
      </c>
      <c r="E730" s="52" t="s">
        <v>587</v>
      </c>
      <c r="F730" s="52" t="s">
        <v>581</v>
      </c>
      <c r="G730" s="195" t="s">
        <v>276</v>
      </c>
      <c r="H730" s="195">
        <v>20.082329999999999</v>
      </c>
      <c r="I730" s="195">
        <v>-3.988435</v>
      </c>
      <c r="J730" s="195">
        <v>-4.1928359999999998</v>
      </c>
      <c r="K730" s="195">
        <v>0.21774579999999999</v>
      </c>
      <c r="L730" s="195">
        <v>-1.2807249999999999</v>
      </c>
      <c r="M730" s="195">
        <v>1.0753710000000001</v>
      </c>
      <c r="N730" s="195">
        <v>1.0320119999999999</v>
      </c>
    </row>
    <row r="731" spans="1:14" hidden="1" x14ac:dyDescent="0.35">
      <c r="A731" s="52" t="s">
        <v>579</v>
      </c>
      <c r="B731" s="52" t="s">
        <v>37</v>
      </c>
      <c r="C731" s="52" t="s">
        <v>35</v>
      </c>
      <c r="D731" s="52" t="s">
        <v>36</v>
      </c>
      <c r="E731" s="52" t="s">
        <v>587</v>
      </c>
      <c r="F731" s="52" t="s">
        <v>581</v>
      </c>
      <c r="G731" s="195" t="s">
        <v>277</v>
      </c>
      <c r="H731" s="195">
        <v>31.972159999999999</v>
      </c>
      <c r="I731" s="195">
        <v>2.6760220000000001</v>
      </c>
      <c r="J731" s="195">
        <v>1.946113</v>
      </c>
      <c r="K731" s="195">
        <v>0.1641186</v>
      </c>
      <c r="L731" s="195">
        <v>0</v>
      </c>
      <c r="M731" s="195">
        <v>0</v>
      </c>
      <c r="N731" s="195">
        <v>0</v>
      </c>
    </row>
    <row r="732" spans="1:14" hidden="1" x14ac:dyDescent="0.35">
      <c r="A732" s="52" t="s">
        <v>579</v>
      </c>
      <c r="B732" s="52" t="s">
        <v>37</v>
      </c>
      <c r="C732" s="52" t="s">
        <v>35</v>
      </c>
      <c r="D732" s="52" t="s">
        <v>36</v>
      </c>
      <c r="E732" s="52" t="s">
        <v>587</v>
      </c>
      <c r="F732" s="52" t="s">
        <v>581</v>
      </c>
      <c r="G732" s="195" t="s">
        <v>279</v>
      </c>
      <c r="H732" s="195">
        <v>96.762150000000005</v>
      </c>
      <c r="I732" s="195">
        <v>63.86186</v>
      </c>
      <c r="J732" s="195">
        <v>55.875</v>
      </c>
      <c r="K732" s="195">
        <v>52.268349999999998</v>
      </c>
      <c r="L732" s="195">
        <v>52.57535</v>
      </c>
      <c r="M732" s="195">
        <v>47.035780000000003</v>
      </c>
      <c r="N732" s="195">
        <v>42.411969999999997</v>
      </c>
    </row>
    <row r="733" spans="1:14" hidden="1" x14ac:dyDescent="0.35">
      <c r="A733" s="52" t="s">
        <v>579</v>
      </c>
      <c r="B733" s="52" t="s">
        <v>37</v>
      </c>
      <c r="C733" s="52" t="s">
        <v>35</v>
      </c>
      <c r="D733" s="52" t="s">
        <v>36</v>
      </c>
      <c r="E733" s="52" t="s">
        <v>587</v>
      </c>
      <c r="F733" s="52" t="s">
        <v>26</v>
      </c>
      <c r="G733" s="195" t="s">
        <v>275</v>
      </c>
      <c r="H733" s="195">
        <v>-0.407028</v>
      </c>
      <c r="I733" s="195">
        <v>-1.9520010000000001</v>
      </c>
      <c r="J733" s="195">
        <v>-1.3796539999999999</v>
      </c>
      <c r="K733" s="195">
        <v>-1.5280100000000001</v>
      </c>
      <c r="L733" s="195">
        <v>-2.2396370000000001</v>
      </c>
      <c r="M733" s="195">
        <v>-1.9544459999999999</v>
      </c>
      <c r="N733" s="195">
        <v>-1.7552890000000001</v>
      </c>
    </row>
    <row r="734" spans="1:14" hidden="1" x14ac:dyDescent="0.35">
      <c r="A734" s="52" t="s">
        <v>579</v>
      </c>
      <c r="B734" s="52" t="s">
        <v>37</v>
      </c>
      <c r="C734" s="52" t="s">
        <v>35</v>
      </c>
      <c r="D734" s="52" t="s">
        <v>36</v>
      </c>
      <c r="E734" s="52" t="s">
        <v>587</v>
      </c>
      <c r="F734" s="52" t="s">
        <v>26</v>
      </c>
      <c r="G734" s="195" t="s">
        <v>276</v>
      </c>
      <c r="H734" s="195">
        <v>-0.10820299999999999</v>
      </c>
      <c r="I734" s="195">
        <v>-0.51888719999999999</v>
      </c>
      <c r="J734" s="195">
        <v>-0.36674479999999998</v>
      </c>
      <c r="K734" s="195">
        <v>-0.40617880000000001</v>
      </c>
      <c r="L734" s="195">
        <v>-0.59534690000000001</v>
      </c>
      <c r="M734" s="195">
        <v>-0.51953740000000004</v>
      </c>
      <c r="N734" s="195">
        <v>-0.4665938</v>
      </c>
    </row>
    <row r="735" spans="1:14" hidden="1" x14ac:dyDescent="0.35">
      <c r="A735" s="52" t="s">
        <v>579</v>
      </c>
      <c r="B735" s="52" t="s">
        <v>37</v>
      </c>
      <c r="C735" s="52" t="s">
        <v>35</v>
      </c>
      <c r="D735" s="52" t="s">
        <v>36</v>
      </c>
      <c r="E735" s="52" t="s">
        <v>587</v>
      </c>
      <c r="F735" s="52" t="s">
        <v>26</v>
      </c>
      <c r="G735" s="195" t="s">
        <v>279</v>
      </c>
      <c r="H735" s="195">
        <v>5.5926799999999997</v>
      </c>
      <c r="I735" s="195">
        <v>13.15274</v>
      </c>
      <c r="J735" s="195">
        <v>11.76313</v>
      </c>
      <c r="K735" s="195">
        <v>11.113670000000001</v>
      </c>
      <c r="L735" s="195">
        <v>11.078720000000001</v>
      </c>
      <c r="M735" s="195">
        <v>9.9089880000000008</v>
      </c>
      <c r="N735" s="195">
        <v>8.9167039999999993</v>
      </c>
    </row>
    <row r="736" spans="1:14" hidden="1" x14ac:dyDescent="0.35">
      <c r="A736" s="52" t="s">
        <v>579</v>
      </c>
      <c r="B736" s="52" t="s">
        <v>37</v>
      </c>
      <c r="C736" s="52" t="s">
        <v>35</v>
      </c>
      <c r="D736" s="52" t="s">
        <v>36</v>
      </c>
      <c r="E736" s="52" t="s">
        <v>588</v>
      </c>
      <c r="F736" s="52" t="s">
        <v>581</v>
      </c>
      <c r="G736" s="195" t="s">
        <v>275</v>
      </c>
      <c r="H736" s="195">
        <v>15.585850000000001</v>
      </c>
      <c r="I736" s="195">
        <v>14.431839999999999</v>
      </c>
      <c r="J736" s="195">
        <v>16.08783</v>
      </c>
      <c r="K736" s="195">
        <v>22.261340000000001</v>
      </c>
      <c r="L736" s="195">
        <v>15.39935</v>
      </c>
      <c r="M736" s="195">
        <v>5.0534730000000003</v>
      </c>
      <c r="N736" s="195">
        <v>3.734362</v>
      </c>
    </row>
    <row r="737" spans="1:14" hidden="1" x14ac:dyDescent="0.35">
      <c r="A737" s="52" t="s">
        <v>579</v>
      </c>
      <c r="B737" s="52" t="s">
        <v>37</v>
      </c>
      <c r="C737" s="52" t="s">
        <v>35</v>
      </c>
      <c r="D737" s="52" t="s">
        <v>36</v>
      </c>
      <c r="E737" s="52" t="s">
        <v>588</v>
      </c>
      <c r="F737" s="52" t="s">
        <v>581</v>
      </c>
      <c r="G737" s="195" t="s">
        <v>276</v>
      </c>
      <c r="H737" s="195">
        <v>-9.3898159999999997</v>
      </c>
      <c r="I737" s="195">
        <v>-4.5076169999999998</v>
      </c>
      <c r="J737" s="195">
        <v>-4.5709530000000003</v>
      </c>
      <c r="K737" s="195">
        <v>-12.28335</v>
      </c>
      <c r="L737" s="195">
        <v>-9.9850960000000004</v>
      </c>
      <c r="M737" s="195">
        <v>5.4407810000000001E-2</v>
      </c>
      <c r="N737" s="195">
        <v>0.86274799999999996</v>
      </c>
    </row>
    <row r="738" spans="1:14" hidden="1" x14ac:dyDescent="0.35">
      <c r="A738" s="52" t="s">
        <v>579</v>
      </c>
      <c r="B738" s="52" t="s">
        <v>37</v>
      </c>
      <c r="C738" s="52" t="s">
        <v>35</v>
      </c>
      <c r="D738" s="52" t="s">
        <v>36</v>
      </c>
      <c r="E738" s="52" t="s">
        <v>588</v>
      </c>
      <c r="F738" s="52" t="s">
        <v>581</v>
      </c>
      <c r="G738" s="195" t="s">
        <v>277</v>
      </c>
      <c r="H738" s="195">
        <v>126.0448</v>
      </c>
      <c r="I738" s="195">
        <v>11.539540000000001</v>
      </c>
      <c r="J738" s="195">
        <v>1.1933320000000001</v>
      </c>
      <c r="K738" s="195">
        <v>0</v>
      </c>
      <c r="L738" s="195"/>
      <c r="M738" s="195">
        <v>0</v>
      </c>
      <c r="N738" s="195">
        <v>0</v>
      </c>
    </row>
    <row r="739" spans="1:14" hidden="1" x14ac:dyDescent="0.35">
      <c r="A739" s="52" t="s">
        <v>579</v>
      </c>
      <c r="B739" s="52" t="s">
        <v>37</v>
      </c>
      <c r="C739" s="52" t="s">
        <v>35</v>
      </c>
      <c r="D739" s="52" t="s">
        <v>36</v>
      </c>
      <c r="E739" s="52" t="s">
        <v>588</v>
      </c>
      <c r="F739" s="52" t="s">
        <v>581</v>
      </c>
      <c r="G739" s="195" t="s">
        <v>279</v>
      </c>
      <c r="H739" s="195">
        <v>64.541370000000001</v>
      </c>
      <c r="I739" s="195">
        <v>47.195880000000002</v>
      </c>
      <c r="J739" s="195">
        <v>38.350200000000001</v>
      </c>
      <c r="K739" s="195">
        <v>33.525820000000003</v>
      </c>
      <c r="L739" s="195">
        <v>32.620820000000002</v>
      </c>
      <c r="M739" s="195">
        <v>28.881830000000001</v>
      </c>
      <c r="N739" s="195">
        <v>25.869679999999999</v>
      </c>
    </row>
    <row r="740" spans="1:14" hidden="1" x14ac:dyDescent="0.35">
      <c r="A740" s="52" t="s">
        <v>579</v>
      </c>
      <c r="B740" s="52" t="s">
        <v>37</v>
      </c>
      <c r="C740" s="52" t="s">
        <v>35</v>
      </c>
      <c r="D740" s="52" t="s">
        <v>36</v>
      </c>
      <c r="E740" s="52" t="s">
        <v>588</v>
      </c>
      <c r="F740" s="52" t="s">
        <v>26</v>
      </c>
      <c r="G740" s="195" t="s">
        <v>275</v>
      </c>
      <c r="H740" s="195">
        <v>-1.493239</v>
      </c>
      <c r="I740" s="195">
        <v>-2.5573839999999999</v>
      </c>
      <c r="J740" s="195">
        <v>-1.7909109999999999</v>
      </c>
      <c r="K740" s="195">
        <v>-1.858439</v>
      </c>
      <c r="L740" s="195">
        <v>-2.4724490000000001</v>
      </c>
      <c r="M740" s="195">
        <v>-2.1656409999999999</v>
      </c>
      <c r="N740" s="195">
        <v>-1.9370320000000001</v>
      </c>
    </row>
    <row r="741" spans="1:14" hidden="1" x14ac:dyDescent="0.35">
      <c r="A741" s="52" t="s">
        <v>579</v>
      </c>
      <c r="B741" s="52" t="s">
        <v>37</v>
      </c>
      <c r="C741" s="52" t="s">
        <v>35</v>
      </c>
      <c r="D741" s="52" t="s">
        <v>36</v>
      </c>
      <c r="E741" s="52" t="s">
        <v>588</v>
      </c>
      <c r="F741" s="52" t="s">
        <v>26</v>
      </c>
      <c r="G741" s="195" t="s">
        <v>276</v>
      </c>
      <c r="H741" s="195">
        <v>-0.39693499999999998</v>
      </c>
      <c r="I741" s="195">
        <v>-0.67981239999999998</v>
      </c>
      <c r="J741" s="195">
        <v>-0.47606300000000001</v>
      </c>
      <c r="K741" s="195">
        <v>-0.49401800000000001</v>
      </c>
      <c r="L741" s="195">
        <v>-0.65723220000000004</v>
      </c>
      <c r="M741" s="195">
        <v>-0.57567619999999997</v>
      </c>
      <c r="N741" s="195">
        <v>-0.51490820000000004</v>
      </c>
    </row>
    <row r="742" spans="1:14" hidden="1" x14ac:dyDescent="0.35">
      <c r="A742" s="52" t="s">
        <v>579</v>
      </c>
      <c r="B742" s="52" t="s">
        <v>37</v>
      </c>
      <c r="C742" s="52" t="s">
        <v>35</v>
      </c>
      <c r="D742" s="52" t="s">
        <v>36</v>
      </c>
      <c r="E742" s="52" t="s">
        <v>588</v>
      </c>
      <c r="F742" s="52" t="s">
        <v>26</v>
      </c>
      <c r="G742" s="195" t="s">
        <v>279</v>
      </c>
      <c r="H742" s="195">
        <v>18.27374</v>
      </c>
      <c r="I742" s="195">
        <v>15.588340000000001</v>
      </c>
      <c r="J742" s="195">
        <v>12.96503</v>
      </c>
      <c r="K742" s="195">
        <v>11.451879999999999</v>
      </c>
      <c r="L742" s="195">
        <v>11.06742</v>
      </c>
      <c r="M742" s="195">
        <v>9.8152150000000002</v>
      </c>
      <c r="N742" s="195">
        <v>8.7939150000000001</v>
      </c>
    </row>
    <row r="743" spans="1:14" hidden="1" x14ac:dyDescent="0.35">
      <c r="A743" s="52" t="s">
        <v>579</v>
      </c>
      <c r="B743" s="52" t="s">
        <v>37</v>
      </c>
      <c r="C743" s="52" t="s">
        <v>35</v>
      </c>
      <c r="D743" s="52" t="s">
        <v>36</v>
      </c>
      <c r="E743" s="52" t="s">
        <v>589</v>
      </c>
      <c r="F743" s="52" t="s">
        <v>581</v>
      </c>
      <c r="G743" s="195" t="s">
        <v>275</v>
      </c>
      <c r="H743" s="195">
        <v>0</v>
      </c>
      <c r="I743" s="195">
        <v>-6.7439640000000001</v>
      </c>
      <c r="J743" s="195">
        <v>-2.1360950000000001</v>
      </c>
      <c r="K743" s="195">
        <v>-0.52966559999999996</v>
      </c>
      <c r="L743" s="195">
        <v>1.1706259999999999</v>
      </c>
      <c r="M743" s="195">
        <v>3.610544</v>
      </c>
      <c r="N743" s="195">
        <v>2.7741280000000001</v>
      </c>
    </row>
    <row r="744" spans="1:14" hidden="1" x14ac:dyDescent="0.35">
      <c r="A744" s="52" t="s">
        <v>579</v>
      </c>
      <c r="B744" s="52" t="s">
        <v>37</v>
      </c>
      <c r="C744" s="52" t="s">
        <v>35</v>
      </c>
      <c r="D744" s="52" t="s">
        <v>36</v>
      </c>
      <c r="E744" s="52" t="s">
        <v>589</v>
      </c>
      <c r="F744" s="52" t="s">
        <v>581</v>
      </c>
      <c r="G744" s="195" t="s">
        <v>276</v>
      </c>
      <c r="H744" s="195">
        <v>0</v>
      </c>
      <c r="I744" s="195">
        <v>-0.28598980000000002</v>
      </c>
      <c r="J744" s="195">
        <v>0.21767239999999999</v>
      </c>
      <c r="K744" s="195">
        <v>0.31264160000000002</v>
      </c>
      <c r="L744" s="195">
        <v>0.35086200000000001</v>
      </c>
      <c r="M744" s="195">
        <v>-0.214448</v>
      </c>
      <c r="N744" s="195">
        <v>-2.99654E-2</v>
      </c>
    </row>
    <row r="745" spans="1:14" hidden="1" x14ac:dyDescent="0.35">
      <c r="A745" s="52" t="s">
        <v>579</v>
      </c>
      <c r="B745" s="52" t="s">
        <v>37</v>
      </c>
      <c r="C745" s="52" t="s">
        <v>35</v>
      </c>
      <c r="D745" s="52" t="s">
        <v>36</v>
      </c>
      <c r="E745" s="52" t="s">
        <v>589</v>
      </c>
      <c r="F745" s="52" t="s">
        <v>581</v>
      </c>
      <c r="G745" s="195" t="s">
        <v>277</v>
      </c>
      <c r="H745" s="195">
        <v>0</v>
      </c>
      <c r="I745" s="195">
        <v>3.5429560000000002</v>
      </c>
      <c r="J745" s="195">
        <v>2.2627809999999999</v>
      </c>
      <c r="K745" s="195">
        <v>2.0523790000000002</v>
      </c>
      <c r="L745" s="195">
        <v>1.168256</v>
      </c>
      <c r="M745" s="195">
        <v>0</v>
      </c>
      <c r="N745" s="195">
        <v>0</v>
      </c>
    </row>
    <row r="746" spans="1:14" hidden="1" x14ac:dyDescent="0.35">
      <c r="A746" s="52" t="s">
        <v>579</v>
      </c>
      <c r="B746" s="52" t="s">
        <v>37</v>
      </c>
      <c r="C746" s="52" t="s">
        <v>35</v>
      </c>
      <c r="D746" s="52" t="s">
        <v>36</v>
      </c>
      <c r="E746" s="52" t="s">
        <v>589</v>
      </c>
      <c r="F746" s="52" t="s">
        <v>581</v>
      </c>
      <c r="G746" s="195" t="s">
        <v>278</v>
      </c>
      <c r="H746" s="195">
        <v>0</v>
      </c>
      <c r="I746" s="195">
        <v>3.5421680000000002</v>
      </c>
      <c r="J746" s="195">
        <v>2.847947</v>
      </c>
      <c r="K746" s="195">
        <v>2.23563</v>
      </c>
      <c r="L746" s="195">
        <v>1.6005609999999999</v>
      </c>
      <c r="M746" s="195">
        <v>0</v>
      </c>
      <c r="N746" s="195">
        <v>0</v>
      </c>
    </row>
    <row r="747" spans="1:14" hidden="1" x14ac:dyDescent="0.35">
      <c r="A747" s="52" t="s">
        <v>579</v>
      </c>
      <c r="B747" s="52" t="s">
        <v>37</v>
      </c>
      <c r="C747" s="52" t="s">
        <v>35</v>
      </c>
      <c r="D747" s="52" t="s">
        <v>36</v>
      </c>
      <c r="E747" s="52" t="s">
        <v>589</v>
      </c>
      <c r="F747" s="52" t="s">
        <v>581</v>
      </c>
      <c r="G747" s="195" t="s">
        <v>279</v>
      </c>
      <c r="H747" s="195">
        <v>0</v>
      </c>
      <c r="I747" s="195">
        <v>3.938593</v>
      </c>
      <c r="J747" s="195">
        <v>7.1141389999999998</v>
      </c>
      <c r="K747" s="195">
        <v>8.1057050000000004</v>
      </c>
      <c r="L747" s="195">
        <v>9.4035820000000001</v>
      </c>
      <c r="M747" s="195">
        <v>6.221597</v>
      </c>
      <c r="N747" s="195">
        <v>4.3154339999999998</v>
      </c>
    </row>
    <row r="748" spans="1:14" hidden="1" x14ac:dyDescent="0.35">
      <c r="A748" s="52" t="s">
        <v>579</v>
      </c>
      <c r="B748" s="52" t="s">
        <v>37</v>
      </c>
      <c r="C748" s="52" t="s">
        <v>35</v>
      </c>
      <c r="D748" s="52" t="s">
        <v>36</v>
      </c>
      <c r="E748" s="52" t="s">
        <v>589</v>
      </c>
      <c r="F748" s="52" t="s">
        <v>26</v>
      </c>
      <c r="G748" s="195" t="s">
        <v>275</v>
      </c>
      <c r="H748" s="195">
        <v>0</v>
      </c>
      <c r="I748" s="195">
        <v>-0.12866459999999999</v>
      </c>
      <c r="J748" s="195">
        <v>-6.8422200000000002E-2</v>
      </c>
      <c r="K748" s="195">
        <v>-7.6938800000000002E-2</v>
      </c>
      <c r="L748" s="195">
        <v>-0.13258800000000001</v>
      </c>
      <c r="M748" s="195">
        <v>-6.6544000000000006E-2</v>
      </c>
      <c r="N748" s="195">
        <v>-3.7852999999999998E-2</v>
      </c>
    </row>
    <row r="749" spans="1:14" hidden="1" x14ac:dyDescent="0.35">
      <c r="A749" s="52" t="s">
        <v>579</v>
      </c>
      <c r="B749" s="52" t="s">
        <v>37</v>
      </c>
      <c r="C749" s="52" t="s">
        <v>35</v>
      </c>
      <c r="D749" s="52" t="s">
        <v>36</v>
      </c>
      <c r="E749" s="52" t="s">
        <v>589</v>
      </c>
      <c r="F749" s="52" t="s">
        <v>26</v>
      </c>
      <c r="G749" s="195" t="s">
        <v>276</v>
      </c>
      <c r="H749" s="195">
        <v>0</v>
      </c>
      <c r="I749" s="195">
        <v>-3.42026E-2</v>
      </c>
      <c r="J749" s="195">
        <v>-1.8188800000000001E-2</v>
      </c>
      <c r="K749" s="195">
        <v>-2.0452399999999999E-2</v>
      </c>
      <c r="L749" s="195">
        <v>-3.5244600000000001E-2</v>
      </c>
      <c r="M749" s="195">
        <v>-1.76902E-2</v>
      </c>
      <c r="N749" s="195">
        <v>-1.00628E-2</v>
      </c>
    </row>
    <row r="750" spans="1:14" hidden="1" x14ac:dyDescent="0.35">
      <c r="A750" s="52" t="s">
        <v>579</v>
      </c>
      <c r="B750" s="52" t="s">
        <v>37</v>
      </c>
      <c r="C750" s="52" t="s">
        <v>35</v>
      </c>
      <c r="D750" s="52" t="s">
        <v>36</v>
      </c>
      <c r="E750" s="52" t="s">
        <v>589</v>
      </c>
      <c r="F750" s="52" t="s">
        <v>26</v>
      </c>
      <c r="G750" s="195" t="s">
        <v>279</v>
      </c>
      <c r="H750" s="195">
        <v>0</v>
      </c>
      <c r="I750" s="195">
        <v>0.43503779999999997</v>
      </c>
      <c r="J750" s="195">
        <v>0.88482000000000005</v>
      </c>
      <c r="K750" s="195">
        <v>1.0335799999999999</v>
      </c>
      <c r="L750" s="195">
        <v>1.2182170000000001</v>
      </c>
      <c r="M750" s="195">
        <v>0.8202026</v>
      </c>
      <c r="N750" s="195">
        <v>0.58782100000000004</v>
      </c>
    </row>
    <row r="751" spans="1:14" hidden="1" x14ac:dyDescent="0.35">
      <c r="A751" s="52" t="s">
        <v>579</v>
      </c>
      <c r="B751" s="52" t="s">
        <v>37</v>
      </c>
      <c r="C751" s="52" t="s">
        <v>35</v>
      </c>
      <c r="D751" s="52" t="s">
        <v>189</v>
      </c>
      <c r="E751" s="52" t="s">
        <v>590</v>
      </c>
      <c r="F751" s="52" t="s">
        <v>581</v>
      </c>
      <c r="G751" s="195" t="s">
        <v>275</v>
      </c>
      <c r="H751" s="195">
        <v>-115.0376</v>
      </c>
      <c r="I751" s="195">
        <v>53.471789999999999</v>
      </c>
      <c r="J751" s="195">
        <v>65.666399999999996</v>
      </c>
      <c r="K751" s="195">
        <v>48.518909999999998</v>
      </c>
      <c r="L751" s="195">
        <v>36.879910000000002</v>
      </c>
      <c r="M751" s="195">
        <v>9.20547</v>
      </c>
      <c r="N751" s="195">
        <v>3.8567800000000001</v>
      </c>
    </row>
    <row r="752" spans="1:14" hidden="1" x14ac:dyDescent="0.35">
      <c r="A752" s="52" t="s">
        <v>579</v>
      </c>
      <c r="B752" s="52" t="s">
        <v>37</v>
      </c>
      <c r="C752" s="52" t="s">
        <v>35</v>
      </c>
      <c r="D752" s="52" t="s">
        <v>189</v>
      </c>
      <c r="E752" s="52" t="s">
        <v>590</v>
      </c>
      <c r="F752" s="52" t="s">
        <v>581</v>
      </c>
      <c r="G752" s="195" t="s">
        <v>276</v>
      </c>
      <c r="H752" s="195">
        <v>-38.3553</v>
      </c>
      <c r="I752" s="195">
        <v>-50.707819999999998</v>
      </c>
      <c r="J752" s="195">
        <v>-56.455669999999998</v>
      </c>
      <c r="K752" s="195">
        <v>-36.765680000000003</v>
      </c>
      <c r="L752" s="195">
        <v>-28.881740000000001</v>
      </c>
      <c r="M752" s="195">
        <v>-0.25334909999999999</v>
      </c>
      <c r="N752" s="195">
        <v>0.97724120000000003</v>
      </c>
    </row>
    <row r="753" spans="1:14" hidden="1" x14ac:dyDescent="0.35">
      <c r="A753" s="52" t="s">
        <v>579</v>
      </c>
      <c r="B753" s="52" t="s">
        <v>37</v>
      </c>
      <c r="C753" s="52" t="s">
        <v>35</v>
      </c>
      <c r="D753" s="52" t="s">
        <v>189</v>
      </c>
      <c r="E753" s="52" t="s">
        <v>590</v>
      </c>
      <c r="F753" s="52" t="s">
        <v>581</v>
      </c>
      <c r="G753" s="195" t="s">
        <v>277</v>
      </c>
      <c r="H753" s="195">
        <v>350</v>
      </c>
      <c r="I753" s="195">
        <v>21.637070000000001</v>
      </c>
      <c r="J753" s="195">
        <v>7.9612270000000001</v>
      </c>
      <c r="K753" s="195">
        <v>4.147608</v>
      </c>
      <c r="L753" s="195">
        <v>1.8011079999999999</v>
      </c>
      <c r="M753" s="195">
        <v>1.3852910000000001</v>
      </c>
      <c r="N753" s="195">
        <v>2.0447489999999999</v>
      </c>
    </row>
    <row r="754" spans="1:14" hidden="1" x14ac:dyDescent="0.35">
      <c r="A754" s="52" t="s">
        <v>579</v>
      </c>
      <c r="B754" s="52" t="s">
        <v>37</v>
      </c>
      <c r="C754" s="52" t="s">
        <v>35</v>
      </c>
      <c r="D754" s="52" t="s">
        <v>189</v>
      </c>
      <c r="E754" s="52" t="s">
        <v>590</v>
      </c>
      <c r="F754" s="52" t="s">
        <v>581</v>
      </c>
      <c r="G754" s="195" t="s">
        <v>278</v>
      </c>
      <c r="H754" s="195">
        <v>0</v>
      </c>
      <c r="I754" s="195">
        <v>2.5608300000000002</v>
      </c>
      <c r="J754" s="195">
        <v>2.0919720000000002</v>
      </c>
      <c r="K754" s="195">
        <v>1.630878</v>
      </c>
      <c r="L754" s="195">
        <v>1.3475440000000001</v>
      </c>
      <c r="M754" s="195">
        <v>1.1469480000000001</v>
      </c>
      <c r="N754" s="195">
        <v>4.6267519999999998</v>
      </c>
    </row>
    <row r="755" spans="1:14" hidden="1" x14ac:dyDescent="0.35">
      <c r="A755" s="52" t="s">
        <v>579</v>
      </c>
      <c r="B755" s="52" t="s">
        <v>37</v>
      </c>
      <c r="C755" s="52" t="s">
        <v>35</v>
      </c>
      <c r="D755" s="52" t="s">
        <v>189</v>
      </c>
      <c r="E755" s="52" t="s">
        <v>590</v>
      </c>
      <c r="F755" s="52" t="s">
        <v>581</v>
      </c>
      <c r="G755" s="195" t="s">
        <v>279</v>
      </c>
      <c r="H755" s="195">
        <v>102.8242</v>
      </c>
      <c r="I755" s="195">
        <v>74.010639999999995</v>
      </c>
      <c r="J755" s="195">
        <v>63.452620000000003</v>
      </c>
      <c r="K755" s="195">
        <v>58.782820000000001</v>
      </c>
      <c r="L755" s="195">
        <v>60.34498</v>
      </c>
      <c r="M755" s="195">
        <v>52.10819</v>
      </c>
      <c r="N755" s="195">
        <v>46.10812</v>
      </c>
    </row>
    <row r="756" spans="1:14" hidden="1" x14ac:dyDescent="0.35">
      <c r="A756" s="52" t="s">
        <v>579</v>
      </c>
      <c r="B756" s="52" t="s">
        <v>37</v>
      </c>
      <c r="C756" s="52" t="s">
        <v>35</v>
      </c>
      <c r="D756" s="52" t="s">
        <v>189</v>
      </c>
      <c r="E756" s="52" t="s">
        <v>590</v>
      </c>
      <c r="F756" s="52" t="s">
        <v>26</v>
      </c>
      <c r="G756" s="195" t="s">
        <v>275</v>
      </c>
      <c r="H756" s="195">
        <v>-4.0247869999999999</v>
      </c>
      <c r="I756" s="195">
        <v>-5.7975580000000004</v>
      </c>
      <c r="J756" s="195">
        <v>-3.6385670000000001</v>
      </c>
      <c r="K756" s="195">
        <v>-3.6881840000000001</v>
      </c>
      <c r="L756" s="195">
        <v>-5.2260229999999996</v>
      </c>
      <c r="M756" s="195">
        <v>-4.3168030000000002</v>
      </c>
      <c r="N756" s="195">
        <v>-3.653959</v>
      </c>
    </row>
    <row r="757" spans="1:14" hidden="1" x14ac:dyDescent="0.35">
      <c r="A757" s="52" t="s">
        <v>579</v>
      </c>
      <c r="B757" s="52" t="s">
        <v>37</v>
      </c>
      <c r="C757" s="52" t="s">
        <v>35</v>
      </c>
      <c r="D757" s="52" t="s">
        <v>189</v>
      </c>
      <c r="E757" s="52" t="s">
        <v>590</v>
      </c>
      <c r="F757" s="52" t="s">
        <v>26</v>
      </c>
      <c r="G757" s="195" t="s">
        <v>276</v>
      </c>
      <c r="H757" s="195">
        <v>-1.0698780000000001</v>
      </c>
      <c r="I757" s="195">
        <v>-1.541121</v>
      </c>
      <c r="J757" s="195">
        <v>-0.96721009999999996</v>
      </c>
      <c r="K757" s="195">
        <v>-0.98040400000000005</v>
      </c>
      <c r="L757" s="195">
        <v>-1.3891990000000001</v>
      </c>
      <c r="M757" s="195">
        <v>-1.1475029999999999</v>
      </c>
      <c r="N757" s="195">
        <v>-0.97130550000000004</v>
      </c>
    </row>
    <row r="758" spans="1:14" hidden="1" x14ac:dyDescent="0.35">
      <c r="A758" s="52" t="s">
        <v>579</v>
      </c>
      <c r="B758" s="52" t="s">
        <v>37</v>
      </c>
      <c r="C758" s="52" t="s">
        <v>35</v>
      </c>
      <c r="D758" s="52" t="s">
        <v>189</v>
      </c>
      <c r="E758" s="52" t="s">
        <v>590</v>
      </c>
      <c r="F758" s="52" t="s">
        <v>26</v>
      </c>
      <c r="G758" s="195" t="s">
        <v>279</v>
      </c>
      <c r="H758" s="195">
        <v>38.017829999999996</v>
      </c>
      <c r="I758" s="195">
        <v>31.22437</v>
      </c>
      <c r="J758" s="195">
        <v>27.341249999999999</v>
      </c>
      <c r="K758" s="195">
        <v>25.56165</v>
      </c>
      <c r="L758" s="195">
        <v>26.09442</v>
      </c>
      <c r="M758" s="195">
        <v>22.59395</v>
      </c>
      <c r="N758" s="195">
        <v>19.98639</v>
      </c>
    </row>
    <row r="759" spans="1:14" hidden="1" x14ac:dyDescent="0.35">
      <c r="A759" s="52" t="s">
        <v>579</v>
      </c>
      <c r="B759" s="52" t="s">
        <v>37</v>
      </c>
      <c r="C759" s="52" t="s">
        <v>35</v>
      </c>
      <c r="D759" s="52" t="s">
        <v>189</v>
      </c>
      <c r="E759" s="52" t="s">
        <v>586</v>
      </c>
      <c r="F759" s="52" t="s">
        <v>581</v>
      </c>
      <c r="G759" s="195" t="s">
        <v>275</v>
      </c>
      <c r="H759" s="195">
        <v>0.39615600000000001</v>
      </c>
      <c r="I759" s="195">
        <v>4.4644200000000002E-2</v>
      </c>
      <c r="J759" s="195">
        <v>2.3694199999999999E-2</v>
      </c>
      <c r="K759" s="195">
        <v>-0.45452880000000001</v>
      </c>
      <c r="L759" s="195">
        <v>-0.35422140000000002</v>
      </c>
      <c r="M759" s="195">
        <v>4.6313199999999999E-2</v>
      </c>
      <c r="N759" s="195">
        <v>4.18252E-2</v>
      </c>
    </row>
    <row r="760" spans="1:14" hidden="1" x14ac:dyDescent="0.35">
      <c r="A760" s="52" t="s">
        <v>579</v>
      </c>
      <c r="B760" s="52" t="s">
        <v>37</v>
      </c>
      <c r="C760" s="52" t="s">
        <v>35</v>
      </c>
      <c r="D760" s="52" t="s">
        <v>189</v>
      </c>
      <c r="E760" s="52" t="s">
        <v>586</v>
      </c>
      <c r="F760" s="52" t="s">
        <v>581</v>
      </c>
      <c r="G760" s="195" t="s">
        <v>276</v>
      </c>
      <c r="H760" s="195">
        <v>0.105307</v>
      </c>
      <c r="I760" s="195">
        <v>1.18672E-2</v>
      </c>
      <c r="J760" s="195">
        <v>6.2985999999999997E-3</v>
      </c>
      <c r="K760" s="195">
        <v>-1.56244E-2</v>
      </c>
      <c r="L760" s="195">
        <v>-3.0809400000000001E-2</v>
      </c>
      <c r="M760" s="195">
        <v>-2.1399999999999999E-2</v>
      </c>
      <c r="N760" s="195">
        <v>-1.5850400000000001E-2</v>
      </c>
    </row>
    <row r="761" spans="1:14" hidden="1" x14ac:dyDescent="0.35">
      <c r="A761" s="52" t="s">
        <v>579</v>
      </c>
      <c r="B761" s="52" t="s">
        <v>37</v>
      </c>
      <c r="C761" s="52" t="s">
        <v>35</v>
      </c>
      <c r="D761" s="52" t="s">
        <v>189</v>
      </c>
      <c r="E761" s="52" t="s">
        <v>586</v>
      </c>
      <c r="F761" s="52" t="s">
        <v>581</v>
      </c>
      <c r="G761" s="195" t="s">
        <v>277</v>
      </c>
      <c r="H761" s="195"/>
      <c r="I761" s="195"/>
      <c r="J761" s="195">
        <v>0</v>
      </c>
      <c r="K761" s="195">
        <v>0.26255640000000002</v>
      </c>
      <c r="L761" s="195">
        <v>0.32596940000000002</v>
      </c>
      <c r="M761" s="195">
        <v>0</v>
      </c>
      <c r="N761" s="195">
        <v>0</v>
      </c>
    </row>
    <row r="762" spans="1:14" hidden="1" x14ac:dyDescent="0.35">
      <c r="A762" s="52" t="s">
        <v>579</v>
      </c>
      <c r="B762" s="52" t="s">
        <v>37</v>
      </c>
      <c r="C762" s="52" t="s">
        <v>35</v>
      </c>
      <c r="D762" s="52" t="s">
        <v>189</v>
      </c>
      <c r="E762" s="52" t="s">
        <v>586</v>
      </c>
      <c r="F762" s="52" t="s">
        <v>581</v>
      </c>
      <c r="G762" s="195" t="s">
        <v>278</v>
      </c>
      <c r="H762" s="195"/>
      <c r="I762" s="195"/>
      <c r="J762" s="195">
        <v>0</v>
      </c>
      <c r="K762" s="195">
        <v>0.2321348</v>
      </c>
      <c r="L762" s="195">
        <v>7.0866999999999999E-2</v>
      </c>
      <c r="M762" s="195">
        <v>0</v>
      </c>
      <c r="N762" s="195"/>
    </row>
    <row r="763" spans="1:14" hidden="1" x14ac:dyDescent="0.35">
      <c r="A763" s="52" t="s">
        <v>579</v>
      </c>
      <c r="B763" s="52" t="s">
        <v>37</v>
      </c>
      <c r="C763" s="52" t="s">
        <v>35</v>
      </c>
      <c r="D763" s="52" t="s">
        <v>189</v>
      </c>
      <c r="E763" s="52" t="s">
        <v>586</v>
      </c>
      <c r="F763" s="52" t="s">
        <v>581</v>
      </c>
      <c r="G763" s="195" t="s">
        <v>279</v>
      </c>
      <c r="H763" s="195">
        <v>0.28228599999999998</v>
      </c>
      <c r="I763" s="195">
        <v>0.19376180000000001</v>
      </c>
      <c r="J763" s="195">
        <v>0.16439380000000001</v>
      </c>
      <c r="K763" s="195">
        <v>0.22076200000000001</v>
      </c>
      <c r="L763" s="195">
        <v>0.26234459999999998</v>
      </c>
      <c r="M763" s="195">
        <v>0.20412079999999999</v>
      </c>
      <c r="N763" s="195">
        <v>0.16396620000000001</v>
      </c>
    </row>
    <row r="764" spans="1:14" hidden="1" x14ac:dyDescent="0.35">
      <c r="A764" s="52" t="s">
        <v>579</v>
      </c>
      <c r="B764" s="52" t="s">
        <v>37</v>
      </c>
      <c r="C764" s="52" t="s">
        <v>35</v>
      </c>
      <c r="D764" s="52" t="s">
        <v>189</v>
      </c>
      <c r="E764" s="52" t="s">
        <v>586</v>
      </c>
      <c r="F764" s="52" t="s">
        <v>26</v>
      </c>
      <c r="G764" s="195" t="s">
        <v>275</v>
      </c>
      <c r="H764" s="195">
        <v>-2.3949000000000002E-2</v>
      </c>
      <c r="I764" s="195">
        <v>-2.4777199999999999E-2</v>
      </c>
      <c r="J764" s="195">
        <v>-2.0265999999999999E-2</v>
      </c>
      <c r="K764" s="195">
        <v>-3.89158E-2</v>
      </c>
      <c r="L764" s="195">
        <v>-4.7973399999999999E-2</v>
      </c>
      <c r="M764" s="195">
        <v>-2.9394199999999999E-2</v>
      </c>
      <c r="N764" s="195">
        <v>-1.9559199999999999E-2</v>
      </c>
    </row>
    <row r="765" spans="1:14" hidden="1" x14ac:dyDescent="0.35">
      <c r="A765" s="52" t="s">
        <v>579</v>
      </c>
      <c r="B765" s="52" t="s">
        <v>37</v>
      </c>
      <c r="C765" s="52" t="s">
        <v>35</v>
      </c>
      <c r="D765" s="52" t="s">
        <v>189</v>
      </c>
      <c r="E765" s="52" t="s">
        <v>586</v>
      </c>
      <c r="F765" s="52" t="s">
        <v>26</v>
      </c>
      <c r="G765" s="195" t="s">
        <v>276</v>
      </c>
      <c r="H765" s="195">
        <v>-6.3660000000000001E-3</v>
      </c>
      <c r="I765" s="195">
        <v>-6.5865999999999997E-3</v>
      </c>
      <c r="J765" s="195">
        <v>-5.3872E-3</v>
      </c>
      <c r="K765" s="195">
        <v>-1.0344000000000001E-2</v>
      </c>
      <c r="L765" s="195">
        <v>-1.2752400000000001E-2</v>
      </c>
      <c r="M765" s="195">
        <v>-7.8129989999999993E-3</v>
      </c>
      <c r="N765" s="195">
        <v>-5.1996000000000004E-3</v>
      </c>
    </row>
    <row r="766" spans="1:14" hidden="1" x14ac:dyDescent="0.35">
      <c r="A766" s="52" t="s">
        <v>579</v>
      </c>
      <c r="B766" s="52" t="s">
        <v>37</v>
      </c>
      <c r="C766" s="52" t="s">
        <v>35</v>
      </c>
      <c r="D766" s="52" t="s">
        <v>189</v>
      </c>
      <c r="E766" s="52" t="s">
        <v>586</v>
      </c>
      <c r="F766" s="52" t="s">
        <v>26</v>
      </c>
      <c r="G766" s="195" t="s">
        <v>279</v>
      </c>
      <c r="H766" s="195">
        <v>8.9415999999999995E-2</v>
      </c>
      <c r="I766" s="195">
        <v>7.20832E-2</v>
      </c>
      <c r="J766" s="195">
        <v>6.2500390000000003E-2</v>
      </c>
      <c r="K766" s="195">
        <v>9.4646400000000006E-2</v>
      </c>
      <c r="L766" s="195">
        <v>0.1100584</v>
      </c>
      <c r="M766" s="195">
        <v>7.8452999999999995E-2</v>
      </c>
      <c r="N766" s="195">
        <v>5.9195200000000003E-2</v>
      </c>
    </row>
    <row r="767" spans="1:14" hidden="1" x14ac:dyDescent="0.35">
      <c r="A767" s="52" t="s">
        <v>579</v>
      </c>
      <c r="B767" s="52" t="s">
        <v>37</v>
      </c>
      <c r="C767" s="52" t="s">
        <v>35</v>
      </c>
      <c r="D767" s="52" t="s">
        <v>207</v>
      </c>
      <c r="E767" s="52" t="s">
        <v>591</v>
      </c>
      <c r="F767" s="52" t="s">
        <v>581</v>
      </c>
      <c r="G767" s="195" t="s">
        <v>275</v>
      </c>
      <c r="H767" s="195">
        <v>-10.14852</v>
      </c>
      <c r="I767" s="195">
        <v>5.8962120000000002</v>
      </c>
      <c r="J767" s="195">
        <v>4.8357729999999997</v>
      </c>
      <c r="K767" s="195">
        <v>3.6452650000000002</v>
      </c>
      <c r="L767" s="195">
        <v>4.8453689999999998</v>
      </c>
      <c r="M767" s="195">
        <v>1.7857940000000001</v>
      </c>
      <c r="N767" s="195">
        <v>1.5197240000000001</v>
      </c>
    </row>
    <row r="768" spans="1:14" hidden="1" x14ac:dyDescent="0.35">
      <c r="A768" s="52" t="s">
        <v>579</v>
      </c>
      <c r="B768" s="52" t="s">
        <v>37</v>
      </c>
      <c r="C768" s="52" t="s">
        <v>35</v>
      </c>
      <c r="D768" s="52" t="s">
        <v>207</v>
      </c>
      <c r="E768" s="52" t="s">
        <v>591</v>
      </c>
      <c r="F768" s="52" t="s">
        <v>581</v>
      </c>
      <c r="G768" s="195" t="s">
        <v>276</v>
      </c>
      <c r="H768" s="195">
        <v>0.65613010000000005</v>
      </c>
      <c r="I768" s="195">
        <v>-3.7984909999999998</v>
      </c>
      <c r="J768" s="195">
        <v>-4.4621469999999999</v>
      </c>
      <c r="K768" s="195">
        <v>-4.2648260000000002</v>
      </c>
      <c r="L768" s="195">
        <v>-3.3985560000000001</v>
      </c>
      <c r="M768" s="195">
        <v>-0.1023468</v>
      </c>
      <c r="N768" s="195">
        <v>-5.7749990000000001E-2</v>
      </c>
    </row>
    <row r="769" spans="1:14" hidden="1" x14ac:dyDescent="0.35">
      <c r="A769" s="52" t="s">
        <v>579</v>
      </c>
      <c r="B769" s="52" t="s">
        <v>37</v>
      </c>
      <c r="C769" s="52" t="s">
        <v>35</v>
      </c>
      <c r="D769" s="52" t="s">
        <v>207</v>
      </c>
      <c r="E769" s="52" t="s">
        <v>591</v>
      </c>
      <c r="F769" s="52" t="s">
        <v>581</v>
      </c>
      <c r="G769" s="195" t="s">
        <v>277</v>
      </c>
      <c r="H769" s="195">
        <v>40.64282</v>
      </c>
      <c r="I769" s="195">
        <v>3.1219109999999999</v>
      </c>
      <c r="J769" s="195">
        <v>3.1229010000000001</v>
      </c>
      <c r="K769" s="195">
        <v>3.9064230000000002</v>
      </c>
      <c r="L769" s="195">
        <v>0.45166220000000001</v>
      </c>
      <c r="M769" s="195">
        <v>0</v>
      </c>
      <c r="N769" s="195">
        <v>0</v>
      </c>
    </row>
    <row r="770" spans="1:14" hidden="1" x14ac:dyDescent="0.35">
      <c r="A770" s="52" t="s">
        <v>579</v>
      </c>
      <c r="B770" s="52" t="s">
        <v>37</v>
      </c>
      <c r="C770" s="52" t="s">
        <v>35</v>
      </c>
      <c r="D770" s="52" t="s">
        <v>207</v>
      </c>
      <c r="E770" s="52" t="s">
        <v>591</v>
      </c>
      <c r="F770" s="52" t="s">
        <v>581</v>
      </c>
      <c r="G770" s="195" t="s">
        <v>279</v>
      </c>
      <c r="H770" s="195">
        <v>14.53425</v>
      </c>
      <c r="I770" s="195">
        <v>10.926729999999999</v>
      </c>
      <c r="J770" s="195">
        <v>9.7520919999999993</v>
      </c>
      <c r="K770" s="195">
        <v>9.7822490000000002</v>
      </c>
      <c r="L770" s="195">
        <v>9.7381879999999992</v>
      </c>
      <c r="M770" s="195">
        <v>8.1570809999999998</v>
      </c>
      <c r="N770" s="195">
        <v>7.1758899999999999</v>
      </c>
    </row>
    <row r="771" spans="1:14" hidden="1" x14ac:dyDescent="0.35">
      <c r="A771" s="52" t="s">
        <v>579</v>
      </c>
      <c r="B771" s="52" t="s">
        <v>37</v>
      </c>
      <c r="C771" s="52" t="s">
        <v>35</v>
      </c>
      <c r="D771" s="52" t="s">
        <v>207</v>
      </c>
      <c r="E771" s="52" t="s">
        <v>591</v>
      </c>
      <c r="F771" s="52" t="s">
        <v>26</v>
      </c>
      <c r="G771" s="195" t="s">
        <v>275</v>
      </c>
      <c r="H771" s="195">
        <v>3.9546999999999999E-2</v>
      </c>
      <c r="I771" s="195">
        <v>-0.2733778</v>
      </c>
      <c r="J771" s="195">
        <v>-0.15006040000000001</v>
      </c>
      <c r="K771" s="195">
        <v>-0.2180996</v>
      </c>
      <c r="L771" s="195">
        <v>-0.43015799999999998</v>
      </c>
      <c r="M771" s="195">
        <v>-0.35625079999999998</v>
      </c>
      <c r="N771" s="195">
        <v>-0.31828800000000002</v>
      </c>
    </row>
    <row r="772" spans="1:14" hidden="1" x14ac:dyDescent="0.35">
      <c r="A772" s="52" t="s">
        <v>579</v>
      </c>
      <c r="B772" s="52" t="s">
        <v>37</v>
      </c>
      <c r="C772" s="52" t="s">
        <v>35</v>
      </c>
      <c r="D772" s="52" t="s">
        <v>207</v>
      </c>
      <c r="E772" s="52" t="s">
        <v>591</v>
      </c>
      <c r="F772" s="52" t="s">
        <v>26</v>
      </c>
      <c r="G772" s="195" t="s">
        <v>276</v>
      </c>
      <c r="H772" s="195">
        <v>1.0513E-2</v>
      </c>
      <c r="I772" s="195">
        <v>-7.2670209999999999E-2</v>
      </c>
      <c r="J772" s="195">
        <v>-3.9889800000000003E-2</v>
      </c>
      <c r="K772" s="195">
        <v>-5.79772E-2</v>
      </c>
      <c r="L772" s="195">
        <v>-0.1143462</v>
      </c>
      <c r="M772" s="195">
        <v>-9.4700599999999996E-2</v>
      </c>
      <c r="N772" s="195">
        <v>-8.46084E-2</v>
      </c>
    </row>
    <row r="773" spans="1:14" hidden="1" x14ac:dyDescent="0.35">
      <c r="A773" s="52" t="s">
        <v>579</v>
      </c>
      <c r="B773" s="52" t="s">
        <v>37</v>
      </c>
      <c r="C773" s="52" t="s">
        <v>35</v>
      </c>
      <c r="D773" s="52" t="s">
        <v>207</v>
      </c>
      <c r="E773" s="52" t="s">
        <v>591</v>
      </c>
      <c r="F773" s="52" t="s">
        <v>26</v>
      </c>
      <c r="G773" s="195" t="s">
        <v>279</v>
      </c>
      <c r="H773" s="195">
        <v>3.6677629999999999</v>
      </c>
      <c r="I773" s="195">
        <v>3.1805059999999998</v>
      </c>
      <c r="J773" s="195">
        <v>2.8984190000000001</v>
      </c>
      <c r="K773" s="195">
        <v>2.9420790000000001</v>
      </c>
      <c r="L773" s="195">
        <v>2.911416</v>
      </c>
      <c r="M773" s="195">
        <v>2.4475889999999998</v>
      </c>
      <c r="N773" s="195">
        <v>2.1561400000000002</v>
      </c>
    </row>
    <row r="774" spans="1:14" hidden="1" x14ac:dyDescent="0.35">
      <c r="A774" s="52" t="s">
        <v>579</v>
      </c>
      <c r="B774" s="52" t="s">
        <v>37</v>
      </c>
      <c r="C774" s="52" t="s">
        <v>35</v>
      </c>
      <c r="D774" s="52" t="s">
        <v>207</v>
      </c>
      <c r="E774" s="52" t="s">
        <v>592</v>
      </c>
      <c r="F774" s="52" t="s">
        <v>581</v>
      </c>
      <c r="G774" s="195" t="s">
        <v>275</v>
      </c>
      <c r="H774" s="195">
        <v>2.4441999999999999</v>
      </c>
      <c r="I774" s="195">
        <v>0.17943239999999999</v>
      </c>
      <c r="J774" s="195">
        <v>0.1118122</v>
      </c>
      <c r="K774" s="195">
        <v>9.4863600000000006E-2</v>
      </c>
      <c r="L774" s="195">
        <v>-1.037031</v>
      </c>
      <c r="M774" s="195">
        <v>0.123751</v>
      </c>
      <c r="N774" s="195">
        <v>0.1125</v>
      </c>
    </row>
    <row r="775" spans="1:14" hidden="1" x14ac:dyDescent="0.35">
      <c r="A775" s="52" t="s">
        <v>579</v>
      </c>
      <c r="B775" s="52" t="s">
        <v>37</v>
      </c>
      <c r="C775" s="52" t="s">
        <v>35</v>
      </c>
      <c r="D775" s="52" t="s">
        <v>207</v>
      </c>
      <c r="E775" s="52" t="s">
        <v>592</v>
      </c>
      <c r="F775" s="52" t="s">
        <v>581</v>
      </c>
      <c r="G775" s="195" t="s">
        <v>276</v>
      </c>
      <c r="H775" s="195">
        <v>-0.91816399999999998</v>
      </c>
      <c r="I775" s="195">
        <v>4.7697400000000001E-2</v>
      </c>
      <c r="J775" s="195">
        <v>2.97218E-2</v>
      </c>
      <c r="K775" s="195">
        <v>2.5216800000000001E-2</v>
      </c>
      <c r="L775" s="195">
        <v>-2.7820999999999999E-2</v>
      </c>
      <c r="M775" s="195">
        <v>-1.6673199999999999E-2</v>
      </c>
      <c r="N775" s="195">
        <v>-9.7509999999999993E-3</v>
      </c>
    </row>
    <row r="776" spans="1:14" hidden="1" x14ac:dyDescent="0.35">
      <c r="A776" s="52" t="s">
        <v>579</v>
      </c>
      <c r="B776" s="52" t="s">
        <v>37</v>
      </c>
      <c r="C776" s="52" t="s">
        <v>35</v>
      </c>
      <c r="D776" s="52" t="s">
        <v>207</v>
      </c>
      <c r="E776" s="52" t="s">
        <v>592</v>
      </c>
      <c r="F776" s="52" t="s">
        <v>581</v>
      </c>
      <c r="G776" s="195" t="s">
        <v>277</v>
      </c>
      <c r="H776" s="195"/>
      <c r="I776" s="195"/>
      <c r="J776" s="195"/>
      <c r="K776" s="195">
        <v>0</v>
      </c>
      <c r="L776" s="195">
        <v>1.1654599999999999</v>
      </c>
      <c r="M776" s="195">
        <v>0</v>
      </c>
      <c r="N776" s="195">
        <v>0</v>
      </c>
    </row>
    <row r="777" spans="1:14" hidden="1" x14ac:dyDescent="0.35">
      <c r="A777" s="52" t="s">
        <v>579</v>
      </c>
      <c r="B777" s="52" t="s">
        <v>37</v>
      </c>
      <c r="C777" s="52" t="s">
        <v>35</v>
      </c>
      <c r="D777" s="52" t="s">
        <v>207</v>
      </c>
      <c r="E777" s="52" t="s">
        <v>592</v>
      </c>
      <c r="F777" s="52" t="s">
        <v>581</v>
      </c>
      <c r="G777" s="195" t="s">
        <v>279</v>
      </c>
      <c r="H777" s="195">
        <v>0.69949799999999995</v>
      </c>
      <c r="I777" s="195">
        <v>0.46899299999999999</v>
      </c>
      <c r="J777" s="195">
        <v>0.39793780000000001</v>
      </c>
      <c r="K777" s="195">
        <v>0.3672126</v>
      </c>
      <c r="L777" s="195">
        <v>0.4908864</v>
      </c>
      <c r="M777" s="195">
        <v>0.43338559999999998</v>
      </c>
      <c r="N777" s="195">
        <v>0.34506100000000001</v>
      </c>
    </row>
    <row r="778" spans="1:14" hidden="1" x14ac:dyDescent="0.35">
      <c r="A778" s="52" t="s">
        <v>579</v>
      </c>
      <c r="B778" s="52" t="s">
        <v>37</v>
      </c>
      <c r="C778" s="52" t="s">
        <v>35</v>
      </c>
      <c r="D778" s="52" t="s">
        <v>207</v>
      </c>
      <c r="E778" s="52" t="s">
        <v>592</v>
      </c>
      <c r="F778" s="52" t="s">
        <v>26</v>
      </c>
      <c r="G778" s="195" t="s">
        <v>275</v>
      </c>
      <c r="H778" s="195">
        <v>-3.5309E-2</v>
      </c>
      <c r="I778" s="195">
        <v>-4.2428800000000003E-2</v>
      </c>
      <c r="J778" s="195">
        <v>-3.3717200000000003E-2</v>
      </c>
      <c r="K778" s="195">
        <v>-3.2101200000000003E-2</v>
      </c>
      <c r="L778" s="195">
        <v>-5.3715400000000003E-2</v>
      </c>
      <c r="M778" s="195">
        <v>-3.8641200000000001E-2</v>
      </c>
      <c r="N778" s="195">
        <v>-1.81792E-2</v>
      </c>
    </row>
    <row r="779" spans="1:14" hidden="1" x14ac:dyDescent="0.35">
      <c r="A779" s="52" t="s">
        <v>579</v>
      </c>
      <c r="B779" s="52" t="s">
        <v>37</v>
      </c>
      <c r="C779" s="52" t="s">
        <v>35</v>
      </c>
      <c r="D779" s="52" t="s">
        <v>207</v>
      </c>
      <c r="E779" s="52" t="s">
        <v>592</v>
      </c>
      <c r="F779" s="52" t="s">
        <v>26</v>
      </c>
      <c r="G779" s="195" t="s">
        <v>276</v>
      </c>
      <c r="H779" s="195">
        <v>-9.3849989999999998E-3</v>
      </c>
      <c r="I779" s="195">
        <v>-1.12792E-2</v>
      </c>
      <c r="J779" s="195">
        <v>-8.9623989999999994E-3</v>
      </c>
      <c r="K779" s="195">
        <v>-8.5325999999999996E-3</v>
      </c>
      <c r="L779" s="195">
        <v>-1.42778E-2</v>
      </c>
      <c r="M779" s="195">
        <v>-1.02714E-2</v>
      </c>
      <c r="N779" s="195">
        <v>-4.8326000000000003E-3</v>
      </c>
    </row>
    <row r="780" spans="1:14" hidden="1" x14ac:dyDescent="0.35">
      <c r="A780" s="52" t="s">
        <v>579</v>
      </c>
      <c r="B780" s="52" t="s">
        <v>37</v>
      </c>
      <c r="C780" s="52" t="s">
        <v>35</v>
      </c>
      <c r="D780" s="52" t="s">
        <v>207</v>
      </c>
      <c r="E780" s="52" t="s">
        <v>592</v>
      </c>
      <c r="F780" s="52" t="s">
        <v>26</v>
      </c>
      <c r="G780" s="195" t="s">
        <v>279</v>
      </c>
      <c r="H780" s="195">
        <v>0.19777700000000001</v>
      </c>
      <c r="I780" s="195">
        <v>0.1571804</v>
      </c>
      <c r="J780" s="195">
        <v>0.13607279999999999</v>
      </c>
      <c r="K780" s="195">
        <v>0.12485</v>
      </c>
      <c r="L780" s="195">
        <v>0.16910040000000001</v>
      </c>
      <c r="M780" s="195">
        <v>0.14100560000000001</v>
      </c>
      <c r="N780" s="195">
        <v>9.9487599999999995E-2</v>
      </c>
    </row>
    <row r="781" spans="1:14" hidden="1" x14ac:dyDescent="0.35">
      <c r="A781" s="52" t="s">
        <v>579</v>
      </c>
      <c r="B781" s="52" t="s">
        <v>37</v>
      </c>
      <c r="C781" s="52" t="s">
        <v>35</v>
      </c>
      <c r="D781" s="52" t="s">
        <v>207</v>
      </c>
      <c r="E781" s="52" t="s">
        <v>586</v>
      </c>
      <c r="F781" s="52" t="s">
        <v>581</v>
      </c>
      <c r="G781" s="195" t="s">
        <v>275</v>
      </c>
      <c r="H781" s="195"/>
      <c r="I781" s="195"/>
      <c r="J781" s="195"/>
      <c r="K781" s="195"/>
      <c r="L781" s="195"/>
      <c r="M781" s="195">
        <v>0</v>
      </c>
      <c r="N781" s="195">
        <v>0</v>
      </c>
    </row>
    <row r="782" spans="1:14" hidden="1" x14ac:dyDescent="0.35">
      <c r="A782" s="52" t="s">
        <v>579</v>
      </c>
      <c r="B782" s="52" t="s">
        <v>37</v>
      </c>
      <c r="C782" s="52" t="s">
        <v>35</v>
      </c>
      <c r="D782" s="52" t="s">
        <v>207</v>
      </c>
      <c r="E782" s="52" t="s">
        <v>586</v>
      </c>
      <c r="F782" s="52" t="s">
        <v>581</v>
      </c>
      <c r="G782" s="195" t="s">
        <v>276</v>
      </c>
      <c r="H782" s="195"/>
      <c r="I782" s="195"/>
      <c r="J782" s="195"/>
      <c r="K782" s="195"/>
      <c r="L782" s="195"/>
      <c r="M782" s="195">
        <v>0</v>
      </c>
      <c r="N782" s="195">
        <v>0</v>
      </c>
    </row>
    <row r="783" spans="1:14" hidden="1" x14ac:dyDescent="0.35">
      <c r="A783" s="52" t="s">
        <v>579</v>
      </c>
      <c r="B783" s="52" t="s">
        <v>37</v>
      </c>
      <c r="C783" s="52" t="s">
        <v>35</v>
      </c>
      <c r="D783" s="52" t="s">
        <v>207</v>
      </c>
      <c r="E783" s="52" t="s">
        <v>586</v>
      </c>
      <c r="F783" s="52" t="s">
        <v>581</v>
      </c>
      <c r="G783" s="195" t="s">
        <v>279</v>
      </c>
      <c r="H783" s="195"/>
      <c r="I783" s="195"/>
      <c r="J783" s="195"/>
      <c r="K783" s="195"/>
      <c r="L783" s="195"/>
      <c r="M783" s="195">
        <v>0</v>
      </c>
      <c r="N783" s="195">
        <v>0</v>
      </c>
    </row>
    <row r="784" spans="1:14" hidden="1" x14ac:dyDescent="0.35">
      <c r="A784" s="52" t="s">
        <v>579</v>
      </c>
      <c r="B784" s="52" t="s">
        <v>37</v>
      </c>
      <c r="C784" s="52" t="s">
        <v>35</v>
      </c>
      <c r="D784" s="52" t="s">
        <v>207</v>
      </c>
      <c r="E784" s="52" t="s">
        <v>586</v>
      </c>
      <c r="F784" s="52" t="s">
        <v>26</v>
      </c>
      <c r="G784" s="195" t="s">
        <v>275</v>
      </c>
      <c r="H784" s="195"/>
      <c r="I784" s="195"/>
      <c r="J784" s="195"/>
      <c r="K784" s="195"/>
      <c r="L784" s="195"/>
      <c r="M784" s="195">
        <v>0</v>
      </c>
      <c r="N784" s="195">
        <v>0</v>
      </c>
    </row>
    <row r="785" spans="1:14" hidden="1" x14ac:dyDescent="0.35">
      <c r="A785" s="52" t="s">
        <v>579</v>
      </c>
      <c r="B785" s="52" t="s">
        <v>37</v>
      </c>
      <c r="C785" s="52" t="s">
        <v>35</v>
      </c>
      <c r="D785" s="52" t="s">
        <v>207</v>
      </c>
      <c r="E785" s="52" t="s">
        <v>586</v>
      </c>
      <c r="F785" s="52" t="s">
        <v>26</v>
      </c>
      <c r="G785" s="195" t="s">
        <v>276</v>
      </c>
      <c r="H785" s="195"/>
      <c r="I785" s="195"/>
      <c r="J785" s="195"/>
      <c r="K785" s="195"/>
      <c r="L785" s="195"/>
      <c r="M785" s="195">
        <v>0</v>
      </c>
      <c r="N785" s="195">
        <v>0</v>
      </c>
    </row>
    <row r="786" spans="1:14" hidden="1" x14ac:dyDescent="0.35">
      <c r="A786" s="52" t="s">
        <v>579</v>
      </c>
      <c r="B786" s="52" t="s">
        <v>37</v>
      </c>
      <c r="C786" s="52" t="s">
        <v>35</v>
      </c>
      <c r="D786" s="52" t="s">
        <v>207</v>
      </c>
      <c r="E786" s="52" t="s">
        <v>586</v>
      </c>
      <c r="F786" s="52" t="s">
        <v>26</v>
      </c>
      <c r="G786" s="195" t="s">
        <v>277</v>
      </c>
      <c r="H786" s="195"/>
      <c r="I786" s="195"/>
      <c r="J786" s="195"/>
      <c r="K786" s="195"/>
      <c r="L786" s="195"/>
      <c r="M786" s="195">
        <v>0</v>
      </c>
      <c r="N786" s="195">
        <v>0</v>
      </c>
    </row>
    <row r="787" spans="1:14" hidden="1" x14ac:dyDescent="0.35">
      <c r="A787" s="52" t="s">
        <v>579</v>
      </c>
      <c r="B787" s="52" t="s">
        <v>37</v>
      </c>
      <c r="C787" s="52" t="s">
        <v>35</v>
      </c>
      <c r="D787" s="52" t="s">
        <v>207</v>
      </c>
      <c r="E787" s="52" t="s">
        <v>586</v>
      </c>
      <c r="F787" s="52" t="s">
        <v>26</v>
      </c>
      <c r="G787" s="195" t="s">
        <v>279</v>
      </c>
      <c r="H787" s="195"/>
      <c r="I787" s="195"/>
      <c r="J787" s="195"/>
      <c r="K787" s="195"/>
      <c r="L787" s="195"/>
      <c r="M787" s="195">
        <v>0</v>
      </c>
      <c r="N787" s="195">
        <v>0</v>
      </c>
    </row>
    <row r="788" spans="1:14" hidden="1" x14ac:dyDescent="0.35">
      <c r="A788" s="52" t="s">
        <v>579</v>
      </c>
      <c r="B788" s="52" t="s">
        <v>37</v>
      </c>
      <c r="C788" s="52" t="s">
        <v>35</v>
      </c>
      <c r="D788" s="52" t="s">
        <v>233</v>
      </c>
      <c r="E788" s="52" t="s">
        <v>588</v>
      </c>
      <c r="F788" s="52" t="s">
        <v>581</v>
      </c>
      <c r="G788" s="195" t="s">
        <v>275</v>
      </c>
      <c r="H788" s="195">
        <v>0</v>
      </c>
      <c r="I788" s="195">
        <v>-8.1114650000000008</v>
      </c>
      <c r="J788" s="195">
        <v>-5.259163</v>
      </c>
      <c r="K788" s="195">
        <v>-7.0645740000000004</v>
      </c>
      <c r="L788" s="195">
        <v>-3.4893179999999999</v>
      </c>
      <c r="M788" s="195">
        <v>1.808157</v>
      </c>
      <c r="N788" s="195">
        <v>1.837399</v>
      </c>
    </row>
    <row r="789" spans="1:14" hidden="1" x14ac:dyDescent="0.35">
      <c r="A789" s="52" t="s">
        <v>579</v>
      </c>
      <c r="B789" s="52" t="s">
        <v>37</v>
      </c>
      <c r="C789" s="52" t="s">
        <v>35</v>
      </c>
      <c r="D789" s="52" t="s">
        <v>233</v>
      </c>
      <c r="E789" s="52" t="s">
        <v>588</v>
      </c>
      <c r="F789" s="52" t="s">
        <v>581</v>
      </c>
      <c r="G789" s="195" t="s">
        <v>276</v>
      </c>
      <c r="H789" s="195">
        <v>0</v>
      </c>
      <c r="I789" s="195">
        <v>-0.79700879999999996</v>
      </c>
      <c r="J789" s="195">
        <v>-0.73318039999999995</v>
      </c>
      <c r="K789" s="195">
        <v>-0.81124399999999997</v>
      </c>
      <c r="L789" s="195">
        <v>-0.59603200000000001</v>
      </c>
      <c r="M789" s="195">
        <v>-0.76052260000000005</v>
      </c>
      <c r="N789" s="195">
        <v>-0.33144380000000001</v>
      </c>
    </row>
    <row r="790" spans="1:14" hidden="1" x14ac:dyDescent="0.35">
      <c r="A790" s="52" t="s">
        <v>579</v>
      </c>
      <c r="B790" s="52" t="s">
        <v>37</v>
      </c>
      <c r="C790" s="52" t="s">
        <v>35</v>
      </c>
      <c r="D790" s="52" t="s">
        <v>233</v>
      </c>
      <c r="E790" s="52" t="s">
        <v>588</v>
      </c>
      <c r="F790" s="52" t="s">
        <v>581</v>
      </c>
      <c r="G790" s="195" t="s">
        <v>277</v>
      </c>
      <c r="H790" s="195">
        <v>0</v>
      </c>
      <c r="I790" s="195">
        <v>1.3191520000000001</v>
      </c>
      <c r="J790" s="195">
        <v>0.80813599999999997</v>
      </c>
      <c r="K790" s="195">
        <v>1.7425660000000001</v>
      </c>
      <c r="L790" s="195">
        <v>0.65193920000000005</v>
      </c>
      <c r="M790" s="195">
        <v>0</v>
      </c>
      <c r="N790" s="195">
        <v>0</v>
      </c>
    </row>
    <row r="791" spans="1:14" hidden="1" x14ac:dyDescent="0.35">
      <c r="A791" s="52" t="s">
        <v>579</v>
      </c>
      <c r="B791" s="52" t="s">
        <v>37</v>
      </c>
      <c r="C791" s="52" t="s">
        <v>35</v>
      </c>
      <c r="D791" s="52" t="s">
        <v>233</v>
      </c>
      <c r="E791" s="52" t="s">
        <v>588</v>
      </c>
      <c r="F791" s="52" t="s">
        <v>581</v>
      </c>
      <c r="G791" s="195" t="s">
        <v>278</v>
      </c>
      <c r="H791" s="195">
        <v>0</v>
      </c>
      <c r="I791" s="195">
        <v>5.0723339999999997</v>
      </c>
      <c r="J791" s="195">
        <v>3.5964200000000002</v>
      </c>
      <c r="K791" s="195">
        <v>5.1769189999999998</v>
      </c>
      <c r="L791" s="195">
        <v>3.8136739999999998</v>
      </c>
      <c r="M791" s="195">
        <v>0</v>
      </c>
      <c r="N791" s="195">
        <v>0</v>
      </c>
    </row>
    <row r="792" spans="1:14" hidden="1" x14ac:dyDescent="0.35">
      <c r="A792" s="52" t="s">
        <v>579</v>
      </c>
      <c r="B792" s="52" t="s">
        <v>37</v>
      </c>
      <c r="C792" s="52" t="s">
        <v>35</v>
      </c>
      <c r="D792" s="52" t="s">
        <v>233</v>
      </c>
      <c r="E792" s="52" t="s">
        <v>588</v>
      </c>
      <c r="F792" s="52" t="s">
        <v>581</v>
      </c>
      <c r="G792" s="195" t="s">
        <v>279</v>
      </c>
      <c r="H792" s="195">
        <v>0</v>
      </c>
      <c r="I792" s="195">
        <v>4.0843730000000003</v>
      </c>
      <c r="J792" s="195">
        <v>5.0372870000000001</v>
      </c>
      <c r="K792" s="195">
        <v>5.7380820000000003</v>
      </c>
      <c r="L792" s="195">
        <v>6.844214</v>
      </c>
      <c r="M792" s="195">
        <v>4.0080929999999997</v>
      </c>
      <c r="N792" s="195">
        <v>2.2043059999999999</v>
      </c>
    </row>
    <row r="793" spans="1:14" hidden="1" x14ac:dyDescent="0.35">
      <c r="A793" s="52" t="s">
        <v>579</v>
      </c>
      <c r="B793" s="52" t="s">
        <v>37</v>
      </c>
      <c r="C793" s="52" t="s">
        <v>35</v>
      </c>
      <c r="D793" s="52" t="s">
        <v>233</v>
      </c>
      <c r="E793" s="52" t="s">
        <v>588</v>
      </c>
      <c r="F793" s="52" t="s">
        <v>26</v>
      </c>
      <c r="G793" s="195" t="s">
        <v>275</v>
      </c>
      <c r="H793" s="195">
        <v>0</v>
      </c>
      <c r="I793" s="195">
        <v>-0.2413534</v>
      </c>
      <c r="J793" s="195">
        <v>-0.22203100000000001</v>
      </c>
      <c r="K793" s="195">
        <v>-0.22145799999999999</v>
      </c>
      <c r="L793" s="195">
        <v>-0.2137956</v>
      </c>
      <c r="M793" s="195">
        <v>-9.2450400000000002E-2</v>
      </c>
      <c r="N793" s="195">
        <v>-1.6269200000000001E-2</v>
      </c>
    </row>
    <row r="794" spans="1:14" hidden="1" x14ac:dyDescent="0.35">
      <c r="A794" s="52" t="s">
        <v>579</v>
      </c>
      <c r="B794" s="52" t="s">
        <v>37</v>
      </c>
      <c r="C794" s="52" t="s">
        <v>35</v>
      </c>
      <c r="D794" s="52" t="s">
        <v>233</v>
      </c>
      <c r="E794" s="52" t="s">
        <v>588</v>
      </c>
      <c r="F794" s="52" t="s">
        <v>26</v>
      </c>
      <c r="G794" s="195" t="s">
        <v>276</v>
      </c>
      <c r="H794" s="195">
        <v>0</v>
      </c>
      <c r="I794" s="195">
        <v>-6.4157610000000004E-2</v>
      </c>
      <c r="J794" s="195">
        <v>-5.9021400000000002E-2</v>
      </c>
      <c r="K794" s="195">
        <v>-5.8868200000000002E-2</v>
      </c>
      <c r="L794" s="195">
        <v>-5.6831800000000002E-2</v>
      </c>
      <c r="M794" s="195">
        <v>-2.4575199999999998E-2</v>
      </c>
      <c r="N794" s="195">
        <v>-4.3258000000000003E-3</v>
      </c>
    </row>
    <row r="795" spans="1:14" hidden="1" x14ac:dyDescent="0.35">
      <c r="A795" s="52" t="s">
        <v>579</v>
      </c>
      <c r="B795" s="52" t="s">
        <v>37</v>
      </c>
      <c r="C795" s="52" t="s">
        <v>35</v>
      </c>
      <c r="D795" s="52" t="s">
        <v>233</v>
      </c>
      <c r="E795" s="52" t="s">
        <v>588</v>
      </c>
      <c r="F795" s="52" t="s">
        <v>26</v>
      </c>
      <c r="G795" s="195" t="s">
        <v>279</v>
      </c>
      <c r="H795" s="195">
        <v>0</v>
      </c>
      <c r="I795" s="195">
        <v>0.41240640000000001</v>
      </c>
      <c r="J795" s="195">
        <v>0.54795780000000005</v>
      </c>
      <c r="K795" s="195">
        <v>0.65029800000000004</v>
      </c>
      <c r="L795" s="195">
        <v>0.82315280000000002</v>
      </c>
      <c r="M795" s="195">
        <v>0.50169799999999998</v>
      </c>
      <c r="N795" s="195">
        <v>0.30307899999999999</v>
      </c>
    </row>
    <row r="796" spans="1:14" hidden="1" x14ac:dyDescent="0.35">
      <c r="A796" s="52" t="s">
        <v>579</v>
      </c>
      <c r="B796" s="52" t="s">
        <v>37</v>
      </c>
      <c r="C796" s="52" t="s">
        <v>218</v>
      </c>
      <c r="D796" s="52" t="s">
        <v>218</v>
      </c>
      <c r="E796" s="52" t="s">
        <v>593</v>
      </c>
      <c r="F796" s="52" t="s">
        <v>581</v>
      </c>
      <c r="G796" s="195" t="s">
        <v>275</v>
      </c>
      <c r="H796" s="195">
        <v>631.74739999999997</v>
      </c>
      <c r="I796" s="195">
        <v>488.45100000000002</v>
      </c>
      <c r="J796" s="195">
        <v>400.53050000000002</v>
      </c>
      <c r="K796" s="195">
        <v>436.0367</v>
      </c>
      <c r="L796" s="195">
        <v>351.39710000000002</v>
      </c>
      <c r="M796" s="195">
        <v>195.51660000000001</v>
      </c>
      <c r="N796" s="195">
        <v>159.035</v>
      </c>
    </row>
    <row r="797" spans="1:14" hidden="1" x14ac:dyDescent="0.35">
      <c r="A797" s="52" t="s">
        <v>579</v>
      </c>
      <c r="B797" s="52" t="s">
        <v>37</v>
      </c>
      <c r="C797" s="52" t="s">
        <v>218</v>
      </c>
      <c r="D797" s="52" t="s">
        <v>218</v>
      </c>
      <c r="E797" s="52" t="s">
        <v>593</v>
      </c>
      <c r="F797" s="52" t="s">
        <v>581</v>
      </c>
      <c r="G797" s="195" t="s">
        <v>276</v>
      </c>
      <c r="H797" s="195">
        <v>250.92670000000001</v>
      </c>
      <c r="I797" s="195">
        <v>-22.761859999999999</v>
      </c>
      <c r="J797" s="195">
        <v>-63.976950000000002</v>
      </c>
      <c r="K797" s="195">
        <v>-58.513500000000001</v>
      </c>
      <c r="L797" s="195">
        <v>-57.176009999999998</v>
      </c>
      <c r="M797" s="195">
        <v>53.644410000000001</v>
      </c>
      <c r="N797" s="195">
        <v>48.474850000000004</v>
      </c>
    </row>
    <row r="798" spans="1:14" hidden="1" x14ac:dyDescent="0.35">
      <c r="A798" s="52" t="s">
        <v>579</v>
      </c>
      <c r="B798" s="52" t="s">
        <v>37</v>
      </c>
      <c r="C798" s="52" t="s">
        <v>218</v>
      </c>
      <c r="D798" s="52" t="s">
        <v>218</v>
      </c>
      <c r="E798" s="52" t="s">
        <v>593</v>
      </c>
      <c r="F798" s="52" t="s">
        <v>581</v>
      </c>
      <c r="G798" s="195" t="s">
        <v>277</v>
      </c>
      <c r="H798" s="195">
        <v>1274.8</v>
      </c>
      <c r="I798" s="195">
        <v>106.38500000000001</v>
      </c>
      <c r="J798" s="195">
        <v>86.434889999999996</v>
      </c>
      <c r="K798" s="195">
        <v>16.142749999999999</v>
      </c>
      <c r="L798" s="195">
        <v>16.190480000000001</v>
      </c>
      <c r="M798" s="195">
        <v>24.370039999999999</v>
      </c>
      <c r="N798" s="195">
        <v>45.642139999999998</v>
      </c>
    </row>
    <row r="799" spans="1:14" hidden="1" x14ac:dyDescent="0.35">
      <c r="A799" s="52" t="s">
        <v>579</v>
      </c>
      <c r="B799" s="52" t="s">
        <v>37</v>
      </c>
      <c r="C799" s="52" t="s">
        <v>218</v>
      </c>
      <c r="D799" s="52" t="s">
        <v>218</v>
      </c>
      <c r="E799" s="52" t="s">
        <v>593</v>
      </c>
      <c r="F799" s="52" t="s">
        <v>581</v>
      </c>
      <c r="G799" s="195" t="s">
        <v>278</v>
      </c>
      <c r="H799" s="195">
        <v>0</v>
      </c>
      <c r="I799" s="195">
        <v>18.240950000000002</v>
      </c>
      <c r="J799" s="195">
        <v>47.959499999999998</v>
      </c>
      <c r="K799" s="195">
        <v>29.249310000000001</v>
      </c>
      <c r="L799" s="195">
        <v>25.442630000000001</v>
      </c>
      <c r="M799" s="195">
        <v>32.69923</v>
      </c>
      <c r="N799" s="195">
        <v>33.381720000000001</v>
      </c>
    </row>
    <row r="800" spans="1:14" hidden="1" x14ac:dyDescent="0.35">
      <c r="A800" s="52" t="s">
        <v>579</v>
      </c>
      <c r="B800" s="52" t="s">
        <v>37</v>
      </c>
      <c r="C800" s="52" t="s">
        <v>218</v>
      </c>
      <c r="D800" s="52" t="s">
        <v>218</v>
      </c>
      <c r="E800" s="52" t="s">
        <v>593</v>
      </c>
      <c r="F800" s="52" t="s">
        <v>581</v>
      </c>
      <c r="G800" s="195" t="s">
        <v>279</v>
      </c>
      <c r="H800" s="195">
        <v>584.05589999999995</v>
      </c>
      <c r="I800" s="195">
        <v>401.58109999999999</v>
      </c>
      <c r="J800" s="195">
        <v>378.34230000000002</v>
      </c>
      <c r="K800" s="195">
        <v>367.6078</v>
      </c>
      <c r="L800" s="195">
        <v>340.98860000000002</v>
      </c>
      <c r="M800" s="195">
        <v>304.02800000000002</v>
      </c>
      <c r="N800" s="195">
        <v>280.33240000000001</v>
      </c>
    </row>
    <row r="801" spans="1:14" hidden="1" x14ac:dyDescent="0.35">
      <c r="A801" s="52" t="s">
        <v>579</v>
      </c>
      <c r="B801" s="52" t="s">
        <v>37</v>
      </c>
      <c r="C801" s="52" t="s">
        <v>218</v>
      </c>
      <c r="D801" s="52" t="s">
        <v>218</v>
      </c>
      <c r="E801" s="52" t="s">
        <v>593</v>
      </c>
      <c r="F801" s="52" t="s">
        <v>26</v>
      </c>
      <c r="G801" s="195" t="s">
        <v>275</v>
      </c>
      <c r="H801" s="195">
        <v>81.698459999999997</v>
      </c>
      <c r="I801" s="195">
        <v>36.502270000000003</v>
      </c>
      <c r="J801" s="195">
        <v>44.447589999999998</v>
      </c>
      <c r="K801" s="195">
        <v>27.52638</v>
      </c>
      <c r="L801" s="195">
        <v>5.549512</v>
      </c>
      <c r="M801" s="195">
        <v>5.9307109999999996</v>
      </c>
      <c r="N801" s="195">
        <v>6.0923290000000003</v>
      </c>
    </row>
    <row r="802" spans="1:14" hidden="1" x14ac:dyDescent="0.35">
      <c r="A802" s="52" t="s">
        <v>579</v>
      </c>
      <c r="B802" s="52" t="s">
        <v>37</v>
      </c>
      <c r="C802" s="52" t="s">
        <v>218</v>
      </c>
      <c r="D802" s="52" t="s">
        <v>218</v>
      </c>
      <c r="E802" s="52" t="s">
        <v>593</v>
      </c>
      <c r="F802" s="52" t="s">
        <v>26</v>
      </c>
      <c r="G802" s="195" t="s">
        <v>276</v>
      </c>
      <c r="H802" s="195">
        <v>26.741219999999998</v>
      </c>
      <c r="I802" s="195">
        <v>11.947800000000001</v>
      </c>
      <c r="J802" s="195">
        <v>14.54843</v>
      </c>
      <c r="K802" s="195">
        <v>9.0098350000000007</v>
      </c>
      <c r="L802" s="195">
        <v>1.8164439999999999</v>
      </c>
      <c r="M802" s="195">
        <v>1.9412320000000001</v>
      </c>
      <c r="N802" s="195">
        <v>1.9940990000000001</v>
      </c>
    </row>
    <row r="803" spans="1:14" hidden="1" x14ac:dyDescent="0.35">
      <c r="A803" s="52" t="s">
        <v>579</v>
      </c>
      <c r="B803" s="52" t="s">
        <v>37</v>
      </c>
      <c r="C803" s="52" t="s">
        <v>218</v>
      </c>
      <c r="D803" s="52" t="s">
        <v>218</v>
      </c>
      <c r="E803" s="52" t="s">
        <v>593</v>
      </c>
      <c r="F803" s="52" t="s">
        <v>26</v>
      </c>
      <c r="G803" s="195" t="s">
        <v>279</v>
      </c>
      <c r="H803" s="195">
        <v>379.65620000000001</v>
      </c>
      <c r="I803" s="195">
        <v>355.6207</v>
      </c>
      <c r="J803" s="195">
        <v>338.28440000000001</v>
      </c>
      <c r="K803" s="195">
        <v>331.404</v>
      </c>
      <c r="L803" s="195">
        <v>306.06670000000003</v>
      </c>
      <c r="M803" s="195">
        <v>272.416</v>
      </c>
      <c r="N803" s="195">
        <v>250.4425</v>
      </c>
    </row>
    <row r="804" spans="1:14" hidden="1" x14ac:dyDescent="0.35">
      <c r="A804" s="52" t="s">
        <v>579</v>
      </c>
      <c r="B804" s="52" t="s">
        <v>37</v>
      </c>
      <c r="C804" s="52" t="s">
        <v>218</v>
      </c>
      <c r="D804" s="52" t="s">
        <v>218</v>
      </c>
      <c r="E804" s="52" t="s">
        <v>584</v>
      </c>
      <c r="F804" s="52" t="s">
        <v>581</v>
      </c>
      <c r="G804" s="195" t="s">
        <v>275</v>
      </c>
      <c r="H804" s="195">
        <v>71.948520000000002</v>
      </c>
      <c r="I804" s="195">
        <v>14.8299</v>
      </c>
      <c r="J804" s="195">
        <v>10.73978</v>
      </c>
      <c r="K804" s="195">
        <v>10.515309999999999</v>
      </c>
      <c r="L804" s="195">
        <v>7.7749930000000003</v>
      </c>
      <c r="M804" s="195">
        <v>7.2664030000000004</v>
      </c>
      <c r="N804" s="195">
        <v>6.6957490000000002</v>
      </c>
    </row>
    <row r="805" spans="1:14" hidden="1" x14ac:dyDescent="0.35">
      <c r="A805" s="52" t="s">
        <v>579</v>
      </c>
      <c r="B805" s="52" t="s">
        <v>37</v>
      </c>
      <c r="C805" s="52" t="s">
        <v>218</v>
      </c>
      <c r="D805" s="52" t="s">
        <v>218</v>
      </c>
      <c r="E805" s="52" t="s">
        <v>584</v>
      </c>
      <c r="F805" s="52" t="s">
        <v>581</v>
      </c>
      <c r="G805" s="195" t="s">
        <v>276</v>
      </c>
      <c r="H805" s="195">
        <v>22.71564</v>
      </c>
      <c r="I805" s="195">
        <v>4.3303580000000004</v>
      </c>
      <c r="J805" s="195">
        <v>3.096339</v>
      </c>
      <c r="K805" s="195">
        <v>1.7659720000000001</v>
      </c>
      <c r="L805" s="195">
        <v>2.5448789999999999</v>
      </c>
      <c r="M805" s="195">
        <v>2.3784109999999998</v>
      </c>
      <c r="N805" s="195">
        <v>2.1916250000000002</v>
      </c>
    </row>
    <row r="806" spans="1:14" hidden="1" x14ac:dyDescent="0.35">
      <c r="A806" s="52" t="s">
        <v>579</v>
      </c>
      <c r="B806" s="52" t="s">
        <v>37</v>
      </c>
      <c r="C806" s="52" t="s">
        <v>218</v>
      </c>
      <c r="D806" s="52" t="s">
        <v>218</v>
      </c>
      <c r="E806" s="52" t="s">
        <v>584</v>
      </c>
      <c r="F806" s="52" t="s">
        <v>581</v>
      </c>
      <c r="G806" s="195" t="s">
        <v>277</v>
      </c>
      <c r="H806" s="195">
        <v>0</v>
      </c>
      <c r="I806" s="195"/>
      <c r="J806" s="195"/>
      <c r="K806" s="195"/>
      <c r="L806" s="195"/>
      <c r="M806" s="195">
        <v>0</v>
      </c>
      <c r="N806" s="195">
        <v>0</v>
      </c>
    </row>
    <row r="807" spans="1:14" hidden="1" x14ac:dyDescent="0.35">
      <c r="A807" s="52" t="s">
        <v>579</v>
      </c>
      <c r="B807" s="52" t="s">
        <v>37</v>
      </c>
      <c r="C807" s="52" t="s">
        <v>218</v>
      </c>
      <c r="D807" s="52" t="s">
        <v>218</v>
      </c>
      <c r="E807" s="52" t="s">
        <v>584</v>
      </c>
      <c r="F807" s="52" t="s">
        <v>581</v>
      </c>
      <c r="G807" s="195" t="s">
        <v>279</v>
      </c>
      <c r="H807" s="195">
        <v>27.221520000000002</v>
      </c>
      <c r="I807" s="195">
        <v>15.05312</v>
      </c>
      <c r="J807" s="195">
        <v>13.099930000000001</v>
      </c>
      <c r="K807" s="195">
        <v>12.596819999999999</v>
      </c>
      <c r="L807" s="195">
        <v>12.6579</v>
      </c>
      <c r="M807" s="195">
        <v>11.621740000000001</v>
      </c>
      <c r="N807" s="195">
        <v>10.684279999999999</v>
      </c>
    </row>
    <row r="808" spans="1:14" hidden="1" x14ac:dyDescent="0.35">
      <c r="A808" s="52" t="s">
        <v>579</v>
      </c>
      <c r="B808" s="52" t="s">
        <v>37</v>
      </c>
      <c r="C808" s="52" t="s">
        <v>218</v>
      </c>
      <c r="D808" s="52" t="s">
        <v>218</v>
      </c>
      <c r="E808" s="52" t="s">
        <v>584</v>
      </c>
      <c r="F808" s="52" t="s">
        <v>26</v>
      </c>
      <c r="G808" s="195" t="s">
        <v>275</v>
      </c>
      <c r="H808" s="195">
        <v>6.7512610000000004</v>
      </c>
      <c r="I808" s="195">
        <v>2.5055770000000002</v>
      </c>
      <c r="J808" s="195">
        <v>2.9891580000000002</v>
      </c>
      <c r="K808" s="195">
        <v>1.721157</v>
      </c>
      <c r="L808" s="195">
        <v>5.219182E-2</v>
      </c>
      <c r="M808" s="195">
        <v>0.1110438</v>
      </c>
      <c r="N808" s="195">
        <v>0.1206484</v>
      </c>
    </row>
    <row r="809" spans="1:14" hidden="1" x14ac:dyDescent="0.35">
      <c r="A809" s="52" t="s">
        <v>579</v>
      </c>
      <c r="B809" s="52" t="s">
        <v>37</v>
      </c>
      <c r="C809" s="52" t="s">
        <v>218</v>
      </c>
      <c r="D809" s="52" t="s">
        <v>218</v>
      </c>
      <c r="E809" s="52" t="s">
        <v>584</v>
      </c>
      <c r="F809" s="52" t="s">
        <v>26</v>
      </c>
      <c r="G809" s="195" t="s">
        <v>276</v>
      </c>
      <c r="H809" s="195">
        <v>2.2097929999999999</v>
      </c>
      <c r="I809" s="195">
        <v>0.82011559999999994</v>
      </c>
      <c r="J809" s="195">
        <v>0.97840059999999995</v>
      </c>
      <c r="K809" s="195">
        <v>0.56336299999999995</v>
      </c>
      <c r="L809" s="195">
        <v>1.7083210000000001E-2</v>
      </c>
      <c r="M809" s="195">
        <v>3.6347190000000001E-2</v>
      </c>
      <c r="N809" s="195">
        <v>3.9490589999999999E-2</v>
      </c>
    </row>
    <row r="810" spans="1:14" hidden="1" x14ac:dyDescent="0.35">
      <c r="A810" s="52" t="s">
        <v>579</v>
      </c>
      <c r="B810" s="52" t="s">
        <v>37</v>
      </c>
      <c r="C810" s="52" t="s">
        <v>218</v>
      </c>
      <c r="D810" s="52" t="s">
        <v>218</v>
      </c>
      <c r="E810" s="52" t="s">
        <v>584</v>
      </c>
      <c r="F810" s="52" t="s">
        <v>26</v>
      </c>
      <c r="G810" s="195" t="s">
        <v>279</v>
      </c>
      <c r="H810" s="195">
        <v>34.516550000000002</v>
      </c>
      <c r="I810" s="195">
        <v>29.415610000000001</v>
      </c>
      <c r="J810" s="195">
        <v>26.328900000000001</v>
      </c>
      <c r="K810" s="195">
        <v>25.646409999999999</v>
      </c>
      <c r="L810" s="195">
        <v>25.667110000000001</v>
      </c>
      <c r="M810" s="195">
        <v>23.603660000000001</v>
      </c>
      <c r="N810" s="195">
        <v>21.699770000000001</v>
      </c>
    </row>
    <row r="811" spans="1:14" hidden="1" x14ac:dyDescent="0.35">
      <c r="A811" s="52" t="s">
        <v>579</v>
      </c>
      <c r="B811" s="52" t="s">
        <v>37</v>
      </c>
      <c r="C811" s="52" t="s">
        <v>218</v>
      </c>
      <c r="D811" s="52" t="s">
        <v>218</v>
      </c>
      <c r="E811" s="52" t="s">
        <v>594</v>
      </c>
      <c r="F811" s="52" t="s">
        <v>581</v>
      </c>
      <c r="G811" s="195" t="s">
        <v>275</v>
      </c>
      <c r="H811" s="195">
        <v>0.560751</v>
      </c>
      <c r="I811" s="195">
        <v>0.52249350000000006</v>
      </c>
      <c r="J811" s="195">
        <v>2.5351520000000001</v>
      </c>
      <c r="K811" s="195">
        <v>3.5436209999999999</v>
      </c>
      <c r="L811" s="195">
        <v>3.3132459999999999</v>
      </c>
      <c r="M811" s="195">
        <v>0.88572360000000006</v>
      </c>
      <c r="N811" s="195">
        <v>0.63634809999999997</v>
      </c>
    </row>
    <row r="812" spans="1:14" hidden="1" x14ac:dyDescent="0.35">
      <c r="A812" s="52" t="s">
        <v>579</v>
      </c>
      <c r="B812" s="52" t="s">
        <v>37</v>
      </c>
      <c r="C812" s="52" t="s">
        <v>218</v>
      </c>
      <c r="D812" s="52" t="s">
        <v>218</v>
      </c>
      <c r="E812" s="52" t="s">
        <v>594</v>
      </c>
      <c r="F812" s="52" t="s">
        <v>581</v>
      </c>
      <c r="G812" s="195" t="s">
        <v>276</v>
      </c>
      <c r="H812" s="195">
        <v>2.7646890000000002</v>
      </c>
      <c r="I812" s="195">
        <v>-1.8387370000000001</v>
      </c>
      <c r="J812" s="195">
        <v>-1.182231</v>
      </c>
      <c r="K812" s="195">
        <v>-1.9640500000000001</v>
      </c>
      <c r="L812" s="195">
        <v>-1.7606949999999999</v>
      </c>
      <c r="M812" s="195">
        <v>-0.28403479999999998</v>
      </c>
      <c r="N812" s="195">
        <v>0.21088319999999999</v>
      </c>
    </row>
    <row r="813" spans="1:14" hidden="1" x14ac:dyDescent="0.35">
      <c r="A813" s="52" t="s">
        <v>579</v>
      </c>
      <c r="B813" s="52" t="s">
        <v>37</v>
      </c>
      <c r="C813" s="52" t="s">
        <v>218</v>
      </c>
      <c r="D813" s="52" t="s">
        <v>218</v>
      </c>
      <c r="E813" s="52" t="s">
        <v>594</v>
      </c>
      <c r="F813" s="52" t="s">
        <v>581</v>
      </c>
      <c r="G813" s="195" t="s">
        <v>277</v>
      </c>
      <c r="H813" s="195">
        <v>25.3</v>
      </c>
      <c r="I813" s="195">
        <v>6.3112019999999998</v>
      </c>
      <c r="J813" s="195">
        <v>1.0744959999999999</v>
      </c>
      <c r="K813" s="195">
        <v>1.106328</v>
      </c>
      <c r="L813" s="195">
        <v>0.93246260000000003</v>
      </c>
      <c r="M813" s="195">
        <v>1.0713200000000001</v>
      </c>
      <c r="N813" s="195">
        <v>1.104098</v>
      </c>
    </row>
    <row r="814" spans="1:14" hidden="1" x14ac:dyDescent="0.35">
      <c r="A814" s="52" t="s">
        <v>579</v>
      </c>
      <c r="B814" s="52" t="s">
        <v>37</v>
      </c>
      <c r="C814" s="52" t="s">
        <v>218</v>
      </c>
      <c r="D814" s="52" t="s">
        <v>218</v>
      </c>
      <c r="E814" s="52" t="s">
        <v>594</v>
      </c>
      <c r="F814" s="52" t="s">
        <v>581</v>
      </c>
      <c r="G814" s="195" t="s">
        <v>278</v>
      </c>
      <c r="H814" s="195">
        <v>0</v>
      </c>
      <c r="I814" s="195">
        <v>2.4053939999999998</v>
      </c>
      <c r="J814" s="195">
        <v>3.7402600000000001</v>
      </c>
      <c r="K814" s="195">
        <v>2.600438</v>
      </c>
      <c r="L814" s="195">
        <v>2.227554</v>
      </c>
      <c r="M814" s="195">
        <v>2.7901530000000001</v>
      </c>
      <c r="N814" s="195">
        <v>3.3096420000000002</v>
      </c>
    </row>
    <row r="815" spans="1:14" hidden="1" x14ac:dyDescent="0.35">
      <c r="A815" s="52" t="s">
        <v>579</v>
      </c>
      <c r="B815" s="52" t="s">
        <v>37</v>
      </c>
      <c r="C815" s="52" t="s">
        <v>218</v>
      </c>
      <c r="D815" s="52" t="s">
        <v>218</v>
      </c>
      <c r="E815" s="52" t="s">
        <v>594</v>
      </c>
      <c r="F815" s="52" t="s">
        <v>581</v>
      </c>
      <c r="G815" s="195" t="s">
        <v>279</v>
      </c>
      <c r="H815" s="195">
        <v>7.96448</v>
      </c>
      <c r="I815" s="195">
        <v>5.2393809999999998</v>
      </c>
      <c r="J815" s="195">
        <v>5.0571840000000003</v>
      </c>
      <c r="K815" s="195">
        <v>4.5649810000000004</v>
      </c>
      <c r="L815" s="195">
        <v>4.7762399999999996</v>
      </c>
      <c r="M815" s="195">
        <v>4.017404</v>
      </c>
      <c r="N815" s="195">
        <v>4.3318490000000001</v>
      </c>
    </row>
    <row r="816" spans="1:14" hidden="1" x14ac:dyDescent="0.35">
      <c r="A816" s="52" t="s">
        <v>579</v>
      </c>
      <c r="B816" s="52" t="s">
        <v>37</v>
      </c>
      <c r="C816" s="52" t="s">
        <v>218</v>
      </c>
      <c r="D816" s="52" t="s">
        <v>218</v>
      </c>
      <c r="E816" s="52" t="s">
        <v>594</v>
      </c>
      <c r="F816" s="52" t="s">
        <v>26</v>
      </c>
      <c r="G816" s="195" t="s">
        <v>275</v>
      </c>
      <c r="H816" s="195">
        <v>0.180424</v>
      </c>
      <c r="I816" s="195">
        <v>0.1010876</v>
      </c>
      <c r="J816" s="195">
        <v>0.12778200000000001</v>
      </c>
      <c r="K816" s="195">
        <v>9.0646199999999996E-2</v>
      </c>
      <c r="L816" s="195">
        <v>4.4976000000000002E-2</v>
      </c>
      <c r="M816" s="195">
        <v>4.8389599999999998E-2</v>
      </c>
      <c r="N816" s="195">
        <v>6.0676210000000001E-2</v>
      </c>
    </row>
    <row r="817" spans="1:14" hidden="1" x14ac:dyDescent="0.35">
      <c r="A817" s="52" t="s">
        <v>579</v>
      </c>
      <c r="B817" s="52" t="s">
        <v>37</v>
      </c>
      <c r="C817" s="52" t="s">
        <v>218</v>
      </c>
      <c r="D817" s="52" t="s">
        <v>218</v>
      </c>
      <c r="E817" s="52" t="s">
        <v>594</v>
      </c>
      <c r="F817" s="52" t="s">
        <v>26</v>
      </c>
      <c r="G817" s="195" t="s">
        <v>276</v>
      </c>
      <c r="H817" s="195">
        <v>4.7960999999999997E-2</v>
      </c>
      <c r="I817" s="195">
        <v>2.68714E-2</v>
      </c>
      <c r="J817" s="195">
        <v>3.3967799999999999E-2</v>
      </c>
      <c r="K817" s="195">
        <v>2.4095200000000001E-2</v>
      </c>
      <c r="L817" s="195">
        <v>1.1956E-2</v>
      </c>
      <c r="M817" s="195">
        <v>1.2862800000000001E-2</v>
      </c>
      <c r="N817" s="195">
        <v>1.6130200000000001E-2</v>
      </c>
    </row>
    <row r="818" spans="1:14" hidden="1" x14ac:dyDescent="0.35">
      <c r="A818" s="52" t="s">
        <v>579</v>
      </c>
      <c r="B818" s="52" t="s">
        <v>37</v>
      </c>
      <c r="C818" s="52" t="s">
        <v>218</v>
      </c>
      <c r="D818" s="52" t="s">
        <v>218</v>
      </c>
      <c r="E818" s="52" t="s">
        <v>594</v>
      </c>
      <c r="F818" s="52" t="s">
        <v>26</v>
      </c>
      <c r="G818" s="195" t="s">
        <v>279</v>
      </c>
      <c r="H818" s="195">
        <v>0.64495000000000002</v>
      </c>
      <c r="I818" s="195">
        <v>0.65239579999999997</v>
      </c>
      <c r="J818" s="195">
        <v>0.64993749999999995</v>
      </c>
      <c r="K818" s="195">
        <v>0.59386119999999998</v>
      </c>
      <c r="L818" s="195">
        <v>0.62105180000000004</v>
      </c>
      <c r="M818" s="195">
        <v>0.51772359999999995</v>
      </c>
      <c r="N818" s="195">
        <v>0.5562764</v>
      </c>
    </row>
    <row r="819" spans="1:14" hidden="1" x14ac:dyDescent="0.35">
      <c r="A819" s="52" t="s">
        <v>579</v>
      </c>
      <c r="B819" s="52" t="s">
        <v>37</v>
      </c>
      <c r="C819" s="52" t="s">
        <v>61</v>
      </c>
      <c r="D819" s="52" t="s">
        <v>62</v>
      </c>
      <c r="E819" s="52" t="s">
        <v>584</v>
      </c>
      <c r="F819" s="52" t="s">
        <v>581</v>
      </c>
      <c r="G819" s="195" t="s">
        <v>275</v>
      </c>
      <c r="H819" s="195">
        <v>1295.3320000000001</v>
      </c>
      <c r="I819" s="195">
        <v>193.57689999999999</v>
      </c>
      <c r="J819" s="195">
        <v>255.16040000000001</v>
      </c>
      <c r="K819" s="195">
        <v>213.67859999999999</v>
      </c>
      <c r="L819" s="195">
        <v>113.63039999999999</v>
      </c>
      <c r="M819" s="195">
        <v>63.212310000000002</v>
      </c>
      <c r="N819" s="195">
        <v>-49.46593</v>
      </c>
    </row>
    <row r="820" spans="1:14" hidden="1" x14ac:dyDescent="0.35">
      <c r="A820" s="52" t="s">
        <v>579</v>
      </c>
      <c r="B820" s="52" t="s">
        <v>37</v>
      </c>
      <c r="C820" s="52" t="s">
        <v>61</v>
      </c>
      <c r="D820" s="52" t="s">
        <v>62</v>
      </c>
      <c r="E820" s="52" t="s">
        <v>584</v>
      </c>
      <c r="F820" s="52" t="s">
        <v>581</v>
      </c>
      <c r="G820" s="195" t="s">
        <v>276</v>
      </c>
      <c r="H820" s="195">
        <v>9.6429939999999998</v>
      </c>
      <c r="I820" s="195">
        <v>-132.1266</v>
      </c>
      <c r="J820" s="195">
        <v>-247.31800000000001</v>
      </c>
      <c r="K820" s="195">
        <v>-332.09629999999999</v>
      </c>
      <c r="L820" s="195">
        <v>-296.26280000000003</v>
      </c>
      <c r="M820" s="195">
        <v>-272.05779999999999</v>
      </c>
      <c r="N820" s="195">
        <v>-225.53469999999999</v>
      </c>
    </row>
    <row r="821" spans="1:14" hidden="1" x14ac:dyDescent="0.35">
      <c r="A821" s="52" t="s">
        <v>579</v>
      </c>
      <c r="B821" s="52" t="s">
        <v>37</v>
      </c>
      <c r="C821" s="52" t="s">
        <v>61</v>
      </c>
      <c r="D821" s="52" t="s">
        <v>62</v>
      </c>
      <c r="E821" s="52" t="s">
        <v>584</v>
      </c>
      <c r="F821" s="52" t="s">
        <v>581</v>
      </c>
      <c r="G821" s="195" t="s">
        <v>277</v>
      </c>
      <c r="H821" s="195">
        <v>482.02449999999999</v>
      </c>
      <c r="I821" s="195">
        <v>242.94290000000001</v>
      </c>
      <c r="J821" s="195">
        <v>214.059</v>
      </c>
      <c r="K821" s="195">
        <v>163.76429999999999</v>
      </c>
      <c r="L821" s="195">
        <v>144.5326</v>
      </c>
      <c r="M821" s="195">
        <v>117.7747</v>
      </c>
      <c r="N821" s="195">
        <v>101.7302</v>
      </c>
    </row>
    <row r="822" spans="1:14" hidden="1" x14ac:dyDescent="0.35">
      <c r="A822" s="52" t="s">
        <v>579</v>
      </c>
      <c r="B822" s="52" t="s">
        <v>37</v>
      </c>
      <c r="C822" s="52" t="s">
        <v>61</v>
      </c>
      <c r="D822" s="52" t="s">
        <v>62</v>
      </c>
      <c r="E822" s="52" t="s">
        <v>584</v>
      </c>
      <c r="F822" s="52" t="s">
        <v>581</v>
      </c>
      <c r="G822" s="195" t="s">
        <v>278</v>
      </c>
      <c r="H822" s="195">
        <v>332.01979999999998</v>
      </c>
      <c r="I822" s="195">
        <v>190.05189999999999</v>
      </c>
      <c r="J822" s="195">
        <v>126.01130000000001</v>
      </c>
      <c r="K822" s="195">
        <v>207.64179999999999</v>
      </c>
      <c r="L822" s="195">
        <v>245.12430000000001</v>
      </c>
      <c r="M822" s="195">
        <v>264.64569999999998</v>
      </c>
      <c r="N822" s="195">
        <v>190.7209</v>
      </c>
    </row>
    <row r="823" spans="1:14" hidden="1" x14ac:dyDescent="0.35">
      <c r="A823" s="52" t="s">
        <v>579</v>
      </c>
      <c r="B823" s="52" t="s">
        <v>37</v>
      </c>
      <c r="C823" s="52" t="s">
        <v>61</v>
      </c>
      <c r="D823" s="52" t="s">
        <v>62</v>
      </c>
      <c r="E823" s="52" t="s">
        <v>584</v>
      </c>
      <c r="F823" s="52" t="s">
        <v>581</v>
      </c>
      <c r="G823" s="195" t="s">
        <v>279</v>
      </c>
      <c r="H823" s="195">
        <v>562.40740000000005</v>
      </c>
      <c r="I823" s="195">
        <v>453.75290000000001</v>
      </c>
      <c r="J823" s="195">
        <v>437.9631</v>
      </c>
      <c r="K823" s="195">
        <v>423.5924</v>
      </c>
      <c r="L823" s="195">
        <v>391.9144</v>
      </c>
      <c r="M823" s="195">
        <v>327.68369999999999</v>
      </c>
      <c r="N823" s="195">
        <v>398.94779999999997</v>
      </c>
    </row>
    <row r="824" spans="1:14" hidden="1" x14ac:dyDescent="0.35">
      <c r="A824" s="52" t="s">
        <v>579</v>
      </c>
      <c r="B824" s="52" t="s">
        <v>37</v>
      </c>
      <c r="C824" s="52" t="s">
        <v>61</v>
      </c>
      <c r="D824" s="52" t="s">
        <v>62</v>
      </c>
      <c r="E824" s="52" t="s">
        <v>584</v>
      </c>
      <c r="F824" s="52" t="s">
        <v>26</v>
      </c>
      <c r="G824" s="195" t="s">
        <v>275</v>
      </c>
      <c r="H824" s="195">
        <v>8.515117</v>
      </c>
      <c r="I824" s="195">
        <v>14.7723</v>
      </c>
      <c r="J824" s="195">
        <v>9.8620610000000006</v>
      </c>
      <c r="K824" s="195">
        <v>9.8484250000000007</v>
      </c>
      <c r="L824" s="195">
        <v>8.382809</v>
      </c>
      <c r="M824" s="195">
        <v>6.0623440000000004</v>
      </c>
      <c r="N824" s="195">
        <v>-18.272459999999999</v>
      </c>
    </row>
    <row r="825" spans="1:14" hidden="1" x14ac:dyDescent="0.35">
      <c r="A825" s="52" t="s">
        <v>579</v>
      </c>
      <c r="B825" s="52" t="s">
        <v>37</v>
      </c>
      <c r="C825" s="52" t="s">
        <v>61</v>
      </c>
      <c r="D825" s="52" t="s">
        <v>62</v>
      </c>
      <c r="E825" s="52" t="s">
        <v>584</v>
      </c>
      <c r="F825" s="52" t="s">
        <v>26</v>
      </c>
      <c r="G825" s="195" t="s">
        <v>276</v>
      </c>
      <c r="H825" s="195">
        <v>-3.928671</v>
      </c>
      <c r="I825" s="195">
        <v>2.1463589999999999</v>
      </c>
      <c r="J825" s="195">
        <v>1.7772509999999999</v>
      </c>
      <c r="K825" s="195">
        <v>0.88730629999999999</v>
      </c>
      <c r="L825" s="195">
        <v>1.6249450000000001</v>
      </c>
      <c r="M825" s="195">
        <v>1.5928009999999999</v>
      </c>
      <c r="N825" s="195">
        <v>-4.8270540000000004</v>
      </c>
    </row>
    <row r="826" spans="1:14" hidden="1" x14ac:dyDescent="0.35">
      <c r="A826" s="52" t="s">
        <v>579</v>
      </c>
      <c r="B826" s="52" t="s">
        <v>37</v>
      </c>
      <c r="C826" s="52" t="s">
        <v>61</v>
      </c>
      <c r="D826" s="52" t="s">
        <v>62</v>
      </c>
      <c r="E826" s="52" t="s">
        <v>584</v>
      </c>
      <c r="F826" s="52" t="s">
        <v>26</v>
      </c>
      <c r="G826" s="195" t="s">
        <v>277</v>
      </c>
      <c r="H826" s="195">
        <v>5.5850840000000002</v>
      </c>
      <c r="I826" s="195">
        <v>0.1257056</v>
      </c>
      <c r="J826" s="195">
        <v>6.898849E-2</v>
      </c>
      <c r="K826" s="195">
        <v>6.6388530000000001E-2</v>
      </c>
      <c r="L826" s="195">
        <v>2.07788E-2</v>
      </c>
      <c r="M826" s="195"/>
      <c r="N826" s="195">
        <v>0.18910840000000001</v>
      </c>
    </row>
    <row r="827" spans="1:14" hidden="1" x14ac:dyDescent="0.35">
      <c r="A827" s="52" t="s">
        <v>579</v>
      </c>
      <c r="B827" s="52" t="s">
        <v>37</v>
      </c>
      <c r="C827" s="52" t="s">
        <v>61</v>
      </c>
      <c r="D827" s="52" t="s">
        <v>62</v>
      </c>
      <c r="E827" s="52" t="s">
        <v>584</v>
      </c>
      <c r="F827" s="52" t="s">
        <v>26</v>
      </c>
      <c r="G827" s="195" t="s">
        <v>278</v>
      </c>
      <c r="H827" s="195"/>
      <c r="I827" s="195"/>
      <c r="J827" s="195">
        <v>0</v>
      </c>
      <c r="K827" s="195">
        <v>0</v>
      </c>
      <c r="L827" s="195">
        <v>0</v>
      </c>
      <c r="M827" s="195">
        <v>0</v>
      </c>
      <c r="N827" s="195">
        <v>0</v>
      </c>
    </row>
    <row r="828" spans="1:14" hidden="1" x14ac:dyDescent="0.35">
      <c r="A828" s="52" t="s">
        <v>579</v>
      </c>
      <c r="B828" s="52" t="s">
        <v>37</v>
      </c>
      <c r="C828" s="52" t="s">
        <v>61</v>
      </c>
      <c r="D828" s="52" t="s">
        <v>62</v>
      </c>
      <c r="E828" s="52" t="s">
        <v>584</v>
      </c>
      <c r="F828" s="52" t="s">
        <v>26</v>
      </c>
      <c r="G828" s="195" t="s">
        <v>279</v>
      </c>
      <c r="H828" s="195">
        <v>88.018039999999999</v>
      </c>
      <c r="I828" s="195">
        <v>50.077579999999998</v>
      </c>
      <c r="J828" s="195">
        <v>49.289929999999998</v>
      </c>
      <c r="K828" s="195">
        <v>44.078499999999998</v>
      </c>
      <c r="L828" s="195">
        <v>39.358580000000003</v>
      </c>
      <c r="M828" s="195">
        <v>33.238079999999997</v>
      </c>
      <c r="N828" s="195">
        <v>54.83032</v>
      </c>
    </row>
    <row r="829" spans="1:14" hidden="1" x14ac:dyDescent="0.35">
      <c r="A829" s="52" t="s">
        <v>579</v>
      </c>
      <c r="B829" s="52" t="s">
        <v>37</v>
      </c>
      <c r="C829" s="52" t="s">
        <v>99</v>
      </c>
      <c r="D829" s="52" t="s">
        <v>101</v>
      </c>
      <c r="E829" s="52" t="s">
        <v>584</v>
      </c>
      <c r="F829" s="52" t="s">
        <v>581</v>
      </c>
      <c r="G829" s="195" t="s">
        <v>275</v>
      </c>
      <c r="H829" s="195">
        <v>57.263280000000002</v>
      </c>
      <c r="I829" s="195">
        <v>10.262269999999999</v>
      </c>
      <c r="J829" s="195">
        <v>6.5282530000000003</v>
      </c>
      <c r="K829" s="195">
        <v>5.453055</v>
      </c>
      <c r="L829" s="195">
        <v>3.9462809999999999</v>
      </c>
      <c r="M829" s="195">
        <v>3.730378</v>
      </c>
      <c r="N829" s="195">
        <v>3.4315980000000001</v>
      </c>
    </row>
    <row r="830" spans="1:14" hidden="1" x14ac:dyDescent="0.35">
      <c r="A830" s="52" t="s">
        <v>579</v>
      </c>
      <c r="B830" s="52" t="s">
        <v>37</v>
      </c>
      <c r="C830" s="52" t="s">
        <v>99</v>
      </c>
      <c r="D830" s="52" t="s">
        <v>101</v>
      </c>
      <c r="E830" s="52" t="s">
        <v>584</v>
      </c>
      <c r="F830" s="52" t="s">
        <v>581</v>
      </c>
      <c r="G830" s="195" t="s">
        <v>276</v>
      </c>
      <c r="H830" s="195">
        <v>15.22189</v>
      </c>
      <c r="I830" s="195">
        <v>2.7279469999999999</v>
      </c>
      <c r="J830" s="195">
        <v>1.7353590000000001</v>
      </c>
      <c r="K830" s="195">
        <v>1.449549</v>
      </c>
      <c r="L830" s="195">
        <v>1.0490120000000001</v>
      </c>
      <c r="M830" s="195">
        <v>0.99162139999999999</v>
      </c>
      <c r="N830" s="195">
        <v>0.91219649999999997</v>
      </c>
    </row>
    <row r="831" spans="1:14" hidden="1" x14ac:dyDescent="0.35">
      <c r="A831" s="52" t="s">
        <v>579</v>
      </c>
      <c r="B831" s="52" t="s">
        <v>37</v>
      </c>
      <c r="C831" s="52" t="s">
        <v>99</v>
      </c>
      <c r="D831" s="52" t="s">
        <v>101</v>
      </c>
      <c r="E831" s="52" t="s">
        <v>584</v>
      </c>
      <c r="F831" s="52" t="s">
        <v>581</v>
      </c>
      <c r="G831" s="195" t="s">
        <v>279</v>
      </c>
      <c r="H831" s="195">
        <v>29.168970000000002</v>
      </c>
      <c r="I831" s="195">
        <v>18.9131</v>
      </c>
      <c r="J831" s="195">
        <v>15.944240000000001</v>
      </c>
      <c r="K831" s="195">
        <v>15.00958</v>
      </c>
      <c r="L831" s="195">
        <v>15.089029999999999</v>
      </c>
      <c r="M831" s="195">
        <v>13.7636</v>
      </c>
      <c r="N831" s="195">
        <v>12.62208</v>
      </c>
    </row>
    <row r="832" spans="1:14" hidden="1" x14ac:dyDescent="0.35">
      <c r="A832" s="52" t="s">
        <v>579</v>
      </c>
      <c r="B832" s="52" t="s">
        <v>37</v>
      </c>
      <c r="C832" s="52" t="s">
        <v>99</v>
      </c>
      <c r="D832" s="52" t="s">
        <v>101</v>
      </c>
      <c r="E832" s="52" t="s">
        <v>584</v>
      </c>
      <c r="F832" s="52" t="s">
        <v>26</v>
      </c>
      <c r="G832" s="195" t="s">
        <v>275</v>
      </c>
      <c r="H832" s="195">
        <v>-130.4402</v>
      </c>
      <c r="I832" s="195">
        <v>-10.983320000000001</v>
      </c>
      <c r="J832" s="195">
        <v>-6.9712199999999998</v>
      </c>
      <c r="K832" s="195">
        <v>1.215533</v>
      </c>
      <c r="L832" s="195">
        <v>-11.828189999999999</v>
      </c>
      <c r="M832" s="195">
        <v>-21.431730000000002</v>
      </c>
      <c r="N832" s="195">
        <v>-20.014500000000002</v>
      </c>
    </row>
    <row r="833" spans="1:14" hidden="1" x14ac:dyDescent="0.35">
      <c r="A833" s="52" t="s">
        <v>579</v>
      </c>
      <c r="B833" s="52" t="s">
        <v>37</v>
      </c>
      <c r="C833" s="52" t="s">
        <v>99</v>
      </c>
      <c r="D833" s="52" t="s">
        <v>101</v>
      </c>
      <c r="E833" s="52" t="s">
        <v>584</v>
      </c>
      <c r="F833" s="52" t="s">
        <v>26</v>
      </c>
      <c r="G833" s="195" t="s">
        <v>276</v>
      </c>
      <c r="H833" s="195">
        <v>-19.527560000000001</v>
      </c>
      <c r="I833" s="195">
        <v>-16.094609999999999</v>
      </c>
      <c r="J833" s="195">
        <v>-12.00487</v>
      </c>
      <c r="K833" s="195">
        <v>-24.68038</v>
      </c>
      <c r="L833" s="195">
        <v>-19.463940000000001</v>
      </c>
      <c r="M833" s="195">
        <v>-6.6702589999999997</v>
      </c>
      <c r="N833" s="195">
        <v>-6.0269069999999996</v>
      </c>
    </row>
    <row r="834" spans="1:14" hidden="1" x14ac:dyDescent="0.35">
      <c r="A834" s="52" t="s">
        <v>579</v>
      </c>
      <c r="B834" s="52" t="s">
        <v>37</v>
      </c>
      <c r="C834" s="52" t="s">
        <v>99</v>
      </c>
      <c r="D834" s="52" t="s">
        <v>101</v>
      </c>
      <c r="E834" s="52" t="s">
        <v>584</v>
      </c>
      <c r="F834" s="52" t="s">
        <v>26</v>
      </c>
      <c r="G834" s="195" t="s">
        <v>277</v>
      </c>
      <c r="H834" s="195">
        <v>168</v>
      </c>
      <c r="I834" s="195">
        <v>24.861180000000001</v>
      </c>
      <c r="J834" s="195">
        <v>21.401199999999999</v>
      </c>
      <c r="K834" s="195">
        <v>20.371690000000001</v>
      </c>
      <c r="L834" s="195">
        <v>19.955169999999999</v>
      </c>
      <c r="M834" s="195">
        <v>18.14236</v>
      </c>
      <c r="N834" s="195">
        <v>17.063590000000001</v>
      </c>
    </row>
    <row r="835" spans="1:14" hidden="1" x14ac:dyDescent="0.35">
      <c r="A835" s="52" t="s">
        <v>579</v>
      </c>
      <c r="B835" s="52" t="s">
        <v>37</v>
      </c>
      <c r="C835" s="52" t="s">
        <v>99</v>
      </c>
      <c r="D835" s="52" t="s">
        <v>101</v>
      </c>
      <c r="E835" s="52" t="s">
        <v>584</v>
      </c>
      <c r="F835" s="52" t="s">
        <v>26</v>
      </c>
      <c r="G835" s="195" t="s">
        <v>279</v>
      </c>
      <c r="H835" s="195">
        <v>167.0257</v>
      </c>
      <c r="I835" s="195">
        <v>125.2663</v>
      </c>
      <c r="J835" s="195">
        <v>109.1635</v>
      </c>
      <c r="K835" s="195">
        <v>105.1414</v>
      </c>
      <c r="L835" s="195">
        <v>105.4046</v>
      </c>
      <c r="M835" s="195">
        <v>96.780529999999999</v>
      </c>
      <c r="N835" s="195">
        <v>89.162819999999996</v>
      </c>
    </row>
    <row r="836" spans="1:14" hidden="1" x14ac:dyDescent="0.35">
      <c r="A836" s="52" t="s">
        <v>579</v>
      </c>
      <c r="B836" s="52" t="s">
        <v>37</v>
      </c>
      <c r="C836" s="52" t="s">
        <v>115</v>
      </c>
      <c r="D836" s="52" t="s">
        <v>115</v>
      </c>
      <c r="E836" s="52" t="s">
        <v>595</v>
      </c>
      <c r="F836" s="52" t="s">
        <v>581</v>
      </c>
      <c r="G836" s="195" t="s">
        <v>275</v>
      </c>
      <c r="H836" s="195">
        <v>-31.608730000000001</v>
      </c>
      <c r="I836" s="195">
        <v>-2.573013</v>
      </c>
      <c r="J836" s="195">
        <v>-1.6913659999999999</v>
      </c>
      <c r="K836" s="195">
        <v>4.3534730000000001</v>
      </c>
      <c r="L836" s="195">
        <v>6.1165200000000004</v>
      </c>
      <c r="M836" s="195">
        <v>3.0490529999999998</v>
      </c>
      <c r="N836" s="195">
        <v>2.4226800000000002</v>
      </c>
    </row>
    <row r="837" spans="1:14" hidden="1" x14ac:dyDescent="0.35">
      <c r="A837" s="52" t="s">
        <v>579</v>
      </c>
      <c r="B837" s="52" t="s">
        <v>37</v>
      </c>
      <c r="C837" s="52" t="s">
        <v>115</v>
      </c>
      <c r="D837" s="52" t="s">
        <v>115</v>
      </c>
      <c r="E837" s="52" t="s">
        <v>595</v>
      </c>
      <c r="F837" s="52" t="s">
        <v>581</v>
      </c>
      <c r="G837" s="195" t="s">
        <v>276</v>
      </c>
      <c r="H837" s="195">
        <v>0.72900810000000005</v>
      </c>
      <c r="I837" s="195">
        <v>-1.522861</v>
      </c>
      <c r="J837" s="195">
        <v>-1.502065</v>
      </c>
      <c r="K837" s="195">
        <v>-2.675729</v>
      </c>
      <c r="L837" s="195">
        <v>-4.9996580000000002</v>
      </c>
      <c r="M837" s="195">
        <v>-0.89594620000000003</v>
      </c>
      <c r="N837" s="195">
        <v>-0.55411480000000002</v>
      </c>
    </row>
    <row r="838" spans="1:14" hidden="1" x14ac:dyDescent="0.35">
      <c r="A838" s="52" t="s">
        <v>579</v>
      </c>
      <c r="B838" s="52" t="s">
        <v>37</v>
      </c>
      <c r="C838" s="52" t="s">
        <v>115</v>
      </c>
      <c r="D838" s="52" t="s">
        <v>115</v>
      </c>
      <c r="E838" s="52" t="s">
        <v>595</v>
      </c>
      <c r="F838" s="52" t="s">
        <v>581</v>
      </c>
      <c r="G838" s="195" t="s">
        <v>277</v>
      </c>
      <c r="H838" s="195">
        <v>57.35</v>
      </c>
      <c r="I838" s="195">
        <v>7.5859880000000004</v>
      </c>
      <c r="J838" s="195">
        <v>1.1813</v>
      </c>
      <c r="K838" s="195">
        <v>0.67993440000000005</v>
      </c>
      <c r="L838" s="195">
        <v>0.46449099999999999</v>
      </c>
      <c r="M838" s="195">
        <v>0</v>
      </c>
      <c r="N838" s="195">
        <v>0</v>
      </c>
    </row>
    <row r="839" spans="1:14" hidden="1" x14ac:dyDescent="0.35">
      <c r="A839" s="52" t="s">
        <v>579</v>
      </c>
      <c r="B839" s="52" t="s">
        <v>37</v>
      </c>
      <c r="C839" s="52" t="s">
        <v>115</v>
      </c>
      <c r="D839" s="52" t="s">
        <v>115</v>
      </c>
      <c r="E839" s="52" t="s">
        <v>595</v>
      </c>
      <c r="F839" s="52" t="s">
        <v>581</v>
      </c>
      <c r="G839" s="195" t="s">
        <v>278</v>
      </c>
      <c r="H839" s="195">
        <v>0</v>
      </c>
      <c r="I839" s="195">
        <v>4.2339719999999996</v>
      </c>
      <c r="J839" s="195">
        <v>8.1232140000000008</v>
      </c>
      <c r="K839" s="195">
        <v>3.2432349999999999</v>
      </c>
      <c r="L839" s="195">
        <v>1.5290760000000001</v>
      </c>
      <c r="M839" s="195">
        <v>0.24482000000000001</v>
      </c>
      <c r="N839" s="195">
        <v>0</v>
      </c>
    </row>
    <row r="840" spans="1:14" hidden="1" x14ac:dyDescent="0.35">
      <c r="A840" s="52" t="s">
        <v>579</v>
      </c>
      <c r="B840" s="52" t="s">
        <v>37</v>
      </c>
      <c r="C840" s="52" t="s">
        <v>115</v>
      </c>
      <c r="D840" s="52" t="s">
        <v>115</v>
      </c>
      <c r="E840" s="52" t="s">
        <v>595</v>
      </c>
      <c r="F840" s="52" t="s">
        <v>581</v>
      </c>
      <c r="G840" s="195" t="s">
        <v>279</v>
      </c>
      <c r="H840" s="195">
        <v>12.914</v>
      </c>
      <c r="I840" s="195">
        <v>15.851290000000001</v>
      </c>
      <c r="J840" s="195">
        <v>16.629829999999998</v>
      </c>
      <c r="K840" s="195">
        <v>16.725950000000001</v>
      </c>
      <c r="L840" s="195">
        <v>14.190770000000001</v>
      </c>
      <c r="M840" s="195">
        <v>10.50591</v>
      </c>
      <c r="N840" s="195">
        <v>8.3388439999999999</v>
      </c>
    </row>
    <row r="841" spans="1:14" hidden="1" x14ac:dyDescent="0.35">
      <c r="A841" s="52" t="s">
        <v>579</v>
      </c>
      <c r="B841" s="52" t="s">
        <v>37</v>
      </c>
      <c r="C841" s="52" t="s">
        <v>115</v>
      </c>
      <c r="D841" s="52" t="s">
        <v>115</v>
      </c>
      <c r="E841" s="52" t="s">
        <v>595</v>
      </c>
      <c r="F841" s="52" t="s">
        <v>26</v>
      </c>
      <c r="G841" s="195" t="s">
        <v>275</v>
      </c>
      <c r="H841" s="195">
        <v>-0.42317500000000002</v>
      </c>
      <c r="I841" s="195">
        <v>-1.2182729999999999</v>
      </c>
      <c r="J841" s="195">
        <v>-1.04043</v>
      </c>
      <c r="K841" s="195">
        <v>-1.246218</v>
      </c>
      <c r="L841" s="195">
        <v>-1.47194</v>
      </c>
      <c r="M841" s="195">
        <v>-1.07213</v>
      </c>
      <c r="N841" s="195">
        <v>-0.85238899999999995</v>
      </c>
    </row>
    <row r="842" spans="1:14" hidden="1" x14ac:dyDescent="0.35">
      <c r="A842" s="52" t="s">
        <v>579</v>
      </c>
      <c r="B842" s="52" t="s">
        <v>37</v>
      </c>
      <c r="C842" s="52" t="s">
        <v>115</v>
      </c>
      <c r="D842" s="52" t="s">
        <v>115</v>
      </c>
      <c r="E842" s="52" t="s">
        <v>595</v>
      </c>
      <c r="F842" s="52" t="s">
        <v>26</v>
      </c>
      <c r="G842" s="195" t="s">
        <v>276</v>
      </c>
      <c r="H842" s="195">
        <v>-0.112488</v>
      </c>
      <c r="I842" s="195">
        <v>-0.32384400000000002</v>
      </c>
      <c r="J842" s="195">
        <v>-0.27657120000000002</v>
      </c>
      <c r="K842" s="195">
        <v>-0.33127200000000001</v>
      </c>
      <c r="L842" s="195">
        <v>-0.39127499999999998</v>
      </c>
      <c r="M842" s="195">
        <v>-0.28499639999999998</v>
      </c>
      <c r="N842" s="195">
        <v>-0.2265846</v>
      </c>
    </row>
    <row r="843" spans="1:14" hidden="1" x14ac:dyDescent="0.35">
      <c r="A843" s="52" t="s">
        <v>579</v>
      </c>
      <c r="B843" s="52" t="s">
        <v>37</v>
      </c>
      <c r="C843" s="52" t="s">
        <v>115</v>
      </c>
      <c r="D843" s="52" t="s">
        <v>115</v>
      </c>
      <c r="E843" s="52" t="s">
        <v>595</v>
      </c>
      <c r="F843" s="52" t="s">
        <v>26</v>
      </c>
      <c r="G843" s="195" t="s">
        <v>279</v>
      </c>
      <c r="H843" s="195">
        <v>5.3502650000000003</v>
      </c>
      <c r="I843" s="195">
        <v>7.4750490000000003</v>
      </c>
      <c r="J843" s="195">
        <v>8.0180070000000008</v>
      </c>
      <c r="K843" s="195">
        <v>8.1450800000000001</v>
      </c>
      <c r="L843" s="195">
        <v>6.8826919999999996</v>
      </c>
      <c r="M843" s="195">
        <v>5.103491</v>
      </c>
      <c r="N843" s="195">
        <v>4.052365</v>
      </c>
    </row>
    <row r="844" spans="1:14" hidden="1" x14ac:dyDescent="0.35">
      <c r="A844" s="52" t="s">
        <v>579</v>
      </c>
      <c r="B844" s="52" t="s">
        <v>37</v>
      </c>
      <c r="C844" s="52" t="s">
        <v>115</v>
      </c>
      <c r="D844" s="52" t="s">
        <v>115</v>
      </c>
      <c r="E844" s="52" t="s">
        <v>584</v>
      </c>
      <c r="F844" s="52" t="s">
        <v>581</v>
      </c>
      <c r="G844" s="195" t="s">
        <v>275</v>
      </c>
      <c r="H844" s="195">
        <v>11.8217</v>
      </c>
      <c r="I844" s="195">
        <v>-2.6021010000000002</v>
      </c>
      <c r="J844" s="195">
        <v>-2.4454259999999999</v>
      </c>
      <c r="K844" s="195">
        <v>0.10074610000000001</v>
      </c>
      <c r="L844" s="195">
        <v>-1.0525260000000001</v>
      </c>
      <c r="M844" s="195">
        <v>-0.81597330000000001</v>
      </c>
      <c r="N844" s="195">
        <v>-0.63151820000000003</v>
      </c>
    </row>
    <row r="845" spans="1:14" hidden="1" x14ac:dyDescent="0.35">
      <c r="A845" s="52" t="s">
        <v>579</v>
      </c>
      <c r="B845" s="52" t="s">
        <v>37</v>
      </c>
      <c r="C845" s="52" t="s">
        <v>115</v>
      </c>
      <c r="D845" s="52" t="s">
        <v>115</v>
      </c>
      <c r="E845" s="52" t="s">
        <v>584</v>
      </c>
      <c r="F845" s="52" t="s">
        <v>581</v>
      </c>
      <c r="G845" s="195" t="s">
        <v>276</v>
      </c>
      <c r="H845" s="195">
        <v>1.2573259999999999</v>
      </c>
      <c r="I845" s="195">
        <v>-0.32705079999999997</v>
      </c>
      <c r="J845" s="195">
        <v>-0.6831334</v>
      </c>
      <c r="K845" s="195">
        <v>-2.704653</v>
      </c>
      <c r="L845" s="195">
        <v>-1.1116619999999999</v>
      </c>
      <c r="M845" s="195">
        <v>-0.87883909999999998</v>
      </c>
      <c r="N845" s="195">
        <v>-0.69960299999999997</v>
      </c>
    </row>
    <row r="846" spans="1:14" hidden="1" x14ac:dyDescent="0.35">
      <c r="A846" s="52" t="s">
        <v>579</v>
      </c>
      <c r="B846" s="52" t="s">
        <v>37</v>
      </c>
      <c r="C846" s="52" t="s">
        <v>115</v>
      </c>
      <c r="D846" s="52" t="s">
        <v>115</v>
      </c>
      <c r="E846" s="52" t="s">
        <v>584</v>
      </c>
      <c r="F846" s="52" t="s">
        <v>581</v>
      </c>
      <c r="G846" s="195" t="s">
        <v>277</v>
      </c>
      <c r="H846" s="195">
        <v>10.199999999999999</v>
      </c>
      <c r="I846" s="195">
        <v>8.2507059999999992</v>
      </c>
      <c r="J846" s="195">
        <v>6.7233700000000001</v>
      </c>
      <c r="K846" s="195">
        <v>5.5133479999999997</v>
      </c>
      <c r="L846" s="195">
        <v>4.5450949999999999</v>
      </c>
      <c r="M846" s="195">
        <v>3.7634409999999998</v>
      </c>
      <c r="N846" s="195">
        <v>3.1275750000000002</v>
      </c>
    </row>
    <row r="847" spans="1:14" hidden="1" x14ac:dyDescent="0.35">
      <c r="A847" s="52" t="s">
        <v>579</v>
      </c>
      <c r="B847" s="52" t="s">
        <v>37</v>
      </c>
      <c r="C847" s="52" t="s">
        <v>115</v>
      </c>
      <c r="D847" s="52" t="s">
        <v>115</v>
      </c>
      <c r="E847" s="52" t="s">
        <v>584</v>
      </c>
      <c r="F847" s="52" t="s">
        <v>581</v>
      </c>
      <c r="G847" s="195" t="s">
        <v>279</v>
      </c>
      <c r="H847" s="195">
        <v>7.0847610000000003</v>
      </c>
      <c r="I847" s="195">
        <v>4.1582059999999998</v>
      </c>
      <c r="J847" s="195">
        <v>3.3133110000000001</v>
      </c>
      <c r="K847" s="195">
        <v>2.998875</v>
      </c>
      <c r="L847" s="195">
        <v>2.684911</v>
      </c>
      <c r="M847" s="195">
        <v>2.2835640000000001</v>
      </c>
      <c r="N847" s="195">
        <v>1.9486790000000001</v>
      </c>
    </row>
    <row r="848" spans="1:14" hidden="1" x14ac:dyDescent="0.35">
      <c r="A848" s="52" t="s">
        <v>579</v>
      </c>
      <c r="B848" s="52" t="s">
        <v>37</v>
      </c>
      <c r="C848" s="52" t="s">
        <v>115</v>
      </c>
      <c r="D848" s="52" t="s">
        <v>115</v>
      </c>
      <c r="E848" s="52" t="s">
        <v>596</v>
      </c>
      <c r="F848" s="52" t="s">
        <v>581</v>
      </c>
      <c r="G848" s="195" t="s">
        <v>275</v>
      </c>
      <c r="H848" s="195">
        <v>-14.01989</v>
      </c>
      <c r="I848" s="195">
        <v>0.4051574</v>
      </c>
      <c r="J848" s="195">
        <v>1.1804600000000001</v>
      </c>
      <c r="K848" s="195">
        <v>1.6722600000000001</v>
      </c>
      <c r="L848" s="195">
        <v>1.9051149999999999</v>
      </c>
      <c r="M848" s="195">
        <v>0.33899439999999997</v>
      </c>
      <c r="N848" s="195">
        <v>0.19130159999999999</v>
      </c>
    </row>
    <row r="849" spans="1:14" hidden="1" x14ac:dyDescent="0.35">
      <c r="A849" s="52" t="s">
        <v>579</v>
      </c>
      <c r="B849" s="52" t="s">
        <v>37</v>
      </c>
      <c r="C849" s="52" t="s">
        <v>115</v>
      </c>
      <c r="D849" s="52" t="s">
        <v>115</v>
      </c>
      <c r="E849" s="52" t="s">
        <v>596</v>
      </c>
      <c r="F849" s="52" t="s">
        <v>581</v>
      </c>
      <c r="G849" s="195" t="s">
        <v>276</v>
      </c>
      <c r="H849" s="195">
        <v>-9.9645990000000004E-2</v>
      </c>
      <c r="I849" s="195">
        <v>-0.92478579999999999</v>
      </c>
      <c r="J849" s="195">
        <v>-0.65033660000000004</v>
      </c>
      <c r="K849" s="195">
        <v>-1.193009</v>
      </c>
      <c r="L849" s="195">
        <v>-1.6354550000000001</v>
      </c>
      <c r="M849" s="195">
        <v>-8.2650589999999996E-2</v>
      </c>
      <c r="N849" s="195">
        <v>3.9940200000000002E-2</v>
      </c>
    </row>
    <row r="850" spans="1:14" hidden="1" x14ac:dyDescent="0.35">
      <c r="A850" s="52" t="s">
        <v>579</v>
      </c>
      <c r="B850" s="52" t="s">
        <v>37</v>
      </c>
      <c r="C850" s="52" t="s">
        <v>115</v>
      </c>
      <c r="D850" s="52" t="s">
        <v>115</v>
      </c>
      <c r="E850" s="52" t="s">
        <v>596</v>
      </c>
      <c r="F850" s="52" t="s">
        <v>581</v>
      </c>
      <c r="G850" s="195" t="s">
        <v>277</v>
      </c>
      <c r="H850" s="195">
        <v>19.25</v>
      </c>
      <c r="I850" s="195">
        <v>1.5616620000000001</v>
      </c>
      <c r="J850" s="195">
        <v>0.1002256</v>
      </c>
      <c r="K850" s="195">
        <v>0</v>
      </c>
      <c r="L850" s="195"/>
      <c r="M850" s="195">
        <v>0</v>
      </c>
      <c r="N850" s="195">
        <v>0</v>
      </c>
    </row>
    <row r="851" spans="1:14" hidden="1" x14ac:dyDescent="0.35">
      <c r="A851" s="52" t="s">
        <v>579</v>
      </c>
      <c r="B851" s="52" t="s">
        <v>37</v>
      </c>
      <c r="C851" s="52" t="s">
        <v>115</v>
      </c>
      <c r="D851" s="52" t="s">
        <v>115</v>
      </c>
      <c r="E851" s="52" t="s">
        <v>596</v>
      </c>
      <c r="F851" s="52" t="s">
        <v>581</v>
      </c>
      <c r="G851" s="195" t="s">
        <v>279</v>
      </c>
      <c r="H851" s="195">
        <v>2.4985430000000002</v>
      </c>
      <c r="I851" s="195">
        <v>2.1382310000000002</v>
      </c>
      <c r="J851" s="195">
        <v>1.783067</v>
      </c>
      <c r="K851" s="195">
        <v>1.488942</v>
      </c>
      <c r="L851" s="195">
        <v>1.4316150000000001</v>
      </c>
      <c r="M851" s="195">
        <v>1.2592509999999999</v>
      </c>
      <c r="N851" s="195">
        <v>1.1276710000000001</v>
      </c>
    </row>
    <row r="852" spans="1:14" hidden="1" x14ac:dyDescent="0.35">
      <c r="A852" s="52" t="s">
        <v>579</v>
      </c>
      <c r="B852" s="52" t="s">
        <v>37</v>
      </c>
      <c r="C852" s="52" t="s">
        <v>115</v>
      </c>
      <c r="D852" s="52" t="s">
        <v>115</v>
      </c>
      <c r="E852" s="52" t="s">
        <v>596</v>
      </c>
      <c r="F852" s="52" t="s">
        <v>26</v>
      </c>
      <c r="G852" s="195" t="s">
        <v>275</v>
      </c>
      <c r="H852" s="195">
        <v>-5.1889989999999997E-3</v>
      </c>
      <c r="I852" s="195">
        <v>-4.3484399999999999E-2</v>
      </c>
      <c r="J852" s="195">
        <v>-2.4994800000000001E-2</v>
      </c>
      <c r="K852" s="195">
        <v>-2.8571200000000001E-2</v>
      </c>
      <c r="L852" s="195">
        <v>-4.7391799999999998E-2</v>
      </c>
      <c r="M852" s="195">
        <v>-4.0377999999999997E-2</v>
      </c>
      <c r="N852" s="195">
        <v>-3.5972400000000002E-2</v>
      </c>
    </row>
    <row r="853" spans="1:14" hidden="1" x14ac:dyDescent="0.35">
      <c r="A853" s="52" t="s">
        <v>579</v>
      </c>
      <c r="B853" s="52" t="s">
        <v>37</v>
      </c>
      <c r="C853" s="52" t="s">
        <v>115</v>
      </c>
      <c r="D853" s="52" t="s">
        <v>115</v>
      </c>
      <c r="E853" s="52" t="s">
        <v>596</v>
      </c>
      <c r="F853" s="52" t="s">
        <v>26</v>
      </c>
      <c r="G853" s="195" t="s">
        <v>276</v>
      </c>
      <c r="H853" s="195">
        <v>-1.379E-3</v>
      </c>
      <c r="I853" s="195">
        <v>-1.15584E-2</v>
      </c>
      <c r="J853" s="195">
        <v>-6.6451990000000001E-3</v>
      </c>
      <c r="K853" s="195">
        <v>-7.5951999999999999E-3</v>
      </c>
      <c r="L853" s="195">
        <v>-1.2597199999999999E-2</v>
      </c>
      <c r="M853" s="195">
        <v>-1.0732999999999999E-2</v>
      </c>
      <c r="N853" s="195">
        <v>-9.5618000000000005E-3</v>
      </c>
    </row>
    <row r="854" spans="1:14" hidden="1" x14ac:dyDescent="0.35">
      <c r="A854" s="52" t="s">
        <v>579</v>
      </c>
      <c r="B854" s="52" t="s">
        <v>37</v>
      </c>
      <c r="C854" s="52" t="s">
        <v>115</v>
      </c>
      <c r="D854" s="52" t="s">
        <v>115</v>
      </c>
      <c r="E854" s="52" t="s">
        <v>596</v>
      </c>
      <c r="F854" s="52" t="s">
        <v>26</v>
      </c>
      <c r="G854" s="195" t="s">
        <v>279</v>
      </c>
      <c r="H854" s="195">
        <v>0.42803400000000003</v>
      </c>
      <c r="I854" s="195">
        <v>0.418653</v>
      </c>
      <c r="J854" s="195">
        <v>0.35596280000000002</v>
      </c>
      <c r="K854" s="195">
        <v>0.30017460000000001</v>
      </c>
      <c r="L854" s="195">
        <v>0.2876512</v>
      </c>
      <c r="M854" s="195">
        <v>0.25333739999999999</v>
      </c>
      <c r="N854" s="195">
        <v>0.2268664</v>
      </c>
    </row>
    <row r="855" spans="1:14" hidden="1" x14ac:dyDescent="0.35">
      <c r="A855" s="52" t="s">
        <v>579</v>
      </c>
      <c r="B855" s="52" t="s">
        <v>37</v>
      </c>
      <c r="C855" s="52" t="s">
        <v>115</v>
      </c>
      <c r="D855" s="52" t="s">
        <v>115</v>
      </c>
      <c r="E855" s="52" t="s">
        <v>597</v>
      </c>
      <c r="F855" s="52" t="s">
        <v>581</v>
      </c>
      <c r="G855" s="195" t="s">
        <v>275</v>
      </c>
      <c r="H855" s="195">
        <v>-22.077259999999999</v>
      </c>
      <c r="I855" s="195">
        <v>-0.15883949999999999</v>
      </c>
      <c r="J855" s="195">
        <v>0.48851620000000001</v>
      </c>
      <c r="K855" s="195">
        <v>0.91440160000000004</v>
      </c>
      <c r="L855" s="195">
        <v>1.9239109999999999</v>
      </c>
      <c r="M855" s="195">
        <v>0.7708602</v>
      </c>
      <c r="N855" s="195">
        <v>0.53712079999999995</v>
      </c>
    </row>
    <row r="856" spans="1:14" hidden="1" x14ac:dyDescent="0.35">
      <c r="A856" s="52" t="s">
        <v>579</v>
      </c>
      <c r="B856" s="52" t="s">
        <v>37</v>
      </c>
      <c r="C856" s="52" t="s">
        <v>115</v>
      </c>
      <c r="D856" s="52" t="s">
        <v>115</v>
      </c>
      <c r="E856" s="52" t="s">
        <v>597</v>
      </c>
      <c r="F856" s="52" t="s">
        <v>581</v>
      </c>
      <c r="G856" s="195" t="s">
        <v>276</v>
      </c>
      <c r="H856" s="195">
        <v>-1.2078100000000001</v>
      </c>
      <c r="I856" s="195">
        <v>-1.1796880000000001</v>
      </c>
      <c r="J856" s="195">
        <v>-0.84508859999999997</v>
      </c>
      <c r="K856" s="195">
        <v>-1.322157</v>
      </c>
      <c r="L856" s="195">
        <v>-2.2934420000000002</v>
      </c>
      <c r="M856" s="195">
        <v>-0.1663944</v>
      </c>
      <c r="N856" s="195">
        <v>-6.9967600000000005E-2</v>
      </c>
    </row>
    <row r="857" spans="1:14" hidden="1" x14ac:dyDescent="0.35">
      <c r="A857" s="52" t="s">
        <v>579</v>
      </c>
      <c r="B857" s="52" t="s">
        <v>37</v>
      </c>
      <c r="C857" s="52" t="s">
        <v>115</v>
      </c>
      <c r="D857" s="52" t="s">
        <v>115</v>
      </c>
      <c r="E857" s="52" t="s">
        <v>597</v>
      </c>
      <c r="F857" s="52" t="s">
        <v>581</v>
      </c>
      <c r="G857" s="195" t="s">
        <v>277</v>
      </c>
      <c r="H857" s="195">
        <v>26.6</v>
      </c>
      <c r="I857" s="195">
        <v>1.9546300000000001</v>
      </c>
      <c r="J857" s="195">
        <v>0.41426819999999998</v>
      </c>
      <c r="K857" s="195">
        <v>0.35858180000000001</v>
      </c>
      <c r="L857" s="195">
        <v>0.33736680000000002</v>
      </c>
      <c r="M857" s="195">
        <v>0</v>
      </c>
      <c r="N857" s="195">
        <v>0</v>
      </c>
    </row>
    <row r="858" spans="1:14" hidden="1" x14ac:dyDescent="0.35">
      <c r="A858" s="52" t="s">
        <v>579</v>
      </c>
      <c r="B858" s="52" t="s">
        <v>37</v>
      </c>
      <c r="C858" s="52" t="s">
        <v>115</v>
      </c>
      <c r="D858" s="52" t="s">
        <v>115</v>
      </c>
      <c r="E858" s="52" t="s">
        <v>597</v>
      </c>
      <c r="F858" s="52" t="s">
        <v>581</v>
      </c>
      <c r="G858" s="195" t="s">
        <v>278</v>
      </c>
      <c r="H858" s="195">
        <v>0</v>
      </c>
      <c r="I858" s="195">
        <v>0.28438580000000002</v>
      </c>
      <c r="J858" s="195">
        <v>0.85696130000000004</v>
      </c>
      <c r="K858" s="195">
        <v>0.90642040000000001</v>
      </c>
      <c r="L858" s="195">
        <v>0.83529419999999999</v>
      </c>
      <c r="M858" s="195">
        <v>0</v>
      </c>
      <c r="N858" s="195">
        <v>0</v>
      </c>
    </row>
    <row r="859" spans="1:14" hidden="1" x14ac:dyDescent="0.35">
      <c r="A859" s="52" t="s">
        <v>579</v>
      </c>
      <c r="B859" s="52" t="s">
        <v>37</v>
      </c>
      <c r="C859" s="52" t="s">
        <v>115</v>
      </c>
      <c r="D859" s="52" t="s">
        <v>115</v>
      </c>
      <c r="E859" s="52" t="s">
        <v>597</v>
      </c>
      <c r="F859" s="52" t="s">
        <v>581</v>
      </c>
      <c r="G859" s="195" t="s">
        <v>279</v>
      </c>
      <c r="H859" s="195">
        <v>1.2967649999999999</v>
      </c>
      <c r="I859" s="195">
        <v>1.148523</v>
      </c>
      <c r="J859" s="195">
        <v>1.4139440000000001</v>
      </c>
      <c r="K859" s="195">
        <v>1.427125</v>
      </c>
      <c r="L859" s="195">
        <v>1.679637</v>
      </c>
      <c r="M859" s="195">
        <v>1.247458</v>
      </c>
      <c r="N859" s="195">
        <v>0.96864079999999997</v>
      </c>
    </row>
    <row r="860" spans="1:14" hidden="1" x14ac:dyDescent="0.35">
      <c r="A860" s="52" t="s">
        <v>579</v>
      </c>
      <c r="B860" s="52" t="s">
        <v>37</v>
      </c>
      <c r="C860" s="52" t="s">
        <v>115</v>
      </c>
      <c r="D860" s="52" t="s">
        <v>115</v>
      </c>
      <c r="E860" s="52" t="s">
        <v>597</v>
      </c>
      <c r="F860" s="52" t="s">
        <v>26</v>
      </c>
      <c r="G860" s="195" t="s">
        <v>275</v>
      </c>
      <c r="H860" s="195">
        <v>4.4019999999999997E-3</v>
      </c>
      <c r="I860" s="195">
        <v>-2.3205999999999999E-3</v>
      </c>
      <c r="J860" s="195">
        <v>4.200001E-4</v>
      </c>
      <c r="K860" s="195">
        <v>-2.3541999999999999E-3</v>
      </c>
      <c r="L860" s="195">
        <v>-9.8136000000000004E-3</v>
      </c>
      <c r="M860" s="195">
        <v>-7.0466000000000001E-3</v>
      </c>
      <c r="N860" s="195">
        <v>-5.4707999999999996E-3</v>
      </c>
    </row>
    <row r="861" spans="1:14" hidden="1" x14ac:dyDescent="0.35">
      <c r="A861" s="52" t="s">
        <v>579</v>
      </c>
      <c r="B861" s="52" t="s">
        <v>37</v>
      </c>
      <c r="C861" s="52" t="s">
        <v>115</v>
      </c>
      <c r="D861" s="52" t="s">
        <v>115</v>
      </c>
      <c r="E861" s="52" t="s">
        <v>597</v>
      </c>
      <c r="F861" s="52" t="s">
        <v>26</v>
      </c>
      <c r="G861" s="195" t="s">
        <v>276</v>
      </c>
      <c r="H861" s="195">
        <v>1.17E-3</v>
      </c>
      <c r="I861" s="195">
        <v>-6.167999E-4</v>
      </c>
      <c r="J861" s="195">
        <v>1.114E-4</v>
      </c>
      <c r="K861" s="195">
        <v>-6.2539989999999999E-4</v>
      </c>
      <c r="L861" s="195">
        <v>-2.6086E-3</v>
      </c>
      <c r="M861" s="195">
        <v>-1.8733999999999999E-3</v>
      </c>
      <c r="N861" s="195">
        <v>-1.4534000000000001E-3</v>
      </c>
    </row>
    <row r="862" spans="1:14" hidden="1" x14ac:dyDescent="0.35">
      <c r="A862" s="52" t="s">
        <v>579</v>
      </c>
      <c r="B862" s="52" t="s">
        <v>37</v>
      </c>
      <c r="C862" s="52" t="s">
        <v>115</v>
      </c>
      <c r="D862" s="52" t="s">
        <v>115</v>
      </c>
      <c r="E862" s="52" t="s">
        <v>597</v>
      </c>
      <c r="F862" s="52" t="s">
        <v>26</v>
      </c>
      <c r="G862" s="195" t="s">
        <v>279</v>
      </c>
      <c r="H862" s="195">
        <v>6.6406000000000007E-2</v>
      </c>
      <c r="I862" s="195">
        <v>6.8998799999999999E-2</v>
      </c>
      <c r="J862" s="195">
        <v>8.6809999999999998E-2</v>
      </c>
      <c r="K862" s="195">
        <v>8.8713399999999998E-2</v>
      </c>
      <c r="L862" s="195">
        <v>0.103828</v>
      </c>
      <c r="M862" s="195">
        <v>7.7274599999999999E-2</v>
      </c>
      <c r="N862" s="195">
        <v>6.0013200000000003E-2</v>
      </c>
    </row>
    <row r="863" spans="1:14" hidden="1" x14ac:dyDescent="0.35">
      <c r="A863" s="52" t="s">
        <v>579</v>
      </c>
      <c r="B863" s="52" t="s">
        <v>37</v>
      </c>
      <c r="C863" s="52" t="s">
        <v>79</v>
      </c>
      <c r="D863" s="52" t="s">
        <v>79</v>
      </c>
      <c r="E863" s="52" t="s">
        <v>598</v>
      </c>
      <c r="F863" s="52" t="s">
        <v>581</v>
      </c>
      <c r="G863" s="195" t="s">
        <v>275</v>
      </c>
      <c r="H863" s="195">
        <v>3.3187000000000001E-2</v>
      </c>
      <c r="I863" s="195">
        <v>-3.1174000000000002E-3</v>
      </c>
      <c r="J863" s="195">
        <v>-7.3027999999999999E-3</v>
      </c>
      <c r="K863" s="195">
        <v>-8.5863999999999992E-3</v>
      </c>
      <c r="L863" s="195">
        <v>-1.45492E-2</v>
      </c>
      <c r="M863" s="195">
        <v>-1.2115799999999999E-2</v>
      </c>
      <c r="N863" s="195">
        <v>-9.9494000000000006E-3</v>
      </c>
    </row>
    <row r="864" spans="1:14" hidden="1" x14ac:dyDescent="0.35">
      <c r="A864" s="52" t="s">
        <v>579</v>
      </c>
      <c r="B864" s="52" t="s">
        <v>37</v>
      </c>
      <c r="C864" s="52" t="s">
        <v>79</v>
      </c>
      <c r="D864" s="52" t="s">
        <v>79</v>
      </c>
      <c r="E864" s="52" t="s">
        <v>598</v>
      </c>
      <c r="F864" s="52" t="s">
        <v>581</v>
      </c>
      <c r="G864" s="195" t="s">
        <v>276</v>
      </c>
      <c r="H864" s="195">
        <v>1.0154E-2</v>
      </c>
      <c r="I864" s="195">
        <v>-9.5399989999999995E-4</v>
      </c>
      <c r="J864" s="195">
        <v>-2.2352000000000001E-3</v>
      </c>
      <c r="K864" s="195">
        <v>-2.6262E-3</v>
      </c>
      <c r="L864" s="195">
        <v>-4.4520000000000002E-3</v>
      </c>
      <c r="M864" s="195">
        <v>-3.7063999999999999E-3</v>
      </c>
      <c r="N864" s="195">
        <v>-3.0444000000000001E-3</v>
      </c>
    </row>
    <row r="865" spans="1:14" hidden="1" x14ac:dyDescent="0.35">
      <c r="A865" s="52" t="s">
        <v>579</v>
      </c>
      <c r="B865" s="52" t="s">
        <v>37</v>
      </c>
      <c r="C865" s="52" t="s">
        <v>79</v>
      </c>
      <c r="D865" s="52" t="s">
        <v>79</v>
      </c>
      <c r="E865" s="52" t="s">
        <v>598</v>
      </c>
      <c r="F865" s="52" t="s">
        <v>581</v>
      </c>
      <c r="G865" s="195" t="s">
        <v>279</v>
      </c>
      <c r="H865" s="195">
        <v>4.2432999999999998E-2</v>
      </c>
      <c r="I865" s="195">
        <v>4.9961600000000002E-2</v>
      </c>
      <c r="J865" s="195">
        <v>5.7350199999999997E-2</v>
      </c>
      <c r="K865" s="195">
        <v>5.7997199999999999E-2</v>
      </c>
      <c r="L865" s="195">
        <v>7.0585400000000006E-2</v>
      </c>
      <c r="M865" s="195">
        <v>6.8271799999999994E-2</v>
      </c>
      <c r="N865" s="195">
        <v>6.2126199999999999E-2</v>
      </c>
    </row>
    <row r="866" spans="1:14" hidden="1" x14ac:dyDescent="0.35">
      <c r="A866" s="52" t="s">
        <v>579</v>
      </c>
      <c r="B866" s="52" t="s">
        <v>37</v>
      </c>
      <c r="C866" s="52" t="s">
        <v>79</v>
      </c>
      <c r="D866" s="52" t="s">
        <v>79</v>
      </c>
      <c r="E866" s="52" t="s">
        <v>598</v>
      </c>
      <c r="F866" s="52" t="s">
        <v>26</v>
      </c>
      <c r="G866" s="195" t="s">
        <v>275</v>
      </c>
      <c r="H866" s="195">
        <v>1.694974</v>
      </c>
      <c r="I866" s="195">
        <v>-1.0477129999999999</v>
      </c>
      <c r="J866" s="195">
        <v>0.73991240000000003</v>
      </c>
      <c r="K866" s="195">
        <v>0.94875180000000003</v>
      </c>
      <c r="L866" s="195">
        <v>-0.3891213</v>
      </c>
      <c r="M866" s="195">
        <v>1.300287</v>
      </c>
      <c r="N866" s="195">
        <v>1.1486339999999999</v>
      </c>
    </row>
    <row r="867" spans="1:14" hidden="1" x14ac:dyDescent="0.35">
      <c r="A867" s="52" t="s">
        <v>579</v>
      </c>
      <c r="B867" s="52" t="s">
        <v>37</v>
      </c>
      <c r="C867" s="52" t="s">
        <v>79</v>
      </c>
      <c r="D867" s="52" t="s">
        <v>79</v>
      </c>
      <c r="E867" s="52" t="s">
        <v>598</v>
      </c>
      <c r="F867" s="52" t="s">
        <v>26</v>
      </c>
      <c r="G867" s="195" t="s">
        <v>276</v>
      </c>
      <c r="H867" s="195">
        <v>2.6599000000000001E-2</v>
      </c>
      <c r="I867" s="195">
        <v>0.1055078</v>
      </c>
      <c r="J867" s="195">
        <v>0.3851562</v>
      </c>
      <c r="K867" s="195">
        <v>-9.6378190000000002E-2</v>
      </c>
      <c r="L867" s="195">
        <v>9.4985399999999998E-2</v>
      </c>
      <c r="M867" s="195">
        <v>-1.09376E-2</v>
      </c>
      <c r="N867" s="195">
        <v>0.1206396</v>
      </c>
    </row>
    <row r="868" spans="1:14" hidden="1" x14ac:dyDescent="0.35">
      <c r="A868" s="52" t="s">
        <v>579</v>
      </c>
      <c r="B868" s="52" t="s">
        <v>37</v>
      </c>
      <c r="C868" s="52" t="s">
        <v>79</v>
      </c>
      <c r="D868" s="52" t="s">
        <v>79</v>
      </c>
      <c r="E868" s="52" t="s">
        <v>598</v>
      </c>
      <c r="F868" s="52" t="s">
        <v>26</v>
      </c>
      <c r="G868" s="195" t="s">
        <v>277</v>
      </c>
      <c r="H868" s="195">
        <v>1.1000000000000001</v>
      </c>
      <c r="I868" s="195">
        <v>2.9142450000000002</v>
      </c>
      <c r="J868" s="195">
        <v>1.399718</v>
      </c>
      <c r="K868" s="195">
        <v>1.3183320000000001</v>
      </c>
      <c r="L868" s="195">
        <v>1.7523470000000001</v>
      </c>
      <c r="M868" s="195">
        <v>0.81810760000000005</v>
      </c>
      <c r="N868" s="195">
        <v>0.92559259999999999</v>
      </c>
    </row>
    <row r="869" spans="1:14" hidden="1" x14ac:dyDescent="0.35">
      <c r="A869" s="52" t="s">
        <v>579</v>
      </c>
      <c r="B869" s="52" t="s">
        <v>37</v>
      </c>
      <c r="C869" s="52" t="s">
        <v>79</v>
      </c>
      <c r="D869" s="52" t="s">
        <v>79</v>
      </c>
      <c r="E869" s="52" t="s">
        <v>598</v>
      </c>
      <c r="F869" s="52" t="s">
        <v>26</v>
      </c>
      <c r="G869" s="195" t="s">
        <v>278</v>
      </c>
      <c r="H869" s="195">
        <v>0</v>
      </c>
      <c r="I869" s="195">
        <v>0.41433720000000002</v>
      </c>
      <c r="J869" s="195">
        <v>0.70494999999999997</v>
      </c>
      <c r="K869" s="195">
        <v>0.65391520000000003</v>
      </c>
      <c r="L869" s="195">
        <v>0.84254739999999995</v>
      </c>
      <c r="M869" s="195">
        <v>0.32002059999999999</v>
      </c>
      <c r="N869" s="195">
        <v>0.1042988</v>
      </c>
    </row>
    <row r="870" spans="1:14" hidden="1" x14ac:dyDescent="0.35">
      <c r="A870" s="52" t="s">
        <v>579</v>
      </c>
      <c r="B870" s="52" t="s">
        <v>37</v>
      </c>
      <c r="C870" s="52" t="s">
        <v>79</v>
      </c>
      <c r="D870" s="52" t="s">
        <v>79</v>
      </c>
      <c r="E870" s="52" t="s">
        <v>598</v>
      </c>
      <c r="F870" s="52" t="s">
        <v>26</v>
      </c>
      <c r="G870" s="195" t="s">
        <v>279</v>
      </c>
      <c r="H870" s="195">
        <v>5.1169560000000001</v>
      </c>
      <c r="I870" s="195">
        <v>6.4011319999999996</v>
      </c>
      <c r="J870" s="195">
        <v>7.4610620000000001</v>
      </c>
      <c r="K870" s="195">
        <v>7.6025039999999997</v>
      </c>
      <c r="L870" s="195">
        <v>9.1397300000000001</v>
      </c>
      <c r="M870" s="195">
        <v>8.8517430000000008</v>
      </c>
      <c r="N870" s="195">
        <v>8.0499860000000005</v>
      </c>
    </row>
    <row r="871" spans="1:14" hidden="1" x14ac:dyDescent="0.35">
      <c r="A871" s="52" t="s">
        <v>579</v>
      </c>
      <c r="B871" s="52" t="s">
        <v>37</v>
      </c>
      <c r="C871" s="52" t="s">
        <v>79</v>
      </c>
      <c r="D871" s="52" t="s">
        <v>79</v>
      </c>
      <c r="E871" s="52" t="s">
        <v>584</v>
      </c>
      <c r="F871" s="52" t="s">
        <v>581</v>
      </c>
      <c r="G871" s="195" t="s">
        <v>275</v>
      </c>
      <c r="H871" s="195">
        <v>0.68974599999999997</v>
      </c>
      <c r="I871" s="195">
        <v>-10.996230000000001</v>
      </c>
      <c r="J871" s="195">
        <v>-3.6373069999999998</v>
      </c>
      <c r="K871" s="195">
        <v>-1.491749</v>
      </c>
      <c r="L871" s="195">
        <v>-2.35453</v>
      </c>
      <c r="M871" s="195">
        <v>-2.434501</v>
      </c>
      <c r="N871" s="195">
        <v>-2.2318739999999999</v>
      </c>
    </row>
    <row r="872" spans="1:14" hidden="1" x14ac:dyDescent="0.35">
      <c r="A872" s="52" t="s">
        <v>579</v>
      </c>
      <c r="B872" s="52" t="s">
        <v>37</v>
      </c>
      <c r="C872" s="52" t="s">
        <v>79</v>
      </c>
      <c r="D872" s="52" t="s">
        <v>79</v>
      </c>
      <c r="E872" s="52" t="s">
        <v>584</v>
      </c>
      <c r="F872" s="52" t="s">
        <v>581</v>
      </c>
      <c r="G872" s="195" t="s">
        <v>276</v>
      </c>
      <c r="H872" s="195">
        <v>1.221109</v>
      </c>
      <c r="I872" s="195">
        <v>-2.6687099999999999</v>
      </c>
      <c r="J872" s="195">
        <v>-0.95245109999999999</v>
      </c>
      <c r="K872" s="195">
        <v>-2.4646819999999998</v>
      </c>
      <c r="L872" s="195">
        <v>-1.412291</v>
      </c>
      <c r="M872" s="195">
        <v>-0.99874470000000004</v>
      </c>
      <c r="N872" s="195">
        <v>-0.89734150000000001</v>
      </c>
    </row>
    <row r="873" spans="1:14" hidden="1" x14ac:dyDescent="0.35">
      <c r="A873" s="52" t="s">
        <v>579</v>
      </c>
      <c r="B873" s="52" t="s">
        <v>37</v>
      </c>
      <c r="C873" s="52" t="s">
        <v>79</v>
      </c>
      <c r="D873" s="52" t="s">
        <v>79</v>
      </c>
      <c r="E873" s="52" t="s">
        <v>584</v>
      </c>
      <c r="F873" s="52" t="s">
        <v>581</v>
      </c>
      <c r="G873" s="195" t="s">
        <v>277</v>
      </c>
      <c r="H873" s="195">
        <v>11.799379999999999</v>
      </c>
      <c r="I873" s="195">
        <v>7.6065610000000001</v>
      </c>
      <c r="J873" s="195">
        <v>6.9807519999999998</v>
      </c>
      <c r="K873" s="195">
        <v>6.0719310000000002</v>
      </c>
      <c r="L873" s="195">
        <v>5.648269</v>
      </c>
      <c r="M873" s="195">
        <v>5.2359049999999998</v>
      </c>
      <c r="N873" s="195">
        <v>4.8724600000000002</v>
      </c>
    </row>
    <row r="874" spans="1:14" hidden="1" x14ac:dyDescent="0.35">
      <c r="A874" s="52" t="s">
        <v>579</v>
      </c>
      <c r="B874" s="52" t="s">
        <v>37</v>
      </c>
      <c r="C874" s="52" t="s">
        <v>79</v>
      </c>
      <c r="D874" s="52" t="s">
        <v>79</v>
      </c>
      <c r="E874" s="52" t="s">
        <v>584</v>
      </c>
      <c r="F874" s="52" t="s">
        <v>581</v>
      </c>
      <c r="G874" s="195" t="s">
        <v>279</v>
      </c>
      <c r="H874" s="195">
        <v>4.6436260000000003</v>
      </c>
      <c r="I874" s="195">
        <v>12.32352</v>
      </c>
      <c r="J874" s="195">
        <v>2.832074</v>
      </c>
      <c r="K874" s="195">
        <v>2.9373079999999998</v>
      </c>
      <c r="L874" s="195">
        <v>2.9758879999999999</v>
      </c>
      <c r="M874" s="195">
        <v>2.7868879999999998</v>
      </c>
      <c r="N874" s="195">
        <v>2.62677</v>
      </c>
    </row>
    <row r="875" spans="1:14" hidden="1" x14ac:dyDescent="0.35">
      <c r="A875" s="52" t="s">
        <v>579</v>
      </c>
      <c r="B875" s="52" t="s">
        <v>37</v>
      </c>
      <c r="C875" s="52" t="s">
        <v>79</v>
      </c>
      <c r="D875" s="52" t="s">
        <v>79</v>
      </c>
      <c r="E875" s="52" t="s">
        <v>584</v>
      </c>
      <c r="F875" s="52" t="s">
        <v>26</v>
      </c>
      <c r="G875" s="195" t="s">
        <v>275</v>
      </c>
      <c r="H875" s="195">
        <v>1.3117460000000001</v>
      </c>
      <c r="I875" s="195">
        <v>-42.619630000000001</v>
      </c>
      <c r="J875" s="195">
        <v>0.31286819999999999</v>
      </c>
      <c r="K875" s="195">
        <v>0.202878</v>
      </c>
      <c r="L875" s="195">
        <v>0.1200142</v>
      </c>
      <c r="M875" s="195">
        <v>0.1055488</v>
      </c>
      <c r="N875" s="195">
        <v>9.5909599999999998E-2</v>
      </c>
    </row>
    <row r="876" spans="1:14" hidden="1" x14ac:dyDescent="0.35">
      <c r="A876" s="52" t="s">
        <v>579</v>
      </c>
      <c r="B876" s="52" t="s">
        <v>37</v>
      </c>
      <c r="C876" s="52" t="s">
        <v>79</v>
      </c>
      <c r="D876" s="52" t="s">
        <v>79</v>
      </c>
      <c r="E876" s="52" t="s">
        <v>584</v>
      </c>
      <c r="F876" s="52" t="s">
        <v>26</v>
      </c>
      <c r="G876" s="195" t="s">
        <v>276</v>
      </c>
      <c r="H876" s="195">
        <v>-0.52717789999999998</v>
      </c>
      <c r="I876" s="195">
        <v>-11.329269999999999</v>
      </c>
      <c r="J876" s="195">
        <v>8.3167199999999997E-2</v>
      </c>
      <c r="K876" s="195">
        <v>5.3929400000000002E-2</v>
      </c>
      <c r="L876" s="195">
        <v>3.1902800000000002E-2</v>
      </c>
      <c r="M876" s="195">
        <v>2.80574E-2</v>
      </c>
      <c r="N876" s="195">
        <v>2.5494599999999999E-2</v>
      </c>
    </row>
    <row r="877" spans="1:14" hidden="1" x14ac:dyDescent="0.35">
      <c r="A877" s="52" t="s">
        <v>579</v>
      </c>
      <c r="B877" s="52" t="s">
        <v>37</v>
      </c>
      <c r="C877" s="52" t="s">
        <v>79</v>
      </c>
      <c r="D877" s="52" t="s">
        <v>79</v>
      </c>
      <c r="E877" s="52" t="s">
        <v>584</v>
      </c>
      <c r="F877" s="52" t="s">
        <v>26</v>
      </c>
      <c r="G877" s="195" t="s">
        <v>279</v>
      </c>
      <c r="H877" s="195">
        <v>2.2113849999999999</v>
      </c>
      <c r="I877" s="195">
        <v>56.052250000000001</v>
      </c>
      <c r="J877" s="195">
        <v>1.556637</v>
      </c>
      <c r="K877" s="195">
        <v>1.5315449999999999</v>
      </c>
      <c r="L877" s="195">
        <v>1.4640230000000001</v>
      </c>
      <c r="M877" s="195">
        <v>1.2929029999999999</v>
      </c>
      <c r="N877" s="195">
        <v>1.1474530000000001</v>
      </c>
    </row>
    <row r="878" spans="1:14" hidden="1" x14ac:dyDescent="0.35">
      <c r="A878" s="52" t="s">
        <v>579</v>
      </c>
      <c r="B878" s="52" t="s">
        <v>37</v>
      </c>
      <c r="C878" s="52" t="s">
        <v>109</v>
      </c>
      <c r="D878" s="52" t="s">
        <v>109</v>
      </c>
      <c r="E878" s="52" t="s">
        <v>584</v>
      </c>
      <c r="F878" s="52" t="s">
        <v>581</v>
      </c>
      <c r="G878" s="195" t="s">
        <v>275</v>
      </c>
      <c r="H878" s="195">
        <v>1.97427</v>
      </c>
      <c r="I878" s="195">
        <v>0.38882470000000002</v>
      </c>
      <c r="J878" s="195">
        <v>-0.1234131</v>
      </c>
      <c r="K878" s="195">
        <v>0.31384659999999998</v>
      </c>
      <c r="L878" s="195">
        <v>0.22777259999999999</v>
      </c>
      <c r="M878" s="195">
        <v>0.69490790000000002</v>
      </c>
      <c r="N878" s="195">
        <v>-8.7318879999999996</v>
      </c>
    </row>
    <row r="879" spans="1:14" hidden="1" x14ac:dyDescent="0.35">
      <c r="A879" s="52" t="s">
        <v>579</v>
      </c>
      <c r="B879" s="52" t="s">
        <v>37</v>
      </c>
      <c r="C879" s="52" t="s">
        <v>109</v>
      </c>
      <c r="D879" s="52" t="s">
        <v>109</v>
      </c>
      <c r="E879" s="52" t="s">
        <v>584</v>
      </c>
      <c r="F879" s="52" t="s">
        <v>581</v>
      </c>
      <c r="G879" s="195" t="s">
        <v>276</v>
      </c>
      <c r="H879" s="195">
        <v>3.2468669999999999</v>
      </c>
      <c r="I879" s="195">
        <v>-8.3426559999999997E-2</v>
      </c>
      <c r="J879" s="195">
        <v>-0.99741599999999997</v>
      </c>
      <c r="K879" s="195">
        <v>-0.63385829999999999</v>
      </c>
      <c r="L879" s="195">
        <v>-0.63372119999999998</v>
      </c>
      <c r="M879" s="195">
        <v>-33.431460000000001</v>
      </c>
      <c r="N879" s="195">
        <v>-3.2441599999999999</v>
      </c>
    </row>
    <row r="880" spans="1:14" hidden="1" x14ac:dyDescent="0.35">
      <c r="A880" s="52" t="s">
        <v>579</v>
      </c>
      <c r="B880" s="52" t="s">
        <v>37</v>
      </c>
      <c r="C880" s="52" t="s">
        <v>109</v>
      </c>
      <c r="D880" s="52" t="s">
        <v>109</v>
      </c>
      <c r="E880" s="52" t="s">
        <v>584</v>
      </c>
      <c r="F880" s="52" t="s">
        <v>581</v>
      </c>
      <c r="G880" s="195" t="s">
        <v>277</v>
      </c>
      <c r="H880" s="195">
        <v>0.601997</v>
      </c>
      <c r="I880" s="195">
        <v>0.45165339999999998</v>
      </c>
      <c r="J880" s="195">
        <v>0.392793</v>
      </c>
      <c r="K880" s="195">
        <v>0.46533400000000003</v>
      </c>
      <c r="L880" s="195">
        <v>0.56183150000000004</v>
      </c>
      <c r="M880" s="195">
        <v>0.57587699999999997</v>
      </c>
      <c r="N880" s="195">
        <v>0.8555005</v>
      </c>
    </row>
    <row r="881" spans="1:14" hidden="1" x14ac:dyDescent="0.35">
      <c r="A881" s="52" t="s">
        <v>579</v>
      </c>
      <c r="B881" s="52" t="s">
        <v>37</v>
      </c>
      <c r="C881" s="52" t="s">
        <v>109</v>
      </c>
      <c r="D881" s="52" t="s">
        <v>109</v>
      </c>
      <c r="E881" s="52" t="s">
        <v>584</v>
      </c>
      <c r="F881" s="52" t="s">
        <v>581</v>
      </c>
      <c r="G881" s="195" t="s">
        <v>278</v>
      </c>
      <c r="H881" s="195">
        <v>0.70274599999999998</v>
      </c>
      <c r="I881" s="195">
        <v>0.70274599999999998</v>
      </c>
      <c r="J881" s="195">
        <v>0.70274599999999998</v>
      </c>
      <c r="K881" s="195">
        <v>0.70274599999999998</v>
      </c>
      <c r="L881" s="195">
        <v>0.70274599999999998</v>
      </c>
      <c r="M881" s="195">
        <v>33.639049999999997</v>
      </c>
      <c r="N881" s="195">
        <v>0.70274599999999998</v>
      </c>
    </row>
    <row r="882" spans="1:14" hidden="1" x14ac:dyDescent="0.35">
      <c r="A882" s="52" t="s">
        <v>579</v>
      </c>
      <c r="B882" s="52" t="s">
        <v>37</v>
      </c>
      <c r="C882" s="52" t="s">
        <v>109</v>
      </c>
      <c r="D882" s="52" t="s">
        <v>109</v>
      </c>
      <c r="E882" s="52" t="s">
        <v>584</v>
      </c>
      <c r="F882" s="52" t="s">
        <v>581</v>
      </c>
      <c r="G882" s="195" t="s">
        <v>279</v>
      </c>
      <c r="H882" s="195">
        <v>2.0888949999999999</v>
      </c>
      <c r="I882" s="195">
        <v>1.930742</v>
      </c>
      <c r="J882" s="195">
        <v>2.9907499999999998</v>
      </c>
      <c r="K882" s="195">
        <v>2.1663389999999998</v>
      </c>
      <c r="L882" s="195">
        <v>2.2083740000000001</v>
      </c>
      <c r="M882" s="195">
        <v>1.4850220000000001</v>
      </c>
      <c r="N882" s="195">
        <v>13.45274</v>
      </c>
    </row>
    <row r="883" spans="1:14" hidden="1" x14ac:dyDescent="0.35">
      <c r="A883" s="52" t="s">
        <v>579</v>
      </c>
      <c r="B883" s="52" t="s">
        <v>37</v>
      </c>
      <c r="C883" s="52" t="s">
        <v>109</v>
      </c>
      <c r="D883" s="52" t="s">
        <v>109</v>
      </c>
      <c r="E883" s="52" t="s">
        <v>584</v>
      </c>
      <c r="F883" s="52" t="s">
        <v>26</v>
      </c>
      <c r="G883" s="195" t="s">
        <v>275</v>
      </c>
      <c r="H883" s="195">
        <v>-0.2303106</v>
      </c>
      <c r="I883" s="195">
        <v>-2.2976630000000001E-2</v>
      </c>
      <c r="J883" s="195">
        <v>-0.55388329999999997</v>
      </c>
      <c r="K883" s="195">
        <v>-6.9694270000000003E-2</v>
      </c>
      <c r="L883" s="195">
        <v>-7.2303370000000006E-2</v>
      </c>
      <c r="M883" s="195">
        <v>-8.7047169999999993E-2</v>
      </c>
      <c r="N883" s="195">
        <v>-7.2146809999999997</v>
      </c>
    </row>
    <row r="884" spans="1:14" hidden="1" x14ac:dyDescent="0.35">
      <c r="A884" s="52" t="s">
        <v>579</v>
      </c>
      <c r="B884" s="52" t="s">
        <v>37</v>
      </c>
      <c r="C884" s="52" t="s">
        <v>109</v>
      </c>
      <c r="D884" s="52" t="s">
        <v>109</v>
      </c>
      <c r="E884" s="52" t="s">
        <v>584</v>
      </c>
      <c r="F884" s="52" t="s">
        <v>26</v>
      </c>
      <c r="G884" s="195" t="s">
        <v>276</v>
      </c>
      <c r="H884" s="195">
        <v>-0.1505937</v>
      </c>
      <c r="I884" s="195">
        <v>-8.3266629999999994E-2</v>
      </c>
      <c r="J884" s="195">
        <v>-0.1710044</v>
      </c>
      <c r="K884" s="195">
        <v>-3.1810860000000003E-2</v>
      </c>
      <c r="L884" s="195">
        <v>-3.075481E-2</v>
      </c>
      <c r="M884" s="195">
        <v>-2.7613639999999998E-2</v>
      </c>
      <c r="N884" s="195">
        <v>-1.9199679999999999</v>
      </c>
    </row>
    <row r="885" spans="1:14" hidden="1" x14ac:dyDescent="0.35">
      <c r="A885" s="52" t="s">
        <v>579</v>
      </c>
      <c r="B885" s="52" t="s">
        <v>37</v>
      </c>
      <c r="C885" s="52" t="s">
        <v>109</v>
      </c>
      <c r="D885" s="52" t="s">
        <v>109</v>
      </c>
      <c r="E885" s="52" t="s">
        <v>584</v>
      </c>
      <c r="F885" s="52" t="s">
        <v>26</v>
      </c>
      <c r="G885" s="195" t="s">
        <v>277</v>
      </c>
      <c r="H885" s="195">
        <v>0.25163429999999998</v>
      </c>
      <c r="I885" s="195">
        <v>0.1887904</v>
      </c>
      <c r="J885" s="195">
        <v>0.16418640000000001</v>
      </c>
      <c r="K885" s="195">
        <v>0.16061909999999999</v>
      </c>
      <c r="L885" s="195">
        <v>0.15715229999999999</v>
      </c>
      <c r="M885" s="195">
        <v>0.15376239999999999</v>
      </c>
      <c r="N885" s="195">
        <v>0.1504481</v>
      </c>
    </row>
    <row r="886" spans="1:14" hidden="1" x14ac:dyDescent="0.35">
      <c r="A886" s="52" t="s">
        <v>579</v>
      </c>
      <c r="B886" s="52" t="s">
        <v>37</v>
      </c>
      <c r="C886" s="52" t="s">
        <v>109</v>
      </c>
      <c r="D886" s="52" t="s">
        <v>109</v>
      </c>
      <c r="E886" s="52" t="s">
        <v>584</v>
      </c>
      <c r="F886" s="52" t="s">
        <v>26</v>
      </c>
      <c r="G886" s="195" t="s">
        <v>279</v>
      </c>
      <c r="H886" s="195">
        <v>1.372309</v>
      </c>
      <c r="I886" s="195">
        <v>0.171572</v>
      </c>
      <c r="J886" s="195">
        <v>0.80083470000000001</v>
      </c>
      <c r="K886" s="195">
        <v>0.16544880000000001</v>
      </c>
      <c r="L886" s="195">
        <v>0.15445320000000001</v>
      </c>
      <c r="M886" s="195">
        <v>0.1010538</v>
      </c>
      <c r="N886" s="195">
        <v>9.1120830000000002</v>
      </c>
    </row>
    <row r="887" spans="1:14" hidden="1" x14ac:dyDescent="0.35">
      <c r="A887" s="52" t="s">
        <v>579</v>
      </c>
      <c r="B887" s="52" t="s">
        <v>37</v>
      </c>
      <c r="C887" s="52" t="s">
        <v>599</v>
      </c>
      <c r="D887" s="52" t="s">
        <v>599</v>
      </c>
      <c r="E887" s="52" t="s">
        <v>584</v>
      </c>
      <c r="F887" s="52" t="s">
        <v>26</v>
      </c>
      <c r="G887" s="195" t="s">
        <v>275</v>
      </c>
      <c r="H887" s="195">
        <v>-54.430729999999997</v>
      </c>
      <c r="I887" s="195">
        <v>4.922949</v>
      </c>
      <c r="J887" s="195">
        <v>5.3081240000000003</v>
      </c>
      <c r="K887" s="195">
        <v>4.7990300000000001</v>
      </c>
      <c r="L887" s="195">
        <v>4.2786429999999998</v>
      </c>
      <c r="M887" s="195">
        <v>-0.78249440000000003</v>
      </c>
      <c r="N887" s="195">
        <v>-0.69988260000000002</v>
      </c>
    </row>
    <row r="888" spans="1:14" hidden="1" x14ac:dyDescent="0.35">
      <c r="A888" s="52" t="s">
        <v>579</v>
      </c>
      <c r="B888" s="52" t="s">
        <v>37</v>
      </c>
      <c r="C888" s="52" t="s">
        <v>599</v>
      </c>
      <c r="D888" s="52" t="s">
        <v>599</v>
      </c>
      <c r="E888" s="52" t="s">
        <v>584</v>
      </c>
      <c r="F888" s="52" t="s">
        <v>26</v>
      </c>
      <c r="G888" s="195" t="s">
        <v>276</v>
      </c>
      <c r="H888" s="195">
        <v>-6.4927130000000002</v>
      </c>
      <c r="I888" s="195">
        <v>-6.2109629999999996</v>
      </c>
      <c r="J888" s="195">
        <v>-6.3467500000000001</v>
      </c>
      <c r="K888" s="195">
        <v>-5.8015739999999996</v>
      </c>
      <c r="L888" s="195">
        <v>-5.3955000000000002</v>
      </c>
      <c r="M888" s="195">
        <v>-0.20800440000000001</v>
      </c>
      <c r="N888" s="195">
        <v>-0.1860446</v>
      </c>
    </row>
    <row r="889" spans="1:14" hidden="1" x14ac:dyDescent="0.35">
      <c r="A889" s="52" t="s">
        <v>579</v>
      </c>
      <c r="B889" s="52" t="s">
        <v>37</v>
      </c>
      <c r="C889" s="52" t="s">
        <v>599</v>
      </c>
      <c r="D889" s="52" t="s">
        <v>599</v>
      </c>
      <c r="E889" s="52" t="s">
        <v>584</v>
      </c>
      <c r="F889" s="52" t="s">
        <v>26</v>
      </c>
      <c r="G889" s="195" t="s">
        <v>277</v>
      </c>
      <c r="H889" s="195">
        <v>60</v>
      </c>
      <c r="I889" s="195">
        <v>0</v>
      </c>
      <c r="J889" s="195"/>
      <c r="K889" s="195"/>
      <c r="L889" s="195"/>
      <c r="M889" s="195"/>
      <c r="N889" s="195"/>
    </row>
    <row r="890" spans="1:14" hidden="1" x14ac:dyDescent="0.35">
      <c r="A890" s="52" t="s">
        <v>579</v>
      </c>
      <c r="B890" s="52" t="s">
        <v>37</v>
      </c>
      <c r="C890" s="52" t="s">
        <v>599</v>
      </c>
      <c r="D890" s="52" t="s">
        <v>599</v>
      </c>
      <c r="E890" s="52" t="s">
        <v>584</v>
      </c>
      <c r="F890" s="52" t="s">
        <v>26</v>
      </c>
      <c r="G890" s="195" t="s">
        <v>279</v>
      </c>
      <c r="H890" s="195">
        <v>5.208056</v>
      </c>
      <c r="I890" s="195">
        <v>4.3015720000000002</v>
      </c>
      <c r="J890" s="195">
        <v>3.8270879999999998</v>
      </c>
      <c r="K890" s="195">
        <v>3.5742020000000001</v>
      </c>
      <c r="L890" s="195">
        <v>3.4871889999999999</v>
      </c>
      <c r="M890" s="195">
        <v>3.1797219999999999</v>
      </c>
      <c r="N890" s="195">
        <v>2.9027289999999999</v>
      </c>
    </row>
    <row r="891" spans="1:14" hidden="1" x14ac:dyDescent="0.35">
      <c r="A891" s="52" t="s">
        <v>579</v>
      </c>
      <c r="B891" s="52" t="s">
        <v>37</v>
      </c>
      <c r="C891" s="52" t="s">
        <v>46</v>
      </c>
      <c r="D891" s="52" t="s">
        <v>46</v>
      </c>
      <c r="E891" s="52" t="s">
        <v>584</v>
      </c>
      <c r="F891" s="52" t="s">
        <v>26</v>
      </c>
      <c r="G891" s="195" t="s">
        <v>275</v>
      </c>
      <c r="H891" s="195">
        <v>-4.0383399999999998</v>
      </c>
      <c r="I891" s="195">
        <v>-2.1339429999999999</v>
      </c>
      <c r="J891" s="195">
        <v>-2.0003549999999999</v>
      </c>
      <c r="K891" s="195">
        <v>-2.0790860000000002</v>
      </c>
      <c r="L891" s="195">
        <v>-2.36253</v>
      </c>
      <c r="M891" s="195">
        <v>-2.642328</v>
      </c>
      <c r="N891" s="195">
        <v>-2.7183959999999998</v>
      </c>
    </row>
    <row r="892" spans="1:14" hidden="1" x14ac:dyDescent="0.35">
      <c r="A892" s="52" t="s">
        <v>579</v>
      </c>
      <c r="B892" s="52" t="s">
        <v>37</v>
      </c>
      <c r="C892" s="52" t="s">
        <v>46</v>
      </c>
      <c r="D892" s="52" t="s">
        <v>46</v>
      </c>
      <c r="E892" s="52" t="s">
        <v>584</v>
      </c>
      <c r="F892" s="52" t="s">
        <v>26</v>
      </c>
      <c r="G892" s="195" t="s">
        <v>276</v>
      </c>
      <c r="H892" s="195">
        <v>-0.74609899999999996</v>
      </c>
      <c r="I892" s="195">
        <v>-0.38813239999999999</v>
      </c>
      <c r="J892" s="195">
        <v>-0.40614899999999998</v>
      </c>
      <c r="K892" s="195">
        <v>-0.83519049999999995</v>
      </c>
      <c r="L892" s="195">
        <v>-0.78804920000000001</v>
      </c>
      <c r="M892" s="195">
        <v>-0.59852720000000004</v>
      </c>
      <c r="N892" s="195">
        <v>-0.61189700000000002</v>
      </c>
    </row>
    <row r="893" spans="1:14" hidden="1" x14ac:dyDescent="0.35">
      <c r="A893" s="52" t="s">
        <v>579</v>
      </c>
      <c r="B893" s="52" t="s">
        <v>37</v>
      </c>
      <c r="C893" s="52" t="s">
        <v>46</v>
      </c>
      <c r="D893" s="52" t="s">
        <v>46</v>
      </c>
      <c r="E893" s="52" t="s">
        <v>584</v>
      </c>
      <c r="F893" s="52" t="s">
        <v>26</v>
      </c>
      <c r="G893" s="195" t="s">
        <v>277</v>
      </c>
      <c r="H893" s="195">
        <v>5.2000019999999996</v>
      </c>
      <c r="I893" s="195">
        <v>2.764364</v>
      </c>
      <c r="J893" s="195">
        <v>2.679446</v>
      </c>
      <c r="K893" s="195">
        <v>3.131259</v>
      </c>
      <c r="L893" s="195">
        <v>3.3186580000000001</v>
      </c>
      <c r="M893" s="195">
        <v>3.4114580000000001</v>
      </c>
      <c r="N893" s="195">
        <v>3.5065770000000001</v>
      </c>
    </row>
    <row r="894" spans="1:14" hidden="1" x14ac:dyDescent="0.35">
      <c r="A894" s="52" t="s">
        <v>579</v>
      </c>
      <c r="B894" s="52" t="s">
        <v>37</v>
      </c>
      <c r="C894" s="52" t="s">
        <v>46</v>
      </c>
      <c r="D894" s="52" t="s">
        <v>46</v>
      </c>
      <c r="E894" s="52" t="s">
        <v>584</v>
      </c>
      <c r="F894" s="52" t="s">
        <v>26</v>
      </c>
      <c r="G894" s="195" t="s">
        <v>279</v>
      </c>
      <c r="H894" s="195">
        <v>0.94474199999999997</v>
      </c>
      <c r="I894" s="195">
        <v>0.8199978</v>
      </c>
      <c r="J894" s="195">
        <v>0.82259599999999999</v>
      </c>
      <c r="K894" s="195">
        <v>0.90565910000000005</v>
      </c>
      <c r="L894" s="195">
        <v>0.98166439999999999</v>
      </c>
      <c r="M894" s="195">
        <v>1.00624</v>
      </c>
      <c r="N894" s="195">
        <v>1.0318309999999999</v>
      </c>
    </row>
    <row r="895" spans="1:14" hidden="1" x14ac:dyDescent="0.35">
      <c r="A895" s="52" t="s">
        <v>579</v>
      </c>
      <c r="B895" s="52" t="s">
        <v>37</v>
      </c>
      <c r="C895" s="52" t="s">
        <v>105</v>
      </c>
      <c r="D895" s="52" t="s">
        <v>105</v>
      </c>
      <c r="E895" s="52" t="s">
        <v>584</v>
      </c>
      <c r="F895" s="52" t="s">
        <v>26</v>
      </c>
      <c r="G895" s="195" t="s">
        <v>275</v>
      </c>
      <c r="H895" s="195">
        <v>-4.1672840000000004</v>
      </c>
      <c r="I895" s="195">
        <v>-2.233984</v>
      </c>
      <c r="J895" s="195">
        <v>-2.0523989999999999</v>
      </c>
      <c r="K895" s="195">
        <v>-1.641208</v>
      </c>
      <c r="L895" s="195">
        <v>-1.6612640000000001</v>
      </c>
      <c r="M895" s="195">
        <v>-1.7158960000000001</v>
      </c>
      <c r="N895" s="195">
        <v>-1.610514</v>
      </c>
    </row>
    <row r="896" spans="1:14" hidden="1" x14ac:dyDescent="0.35">
      <c r="A896" s="52" t="s">
        <v>579</v>
      </c>
      <c r="B896" s="52" t="s">
        <v>37</v>
      </c>
      <c r="C896" s="52" t="s">
        <v>105</v>
      </c>
      <c r="D896" s="52" t="s">
        <v>105</v>
      </c>
      <c r="E896" s="52" t="s">
        <v>584</v>
      </c>
      <c r="F896" s="52" t="s">
        <v>26</v>
      </c>
      <c r="G896" s="195" t="s">
        <v>276</v>
      </c>
      <c r="H896" s="195">
        <v>-0.48772199999999999</v>
      </c>
      <c r="I896" s="195">
        <v>-0.38980779999999998</v>
      </c>
      <c r="J896" s="195">
        <v>-0.41114200000000001</v>
      </c>
      <c r="K896" s="195">
        <v>-0.80616840000000001</v>
      </c>
      <c r="L896" s="195">
        <v>-0.7332436</v>
      </c>
      <c r="M896" s="195">
        <v>-0.53101719999999997</v>
      </c>
      <c r="N896" s="195">
        <v>-0.50459279999999995</v>
      </c>
    </row>
    <row r="897" spans="1:14" hidden="1" x14ac:dyDescent="0.35">
      <c r="A897" s="52" t="s">
        <v>579</v>
      </c>
      <c r="B897" s="52" t="s">
        <v>37</v>
      </c>
      <c r="C897" s="52" t="s">
        <v>105</v>
      </c>
      <c r="D897" s="52" t="s">
        <v>105</v>
      </c>
      <c r="E897" s="52" t="s">
        <v>584</v>
      </c>
      <c r="F897" s="52" t="s">
        <v>26</v>
      </c>
      <c r="G897" s="195" t="s">
        <v>277</v>
      </c>
      <c r="H897" s="195">
        <v>5</v>
      </c>
      <c r="I897" s="195">
        <v>2.8088600000000001</v>
      </c>
      <c r="J897" s="195">
        <v>2.672323</v>
      </c>
      <c r="K897" s="195">
        <v>2.5980829999999999</v>
      </c>
      <c r="L897" s="195">
        <v>2.495314</v>
      </c>
      <c r="M897" s="195">
        <v>2.3427760000000002</v>
      </c>
      <c r="N897" s="195">
        <v>2.2089409999999998</v>
      </c>
    </row>
    <row r="898" spans="1:14" hidden="1" x14ac:dyDescent="0.35">
      <c r="A898" s="52" t="s">
        <v>579</v>
      </c>
      <c r="B898" s="52" t="s">
        <v>37</v>
      </c>
      <c r="C898" s="52" t="s">
        <v>105</v>
      </c>
      <c r="D898" s="52" t="s">
        <v>105</v>
      </c>
      <c r="E898" s="52" t="s">
        <v>584</v>
      </c>
      <c r="F898" s="52" t="s">
        <v>26</v>
      </c>
      <c r="G898" s="195" t="s">
        <v>279</v>
      </c>
      <c r="H898" s="195">
        <v>0.91813400000000001</v>
      </c>
      <c r="I898" s="195">
        <v>0.78179600000000005</v>
      </c>
      <c r="J898" s="195">
        <v>0.76846119999999996</v>
      </c>
      <c r="K898" s="195">
        <v>0.82302059999999999</v>
      </c>
      <c r="L898" s="195">
        <v>0.85717359999999998</v>
      </c>
      <c r="M898" s="195">
        <v>0.82495180000000001</v>
      </c>
      <c r="N898" s="195">
        <v>0.79762200000000005</v>
      </c>
    </row>
    <row r="899" spans="1:14" hidden="1" x14ac:dyDescent="0.35">
      <c r="A899" s="52" t="s">
        <v>579</v>
      </c>
      <c r="B899" s="52" t="s">
        <v>37</v>
      </c>
      <c r="C899" s="52" t="s">
        <v>51</v>
      </c>
      <c r="D899" s="52" t="s">
        <v>51</v>
      </c>
      <c r="E899" s="52" t="s">
        <v>584</v>
      </c>
      <c r="F899" s="52" t="s">
        <v>581</v>
      </c>
      <c r="G899" s="195" t="s">
        <v>275</v>
      </c>
      <c r="H899" s="195">
        <v>0.24526999999999999</v>
      </c>
      <c r="I899" s="195">
        <v>-3.1955520000000002</v>
      </c>
      <c r="J899" s="195">
        <v>3.5609000000000002E-2</v>
      </c>
      <c r="K899" s="195">
        <v>0</v>
      </c>
      <c r="L899" s="195"/>
      <c r="M899" s="195"/>
      <c r="N899" s="195"/>
    </row>
    <row r="900" spans="1:14" hidden="1" x14ac:dyDescent="0.35">
      <c r="A900" s="52" t="s">
        <v>579</v>
      </c>
      <c r="B900" s="52" t="s">
        <v>37</v>
      </c>
      <c r="C900" s="52" t="s">
        <v>51</v>
      </c>
      <c r="D900" s="52" t="s">
        <v>51</v>
      </c>
      <c r="E900" s="52" t="s">
        <v>584</v>
      </c>
      <c r="F900" s="52" t="s">
        <v>581</v>
      </c>
      <c r="G900" s="195" t="s">
        <v>276</v>
      </c>
      <c r="H900" s="195">
        <v>-0.234204</v>
      </c>
      <c r="I900" s="195">
        <v>-1.082867</v>
      </c>
      <c r="J900" s="195">
        <v>-3.5609000000000002E-2</v>
      </c>
      <c r="K900" s="195">
        <v>0</v>
      </c>
      <c r="L900" s="195"/>
      <c r="M900" s="195"/>
      <c r="N900" s="195"/>
    </row>
    <row r="901" spans="1:14" hidden="1" x14ac:dyDescent="0.35">
      <c r="A901" s="52" t="s">
        <v>579</v>
      </c>
      <c r="B901" s="52" t="s">
        <v>37</v>
      </c>
      <c r="C901" s="52" t="s">
        <v>51</v>
      </c>
      <c r="D901" s="52" t="s">
        <v>51</v>
      </c>
      <c r="E901" s="52" t="s">
        <v>584</v>
      </c>
      <c r="F901" s="52" t="s">
        <v>581</v>
      </c>
      <c r="G901" s="195" t="s">
        <v>277</v>
      </c>
      <c r="H901" s="195">
        <v>0</v>
      </c>
      <c r="I901" s="195"/>
      <c r="J901" s="195"/>
      <c r="K901" s="195"/>
      <c r="L901" s="195"/>
      <c r="M901" s="195"/>
      <c r="N901" s="195"/>
    </row>
    <row r="902" spans="1:14" hidden="1" x14ac:dyDescent="0.35">
      <c r="A902" s="52" t="s">
        <v>579</v>
      </c>
      <c r="B902" s="52" t="s">
        <v>37</v>
      </c>
      <c r="C902" s="52" t="s">
        <v>51</v>
      </c>
      <c r="D902" s="52" t="s">
        <v>51</v>
      </c>
      <c r="E902" s="52" t="s">
        <v>584</v>
      </c>
      <c r="F902" s="52" t="s">
        <v>581</v>
      </c>
      <c r="G902" s="195" t="s">
        <v>279</v>
      </c>
      <c r="H902" s="195">
        <v>4.8700000000000002E-3</v>
      </c>
      <c r="I902" s="195">
        <v>4.2784199999999997</v>
      </c>
      <c r="J902" s="195">
        <v>0</v>
      </c>
      <c r="K902" s="195"/>
      <c r="L902" s="195"/>
      <c r="M902" s="195"/>
      <c r="N902" s="195"/>
    </row>
    <row r="903" spans="1:14" hidden="1" x14ac:dyDescent="0.35">
      <c r="A903" s="52" t="s">
        <v>579</v>
      </c>
      <c r="B903" s="52" t="s">
        <v>37</v>
      </c>
      <c r="C903" s="52" t="s">
        <v>318</v>
      </c>
      <c r="D903" s="52" t="s">
        <v>318</v>
      </c>
      <c r="E903" s="52" t="s">
        <v>584</v>
      </c>
      <c r="F903" s="52" t="s">
        <v>581</v>
      </c>
      <c r="G903" s="195" t="s">
        <v>275</v>
      </c>
      <c r="H903" s="195">
        <v>-77.25582</v>
      </c>
      <c r="I903" s="195">
        <v>0</v>
      </c>
      <c r="J903" s="195"/>
      <c r="K903" s="195"/>
      <c r="L903" s="195"/>
      <c r="M903" s="195"/>
      <c r="N903" s="195"/>
    </row>
    <row r="904" spans="1:14" hidden="1" x14ac:dyDescent="0.35">
      <c r="A904" s="52" t="s">
        <v>579</v>
      </c>
      <c r="B904" s="52" t="s">
        <v>37</v>
      </c>
      <c r="C904" s="52" t="s">
        <v>318</v>
      </c>
      <c r="D904" s="52" t="s">
        <v>318</v>
      </c>
      <c r="E904" s="52" t="s">
        <v>584</v>
      </c>
      <c r="F904" s="52" t="s">
        <v>581</v>
      </c>
      <c r="G904" s="195" t="s">
        <v>276</v>
      </c>
      <c r="H904" s="195">
        <v>-8.9283409999999996</v>
      </c>
      <c r="I904" s="195">
        <v>0</v>
      </c>
      <c r="J904" s="195"/>
      <c r="K904" s="195"/>
      <c r="L904" s="195"/>
      <c r="M904" s="195"/>
      <c r="N904" s="195"/>
    </row>
    <row r="905" spans="1:14" hidden="1" x14ac:dyDescent="0.35">
      <c r="A905" s="52" t="s">
        <v>579</v>
      </c>
      <c r="B905" s="52" t="s">
        <v>37</v>
      </c>
      <c r="C905" s="52" t="s">
        <v>318</v>
      </c>
      <c r="D905" s="52" t="s">
        <v>318</v>
      </c>
      <c r="E905" s="52" t="s">
        <v>584</v>
      </c>
      <c r="F905" s="52" t="s">
        <v>581</v>
      </c>
      <c r="G905" s="195" t="s">
        <v>278</v>
      </c>
      <c r="H905" s="195">
        <v>86.184169999999995</v>
      </c>
      <c r="I905" s="195">
        <v>0</v>
      </c>
      <c r="J905" s="195"/>
      <c r="K905" s="195"/>
      <c r="L905" s="195"/>
      <c r="M905" s="195"/>
      <c r="N905" s="195"/>
    </row>
    <row r="906" spans="1:14" hidden="1" x14ac:dyDescent="0.35">
      <c r="A906" s="52" t="s">
        <v>579</v>
      </c>
      <c r="B906" s="52" t="s">
        <v>37</v>
      </c>
      <c r="C906" s="52" t="s">
        <v>318</v>
      </c>
      <c r="D906" s="52" t="s">
        <v>318</v>
      </c>
      <c r="E906" s="52" t="s">
        <v>584</v>
      </c>
      <c r="F906" s="52" t="s">
        <v>26</v>
      </c>
      <c r="G906" s="195" t="s">
        <v>275</v>
      </c>
      <c r="H906" s="195">
        <v>-51.503880000000002</v>
      </c>
      <c r="I906" s="195">
        <v>0</v>
      </c>
      <c r="J906" s="195"/>
      <c r="K906" s="195"/>
      <c r="L906" s="195"/>
      <c r="M906" s="195"/>
      <c r="N906" s="195"/>
    </row>
    <row r="907" spans="1:14" hidden="1" x14ac:dyDescent="0.35">
      <c r="A907" s="52" t="s">
        <v>579</v>
      </c>
      <c r="B907" s="52" t="s">
        <v>37</v>
      </c>
      <c r="C907" s="52" t="s">
        <v>318</v>
      </c>
      <c r="D907" s="52" t="s">
        <v>318</v>
      </c>
      <c r="E907" s="52" t="s">
        <v>584</v>
      </c>
      <c r="F907" s="52" t="s">
        <v>26</v>
      </c>
      <c r="G907" s="195" t="s">
        <v>276</v>
      </c>
      <c r="H907" s="195">
        <v>-5.9522250000000003</v>
      </c>
      <c r="I907" s="195">
        <v>0</v>
      </c>
      <c r="J907" s="195"/>
      <c r="K907" s="195"/>
      <c r="L907" s="195"/>
      <c r="M907" s="195"/>
      <c r="N907" s="195"/>
    </row>
    <row r="908" spans="1:14" hidden="1" x14ac:dyDescent="0.35">
      <c r="A908" s="52" t="s">
        <v>579</v>
      </c>
      <c r="B908" s="52" t="s">
        <v>37</v>
      </c>
      <c r="C908" s="52" t="s">
        <v>318</v>
      </c>
      <c r="D908" s="52" t="s">
        <v>318</v>
      </c>
      <c r="E908" s="52" t="s">
        <v>584</v>
      </c>
      <c r="F908" s="52" t="s">
        <v>26</v>
      </c>
      <c r="G908" s="195" t="s">
        <v>278</v>
      </c>
      <c r="H908" s="195">
        <v>57.456119999999999</v>
      </c>
      <c r="I908" s="195">
        <v>0</v>
      </c>
      <c r="J908" s="195"/>
      <c r="K908" s="195"/>
      <c r="L908" s="195"/>
      <c r="M908" s="195"/>
      <c r="N908" s="195"/>
    </row>
    <row r="909" spans="1:14" hidden="1" x14ac:dyDescent="0.35">
      <c r="A909" s="52" t="s">
        <v>579</v>
      </c>
      <c r="B909" s="52" t="s">
        <v>32</v>
      </c>
      <c r="C909" s="52" t="s">
        <v>30</v>
      </c>
      <c r="D909" s="52" t="s">
        <v>30</v>
      </c>
      <c r="E909" s="52" t="s">
        <v>584</v>
      </c>
      <c r="F909" s="52" t="s">
        <v>581</v>
      </c>
      <c r="G909" s="195" t="s">
        <v>275</v>
      </c>
      <c r="H909" s="195">
        <v>351.9588</v>
      </c>
      <c r="I909" s="195">
        <v>76.253500000000003</v>
      </c>
      <c r="J909" s="195">
        <v>26.71095</v>
      </c>
      <c r="K909" s="195">
        <v>25.03933</v>
      </c>
      <c r="L909" s="195">
        <v>25.686820000000001</v>
      </c>
      <c r="M909" s="195">
        <v>26.606570000000001</v>
      </c>
      <c r="N909" s="195">
        <v>22.691099999999999</v>
      </c>
    </row>
    <row r="910" spans="1:14" hidden="1" x14ac:dyDescent="0.35">
      <c r="A910" s="52" t="s">
        <v>579</v>
      </c>
      <c r="B910" s="52" t="s">
        <v>32</v>
      </c>
      <c r="C910" s="52" t="s">
        <v>30</v>
      </c>
      <c r="D910" s="52" t="s">
        <v>30</v>
      </c>
      <c r="E910" s="52" t="s">
        <v>584</v>
      </c>
      <c r="F910" s="52" t="s">
        <v>581</v>
      </c>
      <c r="G910" s="195" t="s">
        <v>276</v>
      </c>
      <c r="H910" s="195">
        <v>81.147000000000006</v>
      </c>
      <c r="I910" s="195">
        <v>29.258859999999999</v>
      </c>
      <c r="J910" s="195">
        <v>52.177579999999999</v>
      </c>
      <c r="K910" s="195">
        <v>48.837420000000002</v>
      </c>
      <c r="L910" s="195">
        <v>49.653509999999997</v>
      </c>
      <c r="M910" s="195">
        <v>46.305230000000002</v>
      </c>
      <c r="N910" s="195">
        <v>15.8675</v>
      </c>
    </row>
    <row r="911" spans="1:14" hidden="1" x14ac:dyDescent="0.35">
      <c r="A911" s="52" t="s">
        <v>579</v>
      </c>
      <c r="B911" s="52" t="s">
        <v>32</v>
      </c>
      <c r="C911" s="52" t="s">
        <v>30</v>
      </c>
      <c r="D911" s="52" t="s">
        <v>30</v>
      </c>
      <c r="E911" s="52" t="s">
        <v>584</v>
      </c>
      <c r="F911" s="52" t="s">
        <v>581</v>
      </c>
      <c r="G911" s="195" t="s">
        <v>277</v>
      </c>
      <c r="H911" s="195"/>
      <c r="I911" s="195"/>
      <c r="J911" s="195"/>
      <c r="K911" s="195">
        <v>0</v>
      </c>
      <c r="L911" s="195">
        <v>0</v>
      </c>
      <c r="M911" s="195">
        <v>0</v>
      </c>
      <c r="N911" s="195">
        <v>0</v>
      </c>
    </row>
    <row r="912" spans="1:14" hidden="1" x14ac:dyDescent="0.35">
      <c r="A912" s="52" t="s">
        <v>579</v>
      </c>
      <c r="B912" s="52" t="s">
        <v>32</v>
      </c>
      <c r="C912" s="52" t="s">
        <v>30</v>
      </c>
      <c r="D912" s="52" t="s">
        <v>30</v>
      </c>
      <c r="E912" s="52" t="s">
        <v>584</v>
      </c>
      <c r="F912" s="52" t="s">
        <v>581</v>
      </c>
      <c r="G912" s="195" t="s">
        <v>278</v>
      </c>
      <c r="H912" s="195">
        <v>0.29384559999999998</v>
      </c>
      <c r="I912" s="195">
        <v>17.771319999999999</v>
      </c>
      <c r="J912" s="195">
        <v>17.348769999999998</v>
      </c>
      <c r="K912" s="195">
        <v>18.837430000000001</v>
      </c>
      <c r="L912" s="195">
        <v>19.746659999999999</v>
      </c>
      <c r="M912" s="195">
        <v>19.98499</v>
      </c>
      <c r="N912" s="195">
        <v>40.004649999999998</v>
      </c>
    </row>
    <row r="913" spans="1:14" hidden="1" x14ac:dyDescent="0.35">
      <c r="A913" s="52" t="s">
        <v>579</v>
      </c>
      <c r="B913" s="52" t="s">
        <v>32</v>
      </c>
      <c r="C913" s="52" t="s">
        <v>30</v>
      </c>
      <c r="D913" s="52" t="s">
        <v>30</v>
      </c>
      <c r="E913" s="52" t="s">
        <v>584</v>
      </c>
      <c r="F913" s="52" t="s">
        <v>581</v>
      </c>
      <c r="G913" s="195" t="s">
        <v>279</v>
      </c>
      <c r="H913" s="195">
        <v>95.55856</v>
      </c>
      <c r="I913" s="195">
        <v>87.285380000000004</v>
      </c>
      <c r="J913" s="195">
        <v>89.673029999999997</v>
      </c>
      <c r="K913" s="195">
        <v>97.845950000000002</v>
      </c>
      <c r="L913" s="195">
        <v>100.24039999999999</v>
      </c>
      <c r="M913" s="195">
        <v>97.947739999999996</v>
      </c>
      <c r="N913" s="195">
        <v>84.631399999999999</v>
      </c>
    </row>
    <row r="914" spans="1:14" hidden="1" x14ac:dyDescent="0.35">
      <c r="A914" s="52" t="s">
        <v>579</v>
      </c>
      <c r="B914" s="52" t="s">
        <v>32</v>
      </c>
      <c r="C914" s="52" t="s">
        <v>30</v>
      </c>
      <c r="D914" s="52" t="s">
        <v>30</v>
      </c>
      <c r="E914" s="52" t="s">
        <v>584</v>
      </c>
      <c r="F914" s="52" t="s">
        <v>26</v>
      </c>
      <c r="G914" s="195" t="s">
        <v>275</v>
      </c>
      <c r="H914" s="195">
        <v>201.88040000000001</v>
      </c>
      <c r="I914" s="195">
        <v>236.4659</v>
      </c>
      <c r="J914" s="195">
        <v>135.2012</v>
      </c>
      <c r="K914" s="195">
        <v>91.265100000000004</v>
      </c>
      <c r="L914" s="195">
        <v>88.217579999999998</v>
      </c>
      <c r="M914" s="195">
        <v>86.81317</v>
      </c>
      <c r="N914" s="195">
        <v>91.075490000000002</v>
      </c>
    </row>
    <row r="915" spans="1:14" hidden="1" x14ac:dyDescent="0.35">
      <c r="A915" s="52" t="s">
        <v>579</v>
      </c>
      <c r="B915" s="52" t="s">
        <v>32</v>
      </c>
      <c r="C915" s="52" t="s">
        <v>30</v>
      </c>
      <c r="D915" s="52" t="s">
        <v>30</v>
      </c>
      <c r="E915" s="52" t="s">
        <v>584</v>
      </c>
      <c r="F915" s="52" t="s">
        <v>26</v>
      </c>
      <c r="G915" s="195" t="s">
        <v>276</v>
      </c>
      <c r="H915" s="195">
        <v>72.805009999999996</v>
      </c>
      <c r="I915" s="195">
        <v>74.625140000000002</v>
      </c>
      <c r="J915" s="195">
        <v>188.79900000000001</v>
      </c>
      <c r="K915" s="195">
        <v>220.67349999999999</v>
      </c>
      <c r="L915" s="195">
        <v>225.86859999999999</v>
      </c>
      <c r="M915" s="195">
        <v>233.0085</v>
      </c>
      <c r="N915" s="195">
        <v>217.85509999999999</v>
      </c>
    </row>
    <row r="916" spans="1:14" hidden="1" x14ac:dyDescent="0.35">
      <c r="A916" s="52" t="s">
        <v>579</v>
      </c>
      <c r="B916" s="52" t="s">
        <v>32</v>
      </c>
      <c r="C916" s="52" t="s">
        <v>30</v>
      </c>
      <c r="D916" s="52" t="s">
        <v>30</v>
      </c>
      <c r="E916" s="52" t="s">
        <v>584</v>
      </c>
      <c r="F916" s="52" t="s">
        <v>26</v>
      </c>
      <c r="G916" s="195" t="s">
        <v>277</v>
      </c>
      <c r="H916" s="195">
        <v>70.848910000000004</v>
      </c>
      <c r="I916" s="195">
        <v>55.088880000000003</v>
      </c>
      <c r="J916" s="195">
        <v>50.871319999999997</v>
      </c>
      <c r="K916" s="195">
        <v>65.467699999999994</v>
      </c>
      <c r="L916" s="195">
        <v>72.809640000000002</v>
      </c>
      <c r="M916" s="195">
        <v>76.801010000000005</v>
      </c>
      <c r="N916" s="195">
        <v>79.624669999999995</v>
      </c>
    </row>
    <row r="917" spans="1:14" hidden="1" x14ac:dyDescent="0.35">
      <c r="A917" s="52" t="s">
        <v>579</v>
      </c>
      <c r="B917" s="52" t="s">
        <v>32</v>
      </c>
      <c r="C917" s="52" t="s">
        <v>30</v>
      </c>
      <c r="D917" s="52" t="s">
        <v>30</v>
      </c>
      <c r="E917" s="52" t="s">
        <v>584</v>
      </c>
      <c r="F917" s="52" t="s">
        <v>26</v>
      </c>
      <c r="G917" s="195" t="s">
        <v>279</v>
      </c>
      <c r="H917" s="195">
        <v>109.497</v>
      </c>
      <c r="I917" s="195">
        <v>100.2273</v>
      </c>
      <c r="J917" s="195">
        <v>103.1956</v>
      </c>
      <c r="K917" s="195">
        <v>112.6125</v>
      </c>
      <c r="L917" s="195">
        <v>115.37350000000001</v>
      </c>
      <c r="M917" s="195">
        <v>118.20359999999999</v>
      </c>
      <c r="N917" s="195">
        <v>115.8665</v>
      </c>
    </row>
    <row r="918" spans="1:14" hidden="1" x14ac:dyDescent="0.35">
      <c r="A918" s="52" t="s">
        <v>579</v>
      </c>
      <c r="B918" s="52" t="s">
        <v>32</v>
      </c>
      <c r="C918" s="52" t="s">
        <v>318</v>
      </c>
      <c r="D918" s="52" t="s">
        <v>318</v>
      </c>
      <c r="E918" s="52" t="s">
        <v>584</v>
      </c>
      <c r="F918" s="52" t="s">
        <v>581</v>
      </c>
      <c r="G918" s="195" t="s">
        <v>275</v>
      </c>
      <c r="H918" s="195">
        <v>-9.7355239999999998</v>
      </c>
      <c r="I918" s="195">
        <v>0</v>
      </c>
      <c r="J918" s="195"/>
      <c r="K918" s="195"/>
      <c r="L918" s="195"/>
      <c r="M918" s="195"/>
      <c r="N918" s="195"/>
    </row>
    <row r="919" spans="1:14" hidden="1" x14ac:dyDescent="0.35">
      <c r="A919" s="52" t="s">
        <v>579</v>
      </c>
      <c r="B919" s="52" t="s">
        <v>32</v>
      </c>
      <c r="C919" s="52" t="s">
        <v>318</v>
      </c>
      <c r="D919" s="52" t="s">
        <v>318</v>
      </c>
      <c r="E919" s="52" t="s">
        <v>584</v>
      </c>
      <c r="F919" s="52" t="s">
        <v>581</v>
      </c>
      <c r="G919" s="195" t="s">
        <v>276</v>
      </c>
      <c r="H919" s="195">
        <v>-1.9940230000000001</v>
      </c>
      <c r="I919" s="195">
        <v>0</v>
      </c>
      <c r="J919" s="195"/>
      <c r="K919" s="195"/>
      <c r="L919" s="195"/>
      <c r="M919" s="195"/>
      <c r="N919" s="195"/>
    </row>
    <row r="920" spans="1:14" hidden="1" x14ac:dyDescent="0.35">
      <c r="A920" s="52" t="s">
        <v>579</v>
      </c>
      <c r="B920" s="52" t="s">
        <v>32</v>
      </c>
      <c r="C920" s="52" t="s">
        <v>318</v>
      </c>
      <c r="D920" s="52" t="s">
        <v>318</v>
      </c>
      <c r="E920" s="52" t="s">
        <v>584</v>
      </c>
      <c r="F920" s="52" t="s">
        <v>581</v>
      </c>
      <c r="G920" s="195" t="s">
        <v>278</v>
      </c>
      <c r="H920" s="195">
        <v>11.72955</v>
      </c>
      <c r="I920" s="195">
        <v>0</v>
      </c>
      <c r="J920" s="195"/>
      <c r="K920" s="195"/>
      <c r="L920" s="195"/>
      <c r="M920" s="195"/>
      <c r="N920" s="195"/>
    </row>
    <row r="921" spans="1:14" hidden="1" x14ac:dyDescent="0.35">
      <c r="A921" s="52" t="s">
        <v>579</v>
      </c>
      <c r="B921" s="52" t="s">
        <v>32</v>
      </c>
      <c r="C921" s="52" t="s">
        <v>318</v>
      </c>
      <c r="D921" s="52" t="s">
        <v>318</v>
      </c>
      <c r="E921" s="52" t="s">
        <v>584</v>
      </c>
      <c r="F921" s="52" t="s">
        <v>26</v>
      </c>
      <c r="G921" s="195" t="s">
        <v>275</v>
      </c>
      <c r="H921" s="195">
        <v>-6.4903490000000001</v>
      </c>
      <c r="I921" s="195">
        <v>0</v>
      </c>
      <c r="J921" s="195"/>
      <c r="K921" s="195"/>
      <c r="L921" s="195"/>
      <c r="M921" s="195"/>
      <c r="N921" s="195"/>
    </row>
    <row r="922" spans="1:14" hidden="1" x14ac:dyDescent="0.35">
      <c r="A922" s="52" t="s">
        <v>579</v>
      </c>
      <c r="B922" s="52" t="s">
        <v>32</v>
      </c>
      <c r="C922" s="52" t="s">
        <v>318</v>
      </c>
      <c r="D922" s="52" t="s">
        <v>318</v>
      </c>
      <c r="E922" s="52" t="s">
        <v>584</v>
      </c>
      <c r="F922" s="52" t="s">
        <v>26</v>
      </c>
      <c r="G922" s="195" t="s">
        <v>276</v>
      </c>
      <c r="H922" s="195">
        <v>-1.3293489999999999</v>
      </c>
      <c r="I922" s="195">
        <v>0</v>
      </c>
      <c r="J922" s="195"/>
      <c r="K922" s="195"/>
      <c r="L922" s="195"/>
      <c r="M922" s="195"/>
      <c r="N922" s="195"/>
    </row>
    <row r="923" spans="1:14" hidden="1" x14ac:dyDescent="0.35">
      <c r="A923" s="52" t="s">
        <v>579</v>
      </c>
      <c r="B923" s="52" t="s">
        <v>32</v>
      </c>
      <c r="C923" s="52" t="s">
        <v>318</v>
      </c>
      <c r="D923" s="52" t="s">
        <v>318</v>
      </c>
      <c r="E923" s="52" t="s">
        <v>584</v>
      </c>
      <c r="F923" s="52" t="s">
        <v>26</v>
      </c>
      <c r="G923" s="195" t="s">
        <v>278</v>
      </c>
      <c r="H923" s="195">
        <v>7.8196979999999998</v>
      </c>
      <c r="I923" s="195">
        <v>0</v>
      </c>
      <c r="J923" s="195"/>
      <c r="K923" s="195"/>
      <c r="L923" s="195"/>
      <c r="M923" s="195"/>
      <c r="N923" s="195"/>
    </row>
    <row r="924" spans="1:14" hidden="1" x14ac:dyDescent="0.35">
      <c r="A924" s="52" t="s">
        <v>579</v>
      </c>
      <c r="B924" s="52" t="s">
        <v>125</v>
      </c>
      <c r="C924" s="52" t="s">
        <v>167</v>
      </c>
      <c r="D924" s="52" t="s">
        <v>167</v>
      </c>
      <c r="E924" s="52" t="s">
        <v>584</v>
      </c>
      <c r="F924" s="52" t="s">
        <v>581</v>
      </c>
      <c r="G924" s="195" t="s">
        <v>275</v>
      </c>
      <c r="H924" s="195">
        <v>93.097239999999999</v>
      </c>
      <c r="I924" s="195">
        <v>-180.18270000000001</v>
      </c>
      <c r="J924" s="195">
        <v>-215.68610000000001</v>
      </c>
      <c r="K924" s="195">
        <v>-292.67860000000002</v>
      </c>
      <c r="L924" s="195">
        <v>-306.40609999999998</v>
      </c>
      <c r="M924" s="195">
        <v>-315.47070000000002</v>
      </c>
      <c r="N924" s="195">
        <v>-323.67529999999999</v>
      </c>
    </row>
    <row r="925" spans="1:14" hidden="1" x14ac:dyDescent="0.35">
      <c r="A925" s="52" t="s">
        <v>579</v>
      </c>
      <c r="B925" s="52" t="s">
        <v>125</v>
      </c>
      <c r="C925" s="52" t="s">
        <v>167</v>
      </c>
      <c r="D925" s="52" t="s">
        <v>167</v>
      </c>
      <c r="E925" s="52" t="s">
        <v>584</v>
      </c>
      <c r="F925" s="52" t="s">
        <v>581</v>
      </c>
      <c r="G925" s="195" t="s">
        <v>276</v>
      </c>
      <c r="H925" s="195"/>
      <c r="I925" s="195"/>
      <c r="J925" s="195">
        <v>-0.37857049999999998</v>
      </c>
      <c r="K925" s="195">
        <v>-0.52036249999999995</v>
      </c>
      <c r="L925" s="195">
        <v>-0.2236108</v>
      </c>
      <c r="M925" s="195">
        <v>-0.208145</v>
      </c>
      <c r="N925" s="195">
        <v>-0.208145</v>
      </c>
    </row>
    <row r="926" spans="1:14" hidden="1" x14ac:dyDescent="0.35">
      <c r="A926" s="52" t="s">
        <v>579</v>
      </c>
      <c r="B926" s="52" t="s">
        <v>125</v>
      </c>
      <c r="C926" s="52" t="s">
        <v>167</v>
      </c>
      <c r="D926" s="52" t="s">
        <v>167</v>
      </c>
      <c r="E926" s="52" t="s">
        <v>584</v>
      </c>
      <c r="F926" s="52" t="s">
        <v>581</v>
      </c>
      <c r="G926" s="195" t="s">
        <v>277</v>
      </c>
      <c r="H926" s="195">
        <v>100.8295</v>
      </c>
      <c r="I926" s="195">
        <v>76.826340000000002</v>
      </c>
      <c r="J926" s="195">
        <v>70.069999999999993</v>
      </c>
      <c r="K926" s="195">
        <v>89.381110000000007</v>
      </c>
      <c r="L926" s="195">
        <v>98.140630000000002</v>
      </c>
      <c r="M926" s="195">
        <v>102.11409999999999</v>
      </c>
      <c r="N926" s="195">
        <v>105.0981</v>
      </c>
    </row>
    <row r="927" spans="1:14" hidden="1" x14ac:dyDescent="0.35">
      <c r="A927" s="52" t="s">
        <v>579</v>
      </c>
      <c r="B927" s="52" t="s">
        <v>125</v>
      </c>
      <c r="C927" s="52" t="s">
        <v>167</v>
      </c>
      <c r="D927" s="52" t="s">
        <v>167</v>
      </c>
      <c r="E927" s="52" t="s">
        <v>584</v>
      </c>
      <c r="F927" s="52" t="s">
        <v>581</v>
      </c>
      <c r="G927" s="195" t="s">
        <v>278</v>
      </c>
      <c r="H927" s="195">
        <v>0.19659219999999999</v>
      </c>
      <c r="I927" s="195">
        <v>12.964589999999999</v>
      </c>
      <c r="J927" s="195">
        <v>0.37857049999999998</v>
      </c>
      <c r="K927" s="195">
        <v>0.52036249999999995</v>
      </c>
      <c r="L927" s="195">
        <v>0.2236108</v>
      </c>
      <c r="M927" s="195">
        <v>0.208145</v>
      </c>
      <c r="N927" s="195">
        <v>0.208145</v>
      </c>
    </row>
    <row r="928" spans="1:14" hidden="1" x14ac:dyDescent="0.35">
      <c r="A928" s="52" t="s">
        <v>579</v>
      </c>
      <c r="B928" s="52" t="s">
        <v>125</v>
      </c>
      <c r="C928" s="52" t="s">
        <v>167</v>
      </c>
      <c r="D928" s="52" t="s">
        <v>167</v>
      </c>
      <c r="E928" s="52" t="s">
        <v>584</v>
      </c>
      <c r="F928" s="52" t="s">
        <v>581</v>
      </c>
      <c r="G928" s="195" t="s">
        <v>279</v>
      </c>
      <c r="H928" s="195">
        <v>513.56399999999996</v>
      </c>
      <c r="I928" s="195">
        <v>394.3186</v>
      </c>
      <c r="J928" s="195">
        <v>432.26760000000002</v>
      </c>
      <c r="K928" s="195">
        <v>539.03629999999998</v>
      </c>
      <c r="L928" s="195">
        <v>552.41539999999998</v>
      </c>
      <c r="M928" s="195">
        <v>566.12840000000006</v>
      </c>
      <c r="N928" s="195">
        <v>580.18539999999996</v>
      </c>
    </row>
    <row r="929" spans="1:14" hidden="1" x14ac:dyDescent="0.35">
      <c r="A929" s="52" t="s">
        <v>579</v>
      </c>
      <c r="B929" s="52" t="s">
        <v>125</v>
      </c>
      <c r="C929" s="52" t="s">
        <v>30</v>
      </c>
      <c r="D929" s="52" t="s">
        <v>30</v>
      </c>
      <c r="E929" s="52" t="s">
        <v>584</v>
      </c>
      <c r="F929" s="52" t="s">
        <v>581</v>
      </c>
      <c r="G929" s="195" t="s">
        <v>275</v>
      </c>
      <c r="H929" s="195">
        <v>171.5608</v>
      </c>
      <c r="I929" s="195">
        <v>38.956850000000003</v>
      </c>
      <c r="J929" s="195">
        <v>24.324010000000001</v>
      </c>
      <c r="K929" s="195">
        <v>20.507269999999998</v>
      </c>
      <c r="L929" s="195">
        <v>18.529129999999999</v>
      </c>
      <c r="M929" s="195">
        <v>15.44439</v>
      </c>
      <c r="N929" s="195">
        <v>12.005879999999999</v>
      </c>
    </row>
    <row r="930" spans="1:14" hidden="1" x14ac:dyDescent="0.35">
      <c r="A930" s="52" t="s">
        <v>579</v>
      </c>
      <c r="B930" s="52" t="s">
        <v>125</v>
      </c>
      <c r="C930" s="52" t="s">
        <v>30</v>
      </c>
      <c r="D930" s="52" t="s">
        <v>30</v>
      </c>
      <c r="E930" s="52" t="s">
        <v>584</v>
      </c>
      <c r="F930" s="52" t="s">
        <v>581</v>
      </c>
      <c r="G930" s="195" t="s">
        <v>276</v>
      </c>
      <c r="H930" s="195"/>
      <c r="I930" s="195"/>
      <c r="J930" s="195">
        <v>-7.0566000000000004E-2</v>
      </c>
      <c r="K930" s="195">
        <v>-9.6995990000000004E-2</v>
      </c>
      <c r="L930" s="195">
        <v>-4.1681509999999998E-2</v>
      </c>
      <c r="M930" s="195">
        <v>-3.87985E-2</v>
      </c>
      <c r="N930" s="195">
        <v>-3.87985E-2</v>
      </c>
    </row>
    <row r="931" spans="1:14" hidden="1" x14ac:dyDescent="0.35">
      <c r="A931" s="52" t="s">
        <v>579</v>
      </c>
      <c r="B931" s="52" t="s">
        <v>125</v>
      </c>
      <c r="C931" s="52" t="s">
        <v>30</v>
      </c>
      <c r="D931" s="52" t="s">
        <v>30</v>
      </c>
      <c r="E931" s="52" t="s">
        <v>584</v>
      </c>
      <c r="F931" s="52" t="s">
        <v>581</v>
      </c>
      <c r="G931" s="195" t="s">
        <v>277</v>
      </c>
      <c r="H931" s="195">
        <v>65.408060000000006</v>
      </c>
      <c r="I931" s="195">
        <v>49.903289999999998</v>
      </c>
      <c r="J931" s="195">
        <v>45.234380000000002</v>
      </c>
      <c r="K931" s="195">
        <v>56.2622</v>
      </c>
      <c r="L931" s="195">
        <v>53.417430000000003</v>
      </c>
      <c r="M931" s="195">
        <v>49.193339999999999</v>
      </c>
      <c r="N931" s="195">
        <v>46.165619999999997</v>
      </c>
    </row>
    <row r="932" spans="1:14" hidden="1" x14ac:dyDescent="0.35">
      <c r="A932" s="52" t="s">
        <v>579</v>
      </c>
      <c r="B932" s="52" t="s">
        <v>125</v>
      </c>
      <c r="C932" s="52" t="s">
        <v>30</v>
      </c>
      <c r="D932" s="52" t="s">
        <v>30</v>
      </c>
      <c r="E932" s="52" t="s">
        <v>584</v>
      </c>
      <c r="F932" s="52" t="s">
        <v>581</v>
      </c>
      <c r="G932" s="195" t="s">
        <v>278</v>
      </c>
      <c r="H932" s="195">
        <v>3.6644999999999997E-2</v>
      </c>
      <c r="I932" s="195">
        <v>4.623E-2</v>
      </c>
      <c r="J932" s="195">
        <v>7.0566000000000004E-2</v>
      </c>
      <c r="K932" s="195">
        <v>9.6995990000000004E-2</v>
      </c>
      <c r="L932" s="195">
        <v>4.1681509999999998E-2</v>
      </c>
      <c r="M932" s="195">
        <v>3.87985E-2</v>
      </c>
      <c r="N932" s="195">
        <v>3.87985E-2</v>
      </c>
    </row>
    <row r="933" spans="1:14" hidden="1" x14ac:dyDescent="0.35">
      <c r="A933" s="52" t="s">
        <v>579</v>
      </c>
      <c r="B933" s="52" t="s">
        <v>125</v>
      </c>
      <c r="C933" s="52" t="s">
        <v>30</v>
      </c>
      <c r="D933" s="52" t="s">
        <v>30</v>
      </c>
      <c r="E933" s="52" t="s">
        <v>584</v>
      </c>
      <c r="F933" s="52" t="s">
        <v>581</v>
      </c>
      <c r="G933" s="195" t="s">
        <v>279</v>
      </c>
      <c r="H933" s="195">
        <v>49.218359999999997</v>
      </c>
      <c r="I933" s="195">
        <v>35.031109999999998</v>
      </c>
      <c r="J933" s="195">
        <v>34.188630000000003</v>
      </c>
      <c r="K933" s="195">
        <v>40.035029999999999</v>
      </c>
      <c r="L933" s="195">
        <v>37.206530000000001</v>
      </c>
      <c r="M933" s="195">
        <v>33.811219999999999</v>
      </c>
      <c r="N933" s="195">
        <v>30.807960000000001</v>
      </c>
    </row>
    <row r="934" spans="1:14" hidden="1" x14ac:dyDescent="0.35">
      <c r="A934" s="52" t="s">
        <v>579</v>
      </c>
      <c r="B934" s="52" t="s">
        <v>125</v>
      </c>
      <c r="C934" s="52" t="s">
        <v>30</v>
      </c>
      <c r="D934" s="52" t="s">
        <v>30</v>
      </c>
      <c r="E934" s="52" t="s">
        <v>584</v>
      </c>
      <c r="F934" s="52" t="s">
        <v>26</v>
      </c>
      <c r="G934" s="195" t="s">
        <v>275</v>
      </c>
      <c r="H934" s="195">
        <v>3.4570609999999999</v>
      </c>
      <c r="I934" s="195">
        <v>3.9679340000000001</v>
      </c>
      <c r="J934" s="195">
        <v>-2.7818040000000002</v>
      </c>
      <c r="K934" s="195">
        <v>-4.0841269999999996</v>
      </c>
      <c r="L934" s="195">
        <v>-4.2659099999999999</v>
      </c>
      <c r="M934" s="195">
        <v>-4.531561</v>
      </c>
      <c r="N934" s="195">
        <v>-4.8417139999999996</v>
      </c>
    </row>
    <row r="935" spans="1:14" hidden="1" x14ac:dyDescent="0.35">
      <c r="A935" s="52" t="s">
        <v>579</v>
      </c>
      <c r="B935" s="52" t="s">
        <v>125</v>
      </c>
      <c r="C935" s="52" t="s">
        <v>30</v>
      </c>
      <c r="D935" s="52" t="s">
        <v>30</v>
      </c>
      <c r="E935" s="52" t="s">
        <v>584</v>
      </c>
      <c r="F935" s="52" t="s">
        <v>26</v>
      </c>
      <c r="G935" s="195" t="s">
        <v>279</v>
      </c>
      <c r="H935" s="195">
        <v>10.401630000000001</v>
      </c>
      <c r="I935" s="195">
        <v>9.5920719999999999</v>
      </c>
      <c r="J935" s="195">
        <v>9.8870529999999999</v>
      </c>
      <c r="K935" s="195">
        <v>10.74113</v>
      </c>
      <c r="L935" s="195">
        <v>10.991770000000001</v>
      </c>
      <c r="M935" s="195">
        <v>11.248699999999999</v>
      </c>
      <c r="N935" s="195">
        <v>11.512079999999999</v>
      </c>
    </row>
    <row r="936" spans="1:14" hidden="1" x14ac:dyDescent="0.35">
      <c r="A936" s="52" t="s">
        <v>579</v>
      </c>
      <c r="B936" s="52" t="s">
        <v>125</v>
      </c>
      <c r="C936" s="52" t="s">
        <v>124</v>
      </c>
      <c r="D936" s="52" t="s">
        <v>124</v>
      </c>
      <c r="E936" s="52" t="s">
        <v>584</v>
      </c>
      <c r="F936" s="52" t="s">
        <v>581</v>
      </c>
      <c r="G936" s="195" t="s">
        <v>275</v>
      </c>
      <c r="H936" s="195">
        <v>91.243989999999997</v>
      </c>
      <c r="I936" s="195">
        <v>0.57683589999999996</v>
      </c>
      <c r="J936" s="195">
        <v>8.0838409999999996</v>
      </c>
      <c r="K936" s="195">
        <v>7.8615490000000001</v>
      </c>
      <c r="L936" s="195">
        <v>4.6889099999999999</v>
      </c>
      <c r="M936" s="195">
        <v>3.576997</v>
      </c>
      <c r="N936" s="195">
        <v>1.715544</v>
      </c>
    </row>
    <row r="937" spans="1:14" hidden="1" x14ac:dyDescent="0.35">
      <c r="A937" s="52" t="s">
        <v>579</v>
      </c>
      <c r="B937" s="52" t="s">
        <v>125</v>
      </c>
      <c r="C937" s="52" t="s">
        <v>124</v>
      </c>
      <c r="D937" s="52" t="s">
        <v>124</v>
      </c>
      <c r="E937" s="52" t="s">
        <v>584</v>
      </c>
      <c r="F937" s="52" t="s">
        <v>581</v>
      </c>
      <c r="G937" s="195" t="s">
        <v>276</v>
      </c>
      <c r="H937" s="195"/>
      <c r="I937" s="195"/>
      <c r="J937" s="195">
        <v>-20.008500000000002</v>
      </c>
      <c r="K937" s="195">
        <v>-13.081009999999999</v>
      </c>
      <c r="L937" s="195">
        <v>-0.64311859999999998</v>
      </c>
      <c r="M937" s="195">
        <v>-0.59863900000000003</v>
      </c>
      <c r="N937" s="195">
        <v>-0.59863900000000003</v>
      </c>
    </row>
    <row r="938" spans="1:14" hidden="1" x14ac:dyDescent="0.35">
      <c r="A938" s="52" t="s">
        <v>579</v>
      </c>
      <c r="B938" s="52" t="s">
        <v>125</v>
      </c>
      <c r="C938" s="52" t="s">
        <v>124</v>
      </c>
      <c r="D938" s="52" t="s">
        <v>124</v>
      </c>
      <c r="E938" s="52" t="s">
        <v>584</v>
      </c>
      <c r="F938" s="52" t="s">
        <v>581</v>
      </c>
      <c r="G938" s="195" t="s">
        <v>277</v>
      </c>
      <c r="H938" s="195">
        <v>26.868970000000001</v>
      </c>
      <c r="I938" s="195">
        <v>20.724509999999999</v>
      </c>
      <c r="J938" s="195">
        <v>18.218610000000002</v>
      </c>
      <c r="K938" s="195">
        <v>18.38456</v>
      </c>
      <c r="L938" s="195">
        <v>16.382400000000001</v>
      </c>
      <c r="M938" s="195">
        <v>13.898160000000001</v>
      </c>
      <c r="N938" s="195">
        <v>13.137269999999999</v>
      </c>
    </row>
    <row r="939" spans="1:14" hidden="1" x14ac:dyDescent="0.35">
      <c r="A939" s="52" t="s">
        <v>579</v>
      </c>
      <c r="B939" s="52" t="s">
        <v>125</v>
      </c>
      <c r="C939" s="52" t="s">
        <v>124</v>
      </c>
      <c r="D939" s="52" t="s">
        <v>124</v>
      </c>
      <c r="E939" s="52" t="s">
        <v>584</v>
      </c>
      <c r="F939" s="52" t="s">
        <v>581</v>
      </c>
      <c r="G939" s="195" t="s">
        <v>278</v>
      </c>
      <c r="H939" s="195">
        <v>0.56541200000000003</v>
      </c>
      <c r="I939" s="195">
        <v>14.29833</v>
      </c>
      <c r="J939" s="195">
        <v>20.008500000000002</v>
      </c>
      <c r="K939" s="195">
        <v>13.081009999999999</v>
      </c>
      <c r="L939" s="195">
        <v>0.64311859999999998</v>
      </c>
      <c r="M939" s="195">
        <v>0.59863900000000003</v>
      </c>
      <c r="N939" s="195">
        <v>0.59863900000000003</v>
      </c>
    </row>
    <row r="940" spans="1:14" hidden="1" x14ac:dyDescent="0.35">
      <c r="A940" s="52" t="s">
        <v>579</v>
      </c>
      <c r="B940" s="52" t="s">
        <v>125</v>
      </c>
      <c r="C940" s="52" t="s">
        <v>124</v>
      </c>
      <c r="D940" s="52" t="s">
        <v>124</v>
      </c>
      <c r="E940" s="52" t="s">
        <v>584</v>
      </c>
      <c r="F940" s="52" t="s">
        <v>581</v>
      </c>
      <c r="G940" s="195" t="s">
        <v>279</v>
      </c>
      <c r="H940" s="195">
        <v>15.13308</v>
      </c>
      <c r="I940" s="195">
        <v>12.93277</v>
      </c>
      <c r="J940" s="195">
        <v>11.678559999999999</v>
      </c>
      <c r="K940" s="195">
        <v>11.07741</v>
      </c>
      <c r="L940" s="195">
        <v>11.403230000000001</v>
      </c>
      <c r="M940" s="195">
        <v>8.6897490000000008</v>
      </c>
      <c r="N940" s="195">
        <v>7.7042900000000003</v>
      </c>
    </row>
    <row r="941" spans="1:14" hidden="1" x14ac:dyDescent="0.35">
      <c r="A941" s="52" t="s">
        <v>579</v>
      </c>
      <c r="B941" s="52" t="s">
        <v>125</v>
      </c>
      <c r="C941" s="52" t="s">
        <v>124</v>
      </c>
      <c r="D941" s="52" t="s">
        <v>124</v>
      </c>
      <c r="E941" s="52" t="s">
        <v>584</v>
      </c>
      <c r="F941" s="52" t="s">
        <v>26</v>
      </c>
      <c r="G941" s="195" t="s">
        <v>275</v>
      </c>
      <c r="H941" s="195">
        <v>40.23771</v>
      </c>
      <c r="I941" s="195">
        <v>16.620429999999999</v>
      </c>
      <c r="J941" s="195">
        <v>-13.135109999999999</v>
      </c>
      <c r="K941" s="195">
        <v>-18.6097</v>
      </c>
      <c r="L941" s="195">
        <v>-14.540929999999999</v>
      </c>
      <c r="M941" s="195">
        <v>-9.5173930000000002</v>
      </c>
      <c r="N941" s="195">
        <v>-6.1795980000000004</v>
      </c>
    </row>
    <row r="942" spans="1:14" hidden="1" x14ac:dyDescent="0.35">
      <c r="A942" s="52" t="s">
        <v>579</v>
      </c>
      <c r="B942" s="52" t="s">
        <v>125</v>
      </c>
      <c r="C942" s="52" t="s">
        <v>124</v>
      </c>
      <c r="D942" s="52" t="s">
        <v>124</v>
      </c>
      <c r="E942" s="52" t="s">
        <v>584</v>
      </c>
      <c r="F942" s="52" t="s">
        <v>26</v>
      </c>
      <c r="G942" s="195" t="s">
        <v>276</v>
      </c>
      <c r="H942" s="195"/>
      <c r="I942" s="195"/>
      <c r="J942" s="195"/>
      <c r="K942" s="195"/>
      <c r="L942" s="195"/>
      <c r="M942" s="195"/>
      <c r="N942" s="195">
        <v>0</v>
      </c>
    </row>
    <row r="943" spans="1:14" hidden="1" x14ac:dyDescent="0.35">
      <c r="A943" s="52" t="s">
        <v>579</v>
      </c>
      <c r="B943" s="52" t="s">
        <v>125</v>
      </c>
      <c r="C943" s="52" t="s">
        <v>124</v>
      </c>
      <c r="D943" s="52" t="s">
        <v>124</v>
      </c>
      <c r="E943" s="52" t="s">
        <v>584</v>
      </c>
      <c r="F943" s="52" t="s">
        <v>26</v>
      </c>
      <c r="G943" s="195" t="s">
        <v>277</v>
      </c>
      <c r="H943" s="195">
        <v>23.860199999999999</v>
      </c>
      <c r="I943" s="195">
        <v>19.212209999999999</v>
      </c>
      <c r="J943" s="195">
        <v>18.340499999999999</v>
      </c>
      <c r="K943" s="195">
        <v>19.375630000000001</v>
      </c>
      <c r="L943" s="195">
        <v>14.19103</v>
      </c>
      <c r="M943" s="195">
        <v>8.0930119999999999</v>
      </c>
      <c r="N943" s="195"/>
    </row>
    <row r="944" spans="1:14" hidden="1" x14ac:dyDescent="0.35">
      <c r="A944" s="52" t="s">
        <v>579</v>
      </c>
      <c r="B944" s="52" t="s">
        <v>125</v>
      </c>
      <c r="C944" s="52" t="s">
        <v>124</v>
      </c>
      <c r="D944" s="52" t="s">
        <v>124</v>
      </c>
      <c r="E944" s="52" t="s">
        <v>584</v>
      </c>
      <c r="F944" s="52" t="s">
        <v>26</v>
      </c>
      <c r="G944" s="195" t="s">
        <v>278</v>
      </c>
      <c r="H944" s="195"/>
      <c r="I944" s="195"/>
      <c r="J944" s="195">
        <v>0</v>
      </c>
      <c r="K944" s="195">
        <v>0</v>
      </c>
      <c r="L944" s="195">
        <v>0</v>
      </c>
      <c r="M944" s="195">
        <v>0</v>
      </c>
      <c r="N944" s="195">
        <v>0</v>
      </c>
    </row>
    <row r="945" spans="1:14" hidden="1" x14ac:dyDescent="0.35">
      <c r="A945" s="52" t="s">
        <v>579</v>
      </c>
      <c r="B945" s="52" t="s">
        <v>125</v>
      </c>
      <c r="C945" s="52" t="s">
        <v>124</v>
      </c>
      <c r="D945" s="52" t="s">
        <v>124</v>
      </c>
      <c r="E945" s="52" t="s">
        <v>584</v>
      </c>
      <c r="F945" s="52" t="s">
        <v>26</v>
      </c>
      <c r="G945" s="195" t="s">
        <v>279</v>
      </c>
      <c r="H945" s="195">
        <v>26.82996</v>
      </c>
      <c r="I945" s="195">
        <v>24.053360000000001</v>
      </c>
      <c r="J945" s="195">
        <v>21.899840000000001</v>
      </c>
      <c r="K945" s="195">
        <v>18.953209999999999</v>
      </c>
      <c r="L945" s="195">
        <v>15.10266</v>
      </c>
      <c r="M945" s="195">
        <v>11.85144</v>
      </c>
      <c r="N945" s="195">
        <v>9.4136989999999994</v>
      </c>
    </row>
    <row r="946" spans="1:14" hidden="1" x14ac:dyDescent="0.35">
      <c r="A946" s="52" t="s">
        <v>579</v>
      </c>
      <c r="B946" s="52" t="s">
        <v>125</v>
      </c>
      <c r="C946" s="52" t="s">
        <v>318</v>
      </c>
      <c r="D946" s="52" t="s">
        <v>318</v>
      </c>
      <c r="E946" s="52" t="s">
        <v>584</v>
      </c>
      <c r="F946" s="52" t="s">
        <v>581</v>
      </c>
      <c r="G946" s="195" t="s">
        <v>275</v>
      </c>
      <c r="H946" s="195">
        <v>-45.609439999999999</v>
      </c>
      <c r="I946" s="195">
        <v>0</v>
      </c>
      <c r="J946" s="195"/>
      <c r="K946" s="195"/>
      <c r="L946" s="195"/>
      <c r="M946" s="195"/>
      <c r="N946" s="195"/>
    </row>
    <row r="947" spans="1:14" hidden="1" x14ac:dyDescent="0.35">
      <c r="A947" s="52" t="s">
        <v>579</v>
      </c>
      <c r="B947" s="52" t="s">
        <v>125</v>
      </c>
      <c r="C947" s="52" t="s">
        <v>318</v>
      </c>
      <c r="D947" s="52" t="s">
        <v>318</v>
      </c>
      <c r="E947" s="52" t="s">
        <v>584</v>
      </c>
      <c r="F947" s="52" t="s">
        <v>581</v>
      </c>
      <c r="G947" s="195" t="s">
        <v>278</v>
      </c>
      <c r="H947" s="195">
        <v>45.609439999999999</v>
      </c>
      <c r="I947" s="195">
        <v>0</v>
      </c>
      <c r="J947" s="195"/>
      <c r="K947" s="195"/>
      <c r="L947" s="195"/>
      <c r="M947" s="195"/>
      <c r="N947" s="195"/>
    </row>
    <row r="948" spans="1:14" hidden="1" x14ac:dyDescent="0.35">
      <c r="A948" s="52" t="s">
        <v>579</v>
      </c>
      <c r="B948" s="52" t="s">
        <v>125</v>
      </c>
      <c r="C948" s="52" t="s">
        <v>318</v>
      </c>
      <c r="D948" s="52" t="s">
        <v>318</v>
      </c>
      <c r="E948" s="52" t="s">
        <v>584</v>
      </c>
      <c r="F948" s="52" t="s">
        <v>26</v>
      </c>
      <c r="G948" s="195" t="s">
        <v>275</v>
      </c>
      <c r="H948" s="195">
        <v>-30.406289999999998</v>
      </c>
      <c r="I948" s="195">
        <v>0</v>
      </c>
      <c r="J948" s="195"/>
      <c r="K948" s="195"/>
      <c r="L948" s="195"/>
      <c r="M948" s="195"/>
      <c r="N948" s="195"/>
    </row>
    <row r="949" spans="1:14" hidden="1" x14ac:dyDescent="0.35">
      <c r="A949" s="52" t="s">
        <v>579</v>
      </c>
      <c r="B949" s="52" t="s">
        <v>125</v>
      </c>
      <c r="C949" s="52" t="s">
        <v>318</v>
      </c>
      <c r="D949" s="52" t="s">
        <v>318</v>
      </c>
      <c r="E949" s="52" t="s">
        <v>584</v>
      </c>
      <c r="F949" s="52" t="s">
        <v>26</v>
      </c>
      <c r="G949" s="195" t="s">
        <v>278</v>
      </c>
      <c r="H949" s="195">
        <v>30.406289999999998</v>
      </c>
      <c r="I949" s="195">
        <v>0</v>
      </c>
      <c r="J949" s="195"/>
      <c r="K949" s="195"/>
      <c r="L949" s="195"/>
      <c r="M949" s="195"/>
      <c r="N949" s="195"/>
    </row>
    <row r="950" spans="1:14" hidden="1" x14ac:dyDescent="0.35">
      <c r="A950" s="52" t="s">
        <v>579</v>
      </c>
      <c r="B950" s="52" t="s">
        <v>125</v>
      </c>
      <c r="C950" s="52" t="s">
        <v>188</v>
      </c>
      <c r="D950" s="52" t="s">
        <v>188</v>
      </c>
      <c r="E950" s="52" t="s">
        <v>584</v>
      </c>
      <c r="F950" s="52" t="s">
        <v>581</v>
      </c>
      <c r="G950" s="195" t="s">
        <v>275</v>
      </c>
      <c r="H950" s="195">
        <v>-0.34394599999999997</v>
      </c>
      <c r="I950" s="195">
        <v>-16.385020000000001</v>
      </c>
      <c r="J950" s="195">
        <v>0</v>
      </c>
      <c r="K950" s="195">
        <v>0</v>
      </c>
      <c r="L950" s="195">
        <v>0</v>
      </c>
      <c r="M950" s="195">
        <v>0</v>
      </c>
      <c r="N950" s="195">
        <v>0</v>
      </c>
    </row>
    <row r="951" spans="1:14" hidden="1" x14ac:dyDescent="0.35">
      <c r="A951" s="52" t="s">
        <v>579</v>
      </c>
      <c r="B951" s="52" t="s">
        <v>125</v>
      </c>
      <c r="C951" s="52" t="s">
        <v>188</v>
      </c>
      <c r="D951" s="52" t="s">
        <v>188</v>
      </c>
      <c r="E951" s="52" t="s">
        <v>584</v>
      </c>
      <c r="F951" s="52" t="s">
        <v>581</v>
      </c>
      <c r="G951" s="195" t="s">
        <v>276</v>
      </c>
      <c r="H951" s="195"/>
      <c r="I951" s="195"/>
      <c r="J951" s="195">
        <v>-0.66232409999999997</v>
      </c>
      <c r="K951" s="195">
        <v>-0.91039499999999995</v>
      </c>
      <c r="L951" s="195">
        <v>-0.39121600000000001</v>
      </c>
      <c r="M951" s="195">
        <v>-0.36415799999999998</v>
      </c>
      <c r="N951" s="195">
        <v>-0.36415799999999998</v>
      </c>
    </row>
    <row r="952" spans="1:14" hidden="1" x14ac:dyDescent="0.35">
      <c r="A952" s="52" t="s">
        <v>579</v>
      </c>
      <c r="B952" s="52" t="s">
        <v>125</v>
      </c>
      <c r="C952" s="52" t="s">
        <v>188</v>
      </c>
      <c r="D952" s="52" t="s">
        <v>188</v>
      </c>
      <c r="E952" s="52" t="s">
        <v>584</v>
      </c>
      <c r="F952" s="52" t="s">
        <v>581</v>
      </c>
      <c r="G952" s="195" t="s">
        <v>278</v>
      </c>
      <c r="H952" s="195">
        <v>0.34394599999999997</v>
      </c>
      <c r="I952" s="195">
        <v>16.385020000000001</v>
      </c>
      <c r="J952" s="195">
        <v>0.66232409999999997</v>
      </c>
      <c r="K952" s="195">
        <v>0.91039499999999995</v>
      </c>
      <c r="L952" s="195">
        <v>0.39121600000000001</v>
      </c>
      <c r="M952" s="195">
        <v>0.36415799999999998</v>
      </c>
      <c r="N952" s="195">
        <v>0.36415799999999998</v>
      </c>
    </row>
    <row r="953" spans="1:14" hidden="1" x14ac:dyDescent="0.35">
      <c r="A953" s="52" t="s">
        <v>579</v>
      </c>
      <c r="B953" s="52" t="s">
        <v>133</v>
      </c>
      <c r="C953" s="52" t="s">
        <v>135</v>
      </c>
      <c r="D953" s="52" t="s">
        <v>253</v>
      </c>
      <c r="E953" s="52" t="s">
        <v>584</v>
      </c>
      <c r="F953" s="52" t="s">
        <v>581</v>
      </c>
      <c r="G953" s="195" t="s">
        <v>275</v>
      </c>
      <c r="H953" s="195">
        <v>442.06560000000002</v>
      </c>
      <c r="I953" s="195">
        <v>106.3857</v>
      </c>
      <c r="J953" s="195">
        <v>56.954880000000003</v>
      </c>
      <c r="K953" s="195">
        <v>41.03613</v>
      </c>
      <c r="L953" s="195">
        <v>44.383569999999999</v>
      </c>
      <c r="M953" s="195">
        <v>36.36018</v>
      </c>
      <c r="N953" s="195">
        <v>31.38597</v>
      </c>
    </row>
    <row r="954" spans="1:14" hidden="1" x14ac:dyDescent="0.35">
      <c r="A954" s="52" t="s">
        <v>579</v>
      </c>
      <c r="B954" s="52" t="s">
        <v>133</v>
      </c>
      <c r="C954" s="52" t="s">
        <v>135</v>
      </c>
      <c r="D954" s="52" t="s">
        <v>253</v>
      </c>
      <c r="E954" s="52" t="s">
        <v>584</v>
      </c>
      <c r="F954" s="52" t="s">
        <v>581</v>
      </c>
      <c r="G954" s="195" t="s">
        <v>276</v>
      </c>
      <c r="H954" s="195">
        <v>431.48259999999999</v>
      </c>
      <c r="I954" s="195">
        <v>95.05547</v>
      </c>
      <c r="J954" s="195">
        <v>110.315</v>
      </c>
      <c r="K954" s="195">
        <v>99.7</v>
      </c>
      <c r="L954" s="195">
        <v>86.931209999999993</v>
      </c>
      <c r="M954" s="195">
        <v>83.244680000000002</v>
      </c>
      <c r="N954" s="195">
        <v>75.633260000000007</v>
      </c>
    </row>
    <row r="955" spans="1:14" hidden="1" x14ac:dyDescent="0.35">
      <c r="A955" s="52" t="s">
        <v>579</v>
      </c>
      <c r="B955" s="52" t="s">
        <v>133</v>
      </c>
      <c r="C955" s="52" t="s">
        <v>135</v>
      </c>
      <c r="D955" s="52" t="s">
        <v>253</v>
      </c>
      <c r="E955" s="52" t="s">
        <v>584</v>
      </c>
      <c r="F955" s="52" t="s">
        <v>581</v>
      </c>
      <c r="G955" s="195" t="s">
        <v>277</v>
      </c>
      <c r="H955" s="195">
        <v>89.099059999999994</v>
      </c>
      <c r="I955" s="195">
        <v>70.302310000000006</v>
      </c>
      <c r="J955" s="195">
        <v>64.542969999999997</v>
      </c>
      <c r="K955" s="195">
        <v>76.389960000000002</v>
      </c>
      <c r="L955" s="195">
        <v>81.913640000000001</v>
      </c>
      <c r="M955" s="195">
        <v>84.793440000000004</v>
      </c>
      <c r="N955" s="195">
        <v>87.445920000000001</v>
      </c>
    </row>
    <row r="956" spans="1:14" hidden="1" x14ac:dyDescent="0.35">
      <c r="A956" s="52" t="s">
        <v>579</v>
      </c>
      <c r="B956" s="52" t="s">
        <v>133</v>
      </c>
      <c r="C956" s="52" t="s">
        <v>135</v>
      </c>
      <c r="D956" s="52" t="s">
        <v>253</v>
      </c>
      <c r="E956" s="52" t="s">
        <v>584</v>
      </c>
      <c r="F956" s="52" t="s">
        <v>581</v>
      </c>
      <c r="G956" s="195" t="s">
        <v>278</v>
      </c>
      <c r="H956" s="195">
        <v>5.2759380000000002E-2</v>
      </c>
      <c r="I956" s="195">
        <v>5.2759380000000002E-2</v>
      </c>
      <c r="J956" s="195">
        <v>5.2759380000000002E-2</v>
      </c>
      <c r="K956" s="195">
        <v>5.2759380000000002E-2</v>
      </c>
      <c r="L956" s="195">
        <v>1.3017399999999999</v>
      </c>
      <c r="M956" s="195">
        <v>5.2759380000000002E-2</v>
      </c>
      <c r="N956" s="195">
        <v>0.84730589999999995</v>
      </c>
    </row>
    <row r="957" spans="1:14" hidden="1" x14ac:dyDescent="0.35">
      <c r="A957" s="52" t="s">
        <v>579</v>
      </c>
      <c r="B957" s="52" t="s">
        <v>133</v>
      </c>
      <c r="C957" s="52" t="s">
        <v>135</v>
      </c>
      <c r="D957" s="52" t="s">
        <v>253</v>
      </c>
      <c r="E957" s="52" t="s">
        <v>584</v>
      </c>
      <c r="F957" s="52" t="s">
        <v>581</v>
      </c>
      <c r="G957" s="195" t="s">
        <v>279</v>
      </c>
      <c r="H957" s="195">
        <v>487.5849</v>
      </c>
      <c r="I957" s="195">
        <v>224.5067</v>
      </c>
      <c r="J957" s="195">
        <v>217.95599999999999</v>
      </c>
      <c r="K957" s="195">
        <v>217.99770000000001</v>
      </c>
      <c r="L957" s="195">
        <v>216.77010000000001</v>
      </c>
      <c r="M957" s="195">
        <v>208.07300000000001</v>
      </c>
      <c r="N957" s="195">
        <v>200.01050000000001</v>
      </c>
    </row>
    <row r="958" spans="1:14" hidden="1" x14ac:dyDescent="0.35">
      <c r="A958" s="52" t="s">
        <v>579</v>
      </c>
      <c r="B958" s="52" t="s">
        <v>307</v>
      </c>
      <c r="C958" s="52" t="s">
        <v>306</v>
      </c>
      <c r="D958" s="52" t="s">
        <v>306</v>
      </c>
      <c r="E958" s="52" t="s">
        <v>584</v>
      </c>
      <c r="F958" s="52" t="s">
        <v>581</v>
      </c>
      <c r="G958" s="195" t="s">
        <v>275</v>
      </c>
      <c r="H958" s="195">
        <v>219.67599999999999</v>
      </c>
      <c r="I958" s="195">
        <v>-12.12201</v>
      </c>
      <c r="J958" s="195">
        <v>8.4531670000000005</v>
      </c>
      <c r="K958" s="195">
        <v>-13.455209999999999</v>
      </c>
      <c r="L958" s="195">
        <v>-29.21367</v>
      </c>
      <c r="M958" s="195">
        <v>-6.2627129999999998</v>
      </c>
      <c r="N958" s="195">
        <v>8.8423829999999999</v>
      </c>
    </row>
    <row r="959" spans="1:14" hidden="1" x14ac:dyDescent="0.35">
      <c r="A959" s="52" t="s">
        <v>579</v>
      </c>
      <c r="B959" s="52" t="s">
        <v>307</v>
      </c>
      <c r="C959" s="52" t="s">
        <v>306</v>
      </c>
      <c r="D959" s="52" t="s">
        <v>306</v>
      </c>
      <c r="E959" s="52" t="s">
        <v>584</v>
      </c>
      <c r="F959" s="52" t="s">
        <v>581</v>
      </c>
      <c r="G959" s="195" t="s">
        <v>276</v>
      </c>
      <c r="H959" s="195">
        <v>144.42339999999999</v>
      </c>
      <c r="I959" s="195">
        <v>-15.57812</v>
      </c>
      <c r="J959" s="195">
        <v>-14.21504</v>
      </c>
      <c r="K959" s="195">
        <v>-17.245889999999999</v>
      </c>
      <c r="L959" s="195">
        <v>-16.729399999999998</v>
      </c>
      <c r="M959" s="195">
        <v>-10.08709</v>
      </c>
      <c r="N959" s="195">
        <v>-6.760548</v>
      </c>
    </row>
    <row r="960" spans="1:14" hidden="1" x14ac:dyDescent="0.35">
      <c r="A960" s="52" t="s">
        <v>579</v>
      </c>
      <c r="B960" s="52" t="s">
        <v>307</v>
      </c>
      <c r="C960" s="52" t="s">
        <v>306</v>
      </c>
      <c r="D960" s="52" t="s">
        <v>306</v>
      </c>
      <c r="E960" s="52" t="s">
        <v>584</v>
      </c>
      <c r="F960" s="52" t="s">
        <v>581</v>
      </c>
      <c r="G960" s="195" t="s">
        <v>277</v>
      </c>
      <c r="H960" s="195">
        <v>122.27849999999999</v>
      </c>
      <c r="I960" s="195">
        <v>95.756330000000005</v>
      </c>
      <c r="J960" s="195">
        <v>40.414499999999997</v>
      </c>
      <c r="K960" s="195">
        <v>58.068579999999997</v>
      </c>
      <c r="L960" s="195">
        <v>67.577029999999993</v>
      </c>
      <c r="M960" s="195">
        <v>42.337009999999999</v>
      </c>
      <c r="N960" s="195">
        <v>20.753679999999999</v>
      </c>
    </row>
    <row r="961" spans="1:14" hidden="1" x14ac:dyDescent="0.35">
      <c r="A961" s="52" t="s">
        <v>579</v>
      </c>
      <c r="B961" s="52" t="s">
        <v>307</v>
      </c>
      <c r="C961" s="52" t="s">
        <v>306</v>
      </c>
      <c r="D961" s="52" t="s">
        <v>306</v>
      </c>
      <c r="E961" s="52" t="s">
        <v>584</v>
      </c>
      <c r="F961" s="52" t="s">
        <v>581</v>
      </c>
      <c r="G961" s="195" t="s">
        <v>278</v>
      </c>
      <c r="H961" s="195">
        <v>0.35319390000000001</v>
      </c>
      <c r="I961" s="195">
        <v>0.35319390000000001</v>
      </c>
      <c r="J961" s="195">
        <v>1.9287929999999998E-2</v>
      </c>
      <c r="K961" s="195">
        <v>1.9287929999999998E-2</v>
      </c>
      <c r="L961" s="195">
        <v>1.9287929999999998E-2</v>
      </c>
      <c r="M961" s="195">
        <v>1.9287929999999998E-2</v>
      </c>
      <c r="N961" s="195">
        <v>1.9287929999999998E-2</v>
      </c>
    </row>
    <row r="962" spans="1:14" hidden="1" x14ac:dyDescent="0.35">
      <c r="A962" s="52" t="s">
        <v>579</v>
      </c>
      <c r="B962" s="52" t="s">
        <v>307</v>
      </c>
      <c r="C962" s="52" t="s">
        <v>306</v>
      </c>
      <c r="D962" s="52" t="s">
        <v>306</v>
      </c>
      <c r="E962" s="52" t="s">
        <v>584</v>
      </c>
      <c r="F962" s="52" t="s">
        <v>581</v>
      </c>
      <c r="G962" s="195" t="s">
        <v>279</v>
      </c>
      <c r="H962" s="195">
        <v>208.26939999999999</v>
      </c>
      <c r="I962" s="195">
        <v>181.63159999999999</v>
      </c>
      <c r="J962" s="195">
        <v>187.48779999999999</v>
      </c>
      <c r="K962" s="195">
        <v>207.7208</v>
      </c>
      <c r="L962" s="195">
        <v>199.08320000000001</v>
      </c>
      <c r="M962" s="195">
        <v>198.39189999999999</v>
      </c>
      <c r="N962" s="195">
        <v>187.20750000000001</v>
      </c>
    </row>
    <row r="963" spans="1:14" hidden="1" x14ac:dyDescent="0.35">
      <c r="A963" s="52" t="s">
        <v>579</v>
      </c>
      <c r="B963" s="52" t="s">
        <v>307</v>
      </c>
      <c r="C963" s="52" t="s">
        <v>306</v>
      </c>
      <c r="D963" s="52" t="s">
        <v>306</v>
      </c>
      <c r="E963" s="52" t="s">
        <v>584</v>
      </c>
      <c r="F963" s="52" t="s">
        <v>26</v>
      </c>
      <c r="G963" s="195" t="s">
        <v>275</v>
      </c>
      <c r="H963" s="195">
        <v>1.592886</v>
      </c>
      <c r="I963" s="195">
        <v>1.4335519999999999</v>
      </c>
      <c r="J963" s="195">
        <v>3.015018</v>
      </c>
      <c r="K963" s="195">
        <v>2.979473</v>
      </c>
      <c r="L963" s="195">
        <v>3.8426369999999999</v>
      </c>
      <c r="M963" s="195">
        <v>3.595809</v>
      </c>
      <c r="N963" s="195">
        <v>3.2079260000000001</v>
      </c>
    </row>
    <row r="964" spans="1:14" hidden="1" x14ac:dyDescent="0.35">
      <c r="A964" s="52" t="s">
        <v>579</v>
      </c>
      <c r="B964" s="52" t="s">
        <v>307</v>
      </c>
      <c r="C964" s="52" t="s">
        <v>306</v>
      </c>
      <c r="D964" s="52" t="s">
        <v>306</v>
      </c>
      <c r="E964" s="52" t="s">
        <v>584</v>
      </c>
      <c r="F964" s="52" t="s">
        <v>26</v>
      </c>
      <c r="G964" s="195" t="s">
        <v>276</v>
      </c>
      <c r="H964" s="195">
        <v>0.20711789999999999</v>
      </c>
      <c r="I964" s="195">
        <v>1.0027170000000001</v>
      </c>
      <c r="J964" s="195">
        <v>1.7932840000000001</v>
      </c>
      <c r="K964" s="195">
        <v>1.7333879999999999</v>
      </c>
      <c r="L964" s="195">
        <v>2.3369870000000001</v>
      </c>
      <c r="M964" s="195">
        <v>2.1909999999999998</v>
      </c>
      <c r="N964" s="195">
        <v>1.9522470000000001</v>
      </c>
    </row>
    <row r="965" spans="1:14" hidden="1" x14ac:dyDescent="0.35">
      <c r="A965" s="52" t="s">
        <v>579</v>
      </c>
      <c r="B965" s="52" t="s">
        <v>307</v>
      </c>
      <c r="C965" s="52" t="s">
        <v>306</v>
      </c>
      <c r="D965" s="52" t="s">
        <v>306</v>
      </c>
      <c r="E965" s="52" t="s">
        <v>584</v>
      </c>
      <c r="F965" s="52" t="s">
        <v>26</v>
      </c>
      <c r="G965" s="195" t="s">
        <v>277</v>
      </c>
      <c r="H965" s="195">
        <v>0</v>
      </c>
      <c r="I965" s="195"/>
      <c r="J965" s="195"/>
      <c r="K965" s="195"/>
      <c r="L965" s="195"/>
      <c r="M965" s="195"/>
      <c r="N965" s="195"/>
    </row>
    <row r="966" spans="1:14" hidden="1" x14ac:dyDescent="0.35">
      <c r="A966" s="52" t="s">
        <v>579</v>
      </c>
      <c r="B966" s="52" t="s">
        <v>307</v>
      </c>
      <c r="C966" s="52" t="s">
        <v>306</v>
      </c>
      <c r="D966" s="52" t="s">
        <v>306</v>
      </c>
      <c r="E966" s="52" t="s">
        <v>584</v>
      </c>
      <c r="F966" s="52" t="s">
        <v>26</v>
      </c>
      <c r="G966" s="195" t="s">
        <v>279</v>
      </c>
      <c r="H966" s="195">
        <v>7.9223290000000004</v>
      </c>
      <c r="I966" s="195">
        <v>7.1506949999999998</v>
      </c>
      <c r="J966" s="195">
        <v>15.318</v>
      </c>
      <c r="K966" s="195">
        <v>20.4132</v>
      </c>
      <c r="L966" s="195">
        <v>26.81006</v>
      </c>
      <c r="M966" s="195">
        <v>25.119949999999999</v>
      </c>
      <c r="N966" s="195">
        <v>22.43684</v>
      </c>
    </row>
    <row r="967" spans="1:14" hidden="1" x14ac:dyDescent="0.35">
      <c r="A967" s="52" t="s">
        <v>579</v>
      </c>
      <c r="B967" s="52" t="s">
        <v>201</v>
      </c>
      <c r="C967" s="52" t="s">
        <v>257</v>
      </c>
      <c r="D967" s="52" t="s">
        <v>257</v>
      </c>
      <c r="E967" s="52" t="s">
        <v>584</v>
      </c>
      <c r="F967" s="52" t="s">
        <v>581</v>
      </c>
      <c r="G967" s="195" t="s">
        <v>275</v>
      </c>
      <c r="H967" s="195">
        <v>254.32040000000001</v>
      </c>
      <c r="I967" s="195">
        <v>53.08296</v>
      </c>
      <c r="J967" s="195">
        <v>22.180610000000001</v>
      </c>
      <c r="K967" s="195">
        <v>17.752759999999999</v>
      </c>
      <c r="L967" s="195">
        <v>15.91269</v>
      </c>
      <c r="M967" s="195">
        <v>18.830819999999999</v>
      </c>
      <c r="N967" s="195">
        <v>13.536060000000001</v>
      </c>
    </row>
    <row r="968" spans="1:14" hidden="1" x14ac:dyDescent="0.35">
      <c r="A968" s="52" t="s">
        <v>579</v>
      </c>
      <c r="B968" s="52" t="s">
        <v>201</v>
      </c>
      <c r="C968" s="52" t="s">
        <v>257</v>
      </c>
      <c r="D968" s="52" t="s">
        <v>257</v>
      </c>
      <c r="E968" s="52" t="s">
        <v>584</v>
      </c>
      <c r="F968" s="52" t="s">
        <v>581</v>
      </c>
      <c r="G968" s="195" t="s">
        <v>276</v>
      </c>
      <c r="H968" s="195">
        <v>43.960290000000001</v>
      </c>
      <c r="I968" s="195">
        <v>4.6645159999999999</v>
      </c>
      <c r="J968" s="195">
        <v>2.431216</v>
      </c>
      <c r="K968" s="195">
        <v>2.2805970000000002</v>
      </c>
      <c r="L968" s="195">
        <v>1.4300520000000001</v>
      </c>
      <c r="M968" s="195">
        <v>1.2153959999999999</v>
      </c>
      <c r="N968" s="195">
        <v>3.8552840000000002</v>
      </c>
    </row>
    <row r="969" spans="1:14" hidden="1" x14ac:dyDescent="0.35">
      <c r="A969" s="52" t="s">
        <v>579</v>
      </c>
      <c r="B969" s="52" t="s">
        <v>201</v>
      </c>
      <c r="C969" s="52" t="s">
        <v>257</v>
      </c>
      <c r="D969" s="52" t="s">
        <v>257</v>
      </c>
      <c r="E969" s="52" t="s">
        <v>584</v>
      </c>
      <c r="F969" s="52" t="s">
        <v>581</v>
      </c>
      <c r="G969" s="195" t="s">
        <v>277</v>
      </c>
      <c r="H969" s="195">
        <v>48.179920000000003</v>
      </c>
      <c r="I969" s="195">
        <v>37.526449999999997</v>
      </c>
      <c r="J969" s="195">
        <v>43.035130000000002</v>
      </c>
      <c r="K969" s="195">
        <v>40.829030000000003</v>
      </c>
      <c r="L969" s="195">
        <v>37.925579999999997</v>
      </c>
      <c r="M969" s="195">
        <v>28.781829999999999</v>
      </c>
      <c r="N969" s="195">
        <v>24.704799999999999</v>
      </c>
    </row>
    <row r="970" spans="1:14" hidden="1" x14ac:dyDescent="0.35">
      <c r="A970" s="52" t="s">
        <v>579</v>
      </c>
      <c r="B970" s="52" t="s">
        <v>201</v>
      </c>
      <c r="C970" s="52" t="s">
        <v>257</v>
      </c>
      <c r="D970" s="52" t="s">
        <v>257</v>
      </c>
      <c r="E970" s="52" t="s">
        <v>584</v>
      </c>
      <c r="F970" s="52" t="s">
        <v>581</v>
      </c>
      <c r="G970" s="195" t="s">
        <v>278</v>
      </c>
      <c r="H970" s="195">
        <v>0.4022403</v>
      </c>
      <c r="I970" s="195">
        <v>0.4022403</v>
      </c>
      <c r="J970" s="195">
        <v>0</v>
      </c>
      <c r="K970" s="195">
        <v>0</v>
      </c>
      <c r="L970" s="195">
        <v>0</v>
      </c>
      <c r="M970" s="195">
        <v>0</v>
      </c>
      <c r="N970" s="195">
        <v>0</v>
      </c>
    </row>
    <row r="971" spans="1:14" hidden="1" x14ac:dyDescent="0.35">
      <c r="A971" s="52" t="s">
        <v>579</v>
      </c>
      <c r="B971" s="52" t="s">
        <v>201</v>
      </c>
      <c r="C971" s="52" t="s">
        <v>257</v>
      </c>
      <c r="D971" s="52" t="s">
        <v>257</v>
      </c>
      <c r="E971" s="52" t="s">
        <v>584</v>
      </c>
      <c r="F971" s="52" t="s">
        <v>581</v>
      </c>
      <c r="G971" s="195" t="s">
        <v>279</v>
      </c>
      <c r="H971" s="195">
        <v>82.265460000000004</v>
      </c>
      <c r="I971" s="195">
        <v>61.153109999999998</v>
      </c>
      <c r="J971" s="195">
        <v>58.15569</v>
      </c>
      <c r="K971" s="195">
        <v>52.505710000000001</v>
      </c>
      <c r="L971" s="195">
        <v>47.230510000000002</v>
      </c>
      <c r="M971" s="195">
        <v>42.138399999999997</v>
      </c>
      <c r="N971" s="195">
        <v>37.304369999999999</v>
      </c>
    </row>
    <row r="972" spans="1:14" hidden="1" x14ac:dyDescent="0.35">
      <c r="A972" s="52" t="s">
        <v>579</v>
      </c>
      <c r="B972" s="52" t="s">
        <v>201</v>
      </c>
      <c r="C972" s="52" t="s">
        <v>220</v>
      </c>
      <c r="D972" s="52" t="s">
        <v>220</v>
      </c>
      <c r="E972" s="52" t="s">
        <v>584</v>
      </c>
      <c r="F972" s="52" t="s">
        <v>581</v>
      </c>
      <c r="G972" s="195" t="s">
        <v>275</v>
      </c>
      <c r="H972" s="195">
        <v>135.7225</v>
      </c>
      <c r="I972" s="195">
        <v>-9.1271920000000009</v>
      </c>
      <c r="J972" s="195">
        <v>-28.147649999999999</v>
      </c>
      <c r="K972" s="195">
        <v>-27.120480000000001</v>
      </c>
      <c r="L972" s="195">
        <v>-23.460129999999999</v>
      </c>
      <c r="M972" s="195">
        <v>-20.295449999999999</v>
      </c>
      <c r="N972" s="195">
        <v>-16.490770000000001</v>
      </c>
    </row>
    <row r="973" spans="1:14" hidden="1" x14ac:dyDescent="0.35">
      <c r="A973" s="52" t="s">
        <v>579</v>
      </c>
      <c r="B973" s="52" t="s">
        <v>201</v>
      </c>
      <c r="C973" s="52" t="s">
        <v>220</v>
      </c>
      <c r="D973" s="52" t="s">
        <v>220</v>
      </c>
      <c r="E973" s="52" t="s">
        <v>584</v>
      </c>
      <c r="F973" s="52" t="s">
        <v>581</v>
      </c>
      <c r="G973" s="195" t="s">
        <v>276</v>
      </c>
      <c r="H973" s="195">
        <v>73.700450000000004</v>
      </c>
      <c r="I973" s="195">
        <v>5.9361329999999999</v>
      </c>
      <c r="J973" s="195">
        <v>2.3264239999999998</v>
      </c>
      <c r="K973" s="195">
        <v>1.4474359999999999</v>
      </c>
      <c r="L973" s="195">
        <v>0.97407540000000004</v>
      </c>
      <c r="M973" s="195">
        <v>0.51922389999999996</v>
      </c>
      <c r="N973" s="195">
        <v>0.36342659999999999</v>
      </c>
    </row>
    <row r="974" spans="1:14" hidden="1" x14ac:dyDescent="0.35">
      <c r="A974" s="52" t="s">
        <v>579</v>
      </c>
      <c r="B974" s="52" t="s">
        <v>201</v>
      </c>
      <c r="C974" s="52" t="s">
        <v>220</v>
      </c>
      <c r="D974" s="52" t="s">
        <v>220</v>
      </c>
      <c r="E974" s="52" t="s">
        <v>584</v>
      </c>
      <c r="F974" s="52" t="s">
        <v>581</v>
      </c>
      <c r="G974" s="195" t="s">
        <v>277</v>
      </c>
      <c r="H974" s="195">
        <v>79.254739999999998</v>
      </c>
      <c r="I974" s="195">
        <v>67.806690000000003</v>
      </c>
      <c r="J974" s="195">
        <v>62.932850000000002</v>
      </c>
      <c r="K974" s="195">
        <v>57.97992</v>
      </c>
      <c r="L974" s="195">
        <v>51.16675</v>
      </c>
      <c r="M974" s="195">
        <v>44.794939999999997</v>
      </c>
      <c r="N974" s="195">
        <v>38.810290000000002</v>
      </c>
    </row>
    <row r="975" spans="1:14" hidden="1" x14ac:dyDescent="0.35">
      <c r="A975" s="52" t="s">
        <v>579</v>
      </c>
      <c r="B975" s="52" t="s">
        <v>201</v>
      </c>
      <c r="C975" s="52" t="s">
        <v>220</v>
      </c>
      <c r="D975" s="52" t="s">
        <v>220</v>
      </c>
      <c r="E975" s="52" t="s">
        <v>584</v>
      </c>
      <c r="F975" s="52" t="s">
        <v>581</v>
      </c>
      <c r="G975" s="195" t="s">
        <v>278</v>
      </c>
      <c r="H975" s="195"/>
      <c r="I975" s="195"/>
      <c r="J975" s="195">
        <v>0</v>
      </c>
      <c r="K975" s="195">
        <v>0</v>
      </c>
      <c r="L975" s="195">
        <v>0</v>
      </c>
      <c r="M975" s="195">
        <v>0</v>
      </c>
      <c r="N975" s="195">
        <v>0</v>
      </c>
    </row>
    <row r="976" spans="1:14" hidden="1" x14ac:dyDescent="0.35">
      <c r="A976" s="52" t="s">
        <v>579</v>
      </c>
      <c r="B976" s="52" t="s">
        <v>201</v>
      </c>
      <c r="C976" s="52" t="s">
        <v>220</v>
      </c>
      <c r="D976" s="52" t="s">
        <v>220</v>
      </c>
      <c r="E976" s="52" t="s">
        <v>584</v>
      </c>
      <c r="F976" s="52" t="s">
        <v>581</v>
      </c>
      <c r="G976" s="195" t="s">
        <v>279</v>
      </c>
      <c r="H976" s="195">
        <v>97.112840000000006</v>
      </c>
      <c r="I976" s="195">
        <v>87.107190000000003</v>
      </c>
      <c r="J976" s="195">
        <v>85.180750000000003</v>
      </c>
      <c r="K976" s="195">
        <v>82.729489999999998</v>
      </c>
      <c r="L976" s="195">
        <v>73.870609999999999</v>
      </c>
      <c r="M976" s="195">
        <v>65.679860000000005</v>
      </c>
      <c r="N976" s="195">
        <v>59.77843</v>
      </c>
    </row>
    <row r="977" spans="1:14" hidden="1" x14ac:dyDescent="0.35">
      <c r="A977" s="52" t="s">
        <v>579</v>
      </c>
      <c r="B977" s="52" t="s">
        <v>201</v>
      </c>
      <c r="C977" s="52" t="s">
        <v>220</v>
      </c>
      <c r="D977" s="52" t="s">
        <v>220</v>
      </c>
      <c r="E977" s="52" t="s">
        <v>584</v>
      </c>
      <c r="F977" s="52" t="s">
        <v>26</v>
      </c>
      <c r="G977" s="195" t="s">
        <v>275</v>
      </c>
      <c r="H977" s="195">
        <v>1.375729</v>
      </c>
      <c r="I977" s="195">
        <v>0.117244</v>
      </c>
      <c r="J977" s="195">
        <v>7.9951519999999998E-2</v>
      </c>
      <c r="K977" s="195">
        <v>8.4394179999999999E-2</v>
      </c>
      <c r="L977" s="195">
        <v>7.0641060000000006E-2</v>
      </c>
      <c r="M977" s="195">
        <v>5.5991949999999999E-2</v>
      </c>
      <c r="N977" s="195">
        <v>5.0143439999999997E-2</v>
      </c>
    </row>
    <row r="978" spans="1:14" hidden="1" x14ac:dyDescent="0.35">
      <c r="A978" s="52" t="s">
        <v>579</v>
      </c>
      <c r="B978" s="52" t="s">
        <v>201</v>
      </c>
      <c r="C978" s="52" t="s">
        <v>220</v>
      </c>
      <c r="D978" s="52" t="s">
        <v>220</v>
      </c>
      <c r="E978" s="52" t="s">
        <v>584</v>
      </c>
      <c r="F978" s="52" t="s">
        <v>26</v>
      </c>
      <c r="G978" s="195" t="s">
        <v>276</v>
      </c>
      <c r="H978" s="195">
        <v>0.87207330000000005</v>
      </c>
      <c r="I978" s="195">
        <v>5.5309150000000001E-2</v>
      </c>
      <c r="J978" s="195">
        <v>4.5842849999999997E-2</v>
      </c>
      <c r="K978" s="195">
        <v>1.5558570000000001E-2</v>
      </c>
      <c r="L978" s="195">
        <v>1.2931130000000001E-2</v>
      </c>
      <c r="M978" s="195">
        <v>1.052879E-2</v>
      </c>
      <c r="N978" s="195">
        <v>5.936724E-3</v>
      </c>
    </row>
    <row r="979" spans="1:14" hidden="1" x14ac:dyDescent="0.35">
      <c r="A979" s="52" t="s">
        <v>579</v>
      </c>
      <c r="B979" s="52" t="s">
        <v>201</v>
      </c>
      <c r="C979" s="52" t="s">
        <v>220</v>
      </c>
      <c r="D979" s="52" t="s">
        <v>220</v>
      </c>
      <c r="E979" s="52" t="s">
        <v>584</v>
      </c>
      <c r="F979" s="52" t="s">
        <v>26</v>
      </c>
      <c r="G979" s="195" t="s">
        <v>279</v>
      </c>
      <c r="H979" s="195">
        <v>0.79095159999999998</v>
      </c>
      <c r="I979" s="195">
        <v>6.7472089999999998E-2</v>
      </c>
      <c r="J979" s="195">
        <v>6.221587E-2</v>
      </c>
      <c r="K979" s="195">
        <v>5.6489379999999999E-2</v>
      </c>
      <c r="L979" s="195">
        <v>4.9247369999999999E-2</v>
      </c>
      <c r="M979" s="195">
        <v>4.1246489999999997E-2</v>
      </c>
      <c r="N979" s="195">
        <v>3.476742E-2</v>
      </c>
    </row>
    <row r="980" spans="1:14" hidden="1" x14ac:dyDescent="0.35">
      <c r="A980" s="52" t="s">
        <v>579</v>
      </c>
      <c r="B980" s="52" t="s">
        <v>201</v>
      </c>
      <c r="C980" s="52" t="s">
        <v>318</v>
      </c>
      <c r="D980" s="52" t="s">
        <v>318</v>
      </c>
      <c r="E980" s="52" t="s">
        <v>584</v>
      </c>
      <c r="F980" s="52" t="s">
        <v>581</v>
      </c>
      <c r="G980" s="195" t="s">
        <v>275</v>
      </c>
      <c r="H980" s="195">
        <v>-22.81719</v>
      </c>
      <c r="I980" s="195">
        <v>0</v>
      </c>
      <c r="J980" s="195"/>
      <c r="K980" s="195"/>
      <c r="L980" s="195"/>
      <c r="M980" s="195"/>
      <c r="N980" s="195"/>
    </row>
    <row r="981" spans="1:14" hidden="1" x14ac:dyDescent="0.35">
      <c r="A981" s="52" t="s">
        <v>579</v>
      </c>
      <c r="B981" s="52" t="s">
        <v>201</v>
      </c>
      <c r="C981" s="52" t="s">
        <v>318</v>
      </c>
      <c r="D981" s="52" t="s">
        <v>318</v>
      </c>
      <c r="E981" s="52" t="s">
        <v>584</v>
      </c>
      <c r="F981" s="52" t="s">
        <v>581</v>
      </c>
      <c r="G981" s="195" t="s">
        <v>278</v>
      </c>
      <c r="H981" s="195">
        <v>22.81719</v>
      </c>
      <c r="I981" s="195">
        <v>0</v>
      </c>
      <c r="J981" s="195"/>
      <c r="K981" s="195"/>
      <c r="L981" s="195"/>
      <c r="M981" s="195"/>
      <c r="N981" s="195"/>
    </row>
    <row r="982" spans="1:14" hidden="1" x14ac:dyDescent="0.35">
      <c r="A982" s="52" t="s">
        <v>579</v>
      </c>
      <c r="B982" s="52" t="s">
        <v>201</v>
      </c>
      <c r="C982" s="52" t="s">
        <v>318</v>
      </c>
      <c r="D982" s="52" t="s">
        <v>318</v>
      </c>
      <c r="E982" s="52" t="s">
        <v>584</v>
      </c>
      <c r="F982" s="52" t="s">
        <v>26</v>
      </c>
      <c r="G982" s="195" t="s">
        <v>275</v>
      </c>
      <c r="H982" s="195">
        <v>-15.211460000000001</v>
      </c>
      <c r="I982" s="195">
        <v>0</v>
      </c>
      <c r="J982" s="195"/>
      <c r="K982" s="195"/>
      <c r="L982" s="195"/>
      <c r="M982" s="195"/>
      <c r="N982" s="195"/>
    </row>
    <row r="983" spans="1:14" hidden="1" x14ac:dyDescent="0.35">
      <c r="A983" s="52" t="s">
        <v>579</v>
      </c>
      <c r="B983" s="52" t="s">
        <v>201</v>
      </c>
      <c r="C983" s="52" t="s">
        <v>318</v>
      </c>
      <c r="D983" s="52" t="s">
        <v>318</v>
      </c>
      <c r="E983" s="52" t="s">
        <v>584</v>
      </c>
      <c r="F983" s="52" t="s">
        <v>26</v>
      </c>
      <c r="G983" s="195" t="s">
        <v>278</v>
      </c>
      <c r="H983" s="195">
        <v>15.211460000000001</v>
      </c>
      <c r="I983" s="195">
        <v>0</v>
      </c>
      <c r="J983" s="195"/>
      <c r="K983" s="195"/>
      <c r="L983" s="195"/>
      <c r="M983" s="195"/>
      <c r="N983" s="195"/>
    </row>
    <row r="984" spans="1:14" hidden="1" x14ac:dyDescent="0.35">
      <c r="A984" s="52" t="s">
        <v>579</v>
      </c>
      <c r="B984" s="52" t="s">
        <v>201</v>
      </c>
      <c r="C984" s="52" t="s">
        <v>367</v>
      </c>
      <c r="D984" s="52" t="s">
        <v>367</v>
      </c>
      <c r="E984" s="52" t="s">
        <v>584</v>
      </c>
      <c r="F984" s="52" t="s">
        <v>26</v>
      </c>
      <c r="G984" s="195" t="s">
        <v>275</v>
      </c>
      <c r="H984" s="195">
        <v>-0.210618</v>
      </c>
      <c r="I984" s="195">
        <v>-0.210618</v>
      </c>
      <c r="J984" s="195">
        <v>0</v>
      </c>
      <c r="K984" s="195">
        <v>0</v>
      </c>
      <c r="L984" s="195">
        <v>0</v>
      </c>
      <c r="M984" s="195">
        <v>0</v>
      </c>
      <c r="N984" s="195">
        <v>0</v>
      </c>
    </row>
    <row r="985" spans="1:14" hidden="1" x14ac:dyDescent="0.35">
      <c r="A985" s="52" t="s">
        <v>579</v>
      </c>
      <c r="B985" s="52" t="s">
        <v>201</v>
      </c>
      <c r="C985" s="52" t="s">
        <v>367</v>
      </c>
      <c r="D985" s="52" t="s">
        <v>367</v>
      </c>
      <c r="E985" s="52" t="s">
        <v>584</v>
      </c>
      <c r="F985" s="52" t="s">
        <v>26</v>
      </c>
      <c r="G985" s="195" t="s">
        <v>276</v>
      </c>
      <c r="H985" s="195"/>
      <c r="I985" s="195"/>
      <c r="J985" s="195">
        <v>-0.210618</v>
      </c>
      <c r="K985" s="195">
        <v>-8.3457000000000003E-2</v>
      </c>
      <c r="L985" s="195">
        <v>-0.102357</v>
      </c>
      <c r="M985" s="195">
        <v>-0.102357</v>
      </c>
      <c r="N985" s="195">
        <v>-8.3457000000000003E-2</v>
      </c>
    </row>
    <row r="986" spans="1:14" hidden="1" x14ac:dyDescent="0.35">
      <c r="A986" s="52" t="s">
        <v>579</v>
      </c>
      <c r="B986" s="52" t="s">
        <v>201</v>
      </c>
      <c r="C986" s="52" t="s">
        <v>367</v>
      </c>
      <c r="D986" s="52" t="s">
        <v>367</v>
      </c>
      <c r="E986" s="52" t="s">
        <v>584</v>
      </c>
      <c r="F986" s="52" t="s">
        <v>26</v>
      </c>
      <c r="G986" s="195" t="s">
        <v>277</v>
      </c>
      <c r="H986" s="195"/>
      <c r="I986" s="195"/>
      <c r="J986" s="195"/>
      <c r="K986" s="195">
        <v>0</v>
      </c>
      <c r="L986" s="195">
        <v>1.89E-2</v>
      </c>
      <c r="M986" s="195">
        <v>1.89E-2</v>
      </c>
      <c r="N986" s="195">
        <v>0</v>
      </c>
    </row>
    <row r="987" spans="1:14" hidden="1" x14ac:dyDescent="0.35">
      <c r="A987" s="52" t="s">
        <v>579</v>
      </c>
      <c r="B987" s="52" t="s">
        <v>201</v>
      </c>
      <c r="C987" s="52" t="s">
        <v>367</v>
      </c>
      <c r="D987" s="52" t="s">
        <v>367</v>
      </c>
      <c r="E987" s="52" t="s">
        <v>584</v>
      </c>
      <c r="F987" s="52" t="s">
        <v>26</v>
      </c>
      <c r="G987" s="195" t="s">
        <v>278</v>
      </c>
      <c r="H987" s="195">
        <v>0.210618</v>
      </c>
      <c r="I987" s="195">
        <v>0.210618</v>
      </c>
      <c r="J987" s="195">
        <v>0.210618</v>
      </c>
      <c r="K987" s="195">
        <v>8.3457000000000003E-2</v>
      </c>
      <c r="L987" s="195">
        <v>8.3457000000000003E-2</v>
      </c>
      <c r="M987" s="195">
        <v>8.3456489999999994E-2</v>
      </c>
      <c r="N987" s="195">
        <v>8.3457000000000003E-2</v>
      </c>
    </row>
    <row r="988" spans="1:14" hidden="1" x14ac:dyDescent="0.35">
      <c r="A988" s="52" t="s">
        <v>579</v>
      </c>
      <c r="B988" s="52" t="s">
        <v>201</v>
      </c>
      <c r="C988" s="52" t="s">
        <v>216</v>
      </c>
      <c r="D988" s="52" t="s">
        <v>216</v>
      </c>
      <c r="E988" s="52" t="s">
        <v>584</v>
      </c>
      <c r="F988" s="52" t="s">
        <v>581</v>
      </c>
      <c r="G988" s="195" t="s">
        <v>275</v>
      </c>
      <c r="H988" s="195">
        <v>-1.665726</v>
      </c>
      <c r="I988" s="195">
        <v>-8.0495819999999991</v>
      </c>
      <c r="J988" s="195">
        <v>0</v>
      </c>
      <c r="K988" s="195">
        <v>0</v>
      </c>
      <c r="L988" s="195">
        <v>0</v>
      </c>
      <c r="M988" s="195">
        <v>0</v>
      </c>
      <c r="N988" s="195">
        <v>0</v>
      </c>
    </row>
    <row r="989" spans="1:14" hidden="1" x14ac:dyDescent="0.35">
      <c r="A989" s="52" t="s">
        <v>579</v>
      </c>
      <c r="B989" s="52" t="s">
        <v>201</v>
      </c>
      <c r="C989" s="52" t="s">
        <v>216</v>
      </c>
      <c r="D989" s="52" t="s">
        <v>216</v>
      </c>
      <c r="E989" s="52" t="s">
        <v>584</v>
      </c>
      <c r="F989" s="52" t="s">
        <v>581</v>
      </c>
      <c r="G989" s="195" t="s">
        <v>276</v>
      </c>
      <c r="H989" s="195"/>
      <c r="I989" s="195"/>
      <c r="J989" s="195">
        <v>-5.9188530000000004</v>
      </c>
      <c r="K989" s="195">
        <v>-13.103109999999999</v>
      </c>
      <c r="L989" s="195">
        <v>-1.6530370000000001</v>
      </c>
      <c r="M989" s="195">
        <v>-5.5424800000000003</v>
      </c>
      <c r="N989" s="195">
        <v>-19.065180000000002</v>
      </c>
    </row>
    <row r="990" spans="1:14" hidden="1" x14ac:dyDescent="0.35">
      <c r="A990" s="52" t="s">
        <v>579</v>
      </c>
      <c r="B990" s="52" t="s">
        <v>201</v>
      </c>
      <c r="C990" s="52" t="s">
        <v>216</v>
      </c>
      <c r="D990" s="52" t="s">
        <v>216</v>
      </c>
      <c r="E990" s="52" t="s">
        <v>584</v>
      </c>
      <c r="F990" s="52" t="s">
        <v>581</v>
      </c>
      <c r="G990" s="195" t="s">
        <v>277</v>
      </c>
      <c r="H990" s="195"/>
      <c r="I990" s="195"/>
      <c r="J990" s="195"/>
      <c r="K990" s="195"/>
      <c r="L990" s="195">
        <v>0</v>
      </c>
      <c r="M990" s="195"/>
      <c r="N990" s="195">
        <v>17.451809999999998</v>
      </c>
    </row>
    <row r="991" spans="1:14" hidden="1" x14ac:dyDescent="0.35">
      <c r="A991" s="52" t="s">
        <v>579</v>
      </c>
      <c r="B991" s="52" t="s">
        <v>201</v>
      </c>
      <c r="C991" s="52" t="s">
        <v>216</v>
      </c>
      <c r="D991" s="52" t="s">
        <v>216</v>
      </c>
      <c r="E991" s="52" t="s">
        <v>584</v>
      </c>
      <c r="F991" s="52" t="s">
        <v>581</v>
      </c>
      <c r="G991" s="195" t="s">
        <v>278</v>
      </c>
      <c r="H991" s="195">
        <v>1.665726</v>
      </c>
      <c r="I991" s="195">
        <v>8.0495819999999991</v>
      </c>
      <c r="J991" s="195">
        <v>5.9188549999999998</v>
      </c>
      <c r="K991" s="195">
        <v>13.103109999999999</v>
      </c>
      <c r="L991" s="195">
        <v>1.6530370000000001</v>
      </c>
      <c r="M991" s="195">
        <v>1.6133690000000001</v>
      </c>
      <c r="N991" s="195">
        <v>1.6133690000000001</v>
      </c>
    </row>
    <row r="992" spans="1:14" hidden="1" x14ac:dyDescent="0.35">
      <c r="A992" s="52" t="s">
        <v>579</v>
      </c>
      <c r="B992" s="52" t="s">
        <v>201</v>
      </c>
      <c r="C992" s="52" t="s">
        <v>216</v>
      </c>
      <c r="D992" s="52" t="s">
        <v>216</v>
      </c>
      <c r="E992" s="52" t="s">
        <v>584</v>
      </c>
      <c r="F992" s="52" t="s">
        <v>581</v>
      </c>
      <c r="G992" s="195" t="s">
        <v>279</v>
      </c>
      <c r="H992" s="195"/>
      <c r="I992" s="195"/>
      <c r="J992" s="195"/>
      <c r="K992" s="195"/>
      <c r="L992" s="195"/>
      <c r="M992" s="195"/>
      <c r="N992" s="195">
        <v>0</v>
      </c>
    </row>
    <row r="993" spans="1:14" hidden="1" x14ac:dyDescent="0.35">
      <c r="A993" s="52" t="s">
        <v>579</v>
      </c>
      <c r="B993" s="52" t="s">
        <v>201</v>
      </c>
      <c r="C993" s="52" t="s">
        <v>216</v>
      </c>
      <c r="D993" s="52" t="s">
        <v>216</v>
      </c>
      <c r="E993" s="52" t="s">
        <v>584</v>
      </c>
      <c r="F993" s="52" t="s">
        <v>26</v>
      </c>
      <c r="G993" s="195" t="s">
        <v>275</v>
      </c>
      <c r="H993" s="195"/>
      <c r="I993" s="195"/>
      <c r="J993" s="195"/>
      <c r="K993" s="195"/>
      <c r="L993" s="195">
        <v>0</v>
      </c>
      <c r="M993" s="195"/>
      <c r="N993" s="195"/>
    </row>
    <row r="994" spans="1:14" hidden="1" x14ac:dyDescent="0.35">
      <c r="A994" s="52" t="s">
        <v>579</v>
      </c>
      <c r="B994" s="52" t="s">
        <v>201</v>
      </c>
      <c r="C994" s="52" t="s">
        <v>216</v>
      </c>
      <c r="D994" s="52" t="s">
        <v>216</v>
      </c>
      <c r="E994" s="52" t="s">
        <v>584</v>
      </c>
      <c r="F994" s="52" t="s">
        <v>26</v>
      </c>
      <c r="G994" s="195" t="s">
        <v>276</v>
      </c>
      <c r="H994" s="195"/>
      <c r="I994" s="195"/>
      <c r="J994" s="195"/>
      <c r="K994" s="195"/>
      <c r="L994" s="195">
        <v>0</v>
      </c>
      <c r="M994" s="195"/>
      <c r="N994" s="195">
        <v>-1.8371310000000001</v>
      </c>
    </row>
    <row r="995" spans="1:14" hidden="1" x14ac:dyDescent="0.35">
      <c r="A995" s="52" t="s">
        <v>579</v>
      </c>
      <c r="B995" s="52" t="s">
        <v>201</v>
      </c>
      <c r="C995" s="52" t="s">
        <v>216</v>
      </c>
      <c r="D995" s="52" t="s">
        <v>216</v>
      </c>
      <c r="E995" s="52" t="s">
        <v>584</v>
      </c>
      <c r="F995" s="52" t="s">
        <v>26</v>
      </c>
      <c r="G995" s="195" t="s">
        <v>277</v>
      </c>
      <c r="H995" s="195"/>
      <c r="I995" s="195"/>
      <c r="J995" s="195"/>
      <c r="K995" s="195"/>
      <c r="L995" s="195">
        <v>0</v>
      </c>
      <c r="M995" s="195"/>
      <c r="N995" s="195"/>
    </row>
    <row r="996" spans="1:14" hidden="1" x14ac:dyDescent="0.35">
      <c r="A996" s="52" t="s">
        <v>579</v>
      </c>
      <c r="B996" s="52" t="s">
        <v>201</v>
      </c>
      <c r="C996" s="52" t="s">
        <v>216</v>
      </c>
      <c r="D996" s="52" t="s">
        <v>216</v>
      </c>
      <c r="E996" s="52" t="s">
        <v>584</v>
      </c>
      <c r="F996" s="52" t="s">
        <v>26</v>
      </c>
      <c r="G996" s="195" t="s">
        <v>279</v>
      </c>
      <c r="H996" s="195"/>
      <c r="I996" s="195"/>
      <c r="J996" s="195"/>
      <c r="K996" s="195"/>
      <c r="L996" s="195"/>
      <c r="M996" s="195"/>
      <c r="N996" s="195">
        <v>0</v>
      </c>
    </row>
    <row r="997" spans="1:14" hidden="1" x14ac:dyDescent="0.35">
      <c r="A997" s="52" t="s">
        <v>579</v>
      </c>
      <c r="B997" s="52" t="s">
        <v>31</v>
      </c>
      <c r="C997" s="52" t="s">
        <v>30</v>
      </c>
      <c r="D997" s="52" t="s">
        <v>30</v>
      </c>
      <c r="E997" s="52" t="s">
        <v>584</v>
      </c>
      <c r="F997" s="52" t="s">
        <v>581</v>
      </c>
      <c r="G997" s="195" t="s">
        <v>275</v>
      </c>
      <c r="H997" s="195">
        <v>89.408460000000005</v>
      </c>
      <c r="I997" s="195">
        <v>47.434019999999997</v>
      </c>
      <c r="J997" s="195">
        <v>53.902180000000001</v>
      </c>
      <c r="K997" s="195">
        <v>53.264879999999998</v>
      </c>
      <c r="L997" s="195">
        <v>52.130980000000001</v>
      </c>
      <c r="M997" s="195">
        <v>53.425089999999997</v>
      </c>
      <c r="N997" s="195">
        <v>54.380389999999998</v>
      </c>
    </row>
    <row r="998" spans="1:14" hidden="1" x14ac:dyDescent="0.35">
      <c r="A998" s="52" t="s">
        <v>579</v>
      </c>
      <c r="B998" s="52" t="s">
        <v>31</v>
      </c>
      <c r="C998" s="52" t="s">
        <v>30</v>
      </c>
      <c r="D998" s="52" t="s">
        <v>30</v>
      </c>
      <c r="E998" s="52" t="s">
        <v>584</v>
      </c>
      <c r="F998" s="52" t="s">
        <v>581</v>
      </c>
      <c r="G998" s="195" t="s">
        <v>276</v>
      </c>
      <c r="H998" s="195">
        <v>24.333490000000001</v>
      </c>
      <c r="I998" s="195">
        <v>10.16118</v>
      </c>
      <c r="J998" s="195">
        <v>11.54993</v>
      </c>
      <c r="K998" s="195">
        <v>9.7068060000000003</v>
      </c>
      <c r="L998" s="195">
        <v>12.944800000000001</v>
      </c>
      <c r="M998" s="195">
        <v>13.31137</v>
      </c>
      <c r="N998" s="195">
        <v>13.550190000000001</v>
      </c>
    </row>
    <row r="999" spans="1:14" hidden="1" x14ac:dyDescent="0.35">
      <c r="A999" s="52" t="s">
        <v>579</v>
      </c>
      <c r="B999" s="52" t="s">
        <v>31</v>
      </c>
      <c r="C999" s="52" t="s">
        <v>30</v>
      </c>
      <c r="D999" s="52" t="s">
        <v>30</v>
      </c>
      <c r="E999" s="52" t="s">
        <v>584</v>
      </c>
      <c r="F999" s="52" t="s">
        <v>581</v>
      </c>
      <c r="G999" s="195" t="s">
        <v>277</v>
      </c>
      <c r="H999" s="195">
        <v>15.23122</v>
      </c>
      <c r="I999" s="195">
        <v>0.68865379999999998</v>
      </c>
      <c r="J999" s="195">
        <v>6.1249999999999998E-6</v>
      </c>
      <c r="K999" s="195">
        <v>6.1249999999999998E-6</v>
      </c>
      <c r="L999" s="195">
        <v>6.8600000000000004E-6</v>
      </c>
      <c r="M999" s="195">
        <v>0</v>
      </c>
      <c r="N999" s="195">
        <v>0</v>
      </c>
    </row>
    <row r="1000" spans="1:14" hidden="1" x14ac:dyDescent="0.35">
      <c r="A1000" s="52" t="s">
        <v>579</v>
      </c>
      <c r="B1000" s="52" t="s">
        <v>31</v>
      </c>
      <c r="C1000" s="52" t="s">
        <v>30</v>
      </c>
      <c r="D1000" s="52" t="s">
        <v>30</v>
      </c>
      <c r="E1000" s="52" t="s">
        <v>584</v>
      </c>
      <c r="F1000" s="52" t="s">
        <v>581</v>
      </c>
      <c r="G1000" s="195" t="s">
        <v>278</v>
      </c>
      <c r="H1000" s="195">
        <v>4.490135E-2</v>
      </c>
      <c r="I1000" s="195">
        <v>4.490135E-2</v>
      </c>
      <c r="J1000" s="195">
        <v>4.490135E-2</v>
      </c>
      <c r="K1000" s="195">
        <v>2.6144189999999998</v>
      </c>
      <c r="L1000" s="195">
        <v>4.490135E-2</v>
      </c>
      <c r="M1000" s="195">
        <v>4.490135E-2</v>
      </c>
      <c r="N1000" s="195">
        <v>4.490135E-2</v>
      </c>
    </row>
    <row r="1001" spans="1:14" hidden="1" x14ac:dyDescent="0.35">
      <c r="A1001" s="52" t="s">
        <v>579</v>
      </c>
      <c r="B1001" s="52" t="s">
        <v>31</v>
      </c>
      <c r="C1001" s="52" t="s">
        <v>30</v>
      </c>
      <c r="D1001" s="52" t="s">
        <v>30</v>
      </c>
      <c r="E1001" s="52" t="s">
        <v>584</v>
      </c>
      <c r="F1001" s="52" t="s">
        <v>581</v>
      </c>
      <c r="G1001" s="195" t="s">
        <v>279</v>
      </c>
      <c r="H1001" s="195">
        <v>25.652930000000001</v>
      </c>
      <c r="I1001" s="195">
        <v>24.193339999999999</v>
      </c>
      <c r="J1001" s="195">
        <v>25.095510000000001</v>
      </c>
      <c r="K1001" s="195">
        <v>27.20233</v>
      </c>
      <c r="L1001" s="195">
        <v>27.81954</v>
      </c>
      <c r="M1001" s="195">
        <v>28.452159999999999</v>
      </c>
      <c r="N1001" s="195">
        <v>28.805900000000001</v>
      </c>
    </row>
    <row r="1002" spans="1:14" hidden="1" x14ac:dyDescent="0.35">
      <c r="A1002" s="52" t="s">
        <v>579</v>
      </c>
      <c r="B1002" s="52" t="s">
        <v>31</v>
      </c>
      <c r="C1002" s="52" t="s">
        <v>30</v>
      </c>
      <c r="D1002" s="52" t="s">
        <v>30</v>
      </c>
      <c r="E1002" s="52" t="s">
        <v>584</v>
      </c>
      <c r="F1002" s="52" t="s">
        <v>26</v>
      </c>
      <c r="G1002" s="195" t="s">
        <v>275</v>
      </c>
      <c r="H1002" s="195">
        <v>25.652100000000001</v>
      </c>
      <c r="I1002" s="195">
        <v>18.115760000000002</v>
      </c>
      <c r="J1002" s="195">
        <v>-12.21683</v>
      </c>
      <c r="K1002" s="195">
        <v>-23.332820000000002</v>
      </c>
      <c r="L1002" s="195">
        <v>-25.729099999999999</v>
      </c>
      <c r="M1002" s="195">
        <v>-26.205760000000001</v>
      </c>
      <c r="N1002" s="195">
        <v>-26.725619999999999</v>
      </c>
    </row>
    <row r="1003" spans="1:14" hidden="1" x14ac:dyDescent="0.35">
      <c r="A1003" s="52" t="s">
        <v>579</v>
      </c>
      <c r="B1003" s="52" t="s">
        <v>31</v>
      </c>
      <c r="C1003" s="52" t="s">
        <v>30</v>
      </c>
      <c r="D1003" s="52" t="s">
        <v>30</v>
      </c>
      <c r="E1003" s="52" t="s">
        <v>584</v>
      </c>
      <c r="F1003" s="52" t="s">
        <v>26</v>
      </c>
      <c r="G1003" s="195" t="s">
        <v>276</v>
      </c>
      <c r="H1003" s="195">
        <v>-0.29260029999999998</v>
      </c>
      <c r="I1003" s="195">
        <v>0.80686389999999997</v>
      </c>
      <c r="J1003" s="195">
        <v>-4.8552220000000004</v>
      </c>
      <c r="K1003" s="195">
        <v>-5.6010669999999996</v>
      </c>
      <c r="L1003" s="195">
        <v>-5.9771299999999998</v>
      </c>
      <c r="M1003" s="195">
        <v>-6.1457189999999997</v>
      </c>
      <c r="N1003" s="195">
        <v>-6.2802709999999999</v>
      </c>
    </row>
    <row r="1004" spans="1:14" hidden="1" x14ac:dyDescent="0.35">
      <c r="A1004" s="52" t="s">
        <v>579</v>
      </c>
      <c r="B1004" s="52" t="s">
        <v>31</v>
      </c>
      <c r="C1004" s="52" t="s">
        <v>30</v>
      </c>
      <c r="D1004" s="52" t="s">
        <v>30</v>
      </c>
      <c r="E1004" s="52" t="s">
        <v>584</v>
      </c>
      <c r="F1004" s="52" t="s">
        <v>26</v>
      </c>
      <c r="G1004" s="195" t="s">
        <v>277</v>
      </c>
      <c r="H1004" s="195">
        <v>7.9190820000000004</v>
      </c>
      <c r="I1004" s="195">
        <v>6.871035</v>
      </c>
      <c r="J1004" s="195">
        <v>6.5604040000000001</v>
      </c>
      <c r="K1004" s="195">
        <v>8.3549019999999992</v>
      </c>
      <c r="L1004" s="195">
        <v>9.6895600000000002</v>
      </c>
      <c r="M1004" s="195">
        <v>10.36547</v>
      </c>
      <c r="N1004" s="195">
        <v>11.609349999999999</v>
      </c>
    </row>
    <row r="1005" spans="1:14" hidden="1" x14ac:dyDescent="0.35">
      <c r="A1005" s="52" t="s">
        <v>579</v>
      </c>
      <c r="B1005" s="52" t="s">
        <v>31</v>
      </c>
      <c r="C1005" s="52" t="s">
        <v>30</v>
      </c>
      <c r="D1005" s="52" t="s">
        <v>30</v>
      </c>
      <c r="E1005" s="52" t="s">
        <v>584</v>
      </c>
      <c r="F1005" s="52" t="s">
        <v>26</v>
      </c>
      <c r="G1005" s="195" t="s">
        <v>279</v>
      </c>
      <c r="H1005" s="195">
        <v>79.819119999999998</v>
      </c>
      <c r="I1005" s="195">
        <v>75.104830000000007</v>
      </c>
      <c r="J1005" s="195">
        <v>78.279300000000006</v>
      </c>
      <c r="K1005" s="195">
        <v>85.098650000000006</v>
      </c>
      <c r="L1005" s="195">
        <v>87.096819999999994</v>
      </c>
      <c r="M1005" s="195">
        <v>89.144890000000004</v>
      </c>
      <c r="N1005" s="195">
        <v>91.24436</v>
      </c>
    </row>
    <row r="1006" spans="1:14" hidden="1" x14ac:dyDescent="0.35">
      <c r="A1006" s="52" t="s">
        <v>579</v>
      </c>
      <c r="B1006" s="52" t="s">
        <v>31</v>
      </c>
      <c r="C1006" s="52" t="s">
        <v>318</v>
      </c>
      <c r="D1006" s="52" t="s">
        <v>318</v>
      </c>
      <c r="E1006" s="52" t="s">
        <v>584</v>
      </c>
      <c r="F1006" s="52" t="s">
        <v>581</v>
      </c>
      <c r="G1006" s="195" t="s">
        <v>275</v>
      </c>
      <c r="H1006" s="195">
        <v>-8.2693499999999993</v>
      </c>
      <c r="I1006" s="195">
        <v>0</v>
      </c>
      <c r="J1006" s="195"/>
      <c r="K1006" s="195"/>
      <c r="L1006" s="195"/>
      <c r="M1006" s="195"/>
      <c r="N1006" s="195"/>
    </row>
    <row r="1007" spans="1:14" hidden="1" x14ac:dyDescent="0.35">
      <c r="A1007" s="52" t="s">
        <v>579</v>
      </c>
      <c r="B1007" s="52" t="s">
        <v>31</v>
      </c>
      <c r="C1007" s="52" t="s">
        <v>318</v>
      </c>
      <c r="D1007" s="52" t="s">
        <v>318</v>
      </c>
      <c r="E1007" s="52" t="s">
        <v>584</v>
      </c>
      <c r="F1007" s="52" t="s">
        <v>581</v>
      </c>
      <c r="G1007" s="195" t="s">
        <v>278</v>
      </c>
      <c r="H1007" s="195">
        <v>8.2693499999999993</v>
      </c>
      <c r="I1007" s="195">
        <v>0</v>
      </c>
      <c r="J1007" s="195"/>
      <c r="K1007" s="195"/>
      <c r="L1007" s="195"/>
      <c r="M1007" s="195"/>
      <c r="N1007" s="195"/>
    </row>
    <row r="1008" spans="1:14" hidden="1" x14ac:dyDescent="0.35">
      <c r="A1008" s="52" t="s">
        <v>579</v>
      </c>
      <c r="B1008" s="52" t="s">
        <v>31</v>
      </c>
      <c r="C1008" s="52" t="s">
        <v>318</v>
      </c>
      <c r="D1008" s="52" t="s">
        <v>318</v>
      </c>
      <c r="E1008" s="52" t="s">
        <v>584</v>
      </c>
      <c r="F1008" s="52" t="s">
        <v>26</v>
      </c>
      <c r="G1008" s="195" t="s">
        <v>275</v>
      </c>
      <c r="H1008" s="195">
        <v>-5.5129000000000001</v>
      </c>
      <c r="I1008" s="195">
        <v>0</v>
      </c>
      <c r="J1008" s="195"/>
      <c r="K1008" s="195"/>
      <c r="L1008" s="195"/>
      <c r="M1008" s="195"/>
      <c r="N1008" s="195"/>
    </row>
    <row r="1009" spans="1:14" hidden="1" x14ac:dyDescent="0.35">
      <c r="A1009" s="52" t="s">
        <v>579</v>
      </c>
      <c r="B1009" s="52" t="s">
        <v>31</v>
      </c>
      <c r="C1009" s="52" t="s">
        <v>318</v>
      </c>
      <c r="D1009" s="52" t="s">
        <v>318</v>
      </c>
      <c r="E1009" s="52" t="s">
        <v>584</v>
      </c>
      <c r="F1009" s="52" t="s">
        <v>26</v>
      </c>
      <c r="G1009" s="195" t="s">
        <v>278</v>
      </c>
      <c r="H1009" s="195">
        <v>5.5129000000000001</v>
      </c>
      <c r="I1009" s="195">
        <v>0</v>
      </c>
      <c r="J1009" s="195"/>
      <c r="K1009" s="195"/>
      <c r="L1009" s="195"/>
      <c r="M1009" s="195"/>
      <c r="N1009" s="195"/>
    </row>
    <row r="1010" spans="1:14" hidden="1" x14ac:dyDescent="0.35">
      <c r="A1010" s="52" t="s">
        <v>579</v>
      </c>
      <c r="B1010" s="52" t="s">
        <v>31</v>
      </c>
      <c r="C1010" s="52" t="s">
        <v>55</v>
      </c>
      <c r="D1010" s="52" t="s">
        <v>55</v>
      </c>
      <c r="E1010" s="52" t="s">
        <v>584</v>
      </c>
      <c r="F1010" s="52" t="s">
        <v>581</v>
      </c>
      <c r="G1010" s="195" t="s">
        <v>275</v>
      </c>
      <c r="H1010" s="195">
        <v>-4.3726599999999997E-2</v>
      </c>
      <c r="I1010" s="195">
        <v>-4.3727530000000001E-2</v>
      </c>
      <c r="J1010" s="195">
        <v>0</v>
      </c>
      <c r="K1010" s="195">
        <v>0</v>
      </c>
      <c r="L1010" s="195">
        <v>0</v>
      </c>
      <c r="M1010" s="195">
        <v>0</v>
      </c>
      <c r="N1010" s="195">
        <v>0</v>
      </c>
    </row>
    <row r="1011" spans="1:14" hidden="1" x14ac:dyDescent="0.35">
      <c r="A1011" s="52" t="s">
        <v>579</v>
      </c>
      <c r="B1011" s="52" t="s">
        <v>31</v>
      </c>
      <c r="C1011" s="52" t="s">
        <v>55</v>
      </c>
      <c r="D1011" s="52" t="s">
        <v>55</v>
      </c>
      <c r="E1011" s="52" t="s">
        <v>584</v>
      </c>
      <c r="F1011" s="52" t="s">
        <v>581</v>
      </c>
      <c r="G1011" s="195" t="s">
        <v>276</v>
      </c>
      <c r="H1011" s="195">
        <v>-4.3726599999999997E-2</v>
      </c>
      <c r="I1011" s="195">
        <v>-4.3726599999999997E-2</v>
      </c>
      <c r="J1011" s="195">
        <v>-8.7454130000000005E-2</v>
      </c>
      <c r="K1011" s="195">
        <v>-3.2409530000000002</v>
      </c>
      <c r="L1011" s="195">
        <v>-8.7452230000000006E-2</v>
      </c>
      <c r="M1011" s="195">
        <v>-8.745319E-2</v>
      </c>
      <c r="N1011" s="195">
        <v>-8.745319E-2</v>
      </c>
    </row>
    <row r="1012" spans="1:14" hidden="1" x14ac:dyDescent="0.35">
      <c r="A1012" s="52" t="s">
        <v>579</v>
      </c>
      <c r="B1012" s="52" t="s">
        <v>31</v>
      </c>
      <c r="C1012" s="52" t="s">
        <v>55</v>
      </c>
      <c r="D1012" s="52" t="s">
        <v>55</v>
      </c>
      <c r="E1012" s="52" t="s">
        <v>584</v>
      </c>
      <c r="F1012" s="52" t="s">
        <v>581</v>
      </c>
      <c r="G1012" s="195" t="s">
        <v>277</v>
      </c>
      <c r="H1012" s="195"/>
      <c r="I1012" s="195"/>
      <c r="J1012" s="195"/>
      <c r="K1012" s="195"/>
      <c r="L1012" s="195"/>
      <c r="M1012" s="195"/>
      <c r="N1012" s="195">
        <v>0</v>
      </c>
    </row>
    <row r="1013" spans="1:14" hidden="1" x14ac:dyDescent="0.35">
      <c r="A1013" s="52" t="s">
        <v>579</v>
      </c>
      <c r="B1013" s="52" t="s">
        <v>31</v>
      </c>
      <c r="C1013" s="52" t="s">
        <v>55</v>
      </c>
      <c r="D1013" s="52" t="s">
        <v>55</v>
      </c>
      <c r="E1013" s="52" t="s">
        <v>584</v>
      </c>
      <c r="F1013" s="52" t="s">
        <v>581</v>
      </c>
      <c r="G1013" s="195" t="s">
        <v>278</v>
      </c>
      <c r="H1013" s="195">
        <v>8.745319E-2</v>
      </c>
      <c r="I1013" s="195">
        <v>8.745319E-2</v>
      </c>
      <c r="J1013" s="195">
        <v>8.745319E-2</v>
      </c>
      <c r="K1013" s="195">
        <v>3.2409530000000002</v>
      </c>
      <c r="L1013" s="195">
        <v>8.745319E-2</v>
      </c>
      <c r="M1013" s="195">
        <v>8.745319E-2</v>
      </c>
      <c r="N1013" s="195">
        <v>8.745319E-2</v>
      </c>
    </row>
    <row r="1014" spans="1:14" hidden="1" x14ac:dyDescent="0.35">
      <c r="A1014" s="52" t="s">
        <v>579</v>
      </c>
      <c r="B1014" s="52" t="s">
        <v>210</v>
      </c>
      <c r="C1014" s="52" t="s">
        <v>209</v>
      </c>
      <c r="D1014" s="52" t="s">
        <v>209</v>
      </c>
      <c r="E1014" s="52" t="s">
        <v>584</v>
      </c>
      <c r="F1014" s="52" t="s">
        <v>581</v>
      </c>
      <c r="G1014" s="195" t="s">
        <v>275</v>
      </c>
      <c r="H1014" s="195">
        <v>39.751449999999998</v>
      </c>
      <c r="I1014" s="195">
        <v>-2.7293729999999998</v>
      </c>
      <c r="J1014" s="195">
        <v>-3.3082509999999998</v>
      </c>
      <c r="K1014" s="195">
        <v>1.5647979999999999</v>
      </c>
      <c r="L1014" s="195">
        <v>1.121629</v>
      </c>
      <c r="M1014" s="195">
        <v>1.168147</v>
      </c>
      <c r="N1014" s="195">
        <v>1.9554659999999999</v>
      </c>
    </row>
    <row r="1015" spans="1:14" hidden="1" x14ac:dyDescent="0.35">
      <c r="A1015" s="52" t="s">
        <v>579</v>
      </c>
      <c r="B1015" s="52" t="s">
        <v>210</v>
      </c>
      <c r="C1015" s="52" t="s">
        <v>209</v>
      </c>
      <c r="D1015" s="52" t="s">
        <v>209</v>
      </c>
      <c r="E1015" s="52" t="s">
        <v>584</v>
      </c>
      <c r="F1015" s="52" t="s">
        <v>581</v>
      </c>
      <c r="G1015" s="195" t="s">
        <v>276</v>
      </c>
      <c r="H1015" s="195">
        <v>12.46152</v>
      </c>
      <c r="I1015" s="195">
        <v>2.0591759999999999</v>
      </c>
      <c r="J1015" s="195">
        <v>3.7691870000000001</v>
      </c>
      <c r="K1015" s="195">
        <v>3.15747</v>
      </c>
      <c r="L1015" s="195">
        <v>2.9817339999999999</v>
      </c>
      <c r="M1015" s="195">
        <v>1.973484</v>
      </c>
      <c r="N1015" s="195">
        <v>0.58944920000000001</v>
      </c>
    </row>
    <row r="1016" spans="1:14" hidden="1" x14ac:dyDescent="0.35">
      <c r="A1016" s="52" t="s">
        <v>579</v>
      </c>
      <c r="B1016" s="52" t="s">
        <v>210</v>
      </c>
      <c r="C1016" s="52" t="s">
        <v>209</v>
      </c>
      <c r="D1016" s="52" t="s">
        <v>209</v>
      </c>
      <c r="E1016" s="52" t="s">
        <v>584</v>
      </c>
      <c r="F1016" s="52" t="s">
        <v>581</v>
      </c>
      <c r="G1016" s="195" t="s">
        <v>277</v>
      </c>
      <c r="H1016" s="195">
        <v>24.929770000000001</v>
      </c>
      <c r="I1016" s="195">
        <v>10.30505</v>
      </c>
      <c r="J1016" s="195">
        <v>9.2919420000000006</v>
      </c>
      <c r="K1016" s="195">
        <v>6.6134050000000002</v>
      </c>
      <c r="L1016" s="195">
        <v>5.0711579999999996</v>
      </c>
      <c r="M1016" s="195">
        <v>4.1482900000000003</v>
      </c>
      <c r="N1016" s="195">
        <v>1.2179180000000001</v>
      </c>
    </row>
    <row r="1017" spans="1:14" hidden="1" x14ac:dyDescent="0.35">
      <c r="A1017" s="52" t="s">
        <v>579</v>
      </c>
      <c r="B1017" s="52" t="s">
        <v>210</v>
      </c>
      <c r="C1017" s="52" t="s">
        <v>209</v>
      </c>
      <c r="D1017" s="52" t="s">
        <v>209</v>
      </c>
      <c r="E1017" s="52" t="s">
        <v>584</v>
      </c>
      <c r="F1017" s="52" t="s">
        <v>581</v>
      </c>
      <c r="G1017" s="195" t="s">
        <v>278</v>
      </c>
      <c r="H1017" s="195">
        <v>0.10286919999999999</v>
      </c>
      <c r="I1017" s="195">
        <v>0.10286919999999999</v>
      </c>
      <c r="J1017" s="195">
        <v>5.7363949999999997E-2</v>
      </c>
      <c r="K1017" s="195">
        <v>5.7363949999999997E-2</v>
      </c>
      <c r="L1017" s="195">
        <v>5.7363949999999997E-2</v>
      </c>
      <c r="M1017" s="195">
        <v>5.7363949999999997E-2</v>
      </c>
      <c r="N1017" s="195">
        <v>0.73530549999999995</v>
      </c>
    </row>
    <row r="1018" spans="1:14" hidden="1" x14ac:dyDescent="0.35">
      <c r="A1018" s="52" t="s">
        <v>579</v>
      </c>
      <c r="B1018" s="52" t="s">
        <v>210</v>
      </c>
      <c r="C1018" s="52" t="s">
        <v>209</v>
      </c>
      <c r="D1018" s="52" t="s">
        <v>209</v>
      </c>
      <c r="E1018" s="52" t="s">
        <v>584</v>
      </c>
      <c r="F1018" s="52" t="s">
        <v>581</v>
      </c>
      <c r="G1018" s="195" t="s">
        <v>279</v>
      </c>
      <c r="H1018" s="195">
        <v>11.26351</v>
      </c>
      <c r="I1018" s="195">
        <v>6.4213279999999999</v>
      </c>
      <c r="J1018" s="195">
        <v>51.43674</v>
      </c>
      <c r="K1018" s="195">
        <v>17.07141</v>
      </c>
      <c r="L1018" s="195">
        <v>17.939710000000002</v>
      </c>
      <c r="M1018" s="195">
        <v>13.11622</v>
      </c>
      <c r="N1018" s="195">
        <v>12.06921</v>
      </c>
    </row>
    <row r="1019" spans="1:14" hidden="1" x14ac:dyDescent="0.35">
      <c r="A1019" s="52" t="s">
        <v>579</v>
      </c>
      <c r="B1019" s="52" t="s">
        <v>210</v>
      </c>
      <c r="C1019" s="52" t="s">
        <v>209</v>
      </c>
      <c r="D1019" s="52" t="s">
        <v>209</v>
      </c>
      <c r="E1019" s="52" t="s">
        <v>584</v>
      </c>
      <c r="F1019" s="52" t="s">
        <v>26</v>
      </c>
      <c r="G1019" s="195" t="s">
        <v>275</v>
      </c>
      <c r="H1019" s="195">
        <v>0.30069099999999999</v>
      </c>
      <c r="I1019" s="195">
        <v>1.097733E-2</v>
      </c>
      <c r="J1019" s="195">
        <v>0.54024950000000005</v>
      </c>
      <c r="K1019" s="195">
        <v>0.67660419999999999</v>
      </c>
      <c r="L1019" s="195">
        <v>0.57218769999999997</v>
      </c>
      <c r="M1019" s="195">
        <v>0.48994720000000003</v>
      </c>
      <c r="N1019" s="195">
        <v>0.42127100000000001</v>
      </c>
    </row>
    <row r="1020" spans="1:14" hidden="1" x14ac:dyDescent="0.35">
      <c r="A1020" s="52" t="s">
        <v>579</v>
      </c>
      <c r="B1020" s="52" t="s">
        <v>210</v>
      </c>
      <c r="C1020" s="52" t="s">
        <v>209</v>
      </c>
      <c r="D1020" s="52" t="s">
        <v>209</v>
      </c>
      <c r="E1020" s="52" t="s">
        <v>584</v>
      </c>
      <c r="F1020" s="52" t="s">
        <v>26</v>
      </c>
      <c r="G1020" s="195" t="s">
        <v>276</v>
      </c>
      <c r="H1020" s="195">
        <v>0.20514579999999999</v>
      </c>
      <c r="I1020" s="195">
        <v>8.5760500000000003E-2</v>
      </c>
      <c r="J1020" s="195">
        <v>0.51980040000000005</v>
      </c>
      <c r="K1020" s="195">
        <v>0.224665</v>
      </c>
      <c r="L1020" s="195">
        <v>0.1939641</v>
      </c>
      <c r="M1020" s="195">
        <v>0.168015</v>
      </c>
      <c r="N1020" s="195">
        <v>0.14286019999999999</v>
      </c>
    </row>
    <row r="1021" spans="1:14" hidden="1" x14ac:dyDescent="0.35">
      <c r="A1021" s="52" t="s">
        <v>579</v>
      </c>
      <c r="B1021" s="52" t="s">
        <v>210</v>
      </c>
      <c r="C1021" s="52" t="s">
        <v>209</v>
      </c>
      <c r="D1021" s="52" t="s">
        <v>209</v>
      </c>
      <c r="E1021" s="52" t="s">
        <v>584</v>
      </c>
      <c r="F1021" s="52" t="s">
        <v>26</v>
      </c>
      <c r="G1021" s="195" t="s">
        <v>279</v>
      </c>
      <c r="H1021" s="195">
        <v>0.28927360000000002</v>
      </c>
      <c r="I1021" s="195">
        <v>6.568765E-2</v>
      </c>
      <c r="J1021" s="195">
        <v>0.49662440000000002</v>
      </c>
      <c r="K1021" s="195">
        <v>0.41996850000000002</v>
      </c>
      <c r="L1021" s="195">
        <v>0.36430869999999999</v>
      </c>
      <c r="M1021" s="195">
        <v>0.3197005</v>
      </c>
      <c r="N1021" s="195">
        <v>0.2809874</v>
      </c>
    </row>
    <row r="1022" spans="1:14" hidden="1" x14ac:dyDescent="0.35">
      <c r="A1022" s="52" t="s">
        <v>579</v>
      </c>
      <c r="B1022" s="52" t="s">
        <v>210</v>
      </c>
      <c r="C1022" s="52" t="s">
        <v>318</v>
      </c>
      <c r="D1022" s="52" t="s">
        <v>318</v>
      </c>
      <c r="E1022" s="52" t="s">
        <v>584</v>
      </c>
      <c r="F1022" s="52" t="s">
        <v>581</v>
      </c>
      <c r="G1022" s="195" t="s">
        <v>275</v>
      </c>
      <c r="H1022" s="195">
        <v>0</v>
      </c>
      <c r="I1022" s="195"/>
      <c r="J1022" s="195"/>
      <c r="K1022" s="195"/>
      <c r="L1022" s="195"/>
      <c r="M1022" s="195"/>
      <c r="N1022" s="195"/>
    </row>
    <row r="1023" spans="1:14" hidden="1" x14ac:dyDescent="0.35">
      <c r="A1023" s="52" t="s">
        <v>579</v>
      </c>
      <c r="B1023" s="52" t="s">
        <v>210</v>
      </c>
      <c r="C1023" s="52" t="s">
        <v>318</v>
      </c>
      <c r="D1023" s="52" t="s">
        <v>318</v>
      </c>
      <c r="E1023" s="52" t="s">
        <v>584</v>
      </c>
      <c r="F1023" s="52" t="s">
        <v>581</v>
      </c>
      <c r="G1023" s="195" t="s">
        <v>278</v>
      </c>
      <c r="H1023" s="195">
        <v>0</v>
      </c>
      <c r="I1023" s="195"/>
      <c r="J1023" s="195"/>
      <c r="K1023" s="195"/>
      <c r="L1023" s="195"/>
      <c r="M1023" s="195"/>
      <c r="N1023" s="195"/>
    </row>
    <row r="1024" spans="1:14" hidden="1" x14ac:dyDescent="0.35">
      <c r="A1024" s="52" t="s">
        <v>579</v>
      </c>
      <c r="B1024" s="52" t="s">
        <v>210</v>
      </c>
      <c r="C1024" s="52" t="s">
        <v>318</v>
      </c>
      <c r="D1024" s="52" t="s">
        <v>318</v>
      </c>
      <c r="E1024" s="52" t="s">
        <v>584</v>
      </c>
      <c r="F1024" s="52" t="s">
        <v>26</v>
      </c>
      <c r="G1024" s="195" t="s">
        <v>275</v>
      </c>
      <c r="H1024" s="195">
        <v>0</v>
      </c>
      <c r="I1024" s="195"/>
      <c r="J1024" s="195"/>
      <c r="K1024" s="195"/>
      <c r="L1024" s="195"/>
      <c r="M1024" s="195"/>
      <c r="N1024" s="195"/>
    </row>
    <row r="1025" spans="1:14" hidden="1" x14ac:dyDescent="0.35">
      <c r="A1025" s="52" t="s">
        <v>579</v>
      </c>
      <c r="B1025" s="52" t="s">
        <v>210</v>
      </c>
      <c r="C1025" s="52" t="s">
        <v>318</v>
      </c>
      <c r="D1025" s="52" t="s">
        <v>318</v>
      </c>
      <c r="E1025" s="52" t="s">
        <v>584</v>
      </c>
      <c r="F1025" s="52" t="s">
        <v>26</v>
      </c>
      <c r="G1025" s="195" t="s">
        <v>278</v>
      </c>
      <c r="H1025" s="195">
        <v>0</v>
      </c>
      <c r="I1025" s="195"/>
      <c r="J1025" s="195"/>
      <c r="K1025" s="195"/>
      <c r="L1025" s="195"/>
      <c r="M1025" s="195"/>
      <c r="N1025" s="195"/>
    </row>
    <row r="1026" spans="1:14" hidden="1" x14ac:dyDescent="0.35">
      <c r="A1026" s="52" t="s">
        <v>579</v>
      </c>
      <c r="B1026" s="52" t="s">
        <v>134</v>
      </c>
      <c r="C1026" s="52" t="s">
        <v>119</v>
      </c>
      <c r="D1026" s="52" t="s">
        <v>119</v>
      </c>
      <c r="E1026" s="52" t="s">
        <v>584</v>
      </c>
      <c r="F1026" s="52" t="s">
        <v>581</v>
      </c>
      <c r="G1026" s="195" t="s">
        <v>275</v>
      </c>
      <c r="H1026" s="195">
        <v>-6.4394999999999999E-3</v>
      </c>
      <c r="I1026" s="195">
        <v>-3.1201799999999998E-2</v>
      </c>
      <c r="J1026" s="195">
        <v>-3.4155900000000003E-2</v>
      </c>
      <c r="K1026" s="195">
        <v>-3.4784799999999998E-2</v>
      </c>
      <c r="L1026" s="195">
        <v>-3.5474600000000002E-2</v>
      </c>
      <c r="M1026" s="195">
        <v>-3.57793E-2</v>
      </c>
      <c r="N1026" s="195">
        <v>-3.63652E-2</v>
      </c>
    </row>
    <row r="1027" spans="1:14" hidden="1" x14ac:dyDescent="0.35">
      <c r="A1027" s="52" t="s">
        <v>579</v>
      </c>
      <c r="B1027" s="52" t="s">
        <v>134</v>
      </c>
      <c r="C1027" s="52" t="s">
        <v>119</v>
      </c>
      <c r="D1027" s="52" t="s">
        <v>119</v>
      </c>
      <c r="E1027" s="52" t="s">
        <v>584</v>
      </c>
      <c r="F1027" s="52" t="s">
        <v>581</v>
      </c>
      <c r="G1027" s="195" t="s">
        <v>276</v>
      </c>
      <c r="H1027" s="195">
        <v>7.3844999999999996E-3</v>
      </c>
      <c r="I1027" s="195">
        <v>-9.7689999999999995E-4</v>
      </c>
      <c r="J1027" s="195">
        <v>-2.0037000000000002E-3</v>
      </c>
      <c r="K1027" s="195">
        <v>-2.225E-3</v>
      </c>
      <c r="L1027" s="195">
        <v>-2.4908999999999999E-3</v>
      </c>
      <c r="M1027" s="195">
        <v>-2.6256000000000001E-3</v>
      </c>
      <c r="N1027" s="195">
        <v>-2.9093999999999999E-3</v>
      </c>
    </row>
    <row r="1028" spans="1:14" hidden="1" x14ac:dyDescent="0.35">
      <c r="A1028" s="52" t="s">
        <v>579</v>
      </c>
      <c r="B1028" s="52" t="s">
        <v>134</v>
      </c>
      <c r="C1028" s="52" t="s">
        <v>119</v>
      </c>
      <c r="D1028" s="52" t="s">
        <v>119</v>
      </c>
      <c r="E1028" s="52" t="s">
        <v>584</v>
      </c>
      <c r="F1028" s="52" t="s">
        <v>581</v>
      </c>
      <c r="G1028" s="195" t="s">
        <v>279</v>
      </c>
      <c r="H1028" s="195">
        <v>5.2360499999999997E-2</v>
      </c>
      <c r="I1028" s="195">
        <v>5.1351000000000001E-2</v>
      </c>
      <c r="J1028" s="195">
        <v>5.1020000000000003E-2</v>
      </c>
      <c r="K1028" s="195">
        <v>5.0999500000000003E-2</v>
      </c>
      <c r="L1028" s="195">
        <v>5.0705E-2</v>
      </c>
      <c r="M1028" s="195">
        <v>5.0445499999999997E-2</v>
      </c>
      <c r="N1028" s="195">
        <v>5.00045E-2</v>
      </c>
    </row>
    <row r="1029" spans="1:14" hidden="1" x14ac:dyDescent="0.35">
      <c r="A1029" s="52" t="s">
        <v>579</v>
      </c>
      <c r="B1029" s="52" t="s">
        <v>134</v>
      </c>
      <c r="C1029" s="52" t="s">
        <v>119</v>
      </c>
      <c r="D1029" s="52" t="s">
        <v>119</v>
      </c>
      <c r="E1029" s="52" t="s">
        <v>584</v>
      </c>
      <c r="F1029" s="52" t="s">
        <v>26</v>
      </c>
      <c r="G1029" s="195" t="s">
        <v>275</v>
      </c>
      <c r="H1029" s="195">
        <v>0.68723089999999998</v>
      </c>
      <c r="I1029" s="195">
        <v>0.83412969999999997</v>
      </c>
      <c r="J1029" s="195">
        <v>0.7349057</v>
      </c>
      <c r="K1029" s="195">
        <v>0.53266820000000004</v>
      </c>
      <c r="L1029" s="195">
        <v>0.35498800000000003</v>
      </c>
      <c r="M1029" s="195">
        <v>0.28689490000000001</v>
      </c>
      <c r="N1029" s="195">
        <v>0.58587659999999997</v>
      </c>
    </row>
    <row r="1030" spans="1:14" hidden="1" x14ac:dyDescent="0.35">
      <c r="A1030" s="52" t="s">
        <v>579</v>
      </c>
      <c r="B1030" s="52" t="s">
        <v>134</v>
      </c>
      <c r="C1030" s="52" t="s">
        <v>119</v>
      </c>
      <c r="D1030" s="52" t="s">
        <v>119</v>
      </c>
      <c r="E1030" s="52" t="s">
        <v>584</v>
      </c>
      <c r="F1030" s="52" t="s">
        <v>26</v>
      </c>
      <c r="G1030" s="195" t="s">
        <v>276</v>
      </c>
      <c r="H1030" s="195">
        <v>0.25882850000000002</v>
      </c>
      <c r="I1030" s="195">
        <v>0.25149820000000001</v>
      </c>
      <c r="J1030" s="195">
        <v>0.20930109999999999</v>
      </c>
      <c r="K1030" s="195">
        <v>0.1913716</v>
      </c>
      <c r="L1030" s="195">
        <v>0.1561871</v>
      </c>
      <c r="M1030" s="195">
        <v>0.1447098</v>
      </c>
      <c r="N1030" s="195">
        <v>0.12918279999999999</v>
      </c>
    </row>
    <row r="1031" spans="1:14" hidden="1" x14ac:dyDescent="0.35">
      <c r="A1031" s="52" t="s">
        <v>579</v>
      </c>
      <c r="B1031" s="52" t="s">
        <v>134</v>
      </c>
      <c r="C1031" s="52" t="s">
        <v>119</v>
      </c>
      <c r="D1031" s="52" t="s">
        <v>119</v>
      </c>
      <c r="E1031" s="52" t="s">
        <v>584</v>
      </c>
      <c r="F1031" s="52" t="s">
        <v>26</v>
      </c>
      <c r="G1031" s="195" t="s">
        <v>277</v>
      </c>
      <c r="H1031" s="195">
        <v>1.5280229999999999</v>
      </c>
      <c r="I1031" s="195">
        <v>1.2654300000000001</v>
      </c>
      <c r="J1031" s="195">
        <v>1.1308959999999999</v>
      </c>
      <c r="K1031" s="195">
        <v>1.2011909999999999</v>
      </c>
      <c r="L1031" s="195">
        <v>1.213096</v>
      </c>
      <c r="M1031" s="195">
        <v>1.2013959999999999</v>
      </c>
      <c r="N1031" s="195">
        <v>0.79408599999999996</v>
      </c>
    </row>
    <row r="1032" spans="1:14" hidden="1" x14ac:dyDescent="0.35">
      <c r="A1032" s="52" t="s">
        <v>579</v>
      </c>
      <c r="B1032" s="52" t="s">
        <v>134</v>
      </c>
      <c r="C1032" s="52" t="s">
        <v>119</v>
      </c>
      <c r="D1032" s="52" t="s">
        <v>119</v>
      </c>
      <c r="E1032" s="52" t="s">
        <v>584</v>
      </c>
      <c r="F1032" s="52" t="s">
        <v>26</v>
      </c>
      <c r="G1032" s="195" t="s">
        <v>279</v>
      </c>
      <c r="H1032" s="195">
        <v>0.85519350000000005</v>
      </c>
      <c r="I1032" s="195">
        <v>0.73904049999999999</v>
      </c>
      <c r="J1032" s="195">
        <v>0.70307759999999997</v>
      </c>
      <c r="K1032" s="195">
        <v>0.70208199999999998</v>
      </c>
      <c r="L1032" s="195">
        <v>0.6678385</v>
      </c>
      <c r="M1032" s="195">
        <v>0.63765649999999996</v>
      </c>
      <c r="N1032" s="195">
        <v>0.55740599999999996</v>
      </c>
    </row>
    <row r="1033" spans="1:14" hidden="1" x14ac:dyDescent="0.35">
      <c r="A1033" s="52" t="s">
        <v>579</v>
      </c>
      <c r="B1033" s="52" t="s">
        <v>134</v>
      </c>
      <c r="C1033" s="52" t="s">
        <v>259</v>
      </c>
      <c r="D1033" s="52" t="s">
        <v>259</v>
      </c>
      <c r="E1033" s="52" t="s">
        <v>584</v>
      </c>
      <c r="F1033" s="52" t="s">
        <v>581</v>
      </c>
      <c r="G1033" s="195" t="s">
        <v>275</v>
      </c>
      <c r="H1033" s="195">
        <v>-0.111015</v>
      </c>
      <c r="I1033" s="195">
        <v>-1.772608</v>
      </c>
      <c r="J1033" s="195">
        <v>0</v>
      </c>
      <c r="K1033" s="195"/>
      <c r="L1033" s="195"/>
      <c r="M1033" s="195"/>
      <c r="N1033" s="195"/>
    </row>
    <row r="1034" spans="1:14" hidden="1" x14ac:dyDescent="0.35">
      <c r="A1034" s="52" t="s">
        <v>579</v>
      </c>
      <c r="B1034" s="52" t="s">
        <v>134</v>
      </c>
      <c r="C1034" s="52" t="s">
        <v>259</v>
      </c>
      <c r="D1034" s="52" t="s">
        <v>259</v>
      </c>
      <c r="E1034" s="52" t="s">
        <v>584</v>
      </c>
      <c r="F1034" s="52" t="s">
        <v>581</v>
      </c>
      <c r="G1034" s="195" t="s">
        <v>276</v>
      </c>
      <c r="H1034" s="195">
        <v>2.8249999999999998E-3</v>
      </c>
      <c r="I1034" s="195">
        <v>0</v>
      </c>
      <c r="J1034" s="195"/>
      <c r="K1034" s="195"/>
      <c r="L1034" s="195"/>
      <c r="M1034" s="195"/>
      <c r="N1034" s="195"/>
    </row>
    <row r="1035" spans="1:14" hidden="1" x14ac:dyDescent="0.35">
      <c r="A1035" s="52" t="s">
        <v>579</v>
      </c>
      <c r="B1035" s="52" t="s">
        <v>134</v>
      </c>
      <c r="C1035" s="52" t="s">
        <v>259</v>
      </c>
      <c r="D1035" s="52" t="s">
        <v>259</v>
      </c>
      <c r="E1035" s="52" t="s">
        <v>584</v>
      </c>
      <c r="F1035" s="52" t="s">
        <v>581</v>
      </c>
      <c r="G1035" s="195" t="s">
        <v>279</v>
      </c>
      <c r="H1035" s="195">
        <v>0.119491</v>
      </c>
      <c r="I1035" s="195">
        <v>1.772608</v>
      </c>
      <c r="J1035" s="195">
        <v>0</v>
      </c>
      <c r="K1035" s="195"/>
      <c r="L1035" s="195"/>
      <c r="M1035" s="195"/>
      <c r="N1035" s="195"/>
    </row>
    <row r="1036" spans="1:14" hidden="1" x14ac:dyDescent="0.35">
      <c r="A1036" s="52" t="s">
        <v>579</v>
      </c>
      <c r="B1036" s="52" t="s">
        <v>134</v>
      </c>
      <c r="C1036" s="52" t="s">
        <v>259</v>
      </c>
      <c r="D1036" s="52" t="s">
        <v>259</v>
      </c>
      <c r="E1036" s="52" t="s">
        <v>584</v>
      </c>
      <c r="F1036" s="52" t="s">
        <v>26</v>
      </c>
      <c r="G1036" s="195" t="s">
        <v>275</v>
      </c>
      <c r="H1036" s="195">
        <v>-2.3845000000000002E-2</v>
      </c>
      <c r="I1036" s="195">
        <v>-4.3265079999999996</v>
      </c>
      <c r="J1036" s="195">
        <v>0</v>
      </c>
      <c r="K1036" s="195"/>
      <c r="L1036" s="195"/>
      <c r="M1036" s="195"/>
      <c r="N1036" s="195"/>
    </row>
    <row r="1037" spans="1:14" hidden="1" x14ac:dyDescent="0.35">
      <c r="A1037" s="52" t="s">
        <v>579</v>
      </c>
      <c r="B1037" s="52" t="s">
        <v>134</v>
      </c>
      <c r="C1037" s="52" t="s">
        <v>259</v>
      </c>
      <c r="D1037" s="52" t="s">
        <v>259</v>
      </c>
      <c r="E1037" s="52" t="s">
        <v>584</v>
      </c>
      <c r="F1037" s="52" t="s">
        <v>26</v>
      </c>
      <c r="G1037" s="195" t="s">
        <v>276</v>
      </c>
      <c r="H1037" s="195">
        <v>-2.8249999999999998E-3</v>
      </c>
      <c r="I1037" s="195">
        <v>0</v>
      </c>
      <c r="J1037" s="195"/>
      <c r="K1037" s="195"/>
      <c r="L1037" s="195"/>
      <c r="M1037" s="195"/>
      <c r="N1037" s="195"/>
    </row>
    <row r="1038" spans="1:14" hidden="1" x14ac:dyDescent="0.35">
      <c r="A1038" s="52" t="s">
        <v>579</v>
      </c>
      <c r="B1038" s="52" t="s">
        <v>134</v>
      </c>
      <c r="C1038" s="52" t="s">
        <v>259</v>
      </c>
      <c r="D1038" s="52" t="s">
        <v>259</v>
      </c>
      <c r="E1038" s="52" t="s">
        <v>584</v>
      </c>
      <c r="F1038" s="52" t="s">
        <v>26</v>
      </c>
      <c r="G1038" s="195" t="s">
        <v>279</v>
      </c>
      <c r="H1038" s="195">
        <v>5.4196000000000001E-2</v>
      </c>
      <c r="I1038" s="195">
        <v>4.3265089999999997</v>
      </c>
      <c r="J1038" s="195">
        <v>0</v>
      </c>
      <c r="K1038" s="195"/>
      <c r="L1038" s="195"/>
      <c r="M1038" s="195"/>
      <c r="N1038" s="195"/>
    </row>
    <row r="1039" spans="1:14" hidden="1" x14ac:dyDescent="0.35">
      <c r="A1039" s="52" t="s">
        <v>579</v>
      </c>
      <c r="B1039" s="52" t="s">
        <v>160</v>
      </c>
      <c r="C1039" s="52" t="s">
        <v>176</v>
      </c>
      <c r="D1039" s="52" t="s">
        <v>177</v>
      </c>
      <c r="E1039" s="52" t="s">
        <v>584</v>
      </c>
      <c r="F1039" s="52" t="s">
        <v>581</v>
      </c>
      <c r="G1039" s="195" t="s">
        <v>275</v>
      </c>
      <c r="H1039" s="195">
        <v>3.9018600000000001</v>
      </c>
      <c r="I1039" s="195">
        <v>3.146061</v>
      </c>
      <c r="J1039" s="195">
        <v>0.91149769999999997</v>
      </c>
      <c r="K1039" s="195">
        <v>0.90906520000000002</v>
      </c>
      <c r="L1039" s="195">
        <v>2.0349530000000001E-2</v>
      </c>
      <c r="M1039" s="195">
        <v>1.7916979999999999E-2</v>
      </c>
      <c r="N1039" s="195">
        <v>1.5484400000000001E-2</v>
      </c>
    </row>
    <row r="1040" spans="1:14" hidden="1" x14ac:dyDescent="0.35">
      <c r="A1040" s="52" t="s">
        <v>579</v>
      </c>
      <c r="B1040" s="52" t="s">
        <v>160</v>
      </c>
      <c r="C1040" s="52" t="s">
        <v>176</v>
      </c>
      <c r="D1040" s="52" t="s">
        <v>177</v>
      </c>
      <c r="E1040" s="52" t="s">
        <v>584</v>
      </c>
      <c r="F1040" s="52" t="s">
        <v>581</v>
      </c>
      <c r="G1040" s="195" t="s">
        <v>276</v>
      </c>
      <c r="H1040" s="195">
        <v>-4.0807169999999999</v>
      </c>
      <c r="I1040" s="195">
        <v>-3.1912020000000001</v>
      </c>
      <c r="J1040" s="195">
        <v>0</v>
      </c>
      <c r="K1040" s="195">
        <v>0</v>
      </c>
      <c r="L1040" s="195">
        <v>0</v>
      </c>
      <c r="M1040" s="195">
        <v>0</v>
      </c>
      <c r="N1040" s="195">
        <v>0</v>
      </c>
    </row>
    <row r="1041" spans="1:14" hidden="1" x14ac:dyDescent="0.35">
      <c r="A1041" s="52" t="s">
        <v>579</v>
      </c>
      <c r="B1041" s="52" t="s">
        <v>160</v>
      </c>
      <c r="C1041" s="52" t="s">
        <v>176</v>
      </c>
      <c r="D1041" s="52" t="s">
        <v>177</v>
      </c>
      <c r="E1041" s="52" t="s">
        <v>584</v>
      </c>
      <c r="F1041" s="52" t="s">
        <v>581</v>
      </c>
      <c r="G1041" s="195" t="s">
        <v>277</v>
      </c>
      <c r="H1041" s="195"/>
      <c r="I1041" s="195"/>
      <c r="J1041" s="195"/>
      <c r="K1041" s="195"/>
      <c r="L1041" s="195"/>
      <c r="M1041" s="195">
        <v>0</v>
      </c>
      <c r="N1041" s="195">
        <v>0</v>
      </c>
    </row>
    <row r="1042" spans="1:14" hidden="1" x14ac:dyDescent="0.35">
      <c r="A1042" s="52" t="s">
        <v>579</v>
      </c>
      <c r="B1042" s="52" t="s">
        <v>160</v>
      </c>
      <c r="C1042" s="52" t="s">
        <v>176</v>
      </c>
      <c r="D1042" s="52" t="s">
        <v>177</v>
      </c>
      <c r="E1042" s="52" t="s">
        <v>584</v>
      </c>
      <c r="F1042" s="52" t="s">
        <v>581</v>
      </c>
      <c r="G1042" s="195" t="s">
        <v>278</v>
      </c>
      <c r="H1042" s="195">
        <v>0.17885699999999999</v>
      </c>
      <c r="I1042" s="195">
        <v>4.5140520000000003E-2</v>
      </c>
      <c r="J1042" s="195">
        <v>0</v>
      </c>
      <c r="K1042" s="195">
        <v>0</v>
      </c>
      <c r="L1042" s="195">
        <v>0</v>
      </c>
      <c r="M1042" s="195">
        <v>0</v>
      </c>
      <c r="N1042" s="195">
        <v>0</v>
      </c>
    </row>
    <row r="1043" spans="1:14" hidden="1" x14ac:dyDescent="0.35">
      <c r="A1043" s="52" t="s">
        <v>579</v>
      </c>
      <c r="B1043" s="52" t="s">
        <v>160</v>
      </c>
      <c r="C1043" s="52" t="s">
        <v>318</v>
      </c>
      <c r="D1043" s="52" t="s">
        <v>318</v>
      </c>
      <c r="E1043" s="52" t="s">
        <v>584</v>
      </c>
      <c r="F1043" s="52" t="s">
        <v>581</v>
      </c>
      <c r="G1043" s="195" t="s">
        <v>275</v>
      </c>
      <c r="H1043" s="195">
        <v>-6.8859000000000004E-2</v>
      </c>
      <c r="I1043" s="195">
        <v>0</v>
      </c>
      <c r="J1043" s="195"/>
      <c r="K1043" s="195"/>
      <c r="L1043" s="195"/>
      <c r="M1043" s="195"/>
      <c r="N1043" s="195"/>
    </row>
    <row r="1044" spans="1:14" hidden="1" x14ac:dyDescent="0.35">
      <c r="A1044" s="52" t="s">
        <v>579</v>
      </c>
      <c r="B1044" s="52" t="s">
        <v>160</v>
      </c>
      <c r="C1044" s="52" t="s">
        <v>318</v>
      </c>
      <c r="D1044" s="52" t="s">
        <v>318</v>
      </c>
      <c r="E1044" s="52" t="s">
        <v>584</v>
      </c>
      <c r="F1044" s="52" t="s">
        <v>581</v>
      </c>
      <c r="G1044" s="195" t="s">
        <v>276</v>
      </c>
      <c r="H1044" s="195">
        <v>-2.421E-3</v>
      </c>
      <c r="I1044" s="195">
        <v>0</v>
      </c>
      <c r="J1044" s="195"/>
      <c r="K1044" s="195"/>
      <c r="L1044" s="195"/>
      <c r="M1044" s="195"/>
      <c r="N1044" s="195"/>
    </row>
    <row r="1045" spans="1:14" hidden="1" x14ac:dyDescent="0.35">
      <c r="A1045" s="52" t="s">
        <v>579</v>
      </c>
      <c r="B1045" s="52" t="s">
        <v>160</v>
      </c>
      <c r="C1045" s="52" t="s">
        <v>318</v>
      </c>
      <c r="D1045" s="52" t="s">
        <v>318</v>
      </c>
      <c r="E1045" s="52" t="s">
        <v>584</v>
      </c>
      <c r="F1045" s="52" t="s">
        <v>581</v>
      </c>
      <c r="G1045" s="195" t="s">
        <v>278</v>
      </c>
      <c r="H1045" s="195">
        <v>7.1280990000000002E-2</v>
      </c>
      <c r="I1045" s="195">
        <v>0</v>
      </c>
      <c r="J1045" s="195"/>
      <c r="K1045" s="195"/>
      <c r="L1045" s="195"/>
      <c r="M1045" s="195"/>
      <c r="N1045" s="195"/>
    </row>
    <row r="1046" spans="1:14" hidden="1" x14ac:dyDescent="0.35">
      <c r="A1046" s="52" t="s">
        <v>579</v>
      </c>
      <c r="B1046" s="52" t="s">
        <v>160</v>
      </c>
      <c r="C1046" s="52" t="s">
        <v>318</v>
      </c>
      <c r="D1046" s="52" t="s">
        <v>318</v>
      </c>
      <c r="E1046" s="52" t="s">
        <v>584</v>
      </c>
      <c r="F1046" s="52" t="s">
        <v>26</v>
      </c>
      <c r="G1046" s="195" t="s">
        <v>275</v>
      </c>
      <c r="H1046" s="195">
        <v>-4.5905000000000001E-2</v>
      </c>
      <c r="I1046" s="195">
        <v>0</v>
      </c>
      <c r="J1046" s="195"/>
      <c r="K1046" s="195"/>
      <c r="L1046" s="195"/>
      <c r="M1046" s="195"/>
      <c r="N1046" s="195"/>
    </row>
    <row r="1047" spans="1:14" hidden="1" x14ac:dyDescent="0.35">
      <c r="A1047" s="52" t="s">
        <v>579</v>
      </c>
      <c r="B1047" s="52" t="s">
        <v>160</v>
      </c>
      <c r="C1047" s="52" t="s">
        <v>318</v>
      </c>
      <c r="D1047" s="52" t="s">
        <v>318</v>
      </c>
      <c r="E1047" s="52" t="s">
        <v>584</v>
      </c>
      <c r="F1047" s="52" t="s">
        <v>26</v>
      </c>
      <c r="G1047" s="195" t="s">
        <v>276</v>
      </c>
      <c r="H1047" s="195">
        <v>-1.6149999999999999E-3</v>
      </c>
      <c r="I1047" s="195">
        <v>0</v>
      </c>
      <c r="J1047" s="195"/>
      <c r="K1047" s="195"/>
      <c r="L1047" s="195"/>
      <c r="M1047" s="195"/>
      <c r="N1047" s="195"/>
    </row>
    <row r="1048" spans="1:14" hidden="1" x14ac:dyDescent="0.35">
      <c r="A1048" s="52" t="s">
        <v>579</v>
      </c>
      <c r="B1048" s="52" t="s">
        <v>160</v>
      </c>
      <c r="C1048" s="52" t="s">
        <v>318</v>
      </c>
      <c r="D1048" s="52" t="s">
        <v>318</v>
      </c>
      <c r="E1048" s="52" t="s">
        <v>584</v>
      </c>
      <c r="F1048" s="52" t="s">
        <v>26</v>
      </c>
      <c r="G1048" s="195" t="s">
        <v>278</v>
      </c>
      <c r="H1048" s="195">
        <v>4.7521000000000001E-2</v>
      </c>
      <c r="I1048" s="195">
        <v>0</v>
      </c>
      <c r="J1048" s="195"/>
      <c r="K1048" s="195"/>
      <c r="L1048" s="195"/>
      <c r="M1048" s="195"/>
      <c r="N1048" s="195"/>
    </row>
    <row r="1049" spans="1:14" hidden="1" x14ac:dyDescent="0.35">
      <c r="A1049" s="52" t="s">
        <v>579</v>
      </c>
      <c r="B1049" s="52" t="s">
        <v>34</v>
      </c>
      <c r="C1049" s="52" t="s">
        <v>304</v>
      </c>
      <c r="D1049" s="52" t="s">
        <v>304</v>
      </c>
      <c r="E1049" s="52" t="s">
        <v>584</v>
      </c>
      <c r="F1049" s="52" t="s">
        <v>581</v>
      </c>
      <c r="G1049" s="195" t="s">
        <v>275</v>
      </c>
      <c r="H1049" s="195">
        <v>-0.1170595</v>
      </c>
      <c r="I1049" s="195">
        <v>-0.1170592</v>
      </c>
      <c r="J1049" s="195">
        <v>0</v>
      </c>
      <c r="K1049" s="195">
        <v>0</v>
      </c>
      <c r="L1049" s="195">
        <v>0</v>
      </c>
      <c r="M1049" s="195">
        <v>0</v>
      </c>
      <c r="N1049" s="195">
        <v>0</v>
      </c>
    </row>
    <row r="1050" spans="1:14" hidden="1" x14ac:dyDescent="0.35">
      <c r="A1050" s="52" t="s">
        <v>579</v>
      </c>
      <c r="B1050" s="52" t="s">
        <v>34</v>
      </c>
      <c r="C1050" s="52" t="s">
        <v>304</v>
      </c>
      <c r="D1050" s="52" t="s">
        <v>304</v>
      </c>
      <c r="E1050" s="52" t="s">
        <v>584</v>
      </c>
      <c r="F1050" s="52" t="s">
        <v>581</v>
      </c>
      <c r="G1050" s="195" t="s">
        <v>276</v>
      </c>
      <c r="H1050" s="195">
        <v>-5.0168249999999998E-2</v>
      </c>
      <c r="I1050" s="195">
        <v>-5.0168249999999998E-2</v>
      </c>
      <c r="J1050" s="195">
        <v>-67.408789999999996</v>
      </c>
      <c r="K1050" s="195">
        <v>-9.9381360000000001</v>
      </c>
      <c r="L1050" s="195">
        <v>-0.16722709999999999</v>
      </c>
      <c r="M1050" s="195">
        <v>-0.16722690000000001</v>
      </c>
      <c r="N1050" s="195">
        <v>-10.898149999999999</v>
      </c>
    </row>
    <row r="1051" spans="1:14" hidden="1" x14ac:dyDescent="0.35">
      <c r="A1051" s="52" t="s">
        <v>579</v>
      </c>
      <c r="B1051" s="52" t="s">
        <v>34</v>
      </c>
      <c r="C1051" s="52" t="s">
        <v>304</v>
      </c>
      <c r="D1051" s="52" t="s">
        <v>304</v>
      </c>
      <c r="E1051" s="52" t="s">
        <v>584</v>
      </c>
      <c r="F1051" s="52" t="s">
        <v>581</v>
      </c>
      <c r="G1051" s="195" t="s">
        <v>277</v>
      </c>
      <c r="H1051" s="195"/>
      <c r="I1051" s="195">
        <v>0</v>
      </c>
      <c r="J1051" s="195">
        <v>0.1079065</v>
      </c>
      <c r="K1051" s="195">
        <v>0</v>
      </c>
      <c r="L1051" s="195"/>
      <c r="M1051" s="195"/>
      <c r="N1051" s="195">
        <v>0</v>
      </c>
    </row>
    <row r="1052" spans="1:14" hidden="1" x14ac:dyDescent="0.35">
      <c r="A1052" s="52" t="s">
        <v>579</v>
      </c>
      <c r="B1052" s="52" t="s">
        <v>34</v>
      </c>
      <c r="C1052" s="52" t="s">
        <v>304</v>
      </c>
      <c r="D1052" s="52" t="s">
        <v>304</v>
      </c>
      <c r="E1052" s="52" t="s">
        <v>584</v>
      </c>
      <c r="F1052" s="52" t="s">
        <v>581</v>
      </c>
      <c r="G1052" s="195" t="s">
        <v>278</v>
      </c>
      <c r="H1052" s="195">
        <v>0.16722770000000001</v>
      </c>
      <c r="I1052" s="195">
        <v>0.16722770000000001</v>
      </c>
      <c r="J1052" s="195">
        <v>67.300889999999995</v>
      </c>
      <c r="K1052" s="195">
        <v>9.9381380000000004</v>
      </c>
      <c r="L1052" s="195">
        <v>0.16722770000000001</v>
      </c>
      <c r="M1052" s="195">
        <v>0.16722770000000001</v>
      </c>
      <c r="N1052" s="195">
        <v>10.898149999999999</v>
      </c>
    </row>
    <row r="1053" spans="1:14" hidden="1" x14ac:dyDescent="0.35">
      <c r="A1053" s="52" t="s">
        <v>579</v>
      </c>
      <c r="B1053" s="52" t="s">
        <v>117</v>
      </c>
      <c r="C1053" s="52" t="s">
        <v>318</v>
      </c>
      <c r="D1053" s="52" t="s">
        <v>318</v>
      </c>
      <c r="E1053" s="52" t="s">
        <v>584</v>
      </c>
      <c r="F1053" s="52" t="s">
        <v>581</v>
      </c>
      <c r="G1053" s="195" t="s">
        <v>275</v>
      </c>
      <c r="H1053" s="195">
        <v>-15.058630000000001</v>
      </c>
      <c r="I1053" s="195">
        <v>0</v>
      </c>
      <c r="J1053" s="195"/>
      <c r="K1053" s="195"/>
      <c r="L1053" s="195"/>
      <c r="M1053" s="195"/>
      <c r="N1053" s="195"/>
    </row>
    <row r="1054" spans="1:14" hidden="1" x14ac:dyDescent="0.35">
      <c r="A1054" s="52" t="s">
        <v>579</v>
      </c>
      <c r="B1054" s="52" t="s">
        <v>117</v>
      </c>
      <c r="C1054" s="52" t="s">
        <v>318</v>
      </c>
      <c r="D1054" s="52" t="s">
        <v>318</v>
      </c>
      <c r="E1054" s="52" t="s">
        <v>584</v>
      </c>
      <c r="F1054" s="52" t="s">
        <v>581</v>
      </c>
      <c r="G1054" s="195" t="s">
        <v>278</v>
      </c>
      <c r="H1054" s="195">
        <v>15.058630000000001</v>
      </c>
      <c r="I1054" s="195">
        <v>0</v>
      </c>
      <c r="J1054" s="195"/>
      <c r="K1054" s="195"/>
      <c r="L1054" s="195"/>
      <c r="M1054" s="195"/>
      <c r="N1054" s="195"/>
    </row>
    <row r="1055" spans="1:14" hidden="1" x14ac:dyDescent="0.35">
      <c r="A1055" s="52" t="s">
        <v>579</v>
      </c>
      <c r="B1055" s="52" t="s">
        <v>117</v>
      </c>
      <c r="C1055" s="52" t="s">
        <v>318</v>
      </c>
      <c r="D1055" s="52" t="s">
        <v>318</v>
      </c>
      <c r="E1055" s="52" t="s">
        <v>584</v>
      </c>
      <c r="F1055" s="52" t="s">
        <v>26</v>
      </c>
      <c r="G1055" s="195" t="s">
        <v>275</v>
      </c>
      <c r="H1055" s="195">
        <v>-10.03909</v>
      </c>
      <c r="I1055" s="195">
        <v>0</v>
      </c>
      <c r="J1055" s="195"/>
      <c r="K1055" s="195"/>
      <c r="L1055" s="195"/>
      <c r="M1055" s="195"/>
      <c r="N1055" s="195"/>
    </row>
    <row r="1056" spans="1:14" hidden="1" x14ac:dyDescent="0.35">
      <c r="A1056" s="52" t="s">
        <v>579</v>
      </c>
      <c r="B1056" s="52" t="s">
        <v>117</v>
      </c>
      <c r="C1056" s="52" t="s">
        <v>318</v>
      </c>
      <c r="D1056" s="52" t="s">
        <v>318</v>
      </c>
      <c r="E1056" s="52" t="s">
        <v>584</v>
      </c>
      <c r="F1056" s="52" t="s">
        <v>26</v>
      </c>
      <c r="G1056" s="195" t="s">
        <v>278</v>
      </c>
      <c r="H1056" s="195">
        <v>10.03909</v>
      </c>
      <c r="I1056" s="195">
        <v>0</v>
      </c>
      <c r="J1056" s="195"/>
      <c r="K1056" s="195"/>
      <c r="L1056" s="195"/>
      <c r="M1056" s="195"/>
      <c r="N1056" s="195"/>
    </row>
    <row r="1057" spans="1:14" hidden="1" x14ac:dyDescent="0.35">
      <c r="A1057" s="52" t="s">
        <v>579</v>
      </c>
      <c r="B1057" s="52" t="s">
        <v>117</v>
      </c>
      <c r="C1057" s="52" t="s">
        <v>116</v>
      </c>
      <c r="D1057" s="52" t="s">
        <v>116</v>
      </c>
      <c r="E1057" s="52" t="s">
        <v>584</v>
      </c>
      <c r="F1057" s="52" t="s">
        <v>581</v>
      </c>
      <c r="G1057" s="195" t="s">
        <v>275</v>
      </c>
      <c r="H1057" s="195">
        <v>-0.37724449999999998</v>
      </c>
      <c r="I1057" s="195">
        <v>-0.37724449999999998</v>
      </c>
      <c r="J1057" s="195">
        <v>0</v>
      </c>
      <c r="K1057" s="195">
        <v>0</v>
      </c>
      <c r="L1057" s="195">
        <v>0</v>
      </c>
      <c r="M1057" s="195">
        <v>0</v>
      </c>
      <c r="N1057" s="195">
        <v>0</v>
      </c>
    </row>
    <row r="1058" spans="1:14" hidden="1" x14ac:dyDescent="0.35">
      <c r="A1058" s="52" t="s">
        <v>579</v>
      </c>
      <c r="B1058" s="52" t="s">
        <v>117</v>
      </c>
      <c r="C1058" s="52" t="s">
        <v>116</v>
      </c>
      <c r="D1058" s="52" t="s">
        <v>116</v>
      </c>
      <c r="E1058" s="52" t="s">
        <v>584</v>
      </c>
      <c r="F1058" s="52" t="s">
        <v>581</v>
      </c>
      <c r="G1058" s="195" t="s">
        <v>276</v>
      </c>
      <c r="H1058" s="195"/>
      <c r="I1058" s="195"/>
      <c r="J1058" s="195">
        <v>-0.37724449999999998</v>
      </c>
      <c r="K1058" s="195">
        <v>-0.37724449999999998</v>
      </c>
      <c r="L1058" s="195">
        <v>-0.37724449999999998</v>
      </c>
      <c r="M1058" s="195">
        <v>-0.37724449999999998</v>
      </c>
      <c r="N1058" s="195">
        <v>-0.37724449999999998</v>
      </c>
    </row>
    <row r="1059" spans="1:14" hidden="1" x14ac:dyDescent="0.35">
      <c r="A1059" s="52" t="s">
        <v>579</v>
      </c>
      <c r="B1059" s="52" t="s">
        <v>117</v>
      </c>
      <c r="C1059" s="52" t="s">
        <v>116</v>
      </c>
      <c r="D1059" s="52" t="s">
        <v>116</v>
      </c>
      <c r="E1059" s="52" t="s">
        <v>584</v>
      </c>
      <c r="F1059" s="52" t="s">
        <v>581</v>
      </c>
      <c r="G1059" s="195" t="s">
        <v>278</v>
      </c>
      <c r="H1059" s="195">
        <v>0.37724449999999998</v>
      </c>
      <c r="I1059" s="195">
        <v>0.37724449999999998</v>
      </c>
      <c r="J1059" s="195">
        <v>0.37724449999999998</v>
      </c>
      <c r="K1059" s="195">
        <v>0.37724449999999998</v>
      </c>
      <c r="L1059" s="195">
        <v>0.37724449999999998</v>
      </c>
      <c r="M1059" s="195">
        <v>0.37724449999999998</v>
      </c>
      <c r="N1059" s="195">
        <v>0.37724449999999998</v>
      </c>
    </row>
    <row r="1060" spans="1:14" hidden="1" x14ac:dyDescent="0.35">
      <c r="A1060" s="52" t="s">
        <v>579</v>
      </c>
      <c r="B1060" s="52" t="s">
        <v>117</v>
      </c>
      <c r="C1060" s="52" t="s">
        <v>116</v>
      </c>
      <c r="D1060" s="52" t="s">
        <v>116</v>
      </c>
      <c r="E1060" s="52" t="s">
        <v>584</v>
      </c>
      <c r="F1060" s="52" t="s">
        <v>26</v>
      </c>
      <c r="G1060" s="195" t="s">
        <v>275</v>
      </c>
      <c r="H1060" s="195"/>
      <c r="I1060" s="195"/>
      <c r="J1060" s="195">
        <v>0</v>
      </c>
      <c r="K1060" s="195">
        <v>0</v>
      </c>
      <c r="L1060" s="195">
        <v>0</v>
      </c>
      <c r="M1060" s="195">
        <v>0</v>
      </c>
      <c r="N1060" s="195"/>
    </row>
    <row r="1061" spans="1:14" hidden="1" x14ac:dyDescent="0.35">
      <c r="A1061" s="52" t="s">
        <v>579</v>
      </c>
      <c r="B1061" s="52" t="s">
        <v>117</v>
      </c>
      <c r="C1061" s="52" t="s">
        <v>116</v>
      </c>
      <c r="D1061" s="52" t="s">
        <v>116</v>
      </c>
      <c r="E1061" s="52" t="s">
        <v>584</v>
      </c>
      <c r="F1061" s="52" t="s">
        <v>26</v>
      </c>
      <c r="G1061" s="195" t="s">
        <v>278</v>
      </c>
      <c r="H1061" s="195"/>
      <c r="I1061" s="195"/>
      <c r="J1061" s="195">
        <v>0</v>
      </c>
      <c r="K1061" s="195">
        <v>0</v>
      </c>
      <c r="L1061" s="195">
        <v>0</v>
      </c>
      <c r="M1061" s="195">
        <v>0</v>
      </c>
      <c r="N1061" s="195"/>
    </row>
    <row r="1062" spans="1:14" hidden="1" x14ac:dyDescent="0.35">
      <c r="A1062" s="52" t="s">
        <v>579</v>
      </c>
      <c r="B1062" s="52" t="s">
        <v>255</v>
      </c>
      <c r="C1062" s="52" t="s">
        <v>318</v>
      </c>
      <c r="D1062" s="52" t="s">
        <v>318</v>
      </c>
      <c r="E1062" s="52" t="s">
        <v>584</v>
      </c>
      <c r="F1062" s="52" t="s">
        <v>581</v>
      </c>
      <c r="G1062" s="195" t="s">
        <v>275</v>
      </c>
      <c r="H1062" s="195">
        <v>-0.345331</v>
      </c>
      <c r="I1062" s="195">
        <v>0</v>
      </c>
      <c r="J1062" s="195"/>
      <c r="K1062" s="195"/>
      <c r="L1062" s="195"/>
      <c r="M1062" s="195"/>
      <c r="N1062" s="195"/>
    </row>
    <row r="1063" spans="1:14" hidden="1" x14ac:dyDescent="0.35">
      <c r="A1063" s="52" t="s">
        <v>579</v>
      </c>
      <c r="B1063" s="52" t="s">
        <v>255</v>
      </c>
      <c r="C1063" s="52" t="s">
        <v>318</v>
      </c>
      <c r="D1063" s="52" t="s">
        <v>318</v>
      </c>
      <c r="E1063" s="52" t="s">
        <v>584</v>
      </c>
      <c r="F1063" s="52" t="s">
        <v>581</v>
      </c>
      <c r="G1063" s="195" t="s">
        <v>276</v>
      </c>
      <c r="H1063" s="195">
        <v>-2.3219E-2</v>
      </c>
      <c r="I1063" s="195">
        <v>0</v>
      </c>
      <c r="J1063" s="195"/>
      <c r="K1063" s="195"/>
      <c r="L1063" s="195"/>
      <c r="M1063" s="195"/>
      <c r="N1063" s="195"/>
    </row>
    <row r="1064" spans="1:14" hidden="1" x14ac:dyDescent="0.35">
      <c r="A1064" s="52" t="s">
        <v>579</v>
      </c>
      <c r="B1064" s="52" t="s">
        <v>255</v>
      </c>
      <c r="C1064" s="52" t="s">
        <v>318</v>
      </c>
      <c r="D1064" s="52" t="s">
        <v>318</v>
      </c>
      <c r="E1064" s="52" t="s">
        <v>584</v>
      </c>
      <c r="F1064" s="52" t="s">
        <v>581</v>
      </c>
      <c r="G1064" s="195" t="s">
        <v>278</v>
      </c>
      <c r="H1064" s="195">
        <v>0.36854900000000002</v>
      </c>
      <c r="I1064" s="195">
        <v>0</v>
      </c>
      <c r="J1064" s="195"/>
      <c r="K1064" s="195"/>
      <c r="L1064" s="195"/>
      <c r="M1064" s="195"/>
      <c r="N1064" s="195"/>
    </row>
    <row r="1065" spans="1:14" hidden="1" x14ac:dyDescent="0.35">
      <c r="A1065" s="52" t="s">
        <v>579</v>
      </c>
      <c r="B1065" s="52" t="s">
        <v>255</v>
      </c>
      <c r="C1065" s="52" t="s">
        <v>318</v>
      </c>
      <c r="D1065" s="52" t="s">
        <v>318</v>
      </c>
      <c r="E1065" s="52" t="s">
        <v>584</v>
      </c>
      <c r="F1065" s="52" t="s">
        <v>26</v>
      </c>
      <c r="G1065" s="195" t="s">
        <v>275</v>
      </c>
      <c r="H1065" s="195">
        <v>-0.23022100000000001</v>
      </c>
      <c r="I1065" s="195">
        <v>0</v>
      </c>
      <c r="J1065" s="195"/>
      <c r="K1065" s="195"/>
      <c r="L1065" s="195"/>
      <c r="M1065" s="195"/>
      <c r="N1065" s="195"/>
    </row>
    <row r="1066" spans="1:14" hidden="1" x14ac:dyDescent="0.35">
      <c r="A1066" s="52" t="s">
        <v>579</v>
      </c>
      <c r="B1066" s="52" t="s">
        <v>255</v>
      </c>
      <c r="C1066" s="52" t="s">
        <v>318</v>
      </c>
      <c r="D1066" s="52" t="s">
        <v>318</v>
      </c>
      <c r="E1066" s="52" t="s">
        <v>584</v>
      </c>
      <c r="F1066" s="52" t="s">
        <v>26</v>
      </c>
      <c r="G1066" s="195" t="s">
        <v>276</v>
      </c>
      <c r="H1066" s="195">
        <v>-1.5479E-2</v>
      </c>
      <c r="I1066" s="195">
        <v>0</v>
      </c>
      <c r="J1066" s="195"/>
      <c r="K1066" s="195"/>
      <c r="L1066" s="195"/>
      <c r="M1066" s="195"/>
      <c r="N1066" s="195"/>
    </row>
    <row r="1067" spans="1:14" hidden="1" x14ac:dyDescent="0.35">
      <c r="A1067" s="52" t="s">
        <v>579</v>
      </c>
      <c r="B1067" s="52" t="s">
        <v>255</v>
      </c>
      <c r="C1067" s="52" t="s">
        <v>318</v>
      </c>
      <c r="D1067" s="52" t="s">
        <v>318</v>
      </c>
      <c r="E1067" s="52" t="s">
        <v>584</v>
      </c>
      <c r="F1067" s="52" t="s">
        <v>26</v>
      </c>
      <c r="G1067" s="195" t="s">
        <v>278</v>
      </c>
      <c r="H1067" s="195">
        <v>0.245699</v>
      </c>
      <c r="I1067" s="195">
        <v>0</v>
      </c>
      <c r="J1067" s="195"/>
      <c r="K1067" s="195"/>
      <c r="L1067" s="195"/>
      <c r="M1067" s="195"/>
      <c r="N1067" s="195"/>
    </row>
    <row r="1068" spans="1:14" hidden="1" x14ac:dyDescent="0.35">
      <c r="A1068" s="52" t="s">
        <v>579</v>
      </c>
      <c r="B1068" s="52" t="s">
        <v>255</v>
      </c>
      <c r="C1068" s="52" t="s">
        <v>819</v>
      </c>
      <c r="D1068" s="52" t="s">
        <v>819</v>
      </c>
      <c r="E1068" s="52" t="s">
        <v>584</v>
      </c>
      <c r="F1068" s="52" t="s">
        <v>581</v>
      </c>
      <c r="G1068" s="195" t="s">
        <v>275</v>
      </c>
      <c r="H1068" s="195">
        <v>-0.74996700000000005</v>
      </c>
      <c r="I1068" s="195">
        <v>-0.69171009999999999</v>
      </c>
      <c r="J1068" s="195">
        <v>0</v>
      </c>
      <c r="K1068" s="195">
        <v>0</v>
      </c>
      <c r="L1068" s="195">
        <v>0</v>
      </c>
      <c r="M1068" s="195">
        <v>0</v>
      </c>
      <c r="N1068" s="195">
        <v>0</v>
      </c>
    </row>
    <row r="1069" spans="1:14" hidden="1" x14ac:dyDescent="0.35">
      <c r="A1069" s="52" t="s">
        <v>579</v>
      </c>
      <c r="B1069" s="52" t="s">
        <v>255</v>
      </c>
      <c r="C1069" s="52" t="s">
        <v>819</v>
      </c>
      <c r="D1069" s="52" t="s">
        <v>819</v>
      </c>
      <c r="E1069" s="52" t="s">
        <v>584</v>
      </c>
      <c r="F1069" s="52" t="s">
        <v>581</v>
      </c>
      <c r="G1069" s="195" t="s">
        <v>276</v>
      </c>
      <c r="H1069" s="195">
        <v>-0.17477699999999999</v>
      </c>
      <c r="I1069" s="195">
        <v>-0.23303399999999999</v>
      </c>
      <c r="J1069" s="195">
        <v>-0.92474400000000001</v>
      </c>
      <c r="K1069" s="195">
        <v>-53.745150000000002</v>
      </c>
      <c r="L1069" s="195">
        <v>-0.92474290000000003</v>
      </c>
      <c r="M1069" s="195">
        <v>-0.92474749999999994</v>
      </c>
      <c r="N1069" s="195">
        <v>-1.1601950000000001</v>
      </c>
    </row>
    <row r="1070" spans="1:14" hidden="1" x14ac:dyDescent="0.35">
      <c r="A1070" s="52" t="s">
        <v>579</v>
      </c>
      <c r="B1070" s="52" t="s">
        <v>255</v>
      </c>
      <c r="C1070" s="52" t="s">
        <v>819</v>
      </c>
      <c r="D1070" s="52" t="s">
        <v>819</v>
      </c>
      <c r="E1070" s="52" t="s">
        <v>584</v>
      </c>
      <c r="F1070" s="52" t="s">
        <v>581</v>
      </c>
      <c r="G1070" s="195" t="s">
        <v>277</v>
      </c>
      <c r="H1070" s="195"/>
      <c r="I1070" s="195"/>
      <c r="J1070" s="195"/>
      <c r="K1070" s="195"/>
      <c r="L1070" s="195"/>
      <c r="M1070" s="195">
        <v>0</v>
      </c>
      <c r="N1070" s="195">
        <v>0.23544899999999999</v>
      </c>
    </row>
    <row r="1071" spans="1:14" hidden="1" x14ac:dyDescent="0.35">
      <c r="A1071" s="52" t="s">
        <v>579</v>
      </c>
      <c r="B1071" s="52" t="s">
        <v>255</v>
      </c>
      <c r="C1071" s="52" t="s">
        <v>819</v>
      </c>
      <c r="D1071" s="52" t="s">
        <v>819</v>
      </c>
      <c r="E1071" s="52" t="s">
        <v>584</v>
      </c>
      <c r="F1071" s="52" t="s">
        <v>581</v>
      </c>
      <c r="G1071" s="195" t="s">
        <v>278</v>
      </c>
      <c r="H1071" s="195">
        <v>0.92474400000000001</v>
      </c>
      <c r="I1071" s="195">
        <v>0.92474400000000001</v>
      </c>
      <c r="J1071" s="195">
        <v>0.92474400000000001</v>
      </c>
      <c r="K1071" s="195">
        <v>53.745150000000002</v>
      </c>
      <c r="L1071" s="195">
        <v>0.92474400000000001</v>
      </c>
      <c r="M1071" s="195">
        <v>0.92474400000000001</v>
      </c>
      <c r="N1071" s="195">
        <v>0.92474400000000001</v>
      </c>
    </row>
    <row r="1072" spans="1:14" hidden="1" x14ac:dyDescent="0.35">
      <c r="A1072" s="52" t="s">
        <v>623</v>
      </c>
      <c r="B1072" s="52" t="s">
        <v>53</v>
      </c>
      <c r="C1072" s="52" t="s">
        <v>175</v>
      </c>
      <c r="D1072" s="52" t="s">
        <v>175</v>
      </c>
      <c r="E1072" s="52" t="s">
        <v>584</v>
      </c>
      <c r="F1072" s="52" t="s">
        <v>581</v>
      </c>
      <c r="G1072" s="195" t="s">
        <v>275</v>
      </c>
      <c r="H1072" s="195">
        <v>826.98860000000002</v>
      </c>
      <c r="I1072" s="195">
        <v>365.55329999999998</v>
      </c>
      <c r="J1072" s="195">
        <v>292.19630000000001</v>
      </c>
      <c r="K1072" s="195">
        <v>335.0471</v>
      </c>
      <c r="L1072" s="195">
        <v>308.87509999999997</v>
      </c>
      <c r="M1072" s="195">
        <v>276.57659999999998</v>
      </c>
      <c r="N1072" s="195">
        <v>257.25889999999998</v>
      </c>
    </row>
    <row r="1073" spans="1:14" hidden="1" x14ac:dyDescent="0.35">
      <c r="A1073" s="52" t="s">
        <v>623</v>
      </c>
      <c r="B1073" s="52" t="s">
        <v>53</v>
      </c>
      <c r="C1073" s="52" t="s">
        <v>175</v>
      </c>
      <c r="D1073" s="52" t="s">
        <v>175</v>
      </c>
      <c r="E1073" s="52" t="s">
        <v>584</v>
      </c>
      <c r="F1073" s="52" t="s">
        <v>581</v>
      </c>
      <c r="G1073" s="195" t="s">
        <v>276</v>
      </c>
      <c r="H1073" s="195">
        <v>354.42380000000003</v>
      </c>
      <c r="I1073" s="195">
        <v>156.66569999999999</v>
      </c>
      <c r="J1073" s="195">
        <v>125.227</v>
      </c>
      <c r="K1073" s="195">
        <v>143.5916</v>
      </c>
      <c r="L1073" s="195">
        <v>132.375</v>
      </c>
      <c r="M1073" s="195">
        <v>118.53279999999999</v>
      </c>
      <c r="N1073" s="195">
        <v>110.2538</v>
      </c>
    </row>
    <row r="1074" spans="1:14" hidden="1" x14ac:dyDescent="0.35">
      <c r="A1074" s="52" t="s">
        <v>623</v>
      </c>
      <c r="B1074" s="52" t="s">
        <v>53</v>
      </c>
      <c r="C1074" s="52" t="s">
        <v>175</v>
      </c>
      <c r="D1074" s="52" t="s">
        <v>175</v>
      </c>
      <c r="E1074" s="52" t="s">
        <v>584</v>
      </c>
      <c r="F1074" s="52" t="s">
        <v>581</v>
      </c>
      <c r="G1074" s="195" t="s">
        <v>277</v>
      </c>
      <c r="H1074" s="195">
        <v>3.045185</v>
      </c>
      <c r="I1074" s="195">
        <v>27.829599999999999</v>
      </c>
      <c r="J1074" s="195">
        <v>87.3322</v>
      </c>
      <c r="K1074" s="195">
        <v>30.874790000000001</v>
      </c>
      <c r="L1074" s="195">
        <v>10.291600000000001</v>
      </c>
      <c r="M1074" s="195">
        <v>0</v>
      </c>
      <c r="N1074" s="195">
        <v>0</v>
      </c>
    </row>
    <row r="1075" spans="1:14" hidden="1" x14ac:dyDescent="0.35">
      <c r="A1075" s="52" t="s">
        <v>623</v>
      </c>
      <c r="B1075" s="52" t="s">
        <v>53</v>
      </c>
      <c r="C1075" s="52" t="s">
        <v>175</v>
      </c>
      <c r="D1075" s="52" t="s">
        <v>175</v>
      </c>
      <c r="E1075" s="52" t="s">
        <v>584</v>
      </c>
      <c r="F1075" s="52" t="s">
        <v>581</v>
      </c>
      <c r="G1075" s="195" t="s">
        <v>278</v>
      </c>
      <c r="H1075" s="195"/>
      <c r="I1075" s="195">
        <v>0</v>
      </c>
      <c r="J1075" s="195"/>
      <c r="K1075" s="195"/>
      <c r="L1075" s="195"/>
      <c r="M1075" s="195"/>
      <c r="N1075" s="195"/>
    </row>
    <row r="1076" spans="1:14" hidden="1" x14ac:dyDescent="0.35">
      <c r="A1076" s="52" t="s">
        <v>623</v>
      </c>
      <c r="B1076" s="52" t="s">
        <v>53</v>
      </c>
      <c r="C1076" s="52" t="s">
        <v>175</v>
      </c>
      <c r="D1076" s="52" t="s">
        <v>175</v>
      </c>
      <c r="E1076" s="52" t="s">
        <v>584</v>
      </c>
      <c r="F1076" s="52" t="s">
        <v>581</v>
      </c>
      <c r="G1076" s="195" t="s">
        <v>279</v>
      </c>
      <c r="H1076" s="195">
        <v>84.600099999999998</v>
      </c>
      <c r="I1076" s="195">
        <v>110.7471</v>
      </c>
      <c r="J1076" s="195">
        <v>124.3772</v>
      </c>
      <c r="K1076" s="195">
        <v>135.3545</v>
      </c>
      <c r="L1076" s="195">
        <v>123.30589999999999</v>
      </c>
      <c r="M1076" s="195">
        <v>109.5976</v>
      </c>
      <c r="N1076" s="195">
        <v>99.771029999999996</v>
      </c>
    </row>
    <row r="1077" spans="1:14" hidden="1" x14ac:dyDescent="0.35">
      <c r="A1077" s="52" t="s">
        <v>623</v>
      </c>
      <c r="B1077" s="52" t="s">
        <v>53</v>
      </c>
      <c r="C1077" s="52" t="s">
        <v>175</v>
      </c>
      <c r="D1077" s="52" t="s">
        <v>175</v>
      </c>
      <c r="E1077" s="52" t="s">
        <v>584</v>
      </c>
      <c r="F1077" s="52" t="s">
        <v>26</v>
      </c>
      <c r="G1077" s="195" t="s">
        <v>275</v>
      </c>
      <c r="H1077" s="195">
        <v>-105.7668</v>
      </c>
      <c r="I1077" s="195">
        <v>224.05520000000001</v>
      </c>
      <c r="J1077" s="195">
        <v>150.7655</v>
      </c>
      <c r="K1077" s="195">
        <v>110.2953</v>
      </c>
      <c r="L1077" s="195">
        <v>190.84620000000001</v>
      </c>
      <c r="M1077" s="195">
        <v>337.06900000000002</v>
      </c>
      <c r="N1077" s="195">
        <v>312.61290000000002</v>
      </c>
    </row>
    <row r="1078" spans="1:14" hidden="1" x14ac:dyDescent="0.35">
      <c r="A1078" s="52" t="s">
        <v>623</v>
      </c>
      <c r="B1078" s="52" t="s">
        <v>53</v>
      </c>
      <c r="C1078" s="52" t="s">
        <v>175</v>
      </c>
      <c r="D1078" s="52" t="s">
        <v>175</v>
      </c>
      <c r="E1078" s="52" t="s">
        <v>584</v>
      </c>
      <c r="F1078" s="52" t="s">
        <v>26</v>
      </c>
      <c r="G1078" s="195" t="s">
        <v>276</v>
      </c>
      <c r="H1078" s="195">
        <v>-45.32864</v>
      </c>
      <c r="I1078" s="195">
        <v>96.023669999999996</v>
      </c>
      <c r="J1078" s="195">
        <v>42.014960000000002</v>
      </c>
      <c r="K1078" s="195">
        <v>43.120930000000001</v>
      </c>
      <c r="L1078" s="195">
        <v>74.195840000000004</v>
      </c>
      <c r="M1078" s="195">
        <v>142.3443</v>
      </c>
      <c r="N1078" s="195">
        <v>124.28449999999999</v>
      </c>
    </row>
    <row r="1079" spans="1:14" hidden="1" x14ac:dyDescent="0.35">
      <c r="A1079" s="52" t="s">
        <v>623</v>
      </c>
      <c r="B1079" s="52" t="s">
        <v>53</v>
      </c>
      <c r="C1079" s="52" t="s">
        <v>175</v>
      </c>
      <c r="D1079" s="52" t="s">
        <v>175</v>
      </c>
      <c r="E1079" s="52" t="s">
        <v>584</v>
      </c>
      <c r="F1079" s="52" t="s">
        <v>26</v>
      </c>
      <c r="G1079" s="195" t="s">
        <v>277</v>
      </c>
      <c r="H1079" s="195">
        <v>702.05200000000002</v>
      </c>
      <c r="I1079" s="195">
        <v>369.73559999999998</v>
      </c>
      <c r="J1079" s="195">
        <v>536.31089999999995</v>
      </c>
      <c r="K1079" s="195">
        <v>599.03679999999997</v>
      </c>
      <c r="L1079" s="195">
        <v>498.44690000000003</v>
      </c>
      <c r="M1079" s="195">
        <v>310.28289999999998</v>
      </c>
      <c r="N1079" s="195">
        <v>369.92880000000002</v>
      </c>
    </row>
    <row r="1080" spans="1:14" hidden="1" x14ac:dyDescent="0.35">
      <c r="A1080" s="52" t="s">
        <v>623</v>
      </c>
      <c r="B1080" s="52" t="s">
        <v>53</v>
      </c>
      <c r="C1080" s="52" t="s">
        <v>175</v>
      </c>
      <c r="D1080" s="52" t="s">
        <v>175</v>
      </c>
      <c r="E1080" s="52" t="s">
        <v>584</v>
      </c>
      <c r="F1080" s="52" t="s">
        <v>26</v>
      </c>
      <c r="G1080" s="195" t="s">
        <v>278</v>
      </c>
      <c r="H1080" s="195">
        <v>3.192828</v>
      </c>
      <c r="I1080" s="195">
        <v>3.0050979999999998</v>
      </c>
      <c r="J1080" s="195">
        <v>22.626439999999999</v>
      </c>
      <c r="K1080" s="195">
        <v>4.1761169999999996</v>
      </c>
      <c r="L1080" s="195">
        <v>7.5688240000000002</v>
      </c>
      <c r="M1080" s="195">
        <v>2.0541830000000001</v>
      </c>
      <c r="N1080" s="195">
        <v>9.1244409999999991</v>
      </c>
    </row>
    <row r="1081" spans="1:14" hidden="1" x14ac:dyDescent="0.35">
      <c r="A1081" s="52" t="s">
        <v>623</v>
      </c>
      <c r="B1081" s="52" t="s">
        <v>53</v>
      </c>
      <c r="C1081" s="52" t="s">
        <v>175</v>
      </c>
      <c r="D1081" s="52" t="s">
        <v>175</v>
      </c>
      <c r="E1081" s="52" t="s">
        <v>584</v>
      </c>
      <c r="F1081" s="52" t="s">
        <v>26</v>
      </c>
      <c r="G1081" s="195" t="s">
        <v>279</v>
      </c>
      <c r="H1081" s="195">
        <v>154.73570000000001</v>
      </c>
      <c r="I1081" s="195">
        <v>195.35640000000001</v>
      </c>
      <c r="J1081" s="195">
        <v>220.2645</v>
      </c>
      <c r="K1081" s="195">
        <v>239.6388</v>
      </c>
      <c r="L1081" s="195">
        <v>250.82839999999999</v>
      </c>
      <c r="M1081" s="195">
        <v>256.51830000000001</v>
      </c>
      <c r="N1081" s="195">
        <v>259.464</v>
      </c>
    </row>
    <row r="1082" spans="1:14" hidden="1" x14ac:dyDescent="0.35">
      <c r="A1082" s="52" t="s">
        <v>623</v>
      </c>
      <c r="B1082" s="52" t="s">
        <v>53</v>
      </c>
      <c r="C1082" s="52" t="s">
        <v>624</v>
      </c>
      <c r="D1082" s="52" t="s">
        <v>624</v>
      </c>
      <c r="E1082" s="52" t="s">
        <v>584</v>
      </c>
      <c r="F1082" s="52" t="s">
        <v>26</v>
      </c>
      <c r="G1082" s="195" t="s">
        <v>275</v>
      </c>
      <c r="H1082" s="195">
        <v>651.02890000000002</v>
      </c>
      <c r="I1082" s="195">
        <v>575.4864</v>
      </c>
      <c r="J1082" s="195">
        <v>525.5172</v>
      </c>
      <c r="K1082" s="195">
        <v>528.64200000000005</v>
      </c>
      <c r="L1082" s="195">
        <v>542.21</v>
      </c>
      <c r="M1082" s="195">
        <v>556.51289999999995</v>
      </c>
      <c r="N1082" s="195">
        <v>569.62699999999995</v>
      </c>
    </row>
    <row r="1083" spans="1:14" hidden="1" x14ac:dyDescent="0.35">
      <c r="A1083" s="52" t="s">
        <v>623</v>
      </c>
      <c r="B1083" s="52" t="s">
        <v>53</v>
      </c>
      <c r="C1083" s="52" t="s">
        <v>624</v>
      </c>
      <c r="D1083" s="52" t="s">
        <v>624</v>
      </c>
      <c r="E1083" s="52" t="s">
        <v>584</v>
      </c>
      <c r="F1083" s="52" t="s">
        <v>26</v>
      </c>
      <c r="G1083" s="195" t="s">
        <v>276</v>
      </c>
      <c r="H1083" s="195">
        <v>279.01240000000001</v>
      </c>
      <c r="I1083" s="195">
        <v>246.637</v>
      </c>
      <c r="J1083" s="195">
        <v>225.2216</v>
      </c>
      <c r="K1083" s="195">
        <v>226.5609</v>
      </c>
      <c r="L1083" s="195">
        <v>232.37569999999999</v>
      </c>
      <c r="M1083" s="195">
        <v>238.50559999999999</v>
      </c>
      <c r="N1083" s="195">
        <v>244.1259</v>
      </c>
    </row>
    <row r="1084" spans="1:14" hidden="1" x14ac:dyDescent="0.35">
      <c r="A1084" s="52" t="s">
        <v>623</v>
      </c>
      <c r="B1084" s="52" t="s">
        <v>53</v>
      </c>
      <c r="C1084" s="52" t="s">
        <v>624</v>
      </c>
      <c r="D1084" s="52" t="s">
        <v>624</v>
      </c>
      <c r="E1084" s="52" t="s">
        <v>584</v>
      </c>
      <c r="F1084" s="52" t="s">
        <v>26</v>
      </c>
      <c r="G1084" s="195" t="s">
        <v>277</v>
      </c>
      <c r="H1084" s="195">
        <v>435.71499999999997</v>
      </c>
      <c r="I1084" s="195">
        <v>0</v>
      </c>
      <c r="J1084" s="195"/>
      <c r="K1084" s="195"/>
      <c r="L1084" s="195"/>
      <c r="M1084" s="195"/>
      <c r="N1084" s="195"/>
    </row>
    <row r="1085" spans="1:14" hidden="1" x14ac:dyDescent="0.35">
      <c r="A1085" s="52" t="s">
        <v>623</v>
      </c>
      <c r="B1085" s="52" t="s">
        <v>53</v>
      </c>
      <c r="C1085" s="52" t="s">
        <v>624</v>
      </c>
      <c r="D1085" s="52" t="s">
        <v>624</v>
      </c>
      <c r="E1085" s="52" t="s">
        <v>584</v>
      </c>
      <c r="F1085" s="52" t="s">
        <v>26</v>
      </c>
      <c r="G1085" s="195" t="s">
        <v>279</v>
      </c>
      <c r="H1085" s="195">
        <v>186.05269999999999</v>
      </c>
      <c r="I1085" s="195">
        <v>208.02199999999999</v>
      </c>
      <c r="J1085" s="195">
        <v>216.4177</v>
      </c>
      <c r="K1085" s="195">
        <v>236.00110000000001</v>
      </c>
      <c r="L1085" s="195">
        <v>241.9804</v>
      </c>
      <c r="M1085" s="195">
        <v>248.01169999999999</v>
      </c>
      <c r="N1085" s="195">
        <v>253.72640000000001</v>
      </c>
    </row>
    <row r="1086" spans="1:14" hidden="1" x14ac:dyDescent="0.35">
      <c r="A1086" s="52" t="s">
        <v>623</v>
      </c>
      <c r="B1086" s="52" t="s">
        <v>53</v>
      </c>
      <c r="C1086" s="52" t="s">
        <v>52</v>
      </c>
      <c r="D1086" s="52" t="s">
        <v>52</v>
      </c>
      <c r="E1086" s="52" t="s">
        <v>584</v>
      </c>
      <c r="F1086" s="52" t="s">
        <v>581</v>
      </c>
      <c r="G1086" s="195" t="s">
        <v>275</v>
      </c>
      <c r="H1086" s="195">
        <v>67.636060000000001</v>
      </c>
      <c r="I1086" s="195">
        <v>6.4831430000000001</v>
      </c>
      <c r="J1086" s="195">
        <v>2.234283</v>
      </c>
      <c r="K1086" s="195">
        <v>6.6111760000000004</v>
      </c>
      <c r="L1086" s="195">
        <v>5.1795869999999997</v>
      </c>
      <c r="M1086" s="195">
        <v>-3.5838670000000001</v>
      </c>
      <c r="N1086" s="195">
        <v>-21.041319999999999</v>
      </c>
    </row>
    <row r="1087" spans="1:14" hidden="1" x14ac:dyDescent="0.35">
      <c r="A1087" s="52" t="s">
        <v>623</v>
      </c>
      <c r="B1087" s="52" t="s">
        <v>53</v>
      </c>
      <c r="C1087" s="52" t="s">
        <v>52</v>
      </c>
      <c r="D1087" s="52" t="s">
        <v>52</v>
      </c>
      <c r="E1087" s="52" t="s">
        <v>584</v>
      </c>
      <c r="F1087" s="52" t="s">
        <v>581</v>
      </c>
      <c r="G1087" s="195" t="s">
        <v>276</v>
      </c>
      <c r="H1087" s="195">
        <v>59.963239999999999</v>
      </c>
      <c r="I1087" s="195">
        <v>-5.2763609999999996</v>
      </c>
      <c r="J1087" s="195">
        <v>-2.7379310000000001</v>
      </c>
      <c r="K1087" s="195">
        <v>4.4020339999999996</v>
      </c>
      <c r="L1087" s="195">
        <v>-1.685519</v>
      </c>
      <c r="M1087" s="195">
        <v>-14.44534</v>
      </c>
      <c r="N1087" s="195">
        <v>-18.867470000000001</v>
      </c>
    </row>
    <row r="1088" spans="1:14" hidden="1" x14ac:dyDescent="0.35">
      <c r="A1088" s="52" t="s">
        <v>623</v>
      </c>
      <c r="B1088" s="52" t="s">
        <v>53</v>
      </c>
      <c r="C1088" s="52" t="s">
        <v>52</v>
      </c>
      <c r="D1088" s="52" t="s">
        <v>52</v>
      </c>
      <c r="E1088" s="52" t="s">
        <v>584</v>
      </c>
      <c r="F1088" s="52" t="s">
        <v>581</v>
      </c>
      <c r="G1088" s="195" t="s">
        <v>277</v>
      </c>
      <c r="H1088" s="195">
        <v>8.0036620000000003</v>
      </c>
      <c r="I1088" s="195">
        <v>16.027249999999999</v>
      </c>
      <c r="J1088" s="195">
        <v>18.108429999999998</v>
      </c>
      <c r="K1088" s="195">
        <v>10.422269999999999</v>
      </c>
      <c r="L1088" s="195">
        <v>5.6432529999999996</v>
      </c>
      <c r="M1088" s="195">
        <v>3.1222660000000002</v>
      </c>
      <c r="N1088" s="195"/>
    </row>
    <row r="1089" spans="1:14" hidden="1" x14ac:dyDescent="0.35">
      <c r="A1089" s="52" t="s">
        <v>623</v>
      </c>
      <c r="B1089" s="52" t="s">
        <v>53</v>
      </c>
      <c r="C1089" s="52" t="s">
        <v>52</v>
      </c>
      <c r="D1089" s="52" t="s">
        <v>52</v>
      </c>
      <c r="E1089" s="52" t="s">
        <v>584</v>
      </c>
      <c r="F1089" s="52" t="s">
        <v>581</v>
      </c>
      <c r="G1089" s="195" t="s">
        <v>279</v>
      </c>
      <c r="H1089" s="195">
        <v>34.236609999999999</v>
      </c>
      <c r="I1089" s="195">
        <v>27.465479999999999</v>
      </c>
      <c r="J1089" s="195">
        <v>30.579660000000001</v>
      </c>
      <c r="K1089" s="195">
        <v>35.244140000000002</v>
      </c>
      <c r="L1089" s="195">
        <v>31.91358</v>
      </c>
      <c r="M1089" s="195">
        <v>41.651090000000003</v>
      </c>
      <c r="N1089" s="195">
        <v>56.485480000000003</v>
      </c>
    </row>
    <row r="1090" spans="1:14" hidden="1" x14ac:dyDescent="0.35">
      <c r="A1090" s="52" t="s">
        <v>623</v>
      </c>
      <c r="B1090" s="52" t="s">
        <v>53</v>
      </c>
      <c r="C1090" s="52" t="s">
        <v>52</v>
      </c>
      <c r="D1090" s="52" t="s">
        <v>52</v>
      </c>
      <c r="E1090" s="52" t="s">
        <v>584</v>
      </c>
      <c r="F1090" s="52" t="s">
        <v>26</v>
      </c>
      <c r="G1090" s="195" t="s">
        <v>275</v>
      </c>
      <c r="H1090" s="195">
        <v>-9.2295999999999993E-3</v>
      </c>
      <c r="I1090" s="195">
        <v>-9.2293989999999992E-3</v>
      </c>
      <c r="J1090" s="195">
        <v>0</v>
      </c>
      <c r="K1090" s="195">
        <v>0</v>
      </c>
      <c r="L1090" s="195">
        <v>0</v>
      </c>
      <c r="M1090" s="195">
        <v>0</v>
      </c>
      <c r="N1090" s="195">
        <v>0</v>
      </c>
    </row>
    <row r="1091" spans="1:14" hidden="1" x14ac:dyDescent="0.35">
      <c r="A1091" s="52" t="s">
        <v>623</v>
      </c>
      <c r="B1091" s="52" t="s">
        <v>53</v>
      </c>
      <c r="C1091" s="52" t="s">
        <v>52</v>
      </c>
      <c r="D1091" s="52" t="s">
        <v>52</v>
      </c>
      <c r="E1091" s="52" t="s">
        <v>584</v>
      </c>
      <c r="F1091" s="52" t="s">
        <v>26</v>
      </c>
      <c r="G1091" s="195" t="s">
        <v>276</v>
      </c>
      <c r="H1091" s="195">
        <v>-3.9554000000000004E-3</v>
      </c>
      <c r="I1091" s="195">
        <v>-3.9556000000000001E-3</v>
      </c>
      <c r="J1091" s="195">
        <v>-1.31848E-2</v>
      </c>
      <c r="K1091" s="195">
        <v>-1.31848E-2</v>
      </c>
      <c r="L1091" s="195">
        <v>-1.3185000000000001E-2</v>
      </c>
      <c r="M1091" s="195">
        <v>-1.3185199999999999E-2</v>
      </c>
      <c r="N1091" s="195">
        <v>-1.31848E-2</v>
      </c>
    </row>
    <row r="1092" spans="1:14" hidden="1" x14ac:dyDescent="0.35">
      <c r="A1092" s="52" t="s">
        <v>623</v>
      </c>
      <c r="B1092" s="52" t="s">
        <v>53</v>
      </c>
      <c r="C1092" s="52" t="s">
        <v>52</v>
      </c>
      <c r="D1092" s="52" t="s">
        <v>52</v>
      </c>
      <c r="E1092" s="52" t="s">
        <v>584</v>
      </c>
      <c r="F1092" s="52" t="s">
        <v>26</v>
      </c>
      <c r="G1092" s="195" t="s">
        <v>277</v>
      </c>
      <c r="H1092" s="195"/>
      <c r="I1092" s="195"/>
      <c r="J1092" s="195"/>
      <c r="K1092" s="195"/>
      <c r="L1092" s="195"/>
      <c r="M1092" s="195"/>
      <c r="N1092" s="195">
        <v>0</v>
      </c>
    </row>
    <row r="1093" spans="1:14" hidden="1" x14ac:dyDescent="0.35">
      <c r="A1093" s="52" t="s">
        <v>623</v>
      </c>
      <c r="B1093" s="52" t="s">
        <v>53</v>
      </c>
      <c r="C1093" s="52" t="s">
        <v>52</v>
      </c>
      <c r="D1093" s="52" t="s">
        <v>52</v>
      </c>
      <c r="E1093" s="52" t="s">
        <v>584</v>
      </c>
      <c r="F1093" s="52" t="s">
        <v>26</v>
      </c>
      <c r="G1093" s="195" t="s">
        <v>278</v>
      </c>
      <c r="H1093" s="195">
        <v>1.3185000000000001E-2</v>
      </c>
      <c r="I1093" s="195">
        <v>1.3185000000000001E-2</v>
      </c>
      <c r="J1093" s="195">
        <v>1.3185000000000001E-2</v>
      </c>
      <c r="K1093" s="195">
        <v>1.3185000000000001E-2</v>
      </c>
      <c r="L1093" s="195">
        <v>1.3185000000000001E-2</v>
      </c>
      <c r="M1093" s="195">
        <v>1.3185000000000001E-2</v>
      </c>
      <c r="N1093" s="195">
        <v>1.3185000000000001E-2</v>
      </c>
    </row>
    <row r="1094" spans="1:14" hidden="1" x14ac:dyDescent="0.35">
      <c r="A1094" s="52" t="s">
        <v>623</v>
      </c>
      <c r="B1094" s="52" t="s">
        <v>53</v>
      </c>
      <c r="C1094" s="52" t="s">
        <v>219</v>
      </c>
      <c r="D1094" s="52" t="s">
        <v>219</v>
      </c>
      <c r="E1094" s="52" t="s">
        <v>584</v>
      </c>
      <c r="F1094" s="52" t="s">
        <v>26</v>
      </c>
      <c r="G1094" s="195" t="s">
        <v>275</v>
      </c>
      <c r="H1094" s="195">
        <v>41.263109999999998</v>
      </c>
      <c r="I1094" s="195">
        <v>8.216151</v>
      </c>
      <c r="J1094" s="195">
        <v>5.010192</v>
      </c>
      <c r="K1094" s="195">
        <v>0.61237129999999995</v>
      </c>
      <c r="L1094" s="195">
        <v>-0.74553329999999995</v>
      </c>
      <c r="M1094" s="195">
        <v>-0.99018229999999996</v>
      </c>
      <c r="N1094" s="195">
        <v>-0.6689811</v>
      </c>
    </row>
    <row r="1095" spans="1:14" hidden="1" x14ac:dyDescent="0.35">
      <c r="A1095" s="52" t="s">
        <v>623</v>
      </c>
      <c r="B1095" s="52" t="s">
        <v>53</v>
      </c>
      <c r="C1095" s="52" t="s">
        <v>219</v>
      </c>
      <c r="D1095" s="52" t="s">
        <v>219</v>
      </c>
      <c r="E1095" s="52" t="s">
        <v>584</v>
      </c>
      <c r="F1095" s="52" t="s">
        <v>26</v>
      </c>
      <c r="G1095" s="195" t="s">
        <v>276</v>
      </c>
      <c r="H1095" s="195">
        <v>32.421019999999999</v>
      </c>
      <c r="I1095" s="195">
        <v>6.4555470000000001</v>
      </c>
      <c r="J1095" s="195">
        <v>3.9365790000000001</v>
      </c>
      <c r="K1095" s="195">
        <v>0.48114899999999999</v>
      </c>
      <c r="L1095" s="195">
        <v>-0.58577630000000003</v>
      </c>
      <c r="M1095" s="195">
        <v>-0.77800049999999998</v>
      </c>
      <c r="N1095" s="195">
        <v>-0.52562799999999998</v>
      </c>
    </row>
    <row r="1096" spans="1:14" hidden="1" x14ac:dyDescent="0.35">
      <c r="A1096" s="52" t="s">
        <v>623</v>
      </c>
      <c r="B1096" s="52" t="s">
        <v>53</v>
      </c>
      <c r="C1096" s="52" t="s">
        <v>219</v>
      </c>
      <c r="D1096" s="52" t="s">
        <v>219</v>
      </c>
      <c r="E1096" s="52" t="s">
        <v>584</v>
      </c>
      <c r="F1096" s="52" t="s">
        <v>26</v>
      </c>
      <c r="G1096" s="195" t="s">
        <v>277</v>
      </c>
      <c r="H1096" s="195">
        <v>0.62757459999999998</v>
      </c>
      <c r="I1096" s="195">
        <v>0.71468940000000003</v>
      </c>
      <c r="J1096" s="195">
        <v>0.77690650000000006</v>
      </c>
      <c r="K1096" s="195">
        <v>1.1103270000000001</v>
      </c>
      <c r="L1096" s="195">
        <v>1.4459420000000001</v>
      </c>
      <c r="M1096" s="195">
        <v>1.7681830000000001</v>
      </c>
      <c r="N1096" s="195">
        <v>1.961463</v>
      </c>
    </row>
    <row r="1097" spans="1:14" hidden="1" x14ac:dyDescent="0.35">
      <c r="A1097" s="52" t="s">
        <v>623</v>
      </c>
      <c r="B1097" s="52" t="s">
        <v>53</v>
      </c>
      <c r="C1097" s="52" t="s">
        <v>219</v>
      </c>
      <c r="D1097" s="52" t="s">
        <v>219</v>
      </c>
      <c r="E1097" s="52" t="s">
        <v>584</v>
      </c>
      <c r="F1097" s="52" t="s">
        <v>26</v>
      </c>
      <c r="G1097" s="195" t="s">
        <v>279</v>
      </c>
      <c r="H1097" s="195">
        <v>16.870259999999998</v>
      </c>
      <c r="I1097" s="195">
        <v>6.9423550000000001</v>
      </c>
      <c r="J1097" s="195">
        <v>5.358333</v>
      </c>
      <c r="K1097" s="195">
        <v>2.020032</v>
      </c>
      <c r="L1097" s="195">
        <v>0.16705999999999999</v>
      </c>
      <c r="M1097" s="195">
        <v>0</v>
      </c>
      <c r="N1097" s="195">
        <v>1.061582</v>
      </c>
    </row>
    <row r="1098" spans="1:14" hidden="1" x14ac:dyDescent="0.35">
      <c r="A1098" s="52" t="s">
        <v>623</v>
      </c>
      <c r="B1098" s="52" t="s">
        <v>53</v>
      </c>
      <c r="C1098" s="52" t="s">
        <v>181</v>
      </c>
      <c r="D1098" s="52" t="s">
        <v>181</v>
      </c>
      <c r="E1098" s="52" t="s">
        <v>584</v>
      </c>
      <c r="F1098" s="52" t="s">
        <v>581</v>
      </c>
      <c r="G1098" s="195" t="s">
        <v>275</v>
      </c>
      <c r="H1098" s="195">
        <v>1.7992270000000001E-2</v>
      </c>
      <c r="I1098" s="195">
        <v>4.3821110000000002E-3</v>
      </c>
      <c r="J1098" s="195">
        <v>2.6706960000000002E-3</v>
      </c>
      <c r="K1098" s="195">
        <v>1.8238009999999999E-3</v>
      </c>
      <c r="L1098" s="195">
        <v>1.3255960000000001E-3</v>
      </c>
      <c r="M1098" s="195">
        <v>1.0312170000000001E-3</v>
      </c>
      <c r="N1098" s="195">
        <v>3.1356420000000002E-4</v>
      </c>
    </row>
    <row r="1099" spans="1:14" hidden="1" x14ac:dyDescent="0.35">
      <c r="A1099" s="52" t="s">
        <v>623</v>
      </c>
      <c r="B1099" s="52" t="s">
        <v>53</v>
      </c>
      <c r="C1099" s="52" t="s">
        <v>181</v>
      </c>
      <c r="D1099" s="52" t="s">
        <v>181</v>
      </c>
      <c r="E1099" s="52" t="s">
        <v>584</v>
      </c>
      <c r="F1099" s="52" t="s">
        <v>581</v>
      </c>
      <c r="G1099" s="195" t="s">
        <v>276</v>
      </c>
      <c r="H1099" s="195">
        <v>9.6553549999999991E-3</v>
      </c>
      <c r="I1099" s="195">
        <v>1.7350499999999999E-3</v>
      </c>
      <c r="J1099" s="195">
        <v>6.2678669999999997E-4</v>
      </c>
      <c r="K1099" s="195">
        <v>1.370775E-4</v>
      </c>
      <c r="L1099" s="195">
        <v>-1.9176220000000001E-4</v>
      </c>
      <c r="M1099" s="195">
        <v>-4.2158439999999999E-4</v>
      </c>
      <c r="N1099" s="195">
        <v>4.585984E-5</v>
      </c>
    </row>
    <row r="1100" spans="1:14" hidden="1" x14ac:dyDescent="0.35">
      <c r="A1100" s="52" t="s">
        <v>623</v>
      </c>
      <c r="B1100" s="52" t="s">
        <v>53</v>
      </c>
      <c r="C1100" s="52" t="s">
        <v>181</v>
      </c>
      <c r="D1100" s="52" t="s">
        <v>181</v>
      </c>
      <c r="E1100" s="52" t="s">
        <v>584</v>
      </c>
      <c r="F1100" s="52" t="s">
        <v>581</v>
      </c>
      <c r="G1100" s="195" t="s">
        <v>277</v>
      </c>
      <c r="H1100" s="195">
        <v>0</v>
      </c>
      <c r="I1100" s="195">
        <v>4.5535490000000003E-4</v>
      </c>
      <c r="J1100" s="195">
        <v>4.1616370000000001E-4</v>
      </c>
      <c r="K1100" s="195">
        <v>5.1809149999999999E-4</v>
      </c>
      <c r="L1100" s="195">
        <v>5.4068539999999998E-4</v>
      </c>
      <c r="M1100" s="195">
        <v>5.1215919999999995E-4</v>
      </c>
      <c r="N1100" s="195">
        <v>3.825907E-4</v>
      </c>
    </row>
    <row r="1101" spans="1:14" hidden="1" x14ac:dyDescent="0.35">
      <c r="A1101" s="52" t="s">
        <v>623</v>
      </c>
      <c r="B1101" s="52" t="s">
        <v>53</v>
      </c>
      <c r="C1101" s="52" t="s">
        <v>181</v>
      </c>
      <c r="D1101" s="52" t="s">
        <v>181</v>
      </c>
      <c r="E1101" s="52" t="s">
        <v>584</v>
      </c>
      <c r="F1101" s="52" t="s">
        <v>581</v>
      </c>
      <c r="G1101" s="195" t="s">
        <v>278</v>
      </c>
      <c r="H1101" s="195">
        <v>1.3238679999999999E-4</v>
      </c>
      <c r="I1101" s="195">
        <v>1.3561339999999999E-5</v>
      </c>
      <c r="J1101" s="195">
        <v>1.3561339999999999E-5</v>
      </c>
      <c r="K1101" s="195">
        <v>1.3561339999999999E-5</v>
      </c>
      <c r="L1101" s="195">
        <v>1.3561339999999999E-5</v>
      </c>
      <c r="M1101" s="195">
        <v>1.3561339999999999E-5</v>
      </c>
      <c r="N1101" s="195">
        <v>1.3561339999999999E-5</v>
      </c>
    </row>
    <row r="1102" spans="1:14" hidden="1" x14ac:dyDescent="0.35">
      <c r="A1102" s="52" t="s">
        <v>623</v>
      </c>
      <c r="B1102" s="52" t="s">
        <v>53</v>
      </c>
      <c r="C1102" s="52" t="s">
        <v>181</v>
      </c>
      <c r="D1102" s="52" t="s">
        <v>181</v>
      </c>
      <c r="E1102" s="52" t="s">
        <v>584</v>
      </c>
      <c r="F1102" s="52" t="s">
        <v>581</v>
      </c>
      <c r="G1102" s="195" t="s">
        <v>279</v>
      </c>
      <c r="H1102" s="195">
        <v>2.3807670000000002E-3</v>
      </c>
      <c r="I1102" s="195">
        <v>1.462257E-3</v>
      </c>
      <c r="J1102" s="195">
        <v>1.035991E-3</v>
      </c>
      <c r="K1102" s="195">
        <v>7.8018870000000004E-4</v>
      </c>
      <c r="L1102" s="195">
        <v>5.6056740000000002E-4</v>
      </c>
      <c r="M1102" s="195">
        <v>4.0966899999999998E-4</v>
      </c>
      <c r="N1102" s="195">
        <v>3.0599190000000001E-4</v>
      </c>
    </row>
    <row r="1103" spans="1:14" hidden="1" x14ac:dyDescent="0.35">
      <c r="A1103" s="52" t="s">
        <v>623</v>
      </c>
      <c r="B1103" s="52" t="s">
        <v>53</v>
      </c>
      <c r="C1103" s="52" t="s">
        <v>181</v>
      </c>
      <c r="D1103" s="52" t="s">
        <v>181</v>
      </c>
      <c r="E1103" s="52" t="s">
        <v>584</v>
      </c>
      <c r="F1103" s="52" t="s">
        <v>26</v>
      </c>
      <c r="G1103" s="195" t="s">
        <v>275</v>
      </c>
      <c r="H1103" s="195">
        <v>-3.0125740000000001E-4</v>
      </c>
      <c r="I1103" s="195">
        <v>2.9698300000000001E-4</v>
      </c>
      <c r="J1103" s="195">
        <v>0</v>
      </c>
      <c r="K1103" s="195">
        <v>0</v>
      </c>
      <c r="L1103" s="195">
        <v>0</v>
      </c>
      <c r="M1103" s="195">
        <v>0</v>
      </c>
      <c r="N1103" s="195">
        <v>0</v>
      </c>
    </row>
    <row r="1104" spans="1:14" hidden="1" x14ac:dyDescent="0.35">
      <c r="A1104" s="52" t="s">
        <v>623</v>
      </c>
      <c r="B1104" s="52" t="s">
        <v>53</v>
      </c>
      <c r="C1104" s="52" t="s">
        <v>181</v>
      </c>
      <c r="D1104" s="52" t="s">
        <v>181</v>
      </c>
      <c r="E1104" s="52" t="s">
        <v>584</v>
      </c>
      <c r="F1104" s="52" t="s">
        <v>26</v>
      </c>
      <c r="G1104" s="195" t="s">
        <v>276</v>
      </c>
      <c r="H1104" s="195">
        <v>-6.553711E-4</v>
      </c>
      <c r="I1104" s="195">
        <v>-3.83941E-4</v>
      </c>
      <c r="J1104" s="195">
        <v>-6.5754219999999996E-4</v>
      </c>
      <c r="K1104" s="195">
        <v>-8.6959580000000005E-5</v>
      </c>
      <c r="L1104" s="195">
        <v>-1.8323429999999999E-4</v>
      </c>
      <c r="M1104" s="195">
        <v>-1.333486E-4</v>
      </c>
      <c r="N1104" s="195">
        <v>-8.6959580000000005E-5</v>
      </c>
    </row>
    <row r="1105" spans="1:14" hidden="1" x14ac:dyDescent="0.35">
      <c r="A1105" s="52" t="s">
        <v>623</v>
      </c>
      <c r="B1105" s="52" t="s">
        <v>53</v>
      </c>
      <c r="C1105" s="52" t="s">
        <v>181</v>
      </c>
      <c r="D1105" s="52" t="s">
        <v>181</v>
      </c>
      <c r="E1105" s="52" t="s">
        <v>584</v>
      </c>
      <c r="F1105" s="52" t="s">
        <v>26</v>
      </c>
      <c r="G1105" s="195" t="s">
        <v>278</v>
      </c>
      <c r="H1105" s="195">
        <v>8.6958810000000006E-5</v>
      </c>
      <c r="I1105" s="195">
        <v>8.6958820000000006E-5</v>
      </c>
      <c r="J1105" s="195">
        <v>6.5754300000000002E-4</v>
      </c>
      <c r="K1105" s="195">
        <v>8.6958810000000006E-5</v>
      </c>
      <c r="L1105" s="195">
        <v>1.832328E-4</v>
      </c>
      <c r="M1105" s="195">
        <v>1.333494E-4</v>
      </c>
      <c r="N1105" s="195">
        <v>8.6958820000000006E-5</v>
      </c>
    </row>
    <row r="1106" spans="1:14" hidden="1" x14ac:dyDescent="0.35">
      <c r="A1106" s="52" t="s">
        <v>623</v>
      </c>
      <c r="B1106" s="52" t="s">
        <v>53</v>
      </c>
      <c r="C1106" s="52" t="s">
        <v>181</v>
      </c>
      <c r="D1106" s="52" t="s">
        <v>181</v>
      </c>
      <c r="E1106" s="52" t="s">
        <v>584</v>
      </c>
      <c r="F1106" s="52" t="s">
        <v>26</v>
      </c>
      <c r="G1106" s="195" t="s">
        <v>279</v>
      </c>
      <c r="H1106" s="195">
        <v>8.6967100000000003E-4</v>
      </c>
      <c r="I1106" s="195">
        <v>0</v>
      </c>
      <c r="J1106" s="195"/>
      <c r="K1106" s="195"/>
      <c r="L1106" s="195"/>
      <c r="M1106" s="195"/>
      <c r="N1106" s="195">
        <v>0</v>
      </c>
    </row>
    <row r="1107" spans="1:14" hidden="1" x14ac:dyDescent="0.35">
      <c r="A1107" s="52" t="s">
        <v>623</v>
      </c>
      <c r="B1107" s="52" t="s">
        <v>53</v>
      </c>
      <c r="C1107" s="52" t="s">
        <v>820</v>
      </c>
      <c r="D1107" s="52" t="s">
        <v>820</v>
      </c>
      <c r="E1107" s="52" t="s">
        <v>584</v>
      </c>
      <c r="F1107" s="52" t="s">
        <v>26</v>
      </c>
      <c r="G1107" s="195" t="s">
        <v>275</v>
      </c>
      <c r="H1107" s="195">
        <v>-4.5532089999999998</v>
      </c>
      <c r="I1107" s="195">
        <v>-4.5532089999999998</v>
      </c>
      <c r="J1107" s="195">
        <v>0</v>
      </c>
      <c r="K1107" s="195">
        <v>0</v>
      </c>
      <c r="L1107" s="195">
        <v>0</v>
      </c>
      <c r="M1107" s="195">
        <v>0</v>
      </c>
      <c r="N1107" s="195">
        <v>0</v>
      </c>
    </row>
    <row r="1108" spans="1:14" hidden="1" x14ac:dyDescent="0.35">
      <c r="A1108" s="52" t="s">
        <v>623</v>
      </c>
      <c r="B1108" s="52" t="s">
        <v>53</v>
      </c>
      <c r="C1108" s="52" t="s">
        <v>820</v>
      </c>
      <c r="D1108" s="52" t="s">
        <v>820</v>
      </c>
      <c r="E1108" s="52" t="s">
        <v>584</v>
      </c>
      <c r="F1108" s="52" t="s">
        <v>26</v>
      </c>
      <c r="G1108" s="195" t="s">
        <v>276</v>
      </c>
      <c r="H1108" s="195">
        <v>-1.9513750000000001</v>
      </c>
      <c r="I1108" s="195">
        <v>-1.9513750000000001</v>
      </c>
      <c r="J1108" s="195">
        <v>-6.5045840000000004</v>
      </c>
      <c r="K1108" s="195">
        <v>-20.027660000000001</v>
      </c>
      <c r="L1108" s="195">
        <v>-3.0885479999999998</v>
      </c>
      <c r="M1108" s="195">
        <v>-0.24079300000000001</v>
      </c>
      <c r="N1108" s="195">
        <v>-0.274669</v>
      </c>
    </row>
    <row r="1109" spans="1:14" hidden="1" x14ac:dyDescent="0.35">
      <c r="A1109" s="52" t="s">
        <v>623</v>
      </c>
      <c r="B1109" s="52" t="s">
        <v>53</v>
      </c>
      <c r="C1109" s="52" t="s">
        <v>820</v>
      </c>
      <c r="D1109" s="52" t="s">
        <v>820</v>
      </c>
      <c r="E1109" s="52" t="s">
        <v>584</v>
      </c>
      <c r="F1109" s="52" t="s">
        <v>26</v>
      </c>
      <c r="G1109" s="195" t="s">
        <v>277</v>
      </c>
      <c r="H1109" s="195"/>
      <c r="I1109" s="195"/>
      <c r="J1109" s="195"/>
      <c r="K1109" s="195"/>
      <c r="L1109" s="195"/>
      <c r="M1109" s="195">
        <v>0</v>
      </c>
      <c r="N1109" s="195">
        <v>3.3874000000000001E-2</v>
      </c>
    </row>
    <row r="1110" spans="1:14" hidden="1" x14ac:dyDescent="0.35">
      <c r="A1110" s="52" t="s">
        <v>623</v>
      </c>
      <c r="B1110" s="52" t="s">
        <v>53</v>
      </c>
      <c r="C1110" s="52" t="s">
        <v>820</v>
      </c>
      <c r="D1110" s="52" t="s">
        <v>820</v>
      </c>
      <c r="E1110" s="52" t="s">
        <v>584</v>
      </c>
      <c r="F1110" s="52" t="s">
        <v>26</v>
      </c>
      <c r="G1110" s="195" t="s">
        <v>278</v>
      </c>
      <c r="H1110" s="195">
        <v>6.5045840000000004</v>
      </c>
      <c r="I1110" s="195">
        <v>6.5045840000000004</v>
      </c>
      <c r="J1110" s="195">
        <v>6.5045840000000004</v>
      </c>
      <c r="K1110" s="195">
        <v>20.027660000000001</v>
      </c>
      <c r="L1110" s="195">
        <v>3.0885479999999998</v>
      </c>
      <c r="M1110" s="195">
        <v>0.24079400000000001</v>
      </c>
      <c r="N1110" s="195">
        <v>0.24079400000000001</v>
      </c>
    </row>
    <row r="1111" spans="1:14" hidden="1" x14ac:dyDescent="0.35">
      <c r="A1111" s="52" t="s">
        <v>623</v>
      </c>
      <c r="B1111" s="52" t="s">
        <v>53</v>
      </c>
      <c r="C1111" s="52" t="s">
        <v>214</v>
      </c>
      <c r="D1111" s="52" t="s">
        <v>214</v>
      </c>
      <c r="E1111" s="52" t="s">
        <v>584</v>
      </c>
      <c r="F1111" s="52" t="s">
        <v>26</v>
      </c>
      <c r="G1111" s="195" t="s">
        <v>275</v>
      </c>
      <c r="H1111" s="195">
        <v>-3.7956080000000001</v>
      </c>
      <c r="I1111" s="195">
        <v>-3.7956080000000001</v>
      </c>
      <c r="J1111" s="195">
        <v>0</v>
      </c>
      <c r="K1111" s="195">
        <v>0</v>
      </c>
      <c r="L1111" s="195">
        <v>0</v>
      </c>
      <c r="M1111" s="195">
        <v>0</v>
      </c>
      <c r="N1111" s="195">
        <v>0</v>
      </c>
    </row>
    <row r="1112" spans="1:14" hidden="1" x14ac:dyDescent="0.35">
      <c r="A1112" s="52" t="s">
        <v>623</v>
      </c>
      <c r="B1112" s="52" t="s">
        <v>53</v>
      </c>
      <c r="C1112" s="52" t="s">
        <v>214</v>
      </c>
      <c r="D1112" s="52" t="s">
        <v>214</v>
      </c>
      <c r="E1112" s="52" t="s">
        <v>584</v>
      </c>
      <c r="F1112" s="52" t="s">
        <v>26</v>
      </c>
      <c r="G1112" s="195" t="s">
        <v>276</v>
      </c>
      <c r="H1112" s="195">
        <v>-1.62669</v>
      </c>
      <c r="I1112" s="195">
        <v>-1.6266890000000001</v>
      </c>
      <c r="J1112" s="195">
        <v>-5.4222970000000004</v>
      </c>
      <c r="K1112" s="195">
        <v>-18.94537</v>
      </c>
      <c r="L1112" s="195">
        <v>-3.0689229999999998</v>
      </c>
      <c r="M1112" s="195">
        <v>-0.221169</v>
      </c>
      <c r="N1112" s="195">
        <v>-0.25504300000000002</v>
      </c>
    </row>
    <row r="1113" spans="1:14" hidden="1" x14ac:dyDescent="0.35">
      <c r="A1113" s="52" t="s">
        <v>623</v>
      </c>
      <c r="B1113" s="52" t="s">
        <v>53</v>
      </c>
      <c r="C1113" s="52" t="s">
        <v>214</v>
      </c>
      <c r="D1113" s="52" t="s">
        <v>214</v>
      </c>
      <c r="E1113" s="52" t="s">
        <v>584</v>
      </c>
      <c r="F1113" s="52" t="s">
        <v>26</v>
      </c>
      <c r="G1113" s="195" t="s">
        <v>277</v>
      </c>
      <c r="H1113" s="195"/>
      <c r="I1113" s="195"/>
      <c r="J1113" s="195"/>
      <c r="K1113" s="195"/>
      <c r="L1113" s="195"/>
      <c r="M1113" s="195">
        <v>0</v>
      </c>
      <c r="N1113" s="195">
        <v>3.3874000000000001E-2</v>
      </c>
    </row>
    <row r="1114" spans="1:14" hidden="1" x14ac:dyDescent="0.35">
      <c r="A1114" s="52" t="s">
        <v>623</v>
      </c>
      <c r="B1114" s="52" t="s">
        <v>53</v>
      </c>
      <c r="C1114" s="52" t="s">
        <v>214</v>
      </c>
      <c r="D1114" s="52" t="s">
        <v>214</v>
      </c>
      <c r="E1114" s="52" t="s">
        <v>584</v>
      </c>
      <c r="F1114" s="52" t="s">
        <v>26</v>
      </c>
      <c r="G1114" s="195" t="s">
        <v>278</v>
      </c>
      <c r="H1114" s="195">
        <v>5.4222979999999996</v>
      </c>
      <c r="I1114" s="195">
        <v>5.4222970000000004</v>
      </c>
      <c r="J1114" s="195">
        <v>5.4222970000000004</v>
      </c>
      <c r="K1114" s="195">
        <v>18.94537</v>
      </c>
      <c r="L1114" s="195">
        <v>3.0689229999999998</v>
      </c>
      <c r="M1114" s="195">
        <v>0.221169</v>
      </c>
      <c r="N1114" s="195">
        <v>0.221169</v>
      </c>
    </row>
    <row r="1115" spans="1:14" hidden="1" x14ac:dyDescent="0.35">
      <c r="A1115" s="52" t="s">
        <v>623</v>
      </c>
      <c r="B1115" s="52" t="s">
        <v>32</v>
      </c>
      <c r="C1115" s="52" t="s">
        <v>30</v>
      </c>
      <c r="D1115" s="52" t="s">
        <v>30</v>
      </c>
      <c r="E1115" s="52" t="s">
        <v>584</v>
      </c>
      <c r="F1115" s="52" t="s">
        <v>581</v>
      </c>
      <c r="G1115" s="195" t="s">
        <v>275</v>
      </c>
      <c r="H1115" s="195">
        <v>1034.856</v>
      </c>
      <c r="I1115" s="195">
        <v>234.41650000000001</v>
      </c>
      <c r="J1115" s="195">
        <v>266.55110000000002</v>
      </c>
      <c r="K1115" s="195">
        <v>307.7346</v>
      </c>
      <c r="L1115" s="195">
        <v>230.16839999999999</v>
      </c>
      <c r="M1115" s="195">
        <v>-371.0369</v>
      </c>
      <c r="N1115" s="195">
        <v>122.104</v>
      </c>
    </row>
    <row r="1116" spans="1:14" hidden="1" x14ac:dyDescent="0.35">
      <c r="A1116" s="52" t="s">
        <v>623</v>
      </c>
      <c r="B1116" s="52" t="s">
        <v>32</v>
      </c>
      <c r="C1116" s="52" t="s">
        <v>30</v>
      </c>
      <c r="D1116" s="52" t="s">
        <v>30</v>
      </c>
      <c r="E1116" s="52" t="s">
        <v>584</v>
      </c>
      <c r="F1116" s="52" t="s">
        <v>581</v>
      </c>
      <c r="G1116" s="195" t="s">
        <v>276</v>
      </c>
      <c r="H1116" s="195">
        <v>3139.4780000000001</v>
      </c>
      <c r="I1116" s="195">
        <v>898.31569999999999</v>
      </c>
      <c r="J1116" s="195">
        <v>766.41060000000004</v>
      </c>
      <c r="K1116" s="195">
        <v>895.53800000000001</v>
      </c>
      <c r="L1116" s="195">
        <v>939.44799999999998</v>
      </c>
      <c r="M1116" s="195">
        <v>992.00900000000001</v>
      </c>
      <c r="N1116" s="195">
        <v>1046.03</v>
      </c>
    </row>
    <row r="1117" spans="1:14" hidden="1" x14ac:dyDescent="0.35">
      <c r="A1117" s="52" t="s">
        <v>623</v>
      </c>
      <c r="B1117" s="52" t="s">
        <v>32</v>
      </c>
      <c r="C1117" s="52" t="s">
        <v>30</v>
      </c>
      <c r="D1117" s="52" t="s">
        <v>30</v>
      </c>
      <c r="E1117" s="52" t="s">
        <v>584</v>
      </c>
      <c r="F1117" s="52" t="s">
        <v>581</v>
      </c>
      <c r="G1117" s="195" t="s">
        <v>277</v>
      </c>
      <c r="H1117" s="195">
        <v>320.18220000000002</v>
      </c>
      <c r="I1117" s="195">
        <v>232.2039</v>
      </c>
      <c r="J1117" s="195">
        <v>204.01349999999999</v>
      </c>
      <c r="K1117" s="195">
        <v>189.4502</v>
      </c>
      <c r="L1117" s="195">
        <v>284.90460000000002</v>
      </c>
      <c r="M1117" s="195">
        <v>862.28740000000005</v>
      </c>
      <c r="N1117" s="195">
        <v>389.31979999999999</v>
      </c>
    </row>
    <row r="1118" spans="1:14" hidden="1" x14ac:dyDescent="0.35">
      <c r="A1118" s="52" t="s">
        <v>623</v>
      </c>
      <c r="B1118" s="52" t="s">
        <v>32</v>
      </c>
      <c r="C1118" s="52" t="s">
        <v>30</v>
      </c>
      <c r="D1118" s="52" t="s">
        <v>30</v>
      </c>
      <c r="E1118" s="52" t="s">
        <v>584</v>
      </c>
      <c r="F1118" s="52" t="s">
        <v>581</v>
      </c>
      <c r="G1118" s="195" t="s">
        <v>278</v>
      </c>
      <c r="H1118" s="195">
        <v>0.38546170000000002</v>
      </c>
      <c r="I1118" s="195">
        <v>17.862939999999998</v>
      </c>
      <c r="J1118" s="195">
        <v>16.978760000000001</v>
      </c>
      <c r="K1118" s="195">
        <v>18.85004</v>
      </c>
      <c r="L1118" s="195">
        <v>19.758379999999999</v>
      </c>
      <c r="M1118" s="195">
        <v>19.99438</v>
      </c>
      <c r="N1118" s="195">
        <v>0.2921108</v>
      </c>
    </row>
    <row r="1119" spans="1:14" hidden="1" x14ac:dyDescent="0.35">
      <c r="A1119" s="52" t="s">
        <v>623</v>
      </c>
      <c r="B1119" s="52" t="s">
        <v>32</v>
      </c>
      <c r="C1119" s="52" t="s">
        <v>30</v>
      </c>
      <c r="D1119" s="52" t="s">
        <v>30</v>
      </c>
      <c r="E1119" s="52" t="s">
        <v>584</v>
      </c>
      <c r="F1119" s="52" t="s">
        <v>581</v>
      </c>
      <c r="G1119" s="195" t="s">
        <v>279</v>
      </c>
      <c r="H1119" s="195">
        <v>383.79599999999999</v>
      </c>
      <c r="I1119" s="195">
        <v>325.87380000000002</v>
      </c>
      <c r="J1119" s="195">
        <v>359.06110000000001</v>
      </c>
      <c r="K1119" s="195">
        <v>419.99950000000001</v>
      </c>
      <c r="L1119" s="195">
        <v>438.21359999999999</v>
      </c>
      <c r="M1119" s="195">
        <v>446.46929999999998</v>
      </c>
      <c r="N1119" s="195">
        <v>478.12189999999998</v>
      </c>
    </row>
    <row r="1120" spans="1:14" hidden="1" x14ac:dyDescent="0.35">
      <c r="A1120" s="52" t="s">
        <v>623</v>
      </c>
      <c r="B1120" s="52" t="s">
        <v>32</v>
      </c>
      <c r="C1120" s="52" t="s">
        <v>30</v>
      </c>
      <c r="D1120" s="52" t="s">
        <v>30</v>
      </c>
      <c r="E1120" s="52" t="s">
        <v>584</v>
      </c>
      <c r="F1120" s="52" t="s">
        <v>26</v>
      </c>
      <c r="G1120" s="195" t="s">
        <v>275</v>
      </c>
      <c r="H1120" s="195"/>
      <c r="I1120" s="195"/>
      <c r="J1120" s="195">
        <v>0</v>
      </c>
      <c r="K1120" s="195">
        <v>-7.3860699999999998E-3</v>
      </c>
      <c r="L1120" s="195">
        <v>-7.3860699999999998E-3</v>
      </c>
      <c r="M1120" s="195">
        <v>0</v>
      </c>
      <c r="N1120" s="195">
        <v>0</v>
      </c>
    </row>
    <row r="1121" spans="1:14" hidden="1" x14ac:dyDescent="0.35">
      <c r="A1121" s="52" t="s">
        <v>623</v>
      </c>
      <c r="B1121" s="52" t="s">
        <v>32</v>
      </c>
      <c r="C1121" s="52" t="s">
        <v>30</v>
      </c>
      <c r="D1121" s="52" t="s">
        <v>30</v>
      </c>
      <c r="E1121" s="52" t="s">
        <v>584</v>
      </c>
      <c r="F1121" s="52" t="s">
        <v>26</v>
      </c>
      <c r="G1121" s="195" t="s">
        <v>277</v>
      </c>
      <c r="H1121" s="195"/>
      <c r="I1121" s="195"/>
      <c r="J1121" s="195">
        <v>0</v>
      </c>
      <c r="K1121" s="195">
        <v>7.3860599999999998E-3</v>
      </c>
      <c r="L1121" s="195">
        <v>7.3860599999999998E-3</v>
      </c>
      <c r="M1121" s="195">
        <v>0</v>
      </c>
      <c r="N1121" s="195">
        <v>0</v>
      </c>
    </row>
    <row r="1122" spans="1:14" hidden="1" x14ac:dyDescent="0.35">
      <c r="A1122" s="52" t="s">
        <v>623</v>
      </c>
      <c r="B1122" s="52" t="s">
        <v>32</v>
      </c>
      <c r="C1122" s="52" t="s">
        <v>30</v>
      </c>
      <c r="D1122" s="52" t="s">
        <v>30</v>
      </c>
      <c r="E1122" s="52" t="s">
        <v>584</v>
      </c>
      <c r="F1122" s="52" t="s">
        <v>26</v>
      </c>
      <c r="G1122" s="195" t="s">
        <v>279</v>
      </c>
      <c r="H1122" s="195"/>
      <c r="I1122" s="195"/>
      <c r="J1122" s="195"/>
      <c r="K1122" s="195"/>
      <c r="L1122" s="195"/>
      <c r="M1122" s="195">
        <v>0</v>
      </c>
      <c r="N1122" s="195">
        <v>0</v>
      </c>
    </row>
    <row r="1123" spans="1:14" hidden="1" x14ac:dyDescent="0.35">
      <c r="A1123" s="52" t="s">
        <v>623</v>
      </c>
      <c r="B1123" s="52" t="s">
        <v>41</v>
      </c>
      <c r="C1123" s="52" t="s">
        <v>40</v>
      </c>
      <c r="D1123" s="52" t="s">
        <v>40</v>
      </c>
      <c r="E1123" s="52" t="s">
        <v>584</v>
      </c>
      <c r="F1123" s="52" t="s">
        <v>581</v>
      </c>
      <c r="G1123" s="195" t="s">
        <v>275</v>
      </c>
      <c r="H1123" s="195">
        <v>397.87090000000001</v>
      </c>
      <c r="I1123" s="195">
        <v>108.9885</v>
      </c>
      <c r="J1123" s="195">
        <v>105.9636</v>
      </c>
      <c r="K1123" s="195">
        <v>103.85980000000001</v>
      </c>
      <c r="L1123" s="195">
        <v>105.8634</v>
      </c>
      <c r="M1123" s="195">
        <v>108.4264</v>
      </c>
      <c r="N1123" s="195">
        <v>110.7948</v>
      </c>
    </row>
    <row r="1124" spans="1:14" hidden="1" x14ac:dyDescent="0.35">
      <c r="A1124" s="52" t="s">
        <v>623</v>
      </c>
      <c r="B1124" s="52" t="s">
        <v>41</v>
      </c>
      <c r="C1124" s="52" t="s">
        <v>40</v>
      </c>
      <c r="D1124" s="52" t="s">
        <v>40</v>
      </c>
      <c r="E1124" s="52" t="s">
        <v>584</v>
      </c>
      <c r="F1124" s="52" t="s">
        <v>581</v>
      </c>
      <c r="G1124" s="195" t="s">
        <v>276</v>
      </c>
      <c r="H1124" s="195">
        <v>53.09216</v>
      </c>
      <c r="I1124" s="195">
        <v>16.55939</v>
      </c>
      <c r="J1124" s="195">
        <v>16.625779999999999</v>
      </c>
      <c r="K1124" s="195">
        <v>17.13494</v>
      </c>
      <c r="L1124" s="195">
        <v>17.554480000000002</v>
      </c>
      <c r="M1124" s="195">
        <v>17.98424</v>
      </c>
      <c r="N1124" s="195">
        <v>18.424240000000001</v>
      </c>
    </row>
    <row r="1125" spans="1:14" hidden="1" x14ac:dyDescent="0.35">
      <c r="A1125" s="52" t="s">
        <v>623</v>
      </c>
      <c r="B1125" s="52" t="s">
        <v>41</v>
      </c>
      <c r="C1125" s="52" t="s">
        <v>40</v>
      </c>
      <c r="D1125" s="52" t="s">
        <v>40</v>
      </c>
      <c r="E1125" s="52" t="s">
        <v>584</v>
      </c>
      <c r="F1125" s="52" t="s">
        <v>581</v>
      </c>
      <c r="G1125" s="195" t="s">
        <v>277</v>
      </c>
      <c r="H1125" s="195">
        <v>19.08024</v>
      </c>
      <c r="I1125" s="195">
        <v>22.57667</v>
      </c>
      <c r="J1125" s="195">
        <v>4.5611949999999997</v>
      </c>
      <c r="K1125" s="195">
        <v>3.0203289999999998</v>
      </c>
      <c r="L1125" s="195">
        <v>3.7887439999999999</v>
      </c>
      <c r="M1125" s="195">
        <v>4.0355179999999997</v>
      </c>
      <c r="N1125" s="195">
        <v>4.5463089999999999</v>
      </c>
    </row>
    <row r="1126" spans="1:14" hidden="1" x14ac:dyDescent="0.35">
      <c r="A1126" s="52" t="s">
        <v>623</v>
      </c>
      <c r="B1126" s="52" t="s">
        <v>41</v>
      </c>
      <c r="C1126" s="52" t="s">
        <v>40</v>
      </c>
      <c r="D1126" s="52" t="s">
        <v>40</v>
      </c>
      <c r="E1126" s="52" t="s">
        <v>584</v>
      </c>
      <c r="F1126" s="52" t="s">
        <v>581</v>
      </c>
      <c r="G1126" s="195" t="s">
        <v>278</v>
      </c>
      <c r="H1126" s="195">
        <v>0.1380034</v>
      </c>
      <c r="I1126" s="195">
        <v>4.4544069999999998E-2</v>
      </c>
      <c r="J1126" s="195">
        <v>9.2504630000000004E-2</v>
      </c>
      <c r="K1126" s="195">
        <v>6.6197210000000006E-2</v>
      </c>
      <c r="L1126" s="195">
        <v>2.5693500000000001E-2</v>
      </c>
      <c r="M1126" s="195">
        <v>1.6619689999999999E-2</v>
      </c>
      <c r="N1126" s="195">
        <v>7.8653899999999999E-3</v>
      </c>
    </row>
    <row r="1127" spans="1:14" hidden="1" x14ac:dyDescent="0.35">
      <c r="A1127" s="52" t="s">
        <v>623</v>
      </c>
      <c r="B1127" s="52" t="s">
        <v>41</v>
      </c>
      <c r="C1127" s="52" t="s">
        <v>40</v>
      </c>
      <c r="D1127" s="52" t="s">
        <v>40</v>
      </c>
      <c r="E1127" s="52" t="s">
        <v>584</v>
      </c>
      <c r="F1127" s="52" t="s">
        <v>581</v>
      </c>
      <c r="G1127" s="195" t="s">
        <v>279</v>
      </c>
      <c r="H1127" s="195">
        <v>84.573580000000007</v>
      </c>
      <c r="I1127" s="195">
        <v>86.084879999999998</v>
      </c>
      <c r="J1127" s="195">
        <v>95.214950000000002</v>
      </c>
      <c r="K1127" s="195">
        <v>103.9436</v>
      </c>
      <c r="L1127" s="195">
        <v>106.49979999999999</v>
      </c>
      <c r="M1127" s="195">
        <v>109.1199</v>
      </c>
      <c r="N1127" s="195">
        <v>111.8056</v>
      </c>
    </row>
    <row r="1128" spans="1:14" hidden="1" x14ac:dyDescent="0.35">
      <c r="A1128" s="52" t="s">
        <v>623</v>
      </c>
      <c r="B1128" s="52" t="s">
        <v>41</v>
      </c>
      <c r="C1128" s="52" t="s">
        <v>40</v>
      </c>
      <c r="D1128" s="52" t="s">
        <v>40</v>
      </c>
      <c r="E1128" s="52" t="s">
        <v>584</v>
      </c>
      <c r="F1128" s="52" t="s">
        <v>26</v>
      </c>
      <c r="G1128" s="195" t="s">
        <v>275</v>
      </c>
      <c r="H1128" s="195">
        <v>-15.234999999999999</v>
      </c>
      <c r="I1128" s="195">
        <v>-14.79888</v>
      </c>
      <c r="J1128" s="195">
        <v>-18.537559999999999</v>
      </c>
      <c r="K1128" s="195">
        <v>-20.194929999999999</v>
      </c>
      <c r="L1128" s="195">
        <v>-20.680070000000001</v>
      </c>
      <c r="M1128" s="195">
        <v>-21.17013</v>
      </c>
      <c r="N1128" s="195">
        <v>-21.678619999999999</v>
      </c>
    </row>
    <row r="1129" spans="1:14" hidden="1" x14ac:dyDescent="0.35">
      <c r="A1129" s="52" t="s">
        <v>623</v>
      </c>
      <c r="B1129" s="52" t="s">
        <v>41</v>
      </c>
      <c r="C1129" s="52" t="s">
        <v>40</v>
      </c>
      <c r="D1129" s="52" t="s">
        <v>40</v>
      </c>
      <c r="E1129" s="52" t="s">
        <v>584</v>
      </c>
      <c r="F1129" s="52" t="s">
        <v>26</v>
      </c>
      <c r="G1129" s="195" t="s">
        <v>276</v>
      </c>
      <c r="H1129" s="195">
        <v>4.505147</v>
      </c>
      <c r="I1129" s="195">
        <v>2.9058440000000001</v>
      </c>
      <c r="J1129" s="195">
        <v>1.656741</v>
      </c>
      <c r="K1129" s="195">
        <v>1.584133</v>
      </c>
      <c r="L1129" s="195">
        <v>1.635189</v>
      </c>
      <c r="M1129" s="195">
        <v>1.6879919999999999</v>
      </c>
      <c r="N1129" s="195">
        <v>1.742577</v>
      </c>
    </row>
    <row r="1130" spans="1:14" hidden="1" x14ac:dyDescent="0.35">
      <c r="A1130" s="52" t="s">
        <v>623</v>
      </c>
      <c r="B1130" s="52" t="s">
        <v>41</v>
      </c>
      <c r="C1130" s="52" t="s">
        <v>40</v>
      </c>
      <c r="D1130" s="52" t="s">
        <v>40</v>
      </c>
      <c r="E1130" s="52" t="s">
        <v>584</v>
      </c>
      <c r="F1130" s="52" t="s">
        <v>26</v>
      </c>
      <c r="G1130" s="195" t="s">
        <v>277</v>
      </c>
      <c r="H1130" s="195">
        <v>1.764805</v>
      </c>
      <c r="I1130" s="195">
        <v>3.4430240000000001E-2</v>
      </c>
      <c r="J1130" s="195">
        <v>0.334837</v>
      </c>
      <c r="K1130" s="195">
        <v>3.6173719999999999E-2</v>
      </c>
      <c r="L1130" s="195">
        <v>4.0541439999999998E-2</v>
      </c>
      <c r="M1130" s="195">
        <v>3.8402539999999999E-2</v>
      </c>
      <c r="N1130" s="195">
        <v>4.2954340000000001E-2</v>
      </c>
    </row>
    <row r="1131" spans="1:14" hidden="1" x14ac:dyDescent="0.35">
      <c r="A1131" s="52" t="s">
        <v>623</v>
      </c>
      <c r="B1131" s="52" t="s">
        <v>41</v>
      </c>
      <c r="C1131" s="52" t="s">
        <v>40</v>
      </c>
      <c r="D1131" s="52" t="s">
        <v>40</v>
      </c>
      <c r="E1131" s="52" t="s">
        <v>584</v>
      </c>
      <c r="F1131" s="52" t="s">
        <v>26</v>
      </c>
      <c r="G1131" s="195" t="s">
        <v>279</v>
      </c>
      <c r="H1131" s="195">
        <v>18.760359999999999</v>
      </c>
      <c r="I1131" s="195">
        <v>18.462789999999998</v>
      </c>
      <c r="J1131" s="195">
        <v>20.311299999999999</v>
      </c>
      <c r="K1131" s="195">
        <v>22.17492</v>
      </c>
      <c r="L1131" s="195">
        <v>22.720690000000001</v>
      </c>
      <c r="M1131" s="195">
        <v>23.280080000000002</v>
      </c>
      <c r="N1131" s="195">
        <v>23.853490000000001</v>
      </c>
    </row>
    <row r="1132" spans="1:14" hidden="1" x14ac:dyDescent="0.35">
      <c r="A1132" s="52" t="s">
        <v>623</v>
      </c>
      <c r="B1132" s="52" t="s">
        <v>94</v>
      </c>
      <c r="C1132" s="52" t="s">
        <v>93</v>
      </c>
      <c r="D1132" s="52" t="s">
        <v>93</v>
      </c>
      <c r="E1132" s="52" t="s">
        <v>584</v>
      </c>
      <c r="F1132" s="52" t="s">
        <v>581</v>
      </c>
      <c r="G1132" s="195" t="s">
        <v>275</v>
      </c>
      <c r="H1132" s="195">
        <v>164.8792</v>
      </c>
      <c r="I1132" s="195">
        <v>16.323650000000001</v>
      </c>
      <c r="J1132" s="195">
        <v>-3.7413590000000001</v>
      </c>
      <c r="K1132" s="195">
        <v>-1.0725439999999999</v>
      </c>
      <c r="L1132" s="195">
        <v>18.685790000000001</v>
      </c>
      <c r="M1132" s="195">
        <v>33.385120000000001</v>
      </c>
      <c r="N1132" s="195">
        <v>45.685360000000003</v>
      </c>
    </row>
    <row r="1133" spans="1:14" hidden="1" x14ac:dyDescent="0.35">
      <c r="A1133" s="52" t="s">
        <v>623</v>
      </c>
      <c r="B1133" s="52" t="s">
        <v>94</v>
      </c>
      <c r="C1133" s="52" t="s">
        <v>93</v>
      </c>
      <c r="D1133" s="52" t="s">
        <v>93</v>
      </c>
      <c r="E1133" s="52" t="s">
        <v>584</v>
      </c>
      <c r="F1133" s="52" t="s">
        <v>581</v>
      </c>
      <c r="G1133" s="195" t="s">
        <v>276</v>
      </c>
      <c r="H1133" s="195">
        <v>59.19885</v>
      </c>
      <c r="I1133" s="195">
        <v>17.392900000000001</v>
      </c>
      <c r="J1133" s="195">
        <v>13.628259999999999</v>
      </c>
      <c r="K1133" s="195">
        <v>15.861560000000001</v>
      </c>
      <c r="L1133" s="195">
        <v>14.77478</v>
      </c>
      <c r="M1133" s="195">
        <v>14.031129999999999</v>
      </c>
      <c r="N1133" s="195">
        <v>13.537409999999999</v>
      </c>
    </row>
    <row r="1134" spans="1:14" hidden="1" x14ac:dyDescent="0.35">
      <c r="A1134" s="52" t="s">
        <v>623</v>
      </c>
      <c r="B1134" s="52" t="s">
        <v>94</v>
      </c>
      <c r="C1134" s="52" t="s">
        <v>93</v>
      </c>
      <c r="D1134" s="52" t="s">
        <v>93</v>
      </c>
      <c r="E1134" s="52" t="s">
        <v>584</v>
      </c>
      <c r="F1134" s="52" t="s">
        <v>581</v>
      </c>
      <c r="G1134" s="195" t="s">
        <v>277</v>
      </c>
      <c r="H1134" s="195">
        <v>141.59389999999999</v>
      </c>
      <c r="I1134" s="195">
        <v>143.499</v>
      </c>
      <c r="J1134" s="195">
        <v>142.99090000000001</v>
      </c>
      <c r="K1134" s="195">
        <v>139.26689999999999</v>
      </c>
      <c r="L1134" s="195">
        <v>102.0485</v>
      </c>
      <c r="M1134" s="195">
        <v>85.733930000000001</v>
      </c>
      <c r="N1134" s="195">
        <v>76.855289999999997</v>
      </c>
    </row>
    <row r="1135" spans="1:14" hidden="1" x14ac:dyDescent="0.35">
      <c r="A1135" s="52" t="s">
        <v>623</v>
      </c>
      <c r="B1135" s="52" t="s">
        <v>94</v>
      </c>
      <c r="C1135" s="52" t="s">
        <v>93</v>
      </c>
      <c r="D1135" s="52" t="s">
        <v>93</v>
      </c>
      <c r="E1135" s="52" t="s">
        <v>584</v>
      </c>
      <c r="F1135" s="52" t="s">
        <v>581</v>
      </c>
      <c r="G1135" s="195" t="s">
        <v>278</v>
      </c>
      <c r="H1135" s="195">
        <v>6.6390540000000001E-3</v>
      </c>
      <c r="I1135" s="195">
        <v>6.6390540000000001E-3</v>
      </c>
      <c r="J1135" s="195">
        <v>1.0113939999999999</v>
      </c>
      <c r="K1135" s="195">
        <v>6.6390540000000001E-3</v>
      </c>
      <c r="L1135" s="195">
        <v>6.6390549999999996E-3</v>
      </c>
      <c r="M1135" s="195">
        <v>6.6390549999999996E-3</v>
      </c>
      <c r="N1135" s="195">
        <v>6.6390540000000001E-3</v>
      </c>
    </row>
    <row r="1136" spans="1:14" hidden="1" x14ac:dyDescent="0.35">
      <c r="A1136" s="52" t="s">
        <v>623</v>
      </c>
      <c r="B1136" s="52" t="s">
        <v>94</v>
      </c>
      <c r="C1136" s="52" t="s">
        <v>93</v>
      </c>
      <c r="D1136" s="52" t="s">
        <v>93</v>
      </c>
      <c r="E1136" s="52" t="s">
        <v>584</v>
      </c>
      <c r="F1136" s="52" t="s">
        <v>581</v>
      </c>
      <c r="G1136" s="195" t="s">
        <v>279</v>
      </c>
      <c r="H1136" s="195">
        <v>66.170720000000003</v>
      </c>
      <c r="I1136" s="195">
        <v>49.2104</v>
      </c>
      <c r="J1136" s="195">
        <v>50.933750000000003</v>
      </c>
      <c r="K1136" s="195">
        <v>56.999420000000001</v>
      </c>
      <c r="L1136" s="195">
        <v>61.139719999999997</v>
      </c>
      <c r="M1136" s="195">
        <v>63.111609999999999</v>
      </c>
      <c r="N1136" s="195">
        <v>66.986699999999999</v>
      </c>
    </row>
    <row r="1137" spans="1:14" hidden="1" x14ac:dyDescent="0.35">
      <c r="A1137" s="52" t="s">
        <v>623</v>
      </c>
      <c r="B1137" s="52" t="s">
        <v>60</v>
      </c>
      <c r="C1137" s="52" t="s">
        <v>126</v>
      </c>
      <c r="D1137" s="52" t="s">
        <v>126</v>
      </c>
      <c r="E1137" s="52" t="s">
        <v>584</v>
      </c>
      <c r="F1137" s="52" t="s">
        <v>26</v>
      </c>
      <c r="G1137" s="195" t="s">
        <v>275</v>
      </c>
      <c r="H1137" s="195">
        <v>-16.381119999999999</v>
      </c>
      <c r="I1137" s="195">
        <v>-24.739239999999999</v>
      </c>
      <c r="J1137" s="195">
        <v>-27.390160000000002</v>
      </c>
      <c r="K1137" s="195">
        <v>29.081969999999998</v>
      </c>
      <c r="L1137" s="195">
        <v>61.812170000000002</v>
      </c>
      <c r="M1137" s="195">
        <v>64.469350000000006</v>
      </c>
      <c r="N1137" s="195">
        <v>69.676569999999998</v>
      </c>
    </row>
    <row r="1138" spans="1:14" hidden="1" x14ac:dyDescent="0.35">
      <c r="A1138" s="52" t="s">
        <v>623</v>
      </c>
      <c r="B1138" s="52" t="s">
        <v>60</v>
      </c>
      <c r="C1138" s="52" t="s">
        <v>126</v>
      </c>
      <c r="D1138" s="52" t="s">
        <v>126</v>
      </c>
      <c r="E1138" s="52" t="s">
        <v>584</v>
      </c>
      <c r="F1138" s="52" t="s">
        <v>26</v>
      </c>
      <c r="G1138" s="195" t="s">
        <v>276</v>
      </c>
      <c r="H1138" s="195">
        <v>110.97410000000001</v>
      </c>
      <c r="I1138" s="195">
        <v>60.04589</v>
      </c>
      <c r="J1138" s="195">
        <v>55.119259999999997</v>
      </c>
      <c r="K1138" s="195">
        <v>56.463529999999999</v>
      </c>
      <c r="L1138" s="195">
        <v>59.825749999999999</v>
      </c>
      <c r="M1138" s="195">
        <v>61.503270000000001</v>
      </c>
      <c r="N1138" s="195">
        <v>62.686549999999997</v>
      </c>
    </row>
    <row r="1139" spans="1:14" hidden="1" x14ac:dyDescent="0.35">
      <c r="A1139" s="52" t="s">
        <v>623</v>
      </c>
      <c r="B1139" s="52" t="s">
        <v>60</v>
      </c>
      <c r="C1139" s="52" t="s">
        <v>126</v>
      </c>
      <c r="D1139" s="52" t="s">
        <v>126</v>
      </c>
      <c r="E1139" s="52" t="s">
        <v>584</v>
      </c>
      <c r="F1139" s="52" t="s">
        <v>26</v>
      </c>
      <c r="G1139" s="195" t="s">
        <v>277</v>
      </c>
      <c r="H1139" s="195">
        <v>90.044920000000005</v>
      </c>
      <c r="I1139" s="195">
        <v>64.396649999999994</v>
      </c>
      <c r="J1139" s="195">
        <v>63.875279999999997</v>
      </c>
      <c r="K1139" s="195">
        <v>25.43317</v>
      </c>
      <c r="L1139" s="195">
        <v>5.5810279999999999</v>
      </c>
      <c r="M1139" s="195">
        <v>6.3371149999999998</v>
      </c>
      <c r="N1139" s="195">
        <v>3.237269</v>
      </c>
    </row>
    <row r="1140" spans="1:14" hidden="1" x14ac:dyDescent="0.35">
      <c r="A1140" s="52" t="s">
        <v>623</v>
      </c>
      <c r="B1140" s="52" t="s">
        <v>60</v>
      </c>
      <c r="C1140" s="52" t="s">
        <v>126</v>
      </c>
      <c r="D1140" s="52" t="s">
        <v>126</v>
      </c>
      <c r="E1140" s="52" t="s">
        <v>584</v>
      </c>
      <c r="F1140" s="52" t="s">
        <v>26</v>
      </c>
      <c r="G1140" s="195" t="s">
        <v>278</v>
      </c>
      <c r="H1140" s="195">
        <v>6.8693959999999998E-3</v>
      </c>
      <c r="I1140" s="195">
        <v>4.4721190000000001E-3</v>
      </c>
      <c r="J1140" s="195">
        <v>4.2200730000000004E-3</v>
      </c>
      <c r="K1140" s="195">
        <v>1.52268E-2</v>
      </c>
      <c r="L1140" s="195">
        <v>1.021507E-2</v>
      </c>
      <c r="M1140" s="195">
        <v>1.021507E-2</v>
      </c>
      <c r="N1140" s="195">
        <v>1.021507E-2</v>
      </c>
    </row>
    <row r="1141" spans="1:14" hidden="1" x14ac:dyDescent="0.35">
      <c r="A1141" s="52" t="s">
        <v>623</v>
      </c>
      <c r="B1141" s="52" t="s">
        <v>60</v>
      </c>
      <c r="C1141" s="52" t="s">
        <v>126</v>
      </c>
      <c r="D1141" s="52" t="s">
        <v>126</v>
      </c>
      <c r="E1141" s="52" t="s">
        <v>584</v>
      </c>
      <c r="F1141" s="52" t="s">
        <v>26</v>
      </c>
      <c r="G1141" s="195" t="s">
        <v>279</v>
      </c>
      <c r="H1141" s="195">
        <v>21.819929999999999</v>
      </c>
      <c r="I1141" s="195">
        <v>20.21846</v>
      </c>
      <c r="J1141" s="195">
        <v>20.9847</v>
      </c>
      <c r="K1141" s="195">
        <v>30.494520000000001</v>
      </c>
      <c r="L1141" s="195">
        <v>36.661169999999998</v>
      </c>
      <c r="M1141" s="195">
        <v>37.951529999999998</v>
      </c>
      <c r="N1141" s="195">
        <v>38.86938</v>
      </c>
    </row>
    <row r="1142" spans="1:14" hidden="1" x14ac:dyDescent="0.35">
      <c r="A1142" s="52" t="s">
        <v>623</v>
      </c>
      <c r="B1142" s="52" t="s">
        <v>60</v>
      </c>
      <c r="C1142" s="52" t="s">
        <v>631</v>
      </c>
      <c r="D1142" s="52" t="s">
        <v>631</v>
      </c>
      <c r="E1142" s="52" t="s">
        <v>584</v>
      </c>
      <c r="F1142" s="52" t="s">
        <v>581</v>
      </c>
      <c r="G1142" s="195" t="s">
        <v>275</v>
      </c>
      <c r="H1142" s="195">
        <v>5.0645700000000002E-2</v>
      </c>
      <c r="I1142" s="195">
        <v>2.5992870000000001E-2</v>
      </c>
      <c r="J1142" s="195">
        <v>6.1325069999999997E-3</v>
      </c>
      <c r="K1142" s="195">
        <v>1.1531110000000001E-3</v>
      </c>
      <c r="L1142" s="195">
        <v>6.3243000000000001E-4</v>
      </c>
      <c r="M1142" s="195">
        <v>2.5031970000000001E-4</v>
      </c>
      <c r="N1142" s="195">
        <v>0.1592942</v>
      </c>
    </row>
    <row r="1143" spans="1:14" hidden="1" x14ac:dyDescent="0.35">
      <c r="A1143" s="52" t="s">
        <v>623</v>
      </c>
      <c r="B1143" s="52" t="s">
        <v>60</v>
      </c>
      <c r="C1143" s="52" t="s">
        <v>631</v>
      </c>
      <c r="D1143" s="52" t="s">
        <v>631</v>
      </c>
      <c r="E1143" s="52" t="s">
        <v>584</v>
      </c>
      <c r="F1143" s="52" t="s">
        <v>581</v>
      </c>
      <c r="G1143" s="195" t="s">
        <v>276</v>
      </c>
      <c r="H1143" s="195">
        <v>6.0056100000000001E-2</v>
      </c>
      <c r="I1143" s="195">
        <v>8.9680620000000003E-2</v>
      </c>
      <c r="J1143" s="195">
        <v>5.584716E-2</v>
      </c>
      <c r="K1143" s="195">
        <v>4.1237700000000002E-2</v>
      </c>
      <c r="L1143" s="195">
        <v>3.0450149999999999E-2</v>
      </c>
      <c r="M1143" s="195">
        <v>2.2536629999999998E-2</v>
      </c>
      <c r="N1143" s="195">
        <v>-0.14147409999999999</v>
      </c>
    </row>
    <row r="1144" spans="1:14" hidden="1" x14ac:dyDescent="0.35">
      <c r="A1144" s="52" t="s">
        <v>623</v>
      </c>
      <c r="B1144" s="52" t="s">
        <v>60</v>
      </c>
      <c r="C1144" s="52" t="s">
        <v>631</v>
      </c>
      <c r="D1144" s="52" t="s">
        <v>631</v>
      </c>
      <c r="E1144" s="52" t="s">
        <v>584</v>
      </c>
      <c r="F1144" s="52" t="s">
        <v>581</v>
      </c>
      <c r="G1144" s="195" t="s">
        <v>279</v>
      </c>
      <c r="H1144" s="195">
        <v>2.5789949999999999E-2</v>
      </c>
      <c r="I1144" s="195">
        <v>8.8146000000000002E-2</v>
      </c>
      <c r="J1144" s="195">
        <v>6.4946249999999997E-2</v>
      </c>
      <c r="K1144" s="195">
        <v>5.13312E-2</v>
      </c>
      <c r="L1144" s="195">
        <v>3.8122650000000001E-2</v>
      </c>
      <c r="M1144" s="195">
        <v>2.8432949999999999E-2</v>
      </c>
      <c r="N1144" s="195">
        <v>2.1149250000000001E-2</v>
      </c>
    </row>
    <row r="1145" spans="1:14" hidden="1" x14ac:dyDescent="0.35">
      <c r="A1145" s="52" t="s">
        <v>623</v>
      </c>
      <c r="B1145" s="52" t="s">
        <v>60</v>
      </c>
      <c r="C1145" s="52" t="s">
        <v>631</v>
      </c>
      <c r="D1145" s="52" t="s">
        <v>631</v>
      </c>
      <c r="E1145" s="52" t="s">
        <v>584</v>
      </c>
      <c r="F1145" s="52" t="s">
        <v>26</v>
      </c>
      <c r="G1145" s="195" t="s">
        <v>275</v>
      </c>
      <c r="H1145" s="195">
        <v>13.28783</v>
      </c>
      <c r="I1145" s="195">
        <v>9.6508640000000003</v>
      </c>
      <c r="J1145" s="195">
        <v>6.4372319999999998</v>
      </c>
      <c r="K1145" s="195">
        <v>3.822533</v>
      </c>
      <c r="L1145" s="195">
        <v>2.2079420000000001</v>
      </c>
      <c r="M1145" s="195">
        <v>1.080274</v>
      </c>
      <c r="N1145" s="195">
        <v>1.0939080000000001</v>
      </c>
    </row>
    <row r="1146" spans="1:14" hidden="1" x14ac:dyDescent="0.35">
      <c r="A1146" s="52" t="s">
        <v>623</v>
      </c>
      <c r="B1146" s="52" t="s">
        <v>60</v>
      </c>
      <c r="C1146" s="52" t="s">
        <v>631</v>
      </c>
      <c r="D1146" s="52" t="s">
        <v>631</v>
      </c>
      <c r="E1146" s="52" t="s">
        <v>584</v>
      </c>
      <c r="F1146" s="52" t="s">
        <v>26</v>
      </c>
      <c r="G1146" s="195" t="s">
        <v>276</v>
      </c>
      <c r="H1146" s="195">
        <v>0.91244449999999999</v>
      </c>
      <c r="I1146" s="195">
        <v>0.60332160000000001</v>
      </c>
      <c r="J1146" s="195">
        <v>0.42406670000000002</v>
      </c>
      <c r="K1146" s="195">
        <v>0.25479289999999999</v>
      </c>
      <c r="L1146" s="195">
        <v>0.19309029999999999</v>
      </c>
      <c r="M1146" s="195">
        <v>-2.654563</v>
      </c>
      <c r="N1146" s="195">
        <v>0.1708066</v>
      </c>
    </row>
    <row r="1147" spans="1:14" hidden="1" x14ac:dyDescent="0.35">
      <c r="A1147" s="52" t="s">
        <v>623</v>
      </c>
      <c r="B1147" s="52" t="s">
        <v>60</v>
      </c>
      <c r="C1147" s="52" t="s">
        <v>631</v>
      </c>
      <c r="D1147" s="52" t="s">
        <v>631</v>
      </c>
      <c r="E1147" s="52" t="s">
        <v>584</v>
      </c>
      <c r="F1147" s="52" t="s">
        <v>26</v>
      </c>
      <c r="G1147" s="195" t="s">
        <v>277</v>
      </c>
      <c r="H1147" s="195">
        <v>0.78682940000000001</v>
      </c>
      <c r="I1147" s="195">
        <v>0.73391119999999999</v>
      </c>
      <c r="J1147" s="195">
        <v>0.72473730000000003</v>
      </c>
      <c r="K1147" s="195">
        <v>0.93789940000000005</v>
      </c>
      <c r="L1147" s="195">
        <v>1.0330490000000001</v>
      </c>
      <c r="M1147" s="195">
        <v>1.0401830000000001</v>
      </c>
      <c r="N1147" s="195"/>
    </row>
    <row r="1148" spans="1:14" hidden="1" x14ac:dyDescent="0.35">
      <c r="A1148" s="52" t="s">
        <v>623</v>
      </c>
      <c r="B1148" s="52" t="s">
        <v>60</v>
      </c>
      <c r="C1148" s="52" t="s">
        <v>631</v>
      </c>
      <c r="D1148" s="52" t="s">
        <v>631</v>
      </c>
      <c r="E1148" s="52" t="s">
        <v>584</v>
      </c>
      <c r="F1148" s="52" t="s">
        <v>26</v>
      </c>
      <c r="G1148" s="195" t="s">
        <v>278</v>
      </c>
      <c r="H1148" s="195">
        <v>3.3088760000000002E-2</v>
      </c>
      <c r="I1148" s="195">
        <v>2.1541089999999999E-2</v>
      </c>
      <c r="J1148" s="195">
        <v>2.0327439999999999E-2</v>
      </c>
      <c r="K1148" s="195">
        <v>7.3344980000000004E-2</v>
      </c>
      <c r="L1148" s="195">
        <v>4.9204459999999998E-2</v>
      </c>
      <c r="M1148" s="195">
        <v>2.8338860000000001</v>
      </c>
      <c r="N1148" s="195">
        <v>4.9204459999999998E-2</v>
      </c>
    </row>
    <row r="1149" spans="1:14" hidden="1" x14ac:dyDescent="0.35">
      <c r="A1149" s="52" t="s">
        <v>623</v>
      </c>
      <c r="B1149" s="52" t="s">
        <v>60</v>
      </c>
      <c r="C1149" s="52" t="s">
        <v>631</v>
      </c>
      <c r="D1149" s="52" t="s">
        <v>631</v>
      </c>
      <c r="E1149" s="52" t="s">
        <v>584</v>
      </c>
      <c r="F1149" s="52" t="s">
        <v>26</v>
      </c>
      <c r="G1149" s="195" t="s">
        <v>279</v>
      </c>
      <c r="H1149" s="195">
        <v>10.433490000000001</v>
      </c>
      <c r="I1149" s="195">
        <v>7.0220500000000001</v>
      </c>
      <c r="J1149" s="195">
        <v>5.4299499999999998</v>
      </c>
      <c r="K1149" s="195">
        <v>4.5373739999999998</v>
      </c>
      <c r="L1149" s="195">
        <v>3.62446</v>
      </c>
      <c r="M1149" s="195">
        <v>2.9606859999999999</v>
      </c>
      <c r="N1149" s="195">
        <v>2.4674130000000001</v>
      </c>
    </row>
    <row r="1150" spans="1:14" hidden="1" x14ac:dyDescent="0.35">
      <c r="A1150" s="52" t="s">
        <v>623</v>
      </c>
      <c r="B1150" s="52" t="s">
        <v>60</v>
      </c>
      <c r="C1150" s="52" t="s">
        <v>393</v>
      </c>
      <c r="D1150" s="52" t="s">
        <v>393</v>
      </c>
      <c r="E1150" s="52" t="s">
        <v>584</v>
      </c>
      <c r="F1150" s="52" t="s">
        <v>581</v>
      </c>
      <c r="G1150" s="195" t="s">
        <v>275</v>
      </c>
      <c r="H1150" s="195">
        <v>-8.2325300000000001E-3</v>
      </c>
      <c r="I1150" s="195">
        <v>-0.40095510000000001</v>
      </c>
      <c r="J1150" s="195">
        <v>0</v>
      </c>
      <c r="K1150" s="195">
        <v>0</v>
      </c>
      <c r="L1150" s="195">
        <v>0</v>
      </c>
      <c r="M1150" s="195">
        <v>0</v>
      </c>
      <c r="N1150" s="195">
        <v>0</v>
      </c>
    </row>
    <row r="1151" spans="1:14" hidden="1" x14ac:dyDescent="0.35">
      <c r="A1151" s="52" t="s">
        <v>623</v>
      </c>
      <c r="B1151" s="52" t="s">
        <v>60</v>
      </c>
      <c r="C1151" s="52" t="s">
        <v>393</v>
      </c>
      <c r="D1151" s="52" t="s">
        <v>393</v>
      </c>
      <c r="E1151" s="52" t="s">
        <v>584</v>
      </c>
      <c r="F1151" s="52" t="s">
        <v>581</v>
      </c>
      <c r="G1151" s="195" t="s">
        <v>277</v>
      </c>
      <c r="H1151" s="195"/>
      <c r="I1151" s="195"/>
      <c r="J1151" s="195"/>
      <c r="K1151" s="195"/>
      <c r="L1151" s="195"/>
      <c r="M1151" s="195"/>
      <c r="N1151" s="195">
        <v>0</v>
      </c>
    </row>
    <row r="1152" spans="1:14" hidden="1" x14ac:dyDescent="0.35">
      <c r="A1152" s="52" t="s">
        <v>623</v>
      </c>
      <c r="B1152" s="52" t="s">
        <v>60</v>
      </c>
      <c r="C1152" s="52" t="s">
        <v>393</v>
      </c>
      <c r="D1152" s="52" t="s">
        <v>393</v>
      </c>
      <c r="E1152" s="52" t="s">
        <v>584</v>
      </c>
      <c r="F1152" s="52" t="s">
        <v>581</v>
      </c>
      <c r="G1152" s="195" t="s">
        <v>278</v>
      </c>
      <c r="H1152" s="195">
        <v>8.2325300000000001E-3</v>
      </c>
      <c r="I1152" s="195">
        <v>5.3594840000000003E-3</v>
      </c>
      <c r="J1152" s="195">
        <v>0</v>
      </c>
      <c r="K1152" s="195">
        <v>0</v>
      </c>
      <c r="L1152" s="195">
        <v>0</v>
      </c>
      <c r="M1152" s="195">
        <v>0</v>
      </c>
      <c r="N1152" s="195">
        <v>0</v>
      </c>
    </row>
    <row r="1153" spans="1:14" hidden="1" x14ac:dyDescent="0.35">
      <c r="A1153" s="52" t="s">
        <v>623</v>
      </c>
      <c r="B1153" s="52" t="s">
        <v>60</v>
      </c>
      <c r="C1153" s="52" t="s">
        <v>393</v>
      </c>
      <c r="D1153" s="52" t="s">
        <v>393</v>
      </c>
      <c r="E1153" s="52" t="s">
        <v>584</v>
      </c>
      <c r="F1153" s="52" t="s">
        <v>581</v>
      </c>
      <c r="G1153" s="195" t="s">
        <v>279</v>
      </c>
      <c r="H1153" s="195">
        <v>0</v>
      </c>
      <c r="I1153" s="195">
        <v>0.39559559999999999</v>
      </c>
      <c r="J1153" s="195">
        <v>0</v>
      </c>
      <c r="K1153" s="195"/>
      <c r="L1153" s="195"/>
      <c r="M1153" s="195"/>
      <c r="N1153" s="195"/>
    </row>
    <row r="1154" spans="1:14" hidden="1" x14ac:dyDescent="0.35">
      <c r="A1154" s="52" t="s">
        <v>623</v>
      </c>
      <c r="B1154" s="52" t="s">
        <v>60</v>
      </c>
      <c r="C1154" s="52" t="s">
        <v>214</v>
      </c>
      <c r="D1154" s="52" t="s">
        <v>214</v>
      </c>
      <c r="E1154" s="52" t="s">
        <v>584</v>
      </c>
      <c r="F1154" s="52" t="s">
        <v>581</v>
      </c>
      <c r="G1154" s="195" t="s">
        <v>275</v>
      </c>
      <c r="H1154" s="195"/>
      <c r="I1154" s="195"/>
      <c r="J1154" s="195">
        <v>0</v>
      </c>
      <c r="K1154" s="195">
        <v>-4.7945679999999999</v>
      </c>
      <c r="L1154" s="195">
        <v>-11.8894</v>
      </c>
      <c r="M1154" s="195">
        <v>-24.475829999999998</v>
      </c>
      <c r="N1154" s="195">
        <v>-37.902790000000003</v>
      </c>
    </row>
    <row r="1155" spans="1:14" hidden="1" x14ac:dyDescent="0.35">
      <c r="A1155" s="52" t="s">
        <v>623</v>
      </c>
      <c r="B1155" s="52" t="s">
        <v>60</v>
      </c>
      <c r="C1155" s="52" t="s">
        <v>214</v>
      </c>
      <c r="D1155" s="52" t="s">
        <v>214</v>
      </c>
      <c r="E1155" s="52" t="s">
        <v>584</v>
      </c>
      <c r="F1155" s="52" t="s">
        <v>581</v>
      </c>
      <c r="G1155" s="195" t="s">
        <v>277</v>
      </c>
      <c r="H1155" s="195"/>
      <c r="I1155" s="195"/>
      <c r="J1155" s="195">
        <v>0</v>
      </c>
      <c r="K1155" s="195">
        <v>3.4864440000000001</v>
      </c>
      <c r="L1155" s="195">
        <v>10.58128</v>
      </c>
      <c r="M1155" s="195">
        <v>23.16771</v>
      </c>
      <c r="N1155" s="195">
        <v>36.594670000000001</v>
      </c>
    </row>
    <row r="1156" spans="1:14" hidden="1" x14ac:dyDescent="0.35">
      <c r="A1156" s="52" t="s">
        <v>623</v>
      </c>
      <c r="B1156" s="52" t="s">
        <v>60</v>
      </c>
      <c r="C1156" s="52" t="s">
        <v>214</v>
      </c>
      <c r="D1156" s="52" t="s">
        <v>214</v>
      </c>
      <c r="E1156" s="52" t="s">
        <v>584</v>
      </c>
      <c r="F1156" s="52" t="s">
        <v>581</v>
      </c>
      <c r="G1156" s="195" t="s">
        <v>279</v>
      </c>
      <c r="H1156" s="195"/>
      <c r="I1156" s="195"/>
      <c r="J1156" s="195">
        <v>0</v>
      </c>
      <c r="K1156" s="195">
        <v>1.308125</v>
      </c>
      <c r="L1156" s="195">
        <v>1.308125</v>
      </c>
      <c r="M1156" s="195">
        <v>1.308125</v>
      </c>
      <c r="N1156" s="195">
        <v>1.308125</v>
      </c>
    </row>
    <row r="1157" spans="1:14" hidden="1" x14ac:dyDescent="0.35">
      <c r="A1157" s="52" t="s">
        <v>623</v>
      </c>
      <c r="B1157" s="52" t="s">
        <v>60</v>
      </c>
      <c r="C1157" s="52" t="s">
        <v>214</v>
      </c>
      <c r="D1157" s="52" t="s">
        <v>214</v>
      </c>
      <c r="E1157" s="52" t="s">
        <v>584</v>
      </c>
      <c r="F1157" s="52" t="s">
        <v>26</v>
      </c>
      <c r="G1157" s="195" t="s">
        <v>275</v>
      </c>
      <c r="H1157" s="195">
        <v>-16.814070000000001</v>
      </c>
      <c r="I1157" s="195">
        <v>-49.138570000000001</v>
      </c>
      <c r="J1157" s="195">
        <v>-7.5717040000000004</v>
      </c>
      <c r="K1157" s="195">
        <v>-77.376980000000003</v>
      </c>
      <c r="L1157" s="195">
        <v>-215.1618</v>
      </c>
      <c r="M1157" s="195">
        <v>-459.5958</v>
      </c>
      <c r="N1157" s="195">
        <v>-805.94470000000001</v>
      </c>
    </row>
    <row r="1158" spans="1:14" hidden="1" x14ac:dyDescent="0.35">
      <c r="A1158" s="52" t="s">
        <v>623</v>
      </c>
      <c r="B1158" s="52" t="s">
        <v>60</v>
      </c>
      <c r="C1158" s="52" t="s">
        <v>214</v>
      </c>
      <c r="D1158" s="52" t="s">
        <v>214</v>
      </c>
      <c r="E1158" s="52" t="s">
        <v>584</v>
      </c>
      <c r="F1158" s="52" t="s">
        <v>26</v>
      </c>
      <c r="G1158" s="195" t="s">
        <v>276</v>
      </c>
      <c r="H1158" s="195"/>
      <c r="I1158" s="195"/>
      <c r="J1158" s="195">
        <v>-5.99827E-2</v>
      </c>
      <c r="K1158" s="195">
        <v>-0.21642749999999999</v>
      </c>
      <c r="L1158" s="195">
        <v>-8.3068679999999997</v>
      </c>
      <c r="M1158" s="195">
        <v>-0.14519270000000001</v>
      </c>
      <c r="N1158" s="195">
        <v>-0.14519270000000001</v>
      </c>
    </row>
    <row r="1159" spans="1:14" hidden="1" x14ac:dyDescent="0.35">
      <c r="A1159" s="52" t="s">
        <v>623</v>
      </c>
      <c r="B1159" s="52" t="s">
        <v>60</v>
      </c>
      <c r="C1159" s="52" t="s">
        <v>214</v>
      </c>
      <c r="D1159" s="52" t="s">
        <v>214</v>
      </c>
      <c r="E1159" s="52" t="s">
        <v>584</v>
      </c>
      <c r="F1159" s="52" t="s">
        <v>26</v>
      </c>
      <c r="G1159" s="195" t="s">
        <v>277</v>
      </c>
      <c r="H1159" s="195">
        <v>16.574999999999999</v>
      </c>
      <c r="I1159" s="195">
        <v>49.075000000000003</v>
      </c>
      <c r="J1159" s="195">
        <v>7.5717040000000004</v>
      </c>
      <c r="K1159" s="195">
        <v>67.708240000000004</v>
      </c>
      <c r="L1159" s="195">
        <v>205.49299999999999</v>
      </c>
      <c r="M1159" s="195">
        <v>449.92700000000002</v>
      </c>
      <c r="N1159" s="195">
        <v>796.27589999999998</v>
      </c>
    </row>
    <row r="1160" spans="1:14" hidden="1" x14ac:dyDescent="0.35">
      <c r="A1160" s="52" t="s">
        <v>623</v>
      </c>
      <c r="B1160" s="52" t="s">
        <v>60</v>
      </c>
      <c r="C1160" s="52" t="s">
        <v>214</v>
      </c>
      <c r="D1160" s="52" t="s">
        <v>214</v>
      </c>
      <c r="E1160" s="52" t="s">
        <v>584</v>
      </c>
      <c r="F1160" s="52" t="s">
        <v>26</v>
      </c>
      <c r="G1160" s="195" t="s">
        <v>278</v>
      </c>
      <c r="H1160" s="195">
        <v>0.23907500000000001</v>
      </c>
      <c r="I1160" s="195">
        <v>6.3564049999999997E-2</v>
      </c>
      <c r="J1160" s="195">
        <v>5.99827E-2</v>
      </c>
      <c r="K1160" s="195">
        <v>0.21642749999999999</v>
      </c>
      <c r="L1160" s="195">
        <v>8.3068679999999997</v>
      </c>
      <c r="M1160" s="195">
        <v>0.14519270000000001</v>
      </c>
      <c r="N1160" s="195">
        <v>0.14519270000000001</v>
      </c>
    </row>
    <row r="1161" spans="1:14" hidden="1" x14ac:dyDescent="0.35">
      <c r="A1161" s="52" t="s">
        <v>623</v>
      </c>
      <c r="B1161" s="52" t="s">
        <v>60</v>
      </c>
      <c r="C1161" s="52" t="s">
        <v>214</v>
      </c>
      <c r="D1161" s="52" t="s">
        <v>214</v>
      </c>
      <c r="E1161" s="52" t="s">
        <v>584</v>
      </c>
      <c r="F1161" s="52" t="s">
        <v>26</v>
      </c>
      <c r="G1161" s="195" t="s">
        <v>279</v>
      </c>
      <c r="H1161" s="195"/>
      <c r="I1161" s="195"/>
      <c r="J1161" s="195">
        <v>0</v>
      </c>
      <c r="K1161" s="195">
        <v>9.6687499999999993</v>
      </c>
      <c r="L1161" s="195">
        <v>9.6687499999999993</v>
      </c>
      <c r="M1161" s="195">
        <v>9.6687499999999993</v>
      </c>
      <c r="N1161" s="195">
        <v>9.6687499999999993</v>
      </c>
    </row>
    <row r="1162" spans="1:14" hidden="1" x14ac:dyDescent="0.35">
      <c r="A1162" s="52" t="s">
        <v>623</v>
      </c>
      <c r="B1162" s="52" t="s">
        <v>60</v>
      </c>
      <c r="C1162" s="52" t="s">
        <v>363</v>
      </c>
      <c r="D1162" s="52" t="s">
        <v>363</v>
      </c>
      <c r="E1162" s="52" t="s">
        <v>584</v>
      </c>
      <c r="F1162" s="52" t="s">
        <v>26</v>
      </c>
      <c r="G1162" s="195" t="s">
        <v>275</v>
      </c>
      <c r="H1162" s="195">
        <v>-3.7731199999999999E-2</v>
      </c>
      <c r="I1162" s="195">
        <v>-9.0203099999999994E-2</v>
      </c>
      <c r="J1162" s="195">
        <v>-8.3576349999999994E-2</v>
      </c>
      <c r="K1162" s="195">
        <v>-139.49610000000001</v>
      </c>
      <c r="L1162" s="195">
        <v>-402.786</v>
      </c>
      <c r="M1162" s="195">
        <v>-861.20619999999997</v>
      </c>
      <c r="N1162" s="195">
        <v>-1326.415</v>
      </c>
    </row>
    <row r="1163" spans="1:14" hidden="1" x14ac:dyDescent="0.35">
      <c r="A1163" s="52" t="s">
        <v>623</v>
      </c>
      <c r="B1163" s="52" t="s">
        <v>60</v>
      </c>
      <c r="C1163" s="52" t="s">
        <v>363</v>
      </c>
      <c r="D1163" s="52" t="s">
        <v>363</v>
      </c>
      <c r="E1163" s="52" t="s">
        <v>584</v>
      </c>
      <c r="F1163" s="52" t="s">
        <v>26</v>
      </c>
      <c r="G1163" s="195" t="s">
        <v>276</v>
      </c>
      <c r="H1163" s="195">
        <v>-2.0346300000000001E-2</v>
      </c>
      <c r="I1163" s="195">
        <v>-2.3081500000000001E-2</v>
      </c>
      <c r="J1163" s="195">
        <v>-2.22872E-2</v>
      </c>
      <c r="K1163" s="195">
        <v>-9.2042070000000002</v>
      </c>
      <c r="L1163" s="195">
        <v>-30.42315</v>
      </c>
      <c r="M1163" s="195">
        <v>-76.886960000000002</v>
      </c>
      <c r="N1163" s="195">
        <v>-150.27799999999999</v>
      </c>
    </row>
    <row r="1164" spans="1:14" hidden="1" x14ac:dyDescent="0.35">
      <c r="A1164" s="52" t="s">
        <v>623</v>
      </c>
      <c r="B1164" s="52" t="s">
        <v>60</v>
      </c>
      <c r="C1164" s="52" t="s">
        <v>363</v>
      </c>
      <c r="D1164" s="52" t="s">
        <v>363</v>
      </c>
      <c r="E1164" s="52" t="s">
        <v>584</v>
      </c>
      <c r="F1164" s="52" t="s">
        <v>26</v>
      </c>
      <c r="G1164" s="195" t="s">
        <v>277</v>
      </c>
      <c r="H1164" s="195"/>
      <c r="I1164" s="195"/>
      <c r="J1164" s="195">
        <v>0</v>
      </c>
      <c r="K1164" s="195">
        <v>139.85290000000001</v>
      </c>
      <c r="L1164" s="195">
        <v>424.4504</v>
      </c>
      <c r="M1164" s="195">
        <v>929.33439999999996</v>
      </c>
      <c r="N1164" s="195">
        <v>1467.9349999999999</v>
      </c>
    </row>
    <row r="1165" spans="1:14" hidden="1" x14ac:dyDescent="0.35">
      <c r="A1165" s="52" t="s">
        <v>623</v>
      </c>
      <c r="B1165" s="52" t="s">
        <v>60</v>
      </c>
      <c r="C1165" s="52" t="s">
        <v>363</v>
      </c>
      <c r="D1165" s="52" t="s">
        <v>363</v>
      </c>
      <c r="E1165" s="52" t="s">
        <v>584</v>
      </c>
      <c r="F1165" s="52" t="s">
        <v>26</v>
      </c>
      <c r="G1165" s="195" t="s">
        <v>278</v>
      </c>
      <c r="H1165" s="195">
        <v>5.8076849999999999E-2</v>
      </c>
      <c r="I1165" s="195">
        <v>0.1132846</v>
      </c>
      <c r="J1165" s="195">
        <v>0.10586420000000001</v>
      </c>
      <c r="K1165" s="195">
        <v>8.8624250000000002E-2</v>
      </c>
      <c r="L1165" s="195">
        <v>0</v>
      </c>
      <c r="M1165" s="195"/>
      <c r="N1165" s="195"/>
    </row>
    <row r="1166" spans="1:14" hidden="1" x14ac:dyDescent="0.35">
      <c r="A1166" s="52" t="s">
        <v>623</v>
      </c>
      <c r="B1166" s="52" t="s">
        <v>60</v>
      </c>
      <c r="C1166" s="52" t="s">
        <v>363</v>
      </c>
      <c r="D1166" s="52" t="s">
        <v>363</v>
      </c>
      <c r="E1166" s="52" t="s">
        <v>584</v>
      </c>
      <c r="F1166" s="52" t="s">
        <v>26</v>
      </c>
      <c r="G1166" s="195" t="s">
        <v>279</v>
      </c>
      <c r="H1166" s="195"/>
      <c r="I1166" s="195"/>
      <c r="J1166" s="195">
        <v>0</v>
      </c>
      <c r="K1166" s="195">
        <v>8.7587499999999991</v>
      </c>
      <c r="L1166" s="195">
        <v>8.7587489999999999</v>
      </c>
      <c r="M1166" s="195">
        <v>8.7587489999999999</v>
      </c>
      <c r="N1166" s="195">
        <v>8.7587499999999991</v>
      </c>
    </row>
    <row r="1167" spans="1:14" hidden="1" x14ac:dyDescent="0.35">
      <c r="A1167" s="52" t="s">
        <v>623</v>
      </c>
      <c r="B1167" s="52" t="s">
        <v>625</v>
      </c>
      <c r="C1167" s="52" t="s">
        <v>626</v>
      </c>
      <c r="D1167" s="52" t="s">
        <v>626</v>
      </c>
      <c r="E1167" s="52" t="s">
        <v>584</v>
      </c>
      <c r="F1167" s="52" t="s">
        <v>581</v>
      </c>
      <c r="G1167" s="195" t="s">
        <v>275</v>
      </c>
      <c r="H1167" s="195">
        <v>4.6940239999999998</v>
      </c>
      <c r="I1167" s="195">
        <v>0.77181259999999996</v>
      </c>
      <c r="J1167" s="195">
        <v>0.38697490000000001</v>
      </c>
      <c r="K1167" s="195">
        <v>0.28845539999999997</v>
      </c>
      <c r="L1167" s="195">
        <v>0.2275374</v>
      </c>
      <c r="M1167" s="195">
        <v>0.17898539999999999</v>
      </c>
      <c r="N1167" s="195">
        <v>0.1448256</v>
      </c>
    </row>
    <row r="1168" spans="1:14" hidden="1" x14ac:dyDescent="0.35">
      <c r="A1168" s="52" t="s">
        <v>623</v>
      </c>
      <c r="B1168" s="52" t="s">
        <v>625</v>
      </c>
      <c r="C1168" s="52" t="s">
        <v>626</v>
      </c>
      <c r="D1168" s="52" t="s">
        <v>626</v>
      </c>
      <c r="E1168" s="52" t="s">
        <v>584</v>
      </c>
      <c r="F1168" s="52" t="s">
        <v>581</v>
      </c>
      <c r="G1168" s="195" t="s">
        <v>276</v>
      </c>
      <c r="H1168" s="195">
        <v>1.179459</v>
      </c>
      <c r="I1168" s="195">
        <v>0.50029840000000003</v>
      </c>
      <c r="J1168" s="195">
        <v>0.38028000000000001</v>
      </c>
      <c r="K1168" s="195">
        <v>0.28393770000000002</v>
      </c>
      <c r="L1168" s="195">
        <v>0.22519310000000001</v>
      </c>
      <c r="M1168" s="195">
        <v>0.17881830000000001</v>
      </c>
      <c r="N1168" s="195">
        <v>0.14482500000000001</v>
      </c>
    </row>
    <row r="1169" spans="1:14" hidden="1" x14ac:dyDescent="0.35">
      <c r="A1169" s="52" t="s">
        <v>623</v>
      </c>
      <c r="B1169" s="52" t="s">
        <v>625</v>
      </c>
      <c r="C1169" s="52" t="s">
        <v>626</v>
      </c>
      <c r="D1169" s="52" t="s">
        <v>626</v>
      </c>
      <c r="E1169" s="52" t="s">
        <v>584</v>
      </c>
      <c r="F1169" s="52" t="s">
        <v>581</v>
      </c>
      <c r="G1169" s="195" t="s">
        <v>277</v>
      </c>
      <c r="H1169" s="195"/>
      <c r="I1169" s="195"/>
      <c r="J1169" s="195"/>
      <c r="K1169" s="195"/>
      <c r="L1169" s="195"/>
      <c r="M1169" s="195">
        <v>0</v>
      </c>
      <c r="N1169" s="195"/>
    </row>
    <row r="1170" spans="1:14" hidden="1" x14ac:dyDescent="0.35">
      <c r="A1170" s="52" t="s">
        <v>623</v>
      </c>
      <c r="B1170" s="52" t="s">
        <v>625</v>
      </c>
      <c r="C1170" s="52" t="s">
        <v>626</v>
      </c>
      <c r="D1170" s="52" t="s">
        <v>626</v>
      </c>
      <c r="E1170" s="52" t="s">
        <v>584</v>
      </c>
      <c r="F1170" s="52" t="s">
        <v>581</v>
      </c>
      <c r="G1170" s="195" t="s">
        <v>278</v>
      </c>
      <c r="H1170" s="195">
        <v>2.0077330000000001E-2</v>
      </c>
      <c r="I1170" s="195">
        <v>2.0077330000000001E-2</v>
      </c>
      <c r="J1170" s="195">
        <v>0</v>
      </c>
      <c r="K1170" s="195">
        <v>0</v>
      </c>
      <c r="L1170" s="195">
        <v>0</v>
      </c>
      <c r="M1170" s="195">
        <v>0</v>
      </c>
      <c r="N1170" s="195">
        <v>0</v>
      </c>
    </row>
    <row r="1171" spans="1:14" hidden="1" x14ac:dyDescent="0.35">
      <c r="A1171" s="52" t="s">
        <v>623</v>
      </c>
      <c r="B1171" s="52" t="s">
        <v>625</v>
      </c>
      <c r="C1171" s="52" t="s">
        <v>626</v>
      </c>
      <c r="D1171" s="52" t="s">
        <v>626</v>
      </c>
      <c r="E1171" s="52" t="s">
        <v>584</v>
      </c>
      <c r="F1171" s="52" t="s">
        <v>581</v>
      </c>
      <c r="G1171" s="195" t="s">
        <v>279</v>
      </c>
      <c r="H1171" s="195">
        <v>1.0369969999999999</v>
      </c>
      <c r="I1171" s="195">
        <v>0.7633626</v>
      </c>
      <c r="J1171" s="195">
        <v>0.61443380000000003</v>
      </c>
      <c r="K1171" s="195">
        <v>0.50848170000000004</v>
      </c>
      <c r="L1171" s="195">
        <v>0.39708860000000001</v>
      </c>
      <c r="M1171" s="195">
        <v>0.30790800000000002</v>
      </c>
      <c r="N1171" s="195">
        <v>0.2423469</v>
      </c>
    </row>
    <row r="1172" spans="1:14" hidden="1" x14ac:dyDescent="0.35">
      <c r="A1172" s="52" t="s">
        <v>623</v>
      </c>
      <c r="B1172" s="52" t="s">
        <v>625</v>
      </c>
      <c r="C1172" s="52" t="s">
        <v>626</v>
      </c>
      <c r="D1172" s="52" t="s">
        <v>626</v>
      </c>
      <c r="E1172" s="52" t="s">
        <v>584</v>
      </c>
      <c r="F1172" s="52" t="s">
        <v>26</v>
      </c>
      <c r="G1172" s="195" t="s">
        <v>275</v>
      </c>
      <c r="H1172" s="195">
        <v>125.733</v>
      </c>
      <c r="I1172" s="195">
        <v>38.357059999999997</v>
      </c>
      <c r="J1172" s="195">
        <v>18.967649999999999</v>
      </c>
      <c r="K1172" s="195">
        <v>2.2719809999999998</v>
      </c>
      <c r="L1172" s="195">
        <v>1.1185149999999999</v>
      </c>
      <c r="M1172" s="195">
        <v>0.89581690000000003</v>
      </c>
      <c r="N1172" s="195">
        <v>0.31162980000000001</v>
      </c>
    </row>
    <row r="1173" spans="1:14" hidden="1" x14ac:dyDescent="0.35">
      <c r="A1173" s="52" t="s">
        <v>623</v>
      </c>
      <c r="B1173" s="52" t="s">
        <v>625</v>
      </c>
      <c r="C1173" s="52" t="s">
        <v>626</v>
      </c>
      <c r="D1173" s="52" t="s">
        <v>626</v>
      </c>
      <c r="E1173" s="52" t="s">
        <v>584</v>
      </c>
      <c r="F1173" s="52" t="s">
        <v>26</v>
      </c>
      <c r="G1173" s="195" t="s">
        <v>276</v>
      </c>
      <c r="H1173" s="195">
        <v>125.6159</v>
      </c>
      <c r="I1173" s="195">
        <v>32.782119999999999</v>
      </c>
      <c r="J1173" s="195">
        <v>12.75928</v>
      </c>
      <c r="K1173" s="195">
        <v>1.8528800000000001</v>
      </c>
      <c r="L1173" s="195">
        <v>-4.0854210000000002</v>
      </c>
      <c r="M1173" s="195">
        <v>-7.1929480000000003</v>
      </c>
      <c r="N1173" s="195">
        <v>-9.1249289999999998</v>
      </c>
    </row>
    <row r="1174" spans="1:14" hidden="1" x14ac:dyDescent="0.35">
      <c r="A1174" s="52" t="s">
        <v>623</v>
      </c>
      <c r="B1174" s="52" t="s">
        <v>625</v>
      </c>
      <c r="C1174" s="52" t="s">
        <v>626</v>
      </c>
      <c r="D1174" s="52" t="s">
        <v>626</v>
      </c>
      <c r="E1174" s="52" t="s">
        <v>584</v>
      </c>
      <c r="F1174" s="52" t="s">
        <v>26</v>
      </c>
      <c r="G1174" s="195" t="s">
        <v>277</v>
      </c>
      <c r="H1174" s="195">
        <v>32.35971</v>
      </c>
      <c r="I1174" s="195">
        <v>24.696059999999999</v>
      </c>
      <c r="J1174" s="195">
        <v>22.416149999999998</v>
      </c>
      <c r="K1174" s="195">
        <v>27.538789999999999</v>
      </c>
      <c r="L1174" s="195">
        <v>20.25263</v>
      </c>
      <c r="M1174" s="195">
        <v>13.6153</v>
      </c>
      <c r="N1174" s="195">
        <v>9.1600149999999996</v>
      </c>
    </row>
    <row r="1175" spans="1:14" hidden="1" x14ac:dyDescent="0.35">
      <c r="A1175" s="52" t="s">
        <v>623</v>
      </c>
      <c r="B1175" s="52" t="s">
        <v>625</v>
      </c>
      <c r="C1175" s="52" t="s">
        <v>626</v>
      </c>
      <c r="D1175" s="52" t="s">
        <v>626</v>
      </c>
      <c r="E1175" s="52" t="s">
        <v>584</v>
      </c>
      <c r="F1175" s="52" t="s">
        <v>26</v>
      </c>
      <c r="G1175" s="195" t="s">
        <v>278</v>
      </c>
      <c r="H1175" s="195">
        <v>3.3426379999999999E-2</v>
      </c>
      <c r="I1175" s="195">
        <v>3.3426379999999999E-2</v>
      </c>
      <c r="J1175" s="195">
        <v>0</v>
      </c>
      <c r="K1175" s="195">
        <v>0</v>
      </c>
      <c r="L1175" s="195">
        <v>0</v>
      </c>
      <c r="M1175" s="195">
        <v>0</v>
      </c>
      <c r="N1175" s="195">
        <v>0</v>
      </c>
    </row>
    <row r="1176" spans="1:14" hidden="1" x14ac:dyDescent="0.35">
      <c r="A1176" s="52" t="s">
        <v>623</v>
      </c>
      <c r="B1176" s="52" t="s">
        <v>625</v>
      </c>
      <c r="C1176" s="52" t="s">
        <v>626</v>
      </c>
      <c r="D1176" s="52" t="s">
        <v>626</v>
      </c>
      <c r="E1176" s="52" t="s">
        <v>584</v>
      </c>
      <c r="F1176" s="52" t="s">
        <v>26</v>
      </c>
      <c r="G1176" s="195" t="s">
        <v>279</v>
      </c>
      <c r="H1176" s="195">
        <v>46.353180000000002</v>
      </c>
      <c r="I1176" s="195">
        <v>33.284300000000002</v>
      </c>
      <c r="J1176" s="195">
        <v>27.72616</v>
      </c>
      <c r="K1176" s="195">
        <v>25.15653</v>
      </c>
      <c r="L1176" s="195">
        <v>22.31277</v>
      </c>
      <c r="M1176" s="195">
        <v>20.466090000000001</v>
      </c>
      <c r="N1176" s="195">
        <v>19.3093</v>
      </c>
    </row>
    <row r="1177" spans="1:14" hidden="1" x14ac:dyDescent="0.35">
      <c r="A1177" s="52" t="s">
        <v>623</v>
      </c>
      <c r="B1177" s="52" t="s">
        <v>625</v>
      </c>
      <c r="C1177" s="52" t="s">
        <v>627</v>
      </c>
      <c r="D1177" s="52" t="s">
        <v>627</v>
      </c>
      <c r="E1177" s="52" t="s">
        <v>584</v>
      </c>
      <c r="F1177" s="52" t="s">
        <v>581</v>
      </c>
      <c r="G1177" s="195" t="s">
        <v>275</v>
      </c>
      <c r="H1177" s="195">
        <v>20.093530000000001</v>
      </c>
      <c r="I1177" s="195">
        <v>3.9139279999999999</v>
      </c>
      <c r="J1177" s="195">
        <v>2.2363979999999999</v>
      </c>
      <c r="K1177" s="195">
        <v>2.2312210000000001</v>
      </c>
      <c r="L1177" s="195">
        <v>1.875375</v>
      </c>
      <c r="M1177" s="195">
        <v>1.649044</v>
      </c>
      <c r="N1177" s="195">
        <v>1.2186699999999999</v>
      </c>
    </row>
    <row r="1178" spans="1:14" hidden="1" x14ac:dyDescent="0.35">
      <c r="A1178" s="52" t="s">
        <v>623</v>
      </c>
      <c r="B1178" s="52" t="s">
        <v>625</v>
      </c>
      <c r="C1178" s="52" t="s">
        <v>627</v>
      </c>
      <c r="D1178" s="52" t="s">
        <v>627</v>
      </c>
      <c r="E1178" s="52" t="s">
        <v>584</v>
      </c>
      <c r="F1178" s="52" t="s">
        <v>581</v>
      </c>
      <c r="G1178" s="195" t="s">
        <v>276</v>
      </c>
      <c r="H1178" s="195">
        <v>20.32752</v>
      </c>
      <c r="I1178" s="195">
        <v>2.681813</v>
      </c>
      <c r="J1178" s="195">
        <v>0.57421940000000005</v>
      </c>
      <c r="K1178" s="195">
        <v>-3.8828580000000001E-2</v>
      </c>
      <c r="L1178" s="195">
        <v>-0.19248019999999999</v>
      </c>
      <c r="M1178" s="195">
        <v>-8.663999E-2</v>
      </c>
      <c r="N1178" s="195">
        <v>6.868519E-3</v>
      </c>
    </row>
    <row r="1179" spans="1:14" hidden="1" x14ac:dyDescent="0.35">
      <c r="A1179" s="52" t="s">
        <v>623</v>
      </c>
      <c r="B1179" s="52" t="s">
        <v>625</v>
      </c>
      <c r="C1179" s="52" t="s">
        <v>627</v>
      </c>
      <c r="D1179" s="52" t="s">
        <v>627</v>
      </c>
      <c r="E1179" s="52" t="s">
        <v>584</v>
      </c>
      <c r="F1179" s="52" t="s">
        <v>581</v>
      </c>
      <c r="G1179" s="195" t="s">
        <v>277</v>
      </c>
      <c r="H1179" s="195">
        <v>6.1631780000000003</v>
      </c>
      <c r="I1179" s="195">
        <v>4.4411930000000002</v>
      </c>
      <c r="J1179" s="195">
        <v>3.5843039999999999</v>
      </c>
      <c r="K1179" s="195">
        <v>2.2666439999999999</v>
      </c>
      <c r="L1179" s="195">
        <v>1.529013</v>
      </c>
      <c r="M1179" s="195">
        <v>0.78568289999999996</v>
      </c>
      <c r="N1179" s="195">
        <v>0.5266594</v>
      </c>
    </row>
    <row r="1180" spans="1:14" hidden="1" x14ac:dyDescent="0.35">
      <c r="A1180" s="52" t="s">
        <v>623</v>
      </c>
      <c r="B1180" s="52" t="s">
        <v>625</v>
      </c>
      <c r="C1180" s="52" t="s">
        <v>627</v>
      </c>
      <c r="D1180" s="52" t="s">
        <v>627</v>
      </c>
      <c r="E1180" s="52" t="s">
        <v>584</v>
      </c>
      <c r="F1180" s="52" t="s">
        <v>581</v>
      </c>
      <c r="G1180" s="195" t="s">
        <v>279</v>
      </c>
      <c r="H1180" s="195">
        <v>4.6342189999999999</v>
      </c>
      <c r="I1180" s="195">
        <v>3.1165080000000001</v>
      </c>
      <c r="J1180" s="195">
        <v>2.3931249999999999</v>
      </c>
      <c r="K1180" s="195">
        <v>1.9737359999999999</v>
      </c>
      <c r="L1180" s="195">
        <v>1.5768310000000001</v>
      </c>
      <c r="M1180" s="195">
        <v>1.2695110000000001</v>
      </c>
      <c r="N1180" s="195">
        <v>1.0453520000000001</v>
      </c>
    </row>
    <row r="1181" spans="1:14" hidden="1" x14ac:dyDescent="0.35">
      <c r="A1181" s="52" t="s">
        <v>623</v>
      </c>
      <c r="B1181" s="52" t="s">
        <v>625</v>
      </c>
      <c r="C1181" s="52" t="s">
        <v>628</v>
      </c>
      <c r="D1181" s="52" t="s">
        <v>628</v>
      </c>
      <c r="E1181" s="52" t="s">
        <v>584</v>
      </c>
      <c r="F1181" s="52" t="s">
        <v>581</v>
      </c>
      <c r="G1181" s="195" t="s">
        <v>275</v>
      </c>
      <c r="H1181" s="195">
        <v>2.2686000000000001E-2</v>
      </c>
      <c r="I1181" s="195">
        <v>7.3990000000000002E-3</v>
      </c>
      <c r="J1181" s="195">
        <v>6.0324000000000003E-3</v>
      </c>
      <c r="K1181" s="195">
        <v>5.8944000000000002E-3</v>
      </c>
      <c r="L1181" s="195">
        <v>5.8437999999999997E-3</v>
      </c>
      <c r="M1181" s="195">
        <v>5.7035999999999996E-3</v>
      </c>
      <c r="N1181" s="195">
        <v>5.5836000000000002E-3</v>
      </c>
    </row>
    <row r="1182" spans="1:14" hidden="1" x14ac:dyDescent="0.35">
      <c r="A1182" s="52" t="s">
        <v>623</v>
      </c>
      <c r="B1182" s="52" t="s">
        <v>625</v>
      </c>
      <c r="C1182" s="52" t="s">
        <v>628</v>
      </c>
      <c r="D1182" s="52" t="s">
        <v>628</v>
      </c>
      <c r="E1182" s="52" t="s">
        <v>584</v>
      </c>
      <c r="F1182" s="52" t="s">
        <v>581</v>
      </c>
      <c r="G1182" s="195" t="s">
        <v>276</v>
      </c>
      <c r="H1182" s="195">
        <v>2.2686000000000001E-2</v>
      </c>
      <c r="I1182" s="195">
        <v>7.3990000000000002E-3</v>
      </c>
      <c r="J1182" s="195">
        <v>6.0324000000000003E-3</v>
      </c>
      <c r="K1182" s="195">
        <v>5.8941999999999996E-3</v>
      </c>
      <c r="L1182" s="195">
        <v>5.8437999999999997E-3</v>
      </c>
      <c r="M1182" s="195">
        <v>5.7035999999999996E-3</v>
      </c>
      <c r="N1182" s="195">
        <v>5.5836000000000002E-3</v>
      </c>
    </row>
    <row r="1183" spans="1:14" hidden="1" x14ac:dyDescent="0.35">
      <c r="A1183" s="52" t="s">
        <v>623</v>
      </c>
      <c r="B1183" s="52" t="s">
        <v>625</v>
      </c>
      <c r="C1183" s="52" t="s">
        <v>628</v>
      </c>
      <c r="D1183" s="52" t="s">
        <v>628</v>
      </c>
      <c r="E1183" s="52" t="s">
        <v>584</v>
      </c>
      <c r="F1183" s="52" t="s">
        <v>581</v>
      </c>
      <c r="G1183" s="195" t="s">
        <v>279</v>
      </c>
      <c r="H1183" s="195">
        <v>5.5149999999999999E-3</v>
      </c>
      <c r="I1183" s="195">
        <v>5.058E-3</v>
      </c>
      <c r="J1183" s="195">
        <v>5.117E-3</v>
      </c>
      <c r="K1183" s="195">
        <v>5.3886000000000003E-3</v>
      </c>
      <c r="L1183" s="195">
        <v>5.3514000000000001E-3</v>
      </c>
      <c r="M1183" s="195">
        <v>5.2524E-3</v>
      </c>
      <c r="N1183" s="195">
        <v>5.1684000000000001E-3</v>
      </c>
    </row>
    <row r="1184" spans="1:14" hidden="1" x14ac:dyDescent="0.35">
      <c r="A1184" s="52" t="s">
        <v>623</v>
      </c>
      <c r="B1184" s="52" t="s">
        <v>625</v>
      </c>
      <c r="C1184" s="52" t="s">
        <v>628</v>
      </c>
      <c r="D1184" s="52" t="s">
        <v>628</v>
      </c>
      <c r="E1184" s="52" t="s">
        <v>584</v>
      </c>
      <c r="F1184" s="52" t="s">
        <v>26</v>
      </c>
      <c r="G1184" s="195" t="s">
        <v>275</v>
      </c>
      <c r="H1184" s="195">
        <v>-1.509244</v>
      </c>
      <c r="I1184" s="195">
        <v>-0.95966110000000004</v>
      </c>
      <c r="J1184" s="195">
        <v>-0.75122540000000004</v>
      </c>
      <c r="K1184" s="195">
        <v>-1.6064149999999999</v>
      </c>
      <c r="L1184" s="195">
        <v>-2.0689289999999998</v>
      </c>
      <c r="M1184" s="195">
        <v>-2.3197459999999999</v>
      </c>
      <c r="N1184" s="195">
        <v>-2.3256960000000002</v>
      </c>
    </row>
    <row r="1185" spans="1:14" hidden="1" x14ac:dyDescent="0.35">
      <c r="A1185" s="52" t="s">
        <v>623</v>
      </c>
      <c r="B1185" s="52" t="s">
        <v>625</v>
      </c>
      <c r="C1185" s="52" t="s">
        <v>628</v>
      </c>
      <c r="D1185" s="52" t="s">
        <v>628</v>
      </c>
      <c r="E1185" s="52" t="s">
        <v>584</v>
      </c>
      <c r="F1185" s="52" t="s">
        <v>26</v>
      </c>
      <c r="G1185" s="195" t="s">
        <v>276</v>
      </c>
      <c r="H1185" s="195">
        <v>-1.3004</v>
      </c>
      <c r="I1185" s="195">
        <v>-1.7464500000000001</v>
      </c>
      <c r="J1185" s="195">
        <v>-1.696199</v>
      </c>
      <c r="K1185" s="195">
        <v>-1.6634</v>
      </c>
      <c r="L1185" s="195">
        <v>-1.636684</v>
      </c>
      <c r="M1185" s="195">
        <v>-1.63256</v>
      </c>
      <c r="N1185" s="195">
        <v>-1.755134</v>
      </c>
    </row>
    <row r="1186" spans="1:14" hidden="1" x14ac:dyDescent="0.35">
      <c r="A1186" s="52" t="s">
        <v>623</v>
      </c>
      <c r="B1186" s="52" t="s">
        <v>625</v>
      </c>
      <c r="C1186" s="52" t="s">
        <v>628</v>
      </c>
      <c r="D1186" s="52" t="s">
        <v>628</v>
      </c>
      <c r="E1186" s="52" t="s">
        <v>584</v>
      </c>
      <c r="F1186" s="52" t="s">
        <v>26</v>
      </c>
      <c r="G1186" s="195" t="s">
        <v>277</v>
      </c>
      <c r="H1186" s="195">
        <v>4.8700010000000002</v>
      </c>
      <c r="I1186" s="195">
        <v>3.7199599999999999</v>
      </c>
      <c r="J1186" s="195">
        <v>3.3300169999999998</v>
      </c>
      <c r="K1186" s="195">
        <v>4.1265349999999996</v>
      </c>
      <c r="L1186" s="195">
        <v>4.5519379999999998</v>
      </c>
      <c r="M1186" s="195">
        <v>4.7910969999999997</v>
      </c>
      <c r="N1186" s="195">
        <v>4.9130979999999997</v>
      </c>
    </row>
    <row r="1187" spans="1:14" hidden="1" x14ac:dyDescent="0.35">
      <c r="A1187" s="52" t="s">
        <v>623</v>
      </c>
      <c r="B1187" s="52" t="s">
        <v>625</v>
      </c>
      <c r="C1187" s="52" t="s">
        <v>628</v>
      </c>
      <c r="D1187" s="52" t="s">
        <v>628</v>
      </c>
      <c r="E1187" s="52" t="s">
        <v>584</v>
      </c>
      <c r="F1187" s="52" t="s">
        <v>26</v>
      </c>
      <c r="G1187" s="195" t="s">
        <v>279</v>
      </c>
      <c r="H1187" s="195">
        <v>0.36610100000000001</v>
      </c>
      <c r="I1187" s="195">
        <v>0.33977299999999999</v>
      </c>
      <c r="J1187" s="195">
        <v>0.34020600000000001</v>
      </c>
      <c r="K1187" s="195">
        <v>0.35131600000000002</v>
      </c>
      <c r="L1187" s="195">
        <v>0.34904200000000002</v>
      </c>
      <c r="M1187" s="195">
        <v>0.34716799999999998</v>
      </c>
      <c r="N1187" s="195">
        <v>0.34568300000000002</v>
      </c>
    </row>
    <row r="1188" spans="1:14" hidden="1" x14ac:dyDescent="0.35">
      <c r="A1188" s="52" t="s">
        <v>623</v>
      </c>
      <c r="B1188" s="52" t="s">
        <v>625</v>
      </c>
      <c r="C1188" s="52" t="s">
        <v>629</v>
      </c>
      <c r="D1188" s="52" t="s">
        <v>629</v>
      </c>
      <c r="E1188" s="52" t="s">
        <v>584</v>
      </c>
      <c r="F1188" s="52" t="s">
        <v>581</v>
      </c>
      <c r="G1188" s="195" t="s">
        <v>275</v>
      </c>
      <c r="H1188" s="195">
        <v>0.19395899999999999</v>
      </c>
      <c r="I1188" s="195">
        <v>-4.4522560000000002</v>
      </c>
      <c r="J1188" s="195">
        <v>0</v>
      </c>
      <c r="K1188" s="195"/>
      <c r="L1188" s="195"/>
      <c r="M1188" s="195"/>
      <c r="N1188" s="195"/>
    </row>
    <row r="1189" spans="1:14" hidden="1" x14ac:dyDescent="0.35">
      <c r="A1189" s="52" t="s">
        <v>623</v>
      </c>
      <c r="B1189" s="52" t="s">
        <v>625</v>
      </c>
      <c r="C1189" s="52" t="s">
        <v>629</v>
      </c>
      <c r="D1189" s="52" t="s">
        <v>629</v>
      </c>
      <c r="E1189" s="52" t="s">
        <v>584</v>
      </c>
      <c r="F1189" s="52" t="s">
        <v>581</v>
      </c>
      <c r="G1189" s="195" t="s">
        <v>276</v>
      </c>
      <c r="H1189" s="195">
        <v>0.19395899999999999</v>
      </c>
      <c r="I1189" s="195">
        <v>-4.4522550000000001</v>
      </c>
      <c r="J1189" s="195">
        <v>0</v>
      </c>
      <c r="K1189" s="195"/>
      <c r="L1189" s="195"/>
      <c r="M1189" s="195"/>
      <c r="N1189" s="195"/>
    </row>
    <row r="1190" spans="1:14" hidden="1" x14ac:dyDescent="0.35">
      <c r="A1190" s="52" t="s">
        <v>623</v>
      </c>
      <c r="B1190" s="52" t="s">
        <v>625</v>
      </c>
      <c r="C1190" s="52" t="s">
        <v>629</v>
      </c>
      <c r="D1190" s="52" t="s">
        <v>629</v>
      </c>
      <c r="E1190" s="52" t="s">
        <v>584</v>
      </c>
      <c r="F1190" s="52" t="s">
        <v>581</v>
      </c>
      <c r="G1190" s="195" t="s">
        <v>279</v>
      </c>
      <c r="H1190" s="195">
        <v>0.132045</v>
      </c>
      <c r="I1190" s="195">
        <v>8.9045100000000001</v>
      </c>
      <c r="J1190" s="195">
        <v>0</v>
      </c>
      <c r="K1190" s="195"/>
      <c r="L1190" s="195"/>
      <c r="M1190" s="195"/>
      <c r="N1190" s="195"/>
    </row>
    <row r="1191" spans="1:14" hidden="1" x14ac:dyDescent="0.35">
      <c r="A1191" s="52" t="s">
        <v>623</v>
      </c>
      <c r="B1191" s="52" t="s">
        <v>625</v>
      </c>
      <c r="C1191" s="52" t="s">
        <v>629</v>
      </c>
      <c r="D1191" s="52" t="s">
        <v>629</v>
      </c>
      <c r="E1191" s="52" t="s">
        <v>584</v>
      </c>
      <c r="F1191" s="52" t="s">
        <v>26</v>
      </c>
      <c r="G1191" s="195" t="s">
        <v>275</v>
      </c>
      <c r="H1191" s="195">
        <v>3.5312489999999999</v>
      </c>
      <c r="I1191" s="195">
        <v>-19.675899999999999</v>
      </c>
      <c r="J1191" s="195">
        <v>2.3480660000000002</v>
      </c>
      <c r="K1191" s="195">
        <v>0</v>
      </c>
      <c r="L1191" s="195"/>
      <c r="M1191" s="195"/>
      <c r="N1191" s="195"/>
    </row>
    <row r="1192" spans="1:14" hidden="1" x14ac:dyDescent="0.35">
      <c r="A1192" s="52" t="s">
        <v>623</v>
      </c>
      <c r="B1192" s="52" t="s">
        <v>625</v>
      </c>
      <c r="C1192" s="52" t="s">
        <v>629</v>
      </c>
      <c r="D1192" s="52" t="s">
        <v>629</v>
      </c>
      <c r="E1192" s="52" t="s">
        <v>584</v>
      </c>
      <c r="F1192" s="52" t="s">
        <v>26</v>
      </c>
      <c r="G1192" s="195" t="s">
        <v>276</v>
      </c>
      <c r="H1192" s="195">
        <v>-6.1678519999999999</v>
      </c>
      <c r="I1192" s="195">
        <v>-26.752369999999999</v>
      </c>
      <c r="J1192" s="195">
        <v>-2.3480660000000002</v>
      </c>
      <c r="K1192" s="195">
        <v>0</v>
      </c>
      <c r="L1192" s="195"/>
      <c r="M1192" s="195"/>
      <c r="N1192" s="195"/>
    </row>
    <row r="1193" spans="1:14" hidden="1" x14ac:dyDescent="0.35">
      <c r="A1193" s="52" t="s">
        <v>623</v>
      </c>
      <c r="B1193" s="52" t="s">
        <v>625</v>
      </c>
      <c r="C1193" s="52" t="s">
        <v>629</v>
      </c>
      <c r="D1193" s="52" t="s">
        <v>629</v>
      </c>
      <c r="E1193" s="52" t="s">
        <v>584</v>
      </c>
      <c r="F1193" s="52" t="s">
        <v>26</v>
      </c>
      <c r="G1193" s="195" t="s">
        <v>277</v>
      </c>
      <c r="H1193" s="195">
        <v>0</v>
      </c>
      <c r="I1193" s="195"/>
      <c r="J1193" s="195"/>
      <c r="K1193" s="195"/>
      <c r="L1193" s="195"/>
      <c r="M1193" s="195"/>
      <c r="N1193" s="195"/>
    </row>
    <row r="1194" spans="1:14" hidden="1" x14ac:dyDescent="0.35">
      <c r="A1194" s="52" t="s">
        <v>623</v>
      </c>
      <c r="B1194" s="52" t="s">
        <v>625</v>
      </c>
      <c r="C1194" s="52" t="s">
        <v>629</v>
      </c>
      <c r="D1194" s="52" t="s">
        <v>629</v>
      </c>
      <c r="E1194" s="52" t="s">
        <v>584</v>
      </c>
      <c r="F1194" s="52" t="s">
        <v>26</v>
      </c>
      <c r="G1194" s="195" t="s">
        <v>279</v>
      </c>
      <c r="H1194" s="195">
        <v>10.98934</v>
      </c>
      <c r="I1194" s="195">
        <v>46.428280000000001</v>
      </c>
      <c r="J1194" s="195">
        <v>0</v>
      </c>
      <c r="K1194" s="195"/>
      <c r="L1194" s="195"/>
      <c r="M1194" s="195"/>
      <c r="N1194" s="195"/>
    </row>
    <row r="1195" spans="1:14" hidden="1" x14ac:dyDescent="0.35">
      <c r="A1195" s="52" t="s">
        <v>623</v>
      </c>
      <c r="B1195" s="52" t="s">
        <v>625</v>
      </c>
      <c r="C1195" s="52" t="s">
        <v>821</v>
      </c>
      <c r="D1195" s="52" t="s">
        <v>821</v>
      </c>
      <c r="E1195" s="52" t="s">
        <v>584</v>
      </c>
      <c r="F1195" s="52" t="s">
        <v>26</v>
      </c>
      <c r="G1195" s="195" t="s">
        <v>275</v>
      </c>
      <c r="H1195" s="195">
        <v>19.577400000000001</v>
      </c>
      <c r="I1195" s="195">
        <v>19.57677</v>
      </c>
      <c r="J1195" s="195">
        <v>1.4732909999999999</v>
      </c>
      <c r="K1195" s="195">
        <v>-3.5909999999999997E-2</v>
      </c>
      <c r="L1195" s="195">
        <v>-3.6540000000000003E-2</v>
      </c>
      <c r="M1195" s="195">
        <v>-3.7170000000000002E-2</v>
      </c>
      <c r="N1195" s="195">
        <v>-8.2800009999999993E-2</v>
      </c>
    </row>
    <row r="1196" spans="1:14" hidden="1" x14ac:dyDescent="0.35">
      <c r="A1196" s="52" t="s">
        <v>623</v>
      </c>
      <c r="B1196" s="52" t="s">
        <v>625</v>
      </c>
      <c r="C1196" s="52" t="s">
        <v>821</v>
      </c>
      <c r="D1196" s="52" t="s">
        <v>821</v>
      </c>
      <c r="E1196" s="52" t="s">
        <v>584</v>
      </c>
      <c r="F1196" s="52" t="s">
        <v>26</v>
      </c>
      <c r="G1196" s="195" t="s">
        <v>276</v>
      </c>
      <c r="H1196" s="195">
        <v>-19.652999999999999</v>
      </c>
      <c r="I1196" s="195">
        <v>-19.652370000000001</v>
      </c>
      <c r="J1196" s="195">
        <v>-1.548891</v>
      </c>
      <c r="K1196" s="195">
        <v>-3.9690000000000003E-2</v>
      </c>
      <c r="L1196" s="195">
        <v>-3.9059999999999997E-2</v>
      </c>
      <c r="M1196" s="195">
        <v>-3.8429989999999997E-2</v>
      </c>
      <c r="N1196" s="195">
        <v>-4.2800009999999999E-2</v>
      </c>
    </row>
    <row r="1197" spans="1:14" hidden="1" x14ac:dyDescent="0.35">
      <c r="A1197" s="52" t="s">
        <v>623</v>
      </c>
      <c r="B1197" s="52" t="s">
        <v>625</v>
      </c>
      <c r="C1197" s="52" t="s">
        <v>821</v>
      </c>
      <c r="D1197" s="52" t="s">
        <v>821</v>
      </c>
      <c r="E1197" s="52" t="s">
        <v>584</v>
      </c>
      <c r="F1197" s="52" t="s">
        <v>26</v>
      </c>
      <c r="G1197" s="195" t="s">
        <v>277</v>
      </c>
      <c r="H1197" s="195"/>
      <c r="I1197" s="195"/>
      <c r="J1197" s="195"/>
      <c r="K1197" s="195"/>
      <c r="L1197" s="195"/>
      <c r="M1197" s="195">
        <v>0</v>
      </c>
      <c r="N1197" s="195">
        <v>0.05</v>
      </c>
    </row>
    <row r="1198" spans="1:14" hidden="1" x14ac:dyDescent="0.35">
      <c r="A1198" s="52" t="s">
        <v>623</v>
      </c>
      <c r="B1198" s="52" t="s">
        <v>625</v>
      </c>
      <c r="C1198" s="52" t="s">
        <v>821</v>
      </c>
      <c r="D1198" s="52" t="s">
        <v>821</v>
      </c>
      <c r="E1198" s="52" t="s">
        <v>584</v>
      </c>
      <c r="F1198" s="52" t="s">
        <v>26</v>
      </c>
      <c r="G1198" s="195" t="s">
        <v>278</v>
      </c>
      <c r="H1198" s="195">
        <v>7.5600000000000001E-2</v>
      </c>
      <c r="I1198" s="195">
        <v>7.5600000000000001E-2</v>
      </c>
      <c r="J1198" s="195">
        <v>7.5600000000000001E-2</v>
      </c>
      <c r="K1198" s="195">
        <v>7.5600000000000001E-2</v>
      </c>
      <c r="L1198" s="195">
        <v>7.5600000000000001E-2</v>
      </c>
      <c r="M1198" s="195">
        <v>7.5600000000000001E-2</v>
      </c>
      <c r="N1198" s="195">
        <v>7.5600000000000001E-2</v>
      </c>
    </row>
    <row r="1199" spans="1:14" hidden="1" x14ac:dyDescent="0.35">
      <c r="A1199" s="52" t="s">
        <v>623</v>
      </c>
      <c r="B1199" s="52" t="s">
        <v>625</v>
      </c>
      <c r="C1199" s="52" t="s">
        <v>822</v>
      </c>
      <c r="D1199" s="52" t="s">
        <v>822</v>
      </c>
      <c r="E1199" s="52" t="s">
        <v>584</v>
      </c>
      <c r="F1199" s="52" t="s">
        <v>26</v>
      </c>
      <c r="G1199" s="195" t="s">
        <v>275</v>
      </c>
      <c r="H1199" s="195">
        <v>0</v>
      </c>
      <c r="I1199" s="195"/>
      <c r="J1199" s="195">
        <v>0</v>
      </c>
      <c r="K1199" s="195">
        <v>0</v>
      </c>
      <c r="L1199" s="195">
        <v>0</v>
      </c>
      <c r="M1199" s="195">
        <v>0</v>
      </c>
      <c r="N1199" s="195">
        <v>0</v>
      </c>
    </row>
    <row r="1200" spans="1:14" hidden="1" x14ac:dyDescent="0.35">
      <c r="A1200" s="52" t="s">
        <v>623</v>
      </c>
      <c r="B1200" s="52" t="s">
        <v>625</v>
      </c>
      <c r="C1200" s="52" t="s">
        <v>822</v>
      </c>
      <c r="D1200" s="52" t="s">
        <v>822</v>
      </c>
      <c r="E1200" s="52" t="s">
        <v>584</v>
      </c>
      <c r="F1200" s="52" t="s">
        <v>26</v>
      </c>
      <c r="G1200" s="195" t="s">
        <v>276</v>
      </c>
      <c r="H1200" s="195"/>
      <c r="I1200" s="195"/>
      <c r="J1200" s="195">
        <v>0</v>
      </c>
      <c r="K1200" s="195">
        <v>0</v>
      </c>
      <c r="L1200" s="195">
        <v>0</v>
      </c>
      <c r="M1200" s="195">
        <v>0</v>
      </c>
      <c r="N1200" s="195">
        <v>0</v>
      </c>
    </row>
    <row r="1201" spans="1:14" hidden="1" x14ac:dyDescent="0.35">
      <c r="A1201" s="52" t="s">
        <v>623</v>
      </c>
      <c r="B1201" s="52" t="s">
        <v>625</v>
      </c>
      <c r="C1201" s="52" t="s">
        <v>822</v>
      </c>
      <c r="D1201" s="52" t="s">
        <v>822</v>
      </c>
      <c r="E1201" s="52" t="s">
        <v>584</v>
      </c>
      <c r="F1201" s="52" t="s">
        <v>26</v>
      </c>
      <c r="G1201" s="195" t="s">
        <v>278</v>
      </c>
      <c r="H1201" s="195"/>
      <c r="I1201" s="195"/>
      <c r="J1201" s="195">
        <v>0</v>
      </c>
      <c r="K1201" s="195">
        <v>0</v>
      </c>
      <c r="L1201" s="195">
        <v>0</v>
      </c>
      <c r="M1201" s="195">
        <v>0</v>
      </c>
      <c r="N1201" s="195">
        <v>0</v>
      </c>
    </row>
    <row r="1202" spans="1:14" hidden="1" x14ac:dyDescent="0.35">
      <c r="A1202" s="52" t="s">
        <v>623</v>
      </c>
      <c r="B1202" s="52" t="s">
        <v>154</v>
      </c>
      <c r="C1202" s="52" t="s">
        <v>153</v>
      </c>
      <c r="D1202" s="52" t="s">
        <v>153</v>
      </c>
      <c r="E1202" s="52" t="s">
        <v>584</v>
      </c>
      <c r="F1202" s="52" t="s">
        <v>581</v>
      </c>
      <c r="G1202" s="195" t="s">
        <v>275</v>
      </c>
      <c r="H1202" s="195">
        <v>-12.00398</v>
      </c>
      <c r="I1202" s="195">
        <v>-3.6222690000000002</v>
      </c>
      <c r="J1202" s="195">
        <v>4.4939169999999997</v>
      </c>
      <c r="K1202" s="195">
        <v>14.107860000000001</v>
      </c>
      <c r="L1202" s="195">
        <v>16.39509</v>
      </c>
      <c r="M1202" s="195">
        <v>19.971070000000001</v>
      </c>
      <c r="N1202" s="195">
        <v>7.6697040000000003</v>
      </c>
    </row>
    <row r="1203" spans="1:14" hidden="1" x14ac:dyDescent="0.35">
      <c r="A1203" s="52" t="s">
        <v>623</v>
      </c>
      <c r="B1203" s="52" t="s">
        <v>154</v>
      </c>
      <c r="C1203" s="52" t="s">
        <v>153</v>
      </c>
      <c r="D1203" s="52" t="s">
        <v>153</v>
      </c>
      <c r="E1203" s="52" t="s">
        <v>584</v>
      </c>
      <c r="F1203" s="52" t="s">
        <v>581</v>
      </c>
      <c r="G1203" s="195" t="s">
        <v>276</v>
      </c>
      <c r="H1203" s="195">
        <v>0</v>
      </c>
      <c r="I1203" s="195">
        <v>0.1028052</v>
      </c>
      <c r="J1203" s="195">
        <v>5.7339460000000004</v>
      </c>
      <c r="K1203" s="195">
        <v>-1.1039969999999999</v>
      </c>
      <c r="L1203" s="195">
        <v>5.4143210000000002</v>
      </c>
      <c r="M1203" s="195">
        <v>-3.5835919999999999</v>
      </c>
      <c r="N1203" s="195">
        <v>3.4826350000000001</v>
      </c>
    </row>
    <row r="1204" spans="1:14" hidden="1" x14ac:dyDescent="0.35">
      <c r="A1204" s="52" t="s">
        <v>623</v>
      </c>
      <c r="B1204" s="52" t="s">
        <v>154</v>
      </c>
      <c r="C1204" s="52" t="s">
        <v>153</v>
      </c>
      <c r="D1204" s="52" t="s">
        <v>153</v>
      </c>
      <c r="E1204" s="52" t="s">
        <v>584</v>
      </c>
      <c r="F1204" s="52" t="s">
        <v>581</v>
      </c>
      <c r="G1204" s="195" t="s">
        <v>277</v>
      </c>
      <c r="H1204" s="195">
        <v>11.692769999999999</v>
      </c>
      <c r="I1204" s="195">
        <v>3.4225029999999999</v>
      </c>
      <c r="J1204" s="195">
        <v>1.036921</v>
      </c>
      <c r="K1204" s="195">
        <v>4.4933240000000003</v>
      </c>
      <c r="L1204" s="195">
        <v>1.3825609999999999</v>
      </c>
      <c r="M1204" s="195">
        <v>0</v>
      </c>
      <c r="N1204" s="195"/>
    </row>
    <row r="1205" spans="1:14" hidden="1" x14ac:dyDescent="0.35">
      <c r="A1205" s="52" t="s">
        <v>623</v>
      </c>
      <c r="B1205" s="52" t="s">
        <v>154</v>
      </c>
      <c r="C1205" s="52" t="s">
        <v>153</v>
      </c>
      <c r="D1205" s="52" t="s">
        <v>153</v>
      </c>
      <c r="E1205" s="52" t="s">
        <v>584</v>
      </c>
      <c r="F1205" s="52" t="s">
        <v>581</v>
      </c>
      <c r="G1205" s="195" t="s">
        <v>278</v>
      </c>
      <c r="H1205" s="195">
        <v>3.5325799999999997E-2</v>
      </c>
      <c r="I1205" s="195">
        <v>3.5325790000000003E-2</v>
      </c>
      <c r="J1205" s="195">
        <v>3.5325790000000003E-2</v>
      </c>
      <c r="K1205" s="195">
        <v>3.5325799999999997E-2</v>
      </c>
      <c r="L1205" s="195">
        <v>3.5325799999999997E-2</v>
      </c>
      <c r="M1205" s="195">
        <v>3.5325790000000003E-2</v>
      </c>
      <c r="N1205" s="195">
        <v>3.5325790000000003E-2</v>
      </c>
    </row>
    <row r="1206" spans="1:14" hidden="1" x14ac:dyDescent="0.35">
      <c r="A1206" s="52" t="s">
        <v>623</v>
      </c>
      <c r="B1206" s="52" t="s">
        <v>154</v>
      </c>
      <c r="C1206" s="52" t="s">
        <v>153</v>
      </c>
      <c r="D1206" s="52" t="s">
        <v>153</v>
      </c>
      <c r="E1206" s="52" t="s">
        <v>584</v>
      </c>
      <c r="F1206" s="52" t="s">
        <v>581</v>
      </c>
      <c r="G1206" s="195" t="s">
        <v>279</v>
      </c>
      <c r="H1206" s="195">
        <v>0.27588469999999998</v>
      </c>
      <c r="I1206" s="195">
        <v>0.31916709999999998</v>
      </c>
      <c r="J1206" s="195">
        <v>3.149756</v>
      </c>
      <c r="K1206" s="195">
        <v>4.6090020000000003</v>
      </c>
      <c r="L1206" s="195">
        <v>6.99207</v>
      </c>
      <c r="M1206" s="195">
        <v>5.8883900000000002</v>
      </c>
      <c r="N1206" s="195">
        <v>4.0401949999999998</v>
      </c>
    </row>
    <row r="1207" spans="1:14" hidden="1" x14ac:dyDescent="0.35">
      <c r="A1207" s="52" t="s">
        <v>623</v>
      </c>
      <c r="B1207" s="52" t="s">
        <v>154</v>
      </c>
      <c r="C1207" s="52" t="s">
        <v>153</v>
      </c>
      <c r="D1207" s="52" t="s">
        <v>153</v>
      </c>
      <c r="E1207" s="52" t="s">
        <v>584</v>
      </c>
      <c r="F1207" s="52" t="s">
        <v>26</v>
      </c>
      <c r="G1207" s="195" t="s">
        <v>275</v>
      </c>
      <c r="H1207" s="195">
        <v>-144.81020000000001</v>
      </c>
      <c r="I1207" s="195">
        <v>-61.238039999999998</v>
      </c>
      <c r="J1207" s="195">
        <v>39.9499</v>
      </c>
      <c r="K1207" s="195">
        <v>57.643689999999999</v>
      </c>
      <c r="L1207" s="195">
        <v>93.142960000000002</v>
      </c>
      <c r="M1207" s="195">
        <v>100.7222</v>
      </c>
      <c r="N1207" s="195">
        <v>65.790869999999998</v>
      </c>
    </row>
    <row r="1208" spans="1:14" hidden="1" x14ac:dyDescent="0.35">
      <c r="A1208" s="52" t="s">
        <v>623</v>
      </c>
      <c r="B1208" s="52" t="s">
        <v>154</v>
      </c>
      <c r="C1208" s="52" t="s">
        <v>153</v>
      </c>
      <c r="D1208" s="52" t="s">
        <v>153</v>
      </c>
      <c r="E1208" s="52" t="s">
        <v>584</v>
      </c>
      <c r="F1208" s="52" t="s">
        <v>26</v>
      </c>
      <c r="G1208" s="195" t="s">
        <v>276</v>
      </c>
      <c r="H1208" s="195">
        <v>0</v>
      </c>
      <c r="I1208" s="195">
        <v>0.10681939999999999</v>
      </c>
      <c r="J1208" s="195">
        <v>8.4159959999999998</v>
      </c>
      <c r="K1208" s="195">
        <v>15.327159999999999</v>
      </c>
      <c r="L1208" s="195">
        <v>18.618289999999998</v>
      </c>
      <c r="M1208" s="195">
        <v>12.59769</v>
      </c>
      <c r="N1208" s="195">
        <v>37.180210000000002</v>
      </c>
    </row>
    <row r="1209" spans="1:14" hidden="1" x14ac:dyDescent="0.35">
      <c r="A1209" s="52" t="s">
        <v>623</v>
      </c>
      <c r="B1209" s="52" t="s">
        <v>154</v>
      </c>
      <c r="C1209" s="52" t="s">
        <v>153</v>
      </c>
      <c r="D1209" s="52" t="s">
        <v>153</v>
      </c>
      <c r="E1209" s="52" t="s">
        <v>584</v>
      </c>
      <c r="F1209" s="52" t="s">
        <v>26</v>
      </c>
      <c r="G1209" s="195" t="s">
        <v>277</v>
      </c>
      <c r="H1209" s="195">
        <v>144.09950000000001</v>
      </c>
      <c r="I1209" s="195">
        <v>58.603099999999998</v>
      </c>
      <c r="J1209" s="195">
        <v>13.196020000000001</v>
      </c>
      <c r="K1209" s="195">
        <v>52.199640000000002</v>
      </c>
      <c r="L1209" s="195">
        <v>24.36524</v>
      </c>
      <c r="M1209" s="195">
        <v>4.7259820000000001</v>
      </c>
      <c r="N1209" s="195">
        <v>3.650617</v>
      </c>
    </row>
    <row r="1210" spans="1:14" hidden="1" x14ac:dyDescent="0.35">
      <c r="A1210" s="52" t="s">
        <v>623</v>
      </c>
      <c r="B1210" s="52" t="s">
        <v>154</v>
      </c>
      <c r="C1210" s="52" t="s">
        <v>153</v>
      </c>
      <c r="D1210" s="52" t="s">
        <v>153</v>
      </c>
      <c r="E1210" s="52" t="s">
        <v>584</v>
      </c>
      <c r="F1210" s="52" t="s">
        <v>26</v>
      </c>
      <c r="G1210" s="195" t="s">
        <v>278</v>
      </c>
      <c r="H1210" s="195">
        <v>0</v>
      </c>
      <c r="I1210" s="195"/>
      <c r="J1210" s="195"/>
      <c r="K1210" s="195"/>
      <c r="L1210" s="195"/>
      <c r="M1210" s="195"/>
      <c r="N1210" s="195"/>
    </row>
    <row r="1211" spans="1:14" hidden="1" x14ac:dyDescent="0.35">
      <c r="A1211" s="52" t="s">
        <v>623</v>
      </c>
      <c r="B1211" s="52" t="s">
        <v>154</v>
      </c>
      <c r="C1211" s="52" t="s">
        <v>153</v>
      </c>
      <c r="D1211" s="52" t="s">
        <v>153</v>
      </c>
      <c r="E1211" s="52" t="s">
        <v>584</v>
      </c>
      <c r="F1211" s="52" t="s">
        <v>26</v>
      </c>
      <c r="G1211" s="195" t="s">
        <v>279</v>
      </c>
      <c r="H1211" s="195">
        <v>0.71070999999999995</v>
      </c>
      <c r="I1211" s="195">
        <v>3.686785</v>
      </c>
      <c r="J1211" s="195">
        <v>19.67933</v>
      </c>
      <c r="K1211" s="195">
        <v>26.5684</v>
      </c>
      <c r="L1211" s="195">
        <v>30.965910000000001</v>
      </c>
      <c r="M1211" s="195">
        <v>31.9438</v>
      </c>
      <c r="N1211" s="195">
        <v>30.932569999999998</v>
      </c>
    </row>
    <row r="1212" spans="1:14" hidden="1" x14ac:dyDescent="0.35">
      <c r="A1212" s="52" t="s">
        <v>623</v>
      </c>
      <c r="B1212" s="52" t="s">
        <v>37</v>
      </c>
      <c r="C1212" s="52" t="s">
        <v>79</v>
      </c>
      <c r="D1212" s="52" t="s">
        <v>79</v>
      </c>
      <c r="E1212" s="52" t="s">
        <v>614</v>
      </c>
      <c r="F1212" s="52" t="s">
        <v>581</v>
      </c>
      <c r="G1212" s="195" t="s">
        <v>275</v>
      </c>
      <c r="H1212" s="195">
        <v>-2.603593</v>
      </c>
      <c r="I1212" s="195">
        <v>9.1492609999999992</v>
      </c>
      <c r="J1212" s="195">
        <v>21.804010000000002</v>
      </c>
      <c r="K1212" s="195">
        <v>22.050270000000001</v>
      </c>
      <c r="L1212" s="195">
        <v>17.712029999999999</v>
      </c>
      <c r="M1212" s="195">
        <v>9.5787370000000003</v>
      </c>
      <c r="N1212" s="195">
        <v>7.0270020000000004</v>
      </c>
    </row>
    <row r="1213" spans="1:14" hidden="1" x14ac:dyDescent="0.35">
      <c r="A1213" s="52" t="s">
        <v>623</v>
      </c>
      <c r="B1213" s="52" t="s">
        <v>37</v>
      </c>
      <c r="C1213" s="52" t="s">
        <v>79</v>
      </c>
      <c r="D1213" s="52" t="s">
        <v>79</v>
      </c>
      <c r="E1213" s="52" t="s">
        <v>614</v>
      </c>
      <c r="F1213" s="52" t="s">
        <v>581</v>
      </c>
      <c r="G1213" s="195" t="s">
        <v>276</v>
      </c>
      <c r="H1213" s="195">
        <v>23.669969999999999</v>
      </c>
      <c r="I1213" s="195">
        <v>-0.56878580000000001</v>
      </c>
      <c r="J1213" s="195">
        <v>-4.9927520000000003</v>
      </c>
      <c r="K1213" s="195">
        <v>-10.51563</v>
      </c>
      <c r="L1213" s="195">
        <v>-11.036479999999999</v>
      </c>
      <c r="M1213" s="195">
        <v>-1.428677</v>
      </c>
      <c r="N1213" s="195">
        <v>0.81233390000000005</v>
      </c>
    </row>
    <row r="1214" spans="1:14" hidden="1" x14ac:dyDescent="0.35">
      <c r="A1214" s="52" t="s">
        <v>623</v>
      </c>
      <c r="B1214" s="52" t="s">
        <v>37</v>
      </c>
      <c r="C1214" s="52" t="s">
        <v>79</v>
      </c>
      <c r="D1214" s="52" t="s">
        <v>79</v>
      </c>
      <c r="E1214" s="52" t="s">
        <v>614</v>
      </c>
      <c r="F1214" s="52" t="s">
        <v>581</v>
      </c>
      <c r="G1214" s="195" t="s">
        <v>277</v>
      </c>
      <c r="H1214" s="195">
        <v>91.847949999999997</v>
      </c>
      <c r="I1214" s="195">
        <v>15.21754</v>
      </c>
      <c r="J1214" s="195">
        <v>2.75922</v>
      </c>
      <c r="K1214" s="195">
        <v>1.8649819999999999</v>
      </c>
      <c r="L1214" s="195">
        <v>1.7407539999999999</v>
      </c>
      <c r="M1214" s="195">
        <v>1.5982890000000001</v>
      </c>
      <c r="N1214" s="195">
        <v>1.3788</v>
      </c>
    </row>
    <row r="1215" spans="1:14" hidden="1" x14ac:dyDescent="0.35">
      <c r="A1215" s="52" t="s">
        <v>623</v>
      </c>
      <c r="B1215" s="52" t="s">
        <v>37</v>
      </c>
      <c r="C1215" s="52" t="s">
        <v>79</v>
      </c>
      <c r="D1215" s="52" t="s">
        <v>79</v>
      </c>
      <c r="E1215" s="52" t="s">
        <v>614</v>
      </c>
      <c r="F1215" s="52" t="s">
        <v>581</v>
      </c>
      <c r="G1215" s="195" t="s">
        <v>278</v>
      </c>
      <c r="H1215" s="195">
        <v>44.447360000000003</v>
      </c>
      <c r="I1215" s="195">
        <v>22.051850000000002</v>
      </c>
      <c r="J1215" s="195">
        <v>8.1491950000000006</v>
      </c>
      <c r="K1215" s="195">
        <v>5.8046170000000004</v>
      </c>
      <c r="L1215" s="195">
        <v>6.3630250000000004</v>
      </c>
      <c r="M1215" s="195">
        <v>3.5939580000000002</v>
      </c>
      <c r="N1215" s="195">
        <v>2.2420909999999998</v>
      </c>
    </row>
    <row r="1216" spans="1:14" hidden="1" x14ac:dyDescent="0.35">
      <c r="A1216" s="52" t="s">
        <v>623</v>
      </c>
      <c r="B1216" s="52" t="s">
        <v>37</v>
      </c>
      <c r="C1216" s="52" t="s">
        <v>79</v>
      </c>
      <c r="D1216" s="52" t="s">
        <v>79</v>
      </c>
      <c r="E1216" s="52" t="s">
        <v>614</v>
      </c>
      <c r="F1216" s="52" t="s">
        <v>581</v>
      </c>
      <c r="G1216" s="195" t="s">
        <v>279</v>
      </c>
      <c r="H1216" s="195">
        <v>50.442860000000003</v>
      </c>
      <c r="I1216" s="195">
        <v>39.783499999999997</v>
      </c>
      <c r="J1216" s="195">
        <v>27.960740000000001</v>
      </c>
      <c r="K1216" s="195">
        <v>20.695889999999999</v>
      </c>
      <c r="L1216" s="195">
        <v>19.26379</v>
      </c>
      <c r="M1216" s="195">
        <v>15.51886</v>
      </c>
      <c r="N1216" s="195">
        <v>12.90912</v>
      </c>
    </row>
    <row r="1217" spans="1:14" hidden="1" x14ac:dyDescent="0.35">
      <c r="A1217" s="52" t="s">
        <v>623</v>
      </c>
      <c r="B1217" s="52" t="s">
        <v>37</v>
      </c>
      <c r="C1217" s="52" t="s">
        <v>79</v>
      </c>
      <c r="D1217" s="52" t="s">
        <v>79</v>
      </c>
      <c r="E1217" s="52" t="s">
        <v>614</v>
      </c>
      <c r="F1217" s="52" t="s">
        <v>26</v>
      </c>
      <c r="G1217" s="195" t="s">
        <v>275</v>
      </c>
      <c r="H1217" s="195">
        <v>0.327044</v>
      </c>
      <c r="I1217" s="195">
        <v>-5.9586199999999999E-2</v>
      </c>
      <c r="J1217" s="195">
        <v>4.7130999999999999E-2</v>
      </c>
      <c r="K1217" s="195">
        <v>-3.9336990000000002E-2</v>
      </c>
      <c r="L1217" s="195">
        <v>-0.1673742</v>
      </c>
      <c r="M1217" s="195">
        <v>-0.1112908</v>
      </c>
      <c r="N1217" s="195">
        <v>-8.74476E-2</v>
      </c>
    </row>
    <row r="1218" spans="1:14" hidden="1" x14ac:dyDescent="0.35">
      <c r="A1218" s="52" t="s">
        <v>623</v>
      </c>
      <c r="B1218" s="52" t="s">
        <v>37</v>
      </c>
      <c r="C1218" s="52" t="s">
        <v>79</v>
      </c>
      <c r="D1218" s="52" t="s">
        <v>79</v>
      </c>
      <c r="E1218" s="52" t="s">
        <v>614</v>
      </c>
      <c r="F1218" s="52" t="s">
        <v>26</v>
      </c>
      <c r="G1218" s="195" t="s">
        <v>276</v>
      </c>
      <c r="H1218" s="195">
        <v>9.4812999999999995E-2</v>
      </c>
      <c r="I1218" s="195">
        <v>-1.7273E-2</v>
      </c>
      <c r="J1218" s="195">
        <v>1.3662799999999999E-2</v>
      </c>
      <c r="K1218" s="195">
        <v>-1.14036E-2</v>
      </c>
      <c r="L1218" s="195">
        <v>-4.85212E-2</v>
      </c>
      <c r="M1218" s="195">
        <v>-3.2260799999999999E-2</v>
      </c>
      <c r="N1218" s="195">
        <v>-2.5350399999999999E-2</v>
      </c>
    </row>
    <row r="1219" spans="1:14" hidden="1" x14ac:dyDescent="0.35">
      <c r="A1219" s="52" t="s">
        <v>623</v>
      </c>
      <c r="B1219" s="52" t="s">
        <v>37</v>
      </c>
      <c r="C1219" s="52" t="s">
        <v>79</v>
      </c>
      <c r="D1219" s="52" t="s">
        <v>79</v>
      </c>
      <c r="E1219" s="52" t="s">
        <v>614</v>
      </c>
      <c r="F1219" s="52" t="s">
        <v>26</v>
      </c>
      <c r="G1219" s="195" t="s">
        <v>279</v>
      </c>
      <c r="H1219" s="195">
        <v>4.155151</v>
      </c>
      <c r="I1219" s="195">
        <v>4.1134019999999998</v>
      </c>
      <c r="J1219" s="195">
        <v>2.9674990000000001</v>
      </c>
      <c r="K1219" s="195">
        <v>2.2112720000000001</v>
      </c>
      <c r="L1219" s="195">
        <v>2.0436770000000002</v>
      </c>
      <c r="M1219" s="195">
        <v>1.6422840000000001</v>
      </c>
      <c r="N1219" s="195">
        <v>1.3617539999999999</v>
      </c>
    </row>
    <row r="1220" spans="1:14" hidden="1" x14ac:dyDescent="0.35">
      <c r="A1220" s="52" t="s">
        <v>623</v>
      </c>
      <c r="B1220" s="52" t="s">
        <v>37</v>
      </c>
      <c r="C1220" s="52" t="s">
        <v>61</v>
      </c>
      <c r="D1220" s="52" t="s">
        <v>62</v>
      </c>
      <c r="E1220" s="52" t="s">
        <v>584</v>
      </c>
      <c r="F1220" s="52" t="s">
        <v>581</v>
      </c>
      <c r="G1220" s="195" t="s">
        <v>275</v>
      </c>
      <c r="H1220" s="195">
        <v>7.0355080000000001</v>
      </c>
      <c r="I1220" s="195">
        <v>-101.97329999999999</v>
      </c>
      <c r="J1220" s="195">
        <v>6.9816969999999996</v>
      </c>
      <c r="K1220" s="195">
        <v>9.6789679999999993</v>
      </c>
      <c r="L1220" s="195">
        <v>4.0102200000000003</v>
      </c>
      <c r="M1220" s="195">
        <v>2.2984710000000002</v>
      </c>
      <c r="N1220" s="195">
        <v>0.52932449999999998</v>
      </c>
    </row>
    <row r="1221" spans="1:14" hidden="1" x14ac:dyDescent="0.35">
      <c r="A1221" s="52" t="s">
        <v>623</v>
      </c>
      <c r="B1221" s="52" t="s">
        <v>37</v>
      </c>
      <c r="C1221" s="52" t="s">
        <v>61</v>
      </c>
      <c r="D1221" s="52" t="s">
        <v>62</v>
      </c>
      <c r="E1221" s="52" t="s">
        <v>584</v>
      </c>
      <c r="F1221" s="52" t="s">
        <v>581</v>
      </c>
      <c r="G1221" s="195" t="s">
        <v>276</v>
      </c>
      <c r="H1221" s="195">
        <v>3.0980669999999999</v>
      </c>
      <c r="I1221" s="195">
        <v>-6.8104060000000004</v>
      </c>
      <c r="J1221" s="195">
        <v>-1.885389</v>
      </c>
      <c r="K1221" s="195">
        <v>-10.15049</v>
      </c>
      <c r="L1221" s="195">
        <v>-1.3747959999999999</v>
      </c>
      <c r="M1221" s="195">
        <v>0.31732700000000003</v>
      </c>
      <c r="N1221" s="195">
        <v>-7.658385</v>
      </c>
    </row>
    <row r="1222" spans="1:14" hidden="1" x14ac:dyDescent="0.35">
      <c r="A1222" s="52" t="s">
        <v>623</v>
      </c>
      <c r="B1222" s="52" t="s">
        <v>37</v>
      </c>
      <c r="C1222" s="52" t="s">
        <v>61</v>
      </c>
      <c r="D1222" s="52" t="s">
        <v>62</v>
      </c>
      <c r="E1222" s="52" t="s">
        <v>584</v>
      </c>
      <c r="F1222" s="52" t="s">
        <v>581</v>
      </c>
      <c r="G1222" s="195" t="s">
        <v>277</v>
      </c>
      <c r="H1222" s="195">
        <v>24.384270000000001</v>
      </c>
      <c r="I1222" s="195">
        <v>2.3763580000000002</v>
      </c>
      <c r="J1222" s="195">
        <v>2.0120049999999998</v>
      </c>
      <c r="K1222" s="195">
        <v>2.8724789999999998</v>
      </c>
      <c r="L1222" s="195">
        <v>2.7917209999999999</v>
      </c>
      <c r="M1222" s="195">
        <v>1.690223</v>
      </c>
      <c r="N1222" s="195">
        <v>1.8224929999999999</v>
      </c>
    </row>
    <row r="1223" spans="1:14" hidden="1" x14ac:dyDescent="0.35">
      <c r="A1223" s="52" t="s">
        <v>623</v>
      </c>
      <c r="B1223" s="52" t="s">
        <v>37</v>
      </c>
      <c r="C1223" s="52" t="s">
        <v>61</v>
      </c>
      <c r="D1223" s="52" t="s">
        <v>62</v>
      </c>
      <c r="E1223" s="52" t="s">
        <v>584</v>
      </c>
      <c r="F1223" s="52" t="s">
        <v>581</v>
      </c>
      <c r="G1223" s="195" t="s">
        <v>278</v>
      </c>
      <c r="H1223" s="195">
        <v>0.1231172</v>
      </c>
      <c r="I1223" s="195">
        <v>116.4683</v>
      </c>
      <c r="J1223" s="195">
        <v>0.1231172</v>
      </c>
      <c r="K1223" s="195">
        <v>3.6628560000000001</v>
      </c>
      <c r="L1223" s="195">
        <v>0.1231172</v>
      </c>
      <c r="M1223" s="195">
        <v>0.1231172</v>
      </c>
      <c r="N1223" s="195">
        <v>7.6133839999999999</v>
      </c>
    </row>
    <row r="1224" spans="1:14" hidden="1" x14ac:dyDescent="0.35">
      <c r="A1224" s="52" t="s">
        <v>623</v>
      </c>
      <c r="B1224" s="52" t="s">
        <v>37</v>
      </c>
      <c r="C1224" s="52" t="s">
        <v>61</v>
      </c>
      <c r="D1224" s="52" t="s">
        <v>62</v>
      </c>
      <c r="E1224" s="52" t="s">
        <v>584</v>
      </c>
      <c r="F1224" s="52" t="s">
        <v>581</v>
      </c>
      <c r="G1224" s="195" t="s">
        <v>279</v>
      </c>
      <c r="H1224" s="195">
        <v>11.2249</v>
      </c>
      <c r="I1224" s="195">
        <v>10.377940000000001</v>
      </c>
      <c r="J1224" s="195">
        <v>10.30223</v>
      </c>
      <c r="K1224" s="195">
        <v>10.61309</v>
      </c>
      <c r="L1224" s="195">
        <v>10.28139</v>
      </c>
      <c r="M1224" s="195">
        <v>9.8350570000000008</v>
      </c>
      <c r="N1224" s="195">
        <v>9.216113</v>
      </c>
    </row>
    <row r="1225" spans="1:14" hidden="1" x14ac:dyDescent="0.35">
      <c r="A1225" s="52" t="s">
        <v>623</v>
      </c>
      <c r="B1225" s="52" t="s">
        <v>37</v>
      </c>
      <c r="C1225" s="52" t="s">
        <v>61</v>
      </c>
      <c r="D1225" s="52" t="s">
        <v>62</v>
      </c>
      <c r="E1225" s="52" t="s">
        <v>584</v>
      </c>
      <c r="F1225" s="52" t="s">
        <v>26</v>
      </c>
      <c r="G1225" s="195" t="s">
        <v>275</v>
      </c>
      <c r="H1225" s="195">
        <v>-3.0862469999999999E-2</v>
      </c>
      <c r="I1225" s="195">
        <v>0.54085340000000004</v>
      </c>
      <c r="J1225" s="195">
        <v>0.52082090000000003</v>
      </c>
      <c r="K1225" s="195">
        <v>0.58066759999999995</v>
      </c>
      <c r="L1225" s="195">
        <v>0.48493130000000001</v>
      </c>
      <c r="M1225" s="195">
        <v>0.40359010000000001</v>
      </c>
      <c r="N1225" s="195">
        <v>0.3146159</v>
      </c>
    </row>
    <row r="1226" spans="1:14" hidden="1" x14ac:dyDescent="0.35">
      <c r="A1226" s="52" t="s">
        <v>623</v>
      </c>
      <c r="B1226" s="52" t="s">
        <v>37</v>
      </c>
      <c r="C1226" s="52" t="s">
        <v>61</v>
      </c>
      <c r="D1226" s="52" t="s">
        <v>62</v>
      </c>
      <c r="E1226" s="52" t="s">
        <v>584</v>
      </c>
      <c r="F1226" s="52" t="s">
        <v>26</v>
      </c>
      <c r="G1226" s="195" t="s">
        <v>276</v>
      </c>
      <c r="H1226" s="195">
        <v>6.470542E-2</v>
      </c>
      <c r="I1226" s="195">
        <v>5.100884E-2</v>
      </c>
      <c r="J1226" s="195">
        <v>6.4236280000000007E-2</v>
      </c>
      <c r="K1226" s="195">
        <v>-6.512722E-2</v>
      </c>
      <c r="L1226" s="195">
        <v>5.154719E-2</v>
      </c>
      <c r="M1226" s="195">
        <v>0.10728360000000001</v>
      </c>
      <c r="N1226" s="195">
        <v>8.3631810000000001E-2</v>
      </c>
    </row>
    <row r="1227" spans="1:14" hidden="1" x14ac:dyDescent="0.35">
      <c r="A1227" s="52" t="s">
        <v>623</v>
      </c>
      <c r="B1227" s="52" t="s">
        <v>37</v>
      </c>
      <c r="C1227" s="52" t="s">
        <v>61</v>
      </c>
      <c r="D1227" s="52" t="s">
        <v>62</v>
      </c>
      <c r="E1227" s="52" t="s">
        <v>584</v>
      </c>
      <c r="F1227" s="52" t="s">
        <v>26</v>
      </c>
      <c r="G1227" s="195" t="s">
        <v>277</v>
      </c>
      <c r="H1227" s="195">
        <v>0.710484</v>
      </c>
      <c r="I1227" s="195">
        <v>0</v>
      </c>
      <c r="J1227" s="195"/>
      <c r="K1227" s="195"/>
      <c r="L1227" s="195"/>
      <c r="M1227" s="195"/>
      <c r="N1227" s="195"/>
    </row>
    <row r="1228" spans="1:14" hidden="1" x14ac:dyDescent="0.35">
      <c r="A1228" s="52" t="s">
        <v>623</v>
      </c>
      <c r="B1228" s="52" t="s">
        <v>37</v>
      </c>
      <c r="C1228" s="52" t="s">
        <v>61</v>
      </c>
      <c r="D1228" s="52" t="s">
        <v>62</v>
      </c>
      <c r="E1228" s="52" t="s">
        <v>584</v>
      </c>
      <c r="F1228" s="52" t="s">
        <v>26</v>
      </c>
      <c r="G1228" s="195" t="s">
        <v>279</v>
      </c>
      <c r="H1228" s="195">
        <v>1.220326</v>
      </c>
      <c r="I1228" s="195">
        <v>1.3402350000000001</v>
      </c>
      <c r="J1228" s="195">
        <v>1.3684730000000001</v>
      </c>
      <c r="K1228" s="195">
        <v>1.4444710000000001</v>
      </c>
      <c r="L1228" s="195">
        <v>1.4226840000000001</v>
      </c>
      <c r="M1228" s="195">
        <v>1.3367439999999999</v>
      </c>
      <c r="N1228" s="195">
        <v>1.159295</v>
      </c>
    </row>
    <row r="1229" spans="1:14" hidden="1" x14ac:dyDescent="0.35">
      <c r="A1229" s="52" t="s">
        <v>623</v>
      </c>
      <c r="B1229" s="52" t="s">
        <v>37</v>
      </c>
      <c r="C1229" s="52" t="s">
        <v>109</v>
      </c>
      <c r="D1229" s="52" t="s">
        <v>109</v>
      </c>
      <c r="E1229" s="52" t="s">
        <v>584</v>
      </c>
      <c r="F1229" s="52" t="s">
        <v>581</v>
      </c>
      <c r="G1229" s="195" t="s">
        <v>275</v>
      </c>
      <c r="H1229" s="195">
        <v>0</v>
      </c>
      <c r="I1229" s="195"/>
      <c r="J1229" s="195"/>
      <c r="K1229" s="195"/>
      <c r="L1229" s="195"/>
      <c r="M1229" s="195"/>
      <c r="N1229" s="195"/>
    </row>
    <row r="1230" spans="1:14" hidden="1" x14ac:dyDescent="0.35">
      <c r="A1230" s="52" t="s">
        <v>623</v>
      </c>
      <c r="B1230" s="52" t="s">
        <v>37</v>
      </c>
      <c r="C1230" s="52" t="s">
        <v>109</v>
      </c>
      <c r="D1230" s="52" t="s">
        <v>109</v>
      </c>
      <c r="E1230" s="52" t="s">
        <v>584</v>
      </c>
      <c r="F1230" s="52" t="s">
        <v>581</v>
      </c>
      <c r="G1230" s="195" t="s">
        <v>276</v>
      </c>
      <c r="H1230" s="195">
        <v>0</v>
      </c>
      <c r="I1230" s="195"/>
      <c r="J1230" s="195"/>
      <c r="K1230" s="195"/>
      <c r="L1230" s="195"/>
      <c r="M1230" s="195"/>
      <c r="N1230" s="195"/>
    </row>
    <row r="1231" spans="1:14" hidden="1" x14ac:dyDescent="0.35">
      <c r="A1231" s="52" t="s">
        <v>623</v>
      </c>
      <c r="B1231" s="52" t="s">
        <v>37</v>
      </c>
      <c r="C1231" s="52" t="s">
        <v>109</v>
      </c>
      <c r="D1231" s="52" t="s">
        <v>109</v>
      </c>
      <c r="E1231" s="52" t="s">
        <v>584</v>
      </c>
      <c r="F1231" s="52" t="s">
        <v>581</v>
      </c>
      <c r="G1231" s="195" t="s">
        <v>279</v>
      </c>
      <c r="H1231" s="195">
        <v>0</v>
      </c>
      <c r="I1231" s="195"/>
      <c r="J1231" s="195"/>
      <c r="K1231" s="195"/>
      <c r="L1231" s="195"/>
      <c r="M1231" s="195"/>
      <c r="N1231" s="195"/>
    </row>
    <row r="1232" spans="1:14" hidden="1" x14ac:dyDescent="0.35">
      <c r="A1232" s="52" t="s">
        <v>623</v>
      </c>
      <c r="B1232" s="52" t="s">
        <v>37</v>
      </c>
      <c r="C1232" s="52" t="s">
        <v>109</v>
      </c>
      <c r="D1232" s="52" t="s">
        <v>109</v>
      </c>
      <c r="E1232" s="52" t="s">
        <v>584</v>
      </c>
      <c r="F1232" s="52" t="s">
        <v>26</v>
      </c>
      <c r="G1232" s="195" t="s">
        <v>275</v>
      </c>
      <c r="H1232" s="195">
        <v>0</v>
      </c>
      <c r="I1232" s="195"/>
      <c r="J1232" s="195"/>
      <c r="K1232" s="195"/>
      <c r="L1232" s="195"/>
      <c r="M1232" s="195"/>
      <c r="N1232" s="195"/>
    </row>
    <row r="1233" spans="1:14" hidden="1" x14ac:dyDescent="0.35">
      <c r="A1233" s="52" t="s">
        <v>623</v>
      </c>
      <c r="B1233" s="52" t="s">
        <v>37</v>
      </c>
      <c r="C1233" s="52" t="s">
        <v>109</v>
      </c>
      <c r="D1233" s="52" t="s">
        <v>109</v>
      </c>
      <c r="E1233" s="52" t="s">
        <v>584</v>
      </c>
      <c r="F1233" s="52" t="s">
        <v>26</v>
      </c>
      <c r="G1233" s="195" t="s">
        <v>276</v>
      </c>
      <c r="H1233" s="195">
        <v>0</v>
      </c>
      <c r="I1233" s="195"/>
      <c r="J1233" s="195"/>
      <c r="K1233" s="195"/>
      <c r="L1233" s="195"/>
      <c r="M1233" s="195"/>
      <c r="N1233" s="195"/>
    </row>
    <row r="1234" spans="1:14" hidden="1" x14ac:dyDescent="0.35">
      <c r="A1234" s="52" t="s">
        <v>623</v>
      </c>
      <c r="B1234" s="52" t="s">
        <v>37</v>
      </c>
      <c r="C1234" s="52" t="s">
        <v>109</v>
      </c>
      <c r="D1234" s="52" t="s">
        <v>109</v>
      </c>
      <c r="E1234" s="52" t="s">
        <v>584</v>
      </c>
      <c r="F1234" s="52" t="s">
        <v>26</v>
      </c>
      <c r="G1234" s="195" t="s">
        <v>279</v>
      </c>
      <c r="H1234" s="195">
        <v>0</v>
      </c>
      <c r="I1234" s="195"/>
      <c r="J1234" s="195"/>
      <c r="K1234" s="195"/>
      <c r="L1234" s="195"/>
      <c r="M1234" s="195"/>
      <c r="N1234" s="195"/>
    </row>
    <row r="1235" spans="1:14" hidden="1" x14ac:dyDescent="0.35">
      <c r="A1235" s="52" t="s">
        <v>623</v>
      </c>
      <c r="B1235" s="52" t="s">
        <v>59</v>
      </c>
      <c r="C1235" s="52" t="s">
        <v>161</v>
      </c>
      <c r="D1235" s="52" t="s">
        <v>161</v>
      </c>
      <c r="E1235" s="52" t="s">
        <v>584</v>
      </c>
      <c r="F1235" s="52" t="s">
        <v>581</v>
      </c>
      <c r="G1235" s="195" t="s">
        <v>275</v>
      </c>
      <c r="H1235" s="195">
        <v>1.1190720000000001</v>
      </c>
      <c r="I1235" s="195">
        <v>2.6722429999999999</v>
      </c>
      <c r="J1235" s="195">
        <v>-0.121657</v>
      </c>
      <c r="K1235" s="195">
        <v>0.69791409999999998</v>
      </c>
      <c r="L1235" s="195">
        <v>7.3386309999999996E-2</v>
      </c>
      <c r="M1235" s="195">
        <v>-0.71152530000000003</v>
      </c>
      <c r="N1235" s="195">
        <v>-1.6165369999999999</v>
      </c>
    </row>
    <row r="1236" spans="1:14" hidden="1" x14ac:dyDescent="0.35">
      <c r="A1236" s="52" t="s">
        <v>623</v>
      </c>
      <c r="B1236" s="52" t="s">
        <v>59</v>
      </c>
      <c r="C1236" s="52" t="s">
        <v>161</v>
      </c>
      <c r="D1236" s="52" t="s">
        <v>161</v>
      </c>
      <c r="E1236" s="52" t="s">
        <v>584</v>
      </c>
      <c r="F1236" s="52" t="s">
        <v>581</v>
      </c>
      <c r="G1236" s="195" t="s">
        <v>276</v>
      </c>
      <c r="H1236" s="195">
        <v>0.51741420000000005</v>
      </c>
      <c r="I1236" s="195">
        <v>1.677791</v>
      </c>
      <c r="J1236" s="195">
        <v>-1.690151</v>
      </c>
      <c r="K1236" s="195">
        <v>-1.9728680000000001</v>
      </c>
      <c r="L1236" s="195">
        <v>-1.922563</v>
      </c>
      <c r="M1236" s="195">
        <v>-1.8045949999999999</v>
      </c>
      <c r="N1236" s="195">
        <v>-1.7041729999999999</v>
      </c>
    </row>
    <row r="1237" spans="1:14" hidden="1" x14ac:dyDescent="0.35">
      <c r="A1237" s="52" t="s">
        <v>623</v>
      </c>
      <c r="B1237" s="52" t="s">
        <v>59</v>
      </c>
      <c r="C1237" s="52" t="s">
        <v>161</v>
      </c>
      <c r="D1237" s="52" t="s">
        <v>161</v>
      </c>
      <c r="E1237" s="52" t="s">
        <v>584</v>
      </c>
      <c r="F1237" s="52" t="s">
        <v>581</v>
      </c>
      <c r="G1237" s="195" t="s">
        <v>277</v>
      </c>
      <c r="H1237" s="195">
        <v>2.8125</v>
      </c>
      <c r="I1237" s="195">
        <v>1.6875</v>
      </c>
      <c r="J1237" s="195">
        <v>2.236612</v>
      </c>
      <c r="K1237" s="195">
        <v>1.4324319999999999</v>
      </c>
      <c r="L1237" s="195">
        <v>1.3266659999999999</v>
      </c>
      <c r="M1237" s="195">
        <v>0.9585361</v>
      </c>
      <c r="N1237" s="195">
        <v>1.099701</v>
      </c>
    </row>
    <row r="1238" spans="1:14" hidden="1" x14ac:dyDescent="0.35">
      <c r="A1238" s="52" t="s">
        <v>623</v>
      </c>
      <c r="B1238" s="52" t="s">
        <v>59</v>
      </c>
      <c r="C1238" s="52" t="s">
        <v>161</v>
      </c>
      <c r="D1238" s="52" t="s">
        <v>161</v>
      </c>
      <c r="E1238" s="52" t="s">
        <v>584</v>
      </c>
      <c r="F1238" s="52" t="s">
        <v>581</v>
      </c>
      <c r="G1238" s="195" t="s">
        <v>279</v>
      </c>
      <c r="H1238" s="195">
        <v>7.1445129999999999</v>
      </c>
      <c r="I1238" s="195">
        <v>8.1290019999999998</v>
      </c>
      <c r="J1238" s="195">
        <v>7.8803280000000004</v>
      </c>
      <c r="K1238" s="195">
        <v>8.0982710000000004</v>
      </c>
      <c r="L1238" s="195">
        <v>8.1394450000000003</v>
      </c>
      <c r="M1238" s="195">
        <v>8.1641910000000006</v>
      </c>
      <c r="N1238" s="195">
        <v>8.1863810000000008</v>
      </c>
    </row>
    <row r="1239" spans="1:14" hidden="1" x14ac:dyDescent="0.35">
      <c r="A1239" s="52" t="s">
        <v>623</v>
      </c>
      <c r="B1239" s="52" t="s">
        <v>59</v>
      </c>
      <c r="C1239" s="52" t="s">
        <v>161</v>
      </c>
      <c r="D1239" s="52" t="s">
        <v>161</v>
      </c>
      <c r="E1239" s="52" t="s">
        <v>584</v>
      </c>
      <c r="F1239" s="52" t="s">
        <v>26</v>
      </c>
      <c r="G1239" s="195" t="s">
        <v>275</v>
      </c>
      <c r="H1239" s="195">
        <v>11.07325</v>
      </c>
      <c r="I1239" s="195">
        <v>16.879549999999998</v>
      </c>
      <c r="J1239" s="195">
        <v>11.52665</v>
      </c>
      <c r="K1239" s="195">
        <v>13.47176</v>
      </c>
      <c r="L1239" s="195">
        <v>13.239179999999999</v>
      </c>
      <c r="M1239" s="195">
        <v>11.45309</v>
      </c>
      <c r="N1239" s="195">
        <v>9.9037520000000008</v>
      </c>
    </row>
    <row r="1240" spans="1:14" hidden="1" x14ac:dyDescent="0.35">
      <c r="A1240" s="52" t="s">
        <v>623</v>
      </c>
      <c r="B1240" s="52" t="s">
        <v>59</v>
      </c>
      <c r="C1240" s="52" t="s">
        <v>161</v>
      </c>
      <c r="D1240" s="52" t="s">
        <v>161</v>
      </c>
      <c r="E1240" s="52" t="s">
        <v>584</v>
      </c>
      <c r="F1240" s="52" t="s">
        <v>26</v>
      </c>
      <c r="G1240" s="195" t="s">
        <v>276</v>
      </c>
      <c r="H1240" s="195">
        <v>5.849723</v>
      </c>
      <c r="I1240" s="195">
        <v>3.345599</v>
      </c>
      <c r="J1240" s="195">
        <v>6.2086589999999999</v>
      </c>
      <c r="K1240" s="195">
        <v>6.3922290000000004</v>
      </c>
      <c r="L1240" s="195">
        <v>6.0676949999999996</v>
      </c>
      <c r="M1240" s="195">
        <v>4.667084</v>
      </c>
      <c r="N1240" s="195">
        <v>4.4041670000000002</v>
      </c>
    </row>
    <row r="1241" spans="1:14" hidden="1" x14ac:dyDescent="0.35">
      <c r="A1241" s="52" t="s">
        <v>623</v>
      </c>
      <c r="B1241" s="52" t="s">
        <v>59</v>
      </c>
      <c r="C1241" s="52" t="s">
        <v>161</v>
      </c>
      <c r="D1241" s="52" t="s">
        <v>161</v>
      </c>
      <c r="E1241" s="52" t="s">
        <v>584</v>
      </c>
      <c r="F1241" s="52" t="s">
        <v>26</v>
      </c>
      <c r="G1241" s="195" t="s">
        <v>277</v>
      </c>
      <c r="H1241" s="195">
        <v>4.7468500000000002</v>
      </c>
      <c r="I1241" s="195">
        <v>5.0244730000000004</v>
      </c>
      <c r="J1241" s="195">
        <v>5.0709980000000003</v>
      </c>
      <c r="K1241" s="195">
        <v>3.6133769999999998</v>
      </c>
      <c r="L1241" s="195">
        <v>3.3367559999999998</v>
      </c>
      <c r="M1241" s="195">
        <v>2.4747880000000002</v>
      </c>
      <c r="N1241" s="195">
        <v>2.6802030000000001</v>
      </c>
    </row>
    <row r="1242" spans="1:14" hidden="1" x14ac:dyDescent="0.35">
      <c r="A1242" s="52" t="s">
        <v>623</v>
      </c>
      <c r="B1242" s="52" t="s">
        <v>59</v>
      </c>
      <c r="C1242" s="52" t="s">
        <v>161</v>
      </c>
      <c r="D1242" s="52" t="s">
        <v>161</v>
      </c>
      <c r="E1242" s="52" t="s">
        <v>584</v>
      </c>
      <c r="F1242" s="52" t="s">
        <v>26</v>
      </c>
      <c r="G1242" s="195" t="s">
        <v>278</v>
      </c>
      <c r="H1242" s="195">
        <v>8.0157010000000001E-3</v>
      </c>
      <c r="I1242" s="195">
        <v>8.0157000000000006E-3</v>
      </c>
      <c r="J1242" s="195">
        <v>8.0157010000000001E-3</v>
      </c>
      <c r="K1242" s="195">
        <v>8.0157010000000001E-3</v>
      </c>
      <c r="L1242" s="195">
        <v>8.0157010000000001E-3</v>
      </c>
      <c r="M1242" s="195">
        <v>8.0157010000000001E-3</v>
      </c>
      <c r="N1242" s="195">
        <v>8.0157010000000001E-3</v>
      </c>
    </row>
    <row r="1243" spans="1:14" hidden="1" x14ac:dyDescent="0.35">
      <c r="A1243" s="52" t="s">
        <v>623</v>
      </c>
      <c r="B1243" s="52" t="s">
        <v>59</v>
      </c>
      <c r="C1243" s="52" t="s">
        <v>161</v>
      </c>
      <c r="D1243" s="52" t="s">
        <v>161</v>
      </c>
      <c r="E1243" s="52" t="s">
        <v>584</v>
      </c>
      <c r="F1243" s="52" t="s">
        <v>26</v>
      </c>
      <c r="G1243" s="195" t="s">
        <v>279</v>
      </c>
      <c r="H1243" s="195">
        <v>8.8167240000000007</v>
      </c>
      <c r="I1243" s="195">
        <v>8.4226379999999992</v>
      </c>
      <c r="J1243" s="195">
        <v>8.0213789999999996</v>
      </c>
      <c r="K1243" s="195">
        <v>8.5951350000000009</v>
      </c>
      <c r="L1243" s="195">
        <v>8.3659510000000008</v>
      </c>
      <c r="M1243" s="195">
        <v>8.0925429999999992</v>
      </c>
      <c r="N1243" s="195">
        <v>7.8023170000000004</v>
      </c>
    </row>
    <row r="1244" spans="1:14" hidden="1" x14ac:dyDescent="0.35">
      <c r="A1244" s="52" t="s">
        <v>623</v>
      </c>
      <c r="B1244" s="52" t="s">
        <v>59</v>
      </c>
      <c r="C1244" s="52" t="s">
        <v>165</v>
      </c>
      <c r="D1244" s="52" t="s">
        <v>165</v>
      </c>
      <c r="E1244" s="52" t="s">
        <v>584</v>
      </c>
      <c r="F1244" s="52" t="s">
        <v>581</v>
      </c>
      <c r="G1244" s="195" t="s">
        <v>275</v>
      </c>
      <c r="H1244" s="195">
        <v>0.98066379999999997</v>
      </c>
      <c r="I1244" s="195">
        <v>-8.3060179999999997E-2</v>
      </c>
      <c r="J1244" s="195">
        <v>0.17202210000000001</v>
      </c>
      <c r="K1244" s="195">
        <v>0.2476486</v>
      </c>
      <c r="L1244" s="195">
        <v>0.189356</v>
      </c>
      <c r="M1244" s="195">
        <v>0.16189149999999999</v>
      </c>
      <c r="N1244" s="195">
        <v>0.1107611</v>
      </c>
    </row>
    <row r="1245" spans="1:14" hidden="1" x14ac:dyDescent="0.35">
      <c r="A1245" s="52" t="s">
        <v>623</v>
      </c>
      <c r="B1245" s="52" t="s">
        <v>59</v>
      </c>
      <c r="C1245" s="52" t="s">
        <v>165</v>
      </c>
      <c r="D1245" s="52" t="s">
        <v>165</v>
      </c>
      <c r="E1245" s="52" t="s">
        <v>584</v>
      </c>
      <c r="F1245" s="52" t="s">
        <v>581</v>
      </c>
      <c r="G1245" s="195" t="s">
        <v>276</v>
      </c>
      <c r="H1245" s="195">
        <v>0.58953699999999998</v>
      </c>
      <c r="I1245" s="195">
        <v>0.23298389999999999</v>
      </c>
      <c r="J1245" s="195">
        <v>0.20073360000000001</v>
      </c>
      <c r="K1245" s="195">
        <v>0.2018982</v>
      </c>
      <c r="L1245" s="195">
        <v>0.1684406</v>
      </c>
      <c r="M1245" s="195">
        <v>0.15580849999999999</v>
      </c>
      <c r="N1245" s="195">
        <v>0.12856480000000001</v>
      </c>
    </row>
    <row r="1246" spans="1:14" hidden="1" x14ac:dyDescent="0.35">
      <c r="A1246" s="52" t="s">
        <v>623</v>
      </c>
      <c r="B1246" s="52" t="s">
        <v>59</v>
      </c>
      <c r="C1246" s="52" t="s">
        <v>165</v>
      </c>
      <c r="D1246" s="52" t="s">
        <v>165</v>
      </c>
      <c r="E1246" s="52" t="s">
        <v>584</v>
      </c>
      <c r="F1246" s="52" t="s">
        <v>581</v>
      </c>
      <c r="G1246" s="195" t="s">
        <v>277</v>
      </c>
      <c r="H1246" s="195">
        <v>8.8921009999999995E-2</v>
      </c>
      <c r="I1246" s="195">
        <v>0.100769</v>
      </c>
      <c r="J1246" s="195">
        <v>0.100769</v>
      </c>
      <c r="K1246" s="195"/>
      <c r="L1246" s="195"/>
      <c r="M1246" s="195"/>
      <c r="N1246" s="195"/>
    </row>
    <row r="1247" spans="1:14" hidden="1" x14ac:dyDescent="0.35">
      <c r="A1247" s="52" t="s">
        <v>623</v>
      </c>
      <c r="B1247" s="52" t="s">
        <v>59</v>
      </c>
      <c r="C1247" s="52" t="s">
        <v>165</v>
      </c>
      <c r="D1247" s="52" t="s">
        <v>165</v>
      </c>
      <c r="E1247" s="52" t="s">
        <v>584</v>
      </c>
      <c r="F1247" s="52" t="s">
        <v>581</v>
      </c>
      <c r="G1247" s="195" t="s">
        <v>279</v>
      </c>
      <c r="H1247" s="195">
        <v>0.2895488</v>
      </c>
      <c r="I1247" s="195">
        <v>0.60575179999999995</v>
      </c>
      <c r="J1247" s="195">
        <v>0.28764400000000001</v>
      </c>
      <c r="K1247" s="195">
        <v>0.31039549999999999</v>
      </c>
      <c r="L1247" s="195">
        <v>0.31179210000000002</v>
      </c>
      <c r="M1247" s="195">
        <v>0.30876150000000002</v>
      </c>
      <c r="N1247" s="195">
        <v>0.28053600000000001</v>
      </c>
    </row>
    <row r="1248" spans="1:14" hidden="1" x14ac:dyDescent="0.35">
      <c r="A1248" s="52" t="s">
        <v>623</v>
      </c>
      <c r="B1248" s="52" t="s">
        <v>59</v>
      </c>
      <c r="C1248" s="52" t="s">
        <v>165</v>
      </c>
      <c r="D1248" s="52" t="s">
        <v>165</v>
      </c>
      <c r="E1248" s="52" t="s">
        <v>584</v>
      </c>
      <c r="F1248" s="52" t="s">
        <v>26</v>
      </c>
      <c r="G1248" s="195" t="s">
        <v>275</v>
      </c>
      <c r="H1248" s="195">
        <v>1.0493749999999999</v>
      </c>
      <c r="I1248" s="195">
        <v>-2.6404860000000001</v>
      </c>
      <c r="J1248" s="195">
        <v>1.5829580000000001</v>
      </c>
      <c r="K1248" s="195">
        <v>3.9880749999999998</v>
      </c>
      <c r="L1248" s="195">
        <v>3.2115040000000001</v>
      </c>
      <c r="M1248" s="195">
        <v>2.869923</v>
      </c>
      <c r="N1248" s="195">
        <v>2.1882549999999998</v>
      </c>
    </row>
    <row r="1249" spans="1:14" hidden="1" x14ac:dyDescent="0.35">
      <c r="A1249" s="52" t="s">
        <v>623</v>
      </c>
      <c r="B1249" s="52" t="s">
        <v>59</v>
      </c>
      <c r="C1249" s="52" t="s">
        <v>165</v>
      </c>
      <c r="D1249" s="52" t="s">
        <v>165</v>
      </c>
      <c r="E1249" s="52" t="s">
        <v>584</v>
      </c>
      <c r="F1249" s="52" t="s">
        <v>26</v>
      </c>
      <c r="G1249" s="195" t="s">
        <v>276</v>
      </c>
      <c r="H1249" s="195">
        <v>0.92199379999999997</v>
      </c>
      <c r="I1249" s="195">
        <v>0.83055330000000005</v>
      </c>
      <c r="J1249" s="195">
        <v>0.85098850000000004</v>
      </c>
      <c r="K1249" s="195">
        <v>0.89849610000000002</v>
      </c>
      <c r="L1249" s="195">
        <v>0.59659189999999995</v>
      </c>
      <c r="M1249" s="195">
        <v>0.60002500000000003</v>
      </c>
      <c r="N1249" s="195">
        <v>0.37668299999999999</v>
      </c>
    </row>
    <row r="1250" spans="1:14" hidden="1" x14ac:dyDescent="0.35">
      <c r="A1250" s="52" t="s">
        <v>623</v>
      </c>
      <c r="B1250" s="52" t="s">
        <v>59</v>
      </c>
      <c r="C1250" s="52" t="s">
        <v>165</v>
      </c>
      <c r="D1250" s="52" t="s">
        <v>165</v>
      </c>
      <c r="E1250" s="52" t="s">
        <v>584</v>
      </c>
      <c r="F1250" s="52" t="s">
        <v>26</v>
      </c>
      <c r="G1250" s="195" t="s">
        <v>277</v>
      </c>
      <c r="H1250" s="195">
        <v>3.3771420000000001</v>
      </c>
      <c r="I1250" s="195">
        <v>2.98977</v>
      </c>
      <c r="J1250" s="195">
        <v>2.961344</v>
      </c>
      <c r="K1250" s="195">
        <v>0.44355800000000001</v>
      </c>
      <c r="L1250" s="195">
        <v>0.4203268</v>
      </c>
      <c r="M1250" s="195">
        <v>0.3581802</v>
      </c>
      <c r="N1250" s="195">
        <v>0.2937826</v>
      </c>
    </row>
    <row r="1251" spans="1:14" hidden="1" x14ac:dyDescent="0.35">
      <c r="A1251" s="52" t="s">
        <v>623</v>
      </c>
      <c r="B1251" s="52" t="s">
        <v>59</v>
      </c>
      <c r="C1251" s="52" t="s">
        <v>165</v>
      </c>
      <c r="D1251" s="52" t="s">
        <v>165</v>
      </c>
      <c r="E1251" s="52" t="s">
        <v>584</v>
      </c>
      <c r="F1251" s="52" t="s">
        <v>26</v>
      </c>
      <c r="G1251" s="195" t="s">
        <v>278</v>
      </c>
      <c r="H1251" s="195">
        <v>5.4026040000000001E-3</v>
      </c>
      <c r="I1251" s="195">
        <v>5.4026050000000004E-3</v>
      </c>
      <c r="J1251" s="195">
        <v>0</v>
      </c>
      <c r="K1251" s="195">
        <v>0</v>
      </c>
      <c r="L1251" s="195">
        <v>0</v>
      </c>
      <c r="M1251" s="195">
        <v>0</v>
      </c>
      <c r="N1251" s="195">
        <v>0</v>
      </c>
    </row>
    <row r="1252" spans="1:14" hidden="1" x14ac:dyDescent="0.35">
      <c r="A1252" s="52" t="s">
        <v>623</v>
      </c>
      <c r="B1252" s="52" t="s">
        <v>59</v>
      </c>
      <c r="C1252" s="52" t="s">
        <v>165</v>
      </c>
      <c r="D1252" s="52" t="s">
        <v>165</v>
      </c>
      <c r="E1252" s="52" t="s">
        <v>584</v>
      </c>
      <c r="F1252" s="52" t="s">
        <v>26</v>
      </c>
      <c r="G1252" s="195" t="s">
        <v>279</v>
      </c>
      <c r="H1252" s="195">
        <v>2.7490549999999998</v>
      </c>
      <c r="I1252" s="195">
        <v>6.4890999999999996</v>
      </c>
      <c r="J1252" s="195">
        <v>2.5341619999999998</v>
      </c>
      <c r="K1252" s="195">
        <v>2.7347959999999998</v>
      </c>
      <c r="L1252" s="195">
        <v>2.7746629999999999</v>
      </c>
      <c r="M1252" s="195">
        <v>2.7699609999999999</v>
      </c>
      <c r="N1252" s="195">
        <v>2.5522269999999998</v>
      </c>
    </row>
    <row r="1253" spans="1:14" hidden="1" x14ac:dyDescent="0.35">
      <c r="A1253" s="52" t="s">
        <v>623</v>
      </c>
      <c r="B1253" s="52" t="s">
        <v>65</v>
      </c>
      <c r="C1253" s="52" t="s">
        <v>64</v>
      </c>
      <c r="D1253" s="52" t="s">
        <v>64</v>
      </c>
      <c r="E1253" s="52" t="s">
        <v>584</v>
      </c>
      <c r="F1253" s="52" t="s">
        <v>581</v>
      </c>
      <c r="G1253" s="195" t="s">
        <v>275</v>
      </c>
      <c r="H1253" s="195">
        <v>42.436790000000002</v>
      </c>
      <c r="I1253" s="195">
        <v>10.40447</v>
      </c>
      <c r="J1253" s="195">
        <v>6.2777500000000002</v>
      </c>
      <c r="K1253" s="195">
        <v>7.1171889999999998</v>
      </c>
      <c r="L1253" s="195">
        <v>5.8299300000000001</v>
      </c>
      <c r="M1253" s="195">
        <v>5.2960500000000001</v>
      </c>
      <c r="N1253" s="195">
        <v>4.466361</v>
      </c>
    </row>
    <row r="1254" spans="1:14" hidden="1" x14ac:dyDescent="0.35">
      <c r="A1254" s="52" t="s">
        <v>623</v>
      </c>
      <c r="B1254" s="52" t="s">
        <v>65</v>
      </c>
      <c r="C1254" s="52" t="s">
        <v>64</v>
      </c>
      <c r="D1254" s="52" t="s">
        <v>64</v>
      </c>
      <c r="E1254" s="52" t="s">
        <v>584</v>
      </c>
      <c r="F1254" s="52" t="s">
        <v>581</v>
      </c>
      <c r="G1254" s="195" t="s">
        <v>276</v>
      </c>
      <c r="H1254" s="195">
        <v>18.342770000000002</v>
      </c>
      <c r="I1254" s="195">
        <v>4.9580890000000002</v>
      </c>
      <c r="J1254" s="195">
        <v>4.3144650000000002</v>
      </c>
      <c r="K1254" s="195">
        <v>4.0589940000000002</v>
      </c>
      <c r="L1254" s="195">
        <v>4.1346590000000001</v>
      </c>
      <c r="M1254" s="195">
        <v>3.9204699999999999</v>
      </c>
      <c r="N1254" s="195">
        <v>3.6431460000000002</v>
      </c>
    </row>
    <row r="1255" spans="1:14" hidden="1" x14ac:dyDescent="0.35">
      <c r="A1255" s="52" t="s">
        <v>623</v>
      </c>
      <c r="B1255" s="52" t="s">
        <v>65</v>
      </c>
      <c r="C1255" s="52" t="s">
        <v>64</v>
      </c>
      <c r="D1255" s="52" t="s">
        <v>64</v>
      </c>
      <c r="E1255" s="52" t="s">
        <v>584</v>
      </c>
      <c r="F1255" s="52" t="s">
        <v>581</v>
      </c>
      <c r="G1255" s="195" t="s">
        <v>277</v>
      </c>
      <c r="H1255" s="195">
        <v>3.992985</v>
      </c>
      <c r="I1255" s="195">
        <v>3.0087290000000002</v>
      </c>
      <c r="J1255" s="195">
        <v>4.8169300000000002</v>
      </c>
      <c r="K1255" s="195">
        <v>2.6831499999999999</v>
      </c>
      <c r="L1255" s="195">
        <v>3.0851869999999999</v>
      </c>
      <c r="M1255" s="195">
        <v>2.8903370000000002</v>
      </c>
      <c r="N1255" s="195">
        <v>2.9023599999999998</v>
      </c>
    </row>
    <row r="1256" spans="1:14" hidden="1" x14ac:dyDescent="0.35">
      <c r="A1256" s="52" t="s">
        <v>623</v>
      </c>
      <c r="B1256" s="52" t="s">
        <v>65</v>
      </c>
      <c r="C1256" s="52" t="s">
        <v>64</v>
      </c>
      <c r="D1256" s="52" t="s">
        <v>64</v>
      </c>
      <c r="E1256" s="52" t="s">
        <v>584</v>
      </c>
      <c r="F1256" s="52" t="s">
        <v>581</v>
      </c>
      <c r="G1256" s="195" t="s">
        <v>278</v>
      </c>
      <c r="H1256" s="195">
        <v>5.7795779999999996E-3</v>
      </c>
      <c r="I1256" s="195">
        <v>8.8394179999999999E-3</v>
      </c>
      <c r="J1256" s="195">
        <v>9.6945509999999992E-3</v>
      </c>
      <c r="K1256" s="195">
        <v>0.1033863</v>
      </c>
      <c r="L1256" s="195">
        <v>3.8778340000000001E-3</v>
      </c>
      <c r="M1256" s="195">
        <v>3.8778340000000001E-3</v>
      </c>
      <c r="N1256" s="195">
        <v>3.877835E-3</v>
      </c>
    </row>
    <row r="1257" spans="1:14" hidden="1" x14ac:dyDescent="0.35">
      <c r="A1257" s="52" t="s">
        <v>623</v>
      </c>
      <c r="B1257" s="52" t="s">
        <v>65</v>
      </c>
      <c r="C1257" s="52" t="s">
        <v>64</v>
      </c>
      <c r="D1257" s="52" t="s">
        <v>64</v>
      </c>
      <c r="E1257" s="52" t="s">
        <v>584</v>
      </c>
      <c r="F1257" s="52" t="s">
        <v>581</v>
      </c>
      <c r="G1257" s="195" t="s">
        <v>279</v>
      </c>
      <c r="H1257" s="195">
        <v>16.72308</v>
      </c>
      <c r="I1257" s="195">
        <v>15.43585</v>
      </c>
      <c r="J1257" s="195">
        <v>15.90056</v>
      </c>
      <c r="K1257" s="195">
        <v>16.57526</v>
      </c>
      <c r="L1257" s="195">
        <v>16.138670000000001</v>
      </c>
      <c r="M1257" s="195">
        <v>14.94543</v>
      </c>
      <c r="N1257" s="195">
        <v>13.57912</v>
      </c>
    </row>
    <row r="1258" spans="1:14" hidden="1" x14ac:dyDescent="0.35">
      <c r="A1258" s="52" t="s">
        <v>623</v>
      </c>
      <c r="B1258" s="52" t="s">
        <v>65</v>
      </c>
      <c r="C1258" s="52" t="s">
        <v>64</v>
      </c>
      <c r="D1258" s="52" t="s">
        <v>64</v>
      </c>
      <c r="E1258" s="52" t="s">
        <v>584</v>
      </c>
      <c r="F1258" s="52" t="s">
        <v>26</v>
      </c>
      <c r="G1258" s="195" t="s">
        <v>275</v>
      </c>
      <c r="H1258" s="195">
        <v>-0.70367329999999995</v>
      </c>
      <c r="I1258" s="195">
        <v>-0.61679609999999996</v>
      </c>
      <c r="J1258" s="195">
        <v>-0.66390930000000004</v>
      </c>
      <c r="K1258" s="195">
        <v>-0.93872580000000005</v>
      </c>
      <c r="L1258" s="195">
        <v>-1.423074</v>
      </c>
      <c r="M1258" s="195">
        <v>-2.252678</v>
      </c>
      <c r="N1258" s="195">
        <v>-3.2014480000000001</v>
      </c>
    </row>
    <row r="1259" spans="1:14" hidden="1" x14ac:dyDescent="0.35">
      <c r="A1259" s="52" t="s">
        <v>623</v>
      </c>
      <c r="B1259" s="52" t="s">
        <v>65</v>
      </c>
      <c r="C1259" s="52" t="s">
        <v>64</v>
      </c>
      <c r="D1259" s="52" t="s">
        <v>64</v>
      </c>
      <c r="E1259" s="52" t="s">
        <v>584</v>
      </c>
      <c r="F1259" s="52" t="s">
        <v>26</v>
      </c>
      <c r="G1259" s="195" t="s">
        <v>276</v>
      </c>
      <c r="H1259" s="195">
        <v>2.7541000000000002E-3</v>
      </c>
      <c r="I1259" s="195">
        <v>5.6784670000000002E-2</v>
      </c>
      <c r="J1259" s="195">
        <v>9.8763110000000005E-3</v>
      </c>
      <c r="K1259" s="195">
        <v>5.3813209999999997E-3</v>
      </c>
      <c r="L1259" s="195">
        <v>5.2685860000000001E-2</v>
      </c>
      <c r="M1259" s="195">
        <v>2.8176670000000001E-2</v>
      </c>
      <c r="N1259" s="195">
        <v>2.499871E-2</v>
      </c>
    </row>
    <row r="1260" spans="1:14" hidden="1" x14ac:dyDescent="0.35">
      <c r="A1260" s="52" t="s">
        <v>623</v>
      </c>
      <c r="B1260" s="52" t="s">
        <v>65</v>
      </c>
      <c r="C1260" s="52" t="s">
        <v>64</v>
      </c>
      <c r="D1260" s="52" t="s">
        <v>64</v>
      </c>
      <c r="E1260" s="52" t="s">
        <v>584</v>
      </c>
      <c r="F1260" s="52" t="s">
        <v>26</v>
      </c>
      <c r="G1260" s="195" t="s">
        <v>277</v>
      </c>
      <c r="H1260" s="195">
        <v>2.4814019999999999E-2</v>
      </c>
      <c r="I1260" s="195">
        <v>2.4814010000000001E-2</v>
      </c>
      <c r="J1260" s="195">
        <v>5.1749999999999997E-2</v>
      </c>
      <c r="K1260" s="195">
        <v>0.26291639999999999</v>
      </c>
      <c r="L1260" s="195">
        <v>0.79794569999999998</v>
      </c>
      <c r="M1260" s="195">
        <v>1.7471019999999999</v>
      </c>
      <c r="N1260" s="195">
        <v>2.7596440000000002</v>
      </c>
    </row>
    <row r="1261" spans="1:14" hidden="1" x14ac:dyDescent="0.35">
      <c r="A1261" s="52" t="s">
        <v>623</v>
      </c>
      <c r="B1261" s="52" t="s">
        <v>65</v>
      </c>
      <c r="C1261" s="52" t="s">
        <v>64</v>
      </c>
      <c r="D1261" s="52" t="s">
        <v>64</v>
      </c>
      <c r="E1261" s="52" t="s">
        <v>584</v>
      </c>
      <c r="F1261" s="52" t="s">
        <v>26</v>
      </c>
      <c r="G1261" s="195" t="s">
        <v>279</v>
      </c>
      <c r="H1261" s="195">
        <v>3.0437460000000001</v>
      </c>
      <c r="I1261" s="195">
        <v>2.7116980000000002</v>
      </c>
      <c r="J1261" s="195">
        <v>2.5014090000000002</v>
      </c>
      <c r="K1261" s="195">
        <v>2.3101959999999999</v>
      </c>
      <c r="L1261" s="195">
        <v>1.963716</v>
      </c>
      <c r="M1261" s="195">
        <v>1.6271739999999999</v>
      </c>
      <c r="N1261" s="195">
        <v>1.367748</v>
      </c>
    </row>
    <row r="1262" spans="1:14" hidden="1" x14ac:dyDescent="0.35">
      <c r="A1262" s="52" t="s">
        <v>623</v>
      </c>
      <c r="B1262" s="52" t="s">
        <v>65</v>
      </c>
      <c r="C1262" s="52" t="s">
        <v>136</v>
      </c>
      <c r="D1262" s="52" t="s">
        <v>136</v>
      </c>
      <c r="E1262" s="52" t="s">
        <v>584</v>
      </c>
      <c r="F1262" s="52" t="s">
        <v>581</v>
      </c>
      <c r="G1262" s="195" t="s">
        <v>275</v>
      </c>
      <c r="H1262" s="195">
        <v>3.233876</v>
      </c>
      <c r="I1262" s="195">
        <v>0.55801080000000003</v>
      </c>
      <c r="J1262" s="195">
        <v>0.20538500000000001</v>
      </c>
      <c r="K1262" s="195">
        <v>-0.61477040000000005</v>
      </c>
      <c r="L1262" s="195">
        <v>-0.76672390000000001</v>
      </c>
      <c r="M1262" s="195">
        <v>-0.91724209999999995</v>
      </c>
      <c r="N1262" s="195">
        <v>-1.0277210000000001</v>
      </c>
    </row>
    <row r="1263" spans="1:14" hidden="1" x14ac:dyDescent="0.35">
      <c r="A1263" s="52" t="s">
        <v>623</v>
      </c>
      <c r="B1263" s="52" t="s">
        <v>65</v>
      </c>
      <c r="C1263" s="52" t="s">
        <v>136</v>
      </c>
      <c r="D1263" s="52" t="s">
        <v>136</v>
      </c>
      <c r="E1263" s="52" t="s">
        <v>584</v>
      </c>
      <c r="F1263" s="52" t="s">
        <v>581</v>
      </c>
      <c r="G1263" s="195" t="s">
        <v>276</v>
      </c>
      <c r="H1263" s="195">
        <v>7.0681890000000003</v>
      </c>
      <c r="I1263" s="195">
        <v>1.751876</v>
      </c>
      <c r="J1263" s="195">
        <v>1.3629020000000001</v>
      </c>
      <c r="K1263" s="195">
        <v>1.443127</v>
      </c>
      <c r="L1263" s="195">
        <v>1.5155460000000001</v>
      </c>
      <c r="M1263" s="195">
        <v>1.586298</v>
      </c>
      <c r="N1263" s="195">
        <v>1.662936</v>
      </c>
    </row>
    <row r="1264" spans="1:14" hidden="1" x14ac:dyDescent="0.35">
      <c r="A1264" s="52" t="s">
        <v>623</v>
      </c>
      <c r="B1264" s="52" t="s">
        <v>65</v>
      </c>
      <c r="C1264" s="52" t="s">
        <v>136</v>
      </c>
      <c r="D1264" s="52" t="s">
        <v>136</v>
      </c>
      <c r="E1264" s="52" t="s">
        <v>584</v>
      </c>
      <c r="F1264" s="52" t="s">
        <v>581</v>
      </c>
      <c r="G1264" s="195" t="s">
        <v>277</v>
      </c>
      <c r="H1264" s="195">
        <v>2.3608600000000002</v>
      </c>
      <c r="I1264" s="195">
        <v>1.965916</v>
      </c>
      <c r="J1264" s="195">
        <v>2.0526080000000002</v>
      </c>
      <c r="K1264" s="195">
        <v>2.7284679999999999</v>
      </c>
      <c r="L1264" s="195">
        <v>2.8323800000000001</v>
      </c>
      <c r="M1264" s="195">
        <v>2.9354629999999999</v>
      </c>
      <c r="N1264" s="195">
        <v>3.0384470000000001</v>
      </c>
    </row>
    <row r="1265" spans="1:14" hidden="1" x14ac:dyDescent="0.35">
      <c r="A1265" s="52" t="s">
        <v>623</v>
      </c>
      <c r="B1265" s="52" t="s">
        <v>65</v>
      </c>
      <c r="C1265" s="52" t="s">
        <v>136</v>
      </c>
      <c r="D1265" s="52" t="s">
        <v>136</v>
      </c>
      <c r="E1265" s="52" t="s">
        <v>584</v>
      </c>
      <c r="F1265" s="52" t="s">
        <v>581</v>
      </c>
      <c r="G1265" s="195" t="s">
        <v>278</v>
      </c>
      <c r="H1265" s="195">
        <v>6.8835600000000004E-3</v>
      </c>
      <c r="I1265" s="195">
        <v>6.8835600000000004E-3</v>
      </c>
      <c r="J1265" s="195">
        <v>6.8835600000000004E-3</v>
      </c>
      <c r="K1265" s="195">
        <v>6.8835600000000004E-3</v>
      </c>
      <c r="L1265" s="195">
        <v>6.8835600000000004E-3</v>
      </c>
      <c r="M1265" s="195">
        <v>6.8835600000000004E-3</v>
      </c>
      <c r="N1265" s="195">
        <v>6.8835600000000004E-3</v>
      </c>
    </row>
    <row r="1266" spans="1:14" hidden="1" x14ac:dyDescent="0.35">
      <c r="A1266" s="52" t="s">
        <v>623</v>
      </c>
      <c r="B1266" s="52" t="s">
        <v>65</v>
      </c>
      <c r="C1266" s="52" t="s">
        <v>136</v>
      </c>
      <c r="D1266" s="52" t="s">
        <v>136</v>
      </c>
      <c r="E1266" s="52" t="s">
        <v>584</v>
      </c>
      <c r="F1266" s="52" t="s">
        <v>581</v>
      </c>
      <c r="G1266" s="195" t="s">
        <v>279</v>
      </c>
      <c r="H1266" s="195">
        <v>1.2757430000000001</v>
      </c>
      <c r="I1266" s="195">
        <v>1.266656</v>
      </c>
      <c r="J1266" s="195">
        <v>1.271374</v>
      </c>
      <c r="K1266" s="195">
        <v>1.4581500000000001</v>
      </c>
      <c r="L1266" s="195">
        <v>1.5595760000000001</v>
      </c>
      <c r="M1266" s="195">
        <v>1.6652119999999999</v>
      </c>
      <c r="N1266" s="195">
        <v>1.7282329999999999</v>
      </c>
    </row>
    <row r="1267" spans="1:14" hidden="1" x14ac:dyDescent="0.35">
      <c r="A1267" s="52" t="s">
        <v>623</v>
      </c>
      <c r="B1267" s="52" t="s">
        <v>65</v>
      </c>
      <c r="C1267" s="52" t="s">
        <v>136</v>
      </c>
      <c r="D1267" s="52" t="s">
        <v>136</v>
      </c>
      <c r="E1267" s="52" t="s">
        <v>584</v>
      </c>
      <c r="F1267" s="52" t="s">
        <v>26</v>
      </c>
      <c r="G1267" s="195" t="s">
        <v>275</v>
      </c>
      <c r="H1267" s="195">
        <v>0.20852270000000001</v>
      </c>
      <c r="I1267" s="195">
        <v>9.4205949999999997E-2</v>
      </c>
      <c r="J1267" s="195">
        <v>4.7363200000000001E-2</v>
      </c>
      <c r="K1267" s="195">
        <v>2.581835E-2</v>
      </c>
      <c r="L1267" s="195">
        <v>1.3938900000000001E-2</v>
      </c>
      <c r="M1267" s="195">
        <v>6.4817879999999996E-3</v>
      </c>
      <c r="N1267" s="195">
        <v>1.616424E-3</v>
      </c>
    </row>
    <row r="1268" spans="1:14" hidden="1" x14ac:dyDescent="0.35">
      <c r="A1268" s="52" t="s">
        <v>623</v>
      </c>
      <c r="B1268" s="52" t="s">
        <v>65</v>
      </c>
      <c r="C1268" s="52" t="s">
        <v>136</v>
      </c>
      <c r="D1268" s="52" t="s">
        <v>136</v>
      </c>
      <c r="E1268" s="52" t="s">
        <v>584</v>
      </c>
      <c r="F1268" s="52" t="s">
        <v>26</v>
      </c>
      <c r="G1268" s="195" t="s">
        <v>276</v>
      </c>
      <c r="H1268" s="195">
        <v>9.9688810000000006E-3</v>
      </c>
      <c r="I1268" s="195">
        <v>1.1168759999999999E-3</v>
      </c>
      <c r="J1268" s="195"/>
      <c r="K1268" s="195"/>
      <c r="L1268" s="195"/>
      <c r="M1268" s="195"/>
      <c r="N1268" s="195">
        <v>2.64288E-4</v>
      </c>
    </row>
    <row r="1269" spans="1:14" hidden="1" x14ac:dyDescent="0.35">
      <c r="A1269" s="52" t="s">
        <v>623</v>
      </c>
      <c r="B1269" s="52" t="s">
        <v>65</v>
      </c>
      <c r="C1269" s="52" t="s">
        <v>136</v>
      </c>
      <c r="D1269" s="52" t="s">
        <v>136</v>
      </c>
      <c r="E1269" s="52" t="s">
        <v>584</v>
      </c>
      <c r="F1269" s="52" t="s">
        <v>26</v>
      </c>
      <c r="G1269" s="195" t="s">
        <v>279</v>
      </c>
      <c r="H1269" s="195">
        <v>0.1095281</v>
      </c>
      <c r="I1269" s="195">
        <v>7.5548039999999997E-2</v>
      </c>
      <c r="J1269" s="195">
        <v>5.315334E-2</v>
      </c>
      <c r="K1269" s="195">
        <v>4.2718920000000001E-2</v>
      </c>
      <c r="L1269" s="195">
        <v>3.2773919999999998E-2</v>
      </c>
      <c r="M1269" s="195">
        <v>2.5578960000000001E-2</v>
      </c>
      <c r="N1269" s="195">
        <v>2.0021819999999999E-2</v>
      </c>
    </row>
    <row r="1270" spans="1:14" hidden="1" x14ac:dyDescent="0.35">
      <c r="A1270" s="52" t="s">
        <v>623</v>
      </c>
      <c r="B1270" s="52" t="s">
        <v>65</v>
      </c>
      <c r="C1270" s="52" t="s">
        <v>357</v>
      </c>
      <c r="D1270" s="52" t="s">
        <v>357</v>
      </c>
      <c r="E1270" s="52" t="s">
        <v>584</v>
      </c>
      <c r="F1270" s="52" t="s">
        <v>26</v>
      </c>
      <c r="G1270" s="195" t="s">
        <v>275</v>
      </c>
      <c r="H1270" s="195">
        <v>-0.23484389999999999</v>
      </c>
      <c r="I1270" s="195">
        <v>-0.35917510000000002</v>
      </c>
      <c r="J1270" s="195">
        <v>0</v>
      </c>
      <c r="K1270" s="195">
        <v>0</v>
      </c>
      <c r="L1270" s="195">
        <v>0</v>
      </c>
      <c r="M1270" s="195">
        <v>0</v>
      </c>
      <c r="N1270" s="195">
        <v>0</v>
      </c>
    </row>
    <row r="1271" spans="1:14" hidden="1" x14ac:dyDescent="0.35">
      <c r="A1271" s="52" t="s">
        <v>623</v>
      </c>
      <c r="B1271" s="52" t="s">
        <v>65</v>
      </c>
      <c r="C1271" s="52" t="s">
        <v>357</v>
      </c>
      <c r="D1271" s="52" t="s">
        <v>357</v>
      </c>
      <c r="E1271" s="52" t="s">
        <v>584</v>
      </c>
      <c r="F1271" s="52" t="s">
        <v>26</v>
      </c>
      <c r="G1271" s="195" t="s">
        <v>276</v>
      </c>
      <c r="H1271" s="195"/>
      <c r="I1271" s="195"/>
      <c r="J1271" s="195">
        <v>-0.3939223</v>
      </c>
      <c r="K1271" s="195">
        <v>-2.6707580000000002</v>
      </c>
      <c r="L1271" s="195">
        <v>-2.8457629999999998</v>
      </c>
      <c r="M1271" s="195">
        <v>-0.16688600000000001</v>
      </c>
      <c r="N1271" s="195">
        <v>-0.15756890000000001</v>
      </c>
    </row>
    <row r="1272" spans="1:14" hidden="1" x14ac:dyDescent="0.35">
      <c r="A1272" s="52" t="s">
        <v>623</v>
      </c>
      <c r="B1272" s="52" t="s">
        <v>65</v>
      </c>
      <c r="C1272" s="52" t="s">
        <v>357</v>
      </c>
      <c r="D1272" s="52" t="s">
        <v>357</v>
      </c>
      <c r="E1272" s="52" t="s">
        <v>584</v>
      </c>
      <c r="F1272" s="52" t="s">
        <v>26</v>
      </c>
      <c r="G1272" s="195" t="s">
        <v>277</v>
      </c>
      <c r="H1272" s="195"/>
      <c r="I1272" s="195"/>
      <c r="J1272" s="195"/>
      <c r="K1272" s="195">
        <v>0</v>
      </c>
      <c r="L1272" s="195">
        <v>9.3170679999999995E-3</v>
      </c>
      <c r="M1272" s="195">
        <v>9.3170679999999995E-3</v>
      </c>
      <c r="N1272" s="195">
        <v>0</v>
      </c>
    </row>
    <row r="1273" spans="1:14" hidden="1" x14ac:dyDescent="0.35">
      <c r="A1273" s="52" t="s">
        <v>623</v>
      </c>
      <c r="B1273" s="52" t="s">
        <v>65</v>
      </c>
      <c r="C1273" s="52" t="s">
        <v>357</v>
      </c>
      <c r="D1273" s="52" t="s">
        <v>357</v>
      </c>
      <c r="E1273" s="52" t="s">
        <v>584</v>
      </c>
      <c r="F1273" s="52" t="s">
        <v>26</v>
      </c>
      <c r="G1273" s="195" t="s">
        <v>278</v>
      </c>
      <c r="H1273" s="195">
        <v>0.23484389999999999</v>
      </c>
      <c r="I1273" s="195">
        <v>0.35917510000000002</v>
      </c>
      <c r="J1273" s="195">
        <v>0.3939223</v>
      </c>
      <c r="K1273" s="195">
        <v>2.6707580000000002</v>
      </c>
      <c r="L1273" s="195">
        <v>2.8364449999999999</v>
      </c>
      <c r="M1273" s="195">
        <v>0.15756890000000001</v>
      </c>
      <c r="N1273" s="195">
        <v>0.15756890000000001</v>
      </c>
    </row>
    <row r="1274" spans="1:14" hidden="1" x14ac:dyDescent="0.35">
      <c r="A1274" s="52" t="s">
        <v>623</v>
      </c>
      <c r="B1274" s="52" t="s">
        <v>65</v>
      </c>
      <c r="C1274" s="52" t="s">
        <v>187</v>
      </c>
      <c r="D1274" s="52" t="s">
        <v>187</v>
      </c>
      <c r="E1274" s="52" t="s">
        <v>584</v>
      </c>
      <c r="F1274" s="52" t="s">
        <v>26</v>
      </c>
      <c r="G1274" s="195" t="s">
        <v>275</v>
      </c>
      <c r="H1274" s="195"/>
      <c r="I1274" s="195"/>
      <c r="J1274" s="195">
        <v>0</v>
      </c>
      <c r="K1274" s="195">
        <v>-2.831305</v>
      </c>
      <c r="L1274" s="195">
        <v>-8.2980789999999995</v>
      </c>
      <c r="M1274" s="195">
        <v>-17.996289999999998</v>
      </c>
      <c r="N1274" s="195">
        <v>-28.34215</v>
      </c>
    </row>
    <row r="1275" spans="1:14" hidden="1" x14ac:dyDescent="0.35">
      <c r="A1275" s="52" t="s">
        <v>623</v>
      </c>
      <c r="B1275" s="52" t="s">
        <v>65</v>
      </c>
      <c r="C1275" s="52" t="s">
        <v>187</v>
      </c>
      <c r="D1275" s="52" t="s">
        <v>187</v>
      </c>
      <c r="E1275" s="52" t="s">
        <v>584</v>
      </c>
      <c r="F1275" s="52" t="s">
        <v>26</v>
      </c>
      <c r="G1275" s="195" t="s">
        <v>277</v>
      </c>
      <c r="H1275" s="195"/>
      <c r="I1275" s="195"/>
      <c r="J1275" s="195">
        <v>0</v>
      </c>
      <c r="K1275" s="195">
        <v>2.6864050000000002</v>
      </c>
      <c r="L1275" s="195">
        <v>8.1531800000000008</v>
      </c>
      <c r="M1275" s="195">
        <v>17.851389999999999</v>
      </c>
      <c r="N1275" s="195">
        <v>28.19725</v>
      </c>
    </row>
    <row r="1276" spans="1:14" hidden="1" x14ac:dyDescent="0.35">
      <c r="A1276" s="52" t="s">
        <v>623</v>
      </c>
      <c r="B1276" s="52" t="s">
        <v>65</v>
      </c>
      <c r="C1276" s="52" t="s">
        <v>187</v>
      </c>
      <c r="D1276" s="52" t="s">
        <v>187</v>
      </c>
      <c r="E1276" s="52" t="s">
        <v>584</v>
      </c>
      <c r="F1276" s="52" t="s">
        <v>26</v>
      </c>
      <c r="G1276" s="195" t="s">
        <v>279</v>
      </c>
      <c r="H1276" s="195"/>
      <c r="I1276" s="195"/>
      <c r="J1276" s="195">
        <v>0</v>
      </c>
      <c r="K1276" s="195">
        <v>0.1449</v>
      </c>
      <c r="L1276" s="195">
        <v>0.1449</v>
      </c>
      <c r="M1276" s="195">
        <v>0.1449</v>
      </c>
      <c r="N1276" s="195">
        <v>0.1449</v>
      </c>
    </row>
    <row r="1277" spans="1:14" hidden="1" x14ac:dyDescent="0.35">
      <c r="A1277" s="52" t="s">
        <v>623</v>
      </c>
      <c r="B1277" s="52" t="s">
        <v>45</v>
      </c>
      <c r="C1277" s="52" t="s">
        <v>44</v>
      </c>
      <c r="D1277" s="52" t="s">
        <v>44</v>
      </c>
      <c r="E1277" s="52" t="s">
        <v>584</v>
      </c>
      <c r="F1277" s="52" t="s">
        <v>581</v>
      </c>
      <c r="G1277" s="195" t="s">
        <v>275</v>
      </c>
      <c r="H1277" s="195">
        <v>38.167949999999998</v>
      </c>
      <c r="I1277" s="195">
        <v>6.9693100000000001</v>
      </c>
      <c r="J1277" s="195">
        <v>1.4817579999999999</v>
      </c>
      <c r="K1277" s="195">
        <v>-1.731004</v>
      </c>
      <c r="L1277" s="195">
        <v>-0.4809794</v>
      </c>
      <c r="M1277" s="195">
        <v>-7.0917250000000003</v>
      </c>
      <c r="N1277" s="195">
        <v>-12.284929999999999</v>
      </c>
    </row>
    <row r="1278" spans="1:14" hidden="1" x14ac:dyDescent="0.35">
      <c r="A1278" s="52" t="s">
        <v>623</v>
      </c>
      <c r="B1278" s="52" t="s">
        <v>45</v>
      </c>
      <c r="C1278" s="52" t="s">
        <v>44</v>
      </c>
      <c r="D1278" s="52" t="s">
        <v>44</v>
      </c>
      <c r="E1278" s="52" t="s">
        <v>584</v>
      </c>
      <c r="F1278" s="52" t="s">
        <v>581</v>
      </c>
      <c r="G1278" s="195" t="s">
        <v>276</v>
      </c>
      <c r="H1278" s="195">
        <v>5.403003</v>
      </c>
      <c r="I1278" s="195">
        <v>1.987428</v>
      </c>
      <c r="J1278" s="195">
        <v>1.5883769999999999</v>
      </c>
      <c r="K1278" s="195">
        <v>1.51583</v>
      </c>
      <c r="L1278" s="195">
        <v>1.0512159999999999</v>
      </c>
      <c r="M1278" s="195">
        <v>0.68154320000000002</v>
      </c>
      <c r="N1278" s="195">
        <v>0.5495217</v>
      </c>
    </row>
    <row r="1279" spans="1:14" hidden="1" x14ac:dyDescent="0.35">
      <c r="A1279" s="52" t="s">
        <v>623</v>
      </c>
      <c r="B1279" s="52" t="s">
        <v>45</v>
      </c>
      <c r="C1279" s="52" t="s">
        <v>44</v>
      </c>
      <c r="D1279" s="52" t="s">
        <v>44</v>
      </c>
      <c r="E1279" s="52" t="s">
        <v>584</v>
      </c>
      <c r="F1279" s="52" t="s">
        <v>581</v>
      </c>
      <c r="G1279" s="195" t="s">
        <v>277</v>
      </c>
      <c r="H1279" s="195">
        <v>11.74174</v>
      </c>
      <c r="I1279" s="195">
        <v>2.0151940000000002</v>
      </c>
      <c r="J1279" s="195">
        <v>1.802667</v>
      </c>
      <c r="K1279" s="195">
        <v>2.786235</v>
      </c>
      <c r="L1279" s="195">
        <v>3.068171</v>
      </c>
      <c r="M1279" s="195">
        <v>2.7534550000000002</v>
      </c>
      <c r="N1279" s="195">
        <v>0.67372520000000002</v>
      </c>
    </row>
    <row r="1280" spans="1:14" hidden="1" x14ac:dyDescent="0.35">
      <c r="A1280" s="52" t="s">
        <v>623</v>
      </c>
      <c r="B1280" s="52" t="s">
        <v>45</v>
      </c>
      <c r="C1280" s="52" t="s">
        <v>44</v>
      </c>
      <c r="D1280" s="52" t="s">
        <v>44</v>
      </c>
      <c r="E1280" s="52" t="s">
        <v>584</v>
      </c>
      <c r="F1280" s="52" t="s">
        <v>581</v>
      </c>
      <c r="G1280" s="195" t="s">
        <v>278</v>
      </c>
      <c r="H1280" s="195">
        <v>1.0005679999999999E-2</v>
      </c>
      <c r="I1280" s="195">
        <v>1.0005679999999999E-2</v>
      </c>
      <c r="J1280" s="195">
        <v>0</v>
      </c>
      <c r="K1280" s="195">
        <v>0</v>
      </c>
      <c r="L1280" s="195">
        <v>0</v>
      </c>
      <c r="M1280" s="195">
        <v>0</v>
      </c>
      <c r="N1280" s="195">
        <v>0</v>
      </c>
    </row>
    <row r="1281" spans="1:14" hidden="1" x14ac:dyDescent="0.35">
      <c r="A1281" s="52" t="s">
        <v>623</v>
      </c>
      <c r="B1281" s="52" t="s">
        <v>45</v>
      </c>
      <c r="C1281" s="52" t="s">
        <v>44</v>
      </c>
      <c r="D1281" s="52" t="s">
        <v>44</v>
      </c>
      <c r="E1281" s="52" t="s">
        <v>584</v>
      </c>
      <c r="F1281" s="52" t="s">
        <v>581</v>
      </c>
      <c r="G1281" s="195" t="s">
        <v>279</v>
      </c>
      <c r="H1281" s="195">
        <v>18.626090000000001</v>
      </c>
      <c r="I1281" s="195">
        <v>17.258970000000001</v>
      </c>
      <c r="J1281" s="195">
        <v>17.508870000000002</v>
      </c>
      <c r="K1281" s="195">
        <v>18.788360000000001</v>
      </c>
      <c r="L1281" s="195">
        <v>11.174189999999999</v>
      </c>
      <c r="M1281" s="195">
        <v>13.260289999999999</v>
      </c>
      <c r="N1281" s="195">
        <v>18.804939999999998</v>
      </c>
    </row>
    <row r="1282" spans="1:14" hidden="1" x14ac:dyDescent="0.35">
      <c r="A1282" s="52" t="s">
        <v>623</v>
      </c>
      <c r="B1282" s="52" t="s">
        <v>193</v>
      </c>
      <c r="C1282" s="52" t="s">
        <v>44</v>
      </c>
      <c r="D1282" s="52" t="s">
        <v>44</v>
      </c>
      <c r="E1282" s="52" t="s">
        <v>584</v>
      </c>
      <c r="F1282" s="52" t="s">
        <v>581</v>
      </c>
      <c r="G1282" s="195" t="s">
        <v>275</v>
      </c>
      <c r="H1282" s="195">
        <v>33.310699999999997</v>
      </c>
      <c r="I1282" s="195">
        <v>-2.6826159999999999</v>
      </c>
      <c r="J1282" s="195">
        <v>-6.2012239999999998</v>
      </c>
      <c r="K1282" s="195">
        <v>-8.4106489999999994</v>
      </c>
      <c r="L1282" s="195">
        <v>0.49569340000000001</v>
      </c>
      <c r="M1282" s="195">
        <v>1.1496360000000001</v>
      </c>
      <c r="N1282" s="195">
        <v>-6.8517099999999997</v>
      </c>
    </row>
    <row r="1283" spans="1:14" hidden="1" x14ac:dyDescent="0.35">
      <c r="A1283" s="52" t="s">
        <v>623</v>
      </c>
      <c r="B1283" s="52" t="s">
        <v>193</v>
      </c>
      <c r="C1283" s="52" t="s">
        <v>44</v>
      </c>
      <c r="D1283" s="52" t="s">
        <v>44</v>
      </c>
      <c r="E1283" s="52" t="s">
        <v>584</v>
      </c>
      <c r="F1283" s="52" t="s">
        <v>581</v>
      </c>
      <c r="G1283" s="195" t="s">
        <v>276</v>
      </c>
      <c r="H1283" s="195">
        <v>7.5604250000000004</v>
      </c>
      <c r="I1283" s="195">
        <v>1.43025</v>
      </c>
      <c r="J1283" s="195">
        <v>1.181611</v>
      </c>
      <c r="K1283" s="195">
        <v>1.1797660000000001</v>
      </c>
      <c r="L1283" s="195">
        <v>-2.5783649999999998</v>
      </c>
      <c r="M1283" s="195">
        <v>0.36336089999999999</v>
      </c>
      <c r="N1283" s="195">
        <v>-1.2920700000000001</v>
      </c>
    </row>
    <row r="1284" spans="1:14" hidden="1" x14ac:dyDescent="0.35">
      <c r="A1284" s="52" t="s">
        <v>623</v>
      </c>
      <c r="B1284" s="52" t="s">
        <v>193</v>
      </c>
      <c r="C1284" s="52" t="s">
        <v>44</v>
      </c>
      <c r="D1284" s="52" t="s">
        <v>44</v>
      </c>
      <c r="E1284" s="52" t="s">
        <v>584</v>
      </c>
      <c r="F1284" s="52" t="s">
        <v>581</v>
      </c>
      <c r="G1284" s="195" t="s">
        <v>277</v>
      </c>
      <c r="H1284" s="195">
        <v>2.0432610000000002</v>
      </c>
      <c r="I1284" s="195">
        <v>0.96340859999999995</v>
      </c>
      <c r="J1284" s="195">
        <v>0.50655660000000002</v>
      </c>
      <c r="K1284" s="195">
        <v>0.60466410000000004</v>
      </c>
      <c r="L1284" s="195">
        <v>0.4413281</v>
      </c>
      <c r="M1284" s="195">
        <v>0.3991577</v>
      </c>
      <c r="N1284" s="195">
        <v>1.8345860000000001</v>
      </c>
    </row>
    <row r="1285" spans="1:14" hidden="1" x14ac:dyDescent="0.35">
      <c r="A1285" s="52" t="s">
        <v>623</v>
      </c>
      <c r="B1285" s="52" t="s">
        <v>193</v>
      </c>
      <c r="C1285" s="52" t="s">
        <v>44</v>
      </c>
      <c r="D1285" s="52" t="s">
        <v>44</v>
      </c>
      <c r="E1285" s="52" t="s">
        <v>584</v>
      </c>
      <c r="F1285" s="52" t="s">
        <v>581</v>
      </c>
      <c r="G1285" s="195" t="s">
        <v>278</v>
      </c>
      <c r="H1285" s="195">
        <v>1.8060010000000001E-2</v>
      </c>
      <c r="I1285" s="195">
        <v>1.8060010000000001E-2</v>
      </c>
      <c r="J1285" s="195">
        <v>1.8060010000000001E-2</v>
      </c>
      <c r="K1285" s="195">
        <v>1.8060010000000001E-2</v>
      </c>
      <c r="L1285" s="195">
        <v>3.042862</v>
      </c>
      <c r="M1285" s="195">
        <v>1.8060010000000001E-2</v>
      </c>
      <c r="N1285" s="195">
        <v>1.8060010000000001E-2</v>
      </c>
    </row>
    <row r="1286" spans="1:14" hidden="1" x14ac:dyDescent="0.35">
      <c r="A1286" s="52" t="s">
        <v>623</v>
      </c>
      <c r="B1286" s="52" t="s">
        <v>193</v>
      </c>
      <c r="C1286" s="52" t="s">
        <v>44</v>
      </c>
      <c r="D1286" s="52" t="s">
        <v>44</v>
      </c>
      <c r="E1286" s="52" t="s">
        <v>584</v>
      </c>
      <c r="F1286" s="52" t="s">
        <v>581</v>
      </c>
      <c r="G1286" s="195" t="s">
        <v>279</v>
      </c>
      <c r="H1286" s="195">
        <v>30.385950000000001</v>
      </c>
      <c r="I1286" s="195">
        <v>27.019829999999999</v>
      </c>
      <c r="J1286" s="195">
        <v>27.79532</v>
      </c>
      <c r="K1286" s="195">
        <v>30.202110000000001</v>
      </c>
      <c r="L1286" s="195">
        <v>7.0535220000000001</v>
      </c>
      <c r="M1286" s="195">
        <v>6.4482520000000001</v>
      </c>
      <c r="N1286" s="195">
        <v>14.09689</v>
      </c>
    </row>
    <row r="1287" spans="1:14" hidden="1" x14ac:dyDescent="0.35">
      <c r="A1287" s="52" t="s">
        <v>623</v>
      </c>
      <c r="B1287" s="52" t="s">
        <v>215</v>
      </c>
      <c r="C1287" s="52" t="s">
        <v>214</v>
      </c>
      <c r="D1287" s="52" t="s">
        <v>214</v>
      </c>
      <c r="E1287" s="52" t="s">
        <v>584</v>
      </c>
      <c r="F1287" s="52" t="s">
        <v>581</v>
      </c>
      <c r="G1287" s="195" t="s">
        <v>275</v>
      </c>
      <c r="H1287" s="195">
        <v>12.571479999999999</v>
      </c>
      <c r="I1287" s="195">
        <v>3.185565</v>
      </c>
      <c r="J1287" s="195">
        <v>2.3130299999999999</v>
      </c>
      <c r="K1287" s="195">
        <v>0.2161718</v>
      </c>
      <c r="L1287" s="195">
        <v>0</v>
      </c>
      <c r="M1287" s="195">
        <v>0</v>
      </c>
      <c r="N1287" s="195">
        <v>-18.373239999999999</v>
      </c>
    </row>
    <row r="1288" spans="1:14" hidden="1" x14ac:dyDescent="0.35">
      <c r="A1288" s="52" t="s">
        <v>623</v>
      </c>
      <c r="B1288" s="52" t="s">
        <v>215</v>
      </c>
      <c r="C1288" s="52" t="s">
        <v>214</v>
      </c>
      <c r="D1288" s="52" t="s">
        <v>214</v>
      </c>
      <c r="E1288" s="52" t="s">
        <v>584</v>
      </c>
      <c r="F1288" s="52" t="s">
        <v>581</v>
      </c>
      <c r="G1288" s="195" t="s">
        <v>276</v>
      </c>
      <c r="H1288" s="195">
        <v>14.06973</v>
      </c>
      <c r="I1288" s="195">
        <v>3.696644</v>
      </c>
      <c r="J1288" s="195">
        <v>2.5563009999999999</v>
      </c>
      <c r="K1288" s="195">
        <v>0.2918791</v>
      </c>
      <c r="L1288" s="195"/>
      <c r="M1288" s="195"/>
      <c r="N1288" s="195"/>
    </row>
    <row r="1289" spans="1:14" hidden="1" x14ac:dyDescent="0.35">
      <c r="A1289" s="52" t="s">
        <v>623</v>
      </c>
      <c r="B1289" s="52" t="s">
        <v>215</v>
      </c>
      <c r="C1289" s="52" t="s">
        <v>214</v>
      </c>
      <c r="D1289" s="52" t="s">
        <v>214</v>
      </c>
      <c r="E1289" s="52" t="s">
        <v>584</v>
      </c>
      <c r="F1289" s="52" t="s">
        <v>581</v>
      </c>
      <c r="G1289" s="195" t="s">
        <v>277</v>
      </c>
      <c r="H1289" s="195"/>
      <c r="I1289" s="195"/>
      <c r="J1289" s="195">
        <v>0</v>
      </c>
      <c r="K1289" s="195">
        <v>0</v>
      </c>
      <c r="L1289" s="195">
        <v>0</v>
      </c>
      <c r="M1289" s="195">
        <v>0</v>
      </c>
      <c r="N1289" s="195">
        <v>0</v>
      </c>
    </row>
    <row r="1290" spans="1:14" hidden="1" x14ac:dyDescent="0.35">
      <c r="A1290" s="52" t="s">
        <v>623</v>
      </c>
      <c r="B1290" s="52" t="s">
        <v>215</v>
      </c>
      <c r="C1290" s="52" t="s">
        <v>214</v>
      </c>
      <c r="D1290" s="52" t="s">
        <v>214</v>
      </c>
      <c r="E1290" s="52" t="s">
        <v>584</v>
      </c>
      <c r="F1290" s="52" t="s">
        <v>581</v>
      </c>
      <c r="G1290" s="195" t="s">
        <v>278</v>
      </c>
      <c r="H1290" s="195">
        <v>0.1592876</v>
      </c>
      <c r="I1290" s="195">
        <v>0.1592876</v>
      </c>
      <c r="J1290" s="195">
        <v>0</v>
      </c>
      <c r="K1290" s="195">
        <v>0</v>
      </c>
      <c r="L1290" s="195">
        <v>0</v>
      </c>
      <c r="M1290" s="195">
        <v>0</v>
      </c>
      <c r="N1290" s="195">
        <v>0</v>
      </c>
    </row>
    <row r="1291" spans="1:14" hidden="1" x14ac:dyDescent="0.35">
      <c r="A1291" s="52" t="s">
        <v>623</v>
      </c>
      <c r="B1291" s="52" t="s">
        <v>215</v>
      </c>
      <c r="C1291" s="52" t="s">
        <v>214</v>
      </c>
      <c r="D1291" s="52" t="s">
        <v>214</v>
      </c>
      <c r="E1291" s="52" t="s">
        <v>584</v>
      </c>
      <c r="F1291" s="52" t="s">
        <v>581</v>
      </c>
      <c r="G1291" s="195" t="s">
        <v>279</v>
      </c>
      <c r="H1291" s="195">
        <v>4.844678</v>
      </c>
      <c r="I1291" s="195">
        <v>3.795779</v>
      </c>
      <c r="J1291" s="195">
        <v>3.7330510000000001</v>
      </c>
      <c r="K1291" s="195">
        <v>0.2396546</v>
      </c>
      <c r="L1291" s="195"/>
      <c r="M1291" s="195"/>
      <c r="N1291" s="195"/>
    </row>
    <row r="1292" spans="1:14" hidden="1" x14ac:dyDescent="0.35">
      <c r="A1292" s="52" t="s">
        <v>623</v>
      </c>
      <c r="B1292" s="52" t="s">
        <v>215</v>
      </c>
      <c r="C1292" s="52" t="s">
        <v>214</v>
      </c>
      <c r="D1292" s="52" t="s">
        <v>214</v>
      </c>
      <c r="E1292" s="52" t="s">
        <v>584</v>
      </c>
      <c r="F1292" s="52" t="s">
        <v>26</v>
      </c>
      <c r="G1292" s="195" t="s">
        <v>275</v>
      </c>
      <c r="H1292" s="195">
        <v>20.843720000000001</v>
      </c>
      <c r="I1292" s="195">
        <v>15.698740000000001</v>
      </c>
      <c r="J1292" s="195">
        <v>13.59667</v>
      </c>
      <c r="K1292" s="195">
        <v>2.0234990000000002</v>
      </c>
      <c r="L1292" s="195">
        <v>0</v>
      </c>
      <c r="M1292" s="195">
        <v>0</v>
      </c>
      <c r="N1292" s="195">
        <v>-24.394390000000001</v>
      </c>
    </row>
    <row r="1293" spans="1:14" hidden="1" x14ac:dyDescent="0.35">
      <c r="A1293" s="52" t="s">
        <v>623</v>
      </c>
      <c r="B1293" s="52" t="s">
        <v>215</v>
      </c>
      <c r="C1293" s="52" t="s">
        <v>214</v>
      </c>
      <c r="D1293" s="52" t="s">
        <v>214</v>
      </c>
      <c r="E1293" s="52" t="s">
        <v>584</v>
      </c>
      <c r="F1293" s="52" t="s">
        <v>26</v>
      </c>
      <c r="G1293" s="195" t="s">
        <v>276</v>
      </c>
      <c r="H1293" s="195">
        <v>10.2958</v>
      </c>
      <c r="I1293" s="195">
        <v>11.51482</v>
      </c>
      <c r="J1293" s="195">
        <v>9.8094660000000005</v>
      </c>
      <c r="K1293" s="195">
        <v>-0.19666739999999999</v>
      </c>
      <c r="L1293" s="195"/>
      <c r="M1293" s="195"/>
      <c r="N1293" s="195"/>
    </row>
    <row r="1294" spans="1:14" hidden="1" x14ac:dyDescent="0.35">
      <c r="A1294" s="52" t="s">
        <v>623</v>
      </c>
      <c r="B1294" s="52" t="s">
        <v>215</v>
      </c>
      <c r="C1294" s="52" t="s">
        <v>214</v>
      </c>
      <c r="D1294" s="52" t="s">
        <v>214</v>
      </c>
      <c r="E1294" s="52" t="s">
        <v>584</v>
      </c>
      <c r="F1294" s="52" t="s">
        <v>26</v>
      </c>
      <c r="G1294" s="195" t="s">
        <v>277</v>
      </c>
      <c r="H1294" s="195">
        <v>5.6941459999999999</v>
      </c>
      <c r="I1294" s="195">
        <v>6.3941540000000003</v>
      </c>
      <c r="J1294" s="195">
        <v>4.993614</v>
      </c>
      <c r="K1294" s="195"/>
      <c r="L1294" s="195"/>
      <c r="M1294" s="195"/>
      <c r="N1294" s="195"/>
    </row>
    <row r="1295" spans="1:14" hidden="1" x14ac:dyDescent="0.35">
      <c r="A1295" s="52" t="s">
        <v>623</v>
      </c>
      <c r="B1295" s="52" t="s">
        <v>215</v>
      </c>
      <c r="C1295" s="52" t="s">
        <v>214</v>
      </c>
      <c r="D1295" s="52" t="s">
        <v>214</v>
      </c>
      <c r="E1295" s="52" t="s">
        <v>584</v>
      </c>
      <c r="F1295" s="52" t="s">
        <v>26</v>
      </c>
      <c r="G1295" s="195" t="s">
        <v>279</v>
      </c>
      <c r="H1295" s="195">
        <v>13.39245</v>
      </c>
      <c r="I1295" s="195">
        <v>10.649139999999999</v>
      </c>
      <c r="J1295" s="195">
        <v>9.3319080000000003</v>
      </c>
      <c r="K1295" s="195">
        <v>1.110015</v>
      </c>
      <c r="L1295" s="195"/>
      <c r="M1295" s="195"/>
      <c r="N1295" s="195"/>
    </row>
    <row r="1296" spans="1:14" hidden="1" x14ac:dyDescent="0.35">
      <c r="A1296" s="52" t="s">
        <v>623</v>
      </c>
      <c r="B1296" s="52" t="s">
        <v>150</v>
      </c>
      <c r="C1296" s="52" t="s">
        <v>287</v>
      </c>
      <c r="D1296" s="52" t="s">
        <v>287</v>
      </c>
      <c r="E1296" s="52" t="s">
        <v>584</v>
      </c>
      <c r="F1296" s="52" t="s">
        <v>581</v>
      </c>
      <c r="G1296" s="195" t="s">
        <v>275</v>
      </c>
      <c r="H1296" s="195">
        <v>-3.9764189999999999</v>
      </c>
      <c r="I1296" s="195">
        <v>-3.0147919999999999</v>
      </c>
      <c r="J1296" s="195">
        <v>-0.44844479999999998</v>
      </c>
      <c r="K1296" s="195">
        <v>-0.55401829999999996</v>
      </c>
      <c r="L1296" s="195">
        <v>-0.64917139999999995</v>
      </c>
      <c r="M1296" s="195">
        <v>-0.62377530000000003</v>
      </c>
      <c r="N1296" s="195">
        <v>-0.47234429999999999</v>
      </c>
    </row>
    <row r="1297" spans="1:14" hidden="1" x14ac:dyDescent="0.35">
      <c r="A1297" s="52" t="s">
        <v>623</v>
      </c>
      <c r="B1297" s="52" t="s">
        <v>150</v>
      </c>
      <c r="C1297" s="52" t="s">
        <v>287</v>
      </c>
      <c r="D1297" s="52" t="s">
        <v>287</v>
      </c>
      <c r="E1297" s="52" t="s">
        <v>584</v>
      </c>
      <c r="F1297" s="52" t="s">
        <v>581</v>
      </c>
      <c r="G1297" s="195" t="s">
        <v>276</v>
      </c>
      <c r="H1297" s="195">
        <v>0.15439710000000001</v>
      </c>
      <c r="I1297" s="195">
        <v>-0.49604399999999998</v>
      </c>
      <c r="J1297" s="195">
        <v>-0.17913970000000001</v>
      </c>
      <c r="K1297" s="195">
        <v>-9.2899179999999998E-2</v>
      </c>
      <c r="L1297" s="195">
        <v>-5.2605420000000001</v>
      </c>
      <c r="M1297" s="195">
        <v>-8.5015359999999998E-2</v>
      </c>
      <c r="N1297" s="195">
        <v>-0.1070632</v>
      </c>
    </row>
    <row r="1298" spans="1:14" hidden="1" x14ac:dyDescent="0.35">
      <c r="A1298" s="52" t="s">
        <v>623</v>
      </c>
      <c r="B1298" s="52" t="s">
        <v>150</v>
      </c>
      <c r="C1298" s="52" t="s">
        <v>287</v>
      </c>
      <c r="D1298" s="52" t="s">
        <v>287</v>
      </c>
      <c r="E1298" s="52" t="s">
        <v>584</v>
      </c>
      <c r="F1298" s="52" t="s">
        <v>581</v>
      </c>
      <c r="G1298" s="195" t="s">
        <v>277</v>
      </c>
      <c r="H1298" s="195">
        <v>7.8517070000000002</v>
      </c>
      <c r="I1298" s="195">
        <v>6.1631780000000003</v>
      </c>
      <c r="J1298" s="195">
        <v>3.4476719999999998</v>
      </c>
      <c r="K1298" s="195">
        <v>3.474056</v>
      </c>
      <c r="L1298" s="195">
        <v>3.3608039999999999</v>
      </c>
      <c r="M1298" s="195">
        <v>3.1289720000000001</v>
      </c>
      <c r="N1298" s="195">
        <v>2.872185</v>
      </c>
    </row>
    <row r="1299" spans="1:14" hidden="1" x14ac:dyDescent="0.35">
      <c r="A1299" s="52" t="s">
        <v>623</v>
      </c>
      <c r="B1299" s="52" t="s">
        <v>150</v>
      </c>
      <c r="C1299" s="52" t="s">
        <v>287</v>
      </c>
      <c r="D1299" s="52" t="s">
        <v>287</v>
      </c>
      <c r="E1299" s="52" t="s">
        <v>584</v>
      </c>
      <c r="F1299" s="52" t="s">
        <v>581</v>
      </c>
      <c r="G1299" s="195" t="s">
        <v>278</v>
      </c>
      <c r="H1299" s="195">
        <v>8.414692E-2</v>
      </c>
      <c r="I1299" s="195">
        <v>0.12225809999999999</v>
      </c>
      <c r="J1299" s="195">
        <v>0.11406760000000001</v>
      </c>
      <c r="K1299" s="195">
        <v>8.2738389999999995E-2</v>
      </c>
      <c r="L1299" s="195">
        <v>5.2614710000000002</v>
      </c>
      <c r="M1299" s="195">
        <v>8.2738389999999995E-2</v>
      </c>
      <c r="N1299" s="195">
        <v>8.2738389999999995E-2</v>
      </c>
    </row>
    <row r="1300" spans="1:14" hidden="1" x14ac:dyDescent="0.35">
      <c r="A1300" s="52" t="s">
        <v>623</v>
      </c>
      <c r="B1300" s="52" t="s">
        <v>150</v>
      </c>
      <c r="C1300" s="52" t="s">
        <v>287</v>
      </c>
      <c r="D1300" s="52" t="s">
        <v>287</v>
      </c>
      <c r="E1300" s="52" t="s">
        <v>584</v>
      </c>
      <c r="F1300" s="52" t="s">
        <v>581</v>
      </c>
      <c r="G1300" s="195" t="s">
        <v>279</v>
      </c>
      <c r="H1300" s="195">
        <v>1.274905</v>
      </c>
      <c r="I1300" s="195">
        <v>1.1368990000000001</v>
      </c>
      <c r="J1300" s="195">
        <v>1.1136090000000001</v>
      </c>
      <c r="K1300" s="195">
        <v>1.1310819999999999</v>
      </c>
      <c r="L1300" s="195">
        <v>1.085051</v>
      </c>
      <c r="M1300" s="195">
        <v>1.0248600000000001</v>
      </c>
      <c r="N1300" s="195">
        <v>0.97167150000000002</v>
      </c>
    </row>
    <row r="1301" spans="1:14" hidden="1" x14ac:dyDescent="0.35">
      <c r="A1301" s="52" t="s">
        <v>623</v>
      </c>
      <c r="B1301" s="52" t="s">
        <v>150</v>
      </c>
      <c r="C1301" s="52" t="s">
        <v>287</v>
      </c>
      <c r="D1301" s="52" t="s">
        <v>287</v>
      </c>
      <c r="E1301" s="52" t="s">
        <v>584</v>
      </c>
      <c r="F1301" s="52" t="s">
        <v>26</v>
      </c>
      <c r="G1301" s="195" t="s">
        <v>275</v>
      </c>
      <c r="H1301" s="195">
        <v>-0.3670291</v>
      </c>
      <c r="I1301" s="195">
        <v>1.539469</v>
      </c>
      <c r="J1301" s="195">
        <v>0.2683701</v>
      </c>
      <c r="K1301" s="195">
        <v>5.4292649999999998E-2</v>
      </c>
      <c r="L1301" s="195">
        <v>3.9927839999999999E-2</v>
      </c>
      <c r="M1301" s="195">
        <v>4.0898320000000002E-2</v>
      </c>
      <c r="N1301" s="195">
        <v>6.9284479999999996E-2</v>
      </c>
    </row>
    <row r="1302" spans="1:14" hidden="1" x14ac:dyDescent="0.35">
      <c r="A1302" s="52" t="s">
        <v>623</v>
      </c>
      <c r="B1302" s="52" t="s">
        <v>150</v>
      </c>
      <c r="C1302" s="52" t="s">
        <v>287</v>
      </c>
      <c r="D1302" s="52" t="s">
        <v>287</v>
      </c>
      <c r="E1302" s="52" t="s">
        <v>584</v>
      </c>
      <c r="F1302" s="52" t="s">
        <v>26</v>
      </c>
      <c r="G1302" s="195" t="s">
        <v>276</v>
      </c>
      <c r="H1302" s="195">
        <v>0.17073759999999999</v>
      </c>
      <c r="I1302" s="195">
        <v>0.53743459999999998</v>
      </c>
      <c r="J1302" s="195">
        <v>7.2679209999999994E-2</v>
      </c>
      <c r="K1302" s="195">
        <v>4.5119230000000001E-3</v>
      </c>
      <c r="L1302" s="195">
        <v>2.331119E-3</v>
      </c>
      <c r="M1302" s="195">
        <v>6.2283989999999999E-3</v>
      </c>
      <c r="N1302" s="195">
        <v>2.1450549999999999E-2</v>
      </c>
    </row>
    <row r="1303" spans="1:14" hidden="1" x14ac:dyDescent="0.35">
      <c r="A1303" s="52" t="s">
        <v>623</v>
      </c>
      <c r="B1303" s="52" t="s">
        <v>150</v>
      </c>
      <c r="C1303" s="52" t="s">
        <v>287</v>
      </c>
      <c r="D1303" s="52" t="s">
        <v>287</v>
      </c>
      <c r="E1303" s="52" t="s">
        <v>584</v>
      </c>
      <c r="F1303" s="52" t="s">
        <v>26</v>
      </c>
      <c r="G1303" s="195" t="s">
        <v>277</v>
      </c>
      <c r="H1303" s="195">
        <v>1.304538</v>
      </c>
      <c r="I1303" s="195"/>
      <c r="J1303" s="195"/>
      <c r="K1303" s="195"/>
      <c r="L1303" s="195"/>
      <c r="M1303" s="195"/>
      <c r="N1303" s="195"/>
    </row>
    <row r="1304" spans="1:14" hidden="1" x14ac:dyDescent="0.35">
      <c r="A1304" s="52" t="s">
        <v>623</v>
      </c>
      <c r="B1304" s="52" t="s">
        <v>150</v>
      </c>
      <c r="C1304" s="52" t="s">
        <v>287</v>
      </c>
      <c r="D1304" s="52" t="s">
        <v>287</v>
      </c>
      <c r="E1304" s="52" t="s">
        <v>584</v>
      </c>
      <c r="F1304" s="52" t="s">
        <v>26</v>
      </c>
      <c r="G1304" s="195" t="s">
        <v>279</v>
      </c>
      <c r="H1304" s="195">
        <v>3.048476</v>
      </c>
      <c r="I1304" s="195">
        <v>2.6757010000000001</v>
      </c>
      <c r="J1304" s="195">
        <v>2.638036</v>
      </c>
      <c r="K1304" s="195">
        <v>2.7071890000000001</v>
      </c>
      <c r="L1304" s="195">
        <v>2.5849959999999998</v>
      </c>
      <c r="M1304" s="195">
        <v>2.420137</v>
      </c>
      <c r="N1304" s="195">
        <v>2.2738320000000001</v>
      </c>
    </row>
    <row r="1305" spans="1:14" hidden="1" x14ac:dyDescent="0.35">
      <c r="A1305" s="52" t="s">
        <v>623</v>
      </c>
      <c r="B1305" s="52" t="s">
        <v>150</v>
      </c>
      <c r="C1305" s="52" t="s">
        <v>329</v>
      </c>
      <c r="D1305" s="52" t="s">
        <v>329</v>
      </c>
      <c r="E1305" s="52" t="s">
        <v>584</v>
      </c>
      <c r="F1305" s="52" t="s">
        <v>581</v>
      </c>
      <c r="G1305" s="195" t="s">
        <v>275</v>
      </c>
      <c r="H1305" s="195">
        <v>-6.63551E-2</v>
      </c>
      <c r="I1305" s="195">
        <v>-9.6408549999999996E-2</v>
      </c>
      <c r="J1305" s="195">
        <v>0</v>
      </c>
      <c r="K1305" s="195">
        <v>0</v>
      </c>
      <c r="L1305" s="195">
        <v>0</v>
      </c>
      <c r="M1305" s="195">
        <v>0</v>
      </c>
      <c r="N1305" s="195">
        <v>0</v>
      </c>
    </row>
    <row r="1306" spans="1:14" hidden="1" x14ac:dyDescent="0.35">
      <c r="A1306" s="52" t="s">
        <v>623</v>
      </c>
      <c r="B1306" s="52" t="s">
        <v>150</v>
      </c>
      <c r="C1306" s="52" t="s">
        <v>329</v>
      </c>
      <c r="D1306" s="52" t="s">
        <v>329</v>
      </c>
      <c r="E1306" s="52" t="s">
        <v>584</v>
      </c>
      <c r="F1306" s="52" t="s">
        <v>581</v>
      </c>
      <c r="G1306" s="195" t="s">
        <v>276</v>
      </c>
      <c r="H1306" s="195">
        <v>-2.84382E-2</v>
      </c>
      <c r="I1306" s="195">
        <v>-4.1317850000000003E-2</v>
      </c>
      <c r="J1306" s="195">
        <v>-50.544580000000003</v>
      </c>
      <c r="K1306" s="195">
        <v>-0.12601850000000001</v>
      </c>
      <c r="L1306" s="195">
        <v>-24.5503</v>
      </c>
      <c r="M1306" s="195">
        <v>-9.3205709999999997E-2</v>
      </c>
      <c r="N1306" s="195">
        <v>-9.3206049999999999E-2</v>
      </c>
    </row>
    <row r="1307" spans="1:14" hidden="1" x14ac:dyDescent="0.35">
      <c r="A1307" s="52" t="s">
        <v>623</v>
      </c>
      <c r="B1307" s="52" t="s">
        <v>150</v>
      </c>
      <c r="C1307" s="52" t="s">
        <v>329</v>
      </c>
      <c r="D1307" s="52" t="s">
        <v>329</v>
      </c>
      <c r="E1307" s="52" t="s">
        <v>584</v>
      </c>
      <c r="F1307" s="52" t="s">
        <v>581</v>
      </c>
      <c r="G1307" s="195" t="s">
        <v>277</v>
      </c>
      <c r="H1307" s="195"/>
      <c r="I1307" s="195">
        <v>0</v>
      </c>
      <c r="J1307" s="195">
        <v>3.2812849999999998E-2</v>
      </c>
      <c r="K1307" s="195">
        <v>3.2812500000000001E-2</v>
      </c>
      <c r="L1307" s="195">
        <v>0</v>
      </c>
      <c r="M1307" s="195"/>
      <c r="N1307" s="195"/>
    </row>
    <row r="1308" spans="1:14" hidden="1" x14ac:dyDescent="0.35">
      <c r="A1308" s="52" t="s">
        <v>623</v>
      </c>
      <c r="B1308" s="52" t="s">
        <v>150</v>
      </c>
      <c r="C1308" s="52" t="s">
        <v>329</v>
      </c>
      <c r="D1308" s="52" t="s">
        <v>329</v>
      </c>
      <c r="E1308" s="52" t="s">
        <v>584</v>
      </c>
      <c r="F1308" s="52" t="s">
        <v>581</v>
      </c>
      <c r="G1308" s="195" t="s">
        <v>278</v>
      </c>
      <c r="H1308" s="195">
        <v>9.4793299999999997E-2</v>
      </c>
      <c r="I1308" s="195">
        <v>0.13772609999999999</v>
      </c>
      <c r="J1308" s="195">
        <v>50.511780000000002</v>
      </c>
      <c r="K1308" s="195">
        <v>9.3206410000000003E-2</v>
      </c>
      <c r="L1308" s="195">
        <v>24.5503</v>
      </c>
      <c r="M1308" s="195">
        <v>9.3206410000000003E-2</v>
      </c>
      <c r="N1308" s="195">
        <v>9.320639E-2</v>
      </c>
    </row>
    <row r="1309" spans="1:14" hidden="1" x14ac:dyDescent="0.35">
      <c r="A1309" s="52" t="s">
        <v>623</v>
      </c>
      <c r="B1309" s="52" t="s">
        <v>34</v>
      </c>
      <c r="C1309" s="52" t="s">
        <v>33</v>
      </c>
      <c r="D1309" s="52" t="s">
        <v>33</v>
      </c>
      <c r="E1309" s="52" t="s">
        <v>622</v>
      </c>
      <c r="F1309" s="52" t="s">
        <v>26</v>
      </c>
      <c r="G1309" s="195" t="s">
        <v>275</v>
      </c>
      <c r="H1309" s="195">
        <v>-1.7064299999999999</v>
      </c>
      <c r="I1309" s="195">
        <v>-2.4096109999999999</v>
      </c>
      <c r="J1309" s="195">
        <v>-2.4842970000000002</v>
      </c>
      <c r="K1309" s="195">
        <v>-2.3414600000000001</v>
      </c>
      <c r="L1309" s="195">
        <v>-2.8291210000000002</v>
      </c>
      <c r="M1309" s="195">
        <v>-1.86876</v>
      </c>
      <c r="N1309" s="195">
        <v>-1.72472</v>
      </c>
    </row>
    <row r="1310" spans="1:14" hidden="1" x14ac:dyDescent="0.35">
      <c r="A1310" s="52" t="s">
        <v>623</v>
      </c>
      <c r="B1310" s="52" t="s">
        <v>34</v>
      </c>
      <c r="C1310" s="52" t="s">
        <v>33</v>
      </c>
      <c r="D1310" s="52" t="s">
        <v>33</v>
      </c>
      <c r="E1310" s="52" t="s">
        <v>622</v>
      </c>
      <c r="F1310" s="52" t="s">
        <v>26</v>
      </c>
      <c r="G1310" s="195" t="s">
        <v>276</v>
      </c>
      <c r="H1310" s="195">
        <v>-0.56881000000000004</v>
      </c>
      <c r="I1310" s="195">
        <v>-0.80320389999999997</v>
      </c>
      <c r="J1310" s="195">
        <v>-0.82809880000000002</v>
      </c>
      <c r="K1310" s="195">
        <v>-0.78048680000000004</v>
      </c>
      <c r="L1310" s="195">
        <v>-0.9430402</v>
      </c>
      <c r="M1310" s="195">
        <v>-0.62292029999999998</v>
      </c>
      <c r="N1310" s="195">
        <v>-0.57490660000000005</v>
      </c>
    </row>
    <row r="1311" spans="1:14" hidden="1" x14ac:dyDescent="0.35">
      <c r="A1311" s="52" t="s">
        <v>623</v>
      </c>
      <c r="B1311" s="52" t="s">
        <v>34</v>
      </c>
      <c r="C1311" s="52" t="s">
        <v>33</v>
      </c>
      <c r="D1311" s="52" t="s">
        <v>33</v>
      </c>
      <c r="E1311" s="52" t="s">
        <v>622</v>
      </c>
      <c r="F1311" s="52" t="s">
        <v>26</v>
      </c>
      <c r="G1311" s="195" t="s">
        <v>277</v>
      </c>
      <c r="H1311" s="195"/>
      <c r="I1311" s="195"/>
      <c r="J1311" s="195"/>
      <c r="K1311" s="195"/>
      <c r="L1311" s="195"/>
      <c r="M1311" s="195">
        <v>0</v>
      </c>
      <c r="N1311" s="195">
        <v>0</v>
      </c>
    </row>
    <row r="1312" spans="1:14" hidden="1" x14ac:dyDescent="0.35">
      <c r="A1312" s="52" t="s">
        <v>623</v>
      </c>
      <c r="B1312" s="52" t="s">
        <v>34</v>
      </c>
      <c r="C1312" s="52" t="s">
        <v>33</v>
      </c>
      <c r="D1312" s="52" t="s">
        <v>33</v>
      </c>
      <c r="E1312" s="52" t="s">
        <v>622</v>
      </c>
      <c r="F1312" s="52" t="s">
        <v>26</v>
      </c>
      <c r="G1312" s="195" t="s">
        <v>279</v>
      </c>
      <c r="H1312" s="195">
        <v>12.143319999999999</v>
      </c>
      <c r="I1312" s="195">
        <v>11.03294</v>
      </c>
      <c r="J1312" s="195">
        <v>9.7524119999999996</v>
      </c>
      <c r="K1312" s="195">
        <v>9.0788709999999995</v>
      </c>
      <c r="L1312" s="195">
        <v>9.2782070000000001</v>
      </c>
      <c r="M1312" s="195">
        <v>7.590662</v>
      </c>
      <c r="N1312" s="195">
        <v>6.9927549999999998</v>
      </c>
    </row>
    <row r="1313" spans="1:14" hidden="1" x14ac:dyDescent="0.35">
      <c r="A1313" s="52" t="s">
        <v>623</v>
      </c>
      <c r="B1313" s="52" t="s">
        <v>34</v>
      </c>
      <c r="C1313" s="52" t="s">
        <v>33</v>
      </c>
      <c r="D1313" s="52" t="s">
        <v>33</v>
      </c>
      <c r="E1313" s="52" t="s">
        <v>630</v>
      </c>
      <c r="F1313" s="52" t="s">
        <v>26</v>
      </c>
      <c r="G1313" s="195" t="s">
        <v>275</v>
      </c>
      <c r="H1313" s="195"/>
      <c r="I1313" s="195"/>
      <c r="J1313" s="195">
        <v>0</v>
      </c>
      <c r="K1313" s="195">
        <v>0</v>
      </c>
      <c r="L1313" s="195">
        <v>0</v>
      </c>
      <c r="M1313" s="195">
        <v>0</v>
      </c>
      <c r="N1313" s="195">
        <v>0</v>
      </c>
    </row>
    <row r="1314" spans="1:14" hidden="1" x14ac:dyDescent="0.35">
      <c r="A1314" s="52" t="s">
        <v>623</v>
      </c>
      <c r="B1314" s="52" t="s">
        <v>34</v>
      </c>
      <c r="C1314" s="52" t="s">
        <v>33</v>
      </c>
      <c r="D1314" s="52" t="s">
        <v>33</v>
      </c>
      <c r="E1314" s="52" t="s">
        <v>630</v>
      </c>
      <c r="F1314" s="52" t="s">
        <v>26</v>
      </c>
      <c r="G1314" s="195" t="s">
        <v>276</v>
      </c>
      <c r="H1314" s="195"/>
      <c r="I1314" s="195"/>
      <c r="J1314" s="195">
        <v>0</v>
      </c>
      <c r="K1314" s="195">
        <v>0</v>
      </c>
      <c r="L1314" s="195">
        <v>0</v>
      </c>
      <c r="M1314" s="195">
        <v>0</v>
      </c>
      <c r="N1314" s="195">
        <v>0</v>
      </c>
    </row>
    <row r="1315" spans="1:14" hidden="1" x14ac:dyDescent="0.35">
      <c r="A1315" s="52" t="s">
        <v>623</v>
      </c>
      <c r="B1315" s="52" t="s">
        <v>34</v>
      </c>
      <c r="C1315" s="52" t="s">
        <v>33</v>
      </c>
      <c r="D1315" s="52" t="s">
        <v>33</v>
      </c>
      <c r="E1315" s="52" t="s">
        <v>630</v>
      </c>
      <c r="F1315" s="52" t="s">
        <v>26</v>
      </c>
      <c r="G1315" s="195" t="s">
        <v>277</v>
      </c>
      <c r="H1315" s="195"/>
      <c r="I1315" s="195"/>
      <c r="J1315" s="195">
        <v>0</v>
      </c>
      <c r="K1315" s="195"/>
      <c r="L1315" s="195">
        <v>0</v>
      </c>
      <c r="M1315" s="195">
        <v>0</v>
      </c>
      <c r="N1315" s="195"/>
    </row>
    <row r="1316" spans="1:14" hidden="1" x14ac:dyDescent="0.35">
      <c r="A1316" s="52" t="s">
        <v>623</v>
      </c>
      <c r="B1316" s="52" t="s">
        <v>34</v>
      </c>
      <c r="C1316" s="52" t="s">
        <v>33</v>
      </c>
      <c r="D1316" s="52" t="s">
        <v>33</v>
      </c>
      <c r="E1316" s="52" t="s">
        <v>630</v>
      </c>
      <c r="F1316" s="52" t="s">
        <v>26</v>
      </c>
      <c r="G1316" s="195" t="s">
        <v>278</v>
      </c>
      <c r="H1316" s="195"/>
      <c r="I1316" s="195"/>
      <c r="J1316" s="195">
        <v>0</v>
      </c>
      <c r="K1316" s="195"/>
      <c r="L1316" s="195"/>
      <c r="M1316" s="195">
        <v>0</v>
      </c>
      <c r="N1316" s="195"/>
    </row>
    <row r="1317" spans="1:14" hidden="1" x14ac:dyDescent="0.35">
      <c r="A1317" s="52" t="s">
        <v>623</v>
      </c>
      <c r="B1317" s="52" t="s">
        <v>34</v>
      </c>
      <c r="C1317" s="52" t="s">
        <v>33</v>
      </c>
      <c r="D1317" s="52" t="s">
        <v>33</v>
      </c>
      <c r="E1317" s="52" t="s">
        <v>630</v>
      </c>
      <c r="F1317" s="52" t="s">
        <v>26</v>
      </c>
      <c r="G1317" s="195" t="s">
        <v>279</v>
      </c>
      <c r="H1317" s="195"/>
      <c r="I1317" s="195"/>
      <c r="J1317" s="195">
        <v>0</v>
      </c>
      <c r="K1317" s="195">
        <v>0</v>
      </c>
      <c r="L1317" s="195">
        <v>0</v>
      </c>
      <c r="M1317" s="195">
        <v>0</v>
      </c>
      <c r="N1317" s="195">
        <v>0</v>
      </c>
    </row>
    <row r="1318" spans="1:14" hidden="1" x14ac:dyDescent="0.35">
      <c r="A1318" s="52" t="s">
        <v>623</v>
      </c>
      <c r="B1318" s="52" t="s">
        <v>121</v>
      </c>
      <c r="C1318" s="52" t="s">
        <v>128</v>
      </c>
      <c r="D1318" s="52" t="s">
        <v>128</v>
      </c>
      <c r="E1318" s="52" t="s">
        <v>584</v>
      </c>
      <c r="F1318" s="52" t="s">
        <v>581</v>
      </c>
      <c r="G1318" s="195" t="s">
        <v>275</v>
      </c>
      <c r="H1318" s="195">
        <v>6.8527979999999999</v>
      </c>
      <c r="I1318" s="195">
        <v>0.76464370000000004</v>
      </c>
      <c r="J1318" s="195">
        <v>0.24794079999999999</v>
      </c>
      <c r="K1318" s="195">
        <v>-6.1734169999999998E-2</v>
      </c>
      <c r="L1318" s="195">
        <v>-0.2179093</v>
      </c>
      <c r="M1318" s="195">
        <v>-0.33464460000000001</v>
      </c>
      <c r="N1318" s="195">
        <v>-0.44513799999999998</v>
      </c>
    </row>
    <row r="1319" spans="1:14" hidden="1" x14ac:dyDescent="0.35">
      <c r="A1319" s="52" t="s">
        <v>623</v>
      </c>
      <c r="B1319" s="52" t="s">
        <v>121</v>
      </c>
      <c r="C1319" s="52" t="s">
        <v>128</v>
      </c>
      <c r="D1319" s="52" t="s">
        <v>128</v>
      </c>
      <c r="E1319" s="52" t="s">
        <v>584</v>
      </c>
      <c r="F1319" s="52" t="s">
        <v>581</v>
      </c>
      <c r="G1319" s="195" t="s">
        <v>277</v>
      </c>
      <c r="H1319" s="195">
        <v>0.13871900000000001</v>
      </c>
      <c r="I1319" s="195">
        <v>0.1271207</v>
      </c>
      <c r="J1319" s="195">
        <v>0.12572630000000001</v>
      </c>
      <c r="K1319" s="195">
        <v>0.16289490000000001</v>
      </c>
      <c r="L1319" s="195">
        <v>0.192969</v>
      </c>
      <c r="M1319" s="195">
        <v>0.20682929999999999</v>
      </c>
      <c r="N1319" s="195">
        <v>0.22347210000000001</v>
      </c>
    </row>
    <row r="1320" spans="1:14" hidden="1" x14ac:dyDescent="0.35">
      <c r="A1320" s="52" t="s">
        <v>623</v>
      </c>
      <c r="B1320" s="52" t="s">
        <v>121</v>
      </c>
      <c r="C1320" s="52" t="s">
        <v>128</v>
      </c>
      <c r="D1320" s="52" t="s">
        <v>128</v>
      </c>
      <c r="E1320" s="52" t="s">
        <v>584</v>
      </c>
      <c r="F1320" s="52" t="s">
        <v>581</v>
      </c>
      <c r="G1320" s="195" t="s">
        <v>278</v>
      </c>
      <c r="H1320" s="195">
        <v>4.6778199999999999E-2</v>
      </c>
      <c r="I1320" s="195">
        <v>4.6778199999999999E-2</v>
      </c>
      <c r="J1320" s="195">
        <v>0</v>
      </c>
      <c r="K1320" s="195">
        <v>0</v>
      </c>
      <c r="L1320" s="195">
        <v>0</v>
      </c>
      <c r="M1320" s="195">
        <v>0</v>
      </c>
      <c r="N1320" s="195">
        <v>0</v>
      </c>
    </row>
    <row r="1321" spans="1:14" hidden="1" x14ac:dyDescent="0.35">
      <c r="A1321" s="52" t="s">
        <v>623</v>
      </c>
      <c r="B1321" s="52" t="s">
        <v>121</v>
      </c>
      <c r="C1321" s="52" t="s">
        <v>128</v>
      </c>
      <c r="D1321" s="52" t="s">
        <v>128</v>
      </c>
      <c r="E1321" s="52" t="s">
        <v>584</v>
      </c>
      <c r="F1321" s="52" t="s">
        <v>581</v>
      </c>
      <c r="G1321" s="195" t="s">
        <v>279</v>
      </c>
      <c r="H1321" s="195">
        <v>2.2379349999999998</v>
      </c>
      <c r="I1321" s="195">
        <v>1.865707</v>
      </c>
      <c r="J1321" s="195">
        <v>1.8660380000000001</v>
      </c>
      <c r="K1321" s="195">
        <v>1.9611689999999999</v>
      </c>
      <c r="L1321" s="195">
        <v>1.9485809999999999</v>
      </c>
      <c r="M1321" s="195">
        <v>1.947894</v>
      </c>
      <c r="N1321" s="195">
        <v>1.9525729999999999</v>
      </c>
    </row>
    <row r="1322" spans="1:14" hidden="1" x14ac:dyDescent="0.35">
      <c r="A1322" s="52" t="s">
        <v>623</v>
      </c>
      <c r="B1322" s="52" t="s">
        <v>121</v>
      </c>
      <c r="C1322" s="52" t="s">
        <v>128</v>
      </c>
      <c r="D1322" s="52" t="s">
        <v>128</v>
      </c>
      <c r="E1322" s="52" t="s">
        <v>584</v>
      </c>
      <c r="F1322" s="52" t="s">
        <v>26</v>
      </c>
      <c r="G1322" s="195" t="s">
        <v>275</v>
      </c>
      <c r="H1322" s="195">
        <v>-1.1071900000000001E-2</v>
      </c>
      <c r="I1322" s="195">
        <v>0.3959568</v>
      </c>
      <c r="J1322" s="195">
        <v>0.34632069999999998</v>
      </c>
      <c r="K1322" s="195">
        <v>0.28051670000000001</v>
      </c>
      <c r="L1322" s="195">
        <v>0.23763599999999999</v>
      </c>
      <c r="M1322" s="195">
        <v>0.20364959999999999</v>
      </c>
      <c r="N1322" s="195">
        <v>0.1748991</v>
      </c>
    </row>
    <row r="1323" spans="1:14" hidden="1" x14ac:dyDescent="0.35">
      <c r="A1323" s="52" t="s">
        <v>623</v>
      </c>
      <c r="B1323" s="52" t="s">
        <v>121</v>
      </c>
      <c r="C1323" s="52" t="s">
        <v>128</v>
      </c>
      <c r="D1323" s="52" t="s">
        <v>128</v>
      </c>
      <c r="E1323" s="52" t="s">
        <v>584</v>
      </c>
      <c r="F1323" s="52" t="s">
        <v>26</v>
      </c>
      <c r="G1323" s="195" t="s">
        <v>279</v>
      </c>
      <c r="H1323" s="195">
        <v>1.107225E-2</v>
      </c>
      <c r="I1323" s="195">
        <v>0.20593400000000001</v>
      </c>
      <c r="J1323" s="195">
        <v>0.18867200000000001</v>
      </c>
      <c r="K1323" s="195">
        <v>0.1709281</v>
      </c>
      <c r="L1323" s="195">
        <v>0.14742</v>
      </c>
      <c r="M1323" s="195">
        <v>0.12878700000000001</v>
      </c>
      <c r="N1323" s="195">
        <v>0.11302619999999999</v>
      </c>
    </row>
    <row r="1324" spans="1:14" hidden="1" x14ac:dyDescent="0.35">
      <c r="A1324" s="52" t="s">
        <v>623</v>
      </c>
      <c r="B1324" s="52" t="s">
        <v>158</v>
      </c>
      <c r="C1324" s="52" t="s">
        <v>156</v>
      </c>
      <c r="D1324" s="52" t="s">
        <v>260</v>
      </c>
      <c r="E1324" s="52" t="s">
        <v>584</v>
      </c>
      <c r="F1324" s="52" t="s">
        <v>581</v>
      </c>
      <c r="G1324" s="195" t="s">
        <v>275</v>
      </c>
      <c r="H1324" s="195">
        <v>-3.9703889999999999</v>
      </c>
      <c r="I1324" s="195">
        <v>0.18216940000000001</v>
      </c>
      <c r="J1324" s="195">
        <v>0.17670350000000001</v>
      </c>
      <c r="K1324" s="195">
        <v>0.1190876</v>
      </c>
      <c r="L1324" s="195">
        <v>8.4730379999999994E-2</v>
      </c>
      <c r="M1324" s="195">
        <v>6.7457039999999996E-2</v>
      </c>
      <c r="N1324" s="195">
        <v>5.9951490000000003E-2</v>
      </c>
    </row>
    <row r="1325" spans="1:14" hidden="1" x14ac:dyDescent="0.35">
      <c r="A1325" s="52" t="s">
        <v>623</v>
      </c>
      <c r="B1325" s="52" t="s">
        <v>158</v>
      </c>
      <c r="C1325" s="52" t="s">
        <v>156</v>
      </c>
      <c r="D1325" s="52" t="s">
        <v>260</v>
      </c>
      <c r="E1325" s="52" t="s">
        <v>584</v>
      </c>
      <c r="F1325" s="52" t="s">
        <v>581</v>
      </c>
      <c r="G1325" s="195" t="s">
        <v>276</v>
      </c>
      <c r="H1325" s="195">
        <v>-1.1011089999999999</v>
      </c>
      <c r="I1325" s="195">
        <v>0.13016639999999999</v>
      </c>
      <c r="J1325" s="195">
        <v>-0.58451940000000002</v>
      </c>
      <c r="K1325" s="195">
        <v>4.4964329999999997E-2</v>
      </c>
      <c r="L1325" s="195">
        <v>1.8492919999999999E-2</v>
      </c>
      <c r="M1325" s="195">
        <v>5.2608940000000003E-3</v>
      </c>
      <c r="N1325" s="195">
        <v>9.6547419999999998E-4</v>
      </c>
    </row>
    <row r="1326" spans="1:14" hidden="1" x14ac:dyDescent="0.35">
      <c r="A1326" s="52" t="s">
        <v>623</v>
      </c>
      <c r="B1326" s="52" t="s">
        <v>158</v>
      </c>
      <c r="C1326" s="52" t="s">
        <v>156</v>
      </c>
      <c r="D1326" s="52" t="s">
        <v>260</v>
      </c>
      <c r="E1326" s="52" t="s">
        <v>584</v>
      </c>
      <c r="F1326" s="52" t="s">
        <v>581</v>
      </c>
      <c r="G1326" s="195" t="s">
        <v>277</v>
      </c>
      <c r="H1326" s="195">
        <v>0.1066527</v>
      </c>
      <c r="I1326" s="195">
        <v>8.8329489999999997E-2</v>
      </c>
      <c r="J1326" s="195">
        <v>7.3457300000000003E-2</v>
      </c>
      <c r="K1326" s="195">
        <v>6.1854800000000001E-2</v>
      </c>
      <c r="L1326" s="195">
        <v>5.252954E-2</v>
      </c>
      <c r="M1326" s="195">
        <v>4.5069499999999998E-2</v>
      </c>
      <c r="N1326" s="195">
        <v>3.8727640000000001E-2</v>
      </c>
    </row>
    <row r="1327" spans="1:14" hidden="1" x14ac:dyDescent="0.35">
      <c r="A1327" s="52" t="s">
        <v>623</v>
      </c>
      <c r="B1327" s="52" t="s">
        <v>158</v>
      </c>
      <c r="C1327" s="52" t="s">
        <v>156</v>
      </c>
      <c r="D1327" s="52" t="s">
        <v>260</v>
      </c>
      <c r="E1327" s="52" t="s">
        <v>584</v>
      </c>
      <c r="F1327" s="52" t="s">
        <v>581</v>
      </c>
      <c r="G1327" s="195" t="s">
        <v>278</v>
      </c>
      <c r="H1327" s="195">
        <v>4.6604E-2</v>
      </c>
      <c r="I1327" s="195">
        <v>4.6604E-2</v>
      </c>
      <c r="J1327" s="195">
        <v>0.71915050000000003</v>
      </c>
      <c r="K1327" s="195">
        <v>4.6604E-2</v>
      </c>
      <c r="L1327" s="195">
        <v>4.6604E-2</v>
      </c>
      <c r="M1327" s="195">
        <v>4.6604E-2</v>
      </c>
      <c r="N1327" s="195">
        <v>4.6604E-2</v>
      </c>
    </row>
    <row r="1328" spans="1:14" hidden="1" x14ac:dyDescent="0.35">
      <c r="A1328" s="52" t="s">
        <v>623</v>
      </c>
      <c r="B1328" s="52" t="s">
        <v>158</v>
      </c>
      <c r="C1328" s="52" t="s">
        <v>156</v>
      </c>
      <c r="D1328" s="52" t="s">
        <v>260</v>
      </c>
      <c r="E1328" s="52" t="s">
        <v>584</v>
      </c>
      <c r="F1328" s="52" t="s">
        <v>581</v>
      </c>
      <c r="G1328" s="195" t="s">
        <v>279</v>
      </c>
      <c r="H1328" s="195">
        <v>7.5262659999999997</v>
      </c>
      <c r="I1328" s="195">
        <v>0.54016549999999997</v>
      </c>
      <c r="J1328" s="195">
        <v>0.59439940000000002</v>
      </c>
      <c r="K1328" s="195">
        <v>0.56682220000000005</v>
      </c>
      <c r="L1328" s="195">
        <v>0.52401790000000004</v>
      </c>
      <c r="M1328" s="195">
        <v>0.4712904</v>
      </c>
      <c r="N1328" s="195">
        <v>0.26974389999999998</v>
      </c>
    </row>
    <row r="1329" spans="1:14" hidden="1" x14ac:dyDescent="0.35">
      <c r="A1329" s="52" t="s">
        <v>623</v>
      </c>
      <c r="B1329" s="52" t="s">
        <v>158</v>
      </c>
      <c r="C1329" s="52" t="s">
        <v>156</v>
      </c>
      <c r="D1329" s="52" t="s">
        <v>260</v>
      </c>
      <c r="E1329" s="52" t="s">
        <v>584</v>
      </c>
      <c r="F1329" s="52" t="s">
        <v>26</v>
      </c>
      <c r="G1329" s="195" t="s">
        <v>275</v>
      </c>
      <c r="H1329" s="195">
        <v>-18.02028</v>
      </c>
      <c r="I1329" s="195">
        <v>0</v>
      </c>
      <c r="J1329" s="195"/>
      <c r="K1329" s="195"/>
      <c r="L1329" s="195"/>
      <c r="M1329" s="195"/>
      <c r="N1329" s="195"/>
    </row>
    <row r="1330" spans="1:14" hidden="1" x14ac:dyDescent="0.35">
      <c r="A1330" s="52" t="s">
        <v>623</v>
      </c>
      <c r="B1330" s="52" t="s">
        <v>158</v>
      </c>
      <c r="C1330" s="52" t="s">
        <v>156</v>
      </c>
      <c r="D1330" s="52" t="s">
        <v>260</v>
      </c>
      <c r="E1330" s="52" t="s">
        <v>584</v>
      </c>
      <c r="F1330" s="52" t="s">
        <v>26</v>
      </c>
      <c r="G1330" s="195" t="s">
        <v>276</v>
      </c>
      <c r="H1330" s="195">
        <v>0</v>
      </c>
      <c r="I1330" s="195"/>
      <c r="J1330" s="195"/>
      <c r="K1330" s="195"/>
      <c r="L1330" s="195"/>
      <c r="M1330" s="195"/>
      <c r="N1330" s="195"/>
    </row>
    <row r="1331" spans="1:14" hidden="1" x14ac:dyDescent="0.35">
      <c r="A1331" s="52" t="s">
        <v>623</v>
      </c>
      <c r="B1331" s="52" t="s">
        <v>158</v>
      </c>
      <c r="C1331" s="52" t="s">
        <v>156</v>
      </c>
      <c r="D1331" s="52" t="s">
        <v>260</v>
      </c>
      <c r="E1331" s="52" t="s">
        <v>584</v>
      </c>
      <c r="F1331" s="52" t="s">
        <v>26</v>
      </c>
      <c r="G1331" s="195" t="s">
        <v>279</v>
      </c>
      <c r="H1331" s="195">
        <v>18.02028</v>
      </c>
      <c r="I1331" s="195">
        <v>0</v>
      </c>
      <c r="J1331" s="195"/>
      <c r="K1331" s="195"/>
      <c r="L1331" s="195"/>
      <c r="M1331" s="195"/>
      <c r="N1331" s="195"/>
    </row>
    <row r="1332" spans="1:14" hidden="1" x14ac:dyDescent="0.35">
      <c r="A1332" s="52" t="s">
        <v>623</v>
      </c>
      <c r="B1332" s="52" t="s">
        <v>158</v>
      </c>
      <c r="C1332" s="52" t="s">
        <v>156</v>
      </c>
      <c r="D1332" s="52" t="s">
        <v>157</v>
      </c>
      <c r="E1332" s="52" t="s">
        <v>584</v>
      </c>
      <c r="F1332" s="52" t="s">
        <v>581</v>
      </c>
      <c r="G1332" s="195" t="s">
        <v>275</v>
      </c>
      <c r="H1332" s="195">
        <v>0.28320610000000002</v>
      </c>
      <c r="I1332" s="195">
        <v>-1.2831030000000001</v>
      </c>
      <c r="J1332" s="195">
        <v>0.1277896</v>
      </c>
      <c r="K1332" s="195">
        <v>5.5485649999999997E-2</v>
      </c>
      <c r="L1332" s="195">
        <v>9.1820180000000001E-3</v>
      </c>
      <c r="M1332" s="195">
        <v>6.5958199999999996E-3</v>
      </c>
      <c r="N1332" s="195">
        <v>1.6027190000000001E-3</v>
      </c>
    </row>
    <row r="1333" spans="1:14" hidden="1" x14ac:dyDescent="0.35">
      <c r="A1333" s="52" t="s">
        <v>623</v>
      </c>
      <c r="B1333" s="52" t="s">
        <v>158</v>
      </c>
      <c r="C1333" s="52" t="s">
        <v>156</v>
      </c>
      <c r="D1333" s="52" t="s">
        <v>157</v>
      </c>
      <c r="E1333" s="52" t="s">
        <v>584</v>
      </c>
      <c r="F1333" s="52" t="s">
        <v>581</v>
      </c>
      <c r="G1333" s="195" t="s">
        <v>276</v>
      </c>
      <c r="H1333" s="195">
        <v>-0.1048724</v>
      </c>
      <c r="I1333" s="195">
        <v>-0.77328039999999998</v>
      </c>
      <c r="J1333" s="195">
        <v>-0.71338310000000005</v>
      </c>
      <c r="K1333" s="195">
        <v>-0.2393496</v>
      </c>
      <c r="L1333" s="195">
        <v>-0.17046839999999999</v>
      </c>
      <c r="M1333" s="195">
        <v>-0.14921719999999999</v>
      </c>
      <c r="N1333" s="195">
        <v>-0.1327778</v>
      </c>
    </row>
    <row r="1334" spans="1:14" hidden="1" x14ac:dyDescent="0.35">
      <c r="A1334" s="52" t="s">
        <v>623</v>
      </c>
      <c r="B1334" s="52" t="s">
        <v>158</v>
      </c>
      <c r="C1334" s="52" t="s">
        <v>156</v>
      </c>
      <c r="D1334" s="52" t="s">
        <v>157</v>
      </c>
      <c r="E1334" s="52" t="s">
        <v>584</v>
      </c>
      <c r="F1334" s="52" t="s">
        <v>581</v>
      </c>
      <c r="G1334" s="195" t="s">
        <v>277</v>
      </c>
      <c r="H1334" s="195">
        <v>0.39887610000000001</v>
      </c>
      <c r="I1334" s="195">
        <v>0.31743880000000002</v>
      </c>
      <c r="J1334" s="195">
        <v>0.25186140000000001</v>
      </c>
      <c r="K1334" s="195">
        <v>0.2014089</v>
      </c>
      <c r="L1334" s="195">
        <v>0.1609333</v>
      </c>
      <c r="M1334" s="195">
        <v>0.13013130000000001</v>
      </c>
      <c r="N1334" s="195">
        <v>0.11032690000000001</v>
      </c>
    </row>
    <row r="1335" spans="1:14" hidden="1" x14ac:dyDescent="0.35">
      <c r="A1335" s="52" t="s">
        <v>623</v>
      </c>
      <c r="B1335" s="52" t="s">
        <v>158</v>
      </c>
      <c r="C1335" s="52" t="s">
        <v>156</v>
      </c>
      <c r="D1335" s="52" t="s">
        <v>157</v>
      </c>
      <c r="E1335" s="52" t="s">
        <v>584</v>
      </c>
      <c r="F1335" s="52" t="s">
        <v>581</v>
      </c>
      <c r="G1335" s="195" t="s">
        <v>278</v>
      </c>
      <c r="H1335" s="195">
        <v>8.5830950000000003E-2</v>
      </c>
      <c r="I1335" s="195">
        <v>1.4874529999999999</v>
      </c>
      <c r="J1335" s="195">
        <v>0.45786749999999998</v>
      </c>
      <c r="K1335" s="195">
        <v>7.4809390000000003E-2</v>
      </c>
      <c r="L1335" s="195">
        <v>7.4809399999999998E-2</v>
      </c>
      <c r="M1335" s="195">
        <v>7.4809390000000003E-2</v>
      </c>
      <c r="N1335" s="195">
        <v>7.4809399999999998E-2</v>
      </c>
    </row>
    <row r="1336" spans="1:14" hidden="1" x14ac:dyDescent="0.35">
      <c r="A1336" s="52" t="s">
        <v>623</v>
      </c>
      <c r="B1336" s="52" t="s">
        <v>158</v>
      </c>
      <c r="C1336" s="52" t="s">
        <v>156</v>
      </c>
      <c r="D1336" s="52" t="s">
        <v>157</v>
      </c>
      <c r="E1336" s="52" t="s">
        <v>584</v>
      </c>
      <c r="F1336" s="52" t="s">
        <v>581</v>
      </c>
      <c r="G1336" s="195" t="s">
        <v>279</v>
      </c>
      <c r="H1336" s="195">
        <v>2.4145780000000001</v>
      </c>
      <c r="I1336" s="195">
        <v>0.78253980000000001</v>
      </c>
      <c r="J1336" s="195">
        <v>0.23814630000000001</v>
      </c>
      <c r="K1336" s="195">
        <v>0.1880172</v>
      </c>
      <c r="L1336" s="195">
        <v>0.1471701</v>
      </c>
      <c r="M1336" s="195">
        <v>0.1206919</v>
      </c>
      <c r="N1336" s="195">
        <v>0.1008329</v>
      </c>
    </row>
    <row r="1337" spans="1:14" hidden="1" x14ac:dyDescent="0.35">
      <c r="A1337" s="52" t="s">
        <v>623</v>
      </c>
      <c r="B1337" s="52" t="s">
        <v>158</v>
      </c>
      <c r="C1337" s="52" t="s">
        <v>156</v>
      </c>
      <c r="D1337" s="52" t="s">
        <v>157</v>
      </c>
      <c r="E1337" s="52" t="s">
        <v>584</v>
      </c>
      <c r="F1337" s="52" t="s">
        <v>26</v>
      </c>
      <c r="G1337" s="195" t="s">
        <v>275</v>
      </c>
      <c r="H1337" s="195">
        <v>-5.7835599999999996</v>
      </c>
      <c r="I1337" s="195">
        <v>0</v>
      </c>
      <c r="J1337" s="195"/>
      <c r="K1337" s="195"/>
      <c r="L1337" s="195"/>
      <c r="M1337" s="195"/>
      <c r="N1337" s="195"/>
    </row>
    <row r="1338" spans="1:14" hidden="1" x14ac:dyDescent="0.35">
      <c r="A1338" s="52" t="s">
        <v>623</v>
      </c>
      <c r="B1338" s="52" t="s">
        <v>158</v>
      </c>
      <c r="C1338" s="52" t="s">
        <v>156</v>
      </c>
      <c r="D1338" s="52" t="s">
        <v>157</v>
      </c>
      <c r="E1338" s="52" t="s">
        <v>584</v>
      </c>
      <c r="F1338" s="52" t="s">
        <v>26</v>
      </c>
      <c r="G1338" s="195" t="s">
        <v>276</v>
      </c>
      <c r="H1338" s="195">
        <v>0</v>
      </c>
      <c r="I1338" s="195"/>
      <c r="J1338" s="195"/>
      <c r="K1338" s="195"/>
      <c r="L1338" s="195"/>
      <c r="M1338" s="195"/>
      <c r="N1338" s="195"/>
    </row>
    <row r="1339" spans="1:14" hidden="1" x14ac:dyDescent="0.35">
      <c r="A1339" s="52" t="s">
        <v>623</v>
      </c>
      <c r="B1339" s="52" t="s">
        <v>158</v>
      </c>
      <c r="C1339" s="52" t="s">
        <v>156</v>
      </c>
      <c r="D1339" s="52" t="s">
        <v>157</v>
      </c>
      <c r="E1339" s="52" t="s">
        <v>584</v>
      </c>
      <c r="F1339" s="52" t="s">
        <v>26</v>
      </c>
      <c r="G1339" s="195" t="s">
        <v>279</v>
      </c>
      <c r="H1339" s="195">
        <v>5.7835599999999996</v>
      </c>
      <c r="I1339" s="195">
        <v>0</v>
      </c>
      <c r="J1339" s="195"/>
      <c r="K1339" s="195"/>
      <c r="L1339" s="195"/>
      <c r="M1339" s="195"/>
      <c r="N1339" s="195"/>
    </row>
    <row r="1340" spans="1:14" hidden="1" x14ac:dyDescent="0.35">
      <c r="A1340" s="52" t="s">
        <v>623</v>
      </c>
      <c r="B1340" s="52" t="s">
        <v>158</v>
      </c>
      <c r="C1340" s="52" t="s">
        <v>256</v>
      </c>
      <c r="D1340" s="52" t="s">
        <v>256</v>
      </c>
      <c r="E1340" s="52" t="s">
        <v>584</v>
      </c>
      <c r="F1340" s="52" t="s">
        <v>581</v>
      </c>
      <c r="G1340" s="195" t="s">
        <v>275</v>
      </c>
      <c r="H1340" s="195">
        <v>-8.5745500000000002E-2</v>
      </c>
      <c r="I1340" s="195">
        <v>-8.5745500000000002E-2</v>
      </c>
      <c r="J1340" s="195">
        <v>0</v>
      </c>
      <c r="K1340" s="195">
        <v>0</v>
      </c>
      <c r="L1340" s="195">
        <v>0</v>
      </c>
      <c r="M1340" s="195">
        <v>0</v>
      </c>
      <c r="N1340" s="195">
        <v>0</v>
      </c>
    </row>
    <row r="1341" spans="1:14" hidden="1" x14ac:dyDescent="0.35">
      <c r="A1341" s="52" t="s">
        <v>623</v>
      </c>
      <c r="B1341" s="52" t="s">
        <v>158</v>
      </c>
      <c r="C1341" s="52" t="s">
        <v>256</v>
      </c>
      <c r="D1341" s="52" t="s">
        <v>256</v>
      </c>
      <c r="E1341" s="52" t="s">
        <v>584</v>
      </c>
      <c r="F1341" s="52" t="s">
        <v>581</v>
      </c>
      <c r="G1341" s="195" t="s">
        <v>276</v>
      </c>
      <c r="H1341" s="195"/>
      <c r="I1341" s="195"/>
      <c r="J1341" s="195">
        <v>-8.5745500000000002E-2</v>
      </c>
      <c r="K1341" s="195">
        <v>-8.5745500000000002E-2</v>
      </c>
      <c r="L1341" s="195">
        <v>-8.5745500000000002E-2</v>
      </c>
      <c r="M1341" s="195">
        <v>-8.5745500000000002E-2</v>
      </c>
      <c r="N1341" s="195">
        <v>-37.739660000000001</v>
      </c>
    </row>
    <row r="1342" spans="1:14" hidden="1" x14ac:dyDescent="0.35">
      <c r="A1342" s="52" t="s">
        <v>623</v>
      </c>
      <c r="B1342" s="52" t="s">
        <v>158</v>
      </c>
      <c r="C1342" s="52" t="s">
        <v>256</v>
      </c>
      <c r="D1342" s="52" t="s">
        <v>256</v>
      </c>
      <c r="E1342" s="52" t="s">
        <v>584</v>
      </c>
      <c r="F1342" s="52" t="s">
        <v>581</v>
      </c>
      <c r="G1342" s="195" t="s">
        <v>277</v>
      </c>
      <c r="H1342" s="195"/>
      <c r="I1342" s="195"/>
      <c r="J1342" s="195"/>
      <c r="K1342" s="195"/>
      <c r="L1342" s="195"/>
      <c r="M1342" s="195"/>
      <c r="N1342" s="195">
        <v>0</v>
      </c>
    </row>
    <row r="1343" spans="1:14" hidden="1" x14ac:dyDescent="0.35">
      <c r="A1343" s="52" t="s">
        <v>623</v>
      </c>
      <c r="B1343" s="52" t="s">
        <v>158</v>
      </c>
      <c r="C1343" s="52" t="s">
        <v>256</v>
      </c>
      <c r="D1343" s="52" t="s">
        <v>256</v>
      </c>
      <c r="E1343" s="52" t="s">
        <v>584</v>
      </c>
      <c r="F1343" s="52" t="s">
        <v>581</v>
      </c>
      <c r="G1343" s="195" t="s">
        <v>278</v>
      </c>
      <c r="H1343" s="195">
        <v>8.5745500000000002E-2</v>
      </c>
      <c r="I1343" s="195">
        <v>8.5745500000000002E-2</v>
      </c>
      <c r="J1343" s="195">
        <v>8.5745500000000002E-2</v>
      </c>
      <c r="K1343" s="195">
        <v>8.5745500000000002E-2</v>
      </c>
      <c r="L1343" s="195">
        <v>8.5745500000000002E-2</v>
      </c>
      <c r="M1343" s="195">
        <v>8.5745500000000002E-2</v>
      </c>
      <c r="N1343" s="195">
        <v>37.739669999999997</v>
      </c>
    </row>
    <row r="1344" spans="1:14" hidden="1" x14ac:dyDescent="0.35">
      <c r="A1344" s="52" t="s">
        <v>623</v>
      </c>
      <c r="B1344" s="52" t="s">
        <v>160</v>
      </c>
      <c r="C1344" s="52" t="s">
        <v>391</v>
      </c>
      <c r="D1344" s="52" t="s">
        <v>392</v>
      </c>
      <c r="E1344" s="52" t="s">
        <v>584</v>
      </c>
      <c r="F1344" s="52" t="s">
        <v>581</v>
      </c>
      <c r="G1344" s="195" t="s">
        <v>275</v>
      </c>
      <c r="H1344" s="195">
        <v>7.6446189999999996</v>
      </c>
      <c r="I1344" s="195">
        <v>6.9944050000000004</v>
      </c>
      <c r="J1344" s="195">
        <v>4.9360949999999999</v>
      </c>
      <c r="K1344" s="195">
        <v>4.9333020000000003</v>
      </c>
      <c r="L1344" s="195">
        <v>4.2752030000000003</v>
      </c>
      <c r="M1344" s="195">
        <v>2.9438780000000002</v>
      </c>
      <c r="N1344" s="195">
        <v>1.282605</v>
      </c>
    </row>
    <row r="1345" spans="1:14" hidden="1" x14ac:dyDescent="0.35">
      <c r="A1345" s="52" t="s">
        <v>623</v>
      </c>
      <c r="B1345" s="52" t="s">
        <v>160</v>
      </c>
      <c r="C1345" s="52" t="s">
        <v>391</v>
      </c>
      <c r="D1345" s="52" t="s">
        <v>392</v>
      </c>
      <c r="E1345" s="52" t="s">
        <v>584</v>
      </c>
      <c r="F1345" s="52" t="s">
        <v>581</v>
      </c>
      <c r="G1345" s="195" t="s">
        <v>276</v>
      </c>
      <c r="H1345" s="195">
        <v>-7.8418580000000002</v>
      </c>
      <c r="I1345" s="195">
        <v>-7.0441859999999998</v>
      </c>
      <c r="J1345" s="195">
        <v>-2.4677669999999998</v>
      </c>
      <c r="K1345" s="195">
        <v>-2.4673759999999998</v>
      </c>
      <c r="L1345" s="195">
        <v>-1.8102259999999999</v>
      </c>
      <c r="M1345" s="195">
        <v>-1.6504110000000001</v>
      </c>
      <c r="N1345" s="195">
        <v>-0.26842709999999997</v>
      </c>
    </row>
    <row r="1346" spans="1:14" hidden="1" x14ac:dyDescent="0.35">
      <c r="A1346" s="52" t="s">
        <v>623</v>
      </c>
      <c r="B1346" s="52" t="s">
        <v>160</v>
      </c>
      <c r="C1346" s="52" t="s">
        <v>391</v>
      </c>
      <c r="D1346" s="52" t="s">
        <v>392</v>
      </c>
      <c r="E1346" s="52" t="s">
        <v>584</v>
      </c>
      <c r="F1346" s="52" t="s">
        <v>581</v>
      </c>
      <c r="G1346" s="195" t="s">
        <v>277</v>
      </c>
      <c r="H1346" s="195"/>
      <c r="I1346" s="195"/>
      <c r="J1346" s="195"/>
      <c r="K1346" s="195"/>
      <c r="L1346" s="195">
        <v>0</v>
      </c>
      <c r="M1346" s="195">
        <v>8.6204990000000002E-4</v>
      </c>
      <c r="N1346" s="195">
        <v>1.938192E-2</v>
      </c>
    </row>
    <row r="1347" spans="1:14" hidden="1" x14ac:dyDescent="0.35">
      <c r="A1347" s="52" t="s">
        <v>623</v>
      </c>
      <c r="B1347" s="52" t="s">
        <v>160</v>
      </c>
      <c r="C1347" s="52" t="s">
        <v>391</v>
      </c>
      <c r="D1347" s="52" t="s">
        <v>392</v>
      </c>
      <c r="E1347" s="52" t="s">
        <v>584</v>
      </c>
      <c r="F1347" s="52" t="s">
        <v>581</v>
      </c>
      <c r="G1347" s="195" t="s">
        <v>278</v>
      </c>
      <c r="H1347" s="195">
        <v>0.1972391</v>
      </c>
      <c r="I1347" s="195">
        <v>4.9779749999999998E-2</v>
      </c>
      <c r="J1347" s="195">
        <v>8.93358E-3</v>
      </c>
      <c r="K1347" s="195">
        <v>9.3608700000000003E-3</v>
      </c>
      <c r="L1347" s="195">
        <v>8.3360399999999994E-3</v>
      </c>
      <c r="M1347" s="195">
        <v>2.0840190000000001E-2</v>
      </c>
      <c r="N1347" s="195">
        <v>2.0840190000000001E-2</v>
      </c>
    </row>
    <row r="1348" spans="1:14" hidden="1" x14ac:dyDescent="0.35">
      <c r="A1348" s="52" t="s">
        <v>623</v>
      </c>
      <c r="B1348" s="52" t="s">
        <v>361</v>
      </c>
      <c r="C1348" s="52" t="s">
        <v>214</v>
      </c>
      <c r="D1348" s="52" t="s">
        <v>214</v>
      </c>
      <c r="E1348" s="52" t="s">
        <v>584</v>
      </c>
      <c r="F1348" s="52" t="s">
        <v>581</v>
      </c>
      <c r="G1348" s="195" t="s">
        <v>275</v>
      </c>
      <c r="H1348" s="195">
        <v>-4.7302749999999999E-3</v>
      </c>
      <c r="I1348" s="195">
        <v>-6.0213289999999997E-3</v>
      </c>
      <c r="J1348" s="195">
        <v>0</v>
      </c>
      <c r="K1348" s="195">
        <v>0</v>
      </c>
      <c r="L1348" s="195">
        <v>0</v>
      </c>
      <c r="M1348" s="195">
        <v>0</v>
      </c>
      <c r="N1348" s="195">
        <v>0</v>
      </c>
    </row>
    <row r="1349" spans="1:14" hidden="1" x14ac:dyDescent="0.35">
      <c r="A1349" s="52" t="s">
        <v>623</v>
      </c>
      <c r="B1349" s="52" t="s">
        <v>361</v>
      </c>
      <c r="C1349" s="52" t="s">
        <v>214</v>
      </c>
      <c r="D1349" s="52" t="s">
        <v>214</v>
      </c>
      <c r="E1349" s="52" t="s">
        <v>584</v>
      </c>
      <c r="F1349" s="52" t="s">
        <v>581</v>
      </c>
      <c r="G1349" s="195" t="s">
        <v>276</v>
      </c>
      <c r="H1349" s="195">
        <v>-6.5196000000000004E-3</v>
      </c>
      <c r="I1349" s="195">
        <v>-5.2285470000000001E-3</v>
      </c>
      <c r="J1349" s="195">
        <v>-1.124988E-2</v>
      </c>
      <c r="K1349" s="195">
        <v>-6.5584939999999994E-2</v>
      </c>
      <c r="L1349" s="195">
        <v>-1.1249489999999999E-2</v>
      </c>
      <c r="M1349" s="195">
        <v>-1.124969E-2</v>
      </c>
      <c r="N1349" s="195">
        <v>-1.124969E-2</v>
      </c>
    </row>
    <row r="1350" spans="1:14" hidden="1" x14ac:dyDescent="0.35">
      <c r="A1350" s="52" t="s">
        <v>623</v>
      </c>
      <c r="B1350" s="52" t="s">
        <v>361</v>
      </c>
      <c r="C1350" s="52" t="s">
        <v>214</v>
      </c>
      <c r="D1350" s="52" t="s">
        <v>214</v>
      </c>
      <c r="E1350" s="52" t="s">
        <v>584</v>
      </c>
      <c r="F1350" s="52" t="s">
        <v>581</v>
      </c>
      <c r="G1350" s="195" t="s">
        <v>277</v>
      </c>
      <c r="H1350" s="195"/>
      <c r="I1350" s="195"/>
      <c r="J1350" s="195">
        <v>0</v>
      </c>
      <c r="K1350" s="195">
        <v>5.4335250000000002E-2</v>
      </c>
      <c r="L1350" s="195">
        <v>0</v>
      </c>
      <c r="M1350" s="195">
        <v>0</v>
      </c>
      <c r="N1350" s="195">
        <v>0</v>
      </c>
    </row>
    <row r="1351" spans="1:14" hidden="1" x14ac:dyDescent="0.35">
      <c r="A1351" s="52" t="s">
        <v>623</v>
      </c>
      <c r="B1351" s="52" t="s">
        <v>361</v>
      </c>
      <c r="C1351" s="52" t="s">
        <v>214</v>
      </c>
      <c r="D1351" s="52" t="s">
        <v>214</v>
      </c>
      <c r="E1351" s="52" t="s">
        <v>584</v>
      </c>
      <c r="F1351" s="52" t="s">
        <v>581</v>
      </c>
      <c r="G1351" s="195" t="s">
        <v>278</v>
      </c>
      <c r="H1351" s="195">
        <v>1.124969E-2</v>
      </c>
      <c r="I1351" s="195">
        <v>1.124969E-2</v>
      </c>
      <c r="J1351" s="195">
        <v>1.124969E-2</v>
      </c>
      <c r="K1351" s="195">
        <v>1.124969E-2</v>
      </c>
      <c r="L1351" s="195">
        <v>1.124969E-2</v>
      </c>
      <c r="M1351" s="195">
        <v>1.124969E-2</v>
      </c>
      <c r="N1351" s="195">
        <v>1.124969E-2</v>
      </c>
    </row>
    <row r="1352" spans="1:14" hidden="1" x14ac:dyDescent="0.35">
      <c r="A1352" s="52" t="s">
        <v>623</v>
      </c>
      <c r="B1352" s="52" t="s">
        <v>361</v>
      </c>
      <c r="C1352" s="52" t="s">
        <v>214</v>
      </c>
      <c r="D1352" s="52" t="s">
        <v>214</v>
      </c>
      <c r="E1352" s="52" t="s">
        <v>584</v>
      </c>
      <c r="F1352" s="52" t="s">
        <v>26</v>
      </c>
      <c r="G1352" s="195" t="s">
        <v>275</v>
      </c>
      <c r="H1352" s="195">
        <v>-18.567830000000001</v>
      </c>
      <c r="I1352" s="195">
        <v>1.360773</v>
      </c>
      <c r="J1352" s="195">
        <v>1.360773</v>
      </c>
      <c r="K1352" s="195">
        <v>1.360773</v>
      </c>
      <c r="L1352" s="195">
        <v>1.360773</v>
      </c>
      <c r="M1352" s="195">
        <v>-3.4229620000000002E-2</v>
      </c>
      <c r="N1352" s="195">
        <v>-3.4229620000000002E-2</v>
      </c>
    </row>
    <row r="1353" spans="1:14" hidden="1" x14ac:dyDescent="0.35">
      <c r="A1353" s="52" t="s">
        <v>623</v>
      </c>
      <c r="B1353" s="52" t="s">
        <v>361</v>
      </c>
      <c r="C1353" s="52" t="s">
        <v>214</v>
      </c>
      <c r="D1353" s="52" t="s">
        <v>214</v>
      </c>
      <c r="E1353" s="52" t="s">
        <v>584</v>
      </c>
      <c r="F1353" s="52" t="s">
        <v>26</v>
      </c>
      <c r="G1353" s="195" t="s">
        <v>276</v>
      </c>
      <c r="H1353" s="195">
        <v>-1.4134340000000001</v>
      </c>
      <c r="I1353" s="195">
        <v>-1.4134340000000001</v>
      </c>
      <c r="J1353" s="195">
        <v>-1.4134340000000001</v>
      </c>
      <c r="K1353" s="195">
        <v>-1.4134340000000001</v>
      </c>
      <c r="L1353" s="195">
        <v>-1.4134329999999999</v>
      </c>
      <c r="M1353" s="195">
        <v>-1.8431280000000001E-2</v>
      </c>
      <c r="N1353" s="195">
        <v>-1.8431280000000001E-2</v>
      </c>
    </row>
    <row r="1354" spans="1:14" hidden="1" x14ac:dyDescent="0.35">
      <c r="A1354" s="52" t="s">
        <v>623</v>
      </c>
      <c r="B1354" s="52" t="s">
        <v>361</v>
      </c>
      <c r="C1354" s="52" t="s">
        <v>214</v>
      </c>
      <c r="D1354" s="52" t="s">
        <v>214</v>
      </c>
      <c r="E1354" s="52" t="s">
        <v>584</v>
      </c>
      <c r="F1354" s="52" t="s">
        <v>26</v>
      </c>
      <c r="G1354" s="195" t="s">
        <v>278</v>
      </c>
      <c r="H1354" s="195">
        <v>19.981269999999999</v>
      </c>
      <c r="I1354" s="195">
        <v>5.2660890000000002E-2</v>
      </c>
      <c r="J1354" s="195">
        <v>5.2660890000000002E-2</v>
      </c>
      <c r="K1354" s="195">
        <v>5.2660890000000002E-2</v>
      </c>
      <c r="L1354" s="195">
        <v>5.2660890000000002E-2</v>
      </c>
      <c r="M1354" s="195">
        <v>5.2660890000000002E-2</v>
      </c>
      <c r="N1354" s="195">
        <v>5.2660890000000002E-2</v>
      </c>
    </row>
    <row r="1355" spans="1:14" hidden="1" x14ac:dyDescent="0.35">
      <c r="A1355" s="52" t="s">
        <v>623</v>
      </c>
      <c r="B1355" s="52" t="s">
        <v>56</v>
      </c>
      <c r="C1355" s="52" t="s">
        <v>333</v>
      </c>
      <c r="D1355" s="52" t="s">
        <v>333</v>
      </c>
      <c r="E1355" s="52" t="s">
        <v>584</v>
      </c>
      <c r="F1355" s="52" t="s">
        <v>581</v>
      </c>
      <c r="G1355" s="195" t="s">
        <v>275</v>
      </c>
      <c r="H1355" s="195">
        <v>-15.01272</v>
      </c>
      <c r="I1355" s="195">
        <v>-20.18497</v>
      </c>
      <c r="J1355" s="195">
        <v>0</v>
      </c>
      <c r="K1355" s="195">
        <v>0</v>
      </c>
      <c r="L1355" s="195">
        <v>0</v>
      </c>
      <c r="M1355" s="195">
        <v>0</v>
      </c>
      <c r="N1355" s="195">
        <v>0</v>
      </c>
    </row>
    <row r="1356" spans="1:14" hidden="1" x14ac:dyDescent="0.35">
      <c r="A1356" s="52" t="s">
        <v>623</v>
      </c>
      <c r="B1356" s="52" t="s">
        <v>56</v>
      </c>
      <c r="C1356" s="52" t="s">
        <v>333</v>
      </c>
      <c r="D1356" s="52" t="s">
        <v>333</v>
      </c>
      <c r="E1356" s="52" t="s">
        <v>584</v>
      </c>
      <c r="F1356" s="52" t="s">
        <v>581</v>
      </c>
      <c r="G1356" s="195" t="s">
        <v>276</v>
      </c>
      <c r="H1356" s="195"/>
      <c r="I1356" s="195"/>
      <c r="J1356" s="195"/>
      <c r="K1356" s="195"/>
      <c r="L1356" s="195">
        <v>0</v>
      </c>
      <c r="M1356" s="195"/>
      <c r="N1356" s="195"/>
    </row>
    <row r="1357" spans="1:14" hidden="1" x14ac:dyDescent="0.35">
      <c r="A1357" s="52" t="s">
        <v>623</v>
      </c>
      <c r="B1357" s="52" t="s">
        <v>56</v>
      </c>
      <c r="C1357" s="52" t="s">
        <v>333</v>
      </c>
      <c r="D1357" s="52" t="s">
        <v>333</v>
      </c>
      <c r="E1357" s="52" t="s">
        <v>584</v>
      </c>
      <c r="F1357" s="52" t="s">
        <v>581</v>
      </c>
      <c r="G1357" s="195" t="s">
        <v>277</v>
      </c>
      <c r="H1357" s="195"/>
      <c r="I1357" s="195"/>
      <c r="J1357" s="195">
        <v>0</v>
      </c>
      <c r="K1357" s="195">
        <v>0</v>
      </c>
      <c r="L1357" s="195">
        <v>0</v>
      </c>
      <c r="M1357" s="195">
        <v>0</v>
      </c>
      <c r="N1357" s="195">
        <v>0</v>
      </c>
    </row>
    <row r="1358" spans="1:14" hidden="1" x14ac:dyDescent="0.35">
      <c r="A1358" s="52" t="s">
        <v>623</v>
      </c>
      <c r="B1358" s="52" t="s">
        <v>56</v>
      </c>
      <c r="C1358" s="52" t="s">
        <v>333</v>
      </c>
      <c r="D1358" s="52" t="s">
        <v>333</v>
      </c>
      <c r="E1358" s="52" t="s">
        <v>584</v>
      </c>
      <c r="F1358" s="52" t="s">
        <v>581</v>
      </c>
      <c r="G1358" s="195" t="s">
        <v>278</v>
      </c>
      <c r="H1358" s="195">
        <v>15.01272</v>
      </c>
      <c r="I1358" s="195">
        <v>20.184979999999999</v>
      </c>
      <c r="J1358" s="195">
        <v>0</v>
      </c>
      <c r="K1358" s="195">
        <v>0</v>
      </c>
      <c r="L1358" s="195">
        <v>0</v>
      </c>
      <c r="M1358" s="195"/>
      <c r="N1358" s="195"/>
    </row>
    <row r="1359" spans="1:14" hidden="1" x14ac:dyDescent="0.35">
      <c r="A1359" s="52" t="s">
        <v>623</v>
      </c>
      <c r="B1359" s="52" t="s">
        <v>56</v>
      </c>
      <c r="C1359" s="52" t="s">
        <v>333</v>
      </c>
      <c r="D1359" s="52" t="s">
        <v>333</v>
      </c>
      <c r="E1359" s="52" t="s">
        <v>584</v>
      </c>
      <c r="F1359" s="52" t="s">
        <v>581</v>
      </c>
      <c r="G1359" s="195" t="s">
        <v>279</v>
      </c>
      <c r="H1359" s="195"/>
      <c r="I1359" s="195"/>
      <c r="J1359" s="195">
        <v>0</v>
      </c>
      <c r="K1359" s="195">
        <v>0</v>
      </c>
      <c r="L1359" s="195">
        <v>0</v>
      </c>
      <c r="M1359" s="195">
        <v>0</v>
      </c>
      <c r="N1359" s="195">
        <v>0</v>
      </c>
    </row>
    <row r="1360" spans="1:14" hidden="1" x14ac:dyDescent="0.35">
      <c r="A1360" s="52" t="s">
        <v>623</v>
      </c>
      <c r="B1360" s="52" t="s">
        <v>73</v>
      </c>
      <c r="C1360" s="52" t="s">
        <v>80</v>
      </c>
      <c r="D1360" s="52" t="s">
        <v>823</v>
      </c>
      <c r="E1360" s="52" t="s">
        <v>584</v>
      </c>
      <c r="F1360" s="52" t="s">
        <v>581</v>
      </c>
      <c r="G1360" s="195" t="s">
        <v>275</v>
      </c>
      <c r="H1360" s="195">
        <v>-2.28896E-2</v>
      </c>
      <c r="I1360" s="195"/>
      <c r="J1360" s="195"/>
      <c r="K1360" s="195"/>
      <c r="L1360" s="195">
        <v>0</v>
      </c>
      <c r="M1360" s="195"/>
      <c r="N1360" s="195">
        <v>0</v>
      </c>
    </row>
    <row r="1361" spans="1:14" hidden="1" x14ac:dyDescent="0.35">
      <c r="A1361" s="52" t="s">
        <v>623</v>
      </c>
      <c r="B1361" s="52" t="s">
        <v>73</v>
      </c>
      <c r="C1361" s="52" t="s">
        <v>80</v>
      </c>
      <c r="D1361" s="52" t="s">
        <v>823</v>
      </c>
      <c r="E1361" s="52" t="s">
        <v>584</v>
      </c>
      <c r="F1361" s="52" t="s">
        <v>581</v>
      </c>
      <c r="G1361" s="195" t="s">
        <v>276</v>
      </c>
      <c r="H1361" s="195">
        <v>-0.104672</v>
      </c>
      <c r="I1361" s="195"/>
      <c r="J1361" s="195"/>
      <c r="K1361" s="195"/>
      <c r="L1361" s="195">
        <v>0</v>
      </c>
      <c r="M1361" s="195"/>
      <c r="N1361" s="195">
        <v>0</v>
      </c>
    </row>
    <row r="1362" spans="1:14" hidden="1" x14ac:dyDescent="0.35">
      <c r="A1362" s="52" t="s">
        <v>623</v>
      </c>
      <c r="B1362" s="52" t="s">
        <v>73</v>
      </c>
      <c r="C1362" s="52" t="s">
        <v>80</v>
      </c>
      <c r="D1362" s="52" t="s">
        <v>823</v>
      </c>
      <c r="E1362" s="52" t="s">
        <v>584</v>
      </c>
      <c r="F1362" s="52" t="s">
        <v>581</v>
      </c>
      <c r="G1362" s="195" t="s">
        <v>277</v>
      </c>
      <c r="H1362" s="195"/>
      <c r="I1362" s="195"/>
      <c r="J1362" s="195"/>
      <c r="K1362" s="195">
        <v>0</v>
      </c>
      <c r="L1362" s="195"/>
      <c r="M1362" s="195">
        <v>0</v>
      </c>
      <c r="N1362" s="195">
        <v>0</v>
      </c>
    </row>
    <row r="1363" spans="1:14" hidden="1" x14ac:dyDescent="0.35">
      <c r="A1363" s="52" t="s">
        <v>623</v>
      </c>
      <c r="B1363" s="52" t="s">
        <v>73</v>
      </c>
      <c r="C1363" s="52" t="s">
        <v>80</v>
      </c>
      <c r="D1363" s="52" t="s">
        <v>823</v>
      </c>
      <c r="E1363" s="52" t="s">
        <v>584</v>
      </c>
      <c r="F1363" s="52" t="s">
        <v>581</v>
      </c>
      <c r="G1363" s="195" t="s">
        <v>278</v>
      </c>
      <c r="H1363" s="195">
        <v>0.1275616</v>
      </c>
      <c r="I1363" s="195"/>
      <c r="J1363" s="195">
        <v>0</v>
      </c>
      <c r="K1363" s="195"/>
      <c r="L1363" s="195">
        <v>0</v>
      </c>
      <c r="M1363" s="195"/>
      <c r="N1363" s="195"/>
    </row>
    <row r="1364" spans="1:14" hidden="1" x14ac:dyDescent="0.35">
      <c r="A1364" s="52" t="s">
        <v>623</v>
      </c>
      <c r="B1364" s="52" t="s">
        <v>73</v>
      </c>
      <c r="C1364" s="52" t="s">
        <v>80</v>
      </c>
      <c r="D1364" s="52" t="s">
        <v>823</v>
      </c>
      <c r="E1364" s="52" t="s">
        <v>584</v>
      </c>
      <c r="F1364" s="52" t="s">
        <v>581</v>
      </c>
      <c r="G1364" s="195" t="s">
        <v>279</v>
      </c>
      <c r="H1364" s="195"/>
      <c r="I1364" s="195"/>
      <c r="J1364" s="195"/>
      <c r="K1364" s="195"/>
      <c r="L1364" s="195"/>
      <c r="M1364" s="195"/>
      <c r="N1364" s="195">
        <v>0</v>
      </c>
    </row>
    <row r="1365" spans="1:14" hidden="1" x14ac:dyDescent="0.35">
      <c r="A1365" s="52" t="s">
        <v>623</v>
      </c>
      <c r="B1365" s="52" t="s">
        <v>73</v>
      </c>
      <c r="C1365" s="52" t="s">
        <v>80</v>
      </c>
      <c r="D1365" s="52" t="s">
        <v>823</v>
      </c>
      <c r="E1365" s="52" t="s">
        <v>584</v>
      </c>
      <c r="F1365" s="52" t="s">
        <v>26</v>
      </c>
      <c r="G1365" s="195" t="s">
        <v>275</v>
      </c>
      <c r="H1365" s="195">
        <v>0</v>
      </c>
      <c r="I1365" s="195">
        <v>-1.07324E-2</v>
      </c>
      <c r="J1365" s="195">
        <v>0</v>
      </c>
      <c r="K1365" s="195">
        <v>0</v>
      </c>
      <c r="L1365" s="195">
        <v>0</v>
      </c>
      <c r="M1365" s="195">
        <v>0</v>
      </c>
      <c r="N1365" s="195">
        <v>0</v>
      </c>
    </row>
    <row r="1366" spans="1:14" hidden="1" x14ac:dyDescent="0.35">
      <c r="A1366" s="52" t="s">
        <v>623</v>
      </c>
      <c r="B1366" s="52" t="s">
        <v>73</v>
      </c>
      <c r="C1366" s="52" t="s">
        <v>80</v>
      </c>
      <c r="D1366" s="52" t="s">
        <v>823</v>
      </c>
      <c r="E1366" s="52" t="s">
        <v>584</v>
      </c>
      <c r="F1366" s="52" t="s">
        <v>26</v>
      </c>
      <c r="G1366" s="195" t="s">
        <v>276</v>
      </c>
      <c r="H1366" s="195"/>
      <c r="I1366" s="195">
        <v>-7.2598800000000005E-2</v>
      </c>
      <c r="J1366" s="195">
        <v>-0.1001036</v>
      </c>
      <c r="K1366" s="195">
        <v>-3.0527120000000001</v>
      </c>
      <c r="L1366" s="195">
        <v>-8.7441199999999997E-2</v>
      </c>
      <c r="M1366" s="195">
        <v>-0.1674032</v>
      </c>
      <c r="N1366" s="195">
        <v>-0.27180359999999998</v>
      </c>
    </row>
    <row r="1367" spans="1:14" hidden="1" x14ac:dyDescent="0.35">
      <c r="A1367" s="52" t="s">
        <v>623</v>
      </c>
      <c r="B1367" s="52" t="s">
        <v>73</v>
      </c>
      <c r="C1367" s="52" t="s">
        <v>80</v>
      </c>
      <c r="D1367" s="52" t="s">
        <v>823</v>
      </c>
      <c r="E1367" s="52" t="s">
        <v>584</v>
      </c>
      <c r="F1367" s="52" t="s">
        <v>26</v>
      </c>
      <c r="G1367" s="195" t="s">
        <v>277</v>
      </c>
      <c r="H1367" s="195"/>
      <c r="I1367" s="195"/>
      <c r="J1367" s="195"/>
      <c r="K1367" s="195">
        <v>0</v>
      </c>
      <c r="L1367" s="195">
        <v>1.1599999999999999E-2</v>
      </c>
      <c r="M1367" s="195">
        <v>1.1599999999999999E-2</v>
      </c>
      <c r="N1367" s="195">
        <v>0.11600000000000001</v>
      </c>
    </row>
    <row r="1368" spans="1:14" hidden="1" x14ac:dyDescent="0.35">
      <c r="A1368" s="52" t="s">
        <v>623</v>
      </c>
      <c r="B1368" s="52" t="s">
        <v>73</v>
      </c>
      <c r="C1368" s="52" t="s">
        <v>80</v>
      </c>
      <c r="D1368" s="52" t="s">
        <v>823</v>
      </c>
      <c r="E1368" s="52" t="s">
        <v>584</v>
      </c>
      <c r="F1368" s="52" t="s">
        <v>26</v>
      </c>
      <c r="G1368" s="195" t="s">
        <v>278</v>
      </c>
      <c r="H1368" s="195"/>
      <c r="I1368" s="195">
        <v>8.3330799999999997E-2</v>
      </c>
      <c r="J1368" s="195">
        <v>0.1001036</v>
      </c>
      <c r="K1368" s="195">
        <v>3.0527129999999998</v>
      </c>
      <c r="L1368" s="195">
        <v>7.5841199999999998E-2</v>
      </c>
      <c r="M1368" s="195">
        <v>0.1558032</v>
      </c>
      <c r="N1368" s="195">
        <v>0.1558032</v>
      </c>
    </row>
    <row r="1369" spans="1:14" hidden="1" x14ac:dyDescent="0.35">
      <c r="A1369" s="52" t="s">
        <v>623</v>
      </c>
      <c r="B1369" s="52" t="s">
        <v>73</v>
      </c>
      <c r="C1369" s="52" t="s">
        <v>80</v>
      </c>
      <c r="D1369" s="52" t="s">
        <v>823</v>
      </c>
      <c r="E1369" s="52" t="s">
        <v>584</v>
      </c>
      <c r="F1369" s="52" t="s">
        <v>26</v>
      </c>
      <c r="G1369" s="195" t="s">
        <v>279</v>
      </c>
      <c r="H1369" s="195"/>
      <c r="I1369" s="195"/>
      <c r="J1369" s="195"/>
      <c r="K1369" s="195"/>
      <c r="L1369" s="195"/>
      <c r="M1369" s="195"/>
      <c r="N1369" s="195">
        <v>0</v>
      </c>
    </row>
    <row r="1370" spans="1:14" hidden="1" x14ac:dyDescent="0.35">
      <c r="A1370" s="52" t="s">
        <v>623</v>
      </c>
      <c r="B1370" s="52" t="s">
        <v>73</v>
      </c>
      <c r="C1370" s="52" t="s">
        <v>325</v>
      </c>
      <c r="D1370" s="52" t="s">
        <v>325</v>
      </c>
      <c r="E1370" s="52" t="s">
        <v>584</v>
      </c>
      <c r="F1370" s="52" t="s">
        <v>581</v>
      </c>
      <c r="G1370" s="195" t="s">
        <v>275</v>
      </c>
      <c r="H1370" s="195">
        <v>-8.2521999999999995E-3</v>
      </c>
      <c r="I1370" s="195">
        <v>-3.869E-3</v>
      </c>
      <c r="J1370" s="195">
        <v>0</v>
      </c>
      <c r="K1370" s="195">
        <v>0</v>
      </c>
      <c r="L1370" s="195">
        <v>0</v>
      </c>
      <c r="M1370" s="195">
        <v>0</v>
      </c>
      <c r="N1370" s="195">
        <v>0</v>
      </c>
    </row>
    <row r="1371" spans="1:14" hidden="1" x14ac:dyDescent="0.35">
      <c r="A1371" s="52" t="s">
        <v>623</v>
      </c>
      <c r="B1371" s="52" t="s">
        <v>73</v>
      </c>
      <c r="C1371" s="52" t="s">
        <v>325</v>
      </c>
      <c r="D1371" s="52" t="s">
        <v>325</v>
      </c>
      <c r="E1371" s="52" t="s">
        <v>584</v>
      </c>
      <c r="F1371" s="52" t="s">
        <v>581</v>
      </c>
      <c r="G1371" s="195" t="s">
        <v>276</v>
      </c>
      <c r="H1371" s="195">
        <v>-3.7735999999999999E-2</v>
      </c>
      <c r="I1371" s="195">
        <v>-2.6173200000000001E-2</v>
      </c>
      <c r="J1371" s="195">
        <v>-3.6089000000000003E-2</v>
      </c>
      <c r="K1371" s="195">
        <v>-3.0476400000000001E-2</v>
      </c>
      <c r="L1371" s="195">
        <v>-1.067015</v>
      </c>
      <c r="M1371" s="195">
        <v>-5.61696E-2</v>
      </c>
      <c r="N1371" s="195">
        <v>-5.6169799999999999E-2</v>
      </c>
    </row>
    <row r="1372" spans="1:14" hidden="1" x14ac:dyDescent="0.35">
      <c r="A1372" s="52" t="s">
        <v>623</v>
      </c>
      <c r="B1372" s="52" t="s">
        <v>73</v>
      </c>
      <c r="C1372" s="52" t="s">
        <v>325</v>
      </c>
      <c r="D1372" s="52" t="s">
        <v>325</v>
      </c>
      <c r="E1372" s="52" t="s">
        <v>584</v>
      </c>
      <c r="F1372" s="52" t="s">
        <v>581</v>
      </c>
      <c r="G1372" s="195" t="s">
        <v>277</v>
      </c>
      <c r="H1372" s="195"/>
      <c r="I1372" s="195"/>
      <c r="J1372" s="195"/>
      <c r="K1372" s="195"/>
      <c r="L1372" s="195"/>
      <c r="M1372" s="195"/>
      <c r="N1372" s="195">
        <v>0</v>
      </c>
    </row>
    <row r="1373" spans="1:14" hidden="1" x14ac:dyDescent="0.35">
      <c r="A1373" s="52" t="s">
        <v>623</v>
      </c>
      <c r="B1373" s="52" t="s">
        <v>73</v>
      </c>
      <c r="C1373" s="52" t="s">
        <v>325</v>
      </c>
      <c r="D1373" s="52" t="s">
        <v>325</v>
      </c>
      <c r="E1373" s="52" t="s">
        <v>584</v>
      </c>
      <c r="F1373" s="52" t="s">
        <v>581</v>
      </c>
      <c r="G1373" s="195" t="s">
        <v>278</v>
      </c>
      <c r="H1373" s="195">
        <v>4.5988189999999998E-2</v>
      </c>
      <c r="I1373" s="195">
        <v>3.0042200000000002E-2</v>
      </c>
      <c r="J1373" s="195">
        <v>3.6089000000000003E-2</v>
      </c>
      <c r="K1373" s="195">
        <v>3.0476400000000001E-2</v>
      </c>
      <c r="L1373" s="195">
        <v>1.067016</v>
      </c>
      <c r="M1373" s="195">
        <v>5.61696E-2</v>
      </c>
      <c r="N1373" s="195">
        <v>5.61696E-2</v>
      </c>
    </row>
    <row r="1374" spans="1:14" hidden="1" x14ac:dyDescent="0.35">
      <c r="A1374" s="52" t="s">
        <v>623</v>
      </c>
      <c r="B1374" s="52" t="s">
        <v>73</v>
      </c>
      <c r="C1374" s="52" t="s">
        <v>344</v>
      </c>
      <c r="D1374" s="52" t="s">
        <v>344</v>
      </c>
      <c r="E1374" s="52" t="s">
        <v>584</v>
      </c>
      <c r="F1374" s="52" t="s">
        <v>581</v>
      </c>
      <c r="G1374" s="195" t="s">
        <v>275</v>
      </c>
      <c r="H1374" s="195">
        <v>-1.34036E-2</v>
      </c>
      <c r="I1374" s="195">
        <v>-6.2843999999999999E-3</v>
      </c>
      <c r="J1374" s="195">
        <v>0</v>
      </c>
      <c r="K1374" s="195">
        <v>0</v>
      </c>
      <c r="L1374" s="195">
        <v>0</v>
      </c>
      <c r="M1374" s="195">
        <v>0</v>
      </c>
      <c r="N1374" s="195">
        <v>0</v>
      </c>
    </row>
    <row r="1375" spans="1:14" hidden="1" x14ac:dyDescent="0.35">
      <c r="A1375" s="52" t="s">
        <v>623</v>
      </c>
      <c r="B1375" s="52" t="s">
        <v>73</v>
      </c>
      <c r="C1375" s="52" t="s">
        <v>344</v>
      </c>
      <c r="D1375" s="52" t="s">
        <v>344</v>
      </c>
      <c r="E1375" s="52" t="s">
        <v>584</v>
      </c>
      <c r="F1375" s="52" t="s">
        <v>581</v>
      </c>
      <c r="G1375" s="195" t="s">
        <v>276</v>
      </c>
      <c r="H1375" s="195">
        <v>-6.1291999999999999E-2</v>
      </c>
      <c r="I1375" s="195">
        <v>-4.2511189999999997E-2</v>
      </c>
      <c r="J1375" s="195">
        <v>-5.8617599999999999E-2</v>
      </c>
      <c r="K1375" s="195">
        <v>-2.2963429999999998</v>
      </c>
      <c r="L1375" s="195">
        <v>-4.4409999999999998E-2</v>
      </c>
      <c r="M1375" s="195">
        <v>-9.1233599999999998E-2</v>
      </c>
      <c r="N1375" s="195">
        <v>-0.1052328</v>
      </c>
    </row>
    <row r="1376" spans="1:14" hidden="1" x14ac:dyDescent="0.35">
      <c r="A1376" s="52" t="s">
        <v>623</v>
      </c>
      <c r="B1376" s="52" t="s">
        <v>73</v>
      </c>
      <c r="C1376" s="52" t="s">
        <v>344</v>
      </c>
      <c r="D1376" s="52" t="s">
        <v>344</v>
      </c>
      <c r="E1376" s="52" t="s">
        <v>584</v>
      </c>
      <c r="F1376" s="52" t="s">
        <v>581</v>
      </c>
      <c r="G1376" s="195" t="s">
        <v>277</v>
      </c>
      <c r="H1376" s="195"/>
      <c r="I1376" s="195"/>
      <c r="J1376" s="195"/>
      <c r="K1376" s="195"/>
      <c r="L1376" s="195"/>
      <c r="M1376" s="195">
        <v>0</v>
      </c>
      <c r="N1376" s="195">
        <v>1.4E-2</v>
      </c>
    </row>
    <row r="1377" spans="1:14" hidden="1" x14ac:dyDescent="0.35">
      <c r="A1377" s="52" t="s">
        <v>623</v>
      </c>
      <c r="B1377" s="52" t="s">
        <v>73</v>
      </c>
      <c r="C1377" s="52" t="s">
        <v>344</v>
      </c>
      <c r="D1377" s="52" t="s">
        <v>344</v>
      </c>
      <c r="E1377" s="52" t="s">
        <v>584</v>
      </c>
      <c r="F1377" s="52" t="s">
        <v>581</v>
      </c>
      <c r="G1377" s="195" t="s">
        <v>278</v>
      </c>
      <c r="H1377" s="195">
        <v>7.4695590000000006E-2</v>
      </c>
      <c r="I1377" s="195">
        <v>4.8795600000000001E-2</v>
      </c>
      <c r="J1377" s="195">
        <v>5.8617200000000001E-2</v>
      </c>
      <c r="K1377" s="195">
        <v>2.2963429999999998</v>
      </c>
      <c r="L1377" s="195">
        <v>4.4409999999999998E-2</v>
      </c>
      <c r="M1377" s="195">
        <v>9.1233190000000006E-2</v>
      </c>
      <c r="N1377" s="195">
        <v>9.1233190000000006E-2</v>
      </c>
    </row>
    <row r="1378" spans="1:14" hidden="1" x14ac:dyDescent="0.35">
      <c r="A1378" s="52" t="s">
        <v>242</v>
      </c>
      <c r="B1378" s="52" t="s">
        <v>37</v>
      </c>
      <c r="C1378" s="52" t="s">
        <v>79</v>
      </c>
      <c r="D1378" s="52" t="s">
        <v>79</v>
      </c>
      <c r="E1378" s="52" t="s">
        <v>614</v>
      </c>
      <c r="F1378" s="52" t="s">
        <v>581</v>
      </c>
      <c r="G1378" s="195" t="s">
        <v>275</v>
      </c>
      <c r="H1378" s="195">
        <v>655.17849999999999</v>
      </c>
      <c r="I1378" s="195">
        <v>-419.82100000000003</v>
      </c>
      <c r="J1378" s="195">
        <v>349.59879999999998</v>
      </c>
      <c r="K1378" s="195">
        <v>313.03410000000002</v>
      </c>
      <c r="L1378" s="195">
        <v>253.32689999999999</v>
      </c>
      <c r="M1378" s="195">
        <v>201.36789999999999</v>
      </c>
      <c r="N1378" s="195">
        <v>104.17230000000001</v>
      </c>
    </row>
    <row r="1379" spans="1:14" hidden="1" x14ac:dyDescent="0.35">
      <c r="A1379" s="52" t="s">
        <v>242</v>
      </c>
      <c r="B1379" s="52" t="s">
        <v>37</v>
      </c>
      <c r="C1379" s="52" t="s">
        <v>79</v>
      </c>
      <c r="D1379" s="52" t="s">
        <v>79</v>
      </c>
      <c r="E1379" s="52" t="s">
        <v>614</v>
      </c>
      <c r="F1379" s="52" t="s">
        <v>581</v>
      </c>
      <c r="G1379" s="195" t="s">
        <v>276</v>
      </c>
      <c r="H1379" s="195">
        <v>244.79159999999999</v>
      </c>
      <c r="I1379" s="195">
        <v>-106.0399</v>
      </c>
      <c r="J1379" s="195">
        <v>-122.4376</v>
      </c>
      <c r="K1379" s="195">
        <v>-126.23869999999999</v>
      </c>
      <c r="L1379" s="195">
        <v>-108.1484</v>
      </c>
      <c r="M1379" s="195">
        <v>-66.392499999999998</v>
      </c>
      <c r="N1379" s="195">
        <v>18.358059999999998</v>
      </c>
    </row>
    <row r="1380" spans="1:14" hidden="1" x14ac:dyDescent="0.35">
      <c r="A1380" s="52" t="s">
        <v>242</v>
      </c>
      <c r="B1380" s="52" t="s">
        <v>37</v>
      </c>
      <c r="C1380" s="52" t="s">
        <v>79</v>
      </c>
      <c r="D1380" s="52" t="s">
        <v>79</v>
      </c>
      <c r="E1380" s="52" t="s">
        <v>614</v>
      </c>
      <c r="F1380" s="52" t="s">
        <v>581</v>
      </c>
      <c r="G1380" s="195" t="s">
        <v>277</v>
      </c>
      <c r="H1380" s="195">
        <v>1268.598</v>
      </c>
      <c r="I1380" s="195">
        <v>1030.9000000000001</v>
      </c>
      <c r="J1380" s="195">
        <v>66.559190000000001</v>
      </c>
      <c r="K1380" s="195">
        <v>35.191600000000001</v>
      </c>
      <c r="L1380" s="195">
        <v>34.20776</v>
      </c>
      <c r="M1380" s="195">
        <v>36.835799999999999</v>
      </c>
      <c r="N1380" s="195">
        <v>36.372280000000003</v>
      </c>
    </row>
    <row r="1381" spans="1:14" hidden="1" x14ac:dyDescent="0.35">
      <c r="A1381" s="52" t="s">
        <v>242</v>
      </c>
      <c r="B1381" s="52" t="s">
        <v>37</v>
      </c>
      <c r="C1381" s="52" t="s">
        <v>79</v>
      </c>
      <c r="D1381" s="52" t="s">
        <v>79</v>
      </c>
      <c r="E1381" s="52" t="s">
        <v>614</v>
      </c>
      <c r="F1381" s="52" t="s">
        <v>581</v>
      </c>
      <c r="G1381" s="195" t="s">
        <v>278</v>
      </c>
      <c r="H1381" s="195">
        <v>34.250369999999997</v>
      </c>
      <c r="I1381" s="195">
        <v>24.100439999999999</v>
      </c>
      <c r="J1381" s="195">
        <v>52.733669999999996</v>
      </c>
      <c r="K1381" s="195">
        <v>44.070740000000001</v>
      </c>
      <c r="L1381" s="195">
        <v>19.837209999999999</v>
      </c>
      <c r="M1381" s="195">
        <v>4.0913009999999996</v>
      </c>
      <c r="N1381" s="195">
        <v>0.628139</v>
      </c>
    </row>
    <row r="1382" spans="1:14" hidden="1" x14ac:dyDescent="0.35">
      <c r="A1382" s="52" t="s">
        <v>242</v>
      </c>
      <c r="B1382" s="52" t="s">
        <v>37</v>
      </c>
      <c r="C1382" s="52" t="s">
        <v>79</v>
      </c>
      <c r="D1382" s="52" t="s">
        <v>79</v>
      </c>
      <c r="E1382" s="52" t="s">
        <v>614</v>
      </c>
      <c r="F1382" s="52" t="s">
        <v>581</v>
      </c>
      <c r="G1382" s="195" t="s">
        <v>279</v>
      </c>
      <c r="H1382" s="195">
        <v>804.96889999999996</v>
      </c>
      <c r="I1382" s="195">
        <v>543.07069999999999</v>
      </c>
      <c r="J1382" s="195">
        <v>419.96960000000001</v>
      </c>
      <c r="K1382" s="195">
        <v>345.25450000000001</v>
      </c>
      <c r="L1382" s="195">
        <v>319.46730000000002</v>
      </c>
      <c r="M1382" s="195">
        <v>266.25740000000002</v>
      </c>
      <c r="N1382" s="195">
        <v>235.17099999999999</v>
      </c>
    </row>
    <row r="1383" spans="1:14" hidden="1" x14ac:dyDescent="0.35">
      <c r="A1383" s="52" t="s">
        <v>242</v>
      </c>
      <c r="B1383" s="52" t="s">
        <v>37</v>
      </c>
      <c r="C1383" s="52" t="s">
        <v>79</v>
      </c>
      <c r="D1383" s="52" t="s">
        <v>79</v>
      </c>
      <c r="E1383" s="52" t="s">
        <v>614</v>
      </c>
      <c r="F1383" s="52" t="s">
        <v>26</v>
      </c>
      <c r="G1383" s="195" t="s">
        <v>275</v>
      </c>
      <c r="H1383" s="195">
        <v>6.7475440000000004</v>
      </c>
      <c r="I1383" s="195">
        <v>-0.80227749999999998</v>
      </c>
      <c r="J1383" s="195">
        <v>1.8856299999999999</v>
      </c>
      <c r="K1383" s="195">
        <v>-0.1180037</v>
      </c>
      <c r="L1383" s="195">
        <v>-3.9021750000000002</v>
      </c>
      <c r="M1383" s="195">
        <v>-2.8775819999999999</v>
      </c>
      <c r="N1383" s="195">
        <v>-2.4210569999999998</v>
      </c>
    </row>
    <row r="1384" spans="1:14" hidden="1" x14ac:dyDescent="0.35">
      <c r="A1384" s="52" t="s">
        <v>242</v>
      </c>
      <c r="B1384" s="52" t="s">
        <v>37</v>
      </c>
      <c r="C1384" s="52" t="s">
        <v>79</v>
      </c>
      <c r="D1384" s="52" t="s">
        <v>79</v>
      </c>
      <c r="E1384" s="52" t="s">
        <v>614</v>
      </c>
      <c r="F1384" s="52" t="s">
        <v>26</v>
      </c>
      <c r="G1384" s="195" t="s">
        <v>276</v>
      </c>
      <c r="H1384" s="195">
        <v>1.956116</v>
      </c>
      <c r="I1384" s="195">
        <v>-0.23257240000000001</v>
      </c>
      <c r="J1384" s="195">
        <v>0.54660719999999996</v>
      </c>
      <c r="K1384" s="195">
        <v>-3.4209219999999999E-2</v>
      </c>
      <c r="L1384" s="195">
        <v>-1.1311979999999999</v>
      </c>
      <c r="M1384" s="195">
        <v>-0.83421319999999999</v>
      </c>
      <c r="N1384" s="195">
        <v>-0.7018527</v>
      </c>
    </row>
    <row r="1385" spans="1:14" hidden="1" x14ac:dyDescent="0.35">
      <c r="A1385" s="52" t="s">
        <v>242</v>
      </c>
      <c r="B1385" s="52" t="s">
        <v>37</v>
      </c>
      <c r="C1385" s="52" t="s">
        <v>79</v>
      </c>
      <c r="D1385" s="52" t="s">
        <v>79</v>
      </c>
      <c r="E1385" s="52" t="s">
        <v>614</v>
      </c>
      <c r="F1385" s="52" t="s">
        <v>26</v>
      </c>
      <c r="G1385" s="195" t="s">
        <v>279</v>
      </c>
      <c r="H1385" s="195">
        <v>87.673379999999995</v>
      </c>
      <c r="I1385" s="195">
        <v>91.877610000000004</v>
      </c>
      <c r="J1385" s="195">
        <v>72.726830000000007</v>
      </c>
      <c r="K1385" s="195">
        <v>59.87659</v>
      </c>
      <c r="L1385" s="195">
        <v>55.519080000000002</v>
      </c>
      <c r="M1385" s="195">
        <v>46.168010000000002</v>
      </c>
      <c r="N1385" s="195">
        <v>40.722940000000001</v>
      </c>
    </row>
    <row r="1386" spans="1:14" hidden="1" x14ac:dyDescent="0.35">
      <c r="A1386" s="52" t="s">
        <v>242</v>
      </c>
      <c r="B1386" s="52" t="s">
        <v>37</v>
      </c>
      <c r="C1386" s="52" t="s">
        <v>79</v>
      </c>
      <c r="D1386" s="52" t="s">
        <v>79</v>
      </c>
      <c r="E1386" s="52" t="s">
        <v>615</v>
      </c>
      <c r="F1386" s="52" t="s">
        <v>581</v>
      </c>
      <c r="G1386" s="195" t="s">
        <v>275</v>
      </c>
      <c r="H1386" s="195">
        <v>5.129702</v>
      </c>
      <c r="I1386" s="195">
        <v>-264.54570000000001</v>
      </c>
      <c r="J1386" s="195">
        <v>204.09</v>
      </c>
      <c r="K1386" s="195">
        <v>222.89230000000001</v>
      </c>
      <c r="L1386" s="195">
        <v>184.55609999999999</v>
      </c>
      <c r="M1386" s="195">
        <v>135.2852</v>
      </c>
      <c r="N1386" s="195">
        <v>70.580460000000002</v>
      </c>
    </row>
    <row r="1387" spans="1:14" hidden="1" x14ac:dyDescent="0.35">
      <c r="A1387" s="52" t="s">
        <v>242</v>
      </c>
      <c r="B1387" s="52" t="s">
        <v>37</v>
      </c>
      <c r="C1387" s="52" t="s">
        <v>79</v>
      </c>
      <c r="D1387" s="52" t="s">
        <v>79</v>
      </c>
      <c r="E1387" s="52" t="s">
        <v>615</v>
      </c>
      <c r="F1387" s="52" t="s">
        <v>581</v>
      </c>
      <c r="G1387" s="195" t="s">
        <v>276</v>
      </c>
      <c r="H1387" s="195">
        <v>29.622440000000001</v>
      </c>
      <c r="I1387" s="195">
        <v>-97.801609999999997</v>
      </c>
      <c r="J1387" s="195">
        <v>-95.934479999999994</v>
      </c>
      <c r="K1387" s="195">
        <v>-102.4255</v>
      </c>
      <c r="L1387" s="195">
        <v>-91.180170000000004</v>
      </c>
      <c r="M1387" s="195">
        <v>-43.29598</v>
      </c>
      <c r="N1387" s="195">
        <v>6.8616619999999999</v>
      </c>
    </row>
    <row r="1388" spans="1:14" hidden="1" x14ac:dyDescent="0.35">
      <c r="A1388" s="52" t="s">
        <v>242</v>
      </c>
      <c r="B1388" s="52" t="s">
        <v>37</v>
      </c>
      <c r="C1388" s="52" t="s">
        <v>79</v>
      </c>
      <c r="D1388" s="52" t="s">
        <v>79</v>
      </c>
      <c r="E1388" s="52" t="s">
        <v>615</v>
      </c>
      <c r="F1388" s="52" t="s">
        <v>581</v>
      </c>
      <c r="G1388" s="195" t="s">
        <v>277</v>
      </c>
      <c r="H1388" s="195">
        <v>1033.0170000000001</v>
      </c>
      <c r="I1388" s="195">
        <v>642.79430000000002</v>
      </c>
      <c r="J1388" s="195">
        <v>89.4649</v>
      </c>
      <c r="K1388" s="195">
        <v>39.156419999999997</v>
      </c>
      <c r="L1388" s="195">
        <v>20.790179999999999</v>
      </c>
      <c r="M1388" s="195">
        <v>0</v>
      </c>
      <c r="N1388" s="195">
        <v>0</v>
      </c>
    </row>
    <row r="1389" spans="1:14" hidden="1" x14ac:dyDescent="0.35">
      <c r="A1389" s="52" t="s">
        <v>242</v>
      </c>
      <c r="B1389" s="52" t="s">
        <v>37</v>
      </c>
      <c r="C1389" s="52" t="s">
        <v>79</v>
      </c>
      <c r="D1389" s="52" t="s">
        <v>79</v>
      </c>
      <c r="E1389" s="52" t="s">
        <v>615</v>
      </c>
      <c r="F1389" s="52" t="s">
        <v>581</v>
      </c>
      <c r="G1389" s="195" t="s">
        <v>278</v>
      </c>
      <c r="H1389" s="195">
        <v>17.574259999999999</v>
      </c>
      <c r="I1389" s="195">
        <v>7.2057919999999998</v>
      </c>
      <c r="J1389" s="195">
        <v>8.7767769999999992</v>
      </c>
      <c r="K1389" s="195">
        <v>0</v>
      </c>
      <c r="L1389" s="195"/>
      <c r="M1389" s="195"/>
      <c r="N1389" s="195"/>
    </row>
    <row r="1390" spans="1:14" hidden="1" x14ac:dyDescent="0.35">
      <c r="A1390" s="52" t="s">
        <v>242</v>
      </c>
      <c r="B1390" s="52" t="s">
        <v>37</v>
      </c>
      <c r="C1390" s="52" t="s">
        <v>79</v>
      </c>
      <c r="D1390" s="52" t="s">
        <v>79</v>
      </c>
      <c r="E1390" s="52" t="s">
        <v>615</v>
      </c>
      <c r="F1390" s="52" t="s">
        <v>581</v>
      </c>
      <c r="G1390" s="195" t="s">
        <v>279</v>
      </c>
      <c r="H1390" s="195">
        <v>398.6035</v>
      </c>
      <c r="I1390" s="195">
        <v>296.76530000000002</v>
      </c>
      <c r="J1390" s="195">
        <v>253.7945</v>
      </c>
      <c r="K1390" s="195">
        <v>210.25970000000001</v>
      </c>
      <c r="L1390" s="195">
        <v>186.64019999999999</v>
      </c>
      <c r="M1390" s="195">
        <v>148.2047</v>
      </c>
      <c r="N1390" s="195">
        <v>125.21040000000001</v>
      </c>
    </row>
    <row r="1391" spans="1:14" hidden="1" x14ac:dyDescent="0.35">
      <c r="A1391" s="52" t="s">
        <v>242</v>
      </c>
      <c r="B1391" s="52" t="s">
        <v>37</v>
      </c>
      <c r="C1391" s="52" t="s">
        <v>79</v>
      </c>
      <c r="D1391" s="52" t="s">
        <v>79</v>
      </c>
      <c r="E1391" s="52" t="s">
        <v>615</v>
      </c>
      <c r="F1391" s="52" t="s">
        <v>26</v>
      </c>
      <c r="G1391" s="195" t="s">
        <v>275</v>
      </c>
      <c r="H1391" s="195">
        <v>1.4258550000000001</v>
      </c>
      <c r="I1391" s="195">
        <v>-0.18367739999999999</v>
      </c>
      <c r="J1391" s="195">
        <v>0.47316419999999998</v>
      </c>
      <c r="K1391" s="195">
        <v>-4.1415010000000002E-2</v>
      </c>
      <c r="L1391" s="195">
        <v>-0.98585860000000003</v>
      </c>
      <c r="M1391" s="195">
        <v>-0.73533040000000005</v>
      </c>
      <c r="N1391" s="195">
        <v>-0.6169</v>
      </c>
    </row>
    <row r="1392" spans="1:14" hidden="1" x14ac:dyDescent="0.35">
      <c r="A1392" s="52" t="s">
        <v>242</v>
      </c>
      <c r="B1392" s="52" t="s">
        <v>37</v>
      </c>
      <c r="C1392" s="52" t="s">
        <v>79</v>
      </c>
      <c r="D1392" s="52" t="s">
        <v>79</v>
      </c>
      <c r="E1392" s="52" t="s">
        <v>615</v>
      </c>
      <c r="F1392" s="52" t="s">
        <v>26</v>
      </c>
      <c r="G1392" s="195" t="s">
        <v>276</v>
      </c>
      <c r="H1392" s="195">
        <v>0.41334900000000002</v>
      </c>
      <c r="I1392" s="195">
        <v>-5.3241799999999999E-2</v>
      </c>
      <c r="J1392" s="195">
        <v>0.1371666</v>
      </c>
      <c r="K1392" s="195">
        <v>-1.20132E-2</v>
      </c>
      <c r="L1392" s="195">
        <v>-0.28580620000000001</v>
      </c>
      <c r="M1392" s="195">
        <v>-0.213175</v>
      </c>
      <c r="N1392" s="195">
        <v>-0.17883499999999999</v>
      </c>
    </row>
    <row r="1393" spans="1:14" hidden="1" x14ac:dyDescent="0.35">
      <c r="A1393" s="52" t="s">
        <v>242</v>
      </c>
      <c r="B1393" s="52" t="s">
        <v>37</v>
      </c>
      <c r="C1393" s="52" t="s">
        <v>79</v>
      </c>
      <c r="D1393" s="52" t="s">
        <v>79</v>
      </c>
      <c r="E1393" s="52" t="s">
        <v>615</v>
      </c>
      <c r="F1393" s="52" t="s">
        <v>26</v>
      </c>
      <c r="G1393" s="195" t="s">
        <v>279</v>
      </c>
      <c r="H1393" s="195">
        <v>18.526589999999999</v>
      </c>
      <c r="I1393" s="195">
        <v>21.42052</v>
      </c>
      <c r="J1393" s="195">
        <v>18.789200000000001</v>
      </c>
      <c r="K1393" s="195">
        <v>15.588179999999999</v>
      </c>
      <c r="L1393" s="195">
        <v>13.86425</v>
      </c>
      <c r="M1393" s="195">
        <v>11.009679999999999</v>
      </c>
      <c r="N1393" s="195">
        <v>9.3044899999999995</v>
      </c>
    </row>
    <row r="1394" spans="1:14" hidden="1" x14ac:dyDescent="0.35">
      <c r="A1394" s="52" t="s">
        <v>242</v>
      </c>
      <c r="B1394" s="52" t="s">
        <v>37</v>
      </c>
      <c r="C1394" s="52" t="s">
        <v>79</v>
      </c>
      <c r="D1394" s="52" t="s">
        <v>79</v>
      </c>
      <c r="E1394" s="52" t="s">
        <v>601</v>
      </c>
      <c r="F1394" s="52" t="s">
        <v>581</v>
      </c>
      <c r="G1394" s="195" t="s">
        <v>275</v>
      </c>
      <c r="H1394" s="195">
        <v>108.78270000000001</v>
      </c>
      <c r="I1394" s="195">
        <v>42.736739999999998</v>
      </c>
      <c r="J1394" s="195">
        <v>39.022840000000002</v>
      </c>
      <c r="K1394" s="195">
        <v>34.253059999999998</v>
      </c>
      <c r="L1394" s="195">
        <v>21.277940000000001</v>
      </c>
      <c r="M1394" s="195">
        <v>8.3998570000000008</v>
      </c>
      <c r="N1394" s="195">
        <v>7.1561839999999997</v>
      </c>
    </row>
    <row r="1395" spans="1:14" hidden="1" x14ac:dyDescent="0.35">
      <c r="A1395" s="52" t="s">
        <v>242</v>
      </c>
      <c r="B1395" s="52" t="s">
        <v>37</v>
      </c>
      <c r="C1395" s="52" t="s">
        <v>79</v>
      </c>
      <c r="D1395" s="52" t="s">
        <v>79</v>
      </c>
      <c r="E1395" s="52" t="s">
        <v>601</v>
      </c>
      <c r="F1395" s="52" t="s">
        <v>581</v>
      </c>
      <c r="G1395" s="195" t="s">
        <v>276</v>
      </c>
      <c r="H1395" s="195">
        <v>41.568040000000003</v>
      </c>
      <c r="I1395" s="195">
        <v>-12.416040000000001</v>
      </c>
      <c r="J1395" s="195">
        <v>-21.85303</v>
      </c>
      <c r="K1395" s="195">
        <v>-19.32451</v>
      </c>
      <c r="L1395" s="195">
        <v>-9.9572249999999993</v>
      </c>
      <c r="M1395" s="195">
        <v>1.777817</v>
      </c>
      <c r="N1395" s="195">
        <v>1.6781919999999999</v>
      </c>
    </row>
    <row r="1396" spans="1:14" hidden="1" x14ac:dyDescent="0.35">
      <c r="A1396" s="52" t="s">
        <v>242</v>
      </c>
      <c r="B1396" s="52" t="s">
        <v>37</v>
      </c>
      <c r="C1396" s="52" t="s">
        <v>79</v>
      </c>
      <c r="D1396" s="52" t="s">
        <v>79</v>
      </c>
      <c r="E1396" s="52" t="s">
        <v>601</v>
      </c>
      <c r="F1396" s="52" t="s">
        <v>581</v>
      </c>
      <c r="G1396" s="195" t="s">
        <v>277</v>
      </c>
      <c r="H1396" s="195">
        <v>133.40119999999999</v>
      </c>
      <c r="I1396" s="195">
        <v>4.9416219999999997</v>
      </c>
      <c r="J1396" s="195">
        <v>1.0867009999999999</v>
      </c>
      <c r="K1396" s="195">
        <v>0.66943220000000003</v>
      </c>
      <c r="L1396" s="195">
        <v>0.76190860000000005</v>
      </c>
      <c r="M1396" s="195">
        <v>0.71490019999999999</v>
      </c>
      <c r="N1396" s="195">
        <v>1.5144470000000001</v>
      </c>
    </row>
    <row r="1397" spans="1:14" hidden="1" x14ac:dyDescent="0.35">
      <c r="A1397" s="52" t="s">
        <v>242</v>
      </c>
      <c r="B1397" s="52" t="s">
        <v>37</v>
      </c>
      <c r="C1397" s="52" t="s">
        <v>79</v>
      </c>
      <c r="D1397" s="52" t="s">
        <v>79</v>
      </c>
      <c r="E1397" s="52" t="s">
        <v>601</v>
      </c>
      <c r="F1397" s="52" t="s">
        <v>581</v>
      </c>
      <c r="G1397" s="195" t="s">
        <v>278</v>
      </c>
      <c r="H1397" s="195">
        <v>11.131209999999999</v>
      </c>
      <c r="I1397" s="195">
        <v>0.924369</v>
      </c>
      <c r="J1397" s="195">
        <v>4.8459000000000003</v>
      </c>
      <c r="K1397" s="195">
        <v>4.4970929999999996</v>
      </c>
      <c r="L1397" s="195">
        <v>2.5519500000000002</v>
      </c>
      <c r="M1397" s="195">
        <v>2.3974299999999999</v>
      </c>
      <c r="N1397" s="195">
        <v>2.283315</v>
      </c>
    </row>
    <row r="1398" spans="1:14" hidden="1" x14ac:dyDescent="0.35">
      <c r="A1398" s="52" t="s">
        <v>242</v>
      </c>
      <c r="B1398" s="52" t="s">
        <v>37</v>
      </c>
      <c r="C1398" s="52" t="s">
        <v>79</v>
      </c>
      <c r="D1398" s="52" t="s">
        <v>79</v>
      </c>
      <c r="E1398" s="52" t="s">
        <v>601</v>
      </c>
      <c r="F1398" s="52" t="s">
        <v>581</v>
      </c>
      <c r="G1398" s="195" t="s">
        <v>279</v>
      </c>
      <c r="H1398" s="195">
        <v>80.965270000000004</v>
      </c>
      <c r="I1398" s="195">
        <v>37.443489999999997</v>
      </c>
      <c r="J1398" s="195">
        <v>28.688210000000002</v>
      </c>
      <c r="K1398" s="195">
        <v>27.280850000000001</v>
      </c>
      <c r="L1398" s="195">
        <v>24.492629999999998</v>
      </c>
      <c r="M1398" s="195">
        <v>20.330660000000002</v>
      </c>
      <c r="N1398" s="195">
        <v>18.640969999999999</v>
      </c>
    </row>
    <row r="1399" spans="1:14" hidden="1" x14ac:dyDescent="0.35">
      <c r="A1399" s="52" t="s">
        <v>242</v>
      </c>
      <c r="B1399" s="52" t="s">
        <v>37</v>
      </c>
      <c r="C1399" s="52" t="s">
        <v>79</v>
      </c>
      <c r="D1399" s="52" t="s">
        <v>79</v>
      </c>
      <c r="E1399" s="52" t="s">
        <v>601</v>
      </c>
      <c r="F1399" s="52" t="s">
        <v>26</v>
      </c>
      <c r="G1399" s="195" t="s">
        <v>275</v>
      </c>
      <c r="H1399" s="195">
        <v>6.185727</v>
      </c>
      <c r="I1399" s="195">
        <v>4.4816909999999996</v>
      </c>
      <c r="J1399" s="195">
        <v>4.531561</v>
      </c>
      <c r="K1399" s="195">
        <v>3.548489</v>
      </c>
      <c r="L1399" s="195">
        <v>1.38625</v>
      </c>
      <c r="M1399" s="195">
        <v>1.3026990000000001</v>
      </c>
      <c r="N1399" s="195">
        <v>1.317564</v>
      </c>
    </row>
    <row r="1400" spans="1:14" hidden="1" x14ac:dyDescent="0.35">
      <c r="A1400" s="52" t="s">
        <v>242</v>
      </c>
      <c r="B1400" s="52" t="s">
        <v>37</v>
      </c>
      <c r="C1400" s="52" t="s">
        <v>79</v>
      </c>
      <c r="D1400" s="52" t="s">
        <v>79</v>
      </c>
      <c r="E1400" s="52" t="s">
        <v>601</v>
      </c>
      <c r="F1400" s="52" t="s">
        <v>26</v>
      </c>
      <c r="G1400" s="195" t="s">
        <v>276</v>
      </c>
      <c r="H1400" s="195">
        <v>1.644306</v>
      </c>
      <c r="I1400" s="195">
        <v>1.1913370000000001</v>
      </c>
      <c r="J1400" s="195">
        <v>1.204593</v>
      </c>
      <c r="K1400" s="195">
        <v>0.94326960000000004</v>
      </c>
      <c r="L1400" s="195">
        <v>0.36849599999999999</v>
      </c>
      <c r="M1400" s="195">
        <v>0.34628700000000001</v>
      </c>
      <c r="N1400" s="195">
        <v>0.35023880000000002</v>
      </c>
    </row>
    <row r="1401" spans="1:14" hidden="1" x14ac:dyDescent="0.35">
      <c r="A1401" s="52" t="s">
        <v>242</v>
      </c>
      <c r="B1401" s="52" t="s">
        <v>37</v>
      </c>
      <c r="C1401" s="52" t="s">
        <v>79</v>
      </c>
      <c r="D1401" s="52" t="s">
        <v>79</v>
      </c>
      <c r="E1401" s="52" t="s">
        <v>601</v>
      </c>
      <c r="F1401" s="52" t="s">
        <v>26</v>
      </c>
      <c r="G1401" s="195" t="s">
        <v>279</v>
      </c>
      <c r="H1401" s="195">
        <v>25.018609999999999</v>
      </c>
      <c r="I1401" s="195">
        <v>31.265070000000001</v>
      </c>
      <c r="J1401" s="195">
        <v>24.972560000000001</v>
      </c>
      <c r="K1401" s="195">
        <v>24.68974</v>
      </c>
      <c r="L1401" s="195">
        <v>21.462890000000002</v>
      </c>
      <c r="M1401" s="195">
        <v>17.4879</v>
      </c>
      <c r="N1401" s="195">
        <v>16.06362</v>
      </c>
    </row>
    <row r="1402" spans="1:14" hidden="1" x14ac:dyDescent="0.35">
      <c r="A1402" s="52" t="s">
        <v>242</v>
      </c>
      <c r="B1402" s="52" t="s">
        <v>37</v>
      </c>
      <c r="C1402" s="52" t="s">
        <v>79</v>
      </c>
      <c r="D1402" s="52" t="s">
        <v>79</v>
      </c>
      <c r="E1402" s="52" t="s">
        <v>584</v>
      </c>
      <c r="F1402" s="52" t="s">
        <v>581</v>
      </c>
      <c r="G1402" s="195" t="s">
        <v>275</v>
      </c>
      <c r="H1402" s="195">
        <v>-0.61812909999999999</v>
      </c>
      <c r="I1402" s="195">
        <v>-5.8319520000000002</v>
      </c>
      <c r="J1402" s="195">
        <v>-3.873723</v>
      </c>
      <c r="K1402" s="195">
        <v>-2.4958979999999999</v>
      </c>
      <c r="L1402" s="195">
        <v>-1.324932</v>
      </c>
      <c r="M1402" s="195">
        <v>-0.17058139999999999</v>
      </c>
      <c r="N1402" s="195">
        <v>2.563441E-2</v>
      </c>
    </row>
    <row r="1403" spans="1:14" hidden="1" x14ac:dyDescent="0.35">
      <c r="A1403" s="52" t="s">
        <v>242</v>
      </c>
      <c r="B1403" s="52" t="s">
        <v>37</v>
      </c>
      <c r="C1403" s="52" t="s">
        <v>79</v>
      </c>
      <c r="D1403" s="52" t="s">
        <v>79</v>
      </c>
      <c r="E1403" s="52" t="s">
        <v>584</v>
      </c>
      <c r="F1403" s="52" t="s">
        <v>581</v>
      </c>
      <c r="G1403" s="195" t="s">
        <v>276</v>
      </c>
      <c r="H1403" s="195">
        <v>-0.17863599999999999</v>
      </c>
      <c r="I1403" s="195">
        <v>-0.3017146</v>
      </c>
      <c r="J1403" s="195">
        <v>-0.40807739999999998</v>
      </c>
      <c r="K1403" s="195">
        <v>-0.32591619999999999</v>
      </c>
      <c r="L1403" s="195">
        <v>-0.55167600000000006</v>
      </c>
      <c r="M1403" s="195">
        <v>-0.93056019999999995</v>
      </c>
      <c r="N1403" s="195">
        <v>-0.60124259999999996</v>
      </c>
    </row>
    <row r="1404" spans="1:14" hidden="1" x14ac:dyDescent="0.35">
      <c r="A1404" s="52" t="s">
        <v>242</v>
      </c>
      <c r="B1404" s="52" t="s">
        <v>37</v>
      </c>
      <c r="C1404" s="52" t="s">
        <v>79</v>
      </c>
      <c r="D1404" s="52" t="s">
        <v>79</v>
      </c>
      <c r="E1404" s="52" t="s">
        <v>584</v>
      </c>
      <c r="F1404" s="52" t="s">
        <v>581</v>
      </c>
      <c r="G1404" s="195" t="s">
        <v>277</v>
      </c>
      <c r="H1404" s="195">
        <v>12.606920000000001</v>
      </c>
      <c r="I1404" s="195">
        <v>8.8366509999999998</v>
      </c>
      <c r="J1404" s="195">
        <v>6.3010970000000004</v>
      </c>
      <c r="K1404" s="195">
        <v>4.5841050000000001</v>
      </c>
      <c r="L1404" s="195">
        <v>3.4090150000000001</v>
      </c>
      <c r="M1404" s="195">
        <v>2.583545</v>
      </c>
      <c r="N1404" s="195">
        <v>2.015765</v>
      </c>
    </row>
    <row r="1405" spans="1:14" hidden="1" x14ac:dyDescent="0.35">
      <c r="A1405" s="52" t="s">
        <v>242</v>
      </c>
      <c r="B1405" s="52" t="s">
        <v>37</v>
      </c>
      <c r="C1405" s="52" t="s">
        <v>79</v>
      </c>
      <c r="D1405" s="52" t="s">
        <v>79</v>
      </c>
      <c r="E1405" s="52" t="s">
        <v>584</v>
      </c>
      <c r="F1405" s="52" t="s">
        <v>581</v>
      </c>
      <c r="G1405" s="195" t="s">
        <v>279</v>
      </c>
      <c r="H1405" s="195">
        <v>5.1011030000000002</v>
      </c>
      <c r="I1405" s="195">
        <v>3.6337100000000002</v>
      </c>
      <c r="J1405" s="195">
        <v>3.4599310000000001</v>
      </c>
      <c r="K1405" s="195">
        <v>3.7012499999999999</v>
      </c>
      <c r="L1405" s="195">
        <v>3.850463</v>
      </c>
      <c r="M1405" s="195">
        <v>3.7018849999999999</v>
      </c>
      <c r="N1405" s="195">
        <v>3.5740859999999999</v>
      </c>
    </row>
    <row r="1406" spans="1:14" hidden="1" x14ac:dyDescent="0.35">
      <c r="A1406" s="52" t="s">
        <v>242</v>
      </c>
      <c r="B1406" s="52" t="s">
        <v>37</v>
      </c>
      <c r="C1406" s="52" t="s">
        <v>79</v>
      </c>
      <c r="D1406" s="52" t="s">
        <v>79</v>
      </c>
      <c r="E1406" s="52" t="s">
        <v>584</v>
      </c>
      <c r="F1406" s="52" t="s">
        <v>26</v>
      </c>
      <c r="G1406" s="195" t="s">
        <v>275</v>
      </c>
      <c r="H1406" s="195">
        <v>7.3597929999999998</v>
      </c>
      <c r="I1406" s="195">
        <v>4.0058920000000002</v>
      </c>
      <c r="J1406" s="195">
        <v>3.8294510000000002</v>
      </c>
      <c r="K1406" s="195">
        <v>0.57192560000000003</v>
      </c>
      <c r="L1406" s="195">
        <v>0.6389338</v>
      </c>
      <c r="M1406" s="195">
        <v>-0.1645278</v>
      </c>
      <c r="N1406" s="195">
        <v>-0.1082108</v>
      </c>
    </row>
    <row r="1407" spans="1:14" hidden="1" x14ac:dyDescent="0.35">
      <c r="A1407" s="52" t="s">
        <v>242</v>
      </c>
      <c r="B1407" s="52" t="s">
        <v>37</v>
      </c>
      <c r="C1407" s="52" t="s">
        <v>79</v>
      </c>
      <c r="D1407" s="52" t="s">
        <v>79</v>
      </c>
      <c r="E1407" s="52" t="s">
        <v>584</v>
      </c>
      <c r="F1407" s="52" t="s">
        <v>26</v>
      </c>
      <c r="G1407" s="195" t="s">
        <v>276</v>
      </c>
      <c r="H1407" s="195">
        <v>1.9563999999999999</v>
      </c>
      <c r="I1407" s="195">
        <v>-1.78721</v>
      </c>
      <c r="J1407" s="195">
        <v>-1.6701710000000001</v>
      </c>
      <c r="K1407" s="195">
        <v>-0.12249980000000001</v>
      </c>
      <c r="L1407" s="195">
        <v>-0.92827950000000004</v>
      </c>
      <c r="M1407" s="195">
        <v>-4.3735000000000003E-2</v>
      </c>
      <c r="N1407" s="195">
        <v>-2.8764399999999999E-2</v>
      </c>
    </row>
    <row r="1408" spans="1:14" hidden="1" x14ac:dyDescent="0.35">
      <c r="A1408" s="52" t="s">
        <v>242</v>
      </c>
      <c r="B1408" s="52" t="s">
        <v>37</v>
      </c>
      <c r="C1408" s="52" t="s">
        <v>79</v>
      </c>
      <c r="D1408" s="52" t="s">
        <v>79</v>
      </c>
      <c r="E1408" s="52" t="s">
        <v>584</v>
      </c>
      <c r="F1408" s="52" t="s">
        <v>26</v>
      </c>
      <c r="G1408" s="195" t="s">
        <v>277</v>
      </c>
      <c r="H1408" s="195"/>
      <c r="I1408" s="195">
        <v>0</v>
      </c>
      <c r="J1408" s="195"/>
      <c r="K1408" s="195"/>
      <c r="L1408" s="195"/>
      <c r="M1408" s="195"/>
      <c r="N1408" s="195"/>
    </row>
    <row r="1409" spans="1:14" hidden="1" x14ac:dyDescent="0.35">
      <c r="A1409" s="52" t="s">
        <v>242</v>
      </c>
      <c r="B1409" s="52" t="s">
        <v>37</v>
      </c>
      <c r="C1409" s="52" t="s">
        <v>79</v>
      </c>
      <c r="D1409" s="52" t="s">
        <v>79</v>
      </c>
      <c r="E1409" s="52" t="s">
        <v>584</v>
      </c>
      <c r="F1409" s="52" t="s">
        <v>26</v>
      </c>
      <c r="G1409" s="195" t="s">
        <v>279</v>
      </c>
      <c r="H1409" s="195">
        <v>50.407670000000003</v>
      </c>
      <c r="I1409" s="195">
        <v>29.381889999999999</v>
      </c>
      <c r="J1409" s="195">
        <v>19.686309999999999</v>
      </c>
      <c r="K1409" s="195">
        <v>14.55636</v>
      </c>
      <c r="L1409" s="195">
        <v>10.590859999999999</v>
      </c>
      <c r="M1409" s="195">
        <v>7.2763450000000001</v>
      </c>
      <c r="N1409" s="195">
        <v>5.0007479999999997</v>
      </c>
    </row>
    <row r="1410" spans="1:14" hidden="1" x14ac:dyDescent="0.35">
      <c r="A1410" s="52" t="s">
        <v>242</v>
      </c>
      <c r="B1410" s="52" t="s">
        <v>37</v>
      </c>
      <c r="C1410" s="52" t="s">
        <v>79</v>
      </c>
      <c r="D1410" s="52" t="s">
        <v>79</v>
      </c>
      <c r="E1410" s="52" t="s">
        <v>616</v>
      </c>
      <c r="F1410" s="52" t="s">
        <v>581</v>
      </c>
      <c r="G1410" s="195" t="s">
        <v>275</v>
      </c>
      <c r="H1410" s="195">
        <v>0.93393599999999999</v>
      </c>
      <c r="I1410" s="195">
        <v>0.89153910000000003</v>
      </c>
      <c r="J1410" s="195">
        <v>0.3926924</v>
      </c>
      <c r="K1410" s="195">
        <v>0.1026632</v>
      </c>
      <c r="L1410" s="195">
        <v>7.9716599999999999E-2</v>
      </c>
      <c r="M1410" s="195">
        <v>7.3531200000000005E-2</v>
      </c>
      <c r="N1410" s="195">
        <v>6.6203590000000007E-2</v>
      </c>
    </row>
    <row r="1411" spans="1:14" hidden="1" x14ac:dyDescent="0.35">
      <c r="A1411" s="52" t="s">
        <v>242</v>
      </c>
      <c r="B1411" s="52" t="s">
        <v>37</v>
      </c>
      <c r="C1411" s="52" t="s">
        <v>79</v>
      </c>
      <c r="D1411" s="52" t="s">
        <v>79</v>
      </c>
      <c r="E1411" s="52" t="s">
        <v>616</v>
      </c>
      <c r="F1411" s="52" t="s">
        <v>581</v>
      </c>
      <c r="G1411" s="195" t="s">
        <v>276</v>
      </c>
      <c r="H1411" s="195">
        <v>-5.2919010000000002E-2</v>
      </c>
      <c r="I1411" s="195">
        <v>-0.6799634</v>
      </c>
      <c r="J1411" s="195">
        <v>-0.24237900000000001</v>
      </c>
      <c r="K1411" s="195">
        <v>2.9761800000000001E-2</v>
      </c>
      <c r="L1411" s="195">
        <v>2.3109600000000001E-2</v>
      </c>
      <c r="M1411" s="195">
        <v>2.13168E-2</v>
      </c>
      <c r="N1411" s="195">
        <v>1.9190599999999999E-2</v>
      </c>
    </row>
    <row r="1412" spans="1:14" hidden="1" x14ac:dyDescent="0.35">
      <c r="A1412" s="52" t="s">
        <v>242</v>
      </c>
      <c r="B1412" s="52" t="s">
        <v>37</v>
      </c>
      <c r="C1412" s="52" t="s">
        <v>79</v>
      </c>
      <c r="D1412" s="52" t="s">
        <v>79</v>
      </c>
      <c r="E1412" s="52" t="s">
        <v>616</v>
      </c>
      <c r="F1412" s="52" t="s">
        <v>581</v>
      </c>
      <c r="G1412" s="195" t="s">
        <v>277</v>
      </c>
      <c r="H1412" s="195"/>
      <c r="I1412" s="195"/>
      <c r="J1412" s="195"/>
      <c r="K1412" s="195"/>
      <c r="L1412" s="195">
        <v>0</v>
      </c>
      <c r="M1412" s="195">
        <v>0</v>
      </c>
      <c r="N1412" s="195">
        <v>0</v>
      </c>
    </row>
    <row r="1413" spans="1:14" hidden="1" x14ac:dyDescent="0.35">
      <c r="A1413" s="52" t="s">
        <v>242</v>
      </c>
      <c r="B1413" s="52" t="s">
        <v>37</v>
      </c>
      <c r="C1413" s="52" t="s">
        <v>79</v>
      </c>
      <c r="D1413" s="52" t="s">
        <v>79</v>
      </c>
      <c r="E1413" s="52" t="s">
        <v>616</v>
      </c>
      <c r="F1413" s="52" t="s">
        <v>581</v>
      </c>
      <c r="G1413" s="195" t="s">
        <v>279</v>
      </c>
      <c r="H1413" s="195">
        <v>0.32441399999999998</v>
      </c>
      <c r="I1413" s="195">
        <v>0.21889059999999999</v>
      </c>
      <c r="J1413" s="195">
        <v>0.18374019999999999</v>
      </c>
      <c r="K1413" s="195">
        <v>0.1690448</v>
      </c>
      <c r="L1413" s="195">
        <v>0.16923740000000001</v>
      </c>
      <c r="M1413" s="195">
        <v>0.15130360000000001</v>
      </c>
      <c r="N1413" s="195">
        <v>0.1360944</v>
      </c>
    </row>
    <row r="1414" spans="1:14" hidden="1" x14ac:dyDescent="0.35">
      <c r="A1414" s="52" t="s">
        <v>242</v>
      </c>
      <c r="B1414" s="52" t="s">
        <v>37</v>
      </c>
      <c r="C1414" s="52" t="s">
        <v>79</v>
      </c>
      <c r="D1414" s="52" t="s">
        <v>79</v>
      </c>
      <c r="E1414" s="52" t="s">
        <v>616</v>
      </c>
      <c r="F1414" s="52" t="s">
        <v>26</v>
      </c>
      <c r="G1414" s="195" t="s">
        <v>275</v>
      </c>
      <c r="H1414" s="195">
        <v>-1.97E-3</v>
      </c>
      <c r="I1414" s="195">
        <v>-1.95392E-2</v>
      </c>
      <c r="J1414" s="195">
        <v>-1.08866E-2</v>
      </c>
      <c r="K1414" s="195">
        <v>-1.4503E-2</v>
      </c>
      <c r="L1414" s="195">
        <v>-2.6088799999999999E-2</v>
      </c>
      <c r="M1414" s="195">
        <v>-2.2570199999999999E-2</v>
      </c>
      <c r="N1414" s="195">
        <v>-2.0185600000000001E-2</v>
      </c>
    </row>
    <row r="1415" spans="1:14" hidden="1" x14ac:dyDescent="0.35">
      <c r="A1415" s="52" t="s">
        <v>242</v>
      </c>
      <c r="B1415" s="52" t="s">
        <v>37</v>
      </c>
      <c r="C1415" s="52" t="s">
        <v>79</v>
      </c>
      <c r="D1415" s="52" t="s">
        <v>79</v>
      </c>
      <c r="E1415" s="52" t="s">
        <v>616</v>
      </c>
      <c r="F1415" s="52" t="s">
        <v>26</v>
      </c>
      <c r="G1415" s="195" t="s">
        <v>276</v>
      </c>
      <c r="H1415" s="195">
        <v>-5.71E-4</v>
      </c>
      <c r="I1415" s="195">
        <v>-5.6639999999999998E-3</v>
      </c>
      <c r="J1415" s="195">
        <v>-3.155999E-3</v>
      </c>
      <c r="K1415" s="195">
        <v>-4.2040000000000003E-3</v>
      </c>
      <c r="L1415" s="195">
        <v>-7.5627999999999997E-3</v>
      </c>
      <c r="M1415" s="195">
        <v>-6.5430000000000002E-3</v>
      </c>
      <c r="N1415" s="195">
        <v>-5.8511989999999996E-3</v>
      </c>
    </row>
    <row r="1416" spans="1:14" hidden="1" x14ac:dyDescent="0.35">
      <c r="A1416" s="52" t="s">
        <v>242</v>
      </c>
      <c r="B1416" s="52" t="s">
        <v>37</v>
      </c>
      <c r="C1416" s="52" t="s">
        <v>79</v>
      </c>
      <c r="D1416" s="52" t="s">
        <v>79</v>
      </c>
      <c r="E1416" s="52" t="s">
        <v>616</v>
      </c>
      <c r="F1416" s="52" t="s">
        <v>26</v>
      </c>
      <c r="G1416" s="195" t="s">
        <v>279</v>
      </c>
      <c r="H1416" s="195">
        <v>0.21982499999999999</v>
      </c>
      <c r="I1416" s="195">
        <v>0.22435340000000001</v>
      </c>
      <c r="J1416" s="195">
        <v>0.1942506</v>
      </c>
      <c r="K1416" s="195">
        <v>0.18121000000000001</v>
      </c>
      <c r="L1416" s="195">
        <v>0.18010319999999999</v>
      </c>
      <c r="M1416" s="195">
        <v>0.16136500000000001</v>
      </c>
      <c r="N1416" s="195">
        <v>0.1451596</v>
      </c>
    </row>
    <row r="1417" spans="1:14" hidden="1" x14ac:dyDescent="0.35">
      <c r="A1417" s="52" t="s">
        <v>242</v>
      </c>
      <c r="B1417" s="52" t="s">
        <v>37</v>
      </c>
      <c r="C1417" s="52" t="s">
        <v>79</v>
      </c>
      <c r="D1417" s="52" t="s">
        <v>79</v>
      </c>
      <c r="E1417" s="52" t="s">
        <v>600</v>
      </c>
      <c r="F1417" s="52" t="s">
        <v>581</v>
      </c>
      <c r="G1417" s="195" t="s">
        <v>275</v>
      </c>
      <c r="H1417" s="195"/>
      <c r="I1417" s="195"/>
      <c r="J1417" s="195"/>
      <c r="K1417" s="195">
        <v>0</v>
      </c>
      <c r="L1417" s="195">
        <v>0</v>
      </c>
      <c r="M1417" s="195">
        <v>0</v>
      </c>
      <c r="N1417" s="195">
        <v>0</v>
      </c>
    </row>
    <row r="1418" spans="1:14" hidden="1" x14ac:dyDescent="0.35">
      <c r="A1418" s="52" t="s">
        <v>242</v>
      </c>
      <c r="B1418" s="52" t="s">
        <v>37</v>
      </c>
      <c r="C1418" s="52" t="s">
        <v>79</v>
      </c>
      <c r="D1418" s="52" t="s">
        <v>79</v>
      </c>
      <c r="E1418" s="52" t="s">
        <v>600</v>
      </c>
      <c r="F1418" s="52" t="s">
        <v>581</v>
      </c>
      <c r="G1418" s="195" t="s">
        <v>276</v>
      </c>
      <c r="H1418" s="195"/>
      <c r="I1418" s="195"/>
      <c r="J1418" s="195"/>
      <c r="K1418" s="195">
        <v>0</v>
      </c>
      <c r="L1418" s="195">
        <v>0</v>
      </c>
      <c r="M1418" s="195">
        <v>0</v>
      </c>
      <c r="N1418" s="195">
        <v>0</v>
      </c>
    </row>
    <row r="1419" spans="1:14" hidden="1" x14ac:dyDescent="0.35">
      <c r="A1419" s="52" t="s">
        <v>242</v>
      </c>
      <c r="B1419" s="52" t="s">
        <v>37</v>
      </c>
      <c r="C1419" s="52" t="s">
        <v>79</v>
      </c>
      <c r="D1419" s="52" t="s">
        <v>79</v>
      </c>
      <c r="E1419" s="52" t="s">
        <v>600</v>
      </c>
      <c r="F1419" s="52" t="s">
        <v>581</v>
      </c>
      <c r="G1419" s="195" t="s">
        <v>277</v>
      </c>
      <c r="H1419" s="195"/>
      <c r="I1419" s="195"/>
      <c r="J1419" s="195"/>
      <c r="K1419" s="195">
        <v>0</v>
      </c>
      <c r="L1419" s="195">
        <v>0</v>
      </c>
      <c r="M1419" s="195">
        <v>0</v>
      </c>
      <c r="N1419" s="195">
        <v>0</v>
      </c>
    </row>
    <row r="1420" spans="1:14" hidden="1" x14ac:dyDescent="0.35">
      <c r="A1420" s="52" t="s">
        <v>242</v>
      </c>
      <c r="B1420" s="52" t="s">
        <v>37</v>
      </c>
      <c r="C1420" s="52" t="s">
        <v>79</v>
      </c>
      <c r="D1420" s="52" t="s">
        <v>79</v>
      </c>
      <c r="E1420" s="52" t="s">
        <v>600</v>
      </c>
      <c r="F1420" s="52" t="s">
        <v>581</v>
      </c>
      <c r="G1420" s="195" t="s">
        <v>279</v>
      </c>
      <c r="H1420" s="195"/>
      <c r="I1420" s="195"/>
      <c r="J1420" s="195"/>
      <c r="K1420" s="195">
        <v>0</v>
      </c>
      <c r="L1420" s="195">
        <v>0</v>
      </c>
      <c r="M1420" s="195">
        <v>0</v>
      </c>
      <c r="N1420" s="195">
        <v>0</v>
      </c>
    </row>
    <row r="1421" spans="1:14" hidden="1" x14ac:dyDescent="0.35">
      <c r="A1421" s="52" t="s">
        <v>242</v>
      </c>
      <c r="B1421" s="52" t="s">
        <v>37</v>
      </c>
      <c r="C1421" s="52" t="s">
        <v>79</v>
      </c>
      <c r="D1421" s="52" t="s">
        <v>79</v>
      </c>
      <c r="E1421" s="52" t="s">
        <v>600</v>
      </c>
      <c r="F1421" s="52" t="s">
        <v>26</v>
      </c>
      <c r="G1421" s="195" t="s">
        <v>275</v>
      </c>
      <c r="H1421" s="195"/>
      <c r="I1421" s="195"/>
      <c r="J1421" s="195"/>
      <c r="K1421" s="195">
        <v>0</v>
      </c>
      <c r="L1421" s="195">
        <v>0</v>
      </c>
      <c r="M1421" s="195">
        <v>0</v>
      </c>
      <c r="N1421" s="195">
        <v>0</v>
      </c>
    </row>
    <row r="1422" spans="1:14" hidden="1" x14ac:dyDescent="0.35">
      <c r="A1422" s="52" t="s">
        <v>242</v>
      </c>
      <c r="B1422" s="52" t="s">
        <v>37</v>
      </c>
      <c r="C1422" s="52" t="s">
        <v>79</v>
      </c>
      <c r="D1422" s="52" t="s">
        <v>79</v>
      </c>
      <c r="E1422" s="52" t="s">
        <v>600</v>
      </c>
      <c r="F1422" s="52" t="s">
        <v>26</v>
      </c>
      <c r="G1422" s="195" t="s">
        <v>276</v>
      </c>
      <c r="H1422" s="195"/>
      <c r="I1422" s="195"/>
      <c r="J1422" s="195"/>
      <c r="K1422" s="195">
        <v>0</v>
      </c>
      <c r="L1422" s="195">
        <v>0</v>
      </c>
      <c r="M1422" s="195">
        <v>0</v>
      </c>
      <c r="N1422" s="195">
        <v>0</v>
      </c>
    </row>
    <row r="1423" spans="1:14" hidden="1" x14ac:dyDescent="0.35">
      <c r="A1423" s="52" t="s">
        <v>242</v>
      </c>
      <c r="B1423" s="52" t="s">
        <v>37</v>
      </c>
      <c r="C1423" s="52" t="s">
        <v>79</v>
      </c>
      <c r="D1423" s="52" t="s">
        <v>79</v>
      </c>
      <c r="E1423" s="52" t="s">
        <v>600</v>
      </c>
      <c r="F1423" s="52" t="s">
        <v>26</v>
      </c>
      <c r="G1423" s="195" t="s">
        <v>279</v>
      </c>
      <c r="H1423" s="195"/>
      <c r="I1423" s="195"/>
      <c r="J1423" s="195"/>
      <c r="K1423" s="195">
        <v>0</v>
      </c>
      <c r="L1423" s="195">
        <v>0</v>
      </c>
      <c r="M1423" s="195">
        <v>0</v>
      </c>
      <c r="N1423" s="195">
        <v>0</v>
      </c>
    </row>
    <row r="1424" spans="1:14" hidden="1" x14ac:dyDescent="0.35">
      <c r="A1424" s="52" t="s">
        <v>242</v>
      </c>
      <c r="B1424" s="52" t="s">
        <v>37</v>
      </c>
      <c r="C1424" s="52" t="s">
        <v>79</v>
      </c>
      <c r="D1424" s="52" t="s">
        <v>79</v>
      </c>
      <c r="E1424" s="52" t="s">
        <v>617</v>
      </c>
      <c r="F1424" s="52" t="s">
        <v>581</v>
      </c>
      <c r="G1424" s="195" t="s">
        <v>275</v>
      </c>
      <c r="H1424" s="195"/>
      <c r="I1424" s="195"/>
      <c r="J1424" s="195"/>
      <c r="K1424" s="195">
        <v>0</v>
      </c>
      <c r="L1424" s="195"/>
      <c r="M1424" s="195">
        <v>-7.7920000000000003E-3</v>
      </c>
      <c r="N1424" s="195"/>
    </row>
    <row r="1425" spans="1:14" hidden="1" x14ac:dyDescent="0.35">
      <c r="A1425" s="52" t="s">
        <v>242</v>
      </c>
      <c r="B1425" s="52" t="s">
        <v>37</v>
      </c>
      <c r="C1425" s="52" t="s">
        <v>79</v>
      </c>
      <c r="D1425" s="52" t="s">
        <v>79</v>
      </c>
      <c r="E1425" s="52" t="s">
        <v>617</v>
      </c>
      <c r="F1425" s="52" t="s">
        <v>581</v>
      </c>
      <c r="G1425" s="195" t="s">
        <v>276</v>
      </c>
      <c r="H1425" s="195"/>
      <c r="I1425" s="195"/>
      <c r="J1425" s="195"/>
      <c r="K1425" s="195">
        <v>0</v>
      </c>
      <c r="L1425" s="195"/>
      <c r="M1425" s="195">
        <v>-2.2590000000000002E-3</v>
      </c>
      <c r="N1425" s="195"/>
    </row>
    <row r="1426" spans="1:14" hidden="1" x14ac:dyDescent="0.35">
      <c r="A1426" s="52" t="s">
        <v>242</v>
      </c>
      <c r="B1426" s="52" t="s">
        <v>37</v>
      </c>
      <c r="C1426" s="52" t="s">
        <v>79</v>
      </c>
      <c r="D1426" s="52" t="s">
        <v>79</v>
      </c>
      <c r="E1426" s="52" t="s">
        <v>617</v>
      </c>
      <c r="F1426" s="52" t="s">
        <v>581</v>
      </c>
      <c r="G1426" s="195" t="s">
        <v>279</v>
      </c>
      <c r="H1426" s="195"/>
      <c r="I1426" s="195"/>
      <c r="J1426" s="195"/>
      <c r="K1426" s="195">
        <v>0</v>
      </c>
      <c r="L1426" s="195"/>
      <c r="M1426" s="195">
        <v>2.3723600000000001E-2</v>
      </c>
      <c r="N1426" s="195"/>
    </row>
    <row r="1427" spans="1:14" hidden="1" x14ac:dyDescent="0.35">
      <c r="A1427" s="52" t="s">
        <v>242</v>
      </c>
      <c r="B1427" s="52" t="s">
        <v>37</v>
      </c>
      <c r="C1427" s="52" t="s">
        <v>79</v>
      </c>
      <c r="D1427" s="52" t="s">
        <v>79</v>
      </c>
      <c r="E1427" s="52" t="s">
        <v>617</v>
      </c>
      <c r="F1427" s="52" t="s">
        <v>26</v>
      </c>
      <c r="G1427" s="195" t="s">
        <v>275</v>
      </c>
      <c r="H1427" s="195"/>
      <c r="I1427" s="195"/>
      <c r="J1427" s="195"/>
      <c r="K1427" s="195">
        <v>0</v>
      </c>
      <c r="L1427" s="195">
        <v>-0.85458900000000004</v>
      </c>
      <c r="M1427" s="195">
        <v>-5.00566E-2</v>
      </c>
      <c r="N1427" s="195">
        <v>-2.27738E-2</v>
      </c>
    </row>
    <row r="1428" spans="1:14" hidden="1" x14ac:dyDescent="0.35">
      <c r="A1428" s="52" t="s">
        <v>242</v>
      </c>
      <c r="B1428" s="52" t="s">
        <v>37</v>
      </c>
      <c r="C1428" s="52" t="s">
        <v>79</v>
      </c>
      <c r="D1428" s="52" t="s">
        <v>79</v>
      </c>
      <c r="E1428" s="52" t="s">
        <v>617</v>
      </c>
      <c r="F1428" s="52" t="s">
        <v>26</v>
      </c>
      <c r="G1428" s="195" t="s">
        <v>276</v>
      </c>
      <c r="H1428" s="195"/>
      <c r="I1428" s="195"/>
      <c r="J1428" s="195"/>
      <c r="K1428" s="195">
        <v>0</v>
      </c>
      <c r="L1428" s="195">
        <v>-8.5224800000000003E-2</v>
      </c>
      <c r="M1428" s="195">
        <v>-4.7013399999999997E-2</v>
      </c>
      <c r="N1428" s="195">
        <v>-3.2603800000000002E-2</v>
      </c>
    </row>
    <row r="1429" spans="1:14" hidden="1" x14ac:dyDescent="0.35">
      <c r="A1429" s="52" t="s">
        <v>242</v>
      </c>
      <c r="B1429" s="52" t="s">
        <v>37</v>
      </c>
      <c r="C1429" s="52" t="s">
        <v>79</v>
      </c>
      <c r="D1429" s="52" t="s">
        <v>79</v>
      </c>
      <c r="E1429" s="52" t="s">
        <v>617</v>
      </c>
      <c r="F1429" s="52" t="s">
        <v>26</v>
      </c>
      <c r="G1429" s="195" t="s">
        <v>277</v>
      </c>
      <c r="H1429" s="195"/>
      <c r="I1429" s="195"/>
      <c r="J1429" s="195"/>
      <c r="K1429" s="195">
        <v>0</v>
      </c>
      <c r="L1429" s="195"/>
      <c r="M1429" s="195">
        <v>0</v>
      </c>
      <c r="N1429" s="195"/>
    </row>
    <row r="1430" spans="1:14" hidden="1" x14ac:dyDescent="0.35">
      <c r="A1430" s="52" t="s">
        <v>242</v>
      </c>
      <c r="B1430" s="52" t="s">
        <v>37</v>
      </c>
      <c r="C1430" s="52" t="s">
        <v>79</v>
      </c>
      <c r="D1430" s="52" t="s">
        <v>79</v>
      </c>
      <c r="E1430" s="52" t="s">
        <v>617</v>
      </c>
      <c r="F1430" s="52" t="s">
        <v>26</v>
      </c>
      <c r="G1430" s="195" t="s">
        <v>278</v>
      </c>
      <c r="H1430" s="195"/>
      <c r="I1430" s="195"/>
      <c r="J1430" s="195"/>
      <c r="K1430" s="195">
        <v>0</v>
      </c>
      <c r="L1430" s="195"/>
      <c r="M1430" s="195">
        <v>0</v>
      </c>
      <c r="N1430" s="195"/>
    </row>
    <row r="1431" spans="1:14" hidden="1" x14ac:dyDescent="0.35">
      <c r="A1431" s="52" t="s">
        <v>242</v>
      </c>
      <c r="B1431" s="52" t="s">
        <v>37</v>
      </c>
      <c r="C1431" s="52" t="s">
        <v>79</v>
      </c>
      <c r="D1431" s="52" t="s">
        <v>79</v>
      </c>
      <c r="E1431" s="52" t="s">
        <v>617</v>
      </c>
      <c r="F1431" s="52" t="s">
        <v>26</v>
      </c>
      <c r="G1431" s="195" t="s">
        <v>279</v>
      </c>
      <c r="H1431" s="195"/>
      <c r="I1431" s="195"/>
      <c r="J1431" s="195"/>
      <c r="K1431" s="195">
        <v>0</v>
      </c>
      <c r="L1431" s="195">
        <v>0.49713960000000001</v>
      </c>
      <c r="M1431" s="195">
        <v>0.32789380000000001</v>
      </c>
      <c r="N1431" s="195">
        <v>0.1943764</v>
      </c>
    </row>
    <row r="1432" spans="1:14" hidden="1" x14ac:dyDescent="0.35">
      <c r="A1432" s="52" t="s">
        <v>242</v>
      </c>
      <c r="B1432" s="52" t="s">
        <v>37</v>
      </c>
      <c r="C1432" s="52" t="s">
        <v>35</v>
      </c>
      <c r="D1432" s="52" t="s">
        <v>39</v>
      </c>
      <c r="E1432" s="52" t="s">
        <v>580</v>
      </c>
      <c r="F1432" s="52" t="s">
        <v>581</v>
      </c>
      <c r="G1432" s="195" t="s">
        <v>275</v>
      </c>
      <c r="H1432" s="195">
        <v>88.610810000000001</v>
      </c>
      <c r="I1432" s="195">
        <v>-381.17039999999997</v>
      </c>
      <c r="J1432" s="195">
        <v>212.12960000000001</v>
      </c>
      <c r="K1432" s="195">
        <v>216.57149999999999</v>
      </c>
      <c r="L1432" s="195">
        <v>174.8355</v>
      </c>
      <c r="M1432" s="195">
        <v>148.85239999999999</v>
      </c>
      <c r="N1432" s="195">
        <v>73.946380000000005</v>
      </c>
    </row>
    <row r="1433" spans="1:14" hidden="1" x14ac:dyDescent="0.35">
      <c r="A1433" s="52" t="s">
        <v>242</v>
      </c>
      <c r="B1433" s="52" t="s">
        <v>37</v>
      </c>
      <c r="C1433" s="52" t="s">
        <v>35</v>
      </c>
      <c r="D1433" s="52" t="s">
        <v>39</v>
      </c>
      <c r="E1433" s="52" t="s">
        <v>580</v>
      </c>
      <c r="F1433" s="52" t="s">
        <v>581</v>
      </c>
      <c r="G1433" s="195" t="s">
        <v>276</v>
      </c>
      <c r="H1433" s="195">
        <v>157.73320000000001</v>
      </c>
      <c r="I1433" s="195">
        <v>-40.420369999999998</v>
      </c>
      <c r="J1433" s="195">
        <v>-58.04007</v>
      </c>
      <c r="K1433" s="195">
        <v>-74.567030000000003</v>
      </c>
      <c r="L1433" s="195">
        <v>-70.330179999999999</v>
      </c>
      <c r="M1433" s="195">
        <v>-43.688850000000002</v>
      </c>
      <c r="N1433" s="195">
        <v>13.090680000000001</v>
      </c>
    </row>
    <row r="1434" spans="1:14" hidden="1" x14ac:dyDescent="0.35">
      <c r="A1434" s="52" t="s">
        <v>242</v>
      </c>
      <c r="B1434" s="52" t="s">
        <v>37</v>
      </c>
      <c r="C1434" s="52" t="s">
        <v>35</v>
      </c>
      <c r="D1434" s="52" t="s">
        <v>39</v>
      </c>
      <c r="E1434" s="52" t="s">
        <v>580</v>
      </c>
      <c r="F1434" s="52" t="s">
        <v>581</v>
      </c>
      <c r="G1434" s="195" t="s">
        <v>277</v>
      </c>
      <c r="H1434" s="195">
        <v>863.31769999999995</v>
      </c>
      <c r="I1434" s="195">
        <v>715.09</v>
      </c>
      <c r="J1434" s="195">
        <v>28.100950000000001</v>
      </c>
      <c r="K1434" s="195">
        <v>10.52483</v>
      </c>
      <c r="L1434" s="195">
        <v>10.644869999999999</v>
      </c>
      <c r="M1434" s="195">
        <v>6.7174649999999998</v>
      </c>
      <c r="N1434" s="195">
        <v>14.275029999999999</v>
      </c>
    </row>
    <row r="1435" spans="1:14" hidden="1" x14ac:dyDescent="0.35">
      <c r="A1435" s="52" t="s">
        <v>242</v>
      </c>
      <c r="B1435" s="52" t="s">
        <v>37</v>
      </c>
      <c r="C1435" s="52" t="s">
        <v>35</v>
      </c>
      <c r="D1435" s="52" t="s">
        <v>39</v>
      </c>
      <c r="E1435" s="52" t="s">
        <v>580</v>
      </c>
      <c r="F1435" s="52" t="s">
        <v>581</v>
      </c>
      <c r="G1435" s="195" t="s">
        <v>278</v>
      </c>
      <c r="H1435" s="195">
        <v>53.288379999999997</v>
      </c>
      <c r="I1435" s="195">
        <v>34.909990000000001</v>
      </c>
      <c r="J1435" s="195">
        <v>47.265180000000001</v>
      </c>
      <c r="K1435" s="195">
        <v>35.494289999999999</v>
      </c>
      <c r="L1435" s="195">
        <v>26.656130000000001</v>
      </c>
      <c r="M1435" s="195">
        <v>10.245480000000001</v>
      </c>
      <c r="N1435" s="195">
        <v>8.6879989999999996</v>
      </c>
    </row>
    <row r="1436" spans="1:14" hidden="1" x14ac:dyDescent="0.35">
      <c r="A1436" s="52" t="s">
        <v>242</v>
      </c>
      <c r="B1436" s="52" t="s">
        <v>37</v>
      </c>
      <c r="C1436" s="52" t="s">
        <v>35</v>
      </c>
      <c r="D1436" s="52" t="s">
        <v>39</v>
      </c>
      <c r="E1436" s="52" t="s">
        <v>580</v>
      </c>
      <c r="F1436" s="52" t="s">
        <v>581</v>
      </c>
      <c r="G1436" s="195" t="s">
        <v>279</v>
      </c>
      <c r="H1436" s="195">
        <v>418.87689999999998</v>
      </c>
      <c r="I1436" s="195">
        <v>358.06869999999998</v>
      </c>
      <c r="J1436" s="195">
        <v>292.94069999999999</v>
      </c>
      <c r="K1436" s="195">
        <v>246.79050000000001</v>
      </c>
      <c r="L1436" s="195">
        <v>239.66579999999999</v>
      </c>
      <c r="M1436" s="195">
        <v>193.7602</v>
      </c>
      <c r="N1436" s="195">
        <v>168.34180000000001</v>
      </c>
    </row>
    <row r="1437" spans="1:14" hidden="1" x14ac:dyDescent="0.35">
      <c r="A1437" s="52" t="s">
        <v>242</v>
      </c>
      <c r="B1437" s="52" t="s">
        <v>37</v>
      </c>
      <c r="C1437" s="52" t="s">
        <v>35</v>
      </c>
      <c r="D1437" s="52" t="s">
        <v>39</v>
      </c>
      <c r="E1437" s="52" t="s">
        <v>580</v>
      </c>
      <c r="F1437" s="52" t="s">
        <v>26</v>
      </c>
      <c r="G1437" s="195" t="s">
        <v>275</v>
      </c>
      <c r="H1437" s="195">
        <v>13.0159</v>
      </c>
      <c r="I1437" s="195">
        <v>2.5515530000000002</v>
      </c>
      <c r="J1437" s="195">
        <v>5.8226139999999997</v>
      </c>
      <c r="K1437" s="195">
        <v>2.8658320000000002</v>
      </c>
      <c r="L1437" s="195">
        <v>-3.0706579999999999</v>
      </c>
      <c r="M1437" s="195">
        <v>-1.964931</v>
      </c>
      <c r="N1437" s="195">
        <v>-1.511976</v>
      </c>
    </row>
    <row r="1438" spans="1:14" hidden="1" x14ac:dyDescent="0.35">
      <c r="A1438" s="52" t="s">
        <v>242</v>
      </c>
      <c r="B1438" s="52" t="s">
        <v>37</v>
      </c>
      <c r="C1438" s="52" t="s">
        <v>35</v>
      </c>
      <c r="D1438" s="52" t="s">
        <v>39</v>
      </c>
      <c r="E1438" s="52" t="s">
        <v>580</v>
      </c>
      <c r="F1438" s="52" t="s">
        <v>26</v>
      </c>
      <c r="G1438" s="195" t="s">
        <v>276</v>
      </c>
      <c r="H1438" s="195">
        <v>3.459946</v>
      </c>
      <c r="I1438" s="195">
        <v>0.67827139999999997</v>
      </c>
      <c r="J1438" s="195">
        <v>1.54779</v>
      </c>
      <c r="K1438" s="195">
        <v>0.76180380000000003</v>
      </c>
      <c r="L1438" s="195">
        <v>-0.81625009999999998</v>
      </c>
      <c r="M1438" s="195">
        <v>-0.52232339999999999</v>
      </c>
      <c r="N1438" s="195">
        <v>-0.401918</v>
      </c>
    </row>
    <row r="1439" spans="1:14" hidden="1" x14ac:dyDescent="0.35">
      <c r="A1439" s="52" t="s">
        <v>242</v>
      </c>
      <c r="B1439" s="52" t="s">
        <v>37</v>
      </c>
      <c r="C1439" s="52" t="s">
        <v>35</v>
      </c>
      <c r="D1439" s="52" t="s">
        <v>39</v>
      </c>
      <c r="E1439" s="52" t="s">
        <v>580</v>
      </c>
      <c r="F1439" s="52" t="s">
        <v>26</v>
      </c>
      <c r="G1439" s="195" t="s">
        <v>279</v>
      </c>
      <c r="H1439" s="195">
        <v>106.486</v>
      </c>
      <c r="I1439" s="195">
        <v>105.123</v>
      </c>
      <c r="J1439" s="195">
        <v>88.16037</v>
      </c>
      <c r="K1439" s="195">
        <v>75.293490000000006</v>
      </c>
      <c r="L1439" s="195">
        <v>72.706860000000006</v>
      </c>
      <c r="M1439" s="195">
        <v>58.811390000000003</v>
      </c>
      <c r="N1439" s="195">
        <v>51.013150000000003</v>
      </c>
    </row>
    <row r="1440" spans="1:14" hidden="1" x14ac:dyDescent="0.35">
      <c r="A1440" s="52" t="s">
        <v>242</v>
      </c>
      <c r="B1440" s="52" t="s">
        <v>37</v>
      </c>
      <c r="C1440" s="52" t="s">
        <v>35</v>
      </c>
      <c r="D1440" s="52" t="s">
        <v>39</v>
      </c>
      <c r="E1440" s="52" t="s">
        <v>582</v>
      </c>
      <c r="F1440" s="52" t="s">
        <v>581</v>
      </c>
      <c r="G1440" s="195" t="s">
        <v>275</v>
      </c>
      <c r="H1440" s="195">
        <v>106.1923</v>
      </c>
      <c r="I1440" s="195">
        <v>-249.16139999999999</v>
      </c>
      <c r="J1440" s="195">
        <v>106.02630000000001</v>
      </c>
      <c r="K1440" s="195">
        <v>105.7564</v>
      </c>
      <c r="L1440" s="195">
        <v>84.160269999999997</v>
      </c>
      <c r="M1440" s="195">
        <v>90.122540000000001</v>
      </c>
      <c r="N1440" s="195">
        <v>39.993000000000002</v>
      </c>
    </row>
    <row r="1441" spans="1:14" hidden="1" x14ac:dyDescent="0.35">
      <c r="A1441" s="52" t="s">
        <v>242</v>
      </c>
      <c r="B1441" s="52" t="s">
        <v>37</v>
      </c>
      <c r="C1441" s="52" t="s">
        <v>35</v>
      </c>
      <c r="D1441" s="52" t="s">
        <v>39</v>
      </c>
      <c r="E1441" s="52" t="s">
        <v>582</v>
      </c>
      <c r="F1441" s="52" t="s">
        <v>581</v>
      </c>
      <c r="G1441" s="195" t="s">
        <v>276</v>
      </c>
      <c r="H1441" s="195">
        <v>44.530009999999997</v>
      </c>
      <c r="I1441" s="195">
        <v>-20.12547</v>
      </c>
      <c r="J1441" s="195">
        <v>-29.4129</v>
      </c>
      <c r="K1441" s="195">
        <v>-24.231000000000002</v>
      </c>
      <c r="L1441" s="195">
        <v>-21.044609999999999</v>
      </c>
      <c r="M1441" s="195">
        <v>-25.75909</v>
      </c>
      <c r="N1441" s="195">
        <v>7.0071120000000002</v>
      </c>
    </row>
    <row r="1442" spans="1:14" hidden="1" x14ac:dyDescent="0.35">
      <c r="A1442" s="52" t="s">
        <v>242</v>
      </c>
      <c r="B1442" s="52" t="s">
        <v>37</v>
      </c>
      <c r="C1442" s="52" t="s">
        <v>35</v>
      </c>
      <c r="D1442" s="52" t="s">
        <v>39</v>
      </c>
      <c r="E1442" s="52" t="s">
        <v>582</v>
      </c>
      <c r="F1442" s="52" t="s">
        <v>581</v>
      </c>
      <c r="G1442" s="195" t="s">
        <v>277</v>
      </c>
      <c r="H1442" s="195">
        <v>276.2165</v>
      </c>
      <c r="I1442" s="195">
        <v>414.26889999999997</v>
      </c>
      <c r="J1442" s="195">
        <v>15.356260000000001</v>
      </c>
      <c r="K1442" s="195">
        <v>6.5752639999999998</v>
      </c>
      <c r="L1442" s="195">
        <v>3.6427040000000002</v>
      </c>
      <c r="M1442" s="195">
        <v>2.230645</v>
      </c>
      <c r="N1442" s="195">
        <v>14.03674</v>
      </c>
    </row>
    <row r="1443" spans="1:14" hidden="1" x14ac:dyDescent="0.35">
      <c r="A1443" s="52" t="s">
        <v>242</v>
      </c>
      <c r="B1443" s="52" t="s">
        <v>37</v>
      </c>
      <c r="C1443" s="52" t="s">
        <v>35</v>
      </c>
      <c r="D1443" s="52" t="s">
        <v>39</v>
      </c>
      <c r="E1443" s="52" t="s">
        <v>582</v>
      </c>
      <c r="F1443" s="52" t="s">
        <v>581</v>
      </c>
      <c r="G1443" s="195" t="s">
        <v>278</v>
      </c>
      <c r="H1443" s="195">
        <v>22.709420000000001</v>
      </c>
      <c r="I1443" s="195">
        <v>30.73115</v>
      </c>
      <c r="J1443" s="195">
        <v>46.79392</v>
      </c>
      <c r="K1443" s="195">
        <v>25.582509999999999</v>
      </c>
      <c r="L1443" s="195">
        <v>18.58286</v>
      </c>
      <c r="M1443" s="195">
        <v>9.3726939999999992</v>
      </c>
      <c r="N1443" s="195">
        <v>10.73596</v>
      </c>
    </row>
    <row r="1444" spans="1:14" hidden="1" x14ac:dyDescent="0.35">
      <c r="A1444" s="52" t="s">
        <v>242</v>
      </c>
      <c r="B1444" s="52" t="s">
        <v>37</v>
      </c>
      <c r="C1444" s="52" t="s">
        <v>35</v>
      </c>
      <c r="D1444" s="52" t="s">
        <v>39</v>
      </c>
      <c r="E1444" s="52" t="s">
        <v>582</v>
      </c>
      <c r="F1444" s="52" t="s">
        <v>581</v>
      </c>
      <c r="G1444" s="195" t="s">
        <v>279</v>
      </c>
      <c r="H1444" s="195">
        <v>153.20089999999999</v>
      </c>
      <c r="I1444" s="195">
        <v>171.9665</v>
      </c>
      <c r="J1444" s="195">
        <v>158.81909999999999</v>
      </c>
      <c r="K1444" s="195">
        <v>136.0027</v>
      </c>
      <c r="L1444" s="195">
        <v>128.81610000000001</v>
      </c>
      <c r="M1444" s="195">
        <v>107.6481</v>
      </c>
      <c r="N1444" s="195">
        <v>96.863609999999994</v>
      </c>
    </row>
    <row r="1445" spans="1:14" hidden="1" x14ac:dyDescent="0.35">
      <c r="A1445" s="52" t="s">
        <v>242</v>
      </c>
      <c r="B1445" s="52" t="s">
        <v>37</v>
      </c>
      <c r="C1445" s="52" t="s">
        <v>35</v>
      </c>
      <c r="D1445" s="52" t="s">
        <v>39</v>
      </c>
      <c r="E1445" s="52" t="s">
        <v>582</v>
      </c>
      <c r="F1445" s="52" t="s">
        <v>26</v>
      </c>
      <c r="G1445" s="195" t="s">
        <v>275</v>
      </c>
      <c r="H1445" s="195">
        <v>9.0479389999999995</v>
      </c>
      <c r="I1445" s="195">
        <v>4.624771</v>
      </c>
      <c r="J1445" s="195">
        <v>6.973579</v>
      </c>
      <c r="K1445" s="195">
        <v>4.6335030000000001</v>
      </c>
      <c r="L1445" s="195">
        <v>0.30023349999999999</v>
      </c>
      <c r="M1445" s="195">
        <v>0.53346919999999998</v>
      </c>
      <c r="N1445" s="195">
        <v>0.55283700000000002</v>
      </c>
    </row>
    <row r="1446" spans="1:14" hidden="1" x14ac:dyDescent="0.35">
      <c r="A1446" s="52" t="s">
        <v>242</v>
      </c>
      <c r="B1446" s="52" t="s">
        <v>37</v>
      </c>
      <c r="C1446" s="52" t="s">
        <v>35</v>
      </c>
      <c r="D1446" s="52" t="s">
        <v>39</v>
      </c>
      <c r="E1446" s="52" t="s">
        <v>582</v>
      </c>
      <c r="F1446" s="52" t="s">
        <v>26</v>
      </c>
      <c r="G1446" s="195" t="s">
        <v>276</v>
      </c>
      <c r="H1446" s="195">
        <v>2.405157</v>
      </c>
      <c r="I1446" s="195">
        <v>1.229374</v>
      </c>
      <c r="J1446" s="195">
        <v>1.853731</v>
      </c>
      <c r="K1446" s="195">
        <v>1.2316929999999999</v>
      </c>
      <c r="L1446" s="195">
        <v>7.9809779999999997E-2</v>
      </c>
      <c r="M1446" s="195">
        <v>0.14180280000000001</v>
      </c>
      <c r="N1446" s="195">
        <v>0.1469598</v>
      </c>
    </row>
    <row r="1447" spans="1:14" hidden="1" x14ac:dyDescent="0.35">
      <c r="A1447" s="52" t="s">
        <v>242</v>
      </c>
      <c r="B1447" s="52" t="s">
        <v>37</v>
      </c>
      <c r="C1447" s="52" t="s">
        <v>35</v>
      </c>
      <c r="D1447" s="52" t="s">
        <v>39</v>
      </c>
      <c r="E1447" s="52" t="s">
        <v>582</v>
      </c>
      <c r="F1447" s="52" t="s">
        <v>26</v>
      </c>
      <c r="G1447" s="195" t="s">
        <v>279</v>
      </c>
      <c r="H1447" s="195">
        <v>48.354390000000002</v>
      </c>
      <c r="I1447" s="195">
        <v>58.501289999999997</v>
      </c>
      <c r="J1447" s="195">
        <v>56.650570000000002</v>
      </c>
      <c r="K1447" s="195">
        <v>50.53172</v>
      </c>
      <c r="L1447" s="195">
        <v>46.584400000000002</v>
      </c>
      <c r="M1447" s="195">
        <v>38.557250000000003</v>
      </c>
      <c r="N1447" s="195">
        <v>33.990360000000003</v>
      </c>
    </row>
    <row r="1448" spans="1:14" hidden="1" x14ac:dyDescent="0.35">
      <c r="A1448" s="52" t="s">
        <v>242</v>
      </c>
      <c r="B1448" s="52" t="s">
        <v>37</v>
      </c>
      <c r="C1448" s="52" t="s">
        <v>35</v>
      </c>
      <c r="D1448" s="52" t="s">
        <v>39</v>
      </c>
      <c r="E1448" s="52" t="s">
        <v>613</v>
      </c>
      <c r="F1448" s="52" t="s">
        <v>581</v>
      </c>
      <c r="G1448" s="195" t="s">
        <v>275</v>
      </c>
      <c r="H1448" s="195">
        <v>65.824650000000005</v>
      </c>
      <c r="I1448" s="195">
        <v>20.265139999999999</v>
      </c>
      <c r="J1448" s="195">
        <v>12.26606</v>
      </c>
      <c r="K1448" s="195">
        <v>9.3594469999999994</v>
      </c>
      <c r="L1448" s="195">
        <v>7.0023600000000004</v>
      </c>
      <c r="M1448" s="195">
        <v>5.9272309999999999</v>
      </c>
      <c r="N1448" s="195">
        <v>5.2776620000000003</v>
      </c>
    </row>
    <row r="1449" spans="1:14" hidden="1" x14ac:dyDescent="0.35">
      <c r="A1449" s="52" t="s">
        <v>242</v>
      </c>
      <c r="B1449" s="52" t="s">
        <v>37</v>
      </c>
      <c r="C1449" s="52" t="s">
        <v>35</v>
      </c>
      <c r="D1449" s="52" t="s">
        <v>39</v>
      </c>
      <c r="E1449" s="52" t="s">
        <v>613</v>
      </c>
      <c r="F1449" s="52" t="s">
        <v>581</v>
      </c>
      <c r="G1449" s="195" t="s">
        <v>276</v>
      </c>
      <c r="H1449" s="195">
        <v>4.590408</v>
      </c>
      <c r="I1449" s="195">
        <v>-1.9322189999999999</v>
      </c>
      <c r="J1449" s="195">
        <v>-0.94297869999999995</v>
      </c>
      <c r="K1449" s="195">
        <v>0.59504869999999999</v>
      </c>
      <c r="L1449" s="195">
        <v>0.37521739999999998</v>
      </c>
      <c r="M1449" s="195">
        <v>1.4666090000000001</v>
      </c>
      <c r="N1449" s="195">
        <v>1.195284</v>
      </c>
    </row>
    <row r="1450" spans="1:14" hidden="1" x14ac:dyDescent="0.35">
      <c r="A1450" s="52" t="s">
        <v>242</v>
      </c>
      <c r="B1450" s="52" t="s">
        <v>37</v>
      </c>
      <c r="C1450" s="52" t="s">
        <v>35</v>
      </c>
      <c r="D1450" s="52" t="s">
        <v>39</v>
      </c>
      <c r="E1450" s="52" t="s">
        <v>613</v>
      </c>
      <c r="F1450" s="52" t="s">
        <v>581</v>
      </c>
      <c r="G1450" s="195" t="s">
        <v>277</v>
      </c>
      <c r="H1450" s="195">
        <v>14.627890000000001</v>
      </c>
      <c r="I1450" s="195">
        <v>0</v>
      </c>
      <c r="J1450" s="195">
        <v>1.382838</v>
      </c>
      <c r="K1450" s="195">
        <v>0.95518740000000002</v>
      </c>
      <c r="L1450" s="195">
        <v>0.91323790000000005</v>
      </c>
      <c r="M1450" s="195">
        <v>0</v>
      </c>
      <c r="N1450" s="195">
        <v>0</v>
      </c>
    </row>
    <row r="1451" spans="1:14" hidden="1" x14ac:dyDescent="0.35">
      <c r="A1451" s="52" t="s">
        <v>242</v>
      </c>
      <c r="B1451" s="52" t="s">
        <v>37</v>
      </c>
      <c r="C1451" s="52" t="s">
        <v>35</v>
      </c>
      <c r="D1451" s="52" t="s">
        <v>39</v>
      </c>
      <c r="E1451" s="52" t="s">
        <v>613</v>
      </c>
      <c r="F1451" s="52" t="s">
        <v>581</v>
      </c>
      <c r="G1451" s="195" t="s">
        <v>279</v>
      </c>
      <c r="H1451" s="195">
        <v>30.843859999999999</v>
      </c>
      <c r="I1451" s="195">
        <v>18.17529</v>
      </c>
      <c r="J1451" s="195">
        <v>14.873290000000001</v>
      </c>
      <c r="K1451" s="195">
        <v>13.292070000000001</v>
      </c>
      <c r="L1451" s="195">
        <v>12.99004</v>
      </c>
      <c r="M1451" s="195">
        <v>11.20823</v>
      </c>
      <c r="N1451" s="195">
        <v>9.7923760000000009</v>
      </c>
    </row>
    <row r="1452" spans="1:14" hidden="1" x14ac:dyDescent="0.35">
      <c r="A1452" s="52" t="s">
        <v>242</v>
      </c>
      <c r="B1452" s="52" t="s">
        <v>37</v>
      </c>
      <c r="C1452" s="52" t="s">
        <v>35</v>
      </c>
      <c r="D1452" s="52" t="s">
        <v>39</v>
      </c>
      <c r="E1452" s="52" t="s">
        <v>613</v>
      </c>
      <c r="F1452" s="52" t="s">
        <v>26</v>
      </c>
      <c r="G1452" s="195" t="s">
        <v>275</v>
      </c>
      <c r="H1452" s="195">
        <v>0.51226499999999997</v>
      </c>
      <c r="I1452" s="195">
        <v>6.4907389999999995E-2</v>
      </c>
      <c r="J1452" s="195">
        <v>0.1497414</v>
      </c>
      <c r="K1452" s="195">
        <v>7.1412799999999999E-2</v>
      </c>
      <c r="L1452" s="195">
        <v>-0.1039474</v>
      </c>
      <c r="M1452" s="195">
        <v>-7.8259410000000001E-2</v>
      </c>
      <c r="N1452" s="195">
        <v>-6.6872189999999998E-2</v>
      </c>
    </row>
    <row r="1453" spans="1:14" hidden="1" x14ac:dyDescent="0.35">
      <c r="A1453" s="52" t="s">
        <v>242</v>
      </c>
      <c r="B1453" s="52" t="s">
        <v>37</v>
      </c>
      <c r="C1453" s="52" t="s">
        <v>35</v>
      </c>
      <c r="D1453" s="52" t="s">
        <v>39</v>
      </c>
      <c r="E1453" s="52" t="s">
        <v>613</v>
      </c>
      <c r="F1453" s="52" t="s">
        <v>26</v>
      </c>
      <c r="G1453" s="195" t="s">
        <v>276</v>
      </c>
      <c r="H1453" s="195">
        <v>0.13617299999999999</v>
      </c>
      <c r="I1453" s="195">
        <v>1.7254200000000001E-2</v>
      </c>
      <c r="J1453" s="195">
        <v>3.9805399999999998E-2</v>
      </c>
      <c r="K1453" s="195">
        <v>1.8982599999999999E-2</v>
      </c>
      <c r="L1453" s="195">
        <v>-2.7631200000000002E-2</v>
      </c>
      <c r="M1453" s="195">
        <v>-2.08034E-2</v>
      </c>
      <c r="N1453" s="195">
        <v>-1.7777000000000001E-2</v>
      </c>
    </row>
    <row r="1454" spans="1:14" hidden="1" x14ac:dyDescent="0.35">
      <c r="A1454" s="52" t="s">
        <v>242</v>
      </c>
      <c r="B1454" s="52" t="s">
        <v>37</v>
      </c>
      <c r="C1454" s="52" t="s">
        <v>35</v>
      </c>
      <c r="D1454" s="52" t="s">
        <v>39</v>
      </c>
      <c r="E1454" s="52" t="s">
        <v>613</v>
      </c>
      <c r="F1454" s="52" t="s">
        <v>26</v>
      </c>
      <c r="G1454" s="195" t="s">
        <v>279</v>
      </c>
      <c r="H1454" s="195">
        <v>4.243169</v>
      </c>
      <c r="I1454" s="195">
        <v>2.8859629999999998</v>
      </c>
      <c r="J1454" s="195">
        <v>2.4220250000000001</v>
      </c>
      <c r="K1454" s="195">
        <v>2.1966890000000001</v>
      </c>
      <c r="L1454" s="195">
        <v>2.1368230000000001</v>
      </c>
      <c r="M1454" s="195">
        <v>1.847162</v>
      </c>
      <c r="N1454" s="195">
        <v>1.613847</v>
      </c>
    </row>
    <row r="1455" spans="1:14" hidden="1" x14ac:dyDescent="0.35">
      <c r="A1455" s="52" t="s">
        <v>242</v>
      </c>
      <c r="B1455" s="52" t="s">
        <v>37</v>
      </c>
      <c r="C1455" s="52" t="s">
        <v>35</v>
      </c>
      <c r="D1455" s="52" t="s">
        <v>39</v>
      </c>
      <c r="E1455" s="52" t="s">
        <v>584</v>
      </c>
      <c r="F1455" s="52" t="s">
        <v>581</v>
      </c>
      <c r="G1455" s="195" t="s">
        <v>275</v>
      </c>
      <c r="H1455" s="195">
        <v>1.6705000000000001E-2</v>
      </c>
      <c r="I1455" s="195">
        <v>-6.1580000000000001E-4</v>
      </c>
      <c r="J1455" s="195">
        <v>-1.1759109999999999</v>
      </c>
      <c r="K1455" s="195">
        <v>-3.3800000000000002E-5</v>
      </c>
      <c r="L1455" s="195"/>
      <c r="M1455" s="195">
        <v>0</v>
      </c>
      <c r="N1455" s="195"/>
    </row>
    <row r="1456" spans="1:14" hidden="1" x14ac:dyDescent="0.35">
      <c r="A1456" s="52" t="s">
        <v>242</v>
      </c>
      <c r="B1456" s="52" t="s">
        <v>37</v>
      </c>
      <c r="C1456" s="52" t="s">
        <v>35</v>
      </c>
      <c r="D1456" s="52" t="s">
        <v>39</v>
      </c>
      <c r="E1456" s="52" t="s">
        <v>584</v>
      </c>
      <c r="F1456" s="52" t="s">
        <v>581</v>
      </c>
      <c r="G1456" s="195" t="s">
        <v>276</v>
      </c>
      <c r="H1456" s="195">
        <v>4.4400000000000004E-3</v>
      </c>
      <c r="I1456" s="195">
        <v>-1.6440000000000001E-4</v>
      </c>
      <c r="J1456" s="195">
        <v>-0.31258399999999997</v>
      </c>
      <c r="K1456" s="195">
        <v>-8.9999990000000008E-6</v>
      </c>
      <c r="L1456" s="195"/>
      <c r="M1456" s="195">
        <v>0</v>
      </c>
      <c r="N1456" s="195"/>
    </row>
    <row r="1457" spans="1:14" hidden="1" x14ac:dyDescent="0.35">
      <c r="A1457" s="52" t="s">
        <v>242</v>
      </c>
      <c r="B1457" s="52" t="s">
        <v>37</v>
      </c>
      <c r="C1457" s="52" t="s">
        <v>35</v>
      </c>
      <c r="D1457" s="52" t="s">
        <v>39</v>
      </c>
      <c r="E1457" s="52" t="s">
        <v>584</v>
      </c>
      <c r="F1457" s="52" t="s">
        <v>581</v>
      </c>
      <c r="G1457" s="195" t="s">
        <v>279</v>
      </c>
      <c r="H1457" s="195">
        <v>1.4334E-2</v>
      </c>
      <c r="I1457" s="195">
        <v>7.7949999999999998E-3</v>
      </c>
      <c r="J1457" s="195">
        <v>1.4900770000000001</v>
      </c>
      <c r="K1457" s="195">
        <v>1.6362E-3</v>
      </c>
      <c r="L1457" s="195"/>
      <c r="M1457" s="195">
        <v>0</v>
      </c>
      <c r="N1457" s="195"/>
    </row>
    <row r="1458" spans="1:14" hidden="1" x14ac:dyDescent="0.35">
      <c r="A1458" s="52" t="s">
        <v>242</v>
      </c>
      <c r="B1458" s="52" t="s">
        <v>37</v>
      </c>
      <c r="C1458" s="52" t="s">
        <v>35</v>
      </c>
      <c r="D1458" s="52" t="s">
        <v>39</v>
      </c>
      <c r="E1458" s="52" t="s">
        <v>584</v>
      </c>
      <c r="F1458" s="52" t="s">
        <v>26</v>
      </c>
      <c r="G1458" s="195" t="s">
        <v>275</v>
      </c>
      <c r="H1458" s="195">
        <v>0</v>
      </c>
      <c r="I1458" s="195">
        <v>0</v>
      </c>
      <c r="J1458" s="195"/>
      <c r="K1458" s="195">
        <v>0</v>
      </c>
      <c r="L1458" s="195"/>
      <c r="M1458" s="195">
        <v>0</v>
      </c>
      <c r="N1458" s="195"/>
    </row>
    <row r="1459" spans="1:14" hidden="1" x14ac:dyDescent="0.35">
      <c r="A1459" s="52" t="s">
        <v>242</v>
      </c>
      <c r="B1459" s="52" t="s">
        <v>37</v>
      </c>
      <c r="C1459" s="52" t="s">
        <v>35</v>
      </c>
      <c r="D1459" s="52" t="s">
        <v>39</v>
      </c>
      <c r="E1459" s="52" t="s">
        <v>584</v>
      </c>
      <c r="F1459" s="52" t="s">
        <v>26</v>
      </c>
      <c r="G1459" s="195" t="s">
        <v>276</v>
      </c>
      <c r="H1459" s="195">
        <v>0</v>
      </c>
      <c r="I1459" s="195">
        <v>0</v>
      </c>
      <c r="J1459" s="195"/>
      <c r="K1459" s="195">
        <v>0</v>
      </c>
      <c r="L1459" s="195"/>
      <c r="M1459" s="195">
        <v>0</v>
      </c>
      <c r="N1459" s="195"/>
    </row>
    <row r="1460" spans="1:14" hidden="1" x14ac:dyDescent="0.35">
      <c r="A1460" s="52" t="s">
        <v>242</v>
      </c>
      <c r="B1460" s="52" t="s">
        <v>37</v>
      </c>
      <c r="C1460" s="52" t="s">
        <v>35</v>
      </c>
      <c r="D1460" s="52" t="s">
        <v>39</v>
      </c>
      <c r="E1460" s="52" t="s">
        <v>584</v>
      </c>
      <c r="F1460" s="52" t="s">
        <v>26</v>
      </c>
      <c r="G1460" s="195" t="s">
        <v>279</v>
      </c>
      <c r="H1460" s="195">
        <v>0</v>
      </c>
      <c r="I1460" s="195">
        <v>0</v>
      </c>
      <c r="J1460" s="195"/>
      <c r="K1460" s="195">
        <v>0</v>
      </c>
      <c r="L1460" s="195"/>
      <c r="M1460" s="195">
        <v>0</v>
      </c>
      <c r="N1460" s="195"/>
    </row>
    <row r="1461" spans="1:14" hidden="1" x14ac:dyDescent="0.35">
      <c r="A1461" s="52" t="s">
        <v>242</v>
      </c>
      <c r="B1461" s="52" t="s">
        <v>37</v>
      </c>
      <c r="C1461" s="52" t="s">
        <v>35</v>
      </c>
      <c r="D1461" s="52" t="s">
        <v>129</v>
      </c>
      <c r="E1461" s="52" t="s">
        <v>580</v>
      </c>
      <c r="F1461" s="52" t="s">
        <v>581</v>
      </c>
      <c r="G1461" s="195" t="s">
        <v>275</v>
      </c>
      <c r="H1461" s="195">
        <v>-18.48115</v>
      </c>
      <c r="I1461" s="195">
        <v>-391.50779999999997</v>
      </c>
      <c r="J1461" s="195">
        <v>173.9743</v>
      </c>
      <c r="K1461" s="195">
        <v>189.71289999999999</v>
      </c>
      <c r="L1461" s="195">
        <v>150.01150000000001</v>
      </c>
      <c r="M1461" s="195">
        <v>113.08369999999999</v>
      </c>
      <c r="N1461" s="195">
        <v>45.072270000000003</v>
      </c>
    </row>
    <row r="1462" spans="1:14" hidden="1" x14ac:dyDescent="0.35">
      <c r="A1462" s="52" t="s">
        <v>242</v>
      </c>
      <c r="B1462" s="52" t="s">
        <v>37</v>
      </c>
      <c r="C1462" s="52" t="s">
        <v>35</v>
      </c>
      <c r="D1462" s="52" t="s">
        <v>129</v>
      </c>
      <c r="E1462" s="52" t="s">
        <v>580</v>
      </c>
      <c r="F1462" s="52" t="s">
        <v>581</v>
      </c>
      <c r="G1462" s="195" t="s">
        <v>276</v>
      </c>
      <c r="H1462" s="195">
        <v>110.7229</v>
      </c>
      <c r="I1462" s="195">
        <v>-67.100909999999999</v>
      </c>
      <c r="J1462" s="195">
        <v>-75.47851</v>
      </c>
      <c r="K1462" s="195">
        <v>-98.599760000000003</v>
      </c>
      <c r="L1462" s="195">
        <v>-82.158760000000001</v>
      </c>
      <c r="M1462" s="195">
        <v>-46.519590000000001</v>
      </c>
      <c r="N1462" s="195">
        <v>6.9008000000000003</v>
      </c>
    </row>
    <row r="1463" spans="1:14" hidden="1" x14ac:dyDescent="0.35">
      <c r="A1463" s="52" t="s">
        <v>242</v>
      </c>
      <c r="B1463" s="52" t="s">
        <v>37</v>
      </c>
      <c r="C1463" s="52" t="s">
        <v>35</v>
      </c>
      <c r="D1463" s="52" t="s">
        <v>129</v>
      </c>
      <c r="E1463" s="52" t="s">
        <v>580</v>
      </c>
      <c r="F1463" s="52" t="s">
        <v>581</v>
      </c>
      <c r="G1463" s="195" t="s">
        <v>277</v>
      </c>
      <c r="H1463" s="195">
        <v>932.99149999999997</v>
      </c>
      <c r="I1463" s="195">
        <v>668.46969999999999</v>
      </c>
      <c r="J1463" s="195">
        <v>27.828309999999998</v>
      </c>
      <c r="K1463" s="195">
        <v>11.310689999999999</v>
      </c>
      <c r="L1463" s="195">
        <v>8.2763209999999994</v>
      </c>
      <c r="M1463" s="195">
        <v>9.3618640000000006</v>
      </c>
      <c r="N1463" s="195">
        <v>16.355160000000001</v>
      </c>
    </row>
    <row r="1464" spans="1:14" hidden="1" x14ac:dyDescent="0.35">
      <c r="A1464" s="52" t="s">
        <v>242</v>
      </c>
      <c r="B1464" s="52" t="s">
        <v>37</v>
      </c>
      <c r="C1464" s="52" t="s">
        <v>35</v>
      </c>
      <c r="D1464" s="52" t="s">
        <v>129</v>
      </c>
      <c r="E1464" s="52" t="s">
        <v>580</v>
      </c>
      <c r="F1464" s="52" t="s">
        <v>581</v>
      </c>
      <c r="G1464" s="195" t="s">
        <v>278</v>
      </c>
      <c r="H1464" s="195">
        <v>38.871940000000002</v>
      </c>
      <c r="I1464" s="195">
        <v>31.530329999999999</v>
      </c>
      <c r="J1464" s="195">
        <v>44.783320000000003</v>
      </c>
      <c r="K1464" s="195">
        <v>35.217329999999997</v>
      </c>
      <c r="L1464" s="195">
        <v>25.984999999999999</v>
      </c>
      <c r="M1464" s="195">
        <v>12.521710000000001</v>
      </c>
      <c r="N1464" s="195">
        <v>12.74593</v>
      </c>
    </row>
    <row r="1465" spans="1:14" hidden="1" x14ac:dyDescent="0.35">
      <c r="A1465" s="52" t="s">
        <v>242</v>
      </c>
      <c r="B1465" s="52" t="s">
        <v>37</v>
      </c>
      <c r="C1465" s="52" t="s">
        <v>35</v>
      </c>
      <c r="D1465" s="52" t="s">
        <v>129</v>
      </c>
      <c r="E1465" s="52" t="s">
        <v>580</v>
      </c>
      <c r="F1465" s="52" t="s">
        <v>581</v>
      </c>
      <c r="G1465" s="195" t="s">
        <v>279</v>
      </c>
      <c r="H1465" s="195">
        <v>345.83100000000002</v>
      </c>
      <c r="I1465" s="195">
        <v>227.62200000000001</v>
      </c>
      <c r="J1465" s="195">
        <v>186.77719999999999</v>
      </c>
      <c r="K1465" s="195">
        <v>158.25729999999999</v>
      </c>
      <c r="L1465" s="195">
        <v>147.23099999999999</v>
      </c>
      <c r="M1465" s="195">
        <v>116.4723</v>
      </c>
      <c r="N1465" s="195">
        <v>100.7163</v>
      </c>
    </row>
    <row r="1466" spans="1:14" hidden="1" x14ac:dyDescent="0.35">
      <c r="A1466" s="52" t="s">
        <v>242</v>
      </c>
      <c r="B1466" s="52" t="s">
        <v>37</v>
      </c>
      <c r="C1466" s="52" t="s">
        <v>35</v>
      </c>
      <c r="D1466" s="52" t="s">
        <v>129</v>
      </c>
      <c r="E1466" s="52" t="s">
        <v>580</v>
      </c>
      <c r="F1466" s="52" t="s">
        <v>26</v>
      </c>
      <c r="G1466" s="195" t="s">
        <v>275</v>
      </c>
      <c r="H1466" s="195">
        <v>19.137239999999998</v>
      </c>
      <c r="I1466" s="195">
        <v>6.6706320000000003</v>
      </c>
      <c r="J1466" s="195">
        <v>8.7581059999999997</v>
      </c>
      <c r="K1466" s="195">
        <v>5.5280440000000004</v>
      </c>
      <c r="L1466" s="195">
        <v>0.15484100000000001</v>
      </c>
      <c r="M1466" s="195">
        <v>0.61699499999999996</v>
      </c>
      <c r="N1466" s="195">
        <v>0.79826319999999995</v>
      </c>
    </row>
    <row r="1467" spans="1:14" hidden="1" x14ac:dyDescent="0.35">
      <c r="A1467" s="52" t="s">
        <v>242</v>
      </c>
      <c r="B1467" s="52" t="s">
        <v>37</v>
      </c>
      <c r="C1467" s="52" t="s">
        <v>35</v>
      </c>
      <c r="D1467" s="52" t="s">
        <v>129</v>
      </c>
      <c r="E1467" s="52" t="s">
        <v>580</v>
      </c>
      <c r="F1467" s="52" t="s">
        <v>26</v>
      </c>
      <c r="G1467" s="195" t="s">
        <v>276</v>
      </c>
      <c r="H1467" s="195">
        <v>5.0871380000000004</v>
      </c>
      <c r="I1467" s="195">
        <v>1.7732060000000001</v>
      </c>
      <c r="J1467" s="195">
        <v>2.328103</v>
      </c>
      <c r="K1467" s="195">
        <v>1.469479</v>
      </c>
      <c r="L1467" s="195">
        <v>4.115742E-2</v>
      </c>
      <c r="M1467" s="195">
        <v>0.1640066</v>
      </c>
      <c r="N1467" s="195">
        <v>0.21219740000000001</v>
      </c>
    </row>
    <row r="1468" spans="1:14" hidden="1" x14ac:dyDescent="0.35">
      <c r="A1468" s="52" t="s">
        <v>242</v>
      </c>
      <c r="B1468" s="52" t="s">
        <v>37</v>
      </c>
      <c r="C1468" s="52" t="s">
        <v>35</v>
      </c>
      <c r="D1468" s="52" t="s">
        <v>129</v>
      </c>
      <c r="E1468" s="52" t="s">
        <v>580</v>
      </c>
      <c r="F1468" s="52" t="s">
        <v>26</v>
      </c>
      <c r="G1468" s="195" t="s">
        <v>279</v>
      </c>
      <c r="H1468" s="195">
        <v>103.2659</v>
      </c>
      <c r="I1468" s="195">
        <v>87.197770000000006</v>
      </c>
      <c r="J1468" s="195">
        <v>73.297319999999999</v>
      </c>
      <c r="K1468" s="195">
        <v>63.831150000000001</v>
      </c>
      <c r="L1468" s="195">
        <v>60.060090000000002</v>
      </c>
      <c r="M1468" s="195">
        <v>47.992620000000002</v>
      </c>
      <c r="N1468" s="195">
        <v>41.577509999999997</v>
      </c>
    </row>
    <row r="1469" spans="1:14" hidden="1" x14ac:dyDescent="0.35">
      <c r="A1469" s="52" t="s">
        <v>242</v>
      </c>
      <c r="B1469" s="52" t="s">
        <v>37</v>
      </c>
      <c r="C1469" s="52" t="s">
        <v>35</v>
      </c>
      <c r="D1469" s="52" t="s">
        <v>129</v>
      </c>
      <c r="E1469" s="52" t="s">
        <v>582</v>
      </c>
      <c r="F1469" s="52" t="s">
        <v>581</v>
      </c>
      <c r="G1469" s="195" t="s">
        <v>275</v>
      </c>
      <c r="H1469" s="195">
        <v>150.26159999999999</v>
      </c>
      <c r="I1469" s="195">
        <v>15.807359999999999</v>
      </c>
      <c r="J1469" s="195">
        <v>44.253999999999998</v>
      </c>
      <c r="K1469" s="195">
        <v>36.060639999999999</v>
      </c>
      <c r="L1469" s="195">
        <v>30.60427</v>
      </c>
      <c r="M1469" s="195">
        <v>24.976209999999998</v>
      </c>
      <c r="N1469" s="195">
        <v>13.655900000000001</v>
      </c>
    </row>
    <row r="1470" spans="1:14" hidden="1" x14ac:dyDescent="0.35">
      <c r="A1470" s="52" t="s">
        <v>242</v>
      </c>
      <c r="B1470" s="52" t="s">
        <v>37</v>
      </c>
      <c r="C1470" s="52" t="s">
        <v>35</v>
      </c>
      <c r="D1470" s="52" t="s">
        <v>129</v>
      </c>
      <c r="E1470" s="52" t="s">
        <v>582</v>
      </c>
      <c r="F1470" s="52" t="s">
        <v>581</v>
      </c>
      <c r="G1470" s="195" t="s">
        <v>276</v>
      </c>
      <c r="H1470" s="195">
        <v>33.326610000000002</v>
      </c>
      <c r="I1470" s="195">
        <v>-7.7564780000000004</v>
      </c>
      <c r="J1470" s="195">
        <v>-11.658849999999999</v>
      </c>
      <c r="K1470" s="195">
        <v>-1.9002140000000001</v>
      </c>
      <c r="L1470" s="195">
        <v>-2.7610600000000001</v>
      </c>
      <c r="M1470" s="195">
        <v>2.2647560000000002</v>
      </c>
      <c r="N1470" s="195">
        <v>4.0241889999999998</v>
      </c>
    </row>
    <row r="1471" spans="1:14" hidden="1" x14ac:dyDescent="0.35">
      <c r="A1471" s="52" t="s">
        <v>242</v>
      </c>
      <c r="B1471" s="52" t="s">
        <v>37</v>
      </c>
      <c r="C1471" s="52" t="s">
        <v>35</v>
      </c>
      <c r="D1471" s="52" t="s">
        <v>129</v>
      </c>
      <c r="E1471" s="52" t="s">
        <v>582</v>
      </c>
      <c r="F1471" s="52" t="s">
        <v>581</v>
      </c>
      <c r="G1471" s="195" t="s">
        <v>277</v>
      </c>
      <c r="H1471" s="195">
        <v>92.617580000000004</v>
      </c>
      <c r="I1471" s="195">
        <v>37.833289999999998</v>
      </c>
      <c r="J1471" s="195">
        <v>12.377879999999999</v>
      </c>
      <c r="K1471" s="195">
        <v>2.5467740000000001</v>
      </c>
      <c r="L1471" s="195">
        <v>1.0597240000000001</v>
      </c>
      <c r="M1471" s="195">
        <v>1.194142</v>
      </c>
      <c r="N1471" s="195">
        <v>2.9101900000000001</v>
      </c>
    </row>
    <row r="1472" spans="1:14" hidden="1" x14ac:dyDescent="0.35">
      <c r="A1472" s="52" t="s">
        <v>242</v>
      </c>
      <c r="B1472" s="52" t="s">
        <v>37</v>
      </c>
      <c r="C1472" s="52" t="s">
        <v>35</v>
      </c>
      <c r="D1472" s="52" t="s">
        <v>129</v>
      </c>
      <c r="E1472" s="52" t="s">
        <v>582</v>
      </c>
      <c r="F1472" s="52" t="s">
        <v>581</v>
      </c>
      <c r="G1472" s="195" t="s">
        <v>278</v>
      </c>
      <c r="H1472" s="195">
        <v>3.4583170000000001</v>
      </c>
      <c r="I1472" s="195">
        <v>2.166706</v>
      </c>
      <c r="J1472" s="195">
        <v>0</v>
      </c>
      <c r="K1472" s="195">
        <v>4.2391209999999999</v>
      </c>
      <c r="L1472" s="195">
        <v>5.349888</v>
      </c>
      <c r="M1472" s="195">
        <v>2.667373</v>
      </c>
      <c r="N1472" s="195">
        <v>7.9471049999999996</v>
      </c>
    </row>
    <row r="1473" spans="1:14" hidden="1" x14ac:dyDescent="0.35">
      <c r="A1473" s="52" t="s">
        <v>242</v>
      </c>
      <c r="B1473" s="52" t="s">
        <v>37</v>
      </c>
      <c r="C1473" s="52" t="s">
        <v>35</v>
      </c>
      <c r="D1473" s="52" t="s">
        <v>129</v>
      </c>
      <c r="E1473" s="52" t="s">
        <v>582</v>
      </c>
      <c r="F1473" s="52" t="s">
        <v>581</v>
      </c>
      <c r="G1473" s="195" t="s">
        <v>279</v>
      </c>
      <c r="H1473" s="195">
        <v>76.952259999999995</v>
      </c>
      <c r="I1473" s="195">
        <v>34.372700000000002</v>
      </c>
      <c r="J1473" s="195">
        <v>36.769820000000003</v>
      </c>
      <c r="K1473" s="195">
        <v>34.859229999999997</v>
      </c>
      <c r="L1473" s="195">
        <v>35.369390000000003</v>
      </c>
      <c r="M1473" s="195">
        <v>31.083860000000001</v>
      </c>
      <c r="N1473" s="195">
        <v>28.400860000000002</v>
      </c>
    </row>
    <row r="1474" spans="1:14" hidden="1" x14ac:dyDescent="0.35">
      <c r="A1474" s="52" t="s">
        <v>242</v>
      </c>
      <c r="B1474" s="52" t="s">
        <v>37</v>
      </c>
      <c r="C1474" s="52" t="s">
        <v>35</v>
      </c>
      <c r="D1474" s="52" t="s">
        <v>129</v>
      </c>
      <c r="E1474" s="52" t="s">
        <v>582</v>
      </c>
      <c r="F1474" s="52" t="s">
        <v>26</v>
      </c>
      <c r="G1474" s="195" t="s">
        <v>275</v>
      </c>
      <c r="H1474" s="195">
        <v>2.293256</v>
      </c>
      <c r="I1474" s="195">
        <v>0.74453990000000003</v>
      </c>
      <c r="J1474" s="195">
        <v>1.151165</v>
      </c>
      <c r="K1474" s="195">
        <v>0.84475509999999998</v>
      </c>
      <c r="L1474" s="195">
        <v>0.19884060000000001</v>
      </c>
      <c r="M1474" s="195">
        <v>0.22475580000000001</v>
      </c>
      <c r="N1474" s="195">
        <v>0.2132646</v>
      </c>
    </row>
    <row r="1475" spans="1:14" hidden="1" x14ac:dyDescent="0.35">
      <c r="A1475" s="52" t="s">
        <v>242</v>
      </c>
      <c r="B1475" s="52" t="s">
        <v>37</v>
      </c>
      <c r="C1475" s="52" t="s">
        <v>35</v>
      </c>
      <c r="D1475" s="52" t="s">
        <v>129</v>
      </c>
      <c r="E1475" s="52" t="s">
        <v>582</v>
      </c>
      <c r="F1475" s="52" t="s">
        <v>26</v>
      </c>
      <c r="G1475" s="195" t="s">
        <v>276</v>
      </c>
      <c r="H1475" s="195">
        <v>0.60959799999999997</v>
      </c>
      <c r="I1475" s="195">
        <v>0.1979146</v>
      </c>
      <c r="J1475" s="195">
        <v>0.30600500000000003</v>
      </c>
      <c r="K1475" s="195">
        <v>0.22455420000000001</v>
      </c>
      <c r="L1475" s="195">
        <v>5.2857800000000003E-2</v>
      </c>
      <c r="M1475" s="195">
        <v>5.9745399999999997E-2</v>
      </c>
      <c r="N1475" s="195">
        <v>5.6690400000000002E-2</v>
      </c>
    </row>
    <row r="1476" spans="1:14" hidden="1" x14ac:dyDescent="0.35">
      <c r="A1476" s="52" t="s">
        <v>242</v>
      </c>
      <c r="B1476" s="52" t="s">
        <v>37</v>
      </c>
      <c r="C1476" s="52" t="s">
        <v>35</v>
      </c>
      <c r="D1476" s="52" t="s">
        <v>129</v>
      </c>
      <c r="E1476" s="52" t="s">
        <v>582</v>
      </c>
      <c r="F1476" s="52" t="s">
        <v>26</v>
      </c>
      <c r="G1476" s="195" t="s">
        <v>279</v>
      </c>
      <c r="H1476" s="195">
        <v>10.775740000000001</v>
      </c>
      <c r="I1476" s="195">
        <v>7.0947839999999998</v>
      </c>
      <c r="J1476" s="195">
        <v>7.8097190000000003</v>
      </c>
      <c r="K1476" s="195">
        <v>7.5290509999999999</v>
      </c>
      <c r="L1476" s="195">
        <v>7.6109859999999996</v>
      </c>
      <c r="M1476" s="195">
        <v>6.6969799999999999</v>
      </c>
      <c r="N1476" s="195">
        <v>6.1176700000000004</v>
      </c>
    </row>
    <row r="1477" spans="1:14" hidden="1" x14ac:dyDescent="0.35">
      <c r="A1477" s="52" t="s">
        <v>242</v>
      </c>
      <c r="B1477" s="52" t="s">
        <v>37</v>
      </c>
      <c r="C1477" s="52" t="s">
        <v>35</v>
      </c>
      <c r="D1477" s="52" t="s">
        <v>207</v>
      </c>
      <c r="E1477" s="52" t="s">
        <v>592</v>
      </c>
      <c r="F1477" s="52" t="s">
        <v>581</v>
      </c>
      <c r="G1477" s="195" t="s">
        <v>275</v>
      </c>
      <c r="H1477" s="195">
        <v>1.0969070000000001</v>
      </c>
      <c r="I1477" s="195">
        <v>1.4862010000000001</v>
      </c>
      <c r="J1477" s="195">
        <v>1.2761340000000001</v>
      </c>
      <c r="K1477" s="195">
        <v>1.3191189999999999</v>
      </c>
      <c r="L1477" s="195">
        <v>0.34327479999999999</v>
      </c>
      <c r="M1477" s="195">
        <v>0.29875220000000002</v>
      </c>
      <c r="N1477" s="195">
        <v>0.2559768</v>
      </c>
    </row>
    <row r="1478" spans="1:14" hidden="1" x14ac:dyDescent="0.35">
      <c r="A1478" s="52" t="s">
        <v>242</v>
      </c>
      <c r="B1478" s="52" t="s">
        <v>37</v>
      </c>
      <c r="C1478" s="52" t="s">
        <v>35</v>
      </c>
      <c r="D1478" s="52" t="s">
        <v>207</v>
      </c>
      <c r="E1478" s="52" t="s">
        <v>592</v>
      </c>
      <c r="F1478" s="52" t="s">
        <v>581</v>
      </c>
      <c r="G1478" s="195" t="s">
        <v>276</v>
      </c>
      <c r="H1478" s="195">
        <v>0.44897999999999999</v>
      </c>
      <c r="I1478" s="195">
        <v>-0.26804480000000003</v>
      </c>
      <c r="J1478" s="195">
        <v>-0.57565080000000002</v>
      </c>
      <c r="K1478" s="195">
        <v>-0.75875740000000003</v>
      </c>
      <c r="L1478" s="195">
        <v>-0.4363668</v>
      </c>
      <c r="M1478" s="195">
        <v>5.9306400000000002E-2</v>
      </c>
      <c r="N1478" s="195">
        <v>5.1957999999999997E-2</v>
      </c>
    </row>
    <row r="1479" spans="1:14" hidden="1" x14ac:dyDescent="0.35">
      <c r="A1479" s="52" t="s">
        <v>242</v>
      </c>
      <c r="B1479" s="52" t="s">
        <v>37</v>
      </c>
      <c r="C1479" s="52" t="s">
        <v>35</v>
      </c>
      <c r="D1479" s="52" t="s">
        <v>207</v>
      </c>
      <c r="E1479" s="52" t="s">
        <v>592</v>
      </c>
      <c r="F1479" s="52" t="s">
        <v>581</v>
      </c>
      <c r="G1479" s="195" t="s">
        <v>277</v>
      </c>
      <c r="H1479" s="195">
        <v>5.7692379999999996</v>
      </c>
      <c r="I1479" s="195">
        <v>0</v>
      </c>
      <c r="J1479" s="195"/>
      <c r="K1479" s="195">
        <v>0</v>
      </c>
      <c r="L1479" s="195">
        <v>0.47279359999999998</v>
      </c>
      <c r="M1479" s="195">
        <v>0</v>
      </c>
      <c r="N1479" s="195">
        <v>0</v>
      </c>
    </row>
    <row r="1480" spans="1:14" hidden="1" x14ac:dyDescent="0.35">
      <c r="A1480" s="52" t="s">
        <v>242</v>
      </c>
      <c r="B1480" s="52" t="s">
        <v>37</v>
      </c>
      <c r="C1480" s="52" t="s">
        <v>35</v>
      </c>
      <c r="D1480" s="52" t="s">
        <v>207</v>
      </c>
      <c r="E1480" s="52" t="s">
        <v>592</v>
      </c>
      <c r="F1480" s="52" t="s">
        <v>581</v>
      </c>
      <c r="G1480" s="195" t="s">
        <v>279</v>
      </c>
      <c r="H1480" s="195">
        <v>3.3234460000000001</v>
      </c>
      <c r="I1480" s="195">
        <v>2.076362</v>
      </c>
      <c r="J1480" s="195">
        <v>1.5119940000000001</v>
      </c>
      <c r="K1480" s="195">
        <v>1.276106</v>
      </c>
      <c r="L1480" s="195">
        <v>1.2975190000000001</v>
      </c>
      <c r="M1480" s="195">
        <v>1.144126</v>
      </c>
      <c r="N1480" s="195">
        <v>0.98687199999999997</v>
      </c>
    </row>
    <row r="1481" spans="1:14" hidden="1" x14ac:dyDescent="0.35">
      <c r="A1481" s="52" t="s">
        <v>242</v>
      </c>
      <c r="B1481" s="52" t="s">
        <v>37</v>
      </c>
      <c r="C1481" s="52" t="s">
        <v>35</v>
      </c>
      <c r="D1481" s="52" t="s">
        <v>207</v>
      </c>
      <c r="E1481" s="52" t="s">
        <v>592</v>
      </c>
      <c r="F1481" s="52" t="s">
        <v>26</v>
      </c>
      <c r="G1481" s="195" t="s">
        <v>275</v>
      </c>
      <c r="H1481" s="195">
        <v>-2.1332E-2</v>
      </c>
      <c r="I1481" s="195">
        <v>-3.8801799999999997E-2</v>
      </c>
      <c r="J1481" s="195">
        <v>-2.2387600000000001E-2</v>
      </c>
      <c r="K1481" s="195">
        <v>-2.24274E-2</v>
      </c>
      <c r="L1481" s="195">
        <v>-3.38906E-2</v>
      </c>
      <c r="M1481" s="195">
        <v>-2.9047E-2</v>
      </c>
      <c r="N1481" s="195">
        <v>-2.5001800000000001E-2</v>
      </c>
    </row>
    <row r="1482" spans="1:14" hidden="1" x14ac:dyDescent="0.35">
      <c r="A1482" s="52" t="s">
        <v>242</v>
      </c>
      <c r="B1482" s="52" t="s">
        <v>37</v>
      </c>
      <c r="C1482" s="52" t="s">
        <v>35</v>
      </c>
      <c r="D1482" s="52" t="s">
        <v>207</v>
      </c>
      <c r="E1482" s="52" t="s">
        <v>592</v>
      </c>
      <c r="F1482" s="52" t="s">
        <v>26</v>
      </c>
      <c r="G1482" s="195" t="s">
        <v>276</v>
      </c>
      <c r="H1482" s="195">
        <v>-5.6699999999999997E-3</v>
      </c>
      <c r="I1482" s="195">
        <v>-1.0314800000000001E-2</v>
      </c>
      <c r="J1482" s="195">
        <v>-5.9515999999999996E-3</v>
      </c>
      <c r="K1482" s="195">
        <v>-5.9617999999999997E-3</v>
      </c>
      <c r="L1482" s="195">
        <v>-9.0095999999999996E-3</v>
      </c>
      <c r="M1482" s="195">
        <v>-7.7228000000000002E-3</v>
      </c>
      <c r="N1482" s="195">
        <v>-6.6470000000000001E-3</v>
      </c>
    </row>
    <row r="1483" spans="1:14" hidden="1" x14ac:dyDescent="0.35">
      <c r="A1483" s="52" t="s">
        <v>242</v>
      </c>
      <c r="B1483" s="52" t="s">
        <v>37</v>
      </c>
      <c r="C1483" s="52" t="s">
        <v>35</v>
      </c>
      <c r="D1483" s="52" t="s">
        <v>207</v>
      </c>
      <c r="E1483" s="52" t="s">
        <v>592</v>
      </c>
      <c r="F1483" s="52" t="s">
        <v>26</v>
      </c>
      <c r="G1483" s="195" t="s">
        <v>279</v>
      </c>
      <c r="H1483" s="195">
        <v>0.295653</v>
      </c>
      <c r="I1483" s="195">
        <v>0.2581196</v>
      </c>
      <c r="J1483" s="195">
        <v>0.1917846</v>
      </c>
      <c r="K1483" s="195">
        <v>0.16382959999999999</v>
      </c>
      <c r="L1483" s="195">
        <v>0.16585140000000001</v>
      </c>
      <c r="M1483" s="195">
        <v>0.14644380000000001</v>
      </c>
      <c r="N1483" s="195">
        <v>0.12633559999999999</v>
      </c>
    </row>
    <row r="1484" spans="1:14" hidden="1" x14ac:dyDescent="0.35">
      <c r="A1484" s="52" t="s">
        <v>242</v>
      </c>
      <c r="B1484" s="52" t="s">
        <v>37</v>
      </c>
      <c r="C1484" s="52" t="s">
        <v>51</v>
      </c>
      <c r="D1484" s="52" t="s">
        <v>51</v>
      </c>
      <c r="E1484" s="52" t="s">
        <v>602</v>
      </c>
      <c r="F1484" s="52" t="s">
        <v>581</v>
      </c>
      <c r="G1484" s="195" t="s">
        <v>275</v>
      </c>
      <c r="H1484" s="195">
        <v>273.33749999999998</v>
      </c>
      <c r="I1484" s="195">
        <v>58.862180000000002</v>
      </c>
      <c r="J1484" s="195">
        <v>43.450949999999999</v>
      </c>
      <c r="K1484" s="195">
        <v>34.882730000000002</v>
      </c>
      <c r="L1484" s="195">
        <v>25.29598</v>
      </c>
      <c r="M1484" s="195">
        <v>18.727029999999999</v>
      </c>
      <c r="N1484" s="195">
        <v>15.15183</v>
      </c>
    </row>
    <row r="1485" spans="1:14" hidden="1" x14ac:dyDescent="0.35">
      <c r="A1485" s="52" t="s">
        <v>242</v>
      </c>
      <c r="B1485" s="52" t="s">
        <v>37</v>
      </c>
      <c r="C1485" s="52" t="s">
        <v>51</v>
      </c>
      <c r="D1485" s="52" t="s">
        <v>51</v>
      </c>
      <c r="E1485" s="52" t="s">
        <v>602</v>
      </c>
      <c r="F1485" s="52" t="s">
        <v>581</v>
      </c>
      <c r="G1485" s="195" t="s">
        <v>276</v>
      </c>
      <c r="H1485" s="195">
        <v>35.735840000000003</v>
      </c>
      <c r="I1485" s="195">
        <v>2.8443520000000002</v>
      </c>
      <c r="J1485" s="195">
        <v>-7.9324260000000004</v>
      </c>
      <c r="K1485" s="195">
        <v>-3.3003339999999999</v>
      </c>
      <c r="L1485" s="195">
        <v>-6.1040000000000001</v>
      </c>
      <c r="M1485" s="195">
        <v>2.7462080000000002</v>
      </c>
      <c r="N1485" s="195">
        <v>2.9242940000000002</v>
      </c>
    </row>
    <row r="1486" spans="1:14" hidden="1" x14ac:dyDescent="0.35">
      <c r="A1486" s="52" t="s">
        <v>242</v>
      </c>
      <c r="B1486" s="52" t="s">
        <v>37</v>
      </c>
      <c r="C1486" s="52" t="s">
        <v>51</v>
      </c>
      <c r="D1486" s="52" t="s">
        <v>51</v>
      </c>
      <c r="E1486" s="52" t="s">
        <v>602</v>
      </c>
      <c r="F1486" s="52" t="s">
        <v>581</v>
      </c>
      <c r="G1486" s="195" t="s">
        <v>277</v>
      </c>
      <c r="H1486" s="195">
        <v>116.0603</v>
      </c>
      <c r="I1486" s="195">
        <v>15.647460000000001</v>
      </c>
      <c r="J1486" s="195">
        <v>10.25611</v>
      </c>
      <c r="K1486" s="195">
        <v>7.3878740000000001</v>
      </c>
      <c r="L1486" s="195">
        <v>5.1066570000000002</v>
      </c>
      <c r="M1486" s="195">
        <v>1.040591</v>
      </c>
      <c r="N1486" s="195">
        <v>2.4791789999999998</v>
      </c>
    </row>
    <row r="1487" spans="1:14" hidden="1" x14ac:dyDescent="0.35">
      <c r="A1487" s="52" t="s">
        <v>242</v>
      </c>
      <c r="B1487" s="52" t="s">
        <v>37</v>
      </c>
      <c r="C1487" s="52" t="s">
        <v>51</v>
      </c>
      <c r="D1487" s="52" t="s">
        <v>51</v>
      </c>
      <c r="E1487" s="52" t="s">
        <v>602</v>
      </c>
      <c r="F1487" s="52" t="s">
        <v>581</v>
      </c>
      <c r="G1487" s="195" t="s">
        <v>278</v>
      </c>
      <c r="H1487" s="195">
        <v>4.4858880000000001</v>
      </c>
      <c r="I1487" s="195">
        <v>1.1171489999999999</v>
      </c>
      <c r="J1487" s="195">
        <v>2.2701560000000001</v>
      </c>
      <c r="K1487" s="195">
        <v>1.869175</v>
      </c>
      <c r="L1487" s="195">
        <v>2.291134</v>
      </c>
      <c r="M1487" s="195">
        <v>1.6118749999999999</v>
      </c>
      <c r="N1487" s="195">
        <v>1.644671</v>
      </c>
    </row>
    <row r="1488" spans="1:14" hidden="1" x14ac:dyDescent="0.35">
      <c r="A1488" s="52" t="s">
        <v>242</v>
      </c>
      <c r="B1488" s="52" t="s">
        <v>37</v>
      </c>
      <c r="C1488" s="52" t="s">
        <v>51</v>
      </c>
      <c r="D1488" s="52" t="s">
        <v>51</v>
      </c>
      <c r="E1488" s="52" t="s">
        <v>602</v>
      </c>
      <c r="F1488" s="52" t="s">
        <v>581</v>
      </c>
      <c r="G1488" s="195" t="s">
        <v>279</v>
      </c>
      <c r="H1488" s="195">
        <v>177.25360000000001</v>
      </c>
      <c r="I1488" s="195">
        <v>128.58369999999999</v>
      </c>
      <c r="J1488" s="195">
        <v>101.52460000000001</v>
      </c>
      <c r="K1488" s="195">
        <v>91.55256</v>
      </c>
      <c r="L1488" s="195">
        <v>90.074579999999997</v>
      </c>
      <c r="M1488" s="195">
        <v>75.375690000000006</v>
      </c>
      <c r="N1488" s="195">
        <v>66.056629999999998</v>
      </c>
    </row>
    <row r="1489" spans="1:14" hidden="1" x14ac:dyDescent="0.35">
      <c r="A1489" s="52" t="s">
        <v>242</v>
      </c>
      <c r="B1489" s="52" t="s">
        <v>37</v>
      </c>
      <c r="C1489" s="52" t="s">
        <v>51</v>
      </c>
      <c r="D1489" s="52" t="s">
        <v>51</v>
      </c>
      <c r="E1489" s="52" t="s">
        <v>602</v>
      </c>
      <c r="F1489" s="52" t="s">
        <v>26</v>
      </c>
      <c r="G1489" s="195" t="s">
        <v>275</v>
      </c>
      <c r="H1489" s="195">
        <v>0.81746010000000002</v>
      </c>
      <c r="I1489" s="195">
        <v>-1.3233060000000001</v>
      </c>
      <c r="J1489" s="195">
        <v>-0.3863356</v>
      </c>
      <c r="K1489" s="195">
        <v>-0.82108210000000004</v>
      </c>
      <c r="L1489" s="195">
        <v>-2.115561</v>
      </c>
      <c r="M1489" s="195">
        <v>-1.660377</v>
      </c>
      <c r="N1489" s="195">
        <v>-1.4079159999999999</v>
      </c>
    </row>
    <row r="1490" spans="1:14" hidden="1" x14ac:dyDescent="0.35">
      <c r="A1490" s="52" t="s">
        <v>242</v>
      </c>
      <c r="B1490" s="52" t="s">
        <v>37</v>
      </c>
      <c r="C1490" s="52" t="s">
        <v>51</v>
      </c>
      <c r="D1490" s="52" t="s">
        <v>51</v>
      </c>
      <c r="E1490" s="52" t="s">
        <v>602</v>
      </c>
      <c r="F1490" s="52" t="s">
        <v>26</v>
      </c>
      <c r="G1490" s="195" t="s">
        <v>276</v>
      </c>
      <c r="H1490" s="195">
        <v>0.21729599999999999</v>
      </c>
      <c r="I1490" s="195">
        <v>-0.35176619999999997</v>
      </c>
      <c r="J1490" s="195">
        <v>-0.1026972</v>
      </c>
      <c r="K1490" s="195">
        <v>-0.21825900000000001</v>
      </c>
      <c r="L1490" s="195">
        <v>-0.56236600000000003</v>
      </c>
      <c r="M1490" s="195">
        <v>-0.44136579999999997</v>
      </c>
      <c r="N1490" s="195">
        <v>-0.3742568</v>
      </c>
    </row>
    <row r="1491" spans="1:14" hidden="1" x14ac:dyDescent="0.35">
      <c r="A1491" s="52" t="s">
        <v>242</v>
      </c>
      <c r="B1491" s="52" t="s">
        <v>37</v>
      </c>
      <c r="C1491" s="52" t="s">
        <v>51</v>
      </c>
      <c r="D1491" s="52" t="s">
        <v>51</v>
      </c>
      <c r="E1491" s="52" t="s">
        <v>602</v>
      </c>
      <c r="F1491" s="52" t="s">
        <v>26</v>
      </c>
      <c r="G1491" s="195" t="s">
        <v>279</v>
      </c>
      <c r="H1491" s="195">
        <v>26.81495</v>
      </c>
      <c r="I1491" s="195">
        <v>24.3551</v>
      </c>
      <c r="J1491" s="195">
        <v>19.647189999999998</v>
      </c>
      <c r="K1491" s="195">
        <v>17.850439999999999</v>
      </c>
      <c r="L1491" s="195">
        <v>17.3627</v>
      </c>
      <c r="M1491" s="195">
        <v>14.48015</v>
      </c>
      <c r="N1491" s="195">
        <v>12.676310000000001</v>
      </c>
    </row>
    <row r="1492" spans="1:14" hidden="1" x14ac:dyDescent="0.35">
      <c r="A1492" s="52" t="s">
        <v>242</v>
      </c>
      <c r="B1492" s="52" t="s">
        <v>37</v>
      </c>
      <c r="C1492" s="52" t="s">
        <v>115</v>
      </c>
      <c r="D1492" s="52" t="s">
        <v>115</v>
      </c>
      <c r="E1492" s="52" t="s">
        <v>595</v>
      </c>
      <c r="F1492" s="52" t="s">
        <v>581</v>
      </c>
      <c r="G1492" s="195" t="s">
        <v>275</v>
      </c>
      <c r="H1492" s="195">
        <v>15.82708</v>
      </c>
      <c r="I1492" s="195">
        <v>13.79144</v>
      </c>
      <c r="J1492" s="195">
        <v>31.59629</v>
      </c>
      <c r="K1492" s="195">
        <v>26.995560000000001</v>
      </c>
      <c r="L1492" s="195">
        <v>19.614049999999999</v>
      </c>
      <c r="M1492" s="195">
        <v>11.922190000000001</v>
      </c>
      <c r="N1492" s="195">
        <v>8.2662150000000008</v>
      </c>
    </row>
    <row r="1493" spans="1:14" hidden="1" x14ac:dyDescent="0.35">
      <c r="A1493" s="52" t="s">
        <v>242</v>
      </c>
      <c r="B1493" s="52" t="s">
        <v>37</v>
      </c>
      <c r="C1493" s="52" t="s">
        <v>115</v>
      </c>
      <c r="D1493" s="52" t="s">
        <v>115</v>
      </c>
      <c r="E1493" s="52" t="s">
        <v>595</v>
      </c>
      <c r="F1493" s="52" t="s">
        <v>581</v>
      </c>
      <c r="G1493" s="195" t="s">
        <v>276</v>
      </c>
      <c r="H1493" s="195">
        <v>14.535220000000001</v>
      </c>
      <c r="I1493" s="195">
        <v>-13.206619999999999</v>
      </c>
      <c r="J1493" s="195">
        <v>-18.26371</v>
      </c>
      <c r="K1493" s="195">
        <v>-15.17633</v>
      </c>
      <c r="L1493" s="195">
        <v>-10.00375</v>
      </c>
      <c r="M1493" s="195">
        <v>-1.2597670000000001</v>
      </c>
      <c r="N1493" s="195">
        <v>0.75469989999999998</v>
      </c>
    </row>
    <row r="1494" spans="1:14" hidden="1" x14ac:dyDescent="0.35">
      <c r="A1494" s="52" t="s">
        <v>242</v>
      </c>
      <c r="B1494" s="52" t="s">
        <v>37</v>
      </c>
      <c r="C1494" s="52" t="s">
        <v>115</v>
      </c>
      <c r="D1494" s="52" t="s">
        <v>115</v>
      </c>
      <c r="E1494" s="52" t="s">
        <v>595</v>
      </c>
      <c r="F1494" s="52" t="s">
        <v>581</v>
      </c>
      <c r="G1494" s="195" t="s">
        <v>277</v>
      </c>
      <c r="H1494" s="195">
        <v>130.93559999999999</v>
      </c>
      <c r="I1494" s="195">
        <v>34.557130000000001</v>
      </c>
      <c r="J1494" s="195">
        <v>10.639810000000001</v>
      </c>
      <c r="K1494" s="195">
        <v>6.1610719999999999</v>
      </c>
      <c r="L1494" s="195">
        <v>3.4230260000000001</v>
      </c>
      <c r="M1494" s="195">
        <v>0</v>
      </c>
      <c r="N1494" s="195">
        <v>0</v>
      </c>
    </row>
    <row r="1495" spans="1:14" hidden="1" x14ac:dyDescent="0.35">
      <c r="A1495" s="52" t="s">
        <v>242</v>
      </c>
      <c r="B1495" s="52" t="s">
        <v>37</v>
      </c>
      <c r="C1495" s="52" t="s">
        <v>115</v>
      </c>
      <c r="D1495" s="52" t="s">
        <v>115</v>
      </c>
      <c r="E1495" s="52" t="s">
        <v>595</v>
      </c>
      <c r="F1495" s="52" t="s">
        <v>581</v>
      </c>
      <c r="G1495" s="195" t="s">
        <v>278</v>
      </c>
      <c r="H1495" s="195">
        <v>1.093442</v>
      </c>
      <c r="I1495" s="195">
        <v>0.19752919999999999</v>
      </c>
      <c r="J1495" s="195">
        <v>0</v>
      </c>
      <c r="K1495" s="195"/>
      <c r="L1495" s="195"/>
      <c r="M1495" s="195"/>
      <c r="N1495" s="195"/>
    </row>
    <row r="1496" spans="1:14" hidden="1" x14ac:dyDescent="0.35">
      <c r="A1496" s="52" t="s">
        <v>242</v>
      </c>
      <c r="B1496" s="52" t="s">
        <v>37</v>
      </c>
      <c r="C1496" s="52" t="s">
        <v>115</v>
      </c>
      <c r="D1496" s="52" t="s">
        <v>115</v>
      </c>
      <c r="E1496" s="52" t="s">
        <v>595</v>
      </c>
      <c r="F1496" s="52" t="s">
        <v>581</v>
      </c>
      <c r="G1496" s="195" t="s">
        <v>279</v>
      </c>
      <c r="H1496" s="195">
        <v>51.721969999999999</v>
      </c>
      <c r="I1496" s="195">
        <v>33.977539999999998</v>
      </c>
      <c r="J1496" s="195">
        <v>27.326229999999999</v>
      </c>
      <c r="K1496" s="195">
        <v>21.315380000000001</v>
      </c>
      <c r="L1496" s="195">
        <v>19.74727</v>
      </c>
      <c r="M1496" s="195">
        <v>15.70158</v>
      </c>
      <c r="N1496" s="195">
        <v>13.2921</v>
      </c>
    </row>
    <row r="1497" spans="1:14" hidden="1" x14ac:dyDescent="0.35">
      <c r="A1497" s="52" t="s">
        <v>242</v>
      </c>
      <c r="B1497" s="52" t="s">
        <v>37</v>
      </c>
      <c r="C1497" s="52" t="s">
        <v>115</v>
      </c>
      <c r="D1497" s="52" t="s">
        <v>115</v>
      </c>
      <c r="E1497" s="52" t="s">
        <v>595</v>
      </c>
      <c r="F1497" s="52" t="s">
        <v>26</v>
      </c>
      <c r="G1497" s="195" t="s">
        <v>275</v>
      </c>
      <c r="H1497" s="195">
        <v>8.5791529999999998</v>
      </c>
      <c r="I1497" s="195">
        <v>4.5089949999999996</v>
      </c>
      <c r="J1497" s="195">
        <v>4.889653</v>
      </c>
      <c r="K1497" s="195">
        <v>3.1253700000000002</v>
      </c>
      <c r="L1497" s="195">
        <v>1.173921</v>
      </c>
      <c r="M1497" s="195">
        <v>1.027188</v>
      </c>
      <c r="N1497" s="195">
        <v>0.878081</v>
      </c>
    </row>
    <row r="1498" spans="1:14" hidden="1" x14ac:dyDescent="0.35">
      <c r="A1498" s="52" t="s">
        <v>242</v>
      </c>
      <c r="B1498" s="52" t="s">
        <v>37</v>
      </c>
      <c r="C1498" s="52" t="s">
        <v>115</v>
      </c>
      <c r="D1498" s="52" t="s">
        <v>115</v>
      </c>
      <c r="E1498" s="52" t="s">
        <v>595</v>
      </c>
      <c r="F1498" s="52" t="s">
        <v>26</v>
      </c>
      <c r="G1498" s="195" t="s">
        <v>276</v>
      </c>
      <c r="H1498" s="195">
        <v>2.2805300000000002</v>
      </c>
      <c r="I1498" s="195">
        <v>1.198591</v>
      </c>
      <c r="J1498" s="195">
        <v>1.299779</v>
      </c>
      <c r="K1498" s="195">
        <v>0.8307928</v>
      </c>
      <c r="L1498" s="195">
        <v>0.31205319999999998</v>
      </c>
      <c r="M1498" s="195">
        <v>0.27305020000000002</v>
      </c>
      <c r="N1498" s="195">
        <v>0.23341400000000001</v>
      </c>
    </row>
    <row r="1499" spans="1:14" hidden="1" x14ac:dyDescent="0.35">
      <c r="A1499" s="52" t="s">
        <v>242</v>
      </c>
      <c r="B1499" s="52" t="s">
        <v>37</v>
      </c>
      <c r="C1499" s="52" t="s">
        <v>115</v>
      </c>
      <c r="D1499" s="52" t="s">
        <v>115</v>
      </c>
      <c r="E1499" s="52" t="s">
        <v>595</v>
      </c>
      <c r="F1499" s="52" t="s">
        <v>26</v>
      </c>
      <c r="G1499" s="195" t="s">
        <v>279</v>
      </c>
      <c r="H1499" s="195">
        <v>33.735660000000003</v>
      </c>
      <c r="I1499" s="195">
        <v>31.64883</v>
      </c>
      <c r="J1499" s="195">
        <v>26.14921</v>
      </c>
      <c r="K1499" s="195">
        <v>20.717400000000001</v>
      </c>
      <c r="L1499" s="195">
        <v>19.055479999999999</v>
      </c>
      <c r="M1499" s="195">
        <v>15.188330000000001</v>
      </c>
      <c r="N1499" s="195">
        <v>12.85955</v>
      </c>
    </row>
    <row r="1500" spans="1:14" hidden="1" x14ac:dyDescent="0.35">
      <c r="A1500" s="52" t="s">
        <v>242</v>
      </c>
      <c r="B1500" s="52" t="s">
        <v>37</v>
      </c>
      <c r="C1500" s="52" t="s">
        <v>115</v>
      </c>
      <c r="D1500" s="52" t="s">
        <v>115</v>
      </c>
      <c r="E1500" s="52" t="s">
        <v>597</v>
      </c>
      <c r="F1500" s="52" t="s">
        <v>581</v>
      </c>
      <c r="G1500" s="195" t="s">
        <v>275</v>
      </c>
      <c r="H1500" s="195">
        <v>10.51052</v>
      </c>
      <c r="I1500" s="195">
        <v>10.765029999999999</v>
      </c>
      <c r="J1500" s="195">
        <v>8.963203</v>
      </c>
      <c r="K1500" s="195">
        <v>11.830870000000001</v>
      </c>
      <c r="L1500" s="195">
        <v>8.6305899999999998</v>
      </c>
      <c r="M1500" s="195">
        <v>4.6214810000000002</v>
      </c>
      <c r="N1500" s="195">
        <v>3.4346009999999998</v>
      </c>
    </row>
    <row r="1501" spans="1:14" hidden="1" x14ac:dyDescent="0.35">
      <c r="A1501" s="52" t="s">
        <v>242</v>
      </c>
      <c r="B1501" s="52" t="s">
        <v>37</v>
      </c>
      <c r="C1501" s="52" t="s">
        <v>115</v>
      </c>
      <c r="D1501" s="52" t="s">
        <v>115</v>
      </c>
      <c r="E1501" s="52" t="s">
        <v>597</v>
      </c>
      <c r="F1501" s="52" t="s">
        <v>581</v>
      </c>
      <c r="G1501" s="195" t="s">
        <v>276</v>
      </c>
      <c r="H1501" s="195">
        <v>-11.51294</v>
      </c>
      <c r="I1501" s="195">
        <v>-9.2781000000000002</v>
      </c>
      <c r="J1501" s="195">
        <v>-5.1724399999999999</v>
      </c>
      <c r="K1501" s="195">
        <v>-8.3211150000000007</v>
      </c>
      <c r="L1501" s="195">
        <v>-5.4118690000000003</v>
      </c>
      <c r="M1501" s="195">
        <v>-0.28232439999999998</v>
      </c>
      <c r="N1501" s="195">
        <v>0.2594146</v>
      </c>
    </row>
    <row r="1502" spans="1:14" hidden="1" x14ac:dyDescent="0.35">
      <c r="A1502" s="52" t="s">
        <v>242</v>
      </c>
      <c r="B1502" s="52" t="s">
        <v>37</v>
      </c>
      <c r="C1502" s="52" t="s">
        <v>115</v>
      </c>
      <c r="D1502" s="52" t="s">
        <v>115</v>
      </c>
      <c r="E1502" s="52" t="s">
        <v>597</v>
      </c>
      <c r="F1502" s="52" t="s">
        <v>581</v>
      </c>
      <c r="G1502" s="195" t="s">
        <v>277</v>
      </c>
      <c r="H1502" s="195">
        <v>67.566019999999995</v>
      </c>
      <c r="I1502" s="195">
        <v>9.8409250000000004</v>
      </c>
      <c r="J1502" s="195">
        <v>1.8551660000000001</v>
      </c>
      <c r="K1502" s="195">
        <v>1.127203</v>
      </c>
      <c r="L1502" s="195">
        <v>0.73602820000000002</v>
      </c>
      <c r="M1502" s="195">
        <v>0</v>
      </c>
      <c r="N1502" s="195">
        <v>0</v>
      </c>
    </row>
    <row r="1503" spans="1:14" hidden="1" x14ac:dyDescent="0.35">
      <c r="A1503" s="52" t="s">
        <v>242</v>
      </c>
      <c r="B1503" s="52" t="s">
        <v>37</v>
      </c>
      <c r="C1503" s="52" t="s">
        <v>115</v>
      </c>
      <c r="D1503" s="52" t="s">
        <v>115</v>
      </c>
      <c r="E1503" s="52" t="s">
        <v>597</v>
      </c>
      <c r="F1503" s="52" t="s">
        <v>581</v>
      </c>
      <c r="G1503" s="195" t="s">
        <v>278</v>
      </c>
      <c r="H1503" s="195">
        <v>1.96821</v>
      </c>
      <c r="I1503" s="195">
        <v>1.05149</v>
      </c>
      <c r="J1503" s="195">
        <v>2.6647500000000002</v>
      </c>
      <c r="K1503" s="195">
        <v>2.135675</v>
      </c>
      <c r="L1503" s="195">
        <v>1.3985920000000001</v>
      </c>
      <c r="M1503" s="195">
        <v>0</v>
      </c>
      <c r="N1503" s="195">
        <v>0</v>
      </c>
    </row>
    <row r="1504" spans="1:14" hidden="1" x14ac:dyDescent="0.35">
      <c r="A1504" s="52" t="s">
        <v>242</v>
      </c>
      <c r="B1504" s="52" t="s">
        <v>37</v>
      </c>
      <c r="C1504" s="52" t="s">
        <v>115</v>
      </c>
      <c r="D1504" s="52" t="s">
        <v>115</v>
      </c>
      <c r="E1504" s="52" t="s">
        <v>597</v>
      </c>
      <c r="F1504" s="52" t="s">
        <v>581</v>
      </c>
      <c r="G1504" s="195" t="s">
        <v>279</v>
      </c>
      <c r="H1504" s="195">
        <v>21.95731</v>
      </c>
      <c r="I1504" s="195">
        <v>11.85229</v>
      </c>
      <c r="J1504" s="195">
        <v>9.3771550000000001</v>
      </c>
      <c r="K1504" s="195">
        <v>7.9574319999999998</v>
      </c>
      <c r="L1504" s="195">
        <v>8.0185189999999995</v>
      </c>
      <c r="M1504" s="195">
        <v>6.3255369999999997</v>
      </c>
      <c r="N1504" s="195">
        <v>5.3794399999999998</v>
      </c>
    </row>
    <row r="1505" spans="1:14" hidden="1" x14ac:dyDescent="0.35">
      <c r="A1505" s="52" t="s">
        <v>242</v>
      </c>
      <c r="B1505" s="52" t="s">
        <v>37</v>
      </c>
      <c r="C1505" s="52" t="s">
        <v>115</v>
      </c>
      <c r="D1505" s="52" t="s">
        <v>115</v>
      </c>
      <c r="E1505" s="52" t="s">
        <v>597</v>
      </c>
      <c r="F1505" s="52" t="s">
        <v>26</v>
      </c>
      <c r="G1505" s="195" t="s">
        <v>275</v>
      </c>
      <c r="H1505" s="195">
        <v>2.5206940000000002</v>
      </c>
      <c r="I1505" s="195">
        <v>1.1600680000000001</v>
      </c>
      <c r="J1505" s="195">
        <v>1.2794509999999999</v>
      </c>
      <c r="K1505" s="195">
        <v>0.87314080000000005</v>
      </c>
      <c r="L1505" s="195">
        <v>0.30256559999999999</v>
      </c>
      <c r="M1505" s="195">
        <v>0.26933479999999999</v>
      </c>
      <c r="N1505" s="195">
        <v>0.23255880000000001</v>
      </c>
    </row>
    <row r="1506" spans="1:14" hidden="1" x14ac:dyDescent="0.35">
      <c r="A1506" s="52" t="s">
        <v>242</v>
      </c>
      <c r="B1506" s="52" t="s">
        <v>37</v>
      </c>
      <c r="C1506" s="52" t="s">
        <v>115</v>
      </c>
      <c r="D1506" s="52" t="s">
        <v>115</v>
      </c>
      <c r="E1506" s="52" t="s">
        <v>597</v>
      </c>
      <c r="F1506" s="52" t="s">
        <v>26</v>
      </c>
      <c r="G1506" s="195" t="s">
        <v>276</v>
      </c>
      <c r="H1506" s="195">
        <v>0.67005899999999996</v>
      </c>
      <c r="I1506" s="195">
        <v>0.30837179999999997</v>
      </c>
      <c r="J1506" s="195">
        <v>0.34010679999999999</v>
      </c>
      <c r="K1506" s="195">
        <v>0.23210140000000001</v>
      </c>
      <c r="L1506" s="195">
        <v>8.042879E-2</v>
      </c>
      <c r="M1506" s="195">
        <v>7.1595199999999998E-2</v>
      </c>
      <c r="N1506" s="195">
        <v>6.1819399999999997E-2</v>
      </c>
    </row>
    <row r="1507" spans="1:14" hidden="1" x14ac:dyDescent="0.35">
      <c r="A1507" s="52" t="s">
        <v>242</v>
      </c>
      <c r="B1507" s="52" t="s">
        <v>37</v>
      </c>
      <c r="C1507" s="52" t="s">
        <v>115</v>
      </c>
      <c r="D1507" s="52" t="s">
        <v>115</v>
      </c>
      <c r="E1507" s="52" t="s">
        <v>597</v>
      </c>
      <c r="F1507" s="52" t="s">
        <v>26</v>
      </c>
      <c r="G1507" s="195" t="s">
        <v>279</v>
      </c>
      <c r="H1507" s="195">
        <v>10.722899999999999</v>
      </c>
      <c r="I1507" s="195">
        <v>9.2538199999999993</v>
      </c>
      <c r="J1507" s="195">
        <v>7.5193510000000003</v>
      </c>
      <c r="K1507" s="195">
        <v>6.4810639999999999</v>
      </c>
      <c r="L1507" s="195">
        <v>6.4876500000000004</v>
      </c>
      <c r="M1507" s="195">
        <v>5.1301259999999997</v>
      </c>
      <c r="N1507" s="195">
        <v>4.3631180000000001</v>
      </c>
    </row>
    <row r="1508" spans="1:14" hidden="1" x14ac:dyDescent="0.35">
      <c r="A1508" s="52" t="s">
        <v>242</v>
      </c>
      <c r="B1508" s="52" t="s">
        <v>37</v>
      </c>
      <c r="C1508" s="52" t="s">
        <v>115</v>
      </c>
      <c r="D1508" s="52" t="s">
        <v>115</v>
      </c>
      <c r="E1508" s="52" t="s">
        <v>584</v>
      </c>
      <c r="F1508" s="52" t="s">
        <v>581</v>
      </c>
      <c r="G1508" s="195" t="s">
        <v>275</v>
      </c>
      <c r="H1508" s="195">
        <v>1.209797</v>
      </c>
      <c r="I1508" s="195">
        <v>0.27321220000000002</v>
      </c>
      <c r="J1508" s="195">
        <v>0.18881619999999999</v>
      </c>
      <c r="K1508" s="195">
        <v>0.1575918</v>
      </c>
      <c r="L1508" s="195">
        <v>0.13405439999999999</v>
      </c>
      <c r="M1508" s="195">
        <v>0.12103360000000001</v>
      </c>
      <c r="N1508" s="195">
        <v>0.1095044</v>
      </c>
    </row>
    <row r="1509" spans="1:14" hidden="1" x14ac:dyDescent="0.35">
      <c r="A1509" s="52" t="s">
        <v>242</v>
      </c>
      <c r="B1509" s="52" t="s">
        <v>37</v>
      </c>
      <c r="C1509" s="52" t="s">
        <v>115</v>
      </c>
      <c r="D1509" s="52" t="s">
        <v>115</v>
      </c>
      <c r="E1509" s="52" t="s">
        <v>584</v>
      </c>
      <c r="F1509" s="52" t="s">
        <v>581</v>
      </c>
      <c r="G1509" s="195" t="s">
        <v>276</v>
      </c>
      <c r="H1509" s="195">
        <v>0.32159300000000002</v>
      </c>
      <c r="I1509" s="195">
        <v>7.2625590000000004E-2</v>
      </c>
      <c r="J1509" s="195">
        <v>5.01898E-2</v>
      </c>
      <c r="K1509" s="195">
        <v>4.1892400000000003E-2</v>
      </c>
      <c r="L1509" s="195">
        <v>3.5634199999999998E-2</v>
      </c>
      <c r="M1509" s="195">
        <v>3.2172199999999998E-2</v>
      </c>
      <c r="N1509" s="195">
        <v>2.9107999999999998E-2</v>
      </c>
    </row>
    <row r="1510" spans="1:14" hidden="1" x14ac:dyDescent="0.35">
      <c r="A1510" s="52" t="s">
        <v>242</v>
      </c>
      <c r="B1510" s="52" t="s">
        <v>37</v>
      </c>
      <c r="C1510" s="52" t="s">
        <v>115</v>
      </c>
      <c r="D1510" s="52" t="s">
        <v>115</v>
      </c>
      <c r="E1510" s="52" t="s">
        <v>584</v>
      </c>
      <c r="F1510" s="52" t="s">
        <v>581</v>
      </c>
      <c r="G1510" s="195" t="s">
        <v>279</v>
      </c>
      <c r="H1510" s="195">
        <v>0.47989999999999999</v>
      </c>
      <c r="I1510" s="195">
        <v>0.27847919999999998</v>
      </c>
      <c r="J1510" s="195">
        <v>0.21943019999999999</v>
      </c>
      <c r="K1510" s="195">
        <v>0.1977324</v>
      </c>
      <c r="L1510" s="195">
        <v>0.1770408</v>
      </c>
      <c r="M1510" s="195">
        <v>0.15133179999999999</v>
      </c>
      <c r="N1510" s="195">
        <v>0.13051740000000001</v>
      </c>
    </row>
    <row r="1511" spans="1:14" hidden="1" x14ac:dyDescent="0.35">
      <c r="A1511" s="52" t="s">
        <v>242</v>
      </c>
      <c r="B1511" s="52" t="s">
        <v>37</v>
      </c>
      <c r="C1511" s="52" t="s">
        <v>115</v>
      </c>
      <c r="D1511" s="52" t="s">
        <v>115</v>
      </c>
      <c r="E1511" s="52" t="s">
        <v>584</v>
      </c>
      <c r="F1511" s="52" t="s">
        <v>26</v>
      </c>
      <c r="G1511" s="195" t="s">
        <v>275</v>
      </c>
      <c r="H1511" s="195">
        <v>-24.63551</v>
      </c>
      <c r="I1511" s="195">
        <v>-14.60436</v>
      </c>
      <c r="J1511" s="195">
        <v>-13.533390000000001</v>
      </c>
      <c r="K1511" s="195">
        <v>-15.068429999999999</v>
      </c>
      <c r="L1511" s="195">
        <v>-11.89584</v>
      </c>
      <c r="M1511" s="195">
        <v>-11.726290000000001</v>
      </c>
      <c r="N1511" s="195">
        <v>-10.77374</v>
      </c>
    </row>
    <row r="1512" spans="1:14" hidden="1" x14ac:dyDescent="0.35">
      <c r="A1512" s="52" t="s">
        <v>242</v>
      </c>
      <c r="B1512" s="52" t="s">
        <v>37</v>
      </c>
      <c r="C1512" s="52" t="s">
        <v>115</v>
      </c>
      <c r="D1512" s="52" t="s">
        <v>115</v>
      </c>
      <c r="E1512" s="52" t="s">
        <v>584</v>
      </c>
      <c r="F1512" s="52" t="s">
        <v>26</v>
      </c>
      <c r="G1512" s="195" t="s">
        <v>276</v>
      </c>
      <c r="H1512" s="195">
        <v>-4.6276739999999998</v>
      </c>
      <c r="I1512" s="195">
        <v>-4.8526860000000003</v>
      </c>
      <c r="J1512" s="195">
        <v>-4.083755</v>
      </c>
      <c r="K1512" s="195">
        <v>-2.4045700000000001</v>
      </c>
      <c r="L1512" s="195">
        <v>-5.1448590000000003</v>
      </c>
      <c r="M1512" s="195">
        <v>-3.9495459999999998</v>
      </c>
      <c r="N1512" s="195">
        <v>-3.6690459999999998</v>
      </c>
    </row>
    <row r="1513" spans="1:14" hidden="1" x14ac:dyDescent="0.35">
      <c r="A1513" s="52" t="s">
        <v>242</v>
      </c>
      <c r="B1513" s="52" t="s">
        <v>37</v>
      </c>
      <c r="C1513" s="52" t="s">
        <v>115</v>
      </c>
      <c r="D1513" s="52" t="s">
        <v>115</v>
      </c>
      <c r="E1513" s="52" t="s">
        <v>584</v>
      </c>
      <c r="F1513" s="52" t="s">
        <v>26</v>
      </c>
      <c r="G1513" s="195" t="s">
        <v>277</v>
      </c>
      <c r="H1513" s="195">
        <v>34.518650000000001</v>
      </c>
      <c r="I1513" s="195">
        <v>22.295169999999999</v>
      </c>
      <c r="J1513" s="195">
        <v>20.747389999999999</v>
      </c>
      <c r="K1513" s="195">
        <v>19.663419999999999</v>
      </c>
      <c r="L1513" s="195">
        <v>18.456299999999999</v>
      </c>
      <c r="M1513" s="195">
        <v>16.993790000000001</v>
      </c>
      <c r="N1513" s="195">
        <v>15.705249999999999</v>
      </c>
    </row>
    <row r="1514" spans="1:14" hidden="1" x14ac:dyDescent="0.35">
      <c r="A1514" s="52" t="s">
        <v>242</v>
      </c>
      <c r="B1514" s="52" t="s">
        <v>37</v>
      </c>
      <c r="C1514" s="52" t="s">
        <v>115</v>
      </c>
      <c r="D1514" s="52" t="s">
        <v>115</v>
      </c>
      <c r="E1514" s="52" t="s">
        <v>584</v>
      </c>
      <c r="F1514" s="52" t="s">
        <v>26</v>
      </c>
      <c r="G1514" s="195" t="s">
        <v>279</v>
      </c>
      <c r="H1514" s="195">
        <v>15.02932</v>
      </c>
      <c r="I1514" s="195">
        <v>12.460889999999999</v>
      </c>
      <c r="J1514" s="195">
        <v>11.95448</v>
      </c>
      <c r="K1514" s="195">
        <v>12.49757</v>
      </c>
      <c r="L1514" s="195">
        <v>12.731730000000001</v>
      </c>
      <c r="M1514" s="195">
        <v>12.03631</v>
      </c>
      <c r="N1514" s="195">
        <v>11.422980000000001</v>
      </c>
    </row>
    <row r="1515" spans="1:14" hidden="1" x14ac:dyDescent="0.35">
      <c r="A1515" s="52" t="s">
        <v>242</v>
      </c>
      <c r="B1515" s="52" t="s">
        <v>37</v>
      </c>
      <c r="C1515" s="52" t="s">
        <v>105</v>
      </c>
      <c r="D1515" s="52" t="s">
        <v>105</v>
      </c>
      <c r="E1515" s="52" t="s">
        <v>619</v>
      </c>
      <c r="F1515" s="52" t="s">
        <v>581</v>
      </c>
      <c r="G1515" s="195" t="s">
        <v>275</v>
      </c>
      <c r="H1515" s="195">
        <v>-162.09639999999999</v>
      </c>
      <c r="I1515" s="195">
        <v>34.64217</v>
      </c>
      <c r="J1515" s="195">
        <v>29.283950000000001</v>
      </c>
      <c r="K1515" s="195">
        <v>41.889150000000001</v>
      </c>
      <c r="L1515" s="195">
        <v>35.771039999999999</v>
      </c>
      <c r="M1515" s="195">
        <v>7.7567950000000003</v>
      </c>
      <c r="N1515" s="195">
        <v>10.61838</v>
      </c>
    </row>
    <row r="1516" spans="1:14" hidden="1" x14ac:dyDescent="0.35">
      <c r="A1516" s="52" t="s">
        <v>242</v>
      </c>
      <c r="B1516" s="52" t="s">
        <v>37</v>
      </c>
      <c r="C1516" s="52" t="s">
        <v>105</v>
      </c>
      <c r="D1516" s="52" t="s">
        <v>105</v>
      </c>
      <c r="E1516" s="52" t="s">
        <v>619</v>
      </c>
      <c r="F1516" s="52" t="s">
        <v>581</v>
      </c>
      <c r="G1516" s="195" t="s">
        <v>276</v>
      </c>
      <c r="H1516" s="195">
        <v>5.9509999999999996</v>
      </c>
      <c r="I1516" s="195">
        <v>-10.65124</v>
      </c>
      <c r="J1516" s="195">
        <v>-10.427020000000001</v>
      </c>
      <c r="K1516" s="195">
        <v>-26.053319999999999</v>
      </c>
      <c r="L1516" s="195">
        <v>-25.10651</v>
      </c>
      <c r="M1516" s="195">
        <v>2.1464940000000001</v>
      </c>
      <c r="N1516" s="195">
        <v>2.662919</v>
      </c>
    </row>
    <row r="1517" spans="1:14" hidden="1" x14ac:dyDescent="0.35">
      <c r="A1517" s="52" t="s">
        <v>242</v>
      </c>
      <c r="B1517" s="52" t="s">
        <v>37</v>
      </c>
      <c r="C1517" s="52" t="s">
        <v>105</v>
      </c>
      <c r="D1517" s="52" t="s">
        <v>105</v>
      </c>
      <c r="E1517" s="52" t="s">
        <v>619</v>
      </c>
      <c r="F1517" s="52" t="s">
        <v>581</v>
      </c>
      <c r="G1517" s="195" t="s">
        <v>277</v>
      </c>
      <c r="H1517" s="195">
        <v>255.36009999999999</v>
      </c>
      <c r="I1517" s="195">
        <v>8.7970749999999995</v>
      </c>
      <c r="J1517" s="195">
        <v>1.977708</v>
      </c>
      <c r="K1517" s="195">
        <v>1.251762</v>
      </c>
      <c r="L1517" s="195">
        <v>1.821186</v>
      </c>
      <c r="M1517" s="195">
        <v>2.6526550000000002</v>
      </c>
      <c r="N1517" s="195">
        <v>0.40675820000000001</v>
      </c>
    </row>
    <row r="1518" spans="1:14" hidden="1" x14ac:dyDescent="0.35">
      <c r="A1518" s="52" t="s">
        <v>242</v>
      </c>
      <c r="B1518" s="52" t="s">
        <v>37</v>
      </c>
      <c r="C1518" s="52" t="s">
        <v>105</v>
      </c>
      <c r="D1518" s="52" t="s">
        <v>105</v>
      </c>
      <c r="E1518" s="52" t="s">
        <v>619</v>
      </c>
      <c r="F1518" s="52" t="s">
        <v>581</v>
      </c>
      <c r="G1518" s="195" t="s">
        <v>278</v>
      </c>
      <c r="H1518" s="195">
        <v>15.54241</v>
      </c>
      <c r="I1518" s="195">
        <v>2.1805279999999998</v>
      </c>
      <c r="J1518" s="195">
        <v>3.994777</v>
      </c>
      <c r="K1518" s="195">
        <v>4.1924799999999998</v>
      </c>
      <c r="L1518" s="195">
        <v>5.0761770000000004</v>
      </c>
      <c r="M1518" s="195">
        <v>4.0277159999999999</v>
      </c>
      <c r="N1518" s="195">
        <v>2.1178629999999998</v>
      </c>
    </row>
    <row r="1519" spans="1:14" hidden="1" x14ac:dyDescent="0.35">
      <c r="A1519" s="52" t="s">
        <v>242</v>
      </c>
      <c r="B1519" s="52" t="s">
        <v>37</v>
      </c>
      <c r="C1519" s="52" t="s">
        <v>105</v>
      </c>
      <c r="D1519" s="52" t="s">
        <v>105</v>
      </c>
      <c r="E1519" s="52" t="s">
        <v>619</v>
      </c>
      <c r="F1519" s="52" t="s">
        <v>581</v>
      </c>
      <c r="G1519" s="195" t="s">
        <v>279</v>
      </c>
      <c r="H1519" s="195">
        <v>28.932780000000001</v>
      </c>
      <c r="I1519" s="195">
        <v>23.5716</v>
      </c>
      <c r="J1519" s="195">
        <v>19.408290000000001</v>
      </c>
      <c r="K1519" s="195">
        <v>17.210450000000002</v>
      </c>
      <c r="L1519" s="195">
        <v>17.058229999999998</v>
      </c>
      <c r="M1519" s="195">
        <v>15.119450000000001</v>
      </c>
      <c r="N1519" s="195">
        <v>13.906840000000001</v>
      </c>
    </row>
    <row r="1520" spans="1:14" hidden="1" x14ac:dyDescent="0.35">
      <c r="A1520" s="52" t="s">
        <v>242</v>
      </c>
      <c r="B1520" s="52" t="s">
        <v>37</v>
      </c>
      <c r="C1520" s="52" t="s">
        <v>105</v>
      </c>
      <c r="D1520" s="52" t="s">
        <v>105</v>
      </c>
      <c r="E1520" s="52" t="s">
        <v>619</v>
      </c>
      <c r="F1520" s="52" t="s">
        <v>26</v>
      </c>
      <c r="G1520" s="195" t="s">
        <v>275</v>
      </c>
      <c r="H1520" s="195">
        <v>3.0024250000000001</v>
      </c>
      <c r="I1520" s="195">
        <v>2.8166060000000002</v>
      </c>
      <c r="J1520" s="195">
        <v>2.6559750000000002</v>
      </c>
      <c r="K1520" s="195">
        <v>2.1651050000000001</v>
      </c>
      <c r="L1520" s="195">
        <v>1.6278459999999999</v>
      </c>
      <c r="M1520" s="195">
        <v>1.5039910000000001</v>
      </c>
      <c r="N1520" s="195">
        <v>1.4077580000000001</v>
      </c>
    </row>
    <row r="1521" spans="1:14" hidden="1" x14ac:dyDescent="0.35">
      <c r="A1521" s="52" t="s">
        <v>242</v>
      </c>
      <c r="B1521" s="52" t="s">
        <v>37</v>
      </c>
      <c r="C1521" s="52" t="s">
        <v>105</v>
      </c>
      <c r="D1521" s="52" t="s">
        <v>105</v>
      </c>
      <c r="E1521" s="52" t="s">
        <v>619</v>
      </c>
      <c r="F1521" s="52" t="s">
        <v>26</v>
      </c>
      <c r="G1521" s="195" t="s">
        <v>276</v>
      </c>
      <c r="H1521" s="195">
        <v>1.0406960000000001</v>
      </c>
      <c r="I1521" s="195">
        <v>0.97629299999999997</v>
      </c>
      <c r="J1521" s="195">
        <v>0.92061579999999998</v>
      </c>
      <c r="K1521" s="195">
        <v>0.75046829999999998</v>
      </c>
      <c r="L1521" s="195">
        <v>0.56424399999999997</v>
      </c>
      <c r="M1521" s="195">
        <v>0.52131300000000003</v>
      </c>
      <c r="N1521" s="195">
        <v>0.48795640000000001</v>
      </c>
    </row>
    <row r="1522" spans="1:14" hidden="1" x14ac:dyDescent="0.35">
      <c r="A1522" s="52" t="s">
        <v>242</v>
      </c>
      <c r="B1522" s="52" t="s">
        <v>37</v>
      </c>
      <c r="C1522" s="52" t="s">
        <v>105</v>
      </c>
      <c r="D1522" s="52" t="s">
        <v>105</v>
      </c>
      <c r="E1522" s="52" t="s">
        <v>619</v>
      </c>
      <c r="F1522" s="52" t="s">
        <v>26</v>
      </c>
      <c r="G1522" s="195" t="s">
        <v>279</v>
      </c>
      <c r="H1522" s="195">
        <v>5.055968</v>
      </c>
      <c r="I1522" s="195">
        <v>6.3343239999999996</v>
      </c>
      <c r="J1522" s="195">
        <v>5.362304</v>
      </c>
      <c r="K1522" s="195">
        <v>4.8288719999999996</v>
      </c>
      <c r="L1522" s="195">
        <v>4.7354909999999997</v>
      </c>
      <c r="M1522" s="195">
        <v>4.196974</v>
      </c>
      <c r="N1522" s="195">
        <v>3.8512849999999998</v>
      </c>
    </row>
    <row r="1523" spans="1:14" hidden="1" x14ac:dyDescent="0.35">
      <c r="A1523" s="52" t="s">
        <v>242</v>
      </c>
      <c r="B1523" s="52" t="s">
        <v>37</v>
      </c>
      <c r="C1523" s="52" t="s">
        <v>105</v>
      </c>
      <c r="D1523" s="52" t="s">
        <v>105</v>
      </c>
      <c r="E1523" s="52" t="s">
        <v>620</v>
      </c>
      <c r="F1523" s="52" t="s">
        <v>581</v>
      </c>
      <c r="G1523" s="195" t="s">
        <v>275</v>
      </c>
      <c r="H1523" s="195">
        <v>11.95983</v>
      </c>
      <c r="I1523" s="195">
        <v>8.6384740000000004</v>
      </c>
      <c r="J1523" s="195">
        <v>3.6866810000000001</v>
      </c>
      <c r="K1523" s="195">
        <v>6.984648</v>
      </c>
      <c r="L1523" s="195">
        <v>3.5182250000000002</v>
      </c>
      <c r="M1523" s="195">
        <v>3.263595</v>
      </c>
      <c r="N1523" s="195">
        <v>3.1844290000000002</v>
      </c>
    </row>
    <row r="1524" spans="1:14" hidden="1" x14ac:dyDescent="0.35">
      <c r="A1524" s="52" t="s">
        <v>242</v>
      </c>
      <c r="B1524" s="52" t="s">
        <v>37</v>
      </c>
      <c r="C1524" s="52" t="s">
        <v>105</v>
      </c>
      <c r="D1524" s="52" t="s">
        <v>105</v>
      </c>
      <c r="E1524" s="52" t="s">
        <v>620</v>
      </c>
      <c r="F1524" s="52" t="s">
        <v>581</v>
      </c>
      <c r="G1524" s="195" t="s">
        <v>276</v>
      </c>
      <c r="H1524" s="195">
        <v>4.2207879999999998</v>
      </c>
      <c r="I1524" s="195">
        <v>-1.6558360000000001</v>
      </c>
      <c r="J1524" s="195">
        <v>-2.1456819999999999</v>
      </c>
      <c r="K1524" s="195">
        <v>-4.3518150000000002</v>
      </c>
      <c r="L1524" s="195">
        <v>-0.95913179999999998</v>
      </c>
      <c r="M1524" s="195">
        <v>0.67186619999999997</v>
      </c>
      <c r="N1524" s="195">
        <v>0.27875270000000002</v>
      </c>
    </row>
    <row r="1525" spans="1:14" hidden="1" x14ac:dyDescent="0.35">
      <c r="A1525" s="52" t="s">
        <v>242</v>
      </c>
      <c r="B1525" s="52" t="s">
        <v>37</v>
      </c>
      <c r="C1525" s="52" t="s">
        <v>105</v>
      </c>
      <c r="D1525" s="52" t="s">
        <v>105</v>
      </c>
      <c r="E1525" s="52" t="s">
        <v>620</v>
      </c>
      <c r="F1525" s="52" t="s">
        <v>581</v>
      </c>
      <c r="G1525" s="195" t="s">
        <v>277</v>
      </c>
      <c r="H1525" s="195">
        <v>16.560790000000001</v>
      </c>
      <c r="I1525" s="195">
        <v>0</v>
      </c>
      <c r="J1525" s="195">
        <v>3.938488</v>
      </c>
      <c r="K1525" s="195">
        <v>3.0529950000000001</v>
      </c>
      <c r="L1525" s="195">
        <v>1.828287</v>
      </c>
      <c r="M1525" s="195">
        <v>0</v>
      </c>
      <c r="N1525" s="195">
        <v>0</v>
      </c>
    </row>
    <row r="1526" spans="1:14" hidden="1" x14ac:dyDescent="0.35">
      <c r="A1526" s="52" t="s">
        <v>242</v>
      </c>
      <c r="B1526" s="52" t="s">
        <v>37</v>
      </c>
      <c r="C1526" s="52" t="s">
        <v>105</v>
      </c>
      <c r="D1526" s="52" t="s">
        <v>105</v>
      </c>
      <c r="E1526" s="52" t="s">
        <v>620</v>
      </c>
      <c r="F1526" s="52" t="s">
        <v>581</v>
      </c>
      <c r="G1526" s="195" t="s">
        <v>278</v>
      </c>
      <c r="H1526" s="195">
        <v>0</v>
      </c>
      <c r="I1526" s="195"/>
      <c r="J1526" s="195"/>
      <c r="K1526" s="195"/>
      <c r="L1526" s="195"/>
      <c r="M1526" s="195"/>
      <c r="N1526" s="195"/>
    </row>
    <row r="1527" spans="1:14" hidden="1" x14ac:dyDescent="0.35">
      <c r="A1527" s="52" t="s">
        <v>242</v>
      </c>
      <c r="B1527" s="52" t="s">
        <v>37</v>
      </c>
      <c r="C1527" s="52" t="s">
        <v>105</v>
      </c>
      <c r="D1527" s="52" t="s">
        <v>105</v>
      </c>
      <c r="E1527" s="52" t="s">
        <v>620</v>
      </c>
      <c r="F1527" s="52" t="s">
        <v>581</v>
      </c>
      <c r="G1527" s="195" t="s">
        <v>279</v>
      </c>
      <c r="H1527" s="195">
        <v>10.645239999999999</v>
      </c>
      <c r="I1527" s="195">
        <v>7.3359189999999996</v>
      </c>
      <c r="J1527" s="195">
        <v>6.8631180000000001</v>
      </c>
      <c r="K1527" s="195">
        <v>7.3006039999999999</v>
      </c>
      <c r="L1527" s="195">
        <v>7.3352849999999998</v>
      </c>
      <c r="M1527" s="195">
        <v>6.4088799999999999</v>
      </c>
      <c r="N1527" s="195">
        <v>5.66716</v>
      </c>
    </row>
    <row r="1528" spans="1:14" hidden="1" x14ac:dyDescent="0.35">
      <c r="A1528" s="52" t="s">
        <v>242</v>
      </c>
      <c r="B1528" s="52" t="s">
        <v>37</v>
      </c>
      <c r="C1528" s="52" t="s">
        <v>105</v>
      </c>
      <c r="D1528" s="52" t="s">
        <v>105</v>
      </c>
      <c r="E1528" s="52" t="s">
        <v>620</v>
      </c>
      <c r="F1528" s="52" t="s">
        <v>26</v>
      </c>
      <c r="G1528" s="195" t="s">
        <v>275</v>
      </c>
      <c r="H1528" s="195">
        <v>0.50150600000000001</v>
      </c>
      <c r="I1528" s="195">
        <v>6.2225000000000003E-2</v>
      </c>
      <c r="J1528" s="195">
        <v>0.26435520000000001</v>
      </c>
      <c r="K1528" s="195">
        <v>0.1473342</v>
      </c>
      <c r="L1528" s="195">
        <v>-0.26700699999999999</v>
      </c>
      <c r="M1528" s="195">
        <v>-0.21598539999999999</v>
      </c>
      <c r="N1528" s="195">
        <v>-0.1950568</v>
      </c>
    </row>
    <row r="1529" spans="1:14" hidden="1" x14ac:dyDescent="0.35">
      <c r="A1529" s="52" t="s">
        <v>242</v>
      </c>
      <c r="B1529" s="52" t="s">
        <v>37</v>
      </c>
      <c r="C1529" s="52" t="s">
        <v>105</v>
      </c>
      <c r="D1529" s="52" t="s">
        <v>105</v>
      </c>
      <c r="E1529" s="52" t="s">
        <v>620</v>
      </c>
      <c r="F1529" s="52" t="s">
        <v>26</v>
      </c>
      <c r="G1529" s="195" t="s">
        <v>276</v>
      </c>
      <c r="H1529" s="195">
        <v>0.15467800000000001</v>
      </c>
      <c r="I1529" s="195">
        <v>1.9491000000000001E-2</v>
      </c>
      <c r="J1529" s="195">
        <v>8.2936200000000002E-2</v>
      </c>
      <c r="K1529" s="195">
        <v>4.8107999999999998E-2</v>
      </c>
      <c r="L1529" s="195">
        <v>-8.1626610000000002E-2</v>
      </c>
      <c r="M1529" s="195">
        <v>-6.5819409999999995E-2</v>
      </c>
      <c r="N1529" s="195">
        <v>-5.9419800000000002E-2</v>
      </c>
    </row>
    <row r="1530" spans="1:14" hidden="1" x14ac:dyDescent="0.35">
      <c r="A1530" s="52" t="s">
        <v>242</v>
      </c>
      <c r="B1530" s="52" t="s">
        <v>37</v>
      </c>
      <c r="C1530" s="52" t="s">
        <v>105</v>
      </c>
      <c r="D1530" s="52" t="s">
        <v>105</v>
      </c>
      <c r="E1530" s="52" t="s">
        <v>620</v>
      </c>
      <c r="F1530" s="52" t="s">
        <v>26</v>
      </c>
      <c r="G1530" s="195" t="s">
        <v>279</v>
      </c>
      <c r="H1530" s="195">
        <v>4.8635849999999996</v>
      </c>
      <c r="I1530" s="195">
        <v>5.5098089999999997</v>
      </c>
      <c r="J1530" s="195">
        <v>5.2215749999999996</v>
      </c>
      <c r="K1530" s="195">
        <v>5.5238139999999998</v>
      </c>
      <c r="L1530" s="195">
        <v>5.5220529999999997</v>
      </c>
      <c r="M1530" s="195">
        <v>4.8725300000000002</v>
      </c>
      <c r="N1530" s="195">
        <v>4.336862</v>
      </c>
    </row>
    <row r="1531" spans="1:14" hidden="1" x14ac:dyDescent="0.35">
      <c r="A1531" s="52" t="s">
        <v>242</v>
      </c>
      <c r="B1531" s="52" t="s">
        <v>37</v>
      </c>
      <c r="C1531" s="52" t="s">
        <v>105</v>
      </c>
      <c r="D1531" s="52" t="s">
        <v>105</v>
      </c>
      <c r="E1531" s="52" t="s">
        <v>584</v>
      </c>
      <c r="F1531" s="52" t="s">
        <v>581</v>
      </c>
      <c r="G1531" s="195" t="s">
        <v>275</v>
      </c>
      <c r="H1531" s="195">
        <v>1.6005320000000001</v>
      </c>
      <c r="I1531" s="195">
        <v>0.93803159999999997</v>
      </c>
      <c r="J1531" s="195">
        <v>-1.64011</v>
      </c>
      <c r="K1531" s="195">
        <v>-1.599137</v>
      </c>
      <c r="L1531" s="195">
        <v>-1.4433039999999999</v>
      </c>
      <c r="M1531" s="195">
        <v>-1.4856990000000001</v>
      </c>
      <c r="N1531" s="195">
        <v>-1.345785</v>
      </c>
    </row>
    <row r="1532" spans="1:14" hidden="1" x14ac:dyDescent="0.35">
      <c r="A1532" s="52" t="s">
        <v>242</v>
      </c>
      <c r="B1532" s="52" t="s">
        <v>37</v>
      </c>
      <c r="C1532" s="52" t="s">
        <v>105</v>
      </c>
      <c r="D1532" s="52" t="s">
        <v>105</v>
      </c>
      <c r="E1532" s="52" t="s">
        <v>584</v>
      </c>
      <c r="F1532" s="52" t="s">
        <v>581</v>
      </c>
      <c r="G1532" s="195" t="s">
        <v>276</v>
      </c>
      <c r="H1532" s="195">
        <v>-8.1850989999999998E-2</v>
      </c>
      <c r="I1532" s="195">
        <v>-3.256799</v>
      </c>
      <c r="J1532" s="195">
        <v>-0.90488539999999995</v>
      </c>
      <c r="K1532" s="195">
        <v>-0.87455000000000005</v>
      </c>
      <c r="L1532" s="195">
        <v>-0.92448030000000003</v>
      </c>
      <c r="M1532" s="195">
        <v>-0.65925880000000003</v>
      </c>
      <c r="N1532" s="195">
        <v>-0.60965440000000004</v>
      </c>
    </row>
    <row r="1533" spans="1:14" hidden="1" x14ac:dyDescent="0.35">
      <c r="A1533" s="52" t="s">
        <v>242</v>
      </c>
      <c r="B1533" s="52" t="s">
        <v>37</v>
      </c>
      <c r="C1533" s="52" t="s">
        <v>105</v>
      </c>
      <c r="D1533" s="52" t="s">
        <v>105</v>
      </c>
      <c r="E1533" s="52" t="s">
        <v>584</v>
      </c>
      <c r="F1533" s="52" t="s">
        <v>581</v>
      </c>
      <c r="G1533" s="195" t="s">
        <v>277</v>
      </c>
      <c r="H1533" s="195">
        <v>7.0121029999999998</v>
      </c>
      <c r="I1533" s="195">
        <v>4.4615229999999997</v>
      </c>
      <c r="J1533" s="195">
        <v>4.1588430000000001</v>
      </c>
      <c r="K1533" s="195">
        <v>3.9157130000000002</v>
      </c>
      <c r="L1533" s="195">
        <v>3.6532249999999999</v>
      </c>
      <c r="M1533" s="195">
        <v>3.3395440000000001</v>
      </c>
      <c r="N1533" s="195">
        <v>3.0694970000000001</v>
      </c>
    </row>
    <row r="1534" spans="1:14" hidden="1" x14ac:dyDescent="0.35">
      <c r="A1534" s="52" t="s">
        <v>242</v>
      </c>
      <c r="B1534" s="52" t="s">
        <v>37</v>
      </c>
      <c r="C1534" s="52" t="s">
        <v>105</v>
      </c>
      <c r="D1534" s="52" t="s">
        <v>105</v>
      </c>
      <c r="E1534" s="52" t="s">
        <v>584</v>
      </c>
      <c r="F1534" s="52" t="s">
        <v>581</v>
      </c>
      <c r="G1534" s="195" t="s">
        <v>279</v>
      </c>
      <c r="H1534" s="195">
        <v>2.5996440000000001</v>
      </c>
      <c r="I1534" s="195">
        <v>1.725654</v>
      </c>
      <c r="J1534" s="195">
        <v>1.543998</v>
      </c>
      <c r="K1534" s="195">
        <v>1.5683389999999999</v>
      </c>
      <c r="L1534" s="195">
        <v>1.5600160000000001</v>
      </c>
      <c r="M1534" s="195">
        <v>1.4414960000000001</v>
      </c>
      <c r="N1534" s="195">
        <v>1.3414299999999999</v>
      </c>
    </row>
    <row r="1535" spans="1:14" hidden="1" x14ac:dyDescent="0.35">
      <c r="A1535" s="52" t="s">
        <v>242</v>
      </c>
      <c r="B1535" s="52" t="s">
        <v>37</v>
      </c>
      <c r="C1535" s="52" t="s">
        <v>105</v>
      </c>
      <c r="D1535" s="52" t="s">
        <v>105</v>
      </c>
      <c r="E1535" s="52" t="s">
        <v>584</v>
      </c>
      <c r="F1535" s="52" t="s">
        <v>26</v>
      </c>
      <c r="G1535" s="195" t="s">
        <v>275</v>
      </c>
      <c r="H1535" s="195">
        <v>-5.7068560000000002</v>
      </c>
      <c r="I1535" s="195">
        <v>-0.1108749</v>
      </c>
      <c r="J1535" s="195">
        <v>-0.89738790000000002</v>
      </c>
      <c r="K1535" s="195">
        <v>-4.5034299999999998</v>
      </c>
      <c r="L1535" s="195">
        <v>-3.108193</v>
      </c>
      <c r="M1535" s="195">
        <v>-3.5201129999999998</v>
      </c>
      <c r="N1535" s="195">
        <v>-3.2758750000000001</v>
      </c>
    </row>
    <row r="1536" spans="1:14" hidden="1" x14ac:dyDescent="0.35">
      <c r="A1536" s="52" t="s">
        <v>242</v>
      </c>
      <c r="B1536" s="52" t="s">
        <v>37</v>
      </c>
      <c r="C1536" s="52" t="s">
        <v>105</v>
      </c>
      <c r="D1536" s="52" t="s">
        <v>105</v>
      </c>
      <c r="E1536" s="52" t="s">
        <v>584</v>
      </c>
      <c r="F1536" s="52" t="s">
        <v>26</v>
      </c>
      <c r="G1536" s="195" t="s">
        <v>276</v>
      </c>
      <c r="H1536" s="195">
        <v>-6.9065880000000002</v>
      </c>
      <c r="I1536" s="195">
        <v>-5.9257220000000004</v>
      </c>
      <c r="J1536" s="195">
        <v>-4.7355179999999999</v>
      </c>
      <c r="K1536" s="195">
        <v>-1.035247</v>
      </c>
      <c r="L1536" s="195">
        <v>-2.2846510000000002</v>
      </c>
      <c r="M1536" s="195">
        <v>-1.4953449999999999</v>
      </c>
      <c r="N1536" s="195">
        <v>-1.4119159999999999</v>
      </c>
    </row>
    <row r="1537" spans="1:14" hidden="1" x14ac:dyDescent="0.35">
      <c r="A1537" s="52" t="s">
        <v>242</v>
      </c>
      <c r="B1537" s="52" t="s">
        <v>37</v>
      </c>
      <c r="C1537" s="52" t="s">
        <v>105</v>
      </c>
      <c r="D1537" s="52" t="s">
        <v>105</v>
      </c>
      <c r="E1537" s="52" t="s">
        <v>584</v>
      </c>
      <c r="F1537" s="52" t="s">
        <v>26</v>
      </c>
      <c r="G1537" s="195" t="s">
        <v>277</v>
      </c>
      <c r="H1537" s="195">
        <v>13.63156</v>
      </c>
      <c r="I1537" s="195">
        <v>6.6067450000000001</v>
      </c>
      <c r="J1537" s="195">
        <v>6.2851150000000002</v>
      </c>
      <c r="K1537" s="195">
        <v>6.0018880000000001</v>
      </c>
      <c r="L1537" s="195">
        <v>5.6940999999999997</v>
      </c>
      <c r="M1537" s="195">
        <v>5.3019730000000003</v>
      </c>
      <c r="N1537" s="195">
        <v>4.968826</v>
      </c>
    </row>
    <row r="1538" spans="1:14" hidden="1" x14ac:dyDescent="0.35">
      <c r="A1538" s="52" t="s">
        <v>242</v>
      </c>
      <c r="B1538" s="52" t="s">
        <v>37</v>
      </c>
      <c r="C1538" s="52" t="s">
        <v>105</v>
      </c>
      <c r="D1538" s="52" t="s">
        <v>105</v>
      </c>
      <c r="E1538" s="52" t="s">
        <v>584</v>
      </c>
      <c r="F1538" s="52" t="s">
        <v>26</v>
      </c>
      <c r="G1538" s="195" t="s">
        <v>278</v>
      </c>
      <c r="H1538" s="195">
        <v>1.9609999999999999E-2</v>
      </c>
      <c r="I1538" s="195">
        <v>0</v>
      </c>
      <c r="J1538" s="195"/>
      <c r="K1538" s="195"/>
      <c r="L1538" s="195"/>
      <c r="M1538" s="195"/>
      <c r="N1538" s="195"/>
    </row>
    <row r="1539" spans="1:14" hidden="1" x14ac:dyDescent="0.35">
      <c r="A1539" s="52" t="s">
        <v>242</v>
      </c>
      <c r="B1539" s="52" t="s">
        <v>37</v>
      </c>
      <c r="C1539" s="52" t="s">
        <v>105</v>
      </c>
      <c r="D1539" s="52" t="s">
        <v>105</v>
      </c>
      <c r="E1539" s="52" t="s">
        <v>584</v>
      </c>
      <c r="F1539" s="52" t="s">
        <v>26</v>
      </c>
      <c r="G1539" s="195" t="s">
        <v>279</v>
      </c>
      <c r="H1539" s="195">
        <v>2.791852</v>
      </c>
      <c r="I1539" s="195">
        <v>2.3928229999999999</v>
      </c>
      <c r="J1539" s="195">
        <v>2.3425609999999999</v>
      </c>
      <c r="K1539" s="195">
        <v>2.5207950000000001</v>
      </c>
      <c r="L1539" s="195">
        <v>2.634484</v>
      </c>
      <c r="M1539" s="195">
        <v>2.535339</v>
      </c>
      <c r="N1539" s="195">
        <v>2.450847</v>
      </c>
    </row>
    <row r="1540" spans="1:14" hidden="1" x14ac:dyDescent="0.35">
      <c r="A1540" s="52" t="s">
        <v>242</v>
      </c>
      <c r="B1540" s="52" t="s">
        <v>37</v>
      </c>
      <c r="C1540" s="52" t="s">
        <v>218</v>
      </c>
      <c r="D1540" s="52" t="s">
        <v>218</v>
      </c>
      <c r="E1540" s="52" t="s">
        <v>594</v>
      </c>
      <c r="F1540" s="52" t="s">
        <v>581</v>
      </c>
      <c r="G1540" s="195" t="s">
        <v>275</v>
      </c>
      <c r="H1540" s="195">
        <v>-118.9667</v>
      </c>
      <c r="I1540" s="195">
        <v>13.253119999999999</v>
      </c>
      <c r="J1540" s="195">
        <v>22.212540000000001</v>
      </c>
      <c r="K1540" s="195">
        <v>36.722410000000004</v>
      </c>
      <c r="L1540" s="195">
        <v>35.445900000000002</v>
      </c>
      <c r="M1540" s="195">
        <v>14.555949999999999</v>
      </c>
      <c r="N1540" s="195">
        <v>10.56875</v>
      </c>
    </row>
    <row r="1541" spans="1:14" hidden="1" x14ac:dyDescent="0.35">
      <c r="A1541" s="52" t="s">
        <v>242</v>
      </c>
      <c r="B1541" s="52" t="s">
        <v>37</v>
      </c>
      <c r="C1541" s="52" t="s">
        <v>218</v>
      </c>
      <c r="D1541" s="52" t="s">
        <v>218</v>
      </c>
      <c r="E1541" s="52" t="s">
        <v>594</v>
      </c>
      <c r="F1541" s="52" t="s">
        <v>581</v>
      </c>
      <c r="G1541" s="195" t="s">
        <v>276</v>
      </c>
      <c r="H1541" s="195">
        <v>5.7325530000000002</v>
      </c>
      <c r="I1541" s="195">
        <v>-21.476050000000001</v>
      </c>
      <c r="J1541" s="195">
        <v>-22.334479999999999</v>
      </c>
      <c r="K1541" s="195">
        <v>-26.98011</v>
      </c>
      <c r="L1541" s="195">
        <v>-26.400919999999999</v>
      </c>
      <c r="M1541" s="195">
        <v>-2.6189399999999998</v>
      </c>
      <c r="N1541" s="195">
        <v>-0.67545120000000003</v>
      </c>
    </row>
    <row r="1542" spans="1:14" hidden="1" x14ac:dyDescent="0.35">
      <c r="A1542" s="52" t="s">
        <v>242</v>
      </c>
      <c r="B1542" s="52" t="s">
        <v>37</v>
      </c>
      <c r="C1542" s="52" t="s">
        <v>218</v>
      </c>
      <c r="D1542" s="52" t="s">
        <v>218</v>
      </c>
      <c r="E1542" s="52" t="s">
        <v>594</v>
      </c>
      <c r="F1542" s="52" t="s">
        <v>581</v>
      </c>
      <c r="G1542" s="195" t="s">
        <v>277</v>
      </c>
      <c r="H1542" s="195">
        <v>307.59859999999998</v>
      </c>
      <c r="I1542" s="195">
        <v>43.402859999999997</v>
      </c>
      <c r="J1542" s="195">
        <v>16.703970000000002</v>
      </c>
      <c r="K1542" s="195">
        <v>6.6281739999999996</v>
      </c>
      <c r="L1542" s="195">
        <v>5.5482659999999999</v>
      </c>
      <c r="M1542" s="195">
        <v>0</v>
      </c>
      <c r="N1542" s="195">
        <v>0</v>
      </c>
    </row>
    <row r="1543" spans="1:14" hidden="1" x14ac:dyDescent="0.35">
      <c r="A1543" s="52" t="s">
        <v>242</v>
      </c>
      <c r="B1543" s="52" t="s">
        <v>37</v>
      </c>
      <c r="C1543" s="52" t="s">
        <v>218</v>
      </c>
      <c r="D1543" s="52" t="s">
        <v>218</v>
      </c>
      <c r="E1543" s="52" t="s">
        <v>594</v>
      </c>
      <c r="F1543" s="52" t="s">
        <v>581</v>
      </c>
      <c r="G1543" s="195" t="s">
        <v>278</v>
      </c>
      <c r="H1543" s="195">
        <v>8.9891279999999991</v>
      </c>
      <c r="I1543" s="195">
        <v>2.8664000000000001</v>
      </c>
      <c r="J1543" s="195">
        <v>9.9828010000000003</v>
      </c>
      <c r="K1543" s="195">
        <v>6.5633119999999998</v>
      </c>
      <c r="L1543" s="195">
        <v>0.92070759999999996</v>
      </c>
      <c r="M1543" s="195">
        <v>0</v>
      </c>
      <c r="N1543" s="195">
        <v>0</v>
      </c>
    </row>
    <row r="1544" spans="1:14" hidden="1" x14ac:dyDescent="0.35">
      <c r="A1544" s="52" t="s">
        <v>242</v>
      </c>
      <c r="B1544" s="52" t="s">
        <v>37</v>
      </c>
      <c r="C1544" s="52" t="s">
        <v>218</v>
      </c>
      <c r="D1544" s="52" t="s">
        <v>218</v>
      </c>
      <c r="E1544" s="52" t="s">
        <v>594</v>
      </c>
      <c r="F1544" s="52" t="s">
        <v>581</v>
      </c>
      <c r="G1544" s="195" t="s">
        <v>279</v>
      </c>
      <c r="H1544" s="195">
        <v>68.105009999999993</v>
      </c>
      <c r="I1544" s="195">
        <v>38.336080000000003</v>
      </c>
      <c r="J1544" s="195">
        <v>31.834399999999999</v>
      </c>
      <c r="K1544" s="195">
        <v>28.565670000000001</v>
      </c>
      <c r="L1544" s="195">
        <v>24.861619999999998</v>
      </c>
      <c r="M1544" s="195">
        <v>18.574999999999999</v>
      </c>
      <c r="N1544" s="195">
        <v>15.351839999999999</v>
      </c>
    </row>
    <row r="1545" spans="1:14" hidden="1" x14ac:dyDescent="0.35">
      <c r="A1545" s="52" t="s">
        <v>242</v>
      </c>
      <c r="B1545" s="52" t="s">
        <v>37</v>
      </c>
      <c r="C1545" s="52" t="s">
        <v>218</v>
      </c>
      <c r="D1545" s="52" t="s">
        <v>218</v>
      </c>
      <c r="E1545" s="52" t="s">
        <v>594</v>
      </c>
      <c r="F1545" s="52" t="s">
        <v>26</v>
      </c>
      <c r="G1545" s="195" t="s">
        <v>275</v>
      </c>
      <c r="H1545" s="195">
        <v>1.966243</v>
      </c>
      <c r="I1545" s="195">
        <v>0.90891909999999998</v>
      </c>
      <c r="J1545" s="195">
        <v>1.136798</v>
      </c>
      <c r="K1545" s="195">
        <v>0.75604000000000005</v>
      </c>
      <c r="L1545" s="195">
        <v>0.1504788</v>
      </c>
      <c r="M1545" s="195">
        <v>0.13852780000000001</v>
      </c>
      <c r="N1545" s="195">
        <v>0.1153192</v>
      </c>
    </row>
    <row r="1546" spans="1:14" hidden="1" x14ac:dyDescent="0.35">
      <c r="A1546" s="52" t="s">
        <v>242</v>
      </c>
      <c r="B1546" s="52" t="s">
        <v>37</v>
      </c>
      <c r="C1546" s="52" t="s">
        <v>218</v>
      </c>
      <c r="D1546" s="52" t="s">
        <v>218</v>
      </c>
      <c r="E1546" s="52" t="s">
        <v>594</v>
      </c>
      <c r="F1546" s="52" t="s">
        <v>26</v>
      </c>
      <c r="G1546" s="195" t="s">
        <v>276</v>
      </c>
      <c r="H1546" s="195">
        <v>0.52267200000000003</v>
      </c>
      <c r="I1546" s="195">
        <v>0.24160880000000001</v>
      </c>
      <c r="J1546" s="195">
        <v>0.30218499999999998</v>
      </c>
      <c r="K1546" s="195">
        <v>0.20097499999999999</v>
      </c>
      <c r="L1546" s="195">
        <v>4.0000800000000003E-2</v>
      </c>
      <c r="M1546" s="195">
        <v>3.6823599999999998E-2</v>
      </c>
      <c r="N1546" s="195">
        <v>3.0655399999999999E-2</v>
      </c>
    </row>
    <row r="1547" spans="1:14" hidden="1" x14ac:dyDescent="0.35">
      <c r="A1547" s="52" t="s">
        <v>242</v>
      </c>
      <c r="B1547" s="52" t="s">
        <v>37</v>
      </c>
      <c r="C1547" s="52" t="s">
        <v>218</v>
      </c>
      <c r="D1547" s="52" t="s">
        <v>218</v>
      </c>
      <c r="E1547" s="52" t="s">
        <v>594</v>
      </c>
      <c r="F1547" s="52" t="s">
        <v>26</v>
      </c>
      <c r="G1547" s="195" t="s">
        <v>279</v>
      </c>
      <c r="H1547" s="195">
        <v>9.1412510000000005</v>
      </c>
      <c r="I1547" s="195">
        <v>9.1672349999999998</v>
      </c>
      <c r="J1547" s="195">
        <v>7.9165190000000001</v>
      </c>
      <c r="K1547" s="195">
        <v>6.8283940000000003</v>
      </c>
      <c r="L1547" s="195">
        <v>6.151948</v>
      </c>
      <c r="M1547" s="195">
        <v>4.5673440000000003</v>
      </c>
      <c r="N1547" s="195">
        <v>3.7035130000000001</v>
      </c>
    </row>
    <row r="1548" spans="1:14" hidden="1" x14ac:dyDescent="0.35">
      <c r="A1548" s="52" t="s">
        <v>242</v>
      </c>
      <c r="B1548" s="52" t="s">
        <v>37</v>
      </c>
      <c r="C1548" s="52" t="s">
        <v>70</v>
      </c>
      <c r="D1548" s="52" t="s">
        <v>70</v>
      </c>
      <c r="E1548" s="52" t="s">
        <v>618</v>
      </c>
      <c r="F1548" s="52" t="s">
        <v>581</v>
      </c>
      <c r="G1548" s="195" t="s">
        <v>275</v>
      </c>
      <c r="H1548" s="195">
        <v>51.637250000000002</v>
      </c>
      <c r="I1548" s="195">
        <v>-4.5741300000000003</v>
      </c>
      <c r="J1548" s="195">
        <v>-6.7946960000000001</v>
      </c>
      <c r="K1548" s="195">
        <v>-7.4065950000000003</v>
      </c>
      <c r="L1548" s="195">
        <v>-9.7148979999999998</v>
      </c>
      <c r="M1548" s="195">
        <v>-8.7086199999999998</v>
      </c>
      <c r="N1548" s="195">
        <v>-7.989185</v>
      </c>
    </row>
    <row r="1549" spans="1:14" hidden="1" x14ac:dyDescent="0.35">
      <c r="A1549" s="52" t="s">
        <v>242</v>
      </c>
      <c r="B1549" s="52" t="s">
        <v>37</v>
      </c>
      <c r="C1549" s="52" t="s">
        <v>70</v>
      </c>
      <c r="D1549" s="52" t="s">
        <v>70</v>
      </c>
      <c r="E1549" s="52" t="s">
        <v>618</v>
      </c>
      <c r="F1549" s="52" t="s">
        <v>581</v>
      </c>
      <c r="G1549" s="195" t="s">
        <v>276</v>
      </c>
      <c r="H1549" s="195">
        <v>8.8949429999999996</v>
      </c>
      <c r="I1549" s="195">
        <v>-1.21591</v>
      </c>
      <c r="J1549" s="195">
        <v>-1.806187</v>
      </c>
      <c r="K1549" s="195">
        <v>-1.9688429999999999</v>
      </c>
      <c r="L1549" s="195">
        <v>-2.582443</v>
      </c>
      <c r="M1549" s="195">
        <v>-2.3149510000000002</v>
      </c>
      <c r="N1549" s="195">
        <v>-2.123707</v>
      </c>
    </row>
    <row r="1550" spans="1:14" hidden="1" x14ac:dyDescent="0.35">
      <c r="A1550" s="52" t="s">
        <v>242</v>
      </c>
      <c r="B1550" s="52" t="s">
        <v>37</v>
      </c>
      <c r="C1550" s="52" t="s">
        <v>70</v>
      </c>
      <c r="D1550" s="52" t="s">
        <v>70</v>
      </c>
      <c r="E1550" s="52" t="s">
        <v>618</v>
      </c>
      <c r="F1550" s="52" t="s">
        <v>581</v>
      </c>
      <c r="G1550" s="195" t="s">
        <v>277</v>
      </c>
      <c r="H1550" s="195"/>
      <c r="I1550" s="195"/>
      <c r="J1550" s="195"/>
      <c r="K1550" s="195"/>
      <c r="L1550" s="195"/>
      <c r="M1550" s="195">
        <v>0</v>
      </c>
      <c r="N1550" s="195">
        <v>0</v>
      </c>
    </row>
    <row r="1551" spans="1:14" hidden="1" x14ac:dyDescent="0.35">
      <c r="A1551" s="52" t="s">
        <v>242</v>
      </c>
      <c r="B1551" s="52" t="s">
        <v>37</v>
      </c>
      <c r="C1551" s="52" t="s">
        <v>70</v>
      </c>
      <c r="D1551" s="52" t="s">
        <v>70</v>
      </c>
      <c r="E1551" s="52" t="s">
        <v>618</v>
      </c>
      <c r="F1551" s="52" t="s">
        <v>581</v>
      </c>
      <c r="G1551" s="195" t="s">
        <v>279</v>
      </c>
      <c r="H1551" s="195">
        <v>61.113280000000003</v>
      </c>
      <c r="I1551" s="195">
        <v>46.524700000000003</v>
      </c>
      <c r="J1551" s="195">
        <v>40.676720000000003</v>
      </c>
      <c r="K1551" s="195">
        <v>39.011209999999998</v>
      </c>
      <c r="L1551" s="195">
        <v>39.677759999999999</v>
      </c>
      <c r="M1551" s="195">
        <v>36.38503</v>
      </c>
      <c r="N1551" s="195">
        <v>33.475009999999997</v>
      </c>
    </row>
    <row r="1552" spans="1:14" hidden="1" x14ac:dyDescent="0.35">
      <c r="A1552" s="52" t="s">
        <v>242</v>
      </c>
      <c r="B1552" s="52" t="s">
        <v>37</v>
      </c>
      <c r="C1552" s="52" t="s">
        <v>70</v>
      </c>
      <c r="D1552" s="52" t="s">
        <v>70</v>
      </c>
      <c r="E1552" s="52" t="s">
        <v>618</v>
      </c>
      <c r="F1552" s="52" t="s">
        <v>26</v>
      </c>
      <c r="G1552" s="195" t="s">
        <v>275</v>
      </c>
      <c r="H1552" s="195">
        <v>6.6729690000000002</v>
      </c>
      <c r="I1552" s="195">
        <v>2.0221490000000002</v>
      </c>
      <c r="J1552" s="195">
        <v>3.0578370000000001</v>
      </c>
      <c r="K1552" s="195">
        <v>1.813788</v>
      </c>
      <c r="L1552" s="195">
        <v>-0.7616328</v>
      </c>
      <c r="M1552" s="195">
        <v>-0.53074690000000002</v>
      </c>
      <c r="N1552" s="195">
        <v>-0.45983039999999997</v>
      </c>
    </row>
    <row r="1553" spans="1:14" hidden="1" x14ac:dyDescent="0.35">
      <c r="A1553" s="52" t="s">
        <v>242</v>
      </c>
      <c r="B1553" s="52" t="s">
        <v>37</v>
      </c>
      <c r="C1553" s="52" t="s">
        <v>70</v>
      </c>
      <c r="D1553" s="52" t="s">
        <v>70</v>
      </c>
      <c r="E1553" s="52" t="s">
        <v>618</v>
      </c>
      <c r="F1553" s="52" t="s">
        <v>26</v>
      </c>
      <c r="G1553" s="195" t="s">
        <v>276</v>
      </c>
      <c r="H1553" s="195">
        <v>1.77383</v>
      </c>
      <c r="I1553" s="195">
        <v>0.53753220000000002</v>
      </c>
      <c r="J1553" s="195">
        <v>0.81284250000000002</v>
      </c>
      <c r="K1553" s="195">
        <v>0.48214560000000001</v>
      </c>
      <c r="L1553" s="195">
        <v>-0.20245859999999999</v>
      </c>
      <c r="M1553" s="195">
        <v>-0.14108560000000001</v>
      </c>
      <c r="N1553" s="195">
        <v>-0.1222338</v>
      </c>
    </row>
    <row r="1554" spans="1:14" hidden="1" x14ac:dyDescent="0.35">
      <c r="A1554" s="52" t="s">
        <v>242</v>
      </c>
      <c r="B1554" s="52" t="s">
        <v>37</v>
      </c>
      <c r="C1554" s="52" t="s">
        <v>70</v>
      </c>
      <c r="D1554" s="52" t="s">
        <v>70</v>
      </c>
      <c r="E1554" s="52" t="s">
        <v>618</v>
      </c>
      <c r="F1554" s="52" t="s">
        <v>26</v>
      </c>
      <c r="G1554" s="195" t="s">
        <v>279</v>
      </c>
      <c r="H1554" s="195">
        <v>45.223269999999999</v>
      </c>
      <c r="I1554" s="195">
        <v>39.685699999999997</v>
      </c>
      <c r="J1554" s="195">
        <v>35.226880000000001</v>
      </c>
      <c r="K1554" s="195">
        <v>33.761800000000001</v>
      </c>
      <c r="L1554" s="195">
        <v>34.198970000000003</v>
      </c>
      <c r="M1554" s="195">
        <v>31.367360000000001</v>
      </c>
      <c r="N1554" s="195">
        <v>28.860050000000001</v>
      </c>
    </row>
    <row r="1555" spans="1:14" hidden="1" x14ac:dyDescent="0.35">
      <c r="A1555" s="52" t="s">
        <v>242</v>
      </c>
      <c r="B1555" s="52" t="s">
        <v>37</v>
      </c>
      <c r="C1555" s="52" t="s">
        <v>63</v>
      </c>
      <c r="D1555" s="52" t="s">
        <v>63</v>
      </c>
      <c r="E1555" s="52" t="s">
        <v>621</v>
      </c>
      <c r="F1555" s="52" t="s">
        <v>26</v>
      </c>
      <c r="G1555" s="195" t="s">
        <v>275</v>
      </c>
      <c r="H1555" s="195">
        <v>-17.285119999999999</v>
      </c>
      <c r="I1555" s="195">
        <v>4.4308449999999997</v>
      </c>
      <c r="J1555" s="195">
        <v>5.0136450000000004</v>
      </c>
      <c r="K1555" s="195">
        <v>2.8258399999999999</v>
      </c>
      <c r="L1555" s="195">
        <v>-0.70779409999999998</v>
      </c>
      <c r="M1555" s="195">
        <v>1.901402</v>
      </c>
      <c r="N1555" s="195">
        <v>0.78618790000000005</v>
      </c>
    </row>
    <row r="1556" spans="1:14" hidden="1" x14ac:dyDescent="0.35">
      <c r="A1556" s="52" t="s">
        <v>242</v>
      </c>
      <c r="B1556" s="52" t="s">
        <v>37</v>
      </c>
      <c r="C1556" s="52" t="s">
        <v>63</v>
      </c>
      <c r="D1556" s="52" t="s">
        <v>63</v>
      </c>
      <c r="E1556" s="52" t="s">
        <v>621</v>
      </c>
      <c r="F1556" s="52" t="s">
        <v>26</v>
      </c>
      <c r="G1556" s="195" t="s">
        <v>276</v>
      </c>
      <c r="H1556" s="195">
        <v>-0.93623789999999996</v>
      </c>
      <c r="I1556" s="195">
        <v>-1.7499640000000001</v>
      </c>
      <c r="J1556" s="195">
        <v>-1.5964210000000001</v>
      </c>
      <c r="K1556" s="195">
        <v>-1.6694500000000001</v>
      </c>
      <c r="L1556" s="195">
        <v>-1.900066</v>
      </c>
      <c r="M1556" s="195">
        <v>-1.585761</v>
      </c>
      <c r="N1556" s="195">
        <v>-0.48015639999999998</v>
      </c>
    </row>
    <row r="1557" spans="1:14" hidden="1" x14ac:dyDescent="0.35">
      <c r="A1557" s="52" t="s">
        <v>242</v>
      </c>
      <c r="B1557" s="52" t="s">
        <v>37</v>
      </c>
      <c r="C1557" s="52" t="s">
        <v>63</v>
      </c>
      <c r="D1557" s="52" t="s">
        <v>63</v>
      </c>
      <c r="E1557" s="52" t="s">
        <v>621</v>
      </c>
      <c r="F1557" s="52" t="s">
        <v>26</v>
      </c>
      <c r="G1557" s="195" t="s">
        <v>277</v>
      </c>
      <c r="H1557" s="195">
        <v>34.468119999999999</v>
      </c>
      <c r="I1557" s="195">
        <v>0</v>
      </c>
      <c r="J1557" s="195">
        <v>0</v>
      </c>
      <c r="K1557" s="195">
        <v>1.2171149999999999</v>
      </c>
      <c r="L1557" s="195">
        <v>2.7560980000000002</v>
      </c>
      <c r="M1557" s="195">
        <v>0</v>
      </c>
      <c r="N1557" s="195">
        <v>0</v>
      </c>
    </row>
    <row r="1558" spans="1:14" hidden="1" x14ac:dyDescent="0.35">
      <c r="A1558" s="52" t="s">
        <v>242</v>
      </c>
      <c r="B1558" s="52" t="s">
        <v>37</v>
      </c>
      <c r="C1558" s="52" t="s">
        <v>63</v>
      </c>
      <c r="D1558" s="52" t="s">
        <v>63</v>
      </c>
      <c r="E1558" s="52" t="s">
        <v>621</v>
      </c>
      <c r="F1558" s="52" t="s">
        <v>26</v>
      </c>
      <c r="G1558" s="195" t="s">
        <v>278</v>
      </c>
      <c r="H1558" s="195">
        <v>0</v>
      </c>
      <c r="I1558" s="195"/>
      <c r="J1558" s="195"/>
      <c r="K1558" s="195"/>
      <c r="L1558" s="195"/>
      <c r="M1558" s="195"/>
      <c r="N1558" s="195"/>
    </row>
    <row r="1559" spans="1:14" hidden="1" x14ac:dyDescent="0.35">
      <c r="A1559" s="52" t="s">
        <v>242</v>
      </c>
      <c r="B1559" s="52" t="s">
        <v>37</v>
      </c>
      <c r="C1559" s="52" t="s">
        <v>63</v>
      </c>
      <c r="D1559" s="52" t="s">
        <v>63</v>
      </c>
      <c r="E1559" s="52" t="s">
        <v>621</v>
      </c>
      <c r="F1559" s="52" t="s">
        <v>26</v>
      </c>
      <c r="G1559" s="195" t="s">
        <v>279</v>
      </c>
      <c r="H1559" s="195">
        <v>42.396099999999997</v>
      </c>
      <c r="I1559" s="195">
        <v>26.257390000000001</v>
      </c>
      <c r="J1559" s="195">
        <v>22.415839999999999</v>
      </c>
      <c r="K1559" s="195">
        <v>21.352370000000001</v>
      </c>
      <c r="L1559" s="195">
        <v>22.677959999999999</v>
      </c>
      <c r="M1559" s="195">
        <v>21.44924</v>
      </c>
      <c r="N1559" s="195">
        <v>19.350860000000001</v>
      </c>
    </row>
    <row r="1560" spans="1:14" hidden="1" x14ac:dyDescent="0.35">
      <c r="A1560" s="52" t="s">
        <v>242</v>
      </c>
      <c r="B1560" s="52" t="s">
        <v>37</v>
      </c>
      <c r="C1560" s="52" t="s">
        <v>63</v>
      </c>
      <c r="D1560" s="52" t="s">
        <v>63</v>
      </c>
      <c r="E1560" s="52" t="s">
        <v>584</v>
      </c>
      <c r="F1560" s="52" t="s">
        <v>581</v>
      </c>
      <c r="G1560" s="195" t="s">
        <v>275</v>
      </c>
      <c r="H1560" s="195">
        <v>1.0741000000000001E-2</v>
      </c>
      <c r="I1560" s="195">
        <v>0</v>
      </c>
      <c r="J1560" s="195"/>
      <c r="K1560" s="195"/>
      <c r="L1560" s="195"/>
      <c r="M1560" s="195"/>
      <c r="N1560" s="195"/>
    </row>
    <row r="1561" spans="1:14" hidden="1" x14ac:dyDescent="0.35">
      <c r="A1561" s="52" t="s">
        <v>242</v>
      </c>
      <c r="B1561" s="52" t="s">
        <v>37</v>
      </c>
      <c r="C1561" s="52" t="s">
        <v>63</v>
      </c>
      <c r="D1561" s="52" t="s">
        <v>63</v>
      </c>
      <c r="E1561" s="52" t="s">
        <v>584</v>
      </c>
      <c r="F1561" s="52" t="s">
        <v>581</v>
      </c>
      <c r="G1561" s="195" t="s">
        <v>276</v>
      </c>
      <c r="H1561" s="195">
        <v>4.3480000000000003E-3</v>
      </c>
      <c r="I1561" s="195">
        <v>0</v>
      </c>
      <c r="J1561" s="195"/>
      <c r="K1561" s="195"/>
      <c r="L1561" s="195"/>
      <c r="M1561" s="195"/>
      <c r="N1561" s="195"/>
    </row>
    <row r="1562" spans="1:14" hidden="1" x14ac:dyDescent="0.35">
      <c r="A1562" s="52" t="s">
        <v>242</v>
      </c>
      <c r="B1562" s="52" t="s">
        <v>37</v>
      </c>
      <c r="C1562" s="52" t="s">
        <v>63</v>
      </c>
      <c r="D1562" s="52" t="s">
        <v>63</v>
      </c>
      <c r="E1562" s="52" t="s">
        <v>584</v>
      </c>
      <c r="F1562" s="52" t="s">
        <v>581</v>
      </c>
      <c r="G1562" s="195" t="s">
        <v>279</v>
      </c>
      <c r="H1562" s="195">
        <v>1.7179999999999999E-3</v>
      </c>
      <c r="I1562" s="195">
        <v>0</v>
      </c>
      <c r="J1562" s="195"/>
      <c r="K1562" s="195"/>
      <c r="L1562" s="195"/>
      <c r="M1562" s="195"/>
      <c r="N1562" s="195"/>
    </row>
    <row r="1563" spans="1:14" hidden="1" x14ac:dyDescent="0.35">
      <c r="A1563" s="52" t="s">
        <v>242</v>
      </c>
      <c r="B1563" s="52" t="s">
        <v>37</v>
      </c>
      <c r="C1563" s="52" t="s">
        <v>63</v>
      </c>
      <c r="D1563" s="52" t="s">
        <v>63</v>
      </c>
      <c r="E1563" s="52" t="s">
        <v>584</v>
      </c>
      <c r="F1563" s="52" t="s">
        <v>26</v>
      </c>
      <c r="G1563" s="195" t="s">
        <v>275</v>
      </c>
      <c r="H1563" s="195">
        <v>-5.8768750000000001</v>
      </c>
      <c r="I1563" s="195">
        <v>-4.726153</v>
      </c>
      <c r="J1563" s="195">
        <v>-4.038138</v>
      </c>
      <c r="K1563" s="195">
        <v>-4.067914</v>
      </c>
      <c r="L1563" s="195">
        <v>-4.1465389999999998</v>
      </c>
      <c r="M1563" s="195">
        <v>-3.889694</v>
      </c>
      <c r="N1563" s="195">
        <v>-3.630455</v>
      </c>
    </row>
    <row r="1564" spans="1:14" hidden="1" x14ac:dyDescent="0.35">
      <c r="A1564" s="52" t="s">
        <v>242</v>
      </c>
      <c r="B1564" s="52" t="s">
        <v>37</v>
      </c>
      <c r="C1564" s="52" t="s">
        <v>63</v>
      </c>
      <c r="D1564" s="52" t="s">
        <v>63</v>
      </c>
      <c r="E1564" s="52" t="s">
        <v>584</v>
      </c>
      <c r="F1564" s="52" t="s">
        <v>26</v>
      </c>
      <c r="G1564" s="195" t="s">
        <v>276</v>
      </c>
      <c r="H1564" s="195">
        <v>-0.75684700000000005</v>
      </c>
      <c r="I1564" s="195">
        <v>-0.99904999999999999</v>
      </c>
      <c r="J1564" s="195">
        <v>-0.77137820000000001</v>
      </c>
      <c r="K1564" s="195">
        <v>-0.72104599999999996</v>
      </c>
      <c r="L1564" s="195">
        <v>-0.54748640000000004</v>
      </c>
      <c r="M1564" s="195">
        <v>-0.51095840000000003</v>
      </c>
      <c r="N1564" s="195">
        <v>-0.50708799999999998</v>
      </c>
    </row>
    <row r="1565" spans="1:14" hidden="1" x14ac:dyDescent="0.35">
      <c r="A1565" s="52" t="s">
        <v>242</v>
      </c>
      <c r="B1565" s="52" t="s">
        <v>37</v>
      </c>
      <c r="C1565" s="52" t="s">
        <v>63</v>
      </c>
      <c r="D1565" s="52" t="s">
        <v>63</v>
      </c>
      <c r="E1565" s="52" t="s">
        <v>584</v>
      </c>
      <c r="F1565" s="52" t="s">
        <v>26</v>
      </c>
      <c r="G1565" s="195" t="s">
        <v>277</v>
      </c>
      <c r="H1565" s="195">
        <v>7.5458049999999997</v>
      </c>
      <c r="I1565" s="195">
        <v>5.712936</v>
      </c>
      <c r="J1565" s="195">
        <v>5.4362159999999999</v>
      </c>
      <c r="K1565" s="195">
        <v>5.2851949999999999</v>
      </c>
      <c r="L1565" s="195">
        <v>5.0761310000000002</v>
      </c>
      <c r="M1565" s="195">
        <v>4.7658300000000002</v>
      </c>
      <c r="N1565" s="195">
        <v>4.493576</v>
      </c>
    </row>
    <row r="1566" spans="1:14" hidden="1" x14ac:dyDescent="0.35">
      <c r="A1566" s="52" t="s">
        <v>242</v>
      </c>
      <c r="B1566" s="52" t="s">
        <v>37</v>
      </c>
      <c r="C1566" s="52" t="s">
        <v>63</v>
      </c>
      <c r="D1566" s="52" t="s">
        <v>63</v>
      </c>
      <c r="E1566" s="52" t="s">
        <v>584</v>
      </c>
      <c r="F1566" s="52" t="s">
        <v>26</v>
      </c>
      <c r="G1566" s="195" t="s">
        <v>278</v>
      </c>
      <c r="H1566" s="195">
        <v>3.1252000000000002E-2</v>
      </c>
      <c r="I1566" s="195">
        <v>0</v>
      </c>
      <c r="J1566" s="195"/>
      <c r="K1566" s="195"/>
      <c r="L1566" s="195"/>
      <c r="M1566" s="195"/>
      <c r="N1566" s="195"/>
    </row>
    <row r="1567" spans="1:14" hidden="1" x14ac:dyDescent="0.35">
      <c r="A1567" s="52" t="s">
        <v>242</v>
      </c>
      <c r="B1567" s="52" t="s">
        <v>37</v>
      </c>
      <c r="C1567" s="52" t="s">
        <v>63</v>
      </c>
      <c r="D1567" s="52" t="s">
        <v>63</v>
      </c>
      <c r="E1567" s="52" t="s">
        <v>584</v>
      </c>
      <c r="F1567" s="52" t="s">
        <v>26</v>
      </c>
      <c r="G1567" s="195" t="s">
        <v>279</v>
      </c>
      <c r="H1567" s="195">
        <v>1.9670080000000001</v>
      </c>
      <c r="I1567" s="195">
        <v>2.26403</v>
      </c>
      <c r="J1567" s="195">
        <v>1.64923</v>
      </c>
      <c r="K1567" s="195">
        <v>1.7715099999999999</v>
      </c>
      <c r="L1567" s="195">
        <v>1.848959</v>
      </c>
      <c r="M1567" s="195">
        <v>1.779339</v>
      </c>
      <c r="N1567" s="195">
        <v>1.7201070000000001</v>
      </c>
    </row>
    <row r="1568" spans="1:14" hidden="1" x14ac:dyDescent="0.35">
      <c r="A1568" s="52" t="s">
        <v>242</v>
      </c>
      <c r="B1568" s="52" t="s">
        <v>37</v>
      </c>
      <c r="C1568" s="52" t="s">
        <v>99</v>
      </c>
      <c r="D1568" s="52" t="s">
        <v>101</v>
      </c>
      <c r="E1568" s="52" t="s">
        <v>584</v>
      </c>
      <c r="F1568" s="52" t="s">
        <v>581</v>
      </c>
      <c r="G1568" s="195" t="s">
        <v>275</v>
      </c>
      <c r="H1568" s="195">
        <v>2.7778459999999998</v>
      </c>
      <c r="I1568" s="195">
        <v>0.39190180000000002</v>
      </c>
      <c r="J1568" s="195">
        <v>0.24357319999999999</v>
      </c>
      <c r="K1568" s="195">
        <v>0.20858779999999999</v>
      </c>
      <c r="L1568" s="195">
        <v>0.1225314</v>
      </c>
      <c r="M1568" s="195">
        <v>0.1213412</v>
      </c>
      <c r="N1568" s="195">
        <v>0.1122716</v>
      </c>
    </row>
    <row r="1569" spans="1:14" hidden="1" x14ac:dyDescent="0.35">
      <c r="A1569" s="52" t="s">
        <v>242</v>
      </c>
      <c r="B1569" s="52" t="s">
        <v>37</v>
      </c>
      <c r="C1569" s="52" t="s">
        <v>99</v>
      </c>
      <c r="D1569" s="52" t="s">
        <v>101</v>
      </c>
      <c r="E1569" s="52" t="s">
        <v>584</v>
      </c>
      <c r="F1569" s="52" t="s">
        <v>581</v>
      </c>
      <c r="G1569" s="195" t="s">
        <v>276</v>
      </c>
      <c r="H1569" s="195">
        <v>0.73841509999999999</v>
      </c>
      <c r="I1569" s="195">
        <v>0.1041754</v>
      </c>
      <c r="J1569" s="195">
        <v>6.4747399999999997E-2</v>
      </c>
      <c r="K1569" s="195">
        <v>5.5447999999999997E-2</v>
      </c>
      <c r="L1569" s="195">
        <v>3.2571200000000002E-2</v>
      </c>
      <c r="M1569" s="195">
        <v>3.2255600000000002E-2</v>
      </c>
      <c r="N1569" s="195">
        <v>2.9844200000000001E-2</v>
      </c>
    </row>
    <row r="1570" spans="1:14" hidden="1" x14ac:dyDescent="0.35">
      <c r="A1570" s="52" t="s">
        <v>242</v>
      </c>
      <c r="B1570" s="52" t="s">
        <v>37</v>
      </c>
      <c r="C1570" s="52" t="s">
        <v>99</v>
      </c>
      <c r="D1570" s="52" t="s">
        <v>101</v>
      </c>
      <c r="E1570" s="52" t="s">
        <v>584</v>
      </c>
      <c r="F1570" s="52" t="s">
        <v>581</v>
      </c>
      <c r="G1570" s="195" t="s">
        <v>279</v>
      </c>
      <c r="H1570" s="195">
        <v>1.648542</v>
      </c>
      <c r="I1570" s="195">
        <v>1.0230589999999999</v>
      </c>
      <c r="J1570" s="195">
        <v>0.88622860000000003</v>
      </c>
      <c r="K1570" s="195">
        <v>0.83791879999999996</v>
      </c>
      <c r="L1570" s="195">
        <v>0.86123419999999995</v>
      </c>
      <c r="M1570" s="195">
        <v>0.78598179999999995</v>
      </c>
      <c r="N1570" s="195">
        <v>0.7215336</v>
      </c>
    </row>
    <row r="1571" spans="1:14" hidden="1" x14ac:dyDescent="0.35">
      <c r="A1571" s="52" t="s">
        <v>242</v>
      </c>
      <c r="B1571" s="52" t="s">
        <v>37</v>
      </c>
      <c r="C1571" s="52" t="s">
        <v>99</v>
      </c>
      <c r="D1571" s="52" t="s">
        <v>101</v>
      </c>
      <c r="E1571" s="52" t="s">
        <v>584</v>
      </c>
      <c r="F1571" s="52" t="s">
        <v>26</v>
      </c>
      <c r="G1571" s="195" t="s">
        <v>275</v>
      </c>
      <c r="H1571" s="195">
        <v>-21.135619999999999</v>
      </c>
      <c r="I1571" s="195">
        <v>6.0934559999999998</v>
      </c>
      <c r="J1571" s="195">
        <v>3.8548</v>
      </c>
      <c r="K1571" s="195">
        <v>5.4392849999999999</v>
      </c>
      <c r="L1571" s="195">
        <v>3.786311</v>
      </c>
      <c r="M1571" s="195">
        <v>1.2151350000000001</v>
      </c>
      <c r="N1571" s="195">
        <v>1.123135</v>
      </c>
    </row>
    <row r="1572" spans="1:14" hidden="1" x14ac:dyDescent="0.35">
      <c r="A1572" s="52" t="s">
        <v>242</v>
      </c>
      <c r="B1572" s="52" t="s">
        <v>37</v>
      </c>
      <c r="C1572" s="52" t="s">
        <v>99</v>
      </c>
      <c r="D1572" s="52" t="s">
        <v>101</v>
      </c>
      <c r="E1572" s="52" t="s">
        <v>584</v>
      </c>
      <c r="F1572" s="52" t="s">
        <v>26</v>
      </c>
      <c r="G1572" s="195" t="s">
        <v>276</v>
      </c>
      <c r="H1572" s="195">
        <v>-1.4581980000000001</v>
      </c>
      <c r="I1572" s="195">
        <v>-3.2023299999999999</v>
      </c>
      <c r="J1572" s="195">
        <v>-0.8751234</v>
      </c>
      <c r="K1572" s="195">
        <v>-2.9829050000000001</v>
      </c>
      <c r="L1572" s="195">
        <v>-2.1639910000000002</v>
      </c>
      <c r="M1572" s="195">
        <v>0.32301059999999998</v>
      </c>
      <c r="N1572" s="195">
        <v>0.29855540000000003</v>
      </c>
    </row>
    <row r="1573" spans="1:14" hidden="1" x14ac:dyDescent="0.35">
      <c r="A1573" s="52" t="s">
        <v>242</v>
      </c>
      <c r="B1573" s="52" t="s">
        <v>37</v>
      </c>
      <c r="C1573" s="52" t="s">
        <v>99</v>
      </c>
      <c r="D1573" s="52" t="s">
        <v>101</v>
      </c>
      <c r="E1573" s="52" t="s">
        <v>584</v>
      </c>
      <c r="F1573" s="52" t="s">
        <v>26</v>
      </c>
      <c r="G1573" s="195" t="s">
        <v>277</v>
      </c>
      <c r="H1573" s="195">
        <v>29.118760000000002</v>
      </c>
      <c r="I1573" s="195">
        <v>0</v>
      </c>
      <c r="J1573" s="195"/>
      <c r="K1573" s="195"/>
      <c r="L1573" s="195"/>
      <c r="M1573" s="195"/>
      <c r="N1573" s="195"/>
    </row>
    <row r="1574" spans="1:14" hidden="1" x14ac:dyDescent="0.35">
      <c r="A1574" s="52" t="s">
        <v>242</v>
      </c>
      <c r="B1574" s="52" t="s">
        <v>37</v>
      </c>
      <c r="C1574" s="52" t="s">
        <v>99</v>
      </c>
      <c r="D1574" s="52" t="s">
        <v>101</v>
      </c>
      <c r="E1574" s="52" t="s">
        <v>584</v>
      </c>
      <c r="F1574" s="52" t="s">
        <v>26</v>
      </c>
      <c r="G1574" s="195" t="s">
        <v>279</v>
      </c>
      <c r="H1574" s="195">
        <v>12.69449</v>
      </c>
      <c r="I1574" s="195">
        <v>8.190493</v>
      </c>
      <c r="J1574" s="195">
        <v>7.2618749999999999</v>
      </c>
      <c r="K1574" s="195">
        <v>6.9741530000000003</v>
      </c>
      <c r="L1574" s="195">
        <v>7.0549379999999999</v>
      </c>
      <c r="M1574" s="195">
        <v>6.460674</v>
      </c>
      <c r="N1574" s="195">
        <v>5.9313289999999999</v>
      </c>
    </row>
    <row r="1575" spans="1:14" hidden="1" x14ac:dyDescent="0.35">
      <c r="A1575" s="52" t="s">
        <v>242</v>
      </c>
      <c r="B1575" s="52" t="s">
        <v>37</v>
      </c>
      <c r="C1575" s="52" t="s">
        <v>99</v>
      </c>
      <c r="D1575" s="52" t="s">
        <v>100</v>
      </c>
      <c r="E1575" s="52" t="s">
        <v>584</v>
      </c>
      <c r="F1575" s="52" t="s">
        <v>581</v>
      </c>
      <c r="G1575" s="195" t="s">
        <v>275</v>
      </c>
      <c r="H1575" s="195">
        <v>9.2884170000000008</v>
      </c>
      <c r="I1575" s="195">
        <v>-3.9808919999999999</v>
      </c>
      <c r="J1575" s="195">
        <v>-2.8651840000000002</v>
      </c>
      <c r="K1575" s="195">
        <v>-2.0898870000000001</v>
      </c>
      <c r="L1575" s="195">
        <v>-2.018732</v>
      </c>
      <c r="M1575" s="195">
        <v>-1.972728</v>
      </c>
      <c r="N1575" s="195">
        <v>-1.843885</v>
      </c>
    </row>
    <row r="1576" spans="1:14" hidden="1" x14ac:dyDescent="0.35">
      <c r="A1576" s="52" t="s">
        <v>242</v>
      </c>
      <c r="B1576" s="52" t="s">
        <v>37</v>
      </c>
      <c r="C1576" s="52" t="s">
        <v>99</v>
      </c>
      <c r="D1576" s="52" t="s">
        <v>100</v>
      </c>
      <c r="E1576" s="52" t="s">
        <v>584</v>
      </c>
      <c r="F1576" s="52" t="s">
        <v>581</v>
      </c>
      <c r="G1576" s="195" t="s">
        <v>276</v>
      </c>
      <c r="H1576" s="195">
        <v>2.9328340000000002</v>
      </c>
      <c r="I1576" s="195">
        <v>-0.25148740000000003</v>
      </c>
      <c r="J1576" s="195">
        <v>-1.534459</v>
      </c>
      <c r="K1576" s="195">
        <v>-1.916145</v>
      </c>
      <c r="L1576" s="195">
        <v>-1.6282160000000001</v>
      </c>
      <c r="M1576" s="195">
        <v>-1.265315</v>
      </c>
      <c r="N1576" s="195">
        <v>-1.0659799999999999</v>
      </c>
    </row>
    <row r="1577" spans="1:14" hidden="1" x14ac:dyDescent="0.35">
      <c r="A1577" s="52" t="s">
        <v>242</v>
      </c>
      <c r="B1577" s="52" t="s">
        <v>37</v>
      </c>
      <c r="C1577" s="52" t="s">
        <v>99</v>
      </c>
      <c r="D1577" s="52" t="s">
        <v>100</v>
      </c>
      <c r="E1577" s="52" t="s">
        <v>584</v>
      </c>
      <c r="F1577" s="52" t="s">
        <v>581</v>
      </c>
      <c r="G1577" s="195" t="s">
        <v>277</v>
      </c>
      <c r="H1577" s="195">
        <v>14.497210000000001</v>
      </c>
      <c r="I1577" s="195">
        <v>10.900969999999999</v>
      </c>
      <c r="J1577" s="195">
        <v>8.9676460000000002</v>
      </c>
      <c r="K1577" s="195">
        <v>7.7131720000000001</v>
      </c>
      <c r="L1577" s="195">
        <v>6.6743249999999996</v>
      </c>
      <c r="M1577" s="195">
        <v>5.8140429999999999</v>
      </c>
      <c r="N1577" s="195">
        <v>5.1016329999999996</v>
      </c>
    </row>
    <row r="1578" spans="1:14" hidden="1" x14ac:dyDescent="0.35">
      <c r="A1578" s="52" t="s">
        <v>242</v>
      </c>
      <c r="B1578" s="52" t="s">
        <v>37</v>
      </c>
      <c r="C1578" s="52" t="s">
        <v>99</v>
      </c>
      <c r="D1578" s="52" t="s">
        <v>100</v>
      </c>
      <c r="E1578" s="52" t="s">
        <v>584</v>
      </c>
      <c r="F1578" s="52" t="s">
        <v>581</v>
      </c>
      <c r="G1578" s="195" t="s">
        <v>278</v>
      </c>
      <c r="H1578" s="195">
        <v>2.3535E-2</v>
      </c>
      <c r="I1578" s="195">
        <v>0</v>
      </c>
      <c r="J1578" s="195"/>
      <c r="K1578" s="195"/>
      <c r="L1578" s="195"/>
      <c r="M1578" s="195"/>
      <c r="N1578" s="195"/>
    </row>
    <row r="1579" spans="1:14" hidden="1" x14ac:dyDescent="0.35">
      <c r="A1579" s="52" t="s">
        <v>242</v>
      </c>
      <c r="B1579" s="52" t="s">
        <v>37</v>
      </c>
      <c r="C1579" s="52" t="s">
        <v>99</v>
      </c>
      <c r="D1579" s="52" t="s">
        <v>100</v>
      </c>
      <c r="E1579" s="52" t="s">
        <v>584</v>
      </c>
      <c r="F1579" s="52" t="s">
        <v>581</v>
      </c>
      <c r="G1579" s="195" t="s">
        <v>279</v>
      </c>
      <c r="H1579" s="195">
        <v>6.5750599999999997</v>
      </c>
      <c r="I1579" s="195">
        <v>3.744097</v>
      </c>
      <c r="J1579" s="195">
        <v>2.9982470000000001</v>
      </c>
      <c r="K1579" s="195">
        <v>2.7252670000000001</v>
      </c>
      <c r="L1579" s="195">
        <v>2.4409179999999999</v>
      </c>
      <c r="M1579" s="195">
        <v>2.0725150000000001</v>
      </c>
      <c r="N1579" s="195">
        <v>1.759703</v>
      </c>
    </row>
    <row r="1580" spans="1:14" hidden="1" x14ac:dyDescent="0.35">
      <c r="A1580" s="52" t="s">
        <v>242</v>
      </c>
      <c r="B1580" s="52" t="s">
        <v>37</v>
      </c>
      <c r="C1580" s="52" t="s">
        <v>99</v>
      </c>
      <c r="D1580" s="52" t="s">
        <v>100</v>
      </c>
      <c r="E1580" s="52" t="s">
        <v>584</v>
      </c>
      <c r="F1580" s="52" t="s">
        <v>26</v>
      </c>
      <c r="G1580" s="195" t="s">
        <v>275</v>
      </c>
      <c r="H1580" s="195">
        <v>0.41188000000000002</v>
      </c>
      <c r="I1580" s="195">
        <v>0.25749519999999998</v>
      </c>
      <c r="J1580" s="195">
        <v>0.28757939999999999</v>
      </c>
      <c r="K1580" s="195">
        <v>0.23794319999999999</v>
      </c>
      <c r="L1580" s="195">
        <v>0.19472100000000001</v>
      </c>
      <c r="M1580" s="195">
        <v>0.1981096</v>
      </c>
      <c r="N1580" s="195">
        <v>0.20451559999999999</v>
      </c>
    </row>
    <row r="1581" spans="1:14" hidden="1" x14ac:dyDescent="0.35">
      <c r="A1581" s="52" t="s">
        <v>242</v>
      </c>
      <c r="B1581" s="52" t="s">
        <v>37</v>
      </c>
      <c r="C1581" s="52" t="s">
        <v>99</v>
      </c>
      <c r="D1581" s="52" t="s">
        <v>100</v>
      </c>
      <c r="E1581" s="52" t="s">
        <v>584</v>
      </c>
      <c r="F1581" s="52" t="s">
        <v>26</v>
      </c>
      <c r="G1581" s="195" t="s">
        <v>276</v>
      </c>
      <c r="H1581" s="195">
        <v>0.109486</v>
      </c>
      <c r="I1581" s="195">
        <v>6.8447999999999995E-2</v>
      </c>
      <c r="J1581" s="195">
        <v>7.6444399999999996E-2</v>
      </c>
      <c r="K1581" s="195">
        <v>6.3251199999999994E-2</v>
      </c>
      <c r="L1581" s="195">
        <v>5.1760599999999997E-2</v>
      </c>
      <c r="M1581" s="195">
        <v>5.2662399999999998E-2</v>
      </c>
      <c r="N1581" s="195">
        <v>5.43644E-2</v>
      </c>
    </row>
    <row r="1582" spans="1:14" hidden="1" x14ac:dyDescent="0.35">
      <c r="A1582" s="52" t="s">
        <v>242</v>
      </c>
      <c r="B1582" s="52" t="s">
        <v>37</v>
      </c>
      <c r="C1582" s="52" t="s">
        <v>99</v>
      </c>
      <c r="D1582" s="52" t="s">
        <v>100</v>
      </c>
      <c r="E1582" s="52" t="s">
        <v>584</v>
      </c>
      <c r="F1582" s="52" t="s">
        <v>26</v>
      </c>
      <c r="G1582" s="195" t="s">
        <v>279</v>
      </c>
      <c r="H1582" s="195">
        <v>1.0009650000000001</v>
      </c>
      <c r="I1582" s="195">
        <v>0.87569640000000004</v>
      </c>
      <c r="J1582" s="195">
        <v>0.87523019999999996</v>
      </c>
      <c r="K1582" s="195">
        <v>0.96871980000000002</v>
      </c>
      <c r="L1582" s="195">
        <v>1.054087</v>
      </c>
      <c r="M1582" s="195">
        <v>1.0804560000000001</v>
      </c>
      <c r="N1582" s="195">
        <v>1.10772</v>
      </c>
    </row>
    <row r="1583" spans="1:14" hidden="1" x14ac:dyDescent="0.35">
      <c r="A1583" s="52" t="s">
        <v>242</v>
      </c>
      <c r="B1583" s="52" t="s">
        <v>37</v>
      </c>
      <c r="C1583" s="52" t="s">
        <v>46</v>
      </c>
      <c r="D1583" s="52" t="s">
        <v>46</v>
      </c>
      <c r="E1583" s="52" t="s">
        <v>584</v>
      </c>
      <c r="F1583" s="52" t="s">
        <v>581</v>
      </c>
      <c r="G1583" s="195" t="s">
        <v>275</v>
      </c>
      <c r="H1583" s="195">
        <v>3.167157</v>
      </c>
      <c r="I1583" s="195">
        <v>0.91288999999999998</v>
      </c>
      <c r="J1583" s="195">
        <v>-0.27290619999999999</v>
      </c>
      <c r="K1583" s="195">
        <v>-0.50725370000000003</v>
      </c>
      <c r="L1583" s="195">
        <v>-0.29293350000000001</v>
      </c>
      <c r="M1583" s="195">
        <v>-0.33326260000000002</v>
      </c>
      <c r="N1583" s="195">
        <v>-0.29256300000000002</v>
      </c>
    </row>
    <row r="1584" spans="1:14" hidden="1" x14ac:dyDescent="0.35">
      <c r="A1584" s="52" t="s">
        <v>242</v>
      </c>
      <c r="B1584" s="52" t="s">
        <v>37</v>
      </c>
      <c r="C1584" s="52" t="s">
        <v>46</v>
      </c>
      <c r="D1584" s="52" t="s">
        <v>46</v>
      </c>
      <c r="E1584" s="52" t="s">
        <v>584</v>
      </c>
      <c r="F1584" s="52" t="s">
        <v>581</v>
      </c>
      <c r="G1584" s="195" t="s">
        <v>276</v>
      </c>
      <c r="H1584" s="195">
        <v>0.39719199999999999</v>
      </c>
      <c r="I1584" s="195">
        <v>-1.0630839999999999</v>
      </c>
      <c r="J1584" s="195">
        <v>-0.1571072</v>
      </c>
      <c r="K1584" s="195">
        <v>1.49424E-2</v>
      </c>
      <c r="L1584" s="195">
        <v>-0.23660780000000001</v>
      </c>
      <c r="M1584" s="195">
        <v>-0.13934779999999999</v>
      </c>
      <c r="N1584" s="195">
        <v>-0.12951299999999999</v>
      </c>
    </row>
    <row r="1585" spans="1:14" hidden="1" x14ac:dyDescent="0.35">
      <c r="A1585" s="52" t="s">
        <v>242</v>
      </c>
      <c r="B1585" s="52" t="s">
        <v>37</v>
      </c>
      <c r="C1585" s="52" t="s">
        <v>46</v>
      </c>
      <c r="D1585" s="52" t="s">
        <v>46</v>
      </c>
      <c r="E1585" s="52" t="s">
        <v>584</v>
      </c>
      <c r="F1585" s="52" t="s">
        <v>581</v>
      </c>
      <c r="G1585" s="195" t="s">
        <v>277</v>
      </c>
      <c r="H1585" s="195">
        <v>3.028305</v>
      </c>
      <c r="I1585" s="195">
        <v>1.901151</v>
      </c>
      <c r="J1585" s="195">
        <v>1.807958</v>
      </c>
      <c r="K1585" s="195">
        <v>1.757727</v>
      </c>
      <c r="L1585" s="195">
        <v>1.688199</v>
      </c>
      <c r="M1585" s="195">
        <v>1.5850010000000001</v>
      </c>
      <c r="N1585" s="195">
        <v>1.4944539999999999</v>
      </c>
    </row>
    <row r="1586" spans="1:14" hidden="1" x14ac:dyDescent="0.35">
      <c r="A1586" s="52" t="s">
        <v>242</v>
      </c>
      <c r="B1586" s="52" t="s">
        <v>37</v>
      </c>
      <c r="C1586" s="52" t="s">
        <v>46</v>
      </c>
      <c r="D1586" s="52" t="s">
        <v>46</v>
      </c>
      <c r="E1586" s="52" t="s">
        <v>584</v>
      </c>
      <c r="F1586" s="52" t="s">
        <v>581</v>
      </c>
      <c r="G1586" s="195" t="s">
        <v>279</v>
      </c>
      <c r="H1586" s="195">
        <v>2.1949580000000002</v>
      </c>
      <c r="I1586" s="195">
        <v>1.5186189999999999</v>
      </c>
      <c r="J1586" s="195">
        <v>1.432334</v>
      </c>
      <c r="K1586" s="195">
        <v>1.51762</v>
      </c>
      <c r="L1586" s="195">
        <v>1.5639209999999999</v>
      </c>
      <c r="M1586" s="195">
        <v>1.4907300000000001</v>
      </c>
      <c r="N1586" s="195">
        <v>1.426633</v>
      </c>
    </row>
    <row r="1587" spans="1:14" hidden="1" x14ac:dyDescent="0.35">
      <c r="A1587" s="52" t="s">
        <v>242</v>
      </c>
      <c r="B1587" s="52" t="s">
        <v>37</v>
      </c>
      <c r="C1587" s="52" t="s">
        <v>46</v>
      </c>
      <c r="D1587" s="52" t="s">
        <v>46</v>
      </c>
      <c r="E1587" s="52" t="s">
        <v>584</v>
      </c>
      <c r="F1587" s="52" t="s">
        <v>26</v>
      </c>
      <c r="G1587" s="195" t="s">
        <v>275</v>
      </c>
      <c r="H1587" s="195">
        <v>-2.0494569999999999</v>
      </c>
      <c r="I1587" s="195">
        <v>-10.17431</v>
      </c>
      <c r="J1587" s="195">
        <v>-11.77366</v>
      </c>
      <c r="K1587" s="195">
        <v>-12.30494</v>
      </c>
      <c r="L1587" s="195">
        <v>-12.02158</v>
      </c>
      <c r="M1587" s="195">
        <v>-10.215389999999999</v>
      </c>
      <c r="N1587" s="195">
        <v>-9.2281519999999997</v>
      </c>
    </row>
    <row r="1588" spans="1:14" hidden="1" x14ac:dyDescent="0.35">
      <c r="A1588" s="52" t="s">
        <v>242</v>
      </c>
      <c r="B1588" s="52" t="s">
        <v>37</v>
      </c>
      <c r="C1588" s="52" t="s">
        <v>46</v>
      </c>
      <c r="D1588" s="52" t="s">
        <v>46</v>
      </c>
      <c r="E1588" s="52" t="s">
        <v>584</v>
      </c>
      <c r="F1588" s="52" t="s">
        <v>26</v>
      </c>
      <c r="G1588" s="195" t="s">
        <v>276</v>
      </c>
      <c r="H1588" s="195">
        <v>-6.8403429999999998</v>
      </c>
      <c r="I1588" s="195">
        <v>-7.4667849999999998</v>
      </c>
      <c r="J1588" s="195">
        <v>-4.120069</v>
      </c>
      <c r="K1588" s="195">
        <v>-3.4499789999999999</v>
      </c>
      <c r="L1588" s="195">
        <v>-3.2565400000000002</v>
      </c>
      <c r="M1588" s="195">
        <v>-3.619758</v>
      </c>
      <c r="N1588" s="195">
        <v>-3.3343940000000001</v>
      </c>
    </row>
    <row r="1589" spans="1:14" hidden="1" x14ac:dyDescent="0.35">
      <c r="A1589" s="52" t="s">
        <v>242</v>
      </c>
      <c r="B1589" s="52" t="s">
        <v>37</v>
      </c>
      <c r="C1589" s="52" t="s">
        <v>46</v>
      </c>
      <c r="D1589" s="52" t="s">
        <v>46</v>
      </c>
      <c r="E1589" s="52" t="s">
        <v>584</v>
      </c>
      <c r="F1589" s="52" t="s">
        <v>26</v>
      </c>
      <c r="G1589" s="195" t="s">
        <v>277</v>
      </c>
      <c r="H1589" s="195">
        <v>14.492610000000001</v>
      </c>
      <c r="I1589" s="195">
        <v>20.471340000000001</v>
      </c>
      <c r="J1589" s="195">
        <v>18.955929999999999</v>
      </c>
      <c r="K1589" s="195">
        <v>17.703430000000001</v>
      </c>
      <c r="L1589" s="195">
        <v>16.341380000000001</v>
      </c>
      <c r="M1589" s="195">
        <v>14.756259999999999</v>
      </c>
      <c r="N1589" s="195">
        <v>13.392950000000001</v>
      </c>
    </row>
    <row r="1590" spans="1:14" hidden="1" x14ac:dyDescent="0.35">
      <c r="A1590" s="52" t="s">
        <v>242</v>
      </c>
      <c r="B1590" s="52" t="s">
        <v>37</v>
      </c>
      <c r="C1590" s="52" t="s">
        <v>46</v>
      </c>
      <c r="D1590" s="52" t="s">
        <v>46</v>
      </c>
      <c r="E1590" s="52" t="s">
        <v>584</v>
      </c>
      <c r="F1590" s="52" t="s">
        <v>26</v>
      </c>
      <c r="G1590" s="195" t="s">
        <v>278</v>
      </c>
      <c r="H1590" s="195">
        <v>2.6780000000000002E-2</v>
      </c>
      <c r="I1590" s="195">
        <v>0</v>
      </c>
      <c r="J1590" s="195"/>
      <c r="K1590" s="195"/>
      <c r="L1590" s="195"/>
      <c r="M1590" s="195"/>
      <c r="N1590" s="195"/>
    </row>
    <row r="1591" spans="1:14" hidden="1" x14ac:dyDescent="0.35">
      <c r="A1591" s="52" t="s">
        <v>242</v>
      </c>
      <c r="B1591" s="52" t="s">
        <v>37</v>
      </c>
      <c r="C1591" s="52" t="s">
        <v>46</v>
      </c>
      <c r="D1591" s="52" t="s">
        <v>46</v>
      </c>
      <c r="E1591" s="52" t="s">
        <v>584</v>
      </c>
      <c r="F1591" s="52" t="s">
        <v>26</v>
      </c>
      <c r="G1591" s="195" t="s">
        <v>279</v>
      </c>
      <c r="H1591" s="195">
        <v>16.363890000000001</v>
      </c>
      <c r="I1591" s="195">
        <v>13.29757</v>
      </c>
      <c r="J1591" s="195">
        <v>12.42008</v>
      </c>
      <c r="K1591" s="195">
        <v>12.72692</v>
      </c>
      <c r="L1591" s="195">
        <v>12.68125</v>
      </c>
      <c r="M1591" s="195">
        <v>11.669129999999999</v>
      </c>
      <c r="N1591" s="195">
        <v>10.800090000000001</v>
      </c>
    </row>
    <row r="1592" spans="1:14" hidden="1" x14ac:dyDescent="0.35">
      <c r="A1592" s="52" t="s">
        <v>242</v>
      </c>
      <c r="B1592" s="52" t="s">
        <v>37</v>
      </c>
      <c r="C1592" s="52" t="s">
        <v>118</v>
      </c>
      <c r="D1592" s="52" t="s">
        <v>118</v>
      </c>
      <c r="E1592" s="52" t="s">
        <v>584</v>
      </c>
      <c r="F1592" s="52" t="s">
        <v>581</v>
      </c>
      <c r="G1592" s="195" t="s">
        <v>275</v>
      </c>
      <c r="H1592" s="195">
        <v>4.6937769999999999</v>
      </c>
      <c r="I1592" s="195">
        <v>1.168628</v>
      </c>
      <c r="J1592" s="195">
        <v>0.76833669999999998</v>
      </c>
      <c r="K1592" s="195">
        <v>0.67322020000000005</v>
      </c>
      <c r="L1592" s="195">
        <v>0.45551740000000002</v>
      </c>
      <c r="M1592" s="195">
        <v>0.44130000000000003</v>
      </c>
      <c r="N1592" s="195">
        <v>0.40807559999999998</v>
      </c>
    </row>
    <row r="1593" spans="1:14" hidden="1" x14ac:dyDescent="0.35">
      <c r="A1593" s="52" t="s">
        <v>242</v>
      </c>
      <c r="B1593" s="52" t="s">
        <v>37</v>
      </c>
      <c r="C1593" s="52" t="s">
        <v>118</v>
      </c>
      <c r="D1593" s="52" t="s">
        <v>118</v>
      </c>
      <c r="E1593" s="52" t="s">
        <v>584</v>
      </c>
      <c r="F1593" s="52" t="s">
        <v>581</v>
      </c>
      <c r="G1593" s="195" t="s">
        <v>276</v>
      </c>
      <c r="H1593" s="195">
        <v>1.247714</v>
      </c>
      <c r="I1593" s="195">
        <v>0.31064779999999997</v>
      </c>
      <c r="J1593" s="195">
        <v>0.20424059999999999</v>
      </c>
      <c r="K1593" s="195">
        <v>0.17895739999999999</v>
      </c>
      <c r="L1593" s="195">
        <v>0.1210874</v>
      </c>
      <c r="M1593" s="195">
        <v>0.1173068</v>
      </c>
      <c r="N1593" s="195">
        <v>0.1084748</v>
      </c>
    </row>
    <row r="1594" spans="1:14" hidden="1" x14ac:dyDescent="0.35">
      <c r="A1594" s="52" t="s">
        <v>242</v>
      </c>
      <c r="B1594" s="52" t="s">
        <v>37</v>
      </c>
      <c r="C1594" s="52" t="s">
        <v>118</v>
      </c>
      <c r="D1594" s="52" t="s">
        <v>118</v>
      </c>
      <c r="E1594" s="52" t="s">
        <v>584</v>
      </c>
      <c r="F1594" s="52" t="s">
        <v>581</v>
      </c>
      <c r="G1594" s="195" t="s">
        <v>279</v>
      </c>
      <c r="H1594" s="195">
        <v>3.3054459999999999</v>
      </c>
      <c r="I1594" s="195">
        <v>2.8305880000000001</v>
      </c>
      <c r="J1594" s="195">
        <v>2.4191440000000002</v>
      </c>
      <c r="K1594" s="195">
        <v>2.2806690000000001</v>
      </c>
      <c r="L1594" s="195">
        <v>2.3174489999999999</v>
      </c>
      <c r="M1594" s="195">
        <v>2.121721</v>
      </c>
      <c r="N1594" s="195">
        <v>1.9512910000000001</v>
      </c>
    </row>
    <row r="1595" spans="1:14" hidden="1" x14ac:dyDescent="0.35">
      <c r="A1595" s="52" t="s">
        <v>242</v>
      </c>
      <c r="B1595" s="52" t="s">
        <v>37</v>
      </c>
      <c r="C1595" s="52" t="s">
        <v>118</v>
      </c>
      <c r="D1595" s="52" t="s">
        <v>118</v>
      </c>
      <c r="E1595" s="52" t="s">
        <v>584</v>
      </c>
      <c r="F1595" s="52" t="s">
        <v>26</v>
      </c>
      <c r="G1595" s="195" t="s">
        <v>275</v>
      </c>
      <c r="H1595" s="195">
        <v>0.57822600000000002</v>
      </c>
      <c r="I1595" s="195">
        <v>0.3148589</v>
      </c>
      <c r="J1595" s="195">
        <v>0.52283469999999999</v>
      </c>
      <c r="K1595" s="195">
        <v>-6.4513650000000006E-2</v>
      </c>
      <c r="L1595" s="195">
        <v>-0.60563500000000003</v>
      </c>
      <c r="M1595" s="195">
        <v>-0.6649176</v>
      </c>
      <c r="N1595" s="195">
        <v>-0.70878439999999998</v>
      </c>
    </row>
    <row r="1596" spans="1:14" hidden="1" x14ac:dyDescent="0.35">
      <c r="A1596" s="52" t="s">
        <v>242</v>
      </c>
      <c r="B1596" s="52" t="s">
        <v>37</v>
      </c>
      <c r="C1596" s="52" t="s">
        <v>118</v>
      </c>
      <c r="D1596" s="52" t="s">
        <v>118</v>
      </c>
      <c r="E1596" s="52" t="s">
        <v>584</v>
      </c>
      <c r="F1596" s="52" t="s">
        <v>26</v>
      </c>
      <c r="G1596" s="195" t="s">
        <v>276</v>
      </c>
      <c r="H1596" s="195">
        <v>0.28733199999999998</v>
      </c>
      <c r="I1596" s="195">
        <v>6.9725599999999999E-2</v>
      </c>
      <c r="J1596" s="195">
        <v>0.13377919999999999</v>
      </c>
      <c r="K1596" s="195">
        <v>0.11595320000000001</v>
      </c>
      <c r="L1596" s="195">
        <v>-0.18243719999999999</v>
      </c>
      <c r="M1596" s="195">
        <v>-0.13846639999999999</v>
      </c>
      <c r="N1596" s="195">
        <v>-0.14777119999999999</v>
      </c>
    </row>
    <row r="1597" spans="1:14" hidden="1" x14ac:dyDescent="0.35">
      <c r="A1597" s="52" t="s">
        <v>242</v>
      </c>
      <c r="B1597" s="52" t="s">
        <v>37</v>
      </c>
      <c r="C1597" s="52" t="s">
        <v>118</v>
      </c>
      <c r="D1597" s="52" t="s">
        <v>118</v>
      </c>
      <c r="E1597" s="52" t="s">
        <v>584</v>
      </c>
      <c r="F1597" s="52" t="s">
        <v>26</v>
      </c>
      <c r="G1597" s="195" t="s">
        <v>277</v>
      </c>
      <c r="H1597" s="195">
        <v>1.6386890000000001</v>
      </c>
      <c r="I1597" s="195">
        <v>1.0821879999999999</v>
      </c>
      <c r="J1597" s="195">
        <v>1.049256</v>
      </c>
      <c r="K1597" s="195">
        <v>1.2186490000000001</v>
      </c>
      <c r="L1597" s="195">
        <v>1.2882940000000001</v>
      </c>
      <c r="M1597" s="195">
        <v>1.3210550000000001</v>
      </c>
      <c r="N1597" s="195">
        <v>1.354644</v>
      </c>
    </row>
    <row r="1598" spans="1:14" hidden="1" x14ac:dyDescent="0.35">
      <c r="A1598" s="52" t="s">
        <v>242</v>
      </c>
      <c r="B1598" s="52" t="s">
        <v>37</v>
      </c>
      <c r="C1598" s="52" t="s">
        <v>118</v>
      </c>
      <c r="D1598" s="52" t="s">
        <v>118</v>
      </c>
      <c r="E1598" s="52" t="s">
        <v>584</v>
      </c>
      <c r="F1598" s="52" t="s">
        <v>26</v>
      </c>
      <c r="G1598" s="195" t="s">
        <v>279</v>
      </c>
      <c r="H1598" s="195">
        <v>9.0949460000000002</v>
      </c>
      <c r="I1598" s="195">
        <v>9.6595659999999999</v>
      </c>
      <c r="J1598" s="195">
        <v>8.6702379999999994</v>
      </c>
      <c r="K1598" s="195">
        <v>8.3810190000000002</v>
      </c>
      <c r="L1598" s="195">
        <v>8.4804820000000003</v>
      </c>
      <c r="M1598" s="195">
        <v>7.8621150000000002</v>
      </c>
      <c r="N1598" s="195">
        <v>7.3113340000000004</v>
      </c>
    </row>
    <row r="1599" spans="1:14" hidden="1" x14ac:dyDescent="0.35">
      <c r="A1599" s="52" t="s">
        <v>242</v>
      </c>
      <c r="B1599" s="52" t="s">
        <v>37</v>
      </c>
      <c r="C1599" s="52" t="s">
        <v>109</v>
      </c>
      <c r="D1599" s="52" t="s">
        <v>109</v>
      </c>
      <c r="E1599" s="52" t="s">
        <v>584</v>
      </c>
      <c r="F1599" s="52" t="s">
        <v>581</v>
      </c>
      <c r="G1599" s="195" t="s">
        <v>275</v>
      </c>
      <c r="H1599" s="195">
        <v>0</v>
      </c>
      <c r="I1599" s="195"/>
      <c r="J1599" s="195">
        <v>0</v>
      </c>
      <c r="K1599" s="195">
        <v>0</v>
      </c>
      <c r="L1599" s="195">
        <v>-0.64305809999999997</v>
      </c>
      <c r="M1599" s="195">
        <v>0</v>
      </c>
      <c r="N1599" s="195">
        <v>-0.54479460000000002</v>
      </c>
    </row>
    <row r="1600" spans="1:14" hidden="1" x14ac:dyDescent="0.35">
      <c r="A1600" s="52" t="s">
        <v>242</v>
      </c>
      <c r="B1600" s="52" t="s">
        <v>37</v>
      </c>
      <c r="C1600" s="52" t="s">
        <v>109</v>
      </c>
      <c r="D1600" s="52" t="s">
        <v>109</v>
      </c>
      <c r="E1600" s="52" t="s">
        <v>584</v>
      </c>
      <c r="F1600" s="52" t="s">
        <v>581</v>
      </c>
      <c r="G1600" s="195" t="s">
        <v>276</v>
      </c>
      <c r="H1600" s="195">
        <v>0</v>
      </c>
      <c r="I1600" s="195"/>
      <c r="J1600" s="195">
        <v>0</v>
      </c>
      <c r="K1600" s="195">
        <v>0</v>
      </c>
      <c r="L1600" s="195">
        <v>-0.1709396</v>
      </c>
      <c r="M1600" s="195">
        <v>0</v>
      </c>
      <c r="N1600" s="195">
        <v>-0.1448189</v>
      </c>
    </row>
    <row r="1601" spans="1:14" hidden="1" x14ac:dyDescent="0.35">
      <c r="A1601" s="52" t="s">
        <v>242</v>
      </c>
      <c r="B1601" s="52" t="s">
        <v>37</v>
      </c>
      <c r="C1601" s="52" t="s">
        <v>109</v>
      </c>
      <c r="D1601" s="52" t="s">
        <v>109</v>
      </c>
      <c r="E1601" s="52" t="s">
        <v>584</v>
      </c>
      <c r="F1601" s="52" t="s">
        <v>581</v>
      </c>
      <c r="G1601" s="195" t="s">
        <v>278</v>
      </c>
      <c r="H1601" s="195"/>
      <c r="I1601" s="195"/>
      <c r="J1601" s="195">
        <v>0</v>
      </c>
      <c r="K1601" s="195">
        <v>0</v>
      </c>
      <c r="L1601" s="195">
        <v>0</v>
      </c>
      <c r="M1601" s="195">
        <v>0</v>
      </c>
      <c r="N1601" s="195"/>
    </row>
    <row r="1602" spans="1:14" hidden="1" x14ac:dyDescent="0.35">
      <c r="A1602" s="52" t="s">
        <v>242</v>
      </c>
      <c r="B1602" s="52" t="s">
        <v>37</v>
      </c>
      <c r="C1602" s="52" t="s">
        <v>109</v>
      </c>
      <c r="D1602" s="52" t="s">
        <v>109</v>
      </c>
      <c r="E1602" s="52" t="s">
        <v>584</v>
      </c>
      <c r="F1602" s="52" t="s">
        <v>581</v>
      </c>
      <c r="G1602" s="195" t="s">
        <v>279</v>
      </c>
      <c r="H1602" s="195">
        <v>0</v>
      </c>
      <c r="I1602" s="195"/>
      <c r="J1602" s="195"/>
      <c r="K1602" s="195">
        <v>0</v>
      </c>
      <c r="L1602" s="195">
        <v>0.81399759999999999</v>
      </c>
      <c r="M1602" s="195">
        <v>0.98122319999999996</v>
      </c>
      <c r="N1602" s="195">
        <v>2.4318749999999998</v>
      </c>
    </row>
    <row r="1603" spans="1:14" hidden="1" x14ac:dyDescent="0.35">
      <c r="A1603" s="52" t="s">
        <v>242</v>
      </c>
      <c r="B1603" s="52" t="s">
        <v>37</v>
      </c>
      <c r="C1603" s="52" t="s">
        <v>109</v>
      </c>
      <c r="D1603" s="52" t="s">
        <v>109</v>
      </c>
      <c r="E1603" s="52" t="s">
        <v>584</v>
      </c>
      <c r="F1603" s="52" t="s">
        <v>26</v>
      </c>
      <c r="G1603" s="195" t="s">
        <v>275</v>
      </c>
      <c r="H1603" s="195">
        <v>-0.16435079999999999</v>
      </c>
      <c r="I1603" s="195">
        <v>6.1022489999999999E-2</v>
      </c>
      <c r="J1603" s="195">
        <v>4.9572329999999998E-2</v>
      </c>
      <c r="K1603" s="195">
        <v>3.6921559999999999E-2</v>
      </c>
      <c r="L1603" s="195">
        <v>-4.2710860000000004</v>
      </c>
      <c r="M1603" s="195">
        <v>0</v>
      </c>
      <c r="N1603" s="195">
        <v>-3.6883840000000001</v>
      </c>
    </row>
    <row r="1604" spans="1:14" hidden="1" x14ac:dyDescent="0.35">
      <c r="A1604" s="52" t="s">
        <v>242</v>
      </c>
      <c r="B1604" s="52" t="s">
        <v>37</v>
      </c>
      <c r="C1604" s="52" t="s">
        <v>109</v>
      </c>
      <c r="D1604" s="52" t="s">
        <v>109</v>
      </c>
      <c r="E1604" s="52" t="s">
        <v>584</v>
      </c>
      <c r="F1604" s="52" t="s">
        <v>26</v>
      </c>
      <c r="G1604" s="195" t="s">
        <v>276</v>
      </c>
      <c r="H1604" s="195">
        <v>-9.1583049999999999E-2</v>
      </c>
      <c r="I1604" s="195">
        <v>-6.1022489999999999E-2</v>
      </c>
      <c r="J1604" s="195">
        <v>-4.9572329999999998E-2</v>
      </c>
      <c r="K1604" s="195">
        <v>-3.6921559999999999E-2</v>
      </c>
      <c r="L1604" s="195">
        <v>-1.1353519999999999</v>
      </c>
      <c r="M1604" s="195">
        <v>0</v>
      </c>
      <c r="N1604" s="195">
        <v>-0.98045640000000001</v>
      </c>
    </row>
    <row r="1605" spans="1:14" hidden="1" x14ac:dyDescent="0.35">
      <c r="A1605" s="52" t="s">
        <v>242</v>
      </c>
      <c r="B1605" s="52" t="s">
        <v>37</v>
      </c>
      <c r="C1605" s="52" t="s">
        <v>109</v>
      </c>
      <c r="D1605" s="52" t="s">
        <v>109</v>
      </c>
      <c r="E1605" s="52" t="s">
        <v>584</v>
      </c>
      <c r="F1605" s="52" t="s">
        <v>26</v>
      </c>
      <c r="G1605" s="195" t="s">
        <v>277</v>
      </c>
      <c r="H1605" s="195">
        <v>0.235573</v>
      </c>
      <c r="I1605" s="195"/>
      <c r="J1605" s="195"/>
      <c r="K1605" s="195"/>
      <c r="L1605" s="195"/>
      <c r="M1605" s="195"/>
      <c r="N1605" s="195"/>
    </row>
    <row r="1606" spans="1:14" hidden="1" x14ac:dyDescent="0.35">
      <c r="A1606" s="52" t="s">
        <v>242</v>
      </c>
      <c r="B1606" s="52" t="s">
        <v>37</v>
      </c>
      <c r="C1606" s="52" t="s">
        <v>109</v>
      </c>
      <c r="D1606" s="52" t="s">
        <v>109</v>
      </c>
      <c r="E1606" s="52" t="s">
        <v>584</v>
      </c>
      <c r="F1606" s="52" t="s">
        <v>26</v>
      </c>
      <c r="G1606" s="195" t="s">
        <v>279</v>
      </c>
      <c r="H1606" s="195">
        <v>0.14356949999999999</v>
      </c>
      <c r="I1606" s="195">
        <v>0</v>
      </c>
      <c r="J1606" s="195"/>
      <c r="K1606" s="195">
        <v>0</v>
      </c>
      <c r="L1606" s="195">
        <v>5.4064379999999996</v>
      </c>
      <c r="M1606" s="195">
        <v>6.6941540000000002</v>
      </c>
      <c r="N1606" s="195">
        <v>16.55499</v>
      </c>
    </row>
    <row r="1607" spans="1:14" hidden="1" x14ac:dyDescent="0.35">
      <c r="A1607" s="52" t="s">
        <v>242</v>
      </c>
      <c r="B1607" s="52" t="s">
        <v>37</v>
      </c>
      <c r="C1607" s="52" t="s">
        <v>110</v>
      </c>
      <c r="D1607" s="52" t="s">
        <v>110</v>
      </c>
      <c r="E1607" s="52" t="s">
        <v>584</v>
      </c>
      <c r="F1607" s="52" t="s">
        <v>26</v>
      </c>
      <c r="G1607" s="195" t="s">
        <v>275</v>
      </c>
      <c r="H1607" s="195">
        <v>-1.1585E-2</v>
      </c>
      <c r="I1607" s="195">
        <v>-9.9410000000000002E-3</v>
      </c>
      <c r="J1607" s="195">
        <v>-9.2817999999999998E-3</v>
      </c>
      <c r="K1607" s="195">
        <v>-1.1866E-2</v>
      </c>
      <c r="L1607" s="195">
        <v>-1.28944E-2</v>
      </c>
      <c r="M1607" s="195">
        <v>-1.34734E-2</v>
      </c>
      <c r="N1607" s="195">
        <v>-1.39048E-2</v>
      </c>
    </row>
    <row r="1608" spans="1:14" hidden="1" x14ac:dyDescent="0.35">
      <c r="A1608" s="52" t="s">
        <v>242</v>
      </c>
      <c r="B1608" s="52" t="s">
        <v>37</v>
      </c>
      <c r="C1608" s="52" t="s">
        <v>110</v>
      </c>
      <c r="D1608" s="52" t="s">
        <v>110</v>
      </c>
      <c r="E1608" s="52" t="s">
        <v>584</v>
      </c>
      <c r="F1608" s="52" t="s">
        <v>26</v>
      </c>
      <c r="G1608" s="195" t="s">
        <v>276</v>
      </c>
      <c r="H1608" s="195">
        <v>-2.7889999999999998E-3</v>
      </c>
      <c r="I1608" s="195">
        <v>-2.8922000000000002E-3</v>
      </c>
      <c r="J1608" s="195">
        <v>-2.8506E-3</v>
      </c>
      <c r="K1608" s="195">
        <v>-2.9872000000000002E-3</v>
      </c>
      <c r="L1608" s="195">
        <v>-3.1042000000000001E-3</v>
      </c>
      <c r="M1608" s="195">
        <v>-3.0184000000000001E-3</v>
      </c>
      <c r="N1608" s="195">
        <v>-3.0834E-3</v>
      </c>
    </row>
    <row r="1609" spans="1:14" hidden="1" x14ac:dyDescent="0.35">
      <c r="A1609" s="52" t="s">
        <v>242</v>
      </c>
      <c r="B1609" s="52" t="s">
        <v>37</v>
      </c>
      <c r="C1609" s="52" t="s">
        <v>110</v>
      </c>
      <c r="D1609" s="52" t="s">
        <v>110</v>
      </c>
      <c r="E1609" s="52" t="s">
        <v>584</v>
      </c>
      <c r="F1609" s="52" t="s">
        <v>26</v>
      </c>
      <c r="G1609" s="195" t="s">
        <v>277</v>
      </c>
      <c r="H1609" s="195">
        <v>1.6192999999999999E-2</v>
      </c>
      <c r="I1609" s="195">
        <v>1.4042000000000001E-2</v>
      </c>
      <c r="J1609" s="195">
        <v>1.3462999999999999E-2</v>
      </c>
      <c r="K1609" s="195">
        <v>1.6012999999999999E-2</v>
      </c>
      <c r="L1609" s="195">
        <v>1.7009E-2</v>
      </c>
      <c r="M1609" s="195">
        <v>1.7524999999999999E-2</v>
      </c>
      <c r="N1609" s="195">
        <v>1.8055000000000002E-2</v>
      </c>
    </row>
    <row r="1610" spans="1:14" hidden="1" x14ac:dyDescent="0.35">
      <c r="A1610" s="52" t="s">
        <v>242</v>
      </c>
      <c r="B1610" s="52" t="s">
        <v>37</v>
      </c>
      <c r="C1610" s="52" t="s">
        <v>110</v>
      </c>
      <c r="D1610" s="52" t="s">
        <v>110</v>
      </c>
      <c r="E1610" s="52" t="s">
        <v>584</v>
      </c>
      <c r="F1610" s="52" t="s">
        <v>26</v>
      </c>
      <c r="G1610" s="195" t="s">
        <v>278</v>
      </c>
      <c r="H1610" s="195">
        <v>8.9999990000000005E-5</v>
      </c>
      <c r="I1610" s="195">
        <v>0</v>
      </c>
      <c r="J1610" s="195"/>
      <c r="K1610" s="195"/>
      <c r="L1610" s="195"/>
      <c r="M1610" s="195"/>
      <c r="N1610" s="195"/>
    </row>
    <row r="1611" spans="1:14" hidden="1" x14ac:dyDescent="0.35">
      <c r="A1611" s="52" t="s">
        <v>242</v>
      </c>
      <c r="B1611" s="52" t="s">
        <v>37</v>
      </c>
      <c r="C1611" s="52" t="s">
        <v>110</v>
      </c>
      <c r="D1611" s="52" t="s">
        <v>110</v>
      </c>
      <c r="E1611" s="52" t="s">
        <v>584</v>
      </c>
      <c r="F1611" s="52" t="s">
        <v>26</v>
      </c>
      <c r="G1611" s="195" t="s">
        <v>279</v>
      </c>
      <c r="H1611" s="195">
        <v>2.9640000000000001E-3</v>
      </c>
      <c r="I1611" s="195">
        <v>2.5948E-3</v>
      </c>
      <c r="J1611" s="195">
        <v>2.5928000000000001E-3</v>
      </c>
      <c r="K1611" s="195">
        <v>2.8608000000000001E-3</v>
      </c>
      <c r="L1611" s="195">
        <v>3.1061999999999999E-3</v>
      </c>
      <c r="M1611" s="195">
        <v>3.1811999999999999E-3</v>
      </c>
      <c r="N1611" s="195">
        <v>3.2594E-3</v>
      </c>
    </row>
    <row r="1612" spans="1:14" hidden="1" x14ac:dyDescent="0.35">
      <c r="A1612" s="52" t="s">
        <v>242</v>
      </c>
      <c r="B1612" s="52" t="s">
        <v>123</v>
      </c>
      <c r="C1612" s="52" t="s">
        <v>122</v>
      </c>
      <c r="D1612" s="52" t="s">
        <v>122</v>
      </c>
      <c r="E1612" s="52" t="s">
        <v>584</v>
      </c>
      <c r="F1612" s="52" t="s">
        <v>581</v>
      </c>
      <c r="G1612" s="195" t="s">
        <v>275</v>
      </c>
      <c r="H1612" s="195">
        <v>6.5627319999999996</v>
      </c>
      <c r="I1612" s="195">
        <v>-51.632959999999997</v>
      </c>
      <c r="J1612" s="195">
        <v>1.874288</v>
      </c>
      <c r="K1612" s="195">
        <v>1.546467</v>
      </c>
      <c r="L1612" s="195">
        <v>1.306392</v>
      </c>
      <c r="M1612" s="195">
        <v>1.1240699999999999</v>
      </c>
      <c r="N1612" s="195">
        <v>0.9760702</v>
      </c>
    </row>
    <row r="1613" spans="1:14" hidden="1" x14ac:dyDescent="0.35">
      <c r="A1613" s="52" t="s">
        <v>242</v>
      </c>
      <c r="B1613" s="52" t="s">
        <v>123</v>
      </c>
      <c r="C1613" s="52" t="s">
        <v>122</v>
      </c>
      <c r="D1613" s="52" t="s">
        <v>122</v>
      </c>
      <c r="E1613" s="52" t="s">
        <v>584</v>
      </c>
      <c r="F1613" s="52" t="s">
        <v>581</v>
      </c>
      <c r="G1613" s="195" t="s">
        <v>276</v>
      </c>
      <c r="H1613" s="195">
        <v>8.3032520000000005</v>
      </c>
      <c r="I1613" s="195">
        <v>2.6539630000000001</v>
      </c>
      <c r="J1613" s="195">
        <v>2.1995990000000001</v>
      </c>
      <c r="K1613" s="195">
        <v>1.9279740000000001</v>
      </c>
      <c r="L1613" s="195">
        <v>1.5936939999999999</v>
      </c>
      <c r="M1613" s="195">
        <v>1.4142790000000001</v>
      </c>
      <c r="N1613" s="195">
        <v>-0.65284719999999996</v>
      </c>
    </row>
    <row r="1614" spans="1:14" hidden="1" x14ac:dyDescent="0.35">
      <c r="A1614" s="52" t="s">
        <v>242</v>
      </c>
      <c r="B1614" s="52" t="s">
        <v>123</v>
      </c>
      <c r="C1614" s="52" t="s">
        <v>122</v>
      </c>
      <c r="D1614" s="52" t="s">
        <v>122</v>
      </c>
      <c r="E1614" s="52" t="s">
        <v>584</v>
      </c>
      <c r="F1614" s="52" t="s">
        <v>581</v>
      </c>
      <c r="G1614" s="195" t="s">
        <v>277</v>
      </c>
      <c r="H1614" s="195"/>
      <c r="I1614" s="195"/>
      <c r="J1614" s="195"/>
      <c r="K1614" s="195">
        <v>0</v>
      </c>
      <c r="L1614" s="195">
        <v>9.9999989999999997E-2</v>
      </c>
      <c r="M1614" s="195">
        <v>9.9999989999999997E-2</v>
      </c>
      <c r="N1614" s="195">
        <v>2.0000010000000001</v>
      </c>
    </row>
    <row r="1615" spans="1:14" hidden="1" x14ac:dyDescent="0.35">
      <c r="A1615" s="52" t="s">
        <v>242</v>
      </c>
      <c r="B1615" s="52" t="s">
        <v>123</v>
      </c>
      <c r="C1615" s="52" t="s">
        <v>122</v>
      </c>
      <c r="D1615" s="52" t="s">
        <v>122</v>
      </c>
      <c r="E1615" s="52" t="s">
        <v>584</v>
      </c>
      <c r="F1615" s="52" t="s">
        <v>581</v>
      </c>
      <c r="G1615" s="195" t="s">
        <v>278</v>
      </c>
      <c r="H1615" s="195">
        <v>0.103602</v>
      </c>
      <c r="I1615" s="195">
        <v>53.814480000000003</v>
      </c>
      <c r="J1615" s="195">
        <v>0.103602</v>
      </c>
      <c r="K1615" s="195">
        <v>0.103602</v>
      </c>
      <c r="L1615" s="195">
        <v>0.103602</v>
      </c>
      <c r="M1615" s="195">
        <v>0.103602</v>
      </c>
      <c r="N1615" s="195">
        <v>0.103602</v>
      </c>
    </row>
    <row r="1616" spans="1:14" hidden="1" x14ac:dyDescent="0.35">
      <c r="A1616" s="52" t="s">
        <v>242</v>
      </c>
      <c r="B1616" s="52" t="s">
        <v>123</v>
      </c>
      <c r="C1616" s="52" t="s">
        <v>122</v>
      </c>
      <c r="D1616" s="52" t="s">
        <v>122</v>
      </c>
      <c r="E1616" s="52" t="s">
        <v>584</v>
      </c>
      <c r="F1616" s="52" t="s">
        <v>581</v>
      </c>
      <c r="G1616" s="195" t="s">
        <v>279</v>
      </c>
      <c r="H1616" s="195">
        <v>4.2724690000000001</v>
      </c>
      <c r="I1616" s="195">
        <v>1.8193779999999999</v>
      </c>
      <c r="J1616" s="195">
        <v>1.6834359999999999</v>
      </c>
      <c r="K1616" s="195">
        <v>1.5183869999999999</v>
      </c>
      <c r="L1616" s="195">
        <v>1.333037</v>
      </c>
      <c r="M1616" s="195">
        <v>1.191384</v>
      </c>
      <c r="N1616" s="195">
        <v>1.0630980000000001</v>
      </c>
    </row>
    <row r="1617" spans="1:14" hidden="1" x14ac:dyDescent="0.35">
      <c r="A1617" s="52" t="s">
        <v>242</v>
      </c>
      <c r="B1617" s="52" t="s">
        <v>123</v>
      </c>
      <c r="C1617" s="52" t="s">
        <v>122</v>
      </c>
      <c r="D1617" s="52" t="s">
        <v>122</v>
      </c>
      <c r="E1617" s="52" t="s">
        <v>584</v>
      </c>
      <c r="F1617" s="52" t="s">
        <v>26</v>
      </c>
      <c r="G1617" s="195" t="s">
        <v>275</v>
      </c>
      <c r="H1617" s="195">
        <v>112.9363</v>
      </c>
      <c r="I1617" s="195">
        <v>79.331950000000006</v>
      </c>
      <c r="J1617" s="195">
        <v>22.404990000000002</v>
      </c>
      <c r="K1617" s="195">
        <v>7.0779420000000002</v>
      </c>
      <c r="L1617" s="195">
        <v>6.4687099999999997</v>
      </c>
      <c r="M1617" s="195">
        <v>6.4743219999999999</v>
      </c>
      <c r="N1617" s="195">
        <v>7.5375730000000001</v>
      </c>
    </row>
    <row r="1618" spans="1:14" hidden="1" x14ac:dyDescent="0.35">
      <c r="A1618" s="52" t="s">
        <v>242</v>
      </c>
      <c r="B1618" s="52" t="s">
        <v>123</v>
      </c>
      <c r="C1618" s="52" t="s">
        <v>122</v>
      </c>
      <c r="D1618" s="52" t="s">
        <v>122</v>
      </c>
      <c r="E1618" s="52" t="s">
        <v>584</v>
      </c>
      <c r="F1618" s="52" t="s">
        <v>26</v>
      </c>
      <c r="G1618" s="195" t="s">
        <v>276</v>
      </c>
      <c r="H1618" s="195">
        <v>65.151420000000002</v>
      </c>
      <c r="I1618" s="195">
        <v>32.147010000000002</v>
      </c>
      <c r="J1618" s="195">
        <v>7.8027550000000003</v>
      </c>
      <c r="K1618" s="195">
        <v>-0.75569310000000001</v>
      </c>
      <c r="L1618" s="195">
        <v>5.4676489999999998</v>
      </c>
      <c r="M1618" s="195">
        <v>4.5674659999999996</v>
      </c>
      <c r="N1618" s="195">
        <v>3.965452</v>
      </c>
    </row>
    <row r="1619" spans="1:14" hidden="1" x14ac:dyDescent="0.35">
      <c r="A1619" s="52" t="s">
        <v>242</v>
      </c>
      <c r="B1619" s="52" t="s">
        <v>123</v>
      </c>
      <c r="C1619" s="52" t="s">
        <v>122</v>
      </c>
      <c r="D1619" s="52" t="s">
        <v>122</v>
      </c>
      <c r="E1619" s="52" t="s">
        <v>584</v>
      </c>
      <c r="F1619" s="52" t="s">
        <v>26</v>
      </c>
      <c r="G1619" s="195" t="s">
        <v>277</v>
      </c>
      <c r="H1619" s="195">
        <v>71.52</v>
      </c>
      <c r="I1619" s="195">
        <v>36.310920000000003</v>
      </c>
      <c r="J1619" s="195">
        <v>32.087499999999999</v>
      </c>
      <c r="K1619" s="195">
        <v>32.48368</v>
      </c>
      <c r="L1619" s="195">
        <v>30.085540000000002</v>
      </c>
      <c r="M1619" s="195">
        <v>28.184830000000002</v>
      </c>
      <c r="N1619" s="195">
        <v>25.365300000000001</v>
      </c>
    </row>
    <row r="1620" spans="1:14" hidden="1" x14ac:dyDescent="0.35">
      <c r="A1620" s="52" t="s">
        <v>242</v>
      </c>
      <c r="B1620" s="52" t="s">
        <v>123</v>
      </c>
      <c r="C1620" s="52" t="s">
        <v>122</v>
      </c>
      <c r="D1620" s="52" t="s">
        <v>122</v>
      </c>
      <c r="E1620" s="52" t="s">
        <v>584</v>
      </c>
      <c r="F1620" s="52" t="s">
        <v>26</v>
      </c>
      <c r="G1620" s="195" t="s">
        <v>278</v>
      </c>
      <c r="H1620" s="195">
        <v>4.6673600000000003E-2</v>
      </c>
      <c r="I1620" s="195">
        <v>4.6673600000000003E-2</v>
      </c>
      <c r="J1620" s="195">
        <v>4.6673600000000003E-2</v>
      </c>
      <c r="K1620" s="195">
        <v>7.3904550000000002</v>
      </c>
      <c r="L1620" s="195">
        <v>4.6673600000000003E-2</v>
      </c>
      <c r="M1620" s="195">
        <v>4.6673600000000003E-2</v>
      </c>
      <c r="N1620" s="195">
        <v>4.6673600000000003E-2</v>
      </c>
    </row>
    <row r="1621" spans="1:14" hidden="1" x14ac:dyDescent="0.35">
      <c r="A1621" s="52" t="s">
        <v>242</v>
      </c>
      <c r="B1621" s="52" t="s">
        <v>123</v>
      </c>
      <c r="C1621" s="52" t="s">
        <v>122</v>
      </c>
      <c r="D1621" s="52" t="s">
        <v>122</v>
      </c>
      <c r="E1621" s="52" t="s">
        <v>584</v>
      </c>
      <c r="F1621" s="52" t="s">
        <v>26</v>
      </c>
      <c r="G1621" s="195" t="s">
        <v>279</v>
      </c>
      <c r="H1621" s="195">
        <v>61.446399999999997</v>
      </c>
      <c r="I1621" s="195">
        <v>51.290619999999997</v>
      </c>
      <c r="J1621" s="195">
        <v>47.73706</v>
      </c>
      <c r="K1621" s="195">
        <v>43.507559999999998</v>
      </c>
      <c r="L1621" s="195">
        <v>37.752490000000002</v>
      </c>
      <c r="M1621" s="195">
        <v>33.117449999999998</v>
      </c>
      <c r="N1621" s="195">
        <v>29.20571</v>
      </c>
    </row>
    <row r="1622" spans="1:14" hidden="1" x14ac:dyDescent="0.35">
      <c r="A1622" s="52" t="s">
        <v>242</v>
      </c>
      <c r="B1622" s="52" t="s">
        <v>174</v>
      </c>
      <c r="C1622" s="52" t="s">
        <v>180</v>
      </c>
      <c r="D1622" s="52" t="s">
        <v>180</v>
      </c>
      <c r="E1622" s="52" t="s">
        <v>584</v>
      </c>
      <c r="F1622" s="52" t="s">
        <v>581</v>
      </c>
      <c r="G1622" s="195" t="s">
        <v>275</v>
      </c>
      <c r="H1622" s="195">
        <v>-0.11851100000000001</v>
      </c>
      <c r="I1622" s="195">
        <v>-0.15644</v>
      </c>
      <c r="J1622" s="195">
        <v>0</v>
      </c>
      <c r="K1622" s="195">
        <v>0</v>
      </c>
      <c r="L1622" s="195">
        <v>0</v>
      </c>
      <c r="M1622" s="195">
        <v>0</v>
      </c>
      <c r="N1622" s="195">
        <v>0</v>
      </c>
    </row>
    <row r="1623" spans="1:14" hidden="1" x14ac:dyDescent="0.35">
      <c r="A1623" s="52" t="s">
        <v>242</v>
      </c>
      <c r="B1623" s="52" t="s">
        <v>174</v>
      </c>
      <c r="C1623" s="52" t="s">
        <v>180</v>
      </c>
      <c r="D1623" s="52" t="s">
        <v>180</v>
      </c>
      <c r="E1623" s="52" t="s">
        <v>584</v>
      </c>
      <c r="F1623" s="52" t="s">
        <v>581</v>
      </c>
      <c r="G1623" s="195" t="s">
        <v>276</v>
      </c>
      <c r="H1623" s="195"/>
      <c r="I1623" s="195"/>
      <c r="J1623" s="195">
        <v>-0.122368</v>
      </c>
      <c r="K1623" s="195">
        <v>-0.12230100000000001</v>
      </c>
      <c r="L1623" s="195">
        <v>-7.8030009999999997E-2</v>
      </c>
      <c r="M1623" s="195">
        <v>-0.121096</v>
      </c>
      <c r="N1623" s="195">
        <v>-0.121096</v>
      </c>
    </row>
    <row r="1624" spans="1:14" hidden="1" x14ac:dyDescent="0.35">
      <c r="A1624" s="52" t="s">
        <v>242</v>
      </c>
      <c r="B1624" s="52" t="s">
        <v>174</v>
      </c>
      <c r="C1624" s="52" t="s">
        <v>180</v>
      </c>
      <c r="D1624" s="52" t="s">
        <v>180</v>
      </c>
      <c r="E1624" s="52" t="s">
        <v>584</v>
      </c>
      <c r="F1624" s="52" t="s">
        <v>581</v>
      </c>
      <c r="G1624" s="195" t="s">
        <v>278</v>
      </c>
      <c r="H1624" s="195">
        <v>0.11851100000000001</v>
      </c>
      <c r="I1624" s="195">
        <v>0.15644</v>
      </c>
      <c r="J1624" s="195">
        <v>0.122368</v>
      </c>
      <c r="K1624" s="195">
        <v>0.12230100000000001</v>
      </c>
      <c r="L1624" s="195">
        <v>7.8030009999999997E-2</v>
      </c>
      <c r="M1624" s="195">
        <v>0.121096</v>
      </c>
      <c r="N1624" s="195">
        <v>0.121096</v>
      </c>
    </row>
    <row r="1625" spans="1:14" hidden="1" x14ac:dyDescent="0.35">
      <c r="A1625" s="52" t="s">
        <v>242</v>
      </c>
      <c r="B1625" s="52" t="s">
        <v>174</v>
      </c>
      <c r="C1625" s="52" t="s">
        <v>180</v>
      </c>
      <c r="D1625" s="52" t="s">
        <v>180</v>
      </c>
      <c r="E1625" s="52" t="s">
        <v>584</v>
      </c>
      <c r="F1625" s="52" t="s">
        <v>26</v>
      </c>
      <c r="G1625" s="195" t="s">
        <v>275</v>
      </c>
      <c r="H1625" s="195">
        <v>20.96453</v>
      </c>
      <c r="I1625" s="195">
        <v>18.117290000000001</v>
      </c>
      <c r="J1625" s="195">
        <v>4.7623569999999997</v>
      </c>
      <c r="K1625" s="195">
        <v>2.186887</v>
      </c>
      <c r="L1625" s="195">
        <v>1.617159</v>
      </c>
      <c r="M1625" s="195">
        <v>1.220774</v>
      </c>
      <c r="N1625" s="195">
        <v>0.81832119999999997</v>
      </c>
    </row>
    <row r="1626" spans="1:14" hidden="1" x14ac:dyDescent="0.35">
      <c r="A1626" s="52" t="s">
        <v>242</v>
      </c>
      <c r="B1626" s="52" t="s">
        <v>174</v>
      </c>
      <c r="C1626" s="52" t="s">
        <v>180</v>
      </c>
      <c r="D1626" s="52" t="s">
        <v>180</v>
      </c>
      <c r="E1626" s="52" t="s">
        <v>584</v>
      </c>
      <c r="F1626" s="52" t="s">
        <v>26</v>
      </c>
      <c r="G1626" s="195" t="s">
        <v>276</v>
      </c>
      <c r="H1626" s="195">
        <v>9.6775760000000002</v>
      </c>
      <c r="I1626" s="195">
        <v>5.3187920000000002</v>
      </c>
      <c r="J1626" s="195">
        <v>2.8225359999999999</v>
      </c>
      <c r="K1626" s="195">
        <v>2.2174689999999999</v>
      </c>
      <c r="L1626" s="195">
        <v>1.8806659999999999</v>
      </c>
      <c r="M1626" s="195">
        <v>1.595078</v>
      </c>
      <c r="N1626" s="195">
        <v>1.3529059999999999</v>
      </c>
    </row>
    <row r="1627" spans="1:14" hidden="1" x14ac:dyDescent="0.35">
      <c r="A1627" s="52" t="s">
        <v>242</v>
      </c>
      <c r="B1627" s="52" t="s">
        <v>174</v>
      </c>
      <c r="C1627" s="52" t="s">
        <v>180</v>
      </c>
      <c r="D1627" s="52" t="s">
        <v>180</v>
      </c>
      <c r="E1627" s="52" t="s">
        <v>584</v>
      </c>
      <c r="F1627" s="52" t="s">
        <v>26</v>
      </c>
      <c r="G1627" s="195" t="s">
        <v>277</v>
      </c>
      <c r="H1627" s="195">
        <v>25.314</v>
      </c>
      <c r="I1627" s="195">
        <v>4.7596540000000003</v>
      </c>
      <c r="J1627" s="195">
        <v>4.3607550000000002</v>
      </c>
      <c r="K1627" s="195">
        <v>4.0120829999999996</v>
      </c>
      <c r="L1627" s="195">
        <v>3.6035689999999998</v>
      </c>
      <c r="M1627" s="195">
        <v>3.1760549999999999</v>
      </c>
      <c r="N1627" s="195">
        <v>2.8845589999999999</v>
      </c>
    </row>
    <row r="1628" spans="1:14" hidden="1" x14ac:dyDescent="0.35">
      <c r="A1628" s="52" t="s">
        <v>242</v>
      </c>
      <c r="B1628" s="52" t="s">
        <v>174</v>
      </c>
      <c r="C1628" s="52" t="s">
        <v>180</v>
      </c>
      <c r="D1628" s="52" t="s">
        <v>180</v>
      </c>
      <c r="E1628" s="52" t="s">
        <v>584</v>
      </c>
      <c r="F1628" s="52" t="s">
        <v>26</v>
      </c>
      <c r="G1628" s="195" t="s">
        <v>279</v>
      </c>
      <c r="H1628" s="195">
        <v>11.66014</v>
      </c>
      <c r="I1628" s="195">
        <v>8.9661310000000007</v>
      </c>
      <c r="J1628" s="195">
        <v>7.7751219999999996</v>
      </c>
      <c r="K1628" s="195">
        <v>7.0768040000000001</v>
      </c>
      <c r="L1628" s="195">
        <v>6.038627</v>
      </c>
      <c r="M1628" s="195">
        <v>5.1527459999999996</v>
      </c>
      <c r="N1628" s="195">
        <v>4.3968350000000003</v>
      </c>
    </row>
    <row r="1629" spans="1:14" hidden="1" x14ac:dyDescent="0.35">
      <c r="A1629" s="52" t="s">
        <v>242</v>
      </c>
      <c r="B1629" s="52" t="s">
        <v>34</v>
      </c>
      <c r="C1629" s="52" t="s">
        <v>33</v>
      </c>
      <c r="D1629" s="52" t="s">
        <v>33</v>
      </c>
      <c r="E1629" s="52" t="s">
        <v>622</v>
      </c>
      <c r="F1629" s="52" t="s">
        <v>26</v>
      </c>
      <c r="G1629" s="195" t="s">
        <v>275</v>
      </c>
      <c r="H1629" s="195">
        <v>-5.8397420000000002</v>
      </c>
      <c r="I1629" s="195">
        <v>-5.8170380000000002</v>
      </c>
      <c r="J1629" s="195">
        <v>-7.1627109999999998</v>
      </c>
      <c r="K1629" s="195">
        <v>-6.5131309999999996</v>
      </c>
      <c r="L1629" s="195">
        <v>-7.0052370000000002</v>
      </c>
      <c r="M1629" s="195">
        <v>-5.4657549999999997</v>
      </c>
      <c r="N1629" s="195">
        <v>-5.0266590000000004</v>
      </c>
    </row>
    <row r="1630" spans="1:14" hidden="1" x14ac:dyDescent="0.35">
      <c r="A1630" s="52" t="s">
        <v>242</v>
      </c>
      <c r="B1630" s="52" t="s">
        <v>34</v>
      </c>
      <c r="C1630" s="52" t="s">
        <v>33</v>
      </c>
      <c r="D1630" s="52" t="s">
        <v>33</v>
      </c>
      <c r="E1630" s="52" t="s">
        <v>622</v>
      </c>
      <c r="F1630" s="52" t="s">
        <v>26</v>
      </c>
      <c r="G1630" s="195" t="s">
        <v>276</v>
      </c>
      <c r="H1630" s="195">
        <v>-1.9465809999999999</v>
      </c>
      <c r="I1630" s="195">
        <v>-1.939014</v>
      </c>
      <c r="J1630" s="195">
        <v>-2.3875709999999999</v>
      </c>
      <c r="K1630" s="195">
        <v>-2.1710430000000001</v>
      </c>
      <c r="L1630" s="195">
        <v>-2.3350789999999999</v>
      </c>
      <c r="M1630" s="195">
        <v>-1.8219179999999999</v>
      </c>
      <c r="N1630" s="195">
        <v>-1.6755530000000001</v>
      </c>
    </row>
    <row r="1631" spans="1:14" hidden="1" x14ac:dyDescent="0.35">
      <c r="A1631" s="52" t="s">
        <v>242</v>
      </c>
      <c r="B1631" s="52" t="s">
        <v>34</v>
      </c>
      <c r="C1631" s="52" t="s">
        <v>33</v>
      </c>
      <c r="D1631" s="52" t="s">
        <v>33</v>
      </c>
      <c r="E1631" s="52" t="s">
        <v>622</v>
      </c>
      <c r="F1631" s="52" t="s">
        <v>26</v>
      </c>
      <c r="G1631" s="195" t="s">
        <v>277</v>
      </c>
      <c r="H1631" s="195"/>
      <c r="I1631" s="195"/>
      <c r="J1631" s="195"/>
      <c r="K1631" s="195"/>
      <c r="L1631" s="195"/>
      <c r="M1631" s="195">
        <v>0</v>
      </c>
      <c r="N1631" s="195">
        <v>0</v>
      </c>
    </row>
    <row r="1632" spans="1:14" hidden="1" x14ac:dyDescent="0.35">
      <c r="A1632" s="52" t="s">
        <v>242</v>
      </c>
      <c r="B1632" s="52" t="s">
        <v>34</v>
      </c>
      <c r="C1632" s="52" t="s">
        <v>33</v>
      </c>
      <c r="D1632" s="52" t="s">
        <v>33</v>
      </c>
      <c r="E1632" s="52" t="s">
        <v>622</v>
      </c>
      <c r="F1632" s="52" t="s">
        <v>26</v>
      </c>
      <c r="G1632" s="195" t="s">
        <v>279</v>
      </c>
      <c r="H1632" s="195">
        <v>10.938000000000001</v>
      </c>
      <c r="I1632" s="195">
        <v>10.385680000000001</v>
      </c>
      <c r="J1632" s="195">
        <v>12.562239999999999</v>
      </c>
      <c r="K1632" s="195">
        <v>11.470190000000001</v>
      </c>
      <c r="L1632" s="195">
        <v>11.91545</v>
      </c>
      <c r="M1632" s="195">
        <v>9.6724350000000001</v>
      </c>
      <c r="N1632" s="195">
        <v>8.897157</v>
      </c>
    </row>
    <row r="1633" spans="1:14" hidden="1" x14ac:dyDescent="0.35">
      <c r="A1633" s="52" t="s">
        <v>242</v>
      </c>
      <c r="B1633" s="52" t="s">
        <v>34</v>
      </c>
      <c r="C1633" s="52" t="s">
        <v>33</v>
      </c>
      <c r="D1633" s="52" t="s">
        <v>33</v>
      </c>
      <c r="E1633" s="52" t="s">
        <v>584</v>
      </c>
      <c r="F1633" s="52" t="s">
        <v>581</v>
      </c>
      <c r="G1633" s="195" t="s">
        <v>275</v>
      </c>
      <c r="H1633" s="195">
        <v>-9.0259980000000004E-3</v>
      </c>
      <c r="I1633" s="195">
        <v>-0.39172560000000001</v>
      </c>
      <c r="J1633" s="195">
        <v>-0.40820600000000001</v>
      </c>
      <c r="K1633" s="195">
        <v>-0.44478459999999997</v>
      </c>
      <c r="L1633" s="195">
        <v>-0.47661579999999998</v>
      </c>
      <c r="M1633" s="195">
        <v>-0.38592179999999998</v>
      </c>
      <c r="N1633" s="195">
        <v>-0.37295060000000002</v>
      </c>
    </row>
    <row r="1634" spans="1:14" hidden="1" x14ac:dyDescent="0.35">
      <c r="A1634" s="52" t="s">
        <v>242</v>
      </c>
      <c r="B1634" s="52" t="s">
        <v>34</v>
      </c>
      <c r="C1634" s="52" t="s">
        <v>33</v>
      </c>
      <c r="D1634" s="52" t="s">
        <v>33</v>
      </c>
      <c r="E1634" s="52" t="s">
        <v>584</v>
      </c>
      <c r="F1634" s="52" t="s">
        <v>581</v>
      </c>
      <c r="G1634" s="195" t="s">
        <v>276</v>
      </c>
      <c r="H1634" s="195">
        <v>-3.253999E-3</v>
      </c>
      <c r="I1634" s="195">
        <v>-0.1305752</v>
      </c>
      <c r="J1634" s="195">
        <v>-0.12890740000000001</v>
      </c>
      <c r="K1634" s="195">
        <v>-0.1328568</v>
      </c>
      <c r="L1634" s="195">
        <v>-0.14236560000000001</v>
      </c>
      <c r="M1634" s="195">
        <v>-0.115276</v>
      </c>
      <c r="N1634" s="195">
        <v>-0.1114018</v>
      </c>
    </row>
    <row r="1635" spans="1:14" hidden="1" x14ac:dyDescent="0.35">
      <c r="A1635" s="52" t="s">
        <v>242</v>
      </c>
      <c r="B1635" s="52" t="s">
        <v>34</v>
      </c>
      <c r="C1635" s="52" t="s">
        <v>33</v>
      </c>
      <c r="D1635" s="52" t="s">
        <v>33</v>
      </c>
      <c r="E1635" s="52" t="s">
        <v>584</v>
      </c>
      <c r="F1635" s="52" t="s">
        <v>581</v>
      </c>
      <c r="G1635" s="195" t="s">
        <v>279</v>
      </c>
      <c r="H1635" s="195">
        <v>0.87716899999999998</v>
      </c>
      <c r="I1635" s="195">
        <v>0.84338489999999999</v>
      </c>
      <c r="J1635" s="195">
        <v>0.81351119999999999</v>
      </c>
      <c r="K1635" s="195">
        <v>0.85401419999999995</v>
      </c>
      <c r="L1635" s="195">
        <v>0.89221479999999997</v>
      </c>
      <c r="M1635" s="195">
        <v>0.76561760000000001</v>
      </c>
      <c r="N1635" s="195">
        <v>0.74132260000000005</v>
      </c>
    </row>
    <row r="1636" spans="1:14" hidden="1" x14ac:dyDescent="0.35">
      <c r="A1636" s="52" t="s">
        <v>242</v>
      </c>
      <c r="B1636" s="52" t="s">
        <v>34</v>
      </c>
      <c r="C1636" s="52" t="s">
        <v>33</v>
      </c>
      <c r="D1636" s="52" t="s">
        <v>33</v>
      </c>
      <c r="E1636" s="52" t="s">
        <v>584</v>
      </c>
      <c r="F1636" s="52" t="s">
        <v>26</v>
      </c>
      <c r="G1636" s="195" t="s">
        <v>275</v>
      </c>
      <c r="H1636" s="195">
        <v>-6.6673309999999999</v>
      </c>
      <c r="I1636" s="195">
        <v>-5.5519970000000001</v>
      </c>
      <c r="J1636" s="195">
        <v>-5.4797950000000002</v>
      </c>
      <c r="K1636" s="195">
        <v>-6.6662280000000003</v>
      </c>
      <c r="L1636" s="195">
        <v>-7.6035719999999998</v>
      </c>
      <c r="M1636" s="195">
        <v>-8.8679489999999994</v>
      </c>
      <c r="N1636" s="195">
        <v>-8.9329029999999996</v>
      </c>
    </row>
    <row r="1637" spans="1:14" hidden="1" x14ac:dyDescent="0.35">
      <c r="A1637" s="52" t="s">
        <v>242</v>
      </c>
      <c r="B1637" s="52" t="s">
        <v>34</v>
      </c>
      <c r="C1637" s="52" t="s">
        <v>33</v>
      </c>
      <c r="D1637" s="52" t="s">
        <v>33</v>
      </c>
      <c r="E1637" s="52" t="s">
        <v>584</v>
      </c>
      <c r="F1637" s="52" t="s">
        <v>26</v>
      </c>
      <c r="G1637" s="195" t="s">
        <v>276</v>
      </c>
      <c r="H1637" s="195">
        <v>-1.8074239999999999</v>
      </c>
      <c r="I1637" s="195">
        <v>-2.1155309999999998</v>
      </c>
      <c r="J1637" s="195">
        <v>-1.959938</v>
      </c>
      <c r="K1637" s="195">
        <v>-1.8718189999999999</v>
      </c>
      <c r="L1637" s="195">
        <v>-1.9486969999999999</v>
      </c>
      <c r="M1637" s="195">
        <v>-2.0900889999999999</v>
      </c>
      <c r="N1637" s="195">
        <v>-2.309717</v>
      </c>
    </row>
    <row r="1638" spans="1:14" hidden="1" x14ac:dyDescent="0.35">
      <c r="A1638" s="52" t="s">
        <v>242</v>
      </c>
      <c r="B1638" s="52" t="s">
        <v>34</v>
      </c>
      <c r="C1638" s="52" t="s">
        <v>33</v>
      </c>
      <c r="D1638" s="52" t="s">
        <v>33</v>
      </c>
      <c r="E1638" s="52" t="s">
        <v>584</v>
      </c>
      <c r="F1638" s="52" t="s">
        <v>26</v>
      </c>
      <c r="G1638" s="195" t="s">
        <v>277</v>
      </c>
      <c r="H1638" s="195">
        <v>7.2671929999999998</v>
      </c>
      <c r="I1638" s="195">
        <v>6.4244110000000001</v>
      </c>
      <c r="J1638" s="195">
        <v>6.1802080000000004</v>
      </c>
      <c r="K1638" s="195">
        <v>7.1568750000000003</v>
      </c>
      <c r="L1638" s="195">
        <v>8.0267309999999998</v>
      </c>
      <c r="M1638" s="195">
        <v>9.6155259999999991</v>
      </c>
      <c r="N1638" s="195">
        <v>9.8668720000000008</v>
      </c>
    </row>
    <row r="1639" spans="1:14" hidden="1" x14ac:dyDescent="0.35">
      <c r="A1639" s="52" t="s">
        <v>242</v>
      </c>
      <c r="B1639" s="52" t="s">
        <v>34</v>
      </c>
      <c r="C1639" s="52" t="s">
        <v>33</v>
      </c>
      <c r="D1639" s="52" t="s">
        <v>33</v>
      </c>
      <c r="E1639" s="52" t="s">
        <v>584</v>
      </c>
      <c r="F1639" s="52" t="s">
        <v>26</v>
      </c>
      <c r="G1639" s="195" t="s">
        <v>279</v>
      </c>
      <c r="H1639" s="195">
        <v>1.713686</v>
      </c>
      <c r="I1639" s="195">
        <v>1.687632</v>
      </c>
      <c r="J1639" s="195">
        <v>1.6674439999999999</v>
      </c>
      <c r="K1639" s="195">
        <v>1.800427</v>
      </c>
      <c r="L1639" s="195">
        <v>1.956124</v>
      </c>
      <c r="M1639" s="195">
        <v>1.7844230000000001</v>
      </c>
      <c r="N1639" s="195">
        <v>1.828992</v>
      </c>
    </row>
    <row r="1640" spans="1:14" hidden="1" x14ac:dyDescent="0.35">
      <c r="A1640" s="52" t="s">
        <v>242</v>
      </c>
      <c r="B1640" s="52" t="s">
        <v>34</v>
      </c>
      <c r="C1640" s="52" t="s">
        <v>385</v>
      </c>
      <c r="D1640" s="52" t="s">
        <v>385</v>
      </c>
      <c r="E1640" s="52" t="s">
        <v>584</v>
      </c>
      <c r="F1640" s="52" t="s">
        <v>581</v>
      </c>
      <c r="G1640" s="195" t="s">
        <v>275</v>
      </c>
      <c r="H1640" s="195">
        <v>-8.9653819999999992E-3</v>
      </c>
      <c r="I1640" s="195">
        <v>-8.9652429999999995E-3</v>
      </c>
      <c r="J1640" s="195">
        <v>0</v>
      </c>
      <c r="K1640" s="195">
        <v>0</v>
      </c>
      <c r="L1640" s="195">
        <v>0</v>
      </c>
      <c r="M1640" s="195">
        <v>0</v>
      </c>
      <c r="N1640" s="195">
        <v>0</v>
      </c>
    </row>
    <row r="1641" spans="1:14" hidden="1" x14ac:dyDescent="0.35">
      <c r="A1641" s="52" t="s">
        <v>242</v>
      </c>
      <c r="B1641" s="52" t="s">
        <v>34</v>
      </c>
      <c r="C1641" s="52" t="s">
        <v>385</v>
      </c>
      <c r="D1641" s="52" t="s">
        <v>385</v>
      </c>
      <c r="E1641" s="52" t="s">
        <v>584</v>
      </c>
      <c r="F1641" s="52" t="s">
        <v>581</v>
      </c>
      <c r="G1641" s="195" t="s">
        <v>276</v>
      </c>
      <c r="H1641" s="195">
        <v>-3.3159840000000001E-3</v>
      </c>
      <c r="I1641" s="195">
        <v>-3.315845E-3</v>
      </c>
      <c r="J1641" s="195">
        <v>-1.2281230000000001E-2</v>
      </c>
      <c r="K1641" s="195">
        <v>-1.228137E-2</v>
      </c>
      <c r="L1641" s="195">
        <v>-0.43907489999999999</v>
      </c>
      <c r="M1641" s="195">
        <v>-1.2281230000000001E-2</v>
      </c>
      <c r="N1641" s="195">
        <v>-1.2281230000000001E-2</v>
      </c>
    </row>
    <row r="1642" spans="1:14" hidden="1" x14ac:dyDescent="0.35">
      <c r="A1642" s="52" t="s">
        <v>242</v>
      </c>
      <c r="B1642" s="52" t="s">
        <v>34</v>
      </c>
      <c r="C1642" s="52" t="s">
        <v>385</v>
      </c>
      <c r="D1642" s="52" t="s">
        <v>385</v>
      </c>
      <c r="E1642" s="52" t="s">
        <v>584</v>
      </c>
      <c r="F1642" s="52" t="s">
        <v>581</v>
      </c>
      <c r="G1642" s="195" t="s">
        <v>278</v>
      </c>
      <c r="H1642" s="195">
        <v>1.2281230000000001E-2</v>
      </c>
      <c r="I1642" s="195">
        <v>1.2281230000000001E-2</v>
      </c>
      <c r="J1642" s="195">
        <v>1.2281230000000001E-2</v>
      </c>
      <c r="K1642" s="195">
        <v>1.2281230000000001E-2</v>
      </c>
      <c r="L1642" s="195">
        <v>0.4390751</v>
      </c>
      <c r="M1642" s="195">
        <v>1.2281230000000001E-2</v>
      </c>
      <c r="N1642" s="195">
        <v>1.2281230000000001E-2</v>
      </c>
    </row>
    <row r="1643" spans="1:14" hidden="1" x14ac:dyDescent="0.35">
      <c r="A1643" s="52" t="s">
        <v>242</v>
      </c>
      <c r="B1643" s="52" t="s">
        <v>34</v>
      </c>
      <c r="C1643" s="52" t="s">
        <v>263</v>
      </c>
      <c r="D1643" s="52" t="s">
        <v>263</v>
      </c>
      <c r="E1643" s="52" t="s">
        <v>584</v>
      </c>
      <c r="F1643" s="52" t="s">
        <v>26</v>
      </c>
      <c r="G1643" s="195" t="s">
        <v>275</v>
      </c>
      <c r="H1643" s="195">
        <v>0</v>
      </c>
      <c r="I1643" s="195"/>
      <c r="J1643" s="195">
        <v>0</v>
      </c>
      <c r="K1643" s="195">
        <v>0</v>
      </c>
      <c r="L1643" s="195">
        <v>0</v>
      </c>
      <c r="M1643" s="195">
        <v>0</v>
      </c>
      <c r="N1643" s="195">
        <v>0</v>
      </c>
    </row>
    <row r="1644" spans="1:14" hidden="1" x14ac:dyDescent="0.35">
      <c r="A1644" s="52" t="s">
        <v>242</v>
      </c>
      <c r="B1644" s="52" t="s">
        <v>34</v>
      </c>
      <c r="C1644" s="52" t="s">
        <v>263</v>
      </c>
      <c r="D1644" s="52" t="s">
        <v>263</v>
      </c>
      <c r="E1644" s="52" t="s">
        <v>584</v>
      </c>
      <c r="F1644" s="52" t="s">
        <v>26</v>
      </c>
      <c r="G1644" s="195" t="s">
        <v>276</v>
      </c>
      <c r="H1644" s="195"/>
      <c r="I1644" s="195"/>
      <c r="J1644" s="195">
        <v>0</v>
      </c>
      <c r="K1644" s="195">
        <v>0</v>
      </c>
      <c r="L1644" s="195">
        <v>0</v>
      </c>
      <c r="M1644" s="195">
        <v>0</v>
      </c>
      <c r="N1644" s="195">
        <v>0</v>
      </c>
    </row>
    <row r="1645" spans="1:14" hidden="1" x14ac:dyDescent="0.35">
      <c r="A1645" s="52" t="s">
        <v>242</v>
      </c>
      <c r="B1645" s="52" t="s">
        <v>34</v>
      </c>
      <c r="C1645" s="52" t="s">
        <v>263</v>
      </c>
      <c r="D1645" s="52" t="s">
        <v>263</v>
      </c>
      <c r="E1645" s="52" t="s">
        <v>584</v>
      </c>
      <c r="F1645" s="52" t="s">
        <v>26</v>
      </c>
      <c r="G1645" s="195" t="s">
        <v>278</v>
      </c>
      <c r="H1645" s="195"/>
      <c r="I1645" s="195"/>
      <c r="J1645" s="195">
        <v>0</v>
      </c>
      <c r="K1645" s="195">
        <v>0</v>
      </c>
      <c r="L1645" s="195">
        <v>0</v>
      </c>
      <c r="M1645" s="195">
        <v>0</v>
      </c>
      <c r="N1645" s="195">
        <v>0</v>
      </c>
    </row>
    <row r="1646" spans="1:14" hidden="1" x14ac:dyDescent="0.35">
      <c r="A1646" s="52" t="s">
        <v>669</v>
      </c>
      <c r="B1646" s="52" t="s">
        <v>53</v>
      </c>
      <c r="C1646" s="52" t="s">
        <v>52</v>
      </c>
      <c r="D1646" s="52" t="s">
        <v>52</v>
      </c>
      <c r="E1646" s="52" t="s">
        <v>584</v>
      </c>
      <c r="F1646" s="52" t="s">
        <v>581</v>
      </c>
      <c r="G1646" s="195" t="s">
        <v>275</v>
      </c>
      <c r="H1646" s="195">
        <v>232.91130000000001</v>
      </c>
      <c r="I1646" s="195">
        <v>178.60409999999999</v>
      </c>
      <c r="J1646" s="195">
        <v>140.70779999999999</v>
      </c>
      <c r="K1646" s="195">
        <v>133.90260000000001</v>
      </c>
      <c r="L1646" s="195">
        <v>112.9559</v>
      </c>
      <c r="M1646" s="195">
        <v>96.090159999999997</v>
      </c>
      <c r="N1646" s="195">
        <v>54.075749999999999</v>
      </c>
    </row>
    <row r="1647" spans="1:14" hidden="1" x14ac:dyDescent="0.35">
      <c r="A1647" s="52" t="s">
        <v>669</v>
      </c>
      <c r="B1647" s="52" t="s">
        <v>53</v>
      </c>
      <c r="C1647" s="52" t="s">
        <v>52</v>
      </c>
      <c r="D1647" s="52" t="s">
        <v>52</v>
      </c>
      <c r="E1647" s="52" t="s">
        <v>584</v>
      </c>
      <c r="F1647" s="52" t="s">
        <v>581</v>
      </c>
      <c r="G1647" s="195" t="s">
        <v>276</v>
      </c>
      <c r="H1647" s="195">
        <v>201.2921</v>
      </c>
      <c r="I1647" s="195">
        <v>60.870719999999999</v>
      </c>
      <c r="J1647" s="195">
        <v>22.452539999999999</v>
      </c>
      <c r="K1647" s="195">
        <v>30.084009999999999</v>
      </c>
      <c r="L1647" s="195">
        <v>31.067519999999998</v>
      </c>
      <c r="M1647" s="195">
        <v>24.908460000000002</v>
      </c>
      <c r="N1647" s="195">
        <v>-0.76826430000000001</v>
      </c>
    </row>
    <row r="1648" spans="1:14" hidden="1" x14ac:dyDescent="0.35">
      <c r="A1648" s="52" t="s">
        <v>669</v>
      </c>
      <c r="B1648" s="52" t="s">
        <v>53</v>
      </c>
      <c r="C1648" s="52" t="s">
        <v>52</v>
      </c>
      <c r="D1648" s="52" t="s">
        <v>52</v>
      </c>
      <c r="E1648" s="52" t="s">
        <v>584</v>
      </c>
      <c r="F1648" s="52" t="s">
        <v>581</v>
      </c>
      <c r="G1648" s="195" t="s">
        <v>277</v>
      </c>
      <c r="H1648" s="195">
        <v>286.43799999999999</v>
      </c>
      <c r="I1648" s="195">
        <v>80.57226</v>
      </c>
      <c r="J1648" s="195">
        <v>21.849139999999998</v>
      </c>
      <c r="K1648" s="195">
        <v>17.814209999999999</v>
      </c>
      <c r="L1648" s="195">
        <v>10.90334</v>
      </c>
      <c r="M1648" s="195">
        <v>9.8024349999999991</v>
      </c>
      <c r="N1648" s="195">
        <v>14.2159</v>
      </c>
    </row>
    <row r="1649" spans="1:14" hidden="1" x14ac:dyDescent="0.35">
      <c r="A1649" s="52" t="s">
        <v>669</v>
      </c>
      <c r="B1649" s="52" t="s">
        <v>53</v>
      </c>
      <c r="C1649" s="52" t="s">
        <v>52</v>
      </c>
      <c r="D1649" s="52" t="s">
        <v>52</v>
      </c>
      <c r="E1649" s="52" t="s">
        <v>584</v>
      </c>
      <c r="F1649" s="52" t="s">
        <v>581</v>
      </c>
      <c r="G1649" s="195" t="s">
        <v>278</v>
      </c>
      <c r="H1649" s="195">
        <v>1.180123</v>
      </c>
      <c r="I1649" s="195">
        <v>1.180123</v>
      </c>
      <c r="J1649" s="195">
        <v>6.6736799999999999E-2</v>
      </c>
      <c r="K1649" s="195">
        <v>6.6736799999999999E-2</v>
      </c>
      <c r="L1649" s="195">
        <v>6.6736799999999999E-2</v>
      </c>
      <c r="M1649" s="195">
        <v>6.6736799999999999E-2</v>
      </c>
      <c r="N1649" s="195">
        <v>6.6736799999999999E-2</v>
      </c>
    </row>
    <row r="1650" spans="1:14" hidden="1" x14ac:dyDescent="0.35">
      <c r="A1650" s="52" t="s">
        <v>669</v>
      </c>
      <c r="B1650" s="52" t="s">
        <v>53</v>
      </c>
      <c r="C1650" s="52" t="s">
        <v>52</v>
      </c>
      <c r="D1650" s="52" t="s">
        <v>52</v>
      </c>
      <c r="E1650" s="52" t="s">
        <v>584</v>
      </c>
      <c r="F1650" s="52" t="s">
        <v>581</v>
      </c>
      <c r="G1650" s="195" t="s">
        <v>279</v>
      </c>
      <c r="H1650" s="195">
        <v>232.26159999999999</v>
      </c>
      <c r="I1650" s="195">
        <v>194.61340000000001</v>
      </c>
      <c r="J1650" s="195">
        <v>226.52029999999999</v>
      </c>
      <c r="K1650" s="195">
        <v>186.4847</v>
      </c>
      <c r="L1650" s="195">
        <v>151.92189999999999</v>
      </c>
      <c r="M1650" s="195">
        <v>101.7504</v>
      </c>
      <c r="N1650" s="195">
        <v>114.6104</v>
      </c>
    </row>
    <row r="1651" spans="1:14" hidden="1" x14ac:dyDescent="0.35">
      <c r="A1651" s="52" t="s">
        <v>669</v>
      </c>
      <c r="B1651" s="52" t="s">
        <v>53</v>
      </c>
      <c r="C1651" s="52" t="s">
        <v>52</v>
      </c>
      <c r="D1651" s="52" t="s">
        <v>52</v>
      </c>
      <c r="E1651" s="52" t="s">
        <v>584</v>
      </c>
      <c r="F1651" s="52" t="s">
        <v>26</v>
      </c>
      <c r="G1651" s="195" t="s">
        <v>275</v>
      </c>
      <c r="H1651" s="195">
        <v>603.73969999999997</v>
      </c>
      <c r="I1651" s="195">
        <v>271.37040000000002</v>
      </c>
      <c r="J1651" s="195">
        <v>503.76130000000001</v>
      </c>
      <c r="K1651" s="195">
        <v>146.2834</v>
      </c>
      <c r="L1651" s="195">
        <v>-51.94679</v>
      </c>
      <c r="M1651" s="195">
        <v>-47.085749999999997</v>
      </c>
      <c r="N1651" s="195">
        <v>435.53820000000002</v>
      </c>
    </row>
    <row r="1652" spans="1:14" hidden="1" x14ac:dyDescent="0.35">
      <c r="A1652" s="52" t="s">
        <v>669</v>
      </c>
      <c r="B1652" s="52" t="s">
        <v>53</v>
      </c>
      <c r="C1652" s="52" t="s">
        <v>52</v>
      </c>
      <c r="D1652" s="52" t="s">
        <v>52</v>
      </c>
      <c r="E1652" s="52" t="s">
        <v>584</v>
      </c>
      <c r="F1652" s="52" t="s">
        <v>26</v>
      </c>
      <c r="G1652" s="195" t="s">
        <v>276</v>
      </c>
      <c r="H1652" s="195">
        <v>375.31970000000001</v>
      </c>
      <c r="I1652" s="195">
        <v>127.24339999999999</v>
      </c>
      <c r="J1652" s="195">
        <v>225.23769999999999</v>
      </c>
      <c r="K1652" s="195">
        <v>54.055340000000001</v>
      </c>
      <c r="L1652" s="195">
        <v>14.703060000000001</v>
      </c>
      <c r="M1652" s="195">
        <v>20.23929</v>
      </c>
      <c r="N1652" s="195">
        <v>185.60990000000001</v>
      </c>
    </row>
    <row r="1653" spans="1:14" hidden="1" x14ac:dyDescent="0.35">
      <c r="A1653" s="52" t="s">
        <v>669</v>
      </c>
      <c r="B1653" s="52" t="s">
        <v>53</v>
      </c>
      <c r="C1653" s="52" t="s">
        <v>52</v>
      </c>
      <c r="D1653" s="52" t="s">
        <v>52</v>
      </c>
      <c r="E1653" s="52" t="s">
        <v>584</v>
      </c>
      <c r="F1653" s="52" t="s">
        <v>26</v>
      </c>
      <c r="G1653" s="195" t="s">
        <v>277</v>
      </c>
      <c r="H1653" s="195">
        <v>559.23030000000006</v>
      </c>
      <c r="I1653" s="195">
        <v>962.73929999999996</v>
      </c>
      <c r="J1653" s="195">
        <v>438.10680000000002</v>
      </c>
      <c r="K1653" s="195">
        <v>969.08</v>
      </c>
      <c r="L1653" s="195">
        <v>1305.999</v>
      </c>
      <c r="M1653" s="195">
        <v>1363.992</v>
      </c>
      <c r="N1653" s="195">
        <v>757.20370000000003</v>
      </c>
    </row>
    <row r="1654" spans="1:14" hidden="1" x14ac:dyDescent="0.35">
      <c r="A1654" s="52" t="s">
        <v>669</v>
      </c>
      <c r="B1654" s="52" t="s">
        <v>53</v>
      </c>
      <c r="C1654" s="52" t="s">
        <v>52</v>
      </c>
      <c r="D1654" s="52" t="s">
        <v>52</v>
      </c>
      <c r="E1654" s="52" t="s">
        <v>584</v>
      </c>
      <c r="F1654" s="52" t="s">
        <v>26</v>
      </c>
      <c r="G1654" s="195" t="s">
        <v>278</v>
      </c>
      <c r="H1654" s="195">
        <v>28.491479999999999</v>
      </c>
      <c r="I1654" s="195">
        <v>13.850989999999999</v>
      </c>
      <c r="J1654" s="195">
        <v>12.75854</v>
      </c>
      <c r="K1654" s="195">
        <v>31.299859999999999</v>
      </c>
      <c r="L1654" s="195">
        <v>14.259819999999999</v>
      </c>
      <c r="M1654" s="195">
        <v>2.701619</v>
      </c>
      <c r="N1654" s="195">
        <v>32.864820000000002</v>
      </c>
    </row>
    <row r="1655" spans="1:14" hidden="1" x14ac:dyDescent="0.35">
      <c r="A1655" s="52" t="s">
        <v>669</v>
      </c>
      <c r="B1655" s="52" t="s">
        <v>53</v>
      </c>
      <c r="C1655" s="52" t="s">
        <v>52</v>
      </c>
      <c r="D1655" s="52" t="s">
        <v>52</v>
      </c>
      <c r="E1655" s="52" t="s">
        <v>584</v>
      </c>
      <c r="F1655" s="52" t="s">
        <v>26</v>
      </c>
      <c r="G1655" s="195" t="s">
        <v>279</v>
      </c>
      <c r="H1655" s="195">
        <v>391.5788</v>
      </c>
      <c r="I1655" s="195">
        <v>332.9024</v>
      </c>
      <c r="J1655" s="195">
        <v>348.91559999999998</v>
      </c>
      <c r="K1655" s="195">
        <v>380.31049999999999</v>
      </c>
      <c r="L1655" s="195">
        <v>406.27370000000002</v>
      </c>
      <c r="M1655" s="195">
        <v>399.28609999999998</v>
      </c>
      <c r="N1655" s="195">
        <v>413.12009999999998</v>
      </c>
    </row>
    <row r="1656" spans="1:14" hidden="1" x14ac:dyDescent="0.35">
      <c r="A1656" s="52" t="s">
        <v>669</v>
      </c>
      <c r="B1656" s="52" t="s">
        <v>53</v>
      </c>
      <c r="C1656" s="52" t="s">
        <v>151</v>
      </c>
      <c r="D1656" s="52" t="s">
        <v>151</v>
      </c>
      <c r="E1656" s="52" t="s">
        <v>584</v>
      </c>
      <c r="F1656" s="52" t="s">
        <v>26</v>
      </c>
      <c r="G1656" s="195" t="s">
        <v>275</v>
      </c>
      <c r="H1656" s="195">
        <v>489.96839999999997</v>
      </c>
      <c r="I1656" s="195">
        <v>235.1902</v>
      </c>
      <c r="J1656" s="195">
        <v>132.3597</v>
      </c>
      <c r="K1656" s="195">
        <v>-727.6848</v>
      </c>
      <c r="L1656" s="195">
        <v>-949.61829999999998</v>
      </c>
      <c r="M1656" s="195">
        <v>-953.42290000000003</v>
      </c>
      <c r="N1656" s="195">
        <v>-133.32300000000001</v>
      </c>
    </row>
    <row r="1657" spans="1:14" hidden="1" x14ac:dyDescent="0.35">
      <c r="A1657" s="52" t="s">
        <v>669</v>
      </c>
      <c r="B1657" s="52" t="s">
        <v>53</v>
      </c>
      <c r="C1657" s="52" t="s">
        <v>151</v>
      </c>
      <c r="D1657" s="52" t="s">
        <v>151</v>
      </c>
      <c r="E1657" s="52" t="s">
        <v>584</v>
      </c>
      <c r="F1657" s="52" t="s">
        <v>26</v>
      </c>
      <c r="G1657" s="195" t="s">
        <v>276</v>
      </c>
      <c r="H1657" s="195">
        <v>377.2303</v>
      </c>
      <c r="I1657" s="195">
        <v>195.77269999999999</v>
      </c>
      <c r="J1657" s="195">
        <v>138.57210000000001</v>
      </c>
      <c r="K1657" s="195">
        <v>-218.38059999999999</v>
      </c>
      <c r="L1657" s="195">
        <v>-264.20729999999998</v>
      </c>
      <c r="M1657" s="195">
        <v>-269.06400000000002</v>
      </c>
      <c r="N1657" s="195">
        <v>80.225750000000005</v>
      </c>
    </row>
    <row r="1658" spans="1:14" hidden="1" x14ac:dyDescent="0.35">
      <c r="A1658" s="52" t="s">
        <v>669</v>
      </c>
      <c r="B1658" s="52" t="s">
        <v>53</v>
      </c>
      <c r="C1658" s="52" t="s">
        <v>151</v>
      </c>
      <c r="D1658" s="52" t="s">
        <v>151</v>
      </c>
      <c r="E1658" s="52" t="s">
        <v>584</v>
      </c>
      <c r="F1658" s="52" t="s">
        <v>26</v>
      </c>
      <c r="G1658" s="195" t="s">
        <v>277</v>
      </c>
      <c r="H1658" s="195">
        <v>115.44280000000001</v>
      </c>
      <c r="I1658" s="195">
        <v>135.78450000000001</v>
      </c>
      <c r="J1658" s="195">
        <v>264.9622</v>
      </c>
      <c r="K1658" s="195">
        <v>1459.922</v>
      </c>
      <c r="L1658" s="195">
        <v>1729.1769999999999</v>
      </c>
      <c r="M1658" s="195">
        <v>1743.556</v>
      </c>
      <c r="N1658" s="195">
        <v>610.61649999999997</v>
      </c>
    </row>
    <row r="1659" spans="1:14" hidden="1" x14ac:dyDescent="0.35">
      <c r="A1659" s="52" t="s">
        <v>669</v>
      </c>
      <c r="B1659" s="52" t="s">
        <v>53</v>
      </c>
      <c r="C1659" s="52" t="s">
        <v>151</v>
      </c>
      <c r="D1659" s="52" t="s">
        <v>151</v>
      </c>
      <c r="E1659" s="52" t="s">
        <v>584</v>
      </c>
      <c r="F1659" s="52" t="s">
        <v>26</v>
      </c>
      <c r="G1659" s="195" t="s">
        <v>279</v>
      </c>
      <c r="H1659" s="195">
        <v>425.0829</v>
      </c>
      <c r="I1659" s="195">
        <v>372.78969999999998</v>
      </c>
      <c r="J1659" s="195">
        <v>341.63679999999999</v>
      </c>
      <c r="K1659" s="195">
        <v>360.99959999999999</v>
      </c>
      <c r="L1659" s="195">
        <v>358.80070000000001</v>
      </c>
      <c r="M1659" s="195">
        <v>359.79579999999999</v>
      </c>
      <c r="N1659" s="195">
        <v>378.99799999999999</v>
      </c>
    </row>
    <row r="1660" spans="1:14" hidden="1" x14ac:dyDescent="0.35">
      <c r="A1660" s="52" t="s">
        <v>669</v>
      </c>
      <c r="B1660" s="52" t="s">
        <v>53</v>
      </c>
      <c r="C1660" s="52" t="s">
        <v>145</v>
      </c>
      <c r="D1660" s="52" t="s">
        <v>145</v>
      </c>
      <c r="E1660" s="52" t="s">
        <v>584</v>
      </c>
      <c r="F1660" s="52" t="s">
        <v>581</v>
      </c>
      <c r="G1660" s="195" t="s">
        <v>275</v>
      </c>
      <c r="H1660" s="195">
        <v>10.77866</v>
      </c>
      <c r="I1660" s="195">
        <v>1.8282700000000001</v>
      </c>
      <c r="J1660" s="195">
        <v>1.0508230000000001</v>
      </c>
      <c r="K1660" s="195">
        <v>0.69967500000000005</v>
      </c>
      <c r="L1660" s="195">
        <v>0.6038694</v>
      </c>
      <c r="M1660" s="195">
        <v>0.49714130000000001</v>
      </c>
      <c r="N1660" s="195">
        <v>0.44320690000000001</v>
      </c>
    </row>
    <row r="1661" spans="1:14" hidden="1" x14ac:dyDescent="0.35">
      <c r="A1661" s="52" t="s">
        <v>669</v>
      </c>
      <c r="B1661" s="52" t="s">
        <v>53</v>
      </c>
      <c r="C1661" s="52" t="s">
        <v>145</v>
      </c>
      <c r="D1661" s="52" t="s">
        <v>145</v>
      </c>
      <c r="E1661" s="52" t="s">
        <v>584</v>
      </c>
      <c r="F1661" s="52" t="s">
        <v>581</v>
      </c>
      <c r="G1661" s="195" t="s">
        <v>276</v>
      </c>
      <c r="H1661" s="195">
        <v>7.0811010000000003</v>
      </c>
      <c r="I1661" s="195">
        <v>1.6338900000000001</v>
      </c>
      <c r="J1661" s="195">
        <v>1.123988</v>
      </c>
      <c r="K1661" s="195">
        <v>0.9785855</v>
      </c>
      <c r="L1661" s="195">
        <v>0.95221849999999997</v>
      </c>
      <c r="M1661" s="195">
        <v>0.89837009999999995</v>
      </c>
      <c r="N1661" s="195">
        <v>0.85153650000000003</v>
      </c>
    </row>
    <row r="1662" spans="1:14" hidden="1" x14ac:dyDescent="0.35">
      <c r="A1662" s="52" t="s">
        <v>669</v>
      </c>
      <c r="B1662" s="52" t="s">
        <v>53</v>
      </c>
      <c r="C1662" s="52" t="s">
        <v>145</v>
      </c>
      <c r="D1662" s="52" t="s">
        <v>145</v>
      </c>
      <c r="E1662" s="52" t="s">
        <v>584</v>
      </c>
      <c r="F1662" s="52" t="s">
        <v>581</v>
      </c>
      <c r="G1662" s="195" t="s">
        <v>277</v>
      </c>
      <c r="H1662" s="195">
        <v>0.60959920000000001</v>
      </c>
      <c r="I1662" s="195">
        <v>0.47073019999999999</v>
      </c>
      <c r="J1662" s="195">
        <v>0.40514299999999998</v>
      </c>
      <c r="K1662" s="195">
        <v>0.49232789999999998</v>
      </c>
      <c r="L1662" s="195">
        <v>0.56753810000000005</v>
      </c>
      <c r="M1662" s="195">
        <v>0.63020310000000002</v>
      </c>
      <c r="N1662" s="195">
        <v>0.6459587</v>
      </c>
    </row>
    <row r="1663" spans="1:14" hidden="1" x14ac:dyDescent="0.35">
      <c r="A1663" s="52" t="s">
        <v>669</v>
      </c>
      <c r="B1663" s="52" t="s">
        <v>53</v>
      </c>
      <c r="C1663" s="52" t="s">
        <v>145</v>
      </c>
      <c r="D1663" s="52" t="s">
        <v>145</v>
      </c>
      <c r="E1663" s="52" t="s">
        <v>584</v>
      </c>
      <c r="F1663" s="52" t="s">
        <v>581</v>
      </c>
      <c r="G1663" s="195" t="s">
        <v>279</v>
      </c>
      <c r="H1663" s="195">
        <v>5.7736429999999999</v>
      </c>
      <c r="I1663" s="195">
        <v>4.8148369999999998</v>
      </c>
      <c r="J1663" s="195">
        <v>4.645086</v>
      </c>
      <c r="K1663" s="195">
        <v>4.7244190000000001</v>
      </c>
      <c r="L1663" s="195">
        <v>4.6266879999999997</v>
      </c>
      <c r="M1663" s="195">
        <v>4.433325</v>
      </c>
      <c r="N1663" s="195">
        <v>4.2647380000000004</v>
      </c>
    </row>
    <row r="1664" spans="1:14" hidden="1" x14ac:dyDescent="0.35">
      <c r="A1664" s="52" t="s">
        <v>669</v>
      </c>
      <c r="B1664" s="52" t="s">
        <v>53</v>
      </c>
      <c r="C1664" s="52" t="s">
        <v>825</v>
      </c>
      <c r="D1664" s="52" t="s">
        <v>825</v>
      </c>
      <c r="E1664" s="52" t="s">
        <v>584</v>
      </c>
      <c r="F1664" s="52" t="s">
        <v>26</v>
      </c>
      <c r="G1664" s="195" t="s">
        <v>275</v>
      </c>
      <c r="H1664" s="195">
        <v>-4.0742010000000002E-2</v>
      </c>
      <c r="I1664" s="195">
        <v>-4.0743000000000001E-2</v>
      </c>
      <c r="J1664" s="195">
        <v>0</v>
      </c>
      <c r="K1664" s="195">
        <v>0</v>
      </c>
      <c r="L1664" s="195">
        <v>0</v>
      </c>
      <c r="M1664" s="195">
        <v>0</v>
      </c>
      <c r="N1664" s="195">
        <v>0</v>
      </c>
    </row>
    <row r="1665" spans="1:14" hidden="1" x14ac:dyDescent="0.35">
      <c r="A1665" s="52" t="s">
        <v>669</v>
      </c>
      <c r="B1665" s="52" t="s">
        <v>53</v>
      </c>
      <c r="C1665" s="52" t="s">
        <v>825</v>
      </c>
      <c r="D1665" s="52" t="s">
        <v>825</v>
      </c>
      <c r="E1665" s="52" t="s">
        <v>584</v>
      </c>
      <c r="F1665" s="52" t="s">
        <v>26</v>
      </c>
      <c r="G1665" s="195" t="s">
        <v>276</v>
      </c>
      <c r="H1665" s="195">
        <v>-1.7461000000000001E-2</v>
      </c>
      <c r="I1665" s="195">
        <v>-1.7461000000000001E-2</v>
      </c>
      <c r="J1665" s="195">
        <v>0</v>
      </c>
      <c r="K1665" s="195">
        <v>0</v>
      </c>
      <c r="L1665" s="195">
        <v>0</v>
      </c>
      <c r="M1665" s="195">
        <v>0</v>
      </c>
      <c r="N1665" s="195">
        <v>0</v>
      </c>
    </row>
    <row r="1666" spans="1:14" hidden="1" x14ac:dyDescent="0.35">
      <c r="A1666" s="52" t="s">
        <v>669</v>
      </c>
      <c r="B1666" s="52" t="s">
        <v>53</v>
      </c>
      <c r="C1666" s="52" t="s">
        <v>825</v>
      </c>
      <c r="D1666" s="52" t="s">
        <v>825</v>
      </c>
      <c r="E1666" s="52" t="s">
        <v>584</v>
      </c>
      <c r="F1666" s="52" t="s">
        <v>26</v>
      </c>
      <c r="G1666" s="195" t="s">
        <v>277</v>
      </c>
      <c r="H1666" s="195"/>
      <c r="I1666" s="195"/>
      <c r="J1666" s="195"/>
      <c r="K1666" s="195"/>
      <c r="L1666" s="195"/>
      <c r="M1666" s="195">
        <v>0</v>
      </c>
      <c r="N1666" s="195">
        <v>0</v>
      </c>
    </row>
    <row r="1667" spans="1:14" hidden="1" x14ac:dyDescent="0.35">
      <c r="A1667" s="52" t="s">
        <v>669</v>
      </c>
      <c r="B1667" s="52" t="s">
        <v>53</v>
      </c>
      <c r="C1667" s="52" t="s">
        <v>825</v>
      </c>
      <c r="D1667" s="52" t="s">
        <v>825</v>
      </c>
      <c r="E1667" s="52" t="s">
        <v>584</v>
      </c>
      <c r="F1667" s="52" t="s">
        <v>26</v>
      </c>
      <c r="G1667" s="195" t="s">
        <v>278</v>
      </c>
      <c r="H1667" s="195">
        <v>5.8203999999999999E-2</v>
      </c>
      <c r="I1667" s="195">
        <v>5.8203999999999999E-2</v>
      </c>
      <c r="J1667" s="195">
        <v>0</v>
      </c>
      <c r="K1667" s="195">
        <v>0</v>
      </c>
      <c r="L1667" s="195">
        <v>0</v>
      </c>
      <c r="M1667" s="195">
        <v>0</v>
      </c>
      <c r="N1667" s="195">
        <v>0</v>
      </c>
    </row>
    <row r="1668" spans="1:14" hidden="1" x14ac:dyDescent="0.35">
      <c r="A1668" s="52" t="s">
        <v>669</v>
      </c>
      <c r="B1668" s="52" t="s">
        <v>53</v>
      </c>
      <c r="C1668" s="52" t="s">
        <v>175</v>
      </c>
      <c r="D1668" s="52" t="s">
        <v>175</v>
      </c>
      <c r="E1668" s="52" t="s">
        <v>584</v>
      </c>
      <c r="F1668" s="52" t="s">
        <v>581</v>
      </c>
      <c r="G1668" s="195" t="s">
        <v>275</v>
      </c>
      <c r="H1668" s="195"/>
      <c r="I1668" s="195"/>
      <c r="J1668" s="195"/>
      <c r="K1668" s="195">
        <v>0</v>
      </c>
      <c r="L1668" s="195">
        <v>-4.224232E-2</v>
      </c>
      <c r="M1668" s="195">
        <v>-4.4343870000000001E-2</v>
      </c>
      <c r="N1668" s="195">
        <v>-4.7312189999999997E-2</v>
      </c>
    </row>
    <row r="1669" spans="1:14" hidden="1" x14ac:dyDescent="0.35">
      <c r="A1669" s="52" t="s">
        <v>669</v>
      </c>
      <c r="B1669" s="52" t="s">
        <v>53</v>
      </c>
      <c r="C1669" s="52" t="s">
        <v>175</v>
      </c>
      <c r="D1669" s="52" t="s">
        <v>175</v>
      </c>
      <c r="E1669" s="52" t="s">
        <v>584</v>
      </c>
      <c r="F1669" s="52" t="s">
        <v>581</v>
      </c>
      <c r="G1669" s="195" t="s">
        <v>276</v>
      </c>
      <c r="H1669" s="195"/>
      <c r="I1669" s="195"/>
      <c r="J1669" s="195"/>
      <c r="K1669" s="195">
        <v>0</v>
      </c>
      <c r="L1669" s="195">
        <v>-1.8103879999999999E-2</v>
      </c>
      <c r="M1669" s="195">
        <v>-1.900456E-2</v>
      </c>
      <c r="N1669" s="195">
        <v>-2.0276659999999998E-2</v>
      </c>
    </row>
    <row r="1670" spans="1:14" hidden="1" x14ac:dyDescent="0.35">
      <c r="A1670" s="52" t="s">
        <v>669</v>
      </c>
      <c r="B1670" s="52" t="s">
        <v>53</v>
      </c>
      <c r="C1670" s="52" t="s">
        <v>175</v>
      </c>
      <c r="D1670" s="52" t="s">
        <v>175</v>
      </c>
      <c r="E1670" s="52" t="s">
        <v>584</v>
      </c>
      <c r="F1670" s="52" t="s">
        <v>581</v>
      </c>
      <c r="G1670" s="195" t="s">
        <v>277</v>
      </c>
      <c r="H1670" s="195"/>
      <c r="I1670" s="195"/>
      <c r="J1670" s="195"/>
      <c r="K1670" s="195">
        <v>0</v>
      </c>
      <c r="L1670" s="195">
        <v>5.4807040000000003E-3</v>
      </c>
      <c r="M1670" s="195">
        <v>8.4828100000000003E-3</v>
      </c>
      <c r="N1670" s="195">
        <v>1.27233E-2</v>
      </c>
    </row>
    <row r="1671" spans="1:14" hidden="1" x14ac:dyDescent="0.35">
      <c r="A1671" s="52" t="s">
        <v>669</v>
      </c>
      <c r="B1671" s="52" t="s">
        <v>53</v>
      </c>
      <c r="C1671" s="52" t="s">
        <v>175</v>
      </c>
      <c r="D1671" s="52" t="s">
        <v>175</v>
      </c>
      <c r="E1671" s="52" t="s">
        <v>584</v>
      </c>
      <c r="F1671" s="52" t="s">
        <v>581</v>
      </c>
      <c r="G1671" s="195" t="s">
        <v>278</v>
      </c>
      <c r="H1671" s="195"/>
      <c r="I1671" s="195"/>
      <c r="J1671" s="195"/>
      <c r="K1671" s="195"/>
      <c r="L1671" s="195">
        <v>0</v>
      </c>
      <c r="M1671" s="195"/>
      <c r="N1671" s="195"/>
    </row>
    <row r="1672" spans="1:14" hidden="1" x14ac:dyDescent="0.35">
      <c r="A1672" s="52" t="s">
        <v>669</v>
      </c>
      <c r="B1672" s="52" t="s">
        <v>53</v>
      </c>
      <c r="C1672" s="52" t="s">
        <v>175</v>
      </c>
      <c r="D1672" s="52" t="s">
        <v>175</v>
      </c>
      <c r="E1672" s="52" t="s">
        <v>584</v>
      </c>
      <c r="F1672" s="52" t="s">
        <v>581</v>
      </c>
      <c r="G1672" s="195" t="s">
        <v>279</v>
      </c>
      <c r="H1672" s="195"/>
      <c r="I1672" s="195"/>
      <c r="J1672" s="195"/>
      <c r="K1672" s="195">
        <v>0</v>
      </c>
      <c r="L1672" s="195">
        <v>5.4865560000000001E-2</v>
      </c>
      <c r="M1672" s="195">
        <v>5.4865490000000003E-2</v>
      </c>
      <c r="N1672" s="195">
        <v>5.4865560000000001E-2</v>
      </c>
    </row>
    <row r="1673" spans="1:14" hidden="1" x14ac:dyDescent="0.35">
      <c r="A1673" s="52" t="s">
        <v>669</v>
      </c>
      <c r="B1673" s="52" t="s">
        <v>53</v>
      </c>
      <c r="C1673" s="52" t="s">
        <v>175</v>
      </c>
      <c r="D1673" s="52" t="s">
        <v>175</v>
      </c>
      <c r="E1673" s="52" t="s">
        <v>584</v>
      </c>
      <c r="F1673" s="52" t="s">
        <v>26</v>
      </c>
      <c r="G1673" s="195" t="s">
        <v>275</v>
      </c>
      <c r="H1673" s="195">
        <v>-43.92783</v>
      </c>
      <c r="I1673" s="195">
        <v>-23.582550000000001</v>
      </c>
      <c r="J1673" s="195">
        <v>-7.4439149999999996E-2</v>
      </c>
      <c r="K1673" s="195">
        <v>-4.5180159999999997E-2</v>
      </c>
      <c r="L1673" s="195">
        <v>-0.12946869999999999</v>
      </c>
      <c r="M1673" s="195">
        <v>-0.14805979999999999</v>
      </c>
      <c r="N1673" s="195">
        <v>-0.17431920000000001</v>
      </c>
    </row>
    <row r="1674" spans="1:14" hidden="1" x14ac:dyDescent="0.35">
      <c r="A1674" s="52" t="s">
        <v>669</v>
      </c>
      <c r="B1674" s="52" t="s">
        <v>53</v>
      </c>
      <c r="C1674" s="52" t="s">
        <v>175</v>
      </c>
      <c r="D1674" s="52" t="s">
        <v>175</v>
      </c>
      <c r="E1674" s="52" t="s">
        <v>584</v>
      </c>
      <c r="F1674" s="52" t="s">
        <v>26</v>
      </c>
      <c r="G1674" s="195" t="s">
        <v>276</v>
      </c>
      <c r="H1674" s="195">
        <v>-18.82621</v>
      </c>
      <c r="I1674" s="195">
        <v>-10.106809999999999</v>
      </c>
      <c r="J1674" s="195">
        <v>-0.14055719999999999</v>
      </c>
      <c r="K1674" s="195">
        <v>-0.1280182</v>
      </c>
      <c r="L1674" s="195">
        <v>-0.16414129999999999</v>
      </c>
      <c r="M1674" s="195">
        <v>-0.3777549</v>
      </c>
      <c r="N1674" s="195">
        <v>-0.18336359999999999</v>
      </c>
    </row>
    <row r="1675" spans="1:14" hidden="1" x14ac:dyDescent="0.35">
      <c r="A1675" s="52" t="s">
        <v>669</v>
      </c>
      <c r="B1675" s="52" t="s">
        <v>53</v>
      </c>
      <c r="C1675" s="52" t="s">
        <v>175</v>
      </c>
      <c r="D1675" s="52" t="s">
        <v>175</v>
      </c>
      <c r="E1675" s="52" t="s">
        <v>584</v>
      </c>
      <c r="F1675" s="52" t="s">
        <v>26</v>
      </c>
      <c r="G1675" s="195" t="s">
        <v>277</v>
      </c>
      <c r="H1675" s="195">
        <v>62.583120000000001</v>
      </c>
      <c r="I1675" s="195">
        <v>33.562570000000001</v>
      </c>
      <c r="J1675" s="195">
        <v>0.102716</v>
      </c>
      <c r="K1675" s="195">
        <v>6.0917369999999998E-2</v>
      </c>
      <c r="L1675" s="195">
        <v>4.8485090000000002E-2</v>
      </c>
      <c r="M1675" s="195">
        <v>7.5043869999999999E-2</v>
      </c>
      <c r="N1675" s="195">
        <v>0.1125574</v>
      </c>
    </row>
    <row r="1676" spans="1:14" hidden="1" x14ac:dyDescent="0.35">
      <c r="A1676" s="52" t="s">
        <v>669</v>
      </c>
      <c r="B1676" s="52" t="s">
        <v>53</v>
      </c>
      <c r="C1676" s="52" t="s">
        <v>175</v>
      </c>
      <c r="D1676" s="52" t="s">
        <v>175</v>
      </c>
      <c r="E1676" s="52" t="s">
        <v>584</v>
      </c>
      <c r="F1676" s="52" t="s">
        <v>26</v>
      </c>
      <c r="G1676" s="195" t="s">
        <v>278</v>
      </c>
      <c r="H1676" s="195">
        <v>0.17092189999999999</v>
      </c>
      <c r="I1676" s="195">
        <v>0.12678320000000001</v>
      </c>
      <c r="J1676" s="195">
        <v>0.11228050000000001</v>
      </c>
      <c r="K1676" s="195">
        <v>0.11228050000000001</v>
      </c>
      <c r="L1676" s="195">
        <v>0.1086548</v>
      </c>
      <c r="M1676" s="195">
        <v>0.31430039999999998</v>
      </c>
      <c r="N1676" s="195">
        <v>0.1086548</v>
      </c>
    </row>
    <row r="1677" spans="1:14" hidden="1" x14ac:dyDescent="0.35">
      <c r="A1677" s="52" t="s">
        <v>669</v>
      </c>
      <c r="B1677" s="52" t="s">
        <v>53</v>
      </c>
      <c r="C1677" s="52" t="s">
        <v>175</v>
      </c>
      <c r="D1677" s="52" t="s">
        <v>175</v>
      </c>
      <c r="E1677" s="52" t="s">
        <v>584</v>
      </c>
      <c r="F1677" s="52" t="s">
        <v>26</v>
      </c>
      <c r="G1677" s="195" t="s">
        <v>279</v>
      </c>
      <c r="H1677" s="195"/>
      <c r="I1677" s="195"/>
      <c r="J1677" s="195"/>
      <c r="K1677" s="195">
        <v>0</v>
      </c>
      <c r="L1677" s="195">
        <v>0.13647010000000001</v>
      </c>
      <c r="M1677" s="195">
        <v>0.13647010000000001</v>
      </c>
      <c r="N1677" s="195">
        <v>0.13647010000000001</v>
      </c>
    </row>
    <row r="1678" spans="1:14" hidden="1" x14ac:dyDescent="0.35">
      <c r="A1678" s="52" t="s">
        <v>669</v>
      </c>
      <c r="B1678" s="52" t="s">
        <v>53</v>
      </c>
      <c r="C1678" s="52" t="s">
        <v>318</v>
      </c>
      <c r="D1678" s="52" t="s">
        <v>318</v>
      </c>
      <c r="E1678" s="52" t="s">
        <v>584</v>
      </c>
      <c r="F1678" s="52" t="s">
        <v>581</v>
      </c>
      <c r="G1678" s="195" t="s">
        <v>275</v>
      </c>
      <c r="H1678" s="195">
        <v>0</v>
      </c>
      <c r="I1678" s="195"/>
      <c r="J1678" s="195"/>
      <c r="K1678" s="195"/>
      <c r="L1678" s="195"/>
      <c r="M1678" s="195"/>
      <c r="N1678" s="195"/>
    </row>
    <row r="1679" spans="1:14" hidden="1" x14ac:dyDescent="0.35">
      <c r="A1679" s="52" t="s">
        <v>669</v>
      </c>
      <c r="B1679" s="52" t="s">
        <v>53</v>
      </c>
      <c r="C1679" s="52" t="s">
        <v>318</v>
      </c>
      <c r="D1679" s="52" t="s">
        <v>318</v>
      </c>
      <c r="E1679" s="52" t="s">
        <v>584</v>
      </c>
      <c r="F1679" s="52" t="s">
        <v>581</v>
      </c>
      <c r="G1679" s="195" t="s">
        <v>276</v>
      </c>
      <c r="H1679" s="195">
        <v>0</v>
      </c>
      <c r="I1679" s="195"/>
      <c r="J1679" s="195"/>
      <c r="K1679" s="195"/>
      <c r="L1679" s="195"/>
      <c r="M1679" s="195"/>
      <c r="N1679" s="195"/>
    </row>
    <row r="1680" spans="1:14" hidden="1" x14ac:dyDescent="0.35">
      <c r="A1680" s="52" t="s">
        <v>669</v>
      </c>
      <c r="B1680" s="52" t="s">
        <v>53</v>
      </c>
      <c r="C1680" s="52" t="s">
        <v>318</v>
      </c>
      <c r="D1680" s="52" t="s">
        <v>318</v>
      </c>
      <c r="E1680" s="52" t="s">
        <v>584</v>
      </c>
      <c r="F1680" s="52" t="s">
        <v>581</v>
      </c>
      <c r="G1680" s="195" t="s">
        <v>278</v>
      </c>
      <c r="H1680" s="195">
        <v>0</v>
      </c>
      <c r="I1680" s="195"/>
      <c r="J1680" s="195"/>
      <c r="K1680" s="195"/>
      <c r="L1680" s="195"/>
      <c r="M1680" s="195"/>
      <c r="N1680" s="195"/>
    </row>
    <row r="1681" spans="1:14" hidden="1" x14ac:dyDescent="0.35">
      <c r="A1681" s="52" t="s">
        <v>669</v>
      </c>
      <c r="B1681" s="52" t="s">
        <v>53</v>
      </c>
      <c r="C1681" s="52" t="s">
        <v>318</v>
      </c>
      <c r="D1681" s="52" t="s">
        <v>318</v>
      </c>
      <c r="E1681" s="52" t="s">
        <v>584</v>
      </c>
      <c r="F1681" s="52" t="s">
        <v>26</v>
      </c>
      <c r="G1681" s="195" t="s">
        <v>275</v>
      </c>
      <c r="H1681" s="195">
        <v>0</v>
      </c>
      <c r="I1681" s="195"/>
      <c r="J1681" s="195"/>
      <c r="K1681" s="195"/>
      <c r="L1681" s="195"/>
      <c r="M1681" s="195"/>
      <c r="N1681" s="195"/>
    </row>
    <row r="1682" spans="1:14" hidden="1" x14ac:dyDescent="0.35">
      <c r="A1682" s="52" t="s">
        <v>669</v>
      </c>
      <c r="B1682" s="52" t="s">
        <v>53</v>
      </c>
      <c r="C1682" s="52" t="s">
        <v>318</v>
      </c>
      <c r="D1682" s="52" t="s">
        <v>318</v>
      </c>
      <c r="E1682" s="52" t="s">
        <v>584</v>
      </c>
      <c r="F1682" s="52" t="s">
        <v>26</v>
      </c>
      <c r="G1682" s="195" t="s">
        <v>276</v>
      </c>
      <c r="H1682" s="195">
        <v>0</v>
      </c>
      <c r="I1682" s="195"/>
      <c r="J1682" s="195"/>
      <c r="K1682" s="195"/>
      <c r="L1682" s="195"/>
      <c r="M1682" s="195"/>
      <c r="N1682" s="195"/>
    </row>
    <row r="1683" spans="1:14" hidden="1" x14ac:dyDescent="0.35">
      <c r="A1683" s="52" t="s">
        <v>669</v>
      </c>
      <c r="B1683" s="52" t="s">
        <v>53</v>
      </c>
      <c r="C1683" s="52" t="s">
        <v>318</v>
      </c>
      <c r="D1683" s="52" t="s">
        <v>318</v>
      </c>
      <c r="E1683" s="52" t="s">
        <v>584</v>
      </c>
      <c r="F1683" s="52" t="s">
        <v>26</v>
      </c>
      <c r="G1683" s="195" t="s">
        <v>278</v>
      </c>
      <c r="H1683" s="195">
        <v>0</v>
      </c>
      <c r="I1683" s="195"/>
      <c r="J1683" s="195"/>
      <c r="K1683" s="195"/>
      <c r="L1683" s="195"/>
      <c r="M1683" s="195"/>
      <c r="N1683" s="195"/>
    </row>
    <row r="1684" spans="1:14" hidden="1" x14ac:dyDescent="0.35">
      <c r="A1684" s="52" t="s">
        <v>669</v>
      </c>
      <c r="B1684" s="52" t="s">
        <v>53</v>
      </c>
      <c r="C1684" s="52" t="s">
        <v>214</v>
      </c>
      <c r="D1684" s="52" t="s">
        <v>214</v>
      </c>
      <c r="E1684" s="52" t="s">
        <v>584</v>
      </c>
      <c r="F1684" s="52" t="s">
        <v>26</v>
      </c>
      <c r="G1684" s="195" t="s">
        <v>275</v>
      </c>
      <c r="H1684" s="195">
        <v>-2.8157619999999999</v>
      </c>
      <c r="I1684" s="195">
        <v>-2.8157619999999999</v>
      </c>
      <c r="J1684" s="195">
        <v>0</v>
      </c>
      <c r="K1684" s="195">
        <v>0</v>
      </c>
      <c r="L1684" s="195">
        <v>0</v>
      </c>
      <c r="M1684" s="195">
        <v>0</v>
      </c>
      <c r="N1684" s="195">
        <v>0</v>
      </c>
    </row>
    <row r="1685" spans="1:14" hidden="1" x14ac:dyDescent="0.35">
      <c r="A1685" s="52" t="s">
        <v>669</v>
      </c>
      <c r="B1685" s="52" t="s">
        <v>53</v>
      </c>
      <c r="C1685" s="52" t="s">
        <v>214</v>
      </c>
      <c r="D1685" s="52" t="s">
        <v>214</v>
      </c>
      <c r="E1685" s="52" t="s">
        <v>584</v>
      </c>
      <c r="F1685" s="52" t="s">
        <v>26</v>
      </c>
      <c r="G1685" s="195" t="s">
        <v>276</v>
      </c>
      <c r="H1685" s="195">
        <v>-1.206755</v>
      </c>
      <c r="I1685" s="195">
        <v>-1.2067559999999999</v>
      </c>
      <c r="J1685" s="195">
        <v>-4.0225179999999998</v>
      </c>
      <c r="K1685" s="195">
        <v>-6.6529660000000002</v>
      </c>
      <c r="L1685" s="195">
        <v>-5.5582830000000003</v>
      </c>
      <c r="M1685" s="195">
        <v>-4.0225150000000003</v>
      </c>
      <c r="N1685" s="195">
        <v>-69.45626</v>
      </c>
    </row>
    <row r="1686" spans="1:14" hidden="1" x14ac:dyDescent="0.35">
      <c r="A1686" s="52" t="s">
        <v>669</v>
      </c>
      <c r="B1686" s="52" t="s">
        <v>53</v>
      </c>
      <c r="C1686" s="52" t="s">
        <v>214</v>
      </c>
      <c r="D1686" s="52" t="s">
        <v>214</v>
      </c>
      <c r="E1686" s="52" t="s">
        <v>584</v>
      </c>
      <c r="F1686" s="52" t="s">
        <v>26</v>
      </c>
      <c r="G1686" s="195" t="s">
        <v>278</v>
      </c>
      <c r="H1686" s="195">
        <v>4.0225160000000004</v>
      </c>
      <c r="I1686" s="195">
        <v>4.0225160000000004</v>
      </c>
      <c r="J1686" s="195">
        <v>4.0225160000000004</v>
      </c>
      <c r="K1686" s="195">
        <v>6.652965</v>
      </c>
      <c r="L1686" s="195">
        <v>5.5582830000000003</v>
      </c>
      <c r="M1686" s="195">
        <v>4.0225160000000004</v>
      </c>
      <c r="N1686" s="195">
        <v>69.456249999999997</v>
      </c>
    </row>
    <row r="1687" spans="1:14" hidden="1" x14ac:dyDescent="0.35">
      <c r="A1687" s="52" t="s">
        <v>669</v>
      </c>
      <c r="B1687" s="52" t="s">
        <v>320</v>
      </c>
      <c r="C1687" s="52" t="s">
        <v>319</v>
      </c>
      <c r="D1687" s="52" t="s">
        <v>319</v>
      </c>
      <c r="E1687" s="52" t="s">
        <v>584</v>
      </c>
      <c r="F1687" s="52" t="s">
        <v>581</v>
      </c>
      <c r="G1687" s="195" t="s">
        <v>275</v>
      </c>
      <c r="H1687" s="195">
        <v>-42.295169999999999</v>
      </c>
      <c r="I1687" s="195">
        <v>-290.86340000000001</v>
      </c>
      <c r="J1687" s="195">
        <v>-452.90530000000001</v>
      </c>
      <c r="K1687" s="195">
        <v>-452.90539999999999</v>
      </c>
      <c r="L1687" s="195">
        <v>-188.78389999999999</v>
      </c>
      <c r="M1687" s="195">
        <v>104.0776</v>
      </c>
      <c r="N1687" s="195">
        <v>130.1634</v>
      </c>
    </row>
    <row r="1688" spans="1:14" hidden="1" x14ac:dyDescent="0.35">
      <c r="A1688" s="52" t="s">
        <v>669</v>
      </c>
      <c r="B1688" s="52" t="s">
        <v>320</v>
      </c>
      <c r="C1688" s="52" t="s">
        <v>319</v>
      </c>
      <c r="D1688" s="52" t="s">
        <v>319</v>
      </c>
      <c r="E1688" s="52" t="s">
        <v>584</v>
      </c>
      <c r="F1688" s="52" t="s">
        <v>581</v>
      </c>
      <c r="G1688" s="195" t="s">
        <v>276</v>
      </c>
      <c r="H1688" s="195"/>
      <c r="I1688" s="195"/>
      <c r="J1688" s="195"/>
      <c r="K1688" s="195">
        <v>0</v>
      </c>
      <c r="L1688" s="195">
        <v>6.1561260000000004</v>
      </c>
      <c r="M1688" s="195">
        <v>3.2078600000000002</v>
      </c>
      <c r="N1688" s="195">
        <v>-0.38021369999999999</v>
      </c>
    </row>
    <row r="1689" spans="1:14" hidden="1" x14ac:dyDescent="0.35">
      <c r="A1689" s="52" t="s">
        <v>669</v>
      </c>
      <c r="B1689" s="52" t="s">
        <v>320</v>
      </c>
      <c r="C1689" s="52" t="s">
        <v>319</v>
      </c>
      <c r="D1689" s="52" t="s">
        <v>319</v>
      </c>
      <c r="E1689" s="52" t="s">
        <v>584</v>
      </c>
      <c r="F1689" s="52" t="s">
        <v>581</v>
      </c>
      <c r="G1689" s="195" t="s">
        <v>277</v>
      </c>
      <c r="H1689" s="195">
        <v>41.957999999999998</v>
      </c>
      <c r="I1689" s="195">
        <v>288.75</v>
      </c>
      <c r="J1689" s="195">
        <v>451.108</v>
      </c>
      <c r="K1689" s="195">
        <v>451.108</v>
      </c>
      <c r="L1689" s="195">
        <v>210.035</v>
      </c>
      <c r="M1689" s="195">
        <v>14.07549</v>
      </c>
      <c r="N1689" s="195">
        <v>4.0487370000000002E-2</v>
      </c>
    </row>
    <row r="1690" spans="1:14" hidden="1" x14ac:dyDescent="0.35">
      <c r="A1690" s="52" t="s">
        <v>669</v>
      </c>
      <c r="B1690" s="52" t="s">
        <v>320</v>
      </c>
      <c r="C1690" s="52" t="s">
        <v>319</v>
      </c>
      <c r="D1690" s="52" t="s">
        <v>319</v>
      </c>
      <c r="E1690" s="52" t="s">
        <v>584</v>
      </c>
      <c r="F1690" s="52" t="s">
        <v>581</v>
      </c>
      <c r="G1690" s="195" t="s">
        <v>278</v>
      </c>
      <c r="H1690" s="195">
        <v>0.3371651</v>
      </c>
      <c r="I1690" s="195">
        <v>0.3371651</v>
      </c>
      <c r="J1690" s="195">
        <v>2.112019E-2</v>
      </c>
      <c r="K1690" s="195">
        <v>2.112019E-2</v>
      </c>
      <c r="L1690" s="195">
        <v>2.112019E-2</v>
      </c>
      <c r="M1690" s="195">
        <v>2.112019E-2</v>
      </c>
      <c r="N1690" s="195">
        <v>2.112019E-2</v>
      </c>
    </row>
    <row r="1691" spans="1:14" hidden="1" x14ac:dyDescent="0.35">
      <c r="A1691" s="52" t="s">
        <v>669</v>
      </c>
      <c r="B1691" s="52" t="s">
        <v>320</v>
      </c>
      <c r="C1691" s="52" t="s">
        <v>319</v>
      </c>
      <c r="D1691" s="52" t="s">
        <v>319</v>
      </c>
      <c r="E1691" s="52" t="s">
        <v>584</v>
      </c>
      <c r="F1691" s="52" t="s">
        <v>581</v>
      </c>
      <c r="G1691" s="195" t="s">
        <v>279</v>
      </c>
      <c r="H1691" s="195">
        <v>0</v>
      </c>
      <c r="I1691" s="195">
        <v>1.7762500000000001</v>
      </c>
      <c r="J1691" s="195">
        <v>1.7762500000000001</v>
      </c>
      <c r="K1691" s="195">
        <v>1.7762500000000001</v>
      </c>
      <c r="L1691" s="195">
        <v>57.067540000000001</v>
      </c>
      <c r="M1691" s="195">
        <v>109.3142</v>
      </c>
      <c r="N1691" s="195">
        <v>111.89919999999999</v>
      </c>
    </row>
    <row r="1692" spans="1:14" hidden="1" x14ac:dyDescent="0.35">
      <c r="A1692" s="52" t="s">
        <v>669</v>
      </c>
      <c r="B1692" s="52" t="s">
        <v>320</v>
      </c>
      <c r="C1692" s="52" t="s">
        <v>319</v>
      </c>
      <c r="D1692" s="52" t="s">
        <v>319</v>
      </c>
      <c r="E1692" s="52" t="s">
        <v>584</v>
      </c>
      <c r="F1692" s="52" t="s">
        <v>26</v>
      </c>
      <c r="G1692" s="195" t="s">
        <v>275</v>
      </c>
      <c r="H1692" s="195">
        <v>-0.19950109999999999</v>
      </c>
      <c r="I1692" s="195">
        <v>-0.19950109999999999</v>
      </c>
      <c r="J1692" s="195">
        <v>0</v>
      </c>
      <c r="K1692" s="195">
        <v>0</v>
      </c>
      <c r="L1692" s="195">
        <v>0</v>
      </c>
      <c r="M1692" s="195">
        <v>0</v>
      </c>
      <c r="N1692" s="195">
        <v>0</v>
      </c>
    </row>
    <row r="1693" spans="1:14" hidden="1" x14ac:dyDescent="0.35">
      <c r="A1693" s="52" t="s">
        <v>669</v>
      </c>
      <c r="B1693" s="52" t="s">
        <v>320</v>
      </c>
      <c r="C1693" s="52" t="s">
        <v>319</v>
      </c>
      <c r="D1693" s="52" t="s">
        <v>319</v>
      </c>
      <c r="E1693" s="52" t="s">
        <v>584</v>
      </c>
      <c r="F1693" s="52" t="s">
        <v>26</v>
      </c>
      <c r="G1693" s="195" t="s">
        <v>276</v>
      </c>
      <c r="H1693" s="195"/>
      <c r="I1693" s="195"/>
      <c r="J1693" s="195">
        <v>-1.5004850000000001</v>
      </c>
      <c r="K1693" s="195">
        <v>-6.4670379999999996</v>
      </c>
      <c r="L1693" s="195">
        <v>-1.4715860000000001</v>
      </c>
      <c r="M1693" s="195">
        <v>-0.1230005</v>
      </c>
      <c r="N1693" s="195">
        <v>-0.1203755</v>
      </c>
    </row>
    <row r="1694" spans="1:14" hidden="1" x14ac:dyDescent="0.35">
      <c r="A1694" s="52" t="s">
        <v>669</v>
      </c>
      <c r="B1694" s="52" t="s">
        <v>320</v>
      </c>
      <c r="C1694" s="52" t="s">
        <v>319</v>
      </c>
      <c r="D1694" s="52" t="s">
        <v>319</v>
      </c>
      <c r="E1694" s="52" t="s">
        <v>584</v>
      </c>
      <c r="F1694" s="52" t="s">
        <v>26</v>
      </c>
      <c r="G1694" s="195" t="s">
        <v>277</v>
      </c>
      <c r="H1694" s="195"/>
      <c r="I1694" s="195"/>
      <c r="J1694" s="195"/>
      <c r="K1694" s="195">
        <v>0</v>
      </c>
      <c r="L1694" s="195">
        <v>2.6250000000000002E-3</v>
      </c>
      <c r="M1694" s="195">
        <v>1.6012499999999999E-2</v>
      </c>
      <c r="N1694" s="195">
        <v>1.33875E-2</v>
      </c>
    </row>
    <row r="1695" spans="1:14" hidden="1" x14ac:dyDescent="0.35">
      <c r="A1695" s="52" t="s">
        <v>669</v>
      </c>
      <c r="B1695" s="52" t="s">
        <v>320</v>
      </c>
      <c r="C1695" s="52" t="s">
        <v>319</v>
      </c>
      <c r="D1695" s="52" t="s">
        <v>319</v>
      </c>
      <c r="E1695" s="52" t="s">
        <v>584</v>
      </c>
      <c r="F1695" s="52" t="s">
        <v>26</v>
      </c>
      <c r="G1695" s="195" t="s">
        <v>278</v>
      </c>
      <c r="H1695" s="195">
        <v>0.19950109999999999</v>
      </c>
      <c r="I1695" s="195">
        <v>0.19950109999999999</v>
      </c>
      <c r="J1695" s="195">
        <v>1.5004850000000001</v>
      </c>
      <c r="K1695" s="195">
        <v>6.4670379999999996</v>
      </c>
      <c r="L1695" s="195">
        <v>1.468961</v>
      </c>
      <c r="M1695" s="195">
        <v>0.106988</v>
      </c>
      <c r="N1695" s="195">
        <v>0.106988</v>
      </c>
    </row>
    <row r="1696" spans="1:14" hidden="1" x14ac:dyDescent="0.35">
      <c r="A1696" s="52" t="s">
        <v>669</v>
      </c>
      <c r="B1696" s="52" t="s">
        <v>320</v>
      </c>
      <c r="C1696" s="52" t="s">
        <v>319</v>
      </c>
      <c r="D1696" s="52" t="s">
        <v>319</v>
      </c>
      <c r="E1696" s="52" t="s">
        <v>584</v>
      </c>
      <c r="F1696" s="52" t="s">
        <v>26</v>
      </c>
      <c r="G1696" s="195" t="s">
        <v>279</v>
      </c>
      <c r="H1696" s="195"/>
      <c r="I1696" s="195"/>
      <c r="J1696" s="195"/>
      <c r="K1696" s="195"/>
      <c r="L1696" s="195"/>
      <c r="M1696" s="195">
        <v>0</v>
      </c>
      <c r="N1696" s="195">
        <v>0</v>
      </c>
    </row>
    <row r="1697" spans="1:14" hidden="1" x14ac:dyDescent="0.35">
      <c r="A1697" s="52" t="s">
        <v>669</v>
      </c>
      <c r="B1697" s="52" t="s">
        <v>320</v>
      </c>
      <c r="C1697" s="52" t="s">
        <v>311</v>
      </c>
      <c r="D1697" s="52" t="s">
        <v>311</v>
      </c>
      <c r="E1697" s="52" t="s">
        <v>584</v>
      </c>
      <c r="F1697" s="52" t="s">
        <v>581</v>
      </c>
      <c r="G1697" s="195" t="s">
        <v>275</v>
      </c>
      <c r="H1697" s="195"/>
      <c r="I1697" s="195"/>
      <c r="J1697" s="195"/>
      <c r="K1697" s="195"/>
      <c r="L1697" s="195"/>
      <c r="M1697" s="195"/>
      <c r="N1697" s="195"/>
    </row>
    <row r="1698" spans="1:14" hidden="1" x14ac:dyDescent="0.35">
      <c r="A1698" s="52" t="s">
        <v>669</v>
      </c>
      <c r="B1698" s="52" t="s">
        <v>320</v>
      </c>
      <c r="C1698" s="52" t="s">
        <v>318</v>
      </c>
      <c r="D1698" s="52" t="s">
        <v>318</v>
      </c>
      <c r="E1698" s="52" t="s">
        <v>584</v>
      </c>
      <c r="F1698" s="52" t="s">
        <v>581</v>
      </c>
      <c r="G1698" s="195" t="s">
        <v>275</v>
      </c>
      <c r="H1698" s="195">
        <v>0</v>
      </c>
      <c r="I1698" s="195"/>
      <c r="J1698" s="195"/>
      <c r="K1698" s="195"/>
      <c r="L1698" s="195"/>
      <c r="M1698" s="195"/>
      <c r="N1698" s="195"/>
    </row>
    <row r="1699" spans="1:14" hidden="1" x14ac:dyDescent="0.35">
      <c r="A1699" s="52" t="s">
        <v>669</v>
      </c>
      <c r="B1699" s="52" t="s">
        <v>320</v>
      </c>
      <c r="C1699" s="52" t="s">
        <v>311</v>
      </c>
      <c r="D1699" s="52" t="s">
        <v>311</v>
      </c>
      <c r="E1699" s="52" t="s">
        <v>584</v>
      </c>
      <c r="F1699" s="52" t="s">
        <v>581</v>
      </c>
      <c r="G1699" s="195" t="s">
        <v>276</v>
      </c>
      <c r="H1699" s="195"/>
      <c r="I1699" s="195"/>
      <c r="J1699" s="195"/>
      <c r="K1699" s="195"/>
      <c r="L1699" s="195"/>
      <c r="M1699" s="195"/>
      <c r="N1699" s="195"/>
    </row>
    <row r="1700" spans="1:14" hidden="1" x14ac:dyDescent="0.35">
      <c r="A1700" s="52" t="s">
        <v>669</v>
      </c>
      <c r="B1700" s="52" t="s">
        <v>320</v>
      </c>
      <c r="C1700" s="52" t="s">
        <v>318</v>
      </c>
      <c r="D1700" s="52" t="s">
        <v>318</v>
      </c>
      <c r="E1700" s="52" t="s">
        <v>584</v>
      </c>
      <c r="F1700" s="52" t="s">
        <v>581</v>
      </c>
      <c r="G1700" s="195" t="s">
        <v>278</v>
      </c>
      <c r="H1700" s="195">
        <v>0</v>
      </c>
      <c r="I1700" s="195"/>
      <c r="J1700" s="195"/>
      <c r="K1700" s="195"/>
      <c r="L1700" s="195"/>
      <c r="M1700" s="195"/>
      <c r="N1700" s="195"/>
    </row>
    <row r="1701" spans="1:14" hidden="1" x14ac:dyDescent="0.35">
      <c r="A1701" s="52" t="s">
        <v>669</v>
      </c>
      <c r="B1701" s="52" t="s">
        <v>320</v>
      </c>
      <c r="C1701" s="52" t="s">
        <v>311</v>
      </c>
      <c r="D1701" s="52" t="s">
        <v>311</v>
      </c>
      <c r="E1701" s="52" t="s">
        <v>584</v>
      </c>
      <c r="F1701" s="52" t="s">
        <v>581</v>
      </c>
      <c r="G1701" s="195" t="s">
        <v>278</v>
      </c>
      <c r="H1701" s="195"/>
      <c r="I1701" s="195"/>
      <c r="J1701" s="195"/>
      <c r="K1701" s="195"/>
      <c r="L1701" s="195"/>
      <c r="M1701" s="195"/>
      <c r="N1701" s="195"/>
    </row>
    <row r="1702" spans="1:14" hidden="1" x14ac:dyDescent="0.35">
      <c r="A1702" s="52" t="s">
        <v>669</v>
      </c>
      <c r="B1702" s="52" t="s">
        <v>320</v>
      </c>
      <c r="C1702" s="52" t="s">
        <v>311</v>
      </c>
      <c r="D1702" s="52" t="s">
        <v>311</v>
      </c>
      <c r="E1702" s="52" t="s">
        <v>584</v>
      </c>
      <c r="F1702" s="52" t="s">
        <v>26</v>
      </c>
      <c r="G1702" s="195" t="s">
        <v>275</v>
      </c>
      <c r="H1702" s="195">
        <v>-3.8784199999999998E-2</v>
      </c>
      <c r="I1702" s="195">
        <v>-3.8784199999999998E-2</v>
      </c>
      <c r="J1702" s="195">
        <v>0</v>
      </c>
      <c r="K1702" s="195">
        <v>0</v>
      </c>
      <c r="L1702" s="195">
        <v>0</v>
      </c>
      <c r="M1702" s="195">
        <v>0</v>
      </c>
      <c r="N1702" s="195">
        <v>0</v>
      </c>
    </row>
    <row r="1703" spans="1:14" hidden="1" x14ac:dyDescent="0.35">
      <c r="A1703" s="52" t="s">
        <v>669</v>
      </c>
      <c r="B1703" s="52" t="s">
        <v>320</v>
      </c>
      <c r="C1703" s="52" t="s">
        <v>318</v>
      </c>
      <c r="D1703" s="52" t="s">
        <v>318</v>
      </c>
      <c r="E1703" s="52" t="s">
        <v>584</v>
      </c>
      <c r="F1703" s="52" t="s">
        <v>26</v>
      </c>
      <c r="G1703" s="195" t="s">
        <v>275</v>
      </c>
      <c r="H1703" s="195">
        <v>0</v>
      </c>
      <c r="I1703" s="195"/>
      <c r="J1703" s="195"/>
      <c r="K1703" s="195"/>
      <c r="L1703" s="195"/>
      <c r="M1703" s="195"/>
      <c r="N1703" s="195"/>
    </row>
    <row r="1704" spans="1:14" hidden="1" x14ac:dyDescent="0.35">
      <c r="A1704" s="52" t="s">
        <v>669</v>
      </c>
      <c r="B1704" s="52" t="s">
        <v>320</v>
      </c>
      <c r="C1704" s="52" t="s">
        <v>311</v>
      </c>
      <c r="D1704" s="52" t="s">
        <v>311</v>
      </c>
      <c r="E1704" s="52" t="s">
        <v>584</v>
      </c>
      <c r="F1704" s="52" t="s">
        <v>26</v>
      </c>
      <c r="G1704" s="195" t="s">
        <v>276</v>
      </c>
      <c r="H1704" s="195"/>
      <c r="I1704" s="195"/>
      <c r="J1704" s="195">
        <v>-3.8784199999999998E-2</v>
      </c>
      <c r="K1704" s="195">
        <v>-3.8784199999999998E-2</v>
      </c>
      <c r="L1704" s="195">
        <v>-3.8784199999999998E-2</v>
      </c>
      <c r="M1704" s="195">
        <v>-3.8784199999999998E-2</v>
      </c>
      <c r="N1704" s="195">
        <v>-3.8784199999999998E-2</v>
      </c>
    </row>
    <row r="1705" spans="1:14" hidden="1" x14ac:dyDescent="0.35">
      <c r="A1705" s="52" t="s">
        <v>669</v>
      </c>
      <c r="B1705" s="52" t="s">
        <v>320</v>
      </c>
      <c r="C1705" s="52" t="s">
        <v>311</v>
      </c>
      <c r="D1705" s="52" t="s">
        <v>311</v>
      </c>
      <c r="E1705" s="52" t="s">
        <v>584</v>
      </c>
      <c r="F1705" s="52" t="s">
        <v>26</v>
      </c>
      <c r="G1705" s="195" t="s">
        <v>278</v>
      </c>
      <c r="H1705" s="195">
        <v>3.8784199999999998E-2</v>
      </c>
      <c r="I1705" s="195">
        <v>3.8784199999999998E-2</v>
      </c>
      <c r="J1705" s="195">
        <v>3.8784199999999998E-2</v>
      </c>
      <c r="K1705" s="195">
        <v>3.8784199999999998E-2</v>
      </c>
      <c r="L1705" s="195">
        <v>3.8784199999999998E-2</v>
      </c>
      <c r="M1705" s="195">
        <v>3.8784199999999998E-2</v>
      </c>
      <c r="N1705" s="195">
        <v>3.8784199999999998E-2</v>
      </c>
    </row>
    <row r="1706" spans="1:14" hidden="1" x14ac:dyDescent="0.35">
      <c r="A1706" s="52" t="s">
        <v>669</v>
      </c>
      <c r="B1706" s="52" t="s">
        <v>320</v>
      </c>
      <c r="C1706" s="52" t="s">
        <v>318</v>
      </c>
      <c r="D1706" s="52" t="s">
        <v>318</v>
      </c>
      <c r="E1706" s="52" t="s">
        <v>584</v>
      </c>
      <c r="F1706" s="52" t="s">
        <v>26</v>
      </c>
      <c r="G1706" s="195" t="s">
        <v>278</v>
      </c>
      <c r="H1706" s="195">
        <v>0</v>
      </c>
      <c r="I1706" s="195"/>
      <c r="J1706" s="195"/>
      <c r="K1706" s="195"/>
      <c r="L1706" s="195"/>
      <c r="M1706" s="195"/>
      <c r="N1706" s="195"/>
    </row>
    <row r="1707" spans="1:14" hidden="1" x14ac:dyDescent="0.35">
      <c r="A1707" s="52" t="s">
        <v>669</v>
      </c>
      <c r="B1707" s="52" t="s">
        <v>34</v>
      </c>
      <c r="C1707" s="52" t="s">
        <v>33</v>
      </c>
      <c r="D1707" s="52" t="s">
        <v>33</v>
      </c>
      <c r="E1707" s="52" t="s">
        <v>622</v>
      </c>
      <c r="F1707" s="52" t="s">
        <v>26</v>
      </c>
      <c r="G1707" s="195" t="s">
        <v>275</v>
      </c>
      <c r="H1707" s="195">
        <v>-1.5431969999999999</v>
      </c>
      <c r="I1707" s="195">
        <v>0</v>
      </c>
      <c r="J1707" s="195">
        <v>-2.2836240000000001</v>
      </c>
      <c r="K1707" s="195">
        <v>-2.0475449999999999</v>
      </c>
      <c r="L1707" s="195">
        <v>-2.3282929999999999</v>
      </c>
      <c r="M1707" s="195">
        <v>-1.6175809999999999</v>
      </c>
      <c r="N1707" s="195">
        <v>-1.479509</v>
      </c>
    </row>
    <row r="1708" spans="1:14" hidden="1" x14ac:dyDescent="0.35">
      <c r="A1708" s="52" t="s">
        <v>669</v>
      </c>
      <c r="B1708" s="52" t="s">
        <v>34</v>
      </c>
      <c r="C1708" s="52" t="s">
        <v>33</v>
      </c>
      <c r="D1708" s="52" t="s">
        <v>33</v>
      </c>
      <c r="E1708" s="52" t="s">
        <v>622</v>
      </c>
      <c r="F1708" s="52" t="s">
        <v>26</v>
      </c>
      <c r="G1708" s="195" t="s">
        <v>276</v>
      </c>
      <c r="H1708" s="195">
        <v>-0.51439900000000005</v>
      </c>
      <c r="I1708" s="195">
        <v>0</v>
      </c>
      <c r="J1708" s="195">
        <v>-0.76120790000000005</v>
      </c>
      <c r="K1708" s="195">
        <v>-0.68251510000000004</v>
      </c>
      <c r="L1708" s="195">
        <v>-0.77609720000000004</v>
      </c>
      <c r="M1708" s="195">
        <v>-0.53919360000000005</v>
      </c>
      <c r="N1708" s="195">
        <v>-0.49316979999999999</v>
      </c>
    </row>
    <row r="1709" spans="1:14" hidden="1" x14ac:dyDescent="0.35">
      <c r="A1709" s="52" t="s">
        <v>669</v>
      </c>
      <c r="B1709" s="52" t="s">
        <v>34</v>
      </c>
      <c r="C1709" s="52" t="s">
        <v>33</v>
      </c>
      <c r="D1709" s="52" t="s">
        <v>33</v>
      </c>
      <c r="E1709" s="52" t="s">
        <v>622</v>
      </c>
      <c r="F1709" s="52" t="s">
        <v>26</v>
      </c>
      <c r="G1709" s="195" t="s">
        <v>277</v>
      </c>
      <c r="H1709" s="195"/>
      <c r="I1709" s="195"/>
      <c r="J1709" s="195">
        <v>0</v>
      </c>
      <c r="K1709" s="195">
        <v>0</v>
      </c>
      <c r="L1709" s="195"/>
      <c r="M1709" s="195">
        <v>0</v>
      </c>
      <c r="N1709" s="195">
        <v>0</v>
      </c>
    </row>
    <row r="1710" spans="1:14" hidden="1" x14ac:dyDescent="0.35">
      <c r="A1710" s="52" t="s">
        <v>669</v>
      </c>
      <c r="B1710" s="52" t="s">
        <v>34</v>
      </c>
      <c r="C1710" s="52" t="s">
        <v>33</v>
      </c>
      <c r="D1710" s="52" t="s">
        <v>33</v>
      </c>
      <c r="E1710" s="52" t="s">
        <v>622</v>
      </c>
      <c r="F1710" s="52" t="s">
        <v>26</v>
      </c>
      <c r="G1710" s="195" t="s">
        <v>278</v>
      </c>
      <c r="H1710" s="195"/>
      <c r="I1710" s="195"/>
      <c r="J1710" s="195">
        <v>0</v>
      </c>
      <c r="K1710" s="195">
        <v>0</v>
      </c>
      <c r="L1710" s="195"/>
      <c r="M1710" s="195">
        <v>0</v>
      </c>
      <c r="N1710" s="195">
        <v>0</v>
      </c>
    </row>
    <row r="1711" spans="1:14" hidden="1" x14ac:dyDescent="0.35">
      <c r="A1711" s="52" t="s">
        <v>669</v>
      </c>
      <c r="B1711" s="52" t="s">
        <v>34</v>
      </c>
      <c r="C1711" s="52" t="s">
        <v>33</v>
      </c>
      <c r="D1711" s="52" t="s">
        <v>33</v>
      </c>
      <c r="E1711" s="52" t="s">
        <v>622</v>
      </c>
      <c r="F1711" s="52" t="s">
        <v>26</v>
      </c>
      <c r="G1711" s="195" t="s">
        <v>279</v>
      </c>
      <c r="H1711" s="195">
        <v>5.5688170000000001</v>
      </c>
      <c r="I1711" s="195">
        <v>0</v>
      </c>
      <c r="J1711" s="195">
        <v>6.9482140000000001</v>
      </c>
      <c r="K1711" s="195">
        <v>6.3406349999999998</v>
      </c>
      <c r="L1711" s="195">
        <v>6.441681</v>
      </c>
      <c r="M1711" s="195">
        <v>5.2473359999999998</v>
      </c>
      <c r="N1711" s="195">
        <v>4.8172519999999999</v>
      </c>
    </row>
    <row r="1712" spans="1:14" hidden="1" x14ac:dyDescent="0.35">
      <c r="A1712" s="52" t="s">
        <v>669</v>
      </c>
      <c r="B1712" s="52" t="s">
        <v>34</v>
      </c>
      <c r="C1712" s="52" t="s">
        <v>360</v>
      </c>
      <c r="D1712" s="52" t="s">
        <v>360</v>
      </c>
      <c r="E1712" s="52" t="s">
        <v>584</v>
      </c>
      <c r="F1712" s="52" t="s">
        <v>26</v>
      </c>
      <c r="G1712" s="195" t="s">
        <v>275</v>
      </c>
      <c r="H1712" s="195">
        <v>-0.27872200000000003</v>
      </c>
      <c r="I1712" s="195">
        <v>-0.27872200000000003</v>
      </c>
      <c r="J1712" s="195">
        <v>2.784E-2</v>
      </c>
      <c r="K1712" s="195">
        <v>2.2272E-2</v>
      </c>
      <c r="L1712" s="195">
        <v>1.78175E-2</v>
      </c>
      <c r="M1712" s="195">
        <v>0</v>
      </c>
      <c r="N1712" s="195">
        <v>0</v>
      </c>
    </row>
    <row r="1713" spans="1:14" hidden="1" x14ac:dyDescent="0.35">
      <c r="A1713" s="52" t="s">
        <v>669</v>
      </c>
      <c r="B1713" s="52" t="s">
        <v>34</v>
      </c>
      <c r="C1713" s="52" t="s">
        <v>360</v>
      </c>
      <c r="D1713" s="52" t="s">
        <v>360</v>
      </c>
      <c r="E1713" s="52" t="s">
        <v>584</v>
      </c>
      <c r="F1713" s="52" t="s">
        <v>26</v>
      </c>
      <c r="G1713" s="195" t="s">
        <v>276</v>
      </c>
      <c r="H1713" s="195">
        <v>-4.3499000000000003E-2</v>
      </c>
      <c r="I1713" s="195">
        <v>-4.3499000000000003E-2</v>
      </c>
      <c r="J1713" s="195">
        <v>0</v>
      </c>
      <c r="K1713" s="195">
        <v>0</v>
      </c>
      <c r="L1713" s="195">
        <v>0</v>
      </c>
      <c r="M1713" s="195">
        <v>0</v>
      </c>
      <c r="N1713" s="195">
        <v>0</v>
      </c>
    </row>
    <row r="1714" spans="1:14" hidden="1" x14ac:dyDescent="0.35">
      <c r="A1714" s="52" t="s">
        <v>669</v>
      </c>
      <c r="B1714" s="52" t="s">
        <v>34</v>
      </c>
      <c r="C1714" s="52" t="s">
        <v>360</v>
      </c>
      <c r="D1714" s="52" t="s">
        <v>360</v>
      </c>
      <c r="E1714" s="52" t="s">
        <v>584</v>
      </c>
      <c r="F1714" s="52" t="s">
        <v>26</v>
      </c>
      <c r="G1714" s="195" t="s">
        <v>278</v>
      </c>
      <c r="H1714" s="195">
        <v>0.32222200000000001</v>
      </c>
      <c r="I1714" s="195">
        <v>0.32222200000000001</v>
      </c>
      <c r="J1714" s="195">
        <v>0</v>
      </c>
      <c r="K1714" s="195">
        <v>0</v>
      </c>
      <c r="L1714" s="195">
        <v>0</v>
      </c>
      <c r="M1714" s="195">
        <v>0</v>
      </c>
      <c r="N1714" s="195">
        <v>0</v>
      </c>
    </row>
    <row r="1715" spans="1:14" hidden="1" x14ac:dyDescent="0.35">
      <c r="A1715" s="52" t="s">
        <v>669</v>
      </c>
      <c r="B1715" s="52" t="s">
        <v>34</v>
      </c>
      <c r="C1715" s="52" t="s">
        <v>318</v>
      </c>
      <c r="D1715" s="52" t="s">
        <v>318</v>
      </c>
      <c r="E1715" s="52" t="s">
        <v>584</v>
      </c>
      <c r="F1715" s="52" t="s">
        <v>581</v>
      </c>
      <c r="G1715" s="195" t="s">
        <v>275</v>
      </c>
      <c r="H1715" s="195">
        <v>0</v>
      </c>
      <c r="I1715" s="195"/>
      <c r="J1715" s="195"/>
      <c r="K1715" s="195"/>
      <c r="L1715" s="195"/>
      <c r="M1715" s="195"/>
      <c r="N1715" s="195"/>
    </row>
    <row r="1716" spans="1:14" hidden="1" x14ac:dyDescent="0.35">
      <c r="A1716" s="52" t="s">
        <v>669</v>
      </c>
      <c r="B1716" s="52" t="s">
        <v>34</v>
      </c>
      <c r="C1716" s="52" t="s">
        <v>318</v>
      </c>
      <c r="D1716" s="52" t="s">
        <v>318</v>
      </c>
      <c r="E1716" s="52" t="s">
        <v>584</v>
      </c>
      <c r="F1716" s="52" t="s">
        <v>581</v>
      </c>
      <c r="G1716" s="195" t="s">
        <v>276</v>
      </c>
      <c r="H1716" s="195">
        <v>0</v>
      </c>
      <c r="I1716" s="195"/>
      <c r="J1716" s="195"/>
      <c r="K1716" s="195"/>
      <c r="L1716" s="195"/>
      <c r="M1716" s="195"/>
      <c r="N1716" s="195"/>
    </row>
    <row r="1717" spans="1:14" hidden="1" x14ac:dyDescent="0.35">
      <c r="A1717" s="52" t="s">
        <v>669</v>
      </c>
      <c r="B1717" s="52" t="s">
        <v>34</v>
      </c>
      <c r="C1717" s="52" t="s">
        <v>318</v>
      </c>
      <c r="D1717" s="52" t="s">
        <v>318</v>
      </c>
      <c r="E1717" s="52" t="s">
        <v>584</v>
      </c>
      <c r="F1717" s="52" t="s">
        <v>581</v>
      </c>
      <c r="G1717" s="195" t="s">
        <v>278</v>
      </c>
      <c r="H1717" s="195">
        <v>0</v>
      </c>
      <c r="I1717" s="195"/>
      <c r="J1717" s="195"/>
      <c r="K1717" s="195"/>
      <c r="L1717" s="195"/>
      <c r="M1717" s="195"/>
      <c r="N1717" s="195"/>
    </row>
    <row r="1718" spans="1:14" hidden="1" x14ac:dyDescent="0.35">
      <c r="A1718" s="52" t="s">
        <v>669</v>
      </c>
      <c r="B1718" s="52" t="s">
        <v>34</v>
      </c>
      <c r="C1718" s="52" t="s">
        <v>318</v>
      </c>
      <c r="D1718" s="52" t="s">
        <v>318</v>
      </c>
      <c r="E1718" s="52" t="s">
        <v>584</v>
      </c>
      <c r="F1718" s="52" t="s">
        <v>26</v>
      </c>
      <c r="G1718" s="195" t="s">
        <v>275</v>
      </c>
      <c r="H1718" s="195">
        <v>0</v>
      </c>
      <c r="I1718" s="195"/>
      <c r="J1718" s="195"/>
      <c r="K1718" s="195"/>
      <c r="L1718" s="195"/>
      <c r="M1718" s="195"/>
      <c r="N1718" s="195"/>
    </row>
    <row r="1719" spans="1:14" hidden="1" x14ac:dyDescent="0.35">
      <c r="A1719" s="52" t="s">
        <v>669</v>
      </c>
      <c r="B1719" s="52" t="s">
        <v>34</v>
      </c>
      <c r="C1719" s="52" t="s">
        <v>318</v>
      </c>
      <c r="D1719" s="52" t="s">
        <v>318</v>
      </c>
      <c r="E1719" s="52" t="s">
        <v>584</v>
      </c>
      <c r="F1719" s="52" t="s">
        <v>26</v>
      </c>
      <c r="G1719" s="195" t="s">
        <v>276</v>
      </c>
      <c r="H1719" s="195">
        <v>0</v>
      </c>
      <c r="I1719" s="195"/>
      <c r="J1719" s="195"/>
      <c r="K1719" s="195"/>
      <c r="L1719" s="195"/>
      <c r="M1719" s="195"/>
      <c r="N1719" s="195"/>
    </row>
    <row r="1720" spans="1:14" hidden="1" x14ac:dyDescent="0.35">
      <c r="A1720" s="52" t="s">
        <v>669</v>
      </c>
      <c r="B1720" s="52" t="s">
        <v>34</v>
      </c>
      <c r="C1720" s="52" t="s">
        <v>318</v>
      </c>
      <c r="D1720" s="52" t="s">
        <v>318</v>
      </c>
      <c r="E1720" s="52" t="s">
        <v>584</v>
      </c>
      <c r="F1720" s="52" t="s">
        <v>26</v>
      </c>
      <c r="G1720" s="195" t="s">
        <v>278</v>
      </c>
      <c r="H1720" s="195">
        <v>0</v>
      </c>
      <c r="I1720" s="195"/>
      <c r="J1720" s="195"/>
      <c r="K1720" s="195"/>
      <c r="L1720" s="195"/>
      <c r="M1720" s="195"/>
      <c r="N1720" s="195"/>
    </row>
    <row r="1721" spans="1:14" hidden="1" x14ac:dyDescent="0.35">
      <c r="A1721" s="52" t="s">
        <v>669</v>
      </c>
      <c r="B1721" s="52" t="s">
        <v>265</v>
      </c>
      <c r="C1721" s="52" t="s">
        <v>44</v>
      </c>
      <c r="D1721" s="52" t="s">
        <v>44</v>
      </c>
      <c r="E1721" s="52" t="s">
        <v>584</v>
      </c>
      <c r="F1721" s="52" t="s">
        <v>581</v>
      </c>
      <c r="G1721" s="195" t="s">
        <v>275</v>
      </c>
      <c r="H1721" s="195">
        <v>-34.245339999999999</v>
      </c>
      <c r="I1721" s="195">
        <v>5.6427459999999998</v>
      </c>
      <c r="J1721" s="195">
        <v>5.7099320000000002</v>
      </c>
      <c r="K1721" s="195">
        <v>5.7067170000000003</v>
      </c>
      <c r="L1721" s="195">
        <v>2.7953800000000002</v>
      </c>
      <c r="M1721" s="195">
        <v>0</v>
      </c>
      <c r="N1721" s="195">
        <v>0</v>
      </c>
    </row>
    <row r="1722" spans="1:14" hidden="1" x14ac:dyDescent="0.35">
      <c r="A1722" s="52" t="s">
        <v>669</v>
      </c>
      <c r="B1722" s="52" t="s">
        <v>265</v>
      </c>
      <c r="C1722" s="52" t="s">
        <v>44</v>
      </c>
      <c r="D1722" s="52" t="s">
        <v>44</v>
      </c>
      <c r="E1722" s="52" t="s">
        <v>584</v>
      </c>
      <c r="F1722" s="52" t="s">
        <v>581</v>
      </c>
      <c r="G1722" s="195" t="s">
        <v>276</v>
      </c>
      <c r="H1722" s="195">
        <v>-5.7312750000000001</v>
      </c>
      <c r="I1722" s="195">
        <v>-5.7312750000000001</v>
      </c>
      <c r="J1722" s="195">
        <v>-4.2615E-2</v>
      </c>
      <c r="K1722" s="195">
        <v>-4.2615E-2</v>
      </c>
      <c r="L1722" s="195">
        <v>-16.745699999999999</v>
      </c>
      <c r="M1722" s="195">
        <v>-9.1734589999999994</v>
      </c>
      <c r="N1722" s="195">
        <v>-4.8871349999999998</v>
      </c>
    </row>
    <row r="1723" spans="1:14" hidden="1" x14ac:dyDescent="0.35">
      <c r="A1723" s="52" t="s">
        <v>669</v>
      </c>
      <c r="B1723" s="52" t="s">
        <v>265</v>
      </c>
      <c r="C1723" s="52" t="s">
        <v>44</v>
      </c>
      <c r="D1723" s="52" t="s">
        <v>44</v>
      </c>
      <c r="E1723" s="52" t="s">
        <v>584</v>
      </c>
      <c r="F1723" s="52" t="s">
        <v>581</v>
      </c>
      <c r="G1723" s="195" t="s">
        <v>277</v>
      </c>
      <c r="H1723" s="195"/>
      <c r="I1723" s="195"/>
      <c r="J1723" s="195"/>
      <c r="K1723" s="195"/>
      <c r="L1723" s="195"/>
      <c r="M1723" s="195"/>
      <c r="N1723" s="195">
        <v>0</v>
      </c>
    </row>
    <row r="1724" spans="1:14" hidden="1" x14ac:dyDescent="0.35">
      <c r="A1724" s="52" t="s">
        <v>669</v>
      </c>
      <c r="B1724" s="52" t="s">
        <v>265</v>
      </c>
      <c r="C1724" s="52" t="s">
        <v>44</v>
      </c>
      <c r="D1724" s="52" t="s">
        <v>44</v>
      </c>
      <c r="E1724" s="52" t="s">
        <v>584</v>
      </c>
      <c r="F1724" s="52" t="s">
        <v>581</v>
      </c>
      <c r="G1724" s="195" t="s">
        <v>278</v>
      </c>
      <c r="H1724" s="195">
        <v>39.976619999999997</v>
      </c>
      <c r="I1724" s="195">
        <v>8.8528499999999996E-2</v>
      </c>
      <c r="J1724" s="195">
        <v>4.2615300000000002E-2</v>
      </c>
      <c r="K1724" s="195">
        <v>4.2615300000000002E-2</v>
      </c>
      <c r="L1724" s="195">
        <v>16.745699999999999</v>
      </c>
      <c r="M1724" s="195">
        <v>9.1734580000000001</v>
      </c>
      <c r="N1724" s="195">
        <v>4.8871349999999998</v>
      </c>
    </row>
    <row r="1725" spans="1:14" hidden="1" x14ac:dyDescent="0.35">
      <c r="A1725" s="52" t="s">
        <v>669</v>
      </c>
      <c r="B1725" s="52" t="s">
        <v>265</v>
      </c>
      <c r="C1725" s="52" t="s">
        <v>44</v>
      </c>
      <c r="D1725" s="52" t="s">
        <v>44</v>
      </c>
      <c r="E1725" s="52" t="s">
        <v>584</v>
      </c>
      <c r="F1725" s="52" t="s">
        <v>26</v>
      </c>
      <c r="G1725" s="195" t="s">
        <v>275</v>
      </c>
      <c r="H1725" s="195">
        <v>-2.0741699999999998E-2</v>
      </c>
      <c r="I1725" s="195">
        <v>-2.0741699999999998E-2</v>
      </c>
      <c r="J1725" s="195">
        <v>2.7316879999999999E-3</v>
      </c>
      <c r="K1725" s="195">
        <v>1.8213369999999999E-3</v>
      </c>
      <c r="L1725" s="195">
        <v>9.1056250000000002E-4</v>
      </c>
      <c r="M1725" s="195">
        <v>0</v>
      </c>
      <c r="N1725" s="195">
        <v>0</v>
      </c>
    </row>
    <row r="1726" spans="1:14" hidden="1" x14ac:dyDescent="0.35">
      <c r="A1726" s="52" t="s">
        <v>669</v>
      </c>
      <c r="B1726" s="52" t="s">
        <v>265</v>
      </c>
      <c r="C1726" s="52" t="s">
        <v>44</v>
      </c>
      <c r="D1726" s="52" t="s">
        <v>44</v>
      </c>
      <c r="E1726" s="52" t="s">
        <v>584</v>
      </c>
      <c r="F1726" s="52" t="s">
        <v>26</v>
      </c>
      <c r="G1726" s="195" t="s">
        <v>276</v>
      </c>
      <c r="H1726" s="195">
        <v>-4.5530249999999996E-3</v>
      </c>
      <c r="I1726" s="195">
        <v>-4.5530249999999996E-3</v>
      </c>
      <c r="J1726" s="195">
        <v>0</v>
      </c>
      <c r="K1726" s="195">
        <v>0</v>
      </c>
      <c r="L1726" s="195">
        <v>0</v>
      </c>
      <c r="M1726" s="195">
        <v>0</v>
      </c>
      <c r="N1726" s="195">
        <v>0</v>
      </c>
    </row>
    <row r="1727" spans="1:14" hidden="1" x14ac:dyDescent="0.35">
      <c r="A1727" s="52" t="s">
        <v>669</v>
      </c>
      <c r="B1727" s="52" t="s">
        <v>265</v>
      </c>
      <c r="C1727" s="52" t="s">
        <v>44</v>
      </c>
      <c r="D1727" s="52" t="s">
        <v>44</v>
      </c>
      <c r="E1727" s="52" t="s">
        <v>584</v>
      </c>
      <c r="F1727" s="52" t="s">
        <v>26</v>
      </c>
      <c r="G1727" s="195" t="s">
        <v>277</v>
      </c>
      <c r="H1727" s="195"/>
      <c r="I1727" s="195"/>
      <c r="J1727" s="195"/>
      <c r="K1727" s="195"/>
      <c r="L1727" s="195"/>
      <c r="M1727" s="195"/>
      <c r="N1727" s="195">
        <v>0</v>
      </c>
    </row>
    <row r="1728" spans="1:14" hidden="1" x14ac:dyDescent="0.35">
      <c r="A1728" s="52" t="s">
        <v>669</v>
      </c>
      <c r="B1728" s="52" t="s">
        <v>265</v>
      </c>
      <c r="C1728" s="52" t="s">
        <v>44</v>
      </c>
      <c r="D1728" s="52" t="s">
        <v>44</v>
      </c>
      <c r="E1728" s="52" t="s">
        <v>584</v>
      </c>
      <c r="F1728" s="52" t="s">
        <v>26</v>
      </c>
      <c r="G1728" s="195" t="s">
        <v>278</v>
      </c>
      <c r="H1728" s="195">
        <v>2.529472E-2</v>
      </c>
      <c r="I1728" s="195">
        <v>2.529472E-2</v>
      </c>
      <c r="J1728" s="195">
        <v>0</v>
      </c>
      <c r="K1728" s="195">
        <v>0</v>
      </c>
      <c r="L1728" s="195">
        <v>0</v>
      </c>
      <c r="M1728" s="195">
        <v>0</v>
      </c>
      <c r="N1728" s="195">
        <v>0</v>
      </c>
    </row>
    <row r="1729" spans="1:14" hidden="1" x14ac:dyDescent="0.35">
      <c r="A1729" s="52" t="s">
        <v>669</v>
      </c>
      <c r="B1729" s="52" t="s">
        <v>265</v>
      </c>
      <c r="C1729" s="52" t="s">
        <v>318</v>
      </c>
      <c r="D1729" s="52" t="s">
        <v>318</v>
      </c>
      <c r="E1729" s="52" t="s">
        <v>584</v>
      </c>
      <c r="F1729" s="52" t="s">
        <v>581</v>
      </c>
      <c r="G1729" s="195" t="s">
        <v>275</v>
      </c>
      <c r="H1729" s="195">
        <v>0</v>
      </c>
      <c r="I1729" s="195"/>
      <c r="J1729" s="195"/>
      <c r="K1729" s="195"/>
      <c r="L1729" s="195"/>
      <c r="M1729" s="195"/>
      <c r="N1729" s="195"/>
    </row>
    <row r="1730" spans="1:14" hidden="1" x14ac:dyDescent="0.35">
      <c r="A1730" s="52" t="s">
        <v>669</v>
      </c>
      <c r="B1730" s="52" t="s">
        <v>265</v>
      </c>
      <c r="C1730" s="52" t="s">
        <v>318</v>
      </c>
      <c r="D1730" s="52" t="s">
        <v>318</v>
      </c>
      <c r="E1730" s="52" t="s">
        <v>584</v>
      </c>
      <c r="F1730" s="52" t="s">
        <v>581</v>
      </c>
      <c r="G1730" s="195" t="s">
        <v>278</v>
      </c>
      <c r="H1730" s="195">
        <v>0</v>
      </c>
      <c r="I1730" s="195"/>
      <c r="J1730" s="195"/>
      <c r="K1730" s="195"/>
      <c r="L1730" s="195"/>
      <c r="M1730" s="195"/>
      <c r="N1730" s="195"/>
    </row>
    <row r="1731" spans="1:14" hidden="1" x14ac:dyDescent="0.35">
      <c r="A1731" s="52" t="s">
        <v>669</v>
      </c>
      <c r="B1731" s="52" t="s">
        <v>265</v>
      </c>
      <c r="C1731" s="52" t="s">
        <v>318</v>
      </c>
      <c r="D1731" s="52" t="s">
        <v>318</v>
      </c>
      <c r="E1731" s="52" t="s">
        <v>584</v>
      </c>
      <c r="F1731" s="52" t="s">
        <v>26</v>
      </c>
      <c r="G1731" s="195" t="s">
        <v>275</v>
      </c>
      <c r="H1731" s="195">
        <v>0</v>
      </c>
      <c r="I1731" s="195"/>
      <c r="J1731" s="195"/>
      <c r="K1731" s="195"/>
      <c r="L1731" s="195"/>
      <c r="M1731" s="195"/>
      <c r="N1731" s="195"/>
    </row>
    <row r="1732" spans="1:14" hidden="1" x14ac:dyDescent="0.35">
      <c r="A1732" s="52" t="s">
        <v>669</v>
      </c>
      <c r="B1732" s="52" t="s">
        <v>265</v>
      </c>
      <c r="C1732" s="52" t="s">
        <v>318</v>
      </c>
      <c r="D1732" s="52" t="s">
        <v>318</v>
      </c>
      <c r="E1732" s="52" t="s">
        <v>584</v>
      </c>
      <c r="F1732" s="52" t="s">
        <v>26</v>
      </c>
      <c r="G1732" s="195" t="s">
        <v>278</v>
      </c>
      <c r="H1732" s="195">
        <v>0</v>
      </c>
      <c r="I1732" s="195"/>
      <c r="J1732" s="195"/>
      <c r="K1732" s="195"/>
      <c r="L1732" s="195"/>
      <c r="M1732" s="195"/>
      <c r="N1732" s="195"/>
    </row>
    <row r="1733" spans="1:14" hidden="1" x14ac:dyDescent="0.35">
      <c r="A1733" s="52" t="s">
        <v>669</v>
      </c>
      <c r="B1733" s="52" t="s">
        <v>826</v>
      </c>
      <c r="C1733" s="52" t="s">
        <v>821</v>
      </c>
      <c r="D1733" s="52" t="s">
        <v>821</v>
      </c>
      <c r="E1733" s="52" t="s">
        <v>584</v>
      </c>
      <c r="F1733" s="52" t="s">
        <v>26</v>
      </c>
      <c r="G1733" s="195" t="s">
        <v>275</v>
      </c>
      <c r="H1733" s="195">
        <v>-1.7069449999999999</v>
      </c>
      <c r="I1733" s="195">
        <v>-1.7069449999999999</v>
      </c>
      <c r="J1733" s="195">
        <v>0</v>
      </c>
      <c r="K1733" s="195">
        <v>0</v>
      </c>
      <c r="L1733" s="195">
        <v>0</v>
      </c>
      <c r="M1733" s="195">
        <v>0</v>
      </c>
      <c r="N1733" s="195">
        <v>0</v>
      </c>
    </row>
    <row r="1734" spans="1:14" hidden="1" x14ac:dyDescent="0.35">
      <c r="A1734" s="52" t="s">
        <v>669</v>
      </c>
      <c r="B1734" s="52" t="s">
        <v>826</v>
      </c>
      <c r="C1734" s="52" t="s">
        <v>821</v>
      </c>
      <c r="D1734" s="52" t="s">
        <v>821</v>
      </c>
      <c r="E1734" s="52" t="s">
        <v>584</v>
      </c>
      <c r="F1734" s="52" t="s">
        <v>26</v>
      </c>
      <c r="G1734" s="195" t="s">
        <v>276</v>
      </c>
      <c r="H1734" s="195"/>
      <c r="I1734" s="195"/>
      <c r="J1734" s="195">
        <v>-1.7069449999999999</v>
      </c>
      <c r="K1734" s="195">
        <v>-1.7069460000000001</v>
      </c>
      <c r="L1734" s="195">
        <v>-12.597810000000001</v>
      </c>
      <c r="M1734" s="195">
        <v>-14.269130000000001</v>
      </c>
      <c r="N1734" s="195">
        <v>-2.3647010000000002</v>
      </c>
    </row>
    <row r="1735" spans="1:14" hidden="1" x14ac:dyDescent="0.35">
      <c r="A1735" s="52" t="s">
        <v>669</v>
      </c>
      <c r="B1735" s="52" t="s">
        <v>826</v>
      </c>
      <c r="C1735" s="52" t="s">
        <v>821</v>
      </c>
      <c r="D1735" s="52" t="s">
        <v>821</v>
      </c>
      <c r="E1735" s="52" t="s">
        <v>584</v>
      </c>
      <c r="F1735" s="52" t="s">
        <v>26</v>
      </c>
      <c r="G1735" s="195" t="s">
        <v>278</v>
      </c>
      <c r="H1735" s="195">
        <v>1.7069449999999999</v>
      </c>
      <c r="I1735" s="195">
        <v>1.7069449999999999</v>
      </c>
      <c r="J1735" s="195">
        <v>1.7069460000000001</v>
      </c>
      <c r="K1735" s="195">
        <v>1.7069460000000001</v>
      </c>
      <c r="L1735" s="195">
        <v>12.597810000000001</v>
      </c>
      <c r="M1735" s="195">
        <v>14.269130000000001</v>
      </c>
      <c r="N1735" s="195">
        <v>2.3647019999999999</v>
      </c>
    </row>
    <row r="1736" spans="1:14" hidden="1" x14ac:dyDescent="0.35">
      <c r="A1736" s="52" t="s">
        <v>669</v>
      </c>
      <c r="B1736" s="52" t="s">
        <v>255</v>
      </c>
      <c r="C1736" s="52" t="s">
        <v>254</v>
      </c>
      <c r="D1736" s="52" t="s">
        <v>254</v>
      </c>
      <c r="E1736" s="52" t="s">
        <v>584</v>
      </c>
      <c r="F1736" s="52" t="s">
        <v>26</v>
      </c>
      <c r="G1736" s="195" t="s">
        <v>275</v>
      </c>
      <c r="H1736" s="195">
        <v>-14.30251</v>
      </c>
      <c r="I1736" s="195">
        <v>0.91633249999999999</v>
      </c>
      <c r="J1736" s="195">
        <v>0.92070059999999998</v>
      </c>
      <c r="K1736" s="195">
        <v>0.92040650000000002</v>
      </c>
      <c r="L1736" s="195">
        <v>0.92011279999999995</v>
      </c>
      <c r="M1736" s="195">
        <v>-3.8967950000000001E-2</v>
      </c>
      <c r="N1736" s="195">
        <v>-3.9261600000000001E-2</v>
      </c>
    </row>
    <row r="1737" spans="1:14" hidden="1" x14ac:dyDescent="0.35">
      <c r="A1737" s="52" t="s">
        <v>669</v>
      </c>
      <c r="B1737" s="52" t="s">
        <v>255</v>
      </c>
      <c r="C1737" s="52" t="s">
        <v>254</v>
      </c>
      <c r="D1737" s="52" t="s">
        <v>254</v>
      </c>
      <c r="E1737" s="52" t="s">
        <v>584</v>
      </c>
      <c r="F1737" s="52" t="s">
        <v>26</v>
      </c>
      <c r="G1737" s="195" t="s">
        <v>276</v>
      </c>
      <c r="H1737" s="195">
        <v>-0.97831060000000003</v>
      </c>
      <c r="I1737" s="195">
        <v>-0.97831020000000002</v>
      </c>
      <c r="J1737" s="195">
        <v>-0.97801660000000001</v>
      </c>
      <c r="K1737" s="195">
        <v>-0.97772289999999995</v>
      </c>
      <c r="L1737" s="195">
        <v>-0.97742890000000004</v>
      </c>
      <c r="M1737" s="195">
        <v>-1.8348400000000001E-2</v>
      </c>
      <c r="N1737" s="195">
        <v>-1.8054400000000002E-2</v>
      </c>
    </row>
    <row r="1738" spans="1:14" hidden="1" x14ac:dyDescent="0.35">
      <c r="A1738" s="52" t="s">
        <v>669</v>
      </c>
      <c r="B1738" s="52" t="s">
        <v>255</v>
      </c>
      <c r="C1738" s="52" t="s">
        <v>254</v>
      </c>
      <c r="D1738" s="52" t="s">
        <v>254</v>
      </c>
      <c r="E1738" s="52" t="s">
        <v>584</v>
      </c>
      <c r="F1738" s="52" t="s">
        <v>26</v>
      </c>
      <c r="G1738" s="195" t="s">
        <v>278</v>
      </c>
      <c r="H1738" s="195">
        <v>15.28082</v>
      </c>
      <c r="I1738" s="195">
        <v>6.1977650000000002E-2</v>
      </c>
      <c r="J1738" s="195">
        <v>5.7316010000000001E-2</v>
      </c>
      <c r="K1738" s="195">
        <v>5.7316010000000001E-2</v>
      </c>
      <c r="L1738" s="195">
        <v>5.7316010000000001E-2</v>
      </c>
      <c r="M1738" s="195">
        <v>5.7316010000000001E-2</v>
      </c>
      <c r="N1738" s="195">
        <v>5.7316010000000001E-2</v>
      </c>
    </row>
    <row r="1739" spans="1:14" hidden="1" x14ac:dyDescent="0.35">
      <c r="A1739" s="52" t="s">
        <v>669</v>
      </c>
      <c r="B1739" s="52" t="s">
        <v>255</v>
      </c>
      <c r="C1739" s="52" t="s">
        <v>318</v>
      </c>
      <c r="D1739" s="52" t="s">
        <v>318</v>
      </c>
      <c r="E1739" s="52" t="s">
        <v>584</v>
      </c>
      <c r="F1739" s="52" t="s">
        <v>581</v>
      </c>
      <c r="G1739" s="195" t="s">
        <v>275</v>
      </c>
      <c r="H1739" s="195">
        <v>0</v>
      </c>
      <c r="I1739" s="195"/>
      <c r="J1739" s="195"/>
      <c r="K1739" s="195"/>
      <c r="L1739" s="195"/>
      <c r="M1739" s="195"/>
      <c r="N1739" s="195"/>
    </row>
    <row r="1740" spans="1:14" hidden="1" x14ac:dyDescent="0.35">
      <c r="A1740" s="52" t="s">
        <v>669</v>
      </c>
      <c r="B1740" s="52" t="s">
        <v>255</v>
      </c>
      <c r="C1740" s="52" t="s">
        <v>318</v>
      </c>
      <c r="D1740" s="52" t="s">
        <v>318</v>
      </c>
      <c r="E1740" s="52" t="s">
        <v>584</v>
      </c>
      <c r="F1740" s="52" t="s">
        <v>581</v>
      </c>
      <c r="G1740" s="195" t="s">
        <v>276</v>
      </c>
      <c r="H1740" s="195">
        <v>0</v>
      </c>
      <c r="I1740" s="195"/>
      <c r="J1740" s="195"/>
      <c r="K1740" s="195"/>
      <c r="L1740" s="195"/>
      <c r="M1740" s="195"/>
      <c r="N1740" s="195"/>
    </row>
    <row r="1741" spans="1:14" hidden="1" x14ac:dyDescent="0.35">
      <c r="A1741" s="52" t="s">
        <v>669</v>
      </c>
      <c r="B1741" s="52" t="s">
        <v>255</v>
      </c>
      <c r="C1741" s="52" t="s">
        <v>318</v>
      </c>
      <c r="D1741" s="52" t="s">
        <v>318</v>
      </c>
      <c r="E1741" s="52" t="s">
        <v>584</v>
      </c>
      <c r="F1741" s="52" t="s">
        <v>581</v>
      </c>
      <c r="G1741" s="195" t="s">
        <v>278</v>
      </c>
      <c r="H1741" s="195">
        <v>0</v>
      </c>
      <c r="I1741" s="195"/>
      <c r="J1741" s="195"/>
      <c r="K1741" s="195"/>
      <c r="L1741" s="195"/>
      <c r="M1741" s="195"/>
      <c r="N1741" s="195"/>
    </row>
    <row r="1742" spans="1:14" hidden="1" x14ac:dyDescent="0.35">
      <c r="A1742" s="52" t="s">
        <v>669</v>
      </c>
      <c r="B1742" s="52" t="s">
        <v>255</v>
      </c>
      <c r="C1742" s="52" t="s">
        <v>318</v>
      </c>
      <c r="D1742" s="52" t="s">
        <v>318</v>
      </c>
      <c r="E1742" s="52" t="s">
        <v>584</v>
      </c>
      <c r="F1742" s="52" t="s">
        <v>26</v>
      </c>
      <c r="G1742" s="195" t="s">
        <v>275</v>
      </c>
      <c r="H1742" s="195">
        <v>0</v>
      </c>
      <c r="I1742" s="195"/>
      <c r="J1742" s="195"/>
      <c r="K1742" s="195"/>
      <c r="L1742" s="195"/>
      <c r="M1742" s="195"/>
      <c r="N1742" s="195"/>
    </row>
    <row r="1743" spans="1:14" hidden="1" x14ac:dyDescent="0.35">
      <c r="A1743" s="52" t="s">
        <v>669</v>
      </c>
      <c r="B1743" s="52" t="s">
        <v>255</v>
      </c>
      <c r="C1743" s="52" t="s">
        <v>318</v>
      </c>
      <c r="D1743" s="52" t="s">
        <v>318</v>
      </c>
      <c r="E1743" s="52" t="s">
        <v>584</v>
      </c>
      <c r="F1743" s="52" t="s">
        <v>26</v>
      </c>
      <c r="G1743" s="195" t="s">
        <v>276</v>
      </c>
      <c r="H1743" s="195">
        <v>0</v>
      </c>
      <c r="I1743" s="195"/>
      <c r="J1743" s="195"/>
      <c r="K1743" s="195"/>
      <c r="L1743" s="195"/>
      <c r="M1743" s="195"/>
      <c r="N1743" s="195"/>
    </row>
    <row r="1744" spans="1:14" hidden="1" x14ac:dyDescent="0.35">
      <c r="A1744" s="52" t="s">
        <v>669</v>
      </c>
      <c r="B1744" s="52" t="s">
        <v>255</v>
      </c>
      <c r="C1744" s="52" t="s">
        <v>318</v>
      </c>
      <c r="D1744" s="52" t="s">
        <v>318</v>
      </c>
      <c r="E1744" s="52" t="s">
        <v>584</v>
      </c>
      <c r="F1744" s="52" t="s">
        <v>26</v>
      </c>
      <c r="G1744" s="195" t="s">
        <v>278</v>
      </c>
      <c r="H1744" s="195">
        <v>0</v>
      </c>
      <c r="I1744" s="195"/>
      <c r="J1744" s="195"/>
      <c r="K1744" s="195"/>
      <c r="L1744" s="195"/>
      <c r="M1744" s="195"/>
      <c r="N1744" s="195"/>
    </row>
    <row r="1745" spans="1:14" hidden="1" x14ac:dyDescent="0.35">
      <c r="A1745" s="52" t="s">
        <v>669</v>
      </c>
      <c r="B1745" s="52" t="s">
        <v>179</v>
      </c>
      <c r="C1745" s="52" t="s">
        <v>318</v>
      </c>
      <c r="D1745" s="52" t="s">
        <v>318</v>
      </c>
      <c r="E1745" s="52" t="s">
        <v>584</v>
      </c>
      <c r="F1745" s="52" t="s">
        <v>581</v>
      </c>
      <c r="G1745" s="195" t="s">
        <v>275</v>
      </c>
      <c r="H1745" s="195">
        <v>0</v>
      </c>
      <c r="I1745" s="195"/>
      <c r="J1745" s="195"/>
      <c r="K1745" s="195"/>
      <c r="L1745" s="195"/>
      <c r="M1745" s="195"/>
      <c r="N1745" s="195"/>
    </row>
    <row r="1746" spans="1:14" hidden="1" x14ac:dyDescent="0.35">
      <c r="A1746" s="52" t="s">
        <v>669</v>
      </c>
      <c r="B1746" s="52" t="s">
        <v>321</v>
      </c>
      <c r="C1746" s="52" t="s">
        <v>318</v>
      </c>
      <c r="D1746" s="52" t="s">
        <v>318</v>
      </c>
      <c r="E1746" s="52" t="s">
        <v>584</v>
      </c>
      <c r="F1746" s="52" t="s">
        <v>581</v>
      </c>
      <c r="G1746" s="195" t="s">
        <v>275</v>
      </c>
      <c r="H1746" s="195">
        <v>0</v>
      </c>
      <c r="I1746" s="195"/>
      <c r="J1746" s="195"/>
      <c r="K1746" s="195"/>
      <c r="L1746" s="195"/>
      <c r="M1746" s="195"/>
      <c r="N1746" s="195"/>
    </row>
    <row r="1747" spans="1:14" hidden="1" x14ac:dyDescent="0.35">
      <c r="A1747" s="52" t="s">
        <v>669</v>
      </c>
      <c r="B1747" s="52" t="s">
        <v>179</v>
      </c>
      <c r="C1747" s="52" t="s">
        <v>318</v>
      </c>
      <c r="D1747" s="52" t="s">
        <v>318</v>
      </c>
      <c r="E1747" s="52" t="s">
        <v>584</v>
      </c>
      <c r="F1747" s="52" t="s">
        <v>581</v>
      </c>
      <c r="G1747" s="195" t="s">
        <v>276</v>
      </c>
      <c r="H1747" s="195">
        <v>0</v>
      </c>
      <c r="I1747" s="195"/>
      <c r="J1747" s="195"/>
      <c r="K1747" s="195"/>
      <c r="L1747" s="195"/>
      <c r="M1747" s="195"/>
      <c r="N1747" s="195"/>
    </row>
    <row r="1748" spans="1:14" hidden="1" x14ac:dyDescent="0.35">
      <c r="A1748" s="52" t="s">
        <v>669</v>
      </c>
      <c r="B1748" s="52" t="s">
        <v>179</v>
      </c>
      <c r="C1748" s="52" t="s">
        <v>318</v>
      </c>
      <c r="D1748" s="52" t="s">
        <v>318</v>
      </c>
      <c r="E1748" s="52" t="s">
        <v>584</v>
      </c>
      <c r="F1748" s="52" t="s">
        <v>581</v>
      </c>
      <c r="G1748" s="195" t="s">
        <v>278</v>
      </c>
      <c r="H1748" s="195">
        <v>0</v>
      </c>
      <c r="I1748" s="195"/>
      <c r="J1748" s="195"/>
      <c r="K1748" s="195"/>
      <c r="L1748" s="195"/>
      <c r="M1748" s="195"/>
      <c r="N1748" s="195"/>
    </row>
    <row r="1749" spans="1:14" hidden="1" x14ac:dyDescent="0.35">
      <c r="A1749" s="52" t="s">
        <v>669</v>
      </c>
      <c r="B1749" s="52" t="s">
        <v>321</v>
      </c>
      <c r="C1749" s="52" t="s">
        <v>318</v>
      </c>
      <c r="D1749" s="52" t="s">
        <v>318</v>
      </c>
      <c r="E1749" s="52" t="s">
        <v>584</v>
      </c>
      <c r="F1749" s="52" t="s">
        <v>581</v>
      </c>
      <c r="G1749" s="195" t="s">
        <v>278</v>
      </c>
      <c r="H1749" s="195">
        <v>0</v>
      </c>
      <c r="I1749" s="195"/>
      <c r="J1749" s="195"/>
      <c r="K1749" s="195"/>
      <c r="L1749" s="195"/>
      <c r="M1749" s="195"/>
      <c r="N1749" s="195"/>
    </row>
    <row r="1750" spans="1:14" hidden="1" x14ac:dyDescent="0.35">
      <c r="A1750" s="52" t="s">
        <v>669</v>
      </c>
      <c r="B1750" s="52" t="s">
        <v>179</v>
      </c>
      <c r="C1750" s="52" t="s">
        <v>318</v>
      </c>
      <c r="D1750" s="52" t="s">
        <v>318</v>
      </c>
      <c r="E1750" s="52" t="s">
        <v>584</v>
      </c>
      <c r="F1750" s="52" t="s">
        <v>26</v>
      </c>
      <c r="G1750" s="195" t="s">
        <v>275</v>
      </c>
      <c r="H1750" s="195">
        <v>0</v>
      </c>
      <c r="I1750" s="195"/>
      <c r="J1750" s="195"/>
      <c r="K1750" s="195"/>
      <c r="L1750" s="195"/>
      <c r="M1750" s="195"/>
      <c r="N1750" s="195"/>
    </row>
    <row r="1751" spans="1:14" hidden="1" x14ac:dyDescent="0.35">
      <c r="A1751" s="52" t="s">
        <v>669</v>
      </c>
      <c r="B1751" s="52" t="s">
        <v>321</v>
      </c>
      <c r="C1751" s="52" t="s">
        <v>318</v>
      </c>
      <c r="D1751" s="52" t="s">
        <v>318</v>
      </c>
      <c r="E1751" s="52" t="s">
        <v>584</v>
      </c>
      <c r="F1751" s="52" t="s">
        <v>26</v>
      </c>
      <c r="G1751" s="195" t="s">
        <v>275</v>
      </c>
      <c r="H1751" s="195">
        <v>0</v>
      </c>
      <c r="I1751" s="195"/>
      <c r="J1751" s="195"/>
      <c r="K1751" s="195"/>
      <c r="L1751" s="195"/>
      <c r="M1751" s="195"/>
      <c r="N1751" s="195"/>
    </row>
    <row r="1752" spans="1:14" hidden="1" x14ac:dyDescent="0.35">
      <c r="A1752" s="52" t="s">
        <v>669</v>
      </c>
      <c r="B1752" s="52" t="s">
        <v>179</v>
      </c>
      <c r="C1752" s="52" t="s">
        <v>318</v>
      </c>
      <c r="D1752" s="52" t="s">
        <v>318</v>
      </c>
      <c r="E1752" s="52" t="s">
        <v>584</v>
      </c>
      <c r="F1752" s="52" t="s">
        <v>26</v>
      </c>
      <c r="G1752" s="195" t="s">
        <v>276</v>
      </c>
      <c r="H1752" s="195">
        <v>0</v>
      </c>
      <c r="I1752" s="195"/>
      <c r="J1752" s="195"/>
      <c r="K1752" s="195"/>
      <c r="L1752" s="195"/>
      <c r="M1752" s="195"/>
      <c r="N1752" s="195"/>
    </row>
    <row r="1753" spans="1:14" hidden="1" x14ac:dyDescent="0.35">
      <c r="A1753" s="52" t="s">
        <v>669</v>
      </c>
      <c r="B1753" s="52" t="s">
        <v>179</v>
      </c>
      <c r="C1753" s="52" t="s">
        <v>318</v>
      </c>
      <c r="D1753" s="52" t="s">
        <v>318</v>
      </c>
      <c r="E1753" s="52" t="s">
        <v>584</v>
      </c>
      <c r="F1753" s="52" t="s">
        <v>26</v>
      </c>
      <c r="G1753" s="195" t="s">
        <v>278</v>
      </c>
      <c r="H1753" s="195">
        <v>0</v>
      </c>
      <c r="I1753" s="195"/>
      <c r="J1753" s="195"/>
      <c r="K1753" s="195"/>
      <c r="L1753" s="195"/>
      <c r="M1753" s="195"/>
      <c r="N1753" s="195"/>
    </row>
    <row r="1754" spans="1:14" hidden="1" x14ac:dyDescent="0.35">
      <c r="A1754" s="52" t="s">
        <v>669</v>
      </c>
      <c r="B1754" s="52" t="s">
        <v>321</v>
      </c>
      <c r="C1754" s="52" t="s">
        <v>318</v>
      </c>
      <c r="D1754" s="52" t="s">
        <v>318</v>
      </c>
      <c r="E1754" s="52" t="s">
        <v>584</v>
      </c>
      <c r="F1754" s="52" t="s">
        <v>26</v>
      </c>
      <c r="G1754" s="195" t="s">
        <v>278</v>
      </c>
      <c r="H1754" s="195">
        <v>0</v>
      </c>
      <c r="I1754" s="195"/>
      <c r="J1754" s="195"/>
      <c r="K1754" s="195"/>
      <c r="L1754" s="195"/>
      <c r="M1754" s="195"/>
      <c r="N1754" s="195"/>
    </row>
    <row r="1755" spans="1:14" hidden="1" x14ac:dyDescent="0.35">
      <c r="A1755" s="52" t="s">
        <v>669</v>
      </c>
      <c r="B1755" s="52" t="s">
        <v>361</v>
      </c>
      <c r="C1755" s="52" t="s">
        <v>318</v>
      </c>
      <c r="D1755" s="52" t="s">
        <v>318</v>
      </c>
      <c r="E1755" s="52" t="s">
        <v>584</v>
      </c>
      <c r="F1755" s="52" t="s">
        <v>581</v>
      </c>
      <c r="G1755" s="195" t="s">
        <v>275</v>
      </c>
      <c r="H1755" s="195">
        <v>0</v>
      </c>
      <c r="I1755" s="195"/>
      <c r="J1755" s="195"/>
      <c r="K1755" s="195"/>
      <c r="L1755" s="195"/>
      <c r="M1755" s="195"/>
      <c r="N1755" s="195"/>
    </row>
    <row r="1756" spans="1:14" hidden="1" x14ac:dyDescent="0.35">
      <c r="A1756" s="52" t="s">
        <v>669</v>
      </c>
      <c r="B1756" s="52" t="s">
        <v>361</v>
      </c>
      <c r="C1756" s="52" t="s">
        <v>318</v>
      </c>
      <c r="D1756" s="52" t="s">
        <v>318</v>
      </c>
      <c r="E1756" s="52" t="s">
        <v>584</v>
      </c>
      <c r="F1756" s="52" t="s">
        <v>581</v>
      </c>
      <c r="G1756" s="195" t="s">
        <v>276</v>
      </c>
      <c r="H1756" s="195">
        <v>0</v>
      </c>
      <c r="I1756" s="195"/>
      <c r="J1756" s="195"/>
      <c r="K1756" s="195"/>
      <c r="L1756" s="195"/>
      <c r="M1756" s="195"/>
      <c r="N1756" s="195"/>
    </row>
    <row r="1757" spans="1:14" hidden="1" x14ac:dyDescent="0.35">
      <c r="A1757" s="52" t="s">
        <v>669</v>
      </c>
      <c r="B1757" s="52" t="s">
        <v>361</v>
      </c>
      <c r="C1757" s="52" t="s">
        <v>318</v>
      </c>
      <c r="D1757" s="52" t="s">
        <v>318</v>
      </c>
      <c r="E1757" s="52" t="s">
        <v>584</v>
      </c>
      <c r="F1757" s="52" t="s">
        <v>581</v>
      </c>
      <c r="G1757" s="195" t="s">
        <v>278</v>
      </c>
      <c r="H1757" s="195">
        <v>0</v>
      </c>
      <c r="I1757" s="195"/>
      <c r="J1757" s="195"/>
      <c r="K1757" s="195"/>
      <c r="L1757" s="195"/>
      <c r="M1757" s="195"/>
      <c r="N1757" s="195"/>
    </row>
    <row r="1758" spans="1:14" hidden="1" x14ac:dyDescent="0.35">
      <c r="A1758" s="52" t="s">
        <v>669</v>
      </c>
      <c r="B1758" s="52" t="s">
        <v>361</v>
      </c>
      <c r="C1758" s="52" t="s">
        <v>318</v>
      </c>
      <c r="D1758" s="52" t="s">
        <v>318</v>
      </c>
      <c r="E1758" s="52" t="s">
        <v>584</v>
      </c>
      <c r="F1758" s="52" t="s">
        <v>26</v>
      </c>
      <c r="G1758" s="195" t="s">
        <v>275</v>
      </c>
      <c r="H1758" s="195">
        <v>0</v>
      </c>
      <c r="I1758" s="195"/>
      <c r="J1758" s="195"/>
      <c r="K1758" s="195"/>
      <c r="L1758" s="195"/>
      <c r="M1758" s="195"/>
      <c r="N1758" s="195"/>
    </row>
    <row r="1759" spans="1:14" hidden="1" x14ac:dyDescent="0.35">
      <c r="A1759" s="52" t="s">
        <v>669</v>
      </c>
      <c r="B1759" s="52" t="s">
        <v>361</v>
      </c>
      <c r="C1759" s="52" t="s">
        <v>318</v>
      </c>
      <c r="D1759" s="52" t="s">
        <v>318</v>
      </c>
      <c r="E1759" s="52" t="s">
        <v>584</v>
      </c>
      <c r="F1759" s="52" t="s">
        <v>26</v>
      </c>
      <c r="G1759" s="195" t="s">
        <v>276</v>
      </c>
      <c r="H1759" s="195">
        <v>0</v>
      </c>
      <c r="I1759" s="195"/>
      <c r="J1759" s="195"/>
      <c r="K1759" s="195"/>
      <c r="L1759" s="195"/>
      <c r="M1759" s="195"/>
      <c r="N1759" s="195"/>
    </row>
    <row r="1760" spans="1:14" hidden="1" x14ac:dyDescent="0.35">
      <c r="A1760" s="52" t="s">
        <v>669</v>
      </c>
      <c r="B1760" s="52" t="s">
        <v>361</v>
      </c>
      <c r="C1760" s="52" t="s">
        <v>318</v>
      </c>
      <c r="D1760" s="52" t="s">
        <v>318</v>
      </c>
      <c r="E1760" s="52" t="s">
        <v>584</v>
      </c>
      <c r="F1760" s="52" t="s">
        <v>26</v>
      </c>
      <c r="G1760" s="195" t="s">
        <v>278</v>
      </c>
      <c r="H1760" s="195">
        <v>0</v>
      </c>
      <c r="I1760" s="195"/>
      <c r="J1760" s="195"/>
      <c r="K1760" s="195"/>
      <c r="L1760" s="195"/>
      <c r="M1760" s="195"/>
      <c r="N1760" s="195"/>
    </row>
    <row r="1761" spans="1:14" hidden="1" x14ac:dyDescent="0.35">
      <c r="A1761" s="52" t="s">
        <v>669</v>
      </c>
      <c r="B1761" s="52" t="s">
        <v>361</v>
      </c>
      <c r="C1761" s="52" t="s">
        <v>214</v>
      </c>
      <c r="D1761" s="52" t="s">
        <v>214</v>
      </c>
      <c r="E1761" s="52" t="s">
        <v>584</v>
      </c>
      <c r="F1761" s="52" t="s">
        <v>26</v>
      </c>
      <c r="G1761" s="195" t="s">
        <v>275</v>
      </c>
      <c r="H1761" s="195">
        <v>-1.311383E-2</v>
      </c>
      <c r="I1761" s="195">
        <v>-0.51471350000000005</v>
      </c>
      <c r="J1761" s="195">
        <v>0</v>
      </c>
      <c r="K1761" s="195">
        <v>0</v>
      </c>
      <c r="L1761" s="195">
        <v>0</v>
      </c>
      <c r="M1761" s="195">
        <v>0</v>
      </c>
      <c r="N1761" s="195">
        <v>-0.18146109999999999</v>
      </c>
    </row>
    <row r="1762" spans="1:14" hidden="1" x14ac:dyDescent="0.35">
      <c r="A1762" s="52" t="s">
        <v>669</v>
      </c>
      <c r="B1762" s="52" t="s">
        <v>361</v>
      </c>
      <c r="C1762" s="52" t="s">
        <v>214</v>
      </c>
      <c r="D1762" s="52" t="s">
        <v>214</v>
      </c>
      <c r="E1762" s="52" t="s">
        <v>584</v>
      </c>
      <c r="F1762" s="52" t="s">
        <v>26</v>
      </c>
      <c r="G1762" s="195" t="s">
        <v>276</v>
      </c>
      <c r="H1762" s="195"/>
      <c r="I1762" s="195"/>
      <c r="J1762" s="195"/>
      <c r="K1762" s="195"/>
      <c r="L1762" s="195"/>
      <c r="M1762" s="195">
        <v>0</v>
      </c>
      <c r="N1762" s="195">
        <v>-1.365823E-2</v>
      </c>
    </row>
    <row r="1763" spans="1:14" hidden="1" x14ac:dyDescent="0.35">
      <c r="A1763" s="52" t="s">
        <v>669</v>
      </c>
      <c r="B1763" s="52" t="s">
        <v>361</v>
      </c>
      <c r="C1763" s="52" t="s">
        <v>214</v>
      </c>
      <c r="D1763" s="52" t="s">
        <v>214</v>
      </c>
      <c r="E1763" s="52" t="s">
        <v>584</v>
      </c>
      <c r="F1763" s="52" t="s">
        <v>26</v>
      </c>
      <c r="G1763" s="195" t="s">
        <v>277</v>
      </c>
      <c r="H1763" s="195">
        <v>0</v>
      </c>
      <c r="I1763" s="195">
        <v>0.50160000000000005</v>
      </c>
      <c r="J1763" s="195">
        <v>0</v>
      </c>
      <c r="K1763" s="195">
        <v>0</v>
      </c>
      <c r="L1763" s="195"/>
      <c r="M1763" s="195">
        <v>0</v>
      </c>
      <c r="N1763" s="195">
        <v>0.19511909999999999</v>
      </c>
    </row>
    <row r="1764" spans="1:14" hidden="1" x14ac:dyDescent="0.35">
      <c r="A1764" s="52" t="s">
        <v>669</v>
      </c>
      <c r="B1764" s="52" t="s">
        <v>361</v>
      </c>
      <c r="C1764" s="52" t="s">
        <v>214</v>
      </c>
      <c r="D1764" s="52" t="s">
        <v>214</v>
      </c>
      <c r="E1764" s="52" t="s">
        <v>584</v>
      </c>
      <c r="F1764" s="52" t="s">
        <v>26</v>
      </c>
      <c r="G1764" s="195" t="s">
        <v>278</v>
      </c>
      <c r="H1764" s="195">
        <v>1.311383E-2</v>
      </c>
      <c r="I1764" s="195">
        <v>1.311383E-2</v>
      </c>
      <c r="J1764" s="195">
        <v>0</v>
      </c>
      <c r="K1764" s="195">
        <v>0</v>
      </c>
      <c r="L1764" s="195">
        <v>0</v>
      </c>
      <c r="M1764" s="195"/>
      <c r="N1764" s="195"/>
    </row>
    <row r="1765" spans="1:14" hidden="1" x14ac:dyDescent="0.35">
      <c r="A1765" s="52" t="s">
        <v>669</v>
      </c>
      <c r="B1765" s="52" t="s">
        <v>368</v>
      </c>
      <c r="C1765" s="52" t="s">
        <v>318</v>
      </c>
      <c r="D1765" s="52" t="s">
        <v>318</v>
      </c>
      <c r="E1765" s="52" t="s">
        <v>584</v>
      </c>
      <c r="F1765" s="52" t="s">
        <v>581</v>
      </c>
      <c r="G1765" s="195" t="s">
        <v>275</v>
      </c>
      <c r="H1765" s="195">
        <v>0</v>
      </c>
      <c r="I1765" s="195"/>
      <c r="J1765" s="195"/>
      <c r="K1765" s="195"/>
      <c r="L1765" s="195"/>
      <c r="M1765" s="195"/>
      <c r="N1765" s="195"/>
    </row>
    <row r="1766" spans="1:14" hidden="1" x14ac:dyDescent="0.35">
      <c r="A1766" s="52" t="s">
        <v>669</v>
      </c>
      <c r="B1766" s="52" t="s">
        <v>368</v>
      </c>
      <c r="C1766" s="52" t="s">
        <v>318</v>
      </c>
      <c r="D1766" s="52" t="s">
        <v>318</v>
      </c>
      <c r="E1766" s="52" t="s">
        <v>584</v>
      </c>
      <c r="F1766" s="52" t="s">
        <v>581</v>
      </c>
      <c r="G1766" s="195" t="s">
        <v>276</v>
      </c>
      <c r="H1766" s="195">
        <v>0</v>
      </c>
      <c r="I1766" s="195"/>
      <c r="J1766" s="195"/>
      <c r="K1766" s="195"/>
      <c r="L1766" s="195"/>
      <c r="M1766" s="195"/>
      <c r="N1766" s="195"/>
    </row>
    <row r="1767" spans="1:14" hidden="1" x14ac:dyDescent="0.35">
      <c r="A1767" s="52" t="s">
        <v>669</v>
      </c>
      <c r="B1767" s="52" t="s">
        <v>368</v>
      </c>
      <c r="C1767" s="52" t="s">
        <v>318</v>
      </c>
      <c r="D1767" s="52" t="s">
        <v>318</v>
      </c>
      <c r="E1767" s="52" t="s">
        <v>584</v>
      </c>
      <c r="F1767" s="52" t="s">
        <v>581</v>
      </c>
      <c r="G1767" s="195" t="s">
        <v>278</v>
      </c>
      <c r="H1767" s="195">
        <v>0</v>
      </c>
      <c r="I1767" s="195"/>
      <c r="J1767" s="195"/>
      <c r="K1767" s="195"/>
      <c r="L1767" s="195"/>
      <c r="M1767" s="195"/>
      <c r="N1767" s="195"/>
    </row>
    <row r="1768" spans="1:14" hidden="1" x14ac:dyDescent="0.35">
      <c r="A1768" s="52" t="s">
        <v>669</v>
      </c>
      <c r="B1768" s="52" t="s">
        <v>368</v>
      </c>
      <c r="C1768" s="52" t="s">
        <v>318</v>
      </c>
      <c r="D1768" s="52" t="s">
        <v>318</v>
      </c>
      <c r="E1768" s="52" t="s">
        <v>584</v>
      </c>
      <c r="F1768" s="52" t="s">
        <v>26</v>
      </c>
      <c r="G1768" s="195" t="s">
        <v>275</v>
      </c>
      <c r="H1768" s="195">
        <v>0</v>
      </c>
      <c r="I1768" s="195"/>
      <c r="J1768" s="195"/>
      <c r="K1768" s="195"/>
      <c r="L1768" s="195"/>
      <c r="M1768" s="195"/>
      <c r="N1768" s="195"/>
    </row>
    <row r="1769" spans="1:14" hidden="1" x14ac:dyDescent="0.35">
      <c r="A1769" s="52" t="s">
        <v>669</v>
      </c>
      <c r="B1769" s="52" t="s">
        <v>368</v>
      </c>
      <c r="C1769" s="52" t="s">
        <v>318</v>
      </c>
      <c r="D1769" s="52" t="s">
        <v>318</v>
      </c>
      <c r="E1769" s="52" t="s">
        <v>584</v>
      </c>
      <c r="F1769" s="52" t="s">
        <v>26</v>
      </c>
      <c r="G1769" s="195" t="s">
        <v>276</v>
      </c>
      <c r="H1769" s="195">
        <v>0</v>
      </c>
      <c r="I1769" s="195"/>
      <c r="J1769" s="195"/>
      <c r="K1769" s="195"/>
      <c r="L1769" s="195"/>
      <c r="M1769" s="195"/>
      <c r="N1769" s="195"/>
    </row>
    <row r="1770" spans="1:14" hidden="1" x14ac:dyDescent="0.35">
      <c r="A1770" s="52" t="s">
        <v>669</v>
      </c>
      <c r="B1770" s="52" t="s">
        <v>368</v>
      </c>
      <c r="C1770" s="52" t="s">
        <v>318</v>
      </c>
      <c r="D1770" s="52" t="s">
        <v>318</v>
      </c>
      <c r="E1770" s="52" t="s">
        <v>584</v>
      </c>
      <c r="F1770" s="52" t="s">
        <v>26</v>
      </c>
      <c r="G1770" s="195" t="s">
        <v>278</v>
      </c>
      <c r="H1770" s="195">
        <v>0</v>
      </c>
      <c r="I1770" s="195"/>
      <c r="J1770" s="195"/>
      <c r="K1770" s="195"/>
      <c r="L1770" s="195"/>
      <c r="M1770" s="195"/>
      <c r="N1770" s="195"/>
    </row>
    <row r="1771" spans="1:14" hidden="1" x14ac:dyDescent="0.35">
      <c r="A1771" s="52" t="s">
        <v>669</v>
      </c>
      <c r="B1771" s="52" t="s">
        <v>368</v>
      </c>
      <c r="C1771" s="52" t="s">
        <v>316</v>
      </c>
      <c r="D1771" s="52" t="s">
        <v>316</v>
      </c>
      <c r="E1771" s="52" t="s">
        <v>584</v>
      </c>
      <c r="F1771" s="52" t="s">
        <v>581</v>
      </c>
      <c r="G1771" s="195" t="s">
        <v>275</v>
      </c>
      <c r="H1771" s="195">
        <v>-15.92492</v>
      </c>
      <c r="I1771" s="195">
        <v>0.23687159999999999</v>
      </c>
      <c r="J1771" s="195">
        <v>0</v>
      </c>
      <c r="K1771" s="195">
        <v>0</v>
      </c>
      <c r="L1771" s="195">
        <v>0</v>
      </c>
      <c r="M1771" s="195">
        <v>0</v>
      </c>
      <c r="N1771" s="195">
        <v>0</v>
      </c>
    </row>
    <row r="1772" spans="1:14" hidden="1" x14ac:dyDescent="0.35">
      <c r="A1772" s="52" t="s">
        <v>669</v>
      </c>
      <c r="B1772" s="52" t="s">
        <v>368</v>
      </c>
      <c r="C1772" s="52" t="s">
        <v>316</v>
      </c>
      <c r="D1772" s="52" t="s">
        <v>316</v>
      </c>
      <c r="E1772" s="52" t="s">
        <v>584</v>
      </c>
      <c r="F1772" s="52" t="s">
        <v>581</v>
      </c>
      <c r="G1772" s="195" t="s">
        <v>276</v>
      </c>
      <c r="H1772" s="195">
        <v>-0.33283200000000002</v>
      </c>
      <c r="I1772" s="195">
        <v>-0.33283170000000001</v>
      </c>
      <c r="J1772" s="195">
        <v>-9.5960080000000003E-2</v>
      </c>
      <c r="K1772" s="195">
        <v>-9.5959810000000006E-2</v>
      </c>
      <c r="L1772" s="195">
        <v>-0.1055849</v>
      </c>
      <c r="M1772" s="195">
        <v>-0.10558530000000001</v>
      </c>
      <c r="N1772" s="195">
        <v>-0.38471070000000002</v>
      </c>
    </row>
    <row r="1773" spans="1:14" hidden="1" x14ac:dyDescent="0.35">
      <c r="A1773" s="52" t="s">
        <v>669</v>
      </c>
      <c r="B1773" s="52" t="s">
        <v>368</v>
      </c>
      <c r="C1773" s="52" t="s">
        <v>316</v>
      </c>
      <c r="D1773" s="52" t="s">
        <v>316</v>
      </c>
      <c r="E1773" s="52" t="s">
        <v>584</v>
      </c>
      <c r="F1773" s="52" t="s">
        <v>581</v>
      </c>
      <c r="G1773" s="195" t="s">
        <v>277</v>
      </c>
      <c r="H1773" s="195"/>
      <c r="I1773" s="195"/>
      <c r="J1773" s="195"/>
      <c r="K1773" s="195">
        <v>0</v>
      </c>
      <c r="L1773" s="195">
        <v>9.6249000000000005E-3</v>
      </c>
      <c r="M1773" s="195">
        <v>9.6249000000000005E-3</v>
      </c>
      <c r="N1773" s="195">
        <v>0.28875030000000002</v>
      </c>
    </row>
    <row r="1774" spans="1:14" hidden="1" x14ac:dyDescent="0.35">
      <c r="A1774" s="52" t="s">
        <v>669</v>
      </c>
      <c r="B1774" s="52" t="s">
        <v>368</v>
      </c>
      <c r="C1774" s="52" t="s">
        <v>316</v>
      </c>
      <c r="D1774" s="52" t="s">
        <v>316</v>
      </c>
      <c r="E1774" s="52" t="s">
        <v>584</v>
      </c>
      <c r="F1774" s="52" t="s">
        <v>581</v>
      </c>
      <c r="G1774" s="195" t="s">
        <v>278</v>
      </c>
      <c r="H1774" s="195">
        <v>16.257750000000001</v>
      </c>
      <c r="I1774" s="195">
        <v>9.5960110000000001E-2</v>
      </c>
      <c r="J1774" s="195">
        <v>9.5960100000000007E-2</v>
      </c>
      <c r="K1774" s="195">
        <v>9.5960100000000007E-2</v>
      </c>
      <c r="L1774" s="195">
        <v>9.5960100000000007E-2</v>
      </c>
      <c r="M1774" s="195">
        <v>9.5960110000000001E-2</v>
      </c>
      <c r="N1774" s="195">
        <v>9.5960110000000001E-2</v>
      </c>
    </row>
    <row r="1775" spans="1:14" hidden="1" x14ac:dyDescent="0.35">
      <c r="A1775" s="52" t="s">
        <v>669</v>
      </c>
      <c r="B1775" s="52" t="s">
        <v>368</v>
      </c>
      <c r="C1775" s="52" t="s">
        <v>316</v>
      </c>
      <c r="D1775" s="52" t="s">
        <v>316</v>
      </c>
      <c r="E1775" s="52" t="s">
        <v>584</v>
      </c>
      <c r="F1775" s="52" t="s">
        <v>581</v>
      </c>
      <c r="G1775" s="195" t="s">
        <v>279</v>
      </c>
      <c r="H1775" s="195"/>
      <c r="I1775" s="195"/>
      <c r="J1775" s="195"/>
      <c r="K1775" s="195"/>
      <c r="L1775" s="195"/>
      <c r="M1775" s="195"/>
      <c r="N1775" s="195">
        <v>0</v>
      </c>
    </row>
    <row r="1776" spans="1:14" hidden="1" x14ac:dyDescent="0.35">
      <c r="A1776" s="52" t="s">
        <v>669</v>
      </c>
      <c r="B1776" s="52" t="s">
        <v>368</v>
      </c>
      <c r="C1776" s="52" t="s">
        <v>316</v>
      </c>
      <c r="D1776" s="52" t="s">
        <v>316</v>
      </c>
      <c r="E1776" s="52" t="s">
        <v>584</v>
      </c>
      <c r="F1776" s="52" t="s">
        <v>26</v>
      </c>
      <c r="G1776" s="195" t="s">
        <v>275</v>
      </c>
      <c r="H1776" s="195"/>
      <c r="I1776" s="195"/>
      <c r="J1776" s="195"/>
      <c r="K1776" s="195"/>
      <c r="L1776" s="195"/>
      <c r="M1776" s="195"/>
      <c r="N1776" s="195">
        <v>0</v>
      </c>
    </row>
    <row r="1777" spans="1:14" hidden="1" x14ac:dyDescent="0.35">
      <c r="A1777" s="52" t="s">
        <v>669</v>
      </c>
      <c r="B1777" s="52" t="s">
        <v>368</v>
      </c>
      <c r="C1777" s="52" t="s">
        <v>316</v>
      </c>
      <c r="D1777" s="52" t="s">
        <v>316</v>
      </c>
      <c r="E1777" s="52" t="s">
        <v>584</v>
      </c>
      <c r="F1777" s="52" t="s">
        <v>26</v>
      </c>
      <c r="G1777" s="195" t="s">
        <v>276</v>
      </c>
      <c r="H1777" s="195"/>
      <c r="I1777" s="195"/>
      <c r="J1777" s="195"/>
      <c r="K1777" s="195"/>
      <c r="L1777" s="195"/>
      <c r="M1777" s="195"/>
      <c r="N1777" s="195">
        <v>0</v>
      </c>
    </row>
    <row r="1778" spans="1:14" hidden="1" x14ac:dyDescent="0.35">
      <c r="A1778" s="52" t="s">
        <v>669</v>
      </c>
      <c r="B1778" s="52" t="s">
        <v>368</v>
      </c>
      <c r="C1778" s="52" t="s">
        <v>316</v>
      </c>
      <c r="D1778" s="52" t="s">
        <v>316</v>
      </c>
      <c r="E1778" s="52" t="s">
        <v>584</v>
      </c>
      <c r="F1778" s="52" t="s">
        <v>26</v>
      </c>
      <c r="G1778" s="195" t="s">
        <v>279</v>
      </c>
      <c r="H1778" s="195"/>
      <c r="I1778" s="195"/>
      <c r="J1778" s="195"/>
      <c r="K1778" s="195"/>
      <c r="L1778" s="195"/>
      <c r="M1778" s="195"/>
      <c r="N1778" s="195">
        <v>0</v>
      </c>
    </row>
    <row r="1779" spans="1:14" hidden="1" x14ac:dyDescent="0.35">
      <c r="A1779" s="52" t="s">
        <v>669</v>
      </c>
      <c r="B1779" s="52" t="s">
        <v>280</v>
      </c>
      <c r="C1779" s="52" t="s">
        <v>318</v>
      </c>
      <c r="D1779" s="52" t="s">
        <v>318</v>
      </c>
      <c r="E1779" s="52" t="s">
        <v>584</v>
      </c>
      <c r="F1779" s="52" t="s">
        <v>581</v>
      </c>
      <c r="G1779" s="195" t="s">
        <v>275</v>
      </c>
      <c r="H1779" s="195">
        <v>0</v>
      </c>
      <c r="I1779" s="195"/>
      <c r="J1779" s="195"/>
      <c r="K1779" s="195"/>
      <c r="L1779" s="195"/>
      <c r="M1779" s="195"/>
      <c r="N1779" s="195"/>
    </row>
    <row r="1780" spans="1:14" hidden="1" x14ac:dyDescent="0.35">
      <c r="A1780" s="52" t="s">
        <v>669</v>
      </c>
      <c r="B1780" s="52" t="s">
        <v>280</v>
      </c>
      <c r="C1780" s="52" t="s">
        <v>318</v>
      </c>
      <c r="D1780" s="52" t="s">
        <v>318</v>
      </c>
      <c r="E1780" s="52" t="s">
        <v>584</v>
      </c>
      <c r="F1780" s="52" t="s">
        <v>581</v>
      </c>
      <c r="G1780" s="195" t="s">
        <v>278</v>
      </c>
      <c r="H1780" s="195">
        <v>0</v>
      </c>
      <c r="I1780" s="195"/>
      <c r="J1780" s="195"/>
      <c r="K1780" s="195"/>
      <c r="L1780" s="195"/>
      <c r="M1780" s="195"/>
      <c r="N1780" s="195"/>
    </row>
    <row r="1781" spans="1:14" hidden="1" x14ac:dyDescent="0.35">
      <c r="A1781" s="52" t="s">
        <v>669</v>
      </c>
      <c r="B1781" s="52" t="s">
        <v>280</v>
      </c>
      <c r="C1781" s="52" t="s">
        <v>318</v>
      </c>
      <c r="D1781" s="52" t="s">
        <v>318</v>
      </c>
      <c r="E1781" s="52" t="s">
        <v>584</v>
      </c>
      <c r="F1781" s="52" t="s">
        <v>26</v>
      </c>
      <c r="G1781" s="195" t="s">
        <v>275</v>
      </c>
      <c r="H1781" s="195">
        <v>0</v>
      </c>
      <c r="I1781" s="195"/>
      <c r="J1781" s="195"/>
      <c r="K1781" s="195"/>
      <c r="L1781" s="195"/>
      <c r="M1781" s="195"/>
      <c r="N1781" s="195"/>
    </row>
    <row r="1782" spans="1:14" hidden="1" x14ac:dyDescent="0.35">
      <c r="A1782" s="52" t="s">
        <v>669</v>
      </c>
      <c r="B1782" s="52" t="s">
        <v>280</v>
      </c>
      <c r="C1782" s="52" t="s">
        <v>318</v>
      </c>
      <c r="D1782" s="52" t="s">
        <v>318</v>
      </c>
      <c r="E1782" s="52" t="s">
        <v>584</v>
      </c>
      <c r="F1782" s="52" t="s">
        <v>26</v>
      </c>
      <c r="G1782" s="195" t="s">
        <v>278</v>
      </c>
      <c r="H1782" s="195">
        <v>0</v>
      </c>
      <c r="I1782" s="195"/>
      <c r="J1782" s="195"/>
      <c r="K1782" s="195"/>
      <c r="L1782" s="195"/>
      <c r="M1782" s="195"/>
      <c r="N1782" s="195"/>
    </row>
    <row r="1783" spans="1:14" hidden="1" x14ac:dyDescent="0.35">
      <c r="A1783" s="52" t="s">
        <v>669</v>
      </c>
      <c r="B1783" s="52" t="s">
        <v>280</v>
      </c>
      <c r="C1783" s="52" t="s">
        <v>286</v>
      </c>
      <c r="D1783" s="52" t="s">
        <v>286</v>
      </c>
      <c r="E1783" s="52" t="s">
        <v>584</v>
      </c>
      <c r="F1783" s="52" t="s">
        <v>581</v>
      </c>
      <c r="G1783" s="195" t="s">
        <v>275</v>
      </c>
      <c r="H1783" s="195">
        <v>-0.46684890000000001</v>
      </c>
      <c r="I1783" s="195"/>
      <c r="J1783" s="195"/>
      <c r="K1783" s="195"/>
      <c r="L1783" s="195"/>
      <c r="M1783" s="195"/>
      <c r="N1783" s="195">
        <v>0</v>
      </c>
    </row>
    <row r="1784" spans="1:14" hidden="1" x14ac:dyDescent="0.35">
      <c r="A1784" s="52" t="s">
        <v>669</v>
      </c>
      <c r="B1784" s="52" t="s">
        <v>280</v>
      </c>
      <c r="C1784" s="52" t="s">
        <v>286</v>
      </c>
      <c r="D1784" s="52" t="s">
        <v>286</v>
      </c>
      <c r="E1784" s="52" t="s">
        <v>584</v>
      </c>
      <c r="F1784" s="52" t="s">
        <v>581</v>
      </c>
      <c r="G1784" s="195" t="s">
        <v>276</v>
      </c>
      <c r="H1784" s="195"/>
      <c r="I1784" s="195"/>
      <c r="J1784" s="195"/>
      <c r="K1784" s="195"/>
      <c r="L1784" s="195"/>
      <c r="M1784" s="195"/>
      <c r="N1784" s="195">
        <v>0</v>
      </c>
    </row>
    <row r="1785" spans="1:14" hidden="1" x14ac:dyDescent="0.35">
      <c r="A1785" s="52" t="s">
        <v>669</v>
      </c>
      <c r="B1785" s="52" t="s">
        <v>280</v>
      </c>
      <c r="C1785" s="52" t="s">
        <v>286</v>
      </c>
      <c r="D1785" s="52" t="s">
        <v>286</v>
      </c>
      <c r="E1785" s="52" t="s">
        <v>584</v>
      </c>
      <c r="F1785" s="52" t="s">
        <v>581</v>
      </c>
      <c r="G1785" s="195" t="s">
        <v>277</v>
      </c>
      <c r="H1785" s="195"/>
      <c r="I1785" s="195"/>
      <c r="J1785" s="195"/>
      <c r="K1785" s="195"/>
      <c r="L1785" s="195">
        <v>0</v>
      </c>
      <c r="M1785" s="195">
        <v>0</v>
      </c>
      <c r="N1785" s="195"/>
    </row>
    <row r="1786" spans="1:14" hidden="1" x14ac:dyDescent="0.35">
      <c r="A1786" s="52" t="s">
        <v>669</v>
      </c>
      <c r="B1786" s="52" t="s">
        <v>280</v>
      </c>
      <c r="C1786" s="52" t="s">
        <v>286</v>
      </c>
      <c r="D1786" s="52" t="s">
        <v>286</v>
      </c>
      <c r="E1786" s="52" t="s">
        <v>584</v>
      </c>
      <c r="F1786" s="52" t="s">
        <v>581</v>
      </c>
      <c r="G1786" s="195" t="s">
        <v>278</v>
      </c>
      <c r="H1786" s="195">
        <v>0.46684890000000001</v>
      </c>
      <c r="I1786" s="195">
        <v>0</v>
      </c>
      <c r="J1786" s="195"/>
      <c r="K1786" s="195">
        <v>0</v>
      </c>
      <c r="L1786" s="195">
        <v>0</v>
      </c>
      <c r="M1786" s="195">
        <v>0</v>
      </c>
      <c r="N1786" s="195">
        <v>0</v>
      </c>
    </row>
    <row r="1787" spans="1:14" hidden="1" x14ac:dyDescent="0.35">
      <c r="A1787" s="52" t="s">
        <v>669</v>
      </c>
      <c r="B1787" s="52" t="s">
        <v>280</v>
      </c>
      <c r="C1787" s="52" t="s">
        <v>286</v>
      </c>
      <c r="D1787" s="52" t="s">
        <v>286</v>
      </c>
      <c r="E1787" s="52" t="s">
        <v>584</v>
      </c>
      <c r="F1787" s="52" t="s">
        <v>581</v>
      </c>
      <c r="G1787" s="195" t="s">
        <v>279</v>
      </c>
      <c r="H1787" s="195"/>
      <c r="I1787" s="195"/>
      <c r="J1787" s="195"/>
      <c r="K1787" s="195"/>
      <c r="L1787" s="195"/>
      <c r="M1787" s="195"/>
      <c r="N1787" s="195">
        <v>0</v>
      </c>
    </row>
    <row r="1788" spans="1:14" hidden="1" x14ac:dyDescent="0.35">
      <c r="A1788" s="52" t="s">
        <v>669</v>
      </c>
      <c r="B1788" s="52" t="s">
        <v>280</v>
      </c>
      <c r="C1788" s="52" t="s">
        <v>286</v>
      </c>
      <c r="D1788" s="52" t="s">
        <v>286</v>
      </c>
      <c r="E1788" s="52" t="s">
        <v>584</v>
      </c>
      <c r="F1788" s="52" t="s">
        <v>26</v>
      </c>
      <c r="G1788" s="195" t="s">
        <v>275</v>
      </c>
      <c r="H1788" s="195"/>
      <c r="I1788" s="195">
        <v>-0.46684890000000001</v>
      </c>
      <c r="J1788" s="195">
        <v>0</v>
      </c>
      <c r="K1788" s="195">
        <v>0</v>
      </c>
      <c r="L1788" s="195">
        <v>0</v>
      </c>
      <c r="M1788" s="195">
        <v>0</v>
      </c>
      <c r="N1788" s="195">
        <v>0</v>
      </c>
    </row>
    <row r="1789" spans="1:14" hidden="1" x14ac:dyDescent="0.35">
      <c r="A1789" s="52" t="s">
        <v>669</v>
      </c>
      <c r="B1789" s="52" t="s">
        <v>280</v>
      </c>
      <c r="C1789" s="52" t="s">
        <v>286</v>
      </c>
      <c r="D1789" s="52" t="s">
        <v>286</v>
      </c>
      <c r="E1789" s="52" t="s">
        <v>584</v>
      </c>
      <c r="F1789" s="52" t="s">
        <v>26</v>
      </c>
      <c r="G1789" s="195" t="s">
        <v>276</v>
      </c>
      <c r="H1789" s="195"/>
      <c r="I1789" s="195"/>
      <c r="J1789" s="195">
        <v>-32.053600000000003</v>
      </c>
      <c r="K1789" s="195">
        <v>-0.46684890000000001</v>
      </c>
      <c r="L1789" s="195">
        <v>-0.46684890000000001</v>
      </c>
      <c r="M1789" s="195">
        <v>-29.81183</v>
      </c>
      <c r="N1789" s="195">
        <v>-5.2088549999999998</v>
      </c>
    </row>
    <row r="1790" spans="1:14" hidden="1" x14ac:dyDescent="0.35">
      <c r="A1790" s="52" t="s">
        <v>669</v>
      </c>
      <c r="B1790" s="52" t="s">
        <v>280</v>
      </c>
      <c r="C1790" s="52" t="s">
        <v>286</v>
      </c>
      <c r="D1790" s="52" t="s">
        <v>286</v>
      </c>
      <c r="E1790" s="52" t="s">
        <v>584</v>
      </c>
      <c r="F1790" s="52" t="s">
        <v>26</v>
      </c>
      <c r="G1790" s="195" t="s">
        <v>277</v>
      </c>
      <c r="H1790" s="195"/>
      <c r="I1790" s="195"/>
      <c r="J1790" s="195"/>
      <c r="K1790" s="195"/>
      <c r="L1790" s="195">
        <v>0</v>
      </c>
      <c r="M1790" s="195">
        <v>2.0859300000000001E-2</v>
      </c>
      <c r="N1790" s="195">
        <v>0.31289129999999998</v>
      </c>
    </row>
    <row r="1791" spans="1:14" hidden="1" x14ac:dyDescent="0.35">
      <c r="A1791" s="52" t="s">
        <v>669</v>
      </c>
      <c r="B1791" s="52" t="s">
        <v>280</v>
      </c>
      <c r="C1791" s="52" t="s">
        <v>286</v>
      </c>
      <c r="D1791" s="52" t="s">
        <v>286</v>
      </c>
      <c r="E1791" s="52" t="s">
        <v>584</v>
      </c>
      <c r="F1791" s="52" t="s">
        <v>26</v>
      </c>
      <c r="G1791" s="195" t="s">
        <v>278</v>
      </c>
      <c r="H1791" s="195"/>
      <c r="I1791" s="195">
        <v>0.46684890000000001</v>
      </c>
      <c r="J1791" s="195">
        <v>32.053600000000003</v>
      </c>
      <c r="K1791" s="195">
        <v>0.46684890000000001</v>
      </c>
      <c r="L1791" s="195">
        <v>0.46684890000000001</v>
      </c>
      <c r="M1791" s="195">
        <v>29.790970000000002</v>
      </c>
      <c r="N1791" s="195">
        <v>4.8959630000000001</v>
      </c>
    </row>
    <row r="1792" spans="1:14" hidden="1" x14ac:dyDescent="0.35">
      <c r="A1792" s="52" t="s">
        <v>669</v>
      </c>
      <c r="B1792" s="52" t="s">
        <v>280</v>
      </c>
      <c r="C1792" s="52" t="s">
        <v>286</v>
      </c>
      <c r="D1792" s="52" t="s">
        <v>286</v>
      </c>
      <c r="E1792" s="52" t="s">
        <v>584</v>
      </c>
      <c r="F1792" s="52" t="s">
        <v>26</v>
      </c>
      <c r="G1792" s="195" t="s">
        <v>279</v>
      </c>
      <c r="H1792" s="195"/>
      <c r="I1792" s="195"/>
      <c r="J1792" s="195"/>
      <c r="K1792" s="195"/>
      <c r="L1792" s="195"/>
      <c r="M1792" s="195"/>
      <c r="N1792" s="195">
        <v>0</v>
      </c>
    </row>
    <row r="1793" spans="1:14" hidden="1" x14ac:dyDescent="0.35">
      <c r="A1793" s="52" t="s">
        <v>669</v>
      </c>
      <c r="B1793" s="52" t="s">
        <v>195</v>
      </c>
      <c r="C1793" s="52" t="s">
        <v>710</v>
      </c>
      <c r="D1793" s="52" t="s">
        <v>710</v>
      </c>
      <c r="E1793" s="52" t="s">
        <v>584</v>
      </c>
      <c r="F1793" s="52" t="s">
        <v>581</v>
      </c>
      <c r="G1793" s="195" t="s">
        <v>275</v>
      </c>
      <c r="H1793" s="195"/>
      <c r="I1793" s="195"/>
      <c r="J1793" s="195"/>
      <c r="K1793" s="195"/>
      <c r="L1793" s="195"/>
      <c r="M1793" s="195"/>
      <c r="N1793" s="195">
        <v>0</v>
      </c>
    </row>
    <row r="1794" spans="1:14" hidden="1" x14ac:dyDescent="0.35">
      <c r="A1794" s="52" t="s">
        <v>669</v>
      </c>
      <c r="B1794" s="52" t="s">
        <v>195</v>
      </c>
      <c r="C1794" s="52" t="s">
        <v>318</v>
      </c>
      <c r="D1794" s="52" t="s">
        <v>318</v>
      </c>
      <c r="E1794" s="52" t="s">
        <v>584</v>
      </c>
      <c r="F1794" s="52" t="s">
        <v>581</v>
      </c>
      <c r="G1794" s="195" t="s">
        <v>275</v>
      </c>
      <c r="H1794" s="195">
        <v>0</v>
      </c>
      <c r="I1794" s="195"/>
      <c r="J1794" s="195"/>
      <c r="K1794" s="195"/>
      <c r="L1794" s="195"/>
      <c r="M1794" s="195"/>
      <c r="N1794" s="195"/>
    </row>
    <row r="1795" spans="1:14" hidden="1" x14ac:dyDescent="0.35">
      <c r="A1795" s="52" t="s">
        <v>669</v>
      </c>
      <c r="B1795" s="52" t="s">
        <v>195</v>
      </c>
      <c r="C1795" s="52" t="s">
        <v>318</v>
      </c>
      <c r="D1795" s="52" t="s">
        <v>318</v>
      </c>
      <c r="E1795" s="52" t="s">
        <v>584</v>
      </c>
      <c r="F1795" s="52" t="s">
        <v>581</v>
      </c>
      <c r="G1795" s="195" t="s">
        <v>276</v>
      </c>
      <c r="H1795" s="195">
        <v>0</v>
      </c>
      <c r="I1795" s="195"/>
      <c r="J1795" s="195"/>
      <c r="K1795" s="195"/>
      <c r="L1795" s="195"/>
      <c r="M1795" s="195"/>
      <c r="N1795" s="195"/>
    </row>
    <row r="1796" spans="1:14" hidden="1" x14ac:dyDescent="0.35">
      <c r="A1796" s="52" t="s">
        <v>669</v>
      </c>
      <c r="B1796" s="52" t="s">
        <v>195</v>
      </c>
      <c r="C1796" s="52" t="s">
        <v>710</v>
      </c>
      <c r="D1796" s="52" t="s">
        <v>710</v>
      </c>
      <c r="E1796" s="52" t="s">
        <v>584</v>
      </c>
      <c r="F1796" s="52" t="s">
        <v>581</v>
      </c>
      <c r="G1796" s="195" t="s">
        <v>277</v>
      </c>
      <c r="H1796" s="195"/>
      <c r="I1796" s="195"/>
      <c r="J1796" s="195"/>
      <c r="K1796" s="195"/>
      <c r="L1796" s="195"/>
      <c r="M1796" s="195"/>
      <c r="N1796" s="195">
        <v>0</v>
      </c>
    </row>
    <row r="1797" spans="1:14" hidden="1" x14ac:dyDescent="0.35">
      <c r="A1797" s="52" t="s">
        <v>669</v>
      </c>
      <c r="B1797" s="52" t="s">
        <v>195</v>
      </c>
      <c r="C1797" s="52" t="s">
        <v>318</v>
      </c>
      <c r="D1797" s="52" t="s">
        <v>318</v>
      </c>
      <c r="E1797" s="52" t="s">
        <v>584</v>
      </c>
      <c r="F1797" s="52" t="s">
        <v>581</v>
      </c>
      <c r="G1797" s="195" t="s">
        <v>278</v>
      </c>
      <c r="H1797" s="195">
        <v>0</v>
      </c>
      <c r="I1797" s="195"/>
      <c r="J1797" s="195"/>
      <c r="K1797" s="195"/>
      <c r="L1797" s="195"/>
      <c r="M1797" s="195"/>
      <c r="N1797" s="195"/>
    </row>
    <row r="1798" spans="1:14" hidden="1" x14ac:dyDescent="0.35">
      <c r="A1798" s="52" t="s">
        <v>669</v>
      </c>
      <c r="B1798" s="52" t="s">
        <v>195</v>
      </c>
      <c r="C1798" s="52" t="s">
        <v>710</v>
      </c>
      <c r="D1798" s="52" t="s">
        <v>710</v>
      </c>
      <c r="E1798" s="52" t="s">
        <v>584</v>
      </c>
      <c r="F1798" s="52" t="s">
        <v>581</v>
      </c>
      <c r="G1798" s="195" t="s">
        <v>279</v>
      </c>
      <c r="H1798" s="195"/>
      <c r="I1798" s="195"/>
      <c r="J1798" s="195"/>
      <c r="K1798" s="195"/>
      <c r="L1798" s="195"/>
      <c r="M1798" s="195"/>
      <c r="N1798" s="195">
        <v>0</v>
      </c>
    </row>
    <row r="1799" spans="1:14" hidden="1" x14ac:dyDescent="0.35">
      <c r="A1799" s="52" t="s">
        <v>669</v>
      </c>
      <c r="B1799" s="52" t="s">
        <v>195</v>
      </c>
      <c r="C1799" s="52" t="s">
        <v>710</v>
      </c>
      <c r="D1799" s="52" t="s">
        <v>710</v>
      </c>
      <c r="E1799" s="52" t="s">
        <v>584</v>
      </c>
      <c r="F1799" s="52" t="s">
        <v>26</v>
      </c>
      <c r="G1799" s="195" t="s">
        <v>275</v>
      </c>
      <c r="H1799" s="195">
        <v>-9.5959000000000003E-2</v>
      </c>
      <c r="I1799" s="195">
        <v>-9.5959009999999997E-2</v>
      </c>
      <c r="J1799" s="195">
        <v>0</v>
      </c>
      <c r="K1799" s="195">
        <v>0</v>
      </c>
      <c r="L1799" s="195">
        <v>0</v>
      </c>
      <c r="M1799" s="195">
        <v>0</v>
      </c>
      <c r="N1799" s="195">
        <v>0</v>
      </c>
    </row>
    <row r="1800" spans="1:14" hidden="1" x14ac:dyDescent="0.35">
      <c r="A1800" s="52" t="s">
        <v>669</v>
      </c>
      <c r="B1800" s="52" t="s">
        <v>195</v>
      </c>
      <c r="C1800" s="52" t="s">
        <v>318</v>
      </c>
      <c r="D1800" s="52" t="s">
        <v>318</v>
      </c>
      <c r="E1800" s="52" t="s">
        <v>584</v>
      </c>
      <c r="F1800" s="52" t="s">
        <v>26</v>
      </c>
      <c r="G1800" s="195" t="s">
        <v>275</v>
      </c>
      <c r="H1800" s="195">
        <v>0</v>
      </c>
      <c r="I1800" s="195"/>
      <c r="J1800" s="195"/>
      <c r="K1800" s="195"/>
      <c r="L1800" s="195"/>
      <c r="M1800" s="195"/>
      <c r="N1800" s="195"/>
    </row>
    <row r="1801" spans="1:14" hidden="1" x14ac:dyDescent="0.35">
      <c r="A1801" s="52" t="s">
        <v>669</v>
      </c>
      <c r="B1801" s="52" t="s">
        <v>195</v>
      </c>
      <c r="C1801" s="52" t="s">
        <v>318</v>
      </c>
      <c r="D1801" s="52" t="s">
        <v>318</v>
      </c>
      <c r="E1801" s="52" t="s">
        <v>584</v>
      </c>
      <c r="F1801" s="52" t="s">
        <v>26</v>
      </c>
      <c r="G1801" s="195" t="s">
        <v>276</v>
      </c>
      <c r="H1801" s="195">
        <v>0</v>
      </c>
      <c r="I1801" s="195"/>
      <c r="J1801" s="195"/>
      <c r="K1801" s="195"/>
      <c r="L1801" s="195"/>
      <c r="M1801" s="195"/>
      <c r="N1801" s="195"/>
    </row>
    <row r="1802" spans="1:14" hidden="1" x14ac:dyDescent="0.35">
      <c r="A1802" s="52" t="s">
        <v>669</v>
      </c>
      <c r="B1802" s="52" t="s">
        <v>195</v>
      </c>
      <c r="C1802" s="52" t="s">
        <v>710</v>
      </c>
      <c r="D1802" s="52" t="s">
        <v>710</v>
      </c>
      <c r="E1802" s="52" t="s">
        <v>584</v>
      </c>
      <c r="F1802" s="52" t="s">
        <v>26</v>
      </c>
      <c r="G1802" s="195" t="s">
        <v>277</v>
      </c>
      <c r="H1802" s="195"/>
      <c r="I1802" s="195"/>
      <c r="J1802" s="195">
        <v>0</v>
      </c>
      <c r="K1802" s="195">
        <v>0</v>
      </c>
      <c r="L1802" s="195">
        <v>0</v>
      </c>
      <c r="M1802" s="195">
        <v>0</v>
      </c>
      <c r="N1802" s="195">
        <v>0</v>
      </c>
    </row>
    <row r="1803" spans="1:14" hidden="1" x14ac:dyDescent="0.35">
      <c r="A1803" s="52" t="s">
        <v>669</v>
      </c>
      <c r="B1803" s="52" t="s">
        <v>195</v>
      </c>
      <c r="C1803" s="52" t="s">
        <v>710</v>
      </c>
      <c r="D1803" s="52" t="s">
        <v>710</v>
      </c>
      <c r="E1803" s="52" t="s">
        <v>584</v>
      </c>
      <c r="F1803" s="52" t="s">
        <v>26</v>
      </c>
      <c r="G1803" s="195" t="s">
        <v>278</v>
      </c>
      <c r="H1803" s="195">
        <v>9.5959000000000003E-2</v>
      </c>
      <c r="I1803" s="195">
        <v>9.5959009999999997E-2</v>
      </c>
      <c r="J1803" s="195">
        <v>0</v>
      </c>
      <c r="K1803" s="195">
        <v>0</v>
      </c>
      <c r="L1803" s="195">
        <v>0</v>
      </c>
      <c r="M1803" s="195">
        <v>0</v>
      </c>
      <c r="N1803" s="195">
        <v>0</v>
      </c>
    </row>
    <row r="1804" spans="1:14" hidden="1" x14ac:dyDescent="0.35">
      <c r="A1804" s="52" t="s">
        <v>669</v>
      </c>
      <c r="B1804" s="52" t="s">
        <v>195</v>
      </c>
      <c r="C1804" s="52" t="s">
        <v>318</v>
      </c>
      <c r="D1804" s="52" t="s">
        <v>318</v>
      </c>
      <c r="E1804" s="52" t="s">
        <v>584</v>
      </c>
      <c r="F1804" s="52" t="s">
        <v>26</v>
      </c>
      <c r="G1804" s="195" t="s">
        <v>278</v>
      </c>
      <c r="H1804" s="195">
        <v>0</v>
      </c>
      <c r="I1804" s="195"/>
      <c r="J1804" s="195"/>
      <c r="K1804" s="195"/>
      <c r="L1804" s="195"/>
      <c r="M1804" s="195"/>
      <c r="N1804" s="195"/>
    </row>
    <row r="1805" spans="1:14" hidden="1" x14ac:dyDescent="0.35">
      <c r="A1805" s="52" t="s">
        <v>669</v>
      </c>
      <c r="B1805" s="52" t="s">
        <v>195</v>
      </c>
      <c r="C1805" s="52" t="s">
        <v>710</v>
      </c>
      <c r="D1805" s="52" t="s">
        <v>710</v>
      </c>
      <c r="E1805" s="52" t="s">
        <v>584</v>
      </c>
      <c r="F1805" s="52" t="s">
        <v>26</v>
      </c>
      <c r="G1805" s="195" t="s">
        <v>279</v>
      </c>
      <c r="H1805" s="195"/>
      <c r="I1805" s="195"/>
      <c r="J1805" s="195"/>
      <c r="K1805" s="195"/>
      <c r="L1805" s="195"/>
      <c r="M1805" s="195"/>
      <c r="N1805" s="195">
        <v>0</v>
      </c>
    </row>
    <row r="1806" spans="1:14" hidden="1" x14ac:dyDescent="0.35">
      <c r="A1806" s="52" t="s">
        <v>669</v>
      </c>
      <c r="B1806" s="52" t="s">
        <v>195</v>
      </c>
      <c r="C1806" s="52" t="s">
        <v>359</v>
      </c>
      <c r="D1806" s="52" t="s">
        <v>359</v>
      </c>
      <c r="E1806" s="52" t="s">
        <v>584</v>
      </c>
      <c r="F1806" s="52" t="s">
        <v>581</v>
      </c>
      <c r="G1806" s="195" t="s">
        <v>275</v>
      </c>
      <c r="H1806" s="195"/>
      <c r="I1806" s="195"/>
      <c r="J1806" s="195"/>
      <c r="K1806" s="195"/>
      <c r="L1806" s="195">
        <v>0</v>
      </c>
      <c r="M1806" s="195">
        <v>0</v>
      </c>
      <c r="N1806" s="195">
        <v>0</v>
      </c>
    </row>
    <row r="1807" spans="1:14" hidden="1" x14ac:dyDescent="0.35">
      <c r="A1807" s="52" t="s">
        <v>669</v>
      </c>
      <c r="B1807" s="52" t="s">
        <v>195</v>
      </c>
      <c r="C1807" s="52" t="s">
        <v>359</v>
      </c>
      <c r="D1807" s="52" t="s">
        <v>359</v>
      </c>
      <c r="E1807" s="52" t="s">
        <v>584</v>
      </c>
      <c r="F1807" s="52" t="s">
        <v>581</v>
      </c>
      <c r="G1807" s="195" t="s">
        <v>276</v>
      </c>
      <c r="H1807" s="195"/>
      <c r="I1807" s="195"/>
      <c r="J1807" s="195"/>
      <c r="K1807" s="195"/>
      <c r="L1807" s="195">
        <v>0</v>
      </c>
      <c r="M1807" s="195">
        <v>-4.6799999999999999E-5</v>
      </c>
      <c r="N1807" s="195">
        <v>-4.7200000000000002E-5</v>
      </c>
    </row>
    <row r="1808" spans="1:14" hidden="1" x14ac:dyDescent="0.35">
      <c r="A1808" s="52" t="s">
        <v>669</v>
      </c>
      <c r="B1808" s="52" t="s">
        <v>195</v>
      </c>
      <c r="C1808" s="52" t="s">
        <v>359</v>
      </c>
      <c r="D1808" s="52" t="s">
        <v>359</v>
      </c>
      <c r="E1808" s="52" t="s">
        <v>584</v>
      </c>
      <c r="F1808" s="52" t="s">
        <v>581</v>
      </c>
      <c r="G1808" s="195" t="s">
        <v>279</v>
      </c>
      <c r="H1808" s="195"/>
      <c r="I1808" s="195"/>
      <c r="J1808" s="195"/>
      <c r="K1808" s="195"/>
      <c r="L1808" s="195">
        <v>0</v>
      </c>
      <c r="M1808" s="195">
        <v>4.6400000000000003E-5</v>
      </c>
      <c r="N1808" s="195">
        <v>4.6799999999999999E-5</v>
      </c>
    </row>
    <row r="1809" spans="1:14" hidden="1" x14ac:dyDescent="0.35">
      <c r="A1809" s="52" t="s">
        <v>669</v>
      </c>
      <c r="B1809" s="52" t="s">
        <v>195</v>
      </c>
      <c r="C1809" s="52" t="s">
        <v>359</v>
      </c>
      <c r="D1809" s="52" t="s">
        <v>359</v>
      </c>
      <c r="E1809" s="52" t="s">
        <v>584</v>
      </c>
      <c r="F1809" s="52" t="s">
        <v>26</v>
      </c>
      <c r="G1809" s="195" t="s">
        <v>275</v>
      </c>
      <c r="H1809" s="195">
        <v>-1.241476</v>
      </c>
      <c r="I1809" s="195">
        <v>-1.241476</v>
      </c>
      <c r="J1809" s="195">
        <v>0</v>
      </c>
      <c r="K1809" s="195">
        <v>0</v>
      </c>
      <c r="L1809" s="195">
        <v>0</v>
      </c>
      <c r="M1809" s="195">
        <v>0</v>
      </c>
      <c r="N1809" s="195">
        <v>0</v>
      </c>
    </row>
    <row r="1810" spans="1:14" hidden="1" x14ac:dyDescent="0.35">
      <c r="A1810" s="52" t="s">
        <v>669</v>
      </c>
      <c r="B1810" s="52" t="s">
        <v>195</v>
      </c>
      <c r="C1810" s="52" t="s">
        <v>359</v>
      </c>
      <c r="D1810" s="52" t="s">
        <v>359</v>
      </c>
      <c r="E1810" s="52" t="s">
        <v>584</v>
      </c>
      <c r="F1810" s="52" t="s">
        <v>26</v>
      </c>
      <c r="G1810" s="195" t="s">
        <v>276</v>
      </c>
      <c r="H1810" s="195"/>
      <c r="I1810" s="195"/>
      <c r="J1810" s="195">
        <v>-17.68018</v>
      </c>
      <c r="K1810" s="195">
        <v>-58.783560000000001</v>
      </c>
      <c r="L1810" s="195">
        <v>-88.845659999999995</v>
      </c>
      <c r="M1810" s="195">
        <v>-31.71039</v>
      </c>
      <c r="N1810" s="195">
        <v>-31.148219999999998</v>
      </c>
    </row>
    <row r="1811" spans="1:14" hidden="1" x14ac:dyDescent="0.35">
      <c r="A1811" s="52" t="s">
        <v>669</v>
      </c>
      <c r="B1811" s="52" t="s">
        <v>195</v>
      </c>
      <c r="C1811" s="52" t="s">
        <v>359</v>
      </c>
      <c r="D1811" s="52" t="s">
        <v>359</v>
      </c>
      <c r="E1811" s="52" t="s">
        <v>584</v>
      </c>
      <c r="F1811" s="52" t="s">
        <v>26</v>
      </c>
      <c r="G1811" s="195" t="s">
        <v>277</v>
      </c>
      <c r="H1811" s="195">
        <v>0.52485159999999997</v>
      </c>
      <c r="I1811" s="195">
        <v>0.52485159999999997</v>
      </c>
      <c r="J1811" s="195">
        <v>0</v>
      </c>
      <c r="K1811" s="195">
        <v>1.41896E-2</v>
      </c>
      <c r="L1811" s="195">
        <v>0.13244</v>
      </c>
      <c r="M1811" s="195">
        <v>0.14702270000000001</v>
      </c>
      <c r="N1811" s="195">
        <v>0.18190709999999999</v>
      </c>
    </row>
    <row r="1812" spans="1:14" hidden="1" x14ac:dyDescent="0.35">
      <c r="A1812" s="52" t="s">
        <v>669</v>
      </c>
      <c r="B1812" s="52" t="s">
        <v>195</v>
      </c>
      <c r="C1812" s="52" t="s">
        <v>359</v>
      </c>
      <c r="D1812" s="52" t="s">
        <v>359</v>
      </c>
      <c r="E1812" s="52" t="s">
        <v>584</v>
      </c>
      <c r="F1812" s="52" t="s">
        <v>26</v>
      </c>
      <c r="G1812" s="195" t="s">
        <v>278</v>
      </c>
      <c r="H1812" s="195">
        <v>0.71662400000000004</v>
      </c>
      <c r="I1812" s="195">
        <v>0.71662400000000004</v>
      </c>
      <c r="J1812" s="195">
        <v>17.68018</v>
      </c>
      <c r="K1812" s="195">
        <v>58.769359999999999</v>
      </c>
      <c r="L1812" s="195">
        <v>88.713220000000007</v>
      </c>
      <c r="M1812" s="195">
        <v>31.561199999999999</v>
      </c>
      <c r="N1812" s="195">
        <v>30.96414</v>
      </c>
    </row>
    <row r="1813" spans="1:14" hidden="1" x14ac:dyDescent="0.35">
      <c r="A1813" s="52" t="s">
        <v>669</v>
      </c>
      <c r="B1813" s="52" t="s">
        <v>195</v>
      </c>
      <c r="C1813" s="52" t="s">
        <v>359</v>
      </c>
      <c r="D1813" s="52" t="s">
        <v>359</v>
      </c>
      <c r="E1813" s="52" t="s">
        <v>584</v>
      </c>
      <c r="F1813" s="52" t="s">
        <v>26</v>
      </c>
      <c r="G1813" s="195" t="s">
        <v>279</v>
      </c>
      <c r="H1813" s="195"/>
      <c r="I1813" s="195"/>
      <c r="J1813" s="195">
        <v>0</v>
      </c>
      <c r="K1813" s="195">
        <v>0</v>
      </c>
      <c r="L1813" s="195">
        <v>0</v>
      </c>
      <c r="M1813" s="195">
        <v>2.1679999999999998E-3</v>
      </c>
      <c r="N1813" s="195">
        <v>2.1676E-3</v>
      </c>
    </row>
    <row r="1814" spans="1:14" hidden="1" x14ac:dyDescent="0.35">
      <c r="A1814" s="52" t="s">
        <v>607</v>
      </c>
      <c r="B1814" s="52" t="s">
        <v>37</v>
      </c>
      <c r="C1814" s="52" t="s">
        <v>63</v>
      </c>
      <c r="D1814" s="52" t="s">
        <v>63</v>
      </c>
      <c r="E1814" s="52" t="s">
        <v>608</v>
      </c>
      <c r="F1814" s="52" t="s">
        <v>581</v>
      </c>
      <c r="G1814" s="195" t="s">
        <v>275</v>
      </c>
      <c r="H1814" s="195">
        <v>1.531779</v>
      </c>
      <c r="I1814" s="195">
        <v>0.2338578</v>
      </c>
      <c r="J1814" s="195">
        <v>0.1278668</v>
      </c>
      <c r="K1814" s="195">
        <v>9.2157799999999998E-2</v>
      </c>
      <c r="L1814" s="195">
        <v>3.6976200000000001E-2</v>
      </c>
      <c r="M1814" s="195">
        <v>2.63906E-2</v>
      </c>
      <c r="N1814" s="195">
        <v>2.4222799999999999E-2</v>
      </c>
    </row>
    <row r="1815" spans="1:14" hidden="1" x14ac:dyDescent="0.35">
      <c r="A1815" s="52" t="s">
        <v>607</v>
      </c>
      <c r="B1815" s="52" t="s">
        <v>37</v>
      </c>
      <c r="C1815" s="52" t="s">
        <v>63</v>
      </c>
      <c r="D1815" s="52" t="s">
        <v>63</v>
      </c>
      <c r="E1815" s="52" t="s">
        <v>608</v>
      </c>
      <c r="F1815" s="52" t="s">
        <v>581</v>
      </c>
      <c r="G1815" s="195" t="s">
        <v>276</v>
      </c>
      <c r="H1815" s="195">
        <v>0.16830899999999999</v>
      </c>
      <c r="I1815" s="195">
        <v>2.5695599999999999E-2</v>
      </c>
      <c r="J1815" s="195">
        <v>1.4049799999999999E-2</v>
      </c>
      <c r="K1815" s="195">
        <v>1.0126E-2</v>
      </c>
      <c r="L1815" s="195">
        <v>4.0623999999999999E-3</v>
      </c>
      <c r="M1815" s="195">
        <v>1.3709000000000001E-2</v>
      </c>
      <c r="N1815" s="195">
        <v>1.2582400000000001E-2</v>
      </c>
    </row>
    <row r="1816" spans="1:14" hidden="1" x14ac:dyDescent="0.35">
      <c r="A1816" s="52" t="s">
        <v>607</v>
      </c>
      <c r="B1816" s="52" t="s">
        <v>37</v>
      </c>
      <c r="C1816" s="52" t="s">
        <v>63</v>
      </c>
      <c r="D1816" s="52" t="s">
        <v>63</v>
      </c>
      <c r="E1816" s="52" t="s">
        <v>608</v>
      </c>
      <c r="F1816" s="52" t="s">
        <v>581</v>
      </c>
      <c r="G1816" s="195" t="s">
        <v>279</v>
      </c>
      <c r="H1816" s="195">
        <v>0.94165410000000005</v>
      </c>
      <c r="I1816" s="195">
        <v>0.73869940000000001</v>
      </c>
      <c r="J1816" s="195">
        <v>0.69808999999999999</v>
      </c>
      <c r="K1816" s="195">
        <v>0.75045039999999996</v>
      </c>
      <c r="L1816" s="195">
        <v>0.7478148</v>
      </c>
      <c r="M1816" s="195">
        <v>0.66900179999999998</v>
      </c>
      <c r="N1816" s="195">
        <v>0.60451140000000003</v>
      </c>
    </row>
    <row r="1817" spans="1:14" hidden="1" x14ac:dyDescent="0.35">
      <c r="A1817" s="52" t="s">
        <v>607</v>
      </c>
      <c r="B1817" s="52" t="s">
        <v>37</v>
      </c>
      <c r="C1817" s="52" t="s">
        <v>63</v>
      </c>
      <c r="D1817" s="52" t="s">
        <v>63</v>
      </c>
      <c r="E1817" s="52" t="s">
        <v>608</v>
      </c>
      <c r="F1817" s="52" t="s">
        <v>26</v>
      </c>
      <c r="G1817" s="195" t="s">
        <v>275</v>
      </c>
      <c r="H1817" s="195">
        <v>-372.74630000000002</v>
      </c>
      <c r="I1817" s="195">
        <v>243.30080000000001</v>
      </c>
      <c r="J1817" s="195">
        <v>463.75049999999999</v>
      </c>
      <c r="K1817" s="195">
        <v>416.81189999999998</v>
      </c>
      <c r="L1817" s="195">
        <v>303.93939999999998</v>
      </c>
      <c r="M1817" s="195">
        <v>225.4511</v>
      </c>
      <c r="N1817" s="195">
        <v>258.01639999999998</v>
      </c>
    </row>
    <row r="1818" spans="1:14" hidden="1" x14ac:dyDescent="0.35">
      <c r="A1818" s="52" t="s">
        <v>607</v>
      </c>
      <c r="B1818" s="52" t="s">
        <v>37</v>
      </c>
      <c r="C1818" s="52" t="s">
        <v>63</v>
      </c>
      <c r="D1818" s="52" t="s">
        <v>63</v>
      </c>
      <c r="E1818" s="52" t="s">
        <v>608</v>
      </c>
      <c r="F1818" s="52" t="s">
        <v>26</v>
      </c>
      <c r="G1818" s="195" t="s">
        <v>276</v>
      </c>
      <c r="H1818" s="195">
        <v>-29.761330000000001</v>
      </c>
      <c r="I1818" s="195">
        <v>-48.88588</v>
      </c>
      <c r="J1818" s="195">
        <v>-19.545020000000001</v>
      </c>
      <c r="K1818" s="195">
        <v>-21.25151</v>
      </c>
      <c r="L1818" s="195">
        <v>-31.606490000000001</v>
      </c>
      <c r="M1818" s="195">
        <v>-18.08426</v>
      </c>
      <c r="N1818" s="195">
        <v>9.9910130000000006</v>
      </c>
    </row>
    <row r="1819" spans="1:14" hidden="1" x14ac:dyDescent="0.35">
      <c r="A1819" s="52" t="s">
        <v>607</v>
      </c>
      <c r="B1819" s="52" t="s">
        <v>37</v>
      </c>
      <c r="C1819" s="52" t="s">
        <v>63</v>
      </c>
      <c r="D1819" s="52" t="s">
        <v>63</v>
      </c>
      <c r="E1819" s="52" t="s">
        <v>608</v>
      </c>
      <c r="F1819" s="52" t="s">
        <v>26</v>
      </c>
      <c r="G1819" s="195" t="s">
        <v>277</v>
      </c>
      <c r="H1819" s="195">
        <v>1079.604</v>
      </c>
      <c r="I1819" s="195">
        <v>262.94639999999998</v>
      </c>
      <c r="J1819" s="195">
        <v>163.8528</v>
      </c>
      <c r="K1819" s="195">
        <v>100.3034</v>
      </c>
      <c r="L1819" s="195">
        <v>72.683840000000004</v>
      </c>
      <c r="M1819" s="195">
        <v>123.02370000000001</v>
      </c>
      <c r="N1819" s="195">
        <v>50.214359999999999</v>
      </c>
    </row>
    <row r="1820" spans="1:14" hidden="1" x14ac:dyDescent="0.35">
      <c r="A1820" s="52" t="s">
        <v>607</v>
      </c>
      <c r="B1820" s="52" t="s">
        <v>37</v>
      </c>
      <c r="C1820" s="52" t="s">
        <v>63</v>
      </c>
      <c r="D1820" s="52" t="s">
        <v>63</v>
      </c>
      <c r="E1820" s="52" t="s">
        <v>608</v>
      </c>
      <c r="F1820" s="52" t="s">
        <v>26</v>
      </c>
      <c r="G1820" s="195" t="s">
        <v>278</v>
      </c>
      <c r="H1820" s="195">
        <v>120.252</v>
      </c>
      <c r="I1820" s="195">
        <v>58.038139999999999</v>
      </c>
      <c r="J1820" s="195">
        <v>40.057760000000002</v>
      </c>
      <c r="K1820" s="195">
        <v>34.646140000000003</v>
      </c>
      <c r="L1820" s="195">
        <v>12.97794</v>
      </c>
      <c r="M1820" s="195">
        <v>0</v>
      </c>
      <c r="N1820" s="195"/>
    </row>
    <row r="1821" spans="1:14" hidden="1" x14ac:dyDescent="0.35">
      <c r="A1821" s="52" t="s">
        <v>607</v>
      </c>
      <c r="B1821" s="52" t="s">
        <v>37</v>
      </c>
      <c r="C1821" s="52" t="s">
        <v>63</v>
      </c>
      <c r="D1821" s="52" t="s">
        <v>63</v>
      </c>
      <c r="E1821" s="52" t="s">
        <v>608</v>
      </c>
      <c r="F1821" s="52" t="s">
        <v>26</v>
      </c>
      <c r="G1821" s="195" t="s">
        <v>279</v>
      </c>
      <c r="H1821" s="195">
        <v>1602.6849999999999</v>
      </c>
      <c r="I1821" s="195">
        <v>1496.336</v>
      </c>
      <c r="J1821" s="195">
        <v>1707.3050000000001</v>
      </c>
      <c r="K1821" s="195">
        <v>1817.7280000000001</v>
      </c>
      <c r="L1821" s="195">
        <v>1735.8420000000001</v>
      </c>
      <c r="M1821" s="195">
        <v>1600.404</v>
      </c>
      <c r="N1821" s="195">
        <v>1550.788</v>
      </c>
    </row>
    <row r="1822" spans="1:14" hidden="1" x14ac:dyDescent="0.35">
      <c r="A1822" s="52" t="s">
        <v>607</v>
      </c>
      <c r="B1822" s="52" t="s">
        <v>37</v>
      </c>
      <c r="C1822" s="52" t="s">
        <v>63</v>
      </c>
      <c r="D1822" s="52" t="s">
        <v>63</v>
      </c>
      <c r="E1822" s="52" t="s">
        <v>609</v>
      </c>
      <c r="F1822" s="52" t="s">
        <v>581</v>
      </c>
      <c r="G1822" s="195" t="s">
        <v>275</v>
      </c>
      <c r="H1822" s="195">
        <v>0.42385800000000001</v>
      </c>
      <c r="I1822" s="195">
        <v>7.3496000000000006E-2</v>
      </c>
      <c r="J1822" s="195">
        <v>0.12091979999999999</v>
      </c>
      <c r="K1822" s="195">
        <v>0.1420776</v>
      </c>
      <c r="L1822" s="195">
        <v>0.13751379999999999</v>
      </c>
      <c r="M1822" s="195">
        <v>0.13681119999999999</v>
      </c>
      <c r="N1822" s="195">
        <v>0.15790399999999999</v>
      </c>
    </row>
    <row r="1823" spans="1:14" hidden="1" x14ac:dyDescent="0.35">
      <c r="A1823" s="52" t="s">
        <v>607</v>
      </c>
      <c r="B1823" s="52" t="s">
        <v>37</v>
      </c>
      <c r="C1823" s="52" t="s">
        <v>63</v>
      </c>
      <c r="D1823" s="52" t="s">
        <v>63</v>
      </c>
      <c r="E1823" s="52" t="s">
        <v>609</v>
      </c>
      <c r="F1823" s="52" t="s">
        <v>581</v>
      </c>
      <c r="G1823" s="195" t="s">
        <v>276</v>
      </c>
      <c r="H1823" s="195">
        <v>4.3338000000000002E-2</v>
      </c>
      <c r="I1823" s="195">
        <v>7.5544009999999997E-3</v>
      </c>
      <c r="J1823" s="195">
        <v>1.29956E-2</v>
      </c>
      <c r="K1823" s="195">
        <v>1.51322E-2</v>
      </c>
      <c r="L1823" s="195">
        <v>1.43918E-2</v>
      </c>
      <c r="M1823" s="195">
        <v>2.94548E-2</v>
      </c>
      <c r="N1823" s="195">
        <v>6.1108599999999999E-2</v>
      </c>
    </row>
    <row r="1824" spans="1:14" hidden="1" x14ac:dyDescent="0.35">
      <c r="A1824" s="52" t="s">
        <v>607</v>
      </c>
      <c r="B1824" s="52" t="s">
        <v>37</v>
      </c>
      <c r="C1824" s="52" t="s">
        <v>63</v>
      </c>
      <c r="D1824" s="52" t="s">
        <v>63</v>
      </c>
      <c r="E1824" s="52" t="s">
        <v>609</v>
      </c>
      <c r="F1824" s="52" t="s">
        <v>581</v>
      </c>
      <c r="G1824" s="195" t="s">
        <v>279</v>
      </c>
      <c r="H1824" s="195">
        <v>0.191939</v>
      </c>
      <c r="I1824" s="195">
        <v>0.1163732</v>
      </c>
      <c r="J1824" s="195">
        <v>0.25998579999999999</v>
      </c>
      <c r="K1824" s="195">
        <v>0.35576600000000003</v>
      </c>
      <c r="L1824" s="195">
        <v>0.44937460000000001</v>
      </c>
      <c r="M1824" s="195">
        <v>0.47430519999999998</v>
      </c>
      <c r="N1824" s="195">
        <v>0.60360400000000003</v>
      </c>
    </row>
    <row r="1825" spans="1:14" hidden="1" x14ac:dyDescent="0.35">
      <c r="A1825" s="52" t="s">
        <v>607</v>
      </c>
      <c r="B1825" s="52" t="s">
        <v>37</v>
      </c>
      <c r="C1825" s="52" t="s">
        <v>63</v>
      </c>
      <c r="D1825" s="52" t="s">
        <v>63</v>
      </c>
      <c r="E1825" s="52" t="s">
        <v>609</v>
      </c>
      <c r="F1825" s="52" t="s">
        <v>26</v>
      </c>
      <c r="G1825" s="195" t="s">
        <v>275</v>
      </c>
      <c r="H1825" s="195">
        <v>16.180289999999999</v>
      </c>
      <c r="I1825" s="195">
        <v>126.3155</v>
      </c>
      <c r="J1825" s="195">
        <v>161.51820000000001</v>
      </c>
      <c r="K1825" s="195">
        <v>178.80109999999999</v>
      </c>
      <c r="L1825" s="195">
        <v>145.84610000000001</v>
      </c>
      <c r="M1825" s="195">
        <v>124.191</v>
      </c>
      <c r="N1825" s="195">
        <v>106.0347</v>
      </c>
    </row>
    <row r="1826" spans="1:14" hidden="1" x14ac:dyDescent="0.35">
      <c r="A1826" s="52" t="s">
        <v>607</v>
      </c>
      <c r="B1826" s="52" t="s">
        <v>37</v>
      </c>
      <c r="C1826" s="52" t="s">
        <v>63</v>
      </c>
      <c r="D1826" s="52" t="s">
        <v>63</v>
      </c>
      <c r="E1826" s="52" t="s">
        <v>609</v>
      </c>
      <c r="F1826" s="52" t="s">
        <v>26</v>
      </c>
      <c r="G1826" s="195" t="s">
        <v>276</v>
      </c>
      <c r="H1826" s="195">
        <v>15.5242</v>
      </c>
      <c r="I1826" s="195">
        <v>-2.3135539999999999</v>
      </c>
      <c r="J1826" s="195">
        <v>0.43645070000000002</v>
      </c>
      <c r="K1826" s="195">
        <v>5.1720050000000004</v>
      </c>
      <c r="L1826" s="195">
        <v>4.8864879999999999</v>
      </c>
      <c r="M1826" s="195">
        <v>12.91736</v>
      </c>
      <c r="N1826" s="195">
        <v>18.657299999999999</v>
      </c>
    </row>
    <row r="1827" spans="1:14" hidden="1" x14ac:dyDescent="0.35">
      <c r="A1827" s="52" t="s">
        <v>607</v>
      </c>
      <c r="B1827" s="52" t="s">
        <v>37</v>
      </c>
      <c r="C1827" s="52" t="s">
        <v>63</v>
      </c>
      <c r="D1827" s="52" t="s">
        <v>63</v>
      </c>
      <c r="E1827" s="52" t="s">
        <v>609</v>
      </c>
      <c r="F1827" s="52" t="s">
        <v>26</v>
      </c>
      <c r="G1827" s="195" t="s">
        <v>277</v>
      </c>
      <c r="H1827" s="195">
        <v>230.69569999999999</v>
      </c>
      <c r="I1827" s="195">
        <v>53.837179999999996</v>
      </c>
      <c r="J1827" s="195">
        <v>49.211829999999999</v>
      </c>
      <c r="K1827" s="195">
        <v>24.33493</v>
      </c>
      <c r="L1827" s="195">
        <v>19.72486</v>
      </c>
      <c r="M1827" s="195">
        <v>21.12088</v>
      </c>
      <c r="N1827" s="195">
        <v>25.2913</v>
      </c>
    </row>
    <row r="1828" spans="1:14" hidden="1" x14ac:dyDescent="0.35">
      <c r="A1828" s="52" t="s">
        <v>607</v>
      </c>
      <c r="B1828" s="52" t="s">
        <v>37</v>
      </c>
      <c r="C1828" s="52" t="s">
        <v>63</v>
      </c>
      <c r="D1828" s="52" t="s">
        <v>63</v>
      </c>
      <c r="E1828" s="52" t="s">
        <v>609</v>
      </c>
      <c r="F1828" s="52" t="s">
        <v>26</v>
      </c>
      <c r="G1828" s="195" t="s">
        <v>278</v>
      </c>
      <c r="H1828" s="195">
        <v>31.19171</v>
      </c>
      <c r="I1828" s="195">
        <v>17.324359999999999</v>
      </c>
      <c r="J1828" s="195">
        <v>17.73143</v>
      </c>
      <c r="K1828" s="195">
        <v>16.03997</v>
      </c>
      <c r="L1828" s="195">
        <v>14.8203</v>
      </c>
      <c r="M1828" s="195">
        <v>12.14561</v>
      </c>
      <c r="N1828" s="195">
        <v>15.651350000000001</v>
      </c>
    </row>
    <row r="1829" spans="1:14" hidden="1" x14ac:dyDescent="0.35">
      <c r="A1829" s="52" t="s">
        <v>607</v>
      </c>
      <c r="B1829" s="52" t="s">
        <v>37</v>
      </c>
      <c r="C1829" s="52" t="s">
        <v>63</v>
      </c>
      <c r="D1829" s="52" t="s">
        <v>63</v>
      </c>
      <c r="E1829" s="52" t="s">
        <v>609</v>
      </c>
      <c r="F1829" s="52" t="s">
        <v>26</v>
      </c>
      <c r="G1829" s="195" t="s">
        <v>279</v>
      </c>
      <c r="H1829" s="195">
        <v>269.60550000000001</v>
      </c>
      <c r="I1829" s="195">
        <v>221.03970000000001</v>
      </c>
      <c r="J1829" s="195">
        <v>246.46369999999999</v>
      </c>
      <c r="K1829" s="195">
        <v>282.00290000000001</v>
      </c>
      <c r="L1829" s="195">
        <v>280.54629999999997</v>
      </c>
      <c r="M1829" s="195">
        <v>258.33240000000001</v>
      </c>
      <c r="N1829" s="195">
        <v>252.67750000000001</v>
      </c>
    </row>
    <row r="1830" spans="1:14" hidden="1" x14ac:dyDescent="0.35">
      <c r="A1830" s="52" t="s">
        <v>607</v>
      </c>
      <c r="B1830" s="52" t="s">
        <v>37</v>
      </c>
      <c r="C1830" s="52" t="s">
        <v>63</v>
      </c>
      <c r="D1830" s="52" t="s">
        <v>63</v>
      </c>
      <c r="E1830" s="52" t="s">
        <v>610</v>
      </c>
      <c r="F1830" s="52" t="s">
        <v>581</v>
      </c>
      <c r="G1830" s="195" t="s">
        <v>275</v>
      </c>
      <c r="H1830" s="195">
        <v>140.58799999999999</v>
      </c>
      <c r="I1830" s="195">
        <v>24.090720000000001</v>
      </c>
      <c r="J1830" s="195">
        <v>14.648199999999999</v>
      </c>
      <c r="K1830" s="195">
        <v>10.988049999999999</v>
      </c>
      <c r="L1830" s="195">
        <v>7.1892750000000003</v>
      </c>
      <c r="M1830" s="195">
        <v>6.1779869999999999</v>
      </c>
      <c r="N1830" s="195">
        <v>5.2079089999999999</v>
      </c>
    </row>
    <row r="1831" spans="1:14" hidden="1" x14ac:dyDescent="0.35">
      <c r="A1831" s="52" t="s">
        <v>607</v>
      </c>
      <c r="B1831" s="52" t="s">
        <v>37</v>
      </c>
      <c r="C1831" s="52" t="s">
        <v>63</v>
      </c>
      <c r="D1831" s="52" t="s">
        <v>63</v>
      </c>
      <c r="E1831" s="52" t="s">
        <v>610</v>
      </c>
      <c r="F1831" s="52" t="s">
        <v>581</v>
      </c>
      <c r="G1831" s="195" t="s">
        <v>276</v>
      </c>
      <c r="H1831" s="195">
        <v>9.7734989999999993</v>
      </c>
      <c r="I1831" s="195">
        <v>1.6747570000000001</v>
      </c>
      <c r="J1831" s="195">
        <v>1.018327</v>
      </c>
      <c r="K1831" s="195">
        <v>0.76185890000000001</v>
      </c>
      <c r="L1831" s="195">
        <v>0.49818079999999998</v>
      </c>
      <c r="M1831" s="195">
        <v>1.2731859999999999</v>
      </c>
      <c r="N1831" s="195">
        <v>1.813339</v>
      </c>
    </row>
    <row r="1832" spans="1:14" hidden="1" x14ac:dyDescent="0.35">
      <c r="A1832" s="52" t="s">
        <v>607</v>
      </c>
      <c r="B1832" s="52" t="s">
        <v>37</v>
      </c>
      <c r="C1832" s="52" t="s">
        <v>63</v>
      </c>
      <c r="D1832" s="52" t="s">
        <v>63</v>
      </c>
      <c r="E1832" s="52" t="s">
        <v>610</v>
      </c>
      <c r="F1832" s="52" t="s">
        <v>581</v>
      </c>
      <c r="G1832" s="195" t="s">
        <v>279</v>
      </c>
      <c r="H1832" s="195">
        <v>68.007109999999997</v>
      </c>
      <c r="I1832" s="195">
        <v>50.656559999999999</v>
      </c>
      <c r="J1832" s="195">
        <v>45.600059999999999</v>
      </c>
      <c r="K1832" s="195">
        <v>44.249229999999997</v>
      </c>
      <c r="L1832" s="195">
        <v>43.889189999999999</v>
      </c>
      <c r="M1832" s="195">
        <v>40.340119999999999</v>
      </c>
      <c r="N1832" s="195">
        <v>36.968859999999999</v>
      </c>
    </row>
    <row r="1833" spans="1:14" hidden="1" x14ac:dyDescent="0.35">
      <c r="A1833" s="52" t="s">
        <v>607</v>
      </c>
      <c r="B1833" s="52" t="s">
        <v>37</v>
      </c>
      <c r="C1833" s="52" t="s">
        <v>63</v>
      </c>
      <c r="D1833" s="52" t="s">
        <v>63</v>
      </c>
      <c r="E1833" s="52" t="s">
        <v>610</v>
      </c>
      <c r="F1833" s="52" t="s">
        <v>26</v>
      </c>
      <c r="G1833" s="195" t="s">
        <v>275</v>
      </c>
      <c r="H1833" s="195">
        <v>60.845019999999998</v>
      </c>
      <c r="I1833" s="195">
        <v>47.96022</v>
      </c>
      <c r="J1833" s="195">
        <v>63.214390000000002</v>
      </c>
      <c r="K1833" s="195">
        <v>40.877090000000003</v>
      </c>
      <c r="L1833" s="195">
        <v>26.09159</v>
      </c>
      <c r="M1833" s="195">
        <v>25.730429999999998</v>
      </c>
      <c r="N1833" s="195">
        <v>23.41337</v>
      </c>
    </row>
    <row r="1834" spans="1:14" hidden="1" x14ac:dyDescent="0.35">
      <c r="A1834" s="52" t="s">
        <v>607</v>
      </c>
      <c r="B1834" s="52" t="s">
        <v>37</v>
      </c>
      <c r="C1834" s="52" t="s">
        <v>63</v>
      </c>
      <c r="D1834" s="52" t="s">
        <v>63</v>
      </c>
      <c r="E1834" s="52" t="s">
        <v>610</v>
      </c>
      <c r="F1834" s="52" t="s">
        <v>26</v>
      </c>
      <c r="G1834" s="195" t="s">
        <v>276</v>
      </c>
      <c r="H1834" s="195">
        <v>-12.44322</v>
      </c>
      <c r="I1834" s="195">
        <v>-12.21266</v>
      </c>
      <c r="J1834" s="195">
        <v>-7.4725330000000003</v>
      </c>
      <c r="K1834" s="195">
        <v>-3.970119</v>
      </c>
      <c r="L1834" s="195">
        <v>-3.4736989999999999</v>
      </c>
      <c r="M1834" s="195">
        <v>-1.5700149999999999</v>
      </c>
      <c r="N1834" s="195">
        <v>2.0395159999999999</v>
      </c>
    </row>
    <row r="1835" spans="1:14" hidden="1" x14ac:dyDescent="0.35">
      <c r="A1835" s="52" t="s">
        <v>607</v>
      </c>
      <c r="B1835" s="52" t="s">
        <v>37</v>
      </c>
      <c r="C1835" s="52" t="s">
        <v>63</v>
      </c>
      <c r="D1835" s="52" t="s">
        <v>63</v>
      </c>
      <c r="E1835" s="52" t="s">
        <v>610</v>
      </c>
      <c r="F1835" s="52" t="s">
        <v>26</v>
      </c>
      <c r="G1835" s="195" t="s">
        <v>277</v>
      </c>
      <c r="H1835" s="195">
        <v>77.488010000000003</v>
      </c>
      <c r="I1835" s="195">
        <v>25.909990000000001</v>
      </c>
      <c r="J1835" s="195">
        <v>8.9244540000000008</v>
      </c>
      <c r="K1835" s="195">
        <v>6.8081630000000004</v>
      </c>
      <c r="L1835" s="195">
        <v>6.9213690000000003</v>
      </c>
      <c r="M1835" s="195">
        <v>5.4782169999999999</v>
      </c>
      <c r="N1835" s="195">
        <v>2.779868</v>
      </c>
    </row>
    <row r="1836" spans="1:14" hidden="1" x14ac:dyDescent="0.35">
      <c r="A1836" s="52" t="s">
        <v>607</v>
      </c>
      <c r="B1836" s="52" t="s">
        <v>37</v>
      </c>
      <c r="C1836" s="52" t="s">
        <v>63</v>
      </c>
      <c r="D1836" s="52" t="s">
        <v>63</v>
      </c>
      <c r="E1836" s="52" t="s">
        <v>610</v>
      </c>
      <c r="F1836" s="52" t="s">
        <v>26</v>
      </c>
      <c r="G1836" s="195" t="s">
        <v>278</v>
      </c>
      <c r="H1836" s="195">
        <v>5.1560499999999996</v>
      </c>
      <c r="I1836" s="195">
        <v>3.2483369999999998</v>
      </c>
      <c r="J1836" s="195">
        <v>1.576506</v>
      </c>
      <c r="K1836" s="195">
        <v>2.0813299999999999</v>
      </c>
      <c r="L1836" s="195">
        <v>0.94070759999999998</v>
      </c>
      <c r="M1836" s="195">
        <v>0</v>
      </c>
      <c r="N1836" s="195"/>
    </row>
    <row r="1837" spans="1:14" hidden="1" x14ac:dyDescent="0.35">
      <c r="A1837" s="52" t="s">
        <v>607</v>
      </c>
      <c r="B1837" s="52" t="s">
        <v>37</v>
      </c>
      <c r="C1837" s="52" t="s">
        <v>63</v>
      </c>
      <c r="D1837" s="52" t="s">
        <v>63</v>
      </c>
      <c r="E1837" s="52" t="s">
        <v>610</v>
      </c>
      <c r="F1837" s="52" t="s">
        <v>26</v>
      </c>
      <c r="G1837" s="195" t="s">
        <v>279</v>
      </c>
      <c r="H1837" s="195">
        <v>256.78980000000001</v>
      </c>
      <c r="I1837" s="195">
        <v>195.15049999999999</v>
      </c>
      <c r="J1837" s="195">
        <v>180.7286</v>
      </c>
      <c r="K1837" s="195">
        <v>180.33349999999999</v>
      </c>
      <c r="L1837" s="195">
        <v>178.55009999999999</v>
      </c>
      <c r="M1837" s="195">
        <v>164.80449999999999</v>
      </c>
      <c r="N1837" s="195">
        <v>149.7747</v>
      </c>
    </row>
    <row r="1838" spans="1:14" hidden="1" x14ac:dyDescent="0.35">
      <c r="A1838" s="52" t="s">
        <v>607</v>
      </c>
      <c r="B1838" s="52" t="s">
        <v>37</v>
      </c>
      <c r="C1838" s="52" t="s">
        <v>63</v>
      </c>
      <c r="D1838" s="52" t="s">
        <v>63</v>
      </c>
      <c r="E1838" s="52" t="s">
        <v>611</v>
      </c>
      <c r="F1838" s="52" t="s">
        <v>581</v>
      </c>
      <c r="G1838" s="195" t="s">
        <v>275</v>
      </c>
      <c r="H1838" s="195">
        <v>7.2907510000000002</v>
      </c>
      <c r="I1838" s="195">
        <v>1.6030949999999999</v>
      </c>
      <c r="J1838" s="195">
        <v>1.199362</v>
      </c>
      <c r="K1838" s="195">
        <v>1.0799479999999999</v>
      </c>
      <c r="L1838" s="195">
        <v>0.84089740000000002</v>
      </c>
      <c r="M1838" s="195">
        <v>0.77116479999999998</v>
      </c>
      <c r="N1838" s="195">
        <v>0.57903919999999998</v>
      </c>
    </row>
    <row r="1839" spans="1:14" hidden="1" x14ac:dyDescent="0.35">
      <c r="A1839" s="52" t="s">
        <v>607</v>
      </c>
      <c r="B1839" s="52" t="s">
        <v>37</v>
      </c>
      <c r="C1839" s="52" t="s">
        <v>63</v>
      </c>
      <c r="D1839" s="52" t="s">
        <v>63</v>
      </c>
      <c r="E1839" s="52" t="s">
        <v>611</v>
      </c>
      <c r="F1839" s="52" t="s">
        <v>581</v>
      </c>
      <c r="G1839" s="195" t="s">
        <v>276</v>
      </c>
      <c r="H1839" s="195">
        <v>0.78520800000000002</v>
      </c>
      <c r="I1839" s="195">
        <v>0.1724424</v>
      </c>
      <c r="J1839" s="195">
        <v>0.14531920000000001</v>
      </c>
      <c r="K1839" s="195">
        <v>0.13471920000000001</v>
      </c>
      <c r="L1839" s="195">
        <v>0.107056</v>
      </c>
      <c r="M1839" s="195">
        <v>9.7895990000000002E-2</v>
      </c>
      <c r="N1839" s="195">
        <v>0.23207459999999999</v>
      </c>
    </row>
    <row r="1840" spans="1:14" hidden="1" x14ac:dyDescent="0.35">
      <c r="A1840" s="52" t="s">
        <v>607</v>
      </c>
      <c r="B1840" s="52" t="s">
        <v>37</v>
      </c>
      <c r="C1840" s="52" t="s">
        <v>63</v>
      </c>
      <c r="D1840" s="52" t="s">
        <v>63</v>
      </c>
      <c r="E1840" s="52" t="s">
        <v>611</v>
      </c>
      <c r="F1840" s="52" t="s">
        <v>581</v>
      </c>
      <c r="G1840" s="195" t="s">
        <v>279</v>
      </c>
      <c r="H1840" s="195">
        <v>3.298511</v>
      </c>
      <c r="I1840" s="195">
        <v>2.4867729999999999</v>
      </c>
      <c r="J1840" s="195">
        <v>2.5131579999999998</v>
      </c>
      <c r="K1840" s="195">
        <v>2.6455679999999999</v>
      </c>
      <c r="L1840" s="195">
        <v>2.6832069999999999</v>
      </c>
      <c r="M1840" s="195">
        <v>2.3688769999999999</v>
      </c>
      <c r="N1840" s="195">
        <v>2.1396649999999999</v>
      </c>
    </row>
    <row r="1841" spans="1:14" hidden="1" x14ac:dyDescent="0.35">
      <c r="A1841" s="52" t="s">
        <v>607</v>
      </c>
      <c r="B1841" s="52" t="s">
        <v>37</v>
      </c>
      <c r="C1841" s="52" t="s">
        <v>63</v>
      </c>
      <c r="D1841" s="52" t="s">
        <v>63</v>
      </c>
      <c r="E1841" s="52" t="s">
        <v>611</v>
      </c>
      <c r="F1841" s="52" t="s">
        <v>26</v>
      </c>
      <c r="G1841" s="195" t="s">
        <v>275</v>
      </c>
      <c r="H1841" s="195">
        <v>69.744370000000004</v>
      </c>
      <c r="I1841" s="195">
        <v>55.685980000000001</v>
      </c>
      <c r="J1841" s="195">
        <v>60.412950000000002</v>
      </c>
      <c r="K1841" s="195">
        <v>46.59872</v>
      </c>
      <c r="L1841" s="195">
        <v>37.122630000000001</v>
      </c>
      <c r="M1841" s="195">
        <v>32.066589999999998</v>
      </c>
      <c r="N1841" s="195">
        <v>20.060880000000001</v>
      </c>
    </row>
    <row r="1842" spans="1:14" hidden="1" x14ac:dyDescent="0.35">
      <c r="A1842" s="52" t="s">
        <v>607</v>
      </c>
      <c r="B1842" s="52" t="s">
        <v>37</v>
      </c>
      <c r="C1842" s="52" t="s">
        <v>63</v>
      </c>
      <c r="D1842" s="52" t="s">
        <v>63</v>
      </c>
      <c r="E1842" s="52" t="s">
        <v>611</v>
      </c>
      <c r="F1842" s="52" t="s">
        <v>26</v>
      </c>
      <c r="G1842" s="195" t="s">
        <v>276</v>
      </c>
      <c r="H1842" s="195">
        <v>-11.02946</v>
      </c>
      <c r="I1842" s="195">
        <v>-13.27998</v>
      </c>
      <c r="J1842" s="195">
        <v>-10.092040000000001</v>
      </c>
      <c r="K1842" s="195">
        <v>-6.03139</v>
      </c>
      <c r="L1842" s="195">
        <v>-5.3830600000000004</v>
      </c>
      <c r="M1842" s="195">
        <v>-1.6323620000000001</v>
      </c>
      <c r="N1842" s="195">
        <v>6.6862339999999998</v>
      </c>
    </row>
    <row r="1843" spans="1:14" hidden="1" x14ac:dyDescent="0.35">
      <c r="A1843" s="52" t="s">
        <v>607</v>
      </c>
      <c r="B1843" s="52" t="s">
        <v>37</v>
      </c>
      <c r="C1843" s="52" t="s">
        <v>63</v>
      </c>
      <c r="D1843" s="52" t="s">
        <v>63</v>
      </c>
      <c r="E1843" s="52" t="s">
        <v>611</v>
      </c>
      <c r="F1843" s="52" t="s">
        <v>26</v>
      </c>
      <c r="G1843" s="195" t="s">
        <v>277</v>
      </c>
      <c r="H1843" s="195">
        <v>21.278580000000002</v>
      </c>
      <c r="I1843" s="195">
        <v>5.1804880000000004</v>
      </c>
      <c r="J1843" s="195">
        <v>2.4923489999999999</v>
      </c>
      <c r="K1843" s="195">
        <v>5.8437720000000004</v>
      </c>
      <c r="L1843" s="195">
        <v>5.4718169999999997</v>
      </c>
      <c r="M1843" s="195">
        <v>2.775007</v>
      </c>
      <c r="N1843" s="195">
        <v>3.5817329999999998</v>
      </c>
    </row>
    <row r="1844" spans="1:14" hidden="1" x14ac:dyDescent="0.35">
      <c r="A1844" s="52" t="s">
        <v>607</v>
      </c>
      <c r="B1844" s="52" t="s">
        <v>37</v>
      </c>
      <c r="C1844" s="52" t="s">
        <v>63</v>
      </c>
      <c r="D1844" s="52" t="s">
        <v>63</v>
      </c>
      <c r="E1844" s="52" t="s">
        <v>611</v>
      </c>
      <c r="F1844" s="52" t="s">
        <v>26</v>
      </c>
      <c r="G1844" s="195" t="s">
        <v>278</v>
      </c>
      <c r="H1844" s="195">
        <v>1.9066149999999999</v>
      </c>
      <c r="I1844" s="195">
        <v>0</v>
      </c>
      <c r="J1844" s="195">
        <v>0.16853799999999999</v>
      </c>
      <c r="K1844" s="195">
        <v>0.404279</v>
      </c>
      <c r="L1844" s="195">
        <v>3.8408600000000001E-2</v>
      </c>
      <c r="M1844" s="195">
        <v>0</v>
      </c>
      <c r="N1844" s="195"/>
    </row>
    <row r="1845" spans="1:14" hidden="1" x14ac:dyDescent="0.35">
      <c r="A1845" s="52" t="s">
        <v>607</v>
      </c>
      <c r="B1845" s="52" t="s">
        <v>37</v>
      </c>
      <c r="C1845" s="52" t="s">
        <v>63</v>
      </c>
      <c r="D1845" s="52" t="s">
        <v>63</v>
      </c>
      <c r="E1845" s="52" t="s">
        <v>611</v>
      </c>
      <c r="F1845" s="52" t="s">
        <v>26</v>
      </c>
      <c r="G1845" s="195" t="s">
        <v>279</v>
      </c>
      <c r="H1845" s="195">
        <v>114.0279</v>
      </c>
      <c r="I1845" s="195">
        <v>90.758960000000002</v>
      </c>
      <c r="J1845" s="195">
        <v>94.181809999999999</v>
      </c>
      <c r="K1845" s="195">
        <v>100.1593</v>
      </c>
      <c r="L1845" s="195">
        <v>100.5098</v>
      </c>
      <c r="M1845" s="195">
        <v>88.898319999999998</v>
      </c>
      <c r="N1845" s="195">
        <v>80.247519999999994</v>
      </c>
    </row>
    <row r="1846" spans="1:14" hidden="1" x14ac:dyDescent="0.35">
      <c r="A1846" s="52" t="s">
        <v>607</v>
      </c>
      <c r="B1846" s="52" t="s">
        <v>37</v>
      </c>
      <c r="C1846" s="52" t="s">
        <v>63</v>
      </c>
      <c r="D1846" s="52" t="s">
        <v>63</v>
      </c>
      <c r="E1846" s="52" t="s">
        <v>612</v>
      </c>
      <c r="F1846" s="52" t="s">
        <v>581</v>
      </c>
      <c r="G1846" s="195" t="s">
        <v>275</v>
      </c>
      <c r="H1846" s="195">
        <v>3.6893340000000001</v>
      </c>
      <c r="I1846" s="195">
        <v>1.2005669999999999</v>
      </c>
      <c r="J1846" s="195">
        <v>1.2994650000000001</v>
      </c>
      <c r="K1846" s="195">
        <v>1.1979919999999999</v>
      </c>
      <c r="L1846" s="195">
        <v>1.0011410000000001</v>
      </c>
      <c r="M1846" s="195">
        <v>0.91187099999999999</v>
      </c>
      <c r="N1846" s="195">
        <v>1.032049</v>
      </c>
    </row>
    <row r="1847" spans="1:14" hidden="1" x14ac:dyDescent="0.35">
      <c r="A1847" s="52" t="s">
        <v>607</v>
      </c>
      <c r="B1847" s="52" t="s">
        <v>37</v>
      </c>
      <c r="C1847" s="52" t="s">
        <v>63</v>
      </c>
      <c r="D1847" s="52" t="s">
        <v>63</v>
      </c>
      <c r="E1847" s="52" t="s">
        <v>612</v>
      </c>
      <c r="F1847" s="52" t="s">
        <v>581</v>
      </c>
      <c r="G1847" s="195" t="s">
        <v>276</v>
      </c>
      <c r="H1847" s="195"/>
      <c r="I1847" s="195">
        <v>0</v>
      </c>
      <c r="J1847" s="195"/>
      <c r="K1847" s="195">
        <v>0.30821100000000001</v>
      </c>
      <c r="L1847" s="195">
        <v>0.26612780000000003</v>
      </c>
      <c r="M1847" s="195">
        <v>0.24239859999999999</v>
      </c>
      <c r="N1847" s="195">
        <v>0.27433999999999997</v>
      </c>
    </row>
    <row r="1848" spans="1:14" hidden="1" x14ac:dyDescent="0.35">
      <c r="A1848" s="52" t="s">
        <v>607</v>
      </c>
      <c r="B1848" s="52" t="s">
        <v>37</v>
      </c>
      <c r="C1848" s="52" t="s">
        <v>63</v>
      </c>
      <c r="D1848" s="52" t="s">
        <v>63</v>
      </c>
      <c r="E1848" s="52" t="s">
        <v>612</v>
      </c>
      <c r="F1848" s="52" t="s">
        <v>581</v>
      </c>
      <c r="G1848" s="195" t="s">
        <v>279</v>
      </c>
      <c r="H1848" s="195">
        <v>0.52928900000000001</v>
      </c>
      <c r="I1848" s="195">
        <v>0.52892300000000003</v>
      </c>
      <c r="J1848" s="195">
        <v>0.68509299999999995</v>
      </c>
      <c r="K1848" s="195">
        <v>0.87133720000000003</v>
      </c>
      <c r="L1848" s="195">
        <v>0.84170540000000005</v>
      </c>
      <c r="M1848" s="195">
        <v>0.75872600000000001</v>
      </c>
      <c r="N1848" s="195">
        <v>0.85075239999999996</v>
      </c>
    </row>
    <row r="1849" spans="1:14" hidden="1" x14ac:dyDescent="0.35">
      <c r="A1849" s="52" t="s">
        <v>607</v>
      </c>
      <c r="B1849" s="52" t="s">
        <v>37</v>
      </c>
      <c r="C1849" s="52" t="s">
        <v>63</v>
      </c>
      <c r="D1849" s="52" t="s">
        <v>63</v>
      </c>
      <c r="E1849" s="52" t="s">
        <v>612</v>
      </c>
      <c r="F1849" s="52" t="s">
        <v>26</v>
      </c>
      <c r="G1849" s="195" t="s">
        <v>275</v>
      </c>
      <c r="H1849" s="195">
        <v>6.3321560000000003</v>
      </c>
      <c r="I1849" s="195">
        <v>-0.1013216</v>
      </c>
      <c r="J1849" s="195">
        <v>6.6283609999999999</v>
      </c>
      <c r="K1849" s="195">
        <v>7.7108299999999996</v>
      </c>
      <c r="L1849" s="195">
        <v>4.6779919999999997</v>
      </c>
      <c r="M1849" s="195">
        <v>2.821129</v>
      </c>
      <c r="N1849" s="195">
        <v>-0.2141826</v>
      </c>
    </row>
    <row r="1850" spans="1:14" hidden="1" x14ac:dyDescent="0.35">
      <c r="A1850" s="52" t="s">
        <v>607</v>
      </c>
      <c r="B1850" s="52" t="s">
        <v>37</v>
      </c>
      <c r="C1850" s="52" t="s">
        <v>63</v>
      </c>
      <c r="D1850" s="52" t="s">
        <v>63</v>
      </c>
      <c r="E1850" s="52" t="s">
        <v>612</v>
      </c>
      <c r="F1850" s="52" t="s">
        <v>26</v>
      </c>
      <c r="G1850" s="195" t="s">
        <v>276</v>
      </c>
      <c r="H1850" s="195"/>
      <c r="I1850" s="195">
        <v>0</v>
      </c>
      <c r="J1850" s="195"/>
      <c r="K1850" s="195">
        <v>8.5602999999999999E-2</v>
      </c>
      <c r="L1850" s="195">
        <v>0.14067080000000001</v>
      </c>
      <c r="M1850" s="195">
        <v>0.29590499999999997</v>
      </c>
      <c r="N1850" s="195">
        <v>0.87679059999999998</v>
      </c>
    </row>
    <row r="1851" spans="1:14" hidden="1" x14ac:dyDescent="0.35">
      <c r="A1851" s="52" t="s">
        <v>607</v>
      </c>
      <c r="B1851" s="52" t="s">
        <v>37</v>
      </c>
      <c r="C1851" s="52" t="s">
        <v>63</v>
      </c>
      <c r="D1851" s="52" t="s">
        <v>63</v>
      </c>
      <c r="E1851" s="52" t="s">
        <v>612</v>
      </c>
      <c r="F1851" s="52" t="s">
        <v>26</v>
      </c>
      <c r="G1851" s="195" t="s">
        <v>277</v>
      </c>
      <c r="H1851" s="195">
        <v>0</v>
      </c>
      <c r="I1851" s="195">
        <v>3.4384800000000002</v>
      </c>
      <c r="J1851" s="195">
        <v>0.43970340000000002</v>
      </c>
      <c r="K1851" s="195">
        <v>0</v>
      </c>
      <c r="L1851" s="195">
        <v>0.23911479999999999</v>
      </c>
      <c r="M1851" s="195">
        <v>0.47445959999999998</v>
      </c>
      <c r="N1851" s="195">
        <v>1.792346</v>
      </c>
    </row>
    <row r="1852" spans="1:14" hidden="1" x14ac:dyDescent="0.35">
      <c r="A1852" s="52" t="s">
        <v>607</v>
      </c>
      <c r="B1852" s="52" t="s">
        <v>37</v>
      </c>
      <c r="C1852" s="52" t="s">
        <v>63</v>
      </c>
      <c r="D1852" s="52" t="s">
        <v>63</v>
      </c>
      <c r="E1852" s="52" t="s">
        <v>612</v>
      </c>
      <c r="F1852" s="52" t="s">
        <v>26</v>
      </c>
      <c r="G1852" s="195" t="s">
        <v>278</v>
      </c>
      <c r="H1852" s="195">
        <v>0</v>
      </c>
      <c r="I1852" s="195">
        <v>1.7510410000000001</v>
      </c>
      <c r="J1852" s="195">
        <v>0</v>
      </c>
      <c r="K1852" s="195">
        <v>0</v>
      </c>
      <c r="L1852" s="195">
        <v>1.1552800000000001</v>
      </c>
      <c r="M1852" s="195">
        <v>2.0368599999999999</v>
      </c>
      <c r="N1852" s="195">
        <v>3.894828</v>
      </c>
    </row>
    <row r="1853" spans="1:14" hidden="1" x14ac:dyDescent="0.35">
      <c r="A1853" s="52" t="s">
        <v>607</v>
      </c>
      <c r="B1853" s="52" t="s">
        <v>37</v>
      </c>
      <c r="C1853" s="52" t="s">
        <v>63</v>
      </c>
      <c r="D1853" s="52" t="s">
        <v>63</v>
      </c>
      <c r="E1853" s="52" t="s">
        <v>612</v>
      </c>
      <c r="F1853" s="52" t="s">
        <v>26</v>
      </c>
      <c r="G1853" s="195" t="s">
        <v>279</v>
      </c>
      <c r="H1853" s="195">
        <v>5.7673519999999998</v>
      </c>
      <c r="I1853" s="195">
        <v>5.71922</v>
      </c>
      <c r="J1853" s="195">
        <v>7.4717070000000003</v>
      </c>
      <c r="K1853" s="195">
        <v>9.6138560000000002</v>
      </c>
      <c r="L1853" s="195">
        <v>9.1840349999999997</v>
      </c>
      <c r="M1853" s="195">
        <v>8.3007639999999991</v>
      </c>
      <c r="N1853" s="195">
        <v>9.3080879999999997</v>
      </c>
    </row>
    <row r="1854" spans="1:14" hidden="1" x14ac:dyDescent="0.35">
      <c r="A1854" s="52" t="s">
        <v>607</v>
      </c>
      <c r="B1854" s="52" t="s">
        <v>37</v>
      </c>
      <c r="C1854" s="52" t="s">
        <v>63</v>
      </c>
      <c r="D1854" s="52" t="s">
        <v>63</v>
      </c>
      <c r="E1854" s="52" t="s">
        <v>584</v>
      </c>
      <c r="F1854" s="52" t="s">
        <v>581</v>
      </c>
      <c r="G1854" s="195" t="s">
        <v>275</v>
      </c>
      <c r="H1854" s="195"/>
      <c r="I1854" s="195"/>
      <c r="J1854" s="195"/>
      <c r="K1854" s="195"/>
      <c r="L1854" s="195"/>
      <c r="M1854" s="195">
        <v>0</v>
      </c>
      <c r="N1854" s="195">
        <v>0</v>
      </c>
    </row>
    <row r="1855" spans="1:14" hidden="1" x14ac:dyDescent="0.35">
      <c r="A1855" s="52" t="s">
        <v>607</v>
      </c>
      <c r="B1855" s="52" t="s">
        <v>37</v>
      </c>
      <c r="C1855" s="52" t="s">
        <v>63</v>
      </c>
      <c r="D1855" s="52" t="s">
        <v>63</v>
      </c>
      <c r="E1855" s="52" t="s">
        <v>584</v>
      </c>
      <c r="F1855" s="52" t="s">
        <v>581</v>
      </c>
      <c r="G1855" s="195" t="s">
        <v>276</v>
      </c>
      <c r="H1855" s="195"/>
      <c r="I1855" s="195"/>
      <c r="J1855" s="195"/>
      <c r="K1855" s="195"/>
      <c r="L1855" s="195"/>
      <c r="M1855" s="195">
        <v>0</v>
      </c>
      <c r="N1855" s="195">
        <v>0</v>
      </c>
    </row>
    <row r="1856" spans="1:14" hidden="1" x14ac:dyDescent="0.35">
      <c r="A1856" s="52" t="s">
        <v>607</v>
      </c>
      <c r="B1856" s="52" t="s">
        <v>37</v>
      </c>
      <c r="C1856" s="52" t="s">
        <v>63</v>
      </c>
      <c r="D1856" s="52" t="s">
        <v>63</v>
      </c>
      <c r="E1856" s="52" t="s">
        <v>584</v>
      </c>
      <c r="F1856" s="52" t="s">
        <v>581</v>
      </c>
      <c r="G1856" s="195" t="s">
        <v>279</v>
      </c>
      <c r="H1856" s="195"/>
      <c r="I1856" s="195"/>
      <c r="J1856" s="195"/>
      <c r="K1856" s="195"/>
      <c r="L1856" s="195"/>
      <c r="M1856" s="195">
        <v>0</v>
      </c>
      <c r="N1856" s="195">
        <v>0</v>
      </c>
    </row>
    <row r="1857" spans="1:14" hidden="1" x14ac:dyDescent="0.35">
      <c r="A1857" s="52" t="s">
        <v>607</v>
      </c>
      <c r="B1857" s="52" t="s">
        <v>37</v>
      </c>
      <c r="C1857" s="52" t="s">
        <v>63</v>
      </c>
      <c r="D1857" s="52" t="s">
        <v>63</v>
      </c>
      <c r="E1857" s="52" t="s">
        <v>584</v>
      </c>
      <c r="F1857" s="52" t="s">
        <v>26</v>
      </c>
      <c r="G1857" s="195" t="s">
        <v>275</v>
      </c>
      <c r="H1857" s="195">
        <v>0</v>
      </c>
      <c r="I1857" s="195"/>
      <c r="J1857" s="195"/>
      <c r="K1857" s="195"/>
      <c r="L1857" s="195"/>
      <c r="M1857" s="195">
        <v>0</v>
      </c>
      <c r="N1857" s="195">
        <v>0</v>
      </c>
    </row>
    <row r="1858" spans="1:14" hidden="1" x14ac:dyDescent="0.35">
      <c r="A1858" s="52" t="s">
        <v>607</v>
      </c>
      <c r="B1858" s="52" t="s">
        <v>37</v>
      </c>
      <c r="C1858" s="52" t="s">
        <v>63</v>
      </c>
      <c r="D1858" s="52" t="s">
        <v>63</v>
      </c>
      <c r="E1858" s="52" t="s">
        <v>584</v>
      </c>
      <c r="F1858" s="52" t="s">
        <v>26</v>
      </c>
      <c r="G1858" s="195" t="s">
        <v>276</v>
      </c>
      <c r="H1858" s="195">
        <v>0</v>
      </c>
      <c r="I1858" s="195"/>
      <c r="J1858" s="195"/>
      <c r="K1858" s="195"/>
      <c r="L1858" s="195"/>
      <c r="M1858" s="195">
        <v>0</v>
      </c>
      <c r="N1858" s="195">
        <v>0</v>
      </c>
    </row>
    <row r="1859" spans="1:14" hidden="1" x14ac:dyDescent="0.35">
      <c r="A1859" s="52" t="s">
        <v>607</v>
      </c>
      <c r="B1859" s="52" t="s">
        <v>37</v>
      </c>
      <c r="C1859" s="52" t="s">
        <v>63</v>
      </c>
      <c r="D1859" s="52" t="s">
        <v>63</v>
      </c>
      <c r="E1859" s="52" t="s">
        <v>584</v>
      </c>
      <c r="F1859" s="52" t="s">
        <v>26</v>
      </c>
      <c r="G1859" s="195" t="s">
        <v>277</v>
      </c>
      <c r="H1859" s="195"/>
      <c r="I1859" s="195"/>
      <c r="J1859" s="195"/>
      <c r="K1859" s="195"/>
      <c r="L1859" s="195"/>
      <c r="M1859" s="195">
        <v>0</v>
      </c>
      <c r="N1859" s="195">
        <v>0</v>
      </c>
    </row>
    <row r="1860" spans="1:14" hidden="1" x14ac:dyDescent="0.35">
      <c r="A1860" s="52" t="s">
        <v>607</v>
      </c>
      <c r="B1860" s="52" t="s">
        <v>37</v>
      </c>
      <c r="C1860" s="52" t="s">
        <v>63</v>
      </c>
      <c r="D1860" s="52" t="s">
        <v>63</v>
      </c>
      <c r="E1860" s="52" t="s">
        <v>584</v>
      </c>
      <c r="F1860" s="52" t="s">
        <v>26</v>
      </c>
      <c r="G1860" s="195" t="s">
        <v>279</v>
      </c>
      <c r="H1860" s="195"/>
      <c r="I1860" s="195"/>
      <c r="J1860" s="195"/>
      <c r="K1860" s="195"/>
      <c r="L1860" s="195"/>
      <c r="M1860" s="195">
        <v>0</v>
      </c>
      <c r="N1860" s="195">
        <v>0</v>
      </c>
    </row>
    <row r="1861" spans="1:14" hidden="1" x14ac:dyDescent="0.35">
      <c r="A1861" s="52" t="s">
        <v>607</v>
      </c>
      <c r="B1861" s="52" t="s">
        <v>37</v>
      </c>
      <c r="C1861" s="52" t="s">
        <v>99</v>
      </c>
      <c r="D1861" s="52" t="s">
        <v>100</v>
      </c>
      <c r="E1861" s="52" t="s">
        <v>584</v>
      </c>
      <c r="F1861" s="52" t="s">
        <v>581</v>
      </c>
      <c r="G1861" s="195" t="s">
        <v>275</v>
      </c>
      <c r="H1861" s="195">
        <v>0.140602</v>
      </c>
      <c r="I1861" s="195">
        <v>0.14715800000000001</v>
      </c>
      <c r="J1861" s="195">
        <v>2.4998200000000002E-2</v>
      </c>
      <c r="K1861" s="195">
        <v>2.0775800000000001E-2</v>
      </c>
      <c r="L1861" s="195">
        <v>1.3920999999999999E-2</v>
      </c>
      <c r="M1861" s="195">
        <v>1.14888E-2</v>
      </c>
      <c r="N1861" s="195">
        <v>9.4707999999999997E-3</v>
      </c>
    </row>
    <row r="1862" spans="1:14" hidden="1" x14ac:dyDescent="0.35">
      <c r="A1862" s="52" t="s">
        <v>607</v>
      </c>
      <c r="B1862" s="52" t="s">
        <v>37</v>
      </c>
      <c r="C1862" s="52" t="s">
        <v>99</v>
      </c>
      <c r="D1862" s="52" t="s">
        <v>100</v>
      </c>
      <c r="E1862" s="52" t="s">
        <v>584</v>
      </c>
      <c r="F1862" s="52" t="s">
        <v>581</v>
      </c>
      <c r="G1862" s="195" t="s">
        <v>276</v>
      </c>
      <c r="H1862" s="195">
        <v>1.8910000000000001E-3</v>
      </c>
      <c r="I1862" s="195">
        <v>-0.10281220000000001</v>
      </c>
      <c r="J1862" s="195">
        <v>6.6394000000000002E-3</v>
      </c>
      <c r="K1862" s="195">
        <v>5.5199999999999997E-3</v>
      </c>
      <c r="L1862" s="195">
        <v>3.6992000000000001E-3</v>
      </c>
      <c r="M1862" s="195">
        <v>3.0542E-3</v>
      </c>
      <c r="N1862" s="195">
        <v>2.5171999999999998E-3</v>
      </c>
    </row>
    <row r="1863" spans="1:14" hidden="1" x14ac:dyDescent="0.35">
      <c r="A1863" s="52" t="s">
        <v>607</v>
      </c>
      <c r="B1863" s="52" t="s">
        <v>37</v>
      </c>
      <c r="C1863" s="52" t="s">
        <v>99</v>
      </c>
      <c r="D1863" s="52" t="s">
        <v>100</v>
      </c>
      <c r="E1863" s="52" t="s">
        <v>584</v>
      </c>
      <c r="F1863" s="52" t="s">
        <v>581</v>
      </c>
      <c r="G1863" s="195" t="s">
        <v>277</v>
      </c>
      <c r="H1863" s="195">
        <v>0</v>
      </c>
      <c r="I1863" s="195"/>
      <c r="J1863" s="195"/>
      <c r="K1863" s="195"/>
      <c r="L1863" s="195"/>
      <c r="M1863" s="195"/>
      <c r="N1863" s="195"/>
    </row>
    <row r="1864" spans="1:14" hidden="1" x14ac:dyDescent="0.35">
      <c r="A1864" s="52" t="s">
        <v>607</v>
      </c>
      <c r="B1864" s="52" t="s">
        <v>37</v>
      </c>
      <c r="C1864" s="52" t="s">
        <v>99</v>
      </c>
      <c r="D1864" s="52" t="s">
        <v>100</v>
      </c>
      <c r="E1864" s="52" t="s">
        <v>584</v>
      </c>
      <c r="F1864" s="52" t="s">
        <v>581</v>
      </c>
      <c r="G1864" s="195" t="s">
        <v>278</v>
      </c>
      <c r="H1864" s="195">
        <v>1.2999999999999999E-5</v>
      </c>
      <c r="I1864" s="195">
        <v>0</v>
      </c>
      <c r="J1864" s="195"/>
      <c r="K1864" s="195"/>
      <c r="L1864" s="195"/>
      <c r="M1864" s="195"/>
      <c r="N1864" s="195"/>
    </row>
    <row r="1865" spans="1:14" hidden="1" x14ac:dyDescent="0.35">
      <c r="A1865" s="52" t="s">
        <v>607</v>
      </c>
      <c r="B1865" s="52" t="s">
        <v>37</v>
      </c>
      <c r="C1865" s="52" t="s">
        <v>99</v>
      </c>
      <c r="D1865" s="52" t="s">
        <v>100</v>
      </c>
      <c r="E1865" s="52" t="s">
        <v>584</v>
      </c>
      <c r="F1865" s="52" t="s">
        <v>581</v>
      </c>
      <c r="G1865" s="195" t="s">
        <v>279</v>
      </c>
      <c r="H1865" s="195">
        <v>1.7707000000000001E-2</v>
      </c>
      <c r="I1865" s="195">
        <v>8.0654000000000003E-3</v>
      </c>
      <c r="J1865" s="195">
        <v>6.2243999999999997E-3</v>
      </c>
      <c r="K1865" s="195">
        <v>5.4694000000000001E-3</v>
      </c>
      <c r="L1865" s="195">
        <v>3.8853999999999998E-3</v>
      </c>
      <c r="M1865" s="195">
        <v>3.2024000000000002E-3</v>
      </c>
      <c r="N1865" s="195">
        <v>2.6359999999999999E-3</v>
      </c>
    </row>
    <row r="1866" spans="1:14" hidden="1" x14ac:dyDescent="0.35">
      <c r="A1866" s="52" t="s">
        <v>607</v>
      </c>
      <c r="B1866" s="52" t="s">
        <v>37</v>
      </c>
      <c r="C1866" s="52" t="s">
        <v>99</v>
      </c>
      <c r="D1866" s="52" t="s">
        <v>100</v>
      </c>
      <c r="E1866" s="52" t="s">
        <v>584</v>
      </c>
      <c r="F1866" s="52" t="s">
        <v>26</v>
      </c>
      <c r="G1866" s="195" t="s">
        <v>275</v>
      </c>
      <c r="H1866" s="195">
        <v>0.33548889999999998</v>
      </c>
      <c r="I1866" s="195">
        <v>0</v>
      </c>
      <c r="J1866" s="195"/>
      <c r="K1866" s="195"/>
      <c r="L1866" s="195"/>
      <c r="M1866" s="195"/>
      <c r="N1866" s="195"/>
    </row>
    <row r="1867" spans="1:14" hidden="1" x14ac:dyDescent="0.35">
      <c r="A1867" s="52" t="s">
        <v>607</v>
      </c>
      <c r="B1867" s="52" t="s">
        <v>37</v>
      </c>
      <c r="C1867" s="52" t="s">
        <v>99</v>
      </c>
      <c r="D1867" s="52" t="s">
        <v>100</v>
      </c>
      <c r="E1867" s="52" t="s">
        <v>584</v>
      </c>
      <c r="F1867" s="52" t="s">
        <v>26</v>
      </c>
      <c r="G1867" s="195" t="s">
        <v>276</v>
      </c>
      <c r="H1867" s="195">
        <v>-0.33548889999999998</v>
      </c>
      <c r="I1867" s="195">
        <v>0</v>
      </c>
      <c r="J1867" s="195"/>
      <c r="K1867" s="195"/>
      <c r="L1867" s="195"/>
      <c r="M1867" s="195"/>
      <c r="N1867" s="195"/>
    </row>
    <row r="1868" spans="1:14" hidden="1" x14ac:dyDescent="0.35">
      <c r="A1868" s="52" t="s">
        <v>607</v>
      </c>
      <c r="B1868" s="52" t="s">
        <v>37</v>
      </c>
      <c r="C1868" s="52" t="s">
        <v>99</v>
      </c>
      <c r="D1868" s="52" t="s">
        <v>101</v>
      </c>
      <c r="E1868" s="52" t="s">
        <v>584</v>
      </c>
      <c r="F1868" s="52" t="s">
        <v>581</v>
      </c>
      <c r="G1868" s="195" t="s">
        <v>275</v>
      </c>
      <c r="H1868" s="195">
        <v>2.2231000000000001E-2</v>
      </c>
      <c r="I1868" s="195">
        <v>-1.2223740000000001</v>
      </c>
      <c r="J1868" s="195">
        <v>0</v>
      </c>
      <c r="K1868" s="195"/>
      <c r="L1868" s="195"/>
      <c r="M1868" s="195"/>
      <c r="N1868" s="195"/>
    </row>
    <row r="1869" spans="1:14" hidden="1" x14ac:dyDescent="0.35">
      <c r="A1869" s="52" t="s">
        <v>607</v>
      </c>
      <c r="B1869" s="52" t="s">
        <v>37</v>
      </c>
      <c r="C1869" s="52" t="s">
        <v>99</v>
      </c>
      <c r="D1869" s="52" t="s">
        <v>101</v>
      </c>
      <c r="E1869" s="52" t="s">
        <v>584</v>
      </c>
      <c r="F1869" s="52" t="s">
        <v>581</v>
      </c>
      <c r="G1869" s="195" t="s">
        <v>276</v>
      </c>
      <c r="H1869" s="195">
        <v>5.9100000000000003E-3</v>
      </c>
      <c r="I1869" s="195">
        <v>-0.32493300000000003</v>
      </c>
      <c r="J1869" s="195">
        <v>0</v>
      </c>
      <c r="K1869" s="195"/>
      <c r="L1869" s="195"/>
      <c r="M1869" s="195"/>
      <c r="N1869" s="195"/>
    </row>
    <row r="1870" spans="1:14" hidden="1" x14ac:dyDescent="0.35">
      <c r="A1870" s="52" t="s">
        <v>607</v>
      </c>
      <c r="B1870" s="52" t="s">
        <v>37</v>
      </c>
      <c r="C1870" s="52" t="s">
        <v>99</v>
      </c>
      <c r="D1870" s="52" t="s">
        <v>101</v>
      </c>
      <c r="E1870" s="52" t="s">
        <v>584</v>
      </c>
      <c r="F1870" s="52" t="s">
        <v>581</v>
      </c>
      <c r="G1870" s="195" t="s">
        <v>279</v>
      </c>
      <c r="H1870" s="195">
        <v>2.2820000000000002E-3</v>
      </c>
      <c r="I1870" s="195">
        <v>1.5473079999999999</v>
      </c>
      <c r="J1870" s="195">
        <v>0</v>
      </c>
      <c r="K1870" s="195"/>
      <c r="L1870" s="195"/>
      <c r="M1870" s="195"/>
      <c r="N1870" s="195"/>
    </row>
    <row r="1871" spans="1:14" hidden="1" x14ac:dyDescent="0.35">
      <c r="A1871" s="52" t="s">
        <v>607</v>
      </c>
      <c r="B1871" s="52" t="s">
        <v>37</v>
      </c>
      <c r="C1871" s="52" t="s">
        <v>99</v>
      </c>
      <c r="D1871" s="52" t="s">
        <v>101</v>
      </c>
      <c r="E1871" s="52" t="s">
        <v>584</v>
      </c>
      <c r="F1871" s="52" t="s">
        <v>26</v>
      </c>
      <c r="G1871" s="195" t="s">
        <v>275</v>
      </c>
      <c r="H1871" s="195">
        <v>0</v>
      </c>
      <c r="I1871" s="195">
        <v>-3.4491809999999998</v>
      </c>
      <c r="J1871" s="195">
        <v>0</v>
      </c>
      <c r="K1871" s="195"/>
      <c r="L1871" s="195"/>
      <c r="M1871" s="195"/>
      <c r="N1871" s="195"/>
    </row>
    <row r="1872" spans="1:14" hidden="1" x14ac:dyDescent="0.35">
      <c r="A1872" s="52" t="s">
        <v>607</v>
      </c>
      <c r="B1872" s="52" t="s">
        <v>37</v>
      </c>
      <c r="C1872" s="52" t="s">
        <v>99</v>
      </c>
      <c r="D1872" s="52" t="s">
        <v>101</v>
      </c>
      <c r="E1872" s="52" t="s">
        <v>584</v>
      </c>
      <c r="F1872" s="52" t="s">
        <v>26</v>
      </c>
      <c r="G1872" s="195" t="s">
        <v>276</v>
      </c>
      <c r="H1872" s="195">
        <v>0</v>
      </c>
      <c r="I1872" s="195">
        <v>-0.91687099999999999</v>
      </c>
      <c r="J1872" s="195">
        <v>0</v>
      </c>
      <c r="K1872" s="195"/>
      <c r="L1872" s="195"/>
      <c r="M1872" s="195"/>
      <c r="N1872" s="195"/>
    </row>
    <row r="1873" spans="1:14" hidden="1" x14ac:dyDescent="0.35">
      <c r="A1873" s="52" t="s">
        <v>607</v>
      </c>
      <c r="B1873" s="52" t="s">
        <v>37</v>
      </c>
      <c r="C1873" s="52" t="s">
        <v>99</v>
      </c>
      <c r="D1873" s="52" t="s">
        <v>101</v>
      </c>
      <c r="E1873" s="52" t="s">
        <v>584</v>
      </c>
      <c r="F1873" s="52" t="s">
        <v>26</v>
      </c>
      <c r="G1873" s="195" t="s">
        <v>279</v>
      </c>
      <c r="H1873" s="195">
        <v>0</v>
      </c>
      <c r="I1873" s="195">
        <v>4.3660509999999997</v>
      </c>
      <c r="J1873" s="195">
        <v>0</v>
      </c>
      <c r="K1873" s="195"/>
      <c r="L1873" s="195"/>
      <c r="M1873" s="195"/>
      <c r="N1873" s="195"/>
    </row>
    <row r="1874" spans="1:14" hidden="1" x14ac:dyDescent="0.35">
      <c r="A1874" s="52" t="s">
        <v>607</v>
      </c>
      <c r="B1874" s="52" t="s">
        <v>37</v>
      </c>
      <c r="C1874" s="52" t="s">
        <v>118</v>
      </c>
      <c r="D1874" s="52" t="s">
        <v>118</v>
      </c>
      <c r="E1874" s="52" t="s">
        <v>584</v>
      </c>
      <c r="F1874" s="52" t="s">
        <v>581</v>
      </c>
      <c r="G1874" s="195" t="s">
        <v>275</v>
      </c>
      <c r="H1874" s="195">
        <v>3.2882000000000002E-2</v>
      </c>
      <c r="I1874" s="195">
        <v>3.2092000000000002E-3</v>
      </c>
      <c r="J1874" s="195">
        <v>-0.62167799999999995</v>
      </c>
      <c r="K1874" s="195">
        <v>0</v>
      </c>
      <c r="L1874" s="195"/>
      <c r="M1874" s="195"/>
      <c r="N1874" s="195"/>
    </row>
    <row r="1875" spans="1:14" hidden="1" x14ac:dyDescent="0.35">
      <c r="A1875" s="52" t="s">
        <v>607</v>
      </c>
      <c r="B1875" s="52" t="s">
        <v>37</v>
      </c>
      <c r="C1875" s="52" t="s">
        <v>118</v>
      </c>
      <c r="D1875" s="52" t="s">
        <v>118</v>
      </c>
      <c r="E1875" s="52" t="s">
        <v>584</v>
      </c>
      <c r="F1875" s="52" t="s">
        <v>581</v>
      </c>
      <c r="G1875" s="195" t="s">
        <v>276</v>
      </c>
      <c r="H1875" s="195">
        <v>8.741001E-3</v>
      </c>
      <c r="I1875" s="195">
        <v>8.5320000000000003E-4</v>
      </c>
      <c r="J1875" s="195">
        <v>-0.16525599999999999</v>
      </c>
      <c r="K1875" s="195">
        <v>0</v>
      </c>
      <c r="L1875" s="195"/>
      <c r="M1875" s="195"/>
      <c r="N1875" s="195"/>
    </row>
    <row r="1876" spans="1:14" hidden="1" x14ac:dyDescent="0.35">
      <c r="A1876" s="52" t="s">
        <v>607</v>
      </c>
      <c r="B1876" s="52" t="s">
        <v>37</v>
      </c>
      <c r="C1876" s="52" t="s">
        <v>118</v>
      </c>
      <c r="D1876" s="52" t="s">
        <v>118</v>
      </c>
      <c r="E1876" s="52" t="s">
        <v>584</v>
      </c>
      <c r="F1876" s="52" t="s">
        <v>581</v>
      </c>
      <c r="G1876" s="195" t="s">
        <v>279</v>
      </c>
      <c r="H1876" s="195">
        <v>3.075E-3</v>
      </c>
      <c r="I1876" s="195">
        <v>2.5359999999999998E-4</v>
      </c>
      <c r="J1876" s="195">
        <v>0.78693500000000005</v>
      </c>
      <c r="K1876" s="195">
        <v>0</v>
      </c>
      <c r="L1876" s="195"/>
      <c r="M1876" s="195"/>
      <c r="N1876" s="195"/>
    </row>
    <row r="1877" spans="1:14" hidden="1" x14ac:dyDescent="0.35">
      <c r="A1877" s="52" t="s">
        <v>607</v>
      </c>
      <c r="B1877" s="52" t="s">
        <v>37</v>
      </c>
      <c r="C1877" s="52" t="s">
        <v>118</v>
      </c>
      <c r="D1877" s="52" t="s">
        <v>118</v>
      </c>
      <c r="E1877" s="52" t="s">
        <v>584</v>
      </c>
      <c r="F1877" s="52" t="s">
        <v>26</v>
      </c>
      <c r="G1877" s="195" t="s">
        <v>275</v>
      </c>
      <c r="H1877" s="195">
        <v>0</v>
      </c>
      <c r="I1877" s="195">
        <v>0</v>
      </c>
      <c r="J1877" s="195">
        <v>-0.339167</v>
      </c>
      <c r="K1877" s="195">
        <v>0</v>
      </c>
      <c r="L1877" s="195"/>
      <c r="M1877" s="195"/>
      <c r="N1877" s="195"/>
    </row>
    <row r="1878" spans="1:14" hidden="1" x14ac:dyDescent="0.35">
      <c r="A1878" s="52" t="s">
        <v>607</v>
      </c>
      <c r="B1878" s="52" t="s">
        <v>37</v>
      </c>
      <c r="C1878" s="52" t="s">
        <v>118</v>
      </c>
      <c r="D1878" s="52" t="s">
        <v>118</v>
      </c>
      <c r="E1878" s="52" t="s">
        <v>584</v>
      </c>
      <c r="F1878" s="52" t="s">
        <v>26</v>
      </c>
      <c r="G1878" s="195" t="s">
        <v>276</v>
      </c>
      <c r="H1878" s="195">
        <v>0</v>
      </c>
      <c r="I1878" s="195">
        <v>0</v>
      </c>
      <c r="J1878" s="195">
        <v>-9.0158000000000002E-2</v>
      </c>
      <c r="K1878" s="195">
        <v>0</v>
      </c>
      <c r="L1878" s="195"/>
      <c r="M1878" s="195"/>
      <c r="N1878" s="195"/>
    </row>
    <row r="1879" spans="1:14" hidden="1" x14ac:dyDescent="0.35">
      <c r="A1879" s="52" t="s">
        <v>607</v>
      </c>
      <c r="B1879" s="52" t="s">
        <v>37</v>
      </c>
      <c r="C1879" s="52" t="s">
        <v>118</v>
      </c>
      <c r="D1879" s="52" t="s">
        <v>118</v>
      </c>
      <c r="E1879" s="52" t="s">
        <v>584</v>
      </c>
      <c r="F1879" s="52" t="s">
        <v>26</v>
      </c>
      <c r="G1879" s="195" t="s">
        <v>279</v>
      </c>
      <c r="H1879" s="195">
        <v>0</v>
      </c>
      <c r="I1879" s="195">
        <v>0</v>
      </c>
      <c r="J1879" s="195">
        <v>0.42932599999999999</v>
      </c>
      <c r="K1879" s="195">
        <v>0</v>
      </c>
      <c r="L1879" s="195"/>
      <c r="M1879" s="195"/>
      <c r="N1879" s="195"/>
    </row>
    <row r="1880" spans="1:14" hidden="1" x14ac:dyDescent="0.35">
      <c r="A1880" s="52" t="s">
        <v>607</v>
      </c>
      <c r="B1880" s="52" t="s">
        <v>37</v>
      </c>
      <c r="C1880" s="52" t="s">
        <v>70</v>
      </c>
      <c r="D1880" s="52" t="s">
        <v>70</v>
      </c>
      <c r="E1880" s="52" t="s">
        <v>584</v>
      </c>
      <c r="F1880" s="52" t="s">
        <v>581</v>
      </c>
      <c r="G1880" s="195" t="s">
        <v>275</v>
      </c>
      <c r="H1880" s="195">
        <v>1.2614999999999999E-2</v>
      </c>
      <c r="I1880" s="195">
        <v>-0.77948209999999996</v>
      </c>
      <c r="J1880" s="195">
        <v>0</v>
      </c>
      <c r="K1880" s="195"/>
      <c r="L1880" s="195"/>
      <c r="M1880" s="195"/>
      <c r="N1880" s="195"/>
    </row>
    <row r="1881" spans="1:14" hidden="1" x14ac:dyDescent="0.35">
      <c r="A1881" s="52" t="s">
        <v>607</v>
      </c>
      <c r="B1881" s="52" t="s">
        <v>37</v>
      </c>
      <c r="C1881" s="52" t="s">
        <v>70</v>
      </c>
      <c r="D1881" s="52" t="s">
        <v>70</v>
      </c>
      <c r="E1881" s="52" t="s">
        <v>584</v>
      </c>
      <c r="F1881" s="52" t="s">
        <v>581</v>
      </c>
      <c r="G1881" s="195" t="s">
        <v>276</v>
      </c>
      <c r="H1881" s="195">
        <v>3.3530000000000001E-3</v>
      </c>
      <c r="I1881" s="195">
        <v>-0.207204</v>
      </c>
      <c r="J1881" s="195">
        <v>0</v>
      </c>
      <c r="K1881" s="195"/>
      <c r="L1881" s="195"/>
      <c r="M1881" s="195"/>
      <c r="N1881" s="195"/>
    </row>
    <row r="1882" spans="1:14" hidden="1" x14ac:dyDescent="0.35">
      <c r="A1882" s="52" t="s">
        <v>607</v>
      </c>
      <c r="B1882" s="52" t="s">
        <v>37</v>
      </c>
      <c r="C1882" s="52" t="s">
        <v>70</v>
      </c>
      <c r="D1882" s="52" t="s">
        <v>70</v>
      </c>
      <c r="E1882" s="52" t="s">
        <v>584</v>
      </c>
      <c r="F1882" s="52" t="s">
        <v>581</v>
      </c>
      <c r="G1882" s="195" t="s">
        <v>279</v>
      </c>
      <c r="H1882" s="195">
        <v>1.436E-3</v>
      </c>
      <c r="I1882" s="195">
        <v>0.98668599999999995</v>
      </c>
      <c r="J1882" s="195">
        <v>0</v>
      </c>
      <c r="K1882" s="195"/>
      <c r="L1882" s="195"/>
      <c r="M1882" s="195"/>
      <c r="N1882" s="195"/>
    </row>
    <row r="1883" spans="1:14" hidden="1" x14ac:dyDescent="0.35">
      <c r="A1883" s="52" t="s">
        <v>664</v>
      </c>
      <c r="B1883" s="52" t="s">
        <v>53</v>
      </c>
      <c r="C1883" s="52" t="s">
        <v>67</v>
      </c>
      <c r="D1883" s="52" t="s">
        <v>67</v>
      </c>
      <c r="E1883" s="52" t="s">
        <v>584</v>
      </c>
      <c r="F1883" s="52" t="s">
        <v>581</v>
      </c>
      <c r="G1883" s="195" t="s">
        <v>275</v>
      </c>
      <c r="H1883" s="195">
        <v>252.25020000000001</v>
      </c>
      <c r="I1883" s="195">
        <v>53.206969999999998</v>
      </c>
      <c r="J1883" s="195">
        <v>72.366870000000006</v>
      </c>
      <c r="K1883" s="195">
        <v>64.164519999999996</v>
      </c>
      <c r="L1883" s="195">
        <v>62.503160000000001</v>
      </c>
      <c r="M1883" s="195">
        <v>27.98677</v>
      </c>
      <c r="N1883" s="195">
        <v>24.558730000000001</v>
      </c>
    </row>
    <row r="1884" spans="1:14" hidden="1" x14ac:dyDescent="0.35">
      <c r="A1884" s="52" t="s">
        <v>664</v>
      </c>
      <c r="B1884" s="52" t="s">
        <v>53</v>
      </c>
      <c r="C1884" s="52" t="s">
        <v>67</v>
      </c>
      <c r="D1884" s="52" t="s">
        <v>67</v>
      </c>
      <c r="E1884" s="52" t="s">
        <v>584</v>
      </c>
      <c r="F1884" s="52" t="s">
        <v>581</v>
      </c>
      <c r="G1884" s="195" t="s">
        <v>276</v>
      </c>
      <c r="H1884" s="195">
        <v>121.7666</v>
      </c>
      <c r="I1884" s="195">
        <v>-38.466560000000001</v>
      </c>
      <c r="J1884" s="195">
        <v>-53.232480000000002</v>
      </c>
      <c r="K1884" s="195">
        <v>-46.867710000000002</v>
      </c>
      <c r="L1884" s="195">
        <v>-10.01647</v>
      </c>
      <c r="M1884" s="195">
        <v>-5.4822170000000003</v>
      </c>
      <c r="N1884" s="195">
        <v>13.736499999999999</v>
      </c>
    </row>
    <row r="1885" spans="1:14" hidden="1" x14ac:dyDescent="0.35">
      <c r="A1885" s="52" t="s">
        <v>664</v>
      </c>
      <c r="B1885" s="52" t="s">
        <v>53</v>
      </c>
      <c r="C1885" s="52" t="s">
        <v>67</v>
      </c>
      <c r="D1885" s="52" t="s">
        <v>67</v>
      </c>
      <c r="E1885" s="52" t="s">
        <v>584</v>
      </c>
      <c r="F1885" s="52" t="s">
        <v>581</v>
      </c>
      <c r="G1885" s="195" t="s">
        <v>277</v>
      </c>
      <c r="H1885" s="195">
        <v>12.40659</v>
      </c>
      <c r="I1885" s="195">
        <v>57.398440000000001</v>
      </c>
      <c r="J1885" s="195">
        <v>3.7313700000000001</v>
      </c>
      <c r="K1885" s="195">
        <v>1.8685659999999999</v>
      </c>
      <c r="L1885" s="195">
        <v>3.2367379999999999</v>
      </c>
      <c r="M1885" s="195">
        <v>7.4440759999999999</v>
      </c>
      <c r="N1885" s="195">
        <v>6.9628500000000004</v>
      </c>
    </row>
    <row r="1886" spans="1:14" hidden="1" x14ac:dyDescent="0.35">
      <c r="A1886" s="52" t="s">
        <v>664</v>
      </c>
      <c r="B1886" s="52" t="s">
        <v>53</v>
      </c>
      <c r="C1886" s="52" t="s">
        <v>67</v>
      </c>
      <c r="D1886" s="52" t="s">
        <v>67</v>
      </c>
      <c r="E1886" s="52" t="s">
        <v>584</v>
      </c>
      <c r="F1886" s="52" t="s">
        <v>581</v>
      </c>
      <c r="G1886" s="195" t="s">
        <v>278</v>
      </c>
      <c r="H1886" s="195">
        <v>0.1759685</v>
      </c>
      <c r="I1886" s="195">
        <v>0.1759685</v>
      </c>
      <c r="J1886" s="195">
        <v>0</v>
      </c>
      <c r="K1886" s="195">
        <v>0</v>
      </c>
      <c r="L1886" s="195">
        <v>0</v>
      </c>
      <c r="M1886" s="195">
        <v>0</v>
      </c>
      <c r="N1886" s="195">
        <v>0</v>
      </c>
    </row>
    <row r="1887" spans="1:14" hidden="1" x14ac:dyDescent="0.35">
      <c r="A1887" s="52" t="s">
        <v>664</v>
      </c>
      <c r="B1887" s="52" t="s">
        <v>53</v>
      </c>
      <c r="C1887" s="52" t="s">
        <v>67</v>
      </c>
      <c r="D1887" s="52" t="s">
        <v>67</v>
      </c>
      <c r="E1887" s="52" t="s">
        <v>584</v>
      </c>
      <c r="F1887" s="52" t="s">
        <v>581</v>
      </c>
      <c r="G1887" s="195" t="s">
        <v>279</v>
      </c>
      <c r="H1887" s="195">
        <v>178.48349999999999</v>
      </c>
      <c r="I1887" s="195">
        <v>148.93629999999999</v>
      </c>
      <c r="J1887" s="195">
        <v>158.9348</v>
      </c>
      <c r="K1887" s="195">
        <v>146.80019999999999</v>
      </c>
      <c r="L1887" s="195">
        <v>64.898409999999998</v>
      </c>
      <c r="M1887" s="195">
        <v>77.124020000000002</v>
      </c>
      <c r="N1887" s="195">
        <v>44.113889999999998</v>
      </c>
    </row>
    <row r="1888" spans="1:14" hidden="1" x14ac:dyDescent="0.35">
      <c r="A1888" s="52" t="s">
        <v>664</v>
      </c>
      <c r="B1888" s="52" t="s">
        <v>53</v>
      </c>
      <c r="C1888" s="52" t="s">
        <v>67</v>
      </c>
      <c r="D1888" s="52" t="s">
        <v>67</v>
      </c>
      <c r="E1888" s="52" t="s">
        <v>584</v>
      </c>
      <c r="F1888" s="52" t="s">
        <v>26</v>
      </c>
      <c r="G1888" s="195" t="s">
        <v>275</v>
      </c>
      <c r="H1888" s="195">
        <v>374.35579999999999</v>
      </c>
      <c r="I1888" s="195">
        <v>279.26589999999999</v>
      </c>
      <c r="J1888" s="195">
        <v>265.68020000000001</v>
      </c>
      <c r="K1888" s="195">
        <v>348.3587</v>
      </c>
      <c r="L1888" s="195">
        <v>349.69740000000002</v>
      </c>
      <c r="M1888" s="195">
        <v>238.50739999999999</v>
      </c>
      <c r="N1888" s="195">
        <v>192.2919</v>
      </c>
    </row>
    <row r="1889" spans="1:14" hidden="1" x14ac:dyDescent="0.35">
      <c r="A1889" s="52" t="s">
        <v>664</v>
      </c>
      <c r="B1889" s="52" t="s">
        <v>53</v>
      </c>
      <c r="C1889" s="52" t="s">
        <v>67</v>
      </c>
      <c r="D1889" s="52" t="s">
        <v>67</v>
      </c>
      <c r="E1889" s="52" t="s">
        <v>584</v>
      </c>
      <c r="F1889" s="52" t="s">
        <v>26</v>
      </c>
      <c r="G1889" s="195" t="s">
        <v>276</v>
      </c>
      <c r="H1889" s="195">
        <v>322.78199999999998</v>
      </c>
      <c r="I1889" s="195">
        <v>319.35640000000001</v>
      </c>
      <c r="J1889" s="195">
        <v>307.68889999999999</v>
      </c>
      <c r="K1889" s="195">
        <v>304.94299999999998</v>
      </c>
      <c r="L1889" s="195">
        <v>308.72019999999998</v>
      </c>
      <c r="M1889" s="195">
        <v>341.08969999999999</v>
      </c>
      <c r="N1889" s="195">
        <v>337.41109999999998</v>
      </c>
    </row>
    <row r="1890" spans="1:14" hidden="1" x14ac:dyDescent="0.35">
      <c r="A1890" s="52" t="s">
        <v>664</v>
      </c>
      <c r="B1890" s="52" t="s">
        <v>53</v>
      </c>
      <c r="C1890" s="52" t="s">
        <v>67</v>
      </c>
      <c r="D1890" s="52" t="s">
        <v>67</v>
      </c>
      <c r="E1890" s="52" t="s">
        <v>584</v>
      </c>
      <c r="F1890" s="52" t="s">
        <v>26</v>
      </c>
      <c r="G1890" s="195" t="s">
        <v>277</v>
      </c>
      <c r="H1890" s="195">
        <v>29.697289999999999</v>
      </c>
      <c r="I1890" s="195">
        <v>106.98860000000001</v>
      </c>
      <c r="J1890" s="195">
        <v>118.6413</v>
      </c>
      <c r="K1890" s="195">
        <v>38.625210000000003</v>
      </c>
      <c r="L1890" s="195">
        <v>50.593000000000004</v>
      </c>
      <c r="M1890" s="195">
        <v>96.05359</v>
      </c>
      <c r="N1890" s="195">
        <v>95.115409999999997</v>
      </c>
    </row>
    <row r="1891" spans="1:14" hidden="1" x14ac:dyDescent="0.35">
      <c r="A1891" s="52" t="s">
        <v>664</v>
      </c>
      <c r="B1891" s="52" t="s">
        <v>53</v>
      </c>
      <c r="C1891" s="52" t="s">
        <v>67</v>
      </c>
      <c r="D1891" s="52" t="s">
        <v>67</v>
      </c>
      <c r="E1891" s="52" t="s">
        <v>584</v>
      </c>
      <c r="F1891" s="52" t="s">
        <v>26</v>
      </c>
      <c r="G1891" s="195" t="s">
        <v>278</v>
      </c>
      <c r="H1891" s="195">
        <v>0.44653530000000002</v>
      </c>
      <c r="I1891" s="195">
        <v>0.44653530000000002</v>
      </c>
      <c r="J1891" s="195">
        <v>0.67896959999999995</v>
      </c>
      <c r="K1891" s="195">
        <v>1.2286649999999999</v>
      </c>
      <c r="L1891" s="195">
        <v>0.7172868</v>
      </c>
      <c r="M1891" s="195">
        <v>2.14805</v>
      </c>
      <c r="N1891" s="195">
        <v>0.29241420000000001</v>
      </c>
    </row>
    <row r="1892" spans="1:14" hidden="1" x14ac:dyDescent="0.35">
      <c r="A1892" s="52" t="s">
        <v>664</v>
      </c>
      <c r="B1892" s="52" t="s">
        <v>53</v>
      </c>
      <c r="C1892" s="52" t="s">
        <v>67</v>
      </c>
      <c r="D1892" s="52" t="s">
        <v>67</v>
      </c>
      <c r="E1892" s="52" t="s">
        <v>584</v>
      </c>
      <c r="F1892" s="52" t="s">
        <v>26</v>
      </c>
      <c r="G1892" s="195" t="s">
        <v>279</v>
      </c>
      <c r="H1892" s="195">
        <v>142.55529999999999</v>
      </c>
      <c r="I1892" s="195">
        <v>126.4712</v>
      </c>
      <c r="J1892" s="195">
        <v>130.9246</v>
      </c>
      <c r="K1892" s="195">
        <v>142.76849999999999</v>
      </c>
      <c r="L1892" s="195">
        <v>147.6199</v>
      </c>
      <c r="M1892" s="195">
        <v>148.8159</v>
      </c>
      <c r="N1892" s="195">
        <v>136.66739999999999</v>
      </c>
    </row>
    <row r="1893" spans="1:14" hidden="1" x14ac:dyDescent="0.35">
      <c r="A1893" s="52" t="s">
        <v>664</v>
      </c>
      <c r="B1893" s="52" t="s">
        <v>53</v>
      </c>
      <c r="C1893" s="52" t="s">
        <v>52</v>
      </c>
      <c r="D1893" s="52" t="s">
        <v>52</v>
      </c>
      <c r="E1893" s="52" t="s">
        <v>584</v>
      </c>
      <c r="F1893" s="52" t="s">
        <v>581</v>
      </c>
      <c r="G1893" s="195" t="s">
        <v>275</v>
      </c>
      <c r="H1893" s="195">
        <v>242.95959999999999</v>
      </c>
      <c r="I1893" s="195">
        <v>91.280209999999997</v>
      </c>
      <c r="J1893" s="195">
        <v>52.916980000000002</v>
      </c>
      <c r="K1893" s="195">
        <v>32.307079999999999</v>
      </c>
      <c r="L1893" s="195">
        <v>24.68188</v>
      </c>
      <c r="M1893" s="195">
        <v>-17.846800000000002</v>
      </c>
      <c r="N1893" s="195">
        <v>4.175376</v>
      </c>
    </row>
    <row r="1894" spans="1:14" hidden="1" x14ac:dyDescent="0.35">
      <c r="A1894" s="52" t="s">
        <v>664</v>
      </c>
      <c r="B1894" s="52" t="s">
        <v>53</v>
      </c>
      <c r="C1894" s="52" t="s">
        <v>52</v>
      </c>
      <c r="D1894" s="52" t="s">
        <v>52</v>
      </c>
      <c r="E1894" s="52" t="s">
        <v>584</v>
      </c>
      <c r="F1894" s="52" t="s">
        <v>581</v>
      </c>
      <c r="G1894" s="195" t="s">
        <v>276</v>
      </c>
      <c r="H1894" s="195">
        <v>207.8561</v>
      </c>
      <c r="I1894" s="195">
        <v>30.67567</v>
      </c>
      <c r="J1894" s="195">
        <v>5.6950940000000001</v>
      </c>
      <c r="K1894" s="195">
        <v>20.546939999999999</v>
      </c>
      <c r="L1894" s="195">
        <v>27.28219</v>
      </c>
      <c r="M1894" s="195">
        <v>-23.050840000000001</v>
      </c>
      <c r="N1894" s="195">
        <v>4.2199790000000004</v>
      </c>
    </row>
    <row r="1895" spans="1:14" hidden="1" x14ac:dyDescent="0.35">
      <c r="A1895" s="52" t="s">
        <v>664</v>
      </c>
      <c r="B1895" s="52" t="s">
        <v>53</v>
      </c>
      <c r="C1895" s="52" t="s">
        <v>52</v>
      </c>
      <c r="D1895" s="52" t="s">
        <v>52</v>
      </c>
      <c r="E1895" s="52" t="s">
        <v>584</v>
      </c>
      <c r="F1895" s="52" t="s">
        <v>581</v>
      </c>
      <c r="G1895" s="195" t="s">
        <v>277</v>
      </c>
      <c r="H1895" s="195">
        <v>20.861509999999999</v>
      </c>
      <c r="I1895" s="195">
        <v>14.338279999999999</v>
      </c>
      <c r="J1895" s="195">
        <v>13.18741</v>
      </c>
      <c r="K1895" s="195">
        <v>11.66564</v>
      </c>
      <c r="L1895" s="195">
        <v>6.2723380000000004</v>
      </c>
      <c r="M1895" s="195">
        <v>5.2843770000000001</v>
      </c>
      <c r="N1895" s="195">
        <v>3.0876380000000001</v>
      </c>
    </row>
    <row r="1896" spans="1:14" hidden="1" x14ac:dyDescent="0.35">
      <c r="A1896" s="52" t="s">
        <v>664</v>
      </c>
      <c r="B1896" s="52" t="s">
        <v>53</v>
      </c>
      <c r="C1896" s="52" t="s">
        <v>52</v>
      </c>
      <c r="D1896" s="52" t="s">
        <v>52</v>
      </c>
      <c r="E1896" s="52" t="s">
        <v>584</v>
      </c>
      <c r="F1896" s="52" t="s">
        <v>581</v>
      </c>
      <c r="G1896" s="195" t="s">
        <v>278</v>
      </c>
      <c r="H1896" s="195">
        <v>0.1110231</v>
      </c>
      <c r="I1896" s="195">
        <v>0.1110231</v>
      </c>
      <c r="J1896" s="195">
        <v>0</v>
      </c>
      <c r="K1896" s="195">
        <v>0</v>
      </c>
      <c r="L1896" s="195">
        <v>0</v>
      </c>
      <c r="M1896" s="195">
        <v>0</v>
      </c>
      <c r="N1896" s="195"/>
    </row>
    <row r="1897" spans="1:14" hidden="1" x14ac:dyDescent="0.35">
      <c r="A1897" s="52" t="s">
        <v>664</v>
      </c>
      <c r="B1897" s="52" t="s">
        <v>53</v>
      </c>
      <c r="C1897" s="52" t="s">
        <v>52</v>
      </c>
      <c r="D1897" s="52" t="s">
        <v>52</v>
      </c>
      <c r="E1897" s="52" t="s">
        <v>584</v>
      </c>
      <c r="F1897" s="52" t="s">
        <v>581</v>
      </c>
      <c r="G1897" s="195" t="s">
        <v>279</v>
      </c>
      <c r="H1897" s="195">
        <v>156.85560000000001</v>
      </c>
      <c r="I1897" s="195">
        <v>92.284530000000004</v>
      </c>
      <c r="J1897" s="195">
        <v>102.9426</v>
      </c>
      <c r="K1897" s="195">
        <v>89.772319999999993</v>
      </c>
      <c r="L1897" s="195">
        <v>61.480910000000002</v>
      </c>
      <c r="M1897" s="195">
        <v>122.6335</v>
      </c>
      <c r="N1897" s="195">
        <v>56.586770000000001</v>
      </c>
    </row>
    <row r="1898" spans="1:14" hidden="1" x14ac:dyDescent="0.35">
      <c r="A1898" s="52" t="s">
        <v>664</v>
      </c>
      <c r="B1898" s="52" t="s">
        <v>53</v>
      </c>
      <c r="C1898" s="52" t="s">
        <v>52</v>
      </c>
      <c r="D1898" s="52" t="s">
        <v>52</v>
      </c>
      <c r="E1898" s="52" t="s">
        <v>584</v>
      </c>
      <c r="F1898" s="52" t="s">
        <v>26</v>
      </c>
      <c r="G1898" s="195" t="s">
        <v>275</v>
      </c>
      <c r="H1898" s="195">
        <v>221.7867</v>
      </c>
      <c r="I1898" s="195">
        <v>60.392910000000001</v>
      </c>
      <c r="J1898" s="195">
        <v>-57.082079999999998</v>
      </c>
      <c r="K1898" s="195">
        <v>-234.83629999999999</v>
      </c>
      <c r="L1898" s="195">
        <v>-320.91449999999998</v>
      </c>
      <c r="M1898" s="195">
        <v>-312.65390000000002</v>
      </c>
      <c r="N1898" s="195">
        <v>-132.47630000000001</v>
      </c>
    </row>
    <row r="1899" spans="1:14" hidden="1" x14ac:dyDescent="0.35">
      <c r="A1899" s="52" t="s">
        <v>664</v>
      </c>
      <c r="B1899" s="52" t="s">
        <v>53</v>
      </c>
      <c r="C1899" s="52" t="s">
        <v>52</v>
      </c>
      <c r="D1899" s="52" t="s">
        <v>52</v>
      </c>
      <c r="E1899" s="52" t="s">
        <v>584</v>
      </c>
      <c r="F1899" s="52" t="s">
        <v>26</v>
      </c>
      <c r="G1899" s="195" t="s">
        <v>276</v>
      </c>
      <c r="H1899" s="195">
        <v>223.57339999999999</v>
      </c>
      <c r="I1899" s="195">
        <v>113.2441</v>
      </c>
      <c r="J1899" s="195">
        <v>1.0388029999999999</v>
      </c>
      <c r="K1899" s="195">
        <v>-82.297579999999996</v>
      </c>
      <c r="L1899" s="195">
        <v>-108.16249999999999</v>
      </c>
      <c r="M1899" s="195">
        <v>-107.12</v>
      </c>
      <c r="N1899" s="195">
        <v>-68.211259999999996</v>
      </c>
    </row>
    <row r="1900" spans="1:14" hidden="1" x14ac:dyDescent="0.35">
      <c r="A1900" s="52" t="s">
        <v>664</v>
      </c>
      <c r="B1900" s="52" t="s">
        <v>53</v>
      </c>
      <c r="C1900" s="52" t="s">
        <v>52</v>
      </c>
      <c r="D1900" s="52" t="s">
        <v>52</v>
      </c>
      <c r="E1900" s="52" t="s">
        <v>584</v>
      </c>
      <c r="F1900" s="52" t="s">
        <v>26</v>
      </c>
      <c r="G1900" s="195" t="s">
        <v>277</v>
      </c>
      <c r="H1900" s="195">
        <v>105.4768</v>
      </c>
      <c r="I1900" s="195">
        <v>154.5651</v>
      </c>
      <c r="J1900" s="195">
        <v>130.2252</v>
      </c>
      <c r="K1900" s="195">
        <v>355.76740000000001</v>
      </c>
      <c r="L1900" s="195">
        <v>462.99959999999999</v>
      </c>
      <c r="M1900" s="195">
        <v>451.19040000000001</v>
      </c>
      <c r="N1900" s="195">
        <v>219.51400000000001</v>
      </c>
    </row>
    <row r="1901" spans="1:14" hidden="1" x14ac:dyDescent="0.35">
      <c r="A1901" s="52" t="s">
        <v>664</v>
      </c>
      <c r="B1901" s="52" t="s">
        <v>53</v>
      </c>
      <c r="C1901" s="52" t="s">
        <v>52</v>
      </c>
      <c r="D1901" s="52" t="s">
        <v>52</v>
      </c>
      <c r="E1901" s="52" t="s">
        <v>584</v>
      </c>
      <c r="F1901" s="52" t="s">
        <v>26</v>
      </c>
      <c r="G1901" s="195" t="s">
        <v>278</v>
      </c>
      <c r="H1901" s="195">
        <v>15.0428</v>
      </c>
      <c r="I1901" s="195">
        <v>0.76677220000000001</v>
      </c>
      <c r="J1901" s="195">
        <v>0.86274680000000004</v>
      </c>
      <c r="K1901" s="195">
        <v>2.5982479999999999</v>
      </c>
      <c r="L1901" s="195">
        <v>0.88296070000000004</v>
      </c>
      <c r="M1901" s="195">
        <v>0.66376979999999997</v>
      </c>
      <c r="N1901" s="195">
        <v>30.929659999999998</v>
      </c>
    </row>
    <row r="1902" spans="1:14" hidden="1" x14ac:dyDescent="0.35">
      <c r="A1902" s="52" t="s">
        <v>664</v>
      </c>
      <c r="B1902" s="52" t="s">
        <v>53</v>
      </c>
      <c r="C1902" s="52" t="s">
        <v>52</v>
      </c>
      <c r="D1902" s="52" t="s">
        <v>52</v>
      </c>
      <c r="E1902" s="52" t="s">
        <v>584</v>
      </c>
      <c r="F1902" s="52" t="s">
        <v>26</v>
      </c>
      <c r="G1902" s="195" t="s">
        <v>279</v>
      </c>
      <c r="H1902" s="195">
        <v>200.37029999999999</v>
      </c>
      <c r="I1902" s="195">
        <v>181.64859999999999</v>
      </c>
      <c r="J1902" s="195">
        <v>177.5925</v>
      </c>
      <c r="K1902" s="195">
        <v>174.65119999999999</v>
      </c>
      <c r="L1902" s="195">
        <v>163.0735</v>
      </c>
      <c r="M1902" s="195">
        <v>135.20519999999999</v>
      </c>
      <c r="N1902" s="195">
        <v>118.6519</v>
      </c>
    </row>
    <row r="1903" spans="1:14" hidden="1" x14ac:dyDescent="0.35">
      <c r="A1903" s="52" t="s">
        <v>664</v>
      </c>
      <c r="B1903" s="52" t="s">
        <v>53</v>
      </c>
      <c r="C1903" s="52" t="s">
        <v>151</v>
      </c>
      <c r="D1903" s="52" t="s">
        <v>151</v>
      </c>
      <c r="E1903" s="52" t="s">
        <v>584</v>
      </c>
      <c r="F1903" s="52" t="s">
        <v>26</v>
      </c>
      <c r="G1903" s="195" t="s">
        <v>275</v>
      </c>
      <c r="H1903" s="195">
        <v>143.0583</v>
      </c>
      <c r="I1903" s="195">
        <v>74.425669999999997</v>
      </c>
      <c r="J1903" s="195">
        <v>61.222079999999998</v>
      </c>
      <c r="K1903" s="195">
        <v>52.281649999999999</v>
      </c>
      <c r="L1903" s="195">
        <v>48.511130000000001</v>
      </c>
      <c r="M1903" s="195">
        <v>46.041809999999998</v>
      </c>
      <c r="N1903" s="195">
        <v>44.123060000000002</v>
      </c>
    </row>
    <row r="1904" spans="1:14" hidden="1" x14ac:dyDescent="0.35">
      <c r="A1904" s="52" t="s">
        <v>664</v>
      </c>
      <c r="B1904" s="52" t="s">
        <v>53</v>
      </c>
      <c r="C1904" s="52" t="s">
        <v>151</v>
      </c>
      <c r="D1904" s="52" t="s">
        <v>151</v>
      </c>
      <c r="E1904" s="52" t="s">
        <v>584</v>
      </c>
      <c r="F1904" s="52" t="s">
        <v>26</v>
      </c>
      <c r="G1904" s="195" t="s">
        <v>276</v>
      </c>
      <c r="H1904" s="195">
        <v>228.55449999999999</v>
      </c>
      <c r="I1904" s="195">
        <v>126.8736</v>
      </c>
      <c r="J1904" s="195">
        <v>108.08450000000001</v>
      </c>
      <c r="K1904" s="195">
        <v>95.534869999999998</v>
      </c>
      <c r="L1904" s="195">
        <v>89.479810000000001</v>
      </c>
      <c r="M1904" s="195">
        <v>85.672229999999999</v>
      </c>
      <c r="N1904" s="195">
        <v>82.672529999999995</v>
      </c>
    </row>
    <row r="1905" spans="1:14" hidden="1" x14ac:dyDescent="0.35">
      <c r="A1905" s="52" t="s">
        <v>664</v>
      </c>
      <c r="B1905" s="52" t="s">
        <v>53</v>
      </c>
      <c r="C1905" s="52" t="s">
        <v>151</v>
      </c>
      <c r="D1905" s="52" t="s">
        <v>151</v>
      </c>
      <c r="E1905" s="52" t="s">
        <v>584</v>
      </c>
      <c r="F1905" s="52" t="s">
        <v>26</v>
      </c>
      <c r="G1905" s="195" t="s">
        <v>277</v>
      </c>
      <c r="H1905" s="195">
        <v>2.1508500000000002</v>
      </c>
      <c r="I1905" s="195">
        <v>1.792478</v>
      </c>
      <c r="J1905" s="195">
        <v>3.2392129999999999</v>
      </c>
      <c r="K1905" s="195">
        <v>5.5573420000000002</v>
      </c>
      <c r="L1905" s="195">
        <v>7.9516850000000003</v>
      </c>
      <c r="M1905" s="195">
        <v>10.29622</v>
      </c>
      <c r="N1905" s="195">
        <v>11.86838</v>
      </c>
    </row>
    <row r="1906" spans="1:14" hidden="1" x14ac:dyDescent="0.35">
      <c r="A1906" s="52" t="s">
        <v>664</v>
      </c>
      <c r="B1906" s="52" t="s">
        <v>53</v>
      </c>
      <c r="C1906" s="52" t="s">
        <v>151</v>
      </c>
      <c r="D1906" s="52" t="s">
        <v>151</v>
      </c>
      <c r="E1906" s="52" t="s">
        <v>584</v>
      </c>
      <c r="F1906" s="52" t="s">
        <v>26</v>
      </c>
      <c r="G1906" s="195" t="s">
        <v>279</v>
      </c>
      <c r="H1906" s="195">
        <v>163.29089999999999</v>
      </c>
      <c r="I1906" s="195">
        <v>155.99770000000001</v>
      </c>
      <c r="J1906" s="195">
        <v>160.0291</v>
      </c>
      <c r="K1906" s="195">
        <v>162.9768</v>
      </c>
      <c r="L1906" s="195">
        <v>155.9417</v>
      </c>
      <c r="M1906" s="195">
        <v>151.97890000000001</v>
      </c>
      <c r="N1906" s="195">
        <v>148.77950000000001</v>
      </c>
    </row>
    <row r="1907" spans="1:14" hidden="1" x14ac:dyDescent="0.35">
      <c r="A1907" s="52" t="s">
        <v>664</v>
      </c>
      <c r="B1907" s="52" t="s">
        <v>53</v>
      </c>
      <c r="C1907" s="52" t="s">
        <v>145</v>
      </c>
      <c r="D1907" s="52" t="s">
        <v>145</v>
      </c>
      <c r="E1907" s="52" t="s">
        <v>584</v>
      </c>
      <c r="F1907" s="52" t="s">
        <v>581</v>
      </c>
      <c r="G1907" s="195" t="s">
        <v>275</v>
      </c>
      <c r="H1907" s="195">
        <v>10.77866</v>
      </c>
      <c r="I1907" s="195">
        <v>1.8282700000000001</v>
      </c>
      <c r="J1907" s="195">
        <v>1.0508230000000001</v>
      </c>
      <c r="K1907" s="195">
        <v>0.69967500000000005</v>
      </c>
      <c r="L1907" s="195">
        <v>0.6038694</v>
      </c>
      <c r="M1907" s="195">
        <v>0.49714130000000001</v>
      </c>
      <c r="N1907" s="195">
        <v>0.44320690000000001</v>
      </c>
    </row>
    <row r="1908" spans="1:14" hidden="1" x14ac:dyDescent="0.35">
      <c r="A1908" s="52" t="s">
        <v>664</v>
      </c>
      <c r="B1908" s="52" t="s">
        <v>53</v>
      </c>
      <c r="C1908" s="52" t="s">
        <v>145</v>
      </c>
      <c r="D1908" s="52" t="s">
        <v>145</v>
      </c>
      <c r="E1908" s="52" t="s">
        <v>584</v>
      </c>
      <c r="F1908" s="52" t="s">
        <v>581</v>
      </c>
      <c r="G1908" s="195" t="s">
        <v>276</v>
      </c>
      <c r="H1908" s="195">
        <v>7.0811010000000003</v>
      </c>
      <c r="I1908" s="195">
        <v>1.6338900000000001</v>
      </c>
      <c r="J1908" s="195">
        <v>1.123988</v>
      </c>
      <c r="K1908" s="195">
        <v>0.9785855</v>
      </c>
      <c r="L1908" s="195">
        <v>0.95221849999999997</v>
      </c>
      <c r="M1908" s="195">
        <v>0.89837009999999995</v>
      </c>
      <c r="N1908" s="195">
        <v>0.85153650000000003</v>
      </c>
    </row>
    <row r="1909" spans="1:14" hidden="1" x14ac:dyDescent="0.35">
      <c r="A1909" s="52" t="s">
        <v>664</v>
      </c>
      <c r="B1909" s="52" t="s">
        <v>53</v>
      </c>
      <c r="C1909" s="52" t="s">
        <v>145</v>
      </c>
      <c r="D1909" s="52" t="s">
        <v>145</v>
      </c>
      <c r="E1909" s="52" t="s">
        <v>584</v>
      </c>
      <c r="F1909" s="52" t="s">
        <v>581</v>
      </c>
      <c r="G1909" s="195" t="s">
        <v>277</v>
      </c>
      <c r="H1909" s="195">
        <v>0.60959920000000001</v>
      </c>
      <c r="I1909" s="195">
        <v>0.47073019999999999</v>
      </c>
      <c r="J1909" s="195">
        <v>0.40514299999999998</v>
      </c>
      <c r="K1909" s="195">
        <v>0.49232789999999998</v>
      </c>
      <c r="L1909" s="195">
        <v>0.56753810000000005</v>
      </c>
      <c r="M1909" s="195">
        <v>0.63020310000000002</v>
      </c>
      <c r="N1909" s="195">
        <v>0.6459587</v>
      </c>
    </row>
    <row r="1910" spans="1:14" hidden="1" x14ac:dyDescent="0.35">
      <c r="A1910" s="52" t="s">
        <v>664</v>
      </c>
      <c r="B1910" s="52" t="s">
        <v>53</v>
      </c>
      <c r="C1910" s="52" t="s">
        <v>145</v>
      </c>
      <c r="D1910" s="52" t="s">
        <v>145</v>
      </c>
      <c r="E1910" s="52" t="s">
        <v>584</v>
      </c>
      <c r="F1910" s="52" t="s">
        <v>581</v>
      </c>
      <c r="G1910" s="195" t="s">
        <v>279</v>
      </c>
      <c r="H1910" s="195">
        <v>5.7736429999999999</v>
      </c>
      <c r="I1910" s="195">
        <v>4.8148369999999998</v>
      </c>
      <c r="J1910" s="195">
        <v>4.645086</v>
      </c>
      <c r="K1910" s="195">
        <v>4.7244190000000001</v>
      </c>
      <c r="L1910" s="195">
        <v>4.6266879999999997</v>
      </c>
      <c r="M1910" s="195">
        <v>4.433325</v>
      </c>
      <c r="N1910" s="195">
        <v>4.2647380000000004</v>
      </c>
    </row>
    <row r="1911" spans="1:14" hidden="1" x14ac:dyDescent="0.35">
      <c r="A1911" s="52" t="s">
        <v>664</v>
      </c>
      <c r="B1911" s="52" t="s">
        <v>53</v>
      </c>
      <c r="C1911" s="52" t="s">
        <v>665</v>
      </c>
      <c r="D1911" s="52" t="s">
        <v>665</v>
      </c>
      <c r="E1911" s="52" t="s">
        <v>584</v>
      </c>
      <c r="F1911" s="52" t="s">
        <v>581</v>
      </c>
      <c r="G1911" s="195" t="s">
        <v>275</v>
      </c>
      <c r="H1911" s="195">
        <v>0.47947590000000001</v>
      </c>
      <c r="I1911" s="195">
        <v>0</v>
      </c>
      <c r="J1911" s="195">
        <v>-0.20405970000000001</v>
      </c>
      <c r="K1911" s="195">
        <v>0</v>
      </c>
      <c r="L1911" s="195"/>
      <c r="M1911" s="195"/>
      <c r="N1911" s="195"/>
    </row>
    <row r="1912" spans="1:14" hidden="1" x14ac:dyDescent="0.35">
      <c r="A1912" s="52" t="s">
        <v>664</v>
      </c>
      <c r="B1912" s="52" t="s">
        <v>53</v>
      </c>
      <c r="C1912" s="52" t="s">
        <v>665</v>
      </c>
      <c r="D1912" s="52" t="s">
        <v>665</v>
      </c>
      <c r="E1912" s="52" t="s">
        <v>584</v>
      </c>
      <c r="F1912" s="52" t="s">
        <v>581</v>
      </c>
      <c r="G1912" s="195" t="s">
        <v>276</v>
      </c>
      <c r="H1912" s="195">
        <v>0.80303310000000006</v>
      </c>
      <c r="I1912" s="195">
        <v>0</v>
      </c>
      <c r="J1912" s="195">
        <v>-0.28179720000000003</v>
      </c>
      <c r="K1912" s="195">
        <v>0</v>
      </c>
      <c r="L1912" s="195"/>
      <c r="M1912" s="195"/>
      <c r="N1912" s="195"/>
    </row>
    <row r="1913" spans="1:14" hidden="1" x14ac:dyDescent="0.35">
      <c r="A1913" s="52" t="s">
        <v>664</v>
      </c>
      <c r="B1913" s="52" t="s">
        <v>53</v>
      </c>
      <c r="C1913" s="52" t="s">
        <v>665</v>
      </c>
      <c r="D1913" s="52" t="s">
        <v>665</v>
      </c>
      <c r="E1913" s="52" t="s">
        <v>584</v>
      </c>
      <c r="F1913" s="52" t="s">
        <v>581</v>
      </c>
      <c r="G1913" s="195" t="s">
        <v>279</v>
      </c>
      <c r="H1913" s="195">
        <v>0.12644459999999999</v>
      </c>
      <c r="I1913" s="195">
        <v>0</v>
      </c>
      <c r="J1913" s="195">
        <v>0.48585509999999998</v>
      </c>
      <c r="K1913" s="195">
        <v>0</v>
      </c>
      <c r="L1913" s="195"/>
      <c r="M1913" s="195"/>
      <c r="N1913" s="195"/>
    </row>
    <row r="1914" spans="1:14" hidden="1" x14ac:dyDescent="0.35">
      <c r="A1914" s="52" t="s">
        <v>664</v>
      </c>
      <c r="B1914" s="52" t="s">
        <v>53</v>
      </c>
      <c r="C1914" s="52" t="s">
        <v>665</v>
      </c>
      <c r="D1914" s="52" t="s">
        <v>665</v>
      </c>
      <c r="E1914" s="52" t="s">
        <v>584</v>
      </c>
      <c r="F1914" s="52" t="s">
        <v>26</v>
      </c>
      <c r="G1914" s="195" t="s">
        <v>275</v>
      </c>
      <c r="H1914" s="195">
        <v>12.23236</v>
      </c>
      <c r="I1914" s="195">
        <v>4.9432299999999998</v>
      </c>
      <c r="J1914" s="195">
        <v>-8.0468119999999992</v>
      </c>
      <c r="K1914" s="195">
        <v>2.6603659999999998</v>
      </c>
      <c r="L1914" s="195">
        <v>0</v>
      </c>
      <c r="M1914" s="195">
        <v>0</v>
      </c>
      <c r="N1914" s="195">
        <v>0</v>
      </c>
    </row>
    <row r="1915" spans="1:14" hidden="1" x14ac:dyDescent="0.35">
      <c r="A1915" s="52" t="s">
        <v>664</v>
      </c>
      <c r="B1915" s="52" t="s">
        <v>53</v>
      </c>
      <c r="C1915" s="52" t="s">
        <v>665</v>
      </c>
      <c r="D1915" s="52" t="s">
        <v>665</v>
      </c>
      <c r="E1915" s="52" t="s">
        <v>584</v>
      </c>
      <c r="F1915" s="52" t="s">
        <v>26</v>
      </c>
      <c r="G1915" s="195" t="s">
        <v>276</v>
      </c>
      <c r="H1915" s="195">
        <v>7.1830319999999999</v>
      </c>
      <c r="I1915" s="195">
        <v>-5.0045299999999999</v>
      </c>
      <c r="J1915" s="195">
        <v>-21.550419999999999</v>
      </c>
      <c r="K1915" s="195">
        <v>-2.7216640000000001</v>
      </c>
      <c r="L1915" s="195">
        <v>-6.1298999999999999E-2</v>
      </c>
      <c r="M1915" s="195">
        <v>-0.1086057</v>
      </c>
      <c r="N1915" s="195">
        <v>-0.1086066</v>
      </c>
    </row>
    <row r="1916" spans="1:14" hidden="1" x14ac:dyDescent="0.35">
      <c r="A1916" s="52" t="s">
        <v>664</v>
      </c>
      <c r="B1916" s="52" t="s">
        <v>53</v>
      </c>
      <c r="C1916" s="52" t="s">
        <v>665</v>
      </c>
      <c r="D1916" s="52" t="s">
        <v>665</v>
      </c>
      <c r="E1916" s="52" t="s">
        <v>584</v>
      </c>
      <c r="F1916" s="52" t="s">
        <v>26</v>
      </c>
      <c r="G1916" s="195" t="s">
        <v>277</v>
      </c>
      <c r="H1916" s="195">
        <v>0.98999910000000002</v>
      </c>
      <c r="I1916" s="195">
        <v>0</v>
      </c>
      <c r="J1916" s="195"/>
      <c r="K1916" s="195"/>
      <c r="L1916" s="195">
        <v>0</v>
      </c>
      <c r="M1916" s="195">
        <v>4.7307599999999998E-2</v>
      </c>
      <c r="N1916" s="195">
        <v>4.730761E-2</v>
      </c>
    </row>
    <row r="1917" spans="1:14" hidden="1" x14ac:dyDescent="0.35">
      <c r="A1917" s="52" t="s">
        <v>664</v>
      </c>
      <c r="B1917" s="52" t="s">
        <v>53</v>
      </c>
      <c r="C1917" s="52" t="s">
        <v>665</v>
      </c>
      <c r="D1917" s="52" t="s">
        <v>665</v>
      </c>
      <c r="E1917" s="52" t="s">
        <v>584</v>
      </c>
      <c r="F1917" s="52" t="s">
        <v>26</v>
      </c>
      <c r="G1917" s="195" t="s">
        <v>278</v>
      </c>
      <c r="H1917" s="195">
        <v>6.1298999999999999E-2</v>
      </c>
      <c r="I1917" s="195">
        <v>6.1298999999999999E-2</v>
      </c>
      <c r="J1917" s="195">
        <v>1.2128060000000001</v>
      </c>
      <c r="K1917" s="195">
        <v>6.1298999999999999E-2</v>
      </c>
      <c r="L1917" s="195">
        <v>6.1298999999999999E-2</v>
      </c>
      <c r="M1917" s="195">
        <v>6.1298999999999999E-2</v>
      </c>
      <c r="N1917" s="195">
        <v>6.1298999999999999E-2</v>
      </c>
    </row>
    <row r="1918" spans="1:14" hidden="1" x14ac:dyDescent="0.35">
      <c r="A1918" s="52" t="s">
        <v>664</v>
      </c>
      <c r="B1918" s="52" t="s">
        <v>53</v>
      </c>
      <c r="C1918" s="52" t="s">
        <v>665</v>
      </c>
      <c r="D1918" s="52" t="s">
        <v>665</v>
      </c>
      <c r="E1918" s="52" t="s">
        <v>584</v>
      </c>
      <c r="F1918" s="52" t="s">
        <v>26</v>
      </c>
      <c r="G1918" s="195" t="s">
        <v>279</v>
      </c>
      <c r="H1918" s="195">
        <v>10.18614</v>
      </c>
      <c r="I1918" s="195">
        <v>0</v>
      </c>
      <c r="J1918" s="195">
        <v>28.384419999999999</v>
      </c>
      <c r="K1918" s="195">
        <v>0</v>
      </c>
      <c r="L1918" s="195"/>
      <c r="M1918" s="195"/>
      <c r="N1918" s="195"/>
    </row>
    <row r="1919" spans="1:14" hidden="1" x14ac:dyDescent="0.35">
      <c r="A1919" s="52" t="s">
        <v>664</v>
      </c>
      <c r="B1919" s="52" t="s">
        <v>53</v>
      </c>
      <c r="C1919" s="52" t="s">
        <v>318</v>
      </c>
      <c r="D1919" s="52" t="s">
        <v>318</v>
      </c>
      <c r="E1919" s="52" t="s">
        <v>584</v>
      </c>
      <c r="F1919" s="52" t="s">
        <v>581</v>
      </c>
      <c r="G1919" s="195" t="s">
        <v>275</v>
      </c>
      <c r="H1919" s="195">
        <v>0</v>
      </c>
      <c r="I1919" s="195"/>
      <c r="J1919" s="195"/>
      <c r="K1919" s="195"/>
      <c r="L1919" s="195"/>
      <c r="M1919" s="195"/>
      <c r="N1919" s="195"/>
    </row>
    <row r="1920" spans="1:14" hidden="1" x14ac:dyDescent="0.35">
      <c r="A1920" s="52" t="s">
        <v>664</v>
      </c>
      <c r="B1920" s="52" t="s">
        <v>53</v>
      </c>
      <c r="C1920" s="52" t="s">
        <v>318</v>
      </c>
      <c r="D1920" s="52" t="s">
        <v>318</v>
      </c>
      <c r="E1920" s="52" t="s">
        <v>584</v>
      </c>
      <c r="F1920" s="52" t="s">
        <v>581</v>
      </c>
      <c r="G1920" s="195" t="s">
        <v>276</v>
      </c>
      <c r="H1920" s="195">
        <v>0</v>
      </c>
      <c r="I1920" s="195"/>
      <c r="J1920" s="195"/>
      <c r="K1920" s="195"/>
      <c r="L1920" s="195"/>
      <c r="M1920" s="195"/>
      <c r="N1920" s="195"/>
    </row>
    <row r="1921" spans="1:14" hidden="1" x14ac:dyDescent="0.35">
      <c r="A1921" s="52" t="s">
        <v>664</v>
      </c>
      <c r="B1921" s="52" t="s">
        <v>53</v>
      </c>
      <c r="C1921" s="52" t="s">
        <v>318</v>
      </c>
      <c r="D1921" s="52" t="s">
        <v>318</v>
      </c>
      <c r="E1921" s="52" t="s">
        <v>584</v>
      </c>
      <c r="F1921" s="52" t="s">
        <v>581</v>
      </c>
      <c r="G1921" s="195" t="s">
        <v>278</v>
      </c>
      <c r="H1921" s="195">
        <v>0</v>
      </c>
      <c r="I1921" s="195"/>
      <c r="J1921" s="195"/>
      <c r="K1921" s="195"/>
      <c r="L1921" s="195"/>
      <c r="M1921" s="195"/>
      <c r="N1921" s="195"/>
    </row>
    <row r="1922" spans="1:14" hidden="1" x14ac:dyDescent="0.35">
      <c r="A1922" s="52" t="s">
        <v>664</v>
      </c>
      <c r="B1922" s="52" t="s">
        <v>53</v>
      </c>
      <c r="C1922" s="52" t="s">
        <v>318</v>
      </c>
      <c r="D1922" s="52" t="s">
        <v>318</v>
      </c>
      <c r="E1922" s="52" t="s">
        <v>584</v>
      </c>
      <c r="F1922" s="52" t="s">
        <v>26</v>
      </c>
      <c r="G1922" s="195" t="s">
        <v>275</v>
      </c>
      <c r="H1922" s="195">
        <v>0</v>
      </c>
      <c r="I1922" s="195"/>
      <c r="J1922" s="195"/>
      <c r="K1922" s="195"/>
      <c r="L1922" s="195"/>
      <c r="M1922" s="195"/>
      <c r="N1922" s="195"/>
    </row>
    <row r="1923" spans="1:14" hidden="1" x14ac:dyDescent="0.35">
      <c r="A1923" s="52" t="s">
        <v>664</v>
      </c>
      <c r="B1923" s="52" t="s">
        <v>53</v>
      </c>
      <c r="C1923" s="52" t="s">
        <v>318</v>
      </c>
      <c r="D1923" s="52" t="s">
        <v>318</v>
      </c>
      <c r="E1923" s="52" t="s">
        <v>584</v>
      </c>
      <c r="F1923" s="52" t="s">
        <v>26</v>
      </c>
      <c r="G1923" s="195" t="s">
        <v>276</v>
      </c>
      <c r="H1923" s="195">
        <v>0</v>
      </c>
      <c r="I1923" s="195"/>
      <c r="J1923" s="195"/>
      <c r="K1923" s="195"/>
      <c r="L1923" s="195"/>
      <c r="M1923" s="195"/>
      <c r="N1923" s="195"/>
    </row>
    <row r="1924" spans="1:14" hidden="1" x14ac:dyDescent="0.35">
      <c r="A1924" s="52" t="s">
        <v>664</v>
      </c>
      <c r="B1924" s="52" t="s">
        <v>53</v>
      </c>
      <c r="C1924" s="52" t="s">
        <v>318</v>
      </c>
      <c r="D1924" s="52" t="s">
        <v>318</v>
      </c>
      <c r="E1924" s="52" t="s">
        <v>584</v>
      </c>
      <c r="F1924" s="52" t="s">
        <v>26</v>
      </c>
      <c r="G1924" s="195" t="s">
        <v>278</v>
      </c>
      <c r="H1924" s="195">
        <v>0</v>
      </c>
      <c r="I1924" s="195"/>
      <c r="J1924" s="195"/>
      <c r="K1924" s="195"/>
      <c r="L1924" s="195"/>
      <c r="M1924" s="195"/>
      <c r="N1924" s="195"/>
    </row>
    <row r="1925" spans="1:14" hidden="1" x14ac:dyDescent="0.35">
      <c r="A1925" s="52" t="s">
        <v>664</v>
      </c>
      <c r="B1925" s="52" t="s">
        <v>53</v>
      </c>
      <c r="C1925" s="52" t="s">
        <v>824</v>
      </c>
      <c r="D1925" s="52" t="s">
        <v>824</v>
      </c>
      <c r="E1925" s="52" t="s">
        <v>584</v>
      </c>
      <c r="F1925" s="52" t="s">
        <v>26</v>
      </c>
      <c r="G1925" s="195" t="s">
        <v>275</v>
      </c>
      <c r="H1925" s="195">
        <v>-1.9223000000000001E-2</v>
      </c>
      <c r="I1925" s="195">
        <v>-1.8890000000000001E-2</v>
      </c>
      <c r="J1925" s="195">
        <v>0</v>
      </c>
      <c r="K1925" s="195">
        <v>0</v>
      </c>
      <c r="L1925" s="195">
        <v>0</v>
      </c>
      <c r="M1925" s="195">
        <v>0</v>
      </c>
      <c r="N1925" s="195">
        <v>0</v>
      </c>
    </row>
    <row r="1926" spans="1:14" hidden="1" x14ac:dyDescent="0.35">
      <c r="A1926" s="52" t="s">
        <v>664</v>
      </c>
      <c r="B1926" s="52" t="s">
        <v>53</v>
      </c>
      <c r="C1926" s="52" t="s">
        <v>824</v>
      </c>
      <c r="D1926" s="52" t="s">
        <v>824</v>
      </c>
      <c r="E1926" s="52" t="s">
        <v>584</v>
      </c>
      <c r="F1926" s="52" t="s">
        <v>26</v>
      </c>
      <c r="G1926" s="195" t="s">
        <v>276</v>
      </c>
      <c r="H1926" s="195">
        <v>-7.7619999999999998E-3</v>
      </c>
      <c r="I1926" s="195">
        <v>-8.0960000000000008E-3</v>
      </c>
      <c r="J1926" s="195">
        <v>-2.6984000000000001E-2</v>
      </c>
      <c r="K1926" s="195">
        <v>-2.6986E-2</v>
      </c>
      <c r="L1926" s="195">
        <v>-2.6984999999999999E-2</v>
      </c>
      <c r="M1926" s="195">
        <v>-2.6984999999999999E-2</v>
      </c>
      <c r="N1926" s="195">
        <v>-2.6984999999999999E-2</v>
      </c>
    </row>
    <row r="1927" spans="1:14" hidden="1" x14ac:dyDescent="0.35">
      <c r="A1927" s="52" t="s">
        <v>664</v>
      </c>
      <c r="B1927" s="52" t="s">
        <v>53</v>
      </c>
      <c r="C1927" s="52" t="s">
        <v>824</v>
      </c>
      <c r="D1927" s="52" t="s">
        <v>824</v>
      </c>
      <c r="E1927" s="52" t="s">
        <v>584</v>
      </c>
      <c r="F1927" s="52" t="s">
        <v>26</v>
      </c>
      <c r="G1927" s="195" t="s">
        <v>278</v>
      </c>
      <c r="H1927" s="195">
        <v>2.6984999999999999E-2</v>
      </c>
      <c r="I1927" s="195">
        <v>2.6984999999999999E-2</v>
      </c>
      <c r="J1927" s="195">
        <v>2.6984999999999999E-2</v>
      </c>
      <c r="K1927" s="195">
        <v>2.6984999999999999E-2</v>
      </c>
      <c r="L1927" s="195">
        <v>2.6984999999999999E-2</v>
      </c>
      <c r="M1927" s="195">
        <v>2.6984999999999999E-2</v>
      </c>
      <c r="N1927" s="195">
        <v>2.6984999999999999E-2</v>
      </c>
    </row>
    <row r="1928" spans="1:14" hidden="1" x14ac:dyDescent="0.35">
      <c r="A1928" s="52" t="s">
        <v>664</v>
      </c>
      <c r="B1928" s="52" t="s">
        <v>37</v>
      </c>
      <c r="C1928" s="52" t="s">
        <v>61</v>
      </c>
      <c r="D1928" s="52" t="s">
        <v>62</v>
      </c>
      <c r="E1928" s="52" t="s">
        <v>584</v>
      </c>
      <c r="F1928" s="52" t="s">
        <v>581</v>
      </c>
      <c r="G1928" s="195" t="s">
        <v>275</v>
      </c>
      <c r="H1928" s="195">
        <v>465.88529999999997</v>
      </c>
      <c r="I1928" s="195">
        <v>-563.11170000000004</v>
      </c>
      <c r="J1928" s="195">
        <v>-206.45939999999999</v>
      </c>
      <c r="K1928" s="195">
        <v>-360.36939999999998</v>
      </c>
      <c r="L1928" s="195">
        <v>204.59219999999999</v>
      </c>
      <c r="M1928" s="195">
        <v>214.2988</v>
      </c>
      <c r="N1928" s="195">
        <v>146.6225</v>
      </c>
    </row>
    <row r="1929" spans="1:14" hidden="1" x14ac:dyDescent="0.35">
      <c r="A1929" s="52" t="s">
        <v>664</v>
      </c>
      <c r="B1929" s="52" t="s">
        <v>37</v>
      </c>
      <c r="C1929" s="52" t="s">
        <v>61</v>
      </c>
      <c r="D1929" s="52" t="s">
        <v>62</v>
      </c>
      <c r="E1929" s="52" t="s">
        <v>584</v>
      </c>
      <c r="F1929" s="52" t="s">
        <v>581</v>
      </c>
      <c r="G1929" s="195" t="s">
        <v>276</v>
      </c>
      <c r="H1929" s="195">
        <v>155.84360000000001</v>
      </c>
      <c r="I1929" s="195">
        <v>-63.974710000000002</v>
      </c>
      <c r="J1929" s="195">
        <v>-238.50059999999999</v>
      </c>
      <c r="K1929" s="195">
        <v>-205.60239999999999</v>
      </c>
      <c r="L1929" s="195">
        <v>-166.8596</v>
      </c>
      <c r="M1929" s="195">
        <v>-490.77350000000001</v>
      </c>
      <c r="N1929" s="195">
        <v>-314.92180000000002</v>
      </c>
    </row>
    <row r="1930" spans="1:14" hidden="1" x14ac:dyDescent="0.35">
      <c r="A1930" s="52" t="s">
        <v>664</v>
      </c>
      <c r="B1930" s="52" t="s">
        <v>37</v>
      </c>
      <c r="C1930" s="52" t="s">
        <v>61</v>
      </c>
      <c r="D1930" s="52" t="s">
        <v>62</v>
      </c>
      <c r="E1930" s="52" t="s">
        <v>584</v>
      </c>
      <c r="F1930" s="52" t="s">
        <v>581</v>
      </c>
      <c r="G1930" s="195" t="s">
        <v>277</v>
      </c>
      <c r="H1930" s="195">
        <v>486.38659999999999</v>
      </c>
      <c r="I1930" s="195">
        <v>769.83109999999999</v>
      </c>
      <c r="J1930" s="195">
        <v>548.56299999999999</v>
      </c>
      <c r="K1930" s="195">
        <v>659.85860000000002</v>
      </c>
      <c r="L1930" s="195">
        <v>135.96889999999999</v>
      </c>
      <c r="M1930" s="195">
        <v>97.998720000000006</v>
      </c>
      <c r="N1930" s="195">
        <v>74.617959999999997</v>
      </c>
    </row>
    <row r="1931" spans="1:14" hidden="1" x14ac:dyDescent="0.35">
      <c r="A1931" s="52" t="s">
        <v>664</v>
      </c>
      <c r="B1931" s="52" t="s">
        <v>37</v>
      </c>
      <c r="C1931" s="52" t="s">
        <v>61</v>
      </c>
      <c r="D1931" s="52" t="s">
        <v>62</v>
      </c>
      <c r="E1931" s="52" t="s">
        <v>584</v>
      </c>
      <c r="F1931" s="52" t="s">
        <v>581</v>
      </c>
      <c r="G1931" s="195" t="s">
        <v>278</v>
      </c>
      <c r="H1931" s="195">
        <v>115.4918</v>
      </c>
      <c r="I1931" s="195">
        <v>154.22909999999999</v>
      </c>
      <c r="J1931" s="195">
        <v>158.67779999999999</v>
      </c>
      <c r="K1931" s="195">
        <v>130.7448</v>
      </c>
      <c r="L1931" s="195">
        <v>116.42659999999999</v>
      </c>
      <c r="M1931" s="195">
        <v>437.06459999999998</v>
      </c>
      <c r="N1931" s="195">
        <v>279.22059999999999</v>
      </c>
    </row>
    <row r="1932" spans="1:14" hidden="1" x14ac:dyDescent="0.35">
      <c r="A1932" s="52" t="s">
        <v>664</v>
      </c>
      <c r="B1932" s="52" t="s">
        <v>37</v>
      </c>
      <c r="C1932" s="52" t="s">
        <v>61</v>
      </c>
      <c r="D1932" s="52" t="s">
        <v>62</v>
      </c>
      <c r="E1932" s="52" t="s">
        <v>584</v>
      </c>
      <c r="F1932" s="52" t="s">
        <v>581</v>
      </c>
      <c r="G1932" s="195" t="s">
        <v>279</v>
      </c>
      <c r="H1932" s="195">
        <v>352.34559999999999</v>
      </c>
      <c r="I1932" s="195">
        <v>340.22620000000001</v>
      </c>
      <c r="J1932" s="195">
        <v>354.54579999999999</v>
      </c>
      <c r="K1932" s="195">
        <v>407.65460000000002</v>
      </c>
      <c r="L1932" s="195">
        <v>448.22660000000002</v>
      </c>
      <c r="M1932" s="195">
        <v>388.09649999999999</v>
      </c>
      <c r="N1932" s="195">
        <v>393.62569999999999</v>
      </c>
    </row>
    <row r="1933" spans="1:14" hidden="1" x14ac:dyDescent="0.35">
      <c r="A1933" s="52" t="s">
        <v>664</v>
      </c>
      <c r="B1933" s="52" t="s">
        <v>37</v>
      </c>
      <c r="C1933" s="52" t="s">
        <v>61</v>
      </c>
      <c r="D1933" s="52" t="s">
        <v>62</v>
      </c>
      <c r="E1933" s="52" t="s">
        <v>584</v>
      </c>
      <c r="F1933" s="52" t="s">
        <v>26</v>
      </c>
      <c r="G1933" s="195" t="s">
        <v>275</v>
      </c>
      <c r="H1933" s="195">
        <v>3.4824480000000002</v>
      </c>
      <c r="I1933" s="195">
        <v>-5.2368449999999998</v>
      </c>
      <c r="J1933" s="195">
        <v>-3.375203</v>
      </c>
      <c r="K1933" s="195">
        <v>1.638565</v>
      </c>
      <c r="L1933" s="195">
        <v>1.776789</v>
      </c>
      <c r="M1933" s="195">
        <v>1.924682</v>
      </c>
      <c r="N1933" s="195">
        <v>-2.9530370000000001</v>
      </c>
    </row>
    <row r="1934" spans="1:14" hidden="1" x14ac:dyDescent="0.35">
      <c r="A1934" s="52" t="s">
        <v>664</v>
      </c>
      <c r="B1934" s="52" t="s">
        <v>37</v>
      </c>
      <c r="C1934" s="52" t="s">
        <v>61</v>
      </c>
      <c r="D1934" s="52" t="s">
        <v>62</v>
      </c>
      <c r="E1934" s="52" t="s">
        <v>584</v>
      </c>
      <c r="F1934" s="52" t="s">
        <v>26</v>
      </c>
      <c r="G1934" s="195" t="s">
        <v>276</v>
      </c>
      <c r="H1934" s="195">
        <v>1.087075</v>
      </c>
      <c r="I1934" s="195">
        <v>-5.463664E-2</v>
      </c>
      <c r="J1934" s="195">
        <v>0.10510419999999999</v>
      </c>
      <c r="K1934" s="195">
        <v>-6.465883E-2</v>
      </c>
      <c r="L1934" s="195">
        <v>6.0357529999999996E-3</v>
      </c>
      <c r="M1934" s="195">
        <v>-0.35632599999999998</v>
      </c>
      <c r="N1934" s="195">
        <v>-1.451648</v>
      </c>
    </row>
    <row r="1935" spans="1:14" hidden="1" x14ac:dyDescent="0.35">
      <c r="A1935" s="52" t="s">
        <v>664</v>
      </c>
      <c r="B1935" s="52" t="s">
        <v>37</v>
      </c>
      <c r="C1935" s="52" t="s">
        <v>61</v>
      </c>
      <c r="D1935" s="52" t="s">
        <v>62</v>
      </c>
      <c r="E1935" s="52" t="s">
        <v>584</v>
      </c>
      <c r="F1935" s="52" t="s">
        <v>26</v>
      </c>
      <c r="G1935" s="195" t="s">
        <v>277</v>
      </c>
      <c r="H1935" s="195">
        <v>0.75884339999999995</v>
      </c>
      <c r="I1935" s="195">
        <v>6.4408919999999998</v>
      </c>
      <c r="J1935" s="195">
        <v>6.1228350000000002</v>
      </c>
      <c r="K1935" s="195">
        <v>0</v>
      </c>
      <c r="L1935" s="195">
        <v>0</v>
      </c>
      <c r="M1935" s="195">
        <v>0</v>
      </c>
      <c r="N1935" s="195">
        <v>0</v>
      </c>
    </row>
    <row r="1936" spans="1:14" hidden="1" x14ac:dyDescent="0.35">
      <c r="A1936" s="52" t="s">
        <v>664</v>
      </c>
      <c r="B1936" s="52" t="s">
        <v>37</v>
      </c>
      <c r="C1936" s="52" t="s">
        <v>61</v>
      </c>
      <c r="D1936" s="52" t="s">
        <v>62</v>
      </c>
      <c r="E1936" s="52" t="s">
        <v>584</v>
      </c>
      <c r="F1936" s="52" t="s">
        <v>26</v>
      </c>
      <c r="G1936" s="195" t="s">
        <v>278</v>
      </c>
      <c r="H1936" s="195"/>
      <c r="I1936" s="195"/>
      <c r="J1936" s="195">
        <v>0</v>
      </c>
      <c r="K1936" s="195">
        <v>0</v>
      </c>
      <c r="L1936" s="195">
        <v>0</v>
      </c>
      <c r="M1936" s="195">
        <v>0</v>
      </c>
      <c r="N1936" s="195">
        <v>0</v>
      </c>
    </row>
    <row r="1937" spans="1:14" hidden="1" x14ac:dyDescent="0.35">
      <c r="A1937" s="52" t="s">
        <v>664</v>
      </c>
      <c r="B1937" s="52" t="s">
        <v>37</v>
      </c>
      <c r="C1937" s="52" t="s">
        <v>61</v>
      </c>
      <c r="D1937" s="52" t="s">
        <v>62</v>
      </c>
      <c r="E1937" s="52" t="s">
        <v>584</v>
      </c>
      <c r="F1937" s="52" t="s">
        <v>26</v>
      </c>
      <c r="G1937" s="195" t="s">
        <v>279</v>
      </c>
      <c r="H1937" s="195">
        <v>22.383690000000001</v>
      </c>
      <c r="I1937" s="195">
        <v>21.66581</v>
      </c>
      <c r="J1937" s="195">
        <v>24.300920000000001</v>
      </c>
      <c r="K1937" s="195">
        <v>21.32396</v>
      </c>
      <c r="L1937" s="195">
        <v>17.54214</v>
      </c>
      <c r="M1937" s="195">
        <v>13.590249999999999</v>
      </c>
      <c r="N1937" s="195">
        <v>15.63861</v>
      </c>
    </row>
    <row r="1938" spans="1:14" hidden="1" x14ac:dyDescent="0.35">
      <c r="A1938" s="52" t="s">
        <v>664</v>
      </c>
      <c r="B1938" s="52" t="s">
        <v>37</v>
      </c>
      <c r="C1938" s="52" t="s">
        <v>109</v>
      </c>
      <c r="D1938" s="52" t="s">
        <v>109</v>
      </c>
      <c r="E1938" s="52" t="s">
        <v>584</v>
      </c>
      <c r="F1938" s="52" t="s">
        <v>581</v>
      </c>
      <c r="G1938" s="195" t="s">
        <v>275</v>
      </c>
      <c r="H1938" s="195">
        <v>-8.2216849999999994E-2</v>
      </c>
      <c r="I1938" s="195">
        <v>-9.2023140000000003E-2</v>
      </c>
      <c r="J1938" s="195">
        <v>-0.16919629999999999</v>
      </c>
      <c r="K1938" s="195">
        <v>-0.2272972</v>
      </c>
      <c r="L1938" s="195"/>
      <c r="M1938" s="195">
        <v>0</v>
      </c>
      <c r="N1938" s="195"/>
    </row>
    <row r="1939" spans="1:14" hidden="1" x14ac:dyDescent="0.35">
      <c r="A1939" s="52" t="s">
        <v>664</v>
      </c>
      <c r="B1939" s="52" t="s">
        <v>37</v>
      </c>
      <c r="C1939" s="52" t="s">
        <v>109</v>
      </c>
      <c r="D1939" s="52" t="s">
        <v>109</v>
      </c>
      <c r="E1939" s="52" t="s">
        <v>584</v>
      </c>
      <c r="F1939" s="52" t="s">
        <v>581</v>
      </c>
      <c r="G1939" s="195" t="s">
        <v>276</v>
      </c>
      <c r="H1939" s="195">
        <v>-3.2704959999999998E-2</v>
      </c>
      <c r="I1939" s="195">
        <v>-0.12234680000000001</v>
      </c>
      <c r="J1939" s="195">
        <v>-0.1244623</v>
      </c>
      <c r="K1939" s="195">
        <v>-0.1207498</v>
      </c>
      <c r="L1939" s="195"/>
      <c r="M1939" s="195"/>
      <c r="N1939" s="195"/>
    </row>
    <row r="1940" spans="1:14" hidden="1" x14ac:dyDescent="0.35">
      <c r="A1940" s="52" t="s">
        <v>664</v>
      </c>
      <c r="B1940" s="52" t="s">
        <v>37</v>
      </c>
      <c r="C1940" s="52" t="s">
        <v>109</v>
      </c>
      <c r="D1940" s="52" t="s">
        <v>109</v>
      </c>
      <c r="E1940" s="52" t="s">
        <v>584</v>
      </c>
      <c r="F1940" s="52" t="s">
        <v>581</v>
      </c>
      <c r="G1940" s="195" t="s">
        <v>277</v>
      </c>
      <c r="H1940" s="195">
        <v>0.53174259999999995</v>
      </c>
      <c r="I1940" s="195"/>
      <c r="J1940" s="195"/>
      <c r="K1940" s="195"/>
      <c r="L1940" s="195"/>
      <c r="M1940" s="195"/>
      <c r="N1940" s="195"/>
    </row>
    <row r="1941" spans="1:14" hidden="1" x14ac:dyDescent="0.35">
      <c r="A1941" s="52" t="s">
        <v>664</v>
      </c>
      <c r="B1941" s="52" t="s">
        <v>37</v>
      </c>
      <c r="C1941" s="52" t="s">
        <v>109</v>
      </c>
      <c r="D1941" s="52" t="s">
        <v>109</v>
      </c>
      <c r="E1941" s="52" t="s">
        <v>584</v>
      </c>
      <c r="F1941" s="52" t="s">
        <v>581</v>
      </c>
      <c r="G1941" s="195" t="s">
        <v>279</v>
      </c>
      <c r="H1941" s="195">
        <v>0.68554890000000002</v>
      </c>
      <c r="I1941" s="195">
        <v>0.63678979999999996</v>
      </c>
      <c r="J1941" s="195">
        <v>0.65305860000000004</v>
      </c>
      <c r="K1941" s="195">
        <v>0.70317050000000003</v>
      </c>
      <c r="L1941" s="195"/>
      <c r="M1941" s="195"/>
      <c r="N1941" s="195">
        <v>0</v>
      </c>
    </row>
    <row r="1942" spans="1:14" hidden="1" x14ac:dyDescent="0.35">
      <c r="A1942" s="52" t="s">
        <v>664</v>
      </c>
      <c r="B1942" s="52" t="s">
        <v>37</v>
      </c>
      <c r="C1942" s="52" t="s">
        <v>109</v>
      </c>
      <c r="D1942" s="52" t="s">
        <v>109</v>
      </c>
      <c r="E1942" s="52" t="s">
        <v>584</v>
      </c>
      <c r="F1942" s="52" t="s">
        <v>26</v>
      </c>
      <c r="G1942" s="195" t="s">
        <v>275</v>
      </c>
      <c r="H1942" s="195">
        <v>3.4915079999999999E-3</v>
      </c>
      <c r="I1942" s="195">
        <v>-5.8913610000000003E-3</v>
      </c>
      <c r="J1942" s="195">
        <v>-5.5301430000000004E-3</v>
      </c>
      <c r="K1942" s="195">
        <v>-6.404987E-3</v>
      </c>
      <c r="L1942" s="195"/>
      <c r="M1942" s="195"/>
      <c r="N1942" s="195"/>
    </row>
    <row r="1943" spans="1:14" hidden="1" x14ac:dyDescent="0.35">
      <c r="A1943" s="52" t="s">
        <v>664</v>
      </c>
      <c r="B1943" s="52" t="s">
        <v>37</v>
      </c>
      <c r="C1943" s="52" t="s">
        <v>109</v>
      </c>
      <c r="D1943" s="52" t="s">
        <v>109</v>
      </c>
      <c r="E1943" s="52" t="s">
        <v>584</v>
      </c>
      <c r="F1943" s="52" t="s">
        <v>26</v>
      </c>
      <c r="G1943" s="195" t="s">
        <v>276</v>
      </c>
      <c r="H1943" s="195">
        <v>9.280464E-4</v>
      </c>
      <c r="I1943" s="195">
        <v>-1.565812E-3</v>
      </c>
      <c r="J1943" s="195">
        <v>-1.4699400000000001E-3</v>
      </c>
      <c r="K1943" s="195">
        <v>-1.7027520000000001E-3</v>
      </c>
      <c r="L1943" s="195"/>
      <c r="M1943" s="195"/>
      <c r="N1943" s="195"/>
    </row>
    <row r="1944" spans="1:14" hidden="1" x14ac:dyDescent="0.35">
      <c r="A1944" s="52" t="s">
        <v>664</v>
      </c>
      <c r="B1944" s="52" t="s">
        <v>37</v>
      </c>
      <c r="C1944" s="52" t="s">
        <v>109</v>
      </c>
      <c r="D1944" s="52" t="s">
        <v>109</v>
      </c>
      <c r="E1944" s="52" t="s">
        <v>584</v>
      </c>
      <c r="F1944" s="52" t="s">
        <v>26</v>
      </c>
      <c r="G1944" s="195" t="s">
        <v>279</v>
      </c>
      <c r="H1944" s="195">
        <v>5.7007519999999999E-2</v>
      </c>
      <c r="I1944" s="195">
        <v>5.2524620000000001E-2</v>
      </c>
      <c r="J1944" s="195">
        <v>5.0666530000000001E-2</v>
      </c>
      <c r="K1944" s="195">
        <v>5.0147839999999999E-2</v>
      </c>
      <c r="L1944" s="195"/>
      <c r="M1944" s="195"/>
      <c r="N1944" s="195">
        <v>0</v>
      </c>
    </row>
    <row r="1945" spans="1:14" hidden="1" x14ac:dyDescent="0.35">
      <c r="A1945" s="52" t="s">
        <v>664</v>
      </c>
      <c r="B1945" s="52" t="s">
        <v>37</v>
      </c>
      <c r="C1945" s="52" t="s">
        <v>318</v>
      </c>
      <c r="D1945" s="52" t="s">
        <v>318</v>
      </c>
      <c r="E1945" s="52" t="s">
        <v>584</v>
      </c>
      <c r="F1945" s="52" t="s">
        <v>581</v>
      </c>
      <c r="G1945" s="195" t="s">
        <v>275</v>
      </c>
      <c r="H1945" s="195">
        <v>0</v>
      </c>
      <c r="I1945" s="195"/>
      <c r="J1945" s="195"/>
      <c r="K1945" s="195"/>
      <c r="L1945" s="195"/>
      <c r="M1945" s="195"/>
      <c r="N1945" s="195"/>
    </row>
    <row r="1946" spans="1:14" hidden="1" x14ac:dyDescent="0.35">
      <c r="A1946" s="52" t="s">
        <v>664</v>
      </c>
      <c r="B1946" s="52" t="s">
        <v>37</v>
      </c>
      <c r="C1946" s="52" t="s">
        <v>318</v>
      </c>
      <c r="D1946" s="52" t="s">
        <v>318</v>
      </c>
      <c r="E1946" s="52" t="s">
        <v>584</v>
      </c>
      <c r="F1946" s="52" t="s">
        <v>581</v>
      </c>
      <c r="G1946" s="195" t="s">
        <v>276</v>
      </c>
      <c r="H1946" s="195">
        <v>0</v>
      </c>
      <c r="I1946" s="195"/>
      <c r="J1946" s="195"/>
      <c r="K1946" s="195"/>
      <c r="L1946" s="195"/>
      <c r="M1946" s="195"/>
      <c r="N1946" s="195"/>
    </row>
    <row r="1947" spans="1:14" hidden="1" x14ac:dyDescent="0.35">
      <c r="A1947" s="52" t="s">
        <v>664</v>
      </c>
      <c r="B1947" s="52" t="s">
        <v>37</v>
      </c>
      <c r="C1947" s="52" t="s">
        <v>318</v>
      </c>
      <c r="D1947" s="52" t="s">
        <v>318</v>
      </c>
      <c r="E1947" s="52" t="s">
        <v>584</v>
      </c>
      <c r="F1947" s="52" t="s">
        <v>581</v>
      </c>
      <c r="G1947" s="195" t="s">
        <v>278</v>
      </c>
      <c r="H1947" s="195">
        <v>0</v>
      </c>
      <c r="I1947" s="195"/>
      <c r="J1947" s="195"/>
      <c r="K1947" s="195"/>
      <c r="L1947" s="195"/>
      <c r="M1947" s="195"/>
      <c r="N1947" s="195"/>
    </row>
    <row r="1948" spans="1:14" hidden="1" x14ac:dyDescent="0.35">
      <c r="A1948" s="52" t="s">
        <v>664</v>
      </c>
      <c r="B1948" s="52" t="s">
        <v>37</v>
      </c>
      <c r="C1948" s="52" t="s">
        <v>318</v>
      </c>
      <c r="D1948" s="52" t="s">
        <v>318</v>
      </c>
      <c r="E1948" s="52" t="s">
        <v>584</v>
      </c>
      <c r="F1948" s="52" t="s">
        <v>26</v>
      </c>
      <c r="G1948" s="195" t="s">
        <v>275</v>
      </c>
      <c r="H1948" s="195">
        <v>0</v>
      </c>
      <c r="I1948" s="195"/>
      <c r="J1948" s="195"/>
      <c r="K1948" s="195"/>
      <c r="L1948" s="195"/>
      <c r="M1948" s="195"/>
      <c r="N1948" s="195"/>
    </row>
    <row r="1949" spans="1:14" hidden="1" x14ac:dyDescent="0.35">
      <c r="A1949" s="52" t="s">
        <v>664</v>
      </c>
      <c r="B1949" s="52" t="s">
        <v>37</v>
      </c>
      <c r="C1949" s="52" t="s">
        <v>318</v>
      </c>
      <c r="D1949" s="52" t="s">
        <v>318</v>
      </c>
      <c r="E1949" s="52" t="s">
        <v>584</v>
      </c>
      <c r="F1949" s="52" t="s">
        <v>26</v>
      </c>
      <c r="G1949" s="195" t="s">
        <v>276</v>
      </c>
      <c r="H1949" s="195">
        <v>0</v>
      </c>
      <c r="I1949" s="195"/>
      <c r="J1949" s="195"/>
      <c r="K1949" s="195"/>
      <c r="L1949" s="195"/>
      <c r="M1949" s="195"/>
      <c r="N1949" s="195"/>
    </row>
    <row r="1950" spans="1:14" hidden="1" x14ac:dyDescent="0.35">
      <c r="A1950" s="52" t="s">
        <v>664</v>
      </c>
      <c r="B1950" s="52" t="s">
        <v>37</v>
      </c>
      <c r="C1950" s="52" t="s">
        <v>318</v>
      </c>
      <c r="D1950" s="52" t="s">
        <v>318</v>
      </c>
      <c r="E1950" s="52" t="s">
        <v>584</v>
      </c>
      <c r="F1950" s="52" t="s">
        <v>26</v>
      </c>
      <c r="G1950" s="195" t="s">
        <v>278</v>
      </c>
      <c r="H1950" s="195">
        <v>0</v>
      </c>
      <c r="I1950" s="195"/>
      <c r="J1950" s="195"/>
      <c r="K1950" s="195"/>
      <c r="L1950" s="195"/>
      <c r="M1950" s="195"/>
      <c r="N1950" s="195"/>
    </row>
    <row r="1951" spans="1:14" hidden="1" x14ac:dyDescent="0.35">
      <c r="A1951" s="52" t="s">
        <v>664</v>
      </c>
      <c r="B1951" s="52" t="s">
        <v>123</v>
      </c>
      <c r="C1951" s="52" t="s">
        <v>144</v>
      </c>
      <c r="D1951" s="52" t="s">
        <v>144</v>
      </c>
      <c r="E1951" s="52" t="s">
        <v>584</v>
      </c>
      <c r="F1951" s="52" t="s">
        <v>581</v>
      </c>
      <c r="G1951" s="195" t="s">
        <v>275</v>
      </c>
      <c r="H1951" s="195">
        <v>20.6401</v>
      </c>
      <c r="I1951" s="195">
        <v>-15.430809999999999</v>
      </c>
      <c r="J1951" s="195">
        <v>-13.351660000000001</v>
      </c>
      <c r="K1951" s="195">
        <v>-5.9460709999999999</v>
      </c>
      <c r="L1951" s="195">
        <v>10.062749999999999</v>
      </c>
      <c r="M1951" s="195">
        <v>39.998950000000001</v>
      </c>
      <c r="N1951" s="195">
        <v>34.580910000000003</v>
      </c>
    </row>
    <row r="1952" spans="1:14" hidden="1" x14ac:dyDescent="0.35">
      <c r="A1952" s="52" t="s">
        <v>664</v>
      </c>
      <c r="B1952" s="52" t="s">
        <v>123</v>
      </c>
      <c r="C1952" s="52" t="s">
        <v>144</v>
      </c>
      <c r="D1952" s="52" t="s">
        <v>144</v>
      </c>
      <c r="E1952" s="52" t="s">
        <v>584</v>
      </c>
      <c r="F1952" s="52" t="s">
        <v>581</v>
      </c>
      <c r="G1952" s="195" t="s">
        <v>276</v>
      </c>
      <c r="H1952" s="195"/>
      <c r="I1952" s="195"/>
      <c r="J1952" s="195">
        <v>0</v>
      </c>
      <c r="K1952" s="195">
        <v>0</v>
      </c>
      <c r="L1952" s="195">
        <v>7.3430209999999996E-2</v>
      </c>
      <c r="M1952" s="195">
        <v>2.3029730000000002</v>
      </c>
      <c r="N1952" s="195">
        <v>2.0662880000000001</v>
      </c>
    </row>
    <row r="1953" spans="1:14" hidden="1" x14ac:dyDescent="0.35">
      <c r="A1953" s="52" t="s">
        <v>664</v>
      </c>
      <c r="B1953" s="52" t="s">
        <v>123</v>
      </c>
      <c r="C1953" s="52" t="s">
        <v>144</v>
      </c>
      <c r="D1953" s="52" t="s">
        <v>144</v>
      </c>
      <c r="E1953" s="52" t="s">
        <v>584</v>
      </c>
      <c r="F1953" s="52" t="s">
        <v>581</v>
      </c>
      <c r="G1953" s="195" t="s">
        <v>277</v>
      </c>
      <c r="H1953" s="195">
        <v>10.95473</v>
      </c>
      <c r="I1953" s="195">
        <v>17.75572</v>
      </c>
      <c r="J1953" s="195">
        <v>14.91123</v>
      </c>
      <c r="K1953" s="195">
        <v>10.112740000000001</v>
      </c>
      <c r="L1953" s="195">
        <v>6.4866250000000001</v>
      </c>
      <c r="M1953" s="195">
        <v>6.3145800000000003</v>
      </c>
      <c r="N1953" s="195">
        <v>5.9229050000000001</v>
      </c>
    </row>
    <row r="1954" spans="1:14" hidden="1" x14ac:dyDescent="0.35">
      <c r="A1954" s="52" t="s">
        <v>664</v>
      </c>
      <c r="B1954" s="52" t="s">
        <v>123</v>
      </c>
      <c r="C1954" s="52" t="s">
        <v>144</v>
      </c>
      <c r="D1954" s="52" t="s">
        <v>144</v>
      </c>
      <c r="E1954" s="52" t="s">
        <v>584</v>
      </c>
      <c r="F1954" s="52" t="s">
        <v>581</v>
      </c>
      <c r="G1954" s="195" t="s">
        <v>278</v>
      </c>
      <c r="H1954" s="195">
        <v>0.19783709999999999</v>
      </c>
      <c r="I1954" s="195">
        <v>8.6855210000000002E-2</v>
      </c>
      <c r="J1954" s="195">
        <v>0</v>
      </c>
      <c r="K1954" s="195">
        <v>0</v>
      </c>
      <c r="L1954" s="195">
        <v>0</v>
      </c>
      <c r="M1954" s="195">
        <v>0</v>
      </c>
      <c r="N1954" s="195"/>
    </row>
    <row r="1955" spans="1:14" hidden="1" x14ac:dyDescent="0.35">
      <c r="A1955" s="52" t="s">
        <v>664</v>
      </c>
      <c r="B1955" s="52" t="s">
        <v>123</v>
      </c>
      <c r="C1955" s="52" t="s">
        <v>144</v>
      </c>
      <c r="D1955" s="52" t="s">
        <v>144</v>
      </c>
      <c r="E1955" s="52" t="s">
        <v>584</v>
      </c>
      <c r="F1955" s="52" t="s">
        <v>581</v>
      </c>
      <c r="G1955" s="195" t="s">
        <v>279</v>
      </c>
      <c r="H1955" s="195">
        <v>12.299620000000001</v>
      </c>
      <c r="I1955" s="195">
        <v>7.7888609999999998</v>
      </c>
      <c r="J1955" s="195">
        <v>8.1320639999999997</v>
      </c>
      <c r="K1955" s="195">
        <v>9.8003160000000005</v>
      </c>
      <c r="L1955" s="195">
        <v>10.33165</v>
      </c>
      <c r="M1955" s="195">
        <v>18.043710000000001</v>
      </c>
      <c r="N1955" s="195">
        <v>15.20007</v>
      </c>
    </row>
    <row r="1956" spans="1:14" hidden="1" x14ac:dyDescent="0.35">
      <c r="A1956" s="52" t="s">
        <v>664</v>
      </c>
      <c r="B1956" s="52" t="s">
        <v>123</v>
      </c>
      <c r="C1956" s="52" t="s">
        <v>144</v>
      </c>
      <c r="D1956" s="52" t="s">
        <v>144</v>
      </c>
      <c r="E1956" s="52" t="s">
        <v>584</v>
      </c>
      <c r="F1956" s="52" t="s">
        <v>26</v>
      </c>
      <c r="G1956" s="195" t="s">
        <v>275</v>
      </c>
      <c r="H1956" s="195">
        <v>53.343229999999998</v>
      </c>
      <c r="I1956" s="195">
        <v>-68.345339999999993</v>
      </c>
      <c r="J1956" s="195">
        <v>-78.075249999999997</v>
      </c>
      <c r="K1956" s="195">
        <v>-54.231679999999997</v>
      </c>
      <c r="L1956" s="195">
        <v>-34.904229999999998</v>
      </c>
      <c r="M1956" s="195">
        <v>-33.462820000000001</v>
      </c>
      <c r="N1956" s="195">
        <v>-14.081390000000001</v>
      </c>
    </row>
    <row r="1957" spans="1:14" hidden="1" x14ac:dyDescent="0.35">
      <c r="A1957" s="52" t="s">
        <v>664</v>
      </c>
      <c r="B1957" s="52" t="s">
        <v>123</v>
      </c>
      <c r="C1957" s="52" t="s">
        <v>144</v>
      </c>
      <c r="D1957" s="52" t="s">
        <v>144</v>
      </c>
      <c r="E1957" s="52" t="s">
        <v>584</v>
      </c>
      <c r="F1957" s="52" t="s">
        <v>26</v>
      </c>
      <c r="G1957" s="195" t="s">
        <v>276</v>
      </c>
      <c r="H1957" s="195"/>
      <c r="I1957" s="195"/>
      <c r="J1957" s="195">
        <v>0</v>
      </c>
      <c r="K1957" s="195">
        <v>0.10015490000000001</v>
      </c>
      <c r="L1957" s="195">
        <v>0.32738709999999999</v>
      </c>
      <c r="M1957" s="195">
        <v>-1.567191</v>
      </c>
      <c r="N1957" s="195">
        <v>-1.7005699999999999</v>
      </c>
    </row>
    <row r="1958" spans="1:14" hidden="1" x14ac:dyDescent="0.35">
      <c r="A1958" s="52" t="s">
        <v>664</v>
      </c>
      <c r="B1958" s="52" t="s">
        <v>123</v>
      </c>
      <c r="C1958" s="52" t="s">
        <v>144</v>
      </c>
      <c r="D1958" s="52" t="s">
        <v>144</v>
      </c>
      <c r="E1958" s="52" t="s">
        <v>584</v>
      </c>
      <c r="F1958" s="52" t="s">
        <v>26</v>
      </c>
      <c r="G1958" s="195" t="s">
        <v>277</v>
      </c>
      <c r="H1958" s="195">
        <v>27.95879</v>
      </c>
      <c r="I1958" s="195">
        <v>106.3767</v>
      </c>
      <c r="J1958" s="195">
        <v>81.161270000000002</v>
      </c>
      <c r="K1958" s="195">
        <v>48.172609999999999</v>
      </c>
      <c r="L1958" s="195">
        <v>25.3932</v>
      </c>
      <c r="M1958" s="195">
        <v>25.910219999999999</v>
      </c>
      <c r="N1958" s="195">
        <v>8.1750170000000004</v>
      </c>
    </row>
    <row r="1959" spans="1:14" hidden="1" x14ac:dyDescent="0.35">
      <c r="A1959" s="52" t="s">
        <v>664</v>
      </c>
      <c r="B1959" s="52" t="s">
        <v>123</v>
      </c>
      <c r="C1959" s="52" t="s">
        <v>144</v>
      </c>
      <c r="D1959" s="52" t="s">
        <v>144</v>
      </c>
      <c r="E1959" s="52" t="s">
        <v>584</v>
      </c>
      <c r="F1959" s="52" t="s">
        <v>26</v>
      </c>
      <c r="G1959" s="195" t="s">
        <v>278</v>
      </c>
      <c r="H1959" s="195"/>
      <c r="I1959" s="195">
        <v>0</v>
      </c>
      <c r="J1959" s="195">
        <v>0</v>
      </c>
      <c r="K1959" s="195">
        <v>0</v>
      </c>
      <c r="L1959" s="195">
        <v>0</v>
      </c>
      <c r="M1959" s="195">
        <v>0</v>
      </c>
      <c r="N1959" s="195">
        <v>0</v>
      </c>
    </row>
    <row r="1960" spans="1:14" hidden="1" x14ac:dyDescent="0.35">
      <c r="A1960" s="52" t="s">
        <v>664</v>
      </c>
      <c r="B1960" s="52" t="s">
        <v>123</v>
      </c>
      <c r="C1960" s="52" t="s">
        <v>144</v>
      </c>
      <c r="D1960" s="52" t="s">
        <v>144</v>
      </c>
      <c r="E1960" s="52" t="s">
        <v>584</v>
      </c>
      <c r="F1960" s="52" t="s">
        <v>26</v>
      </c>
      <c r="G1960" s="195" t="s">
        <v>279</v>
      </c>
      <c r="H1960" s="195">
        <v>41.025970000000001</v>
      </c>
      <c r="I1960" s="195">
        <v>33.200290000000003</v>
      </c>
      <c r="J1960" s="195">
        <v>32.976179999999999</v>
      </c>
      <c r="K1960" s="195">
        <v>43.181570000000001</v>
      </c>
      <c r="L1960" s="195">
        <v>55.589399999999998</v>
      </c>
      <c r="M1960" s="195">
        <v>55.211730000000003</v>
      </c>
      <c r="N1960" s="195">
        <v>54.594940000000001</v>
      </c>
    </row>
    <row r="1961" spans="1:14" hidden="1" x14ac:dyDescent="0.35">
      <c r="A1961" s="52" t="s">
        <v>664</v>
      </c>
      <c r="B1961" s="52" t="s">
        <v>123</v>
      </c>
      <c r="C1961" s="52" t="s">
        <v>318</v>
      </c>
      <c r="D1961" s="52" t="s">
        <v>318</v>
      </c>
      <c r="E1961" s="52" t="s">
        <v>584</v>
      </c>
      <c r="F1961" s="52" t="s">
        <v>581</v>
      </c>
      <c r="G1961" s="195" t="s">
        <v>275</v>
      </c>
      <c r="H1961" s="195">
        <v>0</v>
      </c>
      <c r="I1961" s="195"/>
      <c r="J1961" s="195"/>
      <c r="K1961" s="195"/>
      <c r="L1961" s="195"/>
      <c r="M1961" s="195"/>
      <c r="N1961" s="195"/>
    </row>
    <row r="1962" spans="1:14" hidden="1" x14ac:dyDescent="0.35">
      <c r="A1962" s="52" t="s">
        <v>664</v>
      </c>
      <c r="B1962" s="52" t="s">
        <v>123</v>
      </c>
      <c r="C1962" s="52" t="s">
        <v>318</v>
      </c>
      <c r="D1962" s="52" t="s">
        <v>318</v>
      </c>
      <c r="E1962" s="52" t="s">
        <v>584</v>
      </c>
      <c r="F1962" s="52" t="s">
        <v>581</v>
      </c>
      <c r="G1962" s="195" t="s">
        <v>276</v>
      </c>
      <c r="H1962" s="195">
        <v>0</v>
      </c>
      <c r="I1962" s="195"/>
      <c r="J1962" s="195"/>
      <c r="K1962" s="195"/>
      <c r="L1962" s="195"/>
      <c r="M1962" s="195"/>
      <c r="N1962" s="195"/>
    </row>
    <row r="1963" spans="1:14" hidden="1" x14ac:dyDescent="0.35">
      <c r="A1963" s="52" t="s">
        <v>664</v>
      </c>
      <c r="B1963" s="52" t="s">
        <v>123</v>
      </c>
      <c r="C1963" s="52" t="s">
        <v>318</v>
      </c>
      <c r="D1963" s="52" t="s">
        <v>318</v>
      </c>
      <c r="E1963" s="52" t="s">
        <v>584</v>
      </c>
      <c r="F1963" s="52" t="s">
        <v>581</v>
      </c>
      <c r="G1963" s="195" t="s">
        <v>278</v>
      </c>
      <c r="H1963" s="195">
        <v>0</v>
      </c>
      <c r="I1963" s="195"/>
      <c r="J1963" s="195"/>
      <c r="K1963" s="195"/>
      <c r="L1963" s="195"/>
      <c r="M1963" s="195"/>
      <c r="N1963" s="195"/>
    </row>
    <row r="1964" spans="1:14" hidden="1" x14ac:dyDescent="0.35">
      <c r="A1964" s="52" t="s">
        <v>664</v>
      </c>
      <c r="B1964" s="52" t="s">
        <v>123</v>
      </c>
      <c r="C1964" s="52" t="s">
        <v>318</v>
      </c>
      <c r="D1964" s="52" t="s">
        <v>318</v>
      </c>
      <c r="E1964" s="52" t="s">
        <v>584</v>
      </c>
      <c r="F1964" s="52" t="s">
        <v>26</v>
      </c>
      <c r="G1964" s="195" t="s">
        <v>275</v>
      </c>
      <c r="H1964" s="195">
        <v>0</v>
      </c>
      <c r="I1964" s="195"/>
      <c r="J1964" s="195"/>
      <c r="K1964" s="195"/>
      <c r="L1964" s="195"/>
      <c r="M1964" s="195"/>
      <c r="N1964" s="195"/>
    </row>
    <row r="1965" spans="1:14" hidden="1" x14ac:dyDescent="0.35">
      <c r="A1965" s="52" t="s">
        <v>664</v>
      </c>
      <c r="B1965" s="52" t="s">
        <v>123</v>
      </c>
      <c r="C1965" s="52" t="s">
        <v>318</v>
      </c>
      <c r="D1965" s="52" t="s">
        <v>318</v>
      </c>
      <c r="E1965" s="52" t="s">
        <v>584</v>
      </c>
      <c r="F1965" s="52" t="s">
        <v>26</v>
      </c>
      <c r="G1965" s="195" t="s">
        <v>276</v>
      </c>
      <c r="H1965" s="195">
        <v>0</v>
      </c>
      <c r="I1965" s="195"/>
      <c r="J1965" s="195"/>
      <c r="K1965" s="195"/>
      <c r="L1965" s="195"/>
      <c r="M1965" s="195"/>
      <c r="N1965" s="195"/>
    </row>
    <row r="1966" spans="1:14" hidden="1" x14ac:dyDescent="0.35">
      <c r="A1966" s="52" t="s">
        <v>664</v>
      </c>
      <c r="B1966" s="52" t="s">
        <v>123</v>
      </c>
      <c r="C1966" s="52" t="s">
        <v>318</v>
      </c>
      <c r="D1966" s="52" t="s">
        <v>318</v>
      </c>
      <c r="E1966" s="52" t="s">
        <v>584</v>
      </c>
      <c r="F1966" s="52" t="s">
        <v>26</v>
      </c>
      <c r="G1966" s="195" t="s">
        <v>278</v>
      </c>
      <c r="H1966" s="195">
        <v>0</v>
      </c>
      <c r="I1966" s="195"/>
      <c r="J1966" s="195"/>
      <c r="K1966" s="195"/>
      <c r="L1966" s="195"/>
      <c r="M1966" s="195"/>
      <c r="N1966" s="195"/>
    </row>
    <row r="1967" spans="1:14" hidden="1" x14ac:dyDescent="0.35">
      <c r="A1967" s="52" t="s">
        <v>664</v>
      </c>
      <c r="B1967" s="52" t="s">
        <v>123</v>
      </c>
      <c r="C1967" s="52" t="s">
        <v>351</v>
      </c>
      <c r="D1967" s="52" t="s">
        <v>351</v>
      </c>
      <c r="E1967" s="52" t="s">
        <v>584</v>
      </c>
      <c r="F1967" s="52" t="s">
        <v>581</v>
      </c>
      <c r="G1967" s="195" t="s">
        <v>275</v>
      </c>
      <c r="H1967" s="195"/>
      <c r="I1967" s="195"/>
      <c r="J1967" s="195"/>
      <c r="K1967" s="195"/>
      <c r="L1967" s="195"/>
      <c r="M1967" s="195">
        <v>0</v>
      </c>
      <c r="N1967" s="195">
        <v>0</v>
      </c>
    </row>
    <row r="1968" spans="1:14" hidden="1" x14ac:dyDescent="0.35">
      <c r="A1968" s="52" t="s">
        <v>664</v>
      </c>
      <c r="B1968" s="52" t="s">
        <v>123</v>
      </c>
      <c r="C1968" s="52" t="s">
        <v>351</v>
      </c>
      <c r="D1968" s="52" t="s">
        <v>351</v>
      </c>
      <c r="E1968" s="52" t="s">
        <v>584</v>
      </c>
      <c r="F1968" s="52" t="s">
        <v>581</v>
      </c>
      <c r="G1968" s="195" t="s">
        <v>277</v>
      </c>
      <c r="H1968" s="195"/>
      <c r="I1968" s="195"/>
      <c r="J1968" s="195"/>
      <c r="K1968" s="195"/>
      <c r="L1968" s="195"/>
      <c r="M1968" s="195">
        <v>0</v>
      </c>
      <c r="N1968" s="195">
        <v>0</v>
      </c>
    </row>
    <row r="1969" spans="1:14" hidden="1" x14ac:dyDescent="0.35">
      <c r="A1969" s="52" t="s">
        <v>664</v>
      </c>
      <c r="B1969" s="52" t="s">
        <v>123</v>
      </c>
      <c r="C1969" s="52" t="s">
        <v>351</v>
      </c>
      <c r="D1969" s="52" t="s">
        <v>351</v>
      </c>
      <c r="E1969" s="52" t="s">
        <v>584</v>
      </c>
      <c r="F1969" s="52" t="s">
        <v>581</v>
      </c>
      <c r="G1969" s="195" t="s">
        <v>279</v>
      </c>
      <c r="H1969" s="195"/>
      <c r="I1969" s="195"/>
      <c r="J1969" s="195"/>
      <c r="K1969" s="195"/>
      <c r="L1969" s="195"/>
      <c r="M1969" s="195">
        <v>0</v>
      </c>
      <c r="N1969" s="195">
        <v>0</v>
      </c>
    </row>
    <row r="1970" spans="1:14" hidden="1" x14ac:dyDescent="0.35">
      <c r="A1970" s="52" t="s">
        <v>664</v>
      </c>
      <c r="B1970" s="52" t="s">
        <v>123</v>
      </c>
      <c r="C1970" s="52" t="s">
        <v>351</v>
      </c>
      <c r="D1970" s="52" t="s">
        <v>351</v>
      </c>
      <c r="E1970" s="52" t="s">
        <v>584</v>
      </c>
      <c r="F1970" s="52" t="s">
        <v>26</v>
      </c>
      <c r="G1970" s="195" t="s">
        <v>275</v>
      </c>
      <c r="H1970" s="195">
        <v>-156.5035</v>
      </c>
      <c r="I1970" s="195">
        <v>-70.177059999999997</v>
      </c>
      <c r="J1970" s="195">
        <v>0</v>
      </c>
      <c r="K1970" s="195">
        <v>0</v>
      </c>
      <c r="L1970" s="195">
        <v>0</v>
      </c>
      <c r="M1970" s="195">
        <v>0</v>
      </c>
      <c r="N1970" s="195">
        <v>0</v>
      </c>
    </row>
    <row r="1971" spans="1:14" hidden="1" x14ac:dyDescent="0.35">
      <c r="A1971" s="52" t="s">
        <v>664</v>
      </c>
      <c r="B1971" s="52" t="s">
        <v>123</v>
      </c>
      <c r="C1971" s="52" t="s">
        <v>351</v>
      </c>
      <c r="D1971" s="52" t="s">
        <v>351</v>
      </c>
      <c r="E1971" s="52" t="s">
        <v>584</v>
      </c>
      <c r="F1971" s="52" t="s">
        <v>26</v>
      </c>
      <c r="G1971" s="195" t="s">
        <v>276</v>
      </c>
      <c r="H1971" s="195"/>
      <c r="I1971" s="195"/>
      <c r="J1971" s="195">
        <v>-0.88146800000000003</v>
      </c>
      <c r="K1971" s="195">
        <v>-52.736420000000003</v>
      </c>
      <c r="L1971" s="195">
        <v>-65.393320000000003</v>
      </c>
      <c r="M1971" s="195">
        <v>-1.089718</v>
      </c>
      <c r="N1971" s="195">
        <v>-1.1231</v>
      </c>
    </row>
    <row r="1972" spans="1:14" hidden="1" x14ac:dyDescent="0.35">
      <c r="A1972" s="52" t="s">
        <v>664</v>
      </c>
      <c r="B1972" s="52" t="s">
        <v>123</v>
      </c>
      <c r="C1972" s="52" t="s">
        <v>351</v>
      </c>
      <c r="D1972" s="52" t="s">
        <v>351</v>
      </c>
      <c r="E1972" s="52" t="s">
        <v>584</v>
      </c>
      <c r="F1972" s="52" t="s">
        <v>26</v>
      </c>
      <c r="G1972" s="195" t="s">
        <v>277</v>
      </c>
      <c r="H1972" s="195"/>
      <c r="I1972" s="195"/>
      <c r="J1972" s="195">
        <v>0</v>
      </c>
      <c r="K1972" s="195">
        <v>0</v>
      </c>
      <c r="L1972" s="195">
        <v>0</v>
      </c>
      <c r="M1972" s="195">
        <v>0.20825099999999999</v>
      </c>
      <c r="N1972" s="195">
        <v>0.2416316</v>
      </c>
    </row>
    <row r="1973" spans="1:14" hidden="1" x14ac:dyDescent="0.35">
      <c r="A1973" s="52" t="s">
        <v>664</v>
      </c>
      <c r="B1973" s="52" t="s">
        <v>123</v>
      </c>
      <c r="C1973" s="52" t="s">
        <v>351</v>
      </c>
      <c r="D1973" s="52" t="s">
        <v>351</v>
      </c>
      <c r="E1973" s="52" t="s">
        <v>584</v>
      </c>
      <c r="F1973" s="52" t="s">
        <v>26</v>
      </c>
      <c r="G1973" s="195" t="s">
        <v>278</v>
      </c>
      <c r="H1973" s="195">
        <v>156.5035</v>
      </c>
      <c r="I1973" s="195">
        <v>70.177059999999997</v>
      </c>
      <c r="J1973" s="195">
        <v>0.88146800000000003</v>
      </c>
      <c r="K1973" s="195">
        <v>52.736420000000003</v>
      </c>
      <c r="L1973" s="195">
        <v>65.393320000000003</v>
      </c>
      <c r="M1973" s="195">
        <v>0.88146800000000003</v>
      </c>
      <c r="N1973" s="195">
        <v>0.88146800000000003</v>
      </c>
    </row>
    <row r="1974" spans="1:14" hidden="1" x14ac:dyDescent="0.35">
      <c r="A1974" s="52" t="s">
        <v>664</v>
      </c>
      <c r="B1974" s="52" t="s">
        <v>123</v>
      </c>
      <c r="C1974" s="52" t="s">
        <v>351</v>
      </c>
      <c r="D1974" s="52" t="s">
        <v>351</v>
      </c>
      <c r="E1974" s="52" t="s">
        <v>584</v>
      </c>
      <c r="F1974" s="52" t="s">
        <v>26</v>
      </c>
      <c r="G1974" s="195" t="s">
        <v>279</v>
      </c>
      <c r="H1974" s="195"/>
      <c r="I1974" s="195"/>
      <c r="J1974" s="195"/>
      <c r="K1974" s="195"/>
      <c r="L1974" s="195"/>
      <c r="M1974" s="195">
        <v>0</v>
      </c>
      <c r="N1974" s="195">
        <v>0</v>
      </c>
    </row>
    <row r="1975" spans="1:14" hidden="1" x14ac:dyDescent="0.35">
      <c r="A1975" s="52" t="s">
        <v>664</v>
      </c>
      <c r="B1975" s="52" t="s">
        <v>133</v>
      </c>
      <c r="C1975" s="52" t="s">
        <v>135</v>
      </c>
      <c r="D1975" s="52" t="s">
        <v>253</v>
      </c>
      <c r="E1975" s="52" t="s">
        <v>584</v>
      </c>
      <c r="F1975" s="52" t="s">
        <v>581</v>
      </c>
      <c r="G1975" s="195" t="s">
        <v>275</v>
      </c>
      <c r="H1975" s="195">
        <v>79.255250000000004</v>
      </c>
      <c r="I1975" s="195">
        <v>32.194290000000002</v>
      </c>
      <c r="J1975" s="195">
        <v>23.21829</v>
      </c>
      <c r="K1975" s="195">
        <v>15.51159</v>
      </c>
      <c r="L1975" s="195">
        <v>15.7822</v>
      </c>
      <c r="M1975" s="195">
        <v>13.196009999999999</v>
      </c>
      <c r="N1975" s="195">
        <v>10.786429999999999</v>
      </c>
    </row>
    <row r="1976" spans="1:14" hidden="1" x14ac:dyDescent="0.35">
      <c r="A1976" s="52" t="s">
        <v>664</v>
      </c>
      <c r="B1976" s="52" t="s">
        <v>133</v>
      </c>
      <c r="C1976" s="52" t="s">
        <v>135</v>
      </c>
      <c r="D1976" s="52" t="s">
        <v>253</v>
      </c>
      <c r="E1976" s="52" t="s">
        <v>584</v>
      </c>
      <c r="F1976" s="52" t="s">
        <v>581</v>
      </c>
      <c r="G1976" s="195" t="s">
        <v>276</v>
      </c>
      <c r="H1976" s="195">
        <v>39.253540000000001</v>
      </c>
      <c r="I1976" s="195">
        <v>11.23715</v>
      </c>
      <c r="J1976" s="195">
        <v>12.630890000000001</v>
      </c>
      <c r="K1976" s="195">
        <v>11.549810000000001</v>
      </c>
      <c r="L1976" s="195">
        <v>11.2417</v>
      </c>
      <c r="M1976" s="195">
        <v>9.1133170000000003</v>
      </c>
      <c r="N1976" s="195">
        <v>7.2691039999999996</v>
      </c>
    </row>
    <row r="1977" spans="1:14" hidden="1" x14ac:dyDescent="0.35">
      <c r="A1977" s="52" t="s">
        <v>664</v>
      </c>
      <c r="B1977" s="52" t="s">
        <v>133</v>
      </c>
      <c r="C1977" s="52" t="s">
        <v>135</v>
      </c>
      <c r="D1977" s="52" t="s">
        <v>253</v>
      </c>
      <c r="E1977" s="52" t="s">
        <v>584</v>
      </c>
      <c r="F1977" s="52" t="s">
        <v>581</v>
      </c>
      <c r="G1977" s="195" t="s">
        <v>277</v>
      </c>
      <c r="H1977" s="195">
        <v>10.98</v>
      </c>
      <c r="I1977" s="195">
        <v>9.9</v>
      </c>
      <c r="J1977" s="195">
        <v>4.95</v>
      </c>
      <c r="K1977" s="195">
        <v>12.11978</v>
      </c>
      <c r="L1977" s="195">
        <v>12.686859999999999</v>
      </c>
      <c r="M1977" s="195">
        <v>12.005520000000001</v>
      </c>
      <c r="N1977" s="195">
        <v>11.78265</v>
      </c>
    </row>
    <row r="1978" spans="1:14" hidden="1" x14ac:dyDescent="0.35">
      <c r="A1978" s="52" t="s">
        <v>664</v>
      </c>
      <c r="B1978" s="52" t="s">
        <v>133</v>
      </c>
      <c r="C1978" s="52" t="s">
        <v>135</v>
      </c>
      <c r="D1978" s="52" t="s">
        <v>253</v>
      </c>
      <c r="E1978" s="52" t="s">
        <v>584</v>
      </c>
      <c r="F1978" s="52" t="s">
        <v>581</v>
      </c>
      <c r="G1978" s="195" t="s">
        <v>279</v>
      </c>
      <c r="H1978" s="195">
        <v>19.218640000000001</v>
      </c>
      <c r="I1978" s="195">
        <v>16.7698</v>
      </c>
      <c r="J1978" s="195">
        <v>18.750399999999999</v>
      </c>
      <c r="K1978" s="195">
        <v>18.809899999999999</v>
      </c>
      <c r="L1978" s="195">
        <v>18.62265</v>
      </c>
      <c r="M1978" s="195">
        <v>15.73373</v>
      </c>
      <c r="N1978" s="195">
        <v>13.287559999999999</v>
      </c>
    </row>
    <row r="1979" spans="1:14" hidden="1" x14ac:dyDescent="0.35">
      <c r="A1979" s="52" t="s">
        <v>664</v>
      </c>
      <c r="B1979" s="52" t="s">
        <v>150</v>
      </c>
      <c r="C1979" s="52" t="s">
        <v>287</v>
      </c>
      <c r="D1979" s="52" t="s">
        <v>287</v>
      </c>
      <c r="E1979" s="52" t="s">
        <v>584</v>
      </c>
      <c r="F1979" s="52" t="s">
        <v>581</v>
      </c>
      <c r="G1979" s="195" t="s">
        <v>275</v>
      </c>
      <c r="H1979" s="195">
        <v>-107.5534</v>
      </c>
      <c r="I1979" s="195">
        <v>25.596119999999999</v>
      </c>
      <c r="J1979" s="195">
        <v>26.47128</v>
      </c>
      <c r="K1979" s="195">
        <v>26.460799999999999</v>
      </c>
      <c r="L1979" s="195">
        <v>0</v>
      </c>
      <c r="M1979" s="195">
        <v>0</v>
      </c>
      <c r="N1979" s="195">
        <v>0</v>
      </c>
    </row>
    <row r="1980" spans="1:14" hidden="1" x14ac:dyDescent="0.35">
      <c r="A1980" s="52" t="s">
        <v>664</v>
      </c>
      <c r="B1980" s="52" t="s">
        <v>150</v>
      </c>
      <c r="C1980" s="52" t="s">
        <v>287</v>
      </c>
      <c r="D1980" s="52" t="s">
        <v>287</v>
      </c>
      <c r="E1980" s="52" t="s">
        <v>584</v>
      </c>
      <c r="F1980" s="52" t="s">
        <v>581</v>
      </c>
      <c r="G1980" s="195" t="s">
        <v>276</v>
      </c>
      <c r="H1980" s="195">
        <v>-26.560839999999999</v>
      </c>
      <c r="I1980" s="195">
        <v>-26.781649999999999</v>
      </c>
      <c r="J1980" s="195">
        <v>-0.18369060000000001</v>
      </c>
      <c r="K1980" s="195">
        <v>-0.13323960000000001</v>
      </c>
      <c r="L1980" s="195">
        <v>-86.703919999999997</v>
      </c>
      <c r="M1980" s="195">
        <v>-16.857479999999999</v>
      </c>
      <c r="N1980" s="195">
        <v>-0.1332409</v>
      </c>
    </row>
    <row r="1981" spans="1:14" hidden="1" x14ac:dyDescent="0.35">
      <c r="A1981" s="52" t="s">
        <v>664</v>
      </c>
      <c r="B1981" s="52" t="s">
        <v>150</v>
      </c>
      <c r="C1981" s="52" t="s">
        <v>287</v>
      </c>
      <c r="D1981" s="52" t="s">
        <v>287</v>
      </c>
      <c r="E1981" s="52" t="s">
        <v>584</v>
      </c>
      <c r="F1981" s="52" t="s">
        <v>581</v>
      </c>
      <c r="G1981" s="195" t="s">
        <v>277</v>
      </c>
      <c r="H1981" s="195">
        <v>0</v>
      </c>
      <c r="I1981" s="195">
        <v>0.9</v>
      </c>
      <c r="J1981" s="195">
        <v>0</v>
      </c>
      <c r="K1981" s="195">
        <v>0</v>
      </c>
      <c r="L1981" s="195">
        <v>0</v>
      </c>
      <c r="M1981" s="195">
        <v>0</v>
      </c>
      <c r="N1981" s="195">
        <v>0</v>
      </c>
    </row>
    <row r="1982" spans="1:14" hidden="1" x14ac:dyDescent="0.35">
      <c r="A1982" s="52" t="s">
        <v>664</v>
      </c>
      <c r="B1982" s="52" t="s">
        <v>150</v>
      </c>
      <c r="C1982" s="52" t="s">
        <v>287</v>
      </c>
      <c r="D1982" s="52" t="s">
        <v>287</v>
      </c>
      <c r="E1982" s="52" t="s">
        <v>584</v>
      </c>
      <c r="F1982" s="52" t="s">
        <v>581</v>
      </c>
      <c r="G1982" s="195" t="s">
        <v>278</v>
      </c>
      <c r="H1982" s="195">
        <v>134.11420000000001</v>
      </c>
      <c r="I1982" s="195">
        <v>0.28553879999999998</v>
      </c>
      <c r="J1982" s="195">
        <v>0.18369060000000001</v>
      </c>
      <c r="K1982" s="195">
        <v>0.133239</v>
      </c>
      <c r="L1982" s="195">
        <v>86.703909999999993</v>
      </c>
      <c r="M1982" s="195">
        <v>16.857479999999999</v>
      </c>
      <c r="N1982" s="195">
        <v>0.133239</v>
      </c>
    </row>
    <row r="1983" spans="1:14" hidden="1" x14ac:dyDescent="0.35">
      <c r="A1983" s="52" t="s">
        <v>664</v>
      </c>
      <c r="B1983" s="52" t="s">
        <v>150</v>
      </c>
      <c r="C1983" s="52" t="s">
        <v>287</v>
      </c>
      <c r="D1983" s="52" t="s">
        <v>287</v>
      </c>
      <c r="E1983" s="52" t="s">
        <v>584</v>
      </c>
      <c r="F1983" s="52" t="s">
        <v>581</v>
      </c>
      <c r="G1983" s="195" t="s">
        <v>279</v>
      </c>
      <c r="H1983" s="195"/>
      <c r="I1983" s="195"/>
      <c r="J1983" s="195"/>
      <c r="K1983" s="195"/>
      <c r="L1983" s="195">
        <v>0</v>
      </c>
      <c r="M1983" s="195">
        <v>0</v>
      </c>
      <c r="N1983" s="195">
        <v>0</v>
      </c>
    </row>
    <row r="1984" spans="1:14" hidden="1" x14ac:dyDescent="0.35">
      <c r="A1984" s="52" t="s">
        <v>664</v>
      </c>
      <c r="B1984" s="52" t="s">
        <v>150</v>
      </c>
      <c r="C1984" s="52" t="s">
        <v>318</v>
      </c>
      <c r="D1984" s="52" t="s">
        <v>318</v>
      </c>
      <c r="E1984" s="52" t="s">
        <v>584</v>
      </c>
      <c r="F1984" s="52" t="s">
        <v>581</v>
      </c>
      <c r="G1984" s="195" t="s">
        <v>275</v>
      </c>
      <c r="H1984" s="195">
        <v>0</v>
      </c>
      <c r="I1984" s="195"/>
      <c r="J1984" s="195"/>
      <c r="K1984" s="195"/>
      <c r="L1984" s="195"/>
      <c r="M1984" s="195"/>
      <c r="N1984" s="195"/>
    </row>
    <row r="1985" spans="1:14" hidden="1" x14ac:dyDescent="0.35">
      <c r="A1985" s="52" t="s">
        <v>664</v>
      </c>
      <c r="B1985" s="52" t="s">
        <v>150</v>
      </c>
      <c r="C1985" s="52" t="s">
        <v>318</v>
      </c>
      <c r="D1985" s="52" t="s">
        <v>318</v>
      </c>
      <c r="E1985" s="52" t="s">
        <v>584</v>
      </c>
      <c r="F1985" s="52" t="s">
        <v>581</v>
      </c>
      <c r="G1985" s="195" t="s">
        <v>276</v>
      </c>
      <c r="H1985" s="195">
        <v>0</v>
      </c>
      <c r="I1985" s="195"/>
      <c r="J1985" s="195"/>
      <c r="K1985" s="195"/>
      <c r="L1985" s="195"/>
      <c r="M1985" s="195"/>
      <c r="N1985" s="195"/>
    </row>
    <row r="1986" spans="1:14" hidden="1" x14ac:dyDescent="0.35">
      <c r="A1986" s="52" t="s">
        <v>664</v>
      </c>
      <c r="B1986" s="52" t="s">
        <v>150</v>
      </c>
      <c r="C1986" s="52" t="s">
        <v>318</v>
      </c>
      <c r="D1986" s="52" t="s">
        <v>318</v>
      </c>
      <c r="E1986" s="52" t="s">
        <v>584</v>
      </c>
      <c r="F1986" s="52" t="s">
        <v>581</v>
      </c>
      <c r="G1986" s="195" t="s">
        <v>278</v>
      </c>
      <c r="H1986" s="195">
        <v>0</v>
      </c>
      <c r="I1986" s="195"/>
      <c r="J1986" s="195"/>
      <c r="K1986" s="195"/>
      <c r="L1986" s="195"/>
      <c r="M1986" s="195"/>
      <c r="N1986" s="195"/>
    </row>
    <row r="1987" spans="1:14" hidden="1" x14ac:dyDescent="0.35">
      <c r="A1987" s="52" t="s">
        <v>664</v>
      </c>
      <c r="B1987" s="52" t="s">
        <v>150</v>
      </c>
      <c r="C1987" s="52" t="s">
        <v>318</v>
      </c>
      <c r="D1987" s="52" t="s">
        <v>318</v>
      </c>
      <c r="E1987" s="52" t="s">
        <v>584</v>
      </c>
      <c r="F1987" s="52" t="s">
        <v>26</v>
      </c>
      <c r="G1987" s="195" t="s">
        <v>275</v>
      </c>
      <c r="H1987" s="195">
        <v>0</v>
      </c>
      <c r="I1987" s="195"/>
      <c r="J1987" s="195"/>
      <c r="K1987" s="195"/>
      <c r="L1987" s="195"/>
      <c r="M1987" s="195"/>
      <c r="N1987" s="195"/>
    </row>
    <row r="1988" spans="1:14" hidden="1" x14ac:dyDescent="0.35">
      <c r="A1988" s="52" t="s">
        <v>664</v>
      </c>
      <c r="B1988" s="52" t="s">
        <v>150</v>
      </c>
      <c r="C1988" s="52" t="s">
        <v>318</v>
      </c>
      <c r="D1988" s="52" t="s">
        <v>318</v>
      </c>
      <c r="E1988" s="52" t="s">
        <v>584</v>
      </c>
      <c r="F1988" s="52" t="s">
        <v>26</v>
      </c>
      <c r="G1988" s="195" t="s">
        <v>276</v>
      </c>
      <c r="H1988" s="195">
        <v>0</v>
      </c>
      <c r="I1988" s="195"/>
      <c r="J1988" s="195"/>
      <c r="K1988" s="195"/>
      <c r="L1988" s="195"/>
      <c r="M1988" s="195"/>
      <c r="N1988" s="195"/>
    </row>
    <row r="1989" spans="1:14" hidden="1" x14ac:dyDescent="0.35">
      <c r="A1989" s="52" t="s">
        <v>664</v>
      </c>
      <c r="B1989" s="52" t="s">
        <v>150</v>
      </c>
      <c r="C1989" s="52" t="s">
        <v>318</v>
      </c>
      <c r="D1989" s="52" t="s">
        <v>318</v>
      </c>
      <c r="E1989" s="52" t="s">
        <v>584</v>
      </c>
      <c r="F1989" s="52" t="s">
        <v>26</v>
      </c>
      <c r="G1989" s="195" t="s">
        <v>278</v>
      </c>
      <c r="H1989" s="195">
        <v>0</v>
      </c>
      <c r="I1989" s="195"/>
      <c r="J1989" s="195"/>
      <c r="K1989" s="195"/>
      <c r="L1989" s="195"/>
      <c r="M1989" s="195"/>
      <c r="N1989" s="195"/>
    </row>
    <row r="1990" spans="1:14" hidden="1" x14ac:dyDescent="0.35">
      <c r="A1990" s="52" t="s">
        <v>664</v>
      </c>
      <c r="B1990" s="52" t="s">
        <v>74</v>
      </c>
      <c r="C1990" s="52" t="s">
        <v>71</v>
      </c>
      <c r="D1990" s="52" t="s">
        <v>138</v>
      </c>
      <c r="E1990" s="52" t="s">
        <v>584</v>
      </c>
      <c r="F1990" s="52" t="s">
        <v>581</v>
      </c>
      <c r="G1990" s="195" t="s">
        <v>275</v>
      </c>
      <c r="H1990" s="195">
        <v>-7.6609750000000004E-3</v>
      </c>
      <c r="I1990" s="195">
        <v>-1.0461430000000001E-2</v>
      </c>
      <c r="J1990" s="195">
        <v>0</v>
      </c>
      <c r="K1990" s="195">
        <v>0</v>
      </c>
      <c r="L1990" s="195">
        <v>0</v>
      </c>
      <c r="M1990" s="195">
        <v>0</v>
      </c>
      <c r="N1990" s="195">
        <v>0</v>
      </c>
    </row>
    <row r="1991" spans="1:14" hidden="1" x14ac:dyDescent="0.35">
      <c r="A1991" s="52" t="s">
        <v>664</v>
      </c>
      <c r="B1991" s="52" t="s">
        <v>74</v>
      </c>
      <c r="C1991" s="52" t="s">
        <v>71</v>
      </c>
      <c r="D1991" s="52" t="s">
        <v>138</v>
      </c>
      <c r="E1991" s="52" t="s">
        <v>584</v>
      </c>
      <c r="F1991" s="52" t="s">
        <v>581</v>
      </c>
      <c r="G1991" s="195" t="s">
        <v>276</v>
      </c>
      <c r="H1991" s="195">
        <v>-5.1078879999999997E-3</v>
      </c>
      <c r="I1991" s="195">
        <v>-6.973478E-3</v>
      </c>
      <c r="J1991" s="195">
        <v>-1.7435570000000001E-2</v>
      </c>
      <c r="K1991" s="195">
        <v>-1.743457E-2</v>
      </c>
      <c r="L1991" s="195">
        <v>-1.743453E-2</v>
      </c>
      <c r="M1991" s="195">
        <v>-3.3434850000000002E-2</v>
      </c>
      <c r="N1991" s="195">
        <v>-0.1934352</v>
      </c>
    </row>
    <row r="1992" spans="1:14" hidden="1" x14ac:dyDescent="0.35">
      <c r="A1992" s="52" t="s">
        <v>664</v>
      </c>
      <c r="B1992" s="52" t="s">
        <v>74</v>
      </c>
      <c r="C1992" s="52" t="s">
        <v>71</v>
      </c>
      <c r="D1992" s="52" t="s">
        <v>138</v>
      </c>
      <c r="E1992" s="52" t="s">
        <v>584</v>
      </c>
      <c r="F1992" s="52" t="s">
        <v>581</v>
      </c>
      <c r="G1992" s="195" t="s">
        <v>277</v>
      </c>
      <c r="H1992" s="195"/>
      <c r="I1992" s="195"/>
      <c r="J1992" s="195"/>
      <c r="K1992" s="195"/>
      <c r="L1992" s="195">
        <v>0</v>
      </c>
      <c r="M1992" s="195">
        <v>1.6E-2</v>
      </c>
      <c r="N1992" s="195">
        <v>0.17599999999999999</v>
      </c>
    </row>
    <row r="1993" spans="1:14" hidden="1" x14ac:dyDescent="0.35">
      <c r="A1993" s="52" t="s">
        <v>664</v>
      </c>
      <c r="B1993" s="52" t="s">
        <v>74</v>
      </c>
      <c r="C1993" s="52" t="s">
        <v>71</v>
      </c>
      <c r="D1993" s="52" t="s">
        <v>138</v>
      </c>
      <c r="E1993" s="52" t="s">
        <v>584</v>
      </c>
      <c r="F1993" s="52" t="s">
        <v>581</v>
      </c>
      <c r="G1993" s="195" t="s">
        <v>278</v>
      </c>
      <c r="H1993" s="195">
        <v>1.27685E-2</v>
      </c>
      <c r="I1993" s="195">
        <v>1.7435059999999999E-2</v>
      </c>
      <c r="J1993" s="195">
        <v>1.7435059999999999E-2</v>
      </c>
      <c r="K1993" s="195">
        <v>1.7435059999999999E-2</v>
      </c>
      <c r="L1993" s="195">
        <v>1.7435059999999999E-2</v>
      </c>
      <c r="M1993" s="195">
        <v>1.7435059999999999E-2</v>
      </c>
      <c r="N1993" s="195">
        <v>1.7435059999999999E-2</v>
      </c>
    </row>
    <row r="1994" spans="1:14" hidden="1" x14ac:dyDescent="0.35">
      <c r="A1994" s="52" t="s">
        <v>664</v>
      </c>
      <c r="B1994" s="52" t="s">
        <v>74</v>
      </c>
      <c r="C1994" s="52" t="s">
        <v>318</v>
      </c>
      <c r="D1994" s="52" t="s">
        <v>318</v>
      </c>
      <c r="E1994" s="52" t="s">
        <v>584</v>
      </c>
      <c r="F1994" s="52" t="s">
        <v>581</v>
      </c>
      <c r="G1994" s="195" t="s">
        <v>275</v>
      </c>
      <c r="H1994" s="195">
        <v>0</v>
      </c>
      <c r="I1994" s="195"/>
      <c r="J1994" s="195"/>
      <c r="K1994" s="195"/>
      <c r="L1994" s="195"/>
      <c r="M1994" s="195"/>
      <c r="N1994" s="195"/>
    </row>
    <row r="1995" spans="1:14" hidden="1" x14ac:dyDescent="0.35">
      <c r="A1995" s="52" t="s">
        <v>664</v>
      </c>
      <c r="B1995" s="52" t="s">
        <v>74</v>
      </c>
      <c r="C1995" s="52" t="s">
        <v>318</v>
      </c>
      <c r="D1995" s="52" t="s">
        <v>318</v>
      </c>
      <c r="E1995" s="52" t="s">
        <v>584</v>
      </c>
      <c r="F1995" s="52" t="s">
        <v>581</v>
      </c>
      <c r="G1995" s="195" t="s">
        <v>276</v>
      </c>
      <c r="H1995" s="195">
        <v>0</v>
      </c>
      <c r="I1995" s="195"/>
      <c r="J1995" s="195"/>
      <c r="K1995" s="195"/>
      <c r="L1995" s="195"/>
      <c r="M1995" s="195"/>
      <c r="N1995" s="195"/>
    </row>
    <row r="1996" spans="1:14" hidden="1" x14ac:dyDescent="0.35">
      <c r="A1996" s="52" t="s">
        <v>664</v>
      </c>
      <c r="B1996" s="52" t="s">
        <v>74</v>
      </c>
      <c r="C1996" s="52" t="s">
        <v>318</v>
      </c>
      <c r="D1996" s="52" t="s">
        <v>318</v>
      </c>
      <c r="E1996" s="52" t="s">
        <v>584</v>
      </c>
      <c r="F1996" s="52" t="s">
        <v>581</v>
      </c>
      <c r="G1996" s="195" t="s">
        <v>278</v>
      </c>
      <c r="H1996" s="195">
        <v>0</v>
      </c>
      <c r="I1996" s="195"/>
      <c r="J1996" s="195"/>
      <c r="K1996" s="195"/>
      <c r="L1996" s="195"/>
      <c r="M1996" s="195"/>
      <c r="N1996" s="195"/>
    </row>
    <row r="1997" spans="1:14" hidden="1" x14ac:dyDescent="0.35">
      <c r="A1997" s="52" t="s">
        <v>664</v>
      </c>
      <c r="B1997" s="52" t="s">
        <v>74</v>
      </c>
      <c r="C1997" s="52" t="s">
        <v>318</v>
      </c>
      <c r="D1997" s="52" t="s">
        <v>318</v>
      </c>
      <c r="E1997" s="52" t="s">
        <v>584</v>
      </c>
      <c r="F1997" s="52" t="s">
        <v>26</v>
      </c>
      <c r="G1997" s="195" t="s">
        <v>275</v>
      </c>
      <c r="H1997" s="195">
        <v>0</v>
      </c>
      <c r="I1997" s="195"/>
      <c r="J1997" s="195"/>
      <c r="K1997" s="195"/>
      <c r="L1997" s="195"/>
      <c r="M1997" s="195"/>
      <c r="N1997" s="195"/>
    </row>
    <row r="1998" spans="1:14" hidden="1" x14ac:dyDescent="0.35">
      <c r="A1998" s="52" t="s">
        <v>664</v>
      </c>
      <c r="B1998" s="52" t="s">
        <v>74</v>
      </c>
      <c r="C1998" s="52" t="s">
        <v>318</v>
      </c>
      <c r="D1998" s="52" t="s">
        <v>318</v>
      </c>
      <c r="E1998" s="52" t="s">
        <v>584</v>
      </c>
      <c r="F1998" s="52" t="s">
        <v>26</v>
      </c>
      <c r="G1998" s="195" t="s">
        <v>276</v>
      </c>
      <c r="H1998" s="195">
        <v>0</v>
      </c>
      <c r="I1998" s="195"/>
      <c r="J1998" s="195"/>
      <c r="K1998" s="195"/>
      <c r="L1998" s="195"/>
      <c r="M1998" s="195"/>
      <c r="N1998" s="195"/>
    </row>
    <row r="1999" spans="1:14" hidden="1" x14ac:dyDescent="0.35">
      <c r="A1999" s="52" t="s">
        <v>664</v>
      </c>
      <c r="B1999" s="52" t="s">
        <v>74</v>
      </c>
      <c r="C1999" s="52" t="s">
        <v>318</v>
      </c>
      <c r="D1999" s="52" t="s">
        <v>318</v>
      </c>
      <c r="E1999" s="52" t="s">
        <v>584</v>
      </c>
      <c r="F1999" s="52" t="s">
        <v>26</v>
      </c>
      <c r="G1999" s="195" t="s">
        <v>278</v>
      </c>
      <c r="H1999" s="195">
        <v>0</v>
      </c>
      <c r="I1999" s="195"/>
      <c r="J1999" s="195"/>
      <c r="K1999" s="195"/>
      <c r="L1999" s="195"/>
      <c r="M1999" s="195"/>
      <c r="N1999" s="195"/>
    </row>
    <row r="2000" spans="1:14" hidden="1" x14ac:dyDescent="0.35">
      <c r="A2000" s="52" t="s">
        <v>664</v>
      </c>
      <c r="B2000" s="52" t="s">
        <v>160</v>
      </c>
      <c r="C2000" s="52" t="s">
        <v>318</v>
      </c>
      <c r="D2000" s="52" t="s">
        <v>318</v>
      </c>
      <c r="E2000" s="52" t="s">
        <v>584</v>
      </c>
      <c r="F2000" s="52" t="s">
        <v>581</v>
      </c>
      <c r="G2000" s="195" t="s">
        <v>275</v>
      </c>
      <c r="H2000" s="195">
        <v>0</v>
      </c>
      <c r="I2000" s="195"/>
      <c r="J2000" s="195"/>
      <c r="K2000" s="195"/>
      <c r="L2000" s="195"/>
      <c r="M2000" s="195"/>
      <c r="N2000" s="195"/>
    </row>
    <row r="2001" spans="1:14" hidden="1" x14ac:dyDescent="0.35">
      <c r="A2001" s="52" t="s">
        <v>664</v>
      </c>
      <c r="B2001" s="52" t="s">
        <v>34</v>
      </c>
      <c r="C2001" s="52" t="s">
        <v>304</v>
      </c>
      <c r="D2001" s="52" t="s">
        <v>304</v>
      </c>
      <c r="E2001" s="52" t="s">
        <v>584</v>
      </c>
      <c r="F2001" s="52" t="s">
        <v>581</v>
      </c>
      <c r="G2001" s="195" t="s">
        <v>275</v>
      </c>
      <c r="H2001" s="195">
        <v>-0.7180029</v>
      </c>
      <c r="I2001" s="195">
        <v>-0.71800299999999995</v>
      </c>
      <c r="J2001" s="195">
        <v>0</v>
      </c>
      <c r="K2001" s="195">
        <v>0</v>
      </c>
      <c r="L2001" s="195">
        <v>0</v>
      </c>
      <c r="M2001" s="195">
        <v>0</v>
      </c>
      <c r="N2001" s="195">
        <v>0</v>
      </c>
    </row>
    <row r="2002" spans="1:14" hidden="1" x14ac:dyDescent="0.35">
      <c r="A2002" s="52" t="s">
        <v>664</v>
      </c>
      <c r="B2002" s="52" t="s">
        <v>351</v>
      </c>
      <c r="C2002" s="52" t="s">
        <v>351</v>
      </c>
      <c r="D2002" s="52" t="s">
        <v>351</v>
      </c>
      <c r="E2002" s="52" t="s">
        <v>584</v>
      </c>
      <c r="F2002" s="52" t="s">
        <v>581</v>
      </c>
      <c r="G2002" s="195" t="s">
        <v>275</v>
      </c>
      <c r="H2002" s="195"/>
      <c r="I2002" s="195">
        <v>-21.21584</v>
      </c>
      <c r="J2002" s="195">
        <v>0</v>
      </c>
      <c r="K2002" s="195">
        <v>0</v>
      </c>
      <c r="L2002" s="195">
        <v>0</v>
      </c>
      <c r="M2002" s="195">
        <v>0</v>
      </c>
      <c r="N2002" s="195">
        <v>0</v>
      </c>
    </row>
    <row r="2003" spans="1:14" hidden="1" x14ac:dyDescent="0.35">
      <c r="A2003" s="52" t="s">
        <v>664</v>
      </c>
      <c r="B2003" s="52" t="s">
        <v>351</v>
      </c>
      <c r="C2003" s="52" t="s">
        <v>351</v>
      </c>
      <c r="D2003" s="52" t="s">
        <v>351</v>
      </c>
      <c r="E2003" s="52" t="s">
        <v>584</v>
      </c>
      <c r="F2003" s="52" t="s">
        <v>581</v>
      </c>
      <c r="G2003" s="195" t="s">
        <v>276</v>
      </c>
      <c r="H2003" s="195"/>
      <c r="I2003" s="195"/>
      <c r="J2003" s="195">
        <v>-0.40913500000000003</v>
      </c>
      <c r="K2003" s="195">
        <v>-0.40913500000000003</v>
      </c>
      <c r="L2003" s="195">
        <v>-7.4055140000000002</v>
      </c>
      <c r="M2003" s="195">
        <v>-0.40913500000000003</v>
      </c>
      <c r="N2003" s="195">
        <v>-0.40913500000000003</v>
      </c>
    </row>
    <row r="2004" spans="1:14" hidden="1" x14ac:dyDescent="0.35">
      <c r="A2004" s="52" t="s">
        <v>664</v>
      </c>
      <c r="B2004" s="52" t="s">
        <v>34</v>
      </c>
      <c r="C2004" s="52" t="s">
        <v>304</v>
      </c>
      <c r="D2004" s="52" t="s">
        <v>304</v>
      </c>
      <c r="E2004" s="52" t="s">
        <v>584</v>
      </c>
      <c r="F2004" s="52" t="s">
        <v>581</v>
      </c>
      <c r="G2004" s="195" t="s">
        <v>276</v>
      </c>
      <c r="H2004" s="195"/>
      <c r="I2004" s="195"/>
      <c r="J2004" s="195">
        <v>-175.55860000000001</v>
      </c>
      <c r="K2004" s="195">
        <v>-83.046599999999998</v>
      </c>
      <c r="L2004" s="195">
        <v>-0.71800299999999995</v>
      </c>
      <c r="M2004" s="195">
        <v>-0.71800299999999995</v>
      </c>
      <c r="N2004" s="195">
        <v>-0.7180029</v>
      </c>
    </row>
    <row r="2005" spans="1:14" hidden="1" x14ac:dyDescent="0.35">
      <c r="A2005" s="52" t="s">
        <v>664</v>
      </c>
      <c r="B2005" s="52" t="s">
        <v>160</v>
      </c>
      <c r="C2005" s="52" t="s">
        <v>318</v>
      </c>
      <c r="D2005" s="52" t="s">
        <v>318</v>
      </c>
      <c r="E2005" s="52" t="s">
        <v>584</v>
      </c>
      <c r="F2005" s="52" t="s">
        <v>581</v>
      </c>
      <c r="G2005" s="195" t="s">
        <v>276</v>
      </c>
      <c r="H2005" s="195">
        <v>0</v>
      </c>
      <c r="I2005" s="195"/>
      <c r="J2005" s="195"/>
      <c r="K2005" s="195"/>
      <c r="L2005" s="195"/>
      <c r="M2005" s="195"/>
      <c r="N2005" s="195"/>
    </row>
    <row r="2006" spans="1:14" hidden="1" x14ac:dyDescent="0.35">
      <c r="A2006" s="52" t="s">
        <v>664</v>
      </c>
      <c r="B2006" s="52" t="s">
        <v>34</v>
      </c>
      <c r="C2006" s="52" t="s">
        <v>304</v>
      </c>
      <c r="D2006" s="52" t="s">
        <v>304</v>
      </c>
      <c r="E2006" s="52" t="s">
        <v>584</v>
      </c>
      <c r="F2006" s="52" t="s">
        <v>581</v>
      </c>
      <c r="G2006" s="195" t="s">
        <v>277</v>
      </c>
      <c r="H2006" s="195"/>
      <c r="I2006" s="195"/>
      <c r="J2006" s="195"/>
      <c r="K2006" s="195"/>
      <c r="L2006" s="195"/>
      <c r="M2006" s="195"/>
      <c r="N2006" s="195">
        <v>0</v>
      </c>
    </row>
    <row r="2007" spans="1:14" hidden="1" x14ac:dyDescent="0.35">
      <c r="A2007" s="52" t="s">
        <v>664</v>
      </c>
      <c r="B2007" s="52" t="s">
        <v>351</v>
      </c>
      <c r="C2007" s="52" t="s">
        <v>351</v>
      </c>
      <c r="D2007" s="52" t="s">
        <v>351</v>
      </c>
      <c r="E2007" s="52" t="s">
        <v>584</v>
      </c>
      <c r="F2007" s="52" t="s">
        <v>581</v>
      </c>
      <c r="G2007" s="195" t="s">
        <v>278</v>
      </c>
      <c r="H2007" s="195"/>
      <c r="I2007" s="195">
        <v>21.21584</v>
      </c>
      <c r="J2007" s="195">
        <v>0.40913500000000003</v>
      </c>
      <c r="K2007" s="195">
        <v>0.40913500000000003</v>
      </c>
      <c r="L2007" s="195">
        <v>7.4055140000000002</v>
      </c>
      <c r="M2007" s="195">
        <v>0.40913500000000003</v>
      </c>
      <c r="N2007" s="195">
        <v>0.40913500000000003</v>
      </c>
    </row>
    <row r="2008" spans="1:14" hidden="1" x14ac:dyDescent="0.35">
      <c r="A2008" s="52" t="s">
        <v>664</v>
      </c>
      <c r="B2008" s="52" t="s">
        <v>160</v>
      </c>
      <c r="C2008" s="52" t="s">
        <v>318</v>
      </c>
      <c r="D2008" s="52" t="s">
        <v>318</v>
      </c>
      <c r="E2008" s="52" t="s">
        <v>584</v>
      </c>
      <c r="F2008" s="52" t="s">
        <v>581</v>
      </c>
      <c r="G2008" s="195" t="s">
        <v>278</v>
      </c>
      <c r="H2008" s="195">
        <v>0</v>
      </c>
      <c r="I2008" s="195"/>
      <c r="J2008" s="195"/>
      <c r="K2008" s="195"/>
      <c r="L2008" s="195"/>
      <c r="M2008" s="195"/>
      <c r="N2008" s="195"/>
    </row>
    <row r="2009" spans="1:14" hidden="1" x14ac:dyDescent="0.35">
      <c r="A2009" s="52" t="s">
        <v>664</v>
      </c>
      <c r="B2009" s="52" t="s">
        <v>34</v>
      </c>
      <c r="C2009" s="52" t="s">
        <v>304</v>
      </c>
      <c r="D2009" s="52" t="s">
        <v>304</v>
      </c>
      <c r="E2009" s="52" t="s">
        <v>584</v>
      </c>
      <c r="F2009" s="52" t="s">
        <v>581</v>
      </c>
      <c r="G2009" s="195" t="s">
        <v>278</v>
      </c>
      <c r="H2009" s="195">
        <v>0.7180029</v>
      </c>
      <c r="I2009" s="195">
        <v>0.71800299999999995</v>
      </c>
      <c r="J2009" s="195">
        <v>175.55860000000001</v>
      </c>
      <c r="K2009" s="195">
        <v>83.046599999999998</v>
      </c>
      <c r="L2009" s="195">
        <v>0.71800299999999995</v>
      </c>
      <c r="M2009" s="195">
        <v>0.71800299999999995</v>
      </c>
      <c r="N2009" s="195">
        <v>0.7180029</v>
      </c>
    </row>
    <row r="2010" spans="1:14" hidden="1" x14ac:dyDescent="0.35">
      <c r="A2010" s="52" t="s">
        <v>664</v>
      </c>
      <c r="B2010" s="52" t="s">
        <v>160</v>
      </c>
      <c r="C2010" s="52" t="s">
        <v>318</v>
      </c>
      <c r="D2010" s="52" t="s">
        <v>318</v>
      </c>
      <c r="E2010" s="52" t="s">
        <v>584</v>
      </c>
      <c r="F2010" s="52" t="s">
        <v>26</v>
      </c>
      <c r="G2010" s="195" t="s">
        <v>275</v>
      </c>
      <c r="H2010" s="195">
        <v>0</v>
      </c>
      <c r="I2010" s="195"/>
      <c r="J2010" s="195"/>
      <c r="K2010" s="195"/>
      <c r="L2010" s="195"/>
      <c r="M2010" s="195"/>
      <c r="N2010" s="195"/>
    </row>
    <row r="2011" spans="1:14" hidden="1" x14ac:dyDescent="0.35">
      <c r="A2011" s="52" t="s">
        <v>664</v>
      </c>
      <c r="B2011" s="52" t="s">
        <v>160</v>
      </c>
      <c r="C2011" s="52" t="s">
        <v>318</v>
      </c>
      <c r="D2011" s="52" t="s">
        <v>318</v>
      </c>
      <c r="E2011" s="52" t="s">
        <v>584</v>
      </c>
      <c r="F2011" s="52" t="s">
        <v>26</v>
      </c>
      <c r="G2011" s="195" t="s">
        <v>276</v>
      </c>
      <c r="H2011" s="195">
        <v>0</v>
      </c>
      <c r="I2011" s="195"/>
      <c r="J2011" s="195"/>
      <c r="K2011" s="195"/>
      <c r="L2011" s="195"/>
      <c r="M2011" s="195"/>
      <c r="N2011" s="195"/>
    </row>
    <row r="2012" spans="1:14" hidden="1" x14ac:dyDescent="0.35">
      <c r="A2012" s="52" t="s">
        <v>664</v>
      </c>
      <c r="B2012" s="52" t="s">
        <v>160</v>
      </c>
      <c r="C2012" s="52" t="s">
        <v>318</v>
      </c>
      <c r="D2012" s="52" t="s">
        <v>318</v>
      </c>
      <c r="E2012" s="52" t="s">
        <v>584</v>
      </c>
      <c r="F2012" s="52" t="s">
        <v>26</v>
      </c>
      <c r="G2012" s="195" t="s">
        <v>278</v>
      </c>
      <c r="H2012" s="195">
        <v>0</v>
      </c>
      <c r="I2012" s="195"/>
      <c r="J2012" s="195"/>
      <c r="K2012" s="195"/>
      <c r="L2012" s="195"/>
      <c r="M2012" s="195"/>
      <c r="N2012" s="195"/>
    </row>
    <row r="2013" spans="1:14" hidden="1" x14ac:dyDescent="0.35">
      <c r="A2013" s="52" t="s">
        <v>271</v>
      </c>
      <c r="B2013" s="52" t="s">
        <v>37</v>
      </c>
      <c r="C2013" s="52" t="s">
        <v>105</v>
      </c>
      <c r="D2013" s="52" t="s">
        <v>105</v>
      </c>
      <c r="E2013" s="52" t="s">
        <v>632</v>
      </c>
      <c r="F2013" s="52" t="s">
        <v>581</v>
      </c>
      <c r="G2013" s="195" t="s">
        <v>275</v>
      </c>
      <c r="H2013" s="195">
        <v>265.67919999999998</v>
      </c>
      <c r="I2013" s="195">
        <v>138.79390000000001</v>
      </c>
      <c r="J2013" s="195">
        <v>154.67679999999999</v>
      </c>
      <c r="K2013" s="195">
        <v>129.60149999999999</v>
      </c>
      <c r="L2013" s="195">
        <v>86.038970000000006</v>
      </c>
      <c r="M2013" s="195">
        <v>51.466720000000002</v>
      </c>
      <c r="N2013" s="195">
        <v>43.75468</v>
      </c>
    </row>
    <row r="2014" spans="1:14" hidden="1" x14ac:dyDescent="0.35">
      <c r="A2014" s="52" t="s">
        <v>271</v>
      </c>
      <c r="B2014" s="52" t="s">
        <v>37</v>
      </c>
      <c r="C2014" s="52" t="s">
        <v>105</v>
      </c>
      <c r="D2014" s="52" t="s">
        <v>105</v>
      </c>
      <c r="E2014" s="52" t="s">
        <v>632</v>
      </c>
      <c r="F2014" s="52" t="s">
        <v>581</v>
      </c>
      <c r="G2014" s="195" t="s">
        <v>276</v>
      </c>
      <c r="H2014" s="195">
        <v>63.43685</v>
      </c>
      <c r="I2014" s="195">
        <v>-37.917340000000003</v>
      </c>
      <c r="J2014" s="195">
        <v>-55.651890000000002</v>
      </c>
      <c r="K2014" s="195">
        <v>-35.29598</v>
      </c>
      <c r="L2014" s="195">
        <v>-17.76135</v>
      </c>
      <c r="M2014" s="195">
        <v>12.23977</v>
      </c>
      <c r="N2014" s="195">
        <v>17.340810000000001</v>
      </c>
    </row>
    <row r="2015" spans="1:14" hidden="1" x14ac:dyDescent="0.35">
      <c r="A2015" s="52" t="s">
        <v>271</v>
      </c>
      <c r="B2015" s="52" t="s">
        <v>37</v>
      </c>
      <c r="C2015" s="52" t="s">
        <v>105</v>
      </c>
      <c r="D2015" s="52" t="s">
        <v>105</v>
      </c>
      <c r="E2015" s="52" t="s">
        <v>632</v>
      </c>
      <c r="F2015" s="52" t="s">
        <v>581</v>
      </c>
      <c r="G2015" s="195" t="s">
        <v>277</v>
      </c>
      <c r="H2015" s="195">
        <v>359.6936</v>
      </c>
      <c r="I2015" s="195">
        <v>85.888720000000006</v>
      </c>
      <c r="J2015" s="195">
        <v>11.96579</v>
      </c>
      <c r="K2015" s="195">
        <v>5.2541120000000001</v>
      </c>
      <c r="L2015" s="195">
        <v>8.9887270000000008</v>
      </c>
      <c r="M2015" s="195">
        <v>11.855040000000001</v>
      </c>
      <c r="N2015" s="195">
        <v>26.18262</v>
      </c>
    </row>
    <row r="2016" spans="1:14" hidden="1" x14ac:dyDescent="0.35">
      <c r="A2016" s="52" t="s">
        <v>271</v>
      </c>
      <c r="B2016" s="52" t="s">
        <v>37</v>
      </c>
      <c r="C2016" s="52" t="s">
        <v>105</v>
      </c>
      <c r="D2016" s="52" t="s">
        <v>105</v>
      </c>
      <c r="E2016" s="52" t="s">
        <v>632</v>
      </c>
      <c r="F2016" s="52" t="s">
        <v>581</v>
      </c>
      <c r="G2016" s="195" t="s">
        <v>278</v>
      </c>
      <c r="H2016" s="195">
        <v>0.30642000000000003</v>
      </c>
      <c r="I2016" s="195">
        <v>0.36349340000000002</v>
      </c>
      <c r="J2016" s="195">
        <v>24.324100000000001</v>
      </c>
      <c r="K2016" s="195">
        <v>18.732869999999998</v>
      </c>
      <c r="L2016" s="195">
        <v>25.374649999999999</v>
      </c>
      <c r="M2016" s="195">
        <v>27.468150000000001</v>
      </c>
      <c r="N2016" s="195">
        <v>16.67295</v>
      </c>
    </row>
    <row r="2017" spans="1:14" hidden="1" x14ac:dyDescent="0.35">
      <c r="A2017" s="52" t="s">
        <v>271</v>
      </c>
      <c r="B2017" s="52" t="s">
        <v>37</v>
      </c>
      <c r="C2017" s="52" t="s">
        <v>105</v>
      </c>
      <c r="D2017" s="52" t="s">
        <v>105</v>
      </c>
      <c r="E2017" s="52" t="s">
        <v>632</v>
      </c>
      <c r="F2017" s="52" t="s">
        <v>581</v>
      </c>
      <c r="G2017" s="195" t="s">
        <v>279</v>
      </c>
      <c r="H2017" s="195">
        <v>183.2689</v>
      </c>
      <c r="I2017" s="195">
        <v>125.5141</v>
      </c>
      <c r="J2017" s="195">
        <v>106.1035</v>
      </c>
      <c r="K2017" s="195">
        <v>97.916039999999995</v>
      </c>
      <c r="L2017" s="195">
        <v>100.64870000000001</v>
      </c>
      <c r="M2017" s="195">
        <v>98.626739999999998</v>
      </c>
      <c r="N2017" s="195">
        <v>97.869240000000005</v>
      </c>
    </row>
    <row r="2018" spans="1:14" hidden="1" x14ac:dyDescent="0.35">
      <c r="A2018" s="52" t="s">
        <v>271</v>
      </c>
      <c r="B2018" s="52" t="s">
        <v>37</v>
      </c>
      <c r="C2018" s="52" t="s">
        <v>105</v>
      </c>
      <c r="D2018" s="52" t="s">
        <v>105</v>
      </c>
      <c r="E2018" s="52" t="s">
        <v>632</v>
      </c>
      <c r="F2018" s="52" t="s">
        <v>26</v>
      </c>
      <c r="G2018" s="195" t="s">
        <v>275</v>
      </c>
      <c r="H2018" s="195">
        <v>20.45242</v>
      </c>
      <c r="I2018" s="195">
        <v>8.8935110000000002</v>
      </c>
      <c r="J2018" s="195">
        <v>9.5671250000000008</v>
      </c>
      <c r="K2018" s="195">
        <v>6.6709319999999996</v>
      </c>
      <c r="L2018" s="195">
        <v>3.0040969999999998</v>
      </c>
      <c r="M2018" s="195">
        <v>3.1687530000000002</v>
      </c>
      <c r="N2018" s="195">
        <v>3.291372</v>
      </c>
    </row>
    <row r="2019" spans="1:14" hidden="1" x14ac:dyDescent="0.35">
      <c r="A2019" s="52" t="s">
        <v>271</v>
      </c>
      <c r="B2019" s="52" t="s">
        <v>37</v>
      </c>
      <c r="C2019" s="52" t="s">
        <v>105</v>
      </c>
      <c r="D2019" s="52" t="s">
        <v>105</v>
      </c>
      <c r="E2019" s="52" t="s">
        <v>632</v>
      </c>
      <c r="F2019" s="52" t="s">
        <v>26</v>
      </c>
      <c r="G2019" s="195" t="s">
        <v>276</v>
      </c>
      <c r="H2019" s="195">
        <v>7.0892229999999996</v>
      </c>
      <c r="I2019" s="195">
        <v>3.0826669999999998</v>
      </c>
      <c r="J2019" s="195">
        <v>3.316157</v>
      </c>
      <c r="K2019" s="195">
        <v>2.3122780000000001</v>
      </c>
      <c r="L2019" s="195">
        <v>1.0412859999999999</v>
      </c>
      <c r="M2019" s="195">
        <v>1.0983510000000001</v>
      </c>
      <c r="N2019" s="195">
        <v>1.1408590000000001</v>
      </c>
    </row>
    <row r="2020" spans="1:14" hidden="1" x14ac:dyDescent="0.35">
      <c r="A2020" s="52" t="s">
        <v>271</v>
      </c>
      <c r="B2020" s="52" t="s">
        <v>37</v>
      </c>
      <c r="C2020" s="52" t="s">
        <v>105</v>
      </c>
      <c r="D2020" s="52" t="s">
        <v>105</v>
      </c>
      <c r="E2020" s="52" t="s">
        <v>632</v>
      </c>
      <c r="F2020" s="52" t="s">
        <v>26</v>
      </c>
      <c r="G2020" s="195" t="s">
        <v>279</v>
      </c>
      <c r="H2020" s="195">
        <v>80.269130000000004</v>
      </c>
      <c r="I2020" s="195">
        <v>63.749989999999997</v>
      </c>
      <c r="J2020" s="195">
        <v>55.248309999999996</v>
      </c>
      <c r="K2020" s="195">
        <v>51.7483</v>
      </c>
      <c r="L2020" s="195">
        <v>52.808590000000002</v>
      </c>
      <c r="M2020" s="195">
        <v>51.757739999999998</v>
      </c>
      <c r="N2020" s="195">
        <v>51.313220000000001</v>
      </c>
    </row>
    <row r="2021" spans="1:14" hidden="1" x14ac:dyDescent="0.35">
      <c r="A2021" s="52" t="s">
        <v>271</v>
      </c>
      <c r="B2021" s="52" t="s">
        <v>37</v>
      </c>
      <c r="C2021" s="52" t="s">
        <v>105</v>
      </c>
      <c r="D2021" s="52" t="s">
        <v>105</v>
      </c>
      <c r="E2021" s="52" t="s">
        <v>633</v>
      </c>
      <c r="F2021" s="52" t="s">
        <v>581</v>
      </c>
      <c r="G2021" s="195" t="s">
        <v>275</v>
      </c>
      <c r="H2021" s="195">
        <v>-211.6534</v>
      </c>
      <c r="I2021" s="195">
        <v>-14.27937</v>
      </c>
      <c r="J2021" s="195">
        <v>67.038880000000006</v>
      </c>
      <c r="K2021" s="195">
        <v>75.280289999999994</v>
      </c>
      <c r="L2021" s="195">
        <v>74.906779999999998</v>
      </c>
      <c r="M2021" s="195">
        <v>43.417389999999997</v>
      </c>
      <c r="N2021" s="195">
        <v>27.201250000000002</v>
      </c>
    </row>
    <row r="2022" spans="1:14" hidden="1" x14ac:dyDescent="0.35">
      <c r="A2022" s="52" t="s">
        <v>271</v>
      </c>
      <c r="B2022" s="52" t="s">
        <v>37</v>
      </c>
      <c r="C2022" s="52" t="s">
        <v>105</v>
      </c>
      <c r="D2022" s="52" t="s">
        <v>105</v>
      </c>
      <c r="E2022" s="52" t="s">
        <v>633</v>
      </c>
      <c r="F2022" s="52" t="s">
        <v>581</v>
      </c>
      <c r="G2022" s="195" t="s">
        <v>276</v>
      </c>
      <c r="H2022" s="195">
        <v>6.1263180000000004</v>
      </c>
      <c r="I2022" s="195">
        <v>-10.59225</v>
      </c>
      <c r="J2022" s="195">
        <v>-2.2028340000000002</v>
      </c>
      <c r="K2022" s="195">
        <v>-11.93099</v>
      </c>
      <c r="L2022" s="195">
        <v>-32.571930000000002</v>
      </c>
      <c r="M2022" s="195">
        <v>-6.3445210000000002E-2</v>
      </c>
      <c r="N2022" s="195">
        <v>10.690379999999999</v>
      </c>
    </row>
    <row r="2023" spans="1:14" hidden="1" x14ac:dyDescent="0.35">
      <c r="A2023" s="52" t="s">
        <v>271</v>
      </c>
      <c r="B2023" s="52" t="s">
        <v>37</v>
      </c>
      <c r="C2023" s="52" t="s">
        <v>105</v>
      </c>
      <c r="D2023" s="52" t="s">
        <v>105</v>
      </c>
      <c r="E2023" s="52" t="s">
        <v>633</v>
      </c>
      <c r="F2023" s="52" t="s">
        <v>581</v>
      </c>
      <c r="G2023" s="195" t="s">
        <v>277</v>
      </c>
      <c r="H2023" s="195">
        <v>419.49450000000002</v>
      </c>
      <c r="I2023" s="195">
        <v>136.89869999999999</v>
      </c>
      <c r="J2023" s="195">
        <v>9.8017389999999995</v>
      </c>
      <c r="K2023" s="195">
        <v>4.7446260000000002</v>
      </c>
      <c r="L2023" s="195">
        <v>7.2337129999999998</v>
      </c>
      <c r="M2023" s="195">
        <v>8.1310160000000007</v>
      </c>
      <c r="N2023" s="195">
        <v>29.38147</v>
      </c>
    </row>
    <row r="2024" spans="1:14" hidden="1" x14ac:dyDescent="0.35">
      <c r="A2024" s="52" t="s">
        <v>271</v>
      </c>
      <c r="B2024" s="52" t="s">
        <v>37</v>
      </c>
      <c r="C2024" s="52" t="s">
        <v>105</v>
      </c>
      <c r="D2024" s="52" t="s">
        <v>105</v>
      </c>
      <c r="E2024" s="52" t="s">
        <v>633</v>
      </c>
      <c r="F2024" s="52" t="s">
        <v>581</v>
      </c>
      <c r="G2024" s="195" t="s">
        <v>278</v>
      </c>
      <c r="H2024" s="195">
        <v>0.50551199999999996</v>
      </c>
      <c r="I2024" s="195">
        <v>0.65647100000000003</v>
      </c>
      <c r="J2024" s="195">
        <v>27.553170000000001</v>
      </c>
      <c r="K2024" s="195">
        <v>18.278960000000001</v>
      </c>
      <c r="L2024" s="195">
        <v>24.898700000000002</v>
      </c>
      <c r="M2024" s="195">
        <v>22.68834</v>
      </c>
      <c r="N2024" s="195">
        <v>8.5469500000000007</v>
      </c>
    </row>
    <row r="2025" spans="1:14" hidden="1" x14ac:dyDescent="0.35">
      <c r="A2025" s="52" t="s">
        <v>271</v>
      </c>
      <c r="B2025" s="52" t="s">
        <v>37</v>
      </c>
      <c r="C2025" s="52" t="s">
        <v>105</v>
      </c>
      <c r="D2025" s="52" t="s">
        <v>105</v>
      </c>
      <c r="E2025" s="52" t="s">
        <v>633</v>
      </c>
      <c r="F2025" s="52" t="s">
        <v>581</v>
      </c>
      <c r="G2025" s="195" t="s">
        <v>279</v>
      </c>
      <c r="H2025" s="195">
        <v>55.502670000000002</v>
      </c>
      <c r="I2025" s="195">
        <v>72.461029999999994</v>
      </c>
      <c r="J2025" s="195">
        <v>76.150229999999993</v>
      </c>
      <c r="K2025" s="195">
        <v>67.795609999999996</v>
      </c>
      <c r="L2025" s="195">
        <v>68.833219999999997</v>
      </c>
      <c r="M2025" s="195">
        <v>66.922240000000002</v>
      </c>
      <c r="N2025" s="195">
        <v>66.546589999999995</v>
      </c>
    </row>
    <row r="2026" spans="1:14" hidden="1" x14ac:dyDescent="0.35">
      <c r="A2026" s="52" t="s">
        <v>271</v>
      </c>
      <c r="B2026" s="52" t="s">
        <v>37</v>
      </c>
      <c r="C2026" s="52" t="s">
        <v>105</v>
      </c>
      <c r="D2026" s="52" t="s">
        <v>105</v>
      </c>
      <c r="E2026" s="52" t="s">
        <v>633</v>
      </c>
      <c r="F2026" s="52" t="s">
        <v>26</v>
      </c>
      <c r="G2026" s="195" t="s">
        <v>275</v>
      </c>
      <c r="H2026" s="195">
        <v>8.3929550000000006</v>
      </c>
      <c r="I2026" s="195">
        <v>7.0007970000000004</v>
      </c>
      <c r="J2026" s="195">
        <v>9.3809039999999992</v>
      </c>
      <c r="K2026" s="195">
        <v>6.330362</v>
      </c>
      <c r="L2026" s="195">
        <v>2.8481420000000002</v>
      </c>
      <c r="M2026" s="195">
        <v>2.9913259999999999</v>
      </c>
      <c r="N2026" s="195">
        <v>3.1799119999999998</v>
      </c>
    </row>
    <row r="2027" spans="1:14" hidden="1" x14ac:dyDescent="0.35">
      <c r="A2027" s="52" t="s">
        <v>271</v>
      </c>
      <c r="B2027" s="52" t="s">
        <v>37</v>
      </c>
      <c r="C2027" s="52" t="s">
        <v>105</v>
      </c>
      <c r="D2027" s="52" t="s">
        <v>105</v>
      </c>
      <c r="E2027" s="52" t="s">
        <v>633</v>
      </c>
      <c r="F2027" s="52" t="s">
        <v>26</v>
      </c>
      <c r="G2027" s="195" t="s">
        <v>276</v>
      </c>
      <c r="H2027" s="195">
        <v>2.9091710000000002</v>
      </c>
      <c r="I2027" s="195">
        <v>2.4266200000000002</v>
      </c>
      <c r="J2027" s="195">
        <v>3.2516069999999999</v>
      </c>
      <c r="K2027" s="195">
        <v>2.1942249999999999</v>
      </c>
      <c r="L2027" s="195">
        <v>0.98721689999999995</v>
      </c>
      <c r="M2027" s="195">
        <v>1.0368520000000001</v>
      </c>
      <c r="N2027" s="195">
        <v>1.1022209999999999</v>
      </c>
    </row>
    <row r="2028" spans="1:14" hidden="1" x14ac:dyDescent="0.35">
      <c r="A2028" s="52" t="s">
        <v>271</v>
      </c>
      <c r="B2028" s="52" t="s">
        <v>37</v>
      </c>
      <c r="C2028" s="52" t="s">
        <v>105</v>
      </c>
      <c r="D2028" s="52" t="s">
        <v>105</v>
      </c>
      <c r="E2028" s="52" t="s">
        <v>633</v>
      </c>
      <c r="F2028" s="52" t="s">
        <v>26</v>
      </c>
      <c r="G2028" s="195" t="s">
        <v>279</v>
      </c>
      <c r="H2028" s="195">
        <v>32.939639999999997</v>
      </c>
      <c r="I2028" s="195">
        <v>50.173830000000002</v>
      </c>
      <c r="J2028" s="195">
        <v>53.925980000000003</v>
      </c>
      <c r="K2028" s="195">
        <v>48.769660000000002</v>
      </c>
      <c r="L2028" s="195">
        <v>49.206119999999999</v>
      </c>
      <c r="M2028" s="195">
        <v>47.919890000000002</v>
      </c>
      <c r="N2028" s="195">
        <v>47.557119999999998</v>
      </c>
    </row>
    <row r="2029" spans="1:14" hidden="1" x14ac:dyDescent="0.35">
      <c r="A2029" s="52" t="s">
        <v>271</v>
      </c>
      <c r="B2029" s="52" t="s">
        <v>37</v>
      </c>
      <c r="C2029" s="52" t="s">
        <v>105</v>
      </c>
      <c r="D2029" s="52" t="s">
        <v>105</v>
      </c>
      <c r="E2029" s="52" t="s">
        <v>619</v>
      </c>
      <c r="F2029" s="52" t="s">
        <v>581</v>
      </c>
      <c r="G2029" s="195" t="s">
        <v>275</v>
      </c>
      <c r="H2029" s="195">
        <v>226.45009999999999</v>
      </c>
      <c r="I2029" s="195">
        <v>51.821640000000002</v>
      </c>
      <c r="J2029" s="195">
        <v>60.732149999999997</v>
      </c>
      <c r="K2029" s="195">
        <v>58.507420000000003</v>
      </c>
      <c r="L2029" s="195">
        <v>19.015940000000001</v>
      </c>
      <c r="M2029" s="195">
        <v>20.829280000000001</v>
      </c>
      <c r="N2029" s="195">
        <v>16.996580000000002</v>
      </c>
    </row>
    <row r="2030" spans="1:14" hidden="1" x14ac:dyDescent="0.35">
      <c r="A2030" s="52" t="s">
        <v>271</v>
      </c>
      <c r="B2030" s="52" t="s">
        <v>37</v>
      </c>
      <c r="C2030" s="52" t="s">
        <v>105</v>
      </c>
      <c r="D2030" s="52" t="s">
        <v>105</v>
      </c>
      <c r="E2030" s="52" t="s">
        <v>619</v>
      </c>
      <c r="F2030" s="52" t="s">
        <v>581</v>
      </c>
      <c r="G2030" s="195" t="s">
        <v>276</v>
      </c>
      <c r="H2030" s="195">
        <v>-15.750249999999999</v>
      </c>
      <c r="I2030" s="195">
        <v>-29.94453</v>
      </c>
      <c r="J2030" s="195">
        <v>-33.647399999999998</v>
      </c>
      <c r="K2030" s="195">
        <v>-28.58222</v>
      </c>
      <c r="L2030" s="195">
        <v>3.2157300000000002</v>
      </c>
      <c r="M2030" s="195">
        <v>2.3826100000000001</v>
      </c>
      <c r="N2030" s="195">
        <v>4.2667060000000001</v>
      </c>
    </row>
    <row r="2031" spans="1:14" hidden="1" x14ac:dyDescent="0.35">
      <c r="A2031" s="52" t="s">
        <v>271</v>
      </c>
      <c r="B2031" s="52" t="s">
        <v>37</v>
      </c>
      <c r="C2031" s="52" t="s">
        <v>105</v>
      </c>
      <c r="D2031" s="52" t="s">
        <v>105</v>
      </c>
      <c r="E2031" s="52" t="s">
        <v>619</v>
      </c>
      <c r="F2031" s="52" t="s">
        <v>581</v>
      </c>
      <c r="G2031" s="195" t="s">
        <v>277</v>
      </c>
      <c r="H2031" s="195">
        <v>19.987629999999999</v>
      </c>
      <c r="I2031" s="195">
        <v>31.265260000000001</v>
      </c>
      <c r="J2031" s="195">
        <v>10.57185</v>
      </c>
      <c r="K2031" s="195">
        <v>2.6957080000000002</v>
      </c>
      <c r="L2031" s="195">
        <v>2.6215660000000001</v>
      </c>
      <c r="M2031" s="195">
        <v>0.79570600000000002</v>
      </c>
      <c r="N2031" s="195">
        <v>1.2059740000000001</v>
      </c>
    </row>
    <row r="2032" spans="1:14" hidden="1" x14ac:dyDescent="0.35">
      <c r="A2032" s="52" t="s">
        <v>271</v>
      </c>
      <c r="B2032" s="52" t="s">
        <v>37</v>
      </c>
      <c r="C2032" s="52" t="s">
        <v>105</v>
      </c>
      <c r="D2032" s="52" t="s">
        <v>105</v>
      </c>
      <c r="E2032" s="52" t="s">
        <v>619</v>
      </c>
      <c r="F2032" s="52" t="s">
        <v>581</v>
      </c>
      <c r="G2032" s="195" t="s">
        <v>278</v>
      </c>
      <c r="H2032" s="195">
        <v>1.2375000000000001E-2</v>
      </c>
      <c r="I2032" s="195">
        <v>1.9408999999999999E-2</v>
      </c>
      <c r="J2032" s="195">
        <v>1.0286999999999999</v>
      </c>
      <c r="K2032" s="195">
        <v>1.698285</v>
      </c>
      <c r="L2032" s="195">
        <v>2.184564</v>
      </c>
      <c r="M2032" s="195">
        <v>0.9268748</v>
      </c>
      <c r="N2032" s="195">
        <v>0.55052900000000005</v>
      </c>
    </row>
    <row r="2033" spans="1:14" hidden="1" x14ac:dyDescent="0.35">
      <c r="A2033" s="52" t="s">
        <v>271</v>
      </c>
      <c r="B2033" s="52" t="s">
        <v>37</v>
      </c>
      <c r="C2033" s="52" t="s">
        <v>105</v>
      </c>
      <c r="D2033" s="52" t="s">
        <v>105</v>
      </c>
      <c r="E2033" s="52" t="s">
        <v>619</v>
      </c>
      <c r="F2033" s="52" t="s">
        <v>581</v>
      </c>
      <c r="G2033" s="195" t="s">
        <v>279</v>
      </c>
      <c r="H2033" s="195">
        <v>81.603769999999997</v>
      </c>
      <c r="I2033" s="195">
        <v>58.80368</v>
      </c>
      <c r="J2033" s="195">
        <v>53.956620000000001</v>
      </c>
      <c r="K2033" s="195">
        <v>50.95561</v>
      </c>
      <c r="L2033" s="195">
        <v>50.550350000000002</v>
      </c>
      <c r="M2033" s="195">
        <v>45.17933</v>
      </c>
      <c r="N2033" s="195">
        <v>41.189639999999997</v>
      </c>
    </row>
    <row r="2034" spans="1:14" hidden="1" x14ac:dyDescent="0.35">
      <c r="A2034" s="52" t="s">
        <v>271</v>
      </c>
      <c r="B2034" s="52" t="s">
        <v>37</v>
      </c>
      <c r="C2034" s="52" t="s">
        <v>105</v>
      </c>
      <c r="D2034" s="52" t="s">
        <v>105</v>
      </c>
      <c r="E2034" s="52" t="s">
        <v>619</v>
      </c>
      <c r="F2034" s="52" t="s">
        <v>26</v>
      </c>
      <c r="G2034" s="195" t="s">
        <v>275</v>
      </c>
      <c r="H2034" s="195">
        <v>15.54059</v>
      </c>
      <c r="I2034" s="195">
        <v>5.1430069999999999</v>
      </c>
      <c r="J2034" s="195">
        <v>6.9040609999999996</v>
      </c>
      <c r="K2034" s="195">
        <v>3.7452679999999998</v>
      </c>
      <c r="L2034" s="195">
        <v>-0.4871239</v>
      </c>
      <c r="M2034" s="195">
        <v>-0.2488001</v>
      </c>
      <c r="N2034" s="195">
        <v>-0.16367960000000001</v>
      </c>
    </row>
    <row r="2035" spans="1:14" hidden="1" x14ac:dyDescent="0.35">
      <c r="A2035" s="52" t="s">
        <v>271</v>
      </c>
      <c r="B2035" s="52" t="s">
        <v>37</v>
      </c>
      <c r="C2035" s="52" t="s">
        <v>105</v>
      </c>
      <c r="D2035" s="52" t="s">
        <v>105</v>
      </c>
      <c r="E2035" s="52" t="s">
        <v>619</v>
      </c>
      <c r="F2035" s="52" t="s">
        <v>26</v>
      </c>
      <c r="G2035" s="195" t="s">
        <v>276</v>
      </c>
      <c r="H2035" s="195">
        <v>5.386679</v>
      </c>
      <c r="I2035" s="195">
        <v>1.782667</v>
      </c>
      <c r="J2035" s="195">
        <v>2.3930850000000001</v>
      </c>
      <c r="K2035" s="195">
        <v>1.2981849999999999</v>
      </c>
      <c r="L2035" s="195">
        <v>-0.16884779999999999</v>
      </c>
      <c r="M2035" s="195">
        <v>-8.6237820000000007E-2</v>
      </c>
      <c r="N2035" s="195">
        <v>-5.6734010000000001E-2</v>
      </c>
    </row>
    <row r="2036" spans="1:14" hidden="1" x14ac:dyDescent="0.35">
      <c r="A2036" s="52" t="s">
        <v>271</v>
      </c>
      <c r="B2036" s="52" t="s">
        <v>37</v>
      </c>
      <c r="C2036" s="52" t="s">
        <v>105</v>
      </c>
      <c r="D2036" s="52" t="s">
        <v>105</v>
      </c>
      <c r="E2036" s="52" t="s">
        <v>619</v>
      </c>
      <c r="F2036" s="52" t="s">
        <v>26</v>
      </c>
      <c r="G2036" s="195" t="s">
        <v>279</v>
      </c>
      <c r="H2036" s="195">
        <v>86.779430000000005</v>
      </c>
      <c r="I2036" s="195">
        <v>71.958340000000007</v>
      </c>
      <c r="J2036" s="195">
        <v>68.412819999999996</v>
      </c>
      <c r="K2036" s="195">
        <v>64.617429999999999</v>
      </c>
      <c r="L2036" s="195">
        <v>62.492240000000002</v>
      </c>
      <c r="M2036" s="195">
        <v>56.062480000000001</v>
      </c>
      <c r="N2036" s="195">
        <v>51.077509999999997</v>
      </c>
    </row>
    <row r="2037" spans="1:14" hidden="1" x14ac:dyDescent="0.35">
      <c r="A2037" s="52" t="s">
        <v>271</v>
      </c>
      <c r="B2037" s="52" t="s">
        <v>37</v>
      </c>
      <c r="C2037" s="52" t="s">
        <v>35</v>
      </c>
      <c r="D2037" s="52" t="s">
        <v>36</v>
      </c>
      <c r="E2037" s="52" t="s">
        <v>588</v>
      </c>
      <c r="F2037" s="52" t="s">
        <v>581</v>
      </c>
      <c r="G2037" s="195" t="s">
        <v>275</v>
      </c>
      <c r="H2037" s="195">
        <v>-65.660579999999996</v>
      </c>
      <c r="I2037" s="195">
        <v>74.539860000000004</v>
      </c>
      <c r="J2037" s="195">
        <v>82.708100000000002</v>
      </c>
      <c r="K2037" s="195">
        <v>79.714110000000005</v>
      </c>
      <c r="L2037" s="195">
        <v>80.706580000000002</v>
      </c>
      <c r="M2037" s="195">
        <v>39.439970000000002</v>
      </c>
      <c r="N2037" s="195">
        <v>25.626290000000001</v>
      </c>
    </row>
    <row r="2038" spans="1:14" hidden="1" x14ac:dyDescent="0.35">
      <c r="A2038" s="52" t="s">
        <v>271</v>
      </c>
      <c r="B2038" s="52" t="s">
        <v>37</v>
      </c>
      <c r="C2038" s="52" t="s">
        <v>35</v>
      </c>
      <c r="D2038" s="52" t="s">
        <v>36</v>
      </c>
      <c r="E2038" s="52" t="s">
        <v>588</v>
      </c>
      <c r="F2038" s="52" t="s">
        <v>581</v>
      </c>
      <c r="G2038" s="195" t="s">
        <v>276</v>
      </c>
      <c r="H2038" s="195">
        <v>72.065340000000006</v>
      </c>
      <c r="I2038" s="195">
        <v>-6.7027340000000004</v>
      </c>
      <c r="J2038" s="195">
        <v>-17.784690000000001</v>
      </c>
      <c r="K2038" s="195">
        <v>-24.415790000000001</v>
      </c>
      <c r="L2038" s="195">
        <v>-38.204300000000003</v>
      </c>
      <c r="M2038" s="195">
        <v>3.6765050000000001</v>
      </c>
      <c r="N2038" s="195">
        <v>6.7132969999999998</v>
      </c>
    </row>
    <row r="2039" spans="1:14" hidden="1" x14ac:dyDescent="0.35">
      <c r="A2039" s="52" t="s">
        <v>271</v>
      </c>
      <c r="B2039" s="52" t="s">
        <v>37</v>
      </c>
      <c r="C2039" s="52" t="s">
        <v>35</v>
      </c>
      <c r="D2039" s="52" t="s">
        <v>36</v>
      </c>
      <c r="E2039" s="52" t="s">
        <v>588</v>
      </c>
      <c r="F2039" s="52" t="s">
        <v>581</v>
      </c>
      <c r="G2039" s="195" t="s">
        <v>277</v>
      </c>
      <c r="H2039" s="195">
        <v>549.26859999999999</v>
      </c>
      <c r="I2039" s="195">
        <v>65.963650000000001</v>
      </c>
      <c r="J2039" s="195">
        <v>7.812989</v>
      </c>
      <c r="K2039" s="195">
        <v>4.8042600000000002</v>
      </c>
      <c r="L2039" s="195">
        <v>3.699446</v>
      </c>
      <c r="M2039" s="195">
        <v>2.5559799999999999</v>
      </c>
      <c r="N2039" s="195">
        <v>11.269069999999999</v>
      </c>
    </row>
    <row r="2040" spans="1:14" hidden="1" x14ac:dyDescent="0.35">
      <c r="A2040" s="52" t="s">
        <v>271</v>
      </c>
      <c r="B2040" s="52" t="s">
        <v>37</v>
      </c>
      <c r="C2040" s="52" t="s">
        <v>35</v>
      </c>
      <c r="D2040" s="52" t="s">
        <v>36</v>
      </c>
      <c r="E2040" s="52" t="s">
        <v>588</v>
      </c>
      <c r="F2040" s="52" t="s">
        <v>581</v>
      </c>
      <c r="G2040" s="195" t="s">
        <v>278</v>
      </c>
      <c r="H2040" s="195">
        <v>0.73138899999999996</v>
      </c>
      <c r="I2040" s="195">
        <v>0.5122449</v>
      </c>
      <c r="J2040" s="195">
        <v>20.554279999999999</v>
      </c>
      <c r="K2040" s="195">
        <v>16.60087</v>
      </c>
      <c r="L2040" s="195">
        <v>14.694879999999999</v>
      </c>
      <c r="M2040" s="195">
        <v>10.20275</v>
      </c>
      <c r="N2040" s="195">
        <v>11.02529</v>
      </c>
    </row>
    <row r="2041" spans="1:14" hidden="1" x14ac:dyDescent="0.35">
      <c r="A2041" s="52" t="s">
        <v>271</v>
      </c>
      <c r="B2041" s="52" t="s">
        <v>37</v>
      </c>
      <c r="C2041" s="52" t="s">
        <v>35</v>
      </c>
      <c r="D2041" s="52" t="s">
        <v>36</v>
      </c>
      <c r="E2041" s="52" t="s">
        <v>588</v>
      </c>
      <c r="F2041" s="52" t="s">
        <v>581</v>
      </c>
      <c r="G2041" s="195" t="s">
        <v>279</v>
      </c>
      <c r="H2041" s="195">
        <v>182.3759</v>
      </c>
      <c r="I2041" s="195">
        <v>123.32210000000001</v>
      </c>
      <c r="J2041" s="195">
        <v>98.70778</v>
      </c>
      <c r="K2041" s="195">
        <v>83.910480000000007</v>
      </c>
      <c r="L2041" s="195">
        <v>82.784360000000007</v>
      </c>
      <c r="M2041" s="195">
        <v>70.706990000000005</v>
      </c>
      <c r="N2041" s="195">
        <v>65.634460000000004</v>
      </c>
    </row>
    <row r="2042" spans="1:14" hidden="1" x14ac:dyDescent="0.35">
      <c r="A2042" s="52" t="s">
        <v>271</v>
      </c>
      <c r="B2042" s="52" t="s">
        <v>37</v>
      </c>
      <c r="C2042" s="52" t="s">
        <v>35</v>
      </c>
      <c r="D2042" s="52" t="s">
        <v>36</v>
      </c>
      <c r="E2042" s="52" t="s">
        <v>588</v>
      </c>
      <c r="F2042" s="52" t="s">
        <v>26</v>
      </c>
      <c r="G2042" s="195" t="s">
        <v>275</v>
      </c>
      <c r="H2042" s="195">
        <v>-1.37093</v>
      </c>
      <c r="I2042" s="195">
        <v>-3.7992819999999998</v>
      </c>
      <c r="J2042" s="195">
        <v>-2.2979289999999999</v>
      </c>
      <c r="K2042" s="195">
        <v>-2.545563</v>
      </c>
      <c r="L2042" s="195">
        <v>-3.8416220000000001</v>
      </c>
      <c r="M2042" s="195">
        <v>-3.1297899999999998</v>
      </c>
      <c r="N2042" s="195">
        <v>-2.8141989999999999</v>
      </c>
    </row>
    <row r="2043" spans="1:14" hidden="1" x14ac:dyDescent="0.35">
      <c r="A2043" s="52" t="s">
        <v>271</v>
      </c>
      <c r="B2043" s="52" t="s">
        <v>37</v>
      </c>
      <c r="C2043" s="52" t="s">
        <v>35</v>
      </c>
      <c r="D2043" s="52" t="s">
        <v>36</v>
      </c>
      <c r="E2043" s="52" t="s">
        <v>588</v>
      </c>
      <c r="F2043" s="52" t="s">
        <v>26</v>
      </c>
      <c r="G2043" s="195" t="s">
        <v>276</v>
      </c>
      <c r="H2043" s="195">
        <v>-0.36441800000000002</v>
      </c>
      <c r="I2043" s="195">
        <v>-1.0099320000000001</v>
      </c>
      <c r="J2043" s="195">
        <v>-0.61084070000000001</v>
      </c>
      <c r="K2043" s="195">
        <v>-0.67666360000000003</v>
      </c>
      <c r="L2043" s="195">
        <v>-1.021188</v>
      </c>
      <c r="M2043" s="195">
        <v>-0.83197489999999996</v>
      </c>
      <c r="N2043" s="195">
        <v>-0.7480812</v>
      </c>
    </row>
    <row r="2044" spans="1:14" hidden="1" x14ac:dyDescent="0.35">
      <c r="A2044" s="52" t="s">
        <v>271</v>
      </c>
      <c r="B2044" s="52" t="s">
        <v>37</v>
      </c>
      <c r="C2044" s="52" t="s">
        <v>35</v>
      </c>
      <c r="D2044" s="52" t="s">
        <v>36</v>
      </c>
      <c r="E2044" s="52" t="s">
        <v>588</v>
      </c>
      <c r="F2044" s="52" t="s">
        <v>26</v>
      </c>
      <c r="G2044" s="195" t="s">
        <v>279</v>
      </c>
      <c r="H2044" s="195">
        <v>37.36515</v>
      </c>
      <c r="I2044" s="195">
        <v>30.259429999999998</v>
      </c>
      <c r="J2044" s="195">
        <v>24.863479999999999</v>
      </c>
      <c r="K2044" s="195">
        <v>21.483830000000001</v>
      </c>
      <c r="L2044" s="195">
        <v>21.09243</v>
      </c>
      <c r="M2044" s="195">
        <v>18.00525</v>
      </c>
      <c r="N2044" s="195">
        <v>16.66056</v>
      </c>
    </row>
    <row r="2045" spans="1:14" hidden="1" x14ac:dyDescent="0.35">
      <c r="A2045" s="52" t="s">
        <v>271</v>
      </c>
      <c r="B2045" s="52" t="s">
        <v>37</v>
      </c>
      <c r="C2045" s="52" t="s">
        <v>35</v>
      </c>
      <c r="D2045" s="52" t="s">
        <v>36</v>
      </c>
      <c r="E2045" s="52" t="s">
        <v>587</v>
      </c>
      <c r="F2045" s="52" t="s">
        <v>581</v>
      </c>
      <c r="G2045" s="195" t="s">
        <v>275</v>
      </c>
      <c r="H2045" s="195">
        <v>137.6815</v>
      </c>
      <c r="I2045" s="195">
        <v>37.872489999999999</v>
      </c>
      <c r="J2045" s="195">
        <v>24.457840000000001</v>
      </c>
      <c r="K2045" s="195">
        <v>21.048629999999999</v>
      </c>
      <c r="L2045" s="195">
        <v>16.623180000000001</v>
      </c>
      <c r="M2045" s="195">
        <v>14.99399</v>
      </c>
      <c r="N2045" s="195">
        <v>13.585179999999999</v>
      </c>
    </row>
    <row r="2046" spans="1:14" hidden="1" x14ac:dyDescent="0.35">
      <c r="A2046" s="52" t="s">
        <v>271</v>
      </c>
      <c r="B2046" s="52" t="s">
        <v>37</v>
      </c>
      <c r="C2046" s="52" t="s">
        <v>35</v>
      </c>
      <c r="D2046" s="52" t="s">
        <v>36</v>
      </c>
      <c r="E2046" s="52" t="s">
        <v>587</v>
      </c>
      <c r="F2046" s="52" t="s">
        <v>581</v>
      </c>
      <c r="G2046" s="195" t="s">
        <v>276</v>
      </c>
      <c r="H2046" s="195">
        <v>17.176439999999999</v>
      </c>
      <c r="I2046" s="195">
        <v>3.9776600000000002</v>
      </c>
      <c r="J2046" s="195">
        <v>5.0315760000000003</v>
      </c>
      <c r="K2046" s="195">
        <v>4.9324760000000003</v>
      </c>
      <c r="L2046" s="195">
        <v>3.9687969999999999</v>
      </c>
      <c r="M2046" s="195">
        <v>3.9985560000000002</v>
      </c>
      <c r="N2046" s="195">
        <v>3.6086839999999998</v>
      </c>
    </row>
    <row r="2047" spans="1:14" hidden="1" x14ac:dyDescent="0.35">
      <c r="A2047" s="52" t="s">
        <v>271</v>
      </c>
      <c r="B2047" s="52" t="s">
        <v>37</v>
      </c>
      <c r="C2047" s="52" t="s">
        <v>35</v>
      </c>
      <c r="D2047" s="52" t="s">
        <v>36</v>
      </c>
      <c r="E2047" s="52" t="s">
        <v>587</v>
      </c>
      <c r="F2047" s="52" t="s">
        <v>581</v>
      </c>
      <c r="G2047" s="195" t="s">
        <v>277</v>
      </c>
      <c r="H2047" s="195">
        <v>4.3315219999999997</v>
      </c>
      <c r="I2047" s="195">
        <v>0</v>
      </c>
      <c r="J2047" s="195"/>
      <c r="K2047" s="195"/>
      <c r="L2047" s="195">
        <v>0</v>
      </c>
      <c r="M2047" s="195">
        <v>6.0254599999999998E-2</v>
      </c>
      <c r="N2047" s="195">
        <v>0</v>
      </c>
    </row>
    <row r="2048" spans="1:14" hidden="1" x14ac:dyDescent="0.35">
      <c r="A2048" s="52" t="s">
        <v>271</v>
      </c>
      <c r="B2048" s="52" t="s">
        <v>37</v>
      </c>
      <c r="C2048" s="52" t="s">
        <v>35</v>
      </c>
      <c r="D2048" s="52" t="s">
        <v>36</v>
      </c>
      <c r="E2048" s="52" t="s">
        <v>587</v>
      </c>
      <c r="F2048" s="52" t="s">
        <v>581</v>
      </c>
      <c r="G2048" s="195" t="s">
        <v>279</v>
      </c>
      <c r="H2048" s="195">
        <v>51.659129999999998</v>
      </c>
      <c r="I2048" s="195">
        <v>37.856409999999997</v>
      </c>
      <c r="J2048" s="195">
        <v>31.300249999999998</v>
      </c>
      <c r="K2048" s="195">
        <v>28.782520000000002</v>
      </c>
      <c r="L2048" s="195">
        <v>28.80536</v>
      </c>
      <c r="M2048" s="195">
        <v>25.86354</v>
      </c>
      <c r="N2048" s="195">
        <v>23.286989999999999</v>
      </c>
    </row>
    <row r="2049" spans="1:14" hidden="1" x14ac:dyDescent="0.35">
      <c r="A2049" s="52" t="s">
        <v>271</v>
      </c>
      <c r="B2049" s="52" t="s">
        <v>37</v>
      </c>
      <c r="C2049" s="52" t="s">
        <v>35</v>
      </c>
      <c r="D2049" s="52" t="s">
        <v>36</v>
      </c>
      <c r="E2049" s="52" t="s">
        <v>587</v>
      </c>
      <c r="F2049" s="52" t="s">
        <v>26</v>
      </c>
      <c r="G2049" s="195" t="s">
        <v>275</v>
      </c>
      <c r="H2049" s="195">
        <v>-0.66339499999999996</v>
      </c>
      <c r="I2049" s="195">
        <v>-2.006961</v>
      </c>
      <c r="J2049" s="195">
        <v>-1.2855490000000001</v>
      </c>
      <c r="K2049" s="195">
        <v>-1.5418670000000001</v>
      </c>
      <c r="L2049" s="195">
        <v>-2.3517260000000002</v>
      </c>
      <c r="M2049" s="195">
        <v>-2.0632980000000001</v>
      </c>
      <c r="N2049" s="195">
        <v>-1.850096</v>
      </c>
    </row>
    <row r="2050" spans="1:14" hidden="1" x14ac:dyDescent="0.35">
      <c r="A2050" s="52" t="s">
        <v>271</v>
      </c>
      <c r="B2050" s="52" t="s">
        <v>37</v>
      </c>
      <c r="C2050" s="52" t="s">
        <v>35</v>
      </c>
      <c r="D2050" s="52" t="s">
        <v>36</v>
      </c>
      <c r="E2050" s="52" t="s">
        <v>587</v>
      </c>
      <c r="F2050" s="52" t="s">
        <v>26</v>
      </c>
      <c r="G2050" s="195" t="s">
        <v>276</v>
      </c>
      <c r="H2050" s="195">
        <v>-0.176341</v>
      </c>
      <c r="I2050" s="195">
        <v>-0.53349500000000005</v>
      </c>
      <c r="J2050" s="195">
        <v>-0.341729</v>
      </c>
      <c r="K2050" s="195">
        <v>-0.40986299999999998</v>
      </c>
      <c r="L2050" s="195">
        <v>-0.62514119999999995</v>
      </c>
      <c r="M2050" s="195">
        <v>-0.54847100000000004</v>
      </c>
      <c r="N2050" s="195">
        <v>-0.49179699999999998</v>
      </c>
    </row>
    <row r="2051" spans="1:14" hidden="1" x14ac:dyDescent="0.35">
      <c r="A2051" s="52" t="s">
        <v>271</v>
      </c>
      <c r="B2051" s="52" t="s">
        <v>37</v>
      </c>
      <c r="C2051" s="52" t="s">
        <v>35</v>
      </c>
      <c r="D2051" s="52" t="s">
        <v>36</v>
      </c>
      <c r="E2051" s="52" t="s">
        <v>587</v>
      </c>
      <c r="F2051" s="52" t="s">
        <v>26</v>
      </c>
      <c r="G2051" s="195" t="s">
        <v>279</v>
      </c>
      <c r="H2051" s="195">
        <v>18.080870000000001</v>
      </c>
      <c r="I2051" s="195">
        <v>15.93338</v>
      </c>
      <c r="J2051" s="195">
        <v>13.520659999999999</v>
      </c>
      <c r="K2051" s="195">
        <v>12.648</v>
      </c>
      <c r="L2051" s="195">
        <v>12.603350000000001</v>
      </c>
      <c r="M2051" s="195">
        <v>11.340210000000001</v>
      </c>
      <c r="N2051" s="195">
        <v>10.21073</v>
      </c>
    </row>
    <row r="2052" spans="1:14" hidden="1" x14ac:dyDescent="0.35">
      <c r="A2052" s="52" t="s">
        <v>271</v>
      </c>
      <c r="B2052" s="52" t="s">
        <v>37</v>
      </c>
      <c r="C2052" s="52" t="s">
        <v>35</v>
      </c>
      <c r="D2052" s="52" t="s">
        <v>189</v>
      </c>
      <c r="E2052" s="52" t="s">
        <v>590</v>
      </c>
      <c r="F2052" s="52" t="s">
        <v>581</v>
      </c>
      <c r="G2052" s="195" t="s">
        <v>275</v>
      </c>
      <c r="H2052" s="195">
        <v>136.18100000000001</v>
      </c>
      <c r="I2052" s="195">
        <v>126.3882</v>
      </c>
      <c r="J2052" s="195">
        <v>153.95400000000001</v>
      </c>
      <c r="K2052" s="195">
        <v>108.52330000000001</v>
      </c>
      <c r="L2052" s="195">
        <v>69.354579999999999</v>
      </c>
      <c r="M2052" s="195">
        <v>38.849220000000003</v>
      </c>
      <c r="N2052" s="195">
        <v>30.73629</v>
      </c>
    </row>
    <row r="2053" spans="1:14" hidden="1" x14ac:dyDescent="0.35">
      <c r="A2053" s="52" t="s">
        <v>271</v>
      </c>
      <c r="B2053" s="52" t="s">
        <v>37</v>
      </c>
      <c r="C2053" s="52" t="s">
        <v>35</v>
      </c>
      <c r="D2053" s="52" t="s">
        <v>189</v>
      </c>
      <c r="E2053" s="52" t="s">
        <v>590</v>
      </c>
      <c r="F2053" s="52" t="s">
        <v>581</v>
      </c>
      <c r="G2053" s="195" t="s">
        <v>276</v>
      </c>
      <c r="H2053" s="195">
        <v>-4.8606230000000004</v>
      </c>
      <c r="I2053" s="195">
        <v>-67.031769999999995</v>
      </c>
      <c r="J2053" s="195">
        <v>-85.043769999999995</v>
      </c>
      <c r="K2053" s="195">
        <v>-49.822159999999997</v>
      </c>
      <c r="L2053" s="195">
        <v>-23.440049999999999</v>
      </c>
      <c r="M2053" s="195">
        <v>3.533849</v>
      </c>
      <c r="N2053" s="195">
        <v>7.8264399999999998</v>
      </c>
    </row>
    <row r="2054" spans="1:14" hidden="1" x14ac:dyDescent="0.35">
      <c r="A2054" s="52" t="s">
        <v>271</v>
      </c>
      <c r="B2054" s="52" t="s">
        <v>37</v>
      </c>
      <c r="C2054" s="52" t="s">
        <v>35</v>
      </c>
      <c r="D2054" s="52" t="s">
        <v>189</v>
      </c>
      <c r="E2054" s="52" t="s">
        <v>590</v>
      </c>
      <c r="F2054" s="52" t="s">
        <v>581</v>
      </c>
      <c r="G2054" s="195" t="s">
        <v>277</v>
      </c>
      <c r="H2054" s="195">
        <v>389.65730000000002</v>
      </c>
      <c r="I2054" s="195">
        <v>82.81841</v>
      </c>
      <c r="J2054" s="195">
        <v>10.57574</v>
      </c>
      <c r="K2054" s="195">
        <v>5.0326250000000003</v>
      </c>
      <c r="L2054" s="195">
        <v>5.0060180000000001</v>
      </c>
      <c r="M2054" s="195">
        <v>7.5849789999999997</v>
      </c>
      <c r="N2054" s="195">
        <v>12.035880000000001</v>
      </c>
    </row>
    <row r="2055" spans="1:14" hidden="1" x14ac:dyDescent="0.35">
      <c r="A2055" s="52" t="s">
        <v>271</v>
      </c>
      <c r="B2055" s="52" t="s">
        <v>37</v>
      </c>
      <c r="C2055" s="52" t="s">
        <v>35</v>
      </c>
      <c r="D2055" s="52" t="s">
        <v>189</v>
      </c>
      <c r="E2055" s="52" t="s">
        <v>590</v>
      </c>
      <c r="F2055" s="52" t="s">
        <v>581</v>
      </c>
      <c r="G2055" s="195" t="s">
        <v>278</v>
      </c>
      <c r="H2055" s="195">
        <v>0.3427</v>
      </c>
      <c r="I2055" s="195">
        <v>0.30604419999999999</v>
      </c>
      <c r="J2055" s="195">
        <v>20.33361</v>
      </c>
      <c r="K2055" s="195">
        <v>18.991530000000001</v>
      </c>
      <c r="L2055" s="195">
        <v>18.14697</v>
      </c>
      <c r="M2055" s="195">
        <v>15.46158</v>
      </c>
      <c r="N2055" s="195">
        <v>13.56113</v>
      </c>
    </row>
    <row r="2056" spans="1:14" hidden="1" x14ac:dyDescent="0.35">
      <c r="A2056" s="52" t="s">
        <v>271</v>
      </c>
      <c r="B2056" s="52" t="s">
        <v>37</v>
      </c>
      <c r="C2056" s="52" t="s">
        <v>35</v>
      </c>
      <c r="D2056" s="52" t="s">
        <v>189</v>
      </c>
      <c r="E2056" s="52" t="s">
        <v>590</v>
      </c>
      <c r="F2056" s="52" t="s">
        <v>581</v>
      </c>
      <c r="G2056" s="195" t="s">
        <v>279</v>
      </c>
      <c r="H2056" s="195">
        <v>166.4872</v>
      </c>
      <c r="I2056" s="195">
        <v>124.06480000000001</v>
      </c>
      <c r="J2056" s="195">
        <v>99.896500000000003</v>
      </c>
      <c r="K2056" s="195">
        <v>85.955730000000003</v>
      </c>
      <c r="L2056" s="195">
        <v>88.710480000000004</v>
      </c>
      <c r="M2056" s="195">
        <v>77.404889999999995</v>
      </c>
      <c r="N2056" s="195">
        <v>71.938730000000007</v>
      </c>
    </row>
    <row r="2057" spans="1:14" hidden="1" x14ac:dyDescent="0.35">
      <c r="A2057" s="52" t="s">
        <v>271</v>
      </c>
      <c r="B2057" s="52" t="s">
        <v>37</v>
      </c>
      <c r="C2057" s="52" t="s">
        <v>35</v>
      </c>
      <c r="D2057" s="52" t="s">
        <v>189</v>
      </c>
      <c r="E2057" s="52" t="s">
        <v>590</v>
      </c>
      <c r="F2057" s="52" t="s">
        <v>26</v>
      </c>
      <c r="G2057" s="195" t="s">
        <v>275</v>
      </c>
      <c r="H2057" s="195">
        <v>-0.65610299999999999</v>
      </c>
      <c r="I2057" s="195">
        <v>-3.0591430000000002</v>
      </c>
      <c r="J2057" s="195">
        <v>-1.72221</v>
      </c>
      <c r="K2057" s="195">
        <v>-2.0747909999999998</v>
      </c>
      <c r="L2057" s="195">
        <v>-3.5345430000000002</v>
      </c>
      <c r="M2057" s="195">
        <v>-2.9102359999999998</v>
      </c>
      <c r="N2057" s="195">
        <v>-2.6073499999999998</v>
      </c>
    </row>
    <row r="2058" spans="1:14" hidden="1" x14ac:dyDescent="0.35">
      <c r="A2058" s="52" t="s">
        <v>271</v>
      </c>
      <c r="B2058" s="52" t="s">
        <v>37</v>
      </c>
      <c r="C2058" s="52" t="s">
        <v>35</v>
      </c>
      <c r="D2058" s="52" t="s">
        <v>189</v>
      </c>
      <c r="E2058" s="52" t="s">
        <v>590</v>
      </c>
      <c r="F2058" s="52" t="s">
        <v>26</v>
      </c>
      <c r="G2058" s="195" t="s">
        <v>276</v>
      </c>
      <c r="H2058" s="195">
        <v>-0.17439199999999999</v>
      </c>
      <c r="I2058" s="195">
        <v>-0.81318809999999997</v>
      </c>
      <c r="J2058" s="195">
        <v>-0.45781159999999999</v>
      </c>
      <c r="K2058" s="195">
        <v>-0.55153479999999999</v>
      </c>
      <c r="L2058" s="195">
        <v>-0.93956229999999996</v>
      </c>
      <c r="M2058" s="195">
        <v>-0.77360839999999997</v>
      </c>
      <c r="N2058" s="195">
        <v>-0.69309379999999998</v>
      </c>
    </row>
    <row r="2059" spans="1:14" hidden="1" x14ac:dyDescent="0.35">
      <c r="A2059" s="52" t="s">
        <v>271</v>
      </c>
      <c r="B2059" s="52" t="s">
        <v>37</v>
      </c>
      <c r="C2059" s="52" t="s">
        <v>35</v>
      </c>
      <c r="D2059" s="52" t="s">
        <v>189</v>
      </c>
      <c r="E2059" s="52" t="s">
        <v>590</v>
      </c>
      <c r="F2059" s="52" t="s">
        <v>26</v>
      </c>
      <c r="G2059" s="195" t="s">
        <v>279</v>
      </c>
      <c r="H2059" s="195">
        <v>31.116520000000001</v>
      </c>
      <c r="I2059" s="195">
        <v>28.451059999999998</v>
      </c>
      <c r="J2059" s="195">
        <v>23.720610000000001</v>
      </c>
      <c r="K2059" s="195">
        <v>20.835629999999998</v>
      </c>
      <c r="L2059" s="195">
        <v>21.50909</v>
      </c>
      <c r="M2059" s="195">
        <v>19.12724</v>
      </c>
      <c r="N2059" s="195">
        <v>18.03341</v>
      </c>
    </row>
    <row r="2060" spans="1:14" hidden="1" x14ac:dyDescent="0.35">
      <c r="A2060" s="52" t="s">
        <v>271</v>
      </c>
      <c r="B2060" s="52" t="s">
        <v>37</v>
      </c>
      <c r="C2060" s="52" t="s">
        <v>79</v>
      </c>
      <c r="D2060" s="52" t="s">
        <v>79</v>
      </c>
      <c r="E2060" s="52" t="s">
        <v>601</v>
      </c>
      <c r="F2060" s="52" t="s">
        <v>581</v>
      </c>
      <c r="G2060" s="195" t="s">
        <v>275</v>
      </c>
      <c r="H2060" s="195">
        <v>93.755859999999998</v>
      </c>
      <c r="I2060" s="195">
        <v>35.428429999999999</v>
      </c>
      <c r="J2060" s="195">
        <v>32.225200000000001</v>
      </c>
      <c r="K2060" s="195">
        <v>38.114620000000002</v>
      </c>
      <c r="L2060" s="195">
        <v>20.319500000000001</v>
      </c>
      <c r="M2060" s="195">
        <v>14.36422</v>
      </c>
      <c r="N2060" s="195">
        <v>12.208679999999999</v>
      </c>
    </row>
    <row r="2061" spans="1:14" hidden="1" x14ac:dyDescent="0.35">
      <c r="A2061" s="52" t="s">
        <v>271</v>
      </c>
      <c r="B2061" s="52" t="s">
        <v>37</v>
      </c>
      <c r="C2061" s="52" t="s">
        <v>79</v>
      </c>
      <c r="D2061" s="52" t="s">
        <v>79</v>
      </c>
      <c r="E2061" s="52" t="s">
        <v>601</v>
      </c>
      <c r="F2061" s="52" t="s">
        <v>581</v>
      </c>
      <c r="G2061" s="195" t="s">
        <v>276</v>
      </c>
      <c r="H2061" s="195">
        <v>35.422130000000003</v>
      </c>
      <c r="I2061" s="195">
        <v>-1.380341</v>
      </c>
      <c r="J2061" s="195">
        <v>-4.2071839999999998</v>
      </c>
      <c r="K2061" s="195">
        <v>-15.759270000000001</v>
      </c>
      <c r="L2061" s="195">
        <v>-4.8703060000000002</v>
      </c>
      <c r="M2061" s="195">
        <v>1.6355519999999999</v>
      </c>
      <c r="N2061" s="195">
        <v>2.4987400000000002</v>
      </c>
    </row>
    <row r="2062" spans="1:14" hidden="1" x14ac:dyDescent="0.35">
      <c r="A2062" s="52" t="s">
        <v>271</v>
      </c>
      <c r="B2062" s="52" t="s">
        <v>37</v>
      </c>
      <c r="C2062" s="52" t="s">
        <v>79</v>
      </c>
      <c r="D2062" s="52" t="s">
        <v>79</v>
      </c>
      <c r="E2062" s="52" t="s">
        <v>601</v>
      </c>
      <c r="F2062" s="52" t="s">
        <v>581</v>
      </c>
      <c r="G2062" s="195" t="s">
        <v>277</v>
      </c>
      <c r="H2062" s="195">
        <v>104.73950000000001</v>
      </c>
      <c r="I2062" s="195">
        <v>27.154640000000001</v>
      </c>
      <c r="J2062" s="195">
        <v>5.8362889999999998</v>
      </c>
      <c r="K2062" s="195">
        <v>3.4796339999999999</v>
      </c>
      <c r="L2062" s="195">
        <v>4.3586580000000001</v>
      </c>
      <c r="M2062" s="195">
        <v>3.6620249999999999</v>
      </c>
      <c r="N2062" s="195">
        <v>5.631157</v>
      </c>
    </row>
    <row r="2063" spans="1:14" hidden="1" x14ac:dyDescent="0.35">
      <c r="A2063" s="52" t="s">
        <v>271</v>
      </c>
      <c r="B2063" s="52" t="s">
        <v>37</v>
      </c>
      <c r="C2063" s="52" t="s">
        <v>79</v>
      </c>
      <c r="D2063" s="52" t="s">
        <v>79</v>
      </c>
      <c r="E2063" s="52" t="s">
        <v>601</v>
      </c>
      <c r="F2063" s="52" t="s">
        <v>581</v>
      </c>
      <c r="G2063" s="195" t="s">
        <v>278</v>
      </c>
      <c r="H2063" s="195">
        <v>9.3976000000000004E-2</v>
      </c>
      <c r="I2063" s="195">
        <v>0.101184</v>
      </c>
      <c r="J2063" s="195">
        <v>8.5289710000000003</v>
      </c>
      <c r="K2063" s="195">
        <v>7.991746</v>
      </c>
      <c r="L2063" s="195">
        <v>9.0961309999999997</v>
      </c>
      <c r="M2063" s="195">
        <v>6.3938059999999997</v>
      </c>
      <c r="N2063" s="195">
        <v>3.8453149999999998</v>
      </c>
    </row>
    <row r="2064" spans="1:14" hidden="1" x14ac:dyDescent="0.35">
      <c r="A2064" s="52" t="s">
        <v>271</v>
      </c>
      <c r="B2064" s="52" t="s">
        <v>37</v>
      </c>
      <c r="C2064" s="52" t="s">
        <v>79</v>
      </c>
      <c r="D2064" s="52" t="s">
        <v>79</v>
      </c>
      <c r="E2064" s="52" t="s">
        <v>601</v>
      </c>
      <c r="F2064" s="52" t="s">
        <v>581</v>
      </c>
      <c r="G2064" s="195" t="s">
        <v>279</v>
      </c>
      <c r="H2064" s="195">
        <v>58.58699</v>
      </c>
      <c r="I2064" s="195">
        <v>33.387619999999998</v>
      </c>
      <c r="J2064" s="195">
        <v>25.57977</v>
      </c>
      <c r="K2064" s="195">
        <v>20.783639999999998</v>
      </c>
      <c r="L2064" s="195">
        <v>20.73207</v>
      </c>
      <c r="M2064" s="195">
        <v>18.135269999999998</v>
      </c>
      <c r="N2064" s="195">
        <v>16.656790000000001</v>
      </c>
    </row>
    <row r="2065" spans="1:14" hidden="1" x14ac:dyDescent="0.35">
      <c r="A2065" s="52" t="s">
        <v>271</v>
      </c>
      <c r="B2065" s="52" t="s">
        <v>37</v>
      </c>
      <c r="C2065" s="52" t="s">
        <v>79</v>
      </c>
      <c r="D2065" s="52" t="s">
        <v>79</v>
      </c>
      <c r="E2065" s="52" t="s">
        <v>601</v>
      </c>
      <c r="F2065" s="52" t="s">
        <v>26</v>
      </c>
      <c r="G2065" s="195" t="s">
        <v>275</v>
      </c>
      <c r="H2065" s="195">
        <v>0.46635900000000002</v>
      </c>
      <c r="I2065" s="195">
        <v>-0.45352880000000001</v>
      </c>
      <c r="J2065" s="195">
        <v>-0.12961339999999999</v>
      </c>
      <c r="K2065" s="195">
        <v>-0.26155099999999998</v>
      </c>
      <c r="L2065" s="195">
        <v>-0.63375400000000004</v>
      </c>
      <c r="M2065" s="195">
        <v>-0.52354060000000002</v>
      </c>
      <c r="N2065" s="195">
        <v>-0.47097339999999999</v>
      </c>
    </row>
    <row r="2066" spans="1:14" hidden="1" x14ac:dyDescent="0.35">
      <c r="A2066" s="52" t="s">
        <v>271</v>
      </c>
      <c r="B2066" s="52" t="s">
        <v>37</v>
      </c>
      <c r="C2066" s="52" t="s">
        <v>79</v>
      </c>
      <c r="D2066" s="52" t="s">
        <v>79</v>
      </c>
      <c r="E2066" s="52" t="s">
        <v>601</v>
      </c>
      <c r="F2066" s="52" t="s">
        <v>26</v>
      </c>
      <c r="G2066" s="195" t="s">
        <v>276</v>
      </c>
      <c r="H2066" s="195">
        <v>0.12397</v>
      </c>
      <c r="I2066" s="195">
        <v>-0.1205576</v>
      </c>
      <c r="J2066" s="195">
        <v>-3.4452400000000001E-2</v>
      </c>
      <c r="K2066" s="195">
        <v>-6.9528199999999998E-2</v>
      </c>
      <c r="L2066" s="195">
        <v>-0.1684678</v>
      </c>
      <c r="M2066" s="195">
        <v>-0.1391704</v>
      </c>
      <c r="N2066" s="195">
        <v>-0.125196</v>
      </c>
    </row>
    <row r="2067" spans="1:14" hidden="1" x14ac:dyDescent="0.35">
      <c r="A2067" s="52" t="s">
        <v>271</v>
      </c>
      <c r="B2067" s="52" t="s">
        <v>37</v>
      </c>
      <c r="C2067" s="52" t="s">
        <v>79</v>
      </c>
      <c r="D2067" s="52" t="s">
        <v>79</v>
      </c>
      <c r="E2067" s="52" t="s">
        <v>601</v>
      </c>
      <c r="F2067" s="52" t="s">
        <v>26</v>
      </c>
      <c r="G2067" s="195" t="s">
        <v>279</v>
      </c>
      <c r="H2067" s="195">
        <v>11.69056</v>
      </c>
      <c r="I2067" s="195">
        <v>8.6452770000000001</v>
      </c>
      <c r="J2067" s="195">
        <v>6.8648819999999997</v>
      </c>
      <c r="K2067" s="195">
        <v>5.6630969999999996</v>
      </c>
      <c r="L2067" s="195">
        <v>5.6410200000000001</v>
      </c>
      <c r="M2067" s="195">
        <v>4.9344599999999996</v>
      </c>
      <c r="N2067" s="195">
        <v>4.526211</v>
      </c>
    </row>
    <row r="2068" spans="1:14" hidden="1" x14ac:dyDescent="0.35">
      <c r="A2068" s="52" t="s">
        <v>271</v>
      </c>
      <c r="B2068" s="52" t="s">
        <v>37</v>
      </c>
      <c r="C2068" s="52" t="s">
        <v>79</v>
      </c>
      <c r="D2068" s="52" t="s">
        <v>79</v>
      </c>
      <c r="E2068" s="52" t="s">
        <v>614</v>
      </c>
      <c r="F2068" s="52" t="s">
        <v>581</v>
      </c>
      <c r="G2068" s="195" t="s">
        <v>275</v>
      </c>
      <c r="H2068" s="195">
        <v>99.203329999999994</v>
      </c>
      <c r="I2068" s="195">
        <v>31.612590000000001</v>
      </c>
      <c r="J2068" s="195">
        <v>25.91122</v>
      </c>
      <c r="K2068" s="195">
        <v>26.403949999999998</v>
      </c>
      <c r="L2068" s="195">
        <v>18.48189</v>
      </c>
      <c r="M2068" s="195">
        <v>12.91206</v>
      </c>
      <c r="N2068" s="195">
        <v>13.43365</v>
      </c>
    </row>
    <row r="2069" spans="1:14" hidden="1" x14ac:dyDescent="0.35">
      <c r="A2069" s="52" t="s">
        <v>271</v>
      </c>
      <c r="B2069" s="52" t="s">
        <v>37</v>
      </c>
      <c r="C2069" s="52" t="s">
        <v>79</v>
      </c>
      <c r="D2069" s="52" t="s">
        <v>79</v>
      </c>
      <c r="E2069" s="52" t="s">
        <v>614</v>
      </c>
      <c r="F2069" s="52" t="s">
        <v>581</v>
      </c>
      <c r="G2069" s="195" t="s">
        <v>276</v>
      </c>
      <c r="H2069" s="195">
        <v>1.6338680000000001</v>
      </c>
      <c r="I2069" s="195">
        <v>-4.157635</v>
      </c>
      <c r="J2069" s="195">
        <v>0.49227929999999998</v>
      </c>
      <c r="K2069" s="195">
        <v>-2.4600650000000002</v>
      </c>
      <c r="L2069" s="195">
        <v>-1.459103</v>
      </c>
      <c r="M2069" s="195">
        <v>2.256961</v>
      </c>
      <c r="N2069" s="195">
        <v>2.823318</v>
      </c>
    </row>
    <row r="2070" spans="1:14" hidden="1" x14ac:dyDescent="0.35">
      <c r="A2070" s="52" t="s">
        <v>271</v>
      </c>
      <c r="B2070" s="52" t="s">
        <v>37</v>
      </c>
      <c r="C2070" s="52" t="s">
        <v>79</v>
      </c>
      <c r="D2070" s="52" t="s">
        <v>79</v>
      </c>
      <c r="E2070" s="52" t="s">
        <v>614</v>
      </c>
      <c r="F2070" s="52" t="s">
        <v>581</v>
      </c>
      <c r="G2070" s="195" t="s">
        <v>277</v>
      </c>
      <c r="H2070" s="195">
        <v>56.936459999999997</v>
      </c>
      <c r="I2070" s="195">
        <v>15.236829999999999</v>
      </c>
      <c r="J2070" s="195">
        <v>4.6760229999999998</v>
      </c>
      <c r="K2070" s="195">
        <v>1.3480650000000001</v>
      </c>
      <c r="L2070" s="195">
        <v>1.8727050000000001</v>
      </c>
      <c r="M2070" s="195">
        <v>2.5350609999999998</v>
      </c>
      <c r="N2070" s="195">
        <v>0.64311720000000006</v>
      </c>
    </row>
    <row r="2071" spans="1:14" hidden="1" x14ac:dyDescent="0.35">
      <c r="A2071" s="52" t="s">
        <v>271</v>
      </c>
      <c r="B2071" s="52" t="s">
        <v>37</v>
      </c>
      <c r="C2071" s="52" t="s">
        <v>79</v>
      </c>
      <c r="D2071" s="52" t="s">
        <v>79</v>
      </c>
      <c r="E2071" s="52" t="s">
        <v>614</v>
      </c>
      <c r="F2071" s="52" t="s">
        <v>581</v>
      </c>
      <c r="G2071" s="195" t="s">
        <v>278</v>
      </c>
      <c r="H2071" s="195">
        <v>2.3359000000000001E-2</v>
      </c>
      <c r="I2071" s="195">
        <v>2.2752000000000001E-2</v>
      </c>
      <c r="J2071" s="195">
        <v>2.5151330000000001</v>
      </c>
      <c r="K2071" s="195">
        <v>1.8418859999999999</v>
      </c>
      <c r="L2071" s="195">
        <v>1.638528</v>
      </c>
      <c r="M2071" s="195">
        <v>1.0028630000000001</v>
      </c>
      <c r="N2071" s="195">
        <v>9.8488989999999998E-2</v>
      </c>
    </row>
    <row r="2072" spans="1:14" hidden="1" x14ac:dyDescent="0.35">
      <c r="A2072" s="52" t="s">
        <v>271</v>
      </c>
      <c r="B2072" s="52" t="s">
        <v>37</v>
      </c>
      <c r="C2072" s="52" t="s">
        <v>79</v>
      </c>
      <c r="D2072" s="52" t="s">
        <v>79</v>
      </c>
      <c r="E2072" s="52" t="s">
        <v>614</v>
      </c>
      <c r="F2072" s="52" t="s">
        <v>581</v>
      </c>
      <c r="G2072" s="195" t="s">
        <v>279</v>
      </c>
      <c r="H2072" s="195">
        <v>54.797759999999997</v>
      </c>
      <c r="I2072" s="195">
        <v>39.228529999999999</v>
      </c>
      <c r="J2072" s="195">
        <v>35.828490000000002</v>
      </c>
      <c r="K2072" s="195">
        <v>30.008990000000001</v>
      </c>
      <c r="L2072" s="195">
        <v>28.388539999999999</v>
      </c>
      <c r="M2072" s="195">
        <v>24.52495</v>
      </c>
      <c r="N2072" s="195">
        <v>21.859020000000001</v>
      </c>
    </row>
    <row r="2073" spans="1:14" hidden="1" x14ac:dyDescent="0.35">
      <c r="A2073" s="52" t="s">
        <v>271</v>
      </c>
      <c r="B2073" s="52" t="s">
        <v>37</v>
      </c>
      <c r="C2073" s="52" t="s">
        <v>79</v>
      </c>
      <c r="D2073" s="52" t="s">
        <v>79</v>
      </c>
      <c r="E2073" s="52" t="s">
        <v>614</v>
      </c>
      <c r="F2073" s="52" t="s">
        <v>26</v>
      </c>
      <c r="G2073" s="195" t="s">
        <v>275</v>
      </c>
      <c r="H2073" s="195">
        <v>-1.7055480000000001</v>
      </c>
      <c r="I2073" s="195">
        <v>-2.0532900000000001</v>
      </c>
      <c r="J2073" s="195">
        <v>-1.747404</v>
      </c>
      <c r="K2073" s="195">
        <v>-1.61111</v>
      </c>
      <c r="L2073" s="195">
        <v>-1.8221529999999999</v>
      </c>
      <c r="M2073" s="195">
        <v>-1.545898</v>
      </c>
      <c r="N2073" s="195">
        <v>-1.3680540000000001</v>
      </c>
    </row>
    <row r="2074" spans="1:14" hidden="1" x14ac:dyDescent="0.35">
      <c r="A2074" s="52" t="s">
        <v>271</v>
      </c>
      <c r="B2074" s="52" t="s">
        <v>37</v>
      </c>
      <c r="C2074" s="52" t="s">
        <v>79</v>
      </c>
      <c r="D2074" s="52" t="s">
        <v>79</v>
      </c>
      <c r="E2074" s="52" t="s">
        <v>614</v>
      </c>
      <c r="F2074" s="52" t="s">
        <v>26</v>
      </c>
      <c r="G2074" s="195" t="s">
        <v>276</v>
      </c>
      <c r="H2074" s="195">
        <v>-0.49442399999999997</v>
      </c>
      <c r="I2074" s="195">
        <v>-0.59522839999999999</v>
      </c>
      <c r="J2074" s="195">
        <v>-0.50655380000000005</v>
      </c>
      <c r="K2074" s="195">
        <v>-0.4670454</v>
      </c>
      <c r="L2074" s="195">
        <v>-0.52822340000000001</v>
      </c>
      <c r="M2074" s="195">
        <v>-0.4481406</v>
      </c>
      <c r="N2074" s="195">
        <v>-0.39658399999999999</v>
      </c>
    </row>
    <row r="2075" spans="1:14" hidden="1" x14ac:dyDescent="0.35">
      <c r="A2075" s="52" t="s">
        <v>271</v>
      </c>
      <c r="B2075" s="52" t="s">
        <v>37</v>
      </c>
      <c r="C2075" s="52" t="s">
        <v>79</v>
      </c>
      <c r="D2075" s="52" t="s">
        <v>79</v>
      </c>
      <c r="E2075" s="52" t="s">
        <v>614</v>
      </c>
      <c r="F2075" s="52" t="s">
        <v>26</v>
      </c>
      <c r="G2075" s="195" t="s">
        <v>279</v>
      </c>
      <c r="H2075" s="195">
        <v>9.1874610000000008</v>
      </c>
      <c r="I2075" s="195">
        <v>8.1231939999999998</v>
      </c>
      <c r="J2075" s="195">
        <v>7.6488040000000002</v>
      </c>
      <c r="K2075" s="195">
        <v>6.5058239999999996</v>
      </c>
      <c r="L2075" s="195">
        <v>6.1300030000000003</v>
      </c>
      <c r="M2075" s="195">
        <v>5.2963750000000003</v>
      </c>
      <c r="N2075" s="195">
        <v>4.7149080000000003</v>
      </c>
    </row>
    <row r="2076" spans="1:14" hidden="1" x14ac:dyDescent="0.35">
      <c r="A2076" s="52" t="s">
        <v>271</v>
      </c>
      <c r="B2076" s="52" t="s">
        <v>37</v>
      </c>
      <c r="C2076" s="52" t="s">
        <v>79</v>
      </c>
      <c r="D2076" s="52" t="s">
        <v>79</v>
      </c>
      <c r="E2076" s="52" t="s">
        <v>600</v>
      </c>
      <c r="F2076" s="52" t="s">
        <v>581</v>
      </c>
      <c r="G2076" s="195" t="s">
        <v>275</v>
      </c>
      <c r="H2076" s="195">
        <v>53.424639999999997</v>
      </c>
      <c r="I2076" s="195">
        <v>16.988620000000001</v>
      </c>
      <c r="J2076" s="195">
        <v>21.240069999999999</v>
      </c>
      <c r="K2076" s="195">
        <v>16.534849999999999</v>
      </c>
      <c r="L2076" s="195">
        <v>13.61239</v>
      </c>
      <c r="M2076" s="195">
        <v>5.3776289999999998</v>
      </c>
      <c r="N2076" s="195">
        <v>3.3053750000000002</v>
      </c>
    </row>
    <row r="2077" spans="1:14" hidden="1" x14ac:dyDescent="0.35">
      <c r="A2077" s="52" t="s">
        <v>271</v>
      </c>
      <c r="B2077" s="52" t="s">
        <v>37</v>
      </c>
      <c r="C2077" s="52" t="s">
        <v>79</v>
      </c>
      <c r="D2077" s="52" t="s">
        <v>79</v>
      </c>
      <c r="E2077" s="52" t="s">
        <v>600</v>
      </c>
      <c r="F2077" s="52" t="s">
        <v>581</v>
      </c>
      <c r="G2077" s="195" t="s">
        <v>276</v>
      </c>
      <c r="H2077" s="195">
        <v>-6.3638830000000004</v>
      </c>
      <c r="I2077" s="195">
        <v>-10.530099999999999</v>
      </c>
      <c r="J2077" s="195">
        <v>-11.04251</v>
      </c>
      <c r="K2077" s="195">
        <v>-8.6027059999999995</v>
      </c>
      <c r="L2077" s="195">
        <v>-8.1992410000000007</v>
      </c>
      <c r="M2077" s="195">
        <v>-0.816438</v>
      </c>
      <c r="N2077" s="195">
        <v>0.57176760000000004</v>
      </c>
    </row>
    <row r="2078" spans="1:14" hidden="1" x14ac:dyDescent="0.35">
      <c r="A2078" s="52" t="s">
        <v>271</v>
      </c>
      <c r="B2078" s="52" t="s">
        <v>37</v>
      </c>
      <c r="C2078" s="52" t="s">
        <v>79</v>
      </c>
      <c r="D2078" s="52" t="s">
        <v>79</v>
      </c>
      <c r="E2078" s="52" t="s">
        <v>600</v>
      </c>
      <c r="F2078" s="52" t="s">
        <v>581</v>
      </c>
      <c r="G2078" s="195" t="s">
        <v>277</v>
      </c>
      <c r="H2078" s="195">
        <v>96.12021</v>
      </c>
      <c r="I2078" s="195">
        <v>18.840219999999999</v>
      </c>
      <c r="J2078" s="195">
        <v>2.903349</v>
      </c>
      <c r="K2078" s="195">
        <v>1.40428</v>
      </c>
      <c r="L2078" s="195">
        <v>0</v>
      </c>
      <c r="M2078" s="195">
        <v>0</v>
      </c>
      <c r="N2078" s="195">
        <v>0</v>
      </c>
    </row>
    <row r="2079" spans="1:14" hidden="1" x14ac:dyDescent="0.35">
      <c r="A2079" s="52" t="s">
        <v>271</v>
      </c>
      <c r="B2079" s="52" t="s">
        <v>37</v>
      </c>
      <c r="C2079" s="52" t="s">
        <v>79</v>
      </c>
      <c r="D2079" s="52" t="s">
        <v>79</v>
      </c>
      <c r="E2079" s="52" t="s">
        <v>600</v>
      </c>
      <c r="F2079" s="52" t="s">
        <v>581</v>
      </c>
      <c r="G2079" s="195" t="s">
        <v>278</v>
      </c>
      <c r="H2079" s="195">
        <v>0</v>
      </c>
      <c r="I2079" s="195"/>
      <c r="J2079" s="195"/>
      <c r="K2079" s="195"/>
      <c r="L2079" s="195"/>
      <c r="M2079" s="195"/>
      <c r="N2079" s="195"/>
    </row>
    <row r="2080" spans="1:14" hidden="1" x14ac:dyDescent="0.35">
      <c r="A2080" s="52" t="s">
        <v>271</v>
      </c>
      <c r="B2080" s="52" t="s">
        <v>37</v>
      </c>
      <c r="C2080" s="52" t="s">
        <v>79</v>
      </c>
      <c r="D2080" s="52" t="s">
        <v>79</v>
      </c>
      <c r="E2080" s="52" t="s">
        <v>600</v>
      </c>
      <c r="F2080" s="52" t="s">
        <v>581</v>
      </c>
      <c r="G2080" s="195" t="s">
        <v>279</v>
      </c>
      <c r="H2080" s="195">
        <v>67.372590000000002</v>
      </c>
      <c r="I2080" s="195">
        <v>41.220280000000002</v>
      </c>
      <c r="J2080" s="195">
        <v>26.507290000000001</v>
      </c>
      <c r="K2080" s="195">
        <v>19.820309999999999</v>
      </c>
      <c r="L2080" s="195">
        <v>17.049489999999999</v>
      </c>
      <c r="M2080" s="195">
        <v>13.789160000000001</v>
      </c>
      <c r="N2080" s="195">
        <v>11.74119</v>
      </c>
    </row>
    <row r="2081" spans="1:14" hidden="1" x14ac:dyDescent="0.35">
      <c r="A2081" s="52" t="s">
        <v>271</v>
      </c>
      <c r="B2081" s="52" t="s">
        <v>37</v>
      </c>
      <c r="C2081" s="52" t="s">
        <v>79</v>
      </c>
      <c r="D2081" s="52" t="s">
        <v>79</v>
      </c>
      <c r="E2081" s="52" t="s">
        <v>600</v>
      </c>
      <c r="F2081" s="52" t="s">
        <v>26</v>
      </c>
      <c r="G2081" s="195" t="s">
        <v>275</v>
      </c>
      <c r="H2081" s="195">
        <v>-4.7436239999999996</v>
      </c>
      <c r="I2081" s="195">
        <v>-4.6955920000000004</v>
      </c>
      <c r="J2081" s="195">
        <v>-2.828125</v>
      </c>
      <c r="K2081" s="195">
        <v>-2.306845</v>
      </c>
      <c r="L2081" s="195">
        <v>-2.345574</v>
      </c>
      <c r="M2081" s="195">
        <v>-1.881529</v>
      </c>
      <c r="N2081" s="195">
        <v>-1.6001209999999999</v>
      </c>
    </row>
    <row r="2082" spans="1:14" hidden="1" x14ac:dyDescent="0.35">
      <c r="A2082" s="52" t="s">
        <v>271</v>
      </c>
      <c r="B2082" s="52" t="s">
        <v>37</v>
      </c>
      <c r="C2082" s="52" t="s">
        <v>79</v>
      </c>
      <c r="D2082" s="52" t="s">
        <v>79</v>
      </c>
      <c r="E2082" s="52" t="s">
        <v>600</v>
      </c>
      <c r="F2082" s="52" t="s">
        <v>26</v>
      </c>
      <c r="G2082" s="195" t="s">
        <v>276</v>
      </c>
      <c r="H2082" s="195">
        <v>-1.375129</v>
      </c>
      <c r="I2082" s="195">
        <v>-1.361205</v>
      </c>
      <c r="J2082" s="195">
        <v>-0.81984380000000001</v>
      </c>
      <c r="K2082" s="195">
        <v>-0.66873099999999996</v>
      </c>
      <c r="L2082" s="195">
        <v>-0.67995819999999996</v>
      </c>
      <c r="M2082" s="195">
        <v>-0.54543660000000005</v>
      </c>
      <c r="N2082" s="195">
        <v>-0.46385860000000001</v>
      </c>
    </row>
    <row r="2083" spans="1:14" hidden="1" x14ac:dyDescent="0.35">
      <c r="A2083" s="52" t="s">
        <v>271</v>
      </c>
      <c r="B2083" s="52" t="s">
        <v>37</v>
      </c>
      <c r="C2083" s="52" t="s">
        <v>79</v>
      </c>
      <c r="D2083" s="52" t="s">
        <v>79</v>
      </c>
      <c r="E2083" s="52" t="s">
        <v>600</v>
      </c>
      <c r="F2083" s="52" t="s">
        <v>26</v>
      </c>
      <c r="G2083" s="195" t="s">
        <v>279</v>
      </c>
      <c r="H2083" s="195">
        <v>23.626359999999998</v>
      </c>
      <c r="I2083" s="195">
        <v>17.636420000000001</v>
      </c>
      <c r="J2083" s="195">
        <v>11.68731</v>
      </c>
      <c r="K2083" s="195">
        <v>8.8641799999999993</v>
      </c>
      <c r="L2083" s="195">
        <v>7.5720409999999996</v>
      </c>
      <c r="M2083" s="195">
        <v>6.1399030000000003</v>
      </c>
      <c r="N2083" s="195">
        <v>5.2292310000000004</v>
      </c>
    </row>
    <row r="2084" spans="1:14" hidden="1" x14ac:dyDescent="0.35">
      <c r="A2084" s="52" t="s">
        <v>271</v>
      </c>
      <c r="B2084" s="52" t="s">
        <v>37</v>
      </c>
      <c r="C2084" s="52" t="s">
        <v>51</v>
      </c>
      <c r="D2084" s="52" t="s">
        <v>51</v>
      </c>
      <c r="E2084" s="52" t="s">
        <v>602</v>
      </c>
      <c r="F2084" s="52" t="s">
        <v>581</v>
      </c>
      <c r="G2084" s="195" t="s">
        <v>275</v>
      </c>
      <c r="H2084" s="195">
        <v>90.179550000000006</v>
      </c>
      <c r="I2084" s="195">
        <v>24.388629999999999</v>
      </c>
      <c r="J2084" s="195">
        <v>32.668959999999998</v>
      </c>
      <c r="K2084" s="195">
        <v>26.682210000000001</v>
      </c>
      <c r="L2084" s="195">
        <v>15.901680000000001</v>
      </c>
      <c r="M2084" s="195">
        <v>10.109669999999999</v>
      </c>
      <c r="N2084" s="195">
        <v>7.6040840000000003</v>
      </c>
    </row>
    <row r="2085" spans="1:14" hidden="1" x14ac:dyDescent="0.35">
      <c r="A2085" s="52" t="s">
        <v>271</v>
      </c>
      <c r="B2085" s="52" t="s">
        <v>37</v>
      </c>
      <c r="C2085" s="52" t="s">
        <v>51</v>
      </c>
      <c r="D2085" s="52" t="s">
        <v>51</v>
      </c>
      <c r="E2085" s="52" t="s">
        <v>602</v>
      </c>
      <c r="F2085" s="52" t="s">
        <v>581</v>
      </c>
      <c r="G2085" s="195" t="s">
        <v>276</v>
      </c>
      <c r="H2085" s="195">
        <v>21.983039999999999</v>
      </c>
      <c r="I2085" s="195">
        <v>-4.0192110000000003</v>
      </c>
      <c r="J2085" s="195">
        <v>-8.2734279999999991</v>
      </c>
      <c r="K2085" s="195">
        <v>-8.6188149999999997</v>
      </c>
      <c r="L2085" s="195">
        <v>-6.9497749999999998</v>
      </c>
      <c r="M2085" s="195">
        <v>0.16107450000000001</v>
      </c>
      <c r="N2085" s="195">
        <v>1.6884079999999999</v>
      </c>
    </row>
    <row r="2086" spans="1:14" hidden="1" x14ac:dyDescent="0.35">
      <c r="A2086" s="52" t="s">
        <v>271</v>
      </c>
      <c r="B2086" s="52" t="s">
        <v>37</v>
      </c>
      <c r="C2086" s="52" t="s">
        <v>51</v>
      </c>
      <c r="D2086" s="52" t="s">
        <v>51</v>
      </c>
      <c r="E2086" s="52" t="s">
        <v>602</v>
      </c>
      <c r="F2086" s="52" t="s">
        <v>581</v>
      </c>
      <c r="G2086" s="195" t="s">
        <v>277</v>
      </c>
      <c r="H2086" s="195">
        <v>103.7242</v>
      </c>
      <c r="I2086" s="195">
        <v>23.373259999999998</v>
      </c>
      <c r="J2086" s="195">
        <v>1.6870229999999999</v>
      </c>
      <c r="K2086" s="195">
        <v>0.2175888</v>
      </c>
      <c r="L2086" s="195">
        <v>3.012753</v>
      </c>
      <c r="M2086" s="195">
        <v>0.95959950000000005</v>
      </c>
      <c r="N2086" s="195">
        <v>0</v>
      </c>
    </row>
    <row r="2087" spans="1:14" hidden="1" x14ac:dyDescent="0.35">
      <c r="A2087" s="52" t="s">
        <v>271</v>
      </c>
      <c r="B2087" s="52" t="s">
        <v>37</v>
      </c>
      <c r="C2087" s="52" t="s">
        <v>51</v>
      </c>
      <c r="D2087" s="52" t="s">
        <v>51</v>
      </c>
      <c r="E2087" s="52" t="s">
        <v>602</v>
      </c>
      <c r="F2087" s="52" t="s">
        <v>581</v>
      </c>
      <c r="G2087" s="195" t="s">
        <v>278</v>
      </c>
      <c r="H2087" s="195">
        <v>4.1577000000000003E-2</v>
      </c>
      <c r="I2087" s="195">
        <v>3.6773199999999999E-2</v>
      </c>
      <c r="J2087" s="195">
        <v>0</v>
      </c>
      <c r="K2087" s="195"/>
      <c r="L2087" s="195"/>
      <c r="M2087" s="195"/>
      <c r="N2087" s="195"/>
    </row>
    <row r="2088" spans="1:14" hidden="1" x14ac:dyDescent="0.35">
      <c r="A2088" s="52" t="s">
        <v>271</v>
      </c>
      <c r="B2088" s="52" t="s">
        <v>37</v>
      </c>
      <c r="C2088" s="52" t="s">
        <v>51</v>
      </c>
      <c r="D2088" s="52" t="s">
        <v>51</v>
      </c>
      <c r="E2088" s="52" t="s">
        <v>602</v>
      </c>
      <c r="F2088" s="52" t="s">
        <v>581</v>
      </c>
      <c r="G2088" s="195" t="s">
        <v>279</v>
      </c>
      <c r="H2088" s="195">
        <v>86.240710000000007</v>
      </c>
      <c r="I2088" s="195">
        <v>61.360840000000003</v>
      </c>
      <c r="J2088" s="195">
        <v>46.906390000000002</v>
      </c>
      <c r="K2088" s="195">
        <v>36.93629</v>
      </c>
      <c r="L2088" s="195">
        <v>35.261830000000003</v>
      </c>
      <c r="M2088" s="195">
        <v>30.89686</v>
      </c>
      <c r="N2088" s="195">
        <v>26.454260000000001</v>
      </c>
    </row>
    <row r="2089" spans="1:14" hidden="1" x14ac:dyDescent="0.35">
      <c r="A2089" s="52" t="s">
        <v>271</v>
      </c>
      <c r="B2089" s="52" t="s">
        <v>37</v>
      </c>
      <c r="C2089" s="52" t="s">
        <v>51</v>
      </c>
      <c r="D2089" s="52" t="s">
        <v>51</v>
      </c>
      <c r="E2089" s="52" t="s">
        <v>602</v>
      </c>
      <c r="F2089" s="52" t="s">
        <v>26</v>
      </c>
      <c r="G2089" s="195" t="s">
        <v>275</v>
      </c>
      <c r="H2089" s="195">
        <v>2.6177760000000001</v>
      </c>
      <c r="I2089" s="195">
        <v>0.88720259999999995</v>
      </c>
      <c r="J2089" s="195">
        <v>1.1087320000000001</v>
      </c>
      <c r="K2089" s="195">
        <v>0.48841859999999998</v>
      </c>
      <c r="L2089" s="195">
        <v>-0.27451379999999997</v>
      </c>
      <c r="M2089" s="195">
        <v>-0.18878619999999999</v>
      </c>
      <c r="N2089" s="195">
        <v>-0.19256319999999999</v>
      </c>
    </row>
    <row r="2090" spans="1:14" hidden="1" x14ac:dyDescent="0.35">
      <c r="A2090" s="52" t="s">
        <v>271</v>
      </c>
      <c r="B2090" s="52" t="s">
        <v>37</v>
      </c>
      <c r="C2090" s="52" t="s">
        <v>51</v>
      </c>
      <c r="D2090" s="52" t="s">
        <v>51</v>
      </c>
      <c r="E2090" s="52" t="s">
        <v>602</v>
      </c>
      <c r="F2090" s="52" t="s">
        <v>26</v>
      </c>
      <c r="G2090" s="195" t="s">
        <v>276</v>
      </c>
      <c r="H2090" s="195">
        <v>0.69586510000000001</v>
      </c>
      <c r="I2090" s="195">
        <v>0.23584040000000001</v>
      </c>
      <c r="J2090" s="195">
        <v>0.29472680000000001</v>
      </c>
      <c r="K2090" s="195">
        <v>0.12983339999999999</v>
      </c>
      <c r="L2090" s="195">
        <v>-7.2972800000000004E-2</v>
      </c>
      <c r="M2090" s="195">
        <v>-5.0184600000000003E-2</v>
      </c>
      <c r="N2090" s="195">
        <v>-5.1187999999999997E-2</v>
      </c>
    </row>
    <row r="2091" spans="1:14" hidden="1" x14ac:dyDescent="0.35">
      <c r="A2091" s="52" t="s">
        <v>271</v>
      </c>
      <c r="B2091" s="52" t="s">
        <v>37</v>
      </c>
      <c r="C2091" s="52" t="s">
        <v>51</v>
      </c>
      <c r="D2091" s="52" t="s">
        <v>51</v>
      </c>
      <c r="E2091" s="52" t="s">
        <v>602</v>
      </c>
      <c r="F2091" s="52" t="s">
        <v>26</v>
      </c>
      <c r="G2091" s="195" t="s">
        <v>279</v>
      </c>
      <c r="H2091" s="195">
        <v>17.603380000000001</v>
      </c>
      <c r="I2091" s="195">
        <v>14.62129</v>
      </c>
      <c r="J2091" s="195">
        <v>11.39695</v>
      </c>
      <c r="K2091" s="195">
        <v>9.093375</v>
      </c>
      <c r="L2091" s="195">
        <v>8.6165710000000004</v>
      </c>
      <c r="M2091" s="195">
        <v>7.5552619999999999</v>
      </c>
      <c r="N2091" s="195">
        <v>6.4757360000000004</v>
      </c>
    </row>
    <row r="2092" spans="1:14" hidden="1" x14ac:dyDescent="0.35">
      <c r="A2092" s="52" t="s">
        <v>271</v>
      </c>
      <c r="B2092" s="52" t="s">
        <v>37</v>
      </c>
      <c r="C2092" s="52" t="s">
        <v>51</v>
      </c>
      <c r="D2092" s="52" t="s">
        <v>51</v>
      </c>
      <c r="E2092" s="52" t="s">
        <v>584</v>
      </c>
      <c r="F2092" s="52" t="s">
        <v>581</v>
      </c>
      <c r="G2092" s="195" t="s">
        <v>275</v>
      </c>
      <c r="H2092" s="195">
        <v>0.66963200000000001</v>
      </c>
      <c r="I2092" s="195">
        <v>0.1206054</v>
      </c>
      <c r="J2092" s="195">
        <v>7.6632800000000001E-2</v>
      </c>
      <c r="K2092" s="195">
        <v>6.5087199999999998E-2</v>
      </c>
      <c r="L2092" s="195">
        <v>4.6785199999999999E-2</v>
      </c>
      <c r="M2092" s="195">
        <v>4.28942E-2</v>
      </c>
      <c r="N2092" s="195">
        <v>4.0014000000000001E-2</v>
      </c>
    </row>
    <row r="2093" spans="1:14" hidden="1" x14ac:dyDescent="0.35">
      <c r="A2093" s="52" t="s">
        <v>271</v>
      </c>
      <c r="B2093" s="52" t="s">
        <v>37</v>
      </c>
      <c r="C2093" s="52" t="s">
        <v>51</v>
      </c>
      <c r="D2093" s="52" t="s">
        <v>51</v>
      </c>
      <c r="E2093" s="52" t="s">
        <v>584</v>
      </c>
      <c r="F2093" s="52" t="s">
        <v>581</v>
      </c>
      <c r="G2093" s="195" t="s">
        <v>276</v>
      </c>
      <c r="H2093" s="195">
        <v>0.178004</v>
      </c>
      <c r="I2093" s="195">
        <v>3.2058799999999998E-2</v>
      </c>
      <c r="J2093" s="195">
        <v>2.03704E-2</v>
      </c>
      <c r="K2093" s="195">
        <v>1.7301400000000002E-2</v>
      </c>
      <c r="L2093" s="195">
        <v>1.24358E-2</v>
      </c>
      <c r="M2093" s="195">
        <v>1.14016E-2</v>
      </c>
      <c r="N2093" s="195">
        <v>1.0637000000000001E-2</v>
      </c>
    </row>
    <row r="2094" spans="1:14" hidden="1" x14ac:dyDescent="0.35">
      <c r="A2094" s="52" t="s">
        <v>271</v>
      </c>
      <c r="B2094" s="52" t="s">
        <v>37</v>
      </c>
      <c r="C2094" s="52" t="s">
        <v>51</v>
      </c>
      <c r="D2094" s="52" t="s">
        <v>51</v>
      </c>
      <c r="E2094" s="52" t="s">
        <v>584</v>
      </c>
      <c r="F2094" s="52" t="s">
        <v>581</v>
      </c>
      <c r="G2094" s="195" t="s">
        <v>279</v>
      </c>
      <c r="H2094" s="195">
        <v>0.30724299999999999</v>
      </c>
      <c r="I2094" s="195">
        <v>0.2172056</v>
      </c>
      <c r="J2094" s="195">
        <v>0.19614899999999999</v>
      </c>
      <c r="K2094" s="195">
        <v>0.18864040000000001</v>
      </c>
      <c r="L2094" s="195">
        <v>0.1913426</v>
      </c>
      <c r="M2094" s="195">
        <v>0.17793619999999999</v>
      </c>
      <c r="N2094" s="195">
        <v>0.16340299999999999</v>
      </c>
    </row>
    <row r="2095" spans="1:14" hidden="1" x14ac:dyDescent="0.35">
      <c r="A2095" s="52" t="s">
        <v>271</v>
      </c>
      <c r="B2095" s="52" t="s">
        <v>37</v>
      </c>
      <c r="C2095" s="52" t="s">
        <v>51</v>
      </c>
      <c r="D2095" s="52" t="s">
        <v>51</v>
      </c>
      <c r="E2095" s="52" t="s">
        <v>584</v>
      </c>
      <c r="F2095" s="52" t="s">
        <v>26</v>
      </c>
      <c r="G2095" s="195" t="s">
        <v>275</v>
      </c>
      <c r="H2095" s="195">
        <v>-6.1399999999999996E-4</v>
      </c>
      <c r="I2095" s="195">
        <v>-2.3804E-3</v>
      </c>
      <c r="J2095" s="195">
        <v>-1.8942E-3</v>
      </c>
      <c r="K2095" s="195">
        <v>-2.0219999999999999E-3</v>
      </c>
      <c r="L2095" s="195">
        <v>-2.5201999999999998E-3</v>
      </c>
      <c r="M2095" s="195">
        <v>-2.2859999999999998E-3</v>
      </c>
      <c r="N2095" s="195">
        <v>-2.0202000000000002E-3</v>
      </c>
    </row>
    <row r="2096" spans="1:14" hidden="1" x14ac:dyDescent="0.35">
      <c r="A2096" s="52" t="s">
        <v>271</v>
      </c>
      <c r="B2096" s="52" t="s">
        <v>37</v>
      </c>
      <c r="C2096" s="52" t="s">
        <v>51</v>
      </c>
      <c r="D2096" s="52" t="s">
        <v>51</v>
      </c>
      <c r="E2096" s="52" t="s">
        <v>584</v>
      </c>
      <c r="F2096" s="52" t="s">
        <v>26</v>
      </c>
      <c r="G2096" s="195" t="s">
        <v>276</v>
      </c>
      <c r="H2096" s="195">
        <v>-1.63E-4</v>
      </c>
      <c r="I2096" s="195">
        <v>-6.3299999999999999E-4</v>
      </c>
      <c r="J2096" s="195">
        <v>-5.0339999999999998E-4</v>
      </c>
      <c r="K2096" s="195">
        <v>-5.3839999999999997E-4</v>
      </c>
      <c r="L2096" s="195">
        <v>-6.6980000000000002E-4</v>
      </c>
      <c r="M2096" s="195">
        <v>-6.0760000000000002E-4</v>
      </c>
      <c r="N2096" s="195">
        <v>-5.3720000000000005E-4</v>
      </c>
    </row>
    <row r="2097" spans="1:14" hidden="1" x14ac:dyDescent="0.35">
      <c r="A2097" s="52" t="s">
        <v>271</v>
      </c>
      <c r="B2097" s="52" t="s">
        <v>37</v>
      </c>
      <c r="C2097" s="52" t="s">
        <v>51</v>
      </c>
      <c r="D2097" s="52" t="s">
        <v>51</v>
      </c>
      <c r="E2097" s="52" t="s">
        <v>584</v>
      </c>
      <c r="F2097" s="52" t="s">
        <v>26</v>
      </c>
      <c r="G2097" s="195" t="s">
        <v>279</v>
      </c>
      <c r="H2097" s="195">
        <v>1.8252000000000001E-2</v>
      </c>
      <c r="I2097" s="195">
        <v>1.53282E-2</v>
      </c>
      <c r="J2097" s="195">
        <v>1.37958E-2</v>
      </c>
      <c r="K2097" s="195">
        <v>1.3073E-2</v>
      </c>
      <c r="L2097" s="195">
        <v>1.28764E-2</v>
      </c>
      <c r="M2097" s="195">
        <v>1.18376E-2</v>
      </c>
      <c r="N2097" s="195">
        <v>1.07978E-2</v>
      </c>
    </row>
    <row r="2098" spans="1:14" hidden="1" x14ac:dyDescent="0.35">
      <c r="A2098" s="52" t="s">
        <v>271</v>
      </c>
      <c r="B2098" s="52" t="s">
        <v>37</v>
      </c>
      <c r="C2098" s="52" t="s">
        <v>99</v>
      </c>
      <c r="D2098" s="52" t="s">
        <v>101</v>
      </c>
      <c r="E2098" s="52" t="s">
        <v>634</v>
      </c>
      <c r="F2098" s="52" t="s">
        <v>581</v>
      </c>
      <c r="G2098" s="195" t="s">
        <v>275</v>
      </c>
      <c r="H2098" s="195">
        <v>85.544430000000006</v>
      </c>
      <c r="I2098" s="195">
        <v>4.5154610000000002</v>
      </c>
      <c r="J2098" s="195">
        <v>16.516649999999998</v>
      </c>
      <c r="K2098" s="195">
        <v>10.87438</v>
      </c>
      <c r="L2098" s="195">
        <v>0.35925580000000001</v>
      </c>
      <c r="M2098" s="195">
        <v>-1.8384160000000001</v>
      </c>
      <c r="N2098" s="195">
        <v>-2.7317360000000002</v>
      </c>
    </row>
    <row r="2099" spans="1:14" hidden="1" x14ac:dyDescent="0.35">
      <c r="A2099" s="52" t="s">
        <v>271</v>
      </c>
      <c r="B2099" s="52" t="s">
        <v>37</v>
      </c>
      <c r="C2099" s="52" t="s">
        <v>99</v>
      </c>
      <c r="D2099" s="52" t="s">
        <v>101</v>
      </c>
      <c r="E2099" s="52" t="s">
        <v>634</v>
      </c>
      <c r="F2099" s="52" t="s">
        <v>581</v>
      </c>
      <c r="G2099" s="195" t="s">
        <v>276</v>
      </c>
      <c r="H2099" s="195">
        <v>15.17426</v>
      </c>
      <c r="I2099" s="195">
        <v>-8.1369779999999992</v>
      </c>
      <c r="J2099" s="195">
        <v>-15.15645</v>
      </c>
      <c r="K2099" s="195">
        <v>-10.397869999999999</v>
      </c>
      <c r="L2099" s="195">
        <v>-6.2066049999999997</v>
      </c>
      <c r="M2099" s="195">
        <v>-2.3550460000000002</v>
      </c>
      <c r="N2099" s="195">
        <v>-0.98281499999999999</v>
      </c>
    </row>
    <row r="2100" spans="1:14" hidden="1" x14ac:dyDescent="0.35">
      <c r="A2100" s="52" t="s">
        <v>271</v>
      </c>
      <c r="B2100" s="52" t="s">
        <v>37</v>
      </c>
      <c r="C2100" s="52" t="s">
        <v>99</v>
      </c>
      <c r="D2100" s="52" t="s">
        <v>101</v>
      </c>
      <c r="E2100" s="52" t="s">
        <v>634</v>
      </c>
      <c r="F2100" s="52" t="s">
        <v>581</v>
      </c>
      <c r="G2100" s="195" t="s">
        <v>277</v>
      </c>
      <c r="H2100" s="195">
        <v>54.046779999999998</v>
      </c>
      <c r="I2100" s="195">
        <v>16.034289999999999</v>
      </c>
      <c r="J2100" s="195">
        <v>0.3288838</v>
      </c>
      <c r="K2100" s="195">
        <v>0.1694958</v>
      </c>
      <c r="L2100" s="195"/>
      <c r="M2100" s="195">
        <v>0</v>
      </c>
      <c r="N2100" s="195">
        <v>0</v>
      </c>
    </row>
    <row r="2101" spans="1:14" hidden="1" x14ac:dyDescent="0.35">
      <c r="A2101" s="52" t="s">
        <v>271</v>
      </c>
      <c r="B2101" s="52" t="s">
        <v>37</v>
      </c>
      <c r="C2101" s="52" t="s">
        <v>99</v>
      </c>
      <c r="D2101" s="52" t="s">
        <v>101</v>
      </c>
      <c r="E2101" s="52" t="s">
        <v>634</v>
      </c>
      <c r="F2101" s="52" t="s">
        <v>581</v>
      </c>
      <c r="G2101" s="195" t="s">
        <v>278</v>
      </c>
      <c r="H2101" s="195">
        <v>6.5090999999999996E-2</v>
      </c>
      <c r="I2101" s="195">
        <v>0.102396</v>
      </c>
      <c r="J2101" s="195">
        <v>1.613103</v>
      </c>
      <c r="K2101" s="195">
        <v>0.71264819999999995</v>
      </c>
      <c r="L2101" s="195"/>
      <c r="M2101" s="195">
        <v>0</v>
      </c>
      <c r="N2101" s="195">
        <v>0</v>
      </c>
    </row>
    <row r="2102" spans="1:14" hidden="1" x14ac:dyDescent="0.35">
      <c r="A2102" s="52" t="s">
        <v>271</v>
      </c>
      <c r="B2102" s="52" t="s">
        <v>37</v>
      </c>
      <c r="C2102" s="52" t="s">
        <v>99</v>
      </c>
      <c r="D2102" s="52" t="s">
        <v>101</v>
      </c>
      <c r="E2102" s="52" t="s">
        <v>634</v>
      </c>
      <c r="F2102" s="52" t="s">
        <v>581</v>
      </c>
      <c r="G2102" s="195" t="s">
        <v>279</v>
      </c>
      <c r="H2102" s="195">
        <v>108.3776</v>
      </c>
      <c r="I2102" s="195">
        <v>82.073750000000004</v>
      </c>
      <c r="J2102" s="195">
        <v>67.278819999999996</v>
      </c>
      <c r="K2102" s="195">
        <v>57.762050000000002</v>
      </c>
      <c r="L2102" s="195">
        <v>58.958829999999999</v>
      </c>
      <c r="M2102" s="195">
        <v>53.108179999999997</v>
      </c>
      <c r="N2102" s="195">
        <v>47.494959999999999</v>
      </c>
    </row>
    <row r="2103" spans="1:14" hidden="1" x14ac:dyDescent="0.35">
      <c r="A2103" s="52" t="s">
        <v>271</v>
      </c>
      <c r="B2103" s="52" t="s">
        <v>37</v>
      </c>
      <c r="C2103" s="52" t="s">
        <v>99</v>
      </c>
      <c r="D2103" s="52" t="s">
        <v>101</v>
      </c>
      <c r="E2103" s="52" t="s">
        <v>634</v>
      </c>
      <c r="F2103" s="52" t="s">
        <v>26</v>
      </c>
      <c r="G2103" s="195" t="s">
        <v>275</v>
      </c>
      <c r="H2103" s="195">
        <v>-3.2280259999999998</v>
      </c>
      <c r="I2103" s="195">
        <v>-3.847807</v>
      </c>
      <c r="J2103" s="195">
        <v>-2.9404279999999998</v>
      </c>
      <c r="K2103" s="195">
        <v>-2.8866420000000002</v>
      </c>
      <c r="L2103" s="195">
        <v>-3.6447189999999998</v>
      </c>
      <c r="M2103" s="195">
        <v>-3.239957</v>
      </c>
      <c r="N2103" s="195">
        <v>-2.8639540000000001</v>
      </c>
    </row>
    <row r="2104" spans="1:14" hidden="1" x14ac:dyDescent="0.35">
      <c r="A2104" s="52" t="s">
        <v>271</v>
      </c>
      <c r="B2104" s="52" t="s">
        <v>37</v>
      </c>
      <c r="C2104" s="52" t="s">
        <v>99</v>
      </c>
      <c r="D2104" s="52" t="s">
        <v>101</v>
      </c>
      <c r="E2104" s="52" t="s">
        <v>634</v>
      </c>
      <c r="F2104" s="52" t="s">
        <v>26</v>
      </c>
      <c r="G2104" s="195" t="s">
        <v>276</v>
      </c>
      <c r="H2104" s="195">
        <v>-0.85808090000000004</v>
      </c>
      <c r="I2104" s="195">
        <v>-1.0228349999999999</v>
      </c>
      <c r="J2104" s="195">
        <v>-0.78163360000000004</v>
      </c>
      <c r="K2104" s="195">
        <v>-0.76733560000000001</v>
      </c>
      <c r="L2104" s="195">
        <v>-0.96884919999999997</v>
      </c>
      <c r="M2104" s="195">
        <v>-0.86125280000000004</v>
      </c>
      <c r="N2104" s="195">
        <v>-0.76130469999999995</v>
      </c>
    </row>
    <row r="2105" spans="1:14" hidden="1" x14ac:dyDescent="0.35">
      <c r="A2105" s="52" t="s">
        <v>271</v>
      </c>
      <c r="B2105" s="52" t="s">
        <v>37</v>
      </c>
      <c r="C2105" s="52" t="s">
        <v>99</v>
      </c>
      <c r="D2105" s="52" t="s">
        <v>101</v>
      </c>
      <c r="E2105" s="52" t="s">
        <v>634</v>
      </c>
      <c r="F2105" s="52" t="s">
        <v>26</v>
      </c>
      <c r="G2105" s="195" t="s">
        <v>279</v>
      </c>
      <c r="H2105" s="195">
        <v>18.790959999999998</v>
      </c>
      <c r="I2105" s="195">
        <v>15.719010000000001</v>
      </c>
      <c r="J2105" s="195">
        <v>13.28192</v>
      </c>
      <c r="K2105" s="195">
        <v>11.7523</v>
      </c>
      <c r="L2105" s="195">
        <v>11.96527</v>
      </c>
      <c r="M2105" s="195">
        <v>10.80213</v>
      </c>
      <c r="N2105" s="195">
        <v>9.6550720000000005</v>
      </c>
    </row>
    <row r="2106" spans="1:14" hidden="1" x14ac:dyDescent="0.35">
      <c r="A2106" s="52" t="s">
        <v>271</v>
      </c>
      <c r="B2106" s="52" t="s">
        <v>37</v>
      </c>
      <c r="C2106" s="52" t="s">
        <v>266</v>
      </c>
      <c r="D2106" s="52" t="s">
        <v>266</v>
      </c>
      <c r="E2106" s="52" t="s">
        <v>584</v>
      </c>
      <c r="F2106" s="52" t="s">
        <v>581</v>
      </c>
      <c r="G2106" s="195" t="s">
        <v>275</v>
      </c>
      <c r="H2106" s="195">
        <v>1.319704</v>
      </c>
      <c r="I2106" s="195">
        <v>0.16469780000000001</v>
      </c>
      <c r="J2106" s="195">
        <v>7.3926000000000006E-2</v>
      </c>
      <c r="K2106" s="195">
        <v>3.94218E-2</v>
      </c>
      <c r="L2106" s="195">
        <v>2.0602800000000001E-2</v>
      </c>
      <c r="M2106" s="195">
        <v>-7.9378010000000003</v>
      </c>
      <c r="N2106" s="195">
        <v>0</v>
      </c>
    </row>
    <row r="2107" spans="1:14" hidden="1" x14ac:dyDescent="0.35">
      <c r="A2107" s="52" t="s">
        <v>271</v>
      </c>
      <c r="B2107" s="52" t="s">
        <v>37</v>
      </c>
      <c r="C2107" s="52" t="s">
        <v>266</v>
      </c>
      <c r="D2107" s="52" t="s">
        <v>266</v>
      </c>
      <c r="E2107" s="52" t="s">
        <v>584</v>
      </c>
      <c r="F2107" s="52" t="s">
        <v>581</v>
      </c>
      <c r="G2107" s="195" t="s">
        <v>276</v>
      </c>
      <c r="H2107" s="195">
        <v>0.35080699999999998</v>
      </c>
      <c r="I2107" s="195">
        <v>4.3779600000000002E-2</v>
      </c>
      <c r="J2107" s="195">
        <v>1.9651600000000002E-2</v>
      </c>
      <c r="K2107" s="195">
        <v>1.0479E-2</v>
      </c>
      <c r="L2107" s="195">
        <v>5.4761999999999996E-3</v>
      </c>
      <c r="M2107" s="195">
        <v>-2.1100479999999999</v>
      </c>
      <c r="N2107" s="195">
        <v>0</v>
      </c>
    </row>
    <row r="2108" spans="1:14" hidden="1" x14ac:dyDescent="0.35">
      <c r="A2108" s="52" t="s">
        <v>271</v>
      </c>
      <c r="B2108" s="52" t="s">
        <v>37</v>
      </c>
      <c r="C2108" s="52" t="s">
        <v>266</v>
      </c>
      <c r="D2108" s="52" t="s">
        <v>266</v>
      </c>
      <c r="E2108" s="52" t="s">
        <v>584</v>
      </c>
      <c r="F2108" s="52" t="s">
        <v>581</v>
      </c>
      <c r="G2108" s="195" t="s">
        <v>279</v>
      </c>
      <c r="H2108" s="195">
        <v>0.828851</v>
      </c>
      <c r="I2108" s="195">
        <v>0.423929</v>
      </c>
      <c r="J2108" s="195">
        <v>0.27440419999999999</v>
      </c>
      <c r="K2108" s="195">
        <v>0.20332500000000001</v>
      </c>
      <c r="L2108" s="195">
        <v>0.14817060000000001</v>
      </c>
      <c r="M2108" s="195">
        <v>10.04785</v>
      </c>
      <c r="N2108" s="195">
        <v>0</v>
      </c>
    </row>
    <row r="2109" spans="1:14" hidden="1" x14ac:dyDescent="0.35">
      <c r="A2109" s="52" t="s">
        <v>271</v>
      </c>
      <c r="B2109" s="52" t="s">
        <v>37</v>
      </c>
      <c r="C2109" s="52" t="s">
        <v>266</v>
      </c>
      <c r="D2109" s="52" t="s">
        <v>266</v>
      </c>
      <c r="E2109" s="52" t="s">
        <v>584</v>
      </c>
      <c r="F2109" s="52" t="s">
        <v>26</v>
      </c>
      <c r="G2109" s="195" t="s">
        <v>275</v>
      </c>
      <c r="H2109" s="195">
        <v>-9.8865049999999997</v>
      </c>
      <c r="I2109" s="195">
        <v>-3.58534</v>
      </c>
      <c r="J2109" s="195">
        <v>-1.329602</v>
      </c>
      <c r="K2109" s="195">
        <v>-0.84346460000000001</v>
      </c>
      <c r="L2109" s="195">
        <v>-1.77074</v>
      </c>
      <c r="M2109" s="195">
        <v>-29.605070000000001</v>
      </c>
      <c r="N2109" s="195">
        <v>0.167905</v>
      </c>
    </row>
    <row r="2110" spans="1:14" hidden="1" x14ac:dyDescent="0.35">
      <c r="A2110" s="52" t="s">
        <v>271</v>
      </c>
      <c r="B2110" s="52" t="s">
        <v>37</v>
      </c>
      <c r="C2110" s="52" t="s">
        <v>266</v>
      </c>
      <c r="D2110" s="52" t="s">
        <v>266</v>
      </c>
      <c r="E2110" s="52" t="s">
        <v>584</v>
      </c>
      <c r="F2110" s="52" t="s">
        <v>26</v>
      </c>
      <c r="G2110" s="195" t="s">
        <v>276</v>
      </c>
      <c r="H2110" s="195">
        <v>-2.7742079999999998</v>
      </c>
      <c r="I2110" s="195">
        <v>-2.4754580000000002</v>
      </c>
      <c r="J2110" s="195">
        <v>-2.8091819999999998</v>
      </c>
      <c r="K2110" s="195">
        <v>-1.890444</v>
      </c>
      <c r="L2110" s="195">
        <v>-1.3395870000000001</v>
      </c>
      <c r="M2110" s="195">
        <v>-8.3101040000000008</v>
      </c>
      <c r="N2110" s="195">
        <v>-0.167905</v>
      </c>
    </row>
    <row r="2111" spans="1:14" hidden="1" x14ac:dyDescent="0.35">
      <c r="A2111" s="52" t="s">
        <v>271</v>
      </c>
      <c r="B2111" s="52" t="s">
        <v>37</v>
      </c>
      <c r="C2111" s="52" t="s">
        <v>266</v>
      </c>
      <c r="D2111" s="52" t="s">
        <v>266</v>
      </c>
      <c r="E2111" s="52" t="s">
        <v>584</v>
      </c>
      <c r="F2111" s="52" t="s">
        <v>26</v>
      </c>
      <c r="G2111" s="195" t="s">
        <v>277</v>
      </c>
      <c r="H2111" s="195">
        <v>10.44824</v>
      </c>
      <c r="I2111" s="195">
        <v>3.5568029999999999</v>
      </c>
      <c r="J2111" s="195">
        <v>1.9520150000000001</v>
      </c>
      <c r="K2111" s="195"/>
      <c r="L2111" s="195"/>
      <c r="M2111" s="195"/>
      <c r="N2111" s="195"/>
    </row>
    <row r="2112" spans="1:14" hidden="1" x14ac:dyDescent="0.35">
      <c r="A2112" s="52" t="s">
        <v>271</v>
      </c>
      <c r="B2112" s="52" t="s">
        <v>37</v>
      </c>
      <c r="C2112" s="52" t="s">
        <v>266</v>
      </c>
      <c r="D2112" s="52" t="s">
        <v>266</v>
      </c>
      <c r="E2112" s="52" t="s">
        <v>584</v>
      </c>
      <c r="F2112" s="52" t="s">
        <v>26</v>
      </c>
      <c r="G2112" s="195" t="s">
        <v>279</v>
      </c>
      <c r="H2112" s="195">
        <v>9.4629440000000002</v>
      </c>
      <c r="I2112" s="195">
        <v>7.9161919999999997</v>
      </c>
      <c r="J2112" s="195">
        <v>7.520302</v>
      </c>
      <c r="K2112" s="195">
        <v>7.912979</v>
      </c>
      <c r="L2112" s="195">
        <v>8.0708149999999996</v>
      </c>
      <c r="M2112" s="195">
        <v>37.915170000000003</v>
      </c>
      <c r="N2112" s="195">
        <v>0</v>
      </c>
    </row>
    <row r="2113" spans="1:14" hidden="1" x14ac:dyDescent="0.35">
      <c r="A2113" s="52" t="s">
        <v>271</v>
      </c>
      <c r="B2113" s="52" t="s">
        <v>37</v>
      </c>
      <c r="C2113" s="52" t="s">
        <v>46</v>
      </c>
      <c r="D2113" s="52" t="s">
        <v>46</v>
      </c>
      <c r="E2113" s="52" t="s">
        <v>584</v>
      </c>
      <c r="F2113" s="52" t="s">
        <v>581</v>
      </c>
      <c r="G2113" s="195" t="s">
        <v>275</v>
      </c>
      <c r="H2113" s="195">
        <v>1.9120999999999999E-2</v>
      </c>
      <c r="I2113" s="195">
        <v>0</v>
      </c>
      <c r="J2113" s="195"/>
      <c r="K2113" s="195"/>
      <c r="L2113" s="195"/>
      <c r="M2113" s="195"/>
      <c r="N2113" s="195"/>
    </row>
    <row r="2114" spans="1:14" hidden="1" x14ac:dyDescent="0.35">
      <c r="A2114" s="52" t="s">
        <v>271</v>
      </c>
      <c r="B2114" s="52" t="s">
        <v>37</v>
      </c>
      <c r="C2114" s="52" t="s">
        <v>46</v>
      </c>
      <c r="D2114" s="52" t="s">
        <v>46</v>
      </c>
      <c r="E2114" s="52" t="s">
        <v>584</v>
      </c>
      <c r="F2114" s="52" t="s">
        <v>581</v>
      </c>
      <c r="G2114" s="195" t="s">
        <v>276</v>
      </c>
      <c r="H2114" s="195">
        <v>5.0829999999999998E-3</v>
      </c>
      <c r="I2114" s="195">
        <v>0</v>
      </c>
      <c r="J2114" s="195"/>
      <c r="K2114" s="195"/>
      <c r="L2114" s="195"/>
      <c r="M2114" s="195"/>
      <c r="N2114" s="195"/>
    </row>
    <row r="2115" spans="1:14" hidden="1" x14ac:dyDescent="0.35">
      <c r="A2115" s="52" t="s">
        <v>271</v>
      </c>
      <c r="B2115" s="52" t="s">
        <v>37</v>
      </c>
      <c r="C2115" s="52" t="s">
        <v>46</v>
      </c>
      <c r="D2115" s="52" t="s">
        <v>46</v>
      </c>
      <c r="E2115" s="52" t="s">
        <v>584</v>
      </c>
      <c r="F2115" s="52" t="s">
        <v>581</v>
      </c>
      <c r="G2115" s="195" t="s">
        <v>279</v>
      </c>
      <c r="H2115" s="195">
        <v>1.1417999999999999E-2</v>
      </c>
      <c r="I2115" s="195">
        <v>0</v>
      </c>
      <c r="J2115" s="195"/>
      <c r="K2115" s="195"/>
      <c r="L2115" s="195"/>
      <c r="M2115" s="195"/>
      <c r="N2115" s="195"/>
    </row>
    <row r="2116" spans="1:14" hidden="1" x14ac:dyDescent="0.35">
      <c r="A2116" s="52" t="s">
        <v>271</v>
      </c>
      <c r="B2116" s="52" t="s">
        <v>37</v>
      </c>
      <c r="C2116" s="52" t="s">
        <v>46</v>
      </c>
      <c r="D2116" s="52" t="s">
        <v>46</v>
      </c>
      <c r="E2116" s="52" t="s">
        <v>584</v>
      </c>
      <c r="F2116" s="52" t="s">
        <v>26</v>
      </c>
      <c r="G2116" s="195" t="s">
        <v>275</v>
      </c>
      <c r="H2116" s="195">
        <v>-4.8432279999999999</v>
      </c>
      <c r="I2116" s="195">
        <v>-3.8081610000000001</v>
      </c>
      <c r="J2116" s="195">
        <v>-2.9925790000000001</v>
      </c>
      <c r="K2116" s="195">
        <v>-4.6250479999999996</v>
      </c>
      <c r="L2116" s="195">
        <v>-5.1420130000000004</v>
      </c>
      <c r="M2116" s="195">
        <v>-5.3838699999999999</v>
      </c>
      <c r="N2116" s="195">
        <v>-5.54779</v>
      </c>
    </row>
    <row r="2117" spans="1:14" hidden="1" x14ac:dyDescent="0.35">
      <c r="A2117" s="52" t="s">
        <v>271</v>
      </c>
      <c r="B2117" s="52" t="s">
        <v>37</v>
      </c>
      <c r="C2117" s="52" t="s">
        <v>46</v>
      </c>
      <c r="D2117" s="52" t="s">
        <v>46</v>
      </c>
      <c r="E2117" s="52" t="s">
        <v>584</v>
      </c>
      <c r="F2117" s="52" t="s">
        <v>26</v>
      </c>
      <c r="G2117" s="195" t="s">
        <v>276</v>
      </c>
      <c r="H2117" s="195">
        <v>-1.51701</v>
      </c>
      <c r="I2117" s="195">
        <v>-1.457911</v>
      </c>
      <c r="J2117" s="195">
        <v>-2.0670989999999998</v>
      </c>
      <c r="K2117" s="195">
        <v>-1.382849</v>
      </c>
      <c r="L2117" s="195">
        <v>-1.3008690000000001</v>
      </c>
      <c r="M2117" s="195">
        <v>-1.2477069999999999</v>
      </c>
      <c r="N2117" s="195">
        <v>-1.2756019999999999</v>
      </c>
    </row>
    <row r="2118" spans="1:14" hidden="1" x14ac:dyDescent="0.35">
      <c r="A2118" s="52" t="s">
        <v>271</v>
      </c>
      <c r="B2118" s="52" t="s">
        <v>37</v>
      </c>
      <c r="C2118" s="52" t="s">
        <v>46</v>
      </c>
      <c r="D2118" s="52" t="s">
        <v>46</v>
      </c>
      <c r="E2118" s="52" t="s">
        <v>584</v>
      </c>
      <c r="F2118" s="52" t="s">
        <v>26</v>
      </c>
      <c r="G2118" s="195" t="s">
        <v>277</v>
      </c>
      <c r="H2118" s="195">
        <v>5.7299740000000003</v>
      </c>
      <c r="I2118" s="195">
        <v>4.6370360000000002</v>
      </c>
      <c r="J2118" s="195">
        <v>4.4536040000000003</v>
      </c>
      <c r="K2118" s="195">
        <v>5.2805739999999997</v>
      </c>
      <c r="L2118" s="195">
        <v>5.6063150000000004</v>
      </c>
      <c r="M2118" s="195">
        <v>5.7730199999999998</v>
      </c>
      <c r="N2118" s="195">
        <v>5.9441410000000001</v>
      </c>
    </row>
    <row r="2119" spans="1:14" hidden="1" x14ac:dyDescent="0.35">
      <c r="A2119" s="52" t="s">
        <v>271</v>
      </c>
      <c r="B2119" s="52" t="s">
        <v>37</v>
      </c>
      <c r="C2119" s="52" t="s">
        <v>46</v>
      </c>
      <c r="D2119" s="52" t="s">
        <v>46</v>
      </c>
      <c r="E2119" s="52" t="s">
        <v>584</v>
      </c>
      <c r="F2119" s="52" t="s">
        <v>26</v>
      </c>
      <c r="G2119" s="195" t="s">
        <v>279</v>
      </c>
      <c r="H2119" s="195">
        <v>1.4424110000000001</v>
      </c>
      <c r="I2119" s="195">
        <v>1.2632570000000001</v>
      </c>
      <c r="J2119" s="195">
        <v>1.2601519999999999</v>
      </c>
      <c r="K2119" s="195">
        <v>1.39758</v>
      </c>
      <c r="L2119" s="195">
        <v>1.523002</v>
      </c>
      <c r="M2119" s="195">
        <v>1.561175</v>
      </c>
      <c r="N2119" s="195">
        <v>1.6005389999999999</v>
      </c>
    </row>
    <row r="2120" spans="1:14" hidden="1" x14ac:dyDescent="0.35">
      <c r="A2120" s="52" t="s">
        <v>271</v>
      </c>
      <c r="B2120" s="52" t="s">
        <v>37</v>
      </c>
      <c r="C2120" s="52" t="s">
        <v>118</v>
      </c>
      <c r="D2120" s="52" t="s">
        <v>118</v>
      </c>
      <c r="E2120" s="52" t="s">
        <v>584</v>
      </c>
      <c r="F2120" s="52" t="s">
        <v>581</v>
      </c>
      <c r="G2120" s="195" t="s">
        <v>275</v>
      </c>
      <c r="H2120" s="195">
        <v>0.23525299999999999</v>
      </c>
      <c r="I2120" s="195">
        <v>-1.5807600000000002E-2</v>
      </c>
      <c r="J2120" s="195">
        <v>-2.65092E-2</v>
      </c>
      <c r="K2120" s="195">
        <v>-2.73008E-2</v>
      </c>
      <c r="L2120" s="195">
        <v>-4.1728800000000003E-2</v>
      </c>
      <c r="M2120" s="195">
        <v>-3.66468E-2</v>
      </c>
      <c r="N2120" s="195">
        <v>-3.3583000000000002E-2</v>
      </c>
    </row>
    <row r="2121" spans="1:14" hidden="1" x14ac:dyDescent="0.35">
      <c r="A2121" s="52" t="s">
        <v>271</v>
      </c>
      <c r="B2121" s="52" t="s">
        <v>37</v>
      </c>
      <c r="C2121" s="52" t="s">
        <v>118</v>
      </c>
      <c r="D2121" s="52" t="s">
        <v>118</v>
      </c>
      <c r="E2121" s="52" t="s">
        <v>584</v>
      </c>
      <c r="F2121" s="52" t="s">
        <v>581</v>
      </c>
      <c r="G2121" s="195" t="s">
        <v>276</v>
      </c>
      <c r="H2121" s="195">
        <v>6.2535999999999994E-2</v>
      </c>
      <c r="I2121" s="195">
        <v>-4.2018000000000003E-3</v>
      </c>
      <c r="J2121" s="195">
        <v>-7.0467999999999998E-3</v>
      </c>
      <c r="K2121" s="195">
        <v>-7.2567999999999999E-3</v>
      </c>
      <c r="L2121" s="195">
        <v>-1.10922E-2</v>
      </c>
      <c r="M2121" s="195">
        <v>-9.7403999999999998E-3</v>
      </c>
      <c r="N2121" s="195">
        <v>-8.9259999999999999E-3</v>
      </c>
    </row>
    <row r="2122" spans="1:14" hidden="1" x14ac:dyDescent="0.35">
      <c r="A2122" s="52" t="s">
        <v>271</v>
      </c>
      <c r="B2122" s="52" t="s">
        <v>37</v>
      </c>
      <c r="C2122" s="52" t="s">
        <v>118</v>
      </c>
      <c r="D2122" s="52" t="s">
        <v>118</v>
      </c>
      <c r="E2122" s="52" t="s">
        <v>584</v>
      </c>
      <c r="F2122" s="52" t="s">
        <v>581</v>
      </c>
      <c r="G2122" s="195" t="s">
        <v>279</v>
      </c>
      <c r="H2122" s="195">
        <v>0.29868</v>
      </c>
      <c r="I2122" s="195">
        <v>0.22312480000000001</v>
      </c>
      <c r="J2122" s="195">
        <v>0.19349559999999999</v>
      </c>
      <c r="K2122" s="195">
        <v>0.18232960000000001</v>
      </c>
      <c r="L2122" s="195">
        <v>0.1893474</v>
      </c>
      <c r="M2122" s="195">
        <v>0.1728498</v>
      </c>
      <c r="N2122" s="195">
        <v>0.15900139999999999</v>
      </c>
    </row>
    <row r="2123" spans="1:14" hidden="1" x14ac:dyDescent="0.35">
      <c r="A2123" s="52" t="s">
        <v>271</v>
      </c>
      <c r="B2123" s="52" t="s">
        <v>37</v>
      </c>
      <c r="C2123" s="52" t="s">
        <v>118</v>
      </c>
      <c r="D2123" s="52" t="s">
        <v>118</v>
      </c>
      <c r="E2123" s="52" t="s">
        <v>584</v>
      </c>
      <c r="F2123" s="52" t="s">
        <v>26</v>
      </c>
      <c r="G2123" s="195" t="s">
        <v>275</v>
      </c>
      <c r="H2123" s="195">
        <v>4.8863999999999998E-2</v>
      </c>
      <c r="I2123" s="195">
        <v>-1.4160600000000001E-2</v>
      </c>
      <c r="J2123" s="195">
        <v>5.0134000000000003E-3</v>
      </c>
      <c r="K2123" s="195">
        <v>-7.0571999999999996E-3</v>
      </c>
      <c r="L2123" s="195">
        <v>-4.23814E-2</v>
      </c>
      <c r="M2123" s="195">
        <v>-3.6224800000000001E-2</v>
      </c>
      <c r="N2123" s="195">
        <v>-3.2933799999999999E-2</v>
      </c>
    </row>
    <row r="2124" spans="1:14" hidden="1" x14ac:dyDescent="0.35">
      <c r="A2124" s="52" t="s">
        <v>271</v>
      </c>
      <c r="B2124" s="52" t="s">
        <v>37</v>
      </c>
      <c r="C2124" s="52" t="s">
        <v>118</v>
      </c>
      <c r="D2124" s="52" t="s">
        <v>118</v>
      </c>
      <c r="E2124" s="52" t="s">
        <v>584</v>
      </c>
      <c r="F2124" s="52" t="s">
        <v>26</v>
      </c>
      <c r="G2124" s="195" t="s">
        <v>276</v>
      </c>
      <c r="H2124" s="195">
        <v>1.2989000000000001E-2</v>
      </c>
      <c r="I2124" s="195">
        <v>-3.7637999999999999E-3</v>
      </c>
      <c r="J2124" s="195">
        <v>1.3332000000000001E-3</v>
      </c>
      <c r="K2124" s="195">
        <v>-1.8758E-3</v>
      </c>
      <c r="L2124" s="195">
        <v>-1.1266E-2</v>
      </c>
      <c r="M2124" s="195">
        <v>-9.6295990000000008E-3</v>
      </c>
      <c r="N2124" s="195">
        <v>-8.7548009999999996E-3</v>
      </c>
    </row>
    <row r="2125" spans="1:14" hidden="1" x14ac:dyDescent="0.35">
      <c r="A2125" s="52" t="s">
        <v>271</v>
      </c>
      <c r="B2125" s="52" t="s">
        <v>37</v>
      </c>
      <c r="C2125" s="52" t="s">
        <v>118</v>
      </c>
      <c r="D2125" s="52" t="s">
        <v>118</v>
      </c>
      <c r="E2125" s="52" t="s">
        <v>584</v>
      </c>
      <c r="F2125" s="52" t="s">
        <v>26</v>
      </c>
      <c r="G2125" s="195" t="s">
        <v>279</v>
      </c>
      <c r="H2125" s="195">
        <v>0.65862889999999996</v>
      </c>
      <c r="I2125" s="195">
        <v>0.52560560000000001</v>
      </c>
      <c r="J2125" s="195">
        <v>0.46350580000000002</v>
      </c>
      <c r="K2125" s="195">
        <v>0.44225619999999999</v>
      </c>
      <c r="L2125" s="195">
        <v>0.45304680000000003</v>
      </c>
      <c r="M2125" s="195">
        <v>0.4147362</v>
      </c>
      <c r="N2125" s="195">
        <v>0.38151760000000001</v>
      </c>
    </row>
    <row r="2126" spans="1:14" hidden="1" x14ac:dyDescent="0.35">
      <c r="A2126" s="52" t="s">
        <v>271</v>
      </c>
      <c r="B2126" s="52" t="s">
        <v>37</v>
      </c>
      <c r="C2126" s="52" t="s">
        <v>248</v>
      </c>
      <c r="D2126" s="52" t="s">
        <v>248</v>
      </c>
      <c r="E2126" s="52" t="s">
        <v>635</v>
      </c>
      <c r="F2126" s="52" t="s">
        <v>581</v>
      </c>
      <c r="G2126" s="195" t="s">
        <v>275</v>
      </c>
      <c r="H2126" s="195">
        <v>0.33367799999999997</v>
      </c>
      <c r="I2126" s="195">
        <v>-1.3318730000000001</v>
      </c>
      <c r="J2126" s="195">
        <v>-0.21168799999999999</v>
      </c>
      <c r="K2126" s="195">
        <v>-0.2640168</v>
      </c>
      <c r="L2126" s="195">
        <v>-0.51027820000000002</v>
      </c>
      <c r="M2126" s="195">
        <v>0.24929499999999999</v>
      </c>
      <c r="N2126" s="195">
        <v>0.1491944</v>
      </c>
    </row>
    <row r="2127" spans="1:14" hidden="1" x14ac:dyDescent="0.35">
      <c r="A2127" s="52" t="s">
        <v>271</v>
      </c>
      <c r="B2127" s="52" t="s">
        <v>37</v>
      </c>
      <c r="C2127" s="52" t="s">
        <v>248</v>
      </c>
      <c r="D2127" s="52" t="s">
        <v>248</v>
      </c>
      <c r="E2127" s="52" t="s">
        <v>635</v>
      </c>
      <c r="F2127" s="52" t="s">
        <v>581</v>
      </c>
      <c r="G2127" s="195" t="s">
        <v>276</v>
      </c>
      <c r="H2127" s="195">
        <v>8.8699009999999995E-2</v>
      </c>
      <c r="I2127" s="195">
        <v>-4.03448E-2</v>
      </c>
      <c r="J2127" s="195">
        <v>-3.9499600000000003E-2</v>
      </c>
      <c r="K2127" s="195">
        <v>-4.8312599999999997E-2</v>
      </c>
      <c r="L2127" s="195">
        <v>-6.7024799999999995E-2</v>
      </c>
      <c r="M2127" s="195">
        <v>-0.14641560000000001</v>
      </c>
      <c r="N2127" s="195">
        <v>-3.4561599999999998E-2</v>
      </c>
    </row>
    <row r="2128" spans="1:14" hidden="1" x14ac:dyDescent="0.35">
      <c r="A2128" s="52" t="s">
        <v>271</v>
      </c>
      <c r="B2128" s="52" t="s">
        <v>37</v>
      </c>
      <c r="C2128" s="52" t="s">
        <v>248</v>
      </c>
      <c r="D2128" s="52" t="s">
        <v>248</v>
      </c>
      <c r="E2128" s="52" t="s">
        <v>635</v>
      </c>
      <c r="F2128" s="52" t="s">
        <v>581</v>
      </c>
      <c r="G2128" s="195" t="s">
        <v>277</v>
      </c>
      <c r="H2128" s="195">
        <v>0</v>
      </c>
      <c r="I2128" s="195">
        <v>1.4734970000000001</v>
      </c>
      <c r="J2128" s="195">
        <v>0.18562200000000001</v>
      </c>
      <c r="K2128" s="195">
        <v>0.20470920000000001</v>
      </c>
      <c r="L2128" s="195">
        <v>0.51899600000000001</v>
      </c>
      <c r="M2128" s="195">
        <v>0</v>
      </c>
      <c r="N2128" s="195">
        <v>0</v>
      </c>
    </row>
    <row r="2129" spans="1:14" hidden="1" x14ac:dyDescent="0.35">
      <c r="A2129" s="52" t="s">
        <v>271</v>
      </c>
      <c r="B2129" s="52" t="s">
        <v>37</v>
      </c>
      <c r="C2129" s="52" t="s">
        <v>248</v>
      </c>
      <c r="D2129" s="52" t="s">
        <v>248</v>
      </c>
      <c r="E2129" s="52" t="s">
        <v>635</v>
      </c>
      <c r="F2129" s="52" t="s">
        <v>581</v>
      </c>
      <c r="G2129" s="195" t="s">
        <v>278</v>
      </c>
      <c r="H2129" s="195">
        <v>0</v>
      </c>
      <c r="I2129" s="195">
        <v>1.6310000000000001E-3</v>
      </c>
      <c r="J2129" s="195">
        <v>0.18827379999999999</v>
      </c>
      <c r="K2129" s="195">
        <v>0.20892920000000001</v>
      </c>
      <c r="L2129" s="195">
        <v>0.13505500000000001</v>
      </c>
      <c r="M2129" s="195">
        <v>0</v>
      </c>
      <c r="N2129" s="195"/>
    </row>
    <row r="2130" spans="1:14" hidden="1" x14ac:dyDescent="0.35">
      <c r="A2130" s="52" t="s">
        <v>271</v>
      </c>
      <c r="B2130" s="52" t="s">
        <v>37</v>
      </c>
      <c r="C2130" s="52" t="s">
        <v>248</v>
      </c>
      <c r="D2130" s="52" t="s">
        <v>248</v>
      </c>
      <c r="E2130" s="52" t="s">
        <v>635</v>
      </c>
      <c r="F2130" s="52" t="s">
        <v>581</v>
      </c>
      <c r="G2130" s="195" t="s">
        <v>279</v>
      </c>
      <c r="H2130" s="195">
        <v>0.176255</v>
      </c>
      <c r="I2130" s="195">
        <v>0.32397140000000002</v>
      </c>
      <c r="J2130" s="195">
        <v>0.4813076</v>
      </c>
      <c r="K2130" s="195">
        <v>0.45111600000000002</v>
      </c>
      <c r="L2130" s="195">
        <v>0.53020120000000004</v>
      </c>
      <c r="M2130" s="195">
        <v>0.40535860000000001</v>
      </c>
      <c r="N2130" s="195">
        <v>0.2878078</v>
      </c>
    </row>
    <row r="2131" spans="1:14" hidden="1" x14ac:dyDescent="0.35">
      <c r="A2131" s="52" t="s">
        <v>271</v>
      </c>
      <c r="B2131" s="52" t="s">
        <v>37</v>
      </c>
      <c r="C2131" s="52" t="s">
        <v>248</v>
      </c>
      <c r="D2131" s="52" t="s">
        <v>248</v>
      </c>
      <c r="E2131" s="52" t="s">
        <v>635</v>
      </c>
      <c r="F2131" s="52" t="s">
        <v>26</v>
      </c>
      <c r="G2131" s="195" t="s">
        <v>275</v>
      </c>
      <c r="H2131" s="195">
        <v>-6.4999999999999994E-5</v>
      </c>
      <c r="I2131" s="195">
        <v>-3.0200000000000002E-4</v>
      </c>
      <c r="J2131" s="195">
        <v>-2.13E-4</v>
      </c>
      <c r="K2131" s="195">
        <v>-3.0499999999999999E-4</v>
      </c>
      <c r="L2131" s="195">
        <v>-7.1980000000000004E-4</v>
      </c>
      <c r="M2131" s="195">
        <v>-5.5559999999999995E-4</v>
      </c>
      <c r="N2131" s="195">
        <v>-4.2559999999999999E-4</v>
      </c>
    </row>
    <row r="2132" spans="1:14" hidden="1" x14ac:dyDescent="0.35">
      <c r="A2132" s="52" t="s">
        <v>271</v>
      </c>
      <c r="B2132" s="52" t="s">
        <v>37</v>
      </c>
      <c r="C2132" s="52" t="s">
        <v>248</v>
      </c>
      <c r="D2132" s="52" t="s">
        <v>248</v>
      </c>
      <c r="E2132" s="52" t="s">
        <v>635</v>
      </c>
      <c r="F2132" s="52" t="s">
        <v>26</v>
      </c>
      <c r="G2132" s="195" t="s">
        <v>276</v>
      </c>
      <c r="H2132" s="195">
        <v>-1.8E-5</v>
      </c>
      <c r="I2132" s="195">
        <v>-8.1000000000000004E-5</v>
      </c>
      <c r="J2132" s="195">
        <v>-5.6799999999999998E-5</v>
      </c>
      <c r="K2132" s="195">
        <v>-8.0599999999999994E-5</v>
      </c>
      <c r="L2132" s="195">
        <v>-1.92E-4</v>
      </c>
      <c r="M2132" s="195">
        <v>-1.474E-4</v>
      </c>
      <c r="N2132" s="195">
        <v>-1.136E-4</v>
      </c>
    </row>
    <row r="2133" spans="1:14" hidden="1" x14ac:dyDescent="0.35">
      <c r="A2133" s="52" t="s">
        <v>271</v>
      </c>
      <c r="B2133" s="52" t="s">
        <v>37</v>
      </c>
      <c r="C2133" s="52" t="s">
        <v>248</v>
      </c>
      <c r="D2133" s="52" t="s">
        <v>248</v>
      </c>
      <c r="E2133" s="52" t="s">
        <v>635</v>
      </c>
      <c r="F2133" s="52" t="s">
        <v>26</v>
      </c>
      <c r="G2133" s="195" t="s">
        <v>279</v>
      </c>
      <c r="H2133" s="195">
        <v>1.846E-3</v>
      </c>
      <c r="I2133" s="195">
        <v>3.1350000000000002E-3</v>
      </c>
      <c r="J2133" s="195">
        <v>4.7888000000000002E-3</v>
      </c>
      <c r="K2133" s="195">
        <v>4.4884E-3</v>
      </c>
      <c r="L2133" s="195">
        <v>5.3546000000000002E-3</v>
      </c>
      <c r="M2133" s="195">
        <v>4.4067999999999998E-3</v>
      </c>
      <c r="N2133" s="195">
        <v>3.4767999999999999E-3</v>
      </c>
    </row>
    <row r="2134" spans="1:14" hidden="1" x14ac:dyDescent="0.35">
      <c r="A2134" s="52" t="s">
        <v>271</v>
      </c>
      <c r="B2134" s="52" t="s">
        <v>37</v>
      </c>
      <c r="C2134" s="52" t="s">
        <v>61</v>
      </c>
      <c r="D2134" s="52" t="s">
        <v>62</v>
      </c>
      <c r="E2134" s="52" t="s">
        <v>584</v>
      </c>
      <c r="F2134" s="52" t="s">
        <v>581</v>
      </c>
      <c r="G2134" s="195" t="s">
        <v>275</v>
      </c>
      <c r="H2134" s="195">
        <v>0</v>
      </c>
      <c r="I2134" s="195"/>
      <c r="J2134" s="195">
        <v>0</v>
      </c>
      <c r="K2134" s="195">
        <v>0</v>
      </c>
      <c r="L2134" s="195">
        <v>0</v>
      </c>
      <c r="M2134" s="195">
        <v>0</v>
      </c>
      <c r="N2134" s="195">
        <v>0</v>
      </c>
    </row>
    <row r="2135" spans="1:14" hidden="1" x14ac:dyDescent="0.35">
      <c r="A2135" s="52" t="s">
        <v>271</v>
      </c>
      <c r="B2135" s="52" t="s">
        <v>37</v>
      </c>
      <c r="C2135" s="52" t="s">
        <v>109</v>
      </c>
      <c r="D2135" s="52" t="s">
        <v>109</v>
      </c>
      <c r="E2135" s="52" t="s">
        <v>584</v>
      </c>
      <c r="F2135" s="52" t="s">
        <v>581</v>
      </c>
      <c r="G2135" s="195" t="s">
        <v>275</v>
      </c>
      <c r="H2135" s="195">
        <v>0</v>
      </c>
      <c r="I2135" s="195"/>
      <c r="J2135" s="195">
        <v>0</v>
      </c>
      <c r="K2135" s="195">
        <v>0</v>
      </c>
      <c r="L2135" s="195">
        <v>0</v>
      </c>
      <c r="M2135" s="195">
        <v>0</v>
      </c>
      <c r="N2135" s="195">
        <v>0</v>
      </c>
    </row>
    <row r="2136" spans="1:14" hidden="1" x14ac:dyDescent="0.35">
      <c r="A2136" s="52" t="s">
        <v>271</v>
      </c>
      <c r="B2136" s="52" t="s">
        <v>37</v>
      </c>
      <c r="C2136" s="52" t="s">
        <v>318</v>
      </c>
      <c r="D2136" s="52" t="s">
        <v>318</v>
      </c>
      <c r="E2136" s="52" t="s">
        <v>584</v>
      </c>
      <c r="F2136" s="52" t="s">
        <v>581</v>
      </c>
      <c r="G2136" s="195" t="s">
        <v>275</v>
      </c>
      <c r="H2136" s="195">
        <v>0</v>
      </c>
      <c r="I2136" s="195"/>
      <c r="J2136" s="195"/>
      <c r="K2136" s="195"/>
      <c r="L2136" s="195"/>
      <c r="M2136" s="195"/>
      <c r="N2136" s="195"/>
    </row>
    <row r="2137" spans="1:14" hidden="1" x14ac:dyDescent="0.35">
      <c r="A2137" s="52" t="s">
        <v>271</v>
      </c>
      <c r="B2137" s="52" t="s">
        <v>37</v>
      </c>
      <c r="C2137" s="52" t="s">
        <v>318</v>
      </c>
      <c r="D2137" s="52" t="s">
        <v>318</v>
      </c>
      <c r="E2137" s="52" t="s">
        <v>584</v>
      </c>
      <c r="F2137" s="52" t="s">
        <v>581</v>
      </c>
      <c r="G2137" s="195" t="s">
        <v>276</v>
      </c>
      <c r="H2137" s="195">
        <v>0</v>
      </c>
      <c r="I2137" s="195"/>
      <c r="J2137" s="195"/>
      <c r="K2137" s="195"/>
      <c r="L2137" s="195"/>
      <c r="M2137" s="195"/>
      <c r="N2137" s="195"/>
    </row>
    <row r="2138" spans="1:14" hidden="1" x14ac:dyDescent="0.35">
      <c r="A2138" s="52" t="s">
        <v>271</v>
      </c>
      <c r="B2138" s="52" t="s">
        <v>37</v>
      </c>
      <c r="C2138" s="52" t="s">
        <v>109</v>
      </c>
      <c r="D2138" s="52" t="s">
        <v>109</v>
      </c>
      <c r="E2138" s="52" t="s">
        <v>584</v>
      </c>
      <c r="F2138" s="52" t="s">
        <v>581</v>
      </c>
      <c r="G2138" s="195" t="s">
        <v>276</v>
      </c>
      <c r="H2138" s="195"/>
      <c r="I2138" s="195"/>
      <c r="J2138" s="195">
        <v>0</v>
      </c>
      <c r="K2138" s="195">
        <v>0</v>
      </c>
      <c r="L2138" s="195">
        <v>0</v>
      </c>
      <c r="M2138" s="195">
        <v>0</v>
      </c>
      <c r="N2138" s="195">
        <v>0</v>
      </c>
    </row>
    <row r="2139" spans="1:14" hidden="1" x14ac:dyDescent="0.35">
      <c r="A2139" s="52" t="s">
        <v>271</v>
      </c>
      <c r="B2139" s="52" t="s">
        <v>37</v>
      </c>
      <c r="C2139" s="52" t="s">
        <v>61</v>
      </c>
      <c r="D2139" s="52" t="s">
        <v>62</v>
      </c>
      <c r="E2139" s="52" t="s">
        <v>584</v>
      </c>
      <c r="F2139" s="52" t="s">
        <v>581</v>
      </c>
      <c r="G2139" s="195" t="s">
        <v>276</v>
      </c>
      <c r="H2139" s="195"/>
      <c r="I2139" s="195"/>
      <c r="J2139" s="195">
        <v>0</v>
      </c>
      <c r="K2139" s="195">
        <v>0</v>
      </c>
      <c r="L2139" s="195">
        <v>0</v>
      </c>
      <c r="M2139" s="195">
        <v>0</v>
      </c>
      <c r="N2139" s="195">
        <v>0</v>
      </c>
    </row>
    <row r="2140" spans="1:14" hidden="1" x14ac:dyDescent="0.35">
      <c r="A2140" s="52" t="s">
        <v>271</v>
      </c>
      <c r="B2140" s="52" t="s">
        <v>37</v>
      </c>
      <c r="C2140" s="52" t="s">
        <v>109</v>
      </c>
      <c r="D2140" s="52" t="s">
        <v>109</v>
      </c>
      <c r="E2140" s="52" t="s">
        <v>584</v>
      </c>
      <c r="F2140" s="52" t="s">
        <v>581</v>
      </c>
      <c r="G2140" s="195" t="s">
        <v>278</v>
      </c>
      <c r="H2140" s="195"/>
      <c r="I2140" s="195"/>
      <c r="J2140" s="195">
        <v>0</v>
      </c>
      <c r="K2140" s="195">
        <v>0</v>
      </c>
      <c r="L2140" s="195">
        <v>0</v>
      </c>
      <c r="M2140" s="195">
        <v>0</v>
      </c>
      <c r="N2140" s="195">
        <v>0</v>
      </c>
    </row>
    <row r="2141" spans="1:14" hidden="1" x14ac:dyDescent="0.35">
      <c r="A2141" s="52" t="s">
        <v>271</v>
      </c>
      <c r="B2141" s="52" t="s">
        <v>37</v>
      </c>
      <c r="C2141" s="52" t="s">
        <v>318</v>
      </c>
      <c r="D2141" s="52" t="s">
        <v>318</v>
      </c>
      <c r="E2141" s="52" t="s">
        <v>584</v>
      </c>
      <c r="F2141" s="52" t="s">
        <v>581</v>
      </c>
      <c r="G2141" s="195" t="s">
        <v>278</v>
      </c>
      <c r="H2141" s="195">
        <v>0</v>
      </c>
      <c r="I2141" s="195"/>
      <c r="J2141" s="195"/>
      <c r="K2141" s="195"/>
      <c r="L2141" s="195"/>
      <c r="M2141" s="195"/>
      <c r="N2141" s="195"/>
    </row>
    <row r="2142" spans="1:14" hidden="1" x14ac:dyDescent="0.35">
      <c r="A2142" s="52" t="s">
        <v>271</v>
      </c>
      <c r="B2142" s="52" t="s">
        <v>37</v>
      </c>
      <c r="C2142" s="52" t="s">
        <v>61</v>
      </c>
      <c r="D2142" s="52" t="s">
        <v>62</v>
      </c>
      <c r="E2142" s="52" t="s">
        <v>584</v>
      </c>
      <c r="F2142" s="52" t="s">
        <v>581</v>
      </c>
      <c r="G2142" s="195" t="s">
        <v>278</v>
      </c>
      <c r="H2142" s="195"/>
      <c r="I2142" s="195"/>
      <c r="J2142" s="195">
        <v>0</v>
      </c>
      <c r="K2142" s="195">
        <v>0</v>
      </c>
      <c r="L2142" s="195">
        <v>0</v>
      </c>
      <c r="M2142" s="195">
        <v>0</v>
      </c>
      <c r="N2142" s="195">
        <v>0</v>
      </c>
    </row>
    <row r="2143" spans="1:14" hidden="1" x14ac:dyDescent="0.35">
      <c r="A2143" s="52" t="s">
        <v>271</v>
      </c>
      <c r="B2143" s="52" t="s">
        <v>37</v>
      </c>
      <c r="C2143" s="52" t="s">
        <v>318</v>
      </c>
      <c r="D2143" s="52" t="s">
        <v>318</v>
      </c>
      <c r="E2143" s="52" t="s">
        <v>584</v>
      </c>
      <c r="F2143" s="52" t="s">
        <v>26</v>
      </c>
      <c r="G2143" s="195" t="s">
        <v>275</v>
      </c>
      <c r="H2143" s="195">
        <v>0</v>
      </c>
      <c r="I2143" s="195"/>
      <c r="J2143" s="195"/>
      <c r="K2143" s="195"/>
      <c r="L2143" s="195"/>
      <c r="M2143" s="195"/>
      <c r="N2143" s="195"/>
    </row>
    <row r="2144" spans="1:14" hidden="1" x14ac:dyDescent="0.35">
      <c r="A2144" s="52" t="s">
        <v>271</v>
      </c>
      <c r="B2144" s="52" t="s">
        <v>37</v>
      </c>
      <c r="C2144" s="52" t="s">
        <v>318</v>
      </c>
      <c r="D2144" s="52" t="s">
        <v>318</v>
      </c>
      <c r="E2144" s="52" t="s">
        <v>584</v>
      </c>
      <c r="F2144" s="52" t="s">
        <v>26</v>
      </c>
      <c r="G2144" s="195" t="s">
        <v>276</v>
      </c>
      <c r="H2144" s="195">
        <v>0</v>
      </c>
      <c r="I2144" s="195"/>
      <c r="J2144" s="195"/>
      <c r="K2144" s="195"/>
      <c r="L2144" s="195"/>
      <c r="M2144" s="195"/>
      <c r="N2144" s="195"/>
    </row>
    <row r="2145" spans="1:14" hidden="1" x14ac:dyDescent="0.35">
      <c r="A2145" s="52" t="s">
        <v>271</v>
      </c>
      <c r="B2145" s="52" t="s">
        <v>37</v>
      </c>
      <c r="C2145" s="52" t="s">
        <v>318</v>
      </c>
      <c r="D2145" s="52" t="s">
        <v>318</v>
      </c>
      <c r="E2145" s="52" t="s">
        <v>584</v>
      </c>
      <c r="F2145" s="52" t="s">
        <v>26</v>
      </c>
      <c r="G2145" s="195" t="s">
        <v>278</v>
      </c>
      <c r="H2145" s="195">
        <v>0</v>
      </c>
      <c r="I2145" s="195"/>
      <c r="J2145" s="195"/>
      <c r="K2145" s="195"/>
      <c r="L2145" s="195"/>
      <c r="M2145" s="195"/>
      <c r="N2145" s="195"/>
    </row>
    <row r="2146" spans="1:14" hidden="1" x14ac:dyDescent="0.35">
      <c r="A2146" s="52" t="s">
        <v>271</v>
      </c>
      <c r="B2146" s="52" t="s">
        <v>34</v>
      </c>
      <c r="C2146" s="52" t="s">
        <v>33</v>
      </c>
      <c r="D2146" s="52" t="s">
        <v>33</v>
      </c>
      <c r="E2146" s="52" t="s">
        <v>605</v>
      </c>
      <c r="F2146" s="52" t="s">
        <v>581</v>
      </c>
      <c r="G2146" s="195" t="s">
        <v>275</v>
      </c>
      <c r="H2146" s="195">
        <v>146.7757</v>
      </c>
      <c r="I2146" s="195">
        <v>37.646680000000003</v>
      </c>
      <c r="J2146" s="195">
        <v>27.676400000000001</v>
      </c>
      <c r="K2146" s="195">
        <v>23.64594</v>
      </c>
      <c r="L2146" s="195">
        <v>18.748360000000002</v>
      </c>
      <c r="M2146" s="195">
        <v>20.377099999999999</v>
      </c>
      <c r="N2146" s="195">
        <v>18.660319999999999</v>
      </c>
    </row>
    <row r="2147" spans="1:14" hidden="1" x14ac:dyDescent="0.35">
      <c r="A2147" s="52" t="s">
        <v>271</v>
      </c>
      <c r="B2147" s="52" t="s">
        <v>34</v>
      </c>
      <c r="C2147" s="52" t="s">
        <v>33</v>
      </c>
      <c r="D2147" s="52" t="s">
        <v>33</v>
      </c>
      <c r="E2147" s="52" t="s">
        <v>605</v>
      </c>
      <c r="F2147" s="52" t="s">
        <v>581</v>
      </c>
      <c r="G2147" s="195" t="s">
        <v>276</v>
      </c>
      <c r="H2147" s="195">
        <v>50.065829999999998</v>
      </c>
      <c r="I2147" s="195">
        <v>12.54889</v>
      </c>
      <c r="J2147" s="195">
        <v>9.0390569999999997</v>
      </c>
      <c r="K2147" s="195">
        <v>7.5681459999999996</v>
      </c>
      <c r="L2147" s="195">
        <v>5.9870549999999998</v>
      </c>
      <c r="M2147" s="195">
        <v>6.5155770000000004</v>
      </c>
      <c r="N2147" s="195">
        <v>5.9659820000000003</v>
      </c>
    </row>
    <row r="2148" spans="1:14" hidden="1" x14ac:dyDescent="0.35">
      <c r="A2148" s="52" t="s">
        <v>271</v>
      </c>
      <c r="B2148" s="52" t="s">
        <v>34</v>
      </c>
      <c r="C2148" s="52" t="s">
        <v>33</v>
      </c>
      <c r="D2148" s="52" t="s">
        <v>33</v>
      </c>
      <c r="E2148" s="52" t="s">
        <v>605</v>
      </c>
      <c r="F2148" s="52" t="s">
        <v>581</v>
      </c>
      <c r="G2148" s="195" t="s">
        <v>279</v>
      </c>
      <c r="H2148" s="195">
        <v>43.603400000000001</v>
      </c>
      <c r="I2148" s="195">
        <v>46.220010000000002</v>
      </c>
      <c r="J2148" s="195">
        <v>44.954230000000003</v>
      </c>
      <c r="K2148" s="195">
        <v>40.896599999999999</v>
      </c>
      <c r="L2148" s="195">
        <v>39.200159999999997</v>
      </c>
      <c r="M2148" s="195">
        <v>31.61317</v>
      </c>
      <c r="N2148" s="195">
        <v>28.794139999999999</v>
      </c>
    </row>
    <row r="2149" spans="1:14" hidden="1" x14ac:dyDescent="0.35">
      <c r="A2149" s="52" t="s">
        <v>271</v>
      </c>
      <c r="B2149" s="52" t="s">
        <v>34</v>
      </c>
      <c r="C2149" s="52" t="s">
        <v>33</v>
      </c>
      <c r="D2149" s="52" t="s">
        <v>33</v>
      </c>
      <c r="E2149" s="52" t="s">
        <v>605</v>
      </c>
      <c r="F2149" s="52" t="s">
        <v>26</v>
      </c>
      <c r="G2149" s="195" t="s">
        <v>275</v>
      </c>
      <c r="H2149" s="195">
        <v>-248.39869999999999</v>
      </c>
      <c r="I2149" s="195">
        <v>-127.19070000000001</v>
      </c>
      <c r="J2149" s="195">
        <v>-188.32820000000001</v>
      </c>
      <c r="K2149" s="195">
        <v>-212.5446</v>
      </c>
      <c r="L2149" s="195">
        <v>-237.09309999999999</v>
      </c>
      <c r="M2149" s="195">
        <v>-178.9982</v>
      </c>
      <c r="N2149" s="195">
        <v>-169.11799999999999</v>
      </c>
    </row>
    <row r="2150" spans="1:14" hidden="1" x14ac:dyDescent="0.35">
      <c r="A2150" s="52" t="s">
        <v>271</v>
      </c>
      <c r="B2150" s="52" t="s">
        <v>34</v>
      </c>
      <c r="C2150" s="52" t="s">
        <v>33</v>
      </c>
      <c r="D2150" s="52" t="s">
        <v>33</v>
      </c>
      <c r="E2150" s="52" t="s">
        <v>605</v>
      </c>
      <c r="F2150" s="52" t="s">
        <v>26</v>
      </c>
      <c r="G2150" s="195" t="s">
        <v>276</v>
      </c>
      <c r="H2150" s="195">
        <v>-52.834180000000003</v>
      </c>
      <c r="I2150" s="195">
        <v>-87.789599999999993</v>
      </c>
      <c r="J2150" s="195">
        <v>-108.9208</v>
      </c>
      <c r="K2150" s="195">
        <v>-94.499020000000002</v>
      </c>
      <c r="L2150" s="195">
        <v>-80.450710000000001</v>
      </c>
      <c r="M2150" s="195">
        <v>-58.360889999999998</v>
      </c>
      <c r="N2150" s="195">
        <v>-55.096429999999998</v>
      </c>
    </row>
    <row r="2151" spans="1:14" hidden="1" x14ac:dyDescent="0.35">
      <c r="A2151" s="52" t="s">
        <v>271</v>
      </c>
      <c r="B2151" s="52" t="s">
        <v>34</v>
      </c>
      <c r="C2151" s="52" t="s">
        <v>33</v>
      </c>
      <c r="D2151" s="52" t="s">
        <v>33</v>
      </c>
      <c r="E2151" s="52" t="s">
        <v>605</v>
      </c>
      <c r="F2151" s="52" t="s">
        <v>26</v>
      </c>
      <c r="G2151" s="195" t="s">
        <v>277</v>
      </c>
      <c r="H2151" s="195">
        <v>211.6696</v>
      </c>
      <c r="I2151" s="195">
        <v>8.4731690000000004</v>
      </c>
      <c r="J2151" s="195">
        <v>0</v>
      </c>
      <c r="K2151" s="195">
        <v>0</v>
      </c>
      <c r="L2151" s="195"/>
      <c r="M2151" s="195">
        <v>0</v>
      </c>
      <c r="N2151" s="195">
        <v>0</v>
      </c>
    </row>
    <row r="2152" spans="1:14" hidden="1" x14ac:dyDescent="0.35">
      <c r="A2152" s="52" t="s">
        <v>271</v>
      </c>
      <c r="B2152" s="52" t="s">
        <v>34</v>
      </c>
      <c r="C2152" s="52" t="s">
        <v>33</v>
      </c>
      <c r="D2152" s="52" t="s">
        <v>33</v>
      </c>
      <c r="E2152" s="52" t="s">
        <v>605</v>
      </c>
      <c r="F2152" s="52" t="s">
        <v>26</v>
      </c>
      <c r="G2152" s="195" t="s">
        <v>278</v>
      </c>
      <c r="H2152" s="195">
        <v>68.936049999999994</v>
      </c>
      <c r="I2152" s="195">
        <v>31.024640000000002</v>
      </c>
      <c r="J2152" s="195">
        <v>0.3052146</v>
      </c>
      <c r="K2152" s="195">
        <v>0</v>
      </c>
      <c r="L2152" s="195"/>
      <c r="M2152" s="195">
        <v>0</v>
      </c>
      <c r="N2152" s="195">
        <v>0</v>
      </c>
    </row>
    <row r="2153" spans="1:14" hidden="1" x14ac:dyDescent="0.35">
      <c r="A2153" s="52" t="s">
        <v>271</v>
      </c>
      <c r="B2153" s="52" t="s">
        <v>34</v>
      </c>
      <c r="C2153" s="52" t="s">
        <v>33</v>
      </c>
      <c r="D2153" s="52" t="s">
        <v>33</v>
      </c>
      <c r="E2153" s="52" t="s">
        <v>605</v>
      </c>
      <c r="F2153" s="52" t="s">
        <v>26</v>
      </c>
      <c r="G2153" s="195" t="s">
        <v>279</v>
      </c>
      <c r="H2153" s="195">
        <v>576.69000000000005</v>
      </c>
      <c r="I2153" s="195">
        <v>624.11159999999995</v>
      </c>
      <c r="J2153" s="195">
        <v>649.19529999999997</v>
      </c>
      <c r="K2153" s="195">
        <v>613.99549999999999</v>
      </c>
      <c r="L2153" s="195">
        <v>575.82979999999998</v>
      </c>
      <c r="M2153" s="195">
        <v>461.43560000000002</v>
      </c>
      <c r="N2153" s="195">
        <v>419.01369999999997</v>
      </c>
    </row>
    <row r="2154" spans="1:14" hidden="1" x14ac:dyDescent="0.35">
      <c r="A2154" s="52" t="s">
        <v>271</v>
      </c>
      <c r="B2154" s="52" t="s">
        <v>34</v>
      </c>
      <c r="C2154" s="52" t="s">
        <v>33</v>
      </c>
      <c r="D2154" s="52" t="s">
        <v>33</v>
      </c>
      <c r="E2154" s="52" t="s">
        <v>604</v>
      </c>
      <c r="F2154" s="52" t="s">
        <v>581</v>
      </c>
      <c r="G2154" s="195" t="s">
        <v>275</v>
      </c>
      <c r="H2154" s="195">
        <v>131.72309999999999</v>
      </c>
      <c r="I2154" s="195">
        <v>64.420010000000005</v>
      </c>
      <c r="J2154" s="195">
        <v>62.728929999999998</v>
      </c>
      <c r="K2154" s="195">
        <v>50.845410000000001</v>
      </c>
      <c r="L2154" s="195">
        <v>30.248270000000002</v>
      </c>
      <c r="M2154" s="195">
        <v>31.495290000000001</v>
      </c>
      <c r="N2154" s="195">
        <v>27.51848</v>
      </c>
    </row>
    <row r="2155" spans="1:14" hidden="1" x14ac:dyDescent="0.35">
      <c r="A2155" s="52" t="s">
        <v>271</v>
      </c>
      <c r="B2155" s="52" t="s">
        <v>34</v>
      </c>
      <c r="C2155" s="52" t="s">
        <v>33</v>
      </c>
      <c r="D2155" s="52" t="s">
        <v>33</v>
      </c>
      <c r="E2155" s="52" t="s">
        <v>604</v>
      </c>
      <c r="F2155" s="52" t="s">
        <v>581</v>
      </c>
      <c r="G2155" s="195" t="s">
        <v>276</v>
      </c>
      <c r="H2155" s="195">
        <v>47.732889999999998</v>
      </c>
      <c r="I2155" s="195">
        <v>-18.661059999999999</v>
      </c>
      <c r="J2155" s="195">
        <v>-7.648428</v>
      </c>
      <c r="K2155" s="195">
        <v>2.4374630000000002</v>
      </c>
      <c r="L2155" s="195">
        <v>8.22851</v>
      </c>
      <c r="M2155" s="195">
        <v>10.13552</v>
      </c>
      <c r="N2155" s="195">
        <v>9.101585</v>
      </c>
    </row>
    <row r="2156" spans="1:14" hidden="1" x14ac:dyDescent="0.35">
      <c r="A2156" s="52" t="s">
        <v>271</v>
      </c>
      <c r="B2156" s="52" t="s">
        <v>34</v>
      </c>
      <c r="C2156" s="52" t="s">
        <v>33</v>
      </c>
      <c r="D2156" s="52" t="s">
        <v>33</v>
      </c>
      <c r="E2156" s="52" t="s">
        <v>604</v>
      </c>
      <c r="F2156" s="52" t="s">
        <v>581</v>
      </c>
      <c r="G2156" s="195" t="s">
        <v>277</v>
      </c>
      <c r="H2156" s="195">
        <v>104.887</v>
      </c>
      <c r="I2156" s="195">
        <v>4.3659189999999999</v>
      </c>
      <c r="J2156" s="195">
        <v>0.59096479999999996</v>
      </c>
      <c r="K2156" s="195">
        <v>0.12610840000000001</v>
      </c>
      <c r="L2156" s="195"/>
      <c r="M2156" s="195">
        <v>0</v>
      </c>
      <c r="N2156" s="195">
        <v>0</v>
      </c>
    </row>
    <row r="2157" spans="1:14" hidden="1" x14ac:dyDescent="0.35">
      <c r="A2157" s="52" t="s">
        <v>271</v>
      </c>
      <c r="B2157" s="52" t="s">
        <v>34</v>
      </c>
      <c r="C2157" s="52" t="s">
        <v>33</v>
      </c>
      <c r="D2157" s="52" t="s">
        <v>33</v>
      </c>
      <c r="E2157" s="52" t="s">
        <v>604</v>
      </c>
      <c r="F2157" s="52" t="s">
        <v>581</v>
      </c>
      <c r="G2157" s="195" t="s">
        <v>278</v>
      </c>
      <c r="H2157" s="195">
        <v>50.413699999999999</v>
      </c>
      <c r="I2157" s="195">
        <v>13.53012</v>
      </c>
      <c r="J2157" s="195">
        <v>2.909014</v>
      </c>
      <c r="K2157" s="195">
        <v>0.72880299999999998</v>
      </c>
      <c r="L2157" s="195"/>
      <c r="M2157" s="195">
        <v>0</v>
      </c>
      <c r="N2157" s="195">
        <v>0</v>
      </c>
    </row>
    <row r="2158" spans="1:14" hidden="1" x14ac:dyDescent="0.35">
      <c r="A2158" s="52" t="s">
        <v>271</v>
      </c>
      <c r="B2158" s="52" t="s">
        <v>34</v>
      </c>
      <c r="C2158" s="52" t="s">
        <v>33</v>
      </c>
      <c r="D2158" s="52" t="s">
        <v>33</v>
      </c>
      <c r="E2158" s="52" t="s">
        <v>604</v>
      </c>
      <c r="F2158" s="52" t="s">
        <v>581</v>
      </c>
      <c r="G2158" s="195" t="s">
        <v>279</v>
      </c>
      <c r="H2158" s="195">
        <v>86.319749999999999</v>
      </c>
      <c r="I2158" s="195">
        <v>77.546689999999998</v>
      </c>
      <c r="J2158" s="195">
        <v>97.030330000000006</v>
      </c>
      <c r="K2158" s="195">
        <v>95.621660000000006</v>
      </c>
      <c r="L2158" s="195">
        <v>87.632320000000007</v>
      </c>
      <c r="M2158" s="195">
        <v>66.094089999999994</v>
      </c>
      <c r="N2158" s="195">
        <v>57.942059999999998</v>
      </c>
    </row>
    <row r="2159" spans="1:14" hidden="1" x14ac:dyDescent="0.35">
      <c r="A2159" s="52" t="s">
        <v>271</v>
      </c>
      <c r="B2159" s="52" t="s">
        <v>34</v>
      </c>
      <c r="C2159" s="52" t="s">
        <v>33</v>
      </c>
      <c r="D2159" s="52" t="s">
        <v>33</v>
      </c>
      <c r="E2159" s="52" t="s">
        <v>604</v>
      </c>
      <c r="F2159" s="52" t="s">
        <v>26</v>
      </c>
      <c r="G2159" s="195" t="s">
        <v>275</v>
      </c>
      <c r="H2159" s="195">
        <v>-12.38682</v>
      </c>
      <c r="I2159" s="195">
        <v>-42.553199999999997</v>
      </c>
      <c r="J2159" s="195">
        <v>-81.067830000000001</v>
      </c>
      <c r="K2159" s="195">
        <v>-87.565250000000006</v>
      </c>
      <c r="L2159" s="195">
        <v>-86.994789999999995</v>
      </c>
      <c r="M2159" s="195">
        <v>-61.847369999999998</v>
      </c>
      <c r="N2159" s="195">
        <v>-56.271180000000001</v>
      </c>
    </row>
    <row r="2160" spans="1:14" hidden="1" x14ac:dyDescent="0.35">
      <c r="A2160" s="52" t="s">
        <v>271</v>
      </c>
      <c r="B2160" s="52" t="s">
        <v>34</v>
      </c>
      <c r="C2160" s="52" t="s">
        <v>33</v>
      </c>
      <c r="D2160" s="52" t="s">
        <v>33</v>
      </c>
      <c r="E2160" s="52" t="s">
        <v>604</v>
      </c>
      <c r="F2160" s="52" t="s">
        <v>26</v>
      </c>
      <c r="G2160" s="195" t="s">
        <v>276</v>
      </c>
      <c r="H2160" s="195">
        <v>-4.1289389999999999</v>
      </c>
      <c r="I2160" s="195">
        <v>-14.1844</v>
      </c>
      <c r="J2160" s="195">
        <v>-27.02261</v>
      </c>
      <c r="K2160" s="195">
        <v>-29.188420000000001</v>
      </c>
      <c r="L2160" s="195">
        <v>-28.998259999999998</v>
      </c>
      <c r="M2160" s="195">
        <v>-20.615790000000001</v>
      </c>
      <c r="N2160" s="195">
        <v>-18.757059999999999</v>
      </c>
    </row>
    <row r="2161" spans="1:14" hidden="1" x14ac:dyDescent="0.35">
      <c r="A2161" s="52" t="s">
        <v>271</v>
      </c>
      <c r="B2161" s="52" t="s">
        <v>34</v>
      </c>
      <c r="C2161" s="52" t="s">
        <v>33</v>
      </c>
      <c r="D2161" s="52" t="s">
        <v>33</v>
      </c>
      <c r="E2161" s="52" t="s">
        <v>604</v>
      </c>
      <c r="F2161" s="52" t="s">
        <v>26</v>
      </c>
      <c r="G2161" s="195" t="s">
        <v>279</v>
      </c>
      <c r="H2161" s="195">
        <v>196.40950000000001</v>
      </c>
      <c r="I2161" s="195">
        <v>177.45519999999999</v>
      </c>
      <c r="J2161" s="195">
        <v>224.03299999999999</v>
      </c>
      <c r="K2161" s="195">
        <v>224.0333</v>
      </c>
      <c r="L2161" s="195">
        <v>202.8099</v>
      </c>
      <c r="M2161" s="195">
        <v>153.55799999999999</v>
      </c>
      <c r="N2161" s="195">
        <v>134.6908</v>
      </c>
    </row>
    <row r="2162" spans="1:14" hidden="1" x14ac:dyDescent="0.35">
      <c r="A2162" s="52" t="s">
        <v>271</v>
      </c>
      <c r="B2162" s="52" t="s">
        <v>34</v>
      </c>
      <c r="C2162" s="52" t="s">
        <v>33</v>
      </c>
      <c r="D2162" s="52" t="s">
        <v>33</v>
      </c>
      <c r="E2162" s="52" t="s">
        <v>636</v>
      </c>
      <c r="F2162" s="52" t="s">
        <v>581</v>
      </c>
      <c r="G2162" s="195" t="s">
        <v>275</v>
      </c>
      <c r="H2162" s="195">
        <v>-39.379719999999999</v>
      </c>
      <c r="I2162" s="195">
        <v>26.308050000000001</v>
      </c>
      <c r="J2162" s="195">
        <v>19.13815</v>
      </c>
      <c r="K2162" s="195">
        <v>10.1448</v>
      </c>
      <c r="L2162" s="195">
        <v>2.9947919999999999</v>
      </c>
      <c r="M2162" s="195">
        <v>3.352897</v>
      </c>
      <c r="N2162" s="195">
        <v>3.0834950000000001</v>
      </c>
    </row>
    <row r="2163" spans="1:14" hidden="1" x14ac:dyDescent="0.35">
      <c r="A2163" s="52" t="s">
        <v>271</v>
      </c>
      <c r="B2163" s="52" t="s">
        <v>34</v>
      </c>
      <c r="C2163" s="52" t="s">
        <v>33</v>
      </c>
      <c r="D2163" s="52" t="s">
        <v>33</v>
      </c>
      <c r="E2163" s="52" t="s">
        <v>636</v>
      </c>
      <c r="F2163" s="52" t="s">
        <v>581</v>
      </c>
      <c r="G2163" s="195" t="s">
        <v>276</v>
      </c>
      <c r="H2163" s="195">
        <v>-12.792009999999999</v>
      </c>
      <c r="I2163" s="195">
        <v>-16.59731</v>
      </c>
      <c r="J2163" s="195">
        <v>-13.251110000000001</v>
      </c>
      <c r="K2163" s="195">
        <v>-5.178617</v>
      </c>
      <c r="L2163" s="195">
        <v>0.89917179999999997</v>
      </c>
      <c r="M2163" s="195">
        <v>0.99757370000000001</v>
      </c>
      <c r="N2163" s="195">
        <v>0.91710199999999997</v>
      </c>
    </row>
    <row r="2164" spans="1:14" hidden="1" x14ac:dyDescent="0.35">
      <c r="A2164" s="52" t="s">
        <v>271</v>
      </c>
      <c r="B2164" s="52" t="s">
        <v>34</v>
      </c>
      <c r="C2164" s="52" t="s">
        <v>33</v>
      </c>
      <c r="D2164" s="52" t="s">
        <v>33</v>
      </c>
      <c r="E2164" s="52" t="s">
        <v>636</v>
      </c>
      <c r="F2164" s="52" t="s">
        <v>581</v>
      </c>
      <c r="G2164" s="195" t="s">
        <v>277</v>
      </c>
      <c r="H2164" s="195">
        <v>108.0141</v>
      </c>
      <c r="I2164" s="195">
        <v>0</v>
      </c>
      <c r="J2164" s="195">
        <v>0</v>
      </c>
      <c r="K2164" s="195">
        <v>2.4109999999999999E-2</v>
      </c>
      <c r="L2164" s="195"/>
      <c r="M2164" s="195">
        <v>0</v>
      </c>
      <c r="N2164" s="195">
        <v>0</v>
      </c>
    </row>
    <row r="2165" spans="1:14" hidden="1" x14ac:dyDescent="0.35">
      <c r="A2165" s="52" t="s">
        <v>271</v>
      </c>
      <c r="B2165" s="52" t="s">
        <v>34</v>
      </c>
      <c r="C2165" s="52" t="s">
        <v>33</v>
      </c>
      <c r="D2165" s="52" t="s">
        <v>33</v>
      </c>
      <c r="E2165" s="52" t="s">
        <v>636</v>
      </c>
      <c r="F2165" s="52" t="s">
        <v>581</v>
      </c>
      <c r="G2165" s="195" t="s">
        <v>278</v>
      </c>
      <c r="H2165" s="195">
        <v>1.985938</v>
      </c>
      <c r="I2165" s="195">
        <v>0</v>
      </c>
      <c r="J2165" s="195"/>
      <c r="K2165" s="195"/>
      <c r="L2165" s="195"/>
      <c r="M2165" s="195"/>
      <c r="N2165" s="195"/>
    </row>
    <row r="2166" spans="1:14" hidden="1" x14ac:dyDescent="0.35">
      <c r="A2166" s="52" t="s">
        <v>271</v>
      </c>
      <c r="B2166" s="52" t="s">
        <v>34</v>
      </c>
      <c r="C2166" s="52" t="s">
        <v>33</v>
      </c>
      <c r="D2166" s="52" t="s">
        <v>33</v>
      </c>
      <c r="E2166" s="52" t="s">
        <v>636</v>
      </c>
      <c r="F2166" s="52" t="s">
        <v>581</v>
      </c>
      <c r="G2166" s="195" t="s">
        <v>279</v>
      </c>
      <c r="H2166" s="195">
        <v>13.62632</v>
      </c>
      <c r="I2166" s="195">
        <v>9.9713539999999998</v>
      </c>
      <c r="J2166" s="195">
        <v>8.0018239999999992</v>
      </c>
      <c r="K2166" s="195">
        <v>7.2021030000000001</v>
      </c>
      <c r="L2166" s="195">
        <v>7.0614460000000001</v>
      </c>
      <c r="M2166" s="195">
        <v>5.7124199999999998</v>
      </c>
      <c r="N2166" s="195">
        <v>5.2367910000000002</v>
      </c>
    </row>
    <row r="2167" spans="1:14" hidden="1" x14ac:dyDescent="0.35">
      <c r="A2167" s="52" t="s">
        <v>271</v>
      </c>
      <c r="B2167" s="52" t="s">
        <v>34</v>
      </c>
      <c r="C2167" s="52" t="s">
        <v>33</v>
      </c>
      <c r="D2167" s="52" t="s">
        <v>33</v>
      </c>
      <c r="E2167" s="52" t="s">
        <v>636</v>
      </c>
      <c r="F2167" s="52" t="s">
        <v>26</v>
      </c>
      <c r="G2167" s="195" t="s">
        <v>275</v>
      </c>
      <c r="H2167" s="195">
        <v>-1.4079649999999999</v>
      </c>
      <c r="I2167" s="195">
        <v>-4.6030860000000002</v>
      </c>
      <c r="J2167" s="195">
        <v>-5.842098</v>
      </c>
      <c r="K2167" s="195">
        <v>-5.860951</v>
      </c>
      <c r="L2167" s="195">
        <v>-6.2434510000000003</v>
      </c>
      <c r="M2167" s="195">
        <v>-4.7472719999999997</v>
      </c>
      <c r="N2167" s="195">
        <v>-4.5196389999999997</v>
      </c>
    </row>
    <row r="2168" spans="1:14" hidden="1" x14ac:dyDescent="0.35">
      <c r="A2168" s="52" t="s">
        <v>271</v>
      </c>
      <c r="B2168" s="52" t="s">
        <v>34</v>
      </c>
      <c r="C2168" s="52" t="s">
        <v>33</v>
      </c>
      <c r="D2168" s="52" t="s">
        <v>33</v>
      </c>
      <c r="E2168" s="52" t="s">
        <v>636</v>
      </c>
      <c r="F2168" s="52" t="s">
        <v>26</v>
      </c>
      <c r="G2168" s="195" t="s">
        <v>276</v>
      </c>
      <c r="H2168" s="195">
        <v>-0.50763400000000003</v>
      </c>
      <c r="I2168" s="195">
        <v>-1.534362</v>
      </c>
      <c r="J2168" s="195">
        <v>-1.844873</v>
      </c>
      <c r="K2168" s="195">
        <v>-1.7506729999999999</v>
      </c>
      <c r="L2168" s="195">
        <v>-1.864927</v>
      </c>
      <c r="M2168" s="195">
        <v>-1.4180170000000001</v>
      </c>
      <c r="N2168" s="195">
        <v>-1.3500209999999999</v>
      </c>
    </row>
    <row r="2169" spans="1:14" hidden="1" x14ac:dyDescent="0.35">
      <c r="A2169" s="52" t="s">
        <v>271</v>
      </c>
      <c r="B2169" s="52" t="s">
        <v>34</v>
      </c>
      <c r="C2169" s="52" t="s">
        <v>33</v>
      </c>
      <c r="D2169" s="52" t="s">
        <v>33</v>
      </c>
      <c r="E2169" s="52" t="s">
        <v>636</v>
      </c>
      <c r="F2169" s="52" t="s">
        <v>26</v>
      </c>
      <c r="G2169" s="195" t="s">
        <v>279</v>
      </c>
      <c r="H2169" s="195">
        <v>27.183420000000002</v>
      </c>
      <c r="I2169" s="195">
        <v>20.00074</v>
      </c>
      <c r="J2169" s="195">
        <v>16.251919999999998</v>
      </c>
      <c r="K2169" s="195">
        <v>14.84808</v>
      </c>
      <c r="L2169" s="195">
        <v>14.368359999999999</v>
      </c>
      <c r="M2169" s="195">
        <v>11.659230000000001</v>
      </c>
      <c r="N2169" s="195">
        <v>10.68871</v>
      </c>
    </row>
    <row r="2170" spans="1:14" hidden="1" x14ac:dyDescent="0.35">
      <c r="A2170" s="52" t="s">
        <v>271</v>
      </c>
      <c r="B2170" s="52" t="s">
        <v>34</v>
      </c>
      <c r="C2170" s="52" t="s">
        <v>33</v>
      </c>
      <c r="D2170" s="52" t="s">
        <v>33</v>
      </c>
      <c r="E2170" s="52" t="s">
        <v>622</v>
      </c>
      <c r="F2170" s="52" t="s">
        <v>26</v>
      </c>
      <c r="G2170" s="195" t="s">
        <v>275</v>
      </c>
      <c r="H2170" s="195">
        <v>-0.36673</v>
      </c>
      <c r="I2170" s="195">
        <v>-4.9489089999999996</v>
      </c>
      <c r="J2170" s="195">
        <v>-7.4059720000000002</v>
      </c>
      <c r="K2170" s="195">
        <v>-7.8298990000000002</v>
      </c>
      <c r="L2170" s="195">
        <v>-8.5843720000000001</v>
      </c>
      <c r="M2170" s="195">
        <v>-6.5684550000000002</v>
      </c>
      <c r="N2170" s="195">
        <v>-6.2963620000000002</v>
      </c>
    </row>
    <row r="2171" spans="1:14" hidden="1" x14ac:dyDescent="0.35">
      <c r="A2171" s="52" t="s">
        <v>271</v>
      </c>
      <c r="B2171" s="52" t="s">
        <v>34</v>
      </c>
      <c r="C2171" s="52" t="s">
        <v>33</v>
      </c>
      <c r="D2171" s="52" t="s">
        <v>33</v>
      </c>
      <c r="E2171" s="52" t="s">
        <v>622</v>
      </c>
      <c r="F2171" s="52" t="s">
        <v>26</v>
      </c>
      <c r="G2171" s="195" t="s">
        <v>276</v>
      </c>
      <c r="H2171" s="195">
        <v>9.8851990000000001E-2</v>
      </c>
      <c r="I2171" s="195">
        <v>-2.9904419999999998</v>
      </c>
      <c r="J2171" s="195">
        <v>-4.6605150000000002</v>
      </c>
      <c r="K2171" s="195">
        <v>-4.953881</v>
      </c>
      <c r="L2171" s="195">
        <v>-5.460674</v>
      </c>
      <c r="M2171" s="195">
        <v>-4.1630560000000001</v>
      </c>
      <c r="N2171" s="195">
        <v>-3.9992920000000001</v>
      </c>
    </row>
    <row r="2172" spans="1:14" hidden="1" x14ac:dyDescent="0.35">
      <c r="A2172" s="52" t="s">
        <v>271</v>
      </c>
      <c r="B2172" s="52" t="s">
        <v>34</v>
      </c>
      <c r="C2172" s="52" t="s">
        <v>33</v>
      </c>
      <c r="D2172" s="52" t="s">
        <v>33</v>
      </c>
      <c r="E2172" s="52" t="s">
        <v>622</v>
      </c>
      <c r="F2172" s="52" t="s">
        <v>26</v>
      </c>
      <c r="G2172" s="195" t="s">
        <v>277</v>
      </c>
      <c r="H2172" s="195"/>
      <c r="I2172" s="195"/>
      <c r="J2172" s="195"/>
      <c r="K2172" s="195"/>
      <c r="L2172" s="195"/>
      <c r="M2172" s="195">
        <v>0</v>
      </c>
      <c r="N2172" s="195">
        <v>0</v>
      </c>
    </row>
    <row r="2173" spans="1:14" hidden="1" x14ac:dyDescent="0.35">
      <c r="A2173" s="52" t="s">
        <v>271</v>
      </c>
      <c r="B2173" s="52" t="s">
        <v>34</v>
      </c>
      <c r="C2173" s="52" t="s">
        <v>33</v>
      </c>
      <c r="D2173" s="52" t="s">
        <v>33</v>
      </c>
      <c r="E2173" s="52" t="s">
        <v>622</v>
      </c>
      <c r="F2173" s="52" t="s">
        <v>26</v>
      </c>
      <c r="G2173" s="195" t="s">
        <v>279</v>
      </c>
      <c r="H2173" s="195">
        <v>32.687899999999999</v>
      </c>
      <c r="I2173" s="195">
        <v>30.022929999999999</v>
      </c>
      <c r="J2173" s="195">
        <v>27.291029999999999</v>
      </c>
      <c r="K2173" s="195">
        <v>26.322430000000001</v>
      </c>
      <c r="L2173" s="195">
        <v>26.056290000000001</v>
      </c>
      <c r="M2173" s="195">
        <v>21.389250000000001</v>
      </c>
      <c r="N2173" s="195">
        <v>19.676639999999999</v>
      </c>
    </row>
    <row r="2174" spans="1:14" hidden="1" x14ac:dyDescent="0.35">
      <c r="A2174" s="52" t="s">
        <v>271</v>
      </c>
      <c r="B2174" s="52" t="s">
        <v>34</v>
      </c>
      <c r="C2174" s="52" t="s">
        <v>33</v>
      </c>
      <c r="D2174" s="52" t="s">
        <v>33</v>
      </c>
      <c r="E2174" s="52" t="s">
        <v>637</v>
      </c>
      <c r="F2174" s="52" t="s">
        <v>581</v>
      </c>
      <c r="G2174" s="195" t="s">
        <v>275</v>
      </c>
      <c r="H2174" s="195">
        <v>5.6213090000000001</v>
      </c>
      <c r="I2174" s="195">
        <v>1.0511410000000001</v>
      </c>
      <c r="J2174" s="195">
        <v>0.68878159999999999</v>
      </c>
      <c r="K2174" s="195">
        <v>0.61387570000000002</v>
      </c>
      <c r="L2174" s="195">
        <v>0.47668339999999998</v>
      </c>
      <c r="M2174" s="195">
        <v>0.56772820000000002</v>
      </c>
      <c r="N2174" s="195">
        <v>0.52430900000000003</v>
      </c>
    </row>
    <row r="2175" spans="1:14" hidden="1" x14ac:dyDescent="0.35">
      <c r="A2175" s="52" t="s">
        <v>271</v>
      </c>
      <c r="B2175" s="52" t="s">
        <v>34</v>
      </c>
      <c r="C2175" s="52" t="s">
        <v>33</v>
      </c>
      <c r="D2175" s="52" t="s">
        <v>33</v>
      </c>
      <c r="E2175" s="52" t="s">
        <v>637</v>
      </c>
      <c r="F2175" s="52" t="s">
        <v>581</v>
      </c>
      <c r="G2175" s="195" t="s">
        <v>276</v>
      </c>
      <c r="H2175" s="195">
        <v>2.0267309999999998</v>
      </c>
      <c r="I2175" s="195">
        <v>0.35038059999999999</v>
      </c>
      <c r="J2175" s="195">
        <v>0.21751119999999999</v>
      </c>
      <c r="K2175" s="195">
        <v>0.18336440000000001</v>
      </c>
      <c r="L2175" s="195">
        <v>0.1423866</v>
      </c>
      <c r="M2175" s="195">
        <v>0.1695818</v>
      </c>
      <c r="N2175" s="195">
        <v>0.15661120000000001</v>
      </c>
    </row>
    <row r="2176" spans="1:14" hidden="1" x14ac:dyDescent="0.35">
      <c r="A2176" s="52" t="s">
        <v>271</v>
      </c>
      <c r="B2176" s="52" t="s">
        <v>34</v>
      </c>
      <c r="C2176" s="52" t="s">
        <v>33</v>
      </c>
      <c r="D2176" s="52" t="s">
        <v>33</v>
      </c>
      <c r="E2176" s="52" t="s">
        <v>637</v>
      </c>
      <c r="F2176" s="52" t="s">
        <v>581</v>
      </c>
      <c r="G2176" s="195" t="s">
        <v>279</v>
      </c>
      <c r="H2176" s="195">
        <v>2.1056469999999998</v>
      </c>
      <c r="I2176" s="195">
        <v>1.841834</v>
      </c>
      <c r="J2176" s="195">
        <v>1.618525</v>
      </c>
      <c r="K2176" s="195">
        <v>1.521147</v>
      </c>
      <c r="L2176" s="195">
        <v>1.5154730000000001</v>
      </c>
      <c r="M2176" s="195">
        <v>1.2362569999999999</v>
      </c>
      <c r="N2176" s="195">
        <v>1.1357550000000001</v>
      </c>
    </row>
    <row r="2177" spans="1:14" hidden="1" x14ac:dyDescent="0.35">
      <c r="A2177" s="52" t="s">
        <v>271</v>
      </c>
      <c r="B2177" s="52" t="s">
        <v>34</v>
      </c>
      <c r="C2177" s="52" t="s">
        <v>33</v>
      </c>
      <c r="D2177" s="52" t="s">
        <v>33</v>
      </c>
      <c r="E2177" s="52" t="s">
        <v>637</v>
      </c>
      <c r="F2177" s="52" t="s">
        <v>26</v>
      </c>
      <c r="G2177" s="195" t="s">
        <v>275</v>
      </c>
      <c r="H2177" s="195">
        <v>-2.646026</v>
      </c>
      <c r="I2177" s="195">
        <v>-6.5063800000000001</v>
      </c>
      <c r="J2177" s="195">
        <v>-8.7585010000000008</v>
      </c>
      <c r="K2177" s="195">
        <v>-9.2621520000000004</v>
      </c>
      <c r="L2177" s="195">
        <v>-9.9030609999999992</v>
      </c>
      <c r="M2177" s="195">
        <v>-7.6553380000000004</v>
      </c>
      <c r="N2177" s="195">
        <v>-7.2706340000000003</v>
      </c>
    </row>
    <row r="2178" spans="1:14" hidden="1" x14ac:dyDescent="0.35">
      <c r="A2178" s="52" t="s">
        <v>271</v>
      </c>
      <c r="B2178" s="52" t="s">
        <v>34</v>
      </c>
      <c r="C2178" s="52" t="s">
        <v>33</v>
      </c>
      <c r="D2178" s="52" t="s">
        <v>33</v>
      </c>
      <c r="E2178" s="52" t="s">
        <v>637</v>
      </c>
      <c r="F2178" s="52" t="s">
        <v>26</v>
      </c>
      <c r="G2178" s="195" t="s">
        <v>276</v>
      </c>
      <c r="H2178" s="195">
        <v>-1.599812</v>
      </c>
      <c r="I2178" s="195">
        <v>-2.7498450000000001</v>
      </c>
      <c r="J2178" s="195">
        <v>-2.9930129999999999</v>
      </c>
      <c r="K2178" s="195">
        <v>-2.766616</v>
      </c>
      <c r="L2178" s="195">
        <v>-2.9580579999999999</v>
      </c>
      <c r="M2178" s="195">
        <v>-2.2866599999999999</v>
      </c>
      <c r="N2178" s="195">
        <v>-2.171748</v>
      </c>
    </row>
    <row r="2179" spans="1:14" hidden="1" x14ac:dyDescent="0.35">
      <c r="A2179" s="52" t="s">
        <v>271</v>
      </c>
      <c r="B2179" s="52" t="s">
        <v>34</v>
      </c>
      <c r="C2179" s="52" t="s">
        <v>33</v>
      </c>
      <c r="D2179" s="52" t="s">
        <v>33</v>
      </c>
      <c r="E2179" s="52" t="s">
        <v>637</v>
      </c>
      <c r="F2179" s="52" t="s">
        <v>26</v>
      </c>
      <c r="G2179" s="195" t="s">
        <v>277</v>
      </c>
      <c r="H2179" s="195">
        <v>0</v>
      </c>
      <c r="I2179" s="195">
        <v>0</v>
      </c>
      <c r="J2179" s="195"/>
      <c r="K2179" s="195">
        <v>0</v>
      </c>
      <c r="L2179" s="195"/>
      <c r="M2179" s="195">
        <v>0</v>
      </c>
      <c r="N2179" s="195"/>
    </row>
    <row r="2180" spans="1:14" hidden="1" x14ac:dyDescent="0.35">
      <c r="A2180" s="52" t="s">
        <v>271</v>
      </c>
      <c r="B2180" s="52" t="s">
        <v>34</v>
      </c>
      <c r="C2180" s="52" t="s">
        <v>33</v>
      </c>
      <c r="D2180" s="52" t="s">
        <v>33</v>
      </c>
      <c r="E2180" s="52" t="s">
        <v>637</v>
      </c>
      <c r="F2180" s="52" t="s">
        <v>26</v>
      </c>
      <c r="G2180" s="195" t="s">
        <v>278</v>
      </c>
      <c r="H2180" s="195">
        <v>0</v>
      </c>
      <c r="I2180" s="195">
        <v>0</v>
      </c>
      <c r="J2180" s="195"/>
      <c r="K2180" s="195">
        <v>0</v>
      </c>
      <c r="L2180" s="195"/>
      <c r="M2180" s="195">
        <v>0</v>
      </c>
      <c r="N2180" s="195"/>
    </row>
    <row r="2181" spans="1:14" hidden="1" x14ac:dyDescent="0.35">
      <c r="A2181" s="52" t="s">
        <v>271</v>
      </c>
      <c r="B2181" s="52" t="s">
        <v>34</v>
      </c>
      <c r="C2181" s="52" t="s">
        <v>33</v>
      </c>
      <c r="D2181" s="52" t="s">
        <v>33</v>
      </c>
      <c r="E2181" s="52" t="s">
        <v>637</v>
      </c>
      <c r="F2181" s="52" t="s">
        <v>26</v>
      </c>
      <c r="G2181" s="195" t="s">
        <v>279</v>
      </c>
      <c r="H2181" s="195">
        <v>28.959</v>
      </c>
      <c r="I2181" s="195">
        <v>25.701419999999999</v>
      </c>
      <c r="J2181" s="195">
        <v>22.95975</v>
      </c>
      <c r="K2181" s="195">
        <v>21.93451</v>
      </c>
      <c r="L2181" s="195">
        <v>21.618919999999999</v>
      </c>
      <c r="M2181" s="195">
        <v>17.698840000000001</v>
      </c>
      <c r="N2181" s="195">
        <v>16.265090000000001</v>
      </c>
    </row>
    <row r="2182" spans="1:14" hidden="1" x14ac:dyDescent="0.35">
      <c r="A2182" s="52" t="s">
        <v>271</v>
      </c>
      <c r="B2182" s="52" t="s">
        <v>34</v>
      </c>
      <c r="C2182" s="52" t="s">
        <v>33</v>
      </c>
      <c r="D2182" s="52" t="s">
        <v>33</v>
      </c>
      <c r="E2182" s="52" t="s">
        <v>584</v>
      </c>
      <c r="F2182" s="52" t="s">
        <v>581</v>
      </c>
      <c r="G2182" s="195" t="s">
        <v>275</v>
      </c>
      <c r="H2182" s="195">
        <v>-1.8221280000000001E-4</v>
      </c>
      <c r="I2182" s="195">
        <v>-1.8220439999999999E-4</v>
      </c>
      <c r="J2182" s="195">
        <v>-29.000330000000002</v>
      </c>
      <c r="K2182" s="195">
        <v>-1.457702E-4</v>
      </c>
      <c r="L2182" s="195">
        <v>-1.457702E-4</v>
      </c>
      <c r="M2182" s="195">
        <v>-1.457702E-4</v>
      </c>
      <c r="N2182" s="195">
        <v>-1.457702E-4</v>
      </c>
    </row>
    <row r="2183" spans="1:14" hidden="1" x14ac:dyDescent="0.35">
      <c r="A2183" s="52" t="s">
        <v>271</v>
      </c>
      <c r="B2183" s="52" t="s">
        <v>34</v>
      </c>
      <c r="C2183" s="52" t="s">
        <v>33</v>
      </c>
      <c r="D2183" s="52" t="s">
        <v>33</v>
      </c>
      <c r="E2183" s="52" t="s">
        <v>584</v>
      </c>
      <c r="F2183" s="52" t="s">
        <v>581</v>
      </c>
      <c r="G2183" s="195" t="s">
        <v>276</v>
      </c>
      <c r="H2183" s="195">
        <v>-6.7393189999999996E-5</v>
      </c>
      <c r="I2183" s="195">
        <v>-6.7393189999999996E-5</v>
      </c>
      <c r="J2183" s="195">
        <v>-9.1580510000000004</v>
      </c>
      <c r="K2183" s="195">
        <v>-1.038358E-4</v>
      </c>
      <c r="L2183" s="195">
        <v>-1.038358E-4</v>
      </c>
      <c r="M2183" s="195">
        <v>-1.038358E-4</v>
      </c>
      <c r="N2183" s="195">
        <v>-1.038358E-4</v>
      </c>
    </row>
    <row r="2184" spans="1:14" hidden="1" x14ac:dyDescent="0.35">
      <c r="A2184" s="52" t="s">
        <v>271</v>
      </c>
      <c r="B2184" s="52" t="s">
        <v>34</v>
      </c>
      <c r="C2184" s="52" t="s">
        <v>33</v>
      </c>
      <c r="D2184" s="52" t="s">
        <v>33</v>
      </c>
      <c r="E2184" s="52" t="s">
        <v>584</v>
      </c>
      <c r="F2184" s="52" t="s">
        <v>581</v>
      </c>
      <c r="G2184" s="195" t="s">
        <v>278</v>
      </c>
      <c r="H2184" s="195">
        <v>2.4960599999999998E-4</v>
      </c>
      <c r="I2184" s="195">
        <v>2.4960599999999998E-4</v>
      </c>
      <c r="J2184" s="195">
        <v>2.4960599999999998E-4</v>
      </c>
      <c r="K2184" s="195">
        <v>2.4960599999999998E-4</v>
      </c>
      <c r="L2184" s="195">
        <v>2.4960599999999998E-4</v>
      </c>
      <c r="M2184" s="195">
        <v>2.4960599999999998E-4</v>
      </c>
      <c r="N2184" s="195">
        <v>2.4960599999999998E-4</v>
      </c>
    </row>
    <row r="2185" spans="1:14" hidden="1" x14ac:dyDescent="0.35">
      <c r="A2185" s="52" t="s">
        <v>271</v>
      </c>
      <c r="B2185" s="52" t="s">
        <v>34</v>
      </c>
      <c r="C2185" s="52" t="s">
        <v>33</v>
      </c>
      <c r="D2185" s="52" t="s">
        <v>33</v>
      </c>
      <c r="E2185" s="52" t="s">
        <v>584</v>
      </c>
      <c r="F2185" s="52" t="s">
        <v>581</v>
      </c>
      <c r="G2185" s="195" t="s">
        <v>279</v>
      </c>
      <c r="H2185" s="195"/>
      <c r="I2185" s="195">
        <v>0</v>
      </c>
      <c r="J2185" s="195">
        <v>38.15813</v>
      </c>
      <c r="K2185" s="195">
        <v>0</v>
      </c>
      <c r="L2185" s="195"/>
      <c r="M2185" s="195"/>
      <c r="N2185" s="195">
        <v>0</v>
      </c>
    </row>
    <row r="2186" spans="1:14" hidden="1" x14ac:dyDescent="0.35">
      <c r="A2186" s="52" t="s">
        <v>271</v>
      </c>
      <c r="B2186" s="52" t="s">
        <v>34</v>
      </c>
      <c r="C2186" s="52" t="s">
        <v>33</v>
      </c>
      <c r="D2186" s="52" t="s">
        <v>33</v>
      </c>
      <c r="E2186" s="52" t="s">
        <v>584</v>
      </c>
      <c r="F2186" s="52" t="s">
        <v>26</v>
      </c>
      <c r="G2186" s="195" t="s">
        <v>275</v>
      </c>
      <c r="H2186" s="195">
        <v>-36.282910000000001</v>
      </c>
      <c r="I2186" s="195">
        <v>-3.509484</v>
      </c>
      <c r="J2186" s="195">
        <v>-106.6438</v>
      </c>
      <c r="K2186" s="195">
        <v>-7.2529450000000004</v>
      </c>
      <c r="L2186" s="195">
        <v>-10.78232</v>
      </c>
      <c r="M2186" s="195">
        <v>-12.1097</v>
      </c>
      <c r="N2186" s="195">
        <v>-12.47396</v>
      </c>
    </row>
    <row r="2187" spans="1:14" hidden="1" x14ac:dyDescent="0.35">
      <c r="A2187" s="52" t="s">
        <v>271</v>
      </c>
      <c r="B2187" s="52" t="s">
        <v>34</v>
      </c>
      <c r="C2187" s="52" t="s">
        <v>33</v>
      </c>
      <c r="D2187" s="52" t="s">
        <v>33</v>
      </c>
      <c r="E2187" s="52" t="s">
        <v>584</v>
      </c>
      <c r="F2187" s="52" t="s">
        <v>26</v>
      </c>
      <c r="G2187" s="195" t="s">
        <v>276</v>
      </c>
      <c r="H2187" s="195">
        <v>-7.7285219999999999</v>
      </c>
      <c r="I2187" s="195">
        <v>-7.7037389999999997</v>
      </c>
      <c r="J2187" s="195">
        <v>-39.574480000000001</v>
      </c>
      <c r="K2187" s="195">
        <v>-4.8283560000000003</v>
      </c>
      <c r="L2187" s="195">
        <v>-3.1676280000000001</v>
      </c>
      <c r="M2187" s="195">
        <v>-3.2906789999999999</v>
      </c>
      <c r="N2187" s="195">
        <v>-3.674909</v>
      </c>
    </row>
    <row r="2188" spans="1:14" hidden="1" x14ac:dyDescent="0.35">
      <c r="A2188" s="52" t="s">
        <v>271</v>
      </c>
      <c r="B2188" s="52" t="s">
        <v>34</v>
      </c>
      <c r="C2188" s="52" t="s">
        <v>33</v>
      </c>
      <c r="D2188" s="52" t="s">
        <v>33</v>
      </c>
      <c r="E2188" s="52" t="s">
        <v>584</v>
      </c>
      <c r="F2188" s="52" t="s">
        <v>26</v>
      </c>
      <c r="G2188" s="195" t="s">
        <v>277</v>
      </c>
      <c r="H2188" s="195">
        <v>41.785319999999999</v>
      </c>
      <c r="I2188" s="195">
        <v>7.1268700000000003</v>
      </c>
      <c r="J2188" s="195">
        <v>6.904871</v>
      </c>
      <c r="K2188" s="195">
        <v>8.0654719999999998</v>
      </c>
      <c r="L2188" s="195">
        <v>9.0716509999999992</v>
      </c>
      <c r="M2188" s="195">
        <v>10.99755</v>
      </c>
      <c r="N2188" s="195">
        <v>11.31054</v>
      </c>
    </row>
    <row r="2189" spans="1:14" hidden="1" x14ac:dyDescent="0.35">
      <c r="A2189" s="52" t="s">
        <v>271</v>
      </c>
      <c r="B2189" s="52" t="s">
        <v>34</v>
      </c>
      <c r="C2189" s="52" t="s">
        <v>33</v>
      </c>
      <c r="D2189" s="52" t="s">
        <v>33</v>
      </c>
      <c r="E2189" s="52" t="s">
        <v>584</v>
      </c>
      <c r="F2189" s="52" t="s">
        <v>26</v>
      </c>
      <c r="G2189" s="195" t="s">
        <v>279</v>
      </c>
      <c r="H2189" s="195">
        <v>11.78243</v>
      </c>
      <c r="I2189" s="195">
        <v>11.82493</v>
      </c>
      <c r="J2189" s="195">
        <v>142.9453</v>
      </c>
      <c r="K2189" s="195">
        <v>7.4465130000000004</v>
      </c>
      <c r="L2189" s="195">
        <v>8.0914819999999992</v>
      </c>
      <c r="M2189" s="195">
        <v>7.3821839999999996</v>
      </c>
      <c r="N2189" s="195">
        <v>7.5675319999999999</v>
      </c>
    </row>
    <row r="2190" spans="1:14" hidden="1" x14ac:dyDescent="0.35">
      <c r="A2190" s="52" t="s">
        <v>271</v>
      </c>
      <c r="B2190" s="52" t="s">
        <v>34</v>
      </c>
      <c r="C2190" s="52" t="s">
        <v>33</v>
      </c>
      <c r="D2190" s="52" t="s">
        <v>33</v>
      </c>
      <c r="E2190" s="52" t="s">
        <v>638</v>
      </c>
      <c r="F2190" s="52" t="s">
        <v>581</v>
      </c>
      <c r="G2190" s="195" t="s">
        <v>275</v>
      </c>
      <c r="H2190" s="195">
        <v>0.364782</v>
      </c>
      <c r="I2190" s="195">
        <v>3.74226E-2</v>
      </c>
      <c r="J2190" s="195">
        <v>1.6366800000000001E-2</v>
      </c>
      <c r="K2190" s="195">
        <v>1.4352999999999999E-2</v>
      </c>
      <c r="L2190" s="195">
        <v>-2.5441440000000002</v>
      </c>
      <c r="M2190" s="195">
        <v>0.140044</v>
      </c>
      <c r="N2190" s="195">
        <v>0.171071</v>
      </c>
    </row>
    <row r="2191" spans="1:14" hidden="1" x14ac:dyDescent="0.35">
      <c r="A2191" s="52" t="s">
        <v>271</v>
      </c>
      <c r="B2191" s="52" t="s">
        <v>34</v>
      </c>
      <c r="C2191" s="52" t="s">
        <v>33</v>
      </c>
      <c r="D2191" s="52" t="s">
        <v>33</v>
      </c>
      <c r="E2191" s="52" t="s">
        <v>638</v>
      </c>
      <c r="F2191" s="52" t="s">
        <v>581</v>
      </c>
      <c r="G2191" s="195" t="s">
        <v>276</v>
      </c>
      <c r="H2191" s="195">
        <v>0.13152</v>
      </c>
      <c r="I2191" s="195">
        <v>1.24742E-2</v>
      </c>
      <c r="J2191" s="195">
        <v>5.169E-3</v>
      </c>
      <c r="K2191" s="195">
        <v>4.2880000000000001E-3</v>
      </c>
      <c r="L2191" s="195">
        <v>-0.23027220000000001</v>
      </c>
      <c r="M2191" s="195">
        <v>-0.13472339999999999</v>
      </c>
      <c r="N2191" s="195">
        <v>-0.12545719999999999</v>
      </c>
    </row>
    <row r="2192" spans="1:14" hidden="1" x14ac:dyDescent="0.35">
      <c r="A2192" s="52" t="s">
        <v>271</v>
      </c>
      <c r="B2192" s="52" t="s">
        <v>34</v>
      </c>
      <c r="C2192" s="52" t="s">
        <v>33</v>
      </c>
      <c r="D2192" s="52" t="s">
        <v>33</v>
      </c>
      <c r="E2192" s="52" t="s">
        <v>638</v>
      </c>
      <c r="F2192" s="52" t="s">
        <v>581</v>
      </c>
      <c r="G2192" s="195" t="s">
        <v>277</v>
      </c>
      <c r="H2192" s="195"/>
      <c r="I2192" s="195"/>
      <c r="J2192" s="195"/>
      <c r="K2192" s="195">
        <v>0</v>
      </c>
      <c r="L2192" s="195">
        <v>0.35013480000000002</v>
      </c>
      <c r="M2192" s="195">
        <v>0</v>
      </c>
      <c r="N2192" s="195">
        <v>0</v>
      </c>
    </row>
    <row r="2193" spans="1:14" hidden="1" x14ac:dyDescent="0.35">
      <c r="A2193" s="52" t="s">
        <v>271</v>
      </c>
      <c r="B2193" s="52" t="s">
        <v>34</v>
      </c>
      <c r="C2193" s="52" t="s">
        <v>33</v>
      </c>
      <c r="D2193" s="52" t="s">
        <v>33</v>
      </c>
      <c r="E2193" s="52" t="s">
        <v>638</v>
      </c>
      <c r="F2193" s="52" t="s">
        <v>581</v>
      </c>
      <c r="G2193" s="195" t="s">
        <v>278</v>
      </c>
      <c r="H2193" s="195"/>
      <c r="I2193" s="195"/>
      <c r="J2193" s="195"/>
      <c r="K2193" s="195">
        <v>0</v>
      </c>
      <c r="L2193" s="195">
        <v>2.014173</v>
      </c>
      <c r="M2193" s="195">
        <v>0</v>
      </c>
      <c r="N2193" s="195"/>
    </row>
    <row r="2194" spans="1:14" hidden="1" x14ac:dyDescent="0.35">
      <c r="A2194" s="52" t="s">
        <v>271</v>
      </c>
      <c r="B2194" s="52" t="s">
        <v>34</v>
      </c>
      <c r="C2194" s="52" t="s">
        <v>33</v>
      </c>
      <c r="D2194" s="52" t="s">
        <v>33</v>
      </c>
      <c r="E2194" s="52" t="s">
        <v>638</v>
      </c>
      <c r="F2194" s="52" t="s">
        <v>581</v>
      </c>
      <c r="G2194" s="195" t="s">
        <v>279</v>
      </c>
      <c r="H2194" s="195">
        <v>0.21029200000000001</v>
      </c>
      <c r="I2194" s="195">
        <v>0.18128</v>
      </c>
      <c r="J2194" s="195">
        <v>0.154754</v>
      </c>
      <c r="K2194" s="195">
        <v>0.1412098</v>
      </c>
      <c r="L2194" s="195">
        <v>0.95652910000000002</v>
      </c>
      <c r="M2194" s="195">
        <v>0.4180836</v>
      </c>
      <c r="N2194" s="195">
        <v>0.28082459999999998</v>
      </c>
    </row>
    <row r="2195" spans="1:14" hidden="1" x14ac:dyDescent="0.35">
      <c r="A2195" s="52" t="s">
        <v>271</v>
      </c>
      <c r="B2195" s="52" t="s">
        <v>34</v>
      </c>
      <c r="C2195" s="52" t="s">
        <v>33</v>
      </c>
      <c r="D2195" s="52" t="s">
        <v>33</v>
      </c>
      <c r="E2195" s="52" t="s">
        <v>638</v>
      </c>
      <c r="F2195" s="52" t="s">
        <v>26</v>
      </c>
      <c r="G2195" s="195" t="s">
        <v>275</v>
      </c>
      <c r="H2195" s="195">
        <v>-0.20330500000000001</v>
      </c>
      <c r="I2195" s="195">
        <v>-0.2732444</v>
      </c>
      <c r="J2195" s="195">
        <v>-0.29624919999999999</v>
      </c>
      <c r="K2195" s="195">
        <v>-0.28956559999999998</v>
      </c>
      <c r="L2195" s="195">
        <v>-0.64363320000000002</v>
      </c>
      <c r="M2195" s="195">
        <v>-0.34139580000000003</v>
      </c>
      <c r="N2195" s="195">
        <v>-0.28187719999999999</v>
      </c>
    </row>
    <row r="2196" spans="1:14" hidden="1" x14ac:dyDescent="0.35">
      <c r="A2196" s="52" t="s">
        <v>271</v>
      </c>
      <c r="B2196" s="52" t="s">
        <v>34</v>
      </c>
      <c r="C2196" s="52" t="s">
        <v>33</v>
      </c>
      <c r="D2196" s="52" t="s">
        <v>33</v>
      </c>
      <c r="E2196" s="52" t="s">
        <v>638</v>
      </c>
      <c r="F2196" s="52" t="s">
        <v>26</v>
      </c>
      <c r="G2196" s="195" t="s">
        <v>276</v>
      </c>
      <c r="H2196" s="195">
        <v>-7.3301000000000005E-2</v>
      </c>
      <c r="I2196" s="195">
        <v>-9.1082010000000005E-2</v>
      </c>
      <c r="J2196" s="195">
        <v>-9.35526E-2</v>
      </c>
      <c r="K2196" s="195">
        <v>-8.6493399999999998E-2</v>
      </c>
      <c r="L2196" s="195">
        <v>-0.19225439999999999</v>
      </c>
      <c r="M2196" s="195">
        <v>-0.10197580000000001</v>
      </c>
      <c r="N2196" s="195">
        <v>-8.4197599999999997E-2</v>
      </c>
    </row>
    <row r="2197" spans="1:14" hidden="1" x14ac:dyDescent="0.35">
      <c r="A2197" s="52" t="s">
        <v>271</v>
      </c>
      <c r="B2197" s="52" t="s">
        <v>34</v>
      </c>
      <c r="C2197" s="52" t="s">
        <v>33</v>
      </c>
      <c r="D2197" s="52" t="s">
        <v>33</v>
      </c>
      <c r="E2197" s="52" t="s">
        <v>638</v>
      </c>
      <c r="F2197" s="52" t="s">
        <v>26</v>
      </c>
      <c r="G2197" s="195" t="s">
        <v>277</v>
      </c>
      <c r="H2197" s="195"/>
      <c r="I2197" s="195"/>
      <c r="J2197" s="195"/>
      <c r="K2197" s="195">
        <v>0</v>
      </c>
      <c r="L2197" s="195"/>
      <c r="M2197" s="195">
        <v>0</v>
      </c>
      <c r="N2197" s="195">
        <v>0</v>
      </c>
    </row>
    <row r="2198" spans="1:14" hidden="1" x14ac:dyDescent="0.35">
      <c r="A2198" s="52" t="s">
        <v>271</v>
      </c>
      <c r="B2198" s="52" t="s">
        <v>34</v>
      </c>
      <c r="C2198" s="52" t="s">
        <v>33</v>
      </c>
      <c r="D2198" s="52" t="s">
        <v>33</v>
      </c>
      <c r="E2198" s="52" t="s">
        <v>638</v>
      </c>
      <c r="F2198" s="52" t="s">
        <v>26</v>
      </c>
      <c r="G2198" s="195" t="s">
        <v>279</v>
      </c>
      <c r="H2198" s="195">
        <v>0.850885</v>
      </c>
      <c r="I2198" s="195">
        <v>0.73819299999999999</v>
      </c>
      <c r="J2198" s="195">
        <v>0.63941000000000003</v>
      </c>
      <c r="K2198" s="195">
        <v>0.59390180000000004</v>
      </c>
      <c r="L2198" s="195">
        <v>1.2141379999999999</v>
      </c>
      <c r="M2198" s="195">
        <v>0.74169799999999997</v>
      </c>
      <c r="N2198" s="195">
        <v>0.60147399999999995</v>
      </c>
    </row>
    <row r="2199" spans="1:14" hidden="1" x14ac:dyDescent="0.35">
      <c r="A2199" s="52" t="s">
        <v>271</v>
      </c>
      <c r="B2199" s="52" t="s">
        <v>34</v>
      </c>
      <c r="C2199" s="52" t="s">
        <v>341</v>
      </c>
      <c r="D2199" s="52" t="s">
        <v>341</v>
      </c>
      <c r="E2199" s="52" t="s">
        <v>584</v>
      </c>
      <c r="F2199" s="52" t="s">
        <v>581</v>
      </c>
      <c r="G2199" s="195" t="s">
        <v>275</v>
      </c>
      <c r="H2199" s="195">
        <v>-3.1175870000000001E-2</v>
      </c>
      <c r="I2199" s="195">
        <v>-4.9172279999999999E-2</v>
      </c>
      <c r="J2199" s="195">
        <v>-2.489592E-4</v>
      </c>
      <c r="K2199" s="195">
        <v>-2.4896759999999999E-4</v>
      </c>
      <c r="L2199" s="195">
        <v>-2.4896759999999999E-4</v>
      </c>
      <c r="M2199" s="195">
        <v>-5.8363200000000005E-4</v>
      </c>
      <c r="N2199" s="195">
        <v>-5.8364039999999999E-4</v>
      </c>
    </row>
    <row r="2200" spans="1:14" hidden="1" x14ac:dyDescent="0.35">
      <c r="A2200" s="52" t="s">
        <v>271</v>
      </c>
      <c r="B2200" s="52" t="s">
        <v>34</v>
      </c>
      <c r="C2200" s="52" t="s">
        <v>341</v>
      </c>
      <c r="D2200" s="52" t="s">
        <v>341</v>
      </c>
      <c r="E2200" s="52" t="s">
        <v>584</v>
      </c>
      <c r="F2200" s="52" t="s">
        <v>581</v>
      </c>
      <c r="G2200" s="195" t="s">
        <v>276</v>
      </c>
      <c r="H2200" s="195">
        <v>-1.153119E-2</v>
      </c>
      <c r="I2200" s="195">
        <v>-1.283334E-2</v>
      </c>
      <c r="J2200" s="195">
        <v>-4.2458999999999997E-2</v>
      </c>
      <c r="K2200" s="195">
        <v>-7.5090530000000003E-2</v>
      </c>
      <c r="L2200" s="195">
        <v>-4.3099949999999998E-2</v>
      </c>
      <c r="M2200" s="195">
        <v>-4.2122769999999997E-2</v>
      </c>
      <c r="N2200" s="195">
        <v>-4.2123420000000002E-2</v>
      </c>
    </row>
    <row r="2201" spans="1:14" hidden="1" x14ac:dyDescent="0.35">
      <c r="A2201" s="52" t="s">
        <v>271</v>
      </c>
      <c r="B2201" s="52" t="s">
        <v>34</v>
      </c>
      <c r="C2201" s="52" t="s">
        <v>341</v>
      </c>
      <c r="D2201" s="52" t="s">
        <v>341</v>
      </c>
      <c r="E2201" s="52" t="s">
        <v>584</v>
      </c>
      <c r="F2201" s="52" t="s">
        <v>581</v>
      </c>
      <c r="G2201" s="195" t="s">
        <v>278</v>
      </c>
      <c r="H2201" s="195">
        <v>4.2707059999999998E-2</v>
      </c>
      <c r="I2201" s="195">
        <v>6.200671E-2</v>
      </c>
      <c r="J2201" s="195">
        <v>4.2707059999999998E-2</v>
      </c>
      <c r="K2201" s="195">
        <v>7.5339500000000004E-2</v>
      </c>
      <c r="L2201" s="195">
        <v>4.3348930000000001E-2</v>
      </c>
      <c r="M2201" s="195">
        <v>4.2707059999999998E-2</v>
      </c>
      <c r="N2201" s="195">
        <v>4.2707059999999998E-2</v>
      </c>
    </row>
    <row r="2202" spans="1:14" hidden="1" x14ac:dyDescent="0.35">
      <c r="A2202" s="52" t="s">
        <v>271</v>
      </c>
      <c r="B2202" s="52" t="s">
        <v>34</v>
      </c>
      <c r="C2202" s="52" t="s">
        <v>263</v>
      </c>
      <c r="D2202" s="52" t="s">
        <v>263</v>
      </c>
      <c r="E2202" s="52" t="s">
        <v>584</v>
      </c>
      <c r="F2202" s="52" t="s">
        <v>581</v>
      </c>
      <c r="G2202" s="195" t="s">
        <v>275</v>
      </c>
      <c r="H2202" s="195">
        <v>-2.7292290000000001E-3</v>
      </c>
      <c r="I2202" s="195">
        <v>-2.7292449999999999E-3</v>
      </c>
      <c r="J2202" s="195">
        <v>0</v>
      </c>
      <c r="K2202" s="195">
        <v>0</v>
      </c>
      <c r="L2202" s="195">
        <v>0</v>
      </c>
      <c r="M2202" s="195">
        <v>0</v>
      </c>
      <c r="N2202" s="195">
        <v>0</v>
      </c>
    </row>
    <row r="2203" spans="1:14" hidden="1" x14ac:dyDescent="0.35">
      <c r="A2203" s="52" t="s">
        <v>271</v>
      </c>
      <c r="B2203" s="52" t="s">
        <v>34</v>
      </c>
      <c r="C2203" s="52" t="s">
        <v>263</v>
      </c>
      <c r="D2203" s="52" t="s">
        <v>263</v>
      </c>
      <c r="E2203" s="52" t="s">
        <v>584</v>
      </c>
      <c r="F2203" s="52" t="s">
        <v>581</v>
      </c>
      <c r="G2203" s="195" t="s">
        <v>276</v>
      </c>
      <c r="H2203" s="195">
        <v>-1.009427E-3</v>
      </c>
      <c r="I2203" s="195">
        <v>-1.009427E-3</v>
      </c>
      <c r="J2203" s="195">
        <v>-3.7386720000000002E-3</v>
      </c>
      <c r="K2203" s="195">
        <v>-4.5579189999999997E-3</v>
      </c>
      <c r="L2203" s="195">
        <v>-0.10051019999999999</v>
      </c>
      <c r="M2203" s="195">
        <v>-3.738585E-3</v>
      </c>
      <c r="N2203" s="195">
        <v>-3.7387420000000002E-3</v>
      </c>
    </row>
    <row r="2204" spans="1:14" hidden="1" x14ac:dyDescent="0.35">
      <c r="A2204" s="52" t="s">
        <v>271</v>
      </c>
      <c r="B2204" s="52" t="s">
        <v>34</v>
      </c>
      <c r="C2204" s="52" t="s">
        <v>263</v>
      </c>
      <c r="D2204" s="52" t="s">
        <v>263</v>
      </c>
      <c r="E2204" s="52" t="s">
        <v>584</v>
      </c>
      <c r="F2204" s="52" t="s">
        <v>581</v>
      </c>
      <c r="G2204" s="195" t="s">
        <v>277</v>
      </c>
      <c r="H2204" s="195"/>
      <c r="I2204" s="195"/>
      <c r="J2204" s="195"/>
      <c r="K2204" s="195"/>
      <c r="L2204" s="195"/>
      <c r="M2204" s="195"/>
      <c r="N2204" s="195">
        <v>0</v>
      </c>
    </row>
    <row r="2205" spans="1:14" hidden="1" x14ac:dyDescent="0.35">
      <c r="A2205" s="52" t="s">
        <v>271</v>
      </c>
      <c r="B2205" s="52" t="s">
        <v>34</v>
      </c>
      <c r="C2205" s="52" t="s">
        <v>263</v>
      </c>
      <c r="D2205" s="52" t="s">
        <v>263</v>
      </c>
      <c r="E2205" s="52" t="s">
        <v>584</v>
      </c>
      <c r="F2205" s="52" t="s">
        <v>581</v>
      </c>
      <c r="G2205" s="195" t="s">
        <v>278</v>
      </c>
      <c r="H2205" s="195">
        <v>3.7386720000000002E-3</v>
      </c>
      <c r="I2205" s="195">
        <v>3.7386720000000002E-3</v>
      </c>
      <c r="J2205" s="195">
        <v>3.7386720000000002E-3</v>
      </c>
      <c r="K2205" s="195">
        <v>4.5578659999999998E-3</v>
      </c>
      <c r="L2205" s="195">
        <v>0.1005103</v>
      </c>
      <c r="M2205" s="195">
        <v>3.7386720000000002E-3</v>
      </c>
      <c r="N2205" s="195">
        <v>3.7386720000000002E-3</v>
      </c>
    </row>
    <row r="2206" spans="1:14" hidden="1" x14ac:dyDescent="0.35">
      <c r="A2206" s="52" t="s">
        <v>271</v>
      </c>
      <c r="B2206" s="52" t="s">
        <v>34</v>
      </c>
      <c r="C2206" s="52" t="s">
        <v>300</v>
      </c>
      <c r="D2206" s="52" t="s">
        <v>300</v>
      </c>
      <c r="E2206" s="52" t="s">
        <v>584</v>
      </c>
      <c r="F2206" s="52" t="s">
        <v>581</v>
      </c>
      <c r="G2206" s="195" t="s">
        <v>275</v>
      </c>
      <c r="H2206" s="195">
        <v>-3.3502999999999998E-2</v>
      </c>
      <c r="I2206" s="195">
        <v>-3.3502999999999998E-2</v>
      </c>
      <c r="J2206" s="195">
        <v>0</v>
      </c>
      <c r="K2206" s="195">
        <v>0</v>
      </c>
      <c r="L2206" s="195">
        <v>0</v>
      </c>
      <c r="M2206" s="195">
        <v>0</v>
      </c>
      <c r="N2206" s="195">
        <v>0</v>
      </c>
    </row>
    <row r="2207" spans="1:14" hidden="1" x14ac:dyDescent="0.35">
      <c r="A2207" s="52" t="s">
        <v>271</v>
      </c>
      <c r="B2207" s="52" t="s">
        <v>34</v>
      </c>
      <c r="C2207" s="52" t="s">
        <v>113</v>
      </c>
      <c r="D2207" s="52" t="s">
        <v>113</v>
      </c>
      <c r="E2207" s="52" t="s">
        <v>584</v>
      </c>
      <c r="F2207" s="52" t="s">
        <v>581</v>
      </c>
      <c r="G2207" s="195" t="s">
        <v>275</v>
      </c>
      <c r="H2207" s="195">
        <v>-0.374218</v>
      </c>
      <c r="I2207" s="195">
        <v>-0.374218</v>
      </c>
      <c r="J2207" s="195">
        <v>0</v>
      </c>
      <c r="K2207" s="195">
        <v>0</v>
      </c>
      <c r="L2207" s="195">
        <v>0</v>
      </c>
      <c r="M2207" s="195">
        <v>0</v>
      </c>
      <c r="N2207" s="195">
        <v>0</v>
      </c>
    </row>
    <row r="2208" spans="1:14" hidden="1" x14ac:dyDescent="0.35">
      <c r="A2208" s="52" t="s">
        <v>271</v>
      </c>
      <c r="B2208" s="52" t="s">
        <v>34</v>
      </c>
      <c r="C2208" s="52" t="s">
        <v>318</v>
      </c>
      <c r="D2208" s="52" t="s">
        <v>318</v>
      </c>
      <c r="E2208" s="52" t="s">
        <v>584</v>
      </c>
      <c r="F2208" s="52" t="s">
        <v>581</v>
      </c>
      <c r="G2208" s="195" t="s">
        <v>275</v>
      </c>
      <c r="H2208" s="195">
        <v>0</v>
      </c>
      <c r="I2208" s="195"/>
      <c r="J2208" s="195"/>
      <c r="K2208" s="195"/>
      <c r="L2208" s="195"/>
      <c r="M2208" s="195"/>
      <c r="N2208" s="195"/>
    </row>
    <row r="2209" spans="1:14" hidden="1" x14ac:dyDescent="0.35">
      <c r="A2209" s="52" t="s">
        <v>271</v>
      </c>
      <c r="B2209" s="52" t="s">
        <v>34</v>
      </c>
      <c r="C2209" s="52" t="s">
        <v>300</v>
      </c>
      <c r="D2209" s="52" t="s">
        <v>300</v>
      </c>
      <c r="E2209" s="52" t="s">
        <v>584</v>
      </c>
      <c r="F2209" s="52" t="s">
        <v>581</v>
      </c>
      <c r="G2209" s="195" t="s">
        <v>276</v>
      </c>
      <c r="H2209" s="195"/>
      <c r="I2209" s="195"/>
      <c r="J2209" s="195">
        <v>-3.3502999999999998E-2</v>
      </c>
      <c r="K2209" s="195">
        <v>-3.3502999999999998E-2</v>
      </c>
      <c r="L2209" s="195">
        <v>-3.3502999999999998E-2</v>
      </c>
      <c r="M2209" s="195">
        <v>-3.3502999999999998E-2</v>
      </c>
      <c r="N2209" s="195">
        <v>-3.3502999999999998E-2</v>
      </c>
    </row>
    <row r="2210" spans="1:14" hidden="1" x14ac:dyDescent="0.35">
      <c r="A2210" s="52" t="s">
        <v>271</v>
      </c>
      <c r="B2210" s="52" t="s">
        <v>34</v>
      </c>
      <c r="C2210" s="52" t="s">
        <v>113</v>
      </c>
      <c r="D2210" s="52" t="s">
        <v>113</v>
      </c>
      <c r="E2210" s="52" t="s">
        <v>584</v>
      </c>
      <c r="F2210" s="52" t="s">
        <v>581</v>
      </c>
      <c r="G2210" s="195" t="s">
        <v>276</v>
      </c>
      <c r="H2210" s="195"/>
      <c r="I2210" s="195"/>
      <c r="J2210" s="195">
        <v>-1.282616</v>
      </c>
      <c r="K2210" s="195">
        <v>-0.374218</v>
      </c>
      <c r="L2210" s="195">
        <v>-0.59003099999999997</v>
      </c>
      <c r="M2210" s="195">
        <v>-2.2322030000000002</v>
      </c>
      <c r="N2210" s="195">
        <v>-0.52587399999999995</v>
      </c>
    </row>
    <row r="2211" spans="1:14" hidden="1" x14ac:dyDescent="0.35">
      <c r="A2211" s="52" t="s">
        <v>271</v>
      </c>
      <c r="B2211" s="52" t="s">
        <v>34</v>
      </c>
      <c r="C2211" s="52" t="s">
        <v>113</v>
      </c>
      <c r="D2211" s="52" t="s">
        <v>113</v>
      </c>
      <c r="E2211" s="52" t="s">
        <v>584</v>
      </c>
      <c r="F2211" s="52" t="s">
        <v>581</v>
      </c>
      <c r="G2211" s="195" t="s">
        <v>277</v>
      </c>
      <c r="H2211" s="195"/>
      <c r="I2211" s="195"/>
      <c r="J2211" s="195"/>
      <c r="K2211" s="195">
        <v>0</v>
      </c>
      <c r="L2211" s="195">
        <v>0.21581400000000001</v>
      </c>
      <c r="M2211" s="195">
        <v>0.215812</v>
      </c>
      <c r="N2211" s="195">
        <v>0.15165600000000001</v>
      </c>
    </row>
    <row r="2212" spans="1:14" hidden="1" x14ac:dyDescent="0.35">
      <c r="A2212" s="52" t="s">
        <v>271</v>
      </c>
      <c r="B2212" s="52" t="s">
        <v>34</v>
      </c>
      <c r="C2212" s="52" t="s">
        <v>113</v>
      </c>
      <c r="D2212" s="52" t="s">
        <v>113</v>
      </c>
      <c r="E2212" s="52" t="s">
        <v>584</v>
      </c>
      <c r="F2212" s="52" t="s">
        <v>581</v>
      </c>
      <c r="G2212" s="195" t="s">
        <v>278</v>
      </c>
      <c r="H2212" s="195">
        <v>0.374218</v>
      </c>
      <c r="I2212" s="195">
        <v>0.374218</v>
      </c>
      <c r="J2212" s="195">
        <v>1.282616</v>
      </c>
      <c r="K2212" s="195">
        <v>0.374218</v>
      </c>
      <c r="L2212" s="195">
        <v>0.374218</v>
      </c>
      <c r="M2212" s="195">
        <v>2.0163899999999999</v>
      </c>
      <c r="N2212" s="195">
        <v>0.374218</v>
      </c>
    </row>
    <row r="2213" spans="1:14" hidden="1" x14ac:dyDescent="0.35">
      <c r="A2213" s="52" t="s">
        <v>271</v>
      </c>
      <c r="B2213" s="52" t="s">
        <v>34</v>
      </c>
      <c r="C2213" s="52" t="s">
        <v>318</v>
      </c>
      <c r="D2213" s="52" t="s">
        <v>318</v>
      </c>
      <c r="E2213" s="52" t="s">
        <v>584</v>
      </c>
      <c r="F2213" s="52" t="s">
        <v>581</v>
      </c>
      <c r="G2213" s="195" t="s">
        <v>278</v>
      </c>
      <c r="H2213" s="195">
        <v>0</v>
      </c>
      <c r="I2213" s="195"/>
      <c r="J2213" s="195"/>
      <c r="K2213" s="195"/>
      <c r="L2213" s="195"/>
      <c r="M2213" s="195"/>
      <c r="N2213" s="195"/>
    </row>
    <row r="2214" spans="1:14" hidden="1" x14ac:dyDescent="0.35">
      <c r="A2214" s="52" t="s">
        <v>271</v>
      </c>
      <c r="B2214" s="52" t="s">
        <v>34</v>
      </c>
      <c r="C2214" s="52" t="s">
        <v>300</v>
      </c>
      <c r="D2214" s="52" t="s">
        <v>300</v>
      </c>
      <c r="E2214" s="52" t="s">
        <v>584</v>
      </c>
      <c r="F2214" s="52" t="s">
        <v>581</v>
      </c>
      <c r="G2214" s="195" t="s">
        <v>278</v>
      </c>
      <c r="H2214" s="195">
        <v>3.3502999999999998E-2</v>
      </c>
      <c r="I2214" s="195">
        <v>3.3502999999999998E-2</v>
      </c>
      <c r="J2214" s="195">
        <v>3.3502999999999998E-2</v>
      </c>
      <c r="K2214" s="195">
        <v>3.3502999999999998E-2</v>
      </c>
      <c r="L2214" s="195">
        <v>3.3502999999999998E-2</v>
      </c>
      <c r="M2214" s="195">
        <v>3.3502999999999998E-2</v>
      </c>
      <c r="N2214" s="195">
        <v>3.3502999999999998E-2</v>
      </c>
    </row>
    <row r="2215" spans="1:14" hidden="1" x14ac:dyDescent="0.35">
      <c r="A2215" s="52" t="s">
        <v>271</v>
      </c>
      <c r="B2215" s="52" t="s">
        <v>34</v>
      </c>
      <c r="C2215" s="52" t="s">
        <v>318</v>
      </c>
      <c r="D2215" s="52" t="s">
        <v>318</v>
      </c>
      <c r="E2215" s="52" t="s">
        <v>584</v>
      </c>
      <c r="F2215" s="52" t="s">
        <v>26</v>
      </c>
      <c r="G2215" s="195" t="s">
        <v>275</v>
      </c>
      <c r="H2215" s="195">
        <v>0</v>
      </c>
      <c r="I2215" s="195"/>
      <c r="J2215" s="195"/>
      <c r="K2215" s="195"/>
      <c r="L2215" s="195"/>
      <c r="M2215" s="195"/>
      <c r="N2215" s="195"/>
    </row>
    <row r="2216" spans="1:14" hidden="1" x14ac:dyDescent="0.35">
      <c r="A2216" s="52" t="s">
        <v>271</v>
      </c>
      <c r="B2216" s="52" t="s">
        <v>34</v>
      </c>
      <c r="C2216" s="52" t="s">
        <v>380</v>
      </c>
      <c r="D2216" s="52" t="s">
        <v>380</v>
      </c>
      <c r="E2216" s="52" t="s">
        <v>584</v>
      </c>
      <c r="F2216" s="52" t="s">
        <v>26</v>
      </c>
      <c r="G2216" s="195" t="s">
        <v>275</v>
      </c>
      <c r="H2216" s="195"/>
      <c r="I2216" s="195"/>
      <c r="J2216" s="195">
        <v>0</v>
      </c>
      <c r="K2216" s="195">
        <v>0</v>
      </c>
      <c r="L2216" s="195">
        <v>0</v>
      </c>
      <c r="M2216" s="195">
        <v>0</v>
      </c>
      <c r="N2216" s="195">
        <v>0</v>
      </c>
    </row>
    <row r="2217" spans="1:14" hidden="1" x14ac:dyDescent="0.35">
      <c r="A2217" s="52" t="s">
        <v>271</v>
      </c>
      <c r="B2217" s="52" t="s">
        <v>34</v>
      </c>
      <c r="C2217" s="52" t="s">
        <v>113</v>
      </c>
      <c r="D2217" s="52" t="s">
        <v>113</v>
      </c>
      <c r="E2217" s="52" t="s">
        <v>584</v>
      </c>
      <c r="F2217" s="52" t="s">
        <v>26</v>
      </c>
      <c r="G2217" s="195" t="s">
        <v>275</v>
      </c>
      <c r="H2217" s="195">
        <v>-2.2460100000000001E-3</v>
      </c>
      <c r="I2217" s="195">
        <v>-2.2460100000000001E-3</v>
      </c>
      <c r="J2217" s="195">
        <v>0</v>
      </c>
      <c r="K2217" s="195">
        <v>0</v>
      </c>
      <c r="L2217" s="195">
        <v>0</v>
      </c>
      <c r="M2217" s="195">
        <v>-90.8446</v>
      </c>
      <c r="N2217" s="195">
        <v>-90.8446</v>
      </c>
    </row>
    <row r="2218" spans="1:14" hidden="1" x14ac:dyDescent="0.35">
      <c r="A2218" s="52" t="s">
        <v>271</v>
      </c>
      <c r="B2218" s="52" t="s">
        <v>34</v>
      </c>
      <c r="C2218" s="52" t="s">
        <v>380</v>
      </c>
      <c r="D2218" s="52" t="s">
        <v>380</v>
      </c>
      <c r="E2218" s="52" t="s">
        <v>584</v>
      </c>
      <c r="F2218" s="52" t="s">
        <v>26</v>
      </c>
      <c r="G2218" s="195" t="s">
        <v>277</v>
      </c>
      <c r="H2218" s="195"/>
      <c r="I2218" s="195"/>
      <c r="J2218" s="195"/>
      <c r="K2218" s="195"/>
      <c r="L2218" s="195"/>
      <c r="M2218" s="195"/>
      <c r="N2218" s="195">
        <v>0</v>
      </c>
    </row>
    <row r="2219" spans="1:14" hidden="1" x14ac:dyDescent="0.35">
      <c r="A2219" s="52" t="s">
        <v>271</v>
      </c>
      <c r="B2219" s="52" t="s">
        <v>34</v>
      </c>
      <c r="C2219" s="52" t="s">
        <v>113</v>
      </c>
      <c r="D2219" s="52" t="s">
        <v>113</v>
      </c>
      <c r="E2219" s="52" t="s">
        <v>584</v>
      </c>
      <c r="F2219" s="52" t="s">
        <v>26</v>
      </c>
      <c r="G2219" s="195" t="s">
        <v>277</v>
      </c>
      <c r="H2219" s="195">
        <v>0</v>
      </c>
      <c r="I2219" s="195"/>
      <c r="J2219" s="195"/>
      <c r="K2219" s="195"/>
      <c r="L2219" s="195"/>
      <c r="M2219" s="195">
        <v>0</v>
      </c>
      <c r="N2219" s="195">
        <v>0</v>
      </c>
    </row>
    <row r="2220" spans="1:14" hidden="1" x14ac:dyDescent="0.35">
      <c r="A2220" s="52" t="s">
        <v>271</v>
      </c>
      <c r="B2220" s="52" t="s">
        <v>34</v>
      </c>
      <c r="C2220" s="52" t="s">
        <v>113</v>
      </c>
      <c r="D2220" s="52" t="s">
        <v>113</v>
      </c>
      <c r="E2220" s="52" t="s">
        <v>584</v>
      </c>
      <c r="F2220" s="52" t="s">
        <v>26</v>
      </c>
      <c r="G2220" s="195" t="s">
        <v>278</v>
      </c>
      <c r="H2220" s="195">
        <v>2.2460100000000001E-3</v>
      </c>
      <c r="I2220" s="195">
        <v>2.2460100000000001E-3</v>
      </c>
      <c r="J2220" s="195">
        <v>0</v>
      </c>
      <c r="K2220" s="195">
        <v>0</v>
      </c>
      <c r="L2220" s="195">
        <v>0</v>
      </c>
      <c r="M2220" s="195">
        <v>0</v>
      </c>
      <c r="N2220" s="195">
        <v>0</v>
      </c>
    </row>
    <row r="2221" spans="1:14" hidden="1" x14ac:dyDescent="0.35">
      <c r="A2221" s="52" t="s">
        <v>271</v>
      </c>
      <c r="B2221" s="52" t="s">
        <v>34</v>
      </c>
      <c r="C2221" s="52" t="s">
        <v>318</v>
      </c>
      <c r="D2221" s="52" t="s">
        <v>318</v>
      </c>
      <c r="E2221" s="52" t="s">
        <v>584</v>
      </c>
      <c r="F2221" s="52" t="s">
        <v>26</v>
      </c>
      <c r="G2221" s="195" t="s">
        <v>278</v>
      </c>
      <c r="H2221" s="195">
        <v>0</v>
      </c>
      <c r="I2221" s="195"/>
      <c r="J2221" s="195"/>
      <c r="K2221" s="195"/>
      <c r="L2221" s="195"/>
      <c r="M2221" s="195"/>
      <c r="N2221" s="195"/>
    </row>
    <row r="2222" spans="1:14" hidden="1" x14ac:dyDescent="0.35">
      <c r="A2222" s="52" t="s">
        <v>271</v>
      </c>
      <c r="B2222" s="52" t="s">
        <v>34</v>
      </c>
      <c r="C2222" s="52" t="s">
        <v>380</v>
      </c>
      <c r="D2222" s="52" t="s">
        <v>380</v>
      </c>
      <c r="E2222" s="52" t="s">
        <v>584</v>
      </c>
      <c r="F2222" s="52" t="s">
        <v>26</v>
      </c>
      <c r="G2222" s="195" t="s">
        <v>278</v>
      </c>
      <c r="H2222" s="195"/>
      <c r="I2222" s="195"/>
      <c r="J2222" s="195">
        <v>0</v>
      </c>
      <c r="K2222" s="195">
        <v>0</v>
      </c>
      <c r="L2222" s="195">
        <v>0</v>
      </c>
      <c r="M2222" s="195">
        <v>0</v>
      </c>
      <c r="N2222" s="195">
        <v>0</v>
      </c>
    </row>
    <row r="2223" spans="1:14" hidden="1" x14ac:dyDescent="0.35">
      <c r="A2223" s="52" t="s">
        <v>271</v>
      </c>
      <c r="B2223" s="52" t="s">
        <v>34</v>
      </c>
      <c r="C2223" s="52" t="s">
        <v>113</v>
      </c>
      <c r="D2223" s="52" t="s">
        <v>113</v>
      </c>
      <c r="E2223" s="52" t="s">
        <v>584</v>
      </c>
      <c r="F2223" s="52" t="s">
        <v>26</v>
      </c>
      <c r="G2223" s="195" t="s">
        <v>279</v>
      </c>
      <c r="H2223" s="195"/>
      <c r="I2223" s="195"/>
      <c r="J2223" s="195"/>
      <c r="K2223" s="195"/>
      <c r="L2223" s="195">
        <v>0</v>
      </c>
      <c r="M2223" s="195">
        <v>90.8446</v>
      </c>
      <c r="N2223" s="195">
        <v>90.8446</v>
      </c>
    </row>
    <row r="2224" spans="1:14" hidden="1" x14ac:dyDescent="0.35">
      <c r="A2224" s="52" t="s">
        <v>271</v>
      </c>
      <c r="B2224" s="52" t="s">
        <v>174</v>
      </c>
      <c r="C2224" s="52" t="s">
        <v>203</v>
      </c>
      <c r="D2224" s="52" t="s">
        <v>203</v>
      </c>
      <c r="E2224" s="52" t="s">
        <v>584</v>
      </c>
      <c r="F2224" s="52" t="s">
        <v>581</v>
      </c>
      <c r="G2224" s="195" t="s">
        <v>275</v>
      </c>
      <c r="H2224" s="195">
        <v>17.284199999999998</v>
      </c>
      <c r="I2224" s="195">
        <v>-1.947011</v>
      </c>
      <c r="J2224" s="195">
        <v>-6.8199620000000003</v>
      </c>
      <c r="K2224" s="195">
        <v>-2.0536620000000001</v>
      </c>
      <c r="L2224" s="195">
        <v>-2.521029</v>
      </c>
      <c r="M2224" s="195">
        <v>-29.98246</v>
      </c>
      <c r="N2224" s="195"/>
    </row>
    <row r="2225" spans="1:14" hidden="1" x14ac:dyDescent="0.35">
      <c r="A2225" s="52" t="s">
        <v>271</v>
      </c>
      <c r="B2225" s="52" t="s">
        <v>174</v>
      </c>
      <c r="C2225" s="52" t="s">
        <v>203</v>
      </c>
      <c r="D2225" s="52" t="s">
        <v>203</v>
      </c>
      <c r="E2225" s="52" t="s">
        <v>584</v>
      </c>
      <c r="F2225" s="52" t="s">
        <v>581</v>
      </c>
      <c r="G2225" s="195" t="s">
        <v>276</v>
      </c>
      <c r="H2225" s="195">
        <v>6.6656180000000003</v>
      </c>
      <c r="I2225" s="195">
        <v>2.1725409999999998</v>
      </c>
      <c r="J2225" s="195">
        <v>1.5681339999999999</v>
      </c>
      <c r="K2225" s="195">
        <v>1.2998799999999999</v>
      </c>
      <c r="L2225" s="195">
        <v>1.0569839999999999</v>
      </c>
      <c r="M2225" s="195"/>
      <c r="N2225" s="195"/>
    </row>
    <row r="2226" spans="1:14" hidden="1" x14ac:dyDescent="0.35">
      <c r="A2226" s="52" t="s">
        <v>271</v>
      </c>
      <c r="B2226" s="52" t="s">
        <v>174</v>
      </c>
      <c r="C2226" s="52" t="s">
        <v>203</v>
      </c>
      <c r="D2226" s="52" t="s">
        <v>203</v>
      </c>
      <c r="E2226" s="52" t="s">
        <v>584</v>
      </c>
      <c r="F2226" s="52" t="s">
        <v>581</v>
      </c>
      <c r="G2226" s="195" t="s">
        <v>277</v>
      </c>
      <c r="H2226" s="195">
        <v>6.8011999999999997</v>
      </c>
      <c r="I2226" s="195">
        <v>0</v>
      </c>
      <c r="J2226" s="195">
        <v>0.83571510000000004</v>
      </c>
      <c r="K2226" s="195"/>
      <c r="L2226" s="195"/>
      <c r="M2226" s="195"/>
      <c r="N2226" s="195"/>
    </row>
    <row r="2227" spans="1:14" hidden="1" x14ac:dyDescent="0.35">
      <c r="A2227" s="52" t="s">
        <v>271</v>
      </c>
      <c r="B2227" s="52" t="s">
        <v>174</v>
      </c>
      <c r="C2227" s="52" t="s">
        <v>203</v>
      </c>
      <c r="D2227" s="52" t="s">
        <v>203</v>
      </c>
      <c r="E2227" s="52" t="s">
        <v>584</v>
      </c>
      <c r="F2227" s="52" t="s">
        <v>581</v>
      </c>
      <c r="G2227" s="195" t="s">
        <v>278</v>
      </c>
      <c r="H2227" s="195">
        <v>3.61348</v>
      </c>
      <c r="I2227" s="195">
        <v>4.3426429999999998</v>
      </c>
      <c r="J2227" s="195">
        <v>5.5216279999999998</v>
      </c>
      <c r="K2227" s="195">
        <v>0</v>
      </c>
      <c r="L2227" s="195"/>
      <c r="M2227" s="195"/>
      <c r="N2227" s="195"/>
    </row>
    <row r="2228" spans="1:14" hidden="1" x14ac:dyDescent="0.35">
      <c r="A2228" s="52" t="s">
        <v>271</v>
      </c>
      <c r="B2228" s="52" t="s">
        <v>174</v>
      </c>
      <c r="C2228" s="52" t="s">
        <v>203</v>
      </c>
      <c r="D2228" s="52" t="s">
        <v>203</v>
      </c>
      <c r="E2228" s="52" t="s">
        <v>584</v>
      </c>
      <c r="F2228" s="52" t="s">
        <v>581</v>
      </c>
      <c r="G2228" s="195" t="s">
        <v>279</v>
      </c>
      <c r="H2228" s="195">
        <v>13.474399999999999</v>
      </c>
      <c r="I2228" s="195">
        <v>11.02407</v>
      </c>
      <c r="J2228" s="195">
        <v>10.14892</v>
      </c>
      <c r="K2228" s="195">
        <v>9.8866379999999996</v>
      </c>
      <c r="L2228" s="195">
        <v>9.0499799999999997</v>
      </c>
      <c r="M2228" s="195">
        <v>29.982469999999999</v>
      </c>
      <c r="N2228" s="195">
        <v>0</v>
      </c>
    </row>
    <row r="2229" spans="1:14" hidden="1" x14ac:dyDescent="0.35">
      <c r="A2229" s="52" t="s">
        <v>271</v>
      </c>
      <c r="B2229" s="52" t="s">
        <v>174</v>
      </c>
      <c r="C2229" s="52" t="s">
        <v>272</v>
      </c>
      <c r="D2229" s="52" t="s">
        <v>272</v>
      </c>
      <c r="E2229" s="52" t="s">
        <v>584</v>
      </c>
      <c r="F2229" s="52" t="s">
        <v>581</v>
      </c>
      <c r="G2229" s="195" t="s">
        <v>275</v>
      </c>
      <c r="H2229" s="195">
        <v>3.8320940000000001</v>
      </c>
      <c r="I2229" s="195">
        <v>0.95894900000000005</v>
      </c>
      <c r="J2229" s="195">
        <v>-6.6640730000000001</v>
      </c>
      <c r="K2229" s="195">
        <v>-0.81213210000000002</v>
      </c>
      <c r="L2229" s="195">
        <v>-1.049715</v>
      </c>
      <c r="M2229" s="195">
        <v>-20.88701</v>
      </c>
      <c r="N2229" s="195"/>
    </row>
    <row r="2230" spans="1:14" hidden="1" x14ac:dyDescent="0.35">
      <c r="A2230" s="52" t="s">
        <v>271</v>
      </c>
      <c r="B2230" s="52" t="s">
        <v>174</v>
      </c>
      <c r="C2230" s="52" t="s">
        <v>272</v>
      </c>
      <c r="D2230" s="52" t="s">
        <v>272</v>
      </c>
      <c r="E2230" s="52" t="s">
        <v>584</v>
      </c>
      <c r="F2230" s="52" t="s">
        <v>581</v>
      </c>
      <c r="G2230" s="195" t="s">
        <v>276</v>
      </c>
      <c r="H2230" s="195">
        <v>3.1385100000000001</v>
      </c>
      <c r="I2230" s="195">
        <v>1.074173</v>
      </c>
      <c r="J2230" s="195">
        <v>0.81533009999999995</v>
      </c>
      <c r="K2230" s="195">
        <v>0.71846200000000005</v>
      </c>
      <c r="L2230" s="195">
        <v>0.63310679999999997</v>
      </c>
      <c r="M2230" s="195"/>
      <c r="N2230" s="195"/>
    </row>
    <row r="2231" spans="1:14" hidden="1" x14ac:dyDescent="0.35">
      <c r="A2231" s="52" t="s">
        <v>271</v>
      </c>
      <c r="B2231" s="52" t="s">
        <v>174</v>
      </c>
      <c r="C2231" s="52" t="s">
        <v>272</v>
      </c>
      <c r="D2231" s="52" t="s">
        <v>272</v>
      </c>
      <c r="E2231" s="52" t="s">
        <v>584</v>
      </c>
      <c r="F2231" s="52" t="s">
        <v>581</v>
      </c>
      <c r="G2231" s="195" t="s">
        <v>277</v>
      </c>
      <c r="H2231" s="195">
        <v>4.8411999999999997</v>
      </c>
      <c r="I2231" s="195">
        <v>0</v>
      </c>
      <c r="J2231" s="195"/>
      <c r="K2231" s="195"/>
      <c r="L2231" s="195"/>
      <c r="M2231" s="195"/>
      <c r="N2231" s="195"/>
    </row>
    <row r="2232" spans="1:14" hidden="1" x14ac:dyDescent="0.35">
      <c r="A2232" s="52" t="s">
        <v>271</v>
      </c>
      <c r="B2232" s="52" t="s">
        <v>174</v>
      </c>
      <c r="C2232" s="52" t="s">
        <v>272</v>
      </c>
      <c r="D2232" s="52" t="s">
        <v>272</v>
      </c>
      <c r="E2232" s="52" t="s">
        <v>584</v>
      </c>
      <c r="F2232" s="52" t="s">
        <v>581</v>
      </c>
      <c r="G2232" s="195" t="s">
        <v>278</v>
      </c>
      <c r="H2232" s="195">
        <v>4.2913370000000004</v>
      </c>
      <c r="I2232" s="195">
        <v>0.25351810000000002</v>
      </c>
      <c r="J2232" s="195">
        <v>6.4837429999999996</v>
      </c>
      <c r="K2232" s="195">
        <v>0</v>
      </c>
      <c r="L2232" s="195"/>
      <c r="M2232" s="195"/>
      <c r="N2232" s="195"/>
    </row>
    <row r="2233" spans="1:14" hidden="1" x14ac:dyDescent="0.35">
      <c r="A2233" s="52" t="s">
        <v>271</v>
      </c>
      <c r="B2233" s="52" t="s">
        <v>174</v>
      </c>
      <c r="C2233" s="52" t="s">
        <v>272</v>
      </c>
      <c r="D2233" s="52" t="s">
        <v>272</v>
      </c>
      <c r="E2233" s="52" t="s">
        <v>584</v>
      </c>
      <c r="F2233" s="52" t="s">
        <v>581</v>
      </c>
      <c r="G2233" s="195" t="s">
        <v>279</v>
      </c>
      <c r="H2233" s="195">
        <v>6.4218190000000002</v>
      </c>
      <c r="I2233" s="195">
        <v>5.4226570000000001</v>
      </c>
      <c r="J2233" s="195">
        <v>5.1363130000000004</v>
      </c>
      <c r="K2233" s="195">
        <v>5.1557430000000002</v>
      </c>
      <c r="L2233" s="195">
        <v>4.879321</v>
      </c>
      <c r="M2233" s="195">
        <v>21.826930000000001</v>
      </c>
      <c r="N2233" s="195">
        <v>0.88910449999999996</v>
      </c>
    </row>
    <row r="2234" spans="1:14" hidden="1" x14ac:dyDescent="0.35">
      <c r="A2234" s="52" t="s">
        <v>271</v>
      </c>
      <c r="B2234" s="52" t="s">
        <v>53</v>
      </c>
      <c r="C2234" s="52" t="s">
        <v>318</v>
      </c>
      <c r="D2234" s="52" t="s">
        <v>318</v>
      </c>
      <c r="E2234" s="52" t="s">
        <v>584</v>
      </c>
      <c r="F2234" s="52" t="s">
        <v>581</v>
      </c>
      <c r="G2234" s="195" t="s">
        <v>275</v>
      </c>
      <c r="H2234" s="195">
        <v>0</v>
      </c>
      <c r="I2234" s="195"/>
      <c r="J2234" s="195"/>
      <c r="K2234" s="195"/>
      <c r="L2234" s="195"/>
      <c r="M2234" s="195"/>
      <c r="N2234" s="195"/>
    </row>
    <row r="2235" spans="1:14" hidden="1" x14ac:dyDescent="0.35">
      <c r="A2235" s="52" t="s">
        <v>271</v>
      </c>
      <c r="B2235" s="52" t="s">
        <v>53</v>
      </c>
      <c r="C2235" s="52" t="s">
        <v>318</v>
      </c>
      <c r="D2235" s="52" t="s">
        <v>318</v>
      </c>
      <c r="E2235" s="52" t="s">
        <v>584</v>
      </c>
      <c r="F2235" s="52" t="s">
        <v>581</v>
      </c>
      <c r="G2235" s="195" t="s">
        <v>278</v>
      </c>
      <c r="H2235" s="195">
        <v>0</v>
      </c>
      <c r="I2235" s="195"/>
      <c r="J2235" s="195"/>
      <c r="K2235" s="195"/>
      <c r="L2235" s="195"/>
      <c r="M2235" s="195"/>
      <c r="N2235" s="195"/>
    </row>
    <row r="2236" spans="1:14" hidden="1" x14ac:dyDescent="0.35">
      <c r="A2236" s="52" t="s">
        <v>271</v>
      </c>
      <c r="B2236" s="52" t="s">
        <v>53</v>
      </c>
      <c r="C2236" s="52" t="s">
        <v>318</v>
      </c>
      <c r="D2236" s="52" t="s">
        <v>318</v>
      </c>
      <c r="E2236" s="52" t="s">
        <v>584</v>
      </c>
      <c r="F2236" s="52" t="s">
        <v>26</v>
      </c>
      <c r="G2236" s="195" t="s">
        <v>275</v>
      </c>
      <c r="H2236" s="195">
        <v>0</v>
      </c>
      <c r="I2236" s="195"/>
      <c r="J2236" s="195"/>
      <c r="K2236" s="195"/>
      <c r="L2236" s="195"/>
      <c r="M2236" s="195"/>
      <c r="N2236" s="195"/>
    </row>
    <row r="2237" spans="1:14" hidden="1" x14ac:dyDescent="0.35">
      <c r="A2237" s="52" t="s">
        <v>271</v>
      </c>
      <c r="B2237" s="52" t="s">
        <v>53</v>
      </c>
      <c r="C2237" s="52" t="s">
        <v>318</v>
      </c>
      <c r="D2237" s="52" t="s">
        <v>318</v>
      </c>
      <c r="E2237" s="52" t="s">
        <v>584</v>
      </c>
      <c r="F2237" s="52" t="s">
        <v>26</v>
      </c>
      <c r="G2237" s="195" t="s">
        <v>278</v>
      </c>
      <c r="H2237" s="195">
        <v>0</v>
      </c>
      <c r="I2237" s="195"/>
      <c r="J2237" s="195"/>
      <c r="K2237" s="195"/>
      <c r="L2237" s="195"/>
      <c r="M2237" s="195"/>
      <c r="N2237" s="195"/>
    </row>
    <row r="2238" spans="1:14" hidden="1" x14ac:dyDescent="0.35">
      <c r="A2238" s="52" t="s">
        <v>243</v>
      </c>
      <c r="B2238" s="52" t="s">
        <v>37</v>
      </c>
      <c r="C2238" s="52" t="s">
        <v>218</v>
      </c>
      <c r="D2238" s="52" t="s">
        <v>218</v>
      </c>
      <c r="E2238" s="52" t="s">
        <v>593</v>
      </c>
      <c r="F2238" s="52" t="s">
        <v>581</v>
      </c>
      <c r="G2238" s="195" t="s">
        <v>275</v>
      </c>
      <c r="H2238" s="195">
        <v>265.75299999999999</v>
      </c>
      <c r="I2238" s="195">
        <v>-136.81569999999999</v>
      </c>
      <c r="J2238" s="195">
        <v>142.14879999999999</v>
      </c>
      <c r="K2238" s="195">
        <v>113.13160000000001</v>
      </c>
      <c r="L2238" s="195">
        <v>68.241230000000002</v>
      </c>
      <c r="M2238" s="195">
        <v>52.848590000000002</v>
      </c>
      <c r="N2238" s="195">
        <v>23.278739999999999</v>
      </c>
    </row>
    <row r="2239" spans="1:14" hidden="1" x14ac:dyDescent="0.35">
      <c r="A2239" s="52" t="s">
        <v>243</v>
      </c>
      <c r="B2239" s="52" t="s">
        <v>37</v>
      </c>
      <c r="C2239" s="52" t="s">
        <v>218</v>
      </c>
      <c r="D2239" s="52" t="s">
        <v>218</v>
      </c>
      <c r="E2239" s="52" t="s">
        <v>593</v>
      </c>
      <c r="F2239" s="52" t="s">
        <v>581</v>
      </c>
      <c r="G2239" s="195" t="s">
        <v>276</v>
      </c>
      <c r="H2239" s="195">
        <v>-4.1370399999999998</v>
      </c>
      <c r="I2239" s="195">
        <v>-82.395070000000004</v>
      </c>
      <c r="J2239" s="195">
        <v>-91.129180000000005</v>
      </c>
      <c r="K2239" s="195">
        <v>-82.671809999999994</v>
      </c>
      <c r="L2239" s="195">
        <v>-49.783239999999999</v>
      </c>
      <c r="M2239" s="195">
        <v>-25.81157</v>
      </c>
      <c r="N2239" s="195">
        <v>1.694404</v>
      </c>
    </row>
    <row r="2240" spans="1:14" hidden="1" x14ac:dyDescent="0.35">
      <c r="A2240" s="52" t="s">
        <v>243</v>
      </c>
      <c r="B2240" s="52" t="s">
        <v>37</v>
      </c>
      <c r="C2240" s="52" t="s">
        <v>218</v>
      </c>
      <c r="D2240" s="52" t="s">
        <v>218</v>
      </c>
      <c r="E2240" s="52" t="s">
        <v>593</v>
      </c>
      <c r="F2240" s="52" t="s">
        <v>581</v>
      </c>
      <c r="G2240" s="195" t="s">
        <v>277</v>
      </c>
      <c r="H2240" s="195">
        <v>526.18539999999996</v>
      </c>
      <c r="I2240" s="195">
        <v>329.02089999999998</v>
      </c>
      <c r="J2240" s="195">
        <v>12.963660000000001</v>
      </c>
      <c r="K2240" s="195">
        <v>20.010480000000001</v>
      </c>
      <c r="L2240" s="195">
        <v>9.1628439999999998</v>
      </c>
      <c r="M2240" s="195">
        <v>3.2492329999999998</v>
      </c>
      <c r="N2240" s="195">
        <v>0</v>
      </c>
    </row>
    <row r="2241" spans="1:14" hidden="1" x14ac:dyDescent="0.35">
      <c r="A2241" s="52" t="s">
        <v>243</v>
      </c>
      <c r="B2241" s="52" t="s">
        <v>37</v>
      </c>
      <c r="C2241" s="52" t="s">
        <v>218</v>
      </c>
      <c r="D2241" s="52" t="s">
        <v>218</v>
      </c>
      <c r="E2241" s="52" t="s">
        <v>593</v>
      </c>
      <c r="F2241" s="52" t="s">
        <v>581</v>
      </c>
      <c r="G2241" s="195" t="s">
        <v>278</v>
      </c>
      <c r="H2241" s="195">
        <v>20.74465</v>
      </c>
      <c r="I2241" s="195">
        <v>20.979109999999999</v>
      </c>
      <c r="J2241" s="195">
        <v>14.605169999999999</v>
      </c>
      <c r="K2241" s="195">
        <v>9.9366850000000007</v>
      </c>
      <c r="L2241" s="195">
        <v>6.6644009999999998</v>
      </c>
      <c r="M2241" s="195">
        <v>0</v>
      </c>
      <c r="N2241" s="195">
        <v>0</v>
      </c>
    </row>
    <row r="2242" spans="1:14" hidden="1" x14ac:dyDescent="0.35">
      <c r="A2242" s="52" t="s">
        <v>243</v>
      </c>
      <c r="B2242" s="52" t="s">
        <v>37</v>
      </c>
      <c r="C2242" s="52" t="s">
        <v>218</v>
      </c>
      <c r="D2242" s="52" t="s">
        <v>218</v>
      </c>
      <c r="E2242" s="52" t="s">
        <v>593</v>
      </c>
      <c r="F2242" s="52" t="s">
        <v>581</v>
      </c>
      <c r="G2242" s="195" t="s">
        <v>279</v>
      </c>
      <c r="H2242" s="195">
        <v>415.18389999999999</v>
      </c>
      <c r="I2242" s="195">
        <v>302.15350000000001</v>
      </c>
      <c r="J2242" s="195">
        <v>251.3073</v>
      </c>
      <c r="K2242" s="195">
        <v>215.29419999999999</v>
      </c>
      <c r="L2242" s="195">
        <v>201.3827</v>
      </c>
      <c r="M2242" s="195">
        <v>169.14599999999999</v>
      </c>
      <c r="N2242" s="195">
        <v>141.18440000000001</v>
      </c>
    </row>
    <row r="2243" spans="1:14" hidden="1" x14ac:dyDescent="0.35">
      <c r="A2243" s="52" t="s">
        <v>243</v>
      </c>
      <c r="B2243" s="52" t="s">
        <v>37</v>
      </c>
      <c r="C2243" s="52" t="s">
        <v>218</v>
      </c>
      <c r="D2243" s="52" t="s">
        <v>218</v>
      </c>
      <c r="E2243" s="52" t="s">
        <v>593</v>
      </c>
      <c r="F2243" s="52" t="s">
        <v>26</v>
      </c>
      <c r="G2243" s="195" t="s">
        <v>275</v>
      </c>
      <c r="H2243" s="195">
        <v>-74.124520000000004</v>
      </c>
      <c r="I2243" s="195">
        <v>-70.456770000000006</v>
      </c>
      <c r="J2243" s="195">
        <v>-57.156590000000001</v>
      </c>
      <c r="K2243" s="195">
        <v>-53.35172</v>
      </c>
      <c r="L2243" s="195">
        <v>-55.566049999999997</v>
      </c>
      <c r="M2243" s="195">
        <v>-47.373690000000003</v>
      </c>
      <c r="N2243" s="195">
        <v>-40.013800000000003</v>
      </c>
    </row>
    <row r="2244" spans="1:14" hidden="1" x14ac:dyDescent="0.35">
      <c r="A2244" s="52" t="s">
        <v>243</v>
      </c>
      <c r="B2244" s="52" t="s">
        <v>37</v>
      </c>
      <c r="C2244" s="52" t="s">
        <v>218</v>
      </c>
      <c r="D2244" s="52" t="s">
        <v>218</v>
      </c>
      <c r="E2244" s="52" t="s">
        <v>593</v>
      </c>
      <c r="F2244" s="52" t="s">
        <v>26</v>
      </c>
      <c r="G2244" s="195" t="s">
        <v>276</v>
      </c>
      <c r="H2244" s="195">
        <v>-19.704000000000001</v>
      </c>
      <c r="I2244" s="195">
        <v>-18.729030000000002</v>
      </c>
      <c r="J2244" s="195">
        <v>-15.193519999999999</v>
      </c>
      <c r="K2244" s="195">
        <v>-14.1821</v>
      </c>
      <c r="L2244" s="195">
        <v>-14.77073</v>
      </c>
      <c r="M2244" s="195">
        <v>-12.593</v>
      </c>
      <c r="N2244" s="195">
        <v>-10.63658</v>
      </c>
    </row>
    <row r="2245" spans="1:14" hidden="1" x14ac:dyDescent="0.35">
      <c r="A2245" s="52" t="s">
        <v>243</v>
      </c>
      <c r="B2245" s="52" t="s">
        <v>37</v>
      </c>
      <c r="C2245" s="52" t="s">
        <v>218</v>
      </c>
      <c r="D2245" s="52" t="s">
        <v>218</v>
      </c>
      <c r="E2245" s="52" t="s">
        <v>593</v>
      </c>
      <c r="F2245" s="52" t="s">
        <v>26</v>
      </c>
      <c r="G2245" s="195" t="s">
        <v>279</v>
      </c>
      <c r="H2245" s="195">
        <v>245.65129999999999</v>
      </c>
      <c r="I2245" s="195">
        <v>194.38149999999999</v>
      </c>
      <c r="J2245" s="195">
        <v>166.82550000000001</v>
      </c>
      <c r="K2245" s="195">
        <v>148.82069999999999</v>
      </c>
      <c r="L2245" s="195">
        <v>141.0727</v>
      </c>
      <c r="M2245" s="195">
        <v>120.6756</v>
      </c>
      <c r="N2245" s="195">
        <v>102.1621</v>
      </c>
    </row>
    <row r="2246" spans="1:14" hidden="1" x14ac:dyDescent="0.35">
      <c r="A2246" s="52" t="s">
        <v>243</v>
      </c>
      <c r="B2246" s="52" t="s">
        <v>37</v>
      </c>
      <c r="C2246" s="52" t="s">
        <v>218</v>
      </c>
      <c r="D2246" s="52" t="s">
        <v>218</v>
      </c>
      <c r="E2246" s="52" t="s">
        <v>594</v>
      </c>
      <c r="F2246" s="52" t="s">
        <v>581</v>
      </c>
      <c r="G2246" s="195" t="s">
        <v>275</v>
      </c>
      <c r="H2246" s="195">
        <v>72.534670000000006</v>
      </c>
      <c r="I2246" s="195">
        <v>15.71067</v>
      </c>
      <c r="J2246" s="195">
        <v>49.417589999999997</v>
      </c>
      <c r="K2246" s="195">
        <v>23.123889999999999</v>
      </c>
      <c r="L2246" s="195">
        <v>20.903749999999999</v>
      </c>
      <c r="M2246" s="195">
        <v>15.504810000000001</v>
      </c>
      <c r="N2246" s="195">
        <v>8.822184</v>
      </c>
    </row>
    <row r="2247" spans="1:14" hidden="1" x14ac:dyDescent="0.35">
      <c r="A2247" s="52" t="s">
        <v>243</v>
      </c>
      <c r="B2247" s="52" t="s">
        <v>37</v>
      </c>
      <c r="C2247" s="52" t="s">
        <v>218</v>
      </c>
      <c r="D2247" s="52" t="s">
        <v>218</v>
      </c>
      <c r="E2247" s="52" t="s">
        <v>594</v>
      </c>
      <c r="F2247" s="52" t="s">
        <v>581</v>
      </c>
      <c r="G2247" s="195" t="s">
        <v>276</v>
      </c>
      <c r="H2247" s="195">
        <v>-16.598510000000001</v>
      </c>
      <c r="I2247" s="195">
        <v>-25.627369999999999</v>
      </c>
      <c r="J2247" s="195">
        <v>-33.66966</v>
      </c>
      <c r="K2247" s="195">
        <v>-21.31005</v>
      </c>
      <c r="L2247" s="195">
        <v>-9.1407810000000005</v>
      </c>
      <c r="M2247" s="195">
        <v>-2.7106509999999999</v>
      </c>
      <c r="N2247" s="195">
        <v>0.3803494</v>
      </c>
    </row>
    <row r="2248" spans="1:14" hidden="1" x14ac:dyDescent="0.35">
      <c r="A2248" s="52" t="s">
        <v>243</v>
      </c>
      <c r="B2248" s="52" t="s">
        <v>37</v>
      </c>
      <c r="C2248" s="52" t="s">
        <v>218</v>
      </c>
      <c r="D2248" s="52" t="s">
        <v>218</v>
      </c>
      <c r="E2248" s="52" t="s">
        <v>594</v>
      </c>
      <c r="F2248" s="52" t="s">
        <v>581</v>
      </c>
      <c r="G2248" s="195" t="s">
        <v>277</v>
      </c>
      <c r="H2248" s="195">
        <v>119.33199999999999</v>
      </c>
      <c r="I2248" s="195">
        <v>45.269179999999999</v>
      </c>
      <c r="J2248" s="195">
        <v>3.4357389999999999</v>
      </c>
      <c r="K2248" s="195">
        <v>18.824819999999999</v>
      </c>
      <c r="L2248" s="195">
        <v>2.9178000000000002</v>
      </c>
      <c r="M2248" s="195">
        <v>0</v>
      </c>
      <c r="N2248" s="195">
        <v>0</v>
      </c>
    </row>
    <row r="2249" spans="1:14" hidden="1" x14ac:dyDescent="0.35">
      <c r="A2249" s="52" t="s">
        <v>243</v>
      </c>
      <c r="B2249" s="52" t="s">
        <v>37</v>
      </c>
      <c r="C2249" s="52" t="s">
        <v>218</v>
      </c>
      <c r="D2249" s="52" t="s">
        <v>218</v>
      </c>
      <c r="E2249" s="52" t="s">
        <v>594</v>
      </c>
      <c r="F2249" s="52" t="s">
        <v>581</v>
      </c>
      <c r="G2249" s="195" t="s">
        <v>278</v>
      </c>
      <c r="H2249" s="195">
        <v>2.7680259999999999</v>
      </c>
      <c r="I2249" s="195">
        <v>4.7308159999999999</v>
      </c>
      <c r="J2249" s="195">
        <v>6.3718199999999996</v>
      </c>
      <c r="K2249" s="195">
        <v>6.1646219999999996</v>
      </c>
      <c r="L2249" s="195">
        <v>3.4513560000000001</v>
      </c>
      <c r="M2249" s="195">
        <v>0</v>
      </c>
      <c r="N2249" s="195">
        <v>0</v>
      </c>
    </row>
    <row r="2250" spans="1:14" hidden="1" x14ac:dyDescent="0.35">
      <c r="A2250" s="52" t="s">
        <v>243</v>
      </c>
      <c r="B2250" s="52" t="s">
        <v>37</v>
      </c>
      <c r="C2250" s="52" t="s">
        <v>218</v>
      </c>
      <c r="D2250" s="52" t="s">
        <v>218</v>
      </c>
      <c r="E2250" s="52" t="s">
        <v>594</v>
      </c>
      <c r="F2250" s="52" t="s">
        <v>581</v>
      </c>
      <c r="G2250" s="195" t="s">
        <v>279</v>
      </c>
      <c r="H2250" s="195">
        <v>78.726020000000005</v>
      </c>
      <c r="I2250" s="195">
        <v>65.562830000000005</v>
      </c>
      <c r="J2250" s="195">
        <v>55.130459999999999</v>
      </c>
      <c r="K2250" s="195">
        <v>64.542270000000002</v>
      </c>
      <c r="L2250" s="195">
        <v>61.30124</v>
      </c>
      <c r="M2250" s="195">
        <v>40.97925</v>
      </c>
      <c r="N2250" s="195">
        <v>29.500360000000001</v>
      </c>
    </row>
    <row r="2251" spans="1:14" hidden="1" x14ac:dyDescent="0.35">
      <c r="A2251" s="52" t="s">
        <v>243</v>
      </c>
      <c r="B2251" s="52" t="s">
        <v>37</v>
      </c>
      <c r="C2251" s="52" t="s">
        <v>218</v>
      </c>
      <c r="D2251" s="52" t="s">
        <v>218</v>
      </c>
      <c r="E2251" s="52" t="s">
        <v>594</v>
      </c>
      <c r="F2251" s="52" t="s">
        <v>26</v>
      </c>
      <c r="G2251" s="195" t="s">
        <v>275</v>
      </c>
      <c r="H2251" s="195">
        <v>-8.1205029999999994</v>
      </c>
      <c r="I2251" s="195">
        <v>-9.1421720000000004</v>
      </c>
      <c r="J2251" s="195">
        <v>-7.5250159999999999</v>
      </c>
      <c r="K2251" s="195">
        <v>-9.5252490000000005</v>
      </c>
      <c r="L2251" s="195">
        <v>-9.7073780000000003</v>
      </c>
      <c r="M2251" s="195">
        <v>-6.4671240000000001</v>
      </c>
      <c r="N2251" s="195">
        <v>-4.6493219999999997</v>
      </c>
    </row>
    <row r="2252" spans="1:14" hidden="1" x14ac:dyDescent="0.35">
      <c r="A2252" s="52" t="s">
        <v>243</v>
      </c>
      <c r="B2252" s="52" t="s">
        <v>37</v>
      </c>
      <c r="C2252" s="52" t="s">
        <v>218</v>
      </c>
      <c r="D2252" s="52" t="s">
        <v>218</v>
      </c>
      <c r="E2252" s="52" t="s">
        <v>594</v>
      </c>
      <c r="F2252" s="52" t="s">
        <v>26</v>
      </c>
      <c r="G2252" s="195" t="s">
        <v>276</v>
      </c>
      <c r="H2252" s="195">
        <v>-2.1586210000000001</v>
      </c>
      <c r="I2252" s="195">
        <v>-2.4302000000000001</v>
      </c>
      <c r="J2252" s="195">
        <v>-2.000321</v>
      </c>
      <c r="K2252" s="195">
        <v>-2.5320269999999998</v>
      </c>
      <c r="L2252" s="195">
        <v>-2.5804429999999998</v>
      </c>
      <c r="M2252" s="195">
        <v>-1.7191110000000001</v>
      </c>
      <c r="N2252" s="195">
        <v>-1.235895</v>
      </c>
    </row>
    <row r="2253" spans="1:14" hidden="1" x14ac:dyDescent="0.35">
      <c r="A2253" s="52" t="s">
        <v>243</v>
      </c>
      <c r="B2253" s="52" t="s">
        <v>37</v>
      </c>
      <c r="C2253" s="52" t="s">
        <v>218</v>
      </c>
      <c r="D2253" s="52" t="s">
        <v>218</v>
      </c>
      <c r="E2253" s="52" t="s">
        <v>594</v>
      </c>
      <c r="F2253" s="52" t="s">
        <v>26</v>
      </c>
      <c r="G2253" s="195" t="s">
        <v>279</v>
      </c>
      <c r="H2253" s="195">
        <v>24.841930000000001</v>
      </c>
      <c r="I2253" s="195">
        <v>23.82985</v>
      </c>
      <c r="J2253" s="195">
        <v>20.468250000000001</v>
      </c>
      <c r="K2253" s="195">
        <v>24.404920000000001</v>
      </c>
      <c r="L2253" s="195">
        <v>22.963650000000001</v>
      </c>
      <c r="M2253" s="195">
        <v>15.37725</v>
      </c>
      <c r="N2253" s="195">
        <v>11.066050000000001</v>
      </c>
    </row>
    <row r="2254" spans="1:14" hidden="1" x14ac:dyDescent="0.35">
      <c r="A2254" s="52" t="s">
        <v>243</v>
      </c>
      <c r="B2254" s="52" t="s">
        <v>37</v>
      </c>
      <c r="C2254" s="52" t="s">
        <v>218</v>
      </c>
      <c r="D2254" s="52" t="s">
        <v>218</v>
      </c>
      <c r="E2254" s="52" t="s">
        <v>584</v>
      </c>
      <c r="F2254" s="52" t="s">
        <v>581</v>
      </c>
      <c r="G2254" s="195" t="s">
        <v>275</v>
      </c>
      <c r="H2254" s="195">
        <v>59.340730000000001</v>
      </c>
      <c r="I2254" s="195">
        <v>0.97620309999999999</v>
      </c>
      <c r="J2254" s="195">
        <v>4.8506239999999998</v>
      </c>
      <c r="K2254" s="195">
        <v>3.8980790000000001</v>
      </c>
      <c r="L2254" s="195">
        <v>2.2441339999999999</v>
      </c>
      <c r="M2254" s="195">
        <v>2.2412459999999998</v>
      </c>
      <c r="N2254" s="195">
        <v>2.1127060000000002</v>
      </c>
    </row>
    <row r="2255" spans="1:14" hidden="1" x14ac:dyDescent="0.35">
      <c r="A2255" s="52" t="s">
        <v>243</v>
      </c>
      <c r="B2255" s="52" t="s">
        <v>37</v>
      </c>
      <c r="C2255" s="52" t="s">
        <v>218</v>
      </c>
      <c r="D2255" s="52" t="s">
        <v>218</v>
      </c>
      <c r="E2255" s="52" t="s">
        <v>584</v>
      </c>
      <c r="F2255" s="52" t="s">
        <v>581</v>
      </c>
      <c r="G2255" s="195" t="s">
        <v>276</v>
      </c>
      <c r="H2255" s="195">
        <v>10.76172</v>
      </c>
      <c r="I2255" s="195">
        <v>0.24507000000000001</v>
      </c>
      <c r="J2255" s="195">
        <v>1.231703</v>
      </c>
      <c r="K2255" s="195">
        <v>1.0361959999999999</v>
      </c>
      <c r="L2255" s="195">
        <v>0.59654079999999998</v>
      </c>
      <c r="M2255" s="195">
        <v>0.59577440000000004</v>
      </c>
      <c r="N2255" s="195">
        <v>0.56160449999999995</v>
      </c>
    </row>
    <row r="2256" spans="1:14" hidden="1" x14ac:dyDescent="0.35">
      <c r="A2256" s="52" t="s">
        <v>243</v>
      </c>
      <c r="B2256" s="52" t="s">
        <v>37</v>
      </c>
      <c r="C2256" s="52" t="s">
        <v>218</v>
      </c>
      <c r="D2256" s="52" t="s">
        <v>218</v>
      </c>
      <c r="E2256" s="52" t="s">
        <v>584</v>
      </c>
      <c r="F2256" s="52" t="s">
        <v>581</v>
      </c>
      <c r="G2256" s="195" t="s">
        <v>277</v>
      </c>
      <c r="H2256" s="195"/>
      <c r="I2256" s="195">
        <v>0</v>
      </c>
      <c r="J2256" s="195"/>
      <c r="K2256" s="195"/>
      <c r="L2256" s="195"/>
      <c r="M2256" s="195">
        <v>0</v>
      </c>
      <c r="N2256" s="195">
        <v>0</v>
      </c>
    </row>
    <row r="2257" spans="1:14" hidden="1" x14ac:dyDescent="0.35">
      <c r="A2257" s="52" t="s">
        <v>243</v>
      </c>
      <c r="B2257" s="52" t="s">
        <v>37</v>
      </c>
      <c r="C2257" s="52" t="s">
        <v>218</v>
      </c>
      <c r="D2257" s="52" t="s">
        <v>218</v>
      </c>
      <c r="E2257" s="52" t="s">
        <v>584</v>
      </c>
      <c r="F2257" s="52" t="s">
        <v>581</v>
      </c>
      <c r="G2257" s="195" t="s">
        <v>279</v>
      </c>
      <c r="H2257" s="195">
        <v>35.492400000000004</v>
      </c>
      <c r="I2257" s="195">
        <v>32.390920000000001</v>
      </c>
      <c r="J2257" s="195">
        <v>20.583379999999998</v>
      </c>
      <c r="K2257" s="195">
        <v>19.879860000000001</v>
      </c>
      <c r="L2257" s="195">
        <v>20.2319</v>
      </c>
      <c r="M2257" s="195">
        <v>18.618680000000001</v>
      </c>
      <c r="N2257" s="195">
        <v>17.19435</v>
      </c>
    </row>
    <row r="2258" spans="1:14" hidden="1" x14ac:dyDescent="0.35">
      <c r="A2258" s="52" t="s">
        <v>243</v>
      </c>
      <c r="B2258" s="52" t="s">
        <v>37</v>
      </c>
      <c r="C2258" s="52" t="s">
        <v>218</v>
      </c>
      <c r="D2258" s="52" t="s">
        <v>218</v>
      </c>
      <c r="E2258" s="52" t="s">
        <v>584</v>
      </c>
      <c r="F2258" s="52" t="s">
        <v>26</v>
      </c>
      <c r="G2258" s="195" t="s">
        <v>275</v>
      </c>
      <c r="H2258" s="195">
        <v>-13.24417</v>
      </c>
      <c r="I2258" s="195">
        <v>-85.28707</v>
      </c>
      <c r="J2258" s="195">
        <v>-13.278219999999999</v>
      </c>
      <c r="K2258" s="195">
        <v>-14.09315</v>
      </c>
      <c r="L2258" s="195">
        <v>-15.299429999999999</v>
      </c>
      <c r="M2258" s="195">
        <v>-14.303890000000001</v>
      </c>
      <c r="N2258" s="195">
        <v>-13.260949999999999</v>
      </c>
    </row>
    <row r="2259" spans="1:14" hidden="1" x14ac:dyDescent="0.35">
      <c r="A2259" s="52" t="s">
        <v>243</v>
      </c>
      <c r="B2259" s="52" t="s">
        <v>37</v>
      </c>
      <c r="C2259" s="52" t="s">
        <v>218</v>
      </c>
      <c r="D2259" s="52" t="s">
        <v>218</v>
      </c>
      <c r="E2259" s="52" t="s">
        <v>584</v>
      </c>
      <c r="F2259" s="52" t="s">
        <v>26</v>
      </c>
      <c r="G2259" s="195" t="s">
        <v>276</v>
      </c>
      <c r="H2259" s="195">
        <v>-3.8712019999999998</v>
      </c>
      <c r="I2259" s="195">
        <v>-22.671250000000001</v>
      </c>
      <c r="J2259" s="195">
        <v>-3.0031599999999998</v>
      </c>
      <c r="K2259" s="195">
        <v>-3.2374939999999999</v>
      </c>
      <c r="L2259" s="195">
        <v>-3.6240779999999999</v>
      </c>
      <c r="M2259" s="195">
        <v>-3.4307500000000002</v>
      </c>
      <c r="N2259" s="195">
        <v>-3.4257710000000001</v>
      </c>
    </row>
    <row r="2260" spans="1:14" hidden="1" x14ac:dyDescent="0.35">
      <c r="A2260" s="52" t="s">
        <v>243</v>
      </c>
      <c r="B2260" s="52" t="s">
        <v>37</v>
      </c>
      <c r="C2260" s="52" t="s">
        <v>218</v>
      </c>
      <c r="D2260" s="52" t="s">
        <v>218</v>
      </c>
      <c r="E2260" s="52" t="s">
        <v>584</v>
      </c>
      <c r="F2260" s="52" t="s">
        <v>26</v>
      </c>
      <c r="G2260" s="195" t="s">
        <v>277</v>
      </c>
      <c r="H2260" s="195"/>
      <c r="I2260" s="195">
        <v>0</v>
      </c>
      <c r="J2260" s="195">
        <v>2.4757660000000001</v>
      </c>
      <c r="K2260" s="195">
        <v>2.8876629999999999</v>
      </c>
      <c r="L2260" s="195">
        <v>3.0561410000000002</v>
      </c>
      <c r="M2260" s="195">
        <v>3.1373190000000002</v>
      </c>
      <c r="N2260" s="195">
        <v>3.220564</v>
      </c>
    </row>
    <row r="2261" spans="1:14" hidden="1" x14ac:dyDescent="0.35">
      <c r="A2261" s="52" t="s">
        <v>243</v>
      </c>
      <c r="B2261" s="52" t="s">
        <v>37</v>
      </c>
      <c r="C2261" s="52" t="s">
        <v>218</v>
      </c>
      <c r="D2261" s="52" t="s">
        <v>218</v>
      </c>
      <c r="E2261" s="52" t="s">
        <v>584</v>
      </c>
      <c r="F2261" s="52" t="s">
        <v>26</v>
      </c>
      <c r="G2261" s="195" t="s">
        <v>279</v>
      </c>
      <c r="H2261" s="195">
        <v>42.720910000000003</v>
      </c>
      <c r="I2261" s="195">
        <v>125.96380000000001</v>
      </c>
      <c r="J2261" s="195">
        <v>30.611609999999999</v>
      </c>
      <c r="K2261" s="195">
        <v>30.084250000000001</v>
      </c>
      <c r="L2261" s="195">
        <v>30.42944</v>
      </c>
      <c r="M2261" s="195">
        <v>28.191929999999999</v>
      </c>
      <c r="N2261" s="195">
        <v>26.14676</v>
      </c>
    </row>
    <row r="2262" spans="1:14" hidden="1" x14ac:dyDescent="0.35">
      <c r="A2262" s="52" t="s">
        <v>243</v>
      </c>
      <c r="B2262" s="52" t="s">
        <v>37</v>
      </c>
      <c r="C2262" s="52" t="s">
        <v>35</v>
      </c>
      <c r="D2262" s="52" t="s">
        <v>163</v>
      </c>
      <c r="E2262" s="52" t="s">
        <v>580</v>
      </c>
      <c r="F2262" s="52" t="s">
        <v>581</v>
      </c>
      <c r="G2262" s="195" t="s">
        <v>275</v>
      </c>
      <c r="H2262" s="195">
        <v>-154.30869999999999</v>
      </c>
      <c r="I2262" s="195">
        <v>-46.35295</v>
      </c>
      <c r="J2262" s="195">
        <v>54.179470000000002</v>
      </c>
      <c r="K2262" s="195">
        <v>83.173689999999993</v>
      </c>
      <c r="L2262" s="195">
        <v>56.472160000000002</v>
      </c>
      <c r="M2262" s="195">
        <v>25.772500000000001</v>
      </c>
      <c r="N2262" s="195">
        <v>13.175129999999999</v>
      </c>
    </row>
    <row r="2263" spans="1:14" hidden="1" x14ac:dyDescent="0.35">
      <c r="A2263" s="52" t="s">
        <v>243</v>
      </c>
      <c r="B2263" s="52" t="s">
        <v>37</v>
      </c>
      <c r="C2263" s="52" t="s">
        <v>35</v>
      </c>
      <c r="D2263" s="52" t="s">
        <v>163</v>
      </c>
      <c r="E2263" s="52" t="s">
        <v>580</v>
      </c>
      <c r="F2263" s="52" t="s">
        <v>581</v>
      </c>
      <c r="G2263" s="195" t="s">
        <v>276</v>
      </c>
      <c r="H2263" s="195">
        <v>27.500260000000001</v>
      </c>
      <c r="I2263" s="195">
        <v>-50.675759999999997</v>
      </c>
      <c r="J2263" s="195">
        <v>-54.501919999999998</v>
      </c>
      <c r="K2263" s="195">
        <v>-67.713639999999998</v>
      </c>
      <c r="L2263" s="195">
        <v>-51.207700000000003</v>
      </c>
      <c r="M2263" s="195">
        <v>-12.09858</v>
      </c>
      <c r="N2263" s="195">
        <v>-1.618598</v>
      </c>
    </row>
    <row r="2264" spans="1:14" hidden="1" x14ac:dyDescent="0.35">
      <c r="A2264" s="52" t="s">
        <v>243</v>
      </c>
      <c r="B2264" s="52" t="s">
        <v>37</v>
      </c>
      <c r="C2264" s="52" t="s">
        <v>35</v>
      </c>
      <c r="D2264" s="52" t="s">
        <v>163</v>
      </c>
      <c r="E2264" s="52" t="s">
        <v>580</v>
      </c>
      <c r="F2264" s="52" t="s">
        <v>581</v>
      </c>
      <c r="G2264" s="195" t="s">
        <v>277</v>
      </c>
      <c r="H2264" s="195">
        <v>539.98159999999996</v>
      </c>
      <c r="I2264" s="195">
        <v>141.80109999999999</v>
      </c>
      <c r="J2264" s="195">
        <v>11.6676</v>
      </c>
      <c r="K2264" s="195">
        <v>1.93163</v>
      </c>
      <c r="L2264" s="195">
        <v>1.156147</v>
      </c>
      <c r="M2264" s="195">
        <v>0</v>
      </c>
      <c r="N2264" s="195">
        <v>0</v>
      </c>
    </row>
    <row r="2265" spans="1:14" hidden="1" x14ac:dyDescent="0.35">
      <c r="A2265" s="52" t="s">
        <v>243</v>
      </c>
      <c r="B2265" s="52" t="s">
        <v>37</v>
      </c>
      <c r="C2265" s="52" t="s">
        <v>35</v>
      </c>
      <c r="D2265" s="52" t="s">
        <v>163</v>
      </c>
      <c r="E2265" s="52" t="s">
        <v>580</v>
      </c>
      <c r="F2265" s="52" t="s">
        <v>581</v>
      </c>
      <c r="G2265" s="195" t="s">
        <v>278</v>
      </c>
      <c r="H2265" s="195">
        <v>30.018450000000001</v>
      </c>
      <c r="I2265" s="195">
        <v>13.19889</v>
      </c>
      <c r="J2265" s="195">
        <v>28.00149</v>
      </c>
      <c r="K2265" s="195">
        <v>14.947710000000001</v>
      </c>
      <c r="L2265" s="195">
        <v>8.8584700000000005</v>
      </c>
      <c r="M2265" s="195">
        <v>3.3528000000000002E-2</v>
      </c>
      <c r="N2265" s="195">
        <v>0</v>
      </c>
    </row>
    <row r="2266" spans="1:14" hidden="1" x14ac:dyDescent="0.35">
      <c r="A2266" s="52" t="s">
        <v>243</v>
      </c>
      <c r="B2266" s="52" t="s">
        <v>37</v>
      </c>
      <c r="C2266" s="52" t="s">
        <v>35</v>
      </c>
      <c r="D2266" s="52" t="s">
        <v>163</v>
      </c>
      <c r="E2266" s="52" t="s">
        <v>580</v>
      </c>
      <c r="F2266" s="52" t="s">
        <v>581</v>
      </c>
      <c r="G2266" s="195" t="s">
        <v>279</v>
      </c>
      <c r="H2266" s="195">
        <v>224.696</v>
      </c>
      <c r="I2266" s="195">
        <v>154.83619999999999</v>
      </c>
      <c r="J2266" s="195">
        <v>146.72669999999999</v>
      </c>
      <c r="K2266" s="195">
        <v>139.39410000000001</v>
      </c>
      <c r="L2266" s="195">
        <v>128.51320000000001</v>
      </c>
      <c r="M2266" s="195">
        <v>105.371</v>
      </c>
      <c r="N2266" s="195">
        <v>90.403419999999997</v>
      </c>
    </row>
    <row r="2267" spans="1:14" hidden="1" x14ac:dyDescent="0.35">
      <c r="A2267" s="52" t="s">
        <v>243</v>
      </c>
      <c r="B2267" s="52" t="s">
        <v>37</v>
      </c>
      <c r="C2267" s="52" t="s">
        <v>35</v>
      </c>
      <c r="D2267" s="52" t="s">
        <v>163</v>
      </c>
      <c r="E2267" s="52" t="s">
        <v>580</v>
      </c>
      <c r="F2267" s="52" t="s">
        <v>26</v>
      </c>
      <c r="G2267" s="195" t="s">
        <v>275</v>
      </c>
      <c r="H2267" s="195">
        <v>-10.79973</v>
      </c>
      <c r="I2267" s="195">
        <v>-14.424989999999999</v>
      </c>
      <c r="J2267" s="195">
        <v>-12.439970000000001</v>
      </c>
      <c r="K2267" s="195">
        <v>-13.39207</v>
      </c>
      <c r="L2267" s="195">
        <v>-14.28083</v>
      </c>
      <c r="M2267" s="195">
        <v>-11.69495</v>
      </c>
      <c r="N2267" s="195">
        <v>-10.063190000000001</v>
      </c>
    </row>
    <row r="2268" spans="1:14" hidden="1" x14ac:dyDescent="0.35">
      <c r="A2268" s="52" t="s">
        <v>243</v>
      </c>
      <c r="B2268" s="52" t="s">
        <v>37</v>
      </c>
      <c r="C2268" s="52" t="s">
        <v>35</v>
      </c>
      <c r="D2268" s="52" t="s">
        <v>163</v>
      </c>
      <c r="E2268" s="52" t="s">
        <v>580</v>
      </c>
      <c r="F2268" s="52" t="s">
        <v>26</v>
      </c>
      <c r="G2268" s="195" t="s">
        <v>276</v>
      </c>
      <c r="H2268" s="195">
        <v>-2.8708170000000002</v>
      </c>
      <c r="I2268" s="195">
        <v>-3.8344900000000002</v>
      </c>
      <c r="J2268" s="195">
        <v>-3.306816</v>
      </c>
      <c r="K2268" s="195">
        <v>-3.5599280000000002</v>
      </c>
      <c r="L2268" s="195">
        <v>-3.796173</v>
      </c>
      <c r="M2268" s="195">
        <v>-3.1087859999999998</v>
      </c>
      <c r="N2268" s="195">
        <v>-2.6750240000000001</v>
      </c>
    </row>
    <row r="2269" spans="1:14" hidden="1" x14ac:dyDescent="0.35">
      <c r="A2269" s="52" t="s">
        <v>243</v>
      </c>
      <c r="B2269" s="52" t="s">
        <v>37</v>
      </c>
      <c r="C2269" s="52" t="s">
        <v>35</v>
      </c>
      <c r="D2269" s="52" t="s">
        <v>163</v>
      </c>
      <c r="E2269" s="52" t="s">
        <v>580</v>
      </c>
      <c r="F2269" s="52" t="s">
        <v>26</v>
      </c>
      <c r="G2269" s="195" t="s">
        <v>279</v>
      </c>
      <c r="H2269" s="195">
        <v>53.895429999999998</v>
      </c>
      <c r="I2269" s="195">
        <v>53.442839999999997</v>
      </c>
      <c r="J2269" s="195">
        <v>51.49962</v>
      </c>
      <c r="K2269" s="195">
        <v>49.811390000000003</v>
      </c>
      <c r="L2269" s="195">
        <v>45.447429999999997</v>
      </c>
      <c r="M2269" s="195">
        <v>37.401290000000003</v>
      </c>
      <c r="N2269" s="195">
        <v>32.117379999999997</v>
      </c>
    </row>
    <row r="2270" spans="1:14" hidden="1" x14ac:dyDescent="0.35">
      <c r="A2270" s="52" t="s">
        <v>243</v>
      </c>
      <c r="B2270" s="52" t="s">
        <v>37</v>
      </c>
      <c r="C2270" s="52" t="s">
        <v>35</v>
      </c>
      <c r="D2270" s="52" t="s">
        <v>163</v>
      </c>
      <c r="E2270" s="52" t="s">
        <v>582</v>
      </c>
      <c r="F2270" s="52" t="s">
        <v>581</v>
      </c>
      <c r="G2270" s="195" t="s">
        <v>275</v>
      </c>
      <c r="H2270" s="195">
        <v>-46.569099999999999</v>
      </c>
      <c r="I2270" s="195">
        <v>-8.4293610000000001</v>
      </c>
      <c r="J2270" s="195">
        <v>18.308109999999999</v>
      </c>
      <c r="K2270" s="195">
        <v>25.143380000000001</v>
      </c>
      <c r="L2270" s="195">
        <v>24.27638</v>
      </c>
      <c r="M2270" s="195">
        <v>10.72077</v>
      </c>
      <c r="N2270" s="195">
        <v>7.9024390000000002</v>
      </c>
    </row>
    <row r="2271" spans="1:14" hidden="1" x14ac:dyDescent="0.35">
      <c r="A2271" s="52" t="s">
        <v>243</v>
      </c>
      <c r="B2271" s="52" t="s">
        <v>37</v>
      </c>
      <c r="C2271" s="52" t="s">
        <v>35</v>
      </c>
      <c r="D2271" s="52" t="s">
        <v>163</v>
      </c>
      <c r="E2271" s="52" t="s">
        <v>582</v>
      </c>
      <c r="F2271" s="52" t="s">
        <v>581</v>
      </c>
      <c r="G2271" s="195" t="s">
        <v>276</v>
      </c>
      <c r="H2271" s="195">
        <v>22.003900000000002</v>
      </c>
      <c r="I2271" s="195">
        <v>-4.7351679999999998</v>
      </c>
      <c r="J2271" s="195">
        <v>-6.9891110000000003</v>
      </c>
      <c r="K2271" s="195">
        <v>-4.6265640000000001</v>
      </c>
      <c r="L2271" s="195">
        <v>-14.877409999999999</v>
      </c>
      <c r="M2271" s="195">
        <v>-1.232874</v>
      </c>
      <c r="N2271" s="195">
        <v>1.6379950000000001</v>
      </c>
    </row>
    <row r="2272" spans="1:14" hidden="1" x14ac:dyDescent="0.35">
      <c r="A2272" s="52" t="s">
        <v>243</v>
      </c>
      <c r="B2272" s="52" t="s">
        <v>37</v>
      </c>
      <c r="C2272" s="52" t="s">
        <v>35</v>
      </c>
      <c r="D2272" s="52" t="s">
        <v>163</v>
      </c>
      <c r="E2272" s="52" t="s">
        <v>582</v>
      </c>
      <c r="F2272" s="52" t="s">
        <v>581</v>
      </c>
      <c r="G2272" s="195" t="s">
        <v>277</v>
      </c>
      <c r="H2272" s="195">
        <v>179.27619999999999</v>
      </c>
      <c r="I2272" s="195">
        <v>38.141289999999998</v>
      </c>
      <c r="J2272" s="195">
        <v>2.4906380000000001</v>
      </c>
      <c r="K2272" s="195">
        <v>1.229932</v>
      </c>
      <c r="L2272" s="195">
        <v>1.59781</v>
      </c>
      <c r="M2272" s="195">
        <v>1.5331440000000001</v>
      </c>
      <c r="N2272" s="195">
        <v>1.8681829999999999</v>
      </c>
    </row>
    <row r="2273" spans="1:14" hidden="1" x14ac:dyDescent="0.35">
      <c r="A2273" s="52" t="s">
        <v>243</v>
      </c>
      <c r="B2273" s="52" t="s">
        <v>37</v>
      </c>
      <c r="C2273" s="52" t="s">
        <v>35</v>
      </c>
      <c r="D2273" s="52" t="s">
        <v>163</v>
      </c>
      <c r="E2273" s="52" t="s">
        <v>582</v>
      </c>
      <c r="F2273" s="52" t="s">
        <v>581</v>
      </c>
      <c r="G2273" s="195" t="s">
        <v>278</v>
      </c>
      <c r="H2273" s="195">
        <v>13.42384</v>
      </c>
      <c r="I2273" s="195">
        <v>6.8587109999999996</v>
      </c>
      <c r="J2273" s="195">
        <v>13.7469</v>
      </c>
      <c r="K2273" s="195">
        <v>5.8373039999999996</v>
      </c>
      <c r="L2273" s="195">
        <v>6.5313169999999996</v>
      </c>
      <c r="M2273" s="195">
        <v>7.1434369999999996</v>
      </c>
      <c r="N2273" s="195">
        <v>8.2104520000000001</v>
      </c>
    </row>
    <row r="2274" spans="1:14" hidden="1" x14ac:dyDescent="0.35">
      <c r="A2274" s="52" t="s">
        <v>243</v>
      </c>
      <c r="B2274" s="52" t="s">
        <v>37</v>
      </c>
      <c r="C2274" s="52" t="s">
        <v>35</v>
      </c>
      <c r="D2274" s="52" t="s">
        <v>163</v>
      </c>
      <c r="E2274" s="52" t="s">
        <v>582</v>
      </c>
      <c r="F2274" s="52" t="s">
        <v>581</v>
      </c>
      <c r="G2274" s="195" t="s">
        <v>279</v>
      </c>
      <c r="H2274" s="195">
        <v>69.174750000000003</v>
      </c>
      <c r="I2274" s="195">
        <v>51.270400000000002</v>
      </c>
      <c r="J2274" s="195">
        <v>55.464739999999999</v>
      </c>
      <c r="K2274" s="195">
        <v>58.512149999999998</v>
      </c>
      <c r="L2274" s="195">
        <v>53.54157</v>
      </c>
      <c r="M2274" s="195">
        <v>47.190640000000002</v>
      </c>
      <c r="N2274" s="195">
        <v>45.441459999999999</v>
      </c>
    </row>
    <row r="2275" spans="1:14" hidden="1" x14ac:dyDescent="0.35">
      <c r="A2275" s="52" t="s">
        <v>243</v>
      </c>
      <c r="B2275" s="52" t="s">
        <v>37</v>
      </c>
      <c r="C2275" s="52" t="s">
        <v>35</v>
      </c>
      <c r="D2275" s="52" t="s">
        <v>163</v>
      </c>
      <c r="E2275" s="52" t="s">
        <v>582</v>
      </c>
      <c r="F2275" s="52" t="s">
        <v>26</v>
      </c>
      <c r="G2275" s="195" t="s">
        <v>275</v>
      </c>
      <c r="H2275" s="195">
        <v>0.48998799999999998</v>
      </c>
      <c r="I2275" s="195">
        <v>-0.95168220000000003</v>
      </c>
      <c r="J2275" s="195">
        <v>-0.4361739</v>
      </c>
      <c r="K2275" s="195">
        <v>-0.93887600000000004</v>
      </c>
      <c r="L2275" s="195">
        <v>-2.0388130000000002</v>
      </c>
      <c r="M2275" s="195">
        <v>-1.624045</v>
      </c>
      <c r="N2275" s="195">
        <v>-1.4556439999999999</v>
      </c>
    </row>
    <row r="2276" spans="1:14" hidden="1" x14ac:dyDescent="0.35">
      <c r="A2276" s="52" t="s">
        <v>243</v>
      </c>
      <c r="B2276" s="52" t="s">
        <v>37</v>
      </c>
      <c r="C2276" s="52" t="s">
        <v>35</v>
      </c>
      <c r="D2276" s="52" t="s">
        <v>163</v>
      </c>
      <c r="E2276" s="52" t="s">
        <v>582</v>
      </c>
      <c r="F2276" s="52" t="s">
        <v>26</v>
      </c>
      <c r="G2276" s="195" t="s">
        <v>276</v>
      </c>
      <c r="H2276" s="195">
        <v>0.130247</v>
      </c>
      <c r="I2276" s="195">
        <v>-0.25297900000000001</v>
      </c>
      <c r="J2276" s="195">
        <v>-0.1159466</v>
      </c>
      <c r="K2276" s="195">
        <v>-0.24957299999999999</v>
      </c>
      <c r="L2276" s="195">
        <v>-0.54196460000000002</v>
      </c>
      <c r="M2276" s="195">
        <v>-0.43170760000000002</v>
      </c>
      <c r="N2276" s="195">
        <v>-0.3869438</v>
      </c>
    </row>
    <row r="2277" spans="1:14" hidden="1" x14ac:dyDescent="0.35">
      <c r="A2277" s="52" t="s">
        <v>243</v>
      </c>
      <c r="B2277" s="52" t="s">
        <v>37</v>
      </c>
      <c r="C2277" s="52" t="s">
        <v>35</v>
      </c>
      <c r="D2277" s="52" t="s">
        <v>163</v>
      </c>
      <c r="E2277" s="52" t="s">
        <v>582</v>
      </c>
      <c r="F2277" s="52" t="s">
        <v>26</v>
      </c>
      <c r="G2277" s="195" t="s">
        <v>279</v>
      </c>
      <c r="H2277" s="195">
        <v>14.09707</v>
      </c>
      <c r="I2277" s="195">
        <v>15.31861</v>
      </c>
      <c r="J2277" s="195">
        <v>16.937860000000001</v>
      </c>
      <c r="K2277" s="195">
        <v>18.122389999999999</v>
      </c>
      <c r="L2277" s="195">
        <v>16.45899</v>
      </c>
      <c r="M2277" s="195">
        <v>14.49593</v>
      </c>
      <c r="N2277" s="195">
        <v>13.912599999999999</v>
      </c>
    </row>
    <row r="2278" spans="1:14" hidden="1" x14ac:dyDescent="0.35">
      <c r="A2278" s="52" t="s">
        <v>243</v>
      </c>
      <c r="B2278" s="52" t="s">
        <v>37</v>
      </c>
      <c r="C2278" s="52" t="s">
        <v>35</v>
      </c>
      <c r="D2278" s="52" t="s">
        <v>163</v>
      </c>
      <c r="E2278" s="52" t="s">
        <v>583</v>
      </c>
      <c r="F2278" s="52" t="s">
        <v>581</v>
      </c>
      <c r="G2278" s="195" t="s">
        <v>275</v>
      </c>
      <c r="H2278" s="195">
        <v>14.89068</v>
      </c>
      <c r="I2278" s="195">
        <v>2.2756340000000002</v>
      </c>
      <c r="J2278" s="195">
        <v>1.5254030000000001</v>
      </c>
      <c r="K2278" s="195">
        <v>1.3245979999999999</v>
      </c>
      <c r="L2278" s="195">
        <v>0.90317320000000001</v>
      </c>
      <c r="M2278" s="195">
        <v>0.85211219999999999</v>
      </c>
      <c r="N2278" s="195">
        <v>0.77003080000000002</v>
      </c>
    </row>
    <row r="2279" spans="1:14" hidden="1" x14ac:dyDescent="0.35">
      <c r="A2279" s="52" t="s">
        <v>243</v>
      </c>
      <c r="B2279" s="52" t="s">
        <v>37</v>
      </c>
      <c r="C2279" s="52" t="s">
        <v>35</v>
      </c>
      <c r="D2279" s="52" t="s">
        <v>163</v>
      </c>
      <c r="E2279" s="52" t="s">
        <v>583</v>
      </c>
      <c r="F2279" s="52" t="s">
        <v>581</v>
      </c>
      <c r="G2279" s="195" t="s">
        <v>276</v>
      </c>
      <c r="H2279" s="195">
        <v>1.970019</v>
      </c>
      <c r="I2279" s="195">
        <v>0.60491539999999999</v>
      </c>
      <c r="J2279" s="195">
        <v>0.40548719999999999</v>
      </c>
      <c r="K2279" s="195">
        <v>0.35210859999999999</v>
      </c>
      <c r="L2279" s="195">
        <v>0.2400844</v>
      </c>
      <c r="M2279" s="195">
        <v>0.2265112</v>
      </c>
      <c r="N2279" s="195">
        <v>0.20469180000000001</v>
      </c>
    </row>
    <row r="2280" spans="1:14" hidden="1" x14ac:dyDescent="0.35">
      <c r="A2280" s="52" t="s">
        <v>243</v>
      </c>
      <c r="B2280" s="52" t="s">
        <v>37</v>
      </c>
      <c r="C2280" s="52" t="s">
        <v>35</v>
      </c>
      <c r="D2280" s="52" t="s">
        <v>163</v>
      </c>
      <c r="E2280" s="52" t="s">
        <v>583</v>
      </c>
      <c r="F2280" s="52" t="s">
        <v>581</v>
      </c>
      <c r="G2280" s="195" t="s">
        <v>277</v>
      </c>
      <c r="H2280" s="195"/>
      <c r="I2280" s="195"/>
      <c r="J2280" s="195"/>
      <c r="K2280" s="195"/>
      <c r="L2280" s="195"/>
      <c r="M2280" s="195">
        <v>0</v>
      </c>
      <c r="N2280" s="195">
        <v>0</v>
      </c>
    </row>
    <row r="2281" spans="1:14" hidden="1" x14ac:dyDescent="0.35">
      <c r="A2281" s="52" t="s">
        <v>243</v>
      </c>
      <c r="B2281" s="52" t="s">
        <v>37</v>
      </c>
      <c r="C2281" s="52" t="s">
        <v>35</v>
      </c>
      <c r="D2281" s="52" t="s">
        <v>163</v>
      </c>
      <c r="E2281" s="52" t="s">
        <v>583</v>
      </c>
      <c r="F2281" s="52" t="s">
        <v>581</v>
      </c>
      <c r="G2281" s="195" t="s">
        <v>279</v>
      </c>
      <c r="H2281" s="195">
        <v>7.1525280000000002</v>
      </c>
      <c r="I2281" s="195">
        <v>4.6597419999999996</v>
      </c>
      <c r="J2281" s="195">
        <v>3.9244659999999998</v>
      </c>
      <c r="K2281" s="195">
        <v>3.6123090000000002</v>
      </c>
      <c r="L2281" s="195">
        <v>3.6340539999999999</v>
      </c>
      <c r="M2281" s="195">
        <v>3.2474219999999998</v>
      </c>
      <c r="N2281" s="195">
        <v>2.9211360000000002</v>
      </c>
    </row>
    <row r="2282" spans="1:14" hidden="1" x14ac:dyDescent="0.35">
      <c r="A2282" s="52" t="s">
        <v>243</v>
      </c>
      <c r="B2282" s="52" t="s">
        <v>37</v>
      </c>
      <c r="C2282" s="52" t="s">
        <v>35</v>
      </c>
      <c r="D2282" s="52" t="s">
        <v>163</v>
      </c>
      <c r="E2282" s="52" t="s">
        <v>583</v>
      </c>
      <c r="F2282" s="52" t="s">
        <v>26</v>
      </c>
      <c r="G2282" s="195" t="s">
        <v>275</v>
      </c>
      <c r="H2282" s="195">
        <v>-7.2216000000000002E-2</v>
      </c>
      <c r="I2282" s="195">
        <v>-0.189771</v>
      </c>
      <c r="J2282" s="195">
        <v>-0.12632860000000001</v>
      </c>
      <c r="K2282" s="195">
        <v>-0.143985</v>
      </c>
      <c r="L2282" s="195">
        <v>-0.2162896</v>
      </c>
      <c r="M2282" s="195">
        <v>-0.188633</v>
      </c>
      <c r="N2282" s="195">
        <v>-0.16895279999999999</v>
      </c>
    </row>
    <row r="2283" spans="1:14" hidden="1" x14ac:dyDescent="0.35">
      <c r="A2283" s="52" t="s">
        <v>243</v>
      </c>
      <c r="B2283" s="52" t="s">
        <v>37</v>
      </c>
      <c r="C2283" s="52" t="s">
        <v>35</v>
      </c>
      <c r="D2283" s="52" t="s">
        <v>163</v>
      </c>
      <c r="E2283" s="52" t="s">
        <v>583</v>
      </c>
      <c r="F2283" s="52" t="s">
        <v>26</v>
      </c>
      <c r="G2283" s="195" t="s">
        <v>276</v>
      </c>
      <c r="H2283" s="195">
        <v>-1.9196999999999999E-2</v>
      </c>
      <c r="I2283" s="195">
        <v>-5.04456E-2</v>
      </c>
      <c r="J2283" s="195">
        <v>-3.3581E-2</v>
      </c>
      <c r="K2283" s="195">
        <v>-3.8274799999999998E-2</v>
      </c>
      <c r="L2283" s="195">
        <v>-5.7494400000000001E-2</v>
      </c>
      <c r="M2283" s="195">
        <v>-5.0143390000000003E-2</v>
      </c>
      <c r="N2283" s="195">
        <v>-4.4911E-2</v>
      </c>
    </row>
    <row r="2284" spans="1:14" hidden="1" x14ac:dyDescent="0.35">
      <c r="A2284" s="52" t="s">
        <v>243</v>
      </c>
      <c r="B2284" s="52" t="s">
        <v>37</v>
      </c>
      <c r="C2284" s="52" t="s">
        <v>35</v>
      </c>
      <c r="D2284" s="52" t="s">
        <v>163</v>
      </c>
      <c r="E2284" s="52" t="s">
        <v>583</v>
      </c>
      <c r="F2284" s="52" t="s">
        <v>26</v>
      </c>
      <c r="G2284" s="195" t="s">
        <v>279</v>
      </c>
      <c r="H2284" s="195">
        <v>1.44123</v>
      </c>
      <c r="I2284" s="195">
        <v>1.422126</v>
      </c>
      <c r="J2284" s="195">
        <v>1.2291920000000001</v>
      </c>
      <c r="K2284" s="195">
        <v>1.1464840000000001</v>
      </c>
      <c r="L2284" s="195">
        <v>1.142765</v>
      </c>
      <c r="M2284" s="195">
        <v>1.023498</v>
      </c>
      <c r="N2284" s="195">
        <v>0.92068879999999997</v>
      </c>
    </row>
    <row r="2285" spans="1:14" hidden="1" x14ac:dyDescent="0.35">
      <c r="A2285" s="52" t="s">
        <v>243</v>
      </c>
      <c r="B2285" s="52" t="s">
        <v>37</v>
      </c>
      <c r="C2285" s="52" t="s">
        <v>35</v>
      </c>
      <c r="D2285" s="52" t="s">
        <v>36</v>
      </c>
      <c r="E2285" s="52" t="s">
        <v>584</v>
      </c>
      <c r="F2285" s="52" t="s">
        <v>581</v>
      </c>
      <c r="G2285" s="195" t="s">
        <v>275</v>
      </c>
      <c r="H2285" s="195">
        <v>2.2848310000000001</v>
      </c>
      <c r="I2285" s="195">
        <v>3.7777539999999998</v>
      </c>
      <c r="J2285" s="195">
        <v>2.8280120000000002</v>
      </c>
      <c r="K2285" s="195">
        <v>2.4293990000000001</v>
      </c>
      <c r="L2285" s="195">
        <v>2.5702310000000002</v>
      </c>
      <c r="M2285" s="195">
        <v>1.4731179999999999</v>
      </c>
      <c r="N2285" s="195">
        <v>1.38822</v>
      </c>
    </row>
    <row r="2286" spans="1:14" hidden="1" x14ac:dyDescent="0.35">
      <c r="A2286" s="52" t="s">
        <v>243</v>
      </c>
      <c r="B2286" s="52" t="s">
        <v>37</v>
      </c>
      <c r="C2286" s="52" t="s">
        <v>35</v>
      </c>
      <c r="D2286" s="52" t="s">
        <v>36</v>
      </c>
      <c r="E2286" s="52" t="s">
        <v>584</v>
      </c>
      <c r="F2286" s="52" t="s">
        <v>581</v>
      </c>
      <c r="G2286" s="195" t="s">
        <v>276</v>
      </c>
      <c r="H2286" s="195">
        <v>1.783952</v>
      </c>
      <c r="I2286" s="195">
        <v>-0.294043</v>
      </c>
      <c r="J2286" s="195">
        <v>-0.20915439999999999</v>
      </c>
      <c r="K2286" s="195">
        <v>-0.14383860000000001</v>
      </c>
      <c r="L2286" s="195">
        <v>-0.5851132</v>
      </c>
      <c r="M2286" s="195">
        <v>0.39158880000000001</v>
      </c>
      <c r="N2286" s="195">
        <v>0.36902059999999998</v>
      </c>
    </row>
    <row r="2287" spans="1:14" hidden="1" x14ac:dyDescent="0.35">
      <c r="A2287" s="52" t="s">
        <v>243</v>
      </c>
      <c r="B2287" s="52" t="s">
        <v>37</v>
      </c>
      <c r="C2287" s="52" t="s">
        <v>35</v>
      </c>
      <c r="D2287" s="52" t="s">
        <v>36</v>
      </c>
      <c r="E2287" s="52" t="s">
        <v>584</v>
      </c>
      <c r="F2287" s="52" t="s">
        <v>581</v>
      </c>
      <c r="G2287" s="195" t="s">
        <v>277</v>
      </c>
      <c r="H2287" s="195">
        <v>11.648849999999999</v>
      </c>
      <c r="I2287" s="195">
        <v>0</v>
      </c>
      <c r="J2287" s="195"/>
      <c r="K2287" s="195"/>
      <c r="L2287" s="195"/>
      <c r="M2287" s="195"/>
      <c r="N2287" s="195"/>
    </row>
    <row r="2288" spans="1:14" hidden="1" x14ac:dyDescent="0.35">
      <c r="A2288" s="52" t="s">
        <v>243</v>
      </c>
      <c r="B2288" s="52" t="s">
        <v>37</v>
      </c>
      <c r="C2288" s="52" t="s">
        <v>35</v>
      </c>
      <c r="D2288" s="52" t="s">
        <v>36</v>
      </c>
      <c r="E2288" s="52" t="s">
        <v>584</v>
      </c>
      <c r="F2288" s="52" t="s">
        <v>581</v>
      </c>
      <c r="G2288" s="195" t="s">
        <v>279</v>
      </c>
      <c r="H2288" s="195">
        <v>5.7314579999999999</v>
      </c>
      <c r="I2288" s="195">
        <v>3.9302779999999999</v>
      </c>
      <c r="J2288" s="195">
        <v>3.6648450000000001</v>
      </c>
      <c r="K2288" s="195">
        <v>3.83832</v>
      </c>
      <c r="L2288" s="195">
        <v>3.9063539999999999</v>
      </c>
      <c r="M2288" s="195">
        <v>3.671303</v>
      </c>
      <c r="N2288" s="195">
        <v>3.462564</v>
      </c>
    </row>
    <row r="2289" spans="1:14" hidden="1" x14ac:dyDescent="0.35">
      <c r="A2289" s="52" t="s">
        <v>243</v>
      </c>
      <c r="B2289" s="52" t="s">
        <v>37</v>
      </c>
      <c r="C2289" s="52" t="s">
        <v>35</v>
      </c>
      <c r="D2289" s="52" t="s">
        <v>36</v>
      </c>
      <c r="E2289" s="52" t="s">
        <v>584</v>
      </c>
      <c r="F2289" s="52" t="s">
        <v>26</v>
      </c>
      <c r="G2289" s="195" t="s">
        <v>275</v>
      </c>
      <c r="H2289" s="195">
        <v>-8.4709989999999999E-3</v>
      </c>
      <c r="I2289" s="195">
        <v>-4.3510800000000002E-2</v>
      </c>
      <c r="J2289" s="195">
        <v>-3.2077599999999998E-2</v>
      </c>
      <c r="K2289" s="195">
        <v>-5.9571590000000001E-2</v>
      </c>
      <c r="L2289" s="195">
        <v>-8.1452999999999998E-2</v>
      </c>
      <c r="M2289" s="195">
        <v>-7.8738000000000002E-2</v>
      </c>
      <c r="N2289" s="195">
        <v>-7.5679410000000003E-2</v>
      </c>
    </row>
    <row r="2290" spans="1:14" hidden="1" x14ac:dyDescent="0.35">
      <c r="A2290" s="52" t="s">
        <v>243</v>
      </c>
      <c r="B2290" s="52" t="s">
        <v>37</v>
      </c>
      <c r="C2290" s="52" t="s">
        <v>35</v>
      </c>
      <c r="D2290" s="52" t="s">
        <v>36</v>
      </c>
      <c r="E2290" s="52" t="s">
        <v>584</v>
      </c>
      <c r="F2290" s="52" t="s">
        <v>26</v>
      </c>
      <c r="G2290" s="195" t="s">
        <v>276</v>
      </c>
      <c r="H2290" s="195">
        <v>-2.251E-3</v>
      </c>
      <c r="I2290" s="195">
        <v>-1.1565600000000001E-2</v>
      </c>
      <c r="J2290" s="195">
        <v>-8.5272009999999999E-3</v>
      </c>
      <c r="K2290" s="195">
        <v>-1.5835200000000001E-2</v>
      </c>
      <c r="L2290" s="195">
        <v>-2.1651799999999999E-2</v>
      </c>
      <c r="M2290" s="195">
        <v>-2.0930399999999998E-2</v>
      </c>
      <c r="N2290" s="195">
        <v>-2.0117199999999998E-2</v>
      </c>
    </row>
    <row r="2291" spans="1:14" hidden="1" x14ac:dyDescent="0.35">
      <c r="A2291" s="52" t="s">
        <v>243</v>
      </c>
      <c r="B2291" s="52" t="s">
        <v>37</v>
      </c>
      <c r="C2291" s="52" t="s">
        <v>35</v>
      </c>
      <c r="D2291" s="52" t="s">
        <v>36</v>
      </c>
      <c r="E2291" s="52" t="s">
        <v>584</v>
      </c>
      <c r="F2291" s="52" t="s">
        <v>26</v>
      </c>
      <c r="G2291" s="195" t="s">
        <v>279</v>
      </c>
      <c r="H2291" s="195">
        <v>0.53742400000000001</v>
      </c>
      <c r="I2291" s="195">
        <v>0.45824340000000002</v>
      </c>
      <c r="J2291" s="195">
        <v>0.44809739999999998</v>
      </c>
      <c r="K2291" s="195">
        <v>0.4814348</v>
      </c>
      <c r="L2291" s="195">
        <v>0.50256559999999995</v>
      </c>
      <c r="M2291" s="195">
        <v>0.48363260000000002</v>
      </c>
      <c r="N2291" s="195">
        <v>0.46751900000000002</v>
      </c>
    </row>
    <row r="2292" spans="1:14" hidden="1" x14ac:dyDescent="0.35">
      <c r="A2292" s="52" t="s">
        <v>243</v>
      </c>
      <c r="B2292" s="52" t="s">
        <v>37</v>
      </c>
      <c r="C2292" s="52" t="s">
        <v>35</v>
      </c>
      <c r="D2292" s="52" t="s">
        <v>36</v>
      </c>
      <c r="E2292" s="52" t="s">
        <v>587</v>
      </c>
      <c r="F2292" s="52" t="s">
        <v>581</v>
      </c>
      <c r="G2292" s="195" t="s">
        <v>275</v>
      </c>
      <c r="H2292" s="195">
        <v>0.48652099999999998</v>
      </c>
      <c r="I2292" s="195">
        <v>9.4053800000000007E-2</v>
      </c>
      <c r="J2292" s="195">
        <v>8.5610610000000004E-2</v>
      </c>
      <c r="K2292" s="195">
        <v>9.8943199999999995E-2</v>
      </c>
      <c r="L2292" s="195">
        <v>2.3941799999999999E-2</v>
      </c>
      <c r="M2292" s="195">
        <v>2.2999800000000001E-2</v>
      </c>
      <c r="N2292" s="195">
        <v>2.0812400000000002E-2</v>
      </c>
    </row>
    <row r="2293" spans="1:14" hidden="1" x14ac:dyDescent="0.35">
      <c r="A2293" s="52" t="s">
        <v>243</v>
      </c>
      <c r="B2293" s="52" t="s">
        <v>37</v>
      </c>
      <c r="C2293" s="52" t="s">
        <v>35</v>
      </c>
      <c r="D2293" s="52" t="s">
        <v>36</v>
      </c>
      <c r="E2293" s="52" t="s">
        <v>587</v>
      </c>
      <c r="F2293" s="52" t="s">
        <v>581</v>
      </c>
      <c r="G2293" s="195" t="s">
        <v>276</v>
      </c>
      <c r="H2293" s="195">
        <v>8.9348999999999998E-2</v>
      </c>
      <c r="I2293" s="195">
        <v>-6.9817999999999998E-3</v>
      </c>
      <c r="J2293" s="195">
        <v>-2.8961000000000001E-2</v>
      </c>
      <c r="K2293" s="195">
        <v>-4.99152E-2</v>
      </c>
      <c r="L2293" s="195">
        <v>6.3638000000000002E-3</v>
      </c>
      <c r="M2293" s="195">
        <v>6.1139999999999996E-3</v>
      </c>
      <c r="N2293" s="195">
        <v>5.5323999999999998E-3</v>
      </c>
    </row>
    <row r="2294" spans="1:14" hidden="1" x14ac:dyDescent="0.35">
      <c r="A2294" s="52" t="s">
        <v>243</v>
      </c>
      <c r="B2294" s="52" t="s">
        <v>37</v>
      </c>
      <c r="C2294" s="52" t="s">
        <v>35</v>
      </c>
      <c r="D2294" s="52" t="s">
        <v>36</v>
      </c>
      <c r="E2294" s="52" t="s">
        <v>587</v>
      </c>
      <c r="F2294" s="52" t="s">
        <v>581</v>
      </c>
      <c r="G2294" s="195" t="s">
        <v>277</v>
      </c>
      <c r="H2294" s="195">
        <v>0</v>
      </c>
      <c r="I2294" s="195"/>
      <c r="J2294" s="195"/>
      <c r="K2294" s="195"/>
      <c r="L2294" s="195"/>
      <c r="M2294" s="195">
        <v>0</v>
      </c>
      <c r="N2294" s="195">
        <v>0</v>
      </c>
    </row>
    <row r="2295" spans="1:14" hidden="1" x14ac:dyDescent="0.35">
      <c r="A2295" s="52" t="s">
        <v>243</v>
      </c>
      <c r="B2295" s="52" t="s">
        <v>37</v>
      </c>
      <c r="C2295" s="52" t="s">
        <v>35</v>
      </c>
      <c r="D2295" s="52" t="s">
        <v>36</v>
      </c>
      <c r="E2295" s="52" t="s">
        <v>587</v>
      </c>
      <c r="F2295" s="52" t="s">
        <v>581</v>
      </c>
      <c r="G2295" s="195" t="s">
        <v>279</v>
      </c>
      <c r="H2295" s="195">
        <v>0.265482</v>
      </c>
      <c r="I2295" s="195">
        <v>0.16980480000000001</v>
      </c>
      <c r="J2295" s="195">
        <v>0.14297119999999999</v>
      </c>
      <c r="K2295" s="195">
        <v>0.13128480000000001</v>
      </c>
      <c r="L2295" s="195">
        <v>0.13256299999999999</v>
      </c>
      <c r="M2295" s="195">
        <v>0.1183724</v>
      </c>
      <c r="N2295" s="195">
        <v>0.1064734</v>
      </c>
    </row>
    <row r="2296" spans="1:14" hidden="1" x14ac:dyDescent="0.35">
      <c r="A2296" s="52" t="s">
        <v>243</v>
      </c>
      <c r="B2296" s="52" t="s">
        <v>37</v>
      </c>
      <c r="C2296" s="52" t="s">
        <v>35</v>
      </c>
      <c r="D2296" s="52" t="s">
        <v>36</v>
      </c>
      <c r="E2296" s="52" t="s">
        <v>587</v>
      </c>
      <c r="F2296" s="52" t="s">
        <v>26</v>
      </c>
      <c r="G2296" s="195" t="s">
        <v>275</v>
      </c>
      <c r="H2296" s="195">
        <v>-2.7409999999999999E-3</v>
      </c>
      <c r="I2296" s="195">
        <v>-4.3796E-3</v>
      </c>
      <c r="J2296" s="195">
        <v>-3.215E-3</v>
      </c>
      <c r="K2296" s="195">
        <v>-3.2927999999999998E-3</v>
      </c>
      <c r="L2296" s="195">
        <v>-4.3585999999999998E-3</v>
      </c>
      <c r="M2296" s="195">
        <v>-3.8181999999999999E-3</v>
      </c>
      <c r="N2296" s="195">
        <v>-3.424E-3</v>
      </c>
    </row>
    <row r="2297" spans="1:14" hidden="1" x14ac:dyDescent="0.35">
      <c r="A2297" s="52" t="s">
        <v>243</v>
      </c>
      <c r="B2297" s="52" t="s">
        <v>37</v>
      </c>
      <c r="C2297" s="52" t="s">
        <v>35</v>
      </c>
      <c r="D2297" s="52" t="s">
        <v>36</v>
      </c>
      <c r="E2297" s="52" t="s">
        <v>587</v>
      </c>
      <c r="F2297" s="52" t="s">
        <v>26</v>
      </c>
      <c r="G2297" s="195" t="s">
        <v>276</v>
      </c>
      <c r="H2297" s="195">
        <v>-7.2800000000000002E-4</v>
      </c>
      <c r="I2297" s="195">
        <v>-1.1640000000000001E-3</v>
      </c>
      <c r="J2297" s="195">
        <v>-8.5439999999999995E-4</v>
      </c>
      <c r="K2297" s="195">
        <v>-8.7520000000000002E-4</v>
      </c>
      <c r="L2297" s="195">
        <v>-1.1584E-3</v>
      </c>
      <c r="M2297" s="195">
        <v>-1.0152E-3</v>
      </c>
      <c r="N2297" s="195">
        <v>-9.1020010000000004E-4</v>
      </c>
    </row>
    <row r="2298" spans="1:14" hidden="1" x14ac:dyDescent="0.35">
      <c r="A2298" s="52" t="s">
        <v>243</v>
      </c>
      <c r="B2298" s="52" t="s">
        <v>37</v>
      </c>
      <c r="C2298" s="52" t="s">
        <v>35</v>
      </c>
      <c r="D2298" s="52" t="s">
        <v>36</v>
      </c>
      <c r="E2298" s="52" t="s">
        <v>587</v>
      </c>
      <c r="F2298" s="52" t="s">
        <v>26</v>
      </c>
      <c r="G2298" s="195" t="s">
        <v>279</v>
      </c>
      <c r="H2298" s="195">
        <v>2.1711000000000001E-2</v>
      </c>
      <c r="I2298" s="195">
        <v>2.1736399999999999E-2</v>
      </c>
      <c r="J2298" s="195">
        <v>1.8721000000000002E-2</v>
      </c>
      <c r="K2298" s="195">
        <v>1.7378399999999999E-2</v>
      </c>
      <c r="L2298" s="195">
        <v>1.7423399999999999E-2</v>
      </c>
      <c r="M2298" s="195">
        <v>1.55856E-2</v>
      </c>
      <c r="N2298" s="195">
        <v>1.40194E-2</v>
      </c>
    </row>
    <row r="2299" spans="1:14" hidden="1" x14ac:dyDescent="0.35">
      <c r="A2299" s="52" t="s">
        <v>243</v>
      </c>
      <c r="B2299" s="52" t="s">
        <v>37</v>
      </c>
      <c r="C2299" s="52" t="s">
        <v>35</v>
      </c>
      <c r="D2299" s="52" t="s">
        <v>36</v>
      </c>
      <c r="E2299" s="52" t="s">
        <v>589</v>
      </c>
      <c r="F2299" s="52" t="s">
        <v>581</v>
      </c>
      <c r="G2299" s="195" t="s">
        <v>275</v>
      </c>
      <c r="H2299" s="195"/>
      <c r="I2299" s="195"/>
      <c r="J2299" s="195"/>
      <c r="K2299" s="195"/>
      <c r="L2299" s="195"/>
      <c r="M2299" s="195">
        <v>0</v>
      </c>
      <c r="N2299" s="195">
        <v>0</v>
      </c>
    </row>
    <row r="2300" spans="1:14" hidden="1" x14ac:dyDescent="0.35">
      <c r="A2300" s="52" t="s">
        <v>243</v>
      </c>
      <c r="B2300" s="52" t="s">
        <v>37</v>
      </c>
      <c r="C2300" s="52" t="s">
        <v>35</v>
      </c>
      <c r="D2300" s="52" t="s">
        <v>36</v>
      </c>
      <c r="E2300" s="52" t="s">
        <v>589</v>
      </c>
      <c r="F2300" s="52" t="s">
        <v>581</v>
      </c>
      <c r="G2300" s="195" t="s">
        <v>276</v>
      </c>
      <c r="H2300" s="195"/>
      <c r="I2300" s="195"/>
      <c r="J2300" s="195"/>
      <c r="K2300" s="195"/>
      <c r="L2300" s="195"/>
      <c r="M2300" s="195">
        <v>0</v>
      </c>
      <c r="N2300" s="195">
        <v>0</v>
      </c>
    </row>
    <row r="2301" spans="1:14" hidden="1" x14ac:dyDescent="0.35">
      <c r="A2301" s="52" t="s">
        <v>243</v>
      </c>
      <c r="B2301" s="52" t="s">
        <v>37</v>
      </c>
      <c r="C2301" s="52" t="s">
        <v>35</v>
      </c>
      <c r="D2301" s="52" t="s">
        <v>36</v>
      </c>
      <c r="E2301" s="52" t="s">
        <v>589</v>
      </c>
      <c r="F2301" s="52" t="s">
        <v>581</v>
      </c>
      <c r="G2301" s="195" t="s">
        <v>277</v>
      </c>
      <c r="H2301" s="195"/>
      <c r="I2301" s="195"/>
      <c r="J2301" s="195"/>
      <c r="K2301" s="195"/>
      <c r="L2301" s="195"/>
      <c r="M2301" s="195">
        <v>0</v>
      </c>
      <c r="N2301" s="195">
        <v>0</v>
      </c>
    </row>
    <row r="2302" spans="1:14" hidden="1" x14ac:dyDescent="0.35">
      <c r="A2302" s="52" t="s">
        <v>243</v>
      </c>
      <c r="B2302" s="52" t="s">
        <v>37</v>
      </c>
      <c r="C2302" s="52" t="s">
        <v>35</v>
      </c>
      <c r="D2302" s="52" t="s">
        <v>36</v>
      </c>
      <c r="E2302" s="52" t="s">
        <v>589</v>
      </c>
      <c r="F2302" s="52" t="s">
        <v>581</v>
      </c>
      <c r="G2302" s="195" t="s">
        <v>278</v>
      </c>
      <c r="H2302" s="195"/>
      <c r="I2302" s="195"/>
      <c r="J2302" s="195"/>
      <c r="K2302" s="195"/>
      <c r="L2302" s="195"/>
      <c r="M2302" s="195">
        <v>0</v>
      </c>
      <c r="N2302" s="195">
        <v>0</v>
      </c>
    </row>
    <row r="2303" spans="1:14" hidden="1" x14ac:dyDescent="0.35">
      <c r="A2303" s="52" t="s">
        <v>243</v>
      </c>
      <c r="B2303" s="52" t="s">
        <v>37</v>
      </c>
      <c r="C2303" s="52" t="s">
        <v>35</v>
      </c>
      <c r="D2303" s="52" t="s">
        <v>36</v>
      </c>
      <c r="E2303" s="52" t="s">
        <v>589</v>
      </c>
      <c r="F2303" s="52" t="s">
        <v>581</v>
      </c>
      <c r="G2303" s="195" t="s">
        <v>279</v>
      </c>
      <c r="H2303" s="195"/>
      <c r="I2303" s="195"/>
      <c r="J2303" s="195"/>
      <c r="K2303" s="195"/>
      <c r="L2303" s="195"/>
      <c r="M2303" s="195">
        <v>0</v>
      </c>
      <c r="N2303" s="195">
        <v>0</v>
      </c>
    </row>
    <row r="2304" spans="1:14" hidden="1" x14ac:dyDescent="0.35">
      <c r="A2304" s="52" t="s">
        <v>243</v>
      </c>
      <c r="B2304" s="52" t="s">
        <v>37</v>
      </c>
      <c r="C2304" s="52" t="s">
        <v>35</v>
      </c>
      <c r="D2304" s="52" t="s">
        <v>36</v>
      </c>
      <c r="E2304" s="52" t="s">
        <v>589</v>
      </c>
      <c r="F2304" s="52" t="s">
        <v>26</v>
      </c>
      <c r="G2304" s="195" t="s">
        <v>275</v>
      </c>
      <c r="H2304" s="195"/>
      <c r="I2304" s="195"/>
      <c r="J2304" s="195"/>
      <c r="K2304" s="195"/>
      <c r="L2304" s="195"/>
      <c r="M2304" s="195">
        <v>0</v>
      </c>
      <c r="N2304" s="195">
        <v>0</v>
      </c>
    </row>
    <row r="2305" spans="1:14" hidden="1" x14ac:dyDescent="0.35">
      <c r="A2305" s="52" t="s">
        <v>243</v>
      </c>
      <c r="B2305" s="52" t="s">
        <v>37</v>
      </c>
      <c r="C2305" s="52" t="s">
        <v>35</v>
      </c>
      <c r="D2305" s="52" t="s">
        <v>36</v>
      </c>
      <c r="E2305" s="52" t="s">
        <v>589</v>
      </c>
      <c r="F2305" s="52" t="s">
        <v>26</v>
      </c>
      <c r="G2305" s="195" t="s">
        <v>276</v>
      </c>
      <c r="H2305" s="195"/>
      <c r="I2305" s="195"/>
      <c r="J2305" s="195"/>
      <c r="K2305" s="195"/>
      <c r="L2305" s="195"/>
      <c r="M2305" s="195">
        <v>0</v>
      </c>
      <c r="N2305" s="195">
        <v>0</v>
      </c>
    </row>
    <row r="2306" spans="1:14" hidden="1" x14ac:dyDescent="0.35">
      <c r="A2306" s="52" t="s">
        <v>243</v>
      </c>
      <c r="B2306" s="52" t="s">
        <v>37</v>
      </c>
      <c r="C2306" s="52" t="s">
        <v>35</v>
      </c>
      <c r="D2306" s="52" t="s">
        <v>36</v>
      </c>
      <c r="E2306" s="52" t="s">
        <v>589</v>
      </c>
      <c r="F2306" s="52" t="s">
        <v>26</v>
      </c>
      <c r="G2306" s="195" t="s">
        <v>279</v>
      </c>
      <c r="H2306" s="195"/>
      <c r="I2306" s="195"/>
      <c r="J2306" s="195"/>
      <c r="K2306" s="195"/>
      <c r="L2306" s="195"/>
      <c r="M2306" s="195">
        <v>0</v>
      </c>
      <c r="N2306" s="195">
        <v>0</v>
      </c>
    </row>
    <row r="2307" spans="1:14" hidden="1" x14ac:dyDescent="0.35">
      <c r="A2307" s="52" t="s">
        <v>243</v>
      </c>
      <c r="B2307" s="52" t="s">
        <v>37</v>
      </c>
      <c r="C2307" s="52" t="s">
        <v>35</v>
      </c>
      <c r="D2307" s="52" t="s">
        <v>39</v>
      </c>
      <c r="E2307" s="52" t="s">
        <v>584</v>
      </c>
      <c r="F2307" s="52" t="s">
        <v>581</v>
      </c>
      <c r="G2307" s="195" t="s">
        <v>275</v>
      </c>
      <c r="H2307" s="195">
        <v>12.06555</v>
      </c>
      <c r="I2307" s="195">
        <v>2.392236</v>
      </c>
      <c r="J2307" s="195">
        <v>1.61964</v>
      </c>
      <c r="K2307" s="195">
        <v>1.4564550000000001</v>
      </c>
      <c r="L2307" s="195">
        <v>1.121515</v>
      </c>
      <c r="M2307" s="195">
        <v>1.0654220000000001</v>
      </c>
      <c r="N2307" s="195">
        <v>0.98341679999999998</v>
      </c>
    </row>
    <row r="2308" spans="1:14" hidden="1" x14ac:dyDescent="0.35">
      <c r="A2308" s="52" t="s">
        <v>243</v>
      </c>
      <c r="B2308" s="52" t="s">
        <v>37</v>
      </c>
      <c r="C2308" s="52" t="s">
        <v>35</v>
      </c>
      <c r="D2308" s="52" t="s">
        <v>39</v>
      </c>
      <c r="E2308" s="52" t="s">
        <v>584</v>
      </c>
      <c r="F2308" s="52" t="s">
        <v>581</v>
      </c>
      <c r="G2308" s="195" t="s">
        <v>276</v>
      </c>
      <c r="H2308" s="195">
        <v>3.0451440000000001</v>
      </c>
      <c r="I2308" s="195">
        <v>0.46637079999999997</v>
      </c>
      <c r="J2308" s="195">
        <v>0.43053799999999998</v>
      </c>
      <c r="K2308" s="195">
        <v>0.38715939999999999</v>
      </c>
      <c r="L2308" s="195">
        <v>0.29812420000000001</v>
      </c>
      <c r="M2308" s="195">
        <v>0.2832134</v>
      </c>
      <c r="N2308" s="195">
        <v>0.2614146</v>
      </c>
    </row>
    <row r="2309" spans="1:14" hidden="1" x14ac:dyDescent="0.35">
      <c r="A2309" s="52" t="s">
        <v>243</v>
      </c>
      <c r="B2309" s="52" t="s">
        <v>37</v>
      </c>
      <c r="C2309" s="52" t="s">
        <v>35</v>
      </c>
      <c r="D2309" s="52" t="s">
        <v>39</v>
      </c>
      <c r="E2309" s="52" t="s">
        <v>584</v>
      </c>
      <c r="F2309" s="52" t="s">
        <v>581</v>
      </c>
      <c r="G2309" s="195" t="s">
        <v>279</v>
      </c>
      <c r="H2309" s="195">
        <v>5.5332160000000004</v>
      </c>
      <c r="I2309" s="195">
        <v>3.386361</v>
      </c>
      <c r="J2309" s="195">
        <v>2.9137200000000001</v>
      </c>
      <c r="K2309" s="195">
        <v>2.7420659999999999</v>
      </c>
      <c r="L2309" s="195">
        <v>2.816516</v>
      </c>
      <c r="M2309" s="195">
        <v>2.5746660000000001</v>
      </c>
      <c r="N2309" s="195">
        <v>2.3687429999999998</v>
      </c>
    </row>
    <row r="2310" spans="1:14" hidden="1" x14ac:dyDescent="0.35">
      <c r="A2310" s="52" t="s">
        <v>243</v>
      </c>
      <c r="B2310" s="52" t="s">
        <v>37</v>
      </c>
      <c r="C2310" s="52" t="s">
        <v>35</v>
      </c>
      <c r="D2310" s="52" t="s">
        <v>39</v>
      </c>
      <c r="E2310" s="52" t="s">
        <v>584</v>
      </c>
      <c r="F2310" s="52" t="s">
        <v>26</v>
      </c>
      <c r="G2310" s="195" t="s">
        <v>275</v>
      </c>
      <c r="H2310" s="195">
        <v>-6.178699E-2</v>
      </c>
      <c r="I2310" s="195">
        <v>-0.16642480000000001</v>
      </c>
      <c r="J2310" s="195">
        <v>-0.1133328</v>
      </c>
      <c r="K2310" s="195">
        <v>-0.132109</v>
      </c>
      <c r="L2310" s="195">
        <v>-0.20296040000000001</v>
      </c>
      <c r="M2310" s="195">
        <v>-0.18103820000000001</v>
      </c>
      <c r="N2310" s="195">
        <v>-0.16584180000000001</v>
      </c>
    </row>
    <row r="2311" spans="1:14" hidden="1" x14ac:dyDescent="0.35">
      <c r="A2311" s="52" t="s">
        <v>243</v>
      </c>
      <c r="B2311" s="52" t="s">
        <v>37</v>
      </c>
      <c r="C2311" s="52" t="s">
        <v>35</v>
      </c>
      <c r="D2311" s="52" t="s">
        <v>39</v>
      </c>
      <c r="E2311" s="52" t="s">
        <v>584</v>
      </c>
      <c r="F2311" s="52" t="s">
        <v>26</v>
      </c>
      <c r="G2311" s="195" t="s">
        <v>276</v>
      </c>
      <c r="H2311" s="195">
        <v>-1.6424000000000001E-2</v>
      </c>
      <c r="I2311" s="195">
        <v>-4.4239399999999998E-2</v>
      </c>
      <c r="J2311" s="195">
        <v>-3.0126199999999999E-2</v>
      </c>
      <c r="K2311" s="195">
        <v>-3.5117000000000002E-2</v>
      </c>
      <c r="L2311" s="195">
        <v>-5.3950999999999999E-2</v>
      </c>
      <c r="M2311" s="195">
        <v>-4.8123800000000001E-2</v>
      </c>
      <c r="N2311" s="195">
        <v>-4.4084199999999997E-2</v>
      </c>
    </row>
    <row r="2312" spans="1:14" hidden="1" x14ac:dyDescent="0.35">
      <c r="A2312" s="52" t="s">
        <v>243</v>
      </c>
      <c r="B2312" s="52" t="s">
        <v>37</v>
      </c>
      <c r="C2312" s="52" t="s">
        <v>35</v>
      </c>
      <c r="D2312" s="52" t="s">
        <v>39</v>
      </c>
      <c r="E2312" s="52" t="s">
        <v>584</v>
      </c>
      <c r="F2312" s="52" t="s">
        <v>26</v>
      </c>
      <c r="G2312" s="195" t="s">
        <v>279</v>
      </c>
      <c r="H2312" s="195">
        <v>1.233079</v>
      </c>
      <c r="I2312" s="195">
        <v>1.247171</v>
      </c>
      <c r="J2312" s="195">
        <v>1.1027309999999999</v>
      </c>
      <c r="K2312" s="195">
        <v>1.051917</v>
      </c>
      <c r="L2312" s="195">
        <v>1.072343</v>
      </c>
      <c r="M2312" s="195">
        <v>0.98228819999999994</v>
      </c>
      <c r="N2312" s="195">
        <v>0.90373789999999998</v>
      </c>
    </row>
    <row r="2313" spans="1:14" hidden="1" x14ac:dyDescent="0.35">
      <c r="A2313" s="52" t="s">
        <v>243</v>
      </c>
      <c r="B2313" s="52" t="s">
        <v>37</v>
      </c>
      <c r="C2313" s="52" t="s">
        <v>35</v>
      </c>
      <c r="D2313" s="52" t="s">
        <v>233</v>
      </c>
      <c r="E2313" s="52" t="s">
        <v>587</v>
      </c>
      <c r="F2313" s="52" t="s">
        <v>581</v>
      </c>
      <c r="G2313" s="195" t="s">
        <v>275</v>
      </c>
      <c r="H2313" s="195">
        <v>6.3127009999999997</v>
      </c>
      <c r="I2313" s="195">
        <v>0.89641519999999997</v>
      </c>
      <c r="J2313" s="195">
        <v>0.79036759999999995</v>
      </c>
      <c r="K2313" s="195">
        <v>0.8977735</v>
      </c>
      <c r="L2313" s="195">
        <v>0.28113640000000001</v>
      </c>
      <c r="M2313" s="195">
        <v>0.2649146</v>
      </c>
      <c r="N2313" s="195">
        <v>0.2393518</v>
      </c>
    </row>
    <row r="2314" spans="1:14" hidden="1" x14ac:dyDescent="0.35">
      <c r="A2314" s="52" t="s">
        <v>243</v>
      </c>
      <c r="B2314" s="52" t="s">
        <v>37</v>
      </c>
      <c r="C2314" s="52" t="s">
        <v>35</v>
      </c>
      <c r="D2314" s="52" t="s">
        <v>233</v>
      </c>
      <c r="E2314" s="52" t="s">
        <v>587</v>
      </c>
      <c r="F2314" s="52" t="s">
        <v>581</v>
      </c>
      <c r="G2314" s="195" t="s">
        <v>276</v>
      </c>
      <c r="H2314" s="195">
        <v>-0.52652600000000005</v>
      </c>
      <c r="I2314" s="195">
        <v>-1.8467999999999998E-2</v>
      </c>
      <c r="J2314" s="195">
        <v>-0.1973898</v>
      </c>
      <c r="K2314" s="195">
        <v>-0.38088460000000002</v>
      </c>
      <c r="L2314" s="195">
        <v>7.4732010000000001E-2</v>
      </c>
      <c r="M2314" s="195">
        <v>7.0420399999999994E-2</v>
      </c>
      <c r="N2314" s="195">
        <v>6.3625200000000007E-2</v>
      </c>
    </row>
    <row r="2315" spans="1:14" hidden="1" x14ac:dyDescent="0.35">
      <c r="A2315" s="52" t="s">
        <v>243</v>
      </c>
      <c r="B2315" s="52" t="s">
        <v>37</v>
      </c>
      <c r="C2315" s="52" t="s">
        <v>35</v>
      </c>
      <c r="D2315" s="52" t="s">
        <v>233</v>
      </c>
      <c r="E2315" s="52" t="s">
        <v>587</v>
      </c>
      <c r="F2315" s="52" t="s">
        <v>581</v>
      </c>
      <c r="G2315" s="195" t="s">
        <v>277</v>
      </c>
      <c r="H2315" s="195">
        <v>0</v>
      </c>
      <c r="I2315" s="195"/>
      <c r="J2315" s="195"/>
      <c r="K2315" s="195"/>
      <c r="L2315" s="195"/>
      <c r="M2315" s="195">
        <v>0</v>
      </c>
      <c r="N2315" s="195">
        <v>0</v>
      </c>
    </row>
    <row r="2316" spans="1:14" hidden="1" x14ac:dyDescent="0.35">
      <c r="A2316" s="52" t="s">
        <v>243</v>
      </c>
      <c r="B2316" s="52" t="s">
        <v>37</v>
      </c>
      <c r="C2316" s="52" t="s">
        <v>35</v>
      </c>
      <c r="D2316" s="52" t="s">
        <v>233</v>
      </c>
      <c r="E2316" s="52" t="s">
        <v>587</v>
      </c>
      <c r="F2316" s="52" t="s">
        <v>581</v>
      </c>
      <c r="G2316" s="195" t="s">
        <v>279</v>
      </c>
      <c r="H2316" s="195">
        <v>2.4197310000000001</v>
      </c>
      <c r="I2316" s="195">
        <v>1.378201</v>
      </c>
      <c r="J2316" s="195">
        <v>1.1604110000000001</v>
      </c>
      <c r="K2316" s="195">
        <v>1.0668979999999999</v>
      </c>
      <c r="L2316" s="195">
        <v>1.0746770000000001</v>
      </c>
      <c r="M2316" s="195">
        <v>0.96007390000000004</v>
      </c>
      <c r="N2316" s="195">
        <v>0.86360159999999997</v>
      </c>
    </row>
    <row r="2317" spans="1:14" hidden="1" x14ac:dyDescent="0.35">
      <c r="A2317" s="52" t="s">
        <v>243</v>
      </c>
      <c r="B2317" s="52" t="s">
        <v>37</v>
      </c>
      <c r="C2317" s="52" t="s">
        <v>35</v>
      </c>
      <c r="D2317" s="52" t="s">
        <v>233</v>
      </c>
      <c r="E2317" s="52" t="s">
        <v>587</v>
      </c>
      <c r="F2317" s="52" t="s">
        <v>26</v>
      </c>
      <c r="G2317" s="195" t="s">
        <v>275</v>
      </c>
      <c r="H2317" s="195">
        <v>-1.2090999999999999E-2</v>
      </c>
      <c r="I2317" s="195">
        <v>-1.9961E-2</v>
      </c>
      <c r="J2317" s="195">
        <v>-1.46278E-2</v>
      </c>
      <c r="K2317" s="195">
        <v>-1.52566E-2</v>
      </c>
      <c r="L2317" s="195">
        <v>-2.0234800000000001E-2</v>
      </c>
      <c r="M2317" s="195">
        <v>-1.7752199999999999E-2</v>
      </c>
      <c r="N2317" s="195">
        <v>-1.5918999999999999E-2</v>
      </c>
    </row>
    <row r="2318" spans="1:14" hidden="1" x14ac:dyDescent="0.35">
      <c r="A2318" s="52" t="s">
        <v>243</v>
      </c>
      <c r="B2318" s="52" t="s">
        <v>37</v>
      </c>
      <c r="C2318" s="52" t="s">
        <v>35</v>
      </c>
      <c r="D2318" s="52" t="s">
        <v>233</v>
      </c>
      <c r="E2318" s="52" t="s">
        <v>587</v>
      </c>
      <c r="F2318" s="52" t="s">
        <v>26</v>
      </c>
      <c r="G2318" s="195" t="s">
        <v>276</v>
      </c>
      <c r="H2318" s="195">
        <v>-3.2139999999999998E-3</v>
      </c>
      <c r="I2318" s="195">
        <v>-5.3061999999999996E-3</v>
      </c>
      <c r="J2318" s="195">
        <v>-3.8885999999999999E-3</v>
      </c>
      <c r="K2318" s="195">
        <v>-4.0552000000000001E-3</v>
      </c>
      <c r="L2318" s="195">
        <v>-5.3785999999999999E-3</v>
      </c>
      <c r="M2318" s="195">
        <v>-4.7184000000000002E-3</v>
      </c>
      <c r="N2318" s="195">
        <v>-4.2310000000000004E-3</v>
      </c>
    </row>
    <row r="2319" spans="1:14" hidden="1" x14ac:dyDescent="0.35">
      <c r="A2319" s="52" t="s">
        <v>243</v>
      </c>
      <c r="B2319" s="52" t="s">
        <v>37</v>
      </c>
      <c r="C2319" s="52" t="s">
        <v>35</v>
      </c>
      <c r="D2319" s="52" t="s">
        <v>233</v>
      </c>
      <c r="E2319" s="52" t="s">
        <v>587</v>
      </c>
      <c r="F2319" s="52" t="s">
        <v>26</v>
      </c>
      <c r="G2319" s="195" t="s">
        <v>279</v>
      </c>
      <c r="H2319" s="195">
        <v>0.104228</v>
      </c>
      <c r="I2319" s="195">
        <v>0.1037038</v>
      </c>
      <c r="J2319" s="195">
        <v>8.9491609999999999E-2</v>
      </c>
      <c r="K2319" s="195">
        <v>8.3313399999999996E-2</v>
      </c>
      <c r="L2319" s="195">
        <v>8.3294199999999999E-2</v>
      </c>
      <c r="M2319" s="195">
        <v>7.4559609999999998E-2</v>
      </c>
      <c r="N2319" s="195">
        <v>6.7068000000000003E-2</v>
      </c>
    </row>
    <row r="2320" spans="1:14" hidden="1" x14ac:dyDescent="0.35">
      <c r="A2320" s="52" t="s">
        <v>243</v>
      </c>
      <c r="B2320" s="52" t="s">
        <v>37</v>
      </c>
      <c r="C2320" s="52" t="s">
        <v>79</v>
      </c>
      <c r="D2320" s="52" t="s">
        <v>79</v>
      </c>
      <c r="E2320" s="52" t="s">
        <v>600</v>
      </c>
      <c r="F2320" s="52" t="s">
        <v>581</v>
      </c>
      <c r="G2320" s="195" t="s">
        <v>275</v>
      </c>
      <c r="H2320" s="195">
        <v>-4.7587890000000002</v>
      </c>
      <c r="I2320" s="195">
        <v>-8.8830620000000007</v>
      </c>
      <c r="J2320" s="195">
        <v>-6.3242479999999999</v>
      </c>
      <c r="K2320" s="195">
        <v>-1.775123</v>
      </c>
      <c r="L2320" s="195">
        <v>-13.114800000000001</v>
      </c>
      <c r="M2320" s="195">
        <v>-23.36383</v>
      </c>
      <c r="N2320" s="195">
        <v>-18.521470000000001</v>
      </c>
    </row>
    <row r="2321" spans="1:14" hidden="1" x14ac:dyDescent="0.35">
      <c r="A2321" s="52" t="s">
        <v>243</v>
      </c>
      <c r="B2321" s="52" t="s">
        <v>37</v>
      </c>
      <c r="C2321" s="52" t="s">
        <v>79</v>
      </c>
      <c r="D2321" s="52" t="s">
        <v>79</v>
      </c>
      <c r="E2321" s="52" t="s">
        <v>600</v>
      </c>
      <c r="F2321" s="52" t="s">
        <v>581</v>
      </c>
      <c r="G2321" s="195" t="s">
        <v>276</v>
      </c>
      <c r="H2321" s="195">
        <v>10.001799999999999</v>
      </c>
      <c r="I2321" s="195">
        <v>-15.179729999999999</v>
      </c>
      <c r="J2321" s="195">
        <v>-16.762119999999999</v>
      </c>
      <c r="K2321" s="195">
        <v>-20.040769999999998</v>
      </c>
      <c r="L2321" s="195">
        <v>-16.12471</v>
      </c>
      <c r="M2321" s="195">
        <v>-6.7825470000000001</v>
      </c>
      <c r="N2321" s="195">
        <v>-5.4076180000000003</v>
      </c>
    </row>
    <row r="2322" spans="1:14" hidden="1" x14ac:dyDescent="0.35">
      <c r="A2322" s="52" t="s">
        <v>243</v>
      </c>
      <c r="B2322" s="52" t="s">
        <v>37</v>
      </c>
      <c r="C2322" s="52" t="s">
        <v>79</v>
      </c>
      <c r="D2322" s="52" t="s">
        <v>79</v>
      </c>
      <c r="E2322" s="52" t="s">
        <v>600</v>
      </c>
      <c r="F2322" s="52" t="s">
        <v>581</v>
      </c>
      <c r="G2322" s="195" t="s">
        <v>277</v>
      </c>
      <c r="H2322" s="195">
        <v>103.6801</v>
      </c>
      <c r="I2322" s="195">
        <v>0</v>
      </c>
      <c r="J2322" s="195"/>
      <c r="K2322" s="195">
        <v>0</v>
      </c>
      <c r="L2322" s="195"/>
      <c r="M2322" s="195">
        <v>0</v>
      </c>
      <c r="N2322" s="195">
        <v>0</v>
      </c>
    </row>
    <row r="2323" spans="1:14" hidden="1" x14ac:dyDescent="0.35">
      <c r="A2323" s="52" t="s">
        <v>243</v>
      </c>
      <c r="B2323" s="52" t="s">
        <v>37</v>
      </c>
      <c r="C2323" s="52" t="s">
        <v>79</v>
      </c>
      <c r="D2323" s="52" t="s">
        <v>79</v>
      </c>
      <c r="E2323" s="52" t="s">
        <v>600</v>
      </c>
      <c r="F2323" s="52" t="s">
        <v>581</v>
      </c>
      <c r="G2323" s="195" t="s">
        <v>278</v>
      </c>
      <c r="H2323" s="195">
        <v>0</v>
      </c>
      <c r="I2323" s="195"/>
      <c r="J2323" s="195"/>
      <c r="K2323" s="195"/>
      <c r="L2323" s="195"/>
      <c r="M2323" s="195"/>
      <c r="N2323" s="195"/>
    </row>
    <row r="2324" spans="1:14" hidden="1" x14ac:dyDescent="0.35">
      <c r="A2324" s="52" t="s">
        <v>243</v>
      </c>
      <c r="B2324" s="52" t="s">
        <v>37</v>
      </c>
      <c r="C2324" s="52" t="s">
        <v>79</v>
      </c>
      <c r="D2324" s="52" t="s">
        <v>79</v>
      </c>
      <c r="E2324" s="52" t="s">
        <v>600</v>
      </c>
      <c r="F2324" s="52" t="s">
        <v>581</v>
      </c>
      <c r="G2324" s="195" t="s">
        <v>279</v>
      </c>
      <c r="H2324" s="195">
        <v>181.72550000000001</v>
      </c>
      <c r="I2324" s="195">
        <v>106.8544</v>
      </c>
      <c r="J2324" s="195">
        <v>75.240359999999995</v>
      </c>
      <c r="K2324" s="195">
        <v>66.40043</v>
      </c>
      <c r="L2324" s="195">
        <v>72.991190000000003</v>
      </c>
      <c r="M2324" s="195">
        <v>75.372730000000004</v>
      </c>
      <c r="N2324" s="195">
        <v>60.615580000000001</v>
      </c>
    </row>
    <row r="2325" spans="1:14" hidden="1" x14ac:dyDescent="0.35">
      <c r="A2325" s="52" t="s">
        <v>243</v>
      </c>
      <c r="B2325" s="52" t="s">
        <v>37</v>
      </c>
      <c r="C2325" s="52" t="s">
        <v>79</v>
      </c>
      <c r="D2325" s="52" t="s">
        <v>79</v>
      </c>
      <c r="E2325" s="52" t="s">
        <v>600</v>
      </c>
      <c r="F2325" s="52" t="s">
        <v>26</v>
      </c>
      <c r="G2325" s="195" t="s">
        <v>275</v>
      </c>
      <c r="H2325" s="195">
        <v>-30.7531</v>
      </c>
      <c r="I2325" s="195">
        <v>-23.591419999999999</v>
      </c>
      <c r="J2325" s="195">
        <v>-1.596284</v>
      </c>
      <c r="K2325" s="195">
        <v>-2.189228</v>
      </c>
      <c r="L2325" s="195">
        <v>-40.453989999999997</v>
      </c>
      <c r="M2325" s="195">
        <v>-42.402589999999996</v>
      </c>
      <c r="N2325" s="195">
        <v>-33.70655</v>
      </c>
    </row>
    <row r="2326" spans="1:14" hidden="1" x14ac:dyDescent="0.35">
      <c r="A2326" s="52" t="s">
        <v>243</v>
      </c>
      <c r="B2326" s="52" t="s">
        <v>37</v>
      </c>
      <c r="C2326" s="52" t="s">
        <v>79</v>
      </c>
      <c r="D2326" s="52" t="s">
        <v>79</v>
      </c>
      <c r="E2326" s="52" t="s">
        <v>600</v>
      </c>
      <c r="F2326" s="52" t="s">
        <v>26</v>
      </c>
      <c r="G2326" s="195" t="s">
        <v>276</v>
      </c>
      <c r="H2326" s="195">
        <v>-47.596550000000001</v>
      </c>
      <c r="I2326" s="195">
        <v>-41.269759999999998</v>
      </c>
      <c r="J2326" s="195">
        <v>-43.581539999999997</v>
      </c>
      <c r="K2326" s="195">
        <v>-40.965249999999997</v>
      </c>
      <c r="L2326" s="195">
        <v>-11.73272</v>
      </c>
      <c r="M2326" s="195">
        <v>-12.29649</v>
      </c>
      <c r="N2326" s="195">
        <v>-9.7888400000000004</v>
      </c>
    </row>
    <row r="2327" spans="1:14" hidden="1" x14ac:dyDescent="0.35">
      <c r="A2327" s="52" t="s">
        <v>243</v>
      </c>
      <c r="B2327" s="52" t="s">
        <v>37</v>
      </c>
      <c r="C2327" s="52" t="s">
        <v>79</v>
      </c>
      <c r="D2327" s="52" t="s">
        <v>79</v>
      </c>
      <c r="E2327" s="52" t="s">
        <v>600</v>
      </c>
      <c r="F2327" s="52" t="s">
        <v>26</v>
      </c>
      <c r="G2327" s="195" t="s">
        <v>277</v>
      </c>
      <c r="H2327" s="195">
        <v>0</v>
      </c>
      <c r="I2327" s="195">
        <v>0</v>
      </c>
      <c r="J2327" s="195"/>
      <c r="K2327" s="195">
        <v>0</v>
      </c>
      <c r="L2327" s="195"/>
      <c r="M2327" s="195">
        <v>0</v>
      </c>
      <c r="N2327" s="195">
        <v>0</v>
      </c>
    </row>
    <row r="2328" spans="1:14" hidden="1" x14ac:dyDescent="0.35">
      <c r="A2328" s="52" t="s">
        <v>243</v>
      </c>
      <c r="B2328" s="52" t="s">
        <v>37</v>
      </c>
      <c r="C2328" s="52" t="s">
        <v>79</v>
      </c>
      <c r="D2328" s="52" t="s">
        <v>79</v>
      </c>
      <c r="E2328" s="52" t="s">
        <v>600</v>
      </c>
      <c r="F2328" s="52" t="s">
        <v>26</v>
      </c>
      <c r="G2328" s="195" t="s">
        <v>278</v>
      </c>
      <c r="H2328" s="195">
        <v>0</v>
      </c>
      <c r="I2328" s="195"/>
      <c r="J2328" s="195"/>
      <c r="K2328" s="195"/>
      <c r="L2328" s="195"/>
      <c r="M2328" s="195"/>
      <c r="N2328" s="195"/>
    </row>
    <row r="2329" spans="1:14" hidden="1" x14ac:dyDescent="0.35">
      <c r="A2329" s="52" t="s">
        <v>243</v>
      </c>
      <c r="B2329" s="52" t="s">
        <v>37</v>
      </c>
      <c r="C2329" s="52" t="s">
        <v>79</v>
      </c>
      <c r="D2329" s="52" t="s">
        <v>79</v>
      </c>
      <c r="E2329" s="52" t="s">
        <v>600</v>
      </c>
      <c r="F2329" s="52" t="s">
        <v>26</v>
      </c>
      <c r="G2329" s="195" t="s">
        <v>279</v>
      </c>
      <c r="H2329" s="195">
        <v>201.2098</v>
      </c>
      <c r="I2329" s="195">
        <v>140.7131</v>
      </c>
      <c r="J2329" s="195">
        <v>102.20489999999999</v>
      </c>
      <c r="K2329" s="195">
        <v>92.178179999999998</v>
      </c>
      <c r="L2329" s="195">
        <v>101.66500000000001</v>
      </c>
      <c r="M2329" s="195">
        <v>107.0903</v>
      </c>
      <c r="N2329" s="195">
        <v>85.316959999999995</v>
      </c>
    </row>
    <row r="2330" spans="1:14" hidden="1" x14ac:dyDescent="0.35">
      <c r="A2330" s="52" t="s">
        <v>243</v>
      </c>
      <c r="B2330" s="52" t="s">
        <v>37</v>
      </c>
      <c r="C2330" s="52" t="s">
        <v>79</v>
      </c>
      <c r="D2330" s="52" t="s">
        <v>79</v>
      </c>
      <c r="E2330" s="52" t="s">
        <v>615</v>
      </c>
      <c r="F2330" s="52" t="s">
        <v>581</v>
      </c>
      <c r="G2330" s="195" t="s">
        <v>275</v>
      </c>
      <c r="H2330" s="195">
        <v>20.91226</v>
      </c>
      <c r="I2330" s="195">
        <v>9.2561</v>
      </c>
      <c r="J2330" s="195">
        <v>8.1605349999999994</v>
      </c>
      <c r="K2330" s="195">
        <v>5.0897170000000003</v>
      </c>
      <c r="L2330" s="195">
        <v>-0.1048029</v>
      </c>
      <c r="M2330" s="195">
        <v>0.74071670000000001</v>
      </c>
      <c r="N2330" s="195">
        <v>0.5599248</v>
      </c>
    </row>
    <row r="2331" spans="1:14" hidden="1" x14ac:dyDescent="0.35">
      <c r="A2331" s="52" t="s">
        <v>243</v>
      </c>
      <c r="B2331" s="52" t="s">
        <v>37</v>
      </c>
      <c r="C2331" s="52" t="s">
        <v>79</v>
      </c>
      <c r="D2331" s="52" t="s">
        <v>79</v>
      </c>
      <c r="E2331" s="52" t="s">
        <v>615</v>
      </c>
      <c r="F2331" s="52" t="s">
        <v>581</v>
      </c>
      <c r="G2331" s="195" t="s">
        <v>276</v>
      </c>
      <c r="H2331" s="195">
        <v>-3.311042</v>
      </c>
      <c r="I2331" s="195">
        <v>-6.8676370000000002</v>
      </c>
      <c r="J2331" s="195">
        <v>-6.9143819999999998</v>
      </c>
      <c r="K2331" s="195">
        <v>-4.33704</v>
      </c>
      <c r="L2331" s="195">
        <v>0.12594179999999999</v>
      </c>
      <c r="M2331" s="195">
        <v>0.14194880000000001</v>
      </c>
      <c r="N2331" s="195">
        <v>0.104093</v>
      </c>
    </row>
    <row r="2332" spans="1:14" hidden="1" x14ac:dyDescent="0.35">
      <c r="A2332" s="52" t="s">
        <v>243</v>
      </c>
      <c r="B2332" s="52" t="s">
        <v>37</v>
      </c>
      <c r="C2332" s="52" t="s">
        <v>79</v>
      </c>
      <c r="D2332" s="52" t="s">
        <v>79</v>
      </c>
      <c r="E2332" s="52" t="s">
        <v>615</v>
      </c>
      <c r="F2332" s="52" t="s">
        <v>581</v>
      </c>
      <c r="G2332" s="195" t="s">
        <v>277</v>
      </c>
      <c r="H2332" s="195">
        <v>0</v>
      </c>
      <c r="I2332" s="195"/>
      <c r="J2332" s="195">
        <v>0</v>
      </c>
      <c r="K2332" s="195">
        <v>0.89501350000000002</v>
      </c>
      <c r="L2332" s="195">
        <v>0.85306669999999996</v>
      </c>
      <c r="M2332" s="195">
        <v>0</v>
      </c>
      <c r="N2332" s="195">
        <v>0</v>
      </c>
    </row>
    <row r="2333" spans="1:14" hidden="1" x14ac:dyDescent="0.35">
      <c r="A2333" s="52" t="s">
        <v>243</v>
      </c>
      <c r="B2333" s="52" t="s">
        <v>37</v>
      </c>
      <c r="C2333" s="52" t="s">
        <v>79</v>
      </c>
      <c r="D2333" s="52" t="s">
        <v>79</v>
      </c>
      <c r="E2333" s="52" t="s">
        <v>615</v>
      </c>
      <c r="F2333" s="52" t="s">
        <v>581</v>
      </c>
      <c r="G2333" s="195" t="s">
        <v>279</v>
      </c>
      <c r="H2333" s="195">
        <v>10.30893</v>
      </c>
      <c r="I2333" s="195">
        <v>6.6070609999999999</v>
      </c>
      <c r="J2333" s="195">
        <v>5.1156420000000002</v>
      </c>
      <c r="K2333" s="195">
        <v>7.4849969999999999</v>
      </c>
      <c r="L2333" s="195">
        <v>9.2702559999999998</v>
      </c>
      <c r="M2333" s="195">
        <v>7.9832369999999999</v>
      </c>
      <c r="N2333" s="195">
        <v>6.1779380000000002</v>
      </c>
    </row>
    <row r="2334" spans="1:14" hidden="1" x14ac:dyDescent="0.35">
      <c r="A2334" s="52" t="s">
        <v>243</v>
      </c>
      <c r="B2334" s="52" t="s">
        <v>37</v>
      </c>
      <c r="C2334" s="52" t="s">
        <v>79</v>
      </c>
      <c r="D2334" s="52" t="s">
        <v>79</v>
      </c>
      <c r="E2334" s="52" t="s">
        <v>615</v>
      </c>
      <c r="F2334" s="52" t="s">
        <v>26</v>
      </c>
      <c r="G2334" s="195" t="s">
        <v>275</v>
      </c>
      <c r="H2334" s="195">
        <v>-0.48368</v>
      </c>
      <c r="I2334" s="195">
        <v>-0.73466980000000004</v>
      </c>
      <c r="J2334" s="195">
        <v>-0.48660900000000001</v>
      </c>
      <c r="K2334" s="195">
        <v>-0.83835879999999996</v>
      </c>
      <c r="L2334" s="195">
        <v>-1.4215819999999999</v>
      </c>
      <c r="M2334" s="195">
        <v>-1.198761</v>
      </c>
      <c r="N2334" s="195">
        <v>-0.92724450000000003</v>
      </c>
    </row>
    <row r="2335" spans="1:14" hidden="1" x14ac:dyDescent="0.35">
      <c r="A2335" s="52" t="s">
        <v>243</v>
      </c>
      <c r="B2335" s="52" t="s">
        <v>37</v>
      </c>
      <c r="C2335" s="52" t="s">
        <v>79</v>
      </c>
      <c r="D2335" s="52" t="s">
        <v>79</v>
      </c>
      <c r="E2335" s="52" t="s">
        <v>615</v>
      </c>
      <c r="F2335" s="52" t="s">
        <v>26</v>
      </c>
      <c r="G2335" s="195" t="s">
        <v>276</v>
      </c>
      <c r="H2335" s="195">
        <v>-0.14021400000000001</v>
      </c>
      <c r="I2335" s="195">
        <v>-0.21297279999999999</v>
      </c>
      <c r="J2335" s="195">
        <v>-0.14106299999999999</v>
      </c>
      <c r="K2335" s="195">
        <v>-0.24303179999999999</v>
      </c>
      <c r="L2335" s="195">
        <v>-0.4121012</v>
      </c>
      <c r="M2335" s="195">
        <v>-0.3475084</v>
      </c>
      <c r="N2335" s="195">
        <v>-0.26879900000000001</v>
      </c>
    </row>
    <row r="2336" spans="1:14" hidden="1" x14ac:dyDescent="0.35">
      <c r="A2336" s="52" t="s">
        <v>243</v>
      </c>
      <c r="B2336" s="52" t="s">
        <v>37</v>
      </c>
      <c r="C2336" s="52" t="s">
        <v>79</v>
      </c>
      <c r="D2336" s="52" t="s">
        <v>79</v>
      </c>
      <c r="E2336" s="52" t="s">
        <v>615</v>
      </c>
      <c r="F2336" s="52" t="s">
        <v>26</v>
      </c>
      <c r="G2336" s="195" t="s">
        <v>279</v>
      </c>
      <c r="H2336" s="195">
        <v>5.8503030000000003</v>
      </c>
      <c r="I2336" s="195">
        <v>4.5884410000000004</v>
      </c>
      <c r="J2336" s="195">
        <v>3.6908289999999999</v>
      </c>
      <c r="K2336" s="195">
        <v>5.4711720000000001</v>
      </c>
      <c r="L2336" s="195">
        <v>6.7023669999999997</v>
      </c>
      <c r="M2336" s="195">
        <v>5.7853789999999998</v>
      </c>
      <c r="N2336" s="195">
        <v>4.4789729999999999</v>
      </c>
    </row>
    <row r="2337" spans="1:14" hidden="1" x14ac:dyDescent="0.35">
      <c r="A2337" s="52" t="s">
        <v>243</v>
      </c>
      <c r="B2337" s="52" t="s">
        <v>37</v>
      </c>
      <c r="C2337" s="52" t="s">
        <v>79</v>
      </c>
      <c r="D2337" s="52" t="s">
        <v>79</v>
      </c>
      <c r="E2337" s="52" t="s">
        <v>584</v>
      </c>
      <c r="F2337" s="52" t="s">
        <v>581</v>
      </c>
      <c r="G2337" s="195" t="s">
        <v>275</v>
      </c>
      <c r="H2337" s="195">
        <v>2.3064170000000002</v>
      </c>
      <c r="I2337" s="195">
        <v>0.67078780000000005</v>
      </c>
      <c r="J2337" s="195">
        <v>0.4076359</v>
      </c>
      <c r="K2337" s="195">
        <v>0.3700312</v>
      </c>
      <c r="L2337" s="195">
        <v>0.30720399999999998</v>
      </c>
      <c r="M2337" s="195">
        <v>-7.4172190000000002</v>
      </c>
      <c r="N2337" s="195">
        <v>0.2529922</v>
      </c>
    </row>
    <row r="2338" spans="1:14" hidden="1" x14ac:dyDescent="0.35">
      <c r="A2338" s="52" t="s">
        <v>243</v>
      </c>
      <c r="B2338" s="52" t="s">
        <v>37</v>
      </c>
      <c r="C2338" s="52" t="s">
        <v>79</v>
      </c>
      <c r="D2338" s="52" t="s">
        <v>79</v>
      </c>
      <c r="E2338" s="52" t="s">
        <v>584</v>
      </c>
      <c r="F2338" s="52" t="s">
        <v>581</v>
      </c>
      <c r="G2338" s="195" t="s">
        <v>276</v>
      </c>
      <c r="H2338" s="195">
        <v>0.46526400000000001</v>
      </c>
      <c r="I2338" s="195">
        <v>2.2501E-2</v>
      </c>
      <c r="J2338" s="195">
        <v>0.1083602</v>
      </c>
      <c r="K2338" s="195">
        <v>9.8362400000000003E-2</v>
      </c>
      <c r="L2338" s="195">
        <v>8.166321E-2</v>
      </c>
      <c r="M2338" s="195">
        <v>-1.9716670000000001</v>
      </c>
      <c r="N2338" s="195">
        <v>6.7250599999999994E-2</v>
      </c>
    </row>
    <row r="2339" spans="1:14" hidden="1" x14ac:dyDescent="0.35">
      <c r="A2339" s="52" t="s">
        <v>243</v>
      </c>
      <c r="B2339" s="52" t="s">
        <v>37</v>
      </c>
      <c r="C2339" s="52" t="s">
        <v>79</v>
      </c>
      <c r="D2339" s="52" t="s">
        <v>79</v>
      </c>
      <c r="E2339" s="52" t="s">
        <v>584</v>
      </c>
      <c r="F2339" s="52" t="s">
        <v>581</v>
      </c>
      <c r="G2339" s="195" t="s">
        <v>279</v>
      </c>
      <c r="H2339" s="195">
        <v>0.85111899999999996</v>
      </c>
      <c r="I2339" s="195">
        <v>0.55896619999999997</v>
      </c>
      <c r="J2339" s="195">
        <v>0.48261140000000002</v>
      </c>
      <c r="K2339" s="195">
        <v>0.45709080000000002</v>
      </c>
      <c r="L2339" s="195">
        <v>0.46852100000000002</v>
      </c>
      <c r="M2339" s="195">
        <v>10.14892</v>
      </c>
      <c r="N2339" s="195">
        <v>0.37993460000000001</v>
      </c>
    </row>
    <row r="2340" spans="1:14" hidden="1" x14ac:dyDescent="0.35">
      <c r="A2340" s="52" t="s">
        <v>243</v>
      </c>
      <c r="B2340" s="52" t="s">
        <v>37</v>
      </c>
      <c r="C2340" s="52" t="s">
        <v>79</v>
      </c>
      <c r="D2340" s="52" t="s">
        <v>79</v>
      </c>
      <c r="E2340" s="52" t="s">
        <v>584</v>
      </c>
      <c r="F2340" s="52" t="s">
        <v>26</v>
      </c>
      <c r="G2340" s="195" t="s">
        <v>275</v>
      </c>
      <c r="H2340" s="195">
        <v>1.0956539999999999</v>
      </c>
      <c r="I2340" s="195">
        <v>4.5895600000000002E-2</v>
      </c>
      <c r="J2340" s="195">
        <v>-1.7705280000000001</v>
      </c>
      <c r="K2340" s="195">
        <v>-2.0172560000000002</v>
      </c>
      <c r="L2340" s="195">
        <v>2.8021399999999998E-2</v>
      </c>
      <c r="M2340" s="195">
        <v>-59.308709999999998</v>
      </c>
      <c r="N2340" s="195">
        <v>0.17046539999999999</v>
      </c>
    </row>
    <row r="2341" spans="1:14" hidden="1" x14ac:dyDescent="0.35">
      <c r="A2341" s="52" t="s">
        <v>243</v>
      </c>
      <c r="B2341" s="52" t="s">
        <v>37</v>
      </c>
      <c r="C2341" s="52" t="s">
        <v>79</v>
      </c>
      <c r="D2341" s="52" t="s">
        <v>79</v>
      </c>
      <c r="E2341" s="52" t="s">
        <v>584</v>
      </c>
      <c r="F2341" s="52" t="s">
        <v>26</v>
      </c>
      <c r="G2341" s="195" t="s">
        <v>276</v>
      </c>
      <c r="H2341" s="195">
        <v>-0.70392200000000005</v>
      </c>
      <c r="I2341" s="195">
        <v>1.2200600000000001E-2</v>
      </c>
      <c r="J2341" s="195">
        <v>-5.4272599999999997E-2</v>
      </c>
      <c r="K2341" s="195">
        <v>-0.15153900000000001</v>
      </c>
      <c r="L2341" s="195">
        <v>-0.15276500000000001</v>
      </c>
      <c r="M2341" s="195">
        <v>-15.89378</v>
      </c>
      <c r="N2341" s="195">
        <v>-0.22777</v>
      </c>
    </row>
    <row r="2342" spans="1:14" hidden="1" x14ac:dyDescent="0.35">
      <c r="A2342" s="52" t="s">
        <v>243</v>
      </c>
      <c r="B2342" s="52" t="s">
        <v>37</v>
      </c>
      <c r="C2342" s="52" t="s">
        <v>79</v>
      </c>
      <c r="D2342" s="52" t="s">
        <v>79</v>
      </c>
      <c r="E2342" s="52" t="s">
        <v>584</v>
      </c>
      <c r="F2342" s="52" t="s">
        <v>26</v>
      </c>
      <c r="G2342" s="195" t="s">
        <v>277</v>
      </c>
      <c r="H2342" s="195"/>
      <c r="I2342" s="195">
        <v>0</v>
      </c>
      <c r="J2342" s="195"/>
      <c r="K2342" s="195"/>
      <c r="L2342" s="195">
        <v>0</v>
      </c>
      <c r="M2342" s="195"/>
      <c r="N2342" s="195"/>
    </row>
    <row r="2343" spans="1:14" hidden="1" x14ac:dyDescent="0.35">
      <c r="A2343" s="52" t="s">
        <v>243</v>
      </c>
      <c r="B2343" s="52" t="s">
        <v>37</v>
      </c>
      <c r="C2343" s="52" t="s">
        <v>79</v>
      </c>
      <c r="D2343" s="52" t="s">
        <v>79</v>
      </c>
      <c r="E2343" s="52" t="s">
        <v>584</v>
      </c>
      <c r="F2343" s="52" t="s">
        <v>26</v>
      </c>
      <c r="G2343" s="195" t="s">
        <v>279</v>
      </c>
      <c r="H2343" s="195">
        <v>2.4902280000000001</v>
      </c>
      <c r="I2343" s="195">
        <v>2.0338150000000002</v>
      </c>
      <c r="J2343" s="195">
        <v>1.868511</v>
      </c>
      <c r="K2343" s="195">
        <v>1.8719619999999999</v>
      </c>
      <c r="L2343" s="195">
        <v>1.927594</v>
      </c>
      <c r="M2343" s="195">
        <v>76.328190000000006</v>
      </c>
      <c r="N2343" s="195">
        <v>1.1029580000000001</v>
      </c>
    </row>
    <row r="2344" spans="1:14" hidden="1" x14ac:dyDescent="0.35">
      <c r="A2344" s="52" t="s">
        <v>243</v>
      </c>
      <c r="B2344" s="52" t="s">
        <v>37</v>
      </c>
      <c r="C2344" s="52" t="s">
        <v>115</v>
      </c>
      <c r="D2344" s="52" t="s">
        <v>115</v>
      </c>
      <c r="E2344" s="52" t="s">
        <v>584</v>
      </c>
      <c r="F2344" s="52" t="s">
        <v>26</v>
      </c>
      <c r="G2344" s="195" t="s">
        <v>275</v>
      </c>
      <c r="H2344" s="195">
        <v>0</v>
      </c>
      <c r="I2344" s="195"/>
      <c r="J2344" s="195"/>
      <c r="K2344" s="195"/>
      <c r="L2344" s="195"/>
      <c r="M2344" s="195"/>
      <c r="N2344" s="195"/>
    </row>
    <row r="2345" spans="1:14" hidden="1" x14ac:dyDescent="0.35">
      <c r="A2345" s="52" t="s">
        <v>243</v>
      </c>
      <c r="B2345" s="52" t="s">
        <v>37</v>
      </c>
      <c r="C2345" s="52" t="s">
        <v>115</v>
      </c>
      <c r="D2345" s="52" t="s">
        <v>115</v>
      </c>
      <c r="E2345" s="52" t="s">
        <v>584</v>
      </c>
      <c r="F2345" s="52" t="s">
        <v>26</v>
      </c>
      <c r="G2345" s="195" t="s">
        <v>276</v>
      </c>
      <c r="H2345" s="195">
        <v>0</v>
      </c>
      <c r="I2345" s="195"/>
      <c r="J2345" s="195"/>
      <c r="K2345" s="195"/>
      <c r="L2345" s="195"/>
      <c r="M2345" s="195"/>
      <c r="N2345" s="195"/>
    </row>
    <row r="2346" spans="1:14" hidden="1" x14ac:dyDescent="0.35">
      <c r="A2346" s="52" t="s">
        <v>243</v>
      </c>
      <c r="B2346" s="52" t="s">
        <v>37</v>
      </c>
      <c r="C2346" s="52" t="s">
        <v>115</v>
      </c>
      <c r="D2346" s="52" t="s">
        <v>115</v>
      </c>
      <c r="E2346" s="52" t="s">
        <v>584</v>
      </c>
      <c r="F2346" s="52" t="s">
        <v>26</v>
      </c>
      <c r="G2346" s="195" t="s">
        <v>279</v>
      </c>
      <c r="H2346" s="195">
        <v>64.774150000000006</v>
      </c>
      <c r="I2346" s="195">
        <v>41.560339999999997</v>
      </c>
      <c r="J2346" s="195">
        <v>0</v>
      </c>
      <c r="K2346" s="195"/>
      <c r="L2346" s="195"/>
      <c r="M2346" s="195"/>
      <c r="N2346" s="195"/>
    </row>
    <row r="2347" spans="1:14" hidden="1" x14ac:dyDescent="0.35">
      <c r="A2347" s="52" t="s">
        <v>243</v>
      </c>
      <c r="B2347" s="52" t="s">
        <v>37</v>
      </c>
      <c r="C2347" s="52" t="s">
        <v>246</v>
      </c>
      <c r="D2347" s="52" t="s">
        <v>246</v>
      </c>
      <c r="E2347" s="52" t="s">
        <v>647</v>
      </c>
      <c r="F2347" s="52" t="s">
        <v>26</v>
      </c>
      <c r="G2347" s="195" t="s">
        <v>275</v>
      </c>
      <c r="H2347" s="195">
        <v>3.292573</v>
      </c>
      <c r="I2347" s="195">
        <v>0.73781169999999996</v>
      </c>
      <c r="J2347" s="195">
        <v>0.87916459999999996</v>
      </c>
      <c r="K2347" s="195">
        <v>2.3797730000000001</v>
      </c>
      <c r="L2347" s="195">
        <v>-0.5198007</v>
      </c>
      <c r="M2347" s="195">
        <v>-0.43610500000000002</v>
      </c>
      <c r="N2347" s="195">
        <v>-0.39498</v>
      </c>
    </row>
    <row r="2348" spans="1:14" hidden="1" x14ac:dyDescent="0.35">
      <c r="A2348" s="52" t="s">
        <v>243</v>
      </c>
      <c r="B2348" s="52" t="s">
        <v>37</v>
      </c>
      <c r="C2348" s="52" t="s">
        <v>246</v>
      </c>
      <c r="D2348" s="52" t="s">
        <v>246</v>
      </c>
      <c r="E2348" s="52" t="s">
        <v>647</v>
      </c>
      <c r="F2348" s="52" t="s">
        <v>26</v>
      </c>
      <c r="G2348" s="195" t="s">
        <v>276</v>
      </c>
      <c r="H2348" s="195">
        <v>-1.77183</v>
      </c>
      <c r="I2348" s="195">
        <v>-0.71931239999999996</v>
      </c>
      <c r="J2348" s="195">
        <v>-0.4870468</v>
      </c>
      <c r="K2348" s="195">
        <v>-2.296055</v>
      </c>
      <c r="L2348" s="195">
        <v>-0.15905040000000001</v>
      </c>
      <c r="M2348" s="195">
        <v>-0.13344059999999999</v>
      </c>
      <c r="N2348" s="195">
        <v>-0.1208572</v>
      </c>
    </row>
    <row r="2349" spans="1:14" hidden="1" x14ac:dyDescent="0.35">
      <c r="A2349" s="52" t="s">
        <v>243</v>
      </c>
      <c r="B2349" s="52" t="s">
        <v>37</v>
      </c>
      <c r="C2349" s="52" t="s">
        <v>246</v>
      </c>
      <c r="D2349" s="52" t="s">
        <v>246</v>
      </c>
      <c r="E2349" s="52" t="s">
        <v>647</v>
      </c>
      <c r="F2349" s="52" t="s">
        <v>26</v>
      </c>
      <c r="G2349" s="195" t="s">
        <v>277</v>
      </c>
      <c r="H2349" s="195">
        <v>0</v>
      </c>
      <c r="I2349" s="195"/>
      <c r="J2349" s="195"/>
      <c r="K2349" s="195"/>
      <c r="L2349" s="195"/>
      <c r="M2349" s="195">
        <v>0</v>
      </c>
      <c r="N2349" s="195">
        <v>0</v>
      </c>
    </row>
    <row r="2350" spans="1:14" hidden="1" x14ac:dyDescent="0.35">
      <c r="A2350" s="52" t="s">
        <v>243</v>
      </c>
      <c r="B2350" s="52" t="s">
        <v>37</v>
      </c>
      <c r="C2350" s="52" t="s">
        <v>246</v>
      </c>
      <c r="D2350" s="52" t="s">
        <v>246</v>
      </c>
      <c r="E2350" s="52" t="s">
        <v>647</v>
      </c>
      <c r="F2350" s="52" t="s">
        <v>26</v>
      </c>
      <c r="G2350" s="195" t="s">
        <v>279</v>
      </c>
      <c r="H2350" s="195">
        <v>11.267200000000001</v>
      </c>
      <c r="I2350" s="195">
        <v>8.9923819999999992</v>
      </c>
      <c r="J2350" s="195">
        <v>7.9473380000000002</v>
      </c>
      <c r="K2350" s="195">
        <v>7.6073500000000003</v>
      </c>
      <c r="L2350" s="195">
        <v>7.7678079999999996</v>
      </c>
      <c r="M2350" s="195">
        <v>7.1168620000000002</v>
      </c>
      <c r="N2350" s="195">
        <v>6.5474940000000004</v>
      </c>
    </row>
    <row r="2351" spans="1:14" hidden="1" x14ac:dyDescent="0.35">
      <c r="A2351" s="52" t="s">
        <v>243</v>
      </c>
      <c r="B2351" s="52" t="s">
        <v>37</v>
      </c>
      <c r="C2351" s="52" t="s">
        <v>246</v>
      </c>
      <c r="D2351" s="52" t="s">
        <v>246</v>
      </c>
      <c r="E2351" s="52" t="s">
        <v>584</v>
      </c>
      <c r="F2351" s="52" t="s">
        <v>581</v>
      </c>
      <c r="G2351" s="195" t="s">
        <v>275</v>
      </c>
      <c r="H2351" s="195">
        <v>4.6633389999999997</v>
      </c>
      <c r="I2351" s="195">
        <v>1.2550619999999999</v>
      </c>
      <c r="J2351" s="195">
        <v>1.0015510000000001</v>
      </c>
      <c r="K2351" s="195">
        <v>0.94336529999999996</v>
      </c>
      <c r="L2351" s="195">
        <v>0.88528379999999995</v>
      </c>
      <c r="M2351" s="195">
        <v>0.85532240000000004</v>
      </c>
      <c r="N2351" s="195">
        <v>0.82987900000000003</v>
      </c>
    </row>
    <row r="2352" spans="1:14" hidden="1" x14ac:dyDescent="0.35">
      <c r="A2352" s="52" t="s">
        <v>243</v>
      </c>
      <c r="B2352" s="52" t="s">
        <v>37</v>
      </c>
      <c r="C2352" s="52" t="s">
        <v>246</v>
      </c>
      <c r="D2352" s="52" t="s">
        <v>246</v>
      </c>
      <c r="E2352" s="52" t="s">
        <v>584</v>
      </c>
      <c r="F2352" s="52" t="s">
        <v>581</v>
      </c>
      <c r="G2352" s="195" t="s">
        <v>276</v>
      </c>
      <c r="H2352" s="195">
        <v>1.0160750000000001</v>
      </c>
      <c r="I2352" s="195">
        <v>0.33362419999999998</v>
      </c>
      <c r="J2352" s="195">
        <v>0.26623459999999999</v>
      </c>
      <c r="K2352" s="195">
        <v>0.25076860000000001</v>
      </c>
      <c r="L2352" s="195">
        <v>0.23532939999999999</v>
      </c>
      <c r="M2352" s="195">
        <v>0.22736419999999999</v>
      </c>
      <c r="N2352" s="195">
        <v>0.22060060000000001</v>
      </c>
    </row>
    <row r="2353" spans="1:14" hidden="1" x14ac:dyDescent="0.35">
      <c r="A2353" s="52" t="s">
        <v>243</v>
      </c>
      <c r="B2353" s="52" t="s">
        <v>37</v>
      </c>
      <c r="C2353" s="52" t="s">
        <v>246</v>
      </c>
      <c r="D2353" s="52" t="s">
        <v>246</v>
      </c>
      <c r="E2353" s="52" t="s">
        <v>584</v>
      </c>
      <c r="F2353" s="52" t="s">
        <v>581</v>
      </c>
      <c r="G2353" s="195" t="s">
        <v>277</v>
      </c>
      <c r="H2353" s="195"/>
      <c r="I2353" s="195">
        <v>0</v>
      </c>
      <c r="J2353" s="195"/>
      <c r="K2353" s="195"/>
      <c r="L2353" s="195"/>
      <c r="M2353" s="195"/>
      <c r="N2353" s="195"/>
    </row>
    <row r="2354" spans="1:14" hidden="1" x14ac:dyDescent="0.35">
      <c r="A2354" s="52" t="s">
        <v>243</v>
      </c>
      <c r="B2354" s="52" t="s">
        <v>37</v>
      </c>
      <c r="C2354" s="52" t="s">
        <v>246</v>
      </c>
      <c r="D2354" s="52" t="s">
        <v>246</v>
      </c>
      <c r="E2354" s="52" t="s">
        <v>584</v>
      </c>
      <c r="F2354" s="52" t="s">
        <v>581</v>
      </c>
      <c r="G2354" s="195" t="s">
        <v>279</v>
      </c>
      <c r="H2354" s="195">
        <v>1.5776969999999999</v>
      </c>
      <c r="I2354" s="195">
        <v>1.0760639999999999</v>
      </c>
      <c r="J2354" s="195">
        <v>1.0121119999999999</v>
      </c>
      <c r="K2354" s="195">
        <v>1.0745180000000001</v>
      </c>
      <c r="L2354" s="195">
        <v>1.1124639999999999</v>
      </c>
      <c r="M2354" s="195">
        <v>1.067661</v>
      </c>
      <c r="N2354" s="195">
        <v>1.0299149999999999</v>
      </c>
    </row>
    <row r="2355" spans="1:14" hidden="1" x14ac:dyDescent="0.35">
      <c r="A2355" s="52" t="s">
        <v>243</v>
      </c>
      <c r="B2355" s="52" t="s">
        <v>37</v>
      </c>
      <c r="C2355" s="52" t="s">
        <v>246</v>
      </c>
      <c r="D2355" s="52" t="s">
        <v>246</v>
      </c>
      <c r="E2355" s="52" t="s">
        <v>584</v>
      </c>
      <c r="F2355" s="52" t="s">
        <v>26</v>
      </c>
      <c r="G2355" s="195" t="s">
        <v>275</v>
      </c>
      <c r="H2355" s="195">
        <v>5.9888999999999998E-2</v>
      </c>
      <c r="I2355" s="195">
        <v>2.2460399999999998E-2</v>
      </c>
      <c r="J2355" s="195">
        <v>-0.1236106</v>
      </c>
      <c r="K2355" s="195">
        <v>-0.14762359999999999</v>
      </c>
      <c r="L2355" s="195">
        <v>-0.15603239999999999</v>
      </c>
      <c r="M2355" s="195">
        <v>-0.15632760000000001</v>
      </c>
      <c r="N2355" s="195">
        <v>-0.14655660000000001</v>
      </c>
    </row>
    <row r="2356" spans="1:14" hidden="1" x14ac:dyDescent="0.35">
      <c r="A2356" s="52" t="s">
        <v>243</v>
      </c>
      <c r="B2356" s="52" t="s">
        <v>37</v>
      </c>
      <c r="C2356" s="52" t="s">
        <v>246</v>
      </c>
      <c r="D2356" s="52" t="s">
        <v>246</v>
      </c>
      <c r="E2356" s="52" t="s">
        <v>584</v>
      </c>
      <c r="F2356" s="52" t="s">
        <v>26</v>
      </c>
      <c r="G2356" s="195" t="s">
        <v>276</v>
      </c>
      <c r="H2356" s="195">
        <v>-1.4479000000000001E-2</v>
      </c>
      <c r="I2356" s="195">
        <v>5.9702000000000002E-3</v>
      </c>
      <c r="J2356" s="195">
        <v>8.8799980000000002E-5</v>
      </c>
      <c r="K2356" s="195">
        <v>-7.208E-3</v>
      </c>
      <c r="L2356" s="195">
        <v>-1.3563199999999999E-2</v>
      </c>
      <c r="M2356" s="195">
        <v>-1.8103999999999999E-2</v>
      </c>
      <c r="N2356" s="195">
        <v>-3.2543999999999997E-2</v>
      </c>
    </row>
    <row r="2357" spans="1:14" hidden="1" x14ac:dyDescent="0.35">
      <c r="A2357" s="52" t="s">
        <v>243</v>
      </c>
      <c r="B2357" s="52" t="s">
        <v>37</v>
      </c>
      <c r="C2357" s="52" t="s">
        <v>246</v>
      </c>
      <c r="D2357" s="52" t="s">
        <v>246</v>
      </c>
      <c r="E2357" s="52" t="s">
        <v>584</v>
      </c>
      <c r="F2357" s="52" t="s">
        <v>26</v>
      </c>
      <c r="G2357" s="195" t="s">
        <v>277</v>
      </c>
      <c r="H2357" s="195"/>
      <c r="I2357" s="195">
        <v>0</v>
      </c>
      <c r="J2357" s="195">
        <v>0.15493199999999999</v>
      </c>
      <c r="K2357" s="195">
        <v>0.181619</v>
      </c>
      <c r="L2357" s="195">
        <v>0.19237299999999999</v>
      </c>
      <c r="M2357" s="195">
        <v>0.19763900000000001</v>
      </c>
      <c r="N2357" s="195">
        <v>0.203044</v>
      </c>
    </row>
    <row r="2358" spans="1:14" hidden="1" x14ac:dyDescent="0.35">
      <c r="A2358" s="52" t="s">
        <v>243</v>
      </c>
      <c r="B2358" s="52" t="s">
        <v>37</v>
      </c>
      <c r="C2358" s="52" t="s">
        <v>246</v>
      </c>
      <c r="D2358" s="52" t="s">
        <v>246</v>
      </c>
      <c r="E2358" s="52" t="s">
        <v>584</v>
      </c>
      <c r="F2358" s="52" t="s">
        <v>26</v>
      </c>
      <c r="G2358" s="195" t="s">
        <v>279</v>
      </c>
      <c r="H2358" s="195">
        <v>7.5719999999999996E-2</v>
      </c>
      <c r="I2358" s="195">
        <v>6.6160200000000002E-2</v>
      </c>
      <c r="J2358" s="195">
        <v>6.6144999999999995E-2</v>
      </c>
      <c r="K2358" s="195">
        <v>7.3179389999999997E-2</v>
      </c>
      <c r="L2358" s="195">
        <v>7.9603599999999997E-2</v>
      </c>
      <c r="M2358" s="195">
        <v>8.1584199999999996E-2</v>
      </c>
      <c r="N2358" s="195">
        <v>8.3634200000000006E-2</v>
      </c>
    </row>
    <row r="2359" spans="1:14" hidden="1" x14ac:dyDescent="0.35">
      <c r="A2359" s="52" t="s">
        <v>243</v>
      </c>
      <c r="B2359" s="52" t="s">
        <v>37</v>
      </c>
      <c r="C2359" s="52" t="s">
        <v>46</v>
      </c>
      <c r="D2359" s="52" t="s">
        <v>46</v>
      </c>
      <c r="E2359" s="52" t="s">
        <v>584</v>
      </c>
      <c r="F2359" s="52" t="s">
        <v>581</v>
      </c>
      <c r="G2359" s="195" t="s">
        <v>275</v>
      </c>
      <c r="H2359" s="195">
        <v>3.029147</v>
      </c>
      <c r="I2359" s="195">
        <v>0.61506899999999998</v>
      </c>
      <c r="J2359" s="195">
        <v>0.46985860000000002</v>
      </c>
      <c r="K2359" s="195">
        <v>0.41800730000000003</v>
      </c>
      <c r="L2359" s="195">
        <v>0.370475</v>
      </c>
      <c r="M2359" s="195">
        <v>-2.9528209999999999E-2</v>
      </c>
      <c r="N2359" s="195">
        <v>0.34284559999999997</v>
      </c>
    </row>
    <row r="2360" spans="1:14" hidden="1" x14ac:dyDescent="0.35">
      <c r="A2360" s="52" t="s">
        <v>243</v>
      </c>
      <c r="B2360" s="52" t="s">
        <v>37</v>
      </c>
      <c r="C2360" s="52" t="s">
        <v>46</v>
      </c>
      <c r="D2360" s="52" t="s">
        <v>46</v>
      </c>
      <c r="E2360" s="52" t="s">
        <v>584</v>
      </c>
      <c r="F2360" s="52" t="s">
        <v>581</v>
      </c>
      <c r="G2360" s="195" t="s">
        <v>276</v>
      </c>
      <c r="H2360" s="195">
        <v>0.16608400000000001</v>
      </c>
      <c r="I2360" s="195">
        <v>0.16349859999999999</v>
      </c>
      <c r="J2360" s="195">
        <v>0.1248986</v>
      </c>
      <c r="K2360" s="195">
        <v>0.11111559999999999</v>
      </c>
      <c r="L2360" s="195">
        <v>9.8480189999999995E-2</v>
      </c>
      <c r="M2360" s="195">
        <v>-7.8492000000000006E-3</v>
      </c>
      <c r="N2360" s="195">
        <v>9.113599E-2</v>
      </c>
    </row>
    <row r="2361" spans="1:14" hidden="1" x14ac:dyDescent="0.35">
      <c r="A2361" s="52" t="s">
        <v>243</v>
      </c>
      <c r="B2361" s="52" t="s">
        <v>37</v>
      </c>
      <c r="C2361" s="52" t="s">
        <v>46</v>
      </c>
      <c r="D2361" s="52" t="s">
        <v>46</v>
      </c>
      <c r="E2361" s="52" t="s">
        <v>584</v>
      </c>
      <c r="F2361" s="52" t="s">
        <v>581</v>
      </c>
      <c r="G2361" s="195" t="s">
        <v>277</v>
      </c>
      <c r="H2361" s="195"/>
      <c r="I2361" s="195">
        <v>0</v>
      </c>
      <c r="J2361" s="195"/>
      <c r="K2361" s="195"/>
      <c r="L2361" s="195"/>
      <c r="M2361" s="195"/>
      <c r="N2361" s="195"/>
    </row>
    <row r="2362" spans="1:14" hidden="1" x14ac:dyDescent="0.35">
      <c r="A2362" s="52" t="s">
        <v>243</v>
      </c>
      <c r="B2362" s="52" t="s">
        <v>37</v>
      </c>
      <c r="C2362" s="52" t="s">
        <v>46</v>
      </c>
      <c r="D2362" s="52" t="s">
        <v>46</v>
      </c>
      <c r="E2362" s="52" t="s">
        <v>584</v>
      </c>
      <c r="F2362" s="52" t="s">
        <v>581</v>
      </c>
      <c r="G2362" s="195" t="s">
        <v>279</v>
      </c>
      <c r="H2362" s="195">
        <v>1.1831560000000001</v>
      </c>
      <c r="I2362" s="195">
        <v>0.86084039999999995</v>
      </c>
      <c r="J2362" s="195">
        <v>0.81989040000000002</v>
      </c>
      <c r="K2362" s="195">
        <v>0.87686589999999998</v>
      </c>
      <c r="L2362" s="195">
        <v>0.91159239999999997</v>
      </c>
      <c r="M2362" s="195">
        <v>1.362365</v>
      </c>
      <c r="N2362" s="195">
        <v>0.84295299999999995</v>
      </c>
    </row>
    <row r="2363" spans="1:14" hidden="1" x14ac:dyDescent="0.35">
      <c r="A2363" s="52" t="s">
        <v>243</v>
      </c>
      <c r="B2363" s="52" t="s">
        <v>37</v>
      </c>
      <c r="C2363" s="52" t="s">
        <v>46</v>
      </c>
      <c r="D2363" s="52" t="s">
        <v>46</v>
      </c>
      <c r="E2363" s="52" t="s">
        <v>584</v>
      </c>
      <c r="F2363" s="52" t="s">
        <v>26</v>
      </c>
      <c r="G2363" s="195" t="s">
        <v>275</v>
      </c>
      <c r="H2363" s="195">
        <v>-0.91250900000000001</v>
      </c>
      <c r="I2363" s="195">
        <v>-0.46506609999999998</v>
      </c>
      <c r="J2363" s="195">
        <v>-0.17834059999999999</v>
      </c>
      <c r="K2363" s="195">
        <v>-0.10274179999999999</v>
      </c>
      <c r="L2363" s="195">
        <v>9.4676789999999997E-2</v>
      </c>
      <c r="M2363" s="195">
        <v>-16.631489999999999</v>
      </c>
      <c r="N2363" s="195">
        <v>3.9806000000000001E-2</v>
      </c>
    </row>
    <row r="2364" spans="1:14" hidden="1" x14ac:dyDescent="0.35">
      <c r="A2364" s="52" t="s">
        <v>243</v>
      </c>
      <c r="B2364" s="52" t="s">
        <v>37</v>
      </c>
      <c r="C2364" s="52" t="s">
        <v>46</v>
      </c>
      <c r="D2364" s="52" t="s">
        <v>46</v>
      </c>
      <c r="E2364" s="52" t="s">
        <v>584</v>
      </c>
      <c r="F2364" s="52" t="s">
        <v>26</v>
      </c>
      <c r="G2364" s="195" t="s">
        <v>276</v>
      </c>
      <c r="H2364" s="195">
        <v>-0.378859</v>
      </c>
      <c r="I2364" s="195">
        <v>-0.2868</v>
      </c>
      <c r="J2364" s="195">
        <v>-0.22518879999999999</v>
      </c>
      <c r="K2364" s="195">
        <v>-0.15683559999999999</v>
      </c>
      <c r="L2364" s="195">
        <v>-0.163741</v>
      </c>
      <c r="M2364" s="195">
        <v>-4.5195379999999998</v>
      </c>
      <c r="N2364" s="195">
        <v>-3.9350000000000003E-2</v>
      </c>
    </row>
    <row r="2365" spans="1:14" hidden="1" x14ac:dyDescent="0.35">
      <c r="A2365" s="52" t="s">
        <v>243</v>
      </c>
      <c r="B2365" s="52" t="s">
        <v>37</v>
      </c>
      <c r="C2365" s="52" t="s">
        <v>46</v>
      </c>
      <c r="D2365" s="52" t="s">
        <v>46</v>
      </c>
      <c r="E2365" s="52" t="s">
        <v>584</v>
      </c>
      <c r="F2365" s="52" t="s">
        <v>26</v>
      </c>
      <c r="G2365" s="195" t="s">
        <v>277</v>
      </c>
      <c r="H2365" s="195">
        <v>1.338846</v>
      </c>
      <c r="I2365" s="195">
        <v>0.73477499999999996</v>
      </c>
      <c r="J2365" s="195">
        <v>0.40325299999999997</v>
      </c>
      <c r="K2365" s="195">
        <v>0.22131020000000001</v>
      </c>
      <c r="L2365" s="195"/>
      <c r="M2365" s="195"/>
      <c r="N2365" s="195"/>
    </row>
    <row r="2366" spans="1:14" hidden="1" x14ac:dyDescent="0.35">
      <c r="A2366" s="52" t="s">
        <v>243</v>
      </c>
      <c r="B2366" s="52" t="s">
        <v>37</v>
      </c>
      <c r="C2366" s="52" t="s">
        <v>46</v>
      </c>
      <c r="D2366" s="52" t="s">
        <v>46</v>
      </c>
      <c r="E2366" s="52" t="s">
        <v>584</v>
      </c>
      <c r="F2366" s="52" t="s">
        <v>26</v>
      </c>
      <c r="G2366" s="195" t="s">
        <v>279</v>
      </c>
      <c r="H2366" s="195">
        <v>0.61712100000000003</v>
      </c>
      <c r="I2366" s="195">
        <v>0.5161886</v>
      </c>
      <c r="J2366" s="195">
        <v>0.49528860000000002</v>
      </c>
      <c r="K2366" s="195">
        <v>0.52541179999999998</v>
      </c>
      <c r="L2366" s="195">
        <v>0.54711010000000004</v>
      </c>
      <c r="M2366" s="195">
        <v>21.237580000000001</v>
      </c>
      <c r="N2366" s="195">
        <v>8.3337999999999995E-2</v>
      </c>
    </row>
    <row r="2367" spans="1:14" hidden="1" x14ac:dyDescent="0.35">
      <c r="A2367" s="52" t="s">
        <v>243</v>
      </c>
      <c r="B2367" s="52" t="s">
        <v>37</v>
      </c>
      <c r="C2367" s="52" t="s">
        <v>107</v>
      </c>
      <c r="D2367" s="52" t="s">
        <v>107</v>
      </c>
      <c r="E2367" s="52" t="s">
        <v>584</v>
      </c>
      <c r="F2367" s="52" t="s">
        <v>581</v>
      </c>
      <c r="G2367" s="195" t="s">
        <v>275</v>
      </c>
      <c r="H2367" s="195">
        <v>5.3566999999999997E-2</v>
      </c>
      <c r="I2367" s="195">
        <v>-4.2808000000000004E-3</v>
      </c>
      <c r="J2367" s="195">
        <v>-7.1561990000000002E-3</v>
      </c>
      <c r="K2367" s="195">
        <v>-9.7546009999999999E-3</v>
      </c>
      <c r="L2367" s="195">
        <v>-1.17436E-2</v>
      </c>
      <c r="M2367" s="195">
        <v>-1.1253000000000001E-2</v>
      </c>
      <c r="N2367" s="195">
        <v>-1.0828000000000001E-2</v>
      </c>
    </row>
    <row r="2368" spans="1:14" hidden="1" x14ac:dyDescent="0.35">
      <c r="A2368" s="52" t="s">
        <v>243</v>
      </c>
      <c r="B2368" s="52" t="s">
        <v>37</v>
      </c>
      <c r="C2368" s="52" t="s">
        <v>107</v>
      </c>
      <c r="D2368" s="52" t="s">
        <v>107</v>
      </c>
      <c r="E2368" s="52" t="s">
        <v>584</v>
      </c>
      <c r="F2368" s="52" t="s">
        <v>581</v>
      </c>
      <c r="G2368" s="195" t="s">
        <v>276</v>
      </c>
      <c r="H2368" s="195">
        <v>1.4241E-2</v>
      </c>
      <c r="I2368" s="195">
        <v>-1.1378E-3</v>
      </c>
      <c r="J2368" s="195">
        <v>-1.9024000000000001E-3</v>
      </c>
      <c r="K2368" s="195">
        <v>-2.5934E-3</v>
      </c>
      <c r="L2368" s="195">
        <v>-3.1218000000000001E-3</v>
      </c>
      <c r="M2368" s="195">
        <v>-2.9914E-3</v>
      </c>
      <c r="N2368" s="195">
        <v>-2.8779999999999999E-3</v>
      </c>
    </row>
    <row r="2369" spans="1:14" hidden="1" x14ac:dyDescent="0.35">
      <c r="A2369" s="52" t="s">
        <v>243</v>
      </c>
      <c r="B2369" s="52" t="s">
        <v>37</v>
      </c>
      <c r="C2369" s="52" t="s">
        <v>107</v>
      </c>
      <c r="D2369" s="52" t="s">
        <v>107</v>
      </c>
      <c r="E2369" s="52" t="s">
        <v>584</v>
      </c>
      <c r="F2369" s="52" t="s">
        <v>581</v>
      </c>
      <c r="G2369" s="195" t="s">
        <v>279</v>
      </c>
      <c r="H2369" s="195">
        <v>7.2219000000000005E-2</v>
      </c>
      <c r="I2369" s="195">
        <v>4.6216800000000002E-2</v>
      </c>
      <c r="J2369" s="195">
        <v>4.4143000000000002E-2</v>
      </c>
      <c r="K2369" s="195">
        <v>4.7380600000000002E-2</v>
      </c>
      <c r="L2369" s="195">
        <v>4.9427400000000003E-2</v>
      </c>
      <c r="M2369" s="195">
        <v>4.7577800000000003E-2</v>
      </c>
      <c r="N2369" s="195">
        <v>4.5990000000000003E-2</v>
      </c>
    </row>
    <row r="2370" spans="1:14" hidden="1" x14ac:dyDescent="0.35">
      <c r="A2370" s="52" t="s">
        <v>243</v>
      </c>
      <c r="B2370" s="52" t="s">
        <v>37</v>
      </c>
      <c r="C2370" s="52" t="s">
        <v>107</v>
      </c>
      <c r="D2370" s="52" t="s">
        <v>107</v>
      </c>
      <c r="E2370" s="52" t="s">
        <v>584</v>
      </c>
      <c r="F2370" s="52" t="s">
        <v>26</v>
      </c>
      <c r="G2370" s="195" t="s">
        <v>275</v>
      </c>
      <c r="H2370" s="195">
        <v>-0.64893000000000001</v>
      </c>
      <c r="I2370" s="195">
        <v>-0.46873379999999998</v>
      </c>
      <c r="J2370" s="195">
        <v>-0.43277460000000001</v>
      </c>
      <c r="K2370" s="195">
        <v>-0.52422959999999996</v>
      </c>
      <c r="L2370" s="195">
        <v>-0.50870979999999999</v>
      </c>
      <c r="M2370" s="195">
        <v>-0.54684239999999995</v>
      </c>
      <c r="N2370" s="195">
        <v>-0.56288950000000004</v>
      </c>
    </row>
    <row r="2371" spans="1:14" hidden="1" x14ac:dyDescent="0.35">
      <c r="A2371" s="52" t="s">
        <v>243</v>
      </c>
      <c r="B2371" s="52" t="s">
        <v>37</v>
      </c>
      <c r="C2371" s="52" t="s">
        <v>107</v>
      </c>
      <c r="D2371" s="52" t="s">
        <v>107</v>
      </c>
      <c r="E2371" s="52" t="s">
        <v>584</v>
      </c>
      <c r="F2371" s="52" t="s">
        <v>26</v>
      </c>
      <c r="G2371" s="195" t="s">
        <v>276</v>
      </c>
      <c r="H2371" s="195">
        <v>-0.102981</v>
      </c>
      <c r="I2371" s="195">
        <v>-4.8143600000000002E-2</v>
      </c>
      <c r="J2371" s="195">
        <v>-5.7625799999999998E-2</v>
      </c>
      <c r="K2371" s="195">
        <v>-7.4768799999999996E-2</v>
      </c>
      <c r="L2371" s="195">
        <v>-0.14446580000000001</v>
      </c>
      <c r="M2371" s="195">
        <v>-0.12545100000000001</v>
      </c>
      <c r="N2371" s="195">
        <v>-0.12823899999999999</v>
      </c>
    </row>
    <row r="2372" spans="1:14" hidden="1" x14ac:dyDescent="0.35">
      <c r="A2372" s="52" t="s">
        <v>243</v>
      </c>
      <c r="B2372" s="52" t="s">
        <v>37</v>
      </c>
      <c r="C2372" s="52" t="s">
        <v>107</v>
      </c>
      <c r="D2372" s="52" t="s">
        <v>107</v>
      </c>
      <c r="E2372" s="52" t="s">
        <v>584</v>
      </c>
      <c r="F2372" s="52" t="s">
        <v>26</v>
      </c>
      <c r="G2372" s="195" t="s">
        <v>277</v>
      </c>
      <c r="H2372" s="195">
        <v>0.78633500000000001</v>
      </c>
      <c r="I2372" s="195">
        <v>0.51679299999999995</v>
      </c>
      <c r="J2372" s="195">
        <v>0.49915999999999999</v>
      </c>
      <c r="K2372" s="195">
        <v>0.58686400000000005</v>
      </c>
      <c r="L2372" s="195">
        <v>0.62254600000000004</v>
      </c>
      <c r="M2372" s="195">
        <v>0.64052900000000002</v>
      </c>
      <c r="N2372" s="195">
        <v>0.65898409999999996</v>
      </c>
    </row>
    <row r="2373" spans="1:14" hidden="1" x14ac:dyDescent="0.35">
      <c r="A2373" s="52" t="s">
        <v>243</v>
      </c>
      <c r="B2373" s="52" t="s">
        <v>37</v>
      </c>
      <c r="C2373" s="52" t="s">
        <v>107</v>
      </c>
      <c r="D2373" s="52" t="s">
        <v>107</v>
      </c>
      <c r="E2373" s="52" t="s">
        <v>584</v>
      </c>
      <c r="F2373" s="52" t="s">
        <v>26</v>
      </c>
      <c r="G2373" s="195" t="s">
        <v>279</v>
      </c>
      <c r="H2373" s="195">
        <v>0.32182699999999997</v>
      </c>
      <c r="I2373" s="195">
        <v>0.27828540000000002</v>
      </c>
      <c r="J2373" s="195">
        <v>0.27815299999999998</v>
      </c>
      <c r="K2373" s="195">
        <v>0.30614239999999998</v>
      </c>
      <c r="L2373" s="195">
        <v>0.331737</v>
      </c>
      <c r="M2373" s="195">
        <v>0.33996900000000002</v>
      </c>
      <c r="N2373" s="195">
        <v>0.34854000000000002</v>
      </c>
    </row>
    <row r="2374" spans="1:14" hidden="1" x14ac:dyDescent="0.35">
      <c r="A2374" s="52" t="s">
        <v>243</v>
      </c>
      <c r="B2374" s="52" t="s">
        <v>37</v>
      </c>
      <c r="C2374" s="52" t="s">
        <v>110</v>
      </c>
      <c r="D2374" s="52" t="s">
        <v>110</v>
      </c>
      <c r="E2374" s="52" t="s">
        <v>584</v>
      </c>
      <c r="F2374" s="52" t="s">
        <v>26</v>
      </c>
      <c r="G2374" s="195" t="s">
        <v>275</v>
      </c>
      <c r="H2374" s="195">
        <v>3.5955000000000001E-2</v>
      </c>
      <c r="I2374" s="195">
        <v>2.1580599999999998E-2</v>
      </c>
      <c r="J2374" s="195">
        <v>2.3365199999999999E-2</v>
      </c>
      <c r="K2374" s="195">
        <v>1.9382199999999999E-2</v>
      </c>
      <c r="L2374" s="195">
        <v>1.5844199999999999E-2</v>
      </c>
      <c r="M2374" s="195">
        <v>1.51716E-2</v>
      </c>
      <c r="N2374" s="195">
        <v>1.477E-2</v>
      </c>
    </row>
    <row r="2375" spans="1:14" hidden="1" x14ac:dyDescent="0.35">
      <c r="A2375" s="52" t="s">
        <v>243</v>
      </c>
      <c r="B2375" s="52" t="s">
        <v>37</v>
      </c>
      <c r="C2375" s="52" t="s">
        <v>110</v>
      </c>
      <c r="D2375" s="52" t="s">
        <v>110</v>
      </c>
      <c r="E2375" s="52" t="s">
        <v>584</v>
      </c>
      <c r="F2375" s="52" t="s">
        <v>26</v>
      </c>
      <c r="G2375" s="195" t="s">
        <v>276</v>
      </c>
      <c r="H2375" s="195">
        <v>8.5559999999999994E-3</v>
      </c>
      <c r="I2375" s="195">
        <v>5.7365999999999997E-3</v>
      </c>
      <c r="J2375" s="195">
        <v>6.2113999999999997E-3</v>
      </c>
      <c r="K2375" s="195">
        <v>5.1523999999999997E-3</v>
      </c>
      <c r="L2375" s="195">
        <v>4.2112E-3</v>
      </c>
      <c r="M2375" s="195">
        <v>4.0327999999999996E-3</v>
      </c>
      <c r="N2375" s="195">
        <v>3.9264E-3</v>
      </c>
    </row>
    <row r="2376" spans="1:14" hidden="1" x14ac:dyDescent="0.35">
      <c r="A2376" s="52" t="s">
        <v>243</v>
      </c>
      <c r="B2376" s="52" t="s">
        <v>37</v>
      </c>
      <c r="C2376" s="52" t="s">
        <v>110</v>
      </c>
      <c r="D2376" s="52" t="s">
        <v>110</v>
      </c>
      <c r="E2376" s="52" t="s">
        <v>584</v>
      </c>
      <c r="F2376" s="52" t="s">
        <v>26</v>
      </c>
      <c r="G2376" s="195" t="s">
        <v>279</v>
      </c>
      <c r="H2376" s="195">
        <v>7.4221999999999996E-2</v>
      </c>
      <c r="I2376" s="195">
        <v>6.3567399999999996E-2</v>
      </c>
      <c r="J2376" s="195">
        <v>6.2283999999999999E-2</v>
      </c>
      <c r="K2376" s="195">
        <v>6.6994200000000004E-2</v>
      </c>
      <c r="L2376" s="195">
        <v>6.9994000000000001E-2</v>
      </c>
      <c r="M2376" s="195">
        <v>6.7350999999999994E-2</v>
      </c>
      <c r="N2376" s="195">
        <v>6.5098400000000001E-2</v>
      </c>
    </row>
    <row r="2377" spans="1:14" hidden="1" x14ac:dyDescent="0.35">
      <c r="A2377" s="52" t="s">
        <v>243</v>
      </c>
      <c r="B2377" s="52" t="s">
        <v>37</v>
      </c>
      <c r="C2377" s="52" t="s">
        <v>249</v>
      </c>
      <c r="D2377" s="52" t="s">
        <v>249</v>
      </c>
      <c r="E2377" s="52" t="s">
        <v>584</v>
      </c>
      <c r="F2377" s="52" t="s">
        <v>581</v>
      </c>
      <c r="G2377" s="195" t="s">
        <v>275</v>
      </c>
      <c r="H2377" s="195">
        <v>0.107005</v>
      </c>
      <c r="I2377" s="195">
        <v>5.5621999999999998E-2</v>
      </c>
      <c r="J2377" s="195">
        <v>4.0234010000000002E-3</v>
      </c>
      <c r="K2377" s="195">
        <v>7.9177999999999991E-3</v>
      </c>
      <c r="L2377" s="195">
        <v>3.8595999999999999E-3</v>
      </c>
      <c r="M2377" s="195">
        <v>-1.370692</v>
      </c>
      <c r="N2377" s="195">
        <v>1.1483999999999999E-3</v>
      </c>
    </row>
    <row r="2378" spans="1:14" hidden="1" x14ac:dyDescent="0.35">
      <c r="A2378" s="52" t="s">
        <v>243</v>
      </c>
      <c r="B2378" s="52" t="s">
        <v>37</v>
      </c>
      <c r="C2378" s="52" t="s">
        <v>249</v>
      </c>
      <c r="D2378" s="52" t="s">
        <v>249</v>
      </c>
      <c r="E2378" s="52" t="s">
        <v>584</v>
      </c>
      <c r="F2378" s="52" t="s">
        <v>581</v>
      </c>
      <c r="G2378" s="195" t="s">
        <v>276</v>
      </c>
      <c r="H2378" s="195">
        <v>-3.9418000000000002E-2</v>
      </c>
      <c r="I2378" s="195">
        <v>-6.3726000000000005E-2</v>
      </c>
      <c r="J2378" s="195">
        <v>-1.01428E-2</v>
      </c>
      <c r="K2378" s="195">
        <v>-6.3610000000000003E-3</v>
      </c>
      <c r="L2378" s="195">
        <v>-3.3888E-3</v>
      </c>
      <c r="M2378" s="195">
        <v>-0.36659819999999999</v>
      </c>
      <c r="N2378" s="195">
        <v>-7.7439999999999996E-4</v>
      </c>
    </row>
    <row r="2379" spans="1:14" hidden="1" x14ac:dyDescent="0.35">
      <c r="A2379" s="52" t="s">
        <v>243</v>
      </c>
      <c r="B2379" s="52" t="s">
        <v>37</v>
      </c>
      <c r="C2379" s="52" t="s">
        <v>249</v>
      </c>
      <c r="D2379" s="52" t="s">
        <v>249</v>
      </c>
      <c r="E2379" s="52" t="s">
        <v>584</v>
      </c>
      <c r="F2379" s="52" t="s">
        <v>581</v>
      </c>
      <c r="G2379" s="195" t="s">
        <v>277</v>
      </c>
      <c r="H2379" s="195">
        <v>3.2927999999999999E-2</v>
      </c>
      <c r="I2379" s="195">
        <v>1.8071E-2</v>
      </c>
      <c r="J2379" s="195">
        <v>9.9179999999999997E-3</v>
      </c>
      <c r="K2379" s="195">
        <v>0</v>
      </c>
      <c r="L2379" s="195"/>
      <c r="M2379" s="195"/>
      <c r="N2379" s="195"/>
    </row>
    <row r="2380" spans="1:14" hidden="1" x14ac:dyDescent="0.35">
      <c r="A2380" s="52" t="s">
        <v>243</v>
      </c>
      <c r="B2380" s="52" t="s">
        <v>37</v>
      </c>
      <c r="C2380" s="52" t="s">
        <v>249</v>
      </c>
      <c r="D2380" s="52" t="s">
        <v>249</v>
      </c>
      <c r="E2380" s="52" t="s">
        <v>584</v>
      </c>
      <c r="F2380" s="52" t="s">
        <v>581</v>
      </c>
      <c r="G2380" s="195" t="s">
        <v>279</v>
      </c>
      <c r="H2380" s="195">
        <v>5.5224000000000002E-2</v>
      </c>
      <c r="I2380" s="195">
        <v>2.94314E-2</v>
      </c>
      <c r="J2380" s="195">
        <v>1.9375799999999999E-2</v>
      </c>
      <c r="K2380" s="195">
        <v>1.4390999999999999E-2</v>
      </c>
      <c r="L2380" s="195">
        <v>1.05462E-2</v>
      </c>
      <c r="M2380" s="195">
        <v>1.739303</v>
      </c>
      <c r="N2380" s="195">
        <v>1.0166000000000001E-3</v>
      </c>
    </row>
    <row r="2381" spans="1:14" hidden="1" x14ac:dyDescent="0.35">
      <c r="A2381" s="52" t="s">
        <v>243</v>
      </c>
      <c r="B2381" s="52" t="s">
        <v>37</v>
      </c>
      <c r="C2381" s="52" t="s">
        <v>249</v>
      </c>
      <c r="D2381" s="52" t="s">
        <v>249</v>
      </c>
      <c r="E2381" s="52" t="s">
        <v>584</v>
      </c>
      <c r="F2381" s="52" t="s">
        <v>26</v>
      </c>
      <c r="G2381" s="195" t="s">
        <v>275</v>
      </c>
      <c r="H2381" s="195"/>
      <c r="I2381" s="195"/>
      <c r="J2381" s="195"/>
      <c r="K2381" s="195"/>
      <c r="L2381" s="195">
        <v>0</v>
      </c>
      <c r="M2381" s="195"/>
      <c r="N2381" s="195">
        <v>0</v>
      </c>
    </row>
    <row r="2382" spans="1:14" hidden="1" x14ac:dyDescent="0.35">
      <c r="A2382" s="52" t="s">
        <v>243</v>
      </c>
      <c r="B2382" s="52" t="s">
        <v>37</v>
      </c>
      <c r="C2382" s="52" t="s">
        <v>249</v>
      </c>
      <c r="D2382" s="52" t="s">
        <v>249</v>
      </c>
      <c r="E2382" s="52" t="s">
        <v>584</v>
      </c>
      <c r="F2382" s="52" t="s">
        <v>26</v>
      </c>
      <c r="G2382" s="195" t="s">
        <v>276</v>
      </c>
      <c r="H2382" s="195"/>
      <c r="I2382" s="195"/>
      <c r="J2382" s="195"/>
      <c r="K2382" s="195"/>
      <c r="L2382" s="195">
        <v>0</v>
      </c>
      <c r="M2382" s="195"/>
      <c r="N2382" s="195">
        <v>0</v>
      </c>
    </row>
    <row r="2383" spans="1:14" hidden="1" x14ac:dyDescent="0.35">
      <c r="A2383" s="52" t="s">
        <v>243</v>
      </c>
      <c r="B2383" s="52" t="s">
        <v>37</v>
      </c>
      <c r="C2383" s="52" t="s">
        <v>249</v>
      </c>
      <c r="D2383" s="52" t="s">
        <v>249</v>
      </c>
      <c r="E2383" s="52" t="s">
        <v>584</v>
      </c>
      <c r="F2383" s="52" t="s">
        <v>26</v>
      </c>
      <c r="G2383" s="195" t="s">
        <v>279</v>
      </c>
      <c r="H2383" s="195"/>
      <c r="I2383" s="195"/>
      <c r="J2383" s="195"/>
      <c r="K2383" s="195"/>
      <c r="L2383" s="195">
        <v>0</v>
      </c>
      <c r="M2383" s="195"/>
      <c r="N2383" s="195">
        <v>0</v>
      </c>
    </row>
    <row r="2384" spans="1:14" hidden="1" x14ac:dyDescent="0.35">
      <c r="A2384" s="52" t="s">
        <v>243</v>
      </c>
      <c r="B2384" s="52" t="s">
        <v>37</v>
      </c>
      <c r="C2384" s="52" t="s">
        <v>95</v>
      </c>
      <c r="D2384" s="52" t="s">
        <v>95</v>
      </c>
      <c r="E2384" s="52" t="s">
        <v>584</v>
      </c>
      <c r="F2384" s="52" t="s">
        <v>581</v>
      </c>
      <c r="G2384" s="195" t="s">
        <v>275</v>
      </c>
      <c r="H2384" s="195">
        <v>9.2119999999999997E-3</v>
      </c>
      <c r="I2384" s="195">
        <v>4.4779999999999999E-4</v>
      </c>
      <c r="J2384" s="195">
        <v>1.284E-4</v>
      </c>
      <c r="K2384" s="195">
        <v>-0.10724</v>
      </c>
      <c r="L2384" s="195">
        <v>0</v>
      </c>
      <c r="M2384" s="195"/>
      <c r="N2384" s="195"/>
    </row>
    <row r="2385" spans="1:14" hidden="1" x14ac:dyDescent="0.35">
      <c r="A2385" s="52" t="s">
        <v>243</v>
      </c>
      <c r="B2385" s="52" t="s">
        <v>37</v>
      </c>
      <c r="C2385" s="52" t="s">
        <v>95</v>
      </c>
      <c r="D2385" s="52" t="s">
        <v>95</v>
      </c>
      <c r="E2385" s="52" t="s">
        <v>584</v>
      </c>
      <c r="F2385" s="52" t="s">
        <v>581</v>
      </c>
      <c r="G2385" s="195" t="s">
        <v>276</v>
      </c>
      <c r="H2385" s="195">
        <v>-1.9070000000000001E-3</v>
      </c>
      <c r="I2385" s="195">
        <v>1.2E-4</v>
      </c>
      <c r="J2385" s="195">
        <v>3.4E-5</v>
      </c>
      <c r="K2385" s="195">
        <v>-2.8507000000000001E-2</v>
      </c>
      <c r="L2385" s="195">
        <v>0</v>
      </c>
      <c r="M2385" s="195"/>
      <c r="N2385" s="195"/>
    </row>
    <row r="2386" spans="1:14" hidden="1" x14ac:dyDescent="0.35">
      <c r="A2386" s="52" t="s">
        <v>243</v>
      </c>
      <c r="B2386" s="52" t="s">
        <v>37</v>
      </c>
      <c r="C2386" s="52" t="s">
        <v>95</v>
      </c>
      <c r="D2386" s="52" t="s">
        <v>95</v>
      </c>
      <c r="E2386" s="52" t="s">
        <v>584</v>
      </c>
      <c r="F2386" s="52" t="s">
        <v>581</v>
      </c>
      <c r="G2386" s="195" t="s">
        <v>279</v>
      </c>
      <c r="H2386" s="195">
        <v>4.5120000000000004E-3</v>
      </c>
      <c r="I2386" s="195">
        <v>2.4220000000000001E-3</v>
      </c>
      <c r="J2386" s="195">
        <v>1.596E-3</v>
      </c>
      <c r="K2386" s="195">
        <v>0.13574800000000001</v>
      </c>
      <c r="L2386" s="195">
        <v>0</v>
      </c>
      <c r="M2386" s="195"/>
      <c r="N2386" s="195"/>
    </row>
    <row r="2387" spans="1:14" hidden="1" x14ac:dyDescent="0.35">
      <c r="A2387" s="52" t="s">
        <v>243</v>
      </c>
      <c r="B2387" s="52" t="s">
        <v>37</v>
      </c>
      <c r="C2387" s="52" t="s">
        <v>95</v>
      </c>
      <c r="D2387" s="52" t="s">
        <v>95</v>
      </c>
      <c r="E2387" s="52" t="s">
        <v>584</v>
      </c>
      <c r="F2387" s="52" t="s">
        <v>26</v>
      </c>
      <c r="G2387" s="195" t="s">
        <v>275</v>
      </c>
      <c r="H2387" s="195">
        <v>9.9999999999999995E-7</v>
      </c>
      <c r="I2387" s="195">
        <v>0</v>
      </c>
      <c r="J2387" s="195">
        <v>0</v>
      </c>
      <c r="K2387" s="195">
        <v>-1.2433609999999999</v>
      </c>
      <c r="L2387" s="195">
        <v>0</v>
      </c>
      <c r="M2387" s="195"/>
      <c r="N2387" s="195"/>
    </row>
    <row r="2388" spans="1:14" hidden="1" x14ac:dyDescent="0.35">
      <c r="A2388" s="52" t="s">
        <v>243</v>
      </c>
      <c r="B2388" s="52" t="s">
        <v>37</v>
      </c>
      <c r="C2388" s="52" t="s">
        <v>95</v>
      </c>
      <c r="D2388" s="52" t="s">
        <v>95</v>
      </c>
      <c r="E2388" s="52" t="s">
        <v>584</v>
      </c>
      <c r="F2388" s="52" t="s">
        <v>26</v>
      </c>
      <c r="G2388" s="195" t="s">
        <v>276</v>
      </c>
      <c r="H2388" s="195">
        <v>-9.9999999999999995E-7</v>
      </c>
      <c r="I2388" s="195">
        <v>0</v>
      </c>
      <c r="J2388" s="195">
        <v>0</v>
      </c>
      <c r="K2388" s="195">
        <v>-0.33051399999999997</v>
      </c>
      <c r="L2388" s="195">
        <v>0</v>
      </c>
      <c r="M2388" s="195"/>
      <c r="N2388" s="195"/>
    </row>
    <row r="2389" spans="1:14" hidden="1" x14ac:dyDescent="0.35">
      <c r="A2389" s="52" t="s">
        <v>243</v>
      </c>
      <c r="B2389" s="52" t="s">
        <v>37</v>
      </c>
      <c r="C2389" s="52" t="s">
        <v>95</v>
      </c>
      <c r="D2389" s="52" t="s">
        <v>95</v>
      </c>
      <c r="E2389" s="52" t="s">
        <v>584</v>
      </c>
      <c r="F2389" s="52" t="s">
        <v>26</v>
      </c>
      <c r="G2389" s="195" t="s">
        <v>279</v>
      </c>
      <c r="H2389" s="195"/>
      <c r="I2389" s="195"/>
      <c r="J2389" s="195">
        <v>0</v>
      </c>
      <c r="K2389" s="195">
        <v>1.5738760000000001</v>
      </c>
      <c r="L2389" s="195">
        <v>0</v>
      </c>
      <c r="M2389" s="195"/>
      <c r="N2389" s="195"/>
    </row>
    <row r="2390" spans="1:14" hidden="1" x14ac:dyDescent="0.35">
      <c r="A2390" s="52" t="s">
        <v>243</v>
      </c>
      <c r="B2390" s="52" t="s">
        <v>37</v>
      </c>
      <c r="C2390" s="52" t="s">
        <v>61</v>
      </c>
      <c r="D2390" s="52" t="s">
        <v>62</v>
      </c>
      <c r="E2390" s="52" t="s">
        <v>584</v>
      </c>
      <c r="F2390" s="52" t="s">
        <v>581</v>
      </c>
      <c r="G2390" s="195" t="s">
        <v>275</v>
      </c>
      <c r="H2390" s="195">
        <v>0</v>
      </c>
      <c r="I2390" s="195"/>
      <c r="J2390" s="195">
        <v>0</v>
      </c>
      <c r="K2390" s="195">
        <v>0</v>
      </c>
      <c r="L2390" s="195">
        <v>0</v>
      </c>
      <c r="M2390" s="195">
        <v>0</v>
      </c>
      <c r="N2390" s="195">
        <v>0</v>
      </c>
    </row>
    <row r="2391" spans="1:14" hidden="1" x14ac:dyDescent="0.35">
      <c r="A2391" s="52" t="s">
        <v>243</v>
      </c>
      <c r="B2391" s="52" t="s">
        <v>37</v>
      </c>
      <c r="C2391" s="52" t="s">
        <v>318</v>
      </c>
      <c r="D2391" s="52" t="s">
        <v>318</v>
      </c>
      <c r="E2391" s="52" t="s">
        <v>584</v>
      </c>
      <c r="F2391" s="52" t="s">
        <v>581</v>
      </c>
      <c r="G2391" s="195" t="s">
        <v>275</v>
      </c>
      <c r="H2391" s="195">
        <v>0</v>
      </c>
      <c r="I2391" s="195"/>
      <c r="J2391" s="195"/>
      <c r="K2391" s="195"/>
      <c r="L2391" s="195"/>
      <c r="M2391" s="195"/>
      <c r="N2391" s="195"/>
    </row>
    <row r="2392" spans="1:14" hidden="1" x14ac:dyDescent="0.35">
      <c r="A2392" s="52" t="s">
        <v>243</v>
      </c>
      <c r="B2392" s="52" t="s">
        <v>37</v>
      </c>
      <c r="C2392" s="52" t="s">
        <v>61</v>
      </c>
      <c r="D2392" s="52" t="s">
        <v>62</v>
      </c>
      <c r="E2392" s="52" t="s">
        <v>584</v>
      </c>
      <c r="F2392" s="52" t="s">
        <v>581</v>
      </c>
      <c r="G2392" s="195" t="s">
        <v>276</v>
      </c>
      <c r="H2392" s="195"/>
      <c r="I2392" s="195"/>
      <c r="J2392" s="195">
        <v>0</v>
      </c>
      <c r="K2392" s="195">
        <v>0</v>
      </c>
      <c r="L2392" s="195">
        <v>0</v>
      </c>
      <c r="M2392" s="195">
        <v>0</v>
      </c>
      <c r="N2392" s="195">
        <v>0</v>
      </c>
    </row>
    <row r="2393" spans="1:14" hidden="1" x14ac:dyDescent="0.35">
      <c r="A2393" s="52" t="s">
        <v>243</v>
      </c>
      <c r="B2393" s="52" t="s">
        <v>37</v>
      </c>
      <c r="C2393" s="52" t="s">
        <v>248</v>
      </c>
      <c r="D2393" s="52" t="s">
        <v>248</v>
      </c>
      <c r="E2393" s="52" t="s">
        <v>635</v>
      </c>
      <c r="F2393" s="52" t="s">
        <v>581</v>
      </c>
      <c r="G2393" s="195" t="s">
        <v>276</v>
      </c>
      <c r="H2393" s="195"/>
      <c r="I2393" s="195"/>
      <c r="J2393" s="195"/>
      <c r="K2393" s="195"/>
      <c r="L2393" s="195"/>
      <c r="M2393" s="195">
        <v>0</v>
      </c>
      <c r="N2393" s="195"/>
    </row>
    <row r="2394" spans="1:14" hidden="1" x14ac:dyDescent="0.35">
      <c r="A2394" s="52" t="s">
        <v>243</v>
      </c>
      <c r="B2394" s="52" t="s">
        <v>37</v>
      </c>
      <c r="C2394" s="52" t="s">
        <v>248</v>
      </c>
      <c r="D2394" s="52" t="s">
        <v>248</v>
      </c>
      <c r="E2394" s="52" t="s">
        <v>635</v>
      </c>
      <c r="F2394" s="52" t="s">
        <v>581</v>
      </c>
      <c r="G2394" s="195" t="s">
        <v>277</v>
      </c>
      <c r="H2394" s="195"/>
      <c r="I2394" s="195"/>
      <c r="J2394" s="195"/>
      <c r="K2394" s="195"/>
      <c r="L2394" s="195"/>
      <c r="M2394" s="195">
        <v>0</v>
      </c>
      <c r="N2394" s="195"/>
    </row>
    <row r="2395" spans="1:14" hidden="1" x14ac:dyDescent="0.35">
      <c r="A2395" s="52" t="s">
        <v>243</v>
      </c>
      <c r="B2395" s="52" t="s">
        <v>37</v>
      </c>
      <c r="C2395" s="52" t="s">
        <v>248</v>
      </c>
      <c r="D2395" s="52" t="s">
        <v>248</v>
      </c>
      <c r="E2395" s="52" t="s">
        <v>635</v>
      </c>
      <c r="F2395" s="52" t="s">
        <v>581</v>
      </c>
      <c r="G2395" s="195" t="s">
        <v>278</v>
      </c>
      <c r="H2395" s="195"/>
      <c r="I2395" s="195"/>
      <c r="J2395" s="195"/>
      <c r="K2395" s="195"/>
      <c r="L2395" s="195"/>
      <c r="M2395" s="195">
        <v>0</v>
      </c>
      <c r="N2395" s="195"/>
    </row>
    <row r="2396" spans="1:14" hidden="1" x14ac:dyDescent="0.35">
      <c r="A2396" s="52" t="s">
        <v>243</v>
      </c>
      <c r="B2396" s="52" t="s">
        <v>37</v>
      </c>
      <c r="C2396" s="52" t="s">
        <v>318</v>
      </c>
      <c r="D2396" s="52" t="s">
        <v>318</v>
      </c>
      <c r="E2396" s="52" t="s">
        <v>584</v>
      </c>
      <c r="F2396" s="52" t="s">
        <v>581</v>
      </c>
      <c r="G2396" s="195" t="s">
        <v>278</v>
      </c>
      <c r="H2396" s="195">
        <v>0</v>
      </c>
      <c r="I2396" s="195"/>
      <c r="J2396" s="195"/>
      <c r="K2396" s="195"/>
      <c r="L2396" s="195"/>
      <c r="M2396" s="195"/>
      <c r="N2396" s="195"/>
    </row>
    <row r="2397" spans="1:14" hidden="1" x14ac:dyDescent="0.35">
      <c r="A2397" s="52" t="s">
        <v>243</v>
      </c>
      <c r="B2397" s="52" t="s">
        <v>37</v>
      </c>
      <c r="C2397" s="52" t="s">
        <v>61</v>
      </c>
      <c r="D2397" s="52" t="s">
        <v>62</v>
      </c>
      <c r="E2397" s="52" t="s">
        <v>584</v>
      </c>
      <c r="F2397" s="52" t="s">
        <v>581</v>
      </c>
      <c r="G2397" s="195" t="s">
        <v>278</v>
      </c>
      <c r="H2397" s="195"/>
      <c r="I2397" s="195"/>
      <c r="J2397" s="195">
        <v>0</v>
      </c>
      <c r="K2397" s="195">
        <v>0</v>
      </c>
      <c r="L2397" s="195">
        <v>0</v>
      </c>
      <c r="M2397" s="195">
        <v>0</v>
      </c>
      <c r="N2397" s="195"/>
    </row>
    <row r="2398" spans="1:14" hidden="1" x14ac:dyDescent="0.35">
      <c r="A2398" s="52" t="s">
        <v>243</v>
      </c>
      <c r="B2398" s="52" t="s">
        <v>37</v>
      </c>
      <c r="C2398" s="52" t="s">
        <v>248</v>
      </c>
      <c r="D2398" s="52" t="s">
        <v>248</v>
      </c>
      <c r="E2398" s="52" t="s">
        <v>635</v>
      </c>
      <c r="F2398" s="52" t="s">
        <v>581</v>
      </c>
      <c r="G2398" s="195" t="s">
        <v>279</v>
      </c>
      <c r="H2398" s="195"/>
      <c r="I2398" s="195"/>
      <c r="J2398" s="195"/>
      <c r="K2398" s="195"/>
      <c r="L2398" s="195"/>
      <c r="M2398" s="195">
        <v>0</v>
      </c>
      <c r="N2398" s="195"/>
    </row>
    <row r="2399" spans="1:14" hidden="1" x14ac:dyDescent="0.35">
      <c r="A2399" s="52" t="s">
        <v>243</v>
      </c>
      <c r="B2399" s="52" t="s">
        <v>37</v>
      </c>
      <c r="C2399" s="52" t="s">
        <v>318</v>
      </c>
      <c r="D2399" s="52" t="s">
        <v>318</v>
      </c>
      <c r="E2399" s="52" t="s">
        <v>584</v>
      </c>
      <c r="F2399" s="52" t="s">
        <v>26</v>
      </c>
      <c r="G2399" s="195" t="s">
        <v>275</v>
      </c>
      <c r="H2399" s="195">
        <v>0</v>
      </c>
      <c r="I2399" s="195"/>
      <c r="J2399" s="195"/>
      <c r="K2399" s="195"/>
      <c r="L2399" s="195"/>
      <c r="M2399" s="195"/>
      <c r="N2399" s="195"/>
    </row>
    <row r="2400" spans="1:14" hidden="1" x14ac:dyDescent="0.35">
      <c r="A2400" s="52" t="s">
        <v>243</v>
      </c>
      <c r="B2400" s="52" t="s">
        <v>37</v>
      </c>
      <c r="C2400" s="52" t="s">
        <v>248</v>
      </c>
      <c r="D2400" s="52" t="s">
        <v>248</v>
      </c>
      <c r="E2400" s="52" t="s">
        <v>635</v>
      </c>
      <c r="F2400" s="52" t="s">
        <v>26</v>
      </c>
      <c r="G2400" s="195" t="s">
        <v>276</v>
      </c>
      <c r="H2400" s="195"/>
      <c r="I2400" s="195"/>
      <c r="J2400" s="195"/>
      <c r="K2400" s="195"/>
      <c r="L2400" s="195"/>
      <c r="M2400" s="195">
        <v>0</v>
      </c>
      <c r="N2400" s="195"/>
    </row>
    <row r="2401" spans="1:14" hidden="1" x14ac:dyDescent="0.35">
      <c r="A2401" s="52" t="s">
        <v>243</v>
      </c>
      <c r="B2401" s="52" t="s">
        <v>37</v>
      </c>
      <c r="C2401" s="52" t="s">
        <v>318</v>
      </c>
      <c r="D2401" s="52" t="s">
        <v>318</v>
      </c>
      <c r="E2401" s="52" t="s">
        <v>584</v>
      </c>
      <c r="F2401" s="52" t="s">
        <v>26</v>
      </c>
      <c r="G2401" s="195" t="s">
        <v>278</v>
      </c>
      <c r="H2401" s="195">
        <v>0</v>
      </c>
      <c r="I2401" s="195"/>
      <c r="J2401" s="195"/>
      <c r="K2401" s="195"/>
      <c r="L2401" s="195"/>
      <c r="M2401" s="195"/>
      <c r="N2401" s="195"/>
    </row>
    <row r="2402" spans="1:14" hidden="1" x14ac:dyDescent="0.35">
      <c r="A2402" s="52" t="s">
        <v>243</v>
      </c>
      <c r="B2402" s="52" t="s">
        <v>37</v>
      </c>
      <c r="C2402" s="52" t="s">
        <v>248</v>
      </c>
      <c r="D2402" s="52" t="s">
        <v>248</v>
      </c>
      <c r="E2402" s="52" t="s">
        <v>635</v>
      </c>
      <c r="F2402" s="52" t="s">
        <v>26</v>
      </c>
      <c r="G2402" s="195" t="s">
        <v>279</v>
      </c>
      <c r="H2402" s="195"/>
      <c r="I2402" s="195"/>
      <c r="J2402" s="195"/>
      <c r="K2402" s="195"/>
      <c r="L2402" s="195"/>
      <c r="M2402" s="195">
        <v>0</v>
      </c>
      <c r="N2402" s="195"/>
    </row>
    <row r="2403" spans="1:14" hidden="1" x14ac:dyDescent="0.35">
      <c r="A2403" s="52" t="s">
        <v>243</v>
      </c>
      <c r="B2403" s="52" t="s">
        <v>37</v>
      </c>
      <c r="C2403" s="52" t="s">
        <v>315</v>
      </c>
      <c r="D2403" s="52" t="s">
        <v>315</v>
      </c>
      <c r="E2403" s="52" t="s">
        <v>584</v>
      </c>
      <c r="F2403" s="52" t="s">
        <v>581</v>
      </c>
      <c r="G2403" s="195" t="s">
        <v>275</v>
      </c>
      <c r="H2403" s="195">
        <v>-9.6665399999999995E-3</v>
      </c>
      <c r="I2403" s="195">
        <v>-1.0274859999999999</v>
      </c>
      <c r="J2403" s="195">
        <v>0</v>
      </c>
      <c r="K2403" s="195">
        <v>0</v>
      </c>
      <c r="L2403" s="195">
        <v>0</v>
      </c>
      <c r="M2403" s="195">
        <v>0</v>
      </c>
      <c r="N2403" s="195">
        <v>0</v>
      </c>
    </row>
    <row r="2404" spans="1:14" hidden="1" x14ac:dyDescent="0.35">
      <c r="A2404" s="52" t="s">
        <v>243</v>
      </c>
      <c r="B2404" s="52" t="s">
        <v>37</v>
      </c>
      <c r="C2404" s="52" t="s">
        <v>315</v>
      </c>
      <c r="D2404" s="52" t="s">
        <v>315</v>
      </c>
      <c r="E2404" s="52" t="s">
        <v>584</v>
      </c>
      <c r="F2404" s="52" t="s">
        <v>581</v>
      </c>
      <c r="G2404" s="195" t="s">
        <v>276</v>
      </c>
      <c r="H2404" s="195">
        <v>-2.56989E-3</v>
      </c>
      <c r="I2404" s="195">
        <v>-4.7191829999999997E-2</v>
      </c>
      <c r="J2404" s="195">
        <v>-1.2235920000000001E-2</v>
      </c>
      <c r="K2404" s="195">
        <v>-1.2235920000000001E-2</v>
      </c>
      <c r="L2404" s="195">
        <v>-1.2235920000000001E-2</v>
      </c>
      <c r="M2404" s="195">
        <v>-1.2235920000000001E-2</v>
      </c>
      <c r="N2404" s="195">
        <v>-7.5985919999999998E-2</v>
      </c>
    </row>
    <row r="2405" spans="1:14" hidden="1" x14ac:dyDescent="0.35">
      <c r="A2405" s="52" t="s">
        <v>243</v>
      </c>
      <c r="B2405" s="52" t="s">
        <v>37</v>
      </c>
      <c r="C2405" s="52" t="s">
        <v>315</v>
      </c>
      <c r="D2405" s="52" t="s">
        <v>315</v>
      </c>
      <c r="E2405" s="52" t="s">
        <v>584</v>
      </c>
      <c r="F2405" s="52" t="s">
        <v>581</v>
      </c>
      <c r="G2405" s="195" t="s">
        <v>277</v>
      </c>
      <c r="H2405" s="195"/>
      <c r="I2405" s="195"/>
      <c r="J2405" s="195"/>
      <c r="K2405" s="195"/>
      <c r="L2405" s="195"/>
      <c r="M2405" s="195">
        <v>0</v>
      </c>
      <c r="N2405" s="195">
        <v>6.3750000000000001E-2</v>
      </c>
    </row>
    <row r="2406" spans="1:14" hidden="1" x14ac:dyDescent="0.35">
      <c r="A2406" s="52" t="s">
        <v>243</v>
      </c>
      <c r="B2406" s="52" t="s">
        <v>37</v>
      </c>
      <c r="C2406" s="52" t="s">
        <v>315</v>
      </c>
      <c r="D2406" s="52" t="s">
        <v>315</v>
      </c>
      <c r="E2406" s="52" t="s">
        <v>584</v>
      </c>
      <c r="F2406" s="52" t="s">
        <v>581</v>
      </c>
      <c r="G2406" s="195" t="s">
        <v>278</v>
      </c>
      <c r="H2406" s="195">
        <v>1.2235920000000001E-2</v>
      </c>
      <c r="I2406" s="195">
        <v>1.074678</v>
      </c>
      <c r="J2406" s="195">
        <v>1.2235920000000001E-2</v>
      </c>
      <c r="K2406" s="195">
        <v>1.2235920000000001E-2</v>
      </c>
      <c r="L2406" s="195">
        <v>1.2235920000000001E-2</v>
      </c>
      <c r="M2406" s="195">
        <v>1.2235920000000001E-2</v>
      </c>
      <c r="N2406" s="195">
        <v>1.2235920000000001E-2</v>
      </c>
    </row>
    <row r="2407" spans="1:14" hidden="1" x14ac:dyDescent="0.35">
      <c r="A2407" s="52" t="s">
        <v>243</v>
      </c>
      <c r="B2407" s="52" t="s">
        <v>245</v>
      </c>
      <c r="C2407" s="52" t="s">
        <v>244</v>
      </c>
      <c r="D2407" s="52" t="s">
        <v>244</v>
      </c>
      <c r="E2407" s="52" t="s">
        <v>584</v>
      </c>
      <c r="F2407" s="52" t="s">
        <v>581</v>
      </c>
      <c r="G2407" s="195" t="s">
        <v>275</v>
      </c>
      <c r="H2407" s="195">
        <v>-1.6040589999999999</v>
      </c>
      <c r="I2407" s="195">
        <v>7.8114739999999996</v>
      </c>
      <c r="J2407" s="195">
        <v>-5.5884549999999997</v>
      </c>
      <c r="K2407" s="195">
        <v>15.68641</v>
      </c>
      <c r="L2407" s="195">
        <v>14.449680000000001</v>
      </c>
      <c r="M2407" s="195">
        <v>10.82461</v>
      </c>
      <c r="N2407" s="195">
        <v>9.6271710000000006</v>
      </c>
    </row>
    <row r="2408" spans="1:14" hidden="1" x14ac:dyDescent="0.35">
      <c r="A2408" s="52" t="s">
        <v>243</v>
      </c>
      <c r="B2408" s="52" t="s">
        <v>245</v>
      </c>
      <c r="C2408" s="52" t="s">
        <v>244</v>
      </c>
      <c r="D2408" s="52" t="s">
        <v>244</v>
      </c>
      <c r="E2408" s="52" t="s">
        <v>584</v>
      </c>
      <c r="F2408" s="52" t="s">
        <v>581</v>
      </c>
      <c r="G2408" s="195" t="s">
        <v>276</v>
      </c>
      <c r="H2408" s="195">
        <v>1.42662</v>
      </c>
      <c r="I2408" s="195">
        <v>0.45865790000000001</v>
      </c>
      <c r="J2408" s="195">
        <v>2.2959550000000002</v>
      </c>
      <c r="K2408" s="195">
        <v>2.8523529999999999</v>
      </c>
      <c r="L2408" s="195">
        <v>3.6474980000000001</v>
      </c>
      <c r="M2408" s="195">
        <v>4.3255819999999998</v>
      </c>
      <c r="N2408" s="195">
        <v>5.4251680000000002</v>
      </c>
    </row>
    <row r="2409" spans="1:14" hidden="1" x14ac:dyDescent="0.35">
      <c r="A2409" s="52" t="s">
        <v>243</v>
      </c>
      <c r="B2409" s="52" t="s">
        <v>245</v>
      </c>
      <c r="C2409" s="52" t="s">
        <v>244</v>
      </c>
      <c r="D2409" s="52" t="s">
        <v>244</v>
      </c>
      <c r="E2409" s="52" t="s">
        <v>584</v>
      </c>
      <c r="F2409" s="52" t="s">
        <v>581</v>
      </c>
      <c r="G2409" s="195" t="s">
        <v>277</v>
      </c>
      <c r="H2409" s="195">
        <v>6.523695</v>
      </c>
      <c r="I2409" s="195">
        <v>3.1235249999999999E-2</v>
      </c>
      <c r="J2409" s="195">
        <v>21.684270000000001</v>
      </c>
      <c r="K2409" s="195">
        <v>0.31860939999999999</v>
      </c>
      <c r="L2409" s="195">
        <v>1.5817220000000001</v>
      </c>
      <c r="M2409" s="195">
        <v>5.252275</v>
      </c>
      <c r="N2409" s="195">
        <v>4.274006</v>
      </c>
    </row>
    <row r="2410" spans="1:14" hidden="1" x14ac:dyDescent="0.35">
      <c r="A2410" s="52" t="s">
        <v>243</v>
      </c>
      <c r="B2410" s="52" t="s">
        <v>245</v>
      </c>
      <c r="C2410" s="52" t="s">
        <v>244</v>
      </c>
      <c r="D2410" s="52" t="s">
        <v>244</v>
      </c>
      <c r="E2410" s="52" t="s">
        <v>584</v>
      </c>
      <c r="F2410" s="52" t="s">
        <v>581</v>
      </c>
      <c r="G2410" s="195" t="s">
        <v>279</v>
      </c>
      <c r="H2410" s="195">
        <v>0.63940589999999997</v>
      </c>
      <c r="I2410" s="195">
        <v>1.337555</v>
      </c>
      <c r="J2410" s="195">
        <v>3.100587</v>
      </c>
      <c r="K2410" s="195">
        <v>3.570538</v>
      </c>
      <c r="L2410" s="195">
        <v>3.869262</v>
      </c>
      <c r="M2410" s="195">
        <v>4.1004639999999997</v>
      </c>
      <c r="N2410" s="195">
        <v>3.8363489999999998</v>
      </c>
    </row>
    <row r="2411" spans="1:14" hidden="1" x14ac:dyDescent="0.35">
      <c r="A2411" s="52" t="s">
        <v>243</v>
      </c>
      <c r="B2411" s="52" t="s">
        <v>245</v>
      </c>
      <c r="C2411" s="52" t="s">
        <v>244</v>
      </c>
      <c r="D2411" s="52" t="s">
        <v>244</v>
      </c>
      <c r="E2411" s="52" t="s">
        <v>584</v>
      </c>
      <c r="F2411" s="52" t="s">
        <v>26</v>
      </c>
      <c r="G2411" s="195" t="s">
        <v>275</v>
      </c>
      <c r="H2411" s="195">
        <v>-206.7895</v>
      </c>
      <c r="I2411" s="195">
        <v>721.74980000000005</v>
      </c>
      <c r="J2411" s="195">
        <v>619.87350000000004</v>
      </c>
      <c r="K2411" s="195">
        <v>780.31880000000001</v>
      </c>
      <c r="L2411" s="195">
        <v>519.14949999999999</v>
      </c>
      <c r="M2411" s="195">
        <v>328.37849999999997</v>
      </c>
      <c r="N2411" s="195">
        <v>466.8073</v>
      </c>
    </row>
    <row r="2412" spans="1:14" hidden="1" x14ac:dyDescent="0.35">
      <c r="A2412" s="52" t="s">
        <v>243</v>
      </c>
      <c r="B2412" s="52" t="s">
        <v>245</v>
      </c>
      <c r="C2412" s="52" t="s">
        <v>244</v>
      </c>
      <c r="D2412" s="52" t="s">
        <v>244</v>
      </c>
      <c r="E2412" s="52" t="s">
        <v>584</v>
      </c>
      <c r="F2412" s="52" t="s">
        <v>26</v>
      </c>
      <c r="G2412" s="195" t="s">
        <v>276</v>
      </c>
      <c r="H2412" s="195">
        <v>77.421880000000002</v>
      </c>
      <c r="I2412" s="195">
        <v>86.56908</v>
      </c>
      <c r="J2412" s="195">
        <v>234.9254</v>
      </c>
      <c r="K2412" s="195">
        <v>317.31909999999999</v>
      </c>
      <c r="L2412" s="195">
        <v>367.93540000000002</v>
      </c>
      <c r="M2412" s="195">
        <v>411.86329999999998</v>
      </c>
      <c r="N2412" s="195">
        <v>474.8184</v>
      </c>
    </row>
    <row r="2413" spans="1:14" hidden="1" x14ac:dyDescent="0.35">
      <c r="A2413" s="52" t="s">
        <v>243</v>
      </c>
      <c r="B2413" s="52" t="s">
        <v>245</v>
      </c>
      <c r="C2413" s="52" t="s">
        <v>244</v>
      </c>
      <c r="D2413" s="52" t="s">
        <v>244</v>
      </c>
      <c r="E2413" s="52" t="s">
        <v>584</v>
      </c>
      <c r="F2413" s="52" t="s">
        <v>26</v>
      </c>
      <c r="G2413" s="195" t="s">
        <v>277</v>
      </c>
      <c r="H2413" s="195">
        <v>507.77530000000002</v>
      </c>
      <c r="I2413" s="195">
        <v>81.869389999999996</v>
      </c>
      <c r="J2413" s="195">
        <v>262.01060000000001</v>
      </c>
      <c r="K2413" s="195">
        <v>43.509030000000003</v>
      </c>
      <c r="L2413" s="195">
        <v>295.58789999999999</v>
      </c>
      <c r="M2413" s="195">
        <v>483.54680000000002</v>
      </c>
      <c r="N2413" s="195">
        <v>333.37450000000001</v>
      </c>
    </row>
    <row r="2414" spans="1:14" hidden="1" x14ac:dyDescent="0.35">
      <c r="A2414" s="52" t="s">
        <v>243</v>
      </c>
      <c r="B2414" s="52" t="s">
        <v>245</v>
      </c>
      <c r="C2414" s="52" t="s">
        <v>244</v>
      </c>
      <c r="D2414" s="52" t="s">
        <v>244</v>
      </c>
      <c r="E2414" s="52" t="s">
        <v>584</v>
      </c>
      <c r="F2414" s="52" t="s">
        <v>26</v>
      </c>
      <c r="G2414" s="195" t="s">
        <v>278</v>
      </c>
      <c r="H2414" s="195">
        <v>0.27863090000000001</v>
      </c>
      <c r="I2414" s="195">
        <v>0.2454877</v>
      </c>
      <c r="J2414" s="195">
        <v>0.1812763</v>
      </c>
      <c r="K2414" s="195">
        <v>4.4690630000000002</v>
      </c>
      <c r="L2414" s="195">
        <v>4.7229210000000004</v>
      </c>
      <c r="M2414" s="195">
        <v>5.0989499999999997E-3</v>
      </c>
      <c r="N2414" s="195">
        <v>5.0989499999999997E-3</v>
      </c>
    </row>
    <row r="2415" spans="1:14" hidden="1" x14ac:dyDescent="0.35">
      <c r="A2415" s="52" t="s">
        <v>243</v>
      </c>
      <c r="B2415" s="52" t="s">
        <v>245</v>
      </c>
      <c r="C2415" s="52" t="s">
        <v>244</v>
      </c>
      <c r="D2415" s="52" t="s">
        <v>244</v>
      </c>
      <c r="E2415" s="52" t="s">
        <v>584</v>
      </c>
      <c r="F2415" s="52" t="s">
        <v>26</v>
      </c>
      <c r="G2415" s="195" t="s">
        <v>279</v>
      </c>
      <c r="H2415" s="195">
        <v>72.665009999999995</v>
      </c>
      <c r="I2415" s="195">
        <v>104.1875</v>
      </c>
      <c r="J2415" s="195">
        <v>124.2114</v>
      </c>
      <c r="K2415" s="195">
        <v>140.31129999999999</v>
      </c>
      <c r="L2415" s="195">
        <v>147.63130000000001</v>
      </c>
      <c r="M2415" s="195">
        <v>153.33019999999999</v>
      </c>
      <c r="N2415" s="195">
        <v>160.93940000000001</v>
      </c>
    </row>
    <row r="2416" spans="1:14" hidden="1" x14ac:dyDescent="0.35">
      <c r="A2416" s="52" t="s">
        <v>243</v>
      </c>
      <c r="B2416" s="52" t="s">
        <v>245</v>
      </c>
      <c r="C2416" s="52" t="s">
        <v>247</v>
      </c>
      <c r="D2416" s="52" t="s">
        <v>247</v>
      </c>
      <c r="E2416" s="52" t="s">
        <v>584</v>
      </c>
      <c r="F2416" s="52" t="s">
        <v>26</v>
      </c>
      <c r="G2416" s="195" t="s">
        <v>275</v>
      </c>
      <c r="H2416" s="195">
        <v>-6.4525439999999996</v>
      </c>
      <c r="I2416" s="195">
        <v>-2.5325449999999998</v>
      </c>
      <c r="J2416" s="195">
        <v>-3.030043</v>
      </c>
      <c r="K2416" s="195">
        <v>-1.6551579999999999</v>
      </c>
      <c r="L2416" s="195">
        <v>-1.439209</v>
      </c>
      <c r="M2416" s="195">
        <v>-1.3024260000000001</v>
      </c>
      <c r="N2416" s="195">
        <v>-1.185236</v>
      </c>
    </row>
    <row r="2417" spans="1:14" hidden="1" x14ac:dyDescent="0.35">
      <c r="A2417" s="52" t="s">
        <v>243</v>
      </c>
      <c r="B2417" s="52" t="s">
        <v>245</v>
      </c>
      <c r="C2417" s="52" t="s">
        <v>247</v>
      </c>
      <c r="D2417" s="52" t="s">
        <v>247</v>
      </c>
      <c r="E2417" s="52" t="s">
        <v>584</v>
      </c>
      <c r="F2417" s="52" t="s">
        <v>26</v>
      </c>
      <c r="G2417" s="195" t="s">
        <v>276</v>
      </c>
      <c r="H2417" s="195"/>
      <c r="I2417" s="195">
        <v>0</v>
      </c>
      <c r="J2417" s="195"/>
      <c r="K2417" s="195"/>
      <c r="L2417" s="195"/>
      <c r="M2417" s="195"/>
      <c r="N2417" s="195">
        <v>0</v>
      </c>
    </row>
    <row r="2418" spans="1:14" hidden="1" x14ac:dyDescent="0.35">
      <c r="A2418" s="52" t="s">
        <v>243</v>
      </c>
      <c r="B2418" s="52" t="s">
        <v>245</v>
      </c>
      <c r="C2418" s="52" t="s">
        <v>247</v>
      </c>
      <c r="D2418" s="52" t="s">
        <v>247</v>
      </c>
      <c r="E2418" s="52" t="s">
        <v>584</v>
      </c>
      <c r="F2418" s="52" t="s">
        <v>26</v>
      </c>
      <c r="G2418" s="195" t="s">
        <v>277</v>
      </c>
      <c r="H2418" s="195">
        <v>11.010160000000001</v>
      </c>
      <c r="I2418" s="195">
        <v>4.8545379999999998</v>
      </c>
      <c r="J2418" s="195">
        <v>3.3537710000000001</v>
      </c>
      <c r="K2418" s="195">
        <v>1.7060930000000001</v>
      </c>
      <c r="L2418" s="195">
        <v>1.5939950000000001</v>
      </c>
      <c r="M2418" s="195">
        <v>1.4470229999999999</v>
      </c>
      <c r="N2418" s="195">
        <v>1.3207120000000001</v>
      </c>
    </row>
    <row r="2419" spans="1:14" hidden="1" x14ac:dyDescent="0.35">
      <c r="A2419" s="52" t="s">
        <v>243</v>
      </c>
      <c r="B2419" s="52" t="s">
        <v>245</v>
      </c>
      <c r="C2419" s="52" t="s">
        <v>247</v>
      </c>
      <c r="D2419" s="52" t="s">
        <v>247</v>
      </c>
      <c r="E2419" s="52" t="s">
        <v>584</v>
      </c>
      <c r="F2419" s="52" t="s">
        <v>26</v>
      </c>
      <c r="G2419" s="195" t="s">
        <v>279</v>
      </c>
      <c r="H2419" s="195">
        <v>2.0099529999999999</v>
      </c>
      <c r="I2419" s="195">
        <v>1.776662</v>
      </c>
      <c r="J2419" s="195">
        <v>1.7525200000000001</v>
      </c>
      <c r="K2419" s="195">
        <v>1.7971539999999999</v>
      </c>
      <c r="L2419" s="195">
        <v>0.37386469999999999</v>
      </c>
      <c r="M2419" s="195">
        <v>0.3536395</v>
      </c>
      <c r="N2419" s="195">
        <v>0.33592319999999998</v>
      </c>
    </row>
    <row r="2420" spans="1:14" hidden="1" x14ac:dyDescent="0.35">
      <c r="A2420" s="52" t="s">
        <v>243</v>
      </c>
      <c r="B2420" s="52" t="s">
        <v>245</v>
      </c>
      <c r="C2420" s="52" t="s">
        <v>318</v>
      </c>
      <c r="D2420" s="52" t="s">
        <v>318</v>
      </c>
      <c r="E2420" s="52" t="s">
        <v>584</v>
      </c>
      <c r="F2420" s="52" t="s">
        <v>581</v>
      </c>
      <c r="G2420" s="195" t="s">
        <v>275</v>
      </c>
      <c r="H2420" s="195">
        <v>-8.2328209999999995</v>
      </c>
      <c r="I2420" s="195">
        <v>0</v>
      </c>
      <c r="J2420" s="195"/>
      <c r="K2420" s="195"/>
      <c r="L2420" s="195"/>
      <c r="M2420" s="195"/>
      <c r="N2420" s="195"/>
    </row>
    <row r="2421" spans="1:14" hidden="1" x14ac:dyDescent="0.35">
      <c r="A2421" s="52" t="s">
        <v>243</v>
      </c>
      <c r="B2421" s="52" t="s">
        <v>245</v>
      </c>
      <c r="C2421" s="52" t="s">
        <v>318</v>
      </c>
      <c r="D2421" s="52" t="s">
        <v>318</v>
      </c>
      <c r="E2421" s="52" t="s">
        <v>584</v>
      </c>
      <c r="F2421" s="52" t="s">
        <v>581</v>
      </c>
      <c r="G2421" s="195" t="s">
        <v>278</v>
      </c>
      <c r="H2421" s="195">
        <v>8.2328209999999995</v>
      </c>
      <c r="I2421" s="195">
        <v>0</v>
      </c>
      <c r="J2421" s="195"/>
      <c r="K2421" s="195"/>
      <c r="L2421" s="195"/>
      <c r="M2421" s="195"/>
      <c r="N2421" s="195"/>
    </row>
    <row r="2422" spans="1:14" hidden="1" x14ac:dyDescent="0.35">
      <c r="A2422" s="52" t="s">
        <v>243</v>
      </c>
      <c r="B2422" s="52" t="s">
        <v>245</v>
      </c>
      <c r="C2422" s="52" t="s">
        <v>318</v>
      </c>
      <c r="D2422" s="52" t="s">
        <v>318</v>
      </c>
      <c r="E2422" s="52" t="s">
        <v>584</v>
      </c>
      <c r="F2422" s="52" t="s">
        <v>26</v>
      </c>
      <c r="G2422" s="195" t="s">
        <v>275</v>
      </c>
      <c r="H2422" s="195">
        <v>-5.4885479999999998</v>
      </c>
      <c r="I2422" s="195">
        <v>0</v>
      </c>
      <c r="J2422" s="195"/>
      <c r="K2422" s="195"/>
      <c r="L2422" s="195"/>
      <c r="M2422" s="195"/>
      <c r="N2422" s="195"/>
    </row>
    <row r="2423" spans="1:14" hidden="1" x14ac:dyDescent="0.35">
      <c r="A2423" s="52" t="s">
        <v>243</v>
      </c>
      <c r="B2423" s="52" t="s">
        <v>245</v>
      </c>
      <c r="C2423" s="52" t="s">
        <v>318</v>
      </c>
      <c r="D2423" s="52" t="s">
        <v>318</v>
      </c>
      <c r="E2423" s="52" t="s">
        <v>584</v>
      </c>
      <c r="F2423" s="52" t="s">
        <v>26</v>
      </c>
      <c r="G2423" s="195" t="s">
        <v>278</v>
      </c>
      <c r="H2423" s="195">
        <v>5.4885479999999998</v>
      </c>
      <c r="I2423" s="195">
        <v>0</v>
      </c>
      <c r="J2423" s="195"/>
      <c r="K2423" s="195"/>
      <c r="L2423" s="195"/>
      <c r="M2423" s="195"/>
      <c r="N2423" s="195"/>
    </row>
    <row r="2424" spans="1:14" hidden="1" x14ac:dyDescent="0.35">
      <c r="A2424" s="52" t="s">
        <v>243</v>
      </c>
      <c r="B2424" s="52" t="s">
        <v>43</v>
      </c>
      <c r="C2424" s="52" t="s">
        <v>229</v>
      </c>
      <c r="D2424" s="52" t="s">
        <v>229</v>
      </c>
      <c r="E2424" s="52" t="s">
        <v>584</v>
      </c>
      <c r="F2424" s="52" t="s">
        <v>581</v>
      </c>
      <c r="G2424" s="195" t="s">
        <v>275</v>
      </c>
      <c r="H2424" s="195">
        <v>113.84010000000001</v>
      </c>
      <c r="I2424" s="195">
        <v>-50.799039999999998</v>
      </c>
      <c r="J2424" s="195">
        <v>-51.638289999999998</v>
      </c>
      <c r="K2424" s="195">
        <v>-1.037274</v>
      </c>
      <c r="L2424" s="195">
        <v>1.611586</v>
      </c>
      <c r="M2424" s="195">
        <v>-15.15601</v>
      </c>
      <c r="N2424" s="195">
        <v>-20.904060000000001</v>
      </c>
    </row>
    <row r="2425" spans="1:14" hidden="1" x14ac:dyDescent="0.35">
      <c r="A2425" s="52" t="s">
        <v>243</v>
      </c>
      <c r="B2425" s="52" t="s">
        <v>43</v>
      </c>
      <c r="C2425" s="52" t="s">
        <v>229</v>
      </c>
      <c r="D2425" s="52" t="s">
        <v>229</v>
      </c>
      <c r="E2425" s="52" t="s">
        <v>584</v>
      </c>
      <c r="F2425" s="52" t="s">
        <v>581</v>
      </c>
      <c r="G2425" s="195" t="s">
        <v>276</v>
      </c>
      <c r="H2425" s="195">
        <v>15.72312</v>
      </c>
      <c r="I2425" s="195">
        <v>6.7711649999999999</v>
      </c>
      <c r="J2425" s="195">
        <v>7.2601279999999999</v>
      </c>
      <c r="K2425" s="195">
        <v>9.336544</v>
      </c>
      <c r="L2425" s="195">
        <v>5.7187190000000001</v>
      </c>
      <c r="M2425" s="195">
        <v>5.9324659999999998</v>
      </c>
      <c r="N2425" s="195">
        <v>4.9809419999999998</v>
      </c>
    </row>
    <row r="2426" spans="1:14" hidden="1" x14ac:dyDescent="0.35">
      <c r="A2426" s="52" t="s">
        <v>243</v>
      </c>
      <c r="B2426" s="52" t="s">
        <v>43</v>
      </c>
      <c r="C2426" s="52" t="s">
        <v>229</v>
      </c>
      <c r="D2426" s="52" t="s">
        <v>229</v>
      </c>
      <c r="E2426" s="52" t="s">
        <v>584</v>
      </c>
      <c r="F2426" s="52" t="s">
        <v>581</v>
      </c>
      <c r="G2426" s="195" t="s">
        <v>277</v>
      </c>
      <c r="H2426" s="195">
        <v>26.158249999999999</v>
      </c>
      <c r="I2426" s="195">
        <v>62.145919999999997</v>
      </c>
      <c r="J2426" s="195">
        <v>56.091900000000003</v>
      </c>
      <c r="K2426" s="195">
        <v>2.545029</v>
      </c>
      <c r="L2426" s="195">
        <v>1.480799</v>
      </c>
      <c r="M2426" s="195">
        <v>4.4087110000000003</v>
      </c>
      <c r="N2426" s="195">
        <v>4.6064179999999997</v>
      </c>
    </row>
    <row r="2427" spans="1:14" hidden="1" x14ac:dyDescent="0.35">
      <c r="A2427" s="52" t="s">
        <v>243</v>
      </c>
      <c r="B2427" s="52" t="s">
        <v>43</v>
      </c>
      <c r="C2427" s="52" t="s">
        <v>229</v>
      </c>
      <c r="D2427" s="52" t="s">
        <v>229</v>
      </c>
      <c r="E2427" s="52" t="s">
        <v>584</v>
      </c>
      <c r="F2427" s="52" t="s">
        <v>581</v>
      </c>
      <c r="G2427" s="195" t="s">
        <v>278</v>
      </c>
      <c r="H2427" s="195">
        <v>0.275393</v>
      </c>
      <c r="I2427" s="195">
        <v>0.275393</v>
      </c>
      <c r="J2427" s="195">
        <v>0.1137213</v>
      </c>
      <c r="K2427" s="195">
        <v>0.1137213</v>
      </c>
      <c r="L2427" s="195">
        <v>0.1137213</v>
      </c>
      <c r="M2427" s="195">
        <v>0.1137213</v>
      </c>
      <c r="N2427" s="195">
        <v>0.1137213</v>
      </c>
    </row>
    <row r="2428" spans="1:14" hidden="1" x14ac:dyDescent="0.35">
      <c r="A2428" s="52" t="s">
        <v>243</v>
      </c>
      <c r="B2428" s="52" t="s">
        <v>43</v>
      </c>
      <c r="C2428" s="52" t="s">
        <v>229</v>
      </c>
      <c r="D2428" s="52" t="s">
        <v>229</v>
      </c>
      <c r="E2428" s="52" t="s">
        <v>584</v>
      </c>
      <c r="F2428" s="52" t="s">
        <v>581</v>
      </c>
      <c r="G2428" s="195" t="s">
        <v>279</v>
      </c>
      <c r="H2428" s="195">
        <v>36.382489999999997</v>
      </c>
      <c r="I2428" s="195">
        <v>52.800849999999997</v>
      </c>
      <c r="J2428" s="195">
        <v>54.67136</v>
      </c>
      <c r="K2428" s="195">
        <v>59.345289999999999</v>
      </c>
      <c r="L2428" s="195">
        <v>58.847810000000003</v>
      </c>
      <c r="M2428" s="195">
        <v>53.403210000000001</v>
      </c>
      <c r="N2428" s="195">
        <v>54.013019999999997</v>
      </c>
    </row>
    <row r="2429" spans="1:14" hidden="1" x14ac:dyDescent="0.35">
      <c r="A2429" s="52" t="s">
        <v>243</v>
      </c>
      <c r="B2429" s="52" t="s">
        <v>43</v>
      </c>
      <c r="C2429" s="52" t="s">
        <v>229</v>
      </c>
      <c r="D2429" s="52" t="s">
        <v>229</v>
      </c>
      <c r="E2429" s="52" t="s">
        <v>584</v>
      </c>
      <c r="F2429" s="52" t="s">
        <v>26</v>
      </c>
      <c r="G2429" s="195" t="s">
        <v>275</v>
      </c>
      <c r="H2429" s="195">
        <v>-20.826239999999999</v>
      </c>
      <c r="I2429" s="195">
        <v>-86.987170000000006</v>
      </c>
      <c r="J2429" s="195">
        <v>-23.236160000000002</v>
      </c>
      <c r="K2429" s="195">
        <v>33.216880000000003</v>
      </c>
      <c r="L2429" s="195">
        <v>43.110759999999999</v>
      </c>
      <c r="M2429" s="195">
        <v>32.166229999999999</v>
      </c>
      <c r="N2429" s="195">
        <v>25.044889999999999</v>
      </c>
    </row>
    <row r="2430" spans="1:14" hidden="1" x14ac:dyDescent="0.35">
      <c r="A2430" s="52" t="s">
        <v>243</v>
      </c>
      <c r="B2430" s="52" t="s">
        <v>43</v>
      </c>
      <c r="C2430" s="52" t="s">
        <v>229</v>
      </c>
      <c r="D2430" s="52" t="s">
        <v>229</v>
      </c>
      <c r="E2430" s="52" t="s">
        <v>584</v>
      </c>
      <c r="F2430" s="52" t="s">
        <v>26</v>
      </c>
      <c r="G2430" s="195" t="s">
        <v>276</v>
      </c>
      <c r="H2430" s="195"/>
      <c r="I2430" s="195">
        <v>0</v>
      </c>
      <c r="J2430" s="195">
        <v>0.42817329999999998</v>
      </c>
      <c r="K2430" s="195">
        <v>1.933802</v>
      </c>
      <c r="L2430" s="195">
        <v>13.011430000000001</v>
      </c>
      <c r="M2430" s="195">
        <v>14.914709999999999</v>
      </c>
      <c r="N2430" s="195">
        <v>10.64138</v>
      </c>
    </row>
    <row r="2431" spans="1:14" hidden="1" x14ac:dyDescent="0.35">
      <c r="A2431" s="52" t="s">
        <v>243</v>
      </c>
      <c r="B2431" s="52" t="s">
        <v>43</v>
      </c>
      <c r="C2431" s="52" t="s">
        <v>229</v>
      </c>
      <c r="D2431" s="52" t="s">
        <v>229</v>
      </c>
      <c r="E2431" s="52" t="s">
        <v>584</v>
      </c>
      <c r="F2431" s="52" t="s">
        <v>26</v>
      </c>
      <c r="G2431" s="195" t="s">
        <v>277</v>
      </c>
      <c r="H2431" s="195">
        <v>19.875170000000001</v>
      </c>
      <c r="I2431" s="195">
        <v>86.125720000000001</v>
      </c>
      <c r="J2431" s="195">
        <v>26.500229999999998</v>
      </c>
      <c r="K2431" s="195">
        <v>1.9005879999999999</v>
      </c>
      <c r="L2431" s="195">
        <v>2.9846710000000001</v>
      </c>
      <c r="M2431" s="195">
        <v>4.4282579999999996</v>
      </c>
      <c r="N2431" s="195">
        <v>4.2466720000000002</v>
      </c>
    </row>
    <row r="2432" spans="1:14" hidden="1" x14ac:dyDescent="0.35">
      <c r="A2432" s="52" t="s">
        <v>243</v>
      </c>
      <c r="B2432" s="52" t="s">
        <v>43</v>
      </c>
      <c r="C2432" s="52" t="s">
        <v>229</v>
      </c>
      <c r="D2432" s="52" t="s">
        <v>229</v>
      </c>
      <c r="E2432" s="52" t="s">
        <v>584</v>
      </c>
      <c r="F2432" s="52" t="s">
        <v>26</v>
      </c>
      <c r="G2432" s="195" t="s">
        <v>278</v>
      </c>
      <c r="H2432" s="195">
        <v>8.9638720000000005E-2</v>
      </c>
      <c r="I2432" s="195">
        <v>0</v>
      </c>
      <c r="J2432" s="195"/>
      <c r="K2432" s="195"/>
      <c r="L2432" s="195"/>
      <c r="M2432" s="195"/>
      <c r="N2432" s="195"/>
    </row>
    <row r="2433" spans="1:14" hidden="1" x14ac:dyDescent="0.35">
      <c r="A2433" s="52" t="s">
        <v>243</v>
      </c>
      <c r="B2433" s="52" t="s">
        <v>43</v>
      </c>
      <c r="C2433" s="52" t="s">
        <v>229</v>
      </c>
      <c r="D2433" s="52" t="s">
        <v>229</v>
      </c>
      <c r="E2433" s="52" t="s">
        <v>584</v>
      </c>
      <c r="F2433" s="52" t="s">
        <v>26</v>
      </c>
      <c r="G2433" s="195" t="s">
        <v>279</v>
      </c>
      <c r="H2433" s="195">
        <v>0.86143760000000003</v>
      </c>
      <c r="I2433" s="195">
        <v>0.86143760000000003</v>
      </c>
      <c r="J2433" s="195">
        <v>9.7447459999999992</v>
      </c>
      <c r="K2433" s="195">
        <v>23.626729999999998</v>
      </c>
      <c r="L2433" s="195">
        <v>32.970840000000003</v>
      </c>
      <c r="M2433" s="195">
        <v>36.893270000000001</v>
      </c>
      <c r="N2433" s="195">
        <v>31.958490000000001</v>
      </c>
    </row>
    <row r="2434" spans="1:14" hidden="1" x14ac:dyDescent="0.35">
      <c r="A2434" s="52" t="s">
        <v>243</v>
      </c>
      <c r="B2434" s="52" t="s">
        <v>43</v>
      </c>
      <c r="C2434" s="52" t="s">
        <v>42</v>
      </c>
      <c r="D2434" s="52" t="s">
        <v>42</v>
      </c>
      <c r="E2434" s="52" t="s">
        <v>584</v>
      </c>
      <c r="F2434" s="52" t="s">
        <v>581</v>
      </c>
      <c r="G2434" s="195" t="s">
        <v>275</v>
      </c>
      <c r="H2434" s="195">
        <v>144.74940000000001</v>
      </c>
      <c r="I2434" s="195">
        <v>34.444000000000003</v>
      </c>
      <c r="J2434" s="195">
        <v>26.362680000000001</v>
      </c>
      <c r="K2434" s="195">
        <v>21.79899</v>
      </c>
      <c r="L2434" s="195">
        <v>19.699310000000001</v>
      </c>
      <c r="M2434" s="195">
        <v>20.43328</v>
      </c>
      <c r="N2434" s="195">
        <v>17.337440000000001</v>
      </c>
    </row>
    <row r="2435" spans="1:14" hidden="1" x14ac:dyDescent="0.35">
      <c r="A2435" s="52" t="s">
        <v>243</v>
      </c>
      <c r="B2435" s="52" t="s">
        <v>43</v>
      </c>
      <c r="C2435" s="52" t="s">
        <v>42</v>
      </c>
      <c r="D2435" s="52" t="s">
        <v>42</v>
      </c>
      <c r="E2435" s="52" t="s">
        <v>584</v>
      </c>
      <c r="F2435" s="52" t="s">
        <v>581</v>
      </c>
      <c r="G2435" s="195" t="s">
        <v>276</v>
      </c>
      <c r="H2435" s="195">
        <v>62.534790000000001</v>
      </c>
      <c r="I2435" s="195">
        <v>21.549040000000002</v>
      </c>
      <c r="J2435" s="195">
        <v>22.368790000000001</v>
      </c>
      <c r="K2435" s="195">
        <v>22.717610000000001</v>
      </c>
      <c r="L2435" s="195">
        <v>21.41638</v>
      </c>
      <c r="M2435" s="195">
        <v>20.277529999999999</v>
      </c>
      <c r="N2435" s="195">
        <v>19.327100000000002</v>
      </c>
    </row>
    <row r="2436" spans="1:14" hidden="1" x14ac:dyDescent="0.35">
      <c r="A2436" s="52" t="s">
        <v>243</v>
      </c>
      <c r="B2436" s="52" t="s">
        <v>43</v>
      </c>
      <c r="C2436" s="52" t="s">
        <v>42</v>
      </c>
      <c r="D2436" s="52" t="s">
        <v>42</v>
      </c>
      <c r="E2436" s="52" t="s">
        <v>584</v>
      </c>
      <c r="F2436" s="52" t="s">
        <v>581</v>
      </c>
      <c r="G2436" s="195" t="s">
        <v>277</v>
      </c>
      <c r="H2436" s="195">
        <v>0.51200000000000001</v>
      </c>
      <c r="I2436" s="195">
        <v>3.8308749999999998</v>
      </c>
      <c r="J2436" s="195">
        <v>3.5820240000000001</v>
      </c>
      <c r="K2436" s="195">
        <v>3.8764530000000001</v>
      </c>
      <c r="L2436" s="195">
        <v>4.2641540000000004</v>
      </c>
      <c r="M2436" s="195">
        <v>2.0156770000000002</v>
      </c>
      <c r="N2436" s="195">
        <v>4.4154470000000003</v>
      </c>
    </row>
    <row r="2437" spans="1:14" hidden="1" x14ac:dyDescent="0.35">
      <c r="A2437" s="52" t="s">
        <v>243</v>
      </c>
      <c r="B2437" s="52" t="s">
        <v>43</v>
      </c>
      <c r="C2437" s="52" t="s">
        <v>42</v>
      </c>
      <c r="D2437" s="52" t="s">
        <v>42</v>
      </c>
      <c r="E2437" s="52" t="s">
        <v>584</v>
      </c>
      <c r="F2437" s="52" t="s">
        <v>581</v>
      </c>
      <c r="G2437" s="195" t="s">
        <v>278</v>
      </c>
      <c r="H2437" s="195">
        <v>5.1867320000000001E-2</v>
      </c>
      <c r="I2437" s="195">
        <v>4.3587319999999999E-2</v>
      </c>
      <c r="J2437" s="195">
        <v>0</v>
      </c>
      <c r="K2437" s="195">
        <v>0</v>
      </c>
      <c r="L2437" s="195">
        <v>0</v>
      </c>
      <c r="M2437" s="195">
        <v>0</v>
      </c>
      <c r="N2437" s="195">
        <v>0</v>
      </c>
    </row>
    <row r="2438" spans="1:14" hidden="1" x14ac:dyDescent="0.35">
      <c r="A2438" s="52" t="s">
        <v>243</v>
      </c>
      <c r="B2438" s="52" t="s">
        <v>43</v>
      </c>
      <c r="C2438" s="52" t="s">
        <v>42</v>
      </c>
      <c r="D2438" s="52" t="s">
        <v>42</v>
      </c>
      <c r="E2438" s="52" t="s">
        <v>584</v>
      </c>
      <c r="F2438" s="52" t="s">
        <v>581</v>
      </c>
      <c r="G2438" s="195" t="s">
        <v>279</v>
      </c>
      <c r="H2438" s="195">
        <v>30.009830000000001</v>
      </c>
      <c r="I2438" s="195">
        <v>24.299520000000001</v>
      </c>
      <c r="J2438" s="195">
        <v>25.96452</v>
      </c>
      <c r="K2438" s="195">
        <v>26.787269999999999</v>
      </c>
      <c r="L2438" s="195">
        <v>25.508929999999999</v>
      </c>
      <c r="M2438" s="195">
        <v>24.410270000000001</v>
      </c>
      <c r="N2438" s="195">
        <v>23.52553</v>
      </c>
    </row>
    <row r="2439" spans="1:14" hidden="1" x14ac:dyDescent="0.35">
      <c r="A2439" s="52" t="s">
        <v>243</v>
      </c>
      <c r="B2439" s="52" t="s">
        <v>43</v>
      </c>
      <c r="C2439" s="52" t="s">
        <v>42</v>
      </c>
      <c r="D2439" s="52" t="s">
        <v>42</v>
      </c>
      <c r="E2439" s="52" t="s">
        <v>584</v>
      </c>
      <c r="F2439" s="52" t="s">
        <v>26</v>
      </c>
      <c r="G2439" s="195" t="s">
        <v>275</v>
      </c>
      <c r="H2439" s="195">
        <v>-31.727519999999998</v>
      </c>
      <c r="I2439" s="195">
        <v>-23.800930000000001</v>
      </c>
      <c r="J2439" s="195">
        <v>-25.65053</v>
      </c>
      <c r="K2439" s="195">
        <v>-26.89481</v>
      </c>
      <c r="L2439" s="195">
        <v>-25.32527</v>
      </c>
      <c r="M2439" s="195">
        <v>-23.961400000000001</v>
      </c>
      <c r="N2439" s="195">
        <v>-22.726610000000001</v>
      </c>
    </row>
    <row r="2440" spans="1:14" hidden="1" x14ac:dyDescent="0.35">
      <c r="A2440" s="52" t="s">
        <v>243</v>
      </c>
      <c r="B2440" s="52" t="s">
        <v>43</v>
      </c>
      <c r="C2440" s="52" t="s">
        <v>42</v>
      </c>
      <c r="D2440" s="52" t="s">
        <v>42</v>
      </c>
      <c r="E2440" s="52" t="s">
        <v>584</v>
      </c>
      <c r="F2440" s="52" t="s">
        <v>26</v>
      </c>
      <c r="G2440" s="195" t="s">
        <v>276</v>
      </c>
      <c r="H2440" s="195">
        <v>-17.042300000000001</v>
      </c>
      <c r="I2440" s="195">
        <v>-12.54331</v>
      </c>
      <c r="J2440" s="195">
        <v>-13.8201</v>
      </c>
      <c r="K2440" s="195">
        <v>-14.4901</v>
      </c>
      <c r="L2440" s="195">
        <v>-13.644970000000001</v>
      </c>
      <c r="M2440" s="195">
        <v>-12.91057</v>
      </c>
      <c r="N2440" s="195">
        <v>-12.24568</v>
      </c>
    </row>
    <row r="2441" spans="1:14" hidden="1" x14ac:dyDescent="0.35">
      <c r="A2441" s="52" t="s">
        <v>243</v>
      </c>
      <c r="B2441" s="52" t="s">
        <v>43</v>
      </c>
      <c r="C2441" s="52" t="s">
        <v>42</v>
      </c>
      <c r="D2441" s="52" t="s">
        <v>42</v>
      </c>
      <c r="E2441" s="52" t="s">
        <v>584</v>
      </c>
      <c r="F2441" s="52" t="s">
        <v>26</v>
      </c>
      <c r="G2441" s="195" t="s">
        <v>277</v>
      </c>
      <c r="H2441" s="195">
        <v>0</v>
      </c>
      <c r="I2441" s="195">
        <v>0.22595519999999999</v>
      </c>
      <c r="J2441" s="195">
        <v>0</v>
      </c>
      <c r="K2441" s="195">
        <v>0</v>
      </c>
      <c r="L2441" s="195">
        <v>0</v>
      </c>
      <c r="M2441" s="195">
        <v>0</v>
      </c>
      <c r="N2441" s="195">
        <v>0</v>
      </c>
    </row>
    <row r="2442" spans="1:14" hidden="1" x14ac:dyDescent="0.35">
      <c r="A2442" s="52" t="s">
        <v>243</v>
      </c>
      <c r="B2442" s="52" t="s">
        <v>43</v>
      </c>
      <c r="C2442" s="52" t="s">
        <v>42</v>
      </c>
      <c r="D2442" s="52" t="s">
        <v>42</v>
      </c>
      <c r="E2442" s="52" t="s">
        <v>584</v>
      </c>
      <c r="F2442" s="52" t="s">
        <v>26</v>
      </c>
      <c r="G2442" s="195" t="s">
        <v>278</v>
      </c>
      <c r="H2442" s="195">
        <v>7.7541799999999994E-2</v>
      </c>
      <c r="I2442" s="195">
        <v>8.5821809999999998E-2</v>
      </c>
      <c r="J2442" s="195">
        <v>8.2799999999999992E-3</v>
      </c>
      <c r="K2442" s="195">
        <v>8.2799999999999992E-3</v>
      </c>
      <c r="L2442" s="195">
        <v>8.2799999999999992E-3</v>
      </c>
      <c r="M2442" s="195">
        <v>8.2799999999999992E-3</v>
      </c>
      <c r="N2442" s="195">
        <v>8.2799999999999992E-3</v>
      </c>
    </row>
    <row r="2443" spans="1:14" hidden="1" x14ac:dyDescent="0.35">
      <c r="A2443" s="52" t="s">
        <v>243</v>
      </c>
      <c r="B2443" s="52" t="s">
        <v>43</v>
      </c>
      <c r="C2443" s="52" t="s">
        <v>42</v>
      </c>
      <c r="D2443" s="52" t="s">
        <v>42</v>
      </c>
      <c r="E2443" s="52" t="s">
        <v>584</v>
      </c>
      <c r="F2443" s="52" t="s">
        <v>26</v>
      </c>
      <c r="G2443" s="195" t="s">
        <v>279</v>
      </c>
      <c r="H2443" s="195">
        <v>64.727500000000006</v>
      </c>
      <c r="I2443" s="195">
        <v>50.673589999999997</v>
      </c>
      <c r="J2443" s="195">
        <v>55.263739999999999</v>
      </c>
      <c r="K2443" s="195">
        <v>56.561109999999999</v>
      </c>
      <c r="L2443" s="195">
        <v>53.283239999999999</v>
      </c>
      <c r="M2443" s="195">
        <v>50.433579999999999</v>
      </c>
      <c r="N2443" s="195">
        <v>47.853839999999998</v>
      </c>
    </row>
    <row r="2444" spans="1:14" hidden="1" x14ac:dyDescent="0.35">
      <c r="A2444" s="52" t="s">
        <v>243</v>
      </c>
      <c r="B2444" s="52" t="s">
        <v>43</v>
      </c>
      <c r="C2444" s="52" t="s">
        <v>318</v>
      </c>
      <c r="D2444" s="52" t="s">
        <v>318</v>
      </c>
      <c r="E2444" s="52" t="s">
        <v>584</v>
      </c>
      <c r="F2444" s="52" t="s">
        <v>581</v>
      </c>
      <c r="G2444" s="195" t="s">
        <v>275</v>
      </c>
      <c r="H2444" s="195">
        <v>-9.2728870000000008</v>
      </c>
      <c r="I2444" s="195">
        <v>0</v>
      </c>
      <c r="J2444" s="195"/>
      <c r="K2444" s="195"/>
      <c r="L2444" s="195"/>
      <c r="M2444" s="195"/>
      <c r="N2444" s="195"/>
    </row>
    <row r="2445" spans="1:14" hidden="1" x14ac:dyDescent="0.35">
      <c r="A2445" s="52" t="s">
        <v>243</v>
      </c>
      <c r="B2445" s="52" t="s">
        <v>43</v>
      </c>
      <c r="C2445" s="52" t="s">
        <v>318</v>
      </c>
      <c r="D2445" s="52" t="s">
        <v>318</v>
      </c>
      <c r="E2445" s="52" t="s">
        <v>584</v>
      </c>
      <c r="F2445" s="52" t="s">
        <v>581</v>
      </c>
      <c r="G2445" s="195" t="s">
        <v>278</v>
      </c>
      <c r="H2445" s="195">
        <v>9.2728870000000008</v>
      </c>
      <c r="I2445" s="195">
        <v>0</v>
      </c>
      <c r="J2445" s="195"/>
      <c r="K2445" s="195"/>
      <c r="L2445" s="195"/>
      <c r="M2445" s="195"/>
      <c r="N2445" s="195"/>
    </row>
    <row r="2446" spans="1:14" hidden="1" x14ac:dyDescent="0.35">
      <c r="A2446" s="52" t="s">
        <v>243</v>
      </c>
      <c r="B2446" s="52" t="s">
        <v>43</v>
      </c>
      <c r="C2446" s="52" t="s">
        <v>318</v>
      </c>
      <c r="D2446" s="52" t="s">
        <v>318</v>
      </c>
      <c r="E2446" s="52" t="s">
        <v>584</v>
      </c>
      <c r="F2446" s="52" t="s">
        <v>26</v>
      </c>
      <c r="G2446" s="195" t="s">
        <v>275</v>
      </c>
      <c r="H2446" s="195">
        <v>-6.1819249999999997</v>
      </c>
      <c r="I2446" s="195">
        <v>0</v>
      </c>
      <c r="J2446" s="195"/>
      <c r="K2446" s="195"/>
      <c r="L2446" s="195"/>
      <c r="M2446" s="195"/>
      <c r="N2446" s="195"/>
    </row>
    <row r="2447" spans="1:14" hidden="1" x14ac:dyDescent="0.35">
      <c r="A2447" s="52" t="s">
        <v>243</v>
      </c>
      <c r="B2447" s="52" t="s">
        <v>43</v>
      </c>
      <c r="C2447" s="52" t="s">
        <v>318</v>
      </c>
      <c r="D2447" s="52" t="s">
        <v>318</v>
      </c>
      <c r="E2447" s="52" t="s">
        <v>584</v>
      </c>
      <c r="F2447" s="52" t="s">
        <v>26</v>
      </c>
      <c r="G2447" s="195" t="s">
        <v>278</v>
      </c>
      <c r="H2447" s="195">
        <v>6.1819249999999997</v>
      </c>
      <c r="I2447" s="195">
        <v>0</v>
      </c>
      <c r="J2447" s="195"/>
      <c r="K2447" s="195"/>
      <c r="L2447" s="195"/>
      <c r="M2447" s="195"/>
      <c r="N2447" s="195"/>
    </row>
    <row r="2448" spans="1:14" hidden="1" x14ac:dyDescent="0.35">
      <c r="A2448" s="52" t="s">
        <v>243</v>
      </c>
      <c r="B2448" s="52" t="s">
        <v>388</v>
      </c>
      <c r="C2448" s="52" t="s">
        <v>229</v>
      </c>
      <c r="D2448" s="52" t="s">
        <v>229</v>
      </c>
      <c r="E2448" s="52" t="s">
        <v>584</v>
      </c>
      <c r="F2448" s="52" t="s">
        <v>581</v>
      </c>
      <c r="G2448" s="195" t="s">
        <v>275</v>
      </c>
      <c r="H2448" s="195">
        <v>-6.2825989999999998E-2</v>
      </c>
      <c r="I2448" s="195">
        <v>-6.2826000000000007E-2</v>
      </c>
      <c r="J2448" s="195">
        <v>3.5709999999999999E-2</v>
      </c>
      <c r="K2448" s="195">
        <v>2.3806999999999998E-2</v>
      </c>
      <c r="L2448" s="195">
        <v>1.1903E-2</v>
      </c>
      <c r="M2448" s="195">
        <v>0</v>
      </c>
      <c r="N2448" s="195">
        <v>0</v>
      </c>
    </row>
    <row r="2449" spans="1:14" hidden="1" x14ac:dyDescent="0.35">
      <c r="A2449" s="52" t="s">
        <v>243</v>
      </c>
      <c r="B2449" s="52" t="s">
        <v>388</v>
      </c>
      <c r="C2449" s="52" t="s">
        <v>229</v>
      </c>
      <c r="D2449" s="52" t="s">
        <v>229</v>
      </c>
      <c r="E2449" s="52" t="s">
        <v>584</v>
      </c>
      <c r="F2449" s="52" t="s">
        <v>581</v>
      </c>
      <c r="G2449" s="195" t="s">
        <v>276</v>
      </c>
      <c r="H2449" s="195">
        <v>-5.9517E-2</v>
      </c>
      <c r="I2449" s="195">
        <v>-5.9517E-2</v>
      </c>
      <c r="J2449" s="195">
        <v>0</v>
      </c>
      <c r="K2449" s="195">
        <v>0</v>
      </c>
      <c r="L2449" s="195">
        <v>0</v>
      </c>
      <c r="M2449" s="195">
        <v>0</v>
      </c>
      <c r="N2449" s="195">
        <v>0</v>
      </c>
    </row>
    <row r="2450" spans="1:14" hidden="1" x14ac:dyDescent="0.35">
      <c r="A2450" s="52" t="s">
        <v>243</v>
      </c>
      <c r="B2450" s="52" t="s">
        <v>388</v>
      </c>
      <c r="C2450" s="52" t="s">
        <v>229</v>
      </c>
      <c r="D2450" s="52" t="s">
        <v>229</v>
      </c>
      <c r="E2450" s="52" t="s">
        <v>584</v>
      </c>
      <c r="F2450" s="52" t="s">
        <v>581</v>
      </c>
      <c r="G2450" s="195" t="s">
        <v>277</v>
      </c>
      <c r="H2450" s="195"/>
      <c r="I2450" s="195"/>
      <c r="J2450" s="195"/>
      <c r="K2450" s="195">
        <v>0</v>
      </c>
      <c r="L2450" s="195">
        <v>0</v>
      </c>
      <c r="M2450" s="195">
        <v>0</v>
      </c>
      <c r="N2450" s="195">
        <v>0</v>
      </c>
    </row>
    <row r="2451" spans="1:14" hidden="1" x14ac:dyDescent="0.35">
      <c r="A2451" s="52" t="s">
        <v>243</v>
      </c>
      <c r="B2451" s="52" t="s">
        <v>388</v>
      </c>
      <c r="C2451" s="52" t="s">
        <v>229</v>
      </c>
      <c r="D2451" s="52" t="s">
        <v>229</v>
      </c>
      <c r="E2451" s="52" t="s">
        <v>584</v>
      </c>
      <c r="F2451" s="52" t="s">
        <v>581</v>
      </c>
      <c r="G2451" s="195" t="s">
        <v>278</v>
      </c>
      <c r="H2451" s="195">
        <v>0.12234299999999999</v>
      </c>
      <c r="I2451" s="195">
        <v>0.12234299999999999</v>
      </c>
      <c r="J2451" s="195">
        <v>0</v>
      </c>
      <c r="K2451" s="195">
        <v>0</v>
      </c>
      <c r="L2451" s="195">
        <v>0</v>
      </c>
      <c r="M2451" s="195">
        <v>0</v>
      </c>
      <c r="N2451" s="195">
        <v>0</v>
      </c>
    </row>
    <row r="2452" spans="1:14" hidden="1" x14ac:dyDescent="0.35">
      <c r="A2452" s="52" t="s">
        <v>243</v>
      </c>
      <c r="B2452" s="52" t="s">
        <v>388</v>
      </c>
      <c r="C2452" s="52" t="s">
        <v>229</v>
      </c>
      <c r="D2452" s="52" t="s">
        <v>229</v>
      </c>
      <c r="E2452" s="52" t="s">
        <v>584</v>
      </c>
      <c r="F2452" s="52" t="s">
        <v>581</v>
      </c>
      <c r="G2452" s="195" t="s">
        <v>279</v>
      </c>
      <c r="H2452" s="195"/>
      <c r="I2452" s="195"/>
      <c r="J2452" s="195"/>
      <c r="K2452" s="195">
        <v>0</v>
      </c>
      <c r="L2452" s="195">
        <v>0</v>
      </c>
      <c r="M2452" s="195">
        <v>0</v>
      </c>
      <c r="N2452" s="195">
        <v>0</v>
      </c>
    </row>
    <row r="2453" spans="1:14" hidden="1" x14ac:dyDescent="0.35">
      <c r="A2453" s="52" t="s">
        <v>243</v>
      </c>
      <c r="B2453" s="52" t="s">
        <v>388</v>
      </c>
      <c r="C2453" s="52" t="s">
        <v>229</v>
      </c>
      <c r="D2453" s="52" t="s">
        <v>229</v>
      </c>
      <c r="E2453" s="52" t="s">
        <v>584</v>
      </c>
      <c r="F2453" s="52" t="s">
        <v>26</v>
      </c>
      <c r="G2453" s="195" t="s">
        <v>275</v>
      </c>
      <c r="H2453" s="195">
        <v>-8.3768990000000002E-2</v>
      </c>
      <c r="I2453" s="195">
        <v>-8.3768980000000007E-2</v>
      </c>
      <c r="J2453" s="195">
        <v>4.7612990000000001E-2</v>
      </c>
      <c r="K2453" s="195">
        <v>3.1741999999999999E-2</v>
      </c>
      <c r="L2453" s="195">
        <v>1.5871E-2</v>
      </c>
      <c r="M2453" s="195">
        <v>0</v>
      </c>
      <c r="N2453" s="195">
        <v>0</v>
      </c>
    </row>
    <row r="2454" spans="1:14" hidden="1" x14ac:dyDescent="0.35">
      <c r="A2454" s="52" t="s">
        <v>243</v>
      </c>
      <c r="B2454" s="52" t="s">
        <v>388</v>
      </c>
      <c r="C2454" s="52" t="s">
        <v>229</v>
      </c>
      <c r="D2454" s="52" t="s">
        <v>229</v>
      </c>
      <c r="E2454" s="52" t="s">
        <v>584</v>
      </c>
      <c r="F2454" s="52" t="s">
        <v>26</v>
      </c>
      <c r="G2454" s="195" t="s">
        <v>276</v>
      </c>
      <c r="H2454" s="195">
        <v>-7.9355010000000004E-2</v>
      </c>
      <c r="I2454" s="195">
        <v>-7.9355999999999996E-2</v>
      </c>
      <c r="J2454" s="195">
        <v>0</v>
      </c>
      <c r="K2454" s="195">
        <v>0</v>
      </c>
      <c r="L2454" s="195">
        <v>0</v>
      </c>
      <c r="M2454" s="195">
        <v>0</v>
      </c>
      <c r="N2454" s="195">
        <v>0</v>
      </c>
    </row>
    <row r="2455" spans="1:14" hidden="1" x14ac:dyDescent="0.35">
      <c r="A2455" s="52" t="s">
        <v>243</v>
      </c>
      <c r="B2455" s="52" t="s">
        <v>388</v>
      </c>
      <c r="C2455" s="52" t="s">
        <v>229</v>
      </c>
      <c r="D2455" s="52" t="s">
        <v>229</v>
      </c>
      <c r="E2455" s="52" t="s">
        <v>584</v>
      </c>
      <c r="F2455" s="52" t="s">
        <v>26</v>
      </c>
      <c r="G2455" s="195" t="s">
        <v>277</v>
      </c>
      <c r="H2455" s="195"/>
      <c r="I2455" s="195">
        <v>0</v>
      </c>
      <c r="J2455" s="195">
        <v>0</v>
      </c>
      <c r="K2455" s="195">
        <v>0</v>
      </c>
      <c r="L2455" s="195">
        <v>0</v>
      </c>
      <c r="M2455" s="195">
        <v>0</v>
      </c>
      <c r="N2455" s="195">
        <v>0</v>
      </c>
    </row>
    <row r="2456" spans="1:14" hidden="1" x14ac:dyDescent="0.35">
      <c r="A2456" s="52" t="s">
        <v>243</v>
      </c>
      <c r="B2456" s="52" t="s">
        <v>388</v>
      </c>
      <c r="C2456" s="52" t="s">
        <v>229</v>
      </c>
      <c r="D2456" s="52" t="s">
        <v>229</v>
      </c>
      <c r="E2456" s="52" t="s">
        <v>584</v>
      </c>
      <c r="F2456" s="52" t="s">
        <v>26</v>
      </c>
      <c r="G2456" s="195" t="s">
        <v>278</v>
      </c>
      <c r="H2456" s="195">
        <v>0.16312399999999999</v>
      </c>
      <c r="I2456" s="195">
        <v>0.16312399999999999</v>
      </c>
      <c r="J2456" s="195">
        <v>0</v>
      </c>
      <c r="K2456" s="195">
        <v>0</v>
      </c>
      <c r="L2456" s="195">
        <v>0</v>
      </c>
      <c r="M2456" s="195">
        <v>0</v>
      </c>
      <c r="N2456" s="195"/>
    </row>
    <row r="2457" spans="1:14" hidden="1" x14ac:dyDescent="0.35">
      <c r="A2457" s="52" t="s">
        <v>243</v>
      </c>
      <c r="B2457" s="52" t="s">
        <v>388</v>
      </c>
      <c r="C2457" s="52" t="s">
        <v>229</v>
      </c>
      <c r="D2457" s="52" t="s">
        <v>229</v>
      </c>
      <c r="E2457" s="52" t="s">
        <v>584</v>
      </c>
      <c r="F2457" s="52" t="s">
        <v>26</v>
      </c>
      <c r="G2457" s="195" t="s">
        <v>279</v>
      </c>
      <c r="H2457" s="195"/>
      <c r="I2457" s="195"/>
      <c r="J2457" s="195"/>
      <c r="K2457" s="195">
        <v>0</v>
      </c>
      <c r="L2457" s="195">
        <v>0</v>
      </c>
      <c r="M2457" s="195">
        <v>0</v>
      </c>
      <c r="N2457" s="195">
        <v>0</v>
      </c>
    </row>
    <row r="2458" spans="1:14" hidden="1" x14ac:dyDescent="0.35">
      <c r="A2458" s="52" t="s">
        <v>243</v>
      </c>
      <c r="B2458" s="52" t="s">
        <v>388</v>
      </c>
      <c r="C2458" s="52" t="s">
        <v>318</v>
      </c>
      <c r="D2458" s="52" t="s">
        <v>318</v>
      </c>
      <c r="E2458" s="52" t="s">
        <v>584</v>
      </c>
      <c r="F2458" s="52" t="s">
        <v>581</v>
      </c>
      <c r="G2458" s="195" t="s">
        <v>275</v>
      </c>
      <c r="H2458" s="195">
        <v>2.115332</v>
      </c>
      <c r="I2458" s="195">
        <v>0</v>
      </c>
      <c r="J2458" s="195"/>
      <c r="K2458" s="195"/>
      <c r="L2458" s="195"/>
      <c r="M2458" s="195"/>
      <c r="N2458" s="195"/>
    </row>
    <row r="2459" spans="1:14" hidden="1" x14ac:dyDescent="0.35">
      <c r="A2459" s="52" t="s">
        <v>243</v>
      </c>
      <c r="B2459" s="52" t="s">
        <v>388</v>
      </c>
      <c r="C2459" s="52" t="s">
        <v>318</v>
      </c>
      <c r="D2459" s="52" t="s">
        <v>318</v>
      </c>
      <c r="E2459" s="52" t="s">
        <v>584</v>
      </c>
      <c r="F2459" s="52" t="s">
        <v>581</v>
      </c>
      <c r="G2459" s="195" t="s">
        <v>276</v>
      </c>
      <c r="H2459" s="195">
        <v>-3.4759159999999998</v>
      </c>
      <c r="I2459" s="195">
        <v>0</v>
      </c>
      <c r="J2459" s="195"/>
      <c r="K2459" s="195"/>
      <c r="L2459" s="195"/>
      <c r="M2459" s="195"/>
      <c r="N2459" s="195"/>
    </row>
    <row r="2460" spans="1:14" hidden="1" x14ac:dyDescent="0.35">
      <c r="A2460" s="52" t="s">
        <v>243</v>
      </c>
      <c r="B2460" s="52" t="s">
        <v>388</v>
      </c>
      <c r="C2460" s="52" t="s">
        <v>318</v>
      </c>
      <c r="D2460" s="52" t="s">
        <v>318</v>
      </c>
      <c r="E2460" s="52" t="s">
        <v>584</v>
      </c>
      <c r="F2460" s="52" t="s">
        <v>581</v>
      </c>
      <c r="G2460" s="195" t="s">
        <v>278</v>
      </c>
      <c r="H2460" s="195">
        <v>1.3605849999999999</v>
      </c>
      <c r="I2460" s="195">
        <v>0</v>
      </c>
      <c r="J2460" s="195"/>
      <c r="K2460" s="195"/>
      <c r="L2460" s="195"/>
      <c r="M2460" s="195"/>
      <c r="N2460" s="195"/>
    </row>
    <row r="2461" spans="1:14" hidden="1" x14ac:dyDescent="0.35">
      <c r="A2461" s="52" t="s">
        <v>243</v>
      </c>
      <c r="B2461" s="52" t="s">
        <v>388</v>
      </c>
      <c r="C2461" s="52" t="s">
        <v>318</v>
      </c>
      <c r="D2461" s="52" t="s">
        <v>318</v>
      </c>
      <c r="E2461" s="52" t="s">
        <v>584</v>
      </c>
      <c r="F2461" s="52" t="s">
        <v>26</v>
      </c>
      <c r="G2461" s="195" t="s">
        <v>275</v>
      </c>
      <c r="H2461" s="195">
        <v>1.4102220000000001</v>
      </c>
      <c r="I2461" s="195">
        <v>0</v>
      </c>
      <c r="J2461" s="195"/>
      <c r="K2461" s="195"/>
      <c r="L2461" s="195"/>
      <c r="M2461" s="195"/>
      <c r="N2461" s="195"/>
    </row>
    <row r="2462" spans="1:14" hidden="1" x14ac:dyDescent="0.35">
      <c r="A2462" s="52" t="s">
        <v>243</v>
      </c>
      <c r="B2462" s="52" t="s">
        <v>388</v>
      </c>
      <c r="C2462" s="52" t="s">
        <v>318</v>
      </c>
      <c r="D2462" s="52" t="s">
        <v>318</v>
      </c>
      <c r="E2462" s="52" t="s">
        <v>584</v>
      </c>
      <c r="F2462" s="52" t="s">
        <v>26</v>
      </c>
      <c r="G2462" s="195" t="s">
        <v>276</v>
      </c>
      <c r="H2462" s="195">
        <v>-2.3172779999999999</v>
      </c>
      <c r="I2462" s="195">
        <v>0</v>
      </c>
      <c r="J2462" s="195"/>
      <c r="K2462" s="195"/>
      <c r="L2462" s="195"/>
      <c r="M2462" s="195"/>
      <c r="N2462" s="195"/>
    </row>
    <row r="2463" spans="1:14" hidden="1" x14ac:dyDescent="0.35">
      <c r="A2463" s="52" t="s">
        <v>243</v>
      </c>
      <c r="B2463" s="52" t="s">
        <v>388</v>
      </c>
      <c r="C2463" s="52" t="s">
        <v>318</v>
      </c>
      <c r="D2463" s="52" t="s">
        <v>318</v>
      </c>
      <c r="E2463" s="52" t="s">
        <v>584</v>
      </c>
      <c r="F2463" s="52" t="s">
        <v>26</v>
      </c>
      <c r="G2463" s="195" t="s">
        <v>278</v>
      </c>
      <c r="H2463" s="195">
        <v>0.907057</v>
      </c>
      <c r="I2463" s="195">
        <v>0</v>
      </c>
      <c r="J2463" s="195"/>
      <c r="K2463" s="195"/>
      <c r="L2463" s="195"/>
      <c r="M2463" s="195"/>
      <c r="N2463" s="195"/>
    </row>
    <row r="2464" spans="1:14" hidden="1" x14ac:dyDescent="0.35">
      <c r="A2464" s="52" t="s">
        <v>243</v>
      </c>
      <c r="B2464" s="52" t="s">
        <v>387</v>
      </c>
      <c r="C2464" s="52" t="s">
        <v>318</v>
      </c>
      <c r="D2464" s="52" t="s">
        <v>318</v>
      </c>
      <c r="E2464" s="52" t="s">
        <v>584</v>
      </c>
      <c r="F2464" s="52" t="s">
        <v>581</v>
      </c>
      <c r="G2464" s="195" t="s">
        <v>275</v>
      </c>
      <c r="H2464" s="195">
        <v>0</v>
      </c>
      <c r="I2464" s="195"/>
      <c r="J2464" s="195"/>
      <c r="K2464" s="195"/>
      <c r="L2464" s="195"/>
      <c r="M2464" s="195"/>
      <c r="N2464" s="195"/>
    </row>
    <row r="2465" spans="1:14" hidden="1" x14ac:dyDescent="0.35">
      <c r="A2465" s="52" t="s">
        <v>243</v>
      </c>
      <c r="B2465" s="52" t="s">
        <v>387</v>
      </c>
      <c r="C2465" s="52" t="s">
        <v>318</v>
      </c>
      <c r="D2465" s="52" t="s">
        <v>318</v>
      </c>
      <c r="E2465" s="52" t="s">
        <v>584</v>
      </c>
      <c r="F2465" s="52" t="s">
        <v>581</v>
      </c>
      <c r="G2465" s="195" t="s">
        <v>278</v>
      </c>
      <c r="H2465" s="195">
        <v>0</v>
      </c>
      <c r="I2465" s="195"/>
      <c r="J2465" s="195"/>
      <c r="K2465" s="195"/>
      <c r="L2465" s="195"/>
      <c r="M2465" s="195"/>
      <c r="N2465" s="195"/>
    </row>
    <row r="2466" spans="1:14" hidden="1" x14ac:dyDescent="0.35">
      <c r="A2466" s="52" t="s">
        <v>243</v>
      </c>
      <c r="B2466" s="52" t="s">
        <v>387</v>
      </c>
      <c r="C2466" s="52" t="s">
        <v>318</v>
      </c>
      <c r="D2466" s="52" t="s">
        <v>318</v>
      </c>
      <c r="E2466" s="52" t="s">
        <v>584</v>
      </c>
      <c r="F2466" s="52" t="s">
        <v>26</v>
      </c>
      <c r="G2466" s="195" t="s">
        <v>275</v>
      </c>
      <c r="H2466" s="195">
        <v>0</v>
      </c>
      <c r="I2466" s="195"/>
      <c r="J2466" s="195"/>
      <c r="K2466" s="195"/>
      <c r="L2466" s="195"/>
      <c r="M2466" s="195"/>
      <c r="N2466" s="195"/>
    </row>
    <row r="2467" spans="1:14" hidden="1" x14ac:dyDescent="0.35">
      <c r="A2467" s="52" t="s">
        <v>243</v>
      </c>
      <c r="B2467" s="52" t="s">
        <v>387</v>
      </c>
      <c r="C2467" s="52" t="s">
        <v>318</v>
      </c>
      <c r="D2467" s="52" t="s">
        <v>318</v>
      </c>
      <c r="E2467" s="52" t="s">
        <v>584</v>
      </c>
      <c r="F2467" s="52" t="s">
        <v>26</v>
      </c>
      <c r="G2467" s="195" t="s">
        <v>278</v>
      </c>
      <c r="H2467" s="195">
        <v>0</v>
      </c>
      <c r="I2467" s="195"/>
      <c r="J2467" s="195"/>
      <c r="K2467" s="195"/>
      <c r="L2467" s="195"/>
      <c r="M2467" s="195"/>
      <c r="N2467" s="195"/>
    </row>
    <row r="2468" spans="1:14" hidden="1" x14ac:dyDescent="0.35">
      <c r="A2468" s="52" t="s">
        <v>243</v>
      </c>
      <c r="B2468" s="52" t="s">
        <v>265</v>
      </c>
      <c r="C2468" s="52" t="s">
        <v>318</v>
      </c>
      <c r="D2468" s="52" t="s">
        <v>318</v>
      </c>
      <c r="E2468" s="52" t="s">
        <v>584</v>
      </c>
      <c r="F2468" s="52" t="s">
        <v>581</v>
      </c>
      <c r="G2468" s="195" t="s">
        <v>275</v>
      </c>
      <c r="H2468" s="195">
        <v>-8.2108E-2</v>
      </c>
      <c r="I2468" s="195">
        <v>0</v>
      </c>
      <c r="J2468" s="195"/>
      <c r="K2468" s="195"/>
      <c r="L2468" s="195"/>
      <c r="M2468" s="195"/>
      <c r="N2468" s="195"/>
    </row>
    <row r="2469" spans="1:14" hidden="1" x14ac:dyDescent="0.35">
      <c r="A2469" s="52" t="s">
        <v>243</v>
      </c>
      <c r="B2469" s="52" t="s">
        <v>265</v>
      </c>
      <c r="C2469" s="52" t="s">
        <v>318</v>
      </c>
      <c r="D2469" s="52" t="s">
        <v>318</v>
      </c>
      <c r="E2469" s="52" t="s">
        <v>584</v>
      </c>
      <c r="F2469" s="52" t="s">
        <v>581</v>
      </c>
      <c r="G2469" s="195" t="s">
        <v>278</v>
      </c>
      <c r="H2469" s="195">
        <v>8.2108E-2</v>
      </c>
      <c r="I2469" s="195">
        <v>0</v>
      </c>
      <c r="J2469" s="195"/>
      <c r="K2469" s="195"/>
      <c r="L2469" s="195"/>
      <c r="M2469" s="195"/>
      <c r="N2469" s="195"/>
    </row>
    <row r="2470" spans="1:14" hidden="1" x14ac:dyDescent="0.35">
      <c r="A2470" s="52" t="s">
        <v>243</v>
      </c>
      <c r="B2470" s="52" t="s">
        <v>265</v>
      </c>
      <c r="C2470" s="52" t="s">
        <v>318</v>
      </c>
      <c r="D2470" s="52" t="s">
        <v>318</v>
      </c>
      <c r="E2470" s="52" t="s">
        <v>584</v>
      </c>
      <c r="F2470" s="52" t="s">
        <v>26</v>
      </c>
      <c r="G2470" s="195" t="s">
        <v>275</v>
      </c>
      <c r="H2470" s="195">
        <v>-5.4739999999999997E-2</v>
      </c>
      <c r="I2470" s="195">
        <v>0</v>
      </c>
      <c r="J2470" s="195"/>
      <c r="K2470" s="195"/>
      <c r="L2470" s="195"/>
      <c r="M2470" s="195"/>
      <c r="N2470" s="195"/>
    </row>
    <row r="2471" spans="1:14" hidden="1" x14ac:dyDescent="0.35">
      <c r="A2471" s="52" t="s">
        <v>243</v>
      </c>
      <c r="B2471" s="52" t="s">
        <v>265</v>
      </c>
      <c r="C2471" s="52" t="s">
        <v>318</v>
      </c>
      <c r="D2471" s="52" t="s">
        <v>318</v>
      </c>
      <c r="E2471" s="52" t="s">
        <v>584</v>
      </c>
      <c r="F2471" s="52" t="s">
        <v>26</v>
      </c>
      <c r="G2471" s="195" t="s">
        <v>278</v>
      </c>
      <c r="H2471" s="195">
        <v>5.4739999999999997E-2</v>
      </c>
      <c r="I2471" s="195">
        <v>0</v>
      </c>
      <c r="J2471" s="195"/>
      <c r="K2471" s="195"/>
      <c r="L2471" s="195"/>
      <c r="M2471" s="195"/>
      <c r="N2471" s="195"/>
    </row>
    <row r="2472" spans="1:14" hidden="1" x14ac:dyDescent="0.35">
      <c r="A2472" s="52" t="s">
        <v>243</v>
      </c>
      <c r="B2472" s="52" t="s">
        <v>265</v>
      </c>
      <c r="C2472" s="52" t="s">
        <v>44</v>
      </c>
      <c r="D2472" s="52" t="s">
        <v>44</v>
      </c>
      <c r="E2472" s="52" t="s">
        <v>584</v>
      </c>
      <c r="F2472" s="52" t="s">
        <v>581</v>
      </c>
      <c r="G2472" s="195" t="s">
        <v>275</v>
      </c>
      <c r="H2472" s="195">
        <v>-1.1197800000000001E-2</v>
      </c>
      <c r="I2472" s="195">
        <v>-1.1197800000000001E-2</v>
      </c>
      <c r="J2472" s="195">
        <v>0</v>
      </c>
      <c r="K2472" s="195">
        <v>0</v>
      </c>
      <c r="L2472" s="195">
        <v>0</v>
      </c>
      <c r="M2472" s="195">
        <v>0</v>
      </c>
      <c r="N2472" s="195">
        <v>0</v>
      </c>
    </row>
    <row r="2473" spans="1:14" hidden="1" x14ac:dyDescent="0.35">
      <c r="A2473" s="52" t="s">
        <v>243</v>
      </c>
      <c r="B2473" s="52" t="s">
        <v>265</v>
      </c>
      <c r="C2473" s="52" t="s">
        <v>44</v>
      </c>
      <c r="D2473" s="52" t="s">
        <v>44</v>
      </c>
      <c r="E2473" s="52" t="s">
        <v>584</v>
      </c>
      <c r="F2473" s="52" t="s">
        <v>581</v>
      </c>
      <c r="G2473" s="195" t="s">
        <v>276</v>
      </c>
      <c r="H2473" s="195">
        <v>-6.0294010000000002E-3</v>
      </c>
      <c r="I2473" s="195">
        <v>-6.0300010000000001E-3</v>
      </c>
      <c r="J2473" s="195">
        <v>-1.7226600000000002E-2</v>
      </c>
      <c r="K2473" s="195">
        <v>-1.7227200000000002E-2</v>
      </c>
      <c r="L2473" s="195">
        <v>-1.7227200000000002E-2</v>
      </c>
      <c r="M2473" s="195">
        <v>-1.7227800000000001E-2</v>
      </c>
      <c r="N2473" s="195">
        <v>-1.7227200000000002E-2</v>
      </c>
    </row>
    <row r="2474" spans="1:14" hidden="1" x14ac:dyDescent="0.35">
      <c r="A2474" s="52" t="s">
        <v>243</v>
      </c>
      <c r="B2474" s="52" t="s">
        <v>265</v>
      </c>
      <c r="C2474" s="52" t="s">
        <v>44</v>
      </c>
      <c r="D2474" s="52" t="s">
        <v>44</v>
      </c>
      <c r="E2474" s="52" t="s">
        <v>584</v>
      </c>
      <c r="F2474" s="52" t="s">
        <v>581</v>
      </c>
      <c r="G2474" s="195" t="s">
        <v>278</v>
      </c>
      <c r="H2474" s="195">
        <v>1.7227200000000002E-2</v>
      </c>
      <c r="I2474" s="195">
        <v>1.7227200000000002E-2</v>
      </c>
      <c r="J2474" s="195">
        <v>1.7227200000000002E-2</v>
      </c>
      <c r="K2474" s="195">
        <v>1.7227200000000002E-2</v>
      </c>
      <c r="L2474" s="195">
        <v>1.7227200000000002E-2</v>
      </c>
      <c r="M2474" s="195">
        <v>1.7227200000000002E-2</v>
      </c>
      <c r="N2474" s="195">
        <v>1.7227200000000002E-2</v>
      </c>
    </row>
    <row r="2475" spans="1:14" hidden="1" x14ac:dyDescent="0.35">
      <c r="A2475" s="52" t="s">
        <v>243</v>
      </c>
      <c r="B2475" s="52" t="s">
        <v>34</v>
      </c>
      <c r="C2475" s="52" t="s">
        <v>318</v>
      </c>
      <c r="D2475" s="52" t="s">
        <v>318</v>
      </c>
      <c r="E2475" s="52" t="s">
        <v>584</v>
      </c>
      <c r="F2475" s="52" t="s">
        <v>581</v>
      </c>
      <c r="G2475" s="195" t="s">
        <v>275</v>
      </c>
      <c r="H2475" s="195">
        <v>0.877077</v>
      </c>
      <c r="I2475" s="195">
        <v>0</v>
      </c>
      <c r="J2475" s="195"/>
      <c r="K2475" s="195"/>
      <c r="L2475" s="195"/>
      <c r="M2475" s="195"/>
      <c r="N2475" s="195"/>
    </row>
    <row r="2476" spans="1:14" hidden="1" x14ac:dyDescent="0.35">
      <c r="A2476" s="52" t="s">
        <v>243</v>
      </c>
      <c r="B2476" s="52" t="s">
        <v>34</v>
      </c>
      <c r="C2476" s="52" t="s">
        <v>318</v>
      </c>
      <c r="D2476" s="52" t="s">
        <v>318</v>
      </c>
      <c r="E2476" s="52" t="s">
        <v>584</v>
      </c>
      <c r="F2476" s="52" t="s">
        <v>581</v>
      </c>
      <c r="G2476" s="195" t="s">
        <v>276</v>
      </c>
      <c r="H2476" s="195">
        <v>-2.285927</v>
      </c>
      <c r="I2476" s="195">
        <v>0</v>
      </c>
      <c r="J2476" s="195"/>
      <c r="K2476" s="195"/>
      <c r="L2476" s="195"/>
      <c r="M2476" s="195"/>
      <c r="N2476" s="195"/>
    </row>
    <row r="2477" spans="1:14" hidden="1" x14ac:dyDescent="0.35">
      <c r="A2477" s="52" t="s">
        <v>243</v>
      </c>
      <c r="B2477" s="52" t="s">
        <v>34</v>
      </c>
      <c r="C2477" s="52" t="s">
        <v>318</v>
      </c>
      <c r="D2477" s="52" t="s">
        <v>318</v>
      </c>
      <c r="E2477" s="52" t="s">
        <v>584</v>
      </c>
      <c r="F2477" s="52" t="s">
        <v>581</v>
      </c>
      <c r="G2477" s="195" t="s">
        <v>278</v>
      </c>
      <c r="H2477" s="195">
        <v>1.408849</v>
      </c>
      <c r="I2477" s="195">
        <v>0</v>
      </c>
      <c r="J2477" s="195"/>
      <c r="K2477" s="195"/>
      <c r="L2477" s="195"/>
      <c r="M2477" s="195"/>
      <c r="N2477" s="195"/>
    </row>
    <row r="2478" spans="1:14" hidden="1" x14ac:dyDescent="0.35">
      <c r="A2478" s="52" t="s">
        <v>243</v>
      </c>
      <c r="B2478" s="52" t="s">
        <v>34</v>
      </c>
      <c r="C2478" s="52" t="s">
        <v>318</v>
      </c>
      <c r="D2478" s="52" t="s">
        <v>318</v>
      </c>
      <c r="E2478" s="52" t="s">
        <v>584</v>
      </c>
      <c r="F2478" s="52" t="s">
        <v>26</v>
      </c>
      <c r="G2478" s="195" t="s">
        <v>275</v>
      </c>
      <c r="H2478" s="195">
        <v>0.58471899999999999</v>
      </c>
      <c r="I2478" s="195">
        <v>0</v>
      </c>
      <c r="J2478" s="195"/>
      <c r="K2478" s="195"/>
      <c r="L2478" s="195"/>
      <c r="M2478" s="195"/>
      <c r="N2478" s="195"/>
    </row>
    <row r="2479" spans="1:14" hidden="1" x14ac:dyDescent="0.35">
      <c r="A2479" s="52" t="s">
        <v>243</v>
      </c>
      <c r="B2479" s="52" t="s">
        <v>34</v>
      </c>
      <c r="C2479" s="52" t="s">
        <v>318</v>
      </c>
      <c r="D2479" s="52" t="s">
        <v>318</v>
      </c>
      <c r="E2479" s="52" t="s">
        <v>584</v>
      </c>
      <c r="F2479" s="52" t="s">
        <v>26</v>
      </c>
      <c r="G2479" s="195" t="s">
        <v>276</v>
      </c>
      <c r="H2479" s="195">
        <v>-1.5239510000000001</v>
      </c>
      <c r="I2479" s="195">
        <v>0</v>
      </c>
      <c r="J2479" s="195"/>
      <c r="K2479" s="195"/>
      <c r="L2479" s="195"/>
      <c r="M2479" s="195"/>
      <c r="N2479" s="195"/>
    </row>
    <row r="2480" spans="1:14" hidden="1" x14ac:dyDescent="0.35">
      <c r="A2480" s="52" t="s">
        <v>243</v>
      </c>
      <c r="B2480" s="52" t="s">
        <v>34</v>
      </c>
      <c r="C2480" s="52" t="s">
        <v>318</v>
      </c>
      <c r="D2480" s="52" t="s">
        <v>318</v>
      </c>
      <c r="E2480" s="52" t="s">
        <v>584</v>
      </c>
      <c r="F2480" s="52" t="s">
        <v>26</v>
      </c>
      <c r="G2480" s="195" t="s">
        <v>278</v>
      </c>
      <c r="H2480" s="195">
        <v>0.93923299999999998</v>
      </c>
      <c r="I2480" s="195">
        <v>0</v>
      </c>
      <c r="J2480" s="195"/>
      <c r="K2480" s="195"/>
      <c r="L2480" s="195"/>
      <c r="M2480" s="195"/>
      <c r="N2480" s="195"/>
    </row>
    <row r="2481" spans="1:14" hidden="1" x14ac:dyDescent="0.35">
      <c r="A2481" s="52" t="s">
        <v>243</v>
      </c>
      <c r="B2481" s="52" t="s">
        <v>34</v>
      </c>
      <c r="C2481" s="52" t="s">
        <v>304</v>
      </c>
      <c r="D2481" s="52" t="s">
        <v>304</v>
      </c>
      <c r="E2481" s="52" t="s">
        <v>584</v>
      </c>
      <c r="F2481" s="52" t="s">
        <v>581</v>
      </c>
      <c r="G2481" s="195" t="s">
        <v>275</v>
      </c>
      <c r="H2481" s="195">
        <v>-0.2955933</v>
      </c>
      <c r="I2481" s="195">
        <v>-0.29559360000000001</v>
      </c>
      <c r="J2481" s="195">
        <v>0</v>
      </c>
      <c r="K2481" s="195">
        <v>0</v>
      </c>
      <c r="L2481" s="195">
        <v>0</v>
      </c>
      <c r="M2481" s="195">
        <v>0</v>
      </c>
      <c r="N2481" s="195">
        <v>0</v>
      </c>
    </row>
    <row r="2482" spans="1:14" hidden="1" x14ac:dyDescent="0.35">
      <c r="A2482" s="52" t="s">
        <v>243</v>
      </c>
      <c r="B2482" s="52" t="s">
        <v>34</v>
      </c>
      <c r="C2482" s="52" t="s">
        <v>304</v>
      </c>
      <c r="D2482" s="52" t="s">
        <v>304</v>
      </c>
      <c r="E2482" s="52" t="s">
        <v>584</v>
      </c>
      <c r="F2482" s="52" t="s">
        <v>581</v>
      </c>
      <c r="G2482" s="195" t="s">
        <v>276</v>
      </c>
      <c r="H2482" s="195"/>
      <c r="I2482" s="195"/>
      <c r="J2482" s="195">
        <v>-35.006749999999997</v>
      </c>
      <c r="K2482" s="195">
        <v>-18.62218</v>
      </c>
      <c r="L2482" s="195">
        <v>-0.29559340000000001</v>
      </c>
      <c r="M2482" s="195">
        <v>-0.31312839999999997</v>
      </c>
      <c r="N2482" s="195">
        <v>-0.33336070000000001</v>
      </c>
    </row>
    <row r="2483" spans="1:14" hidden="1" x14ac:dyDescent="0.35">
      <c r="A2483" s="52" t="s">
        <v>243</v>
      </c>
      <c r="B2483" s="52" t="s">
        <v>34</v>
      </c>
      <c r="C2483" s="52" t="s">
        <v>304</v>
      </c>
      <c r="D2483" s="52" t="s">
        <v>304</v>
      </c>
      <c r="E2483" s="52" t="s">
        <v>584</v>
      </c>
      <c r="F2483" s="52" t="s">
        <v>581</v>
      </c>
      <c r="G2483" s="195" t="s">
        <v>277</v>
      </c>
      <c r="H2483" s="195"/>
      <c r="I2483" s="195"/>
      <c r="J2483" s="195"/>
      <c r="K2483" s="195"/>
      <c r="L2483" s="195">
        <v>0</v>
      </c>
      <c r="M2483" s="195">
        <v>1.753505E-2</v>
      </c>
      <c r="N2483" s="195">
        <v>3.7767549999999997E-2</v>
      </c>
    </row>
    <row r="2484" spans="1:14" hidden="1" x14ac:dyDescent="0.35">
      <c r="A2484" s="52" t="s">
        <v>243</v>
      </c>
      <c r="B2484" s="52" t="s">
        <v>34</v>
      </c>
      <c r="C2484" s="52" t="s">
        <v>304</v>
      </c>
      <c r="D2484" s="52" t="s">
        <v>304</v>
      </c>
      <c r="E2484" s="52" t="s">
        <v>584</v>
      </c>
      <c r="F2484" s="52" t="s">
        <v>581</v>
      </c>
      <c r="G2484" s="195" t="s">
        <v>278</v>
      </c>
      <c r="H2484" s="195">
        <v>0.2955933</v>
      </c>
      <c r="I2484" s="195">
        <v>0.29559360000000001</v>
      </c>
      <c r="J2484" s="195">
        <v>35.006749999999997</v>
      </c>
      <c r="K2484" s="195">
        <v>18.62218</v>
      </c>
      <c r="L2484" s="195">
        <v>0.29559340000000001</v>
      </c>
      <c r="M2484" s="195">
        <v>0.29559340000000001</v>
      </c>
      <c r="N2484" s="195">
        <v>0.29559340000000001</v>
      </c>
    </row>
    <row r="2485" spans="1:14" hidden="1" x14ac:dyDescent="0.35">
      <c r="A2485" s="52" t="s">
        <v>243</v>
      </c>
      <c r="B2485" s="52" t="s">
        <v>288</v>
      </c>
      <c r="C2485" s="52" t="s">
        <v>244</v>
      </c>
      <c r="D2485" s="52" t="s">
        <v>244</v>
      </c>
      <c r="E2485" s="52" t="s">
        <v>584</v>
      </c>
      <c r="F2485" s="52" t="s">
        <v>581</v>
      </c>
      <c r="G2485" s="195" t="s">
        <v>275</v>
      </c>
      <c r="H2485" s="195"/>
      <c r="I2485" s="195"/>
      <c r="J2485" s="195"/>
      <c r="K2485" s="195"/>
      <c r="L2485" s="195"/>
      <c r="M2485" s="195">
        <v>0</v>
      </c>
      <c r="N2485" s="195">
        <v>-0.77036349999999998</v>
      </c>
    </row>
    <row r="2486" spans="1:14" hidden="1" x14ac:dyDescent="0.35">
      <c r="A2486" s="52" t="s">
        <v>243</v>
      </c>
      <c r="B2486" s="52" t="s">
        <v>288</v>
      </c>
      <c r="C2486" s="52" t="s">
        <v>244</v>
      </c>
      <c r="D2486" s="52" t="s">
        <v>244</v>
      </c>
      <c r="E2486" s="52" t="s">
        <v>584</v>
      </c>
      <c r="F2486" s="52" t="s">
        <v>581</v>
      </c>
      <c r="G2486" s="195" t="s">
        <v>277</v>
      </c>
      <c r="H2486" s="195"/>
      <c r="I2486" s="195"/>
      <c r="J2486" s="195"/>
      <c r="K2486" s="195"/>
      <c r="L2486" s="195"/>
      <c r="M2486" s="195">
        <v>0</v>
      </c>
      <c r="N2486" s="195">
        <v>0.53896650000000002</v>
      </c>
    </row>
    <row r="2487" spans="1:14" hidden="1" x14ac:dyDescent="0.35">
      <c r="A2487" s="52" t="s">
        <v>243</v>
      </c>
      <c r="B2487" s="52" t="s">
        <v>288</v>
      </c>
      <c r="C2487" s="52" t="s">
        <v>244</v>
      </c>
      <c r="D2487" s="52" t="s">
        <v>244</v>
      </c>
      <c r="E2487" s="52" t="s">
        <v>584</v>
      </c>
      <c r="F2487" s="52" t="s">
        <v>581</v>
      </c>
      <c r="G2487" s="195" t="s">
        <v>279</v>
      </c>
      <c r="H2487" s="195"/>
      <c r="I2487" s="195"/>
      <c r="J2487" s="195"/>
      <c r="K2487" s="195"/>
      <c r="L2487" s="195"/>
      <c r="M2487" s="195">
        <v>0</v>
      </c>
      <c r="N2487" s="195">
        <v>0.2313965</v>
      </c>
    </row>
    <row r="2488" spans="1:14" hidden="1" x14ac:dyDescent="0.35">
      <c r="A2488" s="52" t="s">
        <v>243</v>
      </c>
      <c r="B2488" s="52" t="s">
        <v>288</v>
      </c>
      <c r="C2488" s="52" t="s">
        <v>244</v>
      </c>
      <c r="D2488" s="52" t="s">
        <v>244</v>
      </c>
      <c r="E2488" s="52" t="s">
        <v>584</v>
      </c>
      <c r="F2488" s="52" t="s">
        <v>26</v>
      </c>
      <c r="G2488" s="195" t="s">
        <v>275</v>
      </c>
      <c r="H2488" s="195">
        <v>-0.1334581</v>
      </c>
      <c r="I2488" s="195">
        <v>-0.1334582</v>
      </c>
      <c r="J2488" s="195">
        <v>-6.7610550000000005E-2</v>
      </c>
      <c r="K2488" s="195">
        <v>-18.589580000000002</v>
      </c>
      <c r="L2488" s="195">
        <v>-0.59261050000000004</v>
      </c>
      <c r="M2488" s="195">
        <v>-13.941940000000001</v>
      </c>
      <c r="N2488" s="195">
        <v>-25.371729999999999</v>
      </c>
    </row>
    <row r="2489" spans="1:14" hidden="1" x14ac:dyDescent="0.35">
      <c r="A2489" s="52" t="s">
        <v>243</v>
      </c>
      <c r="B2489" s="52" t="s">
        <v>288</v>
      </c>
      <c r="C2489" s="52" t="s">
        <v>244</v>
      </c>
      <c r="D2489" s="52" t="s">
        <v>244</v>
      </c>
      <c r="E2489" s="52" t="s">
        <v>584</v>
      </c>
      <c r="F2489" s="52" t="s">
        <v>26</v>
      </c>
      <c r="G2489" s="195" t="s">
        <v>276</v>
      </c>
      <c r="H2489" s="195"/>
      <c r="I2489" s="195"/>
      <c r="J2489" s="195">
        <v>-1.0455829999999999</v>
      </c>
      <c r="K2489" s="195">
        <v>-6.5593150000000003E-2</v>
      </c>
      <c r="L2489" s="195">
        <v>-6.5593150000000003E-2</v>
      </c>
      <c r="M2489" s="195">
        <v>-6.6905649999999997E-2</v>
      </c>
      <c r="N2489" s="195">
        <v>-6.6905649999999997E-2</v>
      </c>
    </row>
    <row r="2490" spans="1:14" hidden="1" x14ac:dyDescent="0.35">
      <c r="A2490" s="52" t="s">
        <v>243</v>
      </c>
      <c r="B2490" s="52" t="s">
        <v>288</v>
      </c>
      <c r="C2490" s="52" t="s">
        <v>244</v>
      </c>
      <c r="D2490" s="52" t="s">
        <v>244</v>
      </c>
      <c r="E2490" s="52" t="s">
        <v>584</v>
      </c>
      <c r="F2490" s="52" t="s">
        <v>26</v>
      </c>
      <c r="G2490" s="195" t="s">
        <v>277</v>
      </c>
      <c r="H2490" s="195"/>
      <c r="I2490" s="195"/>
      <c r="J2490" s="195">
        <v>0</v>
      </c>
      <c r="K2490" s="195">
        <v>0.52500000000000002</v>
      </c>
      <c r="L2490" s="195">
        <v>0.52500000000000002</v>
      </c>
      <c r="M2490" s="195">
        <v>13.875640000000001</v>
      </c>
      <c r="N2490" s="195">
        <v>23.039180000000002</v>
      </c>
    </row>
    <row r="2491" spans="1:14" hidden="1" x14ac:dyDescent="0.35">
      <c r="A2491" s="52" t="s">
        <v>243</v>
      </c>
      <c r="B2491" s="52" t="s">
        <v>288</v>
      </c>
      <c r="C2491" s="52" t="s">
        <v>244</v>
      </c>
      <c r="D2491" s="52" t="s">
        <v>244</v>
      </c>
      <c r="E2491" s="52" t="s">
        <v>584</v>
      </c>
      <c r="F2491" s="52" t="s">
        <v>26</v>
      </c>
      <c r="G2491" s="195" t="s">
        <v>278</v>
      </c>
      <c r="H2491" s="195">
        <v>0.1334582</v>
      </c>
      <c r="I2491" s="195">
        <v>0.1334582</v>
      </c>
      <c r="J2491" s="195">
        <v>1.113194</v>
      </c>
      <c r="K2491" s="195">
        <v>18.130179999999999</v>
      </c>
      <c r="L2491" s="195">
        <v>0.13320370000000001</v>
      </c>
      <c r="M2491" s="195">
        <v>0.13320370000000001</v>
      </c>
      <c r="N2491" s="195">
        <v>0.13320370000000001</v>
      </c>
    </row>
    <row r="2492" spans="1:14" hidden="1" x14ac:dyDescent="0.35">
      <c r="A2492" s="52" t="s">
        <v>243</v>
      </c>
      <c r="B2492" s="52" t="s">
        <v>288</v>
      </c>
      <c r="C2492" s="52" t="s">
        <v>244</v>
      </c>
      <c r="D2492" s="52" t="s">
        <v>244</v>
      </c>
      <c r="E2492" s="52" t="s">
        <v>584</v>
      </c>
      <c r="F2492" s="52" t="s">
        <v>26</v>
      </c>
      <c r="G2492" s="195" t="s">
        <v>279</v>
      </c>
      <c r="H2492" s="195"/>
      <c r="I2492" s="195"/>
      <c r="J2492" s="195"/>
      <c r="K2492" s="195"/>
      <c r="L2492" s="195"/>
      <c r="M2492" s="195">
        <v>0</v>
      </c>
      <c r="N2492" s="195">
        <v>2.2662499999999999</v>
      </c>
    </row>
    <row r="2493" spans="1:14" hidden="1" x14ac:dyDescent="0.35">
      <c r="A2493" s="52" t="s">
        <v>243</v>
      </c>
      <c r="B2493" s="52" t="s">
        <v>288</v>
      </c>
      <c r="C2493" s="52" t="s">
        <v>318</v>
      </c>
      <c r="D2493" s="52" t="s">
        <v>318</v>
      </c>
      <c r="E2493" s="52" t="s">
        <v>584</v>
      </c>
      <c r="F2493" s="52" t="s">
        <v>581</v>
      </c>
      <c r="G2493" s="195" t="s">
        <v>275</v>
      </c>
      <c r="H2493" s="195">
        <v>4.7030000000000002E-2</v>
      </c>
      <c r="I2493" s="195">
        <v>0</v>
      </c>
      <c r="J2493" s="195"/>
      <c r="K2493" s="195"/>
      <c r="L2493" s="195"/>
      <c r="M2493" s="195"/>
      <c r="N2493" s="195"/>
    </row>
    <row r="2494" spans="1:14" hidden="1" x14ac:dyDescent="0.35">
      <c r="A2494" s="52" t="s">
        <v>243</v>
      </c>
      <c r="B2494" s="52" t="s">
        <v>288</v>
      </c>
      <c r="C2494" s="52" t="s">
        <v>318</v>
      </c>
      <c r="D2494" s="52" t="s">
        <v>318</v>
      </c>
      <c r="E2494" s="52" t="s">
        <v>584</v>
      </c>
      <c r="F2494" s="52" t="s">
        <v>581</v>
      </c>
      <c r="G2494" s="195" t="s">
        <v>276</v>
      </c>
      <c r="H2494" s="195">
        <v>-0.68311699999999997</v>
      </c>
      <c r="I2494" s="195">
        <v>0</v>
      </c>
      <c r="J2494" s="195"/>
      <c r="K2494" s="195"/>
      <c r="L2494" s="195"/>
      <c r="M2494" s="195"/>
      <c r="N2494" s="195"/>
    </row>
    <row r="2495" spans="1:14" hidden="1" x14ac:dyDescent="0.35">
      <c r="A2495" s="52" t="s">
        <v>243</v>
      </c>
      <c r="B2495" s="52" t="s">
        <v>288</v>
      </c>
      <c r="C2495" s="52" t="s">
        <v>318</v>
      </c>
      <c r="D2495" s="52" t="s">
        <v>318</v>
      </c>
      <c r="E2495" s="52" t="s">
        <v>584</v>
      </c>
      <c r="F2495" s="52" t="s">
        <v>581</v>
      </c>
      <c r="G2495" s="195" t="s">
        <v>278</v>
      </c>
      <c r="H2495" s="195">
        <v>0.63608500000000001</v>
      </c>
      <c r="I2495" s="195">
        <v>0</v>
      </c>
      <c r="J2495" s="195"/>
      <c r="K2495" s="195"/>
      <c r="L2495" s="195"/>
      <c r="M2495" s="195"/>
      <c r="N2495" s="195"/>
    </row>
    <row r="2496" spans="1:14" hidden="1" x14ac:dyDescent="0.35">
      <c r="A2496" s="52" t="s">
        <v>243</v>
      </c>
      <c r="B2496" s="52" t="s">
        <v>288</v>
      </c>
      <c r="C2496" s="52" t="s">
        <v>318</v>
      </c>
      <c r="D2496" s="52" t="s">
        <v>318</v>
      </c>
      <c r="E2496" s="52" t="s">
        <v>584</v>
      </c>
      <c r="F2496" s="52" t="s">
        <v>26</v>
      </c>
      <c r="G2496" s="195" t="s">
        <v>275</v>
      </c>
      <c r="H2496" s="195">
        <v>3.1354E-2</v>
      </c>
      <c r="I2496" s="195">
        <v>0</v>
      </c>
      <c r="J2496" s="195"/>
      <c r="K2496" s="195"/>
      <c r="L2496" s="195"/>
      <c r="M2496" s="195"/>
      <c r="N2496" s="195"/>
    </row>
    <row r="2497" spans="1:14" hidden="1" x14ac:dyDescent="0.35">
      <c r="A2497" s="52" t="s">
        <v>243</v>
      </c>
      <c r="B2497" s="52" t="s">
        <v>288</v>
      </c>
      <c r="C2497" s="52" t="s">
        <v>318</v>
      </c>
      <c r="D2497" s="52" t="s">
        <v>318</v>
      </c>
      <c r="E2497" s="52" t="s">
        <v>584</v>
      </c>
      <c r="F2497" s="52" t="s">
        <v>26</v>
      </c>
      <c r="G2497" s="195" t="s">
        <v>276</v>
      </c>
      <c r="H2497" s="195">
        <v>-0.45541100000000001</v>
      </c>
      <c r="I2497" s="195">
        <v>0</v>
      </c>
      <c r="J2497" s="195"/>
      <c r="K2497" s="195"/>
      <c r="L2497" s="195"/>
      <c r="M2497" s="195"/>
      <c r="N2497" s="195"/>
    </row>
    <row r="2498" spans="1:14" hidden="1" x14ac:dyDescent="0.35">
      <c r="A2498" s="52" t="s">
        <v>243</v>
      </c>
      <c r="B2498" s="52" t="s">
        <v>288</v>
      </c>
      <c r="C2498" s="52" t="s">
        <v>318</v>
      </c>
      <c r="D2498" s="52" t="s">
        <v>318</v>
      </c>
      <c r="E2498" s="52" t="s">
        <v>584</v>
      </c>
      <c r="F2498" s="52" t="s">
        <v>26</v>
      </c>
      <c r="G2498" s="195" t="s">
        <v>278</v>
      </c>
      <c r="H2498" s="195">
        <v>0.42405700000000002</v>
      </c>
      <c r="I2498" s="195">
        <v>0</v>
      </c>
      <c r="J2498" s="195"/>
      <c r="K2498" s="195"/>
      <c r="L2498" s="195"/>
      <c r="M2498" s="195"/>
      <c r="N2498" s="195"/>
    </row>
    <row r="2499" spans="1:14" hidden="1" x14ac:dyDescent="0.35">
      <c r="A2499" s="52" t="s">
        <v>243</v>
      </c>
      <c r="B2499" s="52" t="s">
        <v>201</v>
      </c>
      <c r="C2499" s="52" t="s">
        <v>318</v>
      </c>
      <c r="D2499" s="52" t="s">
        <v>318</v>
      </c>
      <c r="E2499" s="52" t="s">
        <v>584</v>
      </c>
      <c r="F2499" s="52" t="s">
        <v>581</v>
      </c>
      <c r="G2499" s="195" t="s">
        <v>275</v>
      </c>
      <c r="H2499" s="195">
        <v>-19.427630000000001</v>
      </c>
      <c r="I2499" s="195">
        <v>0</v>
      </c>
      <c r="J2499" s="195"/>
      <c r="K2499" s="195"/>
      <c r="L2499" s="195"/>
      <c r="M2499" s="195"/>
      <c r="N2499" s="195"/>
    </row>
    <row r="2500" spans="1:14" hidden="1" x14ac:dyDescent="0.35">
      <c r="A2500" s="52" t="s">
        <v>243</v>
      </c>
      <c r="B2500" s="52" t="s">
        <v>201</v>
      </c>
      <c r="C2500" s="52" t="s">
        <v>318</v>
      </c>
      <c r="D2500" s="52" t="s">
        <v>318</v>
      </c>
      <c r="E2500" s="52" t="s">
        <v>584</v>
      </c>
      <c r="F2500" s="52" t="s">
        <v>581</v>
      </c>
      <c r="G2500" s="195" t="s">
        <v>278</v>
      </c>
      <c r="H2500" s="195">
        <v>19.427630000000001</v>
      </c>
      <c r="I2500" s="195">
        <v>0</v>
      </c>
      <c r="J2500" s="195"/>
      <c r="K2500" s="195"/>
      <c r="L2500" s="195"/>
      <c r="M2500" s="195"/>
      <c r="N2500" s="195"/>
    </row>
    <row r="2501" spans="1:14" hidden="1" x14ac:dyDescent="0.35">
      <c r="A2501" s="52" t="s">
        <v>243</v>
      </c>
      <c r="B2501" s="52" t="s">
        <v>201</v>
      </c>
      <c r="C2501" s="52" t="s">
        <v>362</v>
      </c>
      <c r="D2501" s="52" t="s">
        <v>362</v>
      </c>
      <c r="E2501" s="52" t="s">
        <v>584</v>
      </c>
      <c r="F2501" s="52" t="s">
        <v>26</v>
      </c>
      <c r="G2501" s="195" t="s">
        <v>275</v>
      </c>
      <c r="H2501" s="195">
        <v>-5.1534610000000001</v>
      </c>
      <c r="I2501" s="195">
        <v>-5.1534610000000001</v>
      </c>
      <c r="J2501" s="195">
        <v>0</v>
      </c>
      <c r="K2501" s="195">
        <v>0</v>
      </c>
      <c r="L2501" s="195">
        <v>0</v>
      </c>
      <c r="M2501" s="195">
        <v>0</v>
      </c>
      <c r="N2501" s="195">
        <v>0</v>
      </c>
    </row>
    <row r="2502" spans="1:14" hidden="1" x14ac:dyDescent="0.35">
      <c r="A2502" s="52" t="s">
        <v>243</v>
      </c>
      <c r="B2502" s="52" t="s">
        <v>201</v>
      </c>
      <c r="C2502" s="52" t="s">
        <v>318</v>
      </c>
      <c r="D2502" s="52" t="s">
        <v>318</v>
      </c>
      <c r="E2502" s="52" t="s">
        <v>584</v>
      </c>
      <c r="F2502" s="52" t="s">
        <v>26</v>
      </c>
      <c r="G2502" s="195" t="s">
        <v>275</v>
      </c>
      <c r="H2502" s="195">
        <v>-12.95176</v>
      </c>
      <c r="I2502" s="195">
        <v>0</v>
      </c>
      <c r="J2502" s="195"/>
      <c r="K2502" s="195"/>
      <c r="L2502" s="195"/>
      <c r="M2502" s="195"/>
      <c r="N2502" s="195"/>
    </row>
    <row r="2503" spans="1:14" hidden="1" x14ac:dyDescent="0.35">
      <c r="A2503" s="52" t="s">
        <v>243</v>
      </c>
      <c r="B2503" s="52" t="s">
        <v>201</v>
      </c>
      <c r="C2503" s="52" t="s">
        <v>362</v>
      </c>
      <c r="D2503" s="52" t="s">
        <v>362</v>
      </c>
      <c r="E2503" s="52" t="s">
        <v>584</v>
      </c>
      <c r="F2503" s="52" t="s">
        <v>26</v>
      </c>
      <c r="G2503" s="195" t="s">
        <v>276</v>
      </c>
      <c r="H2503" s="195"/>
      <c r="I2503" s="195"/>
      <c r="J2503" s="195">
        <v>-5.1534610000000001</v>
      </c>
      <c r="K2503" s="195">
        <v>-17.817170000000001</v>
      </c>
      <c r="L2503" s="195">
        <v>-0.13386319999999999</v>
      </c>
      <c r="M2503" s="195">
        <v>-0.13386319999999999</v>
      </c>
      <c r="N2503" s="195">
        <v>-0.14469679999999999</v>
      </c>
    </row>
    <row r="2504" spans="1:14" hidden="1" x14ac:dyDescent="0.35">
      <c r="A2504" s="52" t="s">
        <v>243</v>
      </c>
      <c r="B2504" s="52" t="s">
        <v>201</v>
      </c>
      <c r="C2504" s="52" t="s">
        <v>362</v>
      </c>
      <c r="D2504" s="52" t="s">
        <v>362</v>
      </c>
      <c r="E2504" s="52" t="s">
        <v>584</v>
      </c>
      <c r="F2504" s="52" t="s">
        <v>26</v>
      </c>
      <c r="G2504" s="195" t="s">
        <v>277</v>
      </c>
      <c r="H2504" s="195"/>
      <c r="I2504" s="195"/>
      <c r="J2504" s="195"/>
      <c r="K2504" s="195"/>
      <c r="L2504" s="195"/>
      <c r="M2504" s="195">
        <v>0</v>
      </c>
      <c r="N2504" s="195">
        <v>1.0833600000000001E-2</v>
      </c>
    </row>
    <row r="2505" spans="1:14" hidden="1" x14ac:dyDescent="0.35">
      <c r="A2505" s="52" t="s">
        <v>243</v>
      </c>
      <c r="B2505" s="52" t="s">
        <v>201</v>
      </c>
      <c r="C2505" s="52" t="s">
        <v>362</v>
      </c>
      <c r="D2505" s="52" t="s">
        <v>362</v>
      </c>
      <c r="E2505" s="52" t="s">
        <v>584</v>
      </c>
      <c r="F2505" s="52" t="s">
        <v>26</v>
      </c>
      <c r="G2505" s="195" t="s">
        <v>278</v>
      </c>
      <c r="H2505" s="195">
        <v>5.1534610000000001</v>
      </c>
      <c r="I2505" s="195">
        <v>5.1534610000000001</v>
      </c>
      <c r="J2505" s="195">
        <v>5.1534610000000001</v>
      </c>
      <c r="K2505" s="195">
        <v>17.817170000000001</v>
      </c>
      <c r="L2505" s="195">
        <v>0.13386319999999999</v>
      </c>
      <c r="M2505" s="195">
        <v>0.13386319999999999</v>
      </c>
      <c r="N2505" s="195">
        <v>0.13386319999999999</v>
      </c>
    </row>
    <row r="2506" spans="1:14" hidden="1" x14ac:dyDescent="0.35">
      <c r="A2506" s="52" t="s">
        <v>243</v>
      </c>
      <c r="B2506" s="52" t="s">
        <v>201</v>
      </c>
      <c r="C2506" s="52" t="s">
        <v>318</v>
      </c>
      <c r="D2506" s="52" t="s">
        <v>318</v>
      </c>
      <c r="E2506" s="52" t="s">
        <v>584</v>
      </c>
      <c r="F2506" s="52" t="s">
        <v>26</v>
      </c>
      <c r="G2506" s="195" t="s">
        <v>278</v>
      </c>
      <c r="H2506" s="195">
        <v>12.95176</v>
      </c>
      <c r="I2506" s="195">
        <v>0</v>
      </c>
      <c r="J2506" s="195"/>
      <c r="K2506" s="195"/>
      <c r="L2506" s="195"/>
      <c r="M2506" s="195"/>
      <c r="N2506" s="195"/>
    </row>
    <row r="2507" spans="1:14" hidden="1" x14ac:dyDescent="0.35">
      <c r="A2507" s="52" t="s">
        <v>243</v>
      </c>
      <c r="B2507" s="52" t="s">
        <v>201</v>
      </c>
      <c r="C2507" s="52" t="s">
        <v>297</v>
      </c>
      <c r="D2507" s="52" t="s">
        <v>297</v>
      </c>
      <c r="E2507" s="52" t="s">
        <v>584</v>
      </c>
      <c r="F2507" s="52" t="s">
        <v>26</v>
      </c>
      <c r="G2507" s="195" t="s">
        <v>275</v>
      </c>
      <c r="H2507" s="195">
        <v>-0.1600916</v>
      </c>
      <c r="I2507" s="195">
        <v>-110.0282</v>
      </c>
      <c r="J2507" s="195">
        <v>0</v>
      </c>
      <c r="K2507" s="195">
        <v>0</v>
      </c>
      <c r="L2507" s="195">
        <v>0</v>
      </c>
      <c r="M2507" s="195">
        <v>0</v>
      </c>
      <c r="N2507" s="195">
        <v>0</v>
      </c>
    </row>
    <row r="2508" spans="1:14" hidden="1" x14ac:dyDescent="0.35">
      <c r="A2508" s="52" t="s">
        <v>243</v>
      </c>
      <c r="B2508" s="52" t="s">
        <v>201</v>
      </c>
      <c r="C2508" s="52" t="s">
        <v>297</v>
      </c>
      <c r="D2508" s="52" t="s">
        <v>297</v>
      </c>
      <c r="E2508" s="52" t="s">
        <v>584</v>
      </c>
      <c r="F2508" s="52" t="s">
        <v>26</v>
      </c>
      <c r="G2508" s="195" t="s">
        <v>276</v>
      </c>
      <c r="H2508" s="195"/>
      <c r="I2508" s="195"/>
      <c r="J2508" s="195">
        <v>-0.1600916</v>
      </c>
      <c r="K2508" s="195">
        <v>-0.1600916</v>
      </c>
      <c r="L2508" s="195">
        <v>-0.1600916</v>
      </c>
      <c r="M2508" s="195">
        <v>-0.2034252</v>
      </c>
      <c r="N2508" s="195">
        <v>-0.20342479999999999</v>
      </c>
    </row>
    <row r="2509" spans="1:14" hidden="1" x14ac:dyDescent="0.35">
      <c r="A2509" s="52" t="s">
        <v>243</v>
      </c>
      <c r="B2509" s="52" t="s">
        <v>201</v>
      </c>
      <c r="C2509" s="52" t="s">
        <v>297</v>
      </c>
      <c r="D2509" s="52" t="s">
        <v>297</v>
      </c>
      <c r="E2509" s="52" t="s">
        <v>584</v>
      </c>
      <c r="F2509" s="52" t="s">
        <v>26</v>
      </c>
      <c r="G2509" s="195" t="s">
        <v>277</v>
      </c>
      <c r="H2509" s="195"/>
      <c r="I2509" s="195"/>
      <c r="J2509" s="195"/>
      <c r="K2509" s="195"/>
      <c r="L2509" s="195">
        <v>0</v>
      </c>
      <c r="M2509" s="195">
        <v>4.33336E-2</v>
      </c>
      <c r="N2509" s="195">
        <v>4.3333209999999997E-2</v>
      </c>
    </row>
    <row r="2510" spans="1:14" hidden="1" x14ac:dyDescent="0.35">
      <c r="A2510" s="52" t="s">
        <v>243</v>
      </c>
      <c r="B2510" s="52" t="s">
        <v>201</v>
      </c>
      <c r="C2510" s="52" t="s">
        <v>297</v>
      </c>
      <c r="D2510" s="52" t="s">
        <v>297</v>
      </c>
      <c r="E2510" s="52" t="s">
        <v>584</v>
      </c>
      <c r="F2510" s="52" t="s">
        <v>26</v>
      </c>
      <c r="G2510" s="195" t="s">
        <v>278</v>
      </c>
      <c r="H2510" s="195">
        <v>0.1600916</v>
      </c>
      <c r="I2510" s="195">
        <v>110.0282</v>
      </c>
      <c r="J2510" s="195">
        <v>0.1600916</v>
      </c>
      <c r="K2510" s="195">
        <v>0.1600916</v>
      </c>
      <c r="L2510" s="195">
        <v>0.1600916</v>
      </c>
      <c r="M2510" s="195">
        <v>0.1600916</v>
      </c>
      <c r="N2510" s="195">
        <v>0.1600916</v>
      </c>
    </row>
    <row r="2511" spans="1:14" hidden="1" x14ac:dyDescent="0.35">
      <c r="A2511" s="52" t="s">
        <v>226</v>
      </c>
      <c r="B2511" s="52" t="s">
        <v>37</v>
      </c>
      <c r="C2511" s="52" t="s">
        <v>51</v>
      </c>
      <c r="D2511" s="52" t="s">
        <v>51</v>
      </c>
      <c r="E2511" s="52" t="s">
        <v>602</v>
      </c>
      <c r="F2511" s="52" t="s">
        <v>581</v>
      </c>
      <c r="G2511" s="195" t="s">
        <v>275</v>
      </c>
      <c r="H2511" s="195">
        <v>506.62130000000002</v>
      </c>
      <c r="I2511" s="195">
        <v>-64.1785</v>
      </c>
      <c r="J2511" s="195">
        <v>226.77850000000001</v>
      </c>
      <c r="K2511" s="195">
        <v>177.1942</v>
      </c>
      <c r="L2511" s="195">
        <v>145.3005</v>
      </c>
      <c r="M2511" s="195">
        <v>108.52509999999999</v>
      </c>
      <c r="N2511" s="195">
        <v>73.748630000000006</v>
      </c>
    </row>
    <row r="2512" spans="1:14" hidden="1" x14ac:dyDescent="0.35">
      <c r="A2512" s="52" t="s">
        <v>226</v>
      </c>
      <c r="B2512" s="52" t="s">
        <v>37</v>
      </c>
      <c r="C2512" s="52" t="s">
        <v>51</v>
      </c>
      <c r="D2512" s="52" t="s">
        <v>51</v>
      </c>
      <c r="E2512" s="52" t="s">
        <v>602</v>
      </c>
      <c r="F2512" s="52" t="s">
        <v>581</v>
      </c>
      <c r="G2512" s="195" t="s">
        <v>276</v>
      </c>
      <c r="H2512" s="195">
        <v>162.99940000000001</v>
      </c>
      <c r="I2512" s="195">
        <v>-7.4033720000000001</v>
      </c>
      <c r="J2512" s="195">
        <v>-46.330089999999998</v>
      </c>
      <c r="K2512" s="195">
        <v>-41.258659999999999</v>
      </c>
      <c r="L2512" s="195">
        <v>-40.481909999999999</v>
      </c>
      <c r="M2512" s="195">
        <v>-11.887890000000001</v>
      </c>
      <c r="N2512" s="195">
        <v>18.296749999999999</v>
      </c>
    </row>
    <row r="2513" spans="1:14" hidden="1" x14ac:dyDescent="0.35">
      <c r="A2513" s="52" t="s">
        <v>226</v>
      </c>
      <c r="B2513" s="52" t="s">
        <v>37</v>
      </c>
      <c r="C2513" s="52" t="s">
        <v>51</v>
      </c>
      <c r="D2513" s="52" t="s">
        <v>51</v>
      </c>
      <c r="E2513" s="52" t="s">
        <v>602</v>
      </c>
      <c r="F2513" s="52" t="s">
        <v>581</v>
      </c>
      <c r="G2513" s="195" t="s">
        <v>277</v>
      </c>
      <c r="H2513" s="195">
        <v>433.45429999999999</v>
      </c>
      <c r="I2513" s="195">
        <v>112.8263</v>
      </c>
      <c r="J2513" s="195">
        <v>12.637980000000001</v>
      </c>
      <c r="K2513" s="195">
        <v>6.8763550000000002</v>
      </c>
      <c r="L2513" s="195">
        <v>5.8886700000000003</v>
      </c>
      <c r="M2513" s="195">
        <v>11.05503</v>
      </c>
      <c r="N2513" s="195">
        <v>14.80796</v>
      </c>
    </row>
    <row r="2514" spans="1:14" hidden="1" x14ac:dyDescent="0.35">
      <c r="A2514" s="52" t="s">
        <v>226</v>
      </c>
      <c r="B2514" s="52" t="s">
        <v>37</v>
      </c>
      <c r="C2514" s="52" t="s">
        <v>51</v>
      </c>
      <c r="D2514" s="52" t="s">
        <v>51</v>
      </c>
      <c r="E2514" s="52" t="s">
        <v>602</v>
      </c>
      <c r="F2514" s="52" t="s">
        <v>581</v>
      </c>
      <c r="G2514" s="195" t="s">
        <v>278</v>
      </c>
      <c r="H2514" s="195">
        <v>209.28579999999999</v>
      </c>
      <c r="I2514" s="195">
        <v>287.17360000000002</v>
      </c>
      <c r="J2514" s="195">
        <v>19.71893</v>
      </c>
      <c r="K2514" s="195">
        <v>16.037859999999998</v>
      </c>
      <c r="L2514" s="195">
        <v>12.167070000000001</v>
      </c>
      <c r="M2514" s="195">
        <v>13.60633</v>
      </c>
      <c r="N2514" s="195">
        <v>6.3654630000000001</v>
      </c>
    </row>
    <row r="2515" spans="1:14" hidden="1" x14ac:dyDescent="0.35">
      <c r="A2515" s="52" t="s">
        <v>226</v>
      </c>
      <c r="B2515" s="52" t="s">
        <v>37</v>
      </c>
      <c r="C2515" s="52" t="s">
        <v>51</v>
      </c>
      <c r="D2515" s="52" t="s">
        <v>51</v>
      </c>
      <c r="E2515" s="52" t="s">
        <v>602</v>
      </c>
      <c r="F2515" s="52" t="s">
        <v>581</v>
      </c>
      <c r="G2515" s="195" t="s">
        <v>279</v>
      </c>
      <c r="H2515" s="195">
        <v>438.58150000000001</v>
      </c>
      <c r="I2515" s="195">
        <v>343.05380000000002</v>
      </c>
      <c r="J2515" s="195">
        <v>265.04520000000002</v>
      </c>
      <c r="K2515" s="195">
        <v>204.64340000000001</v>
      </c>
      <c r="L2515" s="195">
        <v>204.2039</v>
      </c>
      <c r="M2515" s="195">
        <v>192.2259</v>
      </c>
      <c r="N2515" s="195">
        <v>176.66990000000001</v>
      </c>
    </row>
    <row r="2516" spans="1:14" hidden="1" x14ac:dyDescent="0.35">
      <c r="A2516" s="52" t="s">
        <v>226</v>
      </c>
      <c r="B2516" s="52" t="s">
        <v>37</v>
      </c>
      <c r="C2516" s="52" t="s">
        <v>51</v>
      </c>
      <c r="D2516" s="52" t="s">
        <v>51</v>
      </c>
      <c r="E2516" s="52" t="s">
        <v>602</v>
      </c>
      <c r="F2516" s="52" t="s">
        <v>26</v>
      </c>
      <c r="G2516" s="195" t="s">
        <v>275</v>
      </c>
      <c r="H2516" s="195">
        <v>7.1921910000000002</v>
      </c>
      <c r="I2516" s="195">
        <v>3.0195850000000002</v>
      </c>
      <c r="J2516" s="195">
        <v>3.4410720000000001</v>
      </c>
      <c r="K2516" s="195">
        <v>2.1308240000000001</v>
      </c>
      <c r="L2516" s="195">
        <v>0.4622136</v>
      </c>
      <c r="M2516" s="195">
        <v>0.55121220000000004</v>
      </c>
      <c r="N2516" s="195">
        <v>0.55270019999999997</v>
      </c>
    </row>
    <row r="2517" spans="1:14" hidden="1" x14ac:dyDescent="0.35">
      <c r="A2517" s="52" t="s">
        <v>226</v>
      </c>
      <c r="B2517" s="52" t="s">
        <v>37</v>
      </c>
      <c r="C2517" s="52" t="s">
        <v>51</v>
      </c>
      <c r="D2517" s="52" t="s">
        <v>51</v>
      </c>
      <c r="E2517" s="52" t="s">
        <v>602</v>
      </c>
      <c r="F2517" s="52" t="s">
        <v>26</v>
      </c>
      <c r="G2517" s="195" t="s">
        <v>276</v>
      </c>
      <c r="H2517" s="195">
        <v>1.911818</v>
      </c>
      <c r="I2517" s="195">
        <v>0.80268660000000003</v>
      </c>
      <c r="J2517" s="195">
        <v>0.9147187</v>
      </c>
      <c r="K2517" s="195">
        <v>0.56642199999999998</v>
      </c>
      <c r="L2517" s="195">
        <v>0.12287480000000001</v>
      </c>
      <c r="M2517" s="195">
        <v>0.14651900000000001</v>
      </c>
      <c r="N2517" s="195">
        <v>0.14692040000000001</v>
      </c>
    </row>
    <row r="2518" spans="1:14" hidden="1" x14ac:dyDescent="0.35">
      <c r="A2518" s="52" t="s">
        <v>226</v>
      </c>
      <c r="B2518" s="52" t="s">
        <v>37</v>
      </c>
      <c r="C2518" s="52" t="s">
        <v>51</v>
      </c>
      <c r="D2518" s="52" t="s">
        <v>51</v>
      </c>
      <c r="E2518" s="52" t="s">
        <v>602</v>
      </c>
      <c r="F2518" s="52" t="s">
        <v>26</v>
      </c>
      <c r="G2518" s="195" t="s">
        <v>279</v>
      </c>
      <c r="H2518" s="195">
        <v>32.676220000000001</v>
      </c>
      <c r="I2518" s="195">
        <v>30.551259999999999</v>
      </c>
      <c r="J2518" s="195">
        <v>24.226590000000002</v>
      </c>
      <c r="K2518" s="195">
        <v>18.968330000000002</v>
      </c>
      <c r="L2518" s="195">
        <v>18.812069999999999</v>
      </c>
      <c r="M2518" s="195">
        <v>17.731110000000001</v>
      </c>
      <c r="N2518" s="195">
        <v>16.286719999999999</v>
      </c>
    </row>
    <row r="2519" spans="1:14" hidden="1" x14ac:dyDescent="0.35">
      <c r="A2519" s="52" t="s">
        <v>226</v>
      </c>
      <c r="B2519" s="52" t="s">
        <v>37</v>
      </c>
      <c r="C2519" s="52" t="s">
        <v>79</v>
      </c>
      <c r="D2519" s="52" t="s">
        <v>79</v>
      </c>
      <c r="E2519" s="52" t="s">
        <v>614</v>
      </c>
      <c r="F2519" s="52" t="s">
        <v>581</v>
      </c>
      <c r="G2519" s="195" t="s">
        <v>275</v>
      </c>
      <c r="H2519" s="195">
        <v>138.4169</v>
      </c>
      <c r="I2519" s="195">
        <v>-180.37610000000001</v>
      </c>
      <c r="J2519" s="195">
        <v>144.07660000000001</v>
      </c>
      <c r="K2519" s="195">
        <v>111.8228</v>
      </c>
      <c r="L2519" s="195">
        <v>103.0223</v>
      </c>
      <c r="M2519" s="195">
        <v>77.557739999999995</v>
      </c>
      <c r="N2519" s="195">
        <v>35.460050000000003</v>
      </c>
    </row>
    <row r="2520" spans="1:14" hidden="1" x14ac:dyDescent="0.35">
      <c r="A2520" s="52" t="s">
        <v>226</v>
      </c>
      <c r="B2520" s="52" t="s">
        <v>37</v>
      </c>
      <c r="C2520" s="52" t="s">
        <v>79</v>
      </c>
      <c r="D2520" s="52" t="s">
        <v>79</v>
      </c>
      <c r="E2520" s="52" t="s">
        <v>614</v>
      </c>
      <c r="F2520" s="52" t="s">
        <v>581</v>
      </c>
      <c r="G2520" s="195" t="s">
        <v>276</v>
      </c>
      <c r="H2520" s="195">
        <v>53.34543</v>
      </c>
      <c r="I2520" s="195">
        <v>-26.149940000000001</v>
      </c>
      <c r="J2520" s="195">
        <v>-30.363109999999999</v>
      </c>
      <c r="K2520" s="195">
        <v>-31.699369999999998</v>
      </c>
      <c r="L2520" s="195">
        <v>-41.077219999999997</v>
      </c>
      <c r="M2520" s="195">
        <v>-26.032879999999999</v>
      </c>
      <c r="N2520" s="195">
        <v>7.4268260000000001</v>
      </c>
    </row>
    <row r="2521" spans="1:14" hidden="1" x14ac:dyDescent="0.35">
      <c r="A2521" s="52" t="s">
        <v>226</v>
      </c>
      <c r="B2521" s="52" t="s">
        <v>37</v>
      </c>
      <c r="C2521" s="52" t="s">
        <v>79</v>
      </c>
      <c r="D2521" s="52" t="s">
        <v>79</v>
      </c>
      <c r="E2521" s="52" t="s">
        <v>614</v>
      </c>
      <c r="F2521" s="52" t="s">
        <v>581</v>
      </c>
      <c r="G2521" s="195" t="s">
        <v>277</v>
      </c>
      <c r="H2521" s="195">
        <v>419.28300000000002</v>
      </c>
      <c r="I2521" s="195">
        <v>260.04500000000002</v>
      </c>
      <c r="J2521" s="195">
        <v>25.74024</v>
      </c>
      <c r="K2521" s="195">
        <v>24.29119</v>
      </c>
      <c r="L2521" s="195">
        <v>20.491599999999998</v>
      </c>
      <c r="M2521" s="195">
        <v>19.3414</v>
      </c>
      <c r="N2521" s="195">
        <v>16.8215</v>
      </c>
    </row>
    <row r="2522" spans="1:14" hidden="1" x14ac:dyDescent="0.35">
      <c r="A2522" s="52" t="s">
        <v>226</v>
      </c>
      <c r="B2522" s="52" t="s">
        <v>37</v>
      </c>
      <c r="C2522" s="52" t="s">
        <v>79</v>
      </c>
      <c r="D2522" s="52" t="s">
        <v>79</v>
      </c>
      <c r="E2522" s="52" t="s">
        <v>614</v>
      </c>
      <c r="F2522" s="52" t="s">
        <v>581</v>
      </c>
      <c r="G2522" s="195" t="s">
        <v>278</v>
      </c>
      <c r="H2522" s="195">
        <v>92.916989999999998</v>
      </c>
      <c r="I2522" s="195">
        <v>159.95500000000001</v>
      </c>
      <c r="J2522" s="195">
        <v>9.5439349999999994</v>
      </c>
      <c r="K2522" s="195">
        <v>4.8867570000000002</v>
      </c>
      <c r="L2522" s="195">
        <v>1.093739</v>
      </c>
      <c r="M2522" s="195">
        <v>0</v>
      </c>
      <c r="N2522" s="195"/>
    </row>
    <row r="2523" spans="1:14" hidden="1" x14ac:dyDescent="0.35">
      <c r="A2523" s="52" t="s">
        <v>226</v>
      </c>
      <c r="B2523" s="52" t="s">
        <v>37</v>
      </c>
      <c r="C2523" s="52" t="s">
        <v>79</v>
      </c>
      <c r="D2523" s="52" t="s">
        <v>79</v>
      </c>
      <c r="E2523" s="52" t="s">
        <v>614</v>
      </c>
      <c r="F2523" s="52" t="s">
        <v>581</v>
      </c>
      <c r="G2523" s="195" t="s">
        <v>279</v>
      </c>
      <c r="H2523" s="195">
        <v>202.17089999999999</v>
      </c>
      <c r="I2523" s="195">
        <v>150.9151</v>
      </c>
      <c r="J2523" s="195">
        <v>119.03879999999999</v>
      </c>
      <c r="K2523" s="195">
        <v>90.146609999999995</v>
      </c>
      <c r="L2523" s="195">
        <v>81.454689999999999</v>
      </c>
      <c r="M2523" s="195">
        <v>63.991</v>
      </c>
      <c r="N2523" s="195">
        <v>53.087989999999998</v>
      </c>
    </row>
    <row r="2524" spans="1:14" hidden="1" x14ac:dyDescent="0.35">
      <c r="A2524" s="52" t="s">
        <v>226</v>
      </c>
      <c r="B2524" s="52" t="s">
        <v>37</v>
      </c>
      <c r="C2524" s="52" t="s">
        <v>79</v>
      </c>
      <c r="D2524" s="52" t="s">
        <v>79</v>
      </c>
      <c r="E2524" s="52" t="s">
        <v>614</v>
      </c>
      <c r="F2524" s="52" t="s">
        <v>26</v>
      </c>
      <c r="G2524" s="195" t="s">
        <v>275</v>
      </c>
      <c r="H2524" s="195">
        <v>5.8659270000000001</v>
      </c>
      <c r="I2524" s="195">
        <v>2.586293</v>
      </c>
      <c r="J2524" s="195">
        <v>3.1864849999999998</v>
      </c>
      <c r="K2524" s="195">
        <v>1.7631749999999999</v>
      </c>
      <c r="L2524" s="195">
        <v>0.12983040000000001</v>
      </c>
      <c r="M2524" s="195">
        <v>0.2988094</v>
      </c>
      <c r="N2524" s="195">
        <v>0.28147640000000002</v>
      </c>
    </row>
    <row r="2525" spans="1:14" hidden="1" x14ac:dyDescent="0.35">
      <c r="A2525" s="52" t="s">
        <v>226</v>
      </c>
      <c r="B2525" s="52" t="s">
        <v>37</v>
      </c>
      <c r="C2525" s="52" t="s">
        <v>79</v>
      </c>
      <c r="D2525" s="52" t="s">
        <v>79</v>
      </c>
      <c r="E2525" s="52" t="s">
        <v>614</v>
      </c>
      <c r="F2525" s="52" t="s">
        <v>26</v>
      </c>
      <c r="G2525" s="195" t="s">
        <v>276</v>
      </c>
      <c r="H2525" s="195">
        <v>1.700458</v>
      </c>
      <c r="I2525" s="195">
        <v>0.74973679999999998</v>
      </c>
      <c r="J2525" s="195">
        <v>0.92372659999999995</v>
      </c>
      <c r="K2525" s="195">
        <v>0.51112800000000003</v>
      </c>
      <c r="L2525" s="195">
        <v>3.7631009999999999E-2</v>
      </c>
      <c r="M2525" s="195">
        <v>8.6625400000000005E-2</v>
      </c>
      <c r="N2525" s="195">
        <v>8.1592600000000001E-2</v>
      </c>
    </row>
    <row r="2526" spans="1:14" hidden="1" x14ac:dyDescent="0.35">
      <c r="A2526" s="52" t="s">
        <v>226</v>
      </c>
      <c r="B2526" s="52" t="s">
        <v>37</v>
      </c>
      <c r="C2526" s="52" t="s">
        <v>79</v>
      </c>
      <c r="D2526" s="52" t="s">
        <v>79</v>
      </c>
      <c r="E2526" s="52" t="s">
        <v>614</v>
      </c>
      <c r="F2526" s="52" t="s">
        <v>26</v>
      </c>
      <c r="G2526" s="195" t="s">
        <v>279</v>
      </c>
      <c r="H2526" s="195">
        <v>33.646160000000002</v>
      </c>
      <c r="I2526" s="195">
        <v>35.493290000000002</v>
      </c>
      <c r="J2526" s="195">
        <v>29.011869999999998</v>
      </c>
      <c r="K2526" s="195">
        <v>22.29007</v>
      </c>
      <c r="L2526" s="195">
        <v>19.973600000000001</v>
      </c>
      <c r="M2526" s="195">
        <v>15.638479999999999</v>
      </c>
      <c r="N2526" s="195">
        <v>12.954929999999999</v>
      </c>
    </row>
    <row r="2527" spans="1:14" hidden="1" x14ac:dyDescent="0.35">
      <c r="A2527" s="52" t="s">
        <v>226</v>
      </c>
      <c r="B2527" s="52" t="s">
        <v>37</v>
      </c>
      <c r="C2527" s="52" t="s">
        <v>79</v>
      </c>
      <c r="D2527" s="52" t="s">
        <v>79</v>
      </c>
      <c r="E2527" s="52" t="s">
        <v>600</v>
      </c>
      <c r="F2527" s="52" t="s">
        <v>581</v>
      </c>
      <c r="G2527" s="195" t="s">
        <v>275</v>
      </c>
      <c r="H2527" s="195">
        <v>206.048</v>
      </c>
      <c r="I2527" s="195">
        <v>-24.340129999999998</v>
      </c>
      <c r="J2527" s="195">
        <v>82.537480000000002</v>
      </c>
      <c r="K2527" s="195">
        <v>62.808450000000001</v>
      </c>
      <c r="L2527" s="195">
        <v>34.913449999999997</v>
      </c>
      <c r="M2527" s="195">
        <v>31.408750000000001</v>
      </c>
      <c r="N2527" s="195">
        <v>16.43085</v>
      </c>
    </row>
    <row r="2528" spans="1:14" hidden="1" x14ac:dyDescent="0.35">
      <c r="A2528" s="52" t="s">
        <v>226</v>
      </c>
      <c r="B2528" s="52" t="s">
        <v>37</v>
      </c>
      <c r="C2528" s="52" t="s">
        <v>79</v>
      </c>
      <c r="D2528" s="52" t="s">
        <v>79</v>
      </c>
      <c r="E2528" s="52" t="s">
        <v>600</v>
      </c>
      <c r="F2528" s="52" t="s">
        <v>581</v>
      </c>
      <c r="G2528" s="195" t="s">
        <v>276</v>
      </c>
      <c r="H2528" s="195">
        <v>10.77835</v>
      </c>
      <c r="I2528" s="195">
        <v>-31.658809999999999</v>
      </c>
      <c r="J2528" s="195">
        <v>-37.980499999999999</v>
      </c>
      <c r="K2528" s="195">
        <v>-31.371580000000002</v>
      </c>
      <c r="L2528" s="195">
        <v>-11.91146</v>
      </c>
      <c r="M2528" s="195">
        <v>-7.9244719999999997</v>
      </c>
      <c r="N2528" s="195">
        <v>3.0737220000000001</v>
      </c>
    </row>
    <row r="2529" spans="1:14" hidden="1" x14ac:dyDescent="0.35">
      <c r="A2529" s="52" t="s">
        <v>226</v>
      </c>
      <c r="B2529" s="52" t="s">
        <v>37</v>
      </c>
      <c r="C2529" s="52" t="s">
        <v>79</v>
      </c>
      <c r="D2529" s="52" t="s">
        <v>79</v>
      </c>
      <c r="E2529" s="52" t="s">
        <v>600</v>
      </c>
      <c r="F2529" s="52" t="s">
        <v>581</v>
      </c>
      <c r="G2529" s="195" t="s">
        <v>277</v>
      </c>
      <c r="H2529" s="195">
        <v>145.13390000000001</v>
      </c>
      <c r="I2529" s="195">
        <v>109.47580000000001</v>
      </c>
      <c r="J2529" s="195">
        <v>9.8663849999999993</v>
      </c>
      <c r="K2529" s="195">
        <v>9.9980370000000001</v>
      </c>
      <c r="L2529" s="195">
        <v>7.6152980000000001</v>
      </c>
      <c r="M2529" s="195">
        <v>3.192072</v>
      </c>
      <c r="N2529" s="195">
        <v>3.7254330000000002</v>
      </c>
    </row>
    <row r="2530" spans="1:14" hidden="1" x14ac:dyDescent="0.35">
      <c r="A2530" s="52" t="s">
        <v>226</v>
      </c>
      <c r="B2530" s="52" t="s">
        <v>37</v>
      </c>
      <c r="C2530" s="52" t="s">
        <v>79</v>
      </c>
      <c r="D2530" s="52" t="s">
        <v>79</v>
      </c>
      <c r="E2530" s="52" t="s">
        <v>600</v>
      </c>
      <c r="F2530" s="52" t="s">
        <v>581</v>
      </c>
      <c r="G2530" s="195" t="s">
        <v>278</v>
      </c>
      <c r="H2530" s="195">
        <v>16.62612</v>
      </c>
      <c r="I2530" s="195">
        <v>30.731649999999998</v>
      </c>
      <c r="J2530" s="195">
        <v>4.2632830000000004</v>
      </c>
      <c r="K2530" s="195">
        <v>4.1137170000000003</v>
      </c>
      <c r="L2530" s="195">
        <v>3.2316259999999999</v>
      </c>
      <c r="M2530" s="195">
        <v>1.3988590000000001</v>
      </c>
      <c r="N2530" s="195">
        <v>0.68423310000000004</v>
      </c>
    </row>
    <row r="2531" spans="1:14" hidden="1" x14ac:dyDescent="0.35">
      <c r="A2531" s="52" t="s">
        <v>226</v>
      </c>
      <c r="B2531" s="52" t="s">
        <v>37</v>
      </c>
      <c r="C2531" s="52" t="s">
        <v>79</v>
      </c>
      <c r="D2531" s="52" t="s">
        <v>79</v>
      </c>
      <c r="E2531" s="52" t="s">
        <v>600</v>
      </c>
      <c r="F2531" s="52" t="s">
        <v>581</v>
      </c>
      <c r="G2531" s="195" t="s">
        <v>279</v>
      </c>
      <c r="H2531" s="195">
        <v>141.00620000000001</v>
      </c>
      <c r="I2531" s="195">
        <v>89.841380000000001</v>
      </c>
      <c r="J2531" s="195">
        <v>74.081649999999996</v>
      </c>
      <c r="K2531" s="195">
        <v>58.168680000000002</v>
      </c>
      <c r="L2531" s="195">
        <v>53.581809999999997</v>
      </c>
      <c r="M2531" s="195">
        <v>41.633540000000004</v>
      </c>
      <c r="N2531" s="195">
        <v>34.785499999999999</v>
      </c>
    </row>
    <row r="2532" spans="1:14" hidden="1" x14ac:dyDescent="0.35">
      <c r="A2532" s="52" t="s">
        <v>226</v>
      </c>
      <c r="B2532" s="52" t="s">
        <v>37</v>
      </c>
      <c r="C2532" s="52" t="s">
        <v>79</v>
      </c>
      <c r="D2532" s="52" t="s">
        <v>79</v>
      </c>
      <c r="E2532" s="52" t="s">
        <v>600</v>
      </c>
      <c r="F2532" s="52" t="s">
        <v>26</v>
      </c>
      <c r="G2532" s="195" t="s">
        <v>275</v>
      </c>
      <c r="H2532" s="195">
        <v>8.6343019999999999</v>
      </c>
      <c r="I2532" s="195">
        <v>3.203341</v>
      </c>
      <c r="J2532" s="195">
        <v>4.0524839999999998</v>
      </c>
      <c r="K2532" s="195">
        <v>2.3677100000000002</v>
      </c>
      <c r="L2532" s="195">
        <v>0.24258260000000001</v>
      </c>
      <c r="M2532" s="195">
        <v>0.34449619999999997</v>
      </c>
      <c r="N2532" s="195">
        <v>0.32238020000000001</v>
      </c>
    </row>
    <row r="2533" spans="1:14" hidden="1" x14ac:dyDescent="0.35">
      <c r="A2533" s="52" t="s">
        <v>226</v>
      </c>
      <c r="B2533" s="52" t="s">
        <v>37</v>
      </c>
      <c r="C2533" s="52" t="s">
        <v>79</v>
      </c>
      <c r="D2533" s="52" t="s">
        <v>79</v>
      </c>
      <c r="E2533" s="52" t="s">
        <v>600</v>
      </c>
      <c r="F2533" s="52" t="s">
        <v>26</v>
      </c>
      <c r="G2533" s="195" t="s">
        <v>276</v>
      </c>
      <c r="H2533" s="195">
        <v>2.502999</v>
      </c>
      <c r="I2533" s="195">
        <v>0.92861839999999995</v>
      </c>
      <c r="J2533" s="195">
        <v>1.1747730000000001</v>
      </c>
      <c r="K2533" s="195">
        <v>0.68637389999999998</v>
      </c>
      <c r="L2533" s="195">
        <v>7.0322599999999999E-2</v>
      </c>
      <c r="M2533" s="195">
        <v>9.98666E-2</v>
      </c>
      <c r="N2533" s="195">
        <v>9.3454809999999999E-2</v>
      </c>
    </row>
    <row r="2534" spans="1:14" hidden="1" x14ac:dyDescent="0.35">
      <c r="A2534" s="52" t="s">
        <v>226</v>
      </c>
      <c r="B2534" s="52" t="s">
        <v>37</v>
      </c>
      <c r="C2534" s="52" t="s">
        <v>79</v>
      </c>
      <c r="D2534" s="52" t="s">
        <v>79</v>
      </c>
      <c r="E2534" s="52" t="s">
        <v>600</v>
      </c>
      <c r="F2534" s="52" t="s">
        <v>26</v>
      </c>
      <c r="G2534" s="195" t="s">
        <v>279</v>
      </c>
      <c r="H2534" s="195">
        <v>48.448650000000001</v>
      </c>
      <c r="I2534" s="195">
        <v>42.361660000000001</v>
      </c>
      <c r="J2534" s="195">
        <v>36.230840000000001</v>
      </c>
      <c r="K2534" s="195">
        <v>28.67624</v>
      </c>
      <c r="L2534" s="195">
        <v>26.02966</v>
      </c>
      <c r="M2534" s="195">
        <v>20.197749999999999</v>
      </c>
      <c r="N2534" s="195">
        <v>16.8462</v>
      </c>
    </row>
    <row r="2535" spans="1:14" hidden="1" x14ac:dyDescent="0.35">
      <c r="A2535" s="52" t="s">
        <v>226</v>
      </c>
      <c r="B2535" s="52" t="s">
        <v>37</v>
      </c>
      <c r="C2535" s="52" t="s">
        <v>79</v>
      </c>
      <c r="D2535" s="52" t="s">
        <v>79</v>
      </c>
      <c r="E2535" s="52" t="s">
        <v>601</v>
      </c>
      <c r="F2535" s="52" t="s">
        <v>581</v>
      </c>
      <c r="G2535" s="195" t="s">
        <v>275</v>
      </c>
      <c r="H2535" s="195">
        <v>26.185169999999999</v>
      </c>
      <c r="I2535" s="195">
        <v>29.783819999999999</v>
      </c>
      <c r="J2535" s="195">
        <v>22.889880000000002</v>
      </c>
      <c r="K2535" s="195">
        <v>18.242339999999999</v>
      </c>
      <c r="L2535" s="195">
        <v>14.390700000000001</v>
      </c>
      <c r="M2535" s="195">
        <v>7.957274</v>
      </c>
      <c r="N2535" s="195">
        <v>7.4847320000000002</v>
      </c>
    </row>
    <row r="2536" spans="1:14" hidden="1" x14ac:dyDescent="0.35">
      <c r="A2536" s="52" t="s">
        <v>226</v>
      </c>
      <c r="B2536" s="52" t="s">
        <v>37</v>
      </c>
      <c r="C2536" s="52" t="s">
        <v>79</v>
      </c>
      <c r="D2536" s="52" t="s">
        <v>79</v>
      </c>
      <c r="E2536" s="52" t="s">
        <v>601</v>
      </c>
      <c r="F2536" s="52" t="s">
        <v>581</v>
      </c>
      <c r="G2536" s="195" t="s">
        <v>276</v>
      </c>
      <c r="H2536" s="195">
        <v>-1.9117189999999999</v>
      </c>
      <c r="I2536" s="195">
        <v>-11.7012</v>
      </c>
      <c r="J2536" s="195">
        <v>-8.5011069999999993</v>
      </c>
      <c r="K2536" s="195">
        <v>-9.3831539999999993</v>
      </c>
      <c r="L2536" s="195">
        <v>-7.1481440000000003</v>
      </c>
      <c r="M2536" s="195">
        <v>0.85928040000000006</v>
      </c>
      <c r="N2536" s="195">
        <v>1.0544629999999999</v>
      </c>
    </row>
    <row r="2537" spans="1:14" hidden="1" x14ac:dyDescent="0.35">
      <c r="A2537" s="52" t="s">
        <v>226</v>
      </c>
      <c r="B2537" s="52" t="s">
        <v>37</v>
      </c>
      <c r="C2537" s="52" t="s">
        <v>79</v>
      </c>
      <c r="D2537" s="52" t="s">
        <v>79</v>
      </c>
      <c r="E2537" s="52" t="s">
        <v>601</v>
      </c>
      <c r="F2537" s="52" t="s">
        <v>581</v>
      </c>
      <c r="G2537" s="195" t="s">
        <v>277</v>
      </c>
      <c r="H2537" s="195">
        <v>70.908259999999999</v>
      </c>
      <c r="I2537" s="195">
        <v>2.1555689999999998</v>
      </c>
      <c r="J2537" s="195">
        <v>5.8504019999999999</v>
      </c>
      <c r="K2537" s="195">
        <v>3.962399</v>
      </c>
      <c r="L2537" s="195">
        <v>3.9738199999999999</v>
      </c>
      <c r="M2537" s="195">
        <v>4.4994259999999997</v>
      </c>
      <c r="N2537" s="195">
        <v>4.2100759999999999</v>
      </c>
    </row>
    <row r="2538" spans="1:14" hidden="1" x14ac:dyDescent="0.35">
      <c r="A2538" s="52" t="s">
        <v>226</v>
      </c>
      <c r="B2538" s="52" t="s">
        <v>37</v>
      </c>
      <c r="C2538" s="52" t="s">
        <v>79</v>
      </c>
      <c r="D2538" s="52" t="s">
        <v>79</v>
      </c>
      <c r="E2538" s="52" t="s">
        <v>601</v>
      </c>
      <c r="F2538" s="52" t="s">
        <v>581</v>
      </c>
      <c r="G2538" s="195" t="s">
        <v>278</v>
      </c>
      <c r="H2538" s="195">
        <v>34.606580000000001</v>
      </c>
      <c r="I2538" s="195">
        <v>10.684049999999999</v>
      </c>
      <c r="J2538" s="195">
        <v>3.8915039999999999</v>
      </c>
      <c r="K2538" s="195">
        <v>7.6706510000000003</v>
      </c>
      <c r="L2538" s="195">
        <v>3.9768840000000001</v>
      </c>
      <c r="M2538" s="195">
        <v>0.86691819999999997</v>
      </c>
      <c r="N2538" s="195">
        <v>0.21476120000000001</v>
      </c>
    </row>
    <row r="2539" spans="1:14" hidden="1" x14ac:dyDescent="0.35">
      <c r="A2539" s="52" t="s">
        <v>226</v>
      </c>
      <c r="B2539" s="52" t="s">
        <v>37</v>
      </c>
      <c r="C2539" s="52" t="s">
        <v>79</v>
      </c>
      <c r="D2539" s="52" t="s">
        <v>79</v>
      </c>
      <c r="E2539" s="52" t="s">
        <v>601</v>
      </c>
      <c r="F2539" s="52" t="s">
        <v>581</v>
      </c>
      <c r="G2539" s="195" t="s">
        <v>279</v>
      </c>
      <c r="H2539" s="195">
        <v>35.744709999999998</v>
      </c>
      <c r="I2539" s="195">
        <v>21.05508</v>
      </c>
      <c r="J2539" s="195">
        <v>18.6431</v>
      </c>
      <c r="K2539" s="195">
        <v>20.83278</v>
      </c>
      <c r="L2539" s="195">
        <v>18.870999999999999</v>
      </c>
      <c r="M2539" s="195">
        <v>13.97658</v>
      </c>
      <c r="N2539" s="195">
        <v>11.054169999999999</v>
      </c>
    </row>
    <row r="2540" spans="1:14" hidden="1" x14ac:dyDescent="0.35">
      <c r="A2540" s="52" t="s">
        <v>226</v>
      </c>
      <c r="B2540" s="52" t="s">
        <v>37</v>
      </c>
      <c r="C2540" s="52" t="s">
        <v>79</v>
      </c>
      <c r="D2540" s="52" t="s">
        <v>79</v>
      </c>
      <c r="E2540" s="52" t="s">
        <v>601</v>
      </c>
      <c r="F2540" s="52" t="s">
        <v>26</v>
      </c>
      <c r="G2540" s="195" t="s">
        <v>275</v>
      </c>
      <c r="H2540" s="195">
        <v>6.9061510000000004</v>
      </c>
      <c r="I2540" s="195">
        <v>3.9251079999999998</v>
      </c>
      <c r="J2540" s="195">
        <v>4.0807589999999996</v>
      </c>
      <c r="K2540" s="195">
        <v>3.4068879999999999</v>
      </c>
      <c r="L2540" s="195">
        <v>2.1156739999999998</v>
      </c>
      <c r="M2540" s="195">
        <v>1.8834500000000001</v>
      </c>
      <c r="N2540" s="195">
        <v>1.6768270000000001</v>
      </c>
    </row>
    <row r="2541" spans="1:14" hidden="1" x14ac:dyDescent="0.35">
      <c r="A2541" s="52" t="s">
        <v>226</v>
      </c>
      <c r="B2541" s="52" t="s">
        <v>37</v>
      </c>
      <c r="C2541" s="52" t="s">
        <v>79</v>
      </c>
      <c r="D2541" s="52" t="s">
        <v>79</v>
      </c>
      <c r="E2541" s="52" t="s">
        <v>601</v>
      </c>
      <c r="F2541" s="52" t="s">
        <v>26</v>
      </c>
      <c r="G2541" s="195" t="s">
        <v>276</v>
      </c>
      <c r="H2541" s="195">
        <v>1.835812</v>
      </c>
      <c r="I2541" s="195">
        <v>1.0433840000000001</v>
      </c>
      <c r="J2541" s="195">
        <v>1.0847579999999999</v>
      </c>
      <c r="K2541" s="195">
        <v>0.90562759999999998</v>
      </c>
      <c r="L2541" s="195">
        <v>0.56239380000000005</v>
      </c>
      <c r="M2541" s="195">
        <v>0.50066259999999996</v>
      </c>
      <c r="N2541" s="195">
        <v>0.44573980000000002</v>
      </c>
    </row>
    <row r="2542" spans="1:14" hidden="1" x14ac:dyDescent="0.35">
      <c r="A2542" s="52" t="s">
        <v>226</v>
      </c>
      <c r="B2542" s="52" t="s">
        <v>37</v>
      </c>
      <c r="C2542" s="52" t="s">
        <v>79</v>
      </c>
      <c r="D2542" s="52" t="s">
        <v>79</v>
      </c>
      <c r="E2542" s="52" t="s">
        <v>601</v>
      </c>
      <c r="F2542" s="52" t="s">
        <v>26</v>
      </c>
      <c r="G2542" s="195" t="s">
        <v>279</v>
      </c>
      <c r="H2542" s="195">
        <v>13.08808</v>
      </c>
      <c r="I2542" s="195">
        <v>10.393230000000001</v>
      </c>
      <c r="J2542" s="195">
        <v>9.485455</v>
      </c>
      <c r="K2542" s="195">
        <v>9.6418420000000005</v>
      </c>
      <c r="L2542" s="195">
        <v>8.4113640000000007</v>
      </c>
      <c r="M2542" s="195">
        <v>6.6418169999999996</v>
      </c>
      <c r="N2542" s="195">
        <v>5.5481350000000003</v>
      </c>
    </row>
    <row r="2543" spans="1:14" hidden="1" x14ac:dyDescent="0.35">
      <c r="A2543" s="52" t="s">
        <v>226</v>
      </c>
      <c r="B2543" s="52" t="s">
        <v>37</v>
      </c>
      <c r="C2543" s="52" t="s">
        <v>79</v>
      </c>
      <c r="D2543" s="52" t="s">
        <v>79</v>
      </c>
      <c r="E2543" s="52" t="s">
        <v>615</v>
      </c>
      <c r="F2543" s="52" t="s">
        <v>581</v>
      </c>
      <c r="G2543" s="195" t="s">
        <v>275</v>
      </c>
      <c r="H2543" s="195">
        <v>-18.950839999999999</v>
      </c>
      <c r="I2543" s="195">
        <v>2.8739810000000001</v>
      </c>
      <c r="J2543" s="195">
        <v>1.759722</v>
      </c>
      <c r="K2543" s="195">
        <v>1.0553520000000001</v>
      </c>
      <c r="L2543" s="195">
        <v>2.4923980000000001</v>
      </c>
      <c r="M2543" s="195">
        <v>0.71803300000000003</v>
      </c>
      <c r="N2543" s="195">
        <v>0.58677599999999996</v>
      </c>
    </row>
    <row r="2544" spans="1:14" hidden="1" x14ac:dyDescent="0.35">
      <c r="A2544" s="52" t="s">
        <v>226</v>
      </c>
      <c r="B2544" s="52" t="s">
        <v>37</v>
      </c>
      <c r="C2544" s="52" t="s">
        <v>79</v>
      </c>
      <c r="D2544" s="52" t="s">
        <v>79</v>
      </c>
      <c r="E2544" s="52" t="s">
        <v>615</v>
      </c>
      <c r="F2544" s="52" t="s">
        <v>581</v>
      </c>
      <c r="G2544" s="195" t="s">
        <v>276</v>
      </c>
      <c r="H2544" s="195">
        <v>-0.202819</v>
      </c>
      <c r="I2544" s="195">
        <v>-0.29627340000000002</v>
      </c>
      <c r="J2544" s="195">
        <v>-0.39340320000000001</v>
      </c>
      <c r="K2544" s="195">
        <v>-0.31590099999999999</v>
      </c>
      <c r="L2544" s="195">
        <v>-2.046468</v>
      </c>
      <c r="M2544" s="195">
        <v>0.16349340000000001</v>
      </c>
      <c r="N2544" s="195">
        <v>0.13437479999999999</v>
      </c>
    </row>
    <row r="2545" spans="1:14" hidden="1" x14ac:dyDescent="0.35">
      <c r="A2545" s="52" t="s">
        <v>226</v>
      </c>
      <c r="B2545" s="52" t="s">
        <v>37</v>
      </c>
      <c r="C2545" s="52" t="s">
        <v>79</v>
      </c>
      <c r="D2545" s="52" t="s">
        <v>79</v>
      </c>
      <c r="E2545" s="52" t="s">
        <v>615</v>
      </c>
      <c r="F2545" s="52" t="s">
        <v>581</v>
      </c>
      <c r="G2545" s="195" t="s">
        <v>277</v>
      </c>
      <c r="H2545" s="195">
        <v>17.162019999999998</v>
      </c>
      <c r="I2545" s="195">
        <v>0</v>
      </c>
      <c r="J2545" s="195">
        <v>0</v>
      </c>
      <c r="K2545" s="195">
        <v>0.43545080000000003</v>
      </c>
      <c r="L2545" s="195">
        <v>0.61445720000000004</v>
      </c>
      <c r="M2545" s="195">
        <v>0</v>
      </c>
      <c r="N2545" s="195">
        <v>0</v>
      </c>
    </row>
    <row r="2546" spans="1:14" hidden="1" x14ac:dyDescent="0.35">
      <c r="A2546" s="52" t="s">
        <v>226</v>
      </c>
      <c r="B2546" s="52" t="s">
        <v>37</v>
      </c>
      <c r="C2546" s="52" t="s">
        <v>79</v>
      </c>
      <c r="D2546" s="52" t="s">
        <v>79</v>
      </c>
      <c r="E2546" s="52" t="s">
        <v>615</v>
      </c>
      <c r="F2546" s="52" t="s">
        <v>581</v>
      </c>
      <c r="G2546" s="195" t="s">
        <v>278</v>
      </c>
      <c r="H2546" s="195">
        <v>7.1879840000000002</v>
      </c>
      <c r="I2546" s="195">
        <v>0</v>
      </c>
      <c r="J2546" s="195"/>
      <c r="K2546" s="195"/>
      <c r="L2546" s="195"/>
      <c r="M2546" s="195"/>
      <c r="N2546" s="195"/>
    </row>
    <row r="2547" spans="1:14" hidden="1" x14ac:dyDescent="0.35">
      <c r="A2547" s="52" t="s">
        <v>226</v>
      </c>
      <c r="B2547" s="52" t="s">
        <v>37</v>
      </c>
      <c r="C2547" s="52" t="s">
        <v>79</v>
      </c>
      <c r="D2547" s="52" t="s">
        <v>79</v>
      </c>
      <c r="E2547" s="52" t="s">
        <v>615</v>
      </c>
      <c r="F2547" s="52" t="s">
        <v>581</v>
      </c>
      <c r="G2547" s="195" t="s">
        <v>279</v>
      </c>
      <c r="H2547" s="195">
        <v>1.3662810000000001</v>
      </c>
      <c r="I2547" s="195">
        <v>1.591936</v>
      </c>
      <c r="J2547" s="195">
        <v>0.95442020000000005</v>
      </c>
      <c r="K2547" s="195">
        <v>0.84405779999999997</v>
      </c>
      <c r="L2547" s="195">
        <v>0.89559040000000001</v>
      </c>
      <c r="M2547" s="195">
        <v>0.73188419999999998</v>
      </c>
      <c r="N2547" s="195">
        <v>0.60079179999999999</v>
      </c>
    </row>
    <row r="2548" spans="1:14" hidden="1" x14ac:dyDescent="0.35">
      <c r="A2548" s="52" t="s">
        <v>226</v>
      </c>
      <c r="B2548" s="52" t="s">
        <v>37</v>
      </c>
      <c r="C2548" s="52" t="s">
        <v>79</v>
      </c>
      <c r="D2548" s="52" t="s">
        <v>79</v>
      </c>
      <c r="E2548" s="52" t="s">
        <v>615</v>
      </c>
      <c r="F2548" s="52" t="s">
        <v>26</v>
      </c>
      <c r="G2548" s="195" t="s">
        <v>275</v>
      </c>
      <c r="H2548" s="195">
        <v>1.4803999999999999E-2</v>
      </c>
      <c r="I2548" s="195">
        <v>1.05264E-2</v>
      </c>
      <c r="J2548" s="195">
        <v>9.7578000000000005E-3</v>
      </c>
      <c r="K2548" s="195">
        <v>6.2881999999999999E-3</v>
      </c>
      <c r="L2548" s="195">
        <v>3.3139999999999998E-4</v>
      </c>
      <c r="M2548" s="195">
        <v>6.2799990000000005E-4</v>
      </c>
      <c r="N2548" s="195">
        <v>5.4160000000000005E-4</v>
      </c>
    </row>
    <row r="2549" spans="1:14" hidden="1" x14ac:dyDescent="0.35">
      <c r="A2549" s="52" t="s">
        <v>226</v>
      </c>
      <c r="B2549" s="52" t="s">
        <v>37</v>
      </c>
      <c r="C2549" s="52" t="s">
        <v>79</v>
      </c>
      <c r="D2549" s="52" t="s">
        <v>79</v>
      </c>
      <c r="E2549" s="52" t="s">
        <v>615</v>
      </c>
      <c r="F2549" s="52" t="s">
        <v>26</v>
      </c>
      <c r="G2549" s="195" t="s">
        <v>276</v>
      </c>
      <c r="H2549" s="195">
        <v>4.2909999999999997E-3</v>
      </c>
      <c r="I2549" s="195">
        <v>3.0514000000000001E-3</v>
      </c>
      <c r="J2549" s="195">
        <v>2.8284E-3</v>
      </c>
      <c r="K2549" s="195">
        <v>1.8226E-3</v>
      </c>
      <c r="L2549" s="195">
        <v>9.6399949999999995E-5</v>
      </c>
      <c r="M2549" s="195">
        <v>1.8239999999999999E-4</v>
      </c>
      <c r="N2549" s="195">
        <v>1.5679999999999999E-4</v>
      </c>
    </row>
    <row r="2550" spans="1:14" hidden="1" x14ac:dyDescent="0.35">
      <c r="A2550" s="52" t="s">
        <v>226</v>
      </c>
      <c r="B2550" s="52" t="s">
        <v>37</v>
      </c>
      <c r="C2550" s="52" t="s">
        <v>79</v>
      </c>
      <c r="D2550" s="52" t="s">
        <v>79</v>
      </c>
      <c r="E2550" s="52" t="s">
        <v>615</v>
      </c>
      <c r="F2550" s="52" t="s">
        <v>26</v>
      </c>
      <c r="G2550" s="195" t="s">
        <v>279</v>
      </c>
      <c r="H2550" s="195">
        <v>8.4917989999999999E-2</v>
      </c>
      <c r="I2550" s="195">
        <v>0.145319</v>
      </c>
      <c r="J2550" s="195">
        <v>9.0517E-2</v>
      </c>
      <c r="K2550" s="195">
        <v>8.12282E-2</v>
      </c>
      <c r="L2550" s="195">
        <v>8.5637599999999994E-2</v>
      </c>
      <c r="M2550" s="195">
        <v>7.0138010000000001E-2</v>
      </c>
      <c r="N2550" s="195">
        <v>5.7607199999999997E-2</v>
      </c>
    </row>
    <row r="2551" spans="1:14" hidden="1" x14ac:dyDescent="0.35">
      <c r="A2551" s="52" t="s">
        <v>226</v>
      </c>
      <c r="B2551" s="52" t="s">
        <v>37</v>
      </c>
      <c r="C2551" s="52" t="s">
        <v>79</v>
      </c>
      <c r="D2551" s="52" t="s">
        <v>79</v>
      </c>
      <c r="E2551" s="52" t="s">
        <v>584</v>
      </c>
      <c r="F2551" s="52" t="s">
        <v>581</v>
      </c>
      <c r="G2551" s="195" t="s">
        <v>275</v>
      </c>
      <c r="H2551" s="195">
        <v>9.0477000000000002E-2</v>
      </c>
      <c r="I2551" s="195">
        <v>2.2399200000000001E-2</v>
      </c>
      <c r="J2551" s="195">
        <v>1.6936400000000001E-2</v>
      </c>
      <c r="K2551" s="195">
        <v>1.3919600000000001E-2</v>
      </c>
      <c r="L2551" s="195">
        <v>1.3244000000000001E-2</v>
      </c>
      <c r="M2551" s="195">
        <v>-2.4639989999999998</v>
      </c>
      <c r="N2551" s="195">
        <v>3.9917989999999999E-3</v>
      </c>
    </row>
    <row r="2552" spans="1:14" hidden="1" x14ac:dyDescent="0.35">
      <c r="A2552" s="52" t="s">
        <v>226</v>
      </c>
      <c r="B2552" s="52" t="s">
        <v>37</v>
      </c>
      <c r="C2552" s="52" t="s">
        <v>79</v>
      </c>
      <c r="D2552" s="52" t="s">
        <v>79</v>
      </c>
      <c r="E2552" s="52" t="s">
        <v>584</v>
      </c>
      <c r="F2552" s="52" t="s">
        <v>581</v>
      </c>
      <c r="G2552" s="195" t="s">
        <v>276</v>
      </c>
      <c r="H2552" s="195">
        <v>2.4050999999999999E-2</v>
      </c>
      <c r="I2552" s="195">
        <v>5.9547999999999997E-3</v>
      </c>
      <c r="J2552" s="195">
        <v>4.5021999999999996E-3</v>
      </c>
      <c r="K2552" s="195">
        <v>3.6998000000000001E-3</v>
      </c>
      <c r="L2552" s="195">
        <v>3.5203999999999999E-3</v>
      </c>
      <c r="M2552" s="195">
        <v>-0.6549874</v>
      </c>
      <c r="N2552" s="195">
        <v>1.0610000000000001E-3</v>
      </c>
    </row>
    <row r="2553" spans="1:14" hidden="1" x14ac:dyDescent="0.35">
      <c r="A2553" s="52" t="s">
        <v>226</v>
      </c>
      <c r="B2553" s="52" t="s">
        <v>37</v>
      </c>
      <c r="C2553" s="52" t="s">
        <v>79</v>
      </c>
      <c r="D2553" s="52" t="s">
        <v>79</v>
      </c>
      <c r="E2553" s="52" t="s">
        <v>584</v>
      </c>
      <c r="F2553" s="52" t="s">
        <v>581</v>
      </c>
      <c r="G2553" s="195" t="s">
        <v>279</v>
      </c>
      <c r="H2553" s="195">
        <v>3.3695999999999997E-2</v>
      </c>
      <c r="I2553" s="195">
        <v>2.0241200000000001E-2</v>
      </c>
      <c r="J2553" s="195">
        <v>1.6939200000000001E-2</v>
      </c>
      <c r="K2553" s="195">
        <v>1.25308E-2</v>
      </c>
      <c r="L2553" s="195">
        <v>1.2951799999999999E-2</v>
      </c>
      <c r="M2553" s="195">
        <v>3.1268829999999999</v>
      </c>
      <c r="N2553" s="195">
        <v>2.6549999999999998E-3</v>
      </c>
    </row>
    <row r="2554" spans="1:14" hidden="1" x14ac:dyDescent="0.35">
      <c r="A2554" s="52" t="s">
        <v>226</v>
      </c>
      <c r="B2554" s="52" t="s">
        <v>37</v>
      </c>
      <c r="C2554" s="52" t="s">
        <v>79</v>
      </c>
      <c r="D2554" s="52" t="s">
        <v>79</v>
      </c>
      <c r="E2554" s="52" t="s">
        <v>584</v>
      </c>
      <c r="F2554" s="52" t="s">
        <v>26</v>
      </c>
      <c r="G2554" s="195" t="s">
        <v>275</v>
      </c>
      <c r="H2554" s="195">
        <v>-0.19175</v>
      </c>
      <c r="I2554" s="195">
        <v>-3.8060059999999998E-3</v>
      </c>
      <c r="J2554" s="195">
        <v>5.3821950000000002E-3</v>
      </c>
      <c r="K2554" s="195">
        <v>-3.6865200000000001E-2</v>
      </c>
      <c r="L2554" s="195">
        <v>-5.39122E-2</v>
      </c>
      <c r="M2554" s="195">
        <v>-16.367090000000001</v>
      </c>
      <c r="N2554" s="195"/>
    </row>
    <row r="2555" spans="1:14" hidden="1" x14ac:dyDescent="0.35">
      <c r="A2555" s="52" t="s">
        <v>226</v>
      </c>
      <c r="B2555" s="52" t="s">
        <v>37</v>
      </c>
      <c r="C2555" s="52" t="s">
        <v>79</v>
      </c>
      <c r="D2555" s="52" t="s">
        <v>79</v>
      </c>
      <c r="E2555" s="52" t="s">
        <v>584</v>
      </c>
      <c r="F2555" s="52" t="s">
        <v>26</v>
      </c>
      <c r="G2555" s="195" t="s">
        <v>276</v>
      </c>
      <c r="H2555" s="195">
        <v>-6.7243999999999998E-2</v>
      </c>
      <c r="I2555" s="195">
        <v>-4.272802E-3</v>
      </c>
      <c r="J2555" s="195">
        <v>-1.8611999999999999E-3</v>
      </c>
      <c r="K2555" s="195">
        <v>-3.4213999999999998E-3</v>
      </c>
      <c r="L2555" s="195">
        <v>-1.97232E-2</v>
      </c>
      <c r="M2555" s="195">
        <v>-4.3560439999999998</v>
      </c>
      <c r="N2555" s="195"/>
    </row>
    <row r="2556" spans="1:14" hidden="1" x14ac:dyDescent="0.35">
      <c r="A2556" s="52" t="s">
        <v>226</v>
      </c>
      <c r="B2556" s="52" t="s">
        <v>37</v>
      </c>
      <c r="C2556" s="52" t="s">
        <v>79</v>
      </c>
      <c r="D2556" s="52" t="s">
        <v>79</v>
      </c>
      <c r="E2556" s="52" t="s">
        <v>584</v>
      </c>
      <c r="F2556" s="52" t="s">
        <v>26</v>
      </c>
      <c r="G2556" s="195" t="s">
        <v>277</v>
      </c>
      <c r="H2556" s="195">
        <v>0.50483199999999995</v>
      </c>
      <c r="I2556" s="195"/>
      <c r="J2556" s="195"/>
      <c r="K2556" s="195"/>
      <c r="L2556" s="195"/>
      <c r="M2556" s="195"/>
      <c r="N2556" s="195"/>
    </row>
    <row r="2557" spans="1:14" hidden="1" x14ac:dyDescent="0.35">
      <c r="A2557" s="52" t="s">
        <v>226</v>
      </c>
      <c r="B2557" s="52" t="s">
        <v>37</v>
      </c>
      <c r="C2557" s="52" t="s">
        <v>79</v>
      </c>
      <c r="D2557" s="52" t="s">
        <v>79</v>
      </c>
      <c r="E2557" s="52" t="s">
        <v>584</v>
      </c>
      <c r="F2557" s="52" t="s">
        <v>26</v>
      </c>
      <c r="G2557" s="195" t="s">
        <v>278</v>
      </c>
      <c r="H2557" s="195">
        <v>0</v>
      </c>
      <c r="I2557" s="195">
        <v>1.4899999999999999E-4</v>
      </c>
      <c r="J2557" s="195">
        <v>0</v>
      </c>
      <c r="K2557" s="195"/>
      <c r="L2557" s="195"/>
      <c r="M2557" s="195"/>
      <c r="N2557" s="195"/>
    </row>
    <row r="2558" spans="1:14" hidden="1" x14ac:dyDescent="0.35">
      <c r="A2558" s="52" t="s">
        <v>226</v>
      </c>
      <c r="B2558" s="52" t="s">
        <v>37</v>
      </c>
      <c r="C2558" s="52" t="s">
        <v>79</v>
      </c>
      <c r="D2558" s="52" t="s">
        <v>79</v>
      </c>
      <c r="E2558" s="52" t="s">
        <v>584</v>
      </c>
      <c r="F2558" s="52" t="s">
        <v>26</v>
      </c>
      <c r="G2558" s="195" t="s">
        <v>279</v>
      </c>
      <c r="H2558" s="195">
        <v>0.86338599999999999</v>
      </c>
      <c r="I2558" s="195">
        <v>0.70029839999999999</v>
      </c>
      <c r="J2558" s="195">
        <v>0.64450779999999996</v>
      </c>
      <c r="K2558" s="195">
        <v>0.63663420000000004</v>
      </c>
      <c r="L2558" s="195">
        <v>0.6130196</v>
      </c>
      <c r="M2558" s="195">
        <v>20.786169999999998</v>
      </c>
      <c r="N2558" s="195">
        <v>0.104195</v>
      </c>
    </row>
    <row r="2559" spans="1:14" hidden="1" x14ac:dyDescent="0.35">
      <c r="A2559" s="52" t="s">
        <v>226</v>
      </c>
      <c r="B2559" s="52" t="s">
        <v>37</v>
      </c>
      <c r="C2559" s="52" t="s">
        <v>79</v>
      </c>
      <c r="D2559" s="52" t="s">
        <v>79</v>
      </c>
      <c r="E2559" s="52" t="s">
        <v>598</v>
      </c>
      <c r="F2559" s="52" t="s">
        <v>581</v>
      </c>
      <c r="G2559" s="195" t="s">
        <v>275</v>
      </c>
      <c r="H2559" s="195">
        <v>3.2088999999999999E-2</v>
      </c>
      <c r="I2559" s="195">
        <v>-4.9120000000000001E-4</v>
      </c>
      <c r="J2559" s="195">
        <v>-2.4245999999999998E-3</v>
      </c>
      <c r="K2559" s="195">
        <v>-2.8111999999999998E-3</v>
      </c>
      <c r="L2559" s="195">
        <v>-1.1329199999999999E-2</v>
      </c>
      <c r="M2559" s="195">
        <v>-8.4741999999999994E-3</v>
      </c>
      <c r="N2559" s="195">
        <v>-5.7882000000000003E-3</v>
      </c>
    </row>
    <row r="2560" spans="1:14" hidden="1" x14ac:dyDescent="0.35">
      <c r="A2560" s="52" t="s">
        <v>226</v>
      </c>
      <c r="B2560" s="52" t="s">
        <v>37</v>
      </c>
      <c r="C2560" s="52" t="s">
        <v>79</v>
      </c>
      <c r="D2560" s="52" t="s">
        <v>79</v>
      </c>
      <c r="E2560" s="52" t="s">
        <v>598</v>
      </c>
      <c r="F2560" s="52" t="s">
        <v>581</v>
      </c>
      <c r="G2560" s="195" t="s">
        <v>276</v>
      </c>
      <c r="H2560" s="195">
        <v>9.8189999999999996E-3</v>
      </c>
      <c r="I2560" s="195">
        <v>-1.5100000000000001E-4</v>
      </c>
      <c r="J2560" s="195">
        <v>-7.419999E-4</v>
      </c>
      <c r="K2560" s="195">
        <v>-8.6019999999999998E-4</v>
      </c>
      <c r="L2560" s="195">
        <v>-3.4665999999999998E-3</v>
      </c>
      <c r="M2560" s="195">
        <v>-2.5918E-3</v>
      </c>
      <c r="N2560" s="195">
        <v>-1.7715999999999999E-3</v>
      </c>
    </row>
    <row r="2561" spans="1:14" hidden="1" x14ac:dyDescent="0.35">
      <c r="A2561" s="52" t="s">
        <v>226</v>
      </c>
      <c r="B2561" s="52" t="s">
        <v>37</v>
      </c>
      <c r="C2561" s="52" t="s">
        <v>79</v>
      </c>
      <c r="D2561" s="52" t="s">
        <v>79</v>
      </c>
      <c r="E2561" s="52" t="s">
        <v>598</v>
      </c>
      <c r="F2561" s="52" t="s">
        <v>581</v>
      </c>
      <c r="G2561" s="195" t="s">
        <v>279</v>
      </c>
      <c r="H2561" s="195">
        <v>3.5212E-2</v>
      </c>
      <c r="I2561" s="195">
        <v>2.6845600000000001E-2</v>
      </c>
      <c r="J2561" s="195">
        <v>2.37992E-2</v>
      </c>
      <c r="K2561" s="195">
        <v>2.2735600000000002E-2</v>
      </c>
      <c r="L2561" s="195">
        <v>9.9265989999999998E-2</v>
      </c>
      <c r="M2561" s="195">
        <v>8.8641600000000001E-2</v>
      </c>
      <c r="N2561" s="195">
        <v>6.24392E-2</v>
      </c>
    </row>
    <row r="2562" spans="1:14" hidden="1" x14ac:dyDescent="0.35">
      <c r="A2562" s="52" t="s">
        <v>226</v>
      </c>
      <c r="B2562" s="52" t="s">
        <v>37</v>
      </c>
      <c r="C2562" s="52" t="s">
        <v>79</v>
      </c>
      <c r="D2562" s="52" t="s">
        <v>79</v>
      </c>
      <c r="E2562" s="52" t="s">
        <v>598</v>
      </c>
      <c r="F2562" s="52" t="s">
        <v>26</v>
      </c>
      <c r="G2562" s="195" t="s">
        <v>275</v>
      </c>
      <c r="H2562" s="195">
        <v>0.52945489999999995</v>
      </c>
      <c r="I2562" s="195">
        <v>0.39432479999999998</v>
      </c>
      <c r="J2562" s="195">
        <v>0.85979700000000003</v>
      </c>
      <c r="K2562" s="195">
        <v>0.7774624</v>
      </c>
      <c r="L2562" s="195">
        <v>-1.6908859999999999</v>
      </c>
      <c r="M2562" s="195">
        <v>0.1247288</v>
      </c>
      <c r="N2562" s="195">
        <v>0.1059216</v>
      </c>
    </row>
    <row r="2563" spans="1:14" hidden="1" x14ac:dyDescent="0.35">
      <c r="A2563" s="52" t="s">
        <v>226</v>
      </c>
      <c r="B2563" s="52" t="s">
        <v>37</v>
      </c>
      <c r="C2563" s="52" t="s">
        <v>79</v>
      </c>
      <c r="D2563" s="52" t="s">
        <v>79</v>
      </c>
      <c r="E2563" s="52" t="s">
        <v>598</v>
      </c>
      <c r="F2563" s="52" t="s">
        <v>26</v>
      </c>
      <c r="G2563" s="195" t="s">
        <v>276</v>
      </c>
      <c r="H2563" s="195">
        <v>-0.51885199999999998</v>
      </c>
      <c r="I2563" s="195">
        <v>-0.42402859999999998</v>
      </c>
      <c r="J2563" s="195">
        <v>-0.87942810000000005</v>
      </c>
      <c r="K2563" s="195">
        <v>-0.7983382</v>
      </c>
      <c r="L2563" s="195">
        <v>-8.6046999999999998E-2</v>
      </c>
      <c r="M2563" s="195">
        <v>-4.8101400000000002E-2</v>
      </c>
      <c r="N2563" s="195">
        <v>-3.6602799999999998E-2</v>
      </c>
    </row>
    <row r="2564" spans="1:14" hidden="1" x14ac:dyDescent="0.35">
      <c r="A2564" s="52" t="s">
        <v>226</v>
      </c>
      <c r="B2564" s="52" t="s">
        <v>37</v>
      </c>
      <c r="C2564" s="52" t="s">
        <v>79</v>
      </c>
      <c r="D2564" s="52" t="s">
        <v>79</v>
      </c>
      <c r="E2564" s="52" t="s">
        <v>598</v>
      </c>
      <c r="F2564" s="52" t="s">
        <v>26</v>
      </c>
      <c r="G2564" s="195" t="s">
        <v>277</v>
      </c>
      <c r="H2564" s="195">
        <v>0</v>
      </c>
      <c r="I2564" s="195"/>
      <c r="J2564" s="195"/>
      <c r="K2564" s="195">
        <v>0</v>
      </c>
      <c r="L2564" s="195">
        <v>1.4733799999999999</v>
      </c>
      <c r="M2564" s="195">
        <v>0</v>
      </c>
      <c r="N2564" s="195">
        <v>0</v>
      </c>
    </row>
    <row r="2565" spans="1:14" hidden="1" x14ac:dyDescent="0.35">
      <c r="A2565" s="52" t="s">
        <v>226</v>
      </c>
      <c r="B2565" s="52" t="s">
        <v>37</v>
      </c>
      <c r="C2565" s="52" t="s">
        <v>79</v>
      </c>
      <c r="D2565" s="52" t="s">
        <v>79</v>
      </c>
      <c r="E2565" s="52" t="s">
        <v>598</v>
      </c>
      <c r="F2565" s="52" t="s">
        <v>26</v>
      </c>
      <c r="G2565" s="195" t="s">
        <v>278</v>
      </c>
      <c r="H2565" s="195"/>
      <c r="I2565" s="195"/>
      <c r="J2565" s="195"/>
      <c r="K2565" s="195">
        <v>0</v>
      </c>
      <c r="L2565" s="195">
        <v>0.28870699999999999</v>
      </c>
      <c r="M2565" s="195">
        <v>0</v>
      </c>
      <c r="N2565" s="195"/>
    </row>
    <row r="2566" spans="1:14" hidden="1" x14ac:dyDescent="0.35">
      <c r="A2566" s="52" t="s">
        <v>226</v>
      </c>
      <c r="B2566" s="52" t="s">
        <v>37</v>
      </c>
      <c r="C2566" s="52" t="s">
        <v>79</v>
      </c>
      <c r="D2566" s="52" t="s">
        <v>79</v>
      </c>
      <c r="E2566" s="52" t="s">
        <v>598</v>
      </c>
      <c r="F2566" s="52" t="s">
        <v>26</v>
      </c>
      <c r="G2566" s="195" t="s">
        <v>279</v>
      </c>
      <c r="H2566" s="195">
        <v>0.28155400000000003</v>
      </c>
      <c r="I2566" s="195">
        <v>0.235097</v>
      </c>
      <c r="J2566" s="195">
        <v>0.2097204</v>
      </c>
      <c r="K2566" s="195">
        <v>0.19618679999999999</v>
      </c>
      <c r="L2566" s="195">
        <v>0.79420749999999996</v>
      </c>
      <c r="M2566" s="195">
        <v>0.63710359999999999</v>
      </c>
      <c r="N2566" s="195">
        <v>0.4355002</v>
      </c>
    </row>
    <row r="2567" spans="1:14" hidden="1" x14ac:dyDescent="0.35">
      <c r="A2567" s="52" t="s">
        <v>226</v>
      </c>
      <c r="B2567" s="52" t="s">
        <v>37</v>
      </c>
      <c r="C2567" s="52" t="s">
        <v>105</v>
      </c>
      <c r="D2567" s="52" t="s">
        <v>105</v>
      </c>
      <c r="E2567" s="52" t="s">
        <v>632</v>
      </c>
      <c r="F2567" s="52" t="s">
        <v>581</v>
      </c>
      <c r="G2567" s="195" t="s">
        <v>275</v>
      </c>
      <c r="H2567" s="195">
        <v>-138.56819999999999</v>
      </c>
      <c r="I2567" s="195">
        <v>78.235860000000002</v>
      </c>
      <c r="J2567" s="195">
        <v>94.949889999999996</v>
      </c>
      <c r="K2567" s="195">
        <v>73.191670000000002</v>
      </c>
      <c r="L2567" s="195">
        <v>60.50609</v>
      </c>
      <c r="M2567" s="195">
        <v>15.158289999999999</v>
      </c>
      <c r="N2567" s="195">
        <v>11.74058</v>
      </c>
    </row>
    <row r="2568" spans="1:14" hidden="1" x14ac:dyDescent="0.35">
      <c r="A2568" s="52" t="s">
        <v>226</v>
      </c>
      <c r="B2568" s="52" t="s">
        <v>37</v>
      </c>
      <c r="C2568" s="52" t="s">
        <v>105</v>
      </c>
      <c r="D2568" s="52" t="s">
        <v>105</v>
      </c>
      <c r="E2568" s="52" t="s">
        <v>632</v>
      </c>
      <c r="F2568" s="52" t="s">
        <v>581</v>
      </c>
      <c r="G2568" s="195" t="s">
        <v>276</v>
      </c>
      <c r="H2568" s="195">
        <v>21.651890000000002</v>
      </c>
      <c r="I2568" s="195">
        <v>-36.76708</v>
      </c>
      <c r="J2568" s="195">
        <v>-56.002929999999999</v>
      </c>
      <c r="K2568" s="195">
        <v>-41.923819999999999</v>
      </c>
      <c r="L2568" s="195">
        <v>-39.831589999999998</v>
      </c>
      <c r="M2568" s="195">
        <v>2.989951</v>
      </c>
      <c r="N2568" s="195">
        <v>4.5922090000000004</v>
      </c>
    </row>
    <row r="2569" spans="1:14" hidden="1" x14ac:dyDescent="0.35">
      <c r="A2569" s="52" t="s">
        <v>226</v>
      </c>
      <c r="B2569" s="52" t="s">
        <v>37</v>
      </c>
      <c r="C2569" s="52" t="s">
        <v>105</v>
      </c>
      <c r="D2569" s="52" t="s">
        <v>105</v>
      </c>
      <c r="E2569" s="52" t="s">
        <v>632</v>
      </c>
      <c r="F2569" s="52" t="s">
        <v>581</v>
      </c>
      <c r="G2569" s="195" t="s">
        <v>277</v>
      </c>
      <c r="H2569" s="195">
        <v>304.17309999999998</v>
      </c>
      <c r="I2569" s="195">
        <v>2.7927740000000001</v>
      </c>
      <c r="J2569" s="195">
        <v>1.7576560000000001</v>
      </c>
      <c r="K2569" s="195">
        <v>1.2209650000000001</v>
      </c>
      <c r="L2569" s="195">
        <v>2.3339789999999998</v>
      </c>
      <c r="M2569" s="195">
        <v>3.057239</v>
      </c>
      <c r="N2569" s="195">
        <v>5.506723</v>
      </c>
    </row>
    <row r="2570" spans="1:14" hidden="1" x14ac:dyDescent="0.35">
      <c r="A2570" s="52" t="s">
        <v>226</v>
      </c>
      <c r="B2570" s="52" t="s">
        <v>37</v>
      </c>
      <c r="C2570" s="52" t="s">
        <v>105</v>
      </c>
      <c r="D2570" s="52" t="s">
        <v>105</v>
      </c>
      <c r="E2570" s="52" t="s">
        <v>632</v>
      </c>
      <c r="F2570" s="52" t="s">
        <v>581</v>
      </c>
      <c r="G2570" s="195" t="s">
        <v>278</v>
      </c>
      <c r="H2570" s="195">
        <v>128.31700000000001</v>
      </c>
      <c r="I2570" s="195">
        <v>23.132729999999999</v>
      </c>
      <c r="J2570" s="195">
        <v>4.5922150000000004</v>
      </c>
      <c r="K2570" s="195">
        <v>3.4261159999999999</v>
      </c>
      <c r="L2570" s="195">
        <v>5.0892660000000003</v>
      </c>
      <c r="M2570" s="195">
        <v>5.0922510000000001</v>
      </c>
      <c r="N2570" s="195">
        <v>3.0418180000000001</v>
      </c>
    </row>
    <row r="2571" spans="1:14" hidden="1" x14ac:dyDescent="0.35">
      <c r="A2571" s="52" t="s">
        <v>226</v>
      </c>
      <c r="B2571" s="52" t="s">
        <v>37</v>
      </c>
      <c r="C2571" s="52" t="s">
        <v>105</v>
      </c>
      <c r="D2571" s="52" t="s">
        <v>105</v>
      </c>
      <c r="E2571" s="52" t="s">
        <v>632</v>
      </c>
      <c r="F2571" s="52" t="s">
        <v>581</v>
      </c>
      <c r="G2571" s="195" t="s">
        <v>279</v>
      </c>
      <c r="H2571" s="195">
        <v>89.553219999999996</v>
      </c>
      <c r="I2571" s="195">
        <v>48.092799999999997</v>
      </c>
      <c r="J2571" s="195">
        <v>37.783580000000001</v>
      </c>
      <c r="K2571" s="195">
        <v>31.083580000000001</v>
      </c>
      <c r="L2571" s="195">
        <v>29.43121</v>
      </c>
      <c r="M2571" s="195">
        <v>26.52844</v>
      </c>
      <c r="N2571" s="195">
        <v>24.69182</v>
      </c>
    </row>
    <row r="2572" spans="1:14" hidden="1" x14ac:dyDescent="0.35">
      <c r="A2572" s="52" t="s">
        <v>226</v>
      </c>
      <c r="B2572" s="52" t="s">
        <v>37</v>
      </c>
      <c r="C2572" s="52" t="s">
        <v>105</v>
      </c>
      <c r="D2572" s="52" t="s">
        <v>105</v>
      </c>
      <c r="E2572" s="52" t="s">
        <v>632</v>
      </c>
      <c r="F2572" s="52" t="s">
        <v>26</v>
      </c>
      <c r="G2572" s="195" t="s">
        <v>275</v>
      </c>
      <c r="H2572" s="195">
        <v>33.907490000000003</v>
      </c>
      <c r="I2572" s="195">
        <v>16.844740000000002</v>
      </c>
      <c r="J2572" s="195">
        <v>15.742380000000001</v>
      </c>
      <c r="K2572" s="195">
        <v>11.39218</v>
      </c>
      <c r="L2572" s="195">
        <v>7.2485840000000001</v>
      </c>
      <c r="M2572" s="195">
        <v>6.767169</v>
      </c>
      <c r="N2572" s="195">
        <v>6.354609</v>
      </c>
    </row>
    <row r="2573" spans="1:14" hidden="1" x14ac:dyDescent="0.35">
      <c r="A2573" s="52" t="s">
        <v>226</v>
      </c>
      <c r="B2573" s="52" t="s">
        <v>37</v>
      </c>
      <c r="C2573" s="52" t="s">
        <v>105</v>
      </c>
      <c r="D2573" s="52" t="s">
        <v>105</v>
      </c>
      <c r="E2573" s="52" t="s">
        <v>632</v>
      </c>
      <c r="F2573" s="52" t="s">
        <v>26</v>
      </c>
      <c r="G2573" s="195" t="s">
        <v>276</v>
      </c>
      <c r="H2573" s="195">
        <v>11.753019999999999</v>
      </c>
      <c r="I2573" s="195">
        <v>5.8387209999999996</v>
      </c>
      <c r="J2573" s="195">
        <v>5.4566249999999998</v>
      </c>
      <c r="K2573" s="195">
        <v>3.9487610000000002</v>
      </c>
      <c r="L2573" s="195">
        <v>2.512502</v>
      </c>
      <c r="M2573" s="195">
        <v>2.3456380000000001</v>
      </c>
      <c r="N2573" s="195">
        <v>2.2026309999999998</v>
      </c>
    </row>
    <row r="2574" spans="1:14" hidden="1" x14ac:dyDescent="0.35">
      <c r="A2574" s="52" t="s">
        <v>226</v>
      </c>
      <c r="B2574" s="52" t="s">
        <v>37</v>
      </c>
      <c r="C2574" s="52" t="s">
        <v>105</v>
      </c>
      <c r="D2574" s="52" t="s">
        <v>105</v>
      </c>
      <c r="E2574" s="52" t="s">
        <v>632</v>
      </c>
      <c r="F2574" s="52" t="s">
        <v>26</v>
      </c>
      <c r="G2574" s="195" t="s">
        <v>279</v>
      </c>
      <c r="H2574" s="195">
        <v>80.634259999999998</v>
      </c>
      <c r="I2574" s="195">
        <v>58.284750000000003</v>
      </c>
      <c r="J2574" s="195">
        <v>47.323999999999998</v>
      </c>
      <c r="K2574" s="195">
        <v>39.237250000000003</v>
      </c>
      <c r="L2574" s="195">
        <v>36.462420000000002</v>
      </c>
      <c r="M2574" s="195">
        <v>32.785139999999998</v>
      </c>
      <c r="N2574" s="195">
        <v>30.379010000000001</v>
      </c>
    </row>
    <row r="2575" spans="1:14" hidden="1" x14ac:dyDescent="0.35">
      <c r="A2575" s="52" t="s">
        <v>226</v>
      </c>
      <c r="B2575" s="52" t="s">
        <v>37</v>
      </c>
      <c r="C2575" s="52" t="s">
        <v>105</v>
      </c>
      <c r="D2575" s="52" t="s">
        <v>105</v>
      </c>
      <c r="E2575" s="52" t="s">
        <v>619</v>
      </c>
      <c r="F2575" s="52" t="s">
        <v>581</v>
      </c>
      <c r="G2575" s="195" t="s">
        <v>275</v>
      </c>
      <c r="H2575" s="195">
        <v>52.952039999999997</v>
      </c>
      <c r="I2575" s="195">
        <v>11.05799</v>
      </c>
      <c r="J2575" s="195">
        <v>8.8822500000000009</v>
      </c>
      <c r="K2575" s="195">
        <v>8.954834</v>
      </c>
      <c r="L2575" s="195">
        <v>6.4178329999999999</v>
      </c>
      <c r="M2575" s="195">
        <v>5.5332650000000001</v>
      </c>
      <c r="N2575" s="195">
        <v>4.7727170000000001</v>
      </c>
    </row>
    <row r="2576" spans="1:14" hidden="1" x14ac:dyDescent="0.35">
      <c r="A2576" s="52" t="s">
        <v>226</v>
      </c>
      <c r="B2576" s="52" t="s">
        <v>37</v>
      </c>
      <c r="C2576" s="52" t="s">
        <v>105</v>
      </c>
      <c r="D2576" s="52" t="s">
        <v>105</v>
      </c>
      <c r="E2576" s="52" t="s">
        <v>619</v>
      </c>
      <c r="F2576" s="52" t="s">
        <v>581</v>
      </c>
      <c r="G2576" s="195" t="s">
        <v>276</v>
      </c>
      <c r="H2576" s="195">
        <v>18.354230000000001</v>
      </c>
      <c r="I2576" s="195">
        <v>3.8329170000000001</v>
      </c>
      <c r="J2576" s="195">
        <v>3.078767</v>
      </c>
      <c r="K2576" s="195">
        <v>3.103926</v>
      </c>
      <c r="L2576" s="195">
        <v>2.2245569999999999</v>
      </c>
      <c r="M2576" s="195">
        <v>1.91794</v>
      </c>
      <c r="N2576" s="195">
        <v>1.65432</v>
      </c>
    </row>
    <row r="2577" spans="1:14" hidden="1" x14ac:dyDescent="0.35">
      <c r="A2577" s="52" t="s">
        <v>226</v>
      </c>
      <c r="B2577" s="52" t="s">
        <v>37</v>
      </c>
      <c r="C2577" s="52" t="s">
        <v>105</v>
      </c>
      <c r="D2577" s="52" t="s">
        <v>105</v>
      </c>
      <c r="E2577" s="52" t="s">
        <v>619</v>
      </c>
      <c r="F2577" s="52" t="s">
        <v>581</v>
      </c>
      <c r="G2577" s="195" t="s">
        <v>279</v>
      </c>
      <c r="H2577" s="195">
        <v>31.064800000000002</v>
      </c>
      <c r="I2577" s="195">
        <v>21.666620000000002</v>
      </c>
      <c r="J2577" s="195">
        <v>22.043389999999999</v>
      </c>
      <c r="K2577" s="195">
        <v>23.65428</v>
      </c>
      <c r="L2577" s="195">
        <v>24.095300000000002</v>
      </c>
      <c r="M2577" s="195">
        <v>19.878340000000001</v>
      </c>
      <c r="N2577" s="195">
        <v>17.069739999999999</v>
      </c>
    </row>
    <row r="2578" spans="1:14" hidden="1" x14ac:dyDescent="0.35">
      <c r="A2578" s="52" t="s">
        <v>226</v>
      </c>
      <c r="B2578" s="52" t="s">
        <v>37</v>
      </c>
      <c r="C2578" s="52" t="s">
        <v>105</v>
      </c>
      <c r="D2578" s="52" t="s">
        <v>105</v>
      </c>
      <c r="E2578" s="52" t="s">
        <v>619</v>
      </c>
      <c r="F2578" s="52" t="s">
        <v>26</v>
      </c>
      <c r="G2578" s="195" t="s">
        <v>275</v>
      </c>
      <c r="H2578" s="195">
        <v>-120.2012</v>
      </c>
      <c r="I2578" s="195">
        <v>24.66919</v>
      </c>
      <c r="J2578" s="195">
        <v>15.181660000000001</v>
      </c>
      <c r="K2578" s="195">
        <v>19.84451</v>
      </c>
      <c r="L2578" s="195">
        <v>22.1997</v>
      </c>
      <c r="M2578" s="195">
        <v>7.5057919999999996</v>
      </c>
      <c r="N2578" s="195">
        <v>6.8779950000000003</v>
      </c>
    </row>
    <row r="2579" spans="1:14" hidden="1" x14ac:dyDescent="0.35">
      <c r="A2579" s="52" t="s">
        <v>226</v>
      </c>
      <c r="B2579" s="52" t="s">
        <v>37</v>
      </c>
      <c r="C2579" s="52" t="s">
        <v>105</v>
      </c>
      <c r="D2579" s="52" t="s">
        <v>105</v>
      </c>
      <c r="E2579" s="52" t="s">
        <v>619</v>
      </c>
      <c r="F2579" s="52" t="s">
        <v>26</v>
      </c>
      <c r="G2579" s="195" t="s">
        <v>276</v>
      </c>
      <c r="H2579" s="195">
        <v>-37.846879999999999</v>
      </c>
      <c r="I2579" s="195">
        <v>-22.454409999999999</v>
      </c>
      <c r="J2579" s="195">
        <v>-16.741129999999998</v>
      </c>
      <c r="K2579" s="195">
        <v>-14.820130000000001</v>
      </c>
      <c r="L2579" s="195">
        <v>-17.608260000000001</v>
      </c>
      <c r="M2579" s="195">
        <v>0.12710440000000001</v>
      </c>
      <c r="N2579" s="195">
        <v>-0.28200550000000002</v>
      </c>
    </row>
    <row r="2580" spans="1:14" hidden="1" x14ac:dyDescent="0.35">
      <c r="A2580" s="52" t="s">
        <v>226</v>
      </c>
      <c r="B2580" s="52" t="s">
        <v>37</v>
      </c>
      <c r="C2580" s="52" t="s">
        <v>105</v>
      </c>
      <c r="D2580" s="52" t="s">
        <v>105</v>
      </c>
      <c r="E2580" s="52" t="s">
        <v>619</v>
      </c>
      <c r="F2580" s="52" t="s">
        <v>26</v>
      </c>
      <c r="G2580" s="195" t="s">
        <v>277</v>
      </c>
      <c r="H2580" s="195">
        <v>154.33009999999999</v>
      </c>
      <c r="I2580" s="195">
        <v>1.6451469999999999</v>
      </c>
      <c r="J2580" s="195">
        <v>13.365600000000001</v>
      </c>
      <c r="K2580" s="195">
        <v>6.9218929999999999</v>
      </c>
      <c r="L2580" s="195">
        <v>4.1132910000000003</v>
      </c>
      <c r="M2580" s="195">
        <v>0</v>
      </c>
      <c r="N2580" s="195">
        <v>0</v>
      </c>
    </row>
    <row r="2581" spans="1:14" hidden="1" x14ac:dyDescent="0.35">
      <c r="A2581" s="52" t="s">
        <v>226</v>
      </c>
      <c r="B2581" s="52" t="s">
        <v>37</v>
      </c>
      <c r="C2581" s="52" t="s">
        <v>105</v>
      </c>
      <c r="D2581" s="52" t="s">
        <v>105</v>
      </c>
      <c r="E2581" s="52" t="s">
        <v>619</v>
      </c>
      <c r="F2581" s="52" t="s">
        <v>26</v>
      </c>
      <c r="G2581" s="195" t="s">
        <v>278</v>
      </c>
      <c r="H2581" s="195">
        <v>22.07987</v>
      </c>
      <c r="I2581" s="195">
        <v>7.7022089999999999</v>
      </c>
      <c r="J2581" s="195">
        <v>2.0251610000000002</v>
      </c>
      <c r="K2581" s="195">
        <v>1.186734</v>
      </c>
      <c r="L2581" s="195">
        <v>0.2398546</v>
      </c>
      <c r="M2581" s="195">
        <v>0</v>
      </c>
      <c r="N2581" s="195"/>
    </row>
    <row r="2582" spans="1:14" hidden="1" x14ac:dyDescent="0.35">
      <c r="A2582" s="52" t="s">
        <v>226</v>
      </c>
      <c r="B2582" s="52" t="s">
        <v>37</v>
      </c>
      <c r="C2582" s="52" t="s">
        <v>105</v>
      </c>
      <c r="D2582" s="52" t="s">
        <v>105</v>
      </c>
      <c r="E2582" s="52" t="s">
        <v>619</v>
      </c>
      <c r="F2582" s="52" t="s">
        <v>26</v>
      </c>
      <c r="G2582" s="195" t="s">
        <v>279</v>
      </c>
      <c r="H2582" s="195">
        <v>32.75226</v>
      </c>
      <c r="I2582" s="195">
        <v>30.133649999999999</v>
      </c>
      <c r="J2582" s="195">
        <v>31.271509999999999</v>
      </c>
      <c r="K2582" s="195">
        <v>34.072450000000003</v>
      </c>
      <c r="L2582" s="195">
        <v>34.207470000000001</v>
      </c>
      <c r="M2582" s="195">
        <v>28.310669999999998</v>
      </c>
      <c r="N2582" s="195">
        <v>24.31071</v>
      </c>
    </row>
    <row r="2583" spans="1:14" hidden="1" x14ac:dyDescent="0.35">
      <c r="A2583" s="52" t="s">
        <v>226</v>
      </c>
      <c r="B2583" s="52" t="s">
        <v>37</v>
      </c>
      <c r="C2583" s="52" t="s">
        <v>105</v>
      </c>
      <c r="D2583" s="52" t="s">
        <v>105</v>
      </c>
      <c r="E2583" s="52" t="s">
        <v>656</v>
      </c>
      <c r="F2583" s="52" t="s">
        <v>581</v>
      </c>
      <c r="G2583" s="195" t="s">
        <v>275</v>
      </c>
      <c r="H2583" s="195">
        <v>-57.06588</v>
      </c>
      <c r="I2583" s="195">
        <v>0.63895559999999996</v>
      </c>
      <c r="J2583" s="195">
        <v>11.02284</v>
      </c>
      <c r="K2583" s="195">
        <v>8.2691920000000003</v>
      </c>
      <c r="L2583" s="195">
        <v>14.14794</v>
      </c>
      <c r="M2583" s="195">
        <v>8.0841440000000002</v>
      </c>
      <c r="N2583" s="195">
        <v>5.7967950000000004</v>
      </c>
    </row>
    <row r="2584" spans="1:14" hidden="1" x14ac:dyDescent="0.35">
      <c r="A2584" s="52" t="s">
        <v>226</v>
      </c>
      <c r="B2584" s="52" t="s">
        <v>37</v>
      </c>
      <c r="C2584" s="52" t="s">
        <v>105</v>
      </c>
      <c r="D2584" s="52" t="s">
        <v>105</v>
      </c>
      <c r="E2584" s="52" t="s">
        <v>656</v>
      </c>
      <c r="F2584" s="52" t="s">
        <v>581</v>
      </c>
      <c r="G2584" s="195" t="s">
        <v>276</v>
      </c>
      <c r="H2584" s="195">
        <v>2.5167579999999998</v>
      </c>
      <c r="I2584" s="195">
        <v>-1.6742630000000001</v>
      </c>
      <c r="J2584" s="195">
        <v>-3.60622</v>
      </c>
      <c r="K2584" s="195">
        <v>-1.771954</v>
      </c>
      <c r="L2584" s="195">
        <v>-8.3054539999999992</v>
      </c>
      <c r="M2584" s="195">
        <v>-0.37757049999999998</v>
      </c>
      <c r="N2584" s="195">
        <v>0.97443449999999998</v>
      </c>
    </row>
    <row r="2585" spans="1:14" hidden="1" x14ac:dyDescent="0.35">
      <c r="A2585" s="52" t="s">
        <v>226</v>
      </c>
      <c r="B2585" s="52" t="s">
        <v>37</v>
      </c>
      <c r="C2585" s="52" t="s">
        <v>105</v>
      </c>
      <c r="D2585" s="52" t="s">
        <v>105</v>
      </c>
      <c r="E2585" s="52" t="s">
        <v>656</v>
      </c>
      <c r="F2585" s="52" t="s">
        <v>581</v>
      </c>
      <c r="G2585" s="195" t="s">
        <v>277</v>
      </c>
      <c r="H2585" s="195">
        <v>52.611969999999999</v>
      </c>
      <c r="I2585" s="195">
        <v>2.02888</v>
      </c>
      <c r="J2585" s="195">
        <v>1.5850979999999999</v>
      </c>
      <c r="K2585" s="195">
        <v>0.62570959999999998</v>
      </c>
      <c r="L2585" s="195">
        <v>0.53820009999999996</v>
      </c>
      <c r="M2585" s="195">
        <v>0</v>
      </c>
      <c r="N2585" s="195">
        <v>0</v>
      </c>
    </row>
    <row r="2586" spans="1:14" hidden="1" x14ac:dyDescent="0.35">
      <c r="A2586" s="52" t="s">
        <v>226</v>
      </c>
      <c r="B2586" s="52" t="s">
        <v>37</v>
      </c>
      <c r="C2586" s="52" t="s">
        <v>105</v>
      </c>
      <c r="D2586" s="52" t="s">
        <v>105</v>
      </c>
      <c r="E2586" s="52" t="s">
        <v>656</v>
      </c>
      <c r="F2586" s="52" t="s">
        <v>581</v>
      </c>
      <c r="G2586" s="195" t="s">
        <v>278</v>
      </c>
      <c r="H2586" s="195">
        <v>38.438040000000001</v>
      </c>
      <c r="I2586" s="195">
        <v>16.541360000000001</v>
      </c>
      <c r="J2586" s="195">
        <v>3.7002350000000002</v>
      </c>
      <c r="K2586" s="195">
        <v>3.5820970000000001</v>
      </c>
      <c r="L2586" s="195">
        <v>2.507091</v>
      </c>
      <c r="M2586" s="195">
        <v>0</v>
      </c>
      <c r="N2586" s="195">
        <v>0</v>
      </c>
    </row>
    <row r="2587" spans="1:14" hidden="1" x14ac:dyDescent="0.35">
      <c r="A2587" s="52" t="s">
        <v>226</v>
      </c>
      <c r="B2587" s="52" t="s">
        <v>37</v>
      </c>
      <c r="C2587" s="52" t="s">
        <v>105</v>
      </c>
      <c r="D2587" s="52" t="s">
        <v>105</v>
      </c>
      <c r="E2587" s="52" t="s">
        <v>656</v>
      </c>
      <c r="F2587" s="52" t="s">
        <v>581</v>
      </c>
      <c r="G2587" s="195" t="s">
        <v>279</v>
      </c>
      <c r="H2587" s="195">
        <v>8.6720430000000004</v>
      </c>
      <c r="I2587" s="195">
        <v>9.7794150000000002</v>
      </c>
      <c r="J2587" s="195">
        <v>8.0891549999999999</v>
      </c>
      <c r="K2587" s="195">
        <v>7.0744600000000002</v>
      </c>
      <c r="L2587" s="195">
        <v>6.9115630000000001</v>
      </c>
      <c r="M2587" s="195">
        <v>5.8931019999999998</v>
      </c>
      <c r="N2587" s="195">
        <v>5.1699979999999996</v>
      </c>
    </row>
    <row r="2588" spans="1:14" hidden="1" x14ac:dyDescent="0.35">
      <c r="A2588" s="52" t="s">
        <v>226</v>
      </c>
      <c r="B2588" s="52" t="s">
        <v>37</v>
      </c>
      <c r="C2588" s="52" t="s">
        <v>105</v>
      </c>
      <c r="D2588" s="52" t="s">
        <v>105</v>
      </c>
      <c r="E2588" s="52" t="s">
        <v>656</v>
      </c>
      <c r="F2588" s="52" t="s">
        <v>26</v>
      </c>
      <c r="G2588" s="195" t="s">
        <v>275</v>
      </c>
      <c r="H2588" s="195">
        <v>0.70071099999999997</v>
      </c>
      <c r="I2588" s="195">
        <v>0.79138120000000001</v>
      </c>
      <c r="J2588" s="195">
        <v>0.76635030000000004</v>
      </c>
      <c r="K2588" s="195">
        <v>0.60049859999999999</v>
      </c>
      <c r="L2588" s="195">
        <v>0.4237996</v>
      </c>
      <c r="M2588" s="195">
        <v>0.37017800000000001</v>
      </c>
      <c r="N2588" s="195">
        <v>0.32625080000000001</v>
      </c>
    </row>
    <row r="2589" spans="1:14" hidden="1" x14ac:dyDescent="0.35">
      <c r="A2589" s="52" t="s">
        <v>226</v>
      </c>
      <c r="B2589" s="52" t="s">
        <v>37</v>
      </c>
      <c r="C2589" s="52" t="s">
        <v>105</v>
      </c>
      <c r="D2589" s="52" t="s">
        <v>105</v>
      </c>
      <c r="E2589" s="52" t="s">
        <v>656</v>
      </c>
      <c r="F2589" s="52" t="s">
        <v>26</v>
      </c>
      <c r="G2589" s="195" t="s">
        <v>276</v>
      </c>
      <c r="H2589" s="195">
        <v>0.24288000000000001</v>
      </c>
      <c r="I2589" s="195">
        <v>0.27430880000000002</v>
      </c>
      <c r="J2589" s="195">
        <v>0.26563100000000001</v>
      </c>
      <c r="K2589" s="195">
        <v>0.2081452</v>
      </c>
      <c r="L2589" s="195">
        <v>0.14689759999999999</v>
      </c>
      <c r="M2589" s="195">
        <v>0.12831139999999999</v>
      </c>
      <c r="N2589" s="195">
        <v>0.1130858</v>
      </c>
    </row>
    <row r="2590" spans="1:14" hidden="1" x14ac:dyDescent="0.35">
      <c r="A2590" s="52" t="s">
        <v>226</v>
      </c>
      <c r="B2590" s="52" t="s">
        <v>37</v>
      </c>
      <c r="C2590" s="52" t="s">
        <v>105</v>
      </c>
      <c r="D2590" s="52" t="s">
        <v>105</v>
      </c>
      <c r="E2590" s="52" t="s">
        <v>656</v>
      </c>
      <c r="F2590" s="52" t="s">
        <v>26</v>
      </c>
      <c r="G2590" s="195" t="s">
        <v>279</v>
      </c>
      <c r="H2590" s="195">
        <v>1.4367289999999999</v>
      </c>
      <c r="I2590" s="195">
        <v>2.2681369999999998</v>
      </c>
      <c r="J2590" s="195">
        <v>1.9400980000000001</v>
      </c>
      <c r="K2590" s="195">
        <v>1.726593</v>
      </c>
      <c r="L2590" s="195">
        <v>1.6725129999999999</v>
      </c>
      <c r="M2590" s="195">
        <v>1.4299500000000001</v>
      </c>
      <c r="N2590" s="195">
        <v>1.2544420000000001</v>
      </c>
    </row>
    <row r="2591" spans="1:14" hidden="1" x14ac:dyDescent="0.35">
      <c r="A2591" s="52" t="s">
        <v>226</v>
      </c>
      <c r="B2591" s="52" t="s">
        <v>37</v>
      </c>
      <c r="C2591" s="52" t="s">
        <v>105</v>
      </c>
      <c r="D2591" s="52" t="s">
        <v>105</v>
      </c>
      <c r="E2591" s="52" t="s">
        <v>633</v>
      </c>
      <c r="F2591" s="52" t="s">
        <v>581</v>
      </c>
      <c r="G2591" s="195" t="s">
        <v>275</v>
      </c>
      <c r="H2591" s="195">
        <v>12.13847</v>
      </c>
      <c r="I2591" s="195">
        <v>2.2811270000000001</v>
      </c>
      <c r="J2591" s="195">
        <v>1.4804349999999999</v>
      </c>
      <c r="K2591" s="195">
        <v>1.3588739999999999</v>
      </c>
      <c r="L2591" s="195">
        <v>1.0219290000000001</v>
      </c>
      <c r="M2591" s="195">
        <v>0.9432104</v>
      </c>
      <c r="N2591" s="195">
        <v>0.84206309999999995</v>
      </c>
    </row>
    <row r="2592" spans="1:14" hidden="1" x14ac:dyDescent="0.35">
      <c r="A2592" s="52" t="s">
        <v>226</v>
      </c>
      <c r="B2592" s="52" t="s">
        <v>37</v>
      </c>
      <c r="C2592" s="52" t="s">
        <v>105</v>
      </c>
      <c r="D2592" s="52" t="s">
        <v>105</v>
      </c>
      <c r="E2592" s="52" t="s">
        <v>633</v>
      </c>
      <c r="F2592" s="52" t="s">
        <v>581</v>
      </c>
      <c r="G2592" s="195" t="s">
        <v>276</v>
      </c>
      <c r="H2592" s="195">
        <v>4.2074379999999998</v>
      </c>
      <c r="I2592" s="195">
        <v>0.79068430000000001</v>
      </c>
      <c r="J2592" s="195">
        <v>0.51314680000000001</v>
      </c>
      <c r="K2592" s="195">
        <v>0.47101399999999999</v>
      </c>
      <c r="L2592" s="195">
        <v>0.3542208</v>
      </c>
      <c r="M2592" s="195">
        <v>0.32693539999999999</v>
      </c>
      <c r="N2592" s="195">
        <v>0.29187419999999997</v>
      </c>
    </row>
    <row r="2593" spans="1:14" hidden="1" x14ac:dyDescent="0.35">
      <c r="A2593" s="52" t="s">
        <v>226</v>
      </c>
      <c r="B2593" s="52" t="s">
        <v>37</v>
      </c>
      <c r="C2593" s="52" t="s">
        <v>105</v>
      </c>
      <c r="D2593" s="52" t="s">
        <v>105</v>
      </c>
      <c r="E2593" s="52" t="s">
        <v>633</v>
      </c>
      <c r="F2593" s="52" t="s">
        <v>581</v>
      </c>
      <c r="G2593" s="195" t="s">
        <v>279</v>
      </c>
      <c r="H2593" s="195">
        <v>6.6974710000000002</v>
      </c>
      <c r="I2593" s="195">
        <v>3.9624980000000001</v>
      </c>
      <c r="J2593" s="195">
        <v>3.19394</v>
      </c>
      <c r="K2593" s="195">
        <v>3.1199439999999998</v>
      </c>
      <c r="L2593" s="195">
        <v>3.2152289999999999</v>
      </c>
      <c r="M2593" s="195">
        <v>2.8458929999999998</v>
      </c>
      <c r="N2593" s="195">
        <v>2.530583</v>
      </c>
    </row>
    <row r="2594" spans="1:14" hidden="1" x14ac:dyDescent="0.35">
      <c r="A2594" s="52" t="s">
        <v>226</v>
      </c>
      <c r="B2594" s="52" t="s">
        <v>37</v>
      </c>
      <c r="C2594" s="52" t="s">
        <v>105</v>
      </c>
      <c r="D2594" s="52" t="s">
        <v>105</v>
      </c>
      <c r="E2594" s="52" t="s">
        <v>633</v>
      </c>
      <c r="F2594" s="52" t="s">
        <v>26</v>
      </c>
      <c r="G2594" s="195" t="s">
        <v>275</v>
      </c>
      <c r="H2594" s="195">
        <v>-9.0020889999999998</v>
      </c>
      <c r="I2594" s="195">
        <v>7.0301369999999999</v>
      </c>
      <c r="J2594" s="195">
        <v>7.5639979999999998</v>
      </c>
      <c r="K2594" s="195">
        <v>5.6801560000000002</v>
      </c>
      <c r="L2594" s="195">
        <v>1.683403</v>
      </c>
      <c r="M2594" s="195">
        <v>1.10747</v>
      </c>
      <c r="N2594" s="195">
        <v>0.98627359999999997</v>
      </c>
    </row>
    <row r="2595" spans="1:14" hidden="1" x14ac:dyDescent="0.35">
      <c r="A2595" s="52" t="s">
        <v>226</v>
      </c>
      <c r="B2595" s="52" t="s">
        <v>37</v>
      </c>
      <c r="C2595" s="52" t="s">
        <v>105</v>
      </c>
      <c r="D2595" s="52" t="s">
        <v>105</v>
      </c>
      <c r="E2595" s="52" t="s">
        <v>633</v>
      </c>
      <c r="F2595" s="52" t="s">
        <v>26</v>
      </c>
      <c r="G2595" s="195" t="s">
        <v>276</v>
      </c>
      <c r="H2595" s="195">
        <v>-6.4347760000000003</v>
      </c>
      <c r="I2595" s="195">
        <v>-4.0439780000000001</v>
      </c>
      <c r="J2595" s="195">
        <v>-4.6542649999999997</v>
      </c>
      <c r="K2595" s="195">
        <v>-3.2410540000000001</v>
      </c>
      <c r="L2595" s="195">
        <v>-1.968143</v>
      </c>
      <c r="M2595" s="195">
        <v>0.28484039999999999</v>
      </c>
      <c r="N2595" s="195">
        <v>0.26263760000000003</v>
      </c>
    </row>
    <row r="2596" spans="1:14" hidden="1" x14ac:dyDescent="0.35">
      <c r="A2596" s="52" t="s">
        <v>226</v>
      </c>
      <c r="B2596" s="52" t="s">
        <v>37</v>
      </c>
      <c r="C2596" s="52" t="s">
        <v>105</v>
      </c>
      <c r="D2596" s="52" t="s">
        <v>105</v>
      </c>
      <c r="E2596" s="52" t="s">
        <v>633</v>
      </c>
      <c r="F2596" s="52" t="s">
        <v>26</v>
      </c>
      <c r="G2596" s="195" t="s">
        <v>277</v>
      </c>
      <c r="H2596" s="195">
        <v>15.138350000000001</v>
      </c>
      <c r="I2596" s="195">
        <v>0</v>
      </c>
      <c r="J2596" s="195"/>
      <c r="K2596" s="195">
        <v>0</v>
      </c>
      <c r="L2596" s="195">
        <v>1.785639</v>
      </c>
      <c r="M2596" s="195">
        <v>0</v>
      </c>
      <c r="N2596" s="195">
        <v>0</v>
      </c>
    </row>
    <row r="2597" spans="1:14" hidden="1" x14ac:dyDescent="0.35">
      <c r="A2597" s="52" t="s">
        <v>226</v>
      </c>
      <c r="B2597" s="52" t="s">
        <v>37</v>
      </c>
      <c r="C2597" s="52" t="s">
        <v>105</v>
      </c>
      <c r="D2597" s="52" t="s">
        <v>105</v>
      </c>
      <c r="E2597" s="52" t="s">
        <v>633</v>
      </c>
      <c r="F2597" s="52" t="s">
        <v>26</v>
      </c>
      <c r="G2597" s="195" t="s">
        <v>278</v>
      </c>
      <c r="H2597" s="195">
        <v>6.3216460000000003</v>
      </c>
      <c r="I2597" s="195">
        <v>0</v>
      </c>
      <c r="J2597" s="195"/>
      <c r="K2597" s="195"/>
      <c r="L2597" s="195"/>
      <c r="M2597" s="195"/>
      <c r="N2597" s="195"/>
    </row>
    <row r="2598" spans="1:14" hidden="1" x14ac:dyDescent="0.35">
      <c r="A2598" s="52" t="s">
        <v>226</v>
      </c>
      <c r="B2598" s="52" t="s">
        <v>37</v>
      </c>
      <c r="C2598" s="52" t="s">
        <v>105</v>
      </c>
      <c r="D2598" s="52" t="s">
        <v>105</v>
      </c>
      <c r="E2598" s="52" t="s">
        <v>633</v>
      </c>
      <c r="F2598" s="52" t="s">
        <v>26</v>
      </c>
      <c r="G2598" s="195" t="s">
        <v>279</v>
      </c>
      <c r="H2598" s="195">
        <v>13.03797</v>
      </c>
      <c r="I2598" s="195">
        <v>10.117990000000001</v>
      </c>
      <c r="J2598" s="195">
        <v>8.3080909999999992</v>
      </c>
      <c r="K2598" s="195">
        <v>8.2452970000000008</v>
      </c>
      <c r="L2598" s="195">
        <v>8.3842630000000007</v>
      </c>
      <c r="M2598" s="195">
        <v>7.4435960000000003</v>
      </c>
      <c r="N2598" s="195">
        <v>6.6188010000000004</v>
      </c>
    </row>
    <row r="2599" spans="1:14" hidden="1" x14ac:dyDescent="0.35">
      <c r="A2599" s="52" t="s">
        <v>226</v>
      </c>
      <c r="B2599" s="52" t="s">
        <v>37</v>
      </c>
      <c r="C2599" s="52" t="s">
        <v>35</v>
      </c>
      <c r="D2599" s="52" t="s">
        <v>39</v>
      </c>
      <c r="E2599" s="52" t="s">
        <v>580</v>
      </c>
      <c r="F2599" s="52" t="s">
        <v>581</v>
      </c>
      <c r="G2599" s="195" t="s">
        <v>275</v>
      </c>
      <c r="H2599" s="195">
        <v>-40.856960000000001</v>
      </c>
      <c r="I2599" s="195">
        <v>37.764560000000003</v>
      </c>
      <c r="J2599" s="195">
        <v>37.39085</v>
      </c>
      <c r="K2599" s="195">
        <v>75.581419999999994</v>
      </c>
      <c r="L2599" s="195">
        <v>56.319780000000002</v>
      </c>
      <c r="M2599" s="195">
        <v>26.962399999999999</v>
      </c>
      <c r="N2599" s="195">
        <v>22.924620000000001</v>
      </c>
    </row>
    <row r="2600" spans="1:14" hidden="1" x14ac:dyDescent="0.35">
      <c r="A2600" s="52" t="s">
        <v>226</v>
      </c>
      <c r="B2600" s="52" t="s">
        <v>37</v>
      </c>
      <c r="C2600" s="52" t="s">
        <v>35</v>
      </c>
      <c r="D2600" s="52" t="s">
        <v>39</v>
      </c>
      <c r="E2600" s="52" t="s">
        <v>580</v>
      </c>
      <c r="F2600" s="52" t="s">
        <v>581</v>
      </c>
      <c r="G2600" s="195" t="s">
        <v>276</v>
      </c>
      <c r="H2600" s="195">
        <v>29.943429999999999</v>
      </c>
      <c r="I2600" s="195">
        <v>-12.798959999999999</v>
      </c>
      <c r="J2600" s="195">
        <v>-20.278020000000001</v>
      </c>
      <c r="K2600" s="195">
        <v>-29.08361</v>
      </c>
      <c r="L2600" s="195">
        <v>-20.258859999999999</v>
      </c>
      <c r="M2600" s="195">
        <v>2.093826</v>
      </c>
      <c r="N2600" s="195">
        <v>1.9923999999999999</v>
      </c>
    </row>
    <row r="2601" spans="1:14" hidden="1" x14ac:dyDescent="0.35">
      <c r="A2601" s="52" t="s">
        <v>226</v>
      </c>
      <c r="B2601" s="52" t="s">
        <v>37</v>
      </c>
      <c r="C2601" s="52" t="s">
        <v>35</v>
      </c>
      <c r="D2601" s="52" t="s">
        <v>39</v>
      </c>
      <c r="E2601" s="52" t="s">
        <v>580</v>
      </c>
      <c r="F2601" s="52" t="s">
        <v>581</v>
      </c>
      <c r="G2601" s="195" t="s">
        <v>277</v>
      </c>
      <c r="H2601" s="195">
        <v>28.67211</v>
      </c>
      <c r="I2601" s="195">
        <v>6.9461339999999998</v>
      </c>
      <c r="J2601" s="195">
        <v>17.891010000000001</v>
      </c>
      <c r="K2601" s="195">
        <v>1.7614719999999999</v>
      </c>
      <c r="L2601" s="195">
        <v>2.0286119999999999</v>
      </c>
      <c r="M2601" s="195">
        <v>2.4020959999999998</v>
      </c>
      <c r="N2601" s="195">
        <v>2.6178560000000002</v>
      </c>
    </row>
    <row r="2602" spans="1:14" hidden="1" x14ac:dyDescent="0.35">
      <c r="A2602" s="52" t="s">
        <v>226</v>
      </c>
      <c r="B2602" s="52" t="s">
        <v>37</v>
      </c>
      <c r="C2602" s="52" t="s">
        <v>35</v>
      </c>
      <c r="D2602" s="52" t="s">
        <v>39</v>
      </c>
      <c r="E2602" s="52" t="s">
        <v>580</v>
      </c>
      <c r="F2602" s="52" t="s">
        <v>581</v>
      </c>
      <c r="G2602" s="195" t="s">
        <v>278</v>
      </c>
      <c r="H2602" s="195">
        <v>280.43790000000001</v>
      </c>
      <c r="I2602" s="195">
        <v>40.387120000000003</v>
      </c>
      <c r="J2602" s="195">
        <v>33.052759999999999</v>
      </c>
      <c r="K2602" s="195">
        <v>15.15119</v>
      </c>
      <c r="L2602" s="195">
        <v>8.1632879999999997</v>
      </c>
      <c r="M2602" s="195">
        <v>9.2407229999999991</v>
      </c>
      <c r="N2602" s="195">
        <v>10.302680000000001</v>
      </c>
    </row>
    <row r="2603" spans="1:14" hidden="1" x14ac:dyDescent="0.35">
      <c r="A2603" s="52" t="s">
        <v>226</v>
      </c>
      <c r="B2603" s="52" t="s">
        <v>37</v>
      </c>
      <c r="C2603" s="52" t="s">
        <v>35</v>
      </c>
      <c r="D2603" s="52" t="s">
        <v>39</v>
      </c>
      <c r="E2603" s="52" t="s">
        <v>580</v>
      </c>
      <c r="F2603" s="52" t="s">
        <v>581</v>
      </c>
      <c r="G2603" s="195" t="s">
        <v>279</v>
      </c>
      <c r="H2603" s="195">
        <v>80.771479999999997</v>
      </c>
      <c r="I2603" s="195">
        <v>51.493780000000001</v>
      </c>
      <c r="J2603" s="195">
        <v>55.579639999999998</v>
      </c>
      <c r="K2603" s="195">
        <v>53.621189999999999</v>
      </c>
      <c r="L2603" s="195">
        <v>46.756070000000001</v>
      </c>
      <c r="M2603" s="195">
        <v>38.912770000000002</v>
      </c>
      <c r="N2603" s="195">
        <v>34.990819999999999</v>
      </c>
    </row>
    <row r="2604" spans="1:14" hidden="1" x14ac:dyDescent="0.35">
      <c r="A2604" s="52" t="s">
        <v>226</v>
      </c>
      <c r="B2604" s="52" t="s">
        <v>37</v>
      </c>
      <c r="C2604" s="52" t="s">
        <v>35</v>
      </c>
      <c r="D2604" s="52" t="s">
        <v>39</v>
      </c>
      <c r="E2604" s="52" t="s">
        <v>580</v>
      </c>
      <c r="F2604" s="52" t="s">
        <v>26</v>
      </c>
      <c r="G2604" s="195" t="s">
        <v>275</v>
      </c>
      <c r="H2604" s="195">
        <v>10.352969999999999</v>
      </c>
      <c r="I2604" s="195">
        <v>5.3546100000000001</v>
      </c>
      <c r="J2604" s="195">
        <v>6.8417890000000003</v>
      </c>
      <c r="K2604" s="195">
        <v>5.9179820000000003</v>
      </c>
      <c r="L2604" s="195">
        <v>3.5953119999999998</v>
      </c>
      <c r="M2604" s="195">
        <v>3.1502629999999998</v>
      </c>
      <c r="N2604" s="195">
        <v>2.897796</v>
      </c>
    </row>
    <row r="2605" spans="1:14" hidden="1" x14ac:dyDescent="0.35">
      <c r="A2605" s="52" t="s">
        <v>226</v>
      </c>
      <c r="B2605" s="52" t="s">
        <v>37</v>
      </c>
      <c r="C2605" s="52" t="s">
        <v>35</v>
      </c>
      <c r="D2605" s="52" t="s">
        <v>39</v>
      </c>
      <c r="E2605" s="52" t="s">
        <v>580</v>
      </c>
      <c r="F2605" s="52" t="s">
        <v>26</v>
      </c>
      <c r="G2605" s="195" t="s">
        <v>276</v>
      </c>
      <c r="H2605" s="195">
        <v>2.752059</v>
      </c>
      <c r="I2605" s="195">
        <v>1.423378</v>
      </c>
      <c r="J2605" s="195">
        <v>1.818697</v>
      </c>
      <c r="K2605" s="195">
        <v>1.573132</v>
      </c>
      <c r="L2605" s="195">
        <v>0.95571300000000003</v>
      </c>
      <c r="M2605" s="195">
        <v>0.83740720000000002</v>
      </c>
      <c r="N2605" s="195">
        <v>0.77029840000000005</v>
      </c>
    </row>
    <row r="2606" spans="1:14" hidden="1" x14ac:dyDescent="0.35">
      <c r="A2606" s="52" t="s">
        <v>226</v>
      </c>
      <c r="B2606" s="52" t="s">
        <v>37</v>
      </c>
      <c r="C2606" s="52" t="s">
        <v>35</v>
      </c>
      <c r="D2606" s="52" t="s">
        <v>39</v>
      </c>
      <c r="E2606" s="52" t="s">
        <v>580</v>
      </c>
      <c r="F2606" s="52" t="s">
        <v>26</v>
      </c>
      <c r="G2606" s="195" t="s">
        <v>279</v>
      </c>
      <c r="H2606" s="195">
        <v>21.6633</v>
      </c>
      <c r="I2606" s="195">
        <v>16.077269999999999</v>
      </c>
      <c r="J2606" s="195">
        <v>17.881609999999998</v>
      </c>
      <c r="K2606" s="195">
        <v>17.539390000000001</v>
      </c>
      <c r="L2606" s="195">
        <v>15.180110000000001</v>
      </c>
      <c r="M2606" s="195">
        <v>12.62954</v>
      </c>
      <c r="N2606" s="195">
        <v>11.32686</v>
      </c>
    </row>
    <row r="2607" spans="1:14" hidden="1" x14ac:dyDescent="0.35">
      <c r="A2607" s="52" t="s">
        <v>226</v>
      </c>
      <c r="B2607" s="52" t="s">
        <v>37</v>
      </c>
      <c r="C2607" s="52" t="s">
        <v>35</v>
      </c>
      <c r="D2607" s="52" t="s">
        <v>39</v>
      </c>
      <c r="E2607" s="52" t="s">
        <v>591</v>
      </c>
      <c r="F2607" s="52" t="s">
        <v>581</v>
      </c>
      <c r="G2607" s="195" t="s">
        <v>275</v>
      </c>
      <c r="H2607" s="195">
        <v>7.2758289999999999</v>
      </c>
      <c r="I2607" s="195">
        <v>1.702996</v>
      </c>
      <c r="J2607" s="195">
        <v>1.2436</v>
      </c>
      <c r="K2607" s="195">
        <v>1.104058</v>
      </c>
      <c r="L2607" s="195">
        <v>0.90307939999999998</v>
      </c>
      <c r="M2607" s="195">
        <v>0.82861960000000001</v>
      </c>
      <c r="N2607" s="195">
        <v>0.74710719999999997</v>
      </c>
    </row>
    <row r="2608" spans="1:14" hidden="1" x14ac:dyDescent="0.35">
      <c r="A2608" s="52" t="s">
        <v>226</v>
      </c>
      <c r="B2608" s="52" t="s">
        <v>37</v>
      </c>
      <c r="C2608" s="52" t="s">
        <v>35</v>
      </c>
      <c r="D2608" s="52" t="s">
        <v>39</v>
      </c>
      <c r="E2608" s="52" t="s">
        <v>591</v>
      </c>
      <c r="F2608" s="52" t="s">
        <v>581</v>
      </c>
      <c r="G2608" s="195" t="s">
        <v>276</v>
      </c>
      <c r="H2608" s="195">
        <v>1.93408</v>
      </c>
      <c r="I2608" s="195">
        <v>0.45269599999999999</v>
      </c>
      <c r="J2608" s="195">
        <v>0.33057560000000002</v>
      </c>
      <c r="K2608" s="195">
        <v>0.29348380000000002</v>
      </c>
      <c r="L2608" s="195">
        <v>0.24005879999999999</v>
      </c>
      <c r="M2608" s="195">
        <v>0.2202654</v>
      </c>
      <c r="N2608" s="195">
        <v>0.198598</v>
      </c>
    </row>
    <row r="2609" spans="1:14" hidden="1" x14ac:dyDescent="0.35">
      <c r="A2609" s="52" t="s">
        <v>226</v>
      </c>
      <c r="B2609" s="52" t="s">
        <v>37</v>
      </c>
      <c r="C2609" s="52" t="s">
        <v>35</v>
      </c>
      <c r="D2609" s="52" t="s">
        <v>39</v>
      </c>
      <c r="E2609" s="52" t="s">
        <v>591</v>
      </c>
      <c r="F2609" s="52" t="s">
        <v>581</v>
      </c>
      <c r="G2609" s="195" t="s">
        <v>277</v>
      </c>
      <c r="H2609" s="195"/>
      <c r="I2609" s="195"/>
      <c r="J2609" s="195"/>
      <c r="K2609" s="195"/>
      <c r="L2609" s="195"/>
      <c r="M2609" s="195">
        <v>0</v>
      </c>
      <c r="N2609" s="195">
        <v>0</v>
      </c>
    </row>
    <row r="2610" spans="1:14" hidden="1" x14ac:dyDescent="0.35">
      <c r="A2610" s="52" t="s">
        <v>226</v>
      </c>
      <c r="B2610" s="52" t="s">
        <v>37</v>
      </c>
      <c r="C2610" s="52" t="s">
        <v>35</v>
      </c>
      <c r="D2610" s="52" t="s">
        <v>39</v>
      </c>
      <c r="E2610" s="52" t="s">
        <v>591</v>
      </c>
      <c r="F2610" s="52" t="s">
        <v>581</v>
      </c>
      <c r="G2610" s="195" t="s">
        <v>279</v>
      </c>
      <c r="H2610" s="195">
        <v>2.6590750000000001</v>
      </c>
      <c r="I2610" s="195">
        <v>1.6273</v>
      </c>
      <c r="J2610" s="195">
        <v>1.3654599999999999</v>
      </c>
      <c r="K2610" s="195">
        <v>1.257779</v>
      </c>
      <c r="L2610" s="195">
        <v>1.2552449999999999</v>
      </c>
      <c r="M2610" s="195">
        <v>1.1229560000000001</v>
      </c>
      <c r="N2610" s="195">
        <v>1.0101530000000001</v>
      </c>
    </row>
    <row r="2611" spans="1:14" hidden="1" x14ac:dyDescent="0.35">
      <c r="A2611" s="52" t="s">
        <v>226</v>
      </c>
      <c r="B2611" s="52" t="s">
        <v>37</v>
      </c>
      <c r="C2611" s="52" t="s">
        <v>35</v>
      </c>
      <c r="D2611" s="52" t="s">
        <v>39</v>
      </c>
      <c r="E2611" s="52" t="s">
        <v>591</v>
      </c>
      <c r="F2611" s="52" t="s">
        <v>26</v>
      </c>
      <c r="G2611" s="195" t="s">
        <v>275</v>
      </c>
      <c r="H2611" s="195">
        <v>9.3678999999999998E-2</v>
      </c>
      <c r="I2611" s="195">
        <v>3.86308E-2</v>
      </c>
      <c r="J2611" s="195">
        <v>4.3810399999999999E-2</v>
      </c>
      <c r="K2611" s="195">
        <v>3.26976E-2</v>
      </c>
      <c r="L2611" s="195">
        <v>1.23222E-2</v>
      </c>
      <c r="M2611" s="195">
        <v>1.2380199999999999E-2</v>
      </c>
      <c r="N2611" s="195">
        <v>1.1359599999999999E-2</v>
      </c>
    </row>
    <row r="2612" spans="1:14" hidden="1" x14ac:dyDescent="0.35">
      <c r="A2612" s="52" t="s">
        <v>226</v>
      </c>
      <c r="B2612" s="52" t="s">
        <v>37</v>
      </c>
      <c r="C2612" s="52" t="s">
        <v>35</v>
      </c>
      <c r="D2612" s="52" t="s">
        <v>39</v>
      </c>
      <c r="E2612" s="52" t="s">
        <v>591</v>
      </c>
      <c r="F2612" s="52" t="s">
        <v>26</v>
      </c>
      <c r="G2612" s="195" t="s">
        <v>276</v>
      </c>
      <c r="H2612" s="195">
        <v>2.4902000000000001E-2</v>
      </c>
      <c r="I2612" s="195">
        <v>1.0269E-2</v>
      </c>
      <c r="J2612" s="195">
        <v>1.1646200000000001E-2</v>
      </c>
      <c r="K2612" s="195">
        <v>8.6916000000000007E-3</v>
      </c>
      <c r="L2612" s="195">
        <v>3.2756E-3</v>
      </c>
      <c r="M2612" s="195">
        <v>3.2910000000000001E-3</v>
      </c>
      <c r="N2612" s="195">
        <v>3.0203999999999999E-3</v>
      </c>
    </row>
    <row r="2613" spans="1:14" hidden="1" x14ac:dyDescent="0.35">
      <c r="A2613" s="52" t="s">
        <v>226</v>
      </c>
      <c r="B2613" s="52" t="s">
        <v>37</v>
      </c>
      <c r="C2613" s="52" t="s">
        <v>35</v>
      </c>
      <c r="D2613" s="52" t="s">
        <v>39</v>
      </c>
      <c r="E2613" s="52" t="s">
        <v>591</v>
      </c>
      <c r="F2613" s="52" t="s">
        <v>26</v>
      </c>
      <c r="G2613" s="195" t="s">
        <v>279</v>
      </c>
      <c r="H2613" s="195">
        <v>0.392428</v>
      </c>
      <c r="I2613" s="195">
        <v>0.3032782</v>
      </c>
      <c r="J2613" s="195">
        <v>0.26322499999999999</v>
      </c>
      <c r="K2613" s="195">
        <v>0.24598300000000001</v>
      </c>
      <c r="L2613" s="195">
        <v>0.24338660000000001</v>
      </c>
      <c r="M2613" s="195">
        <v>0.21820339999999999</v>
      </c>
      <c r="N2613" s="195">
        <v>0.19627800000000001</v>
      </c>
    </row>
    <row r="2614" spans="1:14" hidden="1" x14ac:dyDescent="0.35">
      <c r="A2614" s="52" t="s">
        <v>226</v>
      </c>
      <c r="B2614" s="52" t="s">
        <v>37</v>
      </c>
      <c r="C2614" s="52" t="s">
        <v>35</v>
      </c>
      <c r="D2614" s="52" t="s">
        <v>38</v>
      </c>
      <c r="E2614" s="52" t="s">
        <v>580</v>
      </c>
      <c r="F2614" s="52" t="s">
        <v>581</v>
      </c>
      <c r="G2614" s="195" t="s">
        <v>275</v>
      </c>
      <c r="H2614" s="195">
        <v>-0.61326800000000004</v>
      </c>
      <c r="I2614" s="195">
        <v>2.1509E-2</v>
      </c>
      <c r="J2614" s="195">
        <v>1.7207E-2</v>
      </c>
      <c r="K2614" s="195">
        <v>-1.679689</v>
      </c>
      <c r="L2614" s="195">
        <v>-1.4009160000000001</v>
      </c>
      <c r="M2614" s="195">
        <v>-0.44571240000000001</v>
      </c>
      <c r="N2614" s="195">
        <v>-6.7094399999999998E-2</v>
      </c>
    </row>
    <row r="2615" spans="1:14" hidden="1" x14ac:dyDescent="0.35">
      <c r="A2615" s="52" t="s">
        <v>226</v>
      </c>
      <c r="B2615" s="52" t="s">
        <v>37</v>
      </c>
      <c r="C2615" s="52" t="s">
        <v>35</v>
      </c>
      <c r="D2615" s="52" t="s">
        <v>38</v>
      </c>
      <c r="E2615" s="52" t="s">
        <v>580</v>
      </c>
      <c r="F2615" s="52" t="s">
        <v>581</v>
      </c>
      <c r="G2615" s="195" t="s">
        <v>276</v>
      </c>
      <c r="H2615" s="195">
        <v>-2.6887000000000001E-2</v>
      </c>
      <c r="I2615" s="195">
        <v>-2.1509E-2</v>
      </c>
      <c r="J2615" s="195">
        <v>-1.7207E-2</v>
      </c>
      <c r="K2615" s="195">
        <v>-0.31229079999999998</v>
      </c>
      <c r="L2615" s="195">
        <v>-0.36503140000000001</v>
      </c>
      <c r="M2615" s="195">
        <v>-0.16422100000000001</v>
      </c>
      <c r="N2615" s="195">
        <v>-5.4428200000000003E-2</v>
      </c>
    </row>
    <row r="2616" spans="1:14" hidden="1" x14ac:dyDescent="0.35">
      <c r="A2616" s="52" t="s">
        <v>226</v>
      </c>
      <c r="B2616" s="52" t="s">
        <v>37</v>
      </c>
      <c r="C2616" s="52" t="s">
        <v>35</v>
      </c>
      <c r="D2616" s="52" t="s">
        <v>38</v>
      </c>
      <c r="E2616" s="52" t="s">
        <v>580</v>
      </c>
      <c r="F2616" s="52" t="s">
        <v>581</v>
      </c>
      <c r="G2616" s="195" t="s">
        <v>277</v>
      </c>
      <c r="H2616" s="195">
        <v>9.8676990000000006E-2</v>
      </c>
      <c r="I2616" s="195">
        <v>0</v>
      </c>
      <c r="J2616" s="195">
        <v>0</v>
      </c>
      <c r="K2616" s="195">
        <v>6.9930000000000006E-2</v>
      </c>
      <c r="L2616" s="195">
        <v>8.6786000000000002E-2</v>
      </c>
      <c r="M2616" s="195">
        <v>0</v>
      </c>
      <c r="N2616" s="195">
        <v>0</v>
      </c>
    </row>
    <row r="2617" spans="1:14" hidden="1" x14ac:dyDescent="0.35">
      <c r="A2617" s="52" t="s">
        <v>226</v>
      </c>
      <c r="B2617" s="52" t="s">
        <v>37</v>
      </c>
      <c r="C2617" s="52" t="s">
        <v>35</v>
      </c>
      <c r="D2617" s="52" t="s">
        <v>38</v>
      </c>
      <c r="E2617" s="52" t="s">
        <v>580</v>
      </c>
      <c r="F2617" s="52" t="s">
        <v>581</v>
      </c>
      <c r="G2617" s="195" t="s">
        <v>278</v>
      </c>
      <c r="H2617" s="195">
        <v>0.54147900000000004</v>
      </c>
      <c r="I2617" s="195">
        <v>0</v>
      </c>
      <c r="J2617" s="195">
        <v>0</v>
      </c>
      <c r="K2617" s="195">
        <v>0.64311580000000002</v>
      </c>
      <c r="L2617" s="195">
        <v>0.41820760000000001</v>
      </c>
      <c r="M2617" s="195">
        <v>0</v>
      </c>
      <c r="N2617" s="195"/>
    </row>
    <row r="2618" spans="1:14" hidden="1" x14ac:dyDescent="0.35">
      <c r="A2618" s="52" t="s">
        <v>226</v>
      </c>
      <c r="B2618" s="52" t="s">
        <v>37</v>
      </c>
      <c r="C2618" s="52" t="s">
        <v>35</v>
      </c>
      <c r="D2618" s="52" t="s">
        <v>38</v>
      </c>
      <c r="E2618" s="52" t="s">
        <v>580</v>
      </c>
      <c r="F2618" s="52" t="s">
        <v>581</v>
      </c>
      <c r="G2618" s="195" t="s">
        <v>279</v>
      </c>
      <c r="H2618" s="195"/>
      <c r="I2618" s="195"/>
      <c r="J2618" s="195">
        <v>0</v>
      </c>
      <c r="K2618" s="195">
        <v>1.5708359999999999</v>
      </c>
      <c r="L2618" s="195">
        <v>1.667745</v>
      </c>
      <c r="M2618" s="195">
        <v>0.91966740000000002</v>
      </c>
      <c r="N2618" s="195">
        <v>0.33882180000000001</v>
      </c>
    </row>
    <row r="2619" spans="1:14" hidden="1" x14ac:dyDescent="0.35">
      <c r="A2619" s="52" t="s">
        <v>226</v>
      </c>
      <c r="B2619" s="52" t="s">
        <v>37</v>
      </c>
      <c r="C2619" s="52" t="s">
        <v>35</v>
      </c>
      <c r="D2619" s="52" t="s">
        <v>38</v>
      </c>
      <c r="E2619" s="52" t="s">
        <v>580</v>
      </c>
      <c r="F2619" s="52" t="s">
        <v>26</v>
      </c>
      <c r="G2619" s="195" t="s">
        <v>275</v>
      </c>
      <c r="H2619" s="195"/>
      <c r="I2619" s="195"/>
      <c r="J2619" s="195">
        <v>0</v>
      </c>
      <c r="K2619" s="195">
        <v>-0.41380840000000002</v>
      </c>
      <c r="L2619" s="195">
        <v>-0.41758820000000002</v>
      </c>
      <c r="M2619" s="195">
        <v>-0.20882919999999999</v>
      </c>
      <c r="N2619" s="195">
        <v>-5.0621600000000003E-2</v>
      </c>
    </row>
    <row r="2620" spans="1:14" hidden="1" x14ac:dyDescent="0.35">
      <c r="A2620" s="52" t="s">
        <v>226</v>
      </c>
      <c r="B2620" s="52" t="s">
        <v>37</v>
      </c>
      <c r="C2620" s="52" t="s">
        <v>35</v>
      </c>
      <c r="D2620" s="52" t="s">
        <v>38</v>
      </c>
      <c r="E2620" s="52" t="s">
        <v>580</v>
      </c>
      <c r="F2620" s="52" t="s">
        <v>26</v>
      </c>
      <c r="G2620" s="195" t="s">
        <v>276</v>
      </c>
      <c r="H2620" s="195"/>
      <c r="I2620" s="195"/>
      <c r="J2620" s="195">
        <v>0</v>
      </c>
      <c r="K2620" s="195">
        <v>-0.1099986</v>
      </c>
      <c r="L2620" s="195">
        <v>-0.11100359999999999</v>
      </c>
      <c r="M2620" s="195">
        <v>-5.55118E-2</v>
      </c>
      <c r="N2620" s="195">
        <v>-1.34564E-2</v>
      </c>
    </row>
    <row r="2621" spans="1:14" hidden="1" x14ac:dyDescent="0.35">
      <c r="A2621" s="52" t="s">
        <v>226</v>
      </c>
      <c r="B2621" s="52" t="s">
        <v>37</v>
      </c>
      <c r="C2621" s="52" t="s">
        <v>35</v>
      </c>
      <c r="D2621" s="52" t="s">
        <v>38</v>
      </c>
      <c r="E2621" s="52" t="s">
        <v>580</v>
      </c>
      <c r="F2621" s="52" t="s">
        <v>26</v>
      </c>
      <c r="G2621" s="195" t="s">
        <v>279</v>
      </c>
      <c r="H2621" s="195"/>
      <c r="I2621" s="195"/>
      <c r="J2621" s="195">
        <v>0</v>
      </c>
      <c r="K2621" s="195">
        <v>0.65133940000000001</v>
      </c>
      <c r="L2621" s="195">
        <v>0.70301239999999998</v>
      </c>
      <c r="M2621" s="195">
        <v>0.39615139999999999</v>
      </c>
      <c r="N2621" s="195">
        <v>0.1566602</v>
      </c>
    </row>
    <row r="2622" spans="1:14" hidden="1" x14ac:dyDescent="0.35">
      <c r="A2622" s="52" t="s">
        <v>226</v>
      </c>
      <c r="B2622" s="52" t="s">
        <v>37</v>
      </c>
      <c r="C2622" s="52" t="s">
        <v>46</v>
      </c>
      <c r="D2622" s="52" t="s">
        <v>46</v>
      </c>
      <c r="E2622" s="52" t="s">
        <v>584</v>
      </c>
      <c r="F2622" s="52" t="s">
        <v>581</v>
      </c>
      <c r="G2622" s="195" t="s">
        <v>275</v>
      </c>
      <c r="H2622" s="195">
        <v>-0.551369</v>
      </c>
      <c r="I2622" s="195">
        <v>-0.29113060000000002</v>
      </c>
      <c r="J2622" s="195">
        <v>-6.0998979999999996</v>
      </c>
      <c r="K2622" s="195">
        <v>-0.2340516</v>
      </c>
      <c r="L2622" s="195">
        <v>-0.28374899999999997</v>
      </c>
      <c r="M2622" s="195">
        <v>-13.727969999999999</v>
      </c>
      <c r="N2622" s="195">
        <v>-8.5333800000000001E-2</v>
      </c>
    </row>
    <row r="2623" spans="1:14" hidden="1" x14ac:dyDescent="0.35">
      <c r="A2623" s="52" t="s">
        <v>226</v>
      </c>
      <c r="B2623" s="52" t="s">
        <v>37</v>
      </c>
      <c r="C2623" s="52" t="s">
        <v>46</v>
      </c>
      <c r="D2623" s="52" t="s">
        <v>46</v>
      </c>
      <c r="E2623" s="52" t="s">
        <v>584</v>
      </c>
      <c r="F2623" s="52" t="s">
        <v>581</v>
      </c>
      <c r="G2623" s="195" t="s">
        <v>276</v>
      </c>
      <c r="H2623" s="195">
        <v>-0.27602300000000002</v>
      </c>
      <c r="I2623" s="195">
        <v>-7.7319200000000005E-2</v>
      </c>
      <c r="J2623" s="195">
        <v>-1.6215059999999999</v>
      </c>
      <c r="K2623" s="195">
        <v>-6.22278E-2</v>
      </c>
      <c r="L2623" s="195">
        <v>-7.5434000000000001E-2</v>
      </c>
      <c r="M2623" s="195">
        <v>-3.6492399999999998</v>
      </c>
      <c r="N2623" s="195">
        <v>-2.26838E-2</v>
      </c>
    </row>
    <row r="2624" spans="1:14" hidden="1" x14ac:dyDescent="0.35">
      <c r="A2624" s="52" t="s">
        <v>226</v>
      </c>
      <c r="B2624" s="52" t="s">
        <v>37</v>
      </c>
      <c r="C2624" s="52" t="s">
        <v>46</v>
      </c>
      <c r="D2624" s="52" t="s">
        <v>46</v>
      </c>
      <c r="E2624" s="52" t="s">
        <v>584</v>
      </c>
      <c r="F2624" s="52" t="s">
        <v>581</v>
      </c>
      <c r="G2624" s="195" t="s">
        <v>277</v>
      </c>
      <c r="H2624" s="195">
        <v>2.4338660000000001</v>
      </c>
      <c r="I2624" s="195"/>
      <c r="J2624" s="195"/>
      <c r="K2624" s="195"/>
      <c r="L2624" s="195"/>
      <c r="M2624" s="195"/>
      <c r="N2624" s="195"/>
    </row>
    <row r="2625" spans="1:14" hidden="1" x14ac:dyDescent="0.35">
      <c r="A2625" s="52" t="s">
        <v>226</v>
      </c>
      <c r="B2625" s="52" t="s">
        <v>37</v>
      </c>
      <c r="C2625" s="52" t="s">
        <v>46</v>
      </c>
      <c r="D2625" s="52" t="s">
        <v>46</v>
      </c>
      <c r="E2625" s="52" t="s">
        <v>584</v>
      </c>
      <c r="F2625" s="52" t="s">
        <v>581</v>
      </c>
      <c r="G2625" s="195" t="s">
        <v>278</v>
      </c>
      <c r="H2625" s="195">
        <v>0</v>
      </c>
      <c r="I2625" s="195">
        <v>3.3199999999999999E-4</v>
      </c>
      <c r="J2625" s="195">
        <v>0</v>
      </c>
      <c r="K2625" s="195"/>
      <c r="L2625" s="195"/>
      <c r="M2625" s="195"/>
      <c r="N2625" s="195"/>
    </row>
    <row r="2626" spans="1:14" hidden="1" x14ac:dyDescent="0.35">
      <c r="A2626" s="52" t="s">
        <v>226</v>
      </c>
      <c r="B2626" s="52" t="s">
        <v>37</v>
      </c>
      <c r="C2626" s="52" t="s">
        <v>46</v>
      </c>
      <c r="D2626" s="52" t="s">
        <v>46</v>
      </c>
      <c r="E2626" s="52" t="s">
        <v>584</v>
      </c>
      <c r="F2626" s="52" t="s">
        <v>581</v>
      </c>
      <c r="G2626" s="195" t="s">
        <v>279</v>
      </c>
      <c r="H2626" s="195">
        <v>2.1287560000000001</v>
      </c>
      <c r="I2626" s="195">
        <v>1.706637</v>
      </c>
      <c r="J2626" s="195">
        <v>8.7998729999999998</v>
      </c>
      <c r="K2626" s="195">
        <v>1.3570869999999999</v>
      </c>
      <c r="L2626" s="195">
        <v>1.385318</v>
      </c>
      <c r="M2626" s="195">
        <v>17.852129999999999</v>
      </c>
      <c r="N2626" s="195">
        <v>0.56669460000000005</v>
      </c>
    </row>
    <row r="2627" spans="1:14" hidden="1" x14ac:dyDescent="0.35">
      <c r="A2627" s="52" t="s">
        <v>226</v>
      </c>
      <c r="B2627" s="52" t="s">
        <v>37</v>
      </c>
      <c r="C2627" s="52" t="s">
        <v>46</v>
      </c>
      <c r="D2627" s="52" t="s">
        <v>46</v>
      </c>
      <c r="E2627" s="52" t="s">
        <v>584</v>
      </c>
      <c r="F2627" s="52" t="s">
        <v>26</v>
      </c>
      <c r="G2627" s="195" t="s">
        <v>275</v>
      </c>
      <c r="H2627" s="195">
        <v>3.7145480000000002</v>
      </c>
      <c r="I2627" s="195">
        <v>2.202623</v>
      </c>
      <c r="J2627" s="195">
        <v>-0.27050069999999998</v>
      </c>
      <c r="K2627" s="195">
        <v>0.92343580000000003</v>
      </c>
      <c r="L2627" s="195">
        <v>0.51516399999999996</v>
      </c>
      <c r="M2627" s="195">
        <v>-65.069360000000003</v>
      </c>
      <c r="N2627" s="195">
        <v>0.52200279999999999</v>
      </c>
    </row>
    <row r="2628" spans="1:14" hidden="1" x14ac:dyDescent="0.35">
      <c r="A2628" s="52" t="s">
        <v>226</v>
      </c>
      <c r="B2628" s="52" t="s">
        <v>37</v>
      </c>
      <c r="C2628" s="52" t="s">
        <v>46</v>
      </c>
      <c r="D2628" s="52" t="s">
        <v>46</v>
      </c>
      <c r="E2628" s="52" t="s">
        <v>584</v>
      </c>
      <c r="F2628" s="52" t="s">
        <v>26</v>
      </c>
      <c r="G2628" s="195" t="s">
        <v>276</v>
      </c>
      <c r="H2628" s="195">
        <v>2.8804989999999999E-2</v>
      </c>
      <c r="I2628" s="195">
        <v>-0.4914212</v>
      </c>
      <c r="J2628" s="195">
        <v>-3.1396130000000002</v>
      </c>
      <c r="K2628" s="195">
        <v>0.24534500000000001</v>
      </c>
      <c r="L2628" s="195">
        <v>0.13684260000000001</v>
      </c>
      <c r="M2628" s="195">
        <v>-17.297319999999999</v>
      </c>
      <c r="N2628" s="195">
        <v>0.13876040000000001</v>
      </c>
    </row>
    <row r="2629" spans="1:14" hidden="1" x14ac:dyDescent="0.35">
      <c r="A2629" s="52" t="s">
        <v>226</v>
      </c>
      <c r="B2629" s="52" t="s">
        <v>37</v>
      </c>
      <c r="C2629" s="52" t="s">
        <v>46</v>
      </c>
      <c r="D2629" s="52" t="s">
        <v>46</v>
      </c>
      <c r="E2629" s="52" t="s">
        <v>584</v>
      </c>
      <c r="F2629" s="52" t="s">
        <v>26</v>
      </c>
      <c r="G2629" s="195" t="s">
        <v>277</v>
      </c>
      <c r="H2629" s="195"/>
      <c r="I2629" s="195"/>
      <c r="J2629" s="195"/>
      <c r="K2629" s="195"/>
      <c r="L2629" s="195"/>
      <c r="M2629" s="195"/>
      <c r="N2629" s="195"/>
    </row>
    <row r="2630" spans="1:14" hidden="1" x14ac:dyDescent="0.35">
      <c r="A2630" s="52" t="s">
        <v>226</v>
      </c>
      <c r="B2630" s="52" t="s">
        <v>37</v>
      </c>
      <c r="C2630" s="52" t="s">
        <v>46</v>
      </c>
      <c r="D2630" s="52" t="s">
        <v>46</v>
      </c>
      <c r="E2630" s="52" t="s">
        <v>584</v>
      </c>
      <c r="F2630" s="52" t="s">
        <v>26</v>
      </c>
      <c r="G2630" s="195" t="s">
        <v>278</v>
      </c>
      <c r="H2630" s="195">
        <v>0</v>
      </c>
      <c r="I2630" s="195">
        <v>3.6800000000000001E-3</v>
      </c>
      <c r="J2630" s="195">
        <v>0</v>
      </c>
      <c r="K2630" s="195"/>
      <c r="L2630" s="195"/>
      <c r="M2630" s="195"/>
      <c r="N2630" s="195"/>
    </row>
    <row r="2631" spans="1:14" hidden="1" x14ac:dyDescent="0.35">
      <c r="A2631" s="52" t="s">
        <v>226</v>
      </c>
      <c r="B2631" s="52" t="s">
        <v>37</v>
      </c>
      <c r="C2631" s="52" t="s">
        <v>46</v>
      </c>
      <c r="D2631" s="52" t="s">
        <v>46</v>
      </c>
      <c r="E2631" s="52" t="s">
        <v>584</v>
      </c>
      <c r="F2631" s="52" t="s">
        <v>26</v>
      </c>
      <c r="G2631" s="195" t="s">
        <v>279</v>
      </c>
      <c r="H2631" s="195">
        <v>10.79928</v>
      </c>
      <c r="I2631" s="195">
        <v>8.9145470000000007</v>
      </c>
      <c r="J2631" s="195">
        <v>13.130420000000001</v>
      </c>
      <c r="K2631" s="195">
        <v>8.0834770000000002</v>
      </c>
      <c r="L2631" s="195">
        <v>8.032864</v>
      </c>
      <c r="M2631" s="195">
        <v>87.42841</v>
      </c>
      <c r="N2631" s="195">
        <v>4.0785280000000004</v>
      </c>
    </row>
    <row r="2632" spans="1:14" hidden="1" x14ac:dyDescent="0.35">
      <c r="A2632" s="52" t="s">
        <v>226</v>
      </c>
      <c r="B2632" s="52" t="s">
        <v>37</v>
      </c>
      <c r="C2632" s="52" t="s">
        <v>205</v>
      </c>
      <c r="D2632" s="52" t="s">
        <v>205</v>
      </c>
      <c r="E2632" s="52" t="s">
        <v>657</v>
      </c>
      <c r="F2632" s="52" t="s">
        <v>581</v>
      </c>
      <c r="G2632" s="195" t="s">
        <v>275</v>
      </c>
      <c r="H2632" s="195">
        <v>0.60066900000000001</v>
      </c>
      <c r="I2632" s="195">
        <v>3.6632999999999999E-2</v>
      </c>
      <c r="J2632" s="195">
        <v>-1.7468010000000001E-3</v>
      </c>
      <c r="K2632" s="195">
        <v>-1.16656E-2</v>
      </c>
      <c r="L2632" s="195">
        <v>-3.40144E-2</v>
      </c>
      <c r="M2632" s="195">
        <v>-1.635E-2</v>
      </c>
      <c r="N2632" s="195">
        <v>-4.5011979999999997E-3</v>
      </c>
    </row>
    <row r="2633" spans="1:14" hidden="1" x14ac:dyDescent="0.35">
      <c r="A2633" s="52" t="s">
        <v>226</v>
      </c>
      <c r="B2633" s="52" t="s">
        <v>37</v>
      </c>
      <c r="C2633" s="52" t="s">
        <v>205</v>
      </c>
      <c r="D2633" s="52" t="s">
        <v>205</v>
      </c>
      <c r="E2633" s="52" t="s">
        <v>657</v>
      </c>
      <c r="F2633" s="52" t="s">
        <v>581</v>
      </c>
      <c r="G2633" s="195" t="s">
        <v>276</v>
      </c>
      <c r="H2633" s="195">
        <v>0.15967100000000001</v>
      </c>
      <c r="I2633" s="195">
        <v>9.7376000000000008E-3</v>
      </c>
      <c r="J2633" s="195">
        <v>-4.6420050000000002E-4</v>
      </c>
      <c r="K2633" s="195">
        <v>-3.1007999999999999E-3</v>
      </c>
      <c r="L2633" s="195">
        <v>-9.0411999999999992E-3</v>
      </c>
      <c r="M2633" s="195">
        <v>-4.346E-3</v>
      </c>
      <c r="N2633" s="195">
        <v>-1.1964E-3</v>
      </c>
    </row>
    <row r="2634" spans="1:14" hidden="1" x14ac:dyDescent="0.35">
      <c r="A2634" s="52" t="s">
        <v>226</v>
      </c>
      <c r="B2634" s="52" t="s">
        <v>37</v>
      </c>
      <c r="C2634" s="52" t="s">
        <v>205</v>
      </c>
      <c r="D2634" s="52" t="s">
        <v>205</v>
      </c>
      <c r="E2634" s="52" t="s">
        <v>657</v>
      </c>
      <c r="F2634" s="52" t="s">
        <v>581</v>
      </c>
      <c r="G2634" s="195" t="s">
        <v>277</v>
      </c>
      <c r="H2634" s="195"/>
      <c r="I2634" s="195"/>
      <c r="J2634" s="195"/>
      <c r="K2634" s="195"/>
      <c r="L2634" s="195">
        <v>0</v>
      </c>
      <c r="M2634" s="195">
        <v>0</v>
      </c>
      <c r="N2634" s="195">
        <v>0</v>
      </c>
    </row>
    <row r="2635" spans="1:14" hidden="1" x14ac:dyDescent="0.35">
      <c r="A2635" s="52" t="s">
        <v>226</v>
      </c>
      <c r="B2635" s="52" t="s">
        <v>37</v>
      </c>
      <c r="C2635" s="52" t="s">
        <v>205</v>
      </c>
      <c r="D2635" s="52" t="s">
        <v>205</v>
      </c>
      <c r="E2635" s="52" t="s">
        <v>657</v>
      </c>
      <c r="F2635" s="52" t="s">
        <v>581</v>
      </c>
      <c r="G2635" s="195" t="s">
        <v>279</v>
      </c>
      <c r="H2635" s="195">
        <v>0.51563099999999995</v>
      </c>
      <c r="I2635" s="195">
        <v>0.38700859999999998</v>
      </c>
      <c r="J2635" s="195">
        <v>0.3434064</v>
      </c>
      <c r="K2635" s="195">
        <v>0.33000580000000002</v>
      </c>
      <c r="L2635" s="195">
        <v>0.33430379999999998</v>
      </c>
      <c r="M2635" s="195">
        <v>0.29046919999999998</v>
      </c>
      <c r="N2635" s="195">
        <v>0.2542026</v>
      </c>
    </row>
    <row r="2636" spans="1:14" hidden="1" x14ac:dyDescent="0.35">
      <c r="A2636" s="52" t="s">
        <v>226</v>
      </c>
      <c r="B2636" s="52" t="s">
        <v>37</v>
      </c>
      <c r="C2636" s="52" t="s">
        <v>205</v>
      </c>
      <c r="D2636" s="52" t="s">
        <v>205</v>
      </c>
      <c r="E2636" s="52" t="s">
        <v>657</v>
      </c>
      <c r="F2636" s="52" t="s">
        <v>26</v>
      </c>
      <c r="G2636" s="195" t="s">
        <v>275</v>
      </c>
      <c r="H2636" s="195">
        <v>0.24331800000000001</v>
      </c>
      <c r="I2636" s="195">
        <v>0.12925739999999999</v>
      </c>
      <c r="J2636" s="195">
        <v>0.12775439999999999</v>
      </c>
      <c r="K2636" s="195">
        <v>0.1033554</v>
      </c>
      <c r="L2636" s="195">
        <v>7.1715399999999999E-2</v>
      </c>
      <c r="M2636" s="195">
        <v>7.5563210000000006E-2</v>
      </c>
      <c r="N2636" s="195">
        <v>7.6681200000000005E-2</v>
      </c>
    </row>
    <row r="2637" spans="1:14" hidden="1" x14ac:dyDescent="0.35">
      <c r="A2637" s="52" t="s">
        <v>226</v>
      </c>
      <c r="B2637" s="52" t="s">
        <v>37</v>
      </c>
      <c r="C2637" s="52" t="s">
        <v>205</v>
      </c>
      <c r="D2637" s="52" t="s">
        <v>205</v>
      </c>
      <c r="E2637" s="52" t="s">
        <v>657</v>
      </c>
      <c r="F2637" s="52" t="s">
        <v>26</v>
      </c>
      <c r="G2637" s="195" t="s">
        <v>276</v>
      </c>
      <c r="H2637" s="195">
        <v>6.4680000000000001E-2</v>
      </c>
      <c r="I2637" s="195">
        <v>3.4359599999999997E-2</v>
      </c>
      <c r="J2637" s="195">
        <v>3.3959799999999998E-2</v>
      </c>
      <c r="K2637" s="195">
        <v>2.7473999999999998E-2</v>
      </c>
      <c r="L2637" s="195">
        <v>1.90636E-2</v>
      </c>
      <c r="M2637" s="195">
        <v>2.0086199999999999E-2</v>
      </c>
      <c r="N2637" s="195">
        <v>2.0383800000000001E-2</v>
      </c>
    </row>
    <row r="2638" spans="1:14" hidden="1" x14ac:dyDescent="0.35">
      <c r="A2638" s="52" t="s">
        <v>226</v>
      </c>
      <c r="B2638" s="52" t="s">
        <v>37</v>
      </c>
      <c r="C2638" s="52" t="s">
        <v>205</v>
      </c>
      <c r="D2638" s="52" t="s">
        <v>205</v>
      </c>
      <c r="E2638" s="52" t="s">
        <v>657</v>
      </c>
      <c r="F2638" s="52" t="s">
        <v>26</v>
      </c>
      <c r="G2638" s="195" t="s">
        <v>279</v>
      </c>
      <c r="H2638" s="195">
        <v>0.512436</v>
      </c>
      <c r="I2638" s="195">
        <v>0.41296240000000001</v>
      </c>
      <c r="J2638" s="195">
        <v>0.37180439999999998</v>
      </c>
      <c r="K2638" s="195">
        <v>0.36121059999999999</v>
      </c>
      <c r="L2638" s="195">
        <v>0.3627398</v>
      </c>
      <c r="M2638" s="195">
        <v>0.32321820000000001</v>
      </c>
      <c r="N2638" s="195">
        <v>0.28881059999999997</v>
      </c>
    </row>
    <row r="2639" spans="1:14" hidden="1" x14ac:dyDescent="0.35">
      <c r="A2639" s="52" t="s">
        <v>226</v>
      </c>
      <c r="B2639" s="52" t="s">
        <v>37</v>
      </c>
      <c r="C2639" s="52" t="s">
        <v>109</v>
      </c>
      <c r="D2639" s="52" t="s">
        <v>109</v>
      </c>
      <c r="E2639" s="52" t="s">
        <v>584</v>
      </c>
      <c r="F2639" s="52" t="s">
        <v>581</v>
      </c>
      <c r="G2639" s="195" t="s">
        <v>275</v>
      </c>
      <c r="H2639" s="195">
        <v>-0.200736</v>
      </c>
      <c r="I2639" s="195">
        <v>0.1023583</v>
      </c>
      <c r="J2639" s="195">
        <v>6.4576250000000002E-2</v>
      </c>
      <c r="K2639" s="195">
        <v>4.7042849999999997E-2</v>
      </c>
      <c r="L2639" s="195">
        <v>3.248765E-2</v>
      </c>
      <c r="M2639" s="195">
        <v>2.7473500000000001E-2</v>
      </c>
      <c r="N2639" s="195">
        <v>1.6274799999999999E-2</v>
      </c>
    </row>
    <row r="2640" spans="1:14" hidden="1" x14ac:dyDescent="0.35">
      <c r="A2640" s="52" t="s">
        <v>226</v>
      </c>
      <c r="B2640" s="52" t="s">
        <v>37</v>
      </c>
      <c r="C2640" s="52" t="s">
        <v>109</v>
      </c>
      <c r="D2640" s="52" t="s">
        <v>109</v>
      </c>
      <c r="E2640" s="52" t="s">
        <v>584</v>
      </c>
      <c r="F2640" s="52" t="s">
        <v>581</v>
      </c>
      <c r="G2640" s="195" t="s">
        <v>276</v>
      </c>
      <c r="H2640" s="195">
        <v>-3.9459000000000001E-2</v>
      </c>
      <c r="I2640" s="195">
        <v>2.3438750000000001E-2</v>
      </c>
      <c r="J2640" s="195">
        <v>2.0694750000000001E-2</v>
      </c>
      <c r="K2640" s="195">
        <v>1.160105E-2</v>
      </c>
      <c r="L2640" s="195">
        <v>9.8759499999999997E-3</v>
      </c>
      <c r="M2640" s="195">
        <v>1.00413E-2</v>
      </c>
      <c r="N2640" s="195">
        <v>8.9532489999999999E-3</v>
      </c>
    </row>
    <row r="2641" spans="1:14" hidden="1" x14ac:dyDescent="0.35">
      <c r="A2641" s="52" t="s">
        <v>226</v>
      </c>
      <c r="B2641" s="52" t="s">
        <v>37</v>
      </c>
      <c r="C2641" s="52" t="s">
        <v>109</v>
      </c>
      <c r="D2641" s="52" t="s">
        <v>109</v>
      </c>
      <c r="E2641" s="52" t="s">
        <v>584</v>
      </c>
      <c r="F2641" s="52" t="s">
        <v>581</v>
      </c>
      <c r="G2641" s="195" t="s">
        <v>277</v>
      </c>
      <c r="H2641" s="195">
        <v>0.1054392</v>
      </c>
      <c r="I2641" s="195">
        <v>8.4671239999999995E-2</v>
      </c>
      <c r="J2641" s="195">
        <v>7.6259999999999994E-2</v>
      </c>
      <c r="K2641" s="195">
        <v>9.1147500000000006E-2</v>
      </c>
      <c r="L2641" s="195">
        <v>0.1010856</v>
      </c>
      <c r="M2641" s="195">
        <v>0.10079059999999999</v>
      </c>
      <c r="N2641" s="195">
        <v>0.1088023</v>
      </c>
    </row>
    <row r="2642" spans="1:14" hidden="1" x14ac:dyDescent="0.35">
      <c r="A2642" s="52" t="s">
        <v>226</v>
      </c>
      <c r="B2642" s="52" t="s">
        <v>37</v>
      </c>
      <c r="C2642" s="52" t="s">
        <v>109</v>
      </c>
      <c r="D2642" s="52" t="s">
        <v>109</v>
      </c>
      <c r="E2642" s="52" t="s">
        <v>584</v>
      </c>
      <c r="F2642" s="52" t="s">
        <v>581</v>
      </c>
      <c r="G2642" s="195" t="s">
        <v>279</v>
      </c>
      <c r="H2642" s="195">
        <v>1.0446800000000001</v>
      </c>
      <c r="I2642" s="195">
        <v>5.6266999999999998E-2</v>
      </c>
      <c r="J2642" s="195">
        <v>5.3651249999999998E-2</v>
      </c>
      <c r="K2642" s="195">
        <v>5.431275E-2</v>
      </c>
      <c r="L2642" s="195">
        <v>5.205075E-2</v>
      </c>
      <c r="M2642" s="195">
        <v>5.0220000000000001E-2</v>
      </c>
      <c r="N2642" s="195">
        <v>4.8702000000000002E-2</v>
      </c>
    </row>
    <row r="2643" spans="1:14" hidden="1" x14ac:dyDescent="0.35">
      <c r="A2643" s="52" t="s">
        <v>226</v>
      </c>
      <c r="B2643" s="52" t="s">
        <v>37</v>
      </c>
      <c r="C2643" s="52" t="s">
        <v>109</v>
      </c>
      <c r="D2643" s="52" t="s">
        <v>109</v>
      </c>
      <c r="E2643" s="52" t="s">
        <v>584</v>
      </c>
      <c r="F2643" s="52" t="s">
        <v>26</v>
      </c>
      <c r="G2643" s="195" t="s">
        <v>275</v>
      </c>
      <c r="H2643" s="195">
        <v>-5.3475739999999998</v>
      </c>
      <c r="I2643" s="195">
        <v>2.18461E-2</v>
      </c>
      <c r="J2643" s="195">
        <v>2.1042000000000002E-2</v>
      </c>
      <c r="K2643" s="195">
        <v>1.87978E-2</v>
      </c>
      <c r="L2643" s="195">
        <v>1.8623799999999999E-2</v>
      </c>
      <c r="M2643" s="195">
        <v>1.8491049999999998E-2</v>
      </c>
      <c r="N2643" s="195">
        <v>1.83263E-2</v>
      </c>
    </row>
    <row r="2644" spans="1:14" hidden="1" x14ac:dyDescent="0.35">
      <c r="A2644" s="52" t="s">
        <v>226</v>
      </c>
      <c r="B2644" s="52" t="s">
        <v>37</v>
      </c>
      <c r="C2644" s="52" t="s">
        <v>109</v>
      </c>
      <c r="D2644" s="52" t="s">
        <v>109</v>
      </c>
      <c r="E2644" s="52" t="s">
        <v>584</v>
      </c>
      <c r="F2644" s="52" t="s">
        <v>26</v>
      </c>
      <c r="G2644" s="195" t="s">
        <v>276</v>
      </c>
      <c r="H2644" s="195">
        <v>-1.4215070000000001</v>
      </c>
      <c r="I2644" s="195">
        <v>5.8070500000000002E-3</v>
      </c>
      <c r="J2644" s="195">
        <v>5.5935999999999998E-3</v>
      </c>
      <c r="K2644" s="195">
        <v>4.9966999999999998E-3</v>
      </c>
      <c r="L2644" s="195">
        <v>4.9509000000000003E-3</v>
      </c>
      <c r="M2644" s="195">
        <v>4.9153499999999998E-3</v>
      </c>
      <c r="N2644" s="195">
        <v>4.8715499999999997E-3</v>
      </c>
    </row>
    <row r="2645" spans="1:14" hidden="1" x14ac:dyDescent="0.35">
      <c r="A2645" s="52" t="s">
        <v>226</v>
      </c>
      <c r="B2645" s="52" t="s">
        <v>37</v>
      </c>
      <c r="C2645" s="52" t="s">
        <v>109</v>
      </c>
      <c r="D2645" s="52" t="s">
        <v>109</v>
      </c>
      <c r="E2645" s="52" t="s">
        <v>584</v>
      </c>
      <c r="F2645" s="52" t="s">
        <v>26</v>
      </c>
      <c r="G2645" s="195" t="s">
        <v>279</v>
      </c>
      <c r="H2645" s="195">
        <v>9.0125620000000009</v>
      </c>
      <c r="I2645" s="195">
        <v>3.783425E-2</v>
      </c>
      <c r="J2645" s="195">
        <v>3.79805E-2</v>
      </c>
      <c r="K2645" s="195">
        <v>4.0020500000000001E-2</v>
      </c>
      <c r="L2645" s="195">
        <v>3.9739749999999997E-2</v>
      </c>
      <c r="M2645" s="195">
        <v>3.9604250000000001E-2</v>
      </c>
      <c r="N2645" s="195">
        <v>3.909075E-2</v>
      </c>
    </row>
    <row r="2646" spans="1:14" hidden="1" x14ac:dyDescent="0.35">
      <c r="A2646" s="52" t="s">
        <v>226</v>
      </c>
      <c r="B2646" s="52" t="s">
        <v>37</v>
      </c>
      <c r="C2646" s="52" t="s">
        <v>61</v>
      </c>
      <c r="D2646" s="52" t="s">
        <v>62</v>
      </c>
      <c r="E2646" s="52" t="s">
        <v>584</v>
      </c>
      <c r="F2646" s="52" t="s">
        <v>581</v>
      </c>
      <c r="G2646" s="195" t="s">
        <v>275</v>
      </c>
      <c r="H2646" s="195">
        <v>-0.32286789999999999</v>
      </c>
      <c r="I2646" s="195">
        <v>-0.58979090000000001</v>
      </c>
      <c r="J2646" s="195">
        <v>2.1254249999999999E-2</v>
      </c>
      <c r="K2646" s="195">
        <v>-3.1953819999999999</v>
      </c>
      <c r="L2646" s="195">
        <v>1.072848E-2</v>
      </c>
      <c r="M2646" s="195">
        <v>0</v>
      </c>
      <c r="N2646" s="195"/>
    </row>
    <row r="2647" spans="1:14" hidden="1" x14ac:dyDescent="0.35">
      <c r="A2647" s="52" t="s">
        <v>226</v>
      </c>
      <c r="B2647" s="52" t="s">
        <v>37</v>
      </c>
      <c r="C2647" s="52" t="s">
        <v>61</v>
      </c>
      <c r="D2647" s="52" t="s">
        <v>62</v>
      </c>
      <c r="E2647" s="52" t="s">
        <v>584</v>
      </c>
      <c r="F2647" s="52" t="s">
        <v>581</v>
      </c>
      <c r="G2647" s="195" t="s">
        <v>276</v>
      </c>
      <c r="H2647" s="195">
        <v>-0.1146919</v>
      </c>
      <c r="I2647" s="195">
        <v>-0.20547219999999999</v>
      </c>
      <c r="J2647" s="195">
        <v>-2.1254249999999999E-2</v>
      </c>
      <c r="K2647" s="195">
        <v>-0.87754540000000003</v>
      </c>
      <c r="L2647" s="195">
        <v>-1.072848E-2</v>
      </c>
      <c r="M2647" s="195">
        <v>0</v>
      </c>
      <c r="N2647" s="195"/>
    </row>
    <row r="2648" spans="1:14" hidden="1" x14ac:dyDescent="0.35">
      <c r="A2648" s="52" t="s">
        <v>226</v>
      </c>
      <c r="B2648" s="52" t="s">
        <v>37</v>
      </c>
      <c r="C2648" s="52" t="s">
        <v>61</v>
      </c>
      <c r="D2648" s="52" t="s">
        <v>62</v>
      </c>
      <c r="E2648" s="52" t="s">
        <v>584</v>
      </c>
      <c r="F2648" s="52" t="s">
        <v>581</v>
      </c>
      <c r="G2648" s="195" t="s">
        <v>277</v>
      </c>
      <c r="H2648" s="195">
        <v>0.12472660000000001</v>
      </c>
      <c r="I2648" s="195">
        <v>0</v>
      </c>
      <c r="J2648" s="195"/>
      <c r="K2648" s="195"/>
      <c r="L2648" s="195"/>
      <c r="M2648" s="195"/>
      <c r="N2648" s="195"/>
    </row>
    <row r="2649" spans="1:14" hidden="1" x14ac:dyDescent="0.35">
      <c r="A2649" s="52" t="s">
        <v>226</v>
      </c>
      <c r="B2649" s="52" t="s">
        <v>37</v>
      </c>
      <c r="C2649" s="52" t="s">
        <v>61</v>
      </c>
      <c r="D2649" s="52" t="s">
        <v>62</v>
      </c>
      <c r="E2649" s="52" t="s">
        <v>584</v>
      </c>
      <c r="F2649" s="52" t="s">
        <v>581</v>
      </c>
      <c r="G2649" s="195" t="s">
        <v>279</v>
      </c>
      <c r="H2649" s="195">
        <v>1.424998</v>
      </c>
      <c r="I2649" s="195">
        <v>1.0917570000000001</v>
      </c>
      <c r="J2649" s="195">
        <v>0</v>
      </c>
      <c r="K2649" s="195">
        <v>4.0729280000000001</v>
      </c>
      <c r="L2649" s="195">
        <v>0</v>
      </c>
      <c r="M2649" s="195"/>
      <c r="N2649" s="195"/>
    </row>
    <row r="2650" spans="1:14" hidden="1" x14ac:dyDescent="0.35">
      <c r="A2650" s="52" t="s">
        <v>226</v>
      </c>
      <c r="B2650" s="52" t="s">
        <v>37</v>
      </c>
      <c r="C2650" s="52" t="s">
        <v>61</v>
      </c>
      <c r="D2650" s="52" t="s">
        <v>62</v>
      </c>
      <c r="E2650" s="52" t="s">
        <v>584</v>
      </c>
      <c r="F2650" s="52" t="s">
        <v>26</v>
      </c>
      <c r="G2650" s="195" t="s">
        <v>275</v>
      </c>
      <c r="H2650" s="195">
        <v>-6.4621919999999999E-2</v>
      </c>
      <c r="I2650" s="195">
        <v>-4.5434490000000001E-2</v>
      </c>
      <c r="J2650" s="195">
        <v>0</v>
      </c>
      <c r="K2650" s="195">
        <v>-1.206798</v>
      </c>
      <c r="L2650" s="195">
        <v>0</v>
      </c>
      <c r="M2650" s="195"/>
      <c r="N2650" s="195"/>
    </row>
    <row r="2651" spans="1:14" hidden="1" x14ac:dyDescent="0.35">
      <c r="A2651" s="52" t="s">
        <v>226</v>
      </c>
      <c r="B2651" s="52" t="s">
        <v>37</v>
      </c>
      <c r="C2651" s="52" t="s">
        <v>61</v>
      </c>
      <c r="D2651" s="52" t="s">
        <v>62</v>
      </c>
      <c r="E2651" s="52" t="s">
        <v>584</v>
      </c>
      <c r="F2651" s="52" t="s">
        <v>26</v>
      </c>
      <c r="G2651" s="195" t="s">
        <v>276</v>
      </c>
      <c r="H2651" s="195">
        <v>-1.7177769999999998E-2</v>
      </c>
      <c r="I2651" s="195">
        <v>-1.207742E-2</v>
      </c>
      <c r="J2651" s="195">
        <v>0</v>
      </c>
      <c r="K2651" s="195">
        <v>-0.32079449999999998</v>
      </c>
      <c r="L2651" s="195">
        <v>0</v>
      </c>
      <c r="M2651" s="195"/>
      <c r="N2651" s="195"/>
    </row>
    <row r="2652" spans="1:14" hidden="1" x14ac:dyDescent="0.35">
      <c r="A2652" s="52" t="s">
        <v>226</v>
      </c>
      <c r="B2652" s="52" t="s">
        <v>37</v>
      </c>
      <c r="C2652" s="52" t="s">
        <v>61</v>
      </c>
      <c r="D2652" s="52" t="s">
        <v>62</v>
      </c>
      <c r="E2652" s="52" t="s">
        <v>584</v>
      </c>
      <c r="F2652" s="52" t="s">
        <v>26</v>
      </c>
      <c r="G2652" s="195" t="s">
        <v>279</v>
      </c>
      <c r="H2652" s="195">
        <v>0.14668300000000001</v>
      </c>
      <c r="I2652" s="195">
        <v>9.1476290000000002E-2</v>
      </c>
      <c r="J2652" s="195">
        <v>0</v>
      </c>
      <c r="K2652" s="195">
        <v>1.5275909999999999</v>
      </c>
      <c r="L2652" s="195">
        <v>0</v>
      </c>
      <c r="M2652" s="195"/>
      <c r="N2652" s="195"/>
    </row>
    <row r="2653" spans="1:14" hidden="1" x14ac:dyDescent="0.35">
      <c r="A2653" s="52" t="s">
        <v>226</v>
      </c>
      <c r="B2653" s="52" t="s">
        <v>37</v>
      </c>
      <c r="C2653" s="52" t="s">
        <v>118</v>
      </c>
      <c r="D2653" s="52" t="s">
        <v>118</v>
      </c>
      <c r="E2653" s="52" t="s">
        <v>584</v>
      </c>
      <c r="F2653" s="52" t="s">
        <v>581</v>
      </c>
      <c r="G2653" s="195" t="s">
        <v>275</v>
      </c>
      <c r="H2653" s="195">
        <v>-1.9591000000000001E-2</v>
      </c>
      <c r="I2653" s="195">
        <v>-2.1920599999999998E-2</v>
      </c>
      <c r="J2653" s="195">
        <v>-2.14022E-2</v>
      </c>
      <c r="K2653" s="195">
        <v>-2.5674599999999999E-2</v>
      </c>
      <c r="L2653" s="195">
        <v>-2.7225800000000001E-2</v>
      </c>
      <c r="M2653" s="195">
        <v>-2.81654E-2</v>
      </c>
      <c r="N2653" s="195">
        <v>-2.8862200000000001E-2</v>
      </c>
    </row>
    <row r="2654" spans="1:14" hidden="1" x14ac:dyDescent="0.35">
      <c r="A2654" s="52" t="s">
        <v>226</v>
      </c>
      <c r="B2654" s="52" t="s">
        <v>37</v>
      </c>
      <c r="C2654" s="52" t="s">
        <v>118</v>
      </c>
      <c r="D2654" s="52" t="s">
        <v>118</v>
      </c>
      <c r="E2654" s="52" t="s">
        <v>584</v>
      </c>
      <c r="F2654" s="52" t="s">
        <v>581</v>
      </c>
      <c r="G2654" s="195" t="s">
        <v>276</v>
      </c>
      <c r="H2654" s="195">
        <v>-4.7060000000000001E-3</v>
      </c>
      <c r="I2654" s="195">
        <v>-6.2668000000000003E-3</v>
      </c>
      <c r="J2654" s="195">
        <v>-6.3169999999999997E-3</v>
      </c>
      <c r="K2654" s="195">
        <v>-6.5145999999999997E-3</v>
      </c>
      <c r="L2654" s="195">
        <v>-6.7006000000000001E-3</v>
      </c>
      <c r="M2654" s="195">
        <v>-6.5342009999999999E-3</v>
      </c>
      <c r="N2654" s="195">
        <v>-6.6334000000000002E-3</v>
      </c>
    </row>
    <row r="2655" spans="1:14" hidden="1" x14ac:dyDescent="0.35">
      <c r="A2655" s="52" t="s">
        <v>226</v>
      </c>
      <c r="B2655" s="52" t="s">
        <v>37</v>
      </c>
      <c r="C2655" s="52" t="s">
        <v>118</v>
      </c>
      <c r="D2655" s="52" t="s">
        <v>118</v>
      </c>
      <c r="E2655" s="52" t="s">
        <v>584</v>
      </c>
      <c r="F2655" s="52" t="s">
        <v>581</v>
      </c>
      <c r="G2655" s="195" t="s">
        <v>277</v>
      </c>
      <c r="H2655" s="195">
        <v>2.8492E-2</v>
      </c>
      <c r="I2655" s="195">
        <v>2.4655E-2</v>
      </c>
      <c r="J2655" s="195">
        <v>2.3605000000000001E-2</v>
      </c>
      <c r="K2655" s="195">
        <v>2.8011999999999999E-2</v>
      </c>
      <c r="L2655" s="195">
        <v>2.9701999999999999E-2</v>
      </c>
      <c r="M2655" s="195">
        <v>3.0550999999999998E-2</v>
      </c>
      <c r="N2655" s="195">
        <v>3.1419999999999997E-2</v>
      </c>
    </row>
    <row r="2656" spans="1:14" hidden="1" x14ac:dyDescent="0.35">
      <c r="A2656" s="52" t="s">
        <v>226</v>
      </c>
      <c r="B2656" s="52" t="s">
        <v>37</v>
      </c>
      <c r="C2656" s="52" t="s">
        <v>118</v>
      </c>
      <c r="D2656" s="52" t="s">
        <v>118</v>
      </c>
      <c r="E2656" s="52" t="s">
        <v>584</v>
      </c>
      <c r="F2656" s="52" t="s">
        <v>581</v>
      </c>
      <c r="G2656" s="195" t="s">
        <v>278</v>
      </c>
      <c r="H2656" s="195">
        <v>1.16E-4</v>
      </c>
      <c r="I2656" s="195">
        <v>5.0000000000000004E-6</v>
      </c>
      <c r="J2656" s="195">
        <v>0</v>
      </c>
      <c r="K2656" s="195"/>
      <c r="L2656" s="195"/>
      <c r="M2656" s="195"/>
      <c r="N2656" s="195"/>
    </row>
    <row r="2657" spans="1:14" hidden="1" x14ac:dyDescent="0.35">
      <c r="A2657" s="52" t="s">
        <v>226</v>
      </c>
      <c r="B2657" s="52" t="s">
        <v>37</v>
      </c>
      <c r="C2657" s="52" t="s">
        <v>118</v>
      </c>
      <c r="D2657" s="52" t="s">
        <v>118</v>
      </c>
      <c r="E2657" s="52" t="s">
        <v>584</v>
      </c>
      <c r="F2657" s="52" t="s">
        <v>581</v>
      </c>
      <c r="G2657" s="195" t="s">
        <v>279</v>
      </c>
      <c r="H2657" s="195">
        <v>1.0865E-2</v>
      </c>
      <c r="I2657" s="195">
        <v>9.2676010000000003E-3</v>
      </c>
      <c r="J2657" s="195">
        <v>9.1491999999999997E-3</v>
      </c>
      <c r="K2657" s="195">
        <v>9.3495999999999996E-3</v>
      </c>
      <c r="L2657" s="195">
        <v>9.5305990000000007E-3</v>
      </c>
      <c r="M2657" s="195">
        <v>9.6021990000000005E-3</v>
      </c>
      <c r="N2657" s="195">
        <v>9.6711990000000001E-3</v>
      </c>
    </row>
    <row r="2658" spans="1:14" hidden="1" x14ac:dyDescent="0.35">
      <c r="A2658" s="52" t="s">
        <v>226</v>
      </c>
      <c r="B2658" s="52" t="s">
        <v>43</v>
      </c>
      <c r="C2658" s="52" t="s">
        <v>229</v>
      </c>
      <c r="D2658" s="52" t="s">
        <v>229</v>
      </c>
      <c r="E2658" s="52" t="s">
        <v>584</v>
      </c>
      <c r="F2658" s="52" t="s">
        <v>26</v>
      </c>
      <c r="G2658" s="195" t="s">
        <v>275</v>
      </c>
      <c r="H2658" s="195">
        <v>269.04320000000001</v>
      </c>
      <c r="I2658" s="195">
        <v>106.62260000000001</v>
      </c>
      <c r="J2658" s="195">
        <v>85.572890000000001</v>
      </c>
      <c r="K2658" s="195">
        <v>76.74539</v>
      </c>
      <c r="L2658" s="195">
        <v>76.823229999999995</v>
      </c>
      <c r="M2658" s="195">
        <v>77.341430000000003</v>
      </c>
      <c r="N2658" s="195">
        <v>78.617260000000002</v>
      </c>
    </row>
    <row r="2659" spans="1:14" hidden="1" x14ac:dyDescent="0.35">
      <c r="A2659" s="52" t="s">
        <v>226</v>
      </c>
      <c r="B2659" s="52" t="s">
        <v>43</v>
      </c>
      <c r="C2659" s="52" t="s">
        <v>229</v>
      </c>
      <c r="D2659" s="52" t="s">
        <v>229</v>
      </c>
      <c r="E2659" s="52" t="s">
        <v>584</v>
      </c>
      <c r="F2659" s="52" t="s">
        <v>26</v>
      </c>
      <c r="G2659" s="195" t="s">
        <v>276</v>
      </c>
      <c r="H2659" s="195">
        <v>144.86940000000001</v>
      </c>
      <c r="I2659" s="195">
        <v>58.623019999999997</v>
      </c>
      <c r="J2659" s="195">
        <v>47.72475</v>
      </c>
      <c r="K2659" s="195">
        <v>43.85389</v>
      </c>
      <c r="L2659" s="195">
        <v>44.671480000000003</v>
      </c>
      <c r="M2659" s="195">
        <v>45.564059999999998</v>
      </c>
      <c r="N2659" s="195">
        <v>46.36694</v>
      </c>
    </row>
    <row r="2660" spans="1:14" hidden="1" x14ac:dyDescent="0.35">
      <c r="A2660" s="52" t="s">
        <v>226</v>
      </c>
      <c r="B2660" s="52" t="s">
        <v>43</v>
      </c>
      <c r="C2660" s="52" t="s">
        <v>229</v>
      </c>
      <c r="D2660" s="52" t="s">
        <v>229</v>
      </c>
      <c r="E2660" s="52" t="s">
        <v>584</v>
      </c>
      <c r="F2660" s="52" t="s">
        <v>26</v>
      </c>
      <c r="G2660" s="195" t="s">
        <v>277</v>
      </c>
      <c r="H2660" s="195">
        <v>0</v>
      </c>
      <c r="I2660" s="195">
        <v>2.4986259999999998</v>
      </c>
      <c r="J2660" s="195">
        <v>3.676288</v>
      </c>
      <c r="K2660" s="195">
        <v>5.9055920000000004</v>
      </c>
      <c r="L2660" s="195">
        <v>8.1623509999999992</v>
      </c>
      <c r="M2660" s="195">
        <v>10.33535</v>
      </c>
      <c r="N2660" s="195">
        <v>11.72293</v>
      </c>
    </row>
    <row r="2661" spans="1:14" hidden="1" x14ac:dyDescent="0.35">
      <c r="A2661" s="52" t="s">
        <v>226</v>
      </c>
      <c r="B2661" s="52" t="s">
        <v>43</v>
      </c>
      <c r="C2661" s="52" t="s">
        <v>229</v>
      </c>
      <c r="D2661" s="52" t="s">
        <v>229</v>
      </c>
      <c r="E2661" s="52" t="s">
        <v>584</v>
      </c>
      <c r="F2661" s="52" t="s">
        <v>26</v>
      </c>
      <c r="G2661" s="195" t="s">
        <v>279</v>
      </c>
      <c r="H2661" s="195">
        <v>263.2543</v>
      </c>
      <c r="I2661" s="195">
        <v>243.8244</v>
      </c>
      <c r="J2661" s="195">
        <v>254.65309999999999</v>
      </c>
      <c r="K2661" s="195">
        <v>278.47199999999998</v>
      </c>
      <c r="L2661" s="195">
        <v>285.48630000000003</v>
      </c>
      <c r="M2661" s="195">
        <v>292.67689999999999</v>
      </c>
      <c r="N2661" s="195">
        <v>300.04910000000001</v>
      </c>
    </row>
    <row r="2662" spans="1:14" hidden="1" x14ac:dyDescent="0.35">
      <c r="A2662" s="52" t="s">
        <v>226</v>
      </c>
      <c r="B2662" s="52" t="s">
        <v>43</v>
      </c>
      <c r="C2662" s="52" t="s">
        <v>42</v>
      </c>
      <c r="D2662" s="52" t="s">
        <v>42</v>
      </c>
      <c r="E2662" s="52" t="s">
        <v>584</v>
      </c>
      <c r="F2662" s="52" t="s">
        <v>581</v>
      </c>
      <c r="G2662" s="195" t="s">
        <v>275</v>
      </c>
      <c r="H2662" s="195">
        <v>284.98039999999997</v>
      </c>
      <c r="I2662" s="195">
        <v>67.816680000000005</v>
      </c>
      <c r="J2662" s="195">
        <v>51.901530000000001</v>
      </c>
      <c r="K2662" s="195">
        <v>42.916759999999996</v>
      </c>
      <c r="L2662" s="195">
        <v>38.783009999999997</v>
      </c>
      <c r="M2662" s="195">
        <v>40.228029999999997</v>
      </c>
      <c r="N2662" s="195">
        <v>34.13308</v>
      </c>
    </row>
    <row r="2663" spans="1:14" hidden="1" x14ac:dyDescent="0.35">
      <c r="A2663" s="52" t="s">
        <v>226</v>
      </c>
      <c r="B2663" s="52" t="s">
        <v>43</v>
      </c>
      <c r="C2663" s="52" t="s">
        <v>42</v>
      </c>
      <c r="D2663" s="52" t="s">
        <v>42</v>
      </c>
      <c r="E2663" s="52" t="s">
        <v>584</v>
      </c>
      <c r="F2663" s="52" t="s">
        <v>581</v>
      </c>
      <c r="G2663" s="195" t="s">
        <v>276</v>
      </c>
      <c r="H2663" s="195">
        <v>123.11539999999999</v>
      </c>
      <c r="I2663" s="195">
        <v>42.424669999999999</v>
      </c>
      <c r="J2663" s="195">
        <v>44.038550000000001</v>
      </c>
      <c r="K2663" s="195">
        <v>44.725279999999998</v>
      </c>
      <c r="L2663" s="195">
        <v>42.163499999999999</v>
      </c>
      <c r="M2663" s="195">
        <v>39.921379999999999</v>
      </c>
      <c r="N2663" s="195">
        <v>38.050220000000003</v>
      </c>
    </row>
    <row r="2664" spans="1:14" hidden="1" x14ac:dyDescent="0.35">
      <c r="A2664" s="52" t="s">
        <v>226</v>
      </c>
      <c r="B2664" s="52" t="s">
        <v>43</v>
      </c>
      <c r="C2664" s="52" t="s">
        <v>42</v>
      </c>
      <c r="D2664" s="52" t="s">
        <v>42</v>
      </c>
      <c r="E2664" s="52" t="s">
        <v>584</v>
      </c>
      <c r="F2664" s="52" t="s">
        <v>581</v>
      </c>
      <c r="G2664" s="195" t="s">
        <v>277</v>
      </c>
      <c r="H2664" s="195">
        <v>1.008</v>
      </c>
      <c r="I2664" s="195">
        <v>7.5420360000000004</v>
      </c>
      <c r="J2664" s="195">
        <v>7.0521099999999999</v>
      </c>
      <c r="K2664" s="195">
        <v>7.631767</v>
      </c>
      <c r="L2664" s="195">
        <v>8.3950530000000008</v>
      </c>
      <c r="M2664" s="195">
        <v>3.9683639999999998</v>
      </c>
      <c r="N2664" s="195">
        <v>8.6929119999999998</v>
      </c>
    </row>
    <row r="2665" spans="1:14" hidden="1" x14ac:dyDescent="0.35">
      <c r="A2665" s="52" t="s">
        <v>226</v>
      </c>
      <c r="B2665" s="52" t="s">
        <v>43</v>
      </c>
      <c r="C2665" s="52" t="s">
        <v>42</v>
      </c>
      <c r="D2665" s="52" t="s">
        <v>42</v>
      </c>
      <c r="E2665" s="52" t="s">
        <v>584</v>
      </c>
      <c r="F2665" s="52" t="s">
        <v>581</v>
      </c>
      <c r="G2665" s="195" t="s">
        <v>278</v>
      </c>
      <c r="H2665" s="195">
        <v>9.7066E-2</v>
      </c>
      <c r="I2665" s="195">
        <v>8.0764740000000002E-2</v>
      </c>
      <c r="J2665" s="195">
        <v>0</v>
      </c>
      <c r="K2665" s="195">
        <v>0</v>
      </c>
      <c r="L2665" s="195">
        <v>0</v>
      </c>
      <c r="M2665" s="195">
        <v>0</v>
      </c>
      <c r="N2665" s="195">
        <v>0</v>
      </c>
    </row>
    <row r="2666" spans="1:14" hidden="1" x14ac:dyDescent="0.35">
      <c r="A2666" s="52" t="s">
        <v>226</v>
      </c>
      <c r="B2666" s="52" t="s">
        <v>43</v>
      </c>
      <c r="C2666" s="52" t="s">
        <v>42</v>
      </c>
      <c r="D2666" s="52" t="s">
        <v>42</v>
      </c>
      <c r="E2666" s="52" t="s">
        <v>584</v>
      </c>
      <c r="F2666" s="52" t="s">
        <v>581</v>
      </c>
      <c r="G2666" s="195" t="s">
        <v>279</v>
      </c>
      <c r="H2666" s="195">
        <v>59.08184</v>
      </c>
      <c r="I2666" s="195">
        <v>47.839680000000001</v>
      </c>
      <c r="J2666" s="195">
        <v>51.117649999999998</v>
      </c>
      <c r="K2666" s="195">
        <v>52.737439999999999</v>
      </c>
      <c r="L2666" s="195">
        <v>50.220709999999997</v>
      </c>
      <c r="M2666" s="195">
        <v>48.057720000000003</v>
      </c>
      <c r="N2666" s="195">
        <v>46.31588</v>
      </c>
    </row>
    <row r="2667" spans="1:14" hidden="1" x14ac:dyDescent="0.35">
      <c r="A2667" s="52" t="s">
        <v>226</v>
      </c>
      <c r="B2667" s="52" t="s">
        <v>43</v>
      </c>
      <c r="C2667" s="52" t="s">
        <v>42</v>
      </c>
      <c r="D2667" s="52" t="s">
        <v>42</v>
      </c>
      <c r="E2667" s="52" t="s">
        <v>584</v>
      </c>
      <c r="F2667" s="52" t="s">
        <v>26</v>
      </c>
      <c r="G2667" s="195" t="s">
        <v>275</v>
      </c>
      <c r="H2667" s="195">
        <v>-62.546480000000003</v>
      </c>
      <c r="I2667" s="195">
        <v>-46.914839999999998</v>
      </c>
      <c r="J2667" s="195">
        <v>-50.51717</v>
      </c>
      <c r="K2667" s="195">
        <v>-53.046840000000003</v>
      </c>
      <c r="L2667" s="195">
        <v>-49.95682</v>
      </c>
      <c r="M2667" s="195">
        <v>-47.173999999999999</v>
      </c>
      <c r="N2667" s="195">
        <v>-46.34301</v>
      </c>
    </row>
    <row r="2668" spans="1:14" hidden="1" x14ac:dyDescent="0.35">
      <c r="A2668" s="52" t="s">
        <v>226</v>
      </c>
      <c r="B2668" s="52" t="s">
        <v>43</v>
      </c>
      <c r="C2668" s="52" t="s">
        <v>42</v>
      </c>
      <c r="D2668" s="52" t="s">
        <v>42</v>
      </c>
      <c r="E2668" s="52" t="s">
        <v>584</v>
      </c>
      <c r="F2668" s="52" t="s">
        <v>26</v>
      </c>
      <c r="G2668" s="195" t="s">
        <v>276</v>
      </c>
      <c r="H2668" s="195">
        <v>-33.552019999999999</v>
      </c>
      <c r="I2668" s="195">
        <v>-24.694649999999999</v>
      </c>
      <c r="J2668" s="195">
        <v>-27.20833</v>
      </c>
      <c r="K2668" s="195">
        <v>-28.52739</v>
      </c>
      <c r="L2668" s="195">
        <v>-26.863530000000001</v>
      </c>
      <c r="M2668" s="195">
        <v>-25.41769</v>
      </c>
      <c r="N2668" s="195">
        <v>-24.108689999999999</v>
      </c>
    </row>
    <row r="2669" spans="1:14" hidden="1" x14ac:dyDescent="0.35">
      <c r="A2669" s="52" t="s">
        <v>226</v>
      </c>
      <c r="B2669" s="52" t="s">
        <v>43</v>
      </c>
      <c r="C2669" s="52" t="s">
        <v>42</v>
      </c>
      <c r="D2669" s="52" t="s">
        <v>42</v>
      </c>
      <c r="E2669" s="52" t="s">
        <v>584</v>
      </c>
      <c r="F2669" s="52" t="s">
        <v>26</v>
      </c>
      <c r="G2669" s="195" t="s">
        <v>277</v>
      </c>
      <c r="H2669" s="195">
        <v>0</v>
      </c>
      <c r="I2669" s="195">
        <v>0.41868159999999999</v>
      </c>
      <c r="J2669" s="195">
        <v>0</v>
      </c>
      <c r="K2669" s="195">
        <v>0.08</v>
      </c>
      <c r="L2669" s="195">
        <v>0.08</v>
      </c>
      <c r="M2669" s="195">
        <v>0</v>
      </c>
      <c r="N2669" s="195">
        <v>1.6</v>
      </c>
    </row>
    <row r="2670" spans="1:14" hidden="1" x14ac:dyDescent="0.35">
      <c r="A2670" s="52" t="s">
        <v>226</v>
      </c>
      <c r="B2670" s="52" t="s">
        <v>43</v>
      </c>
      <c r="C2670" s="52" t="s">
        <v>42</v>
      </c>
      <c r="D2670" s="52" t="s">
        <v>42</v>
      </c>
      <c r="E2670" s="52" t="s">
        <v>584</v>
      </c>
      <c r="F2670" s="52" t="s">
        <v>26</v>
      </c>
      <c r="G2670" s="195" t="s">
        <v>278</v>
      </c>
      <c r="H2670" s="195">
        <v>0.2355865</v>
      </c>
      <c r="I2670" s="195">
        <v>0.25188769999999999</v>
      </c>
      <c r="J2670" s="195">
        <v>3.3983810000000003E-2</v>
      </c>
      <c r="K2670" s="195">
        <v>3.3983810000000003E-2</v>
      </c>
      <c r="L2670" s="195">
        <v>3.3983810000000003E-2</v>
      </c>
      <c r="M2670" s="195">
        <v>1.630125E-2</v>
      </c>
      <c r="N2670" s="195">
        <v>1.630125E-2</v>
      </c>
    </row>
    <row r="2671" spans="1:14" hidden="1" x14ac:dyDescent="0.35">
      <c r="A2671" s="52" t="s">
        <v>226</v>
      </c>
      <c r="B2671" s="52" t="s">
        <v>43</v>
      </c>
      <c r="C2671" s="52" t="s">
        <v>42</v>
      </c>
      <c r="D2671" s="52" t="s">
        <v>42</v>
      </c>
      <c r="E2671" s="52" t="s">
        <v>584</v>
      </c>
      <c r="F2671" s="52" t="s">
        <v>26</v>
      </c>
      <c r="G2671" s="195" t="s">
        <v>279</v>
      </c>
      <c r="H2671" s="195">
        <v>127.4323</v>
      </c>
      <c r="I2671" s="195">
        <v>99.763630000000006</v>
      </c>
      <c r="J2671" s="195">
        <v>108.8005</v>
      </c>
      <c r="K2671" s="195">
        <v>111.35469999999999</v>
      </c>
      <c r="L2671" s="195">
        <v>104.9014</v>
      </c>
      <c r="M2671" s="195">
        <v>99.291110000000003</v>
      </c>
      <c r="N2671" s="195">
        <v>94.212270000000004</v>
      </c>
    </row>
    <row r="2672" spans="1:14" hidden="1" x14ac:dyDescent="0.35">
      <c r="A2672" s="52" t="s">
        <v>240</v>
      </c>
      <c r="B2672" s="52" t="s">
        <v>37</v>
      </c>
      <c r="C2672" s="52" t="s">
        <v>79</v>
      </c>
      <c r="D2672" s="52" t="s">
        <v>79</v>
      </c>
      <c r="E2672" s="52" t="s">
        <v>615</v>
      </c>
      <c r="F2672" s="52" t="s">
        <v>581</v>
      </c>
      <c r="G2672" s="195" t="s">
        <v>275</v>
      </c>
      <c r="H2672" s="195">
        <v>232.19319999999999</v>
      </c>
      <c r="I2672" s="195">
        <v>176.21379999999999</v>
      </c>
      <c r="J2672" s="195">
        <v>212.36879999999999</v>
      </c>
      <c r="K2672" s="195">
        <v>169.69390000000001</v>
      </c>
      <c r="L2672" s="195">
        <v>129.95070000000001</v>
      </c>
      <c r="M2672" s="195">
        <v>66.343990000000005</v>
      </c>
      <c r="N2672" s="195">
        <v>49.797080000000001</v>
      </c>
    </row>
    <row r="2673" spans="1:14" hidden="1" x14ac:dyDescent="0.35">
      <c r="A2673" s="52" t="s">
        <v>240</v>
      </c>
      <c r="B2673" s="52" t="s">
        <v>37</v>
      </c>
      <c r="C2673" s="52" t="s">
        <v>79</v>
      </c>
      <c r="D2673" s="52" t="s">
        <v>79</v>
      </c>
      <c r="E2673" s="52" t="s">
        <v>615</v>
      </c>
      <c r="F2673" s="52" t="s">
        <v>581</v>
      </c>
      <c r="G2673" s="195" t="s">
        <v>276</v>
      </c>
      <c r="H2673" s="195">
        <v>44.761360000000003</v>
      </c>
      <c r="I2673" s="195">
        <v>-60.755130000000001</v>
      </c>
      <c r="J2673" s="195">
        <v>-74.831209999999999</v>
      </c>
      <c r="K2673" s="195">
        <v>-57.291670000000003</v>
      </c>
      <c r="L2673" s="195">
        <v>-52.954030000000003</v>
      </c>
      <c r="M2673" s="195">
        <v>4.0958909999999999</v>
      </c>
      <c r="N2673" s="195">
        <v>10.496740000000001</v>
      </c>
    </row>
    <row r="2674" spans="1:14" hidden="1" x14ac:dyDescent="0.35">
      <c r="A2674" s="52" t="s">
        <v>240</v>
      </c>
      <c r="B2674" s="52" t="s">
        <v>37</v>
      </c>
      <c r="C2674" s="52" t="s">
        <v>79</v>
      </c>
      <c r="D2674" s="52" t="s">
        <v>79</v>
      </c>
      <c r="E2674" s="52" t="s">
        <v>615</v>
      </c>
      <c r="F2674" s="52" t="s">
        <v>581</v>
      </c>
      <c r="G2674" s="195" t="s">
        <v>277</v>
      </c>
      <c r="H2674" s="195">
        <v>679.75480000000005</v>
      </c>
      <c r="I2674" s="195">
        <v>92.075839999999999</v>
      </c>
      <c r="J2674" s="195">
        <v>12.57757</v>
      </c>
      <c r="K2674" s="195">
        <v>7.0957809999999997</v>
      </c>
      <c r="L2674" s="195">
        <v>3.72113</v>
      </c>
      <c r="M2674" s="195">
        <v>0</v>
      </c>
      <c r="N2674" s="195">
        <v>0</v>
      </c>
    </row>
    <row r="2675" spans="1:14" hidden="1" x14ac:dyDescent="0.35">
      <c r="A2675" s="52" t="s">
        <v>240</v>
      </c>
      <c r="B2675" s="52" t="s">
        <v>37</v>
      </c>
      <c r="C2675" s="52" t="s">
        <v>79</v>
      </c>
      <c r="D2675" s="52" t="s">
        <v>79</v>
      </c>
      <c r="E2675" s="52" t="s">
        <v>615</v>
      </c>
      <c r="F2675" s="52" t="s">
        <v>581</v>
      </c>
      <c r="G2675" s="195" t="s">
        <v>278</v>
      </c>
      <c r="H2675" s="195">
        <v>55.013979999999997</v>
      </c>
      <c r="I2675" s="195">
        <v>21.14762</v>
      </c>
      <c r="J2675" s="195">
        <v>14.63434</v>
      </c>
      <c r="K2675" s="195">
        <v>7.7067579999999998</v>
      </c>
      <c r="L2675" s="195">
        <v>3.5121820000000001</v>
      </c>
      <c r="M2675" s="195">
        <v>0</v>
      </c>
      <c r="N2675" s="195">
        <v>0</v>
      </c>
    </row>
    <row r="2676" spans="1:14" hidden="1" x14ac:dyDescent="0.35">
      <c r="A2676" s="52" t="s">
        <v>240</v>
      </c>
      <c r="B2676" s="52" t="s">
        <v>37</v>
      </c>
      <c r="C2676" s="52" t="s">
        <v>79</v>
      </c>
      <c r="D2676" s="52" t="s">
        <v>79</v>
      </c>
      <c r="E2676" s="52" t="s">
        <v>615</v>
      </c>
      <c r="F2676" s="52" t="s">
        <v>581</v>
      </c>
      <c r="G2676" s="195" t="s">
        <v>279</v>
      </c>
      <c r="H2676" s="195">
        <v>434.91399999999999</v>
      </c>
      <c r="I2676" s="195">
        <v>301.18990000000002</v>
      </c>
      <c r="J2676" s="195">
        <v>269.29109999999997</v>
      </c>
      <c r="K2676" s="195">
        <v>228.17160000000001</v>
      </c>
      <c r="L2676" s="195">
        <v>195.72409999999999</v>
      </c>
      <c r="M2676" s="195">
        <v>160.9657</v>
      </c>
      <c r="N2676" s="195">
        <v>138.32560000000001</v>
      </c>
    </row>
    <row r="2677" spans="1:14" hidden="1" x14ac:dyDescent="0.35">
      <c r="A2677" s="52" t="s">
        <v>240</v>
      </c>
      <c r="B2677" s="52" t="s">
        <v>37</v>
      </c>
      <c r="C2677" s="52" t="s">
        <v>79</v>
      </c>
      <c r="D2677" s="52" t="s">
        <v>79</v>
      </c>
      <c r="E2677" s="52" t="s">
        <v>615</v>
      </c>
      <c r="F2677" s="52" t="s">
        <v>26</v>
      </c>
      <c r="G2677" s="195" t="s">
        <v>275</v>
      </c>
      <c r="H2677" s="195">
        <v>-41.733710000000002</v>
      </c>
      <c r="I2677" s="195">
        <v>-46.131459999999997</v>
      </c>
      <c r="J2677" s="195">
        <v>-39.90063</v>
      </c>
      <c r="K2677" s="195">
        <v>-38.429949999999998</v>
      </c>
      <c r="L2677" s="195">
        <v>-36.891039999999997</v>
      </c>
      <c r="M2677" s="195">
        <v>-30.36477</v>
      </c>
      <c r="N2677" s="195">
        <v>-26.075970000000002</v>
      </c>
    </row>
    <row r="2678" spans="1:14" hidden="1" x14ac:dyDescent="0.35">
      <c r="A2678" s="52" t="s">
        <v>240</v>
      </c>
      <c r="B2678" s="52" t="s">
        <v>37</v>
      </c>
      <c r="C2678" s="52" t="s">
        <v>79</v>
      </c>
      <c r="D2678" s="52" t="s">
        <v>79</v>
      </c>
      <c r="E2678" s="52" t="s">
        <v>615</v>
      </c>
      <c r="F2678" s="52" t="s">
        <v>26</v>
      </c>
      <c r="G2678" s="195" t="s">
        <v>276</v>
      </c>
      <c r="H2678" s="195">
        <v>-12.09821</v>
      </c>
      <c r="I2678" s="195">
        <v>-13.373049999999999</v>
      </c>
      <c r="J2678" s="195">
        <v>-11.56678</v>
      </c>
      <c r="K2678" s="195">
        <v>-11.14045</v>
      </c>
      <c r="L2678" s="195">
        <v>-10.69434</v>
      </c>
      <c r="M2678" s="195">
        <v>-8.8024369999999994</v>
      </c>
      <c r="N2678" s="195">
        <v>-7.5591569999999999</v>
      </c>
    </row>
    <row r="2679" spans="1:14" hidden="1" x14ac:dyDescent="0.35">
      <c r="A2679" s="52" t="s">
        <v>240</v>
      </c>
      <c r="B2679" s="52" t="s">
        <v>37</v>
      </c>
      <c r="C2679" s="52" t="s">
        <v>79</v>
      </c>
      <c r="D2679" s="52" t="s">
        <v>79</v>
      </c>
      <c r="E2679" s="52" t="s">
        <v>615</v>
      </c>
      <c r="F2679" s="52" t="s">
        <v>26</v>
      </c>
      <c r="G2679" s="195" t="s">
        <v>279</v>
      </c>
      <c r="H2679" s="195">
        <v>206.28880000000001</v>
      </c>
      <c r="I2679" s="195">
        <v>171.75110000000001</v>
      </c>
      <c r="J2679" s="195">
        <v>158.3022</v>
      </c>
      <c r="K2679" s="195">
        <v>136.72229999999999</v>
      </c>
      <c r="L2679" s="195">
        <v>115.9785</v>
      </c>
      <c r="M2679" s="195">
        <v>95.725129999999993</v>
      </c>
      <c r="N2679" s="195">
        <v>82.286630000000002</v>
      </c>
    </row>
    <row r="2680" spans="1:14" hidden="1" x14ac:dyDescent="0.35">
      <c r="A2680" s="52" t="s">
        <v>240</v>
      </c>
      <c r="B2680" s="52" t="s">
        <v>37</v>
      </c>
      <c r="C2680" s="52" t="s">
        <v>79</v>
      </c>
      <c r="D2680" s="52" t="s">
        <v>79</v>
      </c>
      <c r="E2680" s="52" t="s">
        <v>640</v>
      </c>
      <c r="F2680" s="52" t="s">
        <v>581</v>
      </c>
      <c r="G2680" s="195" t="s">
        <v>275</v>
      </c>
      <c r="H2680" s="195">
        <v>28.838200000000001</v>
      </c>
      <c r="I2680" s="195">
        <v>54.14132</v>
      </c>
      <c r="J2680" s="195">
        <v>115.45659999999999</v>
      </c>
      <c r="K2680" s="195">
        <v>113.5731</v>
      </c>
      <c r="L2680" s="195">
        <v>85.674319999999994</v>
      </c>
      <c r="M2680" s="195">
        <v>51.150219999999997</v>
      </c>
      <c r="N2680" s="195">
        <v>36.575490000000002</v>
      </c>
    </row>
    <row r="2681" spans="1:14" hidden="1" x14ac:dyDescent="0.35">
      <c r="A2681" s="52" t="s">
        <v>240</v>
      </c>
      <c r="B2681" s="52" t="s">
        <v>37</v>
      </c>
      <c r="C2681" s="52" t="s">
        <v>79</v>
      </c>
      <c r="D2681" s="52" t="s">
        <v>79</v>
      </c>
      <c r="E2681" s="52" t="s">
        <v>640</v>
      </c>
      <c r="F2681" s="52" t="s">
        <v>581</v>
      </c>
      <c r="G2681" s="195" t="s">
        <v>276</v>
      </c>
      <c r="H2681" s="195">
        <v>34.925159999999998</v>
      </c>
      <c r="I2681" s="195">
        <v>-33.686030000000002</v>
      </c>
      <c r="J2681" s="195">
        <v>-58.569479999999999</v>
      </c>
      <c r="K2681" s="195">
        <v>-55.581229999999998</v>
      </c>
      <c r="L2681" s="195">
        <v>-40.195549999999997</v>
      </c>
      <c r="M2681" s="195">
        <v>-3.146309</v>
      </c>
      <c r="N2681" s="195">
        <v>2.2700010000000002</v>
      </c>
    </row>
    <row r="2682" spans="1:14" hidden="1" x14ac:dyDescent="0.35">
      <c r="A2682" s="52" t="s">
        <v>240</v>
      </c>
      <c r="B2682" s="52" t="s">
        <v>37</v>
      </c>
      <c r="C2682" s="52" t="s">
        <v>79</v>
      </c>
      <c r="D2682" s="52" t="s">
        <v>79</v>
      </c>
      <c r="E2682" s="52" t="s">
        <v>640</v>
      </c>
      <c r="F2682" s="52" t="s">
        <v>581</v>
      </c>
      <c r="G2682" s="195" t="s">
        <v>277</v>
      </c>
      <c r="H2682" s="195">
        <v>469.11439999999999</v>
      </c>
      <c r="I2682" s="195">
        <v>93.805040000000005</v>
      </c>
      <c r="J2682" s="195">
        <v>34.930199999999999</v>
      </c>
      <c r="K2682" s="195">
        <v>23.417179999999998</v>
      </c>
      <c r="L2682" s="195">
        <v>17.774370000000001</v>
      </c>
      <c r="M2682" s="195">
        <v>0</v>
      </c>
      <c r="N2682" s="195">
        <v>0</v>
      </c>
    </row>
    <row r="2683" spans="1:14" hidden="1" x14ac:dyDescent="0.35">
      <c r="A2683" s="52" t="s">
        <v>240</v>
      </c>
      <c r="B2683" s="52" t="s">
        <v>37</v>
      </c>
      <c r="C2683" s="52" t="s">
        <v>79</v>
      </c>
      <c r="D2683" s="52" t="s">
        <v>79</v>
      </c>
      <c r="E2683" s="52" t="s">
        <v>640</v>
      </c>
      <c r="F2683" s="52" t="s">
        <v>581</v>
      </c>
      <c r="G2683" s="195" t="s">
        <v>278</v>
      </c>
      <c r="H2683" s="195">
        <v>52.985399999999998</v>
      </c>
      <c r="I2683" s="195">
        <v>26.43412</v>
      </c>
      <c r="J2683" s="195">
        <v>21.6553</v>
      </c>
      <c r="K2683" s="195">
        <v>8.7349969999999999</v>
      </c>
      <c r="L2683" s="195">
        <v>0</v>
      </c>
      <c r="M2683" s="195"/>
      <c r="N2683" s="195"/>
    </row>
    <row r="2684" spans="1:14" hidden="1" x14ac:dyDescent="0.35">
      <c r="A2684" s="52" t="s">
        <v>240</v>
      </c>
      <c r="B2684" s="52" t="s">
        <v>37</v>
      </c>
      <c r="C2684" s="52" t="s">
        <v>79</v>
      </c>
      <c r="D2684" s="52" t="s">
        <v>79</v>
      </c>
      <c r="E2684" s="52" t="s">
        <v>640</v>
      </c>
      <c r="F2684" s="52" t="s">
        <v>581</v>
      </c>
      <c r="G2684" s="195" t="s">
        <v>279</v>
      </c>
      <c r="H2684" s="195">
        <v>200.59379999999999</v>
      </c>
      <c r="I2684" s="195">
        <v>131.1163</v>
      </c>
      <c r="J2684" s="195">
        <v>122.7208</v>
      </c>
      <c r="K2684" s="195">
        <v>100.8836</v>
      </c>
      <c r="L2684" s="195">
        <v>88.090100000000007</v>
      </c>
      <c r="M2684" s="195">
        <v>65.838909999999998</v>
      </c>
      <c r="N2684" s="195">
        <v>53.425400000000003</v>
      </c>
    </row>
    <row r="2685" spans="1:14" hidden="1" x14ac:dyDescent="0.35">
      <c r="A2685" s="52" t="s">
        <v>240</v>
      </c>
      <c r="B2685" s="52" t="s">
        <v>37</v>
      </c>
      <c r="C2685" s="52" t="s">
        <v>79</v>
      </c>
      <c r="D2685" s="52" t="s">
        <v>79</v>
      </c>
      <c r="E2685" s="52" t="s">
        <v>640</v>
      </c>
      <c r="F2685" s="52" t="s">
        <v>26</v>
      </c>
      <c r="G2685" s="195" t="s">
        <v>275</v>
      </c>
      <c r="H2685" s="195">
        <v>-1.334336</v>
      </c>
      <c r="I2685" s="195">
        <v>-1.120039</v>
      </c>
      <c r="J2685" s="195">
        <v>-0.96332830000000003</v>
      </c>
      <c r="K2685" s="195">
        <v>-0.88345620000000002</v>
      </c>
      <c r="L2685" s="195">
        <v>-0.93843600000000005</v>
      </c>
      <c r="M2685" s="195">
        <v>-0.69597140000000002</v>
      </c>
      <c r="N2685" s="195">
        <v>-0.56416379999999999</v>
      </c>
    </row>
    <row r="2686" spans="1:14" hidden="1" x14ac:dyDescent="0.35">
      <c r="A2686" s="52" t="s">
        <v>240</v>
      </c>
      <c r="B2686" s="52" t="s">
        <v>37</v>
      </c>
      <c r="C2686" s="52" t="s">
        <v>79</v>
      </c>
      <c r="D2686" s="52" t="s">
        <v>79</v>
      </c>
      <c r="E2686" s="52" t="s">
        <v>640</v>
      </c>
      <c r="F2686" s="52" t="s">
        <v>26</v>
      </c>
      <c r="G2686" s="195" t="s">
        <v>276</v>
      </c>
      <c r="H2686" s="195">
        <v>-0.38680599999999998</v>
      </c>
      <c r="I2686" s="195">
        <v>-0.32469759999999998</v>
      </c>
      <c r="J2686" s="195">
        <v>-0.2792654</v>
      </c>
      <c r="K2686" s="195">
        <v>-0.25609959999999998</v>
      </c>
      <c r="L2686" s="195">
        <v>-0.27204420000000001</v>
      </c>
      <c r="M2686" s="195">
        <v>-0.20175380000000001</v>
      </c>
      <c r="N2686" s="195">
        <v>-0.16354640000000001</v>
      </c>
    </row>
    <row r="2687" spans="1:14" hidden="1" x14ac:dyDescent="0.35">
      <c r="A2687" s="52" t="s">
        <v>240</v>
      </c>
      <c r="B2687" s="52" t="s">
        <v>37</v>
      </c>
      <c r="C2687" s="52" t="s">
        <v>79</v>
      </c>
      <c r="D2687" s="52" t="s">
        <v>79</v>
      </c>
      <c r="E2687" s="52" t="s">
        <v>640</v>
      </c>
      <c r="F2687" s="52" t="s">
        <v>26</v>
      </c>
      <c r="G2687" s="195" t="s">
        <v>279</v>
      </c>
      <c r="H2687" s="195">
        <v>8.2880420000000008</v>
      </c>
      <c r="I2687" s="195">
        <v>4.859591</v>
      </c>
      <c r="J2687" s="195">
        <v>4.687532</v>
      </c>
      <c r="K2687" s="195">
        <v>3.910717</v>
      </c>
      <c r="L2687" s="195">
        <v>3.397529</v>
      </c>
      <c r="M2687" s="195">
        <v>2.5462370000000001</v>
      </c>
      <c r="N2687" s="195">
        <v>2.0668609999999998</v>
      </c>
    </row>
    <row r="2688" spans="1:14" hidden="1" x14ac:dyDescent="0.35">
      <c r="A2688" s="52" t="s">
        <v>240</v>
      </c>
      <c r="B2688" s="52" t="s">
        <v>37</v>
      </c>
      <c r="C2688" s="52" t="s">
        <v>79</v>
      </c>
      <c r="D2688" s="52" t="s">
        <v>79</v>
      </c>
      <c r="E2688" s="52" t="s">
        <v>601</v>
      </c>
      <c r="F2688" s="52" t="s">
        <v>581</v>
      </c>
      <c r="G2688" s="195" t="s">
        <v>275</v>
      </c>
      <c r="H2688" s="195">
        <v>4.8335540000000004</v>
      </c>
      <c r="I2688" s="195">
        <v>-0.6935424</v>
      </c>
      <c r="J2688" s="195">
        <v>-1.065912</v>
      </c>
      <c r="K2688" s="195">
        <v>-0.91925829999999997</v>
      </c>
      <c r="L2688" s="195">
        <v>-1.1686160000000001</v>
      </c>
      <c r="M2688" s="195">
        <v>-0.93330659999999999</v>
      </c>
      <c r="N2688" s="195">
        <v>-0.78848200000000002</v>
      </c>
    </row>
    <row r="2689" spans="1:14" hidden="1" x14ac:dyDescent="0.35">
      <c r="A2689" s="52" t="s">
        <v>240</v>
      </c>
      <c r="B2689" s="52" t="s">
        <v>37</v>
      </c>
      <c r="C2689" s="52" t="s">
        <v>79</v>
      </c>
      <c r="D2689" s="52" t="s">
        <v>79</v>
      </c>
      <c r="E2689" s="52" t="s">
        <v>601</v>
      </c>
      <c r="F2689" s="52" t="s">
        <v>581</v>
      </c>
      <c r="G2689" s="195" t="s">
        <v>276</v>
      </c>
      <c r="H2689" s="195">
        <v>1.28487</v>
      </c>
      <c r="I2689" s="195">
        <v>-0.18435879999999999</v>
      </c>
      <c r="J2689" s="195">
        <v>-0.28334340000000002</v>
      </c>
      <c r="K2689" s="195">
        <v>-0.2443602</v>
      </c>
      <c r="L2689" s="195">
        <v>-0.31064340000000001</v>
      </c>
      <c r="M2689" s="195">
        <v>-0.24809439999999999</v>
      </c>
      <c r="N2689" s="195">
        <v>-0.2095958</v>
      </c>
    </row>
    <row r="2690" spans="1:14" hidden="1" x14ac:dyDescent="0.35">
      <c r="A2690" s="52" t="s">
        <v>240</v>
      </c>
      <c r="B2690" s="52" t="s">
        <v>37</v>
      </c>
      <c r="C2690" s="52" t="s">
        <v>79</v>
      </c>
      <c r="D2690" s="52" t="s">
        <v>79</v>
      </c>
      <c r="E2690" s="52" t="s">
        <v>601</v>
      </c>
      <c r="F2690" s="52" t="s">
        <v>581</v>
      </c>
      <c r="G2690" s="195" t="s">
        <v>279</v>
      </c>
      <c r="H2690" s="195">
        <v>6.1119960000000004</v>
      </c>
      <c r="I2690" s="195">
        <v>7.2123059999999999</v>
      </c>
      <c r="J2690" s="195">
        <v>7.0087080000000004</v>
      </c>
      <c r="K2690" s="195">
        <v>5.4315059999999997</v>
      </c>
      <c r="L2690" s="195">
        <v>4.9908729999999997</v>
      </c>
      <c r="M2690" s="195">
        <v>4.1283279999999998</v>
      </c>
      <c r="N2690" s="195">
        <v>3.497665</v>
      </c>
    </row>
    <row r="2691" spans="1:14" hidden="1" x14ac:dyDescent="0.35">
      <c r="A2691" s="52" t="s">
        <v>240</v>
      </c>
      <c r="B2691" s="52" t="s">
        <v>37</v>
      </c>
      <c r="C2691" s="52" t="s">
        <v>79</v>
      </c>
      <c r="D2691" s="52" t="s">
        <v>79</v>
      </c>
      <c r="E2691" s="52" t="s">
        <v>601</v>
      </c>
      <c r="F2691" s="52" t="s">
        <v>26</v>
      </c>
      <c r="G2691" s="195" t="s">
        <v>275</v>
      </c>
      <c r="H2691" s="195">
        <v>-65.342690000000005</v>
      </c>
      <c r="I2691" s="195">
        <v>-18.586490000000001</v>
      </c>
      <c r="J2691" s="195">
        <v>-3.8375199999999998E-2</v>
      </c>
      <c r="K2691" s="195">
        <v>6.438097</v>
      </c>
      <c r="L2691" s="195">
        <v>2.7831049999999999</v>
      </c>
      <c r="M2691" s="195">
        <v>-1.112169</v>
      </c>
      <c r="N2691" s="195">
        <v>-2.110862</v>
      </c>
    </row>
    <row r="2692" spans="1:14" hidden="1" x14ac:dyDescent="0.35">
      <c r="A2692" s="52" t="s">
        <v>240</v>
      </c>
      <c r="B2692" s="52" t="s">
        <v>37</v>
      </c>
      <c r="C2692" s="52" t="s">
        <v>79</v>
      </c>
      <c r="D2692" s="52" t="s">
        <v>79</v>
      </c>
      <c r="E2692" s="52" t="s">
        <v>601</v>
      </c>
      <c r="F2692" s="52" t="s">
        <v>26</v>
      </c>
      <c r="G2692" s="195" t="s">
        <v>276</v>
      </c>
      <c r="H2692" s="195">
        <v>-8.8015570000000007</v>
      </c>
      <c r="I2692" s="195">
        <v>-7.9684650000000001</v>
      </c>
      <c r="J2692" s="195">
        <v>-8.1777920000000002</v>
      </c>
      <c r="K2692" s="195">
        <v>-10.62964</v>
      </c>
      <c r="L2692" s="195">
        <v>-7.7433759999999996</v>
      </c>
      <c r="M2692" s="195">
        <v>-2.791814</v>
      </c>
      <c r="N2692" s="195">
        <v>-1.071251</v>
      </c>
    </row>
    <row r="2693" spans="1:14" hidden="1" x14ac:dyDescent="0.35">
      <c r="A2693" s="52" t="s">
        <v>240</v>
      </c>
      <c r="B2693" s="52" t="s">
        <v>37</v>
      </c>
      <c r="C2693" s="52" t="s">
        <v>79</v>
      </c>
      <c r="D2693" s="52" t="s">
        <v>79</v>
      </c>
      <c r="E2693" s="52" t="s">
        <v>601</v>
      </c>
      <c r="F2693" s="52" t="s">
        <v>26</v>
      </c>
      <c r="G2693" s="195" t="s">
        <v>277</v>
      </c>
      <c r="H2693" s="195">
        <v>67.069450000000003</v>
      </c>
      <c r="I2693" s="195">
        <v>19.621420000000001</v>
      </c>
      <c r="J2693" s="195">
        <v>3.4790130000000001</v>
      </c>
      <c r="K2693" s="195">
        <v>0.41602319999999998</v>
      </c>
      <c r="L2693" s="195">
        <v>0.32394139999999999</v>
      </c>
      <c r="M2693" s="195">
        <v>0.13405239999999999</v>
      </c>
      <c r="N2693" s="195">
        <v>0</v>
      </c>
    </row>
    <row r="2694" spans="1:14" hidden="1" x14ac:dyDescent="0.35">
      <c r="A2694" s="52" t="s">
        <v>240</v>
      </c>
      <c r="B2694" s="52" t="s">
        <v>37</v>
      </c>
      <c r="C2694" s="52" t="s">
        <v>79</v>
      </c>
      <c r="D2694" s="52" t="s">
        <v>79</v>
      </c>
      <c r="E2694" s="52" t="s">
        <v>601</v>
      </c>
      <c r="F2694" s="52" t="s">
        <v>26</v>
      </c>
      <c r="G2694" s="195" t="s">
        <v>278</v>
      </c>
      <c r="H2694" s="195">
        <v>4.4518800000000001</v>
      </c>
      <c r="I2694" s="195">
        <v>2.1809919999999998</v>
      </c>
      <c r="J2694" s="195">
        <v>0.92697110000000005</v>
      </c>
      <c r="K2694" s="195"/>
      <c r="L2694" s="195">
        <v>0</v>
      </c>
      <c r="M2694" s="195"/>
      <c r="N2694" s="195"/>
    </row>
    <row r="2695" spans="1:14" hidden="1" x14ac:dyDescent="0.35">
      <c r="A2695" s="52" t="s">
        <v>240</v>
      </c>
      <c r="B2695" s="52" t="s">
        <v>37</v>
      </c>
      <c r="C2695" s="52" t="s">
        <v>79</v>
      </c>
      <c r="D2695" s="52" t="s">
        <v>79</v>
      </c>
      <c r="E2695" s="52" t="s">
        <v>601</v>
      </c>
      <c r="F2695" s="52" t="s">
        <v>26</v>
      </c>
      <c r="G2695" s="195" t="s">
        <v>279</v>
      </c>
      <c r="H2695" s="195">
        <v>31.148969999999998</v>
      </c>
      <c r="I2695" s="195">
        <v>25.30752</v>
      </c>
      <c r="J2695" s="195">
        <v>25.168749999999999</v>
      </c>
      <c r="K2695" s="195">
        <v>19.79879</v>
      </c>
      <c r="L2695" s="195">
        <v>17.882380000000001</v>
      </c>
      <c r="M2695" s="195">
        <v>14.842700000000001</v>
      </c>
      <c r="N2695" s="195">
        <v>12.576460000000001</v>
      </c>
    </row>
    <row r="2696" spans="1:14" hidden="1" x14ac:dyDescent="0.35">
      <c r="A2696" s="52" t="s">
        <v>240</v>
      </c>
      <c r="B2696" s="52" t="s">
        <v>37</v>
      </c>
      <c r="C2696" s="52" t="s">
        <v>63</v>
      </c>
      <c r="D2696" s="52" t="s">
        <v>63</v>
      </c>
      <c r="E2696" s="52" t="s">
        <v>621</v>
      </c>
      <c r="F2696" s="52" t="s">
        <v>26</v>
      </c>
      <c r="G2696" s="195" t="s">
        <v>275</v>
      </c>
      <c r="H2696" s="195">
        <v>-108.62390000000001</v>
      </c>
      <c r="I2696" s="195">
        <v>-64.850999999999999</v>
      </c>
      <c r="J2696" s="195">
        <v>-7.3268599999999999</v>
      </c>
      <c r="K2696" s="195">
        <v>-43.69847</v>
      </c>
      <c r="L2696" s="195">
        <v>-78.837159999999997</v>
      </c>
      <c r="M2696" s="195">
        <v>-63.963360000000002</v>
      </c>
      <c r="N2696" s="195">
        <v>-58.065919999999998</v>
      </c>
    </row>
    <row r="2697" spans="1:14" hidden="1" x14ac:dyDescent="0.35">
      <c r="A2697" s="52" t="s">
        <v>240</v>
      </c>
      <c r="B2697" s="52" t="s">
        <v>37</v>
      </c>
      <c r="C2697" s="52" t="s">
        <v>63</v>
      </c>
      <c r="D2697" s="52" t="s">
        <v>63</v>
      </c>
      <c r="E2697" s="52" t="s">
        <v>621</v>
      </c>
      <c r="F2697" s="52" t="s">
        <v>26</v>
      </c>
      <c r="G2697" s="195" t="s">
        <v>276</v>
      </c>
      <c r="H2697" s="195">
        <v>-11.59488</v>
      </c>
      <c r="I2697" s="195">
        <v>-17.505759999999999</v>
      </c>
      <c r="J2697" s="195">
        <v>-10.0854</v>
      </c>
      <c r="K2697" s="195">
        <v>-13.83541</v>
      </c>
      <c r="L2697" s="195">
        <v>-17.919309999999999</v>
      </c>
      <c r="M2697" s="195">
        <v>-14.95617</v>
      </c>
      <c r="N2697" s="195">
        <v>-11.70585</v>
      </c>
    </row>
    <row r="2698" spans="1:14" hidden="1" x14ac:dyDescent="0.35">
      <c r="A2698" s="52" t="s">
        <v>240</v>
      </c>
      <c r="B2698" s="52" t="s">
        <v>37</v>
      </c>
      <c r="C2698" s="52" t="s">
        <v>63</v>
      </c>
      <c r="D2698" s="52" t="s">
        <v>63</v>
      </c>
      <c r="E2698" s="52" t="s">
        <v>621</v>
      </c>
      <c r="F2698" s="52" t="s">
        <v>26</v>
      </c>
      <c r="G2698" s="195" t="s">
        <v>277</v>
      </c>
      <c r="H2698" s="195">
        <v>198.41749999999999</v>
      </c>
      <c r="I2698" s="195">
        <v>67.404060000000001</v>
      </c>
      <c r="J2698" s="195">
        <v>23.540859999999999</v>
      </c>
      <c r="K2698" s="195">
        <v>11.453390000000001</v>
      </c>
      <c r="L2698" s="195">
        <v>5.0598729999999996</v>
      </c>
      <c r="M2698" s="195">
        <v>0</v>
      </c>
      <c r="N2698" s="195"/>
    </row>
    <row r="2699" spans="1:14" hidden="1" x14ac:dyDescent="0.35">
      <c r="A2699" s="52" t="s">
        <v>240</v>
      </c>
      <c r="B2699" s="52" t="s">
        <v>37</v>
      </c>
      <c r="C2699" s="52" t="s">
        <v>63</v>
      </c>
      <c r="D2699" s="52" t="s">
        <v>63</v>
      </c>
      <c r="E2699" s="52" t="s">
        <v>621</v>
      </c>
      <c r="F2699" s="52" t="s">
        <v>26</v>
      </c>
      <c r="G2699" s="195" t="s">
        <v>278</v>
      </c>
      <c r="H2699" s="195">
        <v>13.59843</v>
      </c>
      <c r="I2699" s="195">
        <v>7.8642890000000003</v>
      </c>
      <c r="J2699" s="195">
        <v>7.4206159999999999</v>
      </c>
      <c r="K2699" s="195">
        <v>3.96441</v>
      </c>
      <c r="L2699" s="195">
        <v>0.56079000000000001</v>
      </c>
      <c r="M2699" s="195">
        <v>0</v>
      </c>
      <c r="N2699" s="195"/>
    </row>
    <row r="2700" spans="1:14" hidden="1" x14ac:dyDescent="0.35">
      <c r="A2700" s="52" t="s">
        <v>240</v>
      </c>
      <c r="B2700" s="52" t="s">
        <v>37</v>
      </c>
      <c r="C2700" s="52" t="s">
        <v>63</v>
      </c>
      <c r="D2700" s="52" t="s">
        <v>63</v>
      </c>
      <c r="E2700" s="52" t="s">
        <v>621</v>
      </c>
      <c r="F2700" s="52" t="s">
        <v>26</v>
      </c>
      <c r="G2700" s="195" t="s">
        <v>279</v>
      </c>
      <c r="H2700" s="195">
        <v>760.84249999999997</v>
      </c>
      <c r="I2700" s="195">
        <v>649.13840000000005</v>
      </c>
      <c r="J2700" s="195">
        <v>817.6377</v>
      </c>
      <c r="K2700" s="195">
        <v>878.57249999999999</v>
      </c>
      <c r="L2700" s="195">
        <v>803.27170000000001</v>
      </c>
      <c r="M2700" s="195">
        <v>699.34310000000005</v>
      </c>
      <c r="N2700" s="195">
        <v>622.47299999999996</v>
      </c>
    </row>
    <row r="2701" spans="1:14" hidden="1" x14ac:dyDescent="0.35">
      <c r="A2701" s="52" t="s">
        <v>240</v>
      </c>
      <c r="B2701" s="52" t="s">
        <v>37</v>
      </c>
      <c r="C2701" s="52" t="s">
        <v>63</v>
      </c>
      <c r="D2701" s="52" t="s">
        <v>63</v>
      </c>
      <c r="E2701" s="52" t="s">
        <v>584</v>
      </c>
      <c r="F2701" s="52" t="s">
        <v>26</v>
      </c>
      <c r="G2701" s="195" t="s">
        <v>275</v>
      </c>
      <c r="H2701" s="195">
        <v>-11.19083</v>
      </c>
      <c r="I2701" s="195">
        <v>-6.5317999999999996</v>
      </c>
      <c r="J2701" s="195">
        <v>-3.4914990000000001</v>
      </c>
      <c r="K2701" s="195">
        <v>-0.55117499999999997</v>
      </c>
      <c r="L2701" s="195">
        <v>-285.32600000000002</v>
      </c>
      <c r="M2701" s="195">
        <v>0.7239681</v>
      </c>
      <c r="N2701" s="195"/>
    </row>
    <row r="2702" spans="1:14" hidden="1" x14ac:dyDescent="0.35">
      <c r="A2702" s="52" t="s">
        <v>240</v>
      </c>
      <c r="B2702" s="52" t="s">
        <v>37</v>
      </c>
      <c r="C2702" s="52" t="s">
        <v>63</v>
      </c>
      <c r="D2702" s="52" t="s">
        <v>63</v>
      </c>
      <c r="E2702" s="52" t="s">
        <v>584</v>
      </c>
      <c r="F2702" s="52" t="s">
        <v>26</v>
      </c>
      <c r="G2702" s="195" t="s">
        <v>276</v>
      </c>
      <c r="H2702" s="195">
        <v>-1.6117060000000001</v>
      </c>
      <c r="I2702" s="195">
        <v>-1.546246</v>
      </c>
      <c r="J2702" s="195">
        <v>-1.377175</v>
      </c>
      <c r="K2702" s="195">
        <v>-1.2504690000000001</v>
      </c>
      <c r="L2702" s="195">
        <v>-32.342320000000001</v>
      </c>
      <c r="M2702" s="195">
        <v>-0.72396899999999997</v>
      </c>
      <c r="N2702" s="195"/>
    </row>
    <row r="2703" spans="1:14" hidden="1" x14ac:dyDescent="0.35">
      <c r="A2703" s="52" t="s">
        <v>240</v>
      </c>
      <c r="B2703" s="52" t="s">
        <v>37</v>
      </c>
      <c r="C2703" s="52" t="s">
        <v>63</v>
      </c>
      <c r="D2703" s="52" t="s">
        <v>63</v>
      </c>
      <c r="E2703" s="52" t="s">
        <v>584</v>
      </c>
      <c r="F2703" s="52" t="s">
        <v>26</v>
      </c>
      <c r="G2703" s="195" t="s">
        <v>277</v>
      </c>
      <c r="H2703" s="195">
        <v>12.04927</v>
      </c>
      <c r="I2703" s="195">
        <v>6.6127820000000002</v>
      </c>
      <c r="J2703" s="195">
        <v>3.6291720000000001</v>
      </c>
      <c r="K2703" s="195"/>
      <c r="L2703" s="195"/>
      <c r="M2703" s="195"/>
      <c r="N2703" s="195"/>
    </row>
    <row r="2704" spans="1:14" hidden="1" x14ac:dyDescent="0.35">
      <c r="A2704" s="52" t="s">
        <v>240</v>
      </c>
      <c r="B2704" s="52" t="s">
        <v>37</v>
      </c>
      <c r="C2704" s="52" t="s">
        <v>63</v>
      </c>
      <c r="D2704" s="52" t="s">
        <v>63</v>
      </c>
      <c r="E2704" s="52" t="s">
        <v>584</v>
      </c>
      <c r="F2704" s="52" t="s">
        <v>26</v>
      </c>
      <c r="G2704" s="195" t="s">
        <v>279</v>
      </c>
      <c r="H2704" s="195">
        <v>9.4399010000000008</v>
      </c>
      <c r="I2704" s="195">
        <v>7.9340520000000003</v>
      </c>
      <c r="J2704" s="195">
        <v>7.598967</v>
      </c>
      <c r="K2704" s="195">
        <v>7.9618270000000004</v>
      </c>
      <c r="L2704" s="195">
        <v>317.66829999999999</v>
      </c>
      <c r="M2704" s="195"/>
      <c r="N2704" s="195">
        <v>0</v>
      </c>
    </row>
    <row r="2705" spans="1:14" hidden="1" x14ac:dyDescent="0.35">
      <c r="A2705" s="52" t="s">
        <v>240</v>
      </c>
      <c r="B2705" s="52" t="s">
        <v>37</v>
      </c>
      <c r="C2705" s="52" t="s">
        <v>63</v>
      </c>
      <c r="D2705" s="52" t="s">
        <v>63</v>
      </c>
      <c r="E2705" s="52" t="s">
        <v>610</v>
      </c>
      <c r="F2705" s="52" t="s">
        <v>26</v>
      </c>
      <c r="G2705" s="195" t="s">
        <v>275</v>
      </c>
      <c r="H2705" s="195">
        <v>-14.21025</v>
      </c>
      <c r="I2705" s="195">
        <v>0.42833369999999998</v>
      </c>
      <c r="J2705" s="195">
        <v>1.50867</v>
      </c>
      <c r="K2705" s="195">
        <v>1.056492</v>
      </c>
      <c r="L2705" s="195">
        <v>0.77388159999999995</v>
      </c>
      <c r="M2705" s="195">
        <v>0.73883299999999996</v>
      </c>
      <c r="N2705" s="195">
        <v>0.64689640000000004</v>
      </c>
    </row>
    <row r="2706" spans="1:14" hidden="1" x14ac:dyDescent="0.35">
      <c r="A2706" s="52" t="s">
        <v>240</v>
      </c>
      <c r="B2706" s="52" t="s">
        <v>37</v>
      </c>
      <c r="C2706" s="52" t="s">
        <v>63</v>
      </c>
      <c r="D2706" s="52" t="s">
        <v>63</v>
      </c>
      <c r="E2706" s="52" t="s">
        <v>610</v>
      </c>
      <c r="F2706" s="52" t="s">
        <v>26</v>
      </c>
      <c r="G2706" s="195" t="s">
        <v>276</v>
      </c>
      <c r="H2706" s="195">
        <v>-0.56097399999999997</v>
      </c>
      <c r="I2706" s="195">
        <v>-0.41897060000000003</v>
      </c>
      <c r="J2706" s="195">
        <v>-0.41876479999999999</v>
      </c>
      <c r="K2706" s="195">
        <v>-0.26866640000000003</v>
      </c>
      <c r="L2706" s="195">
        <v>-0.2526118</v>
      </c>
      <c r="M2706" s="195">
        <v>-0.25646219999999997</v>
      </c>
      <c r="N2706" s="195">
        <v>-0.2004272</v>
      </c>
    </row>
    <row r="2707" spans="1:14" hidden="1" x14ac:dyDescent="0.35">
      <c r="A2707" s="52" t="s">
        <v>240</v>
      </c>
      <c r="B2707" s="52" t="s">
        <v>37</v>
      </c>
      <c r="C2707" s="52" t="s">
        <v>63</v>
      </c>
      <c r="D2707" s="52" t="s">
        <v>63</v>
      </c>
      <c r="E2707" s="52" t="s">
        <v>610</v>
      </c>
      <c r="F2707" s="52" t="s">
        <v>26</v>
      </c>
      <c r="G2707" s="195" t="s">
        <v>277</v>
      </c>
      <c r="H2707" s="195">
        <v>15.67877</v>
      </c>
      <c r="I2707" s="195">
        <v>1.288457</v>
      </c>
      <c r="J2707" s="195">
        <v>0</v>
      </c>
      <c r="K2707" s="195"/>
      <c r="L2707" s="195"/>
      <c r="M2707" s="195">
        <v>0</v>
      </c>
      <c r="N2707" s="195">
        <v>0</v>
      </c>
    </row>
    <row r="2708" spans="1:14" hidden="1" x14ac:dyDescent="0.35">
      <c r="A2708" s="52" t="s">
        <v>240</v>
      </c>
      <c r="B2708" s="52" t="s">
        <v>37</v>
      </c>
      <c r="C2708" s="52" t="s">
        <v>63</v>
      </c>
      <c r="D2708" s="52" t="s">
        <v>63</v>
      </c>
      <c r="E2708" s="52" t="s">
        <v>610</v>
      </c>
      <c r="F2708" s="52" t="s">
        <v>26</v>
      </c>
      <c r="G2708" s="195" t="s">
        <v>278</v>
      </c>
      <c r="H2708" s="195">
        <v>0.32971299999999998</v>
      </c>
      <c r="I2708" s="195">
        <v>0</v>
      </c>
      <c r="J2708" s="195"/>
      <c r="K2708" s="195"/>
      <c r="L2708" s="195"/>
      <c r="M2708" s="195"/>
      <c r="N2708" s="195"/>
    </row>
    <row r="2709" spans="1:14" hidden="1" x14ac:dyDescent="0.35">
      <c r="A2709" s="52" t="s">
        <v>240</v>
      </c>
      <c r="B2709" s="52" t="s">
        <v>37</v>
      </c>
      <c r="C2709" s="52" t="s">
        <v>63</v>
      </c>
      <c r="D2709" s="52" t="s">
        <v>63</v>
      </c>
      <c r="E2709" s="52" t="s">
        <v>610</v>
      </c>
      <c r="F2709" s="52" t="s">
        <v>26</v>
      </c>
      <c r="G2709" s="195" t="s">
        <v>279</v>
      </c>
      <c r="H2709" s="195">
        <v>2.4433199999999999</v>
      </c>
      <c r="I2709" s="195">
        <v>3.8766750000000001</v>
      </c>
      <c r="J2709" s="195">
        <v>2.9200819999999998</v>
      </c>
      <c r="K2709" s="195">
        <v>2.6851729999999998</v>
      </c>
      <c r="L2709" s="195">
        <v>2.5986479999999998</v>
      </c>
      <c r="M2709" s="195">
        <v>2.3747669999999999</v>
      </c>
      <c r="N2709" s="195">
        <v>2.1824560000000002</v>
      </c>
    </row>
    <row r="2710" spans="1:14" hidden="1" x14ac:dyDescent="0.35">
      <c r="A2710" s="52" t="s">
        <v>240</v>
      </c>
      <c r="B2710" s="52" t="s">
        <v>37</v>
      </c>
      <c r="C2710" s="52" t="s">
        <v>46</v>
      </c>
      <c r="D2710" s="52" t="s">
        <v>46</v>
      </c>
      <c r="E2710" s="52" t="s">
        <v>641</v>
      </c>
      <c r="F2710" s="52" t="s">
        <v>26</v>
      </c>
      <c r="G2710" s="195" t="s">
        <v>275</v>
      </c>
      <c r="H2710" s="195">
        <v>121.473</v>
      </c>
      <c r="I2710" s="195">
        <v>173.50980000000001</v>
      </c>
      <c r="J2710" s="195">
        <v>165.64580000000001</v>
      </c>
      <c r="K2710" s="195">
        <v>153.4393</v>
      </c>
      <c r="L2710" s="195">
        <v>92.894170000000003</v>
      </c>
      <c r="M2710" s="195">
        <v>71.865520000000004</v>
      </c>
      <c r="N2710" s="195">
        <v>35.807499999999997</v>
      </c>
    </row>
    <row r="2711" spans="1:14" hidden="1" x14ac:dyDescent="0.35">
      <c r="A2711" s="52" t="s">
        <v>240</v>
      </c>
      <c r="B2711" s="52" t="s">
        <v>37</v>
      </c>
      <c r="C2711" s="52" t="s">
        <v>46</v>
      </c>
      <c r="D2711" s="52" t="s">
        <v>46</v>
      </c>
      <c r="E2711" s="52" t="s">
        <v>641</v>
      </c>
      <c r="F2711" s="52" t="s">
        <v>26</v>
      </c>
      <c r="G2711" s="195" t="s">
        <v>276</v>
      </c>
      <c r="H2711" s="195">
        <v>-16.52805</v>
      </c>
      <c r="I2711" s="195">
        <v>-26.02177</v>
      </c>
      <c r="J2711" s="195">
        <v>-7.8260290000000001</v>
      </c>
      <c r="K2711" s="195">
        <v>-1.29339</v>
      </c>
      <c r="L2711" s="195">
        <v>9.9854120000000002</v>
      </c>
      <c r="M2711" s="195">
        <v>19.564550000000001</v>
      </c>
      <c r="N2711" s="195">
        <v>20.429680000000001</v>
      </c>
    </row>
    <row r="2712" spans="1:14" hidden="1" x14ac:dyDescent="0.35">
      <c r="A2712" s="52" t="s">
        <v>240</v>
      </c>
      <c r="B2712" s="52" t="s">
        <v>37</v>
      </c>
      <c r="C2712" s="52" t="s">
        <v>46</v>
      </c>
      <c r="D2712" s="52" t="s">
        <v>46</v>
      </c>
      <c r="E2712" s="52" t="s">
        <v>641</v>
      </c>
      <c r="F2712" s="52" t="s">
        <v>26</v>
      </c>
      <c r="G2712" s="195" t="s">
        <v>277</v>
      </c>
      <c r="H2712" s="195">
        <v>151.14160000000001</v>
      </c>
      <c r="I2712" s="195">
        <v>46.223759999999999</v>
      </c>
      <c r="J2712" s="195">
        <v>43.574890000000003</v>
      </c>
      <c r="K2712" s="195">
        <v>14.18398</v>
      </c>
      <c r="L2712" s="195">
        <v>23.05369</v>
      </c>
      <c r="M2712" s="195">
        <v>31.32612</v>
      </c>
      <c r="N2712" s="195">
        <v>80.939480000000003</v>
      </c>
    </row>
    <row r="2713" spans="1:14" hidden="1" x14ac:dyDescent="0.35">
      <c r="A2713" s="52" t="s">
        <v>240</v>
      </c>
      <c r="B2713" s="52" t="s">
        <v>37</v>
      </c>
      <c r="C2713" s="52" t="s">
        <v>46</v>
      </c>
      <c r="D2713" s="52" t="s">
        <v>46</v>
      </c>
      <c r="E2713" s="52" t="s">
        <v>641</v>
      </c>
      <c r="F2713" s="52" t="s">
        <v>26</v>
      </c>
      <c r="G2713" s="195" t="s">
        <v>278</v>
      </c>
      <c r="H2713" s="195">
        <v>9.5404999999999998</v>
      </c>
      <c r="I2713" s="195">
        <v>2.3559990000000002</v>
      </c>
      <c r="J2713" s="195">
        <v>5.7672549999999996</v>
      </c>
      <c r="K2713" s="195">
        <v>3.8002910000000001</v>
      </c>
      <c r="L2713" s="195">
        <v>3.8645679999999998</v>
      </c>
      <c r="M2713" s="195">
        <v>2.653759</v>
      </c>
      <c r="N2713" s="195">
        <v>1.061655</v>
      </c>
    </row>
    <row r="2714" spans="1:14" hidden="1" x14ac:dyDescent="0.35">
      <c r="A2714" s="52" t="s">
        <v>240</v>
      </c>
      <c r="B2714" s="52" t="s">
        <v>37</v>
      </c>
      <c r="C2714" s="52" t="s">
        <v>46</v>
      </c>
      <c r="D2714" s="52" t="s">
        <v>46</v>
      </c>
      <c r="E2714" s="52" t="s">
        <v>641</v>
      </c>
      <c r="F2714" s="52" t="s">
        <v>26</v>
      </c>
      <c r="G2714" s="195" t="s">
        <v>279</v>
      </c>
      <c r="H2714" s="195">
        <v>354.4495</v>
      </c>
      <c r="I2714" s="195">
        <v>275.64890000000003</v>
      </c>
      <c r="J2714" s="195">
        <v>269.86040000000003</v>
      </c>
      <c r="K2714" s="195">
        <v>243.70689999999999</v>
      </c>
      <c r="L2714" s="195">
        <v>226.05760000000001</v>
      </c>
      <c r="M2714" s="195">
        <v>215.3706</v>
      </c>
      <c r="N2714" s="195">
        <v>236.77869999999999</v>
      </c>
    </row>
    <row r="2715" spans="1:14" hidden="1" x14ac:dyDescent="0.35">
      <c r="A2715" s="52" t="s">
        <v>240</v>
      </c>
      <c r="B2715" s="52" t="s">
        <v>37</v>
      </c>
      <c r="C2715" s="52" t="s">
        <v>115</v>
      </c>
      <c r="D2715" s="52" t="s">
        <v>115</v>
      </c>
      <c r="E2715" s="52" t="s">
        <v>597</v>
      </c>
      <c r="F2715" s="52" t="s">
        <v>581</v>
      </c>
      <c r="G2715" s="195" t="s">
        <v>275</v>
      </c>
      <c r="H2715" s="195">
        <v>-189.64830000000001</v>
      </c>
      <c r="I2715" s="195">
        <v>-6.8056549999999998</v>
      </c>
      <c r="J2715" s="195">
        <v>36.3705</v>
      </c>
      <c r="K2715" s="195">
        <v>49.29636</v>
      </c>
      <c r="L2715" s="195">
        <v>45.436079999999997</v>
      </c>
      <c r="M2715" s="195">
        <v>18.469249999999999</v>
      </c>
      <c r="N2715" s="195">
        <v>10.373379999999999</v>
      </c>
    </row>
    <row r="2716" spans="1:14" hidden="1" x14ac:dyDescent="0.35">
      <c r="A2716" s="52" t="s">
        <v>240</v>
      </c>
      <c r="B2716" s="52" t="s">
        <v>37</v>
      </c>
      <c r="C2716" s="52" t="s">
        <v>115</v>
      </c>
      <c r="D2716" s="52" t="s">
        <v>115</v>
      </c>
      <c r="E2716" s="52" t="s">
        <v>597</v>
      </c>
      <c r="F2716" s="52" t="s">
        <v>581</v>
      </c>
      <c r="G2716" s="195" t="s">
        <v>276</v>
      </c>
      <c r="H2716" s="195">
        <v>7.7203249999999999</v>
      </c>
      <c r="I2716" s="195">
        <v>-20.405650000000001</v>
      </c>
      <c r="J2716" s="195">
        <v>-28.596710000000002</v>
      </c>
      <c r="K2716" s="195">
        <v>-41.46707</v>
      </c>
      <c r="L2716" s="195">
        <v>-37.557450000000003</v>
      </c>
      <c r="M2716" s="195">
        <v>-6.174404</v>
      </c>
      <c r="N2716" s="195">
        <v>-1.290403</v>
      </c>
    </row>
    <row r="2717" spans="1:14" hidden="1" x14ac:dyDescent="0.35">
      <c r="A2717" s="52" t="s">
        <v>240</v>
      </c>
      <c r="B2717" s="52" t="s">
        <v>37</v>
      </c>
      <c r="C2717" s="52" t="s">
        <v>115</v>
      </c>
      <c r="D2717" s="52" t="s">
        <v>115</v>
      </c>
      <c r="E2717" s="52" t="s">
        <v>597</v>
      </c>
      <c r="F2717" s="52" t="s">
        <v>581</v>
      </c>
      <c r="G2717" s="195" t="s">
        <v>277</v>
      </c>
      <c r="H2717" s="195">
        <v>349.84019999999998</v>
      </c>
      <c r="I2717" s="195">
        <v>43.461150000000004</v>
      </c>
      <c r="J2717" s="195">
        <v>9.5134279999999993</v>
      </c>
      <c r="K2717" s="195">
        <v>4.2825199999999999</v>
      </c>
      <c r="L2717" s="195">
        <v>1.5235909999999999</v>
      </c>
      <c r="M2717" s="195">
        <v>0</v>
      </c>
      <c r="N2717" s="195">
        <v>0</v>
      </c>
    </row>
    <row r="2718" spans="1:14" hidden="1" x14ac:dyDescent="0.35">
      <c r="A2718" s="52" t="s">
        <v>240</v>
      </c>
      <c r="B2718" s="52" t="s">
        <v>37</v>
      </c>
      <c r="C2718" s="52" t="s">
        <v>115</v>
      </c>
      <c r="D2718" s="52" t="s">
        <v>115</v>
      </c>
      <c r="E2718" s="52" t="s">
        <v>597</v>
      </c>
      <c r="F2718" s="52" t="s">
        <v>581</v>
      </c>
      <c r="G2718" s="195" t="s">
        <v>278</v>
      </c>
      <c r="H2718" s="195">
        <v>85.351699999999994</v>
      </c>
      <c r="I2718" s="195">
        <v>41.047260000000001</v>
      </c>
      <c r="J2718" s="195">
        <v>19.667629999999999</v>
      </c>
      <c r="K2718" s="195">
        <v>16.405169999999998</v>
      </c>
      <c r="L2718" s="195">
        <v>7.5136839999999996</v>
      </c>
      <c r="M2718" s="195">
        <v>0</v>
      </c>
      <c r="N2718" s="195">
        <v>0</v>
      </c>
    </row>
    <row r="2719" spans="1:14" hidden="1" x14ac:dyDescent="0.35">
      <c r="A2719" s="52" t="s">
        <v>240</v>
      </c>
      <c r="B2719" s="52" t="s">
        <v>37</v>
      </c>
      <c r="C2719" s="52" t="s">
        <v>115</v>
      </c>
      <c r="D2719" s="52" t="s">
        <v>115</v>
      </c>
      <c r="E2719" s="52" t="s">
        <v>597</v>
      </c>
      <c r="F2719" s="52" t="s">
        <v>581</v>
      </c>
      <c r="G2719" s="195" t="s">
        <v>279</v>
      </c>
      <c r="H2719" s="195">
        <v>110.1101</v>
      </c>
      <c r="I2719" s="195">
        <v>94.338909999999998</v>
      </c>
      <c r="J2719" s="195">
        <v>77.10736</v>
      </c>
      <c r="K2719" s="195">
        <v>62.206980000000001</v>
      </c>
      <c r="L2719" s="195">
        <v>53.96566</v>
      </c>
      <c r="M2719" s="195">
        <v>37.506169999999997</v>
      </c>
      <c r="N2719" s="195">
        <v>27.764089999999999</v>
      </c>
    </row>
    <row r="2720" spans="1:14" hidden="1" x14ac:dyDescent="0.35">
      <c r="A2720" s="52" t="s">
        <v>240</v>
      </c>
      <c r="B2720" s="52" t="s">
        <v>37</v>
      </c>
      <c r="C2720" s="52" t="s">
        <v>115</v>
      </c>
      <c r="D2720" s="52" t="s">
        <v>115</v>
      </c>
      <c r="E2720" s="52" t="s">
        <v>597</v>
      </c>
      <c r="F2720" s="52" t="s">
        <v>26</v>
      </c>
      <c r="G2720" s="195" t="s">
        <v>275</v>
      </c>
      <c r="H2720" s="195">
        <v>4.3248689999999996</v>
      </c>
      <c r="I2720" s="195">
        <v>-2.2739229999999999</v>
      </c>
      <c r="J2720" s="195">
        <v>0.70775460000000001</v>
      </c>
      <c r="K2720" s="195">
        <v>-0.61264660000000004</v>
      </c>
      <c r="L2720" s="195">
        <v>-4.0423260000000001</v>
      </c>
      <c r="M2720" s="195">
        <v>-2.6304759999999998</v>
      </c>
      <c r="N2720" s="195">
        <v>-1.937703</v>
      </c>
    </row>
    <row r="2721" spans="1:14" hidden="1" x14ac:dyDescent="0.35">
      <c r="A2721" s="52" t="s">
        <v>240</v>
      </c>
      <c r="B2721" s="52" t="s">
        <v>37</v>
      </c>
      <c r="C2721" s="52" t="s">
        <v>115</v>
      </c>
      <c r="D2721" s="52" t="s">
        <v>115</v>
      </c>
      <c r="E2721" s="52" t="s">
        <v>597</v>
      </c>
      <c r="F2721" s="52" t="s">
        <v>26</v>
      </c>
      <c r="G2721" s="195" t="s">
        <v>276</v>
      </c>
      <c r="H2721" s="195">
        <v>1.1496550000000001</v>
      </c>
      <c r="I2721" s="195">
        <v>-0.60446469999999997</v>
      </c>
      <c r="J2721" s="195">
        <v>0.18813379999999999</v>
      </c>
      <c r="K2721" s="195">
        <v>-0.16285740000000001</v>
      </c>
      <c r="L2721" s="195">
        <v>-1.074546</v>
      </c>
      <c r="M2721" s="195">
        <v>-0.69924220000000004</v>
      </c>
      <c r="N2721" s="195">
        <v>-0.51508500000000002</v>
      </c>
    </row>
    <row r="2722" spans="1:14" hidden="1" x14ac:dyDescent="0.35">
      <c r="A2722" s="52" t="s">
        <v>240</v>
      </c>
      <c r="B2722" s="52" t="s">
        <v>37</v>
      </c>
      <c r="C2722" s="52" t="s">
        <v>115</v>
      </c>
      <c r="D2722" s="52" t="s">
        <v>115</v>
      </c>
      <c r="E2722" s="52" t="s">
        <v>597</v>
      </c>
      <c r="F2722" s="52" t="s">
        <v>26</v>
      </c>
      <c r="G2722" s="195" t="s">
        <v>279</v>
      </c>
      <c r="H2722" s="195">
        <v>61.932029999999997</v>
      </c>
      <c r="I2722" s="195">
        <v>75.664010000000005</v>
      </c>
      <c r="J2722" s="195">
        <v>63.147320000000001</v>
      </c>
      <c r="K2722" s="195">
        <v>51.464480000000002</v>
      </c>
      <c r="L2722" s="195">
        <v>44.457039999999999</v>
      </c>
      <c r="M2722" s="195">
        <v>30.945679999999999</v>
      </c>
      <c r="N2722" s="195">
        <v>22.91066</v>
      </c>
    </row>
    <row r="2723" spans="1:14" hidden="1" x14ac:dyDescent="0.35">
      <c r="A2723" s="52" t="s">
        <v>240</v>
      </c>
      <c r="B2723" s="52" t="s">
        <v>37</v>
      </c>
      <c r="C2723" s="52" t="s">
        <v>115</v>
      </c>
      <c r="D2723" s="52" t="s">
        <v>115</v>
      </c>
      <c r="E2723" s="52" t="s">
        <v>596</v>
      </c>
      <c r="F2723" s="52" t="s">
        <v>581</v>
      </c>
      <c r="G2723" s="195" t="s">
        <v>275</v>
      </c>
      <c r="H2723" s="195">
        <v>18.044419999999999</v>
      </c>
      <c r="I2723" s="195">
        <v>1.5526279999999999</v>
      </c>
      <c r="J2723" s="195">
        <v>9.6041439999999998</v>
      </c>
      <c r="K2723" s="195">
        <v>4.5466319999999998</v>
      </c>
      <c r="L2723" s="195">
        <v>4.6750030000000002</v>
      </c>
      <c r="M2723" s="195">
        <v>3.4484330000000001</v>
      </c>
      <c r="N2723" s="195">
        <v>2.6184409999999998</v>
      </c>
    </row>
    <row r="2724" spans="1:14" hidden="1" x14ac:dyDescent="0.35">
      <c r="A2724" s="52" t="s">
        <v>240</v>
      </c>
      <c r="B2724" s="52" t="s">
        <v>37</v>
      </c>
      <c r="C2724" s="52" t="s">
        <v>115</v>
      </c>
      <c r="D2724" s="52" t="s">
        <v>115</v>
      </c>
      <c r="E2724" s="52" t="s">
        <v>596</v>
      </c>
      <c r="F2724" s="52" t="s">
        <v>581</v>
      </c>
      <c r="G2724" s="195" t="s">
        <v>276</v>
      </c>
      <c r="H2724" s="195">
        <v>-10.776899999999999</v>
      </c>
      <c r="I2724" s="195">
        <v>-2.1985990000000002</v>
      </c>
      <c r="J2724" s="195">
        <v>-6.7400820000000001</v>
      </c>
      <c r="K2724" s="195">
        <v>0.34373860000000001</v>
      </c>
      <c r="L2724" s="195">
        <v>-2.098328</v>
      </c>
      <c r="M2724" s="195">
        <v>-0.14882400000000001</v>
      </c>
      <c r="N2724" s="195">
        <v>0.1744482</v>
      </c>
    </row>
    <row r="2725" spans="1:14" hidden="1" x14ac:dyDescent="0.35">
      <c r="A2725" s="52" t="s">
        <v>240</v>
      </c>
      <c r="B2725" s="52" t="s">
        <v>37</v>
      </c>
      <c r="C2725" s="52" t="s">
        <v>115</v>
      </c>
      <c r="D2725" s="52" t="s">
        <v>115</v>
      </c>
      <c r="E2725" s="52" t="s">
        <v>596</v>
      </c>
      <c r="F2725" s="52" t="s">
        <v>581</v>
      </c>
      <c r="G2725" s="195" t="s">
        <v>277</v>
      </c>
      <c r="H2725" s="195">
        <v>29.692710000000002</v>
      </c>
      <c r="I2725" s="195">
        <v>7.698569</v>
      </c>
      <c r="J2725" s="195">
        <v>3.9007930000000002</v>
      </c>
      <c r="K2725" s="195">
        <v>1.7456940000000001</v>
      </c>
      <c r="L2725" s="195">
        <v>1.4504539999999999</v>
      </c>
      <c r="M2725" s="195">
        <v>0</v>
      </c>
      <c r="N2725" s="195">
        <v>0</v>
      </c>
    </row>
    <row r="2726" spans="1:14" hidden="1" x14ac:dyDescent="0.35">
      <c r="A2726" s="52" t="s">
        <v>240</v>
      </c>
      <c r="B2726" s="52" t="s">
        <v>37</v>
      </c>
      <c r="C2726" s="52" t="s">
        <v>115</v>
      </c>
      <c r="D2726" s="52" t="s">
        <v>115</v>
      </c>
      <c r="E2726" s="52" t="s">
        <v>596</v>
      </c>
      <c r="F2726" s="52" t="s">
        <v>581</v>
      </c>
      <c r="G2726" s="195" t="s">
        <v>279</v>
      </c>
      <c r="H2726" s="195">
        <v>20.114609999999999</v>
      </c>
      <c r="I2726" s="195">
        <v>12.45049</v>
      </c>
      <c r="J2726" s="195">
        <v>15.12284</v>
      </c>
      <c r="K2726" s="195">
        <v>15.62825</v>
      </c>
      <c r="L2726" s="195">
        <v>13.73235</v>
      </c>
      <c r="M2726" s="195">
        <v>10.755409999999999</v>
      </c>
      <c r="N2726" s="195">
        <v>9.0679429999999996</v>
      </c>
    </row>
    <row r="2727" spans="1:14" hidden="1" x14ac:dyDescent="0.35">
      <c r="A2727" s="52" t="s">
        <v>240</v>
      </c>
      <c r="B2727" s="52" t="s">
        <v>37</v>
      </c>
      <c r="C2727" s="52" t="s">
        <v>115</v>
      </c>
      <c r="D2727" s="52" t="s">
        <v>115</v>
      </c>
      <c r="E2727" s="52" t="s">
        <v>596</v>
      </c>
      <c r="F2727" s="52" t="s">
        <v>26</v>
      </c>
      <c r="G2727" s="195" t="s">
        <v>275</v>
      </c>
      <c r="H2727" s="195">
        <v>1.134236</v>
      </c>
      <c r="I2727" s="195">
        <v>0.29198479999999999</v>
      </c>
      <c r="J2727" s="195">
        <v>0.76477740000000005</v>
      </c>
      <c r="K2727" s="195">
        <v>0.50839380000000001</v>
      </c>
      <c r="L2727" s="195">
        <v>-0.30484060000000002</v>
      </c>
      <c r="M2727" s="195">
        <v>-0.19571740000000001</v>
      </c>
      <c r="N2727" s="195">
        <v>-0.15934380000000001</v>
      </c>
    </row>
    <row r="2728" spans="1:14" hidden="1" x14ac:dyDescent="0.35">
      <c r="A2728" s="52" t="s">
        <v>240</v>
      </c>
      <c r="B2728" s="52" t="s">
        <v>37</v>
      </c>
      <c r="C2728" s="52" t="s">
        <v>115</v>
      </c>
      <c r="D2728" s="52" t="s">
        <v>115</v>
      </c>
      <c r="E2728" s="52" t="s">
        <v>596</v>
      </c>
      <c r="F2728" s="52" t="s">
        <v>26</v>
      </c>
      <c r="G2728" s="195" t="s">
        <v>276</v>
      </c>
      <c r="H2728" s="195">
        <v>0.301506</v>
      </c>
      <c r="I2728" s="195">
        <v>7.7616400000000002E-2</v>
      </c>
      <c r="J2728" s="195">
        <v>0.20329459999999999</v>
      </c>
      <c r="K2728" s="195">
        <v>0.13514300000000001</v>
      </c>
      <c r="L2728" s="195">
        <v>-8.1032809999999997E-2</v>
      </c>
      <c r="M2728" s="195">
        <v>-5.2026599999999999E-2</v>
      </c>
      <c r="N2728" s="195">
        <v>-4.2357789999999999E-2</v>
      </c>
    </row>
    <row r="2729" spans="1:14" hidden="1" x14ac:dyDescent="0.35">
      <c r="A2729" s="52" t="s">
        <v>240</v>
      </c>
      <c r="B2729" s="52" t="s">
        <v>37</v>
      </c>
      <c r="C2729" s="52" t="s">
        <v>115</v>
      </c>
      <c r="D2729" s="52" t="s">
        <v>115</v>
      </c>
      <c r="E2729" s="52" t="s">
        <v>596</v>
      </c>
      <c r="F2729" s="52" t="s">
        <v>26</v>
      </c>
      <c r="G2729" s="195" t="s">
        <v>279</v>
      </c>
      <c r="H2729" s="195">
        <v>8.6908469999999998</v>
      </c>
      <c r="I2729" s="195">
        <v>8.6027749999999994</v>
      </c>
      <c r="J2729" s="195">
        <v>10.8528</v>
      </c>
      <c r="K2729" s="195">
        <v>11.335739999999999</v>
      </c>
      <c r="L2729" s="195">
        <v>9.9195290000000007</v>
      </c>
      <c r="M2729" s="195">
        <v>7.7805220000000004</v>
      </c>
      <c r="N2729" s="195">
        <v>6.5598919999999996</v>
      </c>
    </row>
    <row r="2730" spans="1:14" hidden="1" x14ac:dyDescent="0.35">
      <c r="A2730" s="52" t="s">
        <v>240</v>
      </c>
      <c r="B2730" s="52" t="s">
        <v>37</v>
      </c>
      <c r="C2730" s="52" t="s">
        <v>105</v>
      </c>
      <c r="D2730" s="52" t="s">
        <v>105</v>
      </c>
      <c r="E2730" s="52" t="s">
        <v>642</v>
      </c>
      <c r="F2730" s="52" t="s">
        <v>581</v>
      </c>
      <c r="G2730" s="195" t="s">
        <v>275</v>
      </c>
      <c r="H2730" s="195">
        <v>8.5002700000000004</v>
      </c>
      <c r="I2730" s="195">
        <v>27.161470000000001</v>
      </c>
      <c r="J2730" s="195">
        <v>34.115769999999998</v>
      </c>
      <c r="K2730" s="195">
        <v>21.400849999999998</v>
      </c>
      <c r="L2730" s="195">
        <v>7.4018610000000002</v>
      </c>
      <c r="M2730" s="195">
        <v>-0.4932646</v>
      </c>
      <c r="N2730" s="195">
        <v>-1.1104780000000001</v>
      </c>
    </row>
    <row r="2731" spans="1:14" hidden="1" x14ac:dyDescent="0.35">
      <c r="A2731" s="52" t="s">
        <v>240</v>
      </c>
      <c r="B2731" s="52" t="s">
        <v>37</v>
      </c>
      <c r="C2731" s="52" t="s">
        <v>105</v>
      </c>
      <c r="D2731" s="52" t="s">
        <v>105</v>
      </c>
      <c r="E2731" s="52" t="s">
        <v>642</v>
      </c>
      <c r="F2731" s="52" t="s">
        <v>581</v>
      </c>
      <c r="G2731" s="195" t="s">
        <v>276</v>
      </c>
      <c r="H2731" s="195">
        <v>1.126671</v>
      </c>
      <c r="I2731" s="195">
        <v>-24.335450000000002</v>
      </c>
      <c r="J2731" s="195">
        <v>-31.987110000000001</v>
      </c>
      <c r="K2731" s="195">
        <v>-20.379850000000001</v>
      </c>
      <c r="L2731" s="195">
        <v>-10.34712</v>
      </c>
      <c r="M2731" s="195">
        <v>-1.37886</v>
      </c>
      <c r="N2731" s="195">
        <v>-0.56757120000000005</v>
      </c>
    </row>
    <row r="2732" spans="1:14" hidden="1" x14ac:dyDescent="0.35">
      <c r="A2732" s="52" t="s">
        <v>240</v>
      </c>
      <c r="B2732" s="52" t="s">
        <v>37</v>
      </c>
      <c r="C2732" s="52" t="s">
        <v>105</v>
      </c>
      <c r="D2732" s="52" t="s">
        <v>105</v>
      </c>
      <c r="E2732" s="52" t="s">
        <v>642</v>
      </c>
      <c r="F2732" s="52" t="s">
        <v>581</v>
      </c>
      <c r="G2732" s="195" t="s">
        <v>277</v>
      </c>
      <c r="H2732" s="195">
        <v>79.636179999999996</v>
      </c>
      <c r="I2732" s="195">
        <v>5.1755699999999996</v>
      </c>
      <c r="J2732" s="195">
        <v>0.26500879999999999</v>
      </c>
      <c r="K2732" s="195">
        <v>0.14124980000000001</v>
      </c>
      <c r="L2732" s="195"/>
      <c r="M2732" s="195">
        <v>0</v>
      </c>
      <c r="N2732" s="195">
        <v>0</v>
      </c>
    </row>
    <row r="2733" spans="1:14" hidden="1" x14ac:dyDescent="0.35">
      <c r="A2733" s="52" t="s">
        <v>240</v>
      </c>
      <c r="B2733" s="52" t="s">
        <v>37</v>
      </c>
      <c r="C2733" s="52" t="s">
        <v>105</v>
      </c>
      <c r="D2733" s="52" t="s">
        <v>105</v>
      </c>
      <c r="E2733" s="52" t="s">
        <v>642</v>
      </c>
      <c r="F2733" s="52" t="s">
        <v>581</v>
      </c>
      <c r="G2733" s="195" t="s">
        <v>278</v>
      </c>
      <c r="H2733" s="195">
        <v>9.4263879999999993</v>
      </c>
      <c r="I2733" s="195">
        <v>2.6916669999999998</v>
      </c>
      <c r="J2733" s="195">
        <v>0.70269380000000004</v>
      </c>
      <c r="K2733" s="195">
        <v>0.683786</v>
      </c>
      <c r="L2733" s="195"/>
      <c r="M2733" s="195">
        <v>0</v>
      </c>
      <c r="N2733" s="195">
        <v>0</v>
      </c>
    </row>
    <row r="2734" spans="1:14" hidden="1" x14ac:dyDescent="0.35">
      <c r="A2734" s="52" t="s">
        <v>240</v>
      </c>
      <c r="B2734" s="52" t="s">
        <v>37</v>
      </c>
      <c r="C2734" s="52" t="s">
        <v>105</v>
      </c>
      <c r="D2734" s="52" t="s">
        <v>105</v>
      </c>
      <c r="E2734" s="52" t="s">
        <v>642</v>
      </c>
      <c r="F2734" s="52" t="s">
        <v>581</v>
      </c>
      <c r="G2734" s="195" t="s">
        <v>279</v>
      </c>
      <c r="H2734" s="195">
        <v>76.649929999999998</v>
      </c>
      <c r="I2734" s="195">
        <v>64.678020000000004</v>
      </c>
      <c r="J2734" s="195">
        <v>48.706699999999998</v>
      </c>
      <c r="K2734" s="195">
        <v>40.270269999999996</v>
      </c>
      <c r="L2734" s="195">
        <v>39.104340000000001</v>
      </c>
      <c r="M2734" s="195">
        <v>34.338090000000001</v>
      </c>
      <c r="N2734" s="195">
        <v>31.049119999999998</v>
      </c>
    </row>
    <row r="2735" spans="1:14" hidden="1" x14ac:dyDescent="0.35">
      <c r="A2735" s="52" t="s">
        <v>240</v>
      </c>
      <c r="B2735" s="52" t="s">
        <v>37</v>
      </c>
      <c r="C2735" s="52" t="s">
        <v>105</v>
      </c>
      <c r="D2735" s="52" t="s">
        <v>105</v>
      </c>
      <c r="E2735" s="52" t="s">
        <v>642</v>
      </c>
      <c r="F2735" s="52" t="s">
        <v>26</v>
      </c>
      <c r="G2735" s="195" t="s">
        <v>275</v>
      </c>
      <c r="H2735" s="195">
        <v>-13.65456</v>
      </c>
      <c r="I2735" s="195">
        <v>-4.146471</v>
      </c>
      <c r="J2735" s="195">
        <v>-2.9973369999999999</v>
      </c>
      <c r="K2735" s="195">
        <v>-2.6183480000000001</v>
      </c>
      <c r="L2735" s="195">
        <v>-2.812576</v>
      </c>
      <c r="M2735" s="195">
        <v>-2.4572949999999998</v>
      </c>
      <c r="N2735" s="195">
        <v>-2.2198440000000002</v>
      </c>
    </row>
    <row r="2736" spans="1:14" hidden="1" x14ac:dyDescent="0.35">
      <c r="A2736" s="52" t="s">
        <v>240</v>
      </c>
      <c r="B2736" s="52" t="s">
        <v>37</v>
      </c>
      <c r="C2736" s="52" t="s">
        <v>105</v>
      </c>
      <c r="D2736" s="52" t="s">
        <v>105</v>
      </c>
      <c r="E2736" s="52" t="s">
        <v>642</v>
      </c>
      <c r="F2736" s="52" t="s">
        <v>26</v>
      </c>
      <c r="G2736" s="195" t="s">
        <v>276</v>
      </c>
      <c r="H2736" s="195">
        <v>-4.7329460000000001</v>
      </c>
      <c r="I2736" s="195">
        <v>-1.437252</v>
      </c>
      <c r="J2736" s="195">
        <v>-1.0389409999999999</v>
      </c>
      <c r="K2736" s="195">
        <v>-0.90757120000000002</v>
      </c>
      <c r="L2736" s="195">
        <v>-0.97489669999999995</v>
      </c>
      <c r="M2736" s="195">
        <v>-0.85174700000000003</v>
      </c>
      <c r="N2736" s="195">
        <v>-0.76944179999999995</v>
      </c>
    </row>
    <row r="2737" spans="1:14" hidden="1" x14ac:dyDescent="0.35">
      <c r="A2737" s="52" t="s">
        <v>240</v>
      </c>
      <c r="B2737" s="52" t="s">
        <v>37</v>
      </c>
      <c r="C2737" s="52" t="s">
        <v>105</v>
      </c>
      <c r="D2737" s="52" t="s">
        <v>105</v>
      </c>
      <c r="E2737" s="52" t="s">
        <v>642</v>
      </c>
      <c r="F2737" s="52" t="s">
        <v>26</v>
      </c>
      <c r="G2737" s="195" t="s">
        <v>279</v>
      </c>
      <c r="H2737" s="195">
        <v>45.66874</v>
      </c>
      <c r="I2737" s="195">
        <v>11.77749</v>
      </c>
      <c r="J2737" s="195">
        <v>9.0276320000000005</v>
      </c>
      <c r="K2737" s="195">
        <v>7.5676730000000001</v>
      </c>
      <c r="L2737" s="195">
        <v>7.2814930000000002</v>
      </c>
      <c r="M2737" s="195">
        <v>6.4102269999999999</v>
      </c>
      <c r="N2737" s="195">
        <v>5.7965730000000004</v>
      </c>
    </row>
    <row r="2738" spans="1:14" hidden="1" x14ac:dyDescent="0.35">
      <c r="A2738" s="52" t="s">
        <v>240</v>
      </c>
      <c r="B2738" s="52" t="s">
        <v>37</v>
      </c>
      <c r="C2738" s="52" t="s">
        <v>105</v>
      </c>
      <c r="D2738" s="52" t="s">
        <v>105</v>
      </c>
      <c r="E2738" s="52" t="s">
        <v>643</v>
      </c>
      <c r="F2738" s="52" t="s">
        <v>581</v>
      </c>
      <c r="G2738" s="195" t="s">
        <v>275</v>
      </c>
      <c r="H2738" s="195">
        <v>4.5448259999999996</v>
      </c>
      <c r="I2738" s="195">
        <v>-0.29270659999999998</v>
      </c>
      <c r="J2738" s="195">
        <v>-0.64243899999999998</v>
      </c>
      <c r="K2738" s="195">
        <v>-0.64858689999999997</v>
      </c>
      <c r="L2738" s="195">
        <v>-0.84370080000000003</v>
      </c>
      <c r="M2738" s="195">
        <v>-0.74699470000000001</v>
      </c>
      <c r="N2738" s="195">
        <v>-0.68119680000000005</v>
      </c>
    </row>
    <row r="2739" spans="1:14" hidden="1" x14ac:dyDescent="0.35">
      <c r="A2739" s="52" t="s">
        <v>240</v>
      </c>
      <c r="B2739" s="52" t="s">
        <v>37</v>
      </c>
      <c r="C2739" s="52" t="s">
        <v>105</v>
      </c>
      <c r="D2739" s="52" t="s">
        <v>105</v>
      </c>
      <c r="E2739" s="52" t="s">
        <v>643</v>
      </c>
      <c r="F2739" s="52" t="s">
        <v>581</v>
      </c>
      <c r="G2739" s="195" t="s">
        <v>276</v>
      </c>
      <c r="H2739" s="195">
        <v>1.0701750000000001</v>
      </c>
      <c r="I2739" s="195">
        <v>-0.19140979999999999</v>
      </c>
      <c r="J2739" s="195">
        <v>-0.22268460000000001</v>
      </c>
      <c r="K2739" s="195">
        <v>-0.2248116</v>
      </c>
      <c r="L2739" s="195">
        <v>-0.29244399999999998</v>
      </c>
      <c r="M2739" s="195">
        <v>-0.25892419999999999</v>
      </c>
      <c r="N2739" s="195">
        <v>-0.2361124</v>
      </c>
    </row>
    <row r="2740" spans="1:14" hidden="1" x14ac:dyDescent="0.35">
      <c r="A2740" s="52" t="s">
        <v>240</v>
      </c>
      <c r="B2740" s="52" t="s">
        <v>37</v>
      </c>
      <c r="C2740" s="52" t="s">
        <v>105</v>
      </c>
      <c r="D2740" s="52" t="s">
        <v>105</v>
      </c>
      <c r="E2740" s="52" t="s">
        <v>643</v>
      </c>
      <c r="F2740" s="52" t="s">
        <v>581</v>
      </c>
      <c r="G2740" s="195" t="s">
        <v>277</v>
      </c>
      <c r="H2740" s="195"/>
      <c r="I2740" s="195">
        <v>0</v>
      </c>
      <c r="J2740" s="195"/>
      <c r="K2740" s="195">
        <v>0</v>
      </c>
      <c r="L2740" s="195"/>
      <c r="M2740" s="195">
        <v>0</v>
      </c>
      <c r="N2740" s="195">
        <v>0</v>
      </c>
    </row>
    <row r="2741" spans="1:14" hidden="1" x14ac:dyDescent="0.35">
      <c r="A2741" s="52" t="s">
        <v>240</v>
      </c>
      <c r="B2741" s="52" t="s">
        <v>37</v>
      </c>
      <c r="C2741" s="52" t="s">
        <v>105</v>
      </c>
      <c r="D2741" s="52" t="s">
        <v>105</v>
      </c>
      <c r="E2741" s="52" t="s">
        <v>643</v>
      </c>
      <c r="F2741" s="52" t="s">
        <v>581</v>
      </c>
      <c r="G2741" s="195" t="s">
        <v>279</v>
      </c>
      <c r="H2741" s="195">
        <v>7.7285500000000003</v>
      </c>
      <c r="I2741" s="195">
        <v>4.4880230000000001</v>
      </c>
      <c r="J2741" s="195">
        <v>4.1324459999999998</v>
      </c>
      <c r="K2741" s="195">
        <v>3.6711079999999998</v>
      </c>
      <c r="L2741" s="195">
        <v>3.658563</v>
      </c>
      <c r="M2741" s="195">
        <v>3.3180239999999999</v>
      </c>
      <c r="N2741" s="195">
        <v>3.0346449999999998</v>
      </c>
    </row>
    <row r="2742" spans="1:14" hidden="1" x14ac:dyDescent="0.35">
      <c r="A2742" s="52" t="s">
        <v>240</v>
      </c>
      <c r="B2742" s="52" t="s">
        <v>37</v>
      </c>
      <c r="C2742" s="52" t="s">
        <v>105</v>
      </c>
      <c r="D2742" s="52" t="s">
        <v>105</v>
      </c>
      <c r="E2742" s="52" t="s">
        <v>643</v>
      </c>
      <c r="F2742" s="52" t="s">
        <v>26</v>
      </c>
      <c r="G2742" s="195" t="s">
        <v>275</v>
      </c>
      <c r="H2742" s="195">
        <v>0.20931900000000001</v>
      </c>
      <c r="I2742" s="195">
        <v>1.0380480000000001</v>
      </c>
      <c r="J2742" s="195">
        <v>-1.002745</v>
      </c>
      <c r="K2742" s="195">
        <v>-0.97320470000000003</v>
      </c>
      <c r="L2742" s="195">
        <v>-1.1735720000000001</v>
      </c>
      <c r="M2742" s="195">
        <v>-1.050611</v>
      </c>
      <c r="N2742" s="195">
        <v>-0.95873790000000003</v>
      </c>
    </row>
    <row r="2743" spans="1:14" hidden="1" x14ac:dyDescent="0.35">
      <c r="A2743" s="52" t="s">
        <v>240</v>
      </c>
      <c r="B2743" s="52" t="s">
        <v>37</v>
      </c>
      <c r="C2743" s="52" t="s">
        <v>105</v>
      </c>
      <c r="D2743" s="52" t="s">
        <v>105</v>
      </c>
      <c r="E2743" s="52" t="s">
        <v>643</v>
      </c>
      <c r="F2743" s="52" t="s">
        <v>26</v>
      </c>
      <c r="G2743" s="195" t="s">
        <v>276</v>
      </c>
      <c r="H2743" s="195">
        <v>-4.4658220000000002</v>
      </c>
      <c r="I2743" s="195">
        <v>-2.6246619999999998</v>
      </c>
      <c r="J2743" s="195">
        <v>-0.34757120000000002</v>
      </c>
      <c r="K2743" s="195">
        <v>-0.33733239999999998</v>
      </c>
      <c r="L2743" s="195">
        <v>-0.40678419999999998</v>
      </c>
      <c r="M2743" s="195">
        <v>-0.3641626</v>
      </c>
      <c r="N2743" s="195">
        <v>-0.332318</v>
      </c>
    </row>
    <row r="2744" spans="1:14" hidden="1" x14ac:dyDescent="0.35">
      <c r="A2744" s="52" t="s">
        <v>240</v>
      </c>
      <c r="B2744" s="52" t="s">
        <v>37</v>
      </c>
      <c r="C2744" s="52" t="s">
        <v>105</v>
      </c>
      <c r="D2744" s="52" t="s">
        <v>105</v>
      </c>
      <c r="E2744" s="52" t="s">
        <v>643</v>
      </c>
      <c r="F2744" s="52" t="s">
        <v>26</v>
      </c>
      <c r="G2744" s="195" t="s">
        <v>277</v>
      </c>
      <c r="H2744" s="195"/>
      <c r="I2744" s="195">
        <v>0</v>
      </c>
      <c r="J2744" s="195">
        <v>3.9999999999999998E-7</v>
      </c>
      <c r="K2744" s="195">
        <v>0</v>
      </c>
      <c r="L2744" s="195"/>
      <c r="M2744" s="195">
        <v>0</v>
      </c>
      <c r="N2744" s="195">
        <v>0</v>
      </c>
    </row>
    <row r="2745" spans="1:14" hidden="1" x14ac:dyDescent="0.35">
      <c r="A2745" s="52" t="s">
        <v>240</v>
      </c>
      <c r="B2745" s="52" t="s">
        <v>37</v>
      </c>
      <c r="C2745" s="52" t="s">
        <v>105</v>
      </c>
      <c r="D2745" s="52" t="s">
        <v>105</v>
      </c>
      <c r="E2745" s="52" t="s">
        <v>643</v>
      </c>
      <c r="F2745" s="52" t="s">
        <v>26</v>
      </c>
      <c r="G2745" s="195" t="s">
        <v>279</v>
      </c>
      <c r="H2745" s="195">
        <v>18.33905</v>
      </c>
      <c r="I2745" s="195">
        <v>4.9054419999999999</v>
      </c>
      <c r="J2745" s="195">
        <v>4.6333989999999998</v>
      </c>
      <c r="K2745" s="195">
        <v>4.1166539999999996</v>
      </c>
      <c r="L2745" s="195">
        <v>4.1043839999999996</v>
      </c>
      <c r="M2745" s="195">
        <v>3.7217039999999999</v>
      </c>
      <c r="N2745" s="195">
        <v>3.4038360000000001</v>
      </c>
    </row>
    <row r="2746" spans="1:14" hidden="1" x14ac:dyDescent="0.35">
      <c r="A2746" s="52" t="s">
        <v>240</v>
      </c>
      <c r="B2746" s="52" t="s">
        <v>37</v>
      </c>
      <c r="C2746" s="52" t="s">
        <v>241</v>
      </c>
      <c r="D2746" s="52" t="s">
        <v>241</v>
      </c>
      <c r="E2746" s="52" t="s">
        <v>620</v>
      </c>
      <c r="F2746" s="52" t="s">
        <v>581</v>
      </c>
      <c r="G2746" s="195" t="s">
        <v>275</v>
      </c>
      <c r="H2746" s="195">
        <v>1.525468</v>
      </c>
      <c r="I2746" s="195">
        <v>0.235233</v>
      </c>
      <c r="J2746" s="195">
        <v>0.4232842</v>
      </c>
      <c r="K2746" s="195">
        <v>6.8183949999999997E-3</v>
      </c>
      <c r="L2746" s="195">
        <v>-9.801E-2</v>
      </c>
      <c r="M2746" s="195">
        <v>-7.586242E-2</v>
      </c>
      <c r="N2746" s="195">
        <v>-6.8027790000000005E-2</v>
      </c>
    </row>
    <row r="2747" spans="1:14" hidden="1" x14ac:dyDescent="0.35">
      <c r="A2747" s="52" t="s">
        <v>240</v>
      </c>
      <c r="B2747" s="52" t="s">
        <v>37</v>
      </c>
      <c r="C2747" s="52" t="s">
        <v>241</v>
      </c>
      <c r="D2747" s="52" t="s">
        <v>241</v>
      </c>
      <c r="E2747" s="52" t="s">
        <v>620</v>
      </c>
      <c r="F2747" s="52" t="s">
        <v>581</v>
      </c>
      <c r="G2747" s="195" t="s">
        <v>276</v>
      </c>
      <c r="H2747" s="195">
        <v>0.36238100000000001</v>
      </c>
      <c r="I2747" s="195">
        <v>-5.15662E-2</v>
      </c>
      <c r="J2747" s="195">
        <v>-0.38568960000000002</v>
      </c>
      <c r="K2747" s="195">
        <v>2.3630000000000001E-3</v>
      </c>
      <c r="L2747" s="195">
        <v>-3.3971790000000002E-2</v>
      </c>
      <c r="M2747" s="195">
        <v>-2.6296E-2</v>
      </c>
      <c r="N2747" s="195">
        <v>-2.3580199999999999E-2</v>
      </c>
    </row>
    <row r="2748" spans="1:14" hidden="1" x14ac:dyDescent="0.35">
      <c r="A2748" s="52" t="s">
        <v>240</v>
      </c>
      <c r="B2748" s="52" t="s">
        <v>37</v>
      </c>
      <c r="C2748" s="52" t="s">
        <v>241</v>
      </c>
      <c r="D2748" s="52" t="s">
        <v>241</v>
      </c>
      <c r="E2748" s="52" t="s">
        <v>620</v>
      </c>
      <c r="F2748" s="52" t="s">
        <v>581</v>
      </c>
      <c r="G2748" s="195" t="s">
        <v>277</v>
      </c>
      <c r="H2748" s="195"/>
      <c r="I2748" s="195"/>
      <c r="J2748" s="195"/>
      <c r="K2748" s="195"/>
      <c r="L2748" s="195"/>
      <c r="M2748" s="195">
        <v>0</v>
      </c>
      <c r="N2748" s="195">
        <v>0</v>
      </c>
    </row>
    <row r="2749" spans="1:14" hidden="1" x14ac:dyDescent="0.35">
      <c r="A2749" s="52" t="s">
        <v>240</v>
      </c>
      <c r="B2749" s="52" t="s">
        <v>37</v>
      </c>
      <c r="C2749" s="52" t="s">
        <v>241</v>
      </c>
      <c r="D2749" s="52" t="s">
        <v>241</v>
      </c>
      <c r="E2749" s="52" t="s">
        <v>620</v>
      </c>
      <c r="F2749" s="52" t="s">
        <v>581</v>
      </c>
      <c r="G2749" s="195" t="s">
        <v>279</v>
      </c>
      <c r="H2749" s="195">
        <v>1.3296790000000001</v>
      </c>
      <c r="I2749" s="195">
        <v>1.413144</v>
      </c>
      <c r="J2749" s="195">
        <v>1.3690720000000001</v>
      </c>
      <c r="K2749" s="195">
        <v>1.3117190000000001</v>
      </c>
      <c r="L2749" s="195">
        <v>1.297928</v>
      </c>
      <c r="M2749" s="195">
        <v>1.148995</v>
      </c>
      <c r="N2749" s="195">
        <v>1.0444910000000001</v>
      </c>
    </row>
    <row r="2750" spans="1:14" hidden="1" x14ac:dyDescent="0.35">
      <c r="A2750" s="52" t="s">
        <v>240</v>
      </c>
      <c r="B2750" s="52" t="s">
        <v>37</v>
      </c>
      <c r="C2750" s="52" t="s">
        <v>241</v>
      </c>
      <c r="D2750" s="52" t="s">
        <v>241</v>
      </c>
      <c r="E2750" s="52" t="s">
        <v>620</v>
      </c>
      <c r="F2750" s="52" t="s">
        <v>26</v>
      </c>
      <c r="G2750" s="195" t="s">
        <v>275</v>
      </c>
      <c r="H2750" s="195">
        <v>-2.3153389999999998</v>
      </c>
      <c r="I2750" s="195">
        <v>-0.72036100000000003</v>
      </c>
      <c r="J2750" s="195">
        <v>-0.68282500000000002</v>
      </c>
      <c r="K2750" s="195">
        <v>-0.68195030000000001</v>
      </c>
      <c r="L2750" s="195">
        <v>-0.72197690000000003</v>
      </c>
      <c r="M2750" s="195">
        <v>-0.6369302</v>
      </c>
      <c r="N2750" s="195">
        <v>-0.57847579999999998</v>
      </c>
    </row>
    <row r="2751" spans="1:14" hidden="1" x14ac:dyDescent="0.35">
      <c r="A2751" s="52" t="s">
        <v>240</v>
      </c>
      <c r="B2751" s="52" t="s">
        <v>37</v>
      </c>
      <c r="C2751" s="52" t="s">
        <v>241</v>
      </c>
      <c r="D2751" s="52" t="s">
        <v>241</v>
      </c>
      <c r="E2751" s="52" t="s">
        <v>620</v>
      </c>
      <c r="F2751" s="52" t="s">
        <v>26</v>
      </c>
      <c r="G2751" s="195" t="s">
        <v>276</v>
      </c>
      <c r="H2751" s="195">
        <v>-0.80254289999999995</v>
      </c>
      <c r="I2751" s="195">
        <v>-0.24969179999999999</v>
      </c>
      <c r="J2751" s="195">
        <v>-0.236681</v>
      </c>
      <c r="K2751" s="195">
        <v>-0.23637820000000001</v>
      </c>
      <c r="L2751" s="195">
        <v>-0.25025160000000002</v>
      </c>
      <c r="M2751" s="195">
        <v>-0.22077260000000001</v>
      </c>
      <c r="N2751" s="195">
        <v>-0.200512</v>
      </c>
    </row>
    <row r="2752" spans="1:14" hidden="1" x14ac:dyDescent="0.35">
      <c r="A2752" s="52" t="s">
        <v>240</v>
      </c>
      <c r="B2752" s="52" t="s">
        <v>37</v>
      </c>
      <c r="C2752" s="52" t="s">
        <v>241</v>
      </c>
      <c r="D2752" s="52" t="s">
        <v>241</v>
      </c>
      <c r="E2752" s="52" t="s">
        <v>620</v>
      </c>
      <c r="F2752" s="52" t="s">
        <v>26</v>
      </c>
      <c r="G2752" s="195" t="s">
        <v>279</v>
      </c>
      <c r="H2752" s="195">
        <v>6.0649119999999996</v>
      </c>
      <c r="I2752" s="195">
        <v>1.6937770000000001</v>
      </c>
      <c r="J2752" s="195">
        <v>1.668728</v>
      </c>
      <c r="K2752" s="195">
        <v>1.620593</v>
      </c>
      <c r="L2752" s="195">
        <v>1.5906469999999999</v>
      </c>
      <c r="M2752" s="195">
        <v>1.4113500000000001</v>
      </c>
      <c r="N2752" s="195">
        <v>1.2829839999999999</v>
      </c>
    </row>
    <row r="2753" spans="1:14" hidden="1" x14ac:dyDescent="0.35">
      <c r="A2753" s="52" t="s">
        <v>240</v>
      </c>
      <c r="B2753" s="52" t="s">
        <v>37</v>
      </c>
      <c r="C2753" s="52" t="s">
        <v>35</v>
      </c>
      <c r="D2753" s="52" t="s">
        <v>36</v>
      </c>
      <c r="E2753" s="52" t="s">
        <v>644</v>
      </c>
      <c r="F2753" s="52" t="s">
        <v>581</v>
      </c>
      <c r="G2753" s="195" t="s">
        <v>275</v>
      </c>
      <c r="H2753" s="195">
        <v>2.2741090000000002</v>
      </c>
      <c r="I2753" s="195">
        <v>0.75923759999999996</v>
      </c>
      <c r="J2753" s="195">
        <v>0.85470120000000005</v>
      </c>
      <c r="K2753" s="195">
        <v>0.44514799999999999</v>
      </c>
      <c r="L2753" s="195">
        <v>0.1403006</v>
      </c>
      <c r="M2753" s="195">
        <v>0.13233919999999999</v>
      </c>
      <c r="N2753" s="195">
        <v>0.12173059999999999</v>
      </c>
    </row>
    <row r="2754" spans="1:14" hidden="1" x14ac:dyDescent="0.35">
      <c r="A2754" s="52" t="s">
        <v>240</v>
      </c>
      <c r="B2754" s="52" t="s">
        <v>37</v>
      </c>
      <c r="C2754" s="52" t="s">
        <v>35</v>
      </c>
      <c r="D2754" s="52" t="s">
        <v>36</v>
      </c>
      <c r="E2754" s="52" t="s">
        <v>644</v>
      </c>
      <c r="F2754" s="52" t="s">
        <v>581</v>
      </c>
      <c r="G2754" s="195" t="s">
        <v>276</v>
      </c>
      <c r="H2754" s="195">
        <v>-0.54446300000000003</v>
      </c>
      <c r="I2754" s="195">
        <v>-0.39589940000000001</v>
      </c>
      <c r="J2754" s="195">
        <v>-0.59805680000000006</v>
      </c>
      <c r="K2754" s="195">
        <v>-0.21936520000000001</v>
      </c>
      <c r="L2754" s="195">
        <v>3.7295200000000001E-2</v>
      </c>
      <c r="M2754" s="195">
        <v>3.5178399999999999E-2</v>
      </c>
      <c r="N2754" s="195">
        <v>3.2358400000000002E-2</v>
      </c>
    </row>
    <row r="2755" spans="1:14" hidden="1" x14ac:dyDescent="0.35">
      <c r="A2755" s="52" t="s">
        <v>240</v>
      </c>
      <c r="B2755" s="52" t="s">
        <v>37</v>
      </c>
      <c r="C2755" s="52" t="s">
        <v>35</v>
      </c>
      <c r="D2755" s="52" t="s">
        <v>36</v>
      </c>
      <c r="E2755" s="52" t="s">
        <v>644</v>
      </c>
      <c r="F2755" s="52" t="s">
        <v>581</v>
      </c>
      <c r="G2755" s="195" t="s">
        <v>277</v>
      </c>
      <c r="H2755" s="195">
        <v>0</v>
      </c>
      <c r="I2755" s="195"/>
      <c r="J2755" s="195"/>
      <c r="K2755" s="195"/>
      <c r="L2755" s="195">
        <v>0</v>
      </c>
      <c r="M2755" s="195">
        <v>0</v>
      </c>
      <c r="N2755" s="195">
        <v>0</v>
      </c>
    </row>
    <row r="2756" spans="1:14" hidden="1" x14ac:dyDescent="0.35">
      <c r="A2756" s="52" t="s">
        <v>240</v>
      </c>
      <c r="B2756" s="52" t="s">
        <v>37</v>
      </c>
      <c r="C2756" s="52" t="s">
        <v>35</v>
      </c>
      <c r="D2756" s="52" t="s">
        <v>36</v>
      </c>
      <c r="E2756" s="52" t="s">
        <v>644</v>
      </c>
      <c r="F2756" s="52" t="s">
        <v>581</v>
      </c>
      <c r="G2756" s="195" t="s">
        <v>279</v>
      </c>
      <c r="H2756" s="195">
        <v>0.56840199999999996</v>
      </c>
      <c r="I2756" s="195">
        <v>0.34888999999999998</v>
      </c>
      <c r="J2756" s="195">
        <v>0.29220459999999998</v>
      </c>
      <c r="K2756" s="195">
        <v>0.26940700000000001</v>
      </c>
      <c r="L2756" s="195">
        <v>0.26967799999999997</v>
      </c>
      <c r="M2756" s="195">
        <v>0.2375052</v>
      </c>
      <c r="N2756" s="195">
        <v>0.2106538</v>
      </c>
    </row>
    <row r="2757" spans="1:14" hidden="1" x14ac:dyDescent="0.35">
      <c r="A2757" s="52" t="s">
        <v>240</v>
      </c>
      <c r="B2757" s="52" t="s">
        <v>37</v>
      </c>
      <c r="C2757" s="52" t="s">
        <v>35</v>
      </c>
      <c r="D2757" s="52" t="s">
        <v>36</v>
      </c>
      <c r="E2757" s="52" t="s">
        <v>644</v>
      </c>
      <c r="F2757" s="52" t="s">
        <v>26</v>
      </c>
      <c r="G2757" s="195" t="s">
        <v>275</v>
      </c>
      <c r="H2757" s="195">
        <v>1.3365999999999999E-2</v>
      </c>
      <c r="I2757" s="195">
        <v>-6.985998E-4</v>
      </c>
      <c r="J2757" s="195">
        <v>2.3013999999999999E-3</v>
      </c>
      <c r="K2757" s="195">
        <v>-3.3139999999999998E-4</v>
      </c>
      <c r="L2757" s="195">
        <v>-6.4989999999999996E-3</v>
      </c>
      <c r="M2757" s="195">
        <v>-4.6201999999999997E-3</v>
      </c>
      <c r="N2757" s="195">
        <v>-3.4513999999999999E-3</v>
      </c>
    </row>
    <row r="2758" spans="1:14" hidden="1" x14ac:dyDescent="0.35">
      <c r="A2758" s="52" t="s">
        <v>240</v>
      </c>
      <c r="B2758" s="52" t="s">
        <v>37</v>
      </c>
      <c r="C2758" s="52" t="s">
        <v>35</v>
      </c>
      <c r="D2758" s="52" t="s">
        <v>36</v>
      </c>
      <c r="E2758" s="52" t="s">
        <v>644</v>
      </c>
      <c r="F2758" s="52" t="s">
        <v>26</v>
      </c>
      <c r="G2758" s="195" t="s">
        <v>276</v>
      </c>
      <c r="H2758" s="195">
        <v>3.5530000000000002E-3</v>
      </c>
      <c r="I2758" s="195">
        <v>-1.8579999999999999E-4</v>
      </c>
      <c r="J2758" s="195">
        <v>6.1220000000000003E-4</v>
      </c>
      <c r="K2758" s="195">
        <v>-8.8200000000000003E-5</v>
      </c>
      <c r="L2758" s="195">
        <v>-1.7274E-3</v>
      </c>
      <c r="M2758" s="195">
        <v>-1.2283999999999999E-3</v>
      </c>
      <c r="N2758" s="195">
        <v>-9.1819999999999998E-4</v>
      </c>
    </row>
    <row r="2759" spans="1:14" hidden="1" x14ac:dyDescent="0.35">
      <c r="A2759" s="52" t="s">
        <v>240</v>
      </c>
      <c r="B2759" s="52" t="s">
        <v>37</v>
      </c>
      <c r="C2759" s="52" t="s">
        <v>35</v>
      </c>
      <c r="D2759" s="52" t="s">
        <v>36</v>
      </c>
      <c r="E2759" s="52" t="s">
        <v>644</v>
      </c>
      <c r="F2759" s="52" t="s">
        <v>26</v>
      </c>
      <c r="G2759" s="195" t="s">
        <v>279</v>
      </c>
      <c r="H2759" s="195">
        <v>0.13978199999999999</v>
      </c>
      <c r="I2759" s="195">
        <v>0.1058162</v>
      </c>
      <c r="J2759" s="195">
        <v>9.1264010000000007E-2</v>
      </c>
      <c r="K2759" s="195">
        <v>8.52464E-2</v>
      </c>
      <c r="L2759" s="195">
        <v>8.4673200000000004E-2</v>
      </c>
      <c r="M2759" s="195">
        <v>7.4883199999999997E-2</v>
      </c>
      <c r="N2759" s="195">
        <v>6.6551600000000002E-2</v>
      </c>
    </row>
    <row r="2760" spans="1:14" hidden="1" x14ac:dyDescent="0.35">
      <c r="A2760" s="52" t="s">
        <v>222</v>
      </c>
      <c r="B2760" s="52" t="s">
        <v>37</v>
      </c>
      <c r="C2760" s="52" t="s">
        <v>51</v>
      </c>
      <c r="D2760" s="52" t="s">
        <v>51</v>
      </c>
      <c r="E2760" s="52" t="s">
        <v>602</v>
      </c>
      <c r="F2760" s="52" t="s">
        <v>581</v>
      </c>
      <c r="G2760" s="195" t="s">
        <v>275</v>
      </c>
      <c r="H2760" s="195">
        <v>70.80256</v>
      </c>
      <c r="I2760" s="195">
        <v>137.71549999999999</v>
      </c>
      <c r="J2760" s="195">
        <v>215.5368</v>
      </c>
      <c r="K2760" s="195">
        <v>193.0993</v>
      </c>
      <c r="L2760" s="195">
        <v>159.4846</v>
      </c>
      <c r="M2760" s="195">
        <v>71.867180000000005</v>
      </c>
      <c r="N2760" s="195">
        <v>48.018439999999998</v>
      </c>
    </row>
    <row r="2761" spans="1:14" hidden="1" x14ac:dyDescent="0.35">
      <c r="A2761" s="52" t="s">
        <v>222</v>
      </c>
      <c r="B2761" s="52" t="s">
        <v>37</v>
      </c>
      <c r="C2761" s="52" t="s">
        <v>51</v>
      </c>
      <c r="D2761" s="52" t="s">
        <v>51</v>
      </c>
      <c r="E2761" s="52" t="s">
        <v>602</v>
      </c>
      <c r="F2761" s="52" t="s">
        <v>581</v>
      </c>
      <c r="G2761" s="195" t="s">
        <v>276</v>
      </c>
      <c r="H2761" s="195">
        <v>81.531589999999994</v>
      </c>
      <c r="I2761" s="195">
        <v>-68.988889999999998</v>
      </c>
      <c r="J2761" s="195">
        <v>-84.874359999999996</v>
      </c>
      <c r="K2761" s="195">
        <v>-89.744029999999995</v>
      </c>
      <c r="L2761" s="195">
        <v>-104.09</v>
      </c>
      <c r="M2761" s="195">
        <v>-6.8230959999999996</v>
      </c>
      <c r="N2761" s="195">
        <v>7.707465</v>
      </c>
    </row>
    <row r="2762" spans="1:14" hidden="1" x14ac:dyDescent="0.35">
      <c r="A2762" s="52" t="s">
        <v>222</v>
      </c>
      <c r="B2762" s="52" t="s">
        <v>37</v>
      </c>
      <c r="C2762" s="52" t="s">
        <v>51</v>
      </c>
      <c r="D2762" s="52" t="s">
        <v>51</v>
      </c>
      <c r="E2762" s="52" t="s">
        <v>602</v>
      </c>
      <c r="F2762" s="52" t="s">
        <v>581</v>
      </c>
      <c r="G2762" s="195" t="s">
        <v>277</v>
      </c>
      <c r="H2762" s="195">
        <v>1217.4110000000001</v>
      </c>
      <c r="I2762" s="195">
        <v>172.1705</v>
      </c>
      <c r="J2762" s="195">
        <v>27.85755</v>
      </c>
      <c r="K2762" s="195">
        <v>13.34605</v>
      </c>
      <c r="L2762" s="195">
        <v>13.44666</v>
      </c>
      <c r="M2762" s="195">
        <v>0</v>
      </c>
      <c r="N2762" s="195">
        <v>0</v>
      </c>
    </row>
    <row r="2763" spans="1:14" hidden="1" x14ac:dyDescent="0.35">
      <c r="A2763" s="52" t="s">
        <v>222</v>
      </c>
      <c r="B2763" s="52" t="s">
        <v>37</v>
      </c>
      <c r="C2763" s="52" t="s">
        <v>51</v>
      </c>
      <c r="D2763" s="52" t="s">
        <v>51</v>
      </c>
      <c r="E2763" s="52" t="s">
        <v>602</v>
      </c>
      <c r="F2763" s="52" t="s">
        <v>581</v>
      </c>
      <c r="G2763" s="195" t="s">
        <v>278</v>
      </c>
      <c r="H2763" s="195">
        <v>91.075370000000007</v>
      </c>
      <c r="I2763" s="195">
        <v>43.877160000000003</v>
      </c>
      <c r="J2763" s="195">
        <v>8.1232570000000006</v>
      </c>
      <c r="K2763" s="195">
        <v>5.6088069999999997</v>
      </c>
      <c r="L2763" s="195">
        <v>4.8734849999999996</v>
      </c>
      <c r="M2763" s="195">
        <v>0</v>
      </c>
      <c r="N2763" s="195">
        <v>0</v>
      </c>
    </row>
    <row r="2764" spans="1:14" hidden="1" x14ac:dyDescent="0.35">
      <c r="A2764" s="52" t="s">
        <v>222</v>
      </c>
      <c r="B2764" s="52" t="s">
        <v>37</v>
      </c>
      <c r="C2764" s="52" t="s">
        <v>51</v>
      </c>
      <c r="D2764" s="52" t="s">
        <v>51</v>
      </c>
      <c r="E2764" s="52" t="s">
        <v>602</v>
      </c>
      <c r="F2764" s="52" t="s">
        <v>581</v>
      </c>
      <c r="G2764" s="195" t="s">
        <v>279</v>
      </c>
      <c r="H2764" s="195">
        <v>637.31230000000005</v>
      </c>
      <c r="I2764" s="195">
        <v>516.59910000000002</v>
      </c>
      <c r="J2764" s="195">
        <v>393.59559999999999</v>
      </c>
      <c r="K2764" s="195">
        <v>305.91789999999997</v>
      </c>
      <c r="L2764" s="195">
        <v>289.79700000000003</v>
      </c>
      <c r="M2764" s="195">
        <v>240.34960000000001</v>
      </c>
      <c r="N2764" s="195">
        <v>204.7363</v>
      </c>
    </row>
    <row r="2765" spans="1:14" hidden="1" x14ac:dyDescent="0.35">
      <c r="A2765" s="52" t="s">
        <v>222</v>
      </c>
      <c r="B2765" s="52" t="s">
        <v>37</v>
      </c>
      <c r="C2765" s="52" t="s">
        <v>51</v>
      </c>
      <c r="D2765" s="52" t="s">
        <v>51</v>
      </c>
      <c r="E2765" s="52" t="s">
        <v>602</v>
      </c>
      <c r="F2765" s="52" t="s">
        <v>26</v>
      </c>
      <c r="G2765" s="195" t="s">
        <v>275</v>
      </c>
      <c r="H2765" s="195">
        <v>9.4551020000000001</v>
      </c>
      <c r="I2765" s="195">
        <v>0.65407740000000003</v>
      </c>
      <c r="J2765" s="195">
        <v>2.914641</v>
      </c>
      <c r="K2765" s="195">
        <v>1.0057309999999999</v>
      </c>
      <c r="L2765" s="195">
        <v>-2.6179489999999999</v>
      </c>
      <c r="M2765" s="195">
        <v>-1.9531149999999999</v>
      </c>
      <c r="N2765" s="195">
        <v>-1.638126</v>
      </c>
    </row>
    <row r="2766" spans="1:14" hidden="1" x14ac:dyDescent="0.35">
      <c r="A2766" s="52" t="s">
        <v>222</v>
      </c>
      <c r="B2766" s="52" t="s">
        <v>37</v>
      </c>
      <c r="C2766" s="52" t="s">
        <v>51</v>
      </c>
      <c r="D2766" s="52" t="s">
        <v>51</v>
      </c>
      <c r="E2766" s="52" t="s">
        <v>602</v>
      </c>
      <c r="F2766" s="52" t="s">
        <v>26</v>
      </c>
      <c r="G2766" s="195" t="s">
        <v>276</v>
      </c>
      <c r="H2766" s="195">
        <v>2.5133429999999999</v>
      </c>
      <c r="I2766" s="195">
        <v>0.17388200000000001</v>
      </c>
      <c r="J2766" s="195">
        <v>0.77476739999999999</v>
      </c>
      <c r="K2766" s="195">
        <v>0.26735619999999999</v>
      </c>
      <c r="L2766" s="195">
        <v>-0.69591219999999998</v>
      </c>
      <c r="M2766" s="195">
        <v>-0.51918039999999999</v>
      </c>
      <c r="N2766" s="195">
        <v>-0.43545499999999998</v>
      </c>
    </row>
    <row r="2767" spans="1:14" hidden="1" x14ac:dyDescent="0.35">
      <c r="A2767" s="52" t="s">
        <v>222</v>
      </c>
      <c r="B2767" s="52" t="s">
        <v>37</v>
      </c>
      <c r="C2767" s="52" t="s">
        <v>51</v>
      </c>
      <c r="D2767" s="52" t="s">
        <v>51</v>
      </c>
      <c r="E2767" s="52" t="s">
        <v>602</v>
      </c>
      <c r="F2767" s="52" t="s">
        <v>26</v>
      </c>
      <c r="G2767" s="195" t="s">
        <v>279</v>
      </c>
      <c r="H2767" s="195">
        <v>83.189769999999996</v>
      </c>
      <c r="I2767" s="195">
        <v>76.350530000000006</v>
      </c>
      <c r="J2767" s="195">
        <v>59.67848</v>
      </c>
      <c r="K2767" s="195">
        <v>46.96472</v>
      </c>
      <c r="L2767" s="195">
        <v>43.95505</v>
      </c>
      <c r="M2767" s="195">
        <v>36.541499999999999</v>
      </c>
      <c r="N2767" s="195">
        <v>31.149719999999999</v>
      </c>
    </row>
    <row r="2768" spans="1:14" hidden="1" x14ac:dyDescent="0.35">
      <c r="A2768" s="52" t="s">
        <v>222</v>
      </c>
      <c r="B2768" s="52" t="s">
        <v>37</v>
      </c>
      <c r="C2768" s="52" t="s">
        <v>51</v>
      </c>
      <c r="D2768" s="52" t="s">
        <v>51</v>
      </c>
      <c r="E2768" s="52" t="s">
        <v>584</v>
      </c>
      <c r="F2768" s="52" t="s">
        <v>581</v>
      </c>
      <c r="G2768" s="195" t="s">
        <v>275</v>
      </c>
      <c r="H2768" s="195">
        <v>1.9499089999999999</v>
      </c>
      <c r="I2768" s="195">
        <v>0.76948859999999997</v>
      </c>
      <c r="J2768" s="195">
        <v>-10.17263</v>
      </c>
      <c r="K2768" s="195">
        <v>0.67974000000000001</v>
      </c>
      <c r="L2768" s="195"/>
      <c r="M2768" s="195">
        <v>0</v>
      </c>
      <c r="N2768" s="195"/>
    </row>
    <row r="2769" spans="1:14" hidden="1" x14ac:dyDescent="0.35">
      <c r="A2769" s="52" t="s">
        <v>222</v>
      </c>
      <c r="B2769" s="52" t="s">
        <v>37</v>
      </c>
      <c r="C2769" s="52" t="s">
        <v>51</v>
      </c>
      <c r="D2769" s="52" t="s">
        <v>51</v>
      </c>
      <c r="E2769" s="52" t="s">
        <v>584</v>
      </c>
      <c r="F2769" s="52" t="s">
        <v>581</v>
      </c>
      <c r="G2769" s="195" t="s">
        <v>276</v>
      </c>
      <c r="H2769" s="195">
        <v>-0.58203000000000005</v>
      </c>
      <c r="I2769" s="195">
        <v>-1.215252</v>
      </c>
      <c r="J2769" s="195">
        <v>-3.792942</v>
      </c>
      <c r="K2769" s="195">
        <v>-0.67974000000000001</v>
      </c>
      <c r="L2769" s="195"/>
      <c r="M2769" s="195"/>
      <c r="N2769" s="195"/>
    </row>
    <row r="2770" spans="1:14" hidden="1" x14ac:dyDescent="0.35">
      <c r="A2770" s="52" t="s">
        <v>222</v>
      </c>
      <c r="B2770" s="52" t="s">
        <v>37</v>
      </c>
      <c r="C2770" s="52" t="s">
        <v>51</v>
      </c>
      <c r="D2770" s="52" t="s">
        <v>51</v>
      </c>
      <c r="E2770" s="52" t="s">
        <v>584</v>
      </c>
      <c r="F2770" s="52" t="s">
        <v>581</v>
      </c>
      <c r="G2770" s="195" t="s">
        <v>277</v>
      </c>
      <c r="H2770" s="195"/>
      <c r="I2770" s="195"/>
      <c r="J2770" s="195"/>
      <c r="K2770" s="195"/>
      <c r="L2770" s="195"/>
      <c r="M2770" s="195"/>
      <c r="N2770" s="195"/>
    </row>
    <row r="2771" spans="1:14" hidden="1" x14ac:dyDescent="0.35">
      <c r="A2771" s="52" t="s">
        <v>222</v>
      </c>
      <c r="B2771" s="52" t="s">
        <v>37</v>
      </c>
      <c r="C2771" s="52" t="s">
        <v>51</v>
      </c>
      <c r="D2771" s="52" t="s">
        <v>51</v>
      </c>
      <c r="E2771" s="52" t="s">
        <v>584</v>
      </c>
      <c r="F2771" s="52" t="s">
        <v>581</v>
      </c>
      <c r="G2771" s="195" t="s">
        <v>279</v>
      </c>
      <c r="H2771" s="195">
        <v>2.2472120000000002</v>
      </c>
      <c r="I2771" s="195">
        <v>1.647546</v>
      </c>
      <c r="J2771" s="195">
        <v>13.96557</v>
      </c>
      <c r="K2771" s="195">
        <v>0</v>
      </c>
      <c r="L2771" s="195"/>
      <c r="M2771" s="195"/>
      <c r="N2771" s="195"/>
    </row>
    <row r="2772" spans="1:14" hidden="1" x14ac:dyDescent="0.35">
      <c r="A2772" s="52" t="s">
        <v>222</v>
      </c>
      <c r="B2772" s="52" t="s">
        <v>37</v>
      </c>
      <c r="C2772" s="52" t="s">
        <v>51</v>
      </c>
      <c r="D2772" s="52" t="s">
        <v>51</v>
      </c>
      <c r="E2772" s="52" t="s">
        <v>584</v>
      </c>
      <c r="F2772" s="52" t="s">
        <v>26</v>
      </c>
      <c r="G2772" s="195" t="s">
        <v>275</v>
      </c>
      <c r="H2772" s="195">
        <v>-3.140361</v>
      </c>
      <c r="I2772" s="195">
        <v>-6.8018800000000004E-2</v>
      </c>
      <c r="J2772" s="195">
        <v>-6.8995860000000002</v>
      </c>
      <c r="K2772" s="195"/>
      <c r="L2772" s="195"/>
      <c r="M2772" s="195">
        <v>0</v>
      </c>
      <c r="N2772" s="195"/>
    </row>
    <row r="2773" spans="1:14" hidden="1" x14ac:dyDescent="0.35">
      <c r="A2773" s="52" t="s">
        <v>222</v>
      </c>
      <c r="B2773" s="52" t="s">
        <v>37</v>
      </c>
      <c r="C2773" s="52" t="s">
        <v>51</v>
      </c>
      <c r="D2773" s="52" t="s">
        <v>51</v>
      </c>
      <c r="E2773" s="52" t="s">
        <v>584</v>
      </c>
      <c r="F2773" s="52" t="s">
        <v>26</v>
      </c>
      <c r="G2773" s="195" t="s">
        <v>276</v>
      </c>
      <c r="H2773" s="195">
        <v>-0.40276299999999998</v>
      </c>
      <c r="I2773" s="195">
        <v>-1.8081E-2</v>
      </c>
      <c r="J2773" s="195">
        <v>-1.8340669999999999</v>
      </c>
      <c r="K2773" s="195"/>
      <c r="L2773" s="195"/>
      <c r="M2773" s="195"/>
      <c r="N2773" s="195"/>
    </row>
    <row r="2774" spans="1:14" hidden="1" x14ac:dyDescent="0.35">
      <c r="A2774" s="52" t="s">
        <v>222</v>
      </c>
      <c r="B2774" s="52" t="s">
        <v>37</v>
      </c>
      <c r="C2774" s="52" t="s">
        <v>51</v>
      </c>
      <c r="D2774" s="52" t="s">
        <v>51</v>
      </c>
      <c r="E2774" s="52" t="s">
        <v>584</v>
      </c>
      <c r="F2774" s="52" t="s">
        <v>26</v>
      </c>
      <c r="G2774" s="195" t="s">
        <v>277</v>
      </c>
      <c r="H2774" s="195">
        <v>3.5138199999999999</v>
      </c>
      <c r="I2774" s="195"/>
      <c r="J2774" s="195"/>
      <c r="K2774" s="195"/>
      <c r="L2774" s="195"/>
      <c r="M2774" s="195"/>
      <c r="N2774" s="195"/>
    </row>
    <row r="2775" spans="1:14" hidden="1" x14ac:dyDescent="0.35">
      <c r="A2775" s="52" t="s">
        <v>222</v>
      </c>
      <c r="B2775" s="52" t="s">
        <v>37</v>
      </c>
      <c r="C2775" s="52" t="s">
        <v>51</v>
      </c>
      <c r="D2775" s="52" t="s">
        <v>51</v>
      </c>
      <c r="E2775" s="52" t="s">
        <v>584</v>
      </c>
      <c r="F2775" s="52" t="s">
        <v>26</v>
      </c>
      <c r="G2775" s="195" t="s">
        <v>279</v>
      </c>
      <c r="H2775" s="195">
        <v>0.69402299999999995</v>
      </c>
      <c r="I2775" s="195">
        <v>0.59491260000000001</v>
      </c>
      <c r="J2775" s="195">
        <v>8.7336530000000003</v>
      </c>
      <c r="K2775" s="195">
        <v>0</v>
      </c>
      <c r="L2775" s="195"/>
      <c r="M2775" s="195"/>
      <c r="N2775" s="195"/>
    </row>
    <row r="2776" spans="1:14" hidden="1" x14ac:dyDescent="0.35">
      <c r="A2776" s="52" t="s">
        <v>222</v>
      </c>
      <c r="B2776" s="52" t="s">
        <v>37</v>
      </c>
      <c r="C2776" s="52" t="s">
        <v>61</v>
      </c>
      <c r="D2776" s="52" t="s">
        <v>62</v>
      </c>
      <c r="E2776" s="52" t="s">
        <v>584</v>
      </c>
      <c r="F2776" s="52" t="s">
        <v>581</v>
      </c>
      <c r="G2776" s="195" t="s">
        <v>275</v>
      </c>
      <c r="H2776" s="195">
        <v>390.64940000000001</v>
      </c>
      <c r="I2776" s="195">
        <v>128.9624</v>
      </c>
      <c r="J2776" s="195">
        <v>176.65190000000001</v>
      </c>
      <c r="K2776" s="195">
        <v>123.9735</v>
      </c>
      <c r="L2776" s="195">
        <v>88.631079999999997</v>
      </c>
      <c r="M2776" s="195">
        <v>60.4664</v>
      </c>
      <c r="N2776" s="195">
        <v>29.31127</v>
      </c>
    </row>
    <row r="2777" spans="1:14" hidden="1" x14ac:dyDescent="0.35">
      <c r="A2777" s="52" t="s">
        <v>222</v>
      </c>
      <c r="B2777" s="52" t="s">
        <v>37</v>
      </c>
      <c r="C2777" s="52" t="s">
        <v>61</v>
      </c>
      <c r="D2777" s="52" t="s">
        <v>62</v>
      </c>
      <c r="E2777" s="52" t="s">
        <v>584</v>
      </c>
      <c r="F2777" s="52" t="s">
        <v>581</v>
      </c>
      <c r="G2777" s="195" t="s">
        <v>276</v>
      </c>
      <c r="H2777" s="195">
        <v>65.507130000000004</v>
      </c>
      <c r="I2777" s="195">
        <v>-55.831099999999999</v>
      </c>
      <c r="J2777" s="195">
        <v>-168.5043</v>
      </c>
      <c r="K2777" s="195">
        <v>-119.1497</v>
      </c>
      <c r="L2777" s="195">
        <v>-148.01820000000001</v>
      </c>
      <c r="M2777" s="195">
        <v>-110.7531</v>
      </c>
      <c r="N2777" s="195">
        <v>-53.125059999999998</v>
      </c>
    </row>
    <row r="2778" spans="1:14" hidden="1" x14ac:dyDescent="0.35">
      <c r="A2778" s="52" t="s">
        <v>222</v>
      </c>
      <c r="B2778" s="52" t="s">
        <v>37</v>
      </c>
      <c r="C2778" s="52" t="s">
        <v>61</v>
      </c>
      <c r="D2778" s="52" t="s">
        <v>62</v>
      </c>
      <c r="E2778" s="52" t="s">
        <v>584</v>
      </c>
      <c r="F2778" s="52" t="s">
        <v>581</v>
      </c>
      <c r="G2778" s="195" t="s">
        <v>277</v>
      </c>
      <c r="H2778" s="195">
        <v>292.73820000000001</v>
      </c>
      <c r="I2778" s="195">
        <v>118.4687</v>
      </c>
      <c r="J2778" s="195">
        <v>61.979579999999999</v>
      </c>
      <c r="K2778" s="195">
        <v>59.55424</v>
      </c>
      <c r="L2778" s="195">
        <v>65.772369999999995</v>
      </c>
      <c r="M2778" s="195">
        <v>52.953470000000003</v>
      </c>
      <c r="N2778" s="195">
        <v>54.729550000000003</v>
      </c>
    </row>
    <row r="2779" spans="1:14" hidden="1" x14ac:dyDescent="0.35">
      <c r="A2779" s="52" t="s">
        <v>222</v>
      </c>
      <c r="B2779" s="52" t="s">
        <v>37</v>
      </c>
      <c r="C2779" s="52" t="s">
        <v>61</v>
      </c>
      <c r="D2779" s="52" t="s">
        <v>62</v>
      </c>
      <c r="E2779" s="52" t="s">
        <v>584</v>
      </c>
      <c r="F2779" s="52" t="s">
        <v>581</v>
      </c>
      <c r="G2779" s="195" t="s">
        <v>278</v>
      </c>
      <c r="H2779" s="195">
        <v>56.116100000000003</v>
      </c>
      <c r="I2779" s="195">
        <v>62.434310000000004</v>
      </c>
      <c r="J2779" s="195">
        <v>124.98139999999999</v>
      </c>
      <c r="K2779" s="195">
        <v>104.3677</v>
      </c>
      <c r="L2779" s="195">
        <v>137.4931</v>
      </c>
      <c r="M2779" s="195">
        <v>115.71259999999999</v>
      </c>
      <c r="N2779" s="195">
        <v>55.993389999999998</v>
      </c>
    </row>
    <row r="2780" spans="1:14" hidden="1" x14ac:dyDescent="0.35">
      <c r="A2780" s="52" t="s">
        <v>222</v>
      </c>
      <c r="B2780" s="52" t="s">
        <v>37</v>
      </c>
      <c r="C2780" s="52" t="s">
        <v>61</v>
      </c>
      <c r="D2780" s="52" t="s">
        <v>62</v>
      </c>
      <c r="E2780" s="52" t="s">
        <v>584</v>
      </c>
      <c r="F2780" s="52" t="s">
        <v>581</v>
      </c>
      <c r="G2780" s="195" t="s">
        <v>279</v>
      </c>
      <c r="H2780" s="195">
        <v>185.89330000000001</v>
      </c>
      <c r="I2780" s="195">
        <v>188.6198</v>
      </c>
      <c r="J2780" s="195">
        <v>194.7638</v>
      </c>
      <c r="K2780" s="195">
        <v>202.7073</v>
      </c>
      <c r="L2780" s="195">
        <v>192.9161</v>
      </c>
      <c r="M2780" s="195">
        <v>185.20359999999999</v>
      </c>
      <c r="N2780" s="195">
        <v>174.91820000000001</v>
      </c>
    </row>
    <row r="2781" spans="1:14" hidden="1" x14ac:dyDescent="0.35">
      <c r="A2781" s="52" t="s">
        <v>222</v>
      </c>
      <c r="B2781" s="52" t="s">
        <v>37</v>
      </c>
      <c r="C2781" s="52" t="s">
        <v>61</v>
      </c>
      <c r="D2781" s="52" t="s">
        <v>62</v>
      </c>
      <c r="E2781" s="52" t="s">
        <v>584</v>
      </c>
      <c r="F2781" s="52" t="s">
        <v>26</v>
      </c>
      <c r="G2781" s="195" t="s">
        <v>275</v>
      </c>
      <c r="H2781" s="195">
        <v>20.786239999999999</v>
      </c>
      <c r="I2781" s="195">
        <v>9.4080279999999998</v>
      </c>
      <c r="J2781" s="195">
        <v>9.8069780000000009</v>
      </c>
      <c r="K2781" s="195">
        <v>6.4347029999999998</v>
      </c>
      <c r="L2781" s="195">
        <v>5.4318</v>
      </c>
      <c r="M2781" s="195">
        <v>3.5319440000000002</v>
      </c>
      <c r="N2781" s="195">
        <v>2.8227669999999998</v>
      </c>
    </row>
    <row r="2782" spans="1:14" hidden="1" x14ac:dyDescent="0.35">
      <c r="A2782" s="52" t="s">
        <v>222</v>
      </c>
      <c r="B2782" s="52" t="s">
        <v>37</v>
      </c>
      <c r="C2782" s="52" t="s">
        <v>61</v>
      </c>
      <c r="D2782" s="52" t="s">
        <v>62</v>
      </c>
      <c r="E2782" s="52" t="s">
        <v>584</v>
      </c>
      <c r="F2782" s="52" t="s">
        <v>26</v>
      </c>
      <c r="G2782" s="195" t="s">
        <v>276</v>
      </c>
      <c r="H2782" s="195">
        <v>4.1967939999999997</v>
      </c>
      <c r="I2782" s="195">
        <v>1.288789</v>
      </c>
      <c r="J2782" s="195">
        <v>0.95451370000000002</v>
      </c>
      <c r="K2782" s="195">
        <v>0.71058849999999996</v>
      </c>
      <c r="L2782" s="195">
        <v>0.91245109999999996</v>
      </c>
      <c r="M2782" s="195">
        <v>0.52299059999999997</v>
      </c>
      <c r="N2782" s="195">
        <v>0.65160169999999995</v>
      </c>
    </row>
    <row r="2783" spans="1:14" hidden="1" x14ac:dyDescent="0.35">
      <c r="A2783" s="52" t="s">
        <v>222</v>
      </c>
      <c r="B2783" s="52" t="s">
        <v>37</v>
      </c>
      <c r="C2783" s="52" t="s">
        <v>61</v>
      </c>
      <c r="D2783" s="52" t="s">
        <v>62</v>
      </c>
      <c r="E2783" s="52" t="s">
        <v>584</v>
      </c>
      <c r="F2783" s="52" t="s">
        <v>26</v>
      </c>
      <c r="G2783" s="195" t="s">
        <v>277</v>
      </c>
      <c r="H2783" s="195">
        <v>4.18588</v>
      </c>
      <c r="I2783" s="195">
        <v>3.5870299999999999</v>
      </c>
      <c r="J2783" s="195">
        <v>0.91969939999999994</v>
      </c>
      <c r="K2783" s="195">
        <v>0.49308809999999997</v>
      </c>
      <c r="L2783" s="195">
        <v>0.34902850000000002</v>
      </c>
      <c r="M2783" s="195">
        <v>0.14735999999999999</v>
      </c>
      <c r="N2783" s="195">
        <v>0.15493999999999999</v>
      </c>
    </row>
    <row r="2784" spans="1:14" hidden="1" x14ac:dyDescent="0.35">
      <c r="A2784" s="52" t="s">
        <v>222</v>
      </c>
      <c r="B2784" s="52" t="s">
        <v>37</v>
      </c>
      <c r="C2784" s="52" t="s">
        <v>61</v>
      </c>
      <c r="D2784" s="52" t="s">
        <v>62</v>
      </c>
      <c r="E2784" s="52" t="s">
        <v>584</v>
      </c>
      <c r="F2784" s="52" t="s">
        <v>26</v>
      </c>
      <c r="G2784" s="195" t="s">
        <v>278</v>
      </c>
      <c r="H2784" s="195"/>
      <c r="I2784" s="195"/>
      <c r="J2784" s="195">
        <v>0</v>
      </c>
      <c r="K2784" s="195">
        <v>0</v>
      </c>
      <c r="L2784" s="195">
        <v>0</v>
      </c>
      <c r="M2784" s="195">
        <v>0</v>
      </c>
      <c r="N2784" s="195">
        <v>0</v>
      </c>
    </row>
    <row r="2785" spans="1:14" hidden="1" x14ac:dyDescent="0.35">
      <c r="A2785" s="52" t="s">
        <v>222</v>
      </c>
      <c r="B2785" s="52" t="s">
        <v>37</v>
      </c>
      <c r="C2785" s="52" t="s">
        <v>61</v>
      </c>
      <c r="D2785" s="52" t="s">
        <v>62</v>
      </c>
      <c r="E2785" s="52" t="s">
        <v>584</v>
      </c>
      <c r="F2785" s="52" t="s">
        <v>26</v>
      </c>
      <c r="G2785" s="195" t="s">
        <v>279</v>
      </c>
      <c r="H2785" s="195">
        <v>37.345649999999999</v>
      </c>
      <c r="I2785" s="195">
        <v>34.57864</v>
      </c>
      <c r="J2785" s="195">
        <v>33.356720000000003</v>
      </c>
      <c r="K2785" s="195">
        <v>32.232709999999997</v>
      </c>
      <c r="L2785" s="195">
        <v>28.52788</v>
      </c>
      <c r="M2785" s="195">
        <v>26.10989</v>
      </c>
      <c r="N2785" s="195">
        <v>21.14066</v>
      </c>
    </row>
    <row r="2786" spans="1:14" hidden="1" x14ac:dyDescent="0.35">
      <c r="A2786" s="52" t="s">
        <v>222</v>
      </c>
      <c r="B2786" s="52" t="s">
        <v>37</v>
      </c>
      <c r="C2786" s="52" t="s">
        <v>109</v>
      </c>
      <c r="D2786" s="52" t="s">
        <v>109</v>
      </c>
      <c r="E2786" s="52" t="s">
        <v>584</v>
      </c>
      <c r="F2786" s="52" t="s">
        <v>581</v>
      </c>
      <c r="G2786" s="195" t="s">
        <v>275</v>
      </c>
      <c r="H2786" s="195">
        <v>-0.91458110000000004</v>
      </c>
      <c r="I2786" s="195">
        <v>-0.41817860000000001</v>
      </c>
      <c r="J2786" s="195">
        <v>-3.4696949999999997E-2</v>
      </c>
      <c r="K2786" s="195">
        <v>-4.1044450000000003E-2</v>
      </c>
      <c r="L2786" s="195">
        <v>-4.2610950000000002E-2</v>
      </c>
      <c r="M2786" s="195">
        <v>0</v>
      </c>
      <c r="N2786" s="195">
        <v>-0.1233971</v>
      </c>
    </row>
    <row r="2787" spans="1:14" hidden="1" x14ac:dyDescent="0.35">
      <c r="A2787" s="52" t="s">
        <v>222</v>
      </c>
      <c r="B2787" s="52" t="s">
        <v>37</v>
      </c>
      <c r="C2787" s="52" t="s">
        <v>109</v>
      </c>
      <c r="D2787" s="52" t="s">
        <v>109</v>
      </c>
      <c r="E2787" s="52" t="s">
        <v>584</v>
      </c>
      <c r="F2787" s="52" t="s">
        <v>581</v>
      </c>
      <c r="G2787" s="195" t="s">
        <v>276</v>
      </c>
      <c r="H2787" s="195">
        <v>0.51563170000000003</v>
      </c>
      <c r="I2787" s="195">
        <v>-4.278655E-2</v>
      </c>
      <c r="J2787" s="195">
        <v>-87.799499999999995</v>
      </c>
      <c r="K2787" s="195">
        <v>-59.767000000000003</v>
      </c>
      <c r="L2787" s="195">
        <v>-1.334409</v>
      </c>
      <c r="M2787" s="195">
        <v>-19.55639</v>
      </c>
      <c r="N2787" s="195">
        <v>-32.718179999999997</v>
      </c>
    </row>
    <row r="2788" spans="1:14" hidden="1" x14ac:dyDescent="0.35">
      <c r="A2788" s="52" t="s">
        <v>222</v>
      </c>
      <c r="B2788" s="52" t="s">
        <v>37</v>
      </c>
      <c r="C2788" s="52" t="s">
        <v>109</v>
      </c>
      <c r="D2788" s="52" t="s">
        <v>109</v>
      </c>
      <c r="E2788" s="52" t="s">
        <v>584</v>
      </c>
      <c r="F2788" s="52" t="s">
        <v>581</v>
      </c>
      <c r="G2788" s="195" t="s">
        <v>277</v>
      </c>
      <c r="H2788" s="195"/>
      <c r="I2788" s="195">
        <v>0</v>
      </c>
      <c r="J2788" s="195">
        <v>0.25</v>
      </c>
      <c r="K2788" s="195">
        <v>0.64571199999999995</v>
      </c>
      <c r="L2788" s="195">
        <v>0.89571199999999995</v>
      </c>
      <c r="M2788" s="195">
        <v>0.64571199999999995</v>
      </c>
      <c r="N2788" s="195">
        <v>0.14571200000000001</v>
      </c>
    </row>
    <row r="2789" spans="1:14" hidden="1" x14ac:dyDescent="0.35">
      <c r="A2789" s="52" t="s">
        <v>222</v>
      </c>
      <c r="B2789" s="52" t="s">
        <v>37</v>
      </c>
      <c r="C2789" s="52" t="s">
        <v>109</v>
      </c>
      <c r="D2789" s="52" t="s">
        <v>109</v>
      </c>
      <c r="E2789" s="52" t="s">
        <v>584</v>
      </c>
      <c r="F2789" s="52" t="s">
        <v>581</v>
      </c>
      <c r="G2789" s="195" t="s">
        <v>278</v>
      </c>
      <c r="H2789" s="195">
        <v>0.42676999999999998</v>
      </c>
      <c r="I2789" s="195">
        <v>0.42676999999999998</v>
      </c>
      <c r="J2789" s="195">
        <v>87.539169999999999</v>
      </c>
      <c r="K2789" s="195">
        <v>59.109630000000003</v>
      </c>
      <c r="L2789" s="195">
        <v>0.42676999999999998</v>
      </c>
      <c r="M2789" s="195">
        <v>18.910679999999999</v>
      </c>
      <c r="N2789" s="195">
        <v>32.539670000000001</v>
      </c>
    </row>
    <row r="2790" spans="1:14" hidden="1" x14ac:dyDescent="0.35">
      <c r="A2790" s="52" t="s">
        <v>222</v>
      </c>
      <c r="B2790" s="52" t="s">
        <v>37</v>
      </c>
      <c r="C2790" s="52" t="s">
        <v>109</v>
      </c>
      <c r="D2790" s="52" t="s">
        <v>109</v>
      </c>
      <c r="E2790" s="52" t="s">
        <v>584</v>
      </c>
      <c r="F2790" s="52" t="s">
        <v>581</v>
      </c>
      <c r="G2790" s="195" t="s">
        <v>279</v>
      </c>
      <c r="H2790" s="195">
        <v>0.12065149999999999</v>
      </c>
      <c r="I2790" s="195">
        <v>0.33426359999999999</v>
      </c>
      <c r="J2790" s="195">
        <v>9.514715E-2</v>
      </c>
      <c r="K2790" s="195">
        <v>0.1030581</v>
      </c>
      <c r="L2790" s="195">
        <v>0.1051335</v>
      </c>
      <c r="M2790" s="195">
        <v>0</v>
      </c>
      <c r="N2790" s="195">
        <v>0.1561987</v>
      </c>
    </row>
    <row r="2791" spans="1:14" hidden="1" x14ac:dyDescent="0.35">
      <c r="A2791" s="52" t="s">
        <v>222</v>
      </c>
      <c r="B2791" s="52" t="s">
        <v>37</v>
      </c>
      <c r="C2791" s="52" t="s">
        <v>109</v>
      </c>
      <c r="D2791" s="52" t="s">
        <v>109</v>
      </c>
      <c r="E2791" s="52" t="s">
        <v>584</v>
      </c>
      <c r="F2791" s="52" t="s">
        <v>26</v>
      </c>
      <c r="G2791" s="195" t="s">
        <v>275</v>
      </c>
      <c r="H2791" s="195">
        <v>0</v>
      </c>
      <c r="I2791" s="195"/>
      <c r="J2791" s="195"/>
      <c r="K2791" s="195"/>
      <c r="L2791" s="195"/>
      <c r="M2791" s="195">
        <v>0</v>
      </c>
      <c r="N2791" s="195">
        <v>-2.717955E-2</v>
      </c>
    </row>
    <row r="2792" spans="1:14" hidden="1" x14ac:dyDescent="0.35">
      <c r="A2792" s="52" t="s">
        <v>222</v>
      </c>
      <c r="B2792" s="52" t="s">
        <v>37</v>
      </c>
      <c r="C2792" s="52" t="s">
        <v>109</v>
      </c>
      <c r="D2792" s="52" t="s">
        <v>109</v>
      </c>
      <c r="E2792" s="52" t="s">
        <v>584</v>
      </c>
      <c r="F2792" s="52" t="s">
        <v>26</v>
      </c>
      <c r="G2792" s="195" t="s">
        <v>276</v>
      </c>
      <c r="H2792" s="195">
        <v>0</v>
      </c>
      <c r="I2792" s="195"/>
      <c r="J2792" s="195"/>
      <c r="K2792" s="195"/>
      <c r="L2792" s="195"/>
      <c r="M2792" s="195">
        <v>0</v>
      </c>
      <c r="N2792" s="195">
        <v>-7.2249499999999999E-3</v>
      </c>
    </row>
    <row r="2793" spans="1:14" hidden="1" x14ac:dyDescent="0.35">
      <c r="A2793" s="52" t="s">
        <v>222</v>
      </c>
      <c r="B2793" s="52" t="s">
        <v>37</v>
      </c>
      <c r="C2793" s="52" t="s">
        <v>109</v>
      </c>
      <c r="D2793" s="52" t="s">
        <v>109</v>
      </c>
      <c r="E2793" s="52" t="s">
        <v>584</v>
      </c>
      <c r="F2793" s="52" t="s">
        <v>26</v>
      </c>
      <c r="G2793" s="195" t="s">
        <v>279</v>
      </c>
      <c r="H2793" s="195">
        <v>0</v>
      </c>
      <c r="I2793" s="195">
        <v>5.8360849999999999E-2</v>
      </c>
      <c r="J2793" s="195">
        <v>0</v>
      </c>
      <c r="K2793" s="195"/>
      <c r="L2793" s="195"/>
      <c r="M2793" s="195">
        <v>0</v>
      </c>
      <c r="N2793" s="195">
        <v>3.440435E-2</v>
      </c>
    </row>
    <row r="2794" spans="1:14" hidden="1" x14ac:dyDescent="0.35">
      <c r="A2794" s="52" t="s">
        <v>222</v>
      </c>
      <c r="B2794" s="52" t="s">
        <v>37</v>
      </c>
      <c r="C2794" s="52" t="s">
        <v>318</v>
      </c>
      <c r="D2794" s="52" t="s">
        <v>318</v>
      </c>
      <c r="E2794" s="52" t="s">
        <v>584</v>
      </c>
      <c r="F2794" s="52" t="s">
        <v>581</v>
      </c>
      <c r="G2794" s="195" t="s">
        <v>275</v>
      </c>
      <c r="H2794" s="195">
        <v>5.5203000000000002E-2</v>
      </c>
      <c r="I2794" s="195">
        <v>0</v>
      </c>
      <c r="J2794" s="195"/>
      <c r="K2794" s="195"/>
      <c r="L2794" s="195"/>
      <c r="M2794" s="195"/>
      <c r="N2794" s="195"/>
    </row>
    <row r="2795" spans="1:14" hidden="1" x14ac:dyDescent="0.35">
      <c r="A2795" s="52" t="s">
        <v>222</v>
      </c>
      <c r="B2795" s="52" t="s">
        <v>37</v>
      </c>
      <c r="C2795" s="52" t="s">
        <v>318</v>
      </c>
      <c r="D2795" s="52" t="s">
        <v>318</v>
      </c>
      <c r="E2795" s="52" t="s">
        <v>584</v>
      </c>
      <c r="F2795" s="52" t="s">
        <v>581</v>
      </c>
      <c r="G2795" s="195" t="s">
        <v>278</v>
      </c>
      <c r="H2795" s="195">
        <v>-5.5203000000000002E-2</v>
      </c>
      <c r="I2795" s="195">
        <v>0</v>
      </c>
      <c r="J2795" s="195"/>
      <c r="K2795" s="195"/>
      <c r="L2795" s="195"/>
      <c r="M2795" s="195"/>
      <c r="N2795" s="195"/>
    </row>
    <row r="2796" spans="1:14" hidden="1" x14ac:dyDescent="0.35">
      <c r="A2796" s="52" t="s">
        <v>222</v>
      </c>
      <c r="B2796" s="52" t="s">
        <v>37</v>
      </c>
      <c r="C2796" s="52" t="s">
        <v>318</v>
      </c>
      <c r="D2796" s="52" t="s">
        <v>318</v>
      </c>
      <c r="E2796" s="52" t="s">
        <v>584</v>
      </c>
      <c r="F2796" s="52" t="s">
        <v>26</v>
      </c>
      <c r="G2796" s="195" t="s">
        <v>275</v>
      </c>
      <c r="H2796" s="195">
        <v>3.6801E-2</v>
      </c>
      <c r="I2796" s="195">
        <v>0</v>
      </c>
      <c r="J2796" s="195"/>
      <c r="K2796" s="195"/>
      <c r="L2796" s="195"/>
      <c r="M2796" s="195"/>
      <c r="N2796" s="195"/>
    </row>
    <row r="2797" spans="1:14" hidden="1" x14ac:dyDescent="0.35">
      <c r="A2797" s="52" t="s">
        <v>222</v>
      </c>
      <c r="B2797" s="52" t="s">
        <v>37</v>
      </c>
      <c r="C2797" s="52" t="s">
        <v>318</v>
      </c>
      <c r="D2797" s="52" t="s">
        <v>318</v>
      </c>
      <c r="E2797" s="52" t="s">
        <v>584</v>
      </c>
      <c r="F2797" s="52" t="s">
        <v>26</v>
      </c>
      <c r="G2797" s="195" t="s">
        <v>278</v>
      </c>
      <c r="H2797" s="195">
        <v>-3.6801E-2</v>
      </c>
      <c r="I2797" s="195">
        <v>0</v>
      </c>
      <c r="J2797" s="195"/>
      <c r="K2797" s="195"/>
      <c r="L2797" s="195"/>
      <c r="M2797" s="195"/>
      <c r="N2797" s="195"/>
    </row>
    <row r="2798" spans="1:14" hidden="1" x14ac:dyDescent="0.35">
      <c r="A2798" s="52" t="s">
        <v>222</v>
      </c>
      <c r="B2798" s="52" t="s">
        <v>102</v>
      </c>
      <c r="C2798" s="52" t="s">
        <v>102</v>
      </c>
      <c r="D2798" s="52" t="s">
        <v>102</v>
      </c>
      <c r="E2798" s="52" t="s">
        <v>584</v>
      </c>
      <c r="F2798" s="52" t="s">
        <v>581</v>
      </c>
      <c r="G2798" s="195" t="s">
        <v>275</v>
      </c>
      <c r="H2798" s="195">
        <v>-871.84360000000004</v>
      </c>
      <c r="I2798" s="195">
        <v>-661.88310000000001</v>
      </c>
      <c r="J2798" s="195">
        <v>-427.84800000000001</v>
      </c>
      <c r="K2798" s="195">
        <v>-515.16229999999996</v>
      </c>
      <c r="L2798" s="195">
        <v>-804.53899999999999</v>
      </c>
      <c r="M2798" s="195">
        <v>-812.09559999999999</v>
      </c>
      <c r="N2798" s="195">
        <v>-497.84730000000002</v>
      </c>
    </row>
    <row r="2799" spans="1:14" hidden="1" x14ac:dyDescent="0.35">
      <c r="A2799" s="52" t="s">
        <v>222</v>
      </c>
      <c r="B2799" s="52" t="s">
        <v>102</v>
      </c>
      <c r="C2799" s="52" t="s">
        <v>102</v>
      </c>
      <c r="D2799" s="52" t="s">
        <v>102</v>
      </c>
      <c r="E2799" s="52" t="s">
        <v>584</v>
      </c>
      <c r="F2799" s="52" t="s">
        <v>581</v>
      </c>
      <c r="G2799" s="195" t="s">
        <v>276</v>
      </c>
      <c r="H2799" s="195"/>
      <c r="I2799" s="195"/>
      <c r="J2799" s="195">
        <v>-164.8391</v>
      </c>
      <c r="K2799" s="195">
        <v>-131.93709999999999</v>
      </c>
      <c r="L2799" s="195">
        <v>-164.89760000000001</v>
      </c>
      <c r="M2799" s="195">
        <v>-98.918189999999996</v>
      </c>
      <c r="N2799" s="195">
        <v>-3.6901200000000002E-2</v>
      </c>
    </row>
    <row r="2800" spans="1:14" hidden="1" x14ac:dyDescent="0.35">
      <c r="A2800" s="52" t="s">
        <v>222</v>
      </c>
      <c r="B2800" s="52" t="s">
        <v>102</v>
      </c>
      <c r="C2800" s="52" t="s">
        <v>102</v>
      </c>
      <c r="D2800" s="52" t="s">
        <v>102</v>
      </c>
      <c r="E2800" s="52" t="s">
        <v>584</v>
      </c>
      <c r="F2800" s="52" t="s">
        <v>581</v>
      </c>
      <c r="G2800" s="195" t="s">
        <v>277</v>
      </c>
      <c r="H2800" s="195">
        <v>494.51659999999998</v>
      </c>
      <c r="I2800" s="195">
        <v>519.39099999999996</v>
      </c>
      <c r="J2800" s="195">
        <v>472.3888</v>
      </c>
      <c r="K2800" s="195">
        <v>555.57309999999995</v>
      </c>
      <c r="L2800" s="195">
        <v>961.85209999999995</v>
      </c>
      <c r="M2800" s="195">
        <v>975.70569999999998</v>
      </c>
      <c r="N2800" s="195">
        <v>781.00919999999996</v>
      </c>
    </row>
    <row r="2801" spans="1:14" hidden="1" x14ac:dyDescent="0.35">
      <c r="A2801" s="52" t="s">
        <v>222</v>
      </c>
      <c r="B2801" s="52" t="s">
        <v>102</v>
      </c>
      <c r="C2801" s="52" t="s">
        <v>102</v>
      </c>
      <c r="D2801" s="52" t="s">
        <v>102</v>
      </c>
      <c r="E2801" s="52" t="s">
        <v>584</v>
      </c>
      <c r="F2801" s="52" t="s">
        <v>581</v>
      </c>
      <c r="G2801" s="195" t="s">
        <v>278</v>
      </c>
      <c r="H2801" s="195">
        <v>363.66469999999998</v>
      </c>
      <c r="I2801" s="195">
        <v>226.24789999999999</v>
      </c>
      <c r="J2801" s="195">
        <v>164.9924</v>
      </c>
      <c r="K2801" s="195">
        <v>131.94579999999999</v>
      </c>
      <c r="L2801" s="195">
        <v>164.898</v>
      </c>
      <c r="M2801" s="195">
        <v>98.977149999999995</v>
      </c>
      <c r="N2801" s="195">
        <v>8.8250400000000007E-2</v>
      </c>
    </row>
    <row r="2802" spans="1:14" hidden="1" x14ac:dyDescent="0.35">
      <c r="A2802" s="52" t="s">
        <v>222</v>
      </c>
      <c r="B2802" s="52" t="s">
        <v>102</v>
      </c>
      <c r="C2802" s="52" t="s">
        <v>102</v>
      </c>
      <c r="D2802" s="52" t="s">
        <v>102</v>
      </c>
      <c r="E2802" s="52" t="s">
        <v>584</v>
      </c>
      <c r="F2802" s="52" t="s">
        <v>581</v>
      </c>
      <c r="G2802" s="195" t="s">
        <v>279</v>
      </c>
      <c r="H2802" s="195">
        <v>19.769089999999998</v>
      </c>
      <c r="I2802" s="195">
        <v>150.1687</v>
      </c>
      <c r="J2802" s="195">
        <v>179.60220000000001</v>
      </c>
      <c r="K2802" s="195">
        <v>190.2216</v>
      </c>
      <c r="L2802" s="195">
        <v>380.61329999999998</v>
      </c>
      <c r="M2802" s="195">
        <v>543.75869999999998</v>
      </c>
      <c r="N2802" s="195">
        <v>618.23289999999997</v>
      </c>
    </row>
    <row r="2803" spans="1:14" hidden="1" x14ac:dyDescent="0.35">
      <c r="A2803" s="52" t="s">
        <v>222</v>
      </c>
      <c r="B2803" s="52" t="s">
        <v>102</v>
      </c>
      <c r="C2803" s="52" t="s">
        <v>102</v>
      </c>
      <c r="D2803" s="52" t="s">
        <v>102</v>
      </c>
      <c r="E2803" s="52" t="s">
        <v>584</v>
      </c>
      <c r="F2803" s="52" t="s">
        <v>26</v>
      </c>
      <c r="G2803" s="195" t="s">
        <v>275</v>
      </c>
      <c r="H2803" s="195">
        <v>-63.416379999999997</v>
      </c>
      <c r="I2803" s="195">
        <v>-3.0947100000000002E-2</v>
      </c>
      <c r="J2803" s="195">
        <v>-6.1894200000000002E-3</v>
      </c>
      <c r="K2803" s="195">
        <v>-6.1894200000000002E-3</v>
      </c>
      <c r="L2803" s="195">
        <v>-6.1894200000000002E-3</v>
      </c>
      <c r="M2803" s="195">
        <v>-6.1894200000000002E-3</v>
      </c>
      <c r="N2803" s="195">
        <v>-9.6189479999999994E-2</v>
      </c>
    </row>
    <row r="2804" spans="1:14" hidden="1" x14ac:dyDescent="0.35">
      <c r="A2804" s="52" t="s">
        <v>222</v>
      </c>
      <c r="B2804" s="52" t="s">
        <v>102</v>
      </c>
      <c r="C2804" s="52" t="s">
        <v>102</v>
      </c>
      <c r="D2804" s="52" t="s">
        <v>102</v>
      </c>
      <c r="E2804" s="52" t="s">
        <v>584</v>
      </c>
      <c r="F2804" s="52" t="s">
        <v>26</v>
      </c>
      <c r="G2804" s="195" t="s">
        <v>277</v>
      </c>
      <c r="H2804" s="195"/>
      <c r="I2804" s="195"/>
      <c r="J2804" s="195"/>
      <c r="K2804" s="195"/>
      <c r="L2804" s="195"/>
      <c r="M2804" s="195">
        <v>0</v>
      </c>
      <c r="N2804" s="195">
        <v>0.09</v>
      </c>
    </row>
    <row r="2805" spans="1:14" hidden="1" x14ac:dyDescent="0.35">
      <c r="A2805" s="52" t="s">
        <v>222</v>
      </c>
      <c r="B2805" s="52" t="s">
        <v>102</v>
      </c>
      <c r="C2805" s="52" t="s">
        <v>102</v>
      </c>
      <c r="D2805" s="52" t="s">
        <v>102</v>
      </c>
      <c r="E2805" s="52" t="s">
        <v>584</v>
      </c>
      <c r="F2805" s="52" t="s">
        <v>26</v>
      </c>
      <c r="G2805" s="195" t="s">
        <v>278</v>
      </c>
      <c r="H2805" s="195">
        <v>63.41639</v>
      </c>
      <c r="I2805" s="195">
        <v>3.0947100000000002E-2</v>
      </c>
      <c r="J2805" s="195">
        <v>6.1894200000000002E-3</v>
      </c>
      <c r="K2805" s="195">
        <v>6.1894200000000002E-3</v>
      </c>
      <c r="L2805" s="195">
        <v>6.1894200000000002E-3</v>
      </c>
      <c r="M2805" s="195">
        <v>6.1894200000000002E-3</v>
      </c>
      <c r="N2805" s="195">
        <v>6.1894200000000002E-3</v>
      </c>
    </row>
    <row r="2806" spans="1:14" hidden="1" x14ac:dyDescent="0.35">
      <c r="A2806" s="52" t="s">
        <v>222</v>
      </c>
      <c r="B2806" s="52" t="s">
        <v>102</v>
      </c>
      <c r="C2806" s="52" t="s">
        <v>290</v>
      </c>
      <c r="D2806" s="52" t="s">
        <v>290</v>
      </c>
      <c r="E2806" s="52" t="s">
        <v>584</v>
      </c>
      <c r="F2806" s="52" t="s">
        <v>581</v>
      </c>
      <c r="G2806" s="195" t="s">
        <v>275</v>
      </c>
      <c r="H2806" s="195">
        <v>-3.4615350000000003E-2</v>
      </c>
      <c r="I2806" s="195">
        <v>-31.473790000000001</v>
      </c>
      <c r="J2806" s="195">
        <v>0</v>
      </c>
      <c r="K2806" s="195">
        <v>0</v>
      </c>
      <c r="L2806" s="195">
        <v>0</v>
      </c>
      <c r="M2806" s="195">
        <v>0</v>
      </c>
      <c r="N2806" s="195">
        <v>0</v>
      </c>
    </row>
    <row r="2807" spans="1:14" hidden="1" x14ac:dyDescent="0.35">
      <c r="A2807" s="52" t="s">
        <v>222</v>
      </c>
      <c r="B2807" s="52" t="s">
        <v>102</v>
      </c>
      <c r="C2807" s="52" t="s">
        <v>290</v>
      </c>
      <c r="D2807" s="52" t="s">
        <v>290</v>
      </c>
      <c r="E2807" s="52" t="s">
        <v>584</v>
      </c>
      <c r="F2807" s="52" t="s">
        <v>581</v>
      </c>
      <c r="G2807" s="195" t="s">
        <v>276</v>
      </c>
      <c r="H2807" s="195"/>
      <c r="I2807" s="195"/>
      <c r="J2807" s="195">
        <v>-3.4615350000000003E-2</v>
      </c>
      <c r="K2807" s="195">
        <v>-3.4615350000000003E-2</v>
      </c>
      <c r="L2807" s="195">
        <v>-4.4365349999999998E-2</v>
      </c>
      <c r="M2807" s="195">
        <v>-4.4365349999999998E-2</v>
      </c>
      <c r="N2807" s="195">
        <v>-3.4615350000000003E-2</v>
      </c>
    </row>
    <row r="2808" spans="1:14" hidden="1" x14ac:dyDescent="0.35">
      <c r="A2808" s="52" t="s">
        <v>222</v>
      </c>
      <c r="B2808" s="52" t="s">
        <v>102</v>
      </c>
      <c r="C2808" s="52" t="s">
        <v>290</v>
      </c>
      <c r="D2808" s="52" t="s">
        <v>290</v>
      </c>
      <c r="E2808" s="52" t="s">
        <v>584</v>
      </c>
      <c r="F2808" s="52" t="s">
        <v>581</v>
      </c>
      <c r="G2808" s="195" t="s">
        <v>277</v>
      </c>
      <c r="H2808" s="195"/>
      <c r="I2808" s="195"/>
      <c r="J2808" s="195"/>
      <c r="K2808" s="195">
        <v>0</v>
      </c>
      <c r="L2808" s="195">
        <v>9.7499990000000005E-3</v>
      </c>
      <c r="M2808" s="195">
        <v>9.7499990000000005E-3</v>
      </c>
      <c r="N2808" s="195">
        <v>0</v>
      </c>
    </row>
    <row r="2809" spans="1:14" hidden="1" x14ac:dyDescent="0.35">
      <c r="A2809" s="52" t="s">
        <v>222</v>
      </c>
      <c r="B2809" s="52" t="s">
        <v>102</v>
      </c>
      <c r="C2809" s="52" t="s">
        <v>290</v>
      </c>
      <c r="D2809" s="52" t="s">
        <v>290</v>
      </c>
      <c r="E2809" s="52" t="s">
        <v>584</v>
      </c>
      <c r="F2809" s="52" t="s">
        <v>581</v>
      </c>
      <c r="G2809" s="195" t="s">
        <v>278</v>
      </c>
      <c r="H2809" s="195">
        <v>3.4615350000000003E-2</v>
      </c>
      <c r="I2809" s="195">
        <v>31.473790000000001</v>
      </c>
      <c r="J2809" s="195">
        <v>3.4615350000000003E-2</v>
      </c>
      <c r="K2809" s="195">
        <v>3.4615350000000003E-2</v>
      </c>
      <c r="L2809" s="195">
        <v>3.4615350000000003E-2</v>
      </c>
      <c r="M2809" s="195">
        <v>3.4615350000000003E-2</v>
      </c>
      <c r="N2809" s="195">
        <v>3.4615350000000003E-2</v>
      </c>
    </row>
    <row r="2810" spans="1:14" hidden="1" x14ac:dyDescent="0.35">
      <c r="A2810" s="52" t="s">
        <v>222</v>
      </c>
      <c r="B2810" s="52" t="s">
        <v>102</v>
      </c>
      <c r="C2810" s="52" t="s">
        <v>318</v>
      </c>
      <c r="D2810" s="52" t="s">
        <v>318</v>
      </c>
      <c r="E2810" s="52" t="s">
        <v>584</v>
      </c>
      <c r="F2810" s="52" t="s">
        <v>581</v>
      </c>
      <c r="G2810" s="195" t="s">
        <v>275</v>
      </c>
      <c r="H2810" s="195">
        <v>110.494</v>
      </c>
      <c r="I2810" s="195">
        <v>0</v>
      </c>
      <c r="J2810" s="195"/>
      <c r="K2810" s="195"/>
      <c r="L2810" s="195"/>
      <c r="M2810" s="195"/>
      <c r="N2810" s="195"/>
    </row>
    <row r="2811" spans="1:14" hidden="1" x14ac:dyDescent="0.35">
      <c r="A2811" s="52" t="s">
        <v>222</v>
      </c>
      <c r="B2811" s="52" t="s">
        <v>102</v>
      </c>
      <c r="C2811" s="52" t="s">
        <v>318</v>
      </c>
      <c r="D2811" s="52" t="s">
        <v>318</v>
      </c>
      <c r="E2811" s="52" t="s">
        <v>584</v>
      </c>
      <c r="F2811" s="52" t="s">
        <v>581</v>
      </c>
      <c r="G2811" s="195" t="s">
        <v>278</v>
      </c>
      <c r="H2811" s="195">
        <v>-110.494</v>
      </c>
      <c r="I2811" s="195">
        <v>0</v>
      </c>
      <c r="J2811" s="195"/>
      <c r="K2811" s="195"/>
      <c r="L2811" s="195"/>
      <c r="M2811" s="195"/>
      <c r="N2811" s="195"/>
    </row>
    <row r="2812" spans="1:14" hidden="1" x14ac:dyDescent="0.35">
      <c r="A2812" s="52" t="s">
        <v>222</v>
      </c>
      <c r="B2812" s="52" t="s">
        <v>102</v>
      </c>
      <c r="C2812" s="52" t="s">
        <v>318</v>
      </c>
      <c r="D2812" s="52" t="s">
        <v>318</v>
      </c>
      <c r="E2812" s="52" t="s">
        <v>584</v>
      </c>
      <c r="F2812" s="52" t="s">
        <v>26</v>
      </c>
      <c r="G2812" s="195" t="s">
        <v>275</v>
      </c>
      <c r="H2812" s="195">
        <v>73.662660000000002</v>
      </c>
      <c r="I2812" s="195">
        <v>0</v>
      </c>
      <c r="J2812" s="195"/>
      <c r="K2812" s="195"/>
      <c r="L2812" s="195"/>
      <c r="M2812" s="195"/>
      <c r="N2812" s="195"/>
    </row>
    <row r="2813" spans="1:14" hidden="1" x14ac:dyDescent="0.35">
      <c r="A2813" s="52" t="s">
        <v>222</v>
      </c>
      <c r="B2813" s="52" t="s">
        <v>102</v>
      </c>
      <c r="C2813" s="52" t="s">
        <v>318</v>
      </c>
      <c r="D2813" s="52" t="s">
        <v>318</v>
      </c>
      <c r="E2813" s="52" t="s">
        <v>584</v>
      </c>
      <c r="F2813" s="52" t="s">
        <v>26</v>
      </c>
      <c r="G2813" s="195" t="s">
        <v>278</v>
      </c>
      <c r="H2813" s="195">
        <v>-73.662660000000002</v>
      </c>
      <c r="I2813" s="195">
        <v>0</v>
      </c>
      <c r="J2813" s="195"/>
      <c r="K2813" s="195"/>
      <c r="L2813" s="195"/>
      <c r="M2813" s="195"/>
      <c r="N2813" s="195"/>
    </row>
    <row r="2814" spans="1:14" hidden="1" x14ac:dyDescent="0.35">
      <c r="A2814" s="52" t="s">
        <v>222</v>
      </c>
      <c r="B2814" s="52" t="s">
        <v>223</v>
      </c>
      <c r="C2814" s="52" t="s">
        <v>58</v>
      </c>
      <c r="D2814" s="52" t="s">
        <v>58</v>
      </c>
      <c r="E2814" s="52" t="s">
        <v>584</v>
      </c>
      <c r="F2814" s="52" t="s">
        <v>581</v>
      </c>
      <c r="G2814" s="195" t="s">
        <v>275</v>
      </c>
      <c r="H2814" s="195">
        <v>34.633000000000003</v>
      </c>
      <c r="I2814" s="195">
        <v>11.72409</v>
      </c>
      <c r="J2814" s="195">
        <v>10.00512</v>
      </c>
      <c r="K2814" s="195">
        <v>2.0884290000000001</v>
      </c>
      <c r="L2814" s="195">
        <v>1.8541529999999999</v>
      </c>
      <c r="M2814" s="195">
        <v>1.6704380000000001</v>
      </c>
      <c r="N2814" s="195">
        <v>1.505641</v>
      </c>
    </row>
    <row r="2815" spans="1:14" hidden="1" x14ac:dyDescent="0.35">
      <c r="A2815" s="52" t="s">
        <v>222</v>
      </c>
      <c r="B2815" s="52" t="s">
        <v>223</v>
      </c>
      <c r="C2815" s="52" t="s">
        <v>58</v>
      </c>
      <c r="D2815" s="52" t="s">
        <v>58</v>
      </c>
      <c r="E2815" s="52" t="s">
        <v>584</v>
      </c>
      <c r="F2815" s="52" t="s">
        <v>581</v>
      </c>
      <c r="G2815" s="195" t="s">
        <v>276</v>
      </c>
      <c r="H2815" s="195">
        <v>8.6582439999999998</v>
      </c>
      <c r="I2815" s="195">
        <v>2.931025</v>
      </c>
      <c r="J2815" s="195">
        <v>3.4723820000000001</v>
      </c>
      <c r="K2815" s="195">
        <v>0.84059819999999996</v>
      </c>
      <c r="L2815" s="195">
        <v>0.75795849999999998</v>
      </c>
      <c r="M2815" s="195">
        <v>0.69002540000000001</v>
      </c>
      <c r="N2815" s="195">
        <v>0.59300109999999995</v>
      </c>
    </row>
    <row r="2816" spans="1:14" hidden="1" x14ac:dyDescent="0.35">
      <c r="A2816" s="52" t="s">
        <v>222</v>
      </c>
      <c r="B2816" s="52" t="s">
        <v>223</v>
      </c>
      <c r="C2816" s="52" t="s">
        <v>58</v>
      </c>
      <c r="D2816" s="52" t="s">
        <v>58</v>
      </c>
      <c r="E2816" s="52" t="s">
        <v>584</v>
      </c>
      <c r="F2816" s="52" t="s">
        <v>581</v>
      </c>
      <c r="G2816" s="195" t="s">
        <v>279</v>
      </c>
      <c r="H2816" s="195">
        <v>5.6389810000000002</v>
      </c>
      <c r="I2816" s="195">
        <v>4.9459900000000001</v>
      </c>
      <c r="J2816" s="195">
        <v>4.8182989999999997</v>
      </c>
      <c r="K2816" s="195">
        <v>1.48085</v>
      </c>
      <c r="L2816" s="195">
        <v>1.3671869999999999</v>
      </c>
      <c r="M2816" s="195">
        <v>1.259455</v>
      </c>
      <c r="N2816" s="195">
        <v>1.188607</v>
      </c>
    </row>
    <row r="2817" spans="1:14" hidden="1" x14ac:dyDescent="0.35">
      <c r="A2817" s="52" t="s">
        <v>222</v>
      </c>
      <c r="B2817" s="52" t="s">
        <v>223</v>
      </c>
      <c r="C2817" s="52" t="s">
        <v>58</v>
      </c>
      <c r="D2817" s="52" t="s">
        <v>58</v>
      </c>
      <c r="E2817" s="52" t="s">
        <v>584</v>
      </c>
      <c r="F2817" s="52" t="s">
        <v>26</v>
      </c>
      <c r="G2817" s="195" t="s">
        <v>275</v>
      </c>
      <c r="H2817" s="195">
        <v>308.58569999999997</v>
      </c>
      <c r="I2817" s="195">
        <v>192.4014</v>
      </c>
      <c r="J2817" s="195">
        <v>62.710949999999997</v>
      </c>
      <c r="K2817" s="195">
        <v>43.295830000000002</v>
      </c>
      <c r="L2817" s="195">
        <v>34.734920000000002</v>
      </c>
      <c r="M2817" s="195">
        <v>31.316649999999999</v>
      </c>
      <c r="N2817" s="195">
        <v>24.296620000000001</v>
      </c>
    </row>
    <row r="2818" spans="1:14" hidden="1" x14ac:dyDescent="0.35">
      <c r="A2818" s="52" t="s">
        <v>222</v>
      </c>
      <c r="B2818" s="52" t="s">
        <v>223</v>
      </c>
      <c r="C2818" s="52" t="s">
        <v>58</v>
      </c>
      <c r="D2818" s="52" t="s">
        <v>58</v>
      </c>
      <c r="E2818" s="52" t="s">
        <v>584</v>
      </c>
      <c r="F2818" s="52" t="s">
        <v>26</v>
      </c>
      <c r="G2818" s="195" t="s">
        <v>276</v>
      </c>
      <c r="H2818" s="195">
        <v>57.849020000000003</v>
      </c>
      <c r="I2818" s="195">
        <v>31.727689999999999</v>
      </c>
      <c r="J2818" s="195">
        <v>9.5104810000000004</v>
      </c>
      <c r="K2818" s="195">
        <v>9.0848060000000004</v>
      </c>
      <c r="L2818" s="195">
        <v>8.4114369999999994</v>
      </c>
      <c r="M2818" s="195">
        <v>7.3782350000000001</v>
      </c>
      <c r="N2818" s="195">
        <v>7.6261429999999999</v>
      </c>
    </row>
    <row r="2819" spans="1:14" hidden="1" x14ac:dyDescent="0.35">
      <c r="A2819" s="52" t="s">
        <v>222</v>
      </c>
      <c r="B2819" s="52" t="s">
        <v>223</v>
      </c>
      <c r="C2819" s="52" t="s">
        <v>58</v>
      </c>
      <c r="D2819" s="52" t="s">
        <v>58</v>
      </c>
      <c r="E2819" s="52" t="s">
        <v>584</v>
      </c>
      <c r="F2819" s="52" t="s">
        <v>26</v>
      </c>
      <c r="G2819" s="195" t="s">
        <v>277</v>
      </c>
      <c r="H2819" s="195">
        <v>38.836100000000002</v>
      </c>
      <c r="I2819" s="195">
        <v>31.455439999999999</v>
      </c>
      <c r="J2819" s="195">
        <v>36.70729</v>
      </c>
      <c r="K2819" s="195">
        <v>23.393439999999998</v>
      </c>
      <c r="L2819" s="195">
        <v>25.68309</v>
      </c>
      <c r="M2819" s="195">
        <v>25.804950000000002</v>
      </c>
      <c r="N2819" s="195">
        <v>27.65934</v>
      </c>
    </row>
    <row r="2820" spans="1:14" hidden="1" x14ac:dyDescent="0.35">
      <c r="A2820" s="52" t="s">
        <v>222</v>
      </c>
      <c r="B2820" s="52" t="s">
        <v>223</v>
      </c>
      <c r="C2820" s="52" t="s">
        <v>58</v>
      </c>
      <c r="D2820" s="52" t="s">
        <v>58</v>
      </c>
      <c r="E2820" s="52" t="s">
        <v>584</v>
      </c>
      <c r="F2820" s="52" t="s">
        <v>26</v>
      </c>
      <c r="G2820" s="195" t="s">
        <v>278</v>
      </c>
      <c r="H2820" s="195">
        <v>0.1055</v>
      </c>
      <c r="I2820" s="195">
        <v>0.1055</v>
      </c>
      <c r="J2820" s="195">
        <v>0</v>
      </c>
      <c r="K2820" s="195">
        <v>0</v>
      </c>
      <c r="L2820" s="195">
        <v>0</v>
      </c>
      <c r="M2820" s="195">
        <v>0</v>
      </c>
      <c r="N2820" s="195">
        <v>0</v>
      </c>
    </row>
    <row r="2821" spans="1:14" hidden="1" x14ac:dyDescent="0.35">
      <c r="A2821" s="52" t="s">
        <v>222</v>
      </c>
      <c r="B2821" s="52" t="s">
        <v>223</v>
      </c>
      <c r="C2821" s="52" t="s">
        <v>58</v>
      </c>
      <c r="D2821" s="52" t="s">
        <v>58</v>
      </c>
      <c r="E2821" s="52" t="s">
        <v>584</v>
      </c>
      <c r="F2821" s="52" t="s">
        <v>26</v>
      </c>
      <c r="G2821" s="195" t="s">
        <v>279</v>
      </c>
      <c r="H2821" s="195">
        <v>108.7505</v>
      </c>
      <c r="I2821" s="195">
        <v>95.414510000000007</v>
      </c>
      <c r="J2821" s="195">
        <v>91.981899999999996</v>
      </c>
      <c r="K2821" s="195">
        <v>88.806139999999999</v>
      </c>
      <c r="L2821" s="195">
        <v>83.909580000000005</v>
      </c>
      <c r="M2821" s="195">
        <v>79.432689999999994</v>
      </c>
      <c r="N2821" s="195">
        <v>77.210059999999999</v>
      </c>
    </row>
    <row r="2822" spans="1:14" hidden="1" x14ac:dyDescent="0.35">
      <c r="A2822" s="52" t="s">
        <v>222</v>
      </c>
      <c r="B2822" s="52" t="s">
        <v>223</v>
      </c>
      <c r="C2822" s="52" t="s">
        <v>318</v>
      </c>
      <c r="D2822" s="52" t="s">
        <v>318</v>
      </c>
      <c r="E2822" s="52" t="s">
        <v>584</v>
      </c>
      <c r="F2822" s="52" t="s">
        <v>581</v>
      </c>
      <c r="G2822" s="195" t="s">
        <v>275</v>
      </c>
      <c r="H2822" s="195">
        <v>2.7290999999999999E-2</v>
      </c>
      <c r="I2822" s="195">
        <v>0</v>
      </c>
      <c r="J2822" s="195"/>
      <c r="K2822" s="195"/>
      <c r="L2822" s="195"/>
      <c r="M2822" s="195"/>
      <c r="N2822" s="195"/>
    </row>
    <row r="2823" spans="1:14" hidden="1" x14ac:dyDescent="0.35">
      <c r="A2823" s="52" t="s">
        <v>222</v>
      </c>
      <c r="B2823" s="52" t="s">
        <v>223</v>
      </c>
      <c r="C2823" s="52" t="s">
        <v>318</v>
      </c>
      <c r="D2823" s="52" t="s">
        <v>318</v>
      </c>
      <c r="E2823" s="52" t="s">
        <v>584</v>
      </c>
      <c r="F2823" s="52" t="s">
        <v>581</v>
      </c>
      <c r="G2823" s="195" t="s">
        <v>278</v>
      </c>
      <c r="H2823" s="195">
        <v>-2.7290999999999999E-2</v>
      </c>
      <c r="I2823" s="195">
        <v>0</v>
      </c>
      <c r="J2823" s="195"/>
      <c r="K2823" s="195"/>
      <c r="L2823" s="195"/>
      <c r="M2823" s="195"/>
      <c r="N2823" s="195"/>
    </row>
    <row r="2824" spans="1:14" hidden="1" x14ac:dyDescent="0.35">
      <c r="A2824" s="52" t="s">
        <v>222</v>
      </c>
      <c r="B2824" s="52" t="s">
        <v>223</v>
      </c>
      <c r="C2824" s="52" t="s">
        <v>318</v>
      </c>
      <c r="D2824" s="52" t="s">
        <v>318</v>
      </c>
      <c r="E2824" s="52" t="s">
        <v>584</v>
      </c>
      <c r="F2824" s="52" t="s">
        <v>26</v>
      </c>
      <c r="G2824" s="195" t="s">
        <v>275</v>
      </c>
      <c r="H2824" s="195">
        <v>1.8194999999999999E-2</v>
      </c>
      <c r="I2824" s="195">
        <v>0</v>
      </c>
      <c r="J2824" s="195"/>
      <c r="K2824" s="195"/>
      <c r="L2824" s="195"/>
      <c r="M2824" s="195"/>
      <c r="N2824" s="195"/>
    </row>
    <row r="2825" spans="1:14" hidden="1" x14ac:dyDescent="0.35">
      <c r="A2825" s="52" t="s">
        <v>222</v>
      </c>
      <c r="B2825" s="52" t="s">
        <v>223</v>
      </c>
      <c r="C2825" s="52" t="s">
        <v>318</v>
      </c>
      <c r="D2825" s="52" t="s">
        <v>318</v>
      </c>
      <c r="E2825" s="52" t="s">
        <v>584</v>
      </c>
      <c r="F2825" s="52" t="s">
        <v>26</v>
      </c>
      <c r="G2825" s="195" t="s">
        <v>278</v>
      </c>
      <c r="H2825" s="195">
        <v>-1.8194999999999999E-2</v>
      </c>
      <c r="I2825" s="195">
        <v>0</v>
      </c>
      <c r="J2825" s="195"/>
      <c r="K2825" s="195"/>
      <c r="L2825" s="195"/>
      <c r="M2825" s="195"/>
      <c r="N2825" s="195"/>
    </row>
    <row r="2826" spans="1:14" hidden="1" x14ac:dyDescent="0.35">
      <c r="A2826" s="52" t="s">
        <v>222</v>
      </c>
      <c r="B2826" s="52" t="s">
        <v>59</v>
      </c>
      <c r="C2826" s="52" t="s">
        <v>58</v>
      </c>
      <c r="D2826" s="52" t="s">
        <v>58</v>
      </c>
      <c r="E2826" s="52" t="s">
        <v>584</v>
      </c>
      <c r="F2826" s="52" t="s">
        <v>581</v>
      </c>
      <c r="G2826" s="195" t="s">
        <v>275</v>
      </c>
      <c r="H2826" s="195">
        <v>12.404960000000001</v>
      </c>
      <c r="I2826" s="195">
        <v>14.38635</v>
      </c>
      <c r="J2826" s="195">
        <v>12.82954</v>
      </c>
      <c r="K2826" s="195">
        <v>17.453410000000002</v>
      </c>
      <c r="L2826" s="195">
        <v>17.226230000000001</v>
      </c>
      <c r="M2826" s="195">
        <v>15.10702</v>
      </c>
      <c r="N2826" s="195">
        <v>11.55646</v>
      </c>
    </row>
    <row r="2827" spans="1:14" hidden="1" x14ac:dyDescent="0.35">
      <c r="A2827" s="52" t="s">
        <v>222</v>
      </c>
      <c r="B2827" s="52" t="s">
        <v>59</v>
      </c>
      <c r="C2827" s="52" t="s">
        <v>58</v>
      </c>
      <c r="D2827" s="52" t="s">
        <v>58</v>
      </c>
      <c r="E2827" s="52" t="s">
        <v>584</v>
      </c>
      <c r="F2827" s="52" t="s">
        <v>581</v>
      </c>
      <c r="G2827" s="195" t="s">
        <v>276</v>
      </c>
      <c r="H2827" s="195">
        <v>4.6764289999999997</v>
      </c>
      <c r="I2827" s="195">
        <v>8.5993809999999993</v>
      </c>
      <c r="J2827" s="195">
        <v>8.1885169999999992</v>
      </c>
      <c r="K2827" s="195">
        <v>6.7690840000000003</v>
      </c>
      <c r="L2827" s="195">
        <v>4.2179330000000004</v>
      </c>
      <c r="M2827" s="195">
        <v>3.8925209999999999</v>
      </c>
      <c r="N2827" s="195">
        <v>5.2400979999999997</v>
      </c>
    </row>
    <row r="2828" spans="1:14" hidden="1" x14ac:dyDescent="0.35">
      <c r="A2828" s="52" t="s">
        <v>222</v>
      </c>
      <c r="B2828" s="52" t="s">
        <v>59</v>
      </c>
      <c r="C2828" s="52" t="s">
        <v>58</v>
      </c>
      <c r="D2828" s="52" t="s">
        <v>58</v>
      </c>
      <c r="E2828" s="52" t="s">
        <v>584</v>
      </c>
      <c r="F2828" s="52" t="s">
        <v>581</v>
      </c>
      <c r="G2828" s="195" t="s">
        <v>277</v>
      </c>
      <c r="H2828" s="195">
        <v>2.6084990000000001</v>
      </c>
      <c r="I2828" s="195">
        <v>1.73658</v>
      </c>
      <c r="J2828" s="195">
        <v>0.94393249999999995</v>
      </c>
      <c r="K2828" s="195">
        <v>0.4114527</v>
      </c>
      <c r="L2828" s="195">
        <v>1.2176499999999999</v>
      </c>
      <c r="M2828" s="195">
        <v>1.622417</v>
      </c>
      <c r="N2828" s="195">
        <v>1.152236</v>
      </c>
    </row>
    <row r="2829" spans="1:14" hidden="1" x14ac:dyDescent="0.35">
      <c r="A2829" s="52" t="s">
        <v>222</v>
      </c>
      <c r="B2829" s="52" t="s">
        <v>59</v>
      </c>
      <c r="C2829" s="52" t="s">
        <v>58</v>
      </c>
      <c r="D2829" s="52" t="s">
        <v>58</v>
      </c>
      <c r="E2829" s="52" t="s">
        <v>584</v>
      </c>
      <c r="F2829" s="52" t="s">
        <v>581</v>
      </c>
      <c r="G2829" s="195" t="s">
        <v>278</v>
      </c>
      <c r="H2829" s="195">
        <v>0.120584</v>
      </c>
      <c r="I2829" s="195">
        <v>0.120584</v>
      </c>
      <c r="J2829" s="195">
        <v>0.120584</v>
      </c>
      <c r="K2829" s="195">
        <v>0.120584</v>
      </c>
      <c r="L2829" s="195">
        <v>0.120584</v>
      </c>
      <c r="M2829" s="195">
        <v>0.120584</v>
      </c>
      <c r="N2829" s="195">
        <v>0.120584</v>
      </c>
    </row>
    <row r="2830" spans="1:14" hidden="1" x14ac:dyDescent="0.35">
      <c r="A2830" s="52" t="s">
        <v>222</v>
      </c>
      <c r="B2830" s="52" t="s">
        <v>59</v>
      </c>
      <c r="C2830" s="52" t="s">
        <v>58</v>
      </c>
      <c r="D2830" s="52" t="s">
        <v>58</v>
      </c>
      <c r="E2830" s="52" t="s">
        <v>584</v>
      </c>
      <c r="F2830" s="52" t="s">
        <v>581</v>
      </c>
      <c r="G2830" s="195" t="s">
        <v>279</v>
      </c>
      <c r="H2830" s="195">
        <v>1.929028</v>
      </c>
      <c r="I2830" s="195">
        <v>5.5982440000000002</v>
      </c>
      <c r="J2830" s="195">
        <v>6.191764</v>
      </c>
      <c r="K2830" s="195">
        <v>7.4474169999999997</v>
      </c>
      <c r="L2830" s="195">
        <v>7.0050629999999998</v>
      </c>
      <c r="M2830" s="195">
        <v>6.4777550000000002</v>
      </c>
      <c r="N2830" s="195">
        <v>5.7842250000000002</v>
      </c>
    </row>
    <row r="2831" spans="1:14" hidden="1" x14ac:dyDescent="0.35">
      <c r="A2831" s="52" t="s">
        <v>222</v>
      </c>
      <c r="B2831" s="52" t="s">
        <v>59</v>
      </c>
      <c r="C2831" s="52" t="s">
        <v>58</v>
      </c>
      <c r="D2831" s="52" t="s">
        <v>58</v>
      </c>
      <c r="E2831" s="52" t="s">
        <v>584</v>
      </c>
      <c r="F2831" s="52" t="s">
        <v>26</v>
      </c>
      <c r="G2831" s="195" t="s">
        <v>275</v>
      </c>
      <c r="H2831" s="195">
        <v>62.739069999999998</v>
      </c>
      <c r="I2831" s="195">
        <v>60.211730000000003</v>
      </c>
      <c r="J2831" s="195">
        <v>-22.965710000000001</v>
      </c>
      <c r="K2831" s="195">
        <v>0.1086555</v>
      </c>
      <c r="L2831" s="195">
        <v>-10.41295</v>
      </c>
      <c r="M2831" s="195">
        <v>6.3878069999999996</v>
      </c>
      <c r="N2831" s="195">
        <v>31.692360000000001</v>
      </c>
    </row>
    <row r="2832" spans="1:14" hidden="1" x14ac:dyDescent="0.35">
      <c r="A2832" s="52" t="s">
        <v>222</v>
      </c>
      <c r="B2832" s="52" t="s">
        <v>59</v>
      </c>
      <c r="C2832" s="52" t="s">
        <v>58</v>
      </c>
      <c r="D2832" s="52" t="s">
        <v>58</v>
      </c>
      <c r="E2832" s="52" t="s">
        <v>584</v>
      </c>
      <c r="F2832" s="52" t="s">
        <v>26</v>
      </c>
      <c r="G2832" s="195" t="s">
        <v>276</v>
      </c>
      <c r="H2832" s="195">
        <v>11.386979999999999</v>
      </c>
      <c r="I2832" s="195">
        <v>7.7468729999999999</v>
      </c>
      <c r="J2832" s="195">
        <v>3.075059</v>
      </c>
      <c r="K2832" s="195">
        <v>2.3121170000000002</v>
      </c>
      <c r="L2832" s="195">
        <v>2.904563</v>
      </c>
      <c r="M2832" s="195">
        <v>1.701613</v>
      </c>
      <c r="N2832" s="195">
        <v>1.107146</v>
      </c>
    </row>
    <row r="2833" spans="1:14" hidden="1" x14ac:dyDescent="0.35">
      <c r="A2833" s="52" t="s">
        <v>222</v>
      </c>
      <c r="B2833" s="52" t="s">
        <v>59</v>
      </c>
      <c r="C2833" s="52" t="s">
        <v>58</v>
      </c>
      <c r="D2833" s="52" t="s">
        <v>58</v>
      </c>
      <c r="E2833" s="52" t="s">
        <v>584</v>
      </c>
      <c r="F2833" s="52" t="s">
        <v>26</v>
      </c>
      <c r="G2833" s="195" t="s">
        <v>277</v>
      </c>
      <c r="H2833" s="195">
        <v>108.0937</v>
      </c>
      <c r="I2833" s="195">
        <v>111.1699</v>
      </c>
      <c r="J2833" s="195">
        <v>122.7891</v>
      </c>
      <c r="K2833" s="195">
        <v>67.846410000000006</v>
      </c>
      <c r="L2833" s="195">
        <v>69.229749999999996</v>
      </c>
      <c r="M2833" s="195">
        <v>50.545479999999998</v>
      </c>
      <c r="N2833" s="195">
        <v>34.009970000000003</v>
      </c>
    </row>
    <row r="2834" spans="1:14" hidden="1" x14ac:dyDescent="0.35">
      <c r="A2834" s="52" t="s">
        <v>222</v>
      </c>
      <c r="B2834" s="52" t="s">
        <v>59</v>
      </c>
      <c r="C2834" s="52" t="s">
        <v>58</v>
      </c>
      <c r="D2834" s="52" t="s">
        <v>58</v>
      </c>
      <c r="E2834" s="52" t="s">
        <v>584</v>
      </c>
      <c r="F2834" s="52" t="s">
        <v>26</v>
      </c>
      <c r="G2834" s="195" t="s">
        <v>278</v>
      </c>
      <c r="H2834" s="195">
        <v>0.229406</v>
      </c>
      <c r="I2834" s="195">
        <v>0.229406</v>
      </c>
      <c r="J2834" s="195">
        <v>0.16984399999999999</v>
      </c>
      <c r="K2834" s="195">
        <v>0.10587000000000001</v>
      </c>
      <c r="L2834" s="195">
        <v>0.10587000000000001</v>
      </c>
      <c r="M2834" s="195">
        <v>0.10587000000000001</v>
      </c>
      <c r="N2834" s="195">
        <v>2.506392</v>
      </c>
    </row>
    <row r="2835" spans="1:14" hidden="1" x14ac:dyDescent="0.35">
      <c r="A2835" s="52" t="s">
        <v>222</v>
      </c>
      <c r="B2835" s="52" t="s">
        <v>59</v>
      </c>
      <c r="C2835" s="52" t="s">
        <v>58</v>
      </c>
      <c r="D2835" s="52" t="s">
        <v>58</v>
      </c>
      <c r="E2835" s="52" t="s">
        <v>584</v>
      </c>
      <c r="F2835" s="52" t="s">
        <v>26</v>
      </c>
      <c r="G2835" s="195" t="s">
        <v>279</v>
      </c>
      <c r="H2835" s="195">
        <v>50.04862</v>
      </c>
      <c r="I2835" s="195">
        <v>59.824010000000001</v>
      </c>
      <c r="J2835" s="195">
        <v>63.879809999999999</v>
      </c>
      <c r="K2835" s="195">
        <v>65.922210000000007</v>
      </c>
      <c r="L2835" s="195">
        <v>72.227130000000002</v>
      </c>
      <c r="M2835" s="195">
        <v>78.401589999999999</v>
      </c>
      <c r="N2835" s="195">
        <v>77.316789999999997</v>
      </c>
    </row>
    <row r="2836" spans="1:14" hidden="1" x14ac:dyDescent="0.35">
      <c r="A2836" s="52" t="s">
        <v>222</v>
      </c>
      <c r="B2836" s="52" t="s">
        <v>59</v>
      </c>
      <c r="C2836" s="52" t="s">
        <v>318</v>
      </c>
      <c r="D2836" s="52" t="s">
        <v>318</v>
      </c>
      <c r="E2836" s="52" t="s">
        <v>584</v>
      </c>
      <c r="F2836" s="52" t="s">
        <v>581</v>
      </c>
      <c r="G2836" s="195" t="s">
        <v>275</v>
      </c>
      <c r="H2836" s="195">
        <v>0.111138</v>
      </c>
      <c r="I2836" s="195">
        <v>0</v>
      </c>
      <c r="J2836" s="195"/>
      <c r="K2836" s="195"/>
      <c r="L2836" s="195"/>
      <c r="M2836" s="195"/>
      <c r="N2836" s="195"/>
    </row>
    <row r="2837" spans="1:14" hidden="1" x14ac:dyDescent="0.35">
      <c r="A2837" s="52" t="s">
        <v>222</v>
      </c>
      <c r="B2837" s="52" t="s">
        <v>59</v>
      </c>
      <c r="C2837" s="52" t="s">
        <v>318</v>
      </c>
      <c r="D2837" s="52" t="s">
        <v>318</v>
      </c>
      <c r="E2837" s="52" t="s">
        <v>584</v>
      </c>
      <c r="F2837" s="52" t="s">
        <v>581</v>
      </c>
      <c r="G2837" s="195" t="s">
        <v>278</v>
      </c>
      <c r="H2837" s="195">
        <v>-0.111138</v>
      </c>
      <c r="I2837" s="195">
        <v>0</v>
      </c>
      <c r="J2837" s="195"/>
      <c r="K2837" s="195"/>
      <c r="L2837" s="195"/>
      <c r="M2837" s="195"/>
      <c r="N2837" s="195"/>
    </row>
    <row r="2838" spans="1:14" hidden="1" x14ac:dyDescent="0.35">
      <c r="A2838" s="52" t="s">
        <v>222</v>
      </c>
      <c r="B2838" s="52" t="s">
        <v>59</v>
      </c>
      <c r="C2838" s="52" t="s">
        <v>161</v>
      </c>
      <c r="D2838" s="52" t="s">
        <v>161</v>
      </c>
      <c r="E2838" s="52" t="s">
        <v>584</v>
      </c>
      <c r="F2838" s="52" t="s">
        <v>26</v>
      </c>
      <c r="G2838" s="195" t="s">
        <v>275</v>
      </c>
      <c r="H2838" s="195"/>
      <c r="I2838" s="195"/>
      <c r="J2838" s="195">
        <v>0</v>
      </c>
      <c r="K2838" s="195">
        <v>0</v>
      </c>
      <c r="L2838" s="195">
        <v>0</v>
      </c>
      <c r="M2838" s="195">
        <v>0</v>
      </c>
      <c r="N2838" s="195">
        <v>0</v>
      </c>
    </row>
    <row r="2839" spans="1:14" hidden="1" x14ac:dyDescent="0.35">
      <c r="A2839" s="52" t="s">
        <v>222</v>
      </c>
      <c r="B2839" s="52" t="s">
        <v>59</v>
      </c>
      <c r="C2839" s="52" t="s">
        <v>318</v>
      </c>
      <c r="D2839" s="52" t="s">
        <v>318</v>
      </c>
      <c r="E2839" s="52" t="s">
        <v>584</v>
      </c>
      <c r="F2839" s="52" t="s">
        <v>26</v>
      </c>
      <c r="G2839" s="195" t="s">
        <v>275</v>
      </c>
      <c r="H2839" s="195">
        <v>7.4092000000000005E-2</v>
      </c>
      <c r="I2839" s="195">
        <v>0</v>
      </c>
      <c r="J2839" s="195"/>
      <c r="K2839" s="195"/>
      <c r="L2839" s="195"/>
      <c r="M2839" s="195"/>
      <c r="N2839" s="195"/>
    </row>
    <row r="2840" spans="1:14" hidden="1" x14ac:dyDescent="0.35">
      <c r="A2840" s="52" t="s">
        <v>222</v>
      </c>
      <c r="B2840" s="52" t="s">
        <v>59</v>
      </c>
      <c r="C2840" s="52" t="s">
        <v>318</v>
      </c>
      <c r="D2840" s="52" t="s">
        <v>318</v>
      </c>
      <c r="E2840" s="52" t="s">
        <v>584</v>
      </c>
      <c r="F2840" s="52" t="s">
        <v>26</v>
      </c>
      <c r="G2840" s="195" t="s">
        <v>278</v>
      </c>
      <c r="H2840" s="195">
        <v>-7.4092000000000005E-2</v>
      </c>
      <c r="I2840" s="195">
        <v>0</v>
      </c>
      <c r="J2840" s="195"/>
      <c r="K2840" s="195"/>
      <c r="L2840" s="195"/>
      <c r="M2840" s="195"/>
      <c r="N2840" s="195"/>
    </row>
    <row r="2841" spans="1:14" hidden="1" x14ac:dyDescent="0.35">
      <c r="A2841" s="52" t="s">
        <v>222</v>
      </c>
      <c r="B2841" s="52" t="s">
        <v>59</v>
      </c>
      <c r="C2841" s="52" t="s">
        <v>161</v>
      </c>
      <c r="D2841" s="52" t="s">
        <v>161</v>
      </c>
      <c r="E2841" s="52" t="s">
        <v>584</v>
      </c>
      <c r="F2841" s="52" t="s">
        <v>26</v>
      </c>
      <c r="G2841" s="195" t="s">
        <v>278</v>
      </c>
      <c r="H2841" s="195"/>
      <c r="I2841" s="195"/>
      <c r="J2841" s="195">
        <v>0</v>
      </c>
      <c r="K2841" s="195">
        <v>0</v>
      </c>
      <c r="L2841" s="195">
        <v>0</v>
      </c>
      <c r="M2841" s="195">
        <v>0</v>
      </c>
      <c r="N2841" s="195">
        <v>0</v>
      </c>
    </row>
    <row r="2842" spans="1:14" hidden="1" x14ac:dyDescent="0.35">
      <c r="A2842" s="52" t="s">
        <v>222</v>
      </c>
      <c r="B2842" s="52" t="s">
        <v>210</v>
      </c>
      <c r="C2842" s="52" t="s">
        <v>209</v>
      </c>
      <c r="D2842" s="52" t="s">
        <v>209</v>
      </c>
      <c r="E2842" s="52" t="s">
        <v>584</v>
      </c>
      <c r="F2842" s="52" t="s">
        <v>581</v>
      </c>
      <c r="G2842" s="195" t="s">
        <v>275</v>
      </c>
      <c r="H2842" s="195">
        <v>163.73320000000001</v>
      </c>
      <c r="I2842" s="195">
        <v>17.23629</v>
      </c>
      <c r="J2842" s="195">
        <v>33.765470000000001</v>
      </c>
      <c r="K2842" s="195">
        <v>32.800600000000003</v>
      </c>
      <c r="L2842" s="195">
        <v>39.413899999999998</v>
      </c>
      <c r="M2842" s="195">
        <v>37.45476</v>
      </c>
      <c r="N2842" s="195">
        <v>33.718029999999999</v>
      </c>
    </row>
    <row r="2843" spans="1:14" hidden="1" x14ac:dyDescent="0.35">
      <c r="A2843" s="52" t="s">
        <v>222</v>
      </c>
      <c r="B2843" s="52" t="s">
        <v>210</v>
      </c>
      <c r="C2843" s="52" t="s">
        <v>209</v>
      </c>
      <c r="D2843" s="52" t="s">
        <v>209</v>
      </c>
      <c r="E2843" s="52" t="s">
        <v>584</v>
      </c>
      <c r="F2843" s="52" t="s">
        <v>581</v>
      </c>
      <c r="G2843" s="195" t="s">
        <v>276</v>
      </c>
      <c r="H2843" s="195">
        <v>53.211039999999997</v>
      </c>
      <c r="I2843" s="195">
        <v>11.82263</v>
      </c>
      <c r="J2843" s="195">
        <v>17.315580000000001</v>
      </c>
      <c r="K2843" s="195">
        <v>18.189679999999999</v>
      </c>
      <c r="L2843" s="195">
        <v>18.705439999999999</v>
      </c>
      <c r="M2843" s="195">
        <v>17.12358</v>
      </c>
      <c r="N2843" s="195">
        <v>15.42207</v>
      </c>
    </row>
    <row r="2844" spans="1:14" hidden="1" x14ac:dyDescent="0.35">
      <c r="A2844" s="52" t="s">
        <v>222</v>
      </c>
      <c r="B2844" s="52" t="s">
        <v>210</v>
      </c>
      <c r="C2844" s="52" t="s">
        <v>209</v>
      </c>
      <c r="D2844" s="52" t="s">
        <v>209</v>
      </c>
      <c r="E2844" s="52" t="s">
        <v>584</v>
      </c>
      <c r="F2844" s="52" t="s">
        <v>581</v>
      </c>
      <c r="G2844" s="195" t="s">
        <v>277</v>
      </c>
      <c r="H2844" s="195">
        <v>39.553229999999999</v>
      </c>
      <c r="I2844" s="195">
        <v>17.29026</v>
      </c>
      <c r="J2844" s="195">
        <v>18.59675</v>
      </c>
      <c r="K2844" s="195">
        <v>20.533709999999999</v>
      </c>
      <c r="L2844" s="195">
        <v>15.903600000000001</v>
      </c>
      <c r="M2844" s="195">
        <v>14.252039999999999</v>
      </c>
      <c r="N2844" s="195">
        <v>11.038209999999999</v>
      </c>
    </row>
    <row r="2845" spans="1:14" hidden="1" x14ac:dyDescent="0.35">
      <c r="A2845" s="52" t="s">
        <v>222</v>
      </c>
      <c r="B2845" s="52" t="s">
        <v>210</v>
      </c>
      <c r="C2845" s="52" t="s">
        <v>209</v>
      </c>
      <c r="D2845" s="52" t="s">
        <v>209</v>
      </c>
      <c r="E2845" s="52" t="s">
        <v>584</v>
      </c>
      <c r="F2845" s="52" t="s">
        <v>581</v>
      </c>
      <c r="G2845" s="195" t="s">
        <v>278</v>
      </c>
      <c r="H2845" s="195">
        <v>6.8527229999999995E-2</v>
      </c>
      <c r="I2845" s="195">
        <v>6.8527240000000003E-2</v>
      </c>
      <c r="J2845" s="195">
        <v>6.8527229999999995E-2</v>
      </c>
      <c r="K2845" s="195">
        <v>6.8527229999999995E-2</v>
      </c>
      <c r="L2845" s="195">
        <v>0.1401627</v>
      </c>
      <c r="M2845" s="195">
        <v>6.8527240000000003E-2</v>
      </c>
      <c r="N2845" s="195">
        <v>0.6266465</v>
      </c>
    </row>
    <row r="2846" spans="1:14" hidden="1" x14ac:dyDescent="0.35">
      <c r="A2846" s="52" t="s">
        <v>222</v>
      </c>
      <c r="B2846" s="52" t="s">
        <v>210</v>
      </c>
      <c r="C2846" s="52" t="s">
        <v>209</v>
      </c>
      <c r="D2846" s="52" t="s">
        <v>209</v>
      </c>
      <c r="E2846" s="52" t="s">
        <v>584</v>
      </c>
      <c r="F2846" s="52" t="s">
        <v>581</v>
      </c>
      <c r="G2846" s="195" t="s">
        <v>279</v>
      </c>
      <c r="H2846" s="195">
        <v>44.59057</v>
      </c>
      <c r="I2846" s="195">
        <v>26.681629999999998</v>
      </c>
      <c r="J2846" s="195">
        <v>46.950249999999997</v>
      </c>
      <c r="K2846" s="195">
        <v>50.842739999999999</v>
      </c>
      <c r="L2846" s="195">
        <v>53.04551</v>
      </c>
      <c r="M2846" s="195">
        <v>47.999200000000002</v>
      </c>
      <c r="N2846" s="195">
        <v>41.892299999999999</v>
      </c>
    </row>
    <row r="2847" spans="1:14" hidden="1" x14ac:dyDescent="0.35">
      <c r="A2847" s="52" t="s">
        <v>222</v>
      </c>
      <c r="B2847" s="52" t="s">
        <v>210</v>
      </c>
      <c r="C2847" s="52" t="s">
        <v>209</v>
      </c>
      <c r="D2847" s="52" t="s">
        <v>209</v>
      </c>
      <c r="E2847" s="52" t="s">
        <v>584</v>
      </c>
      <c r="F2847" s="52" t="s">
        <v>26</v>
      </c>
      <c r="G2847" s="195" t="s">
        <v>275</v>
      </c>
      <c r="H2847" s="195">
        <v>-5.9694240000000001</v>
      </c>
      <c r="I2847" s="195">
        <v>-3.069661</v>
      </c>
      <c r="J2847" s="195">
        <v>-5.1754480000000003</v>
      </c>
      <c r="K2847" s="195">
        <v>-5.4279359999999999</v>
      </c>
      <c r="L2847" s="195">
        <v>-6.4901759999999999</v>
      </c>
      <c r="M2847" s="195">
        <v>-6.7525740000000001</v>
      </c>
      <c r="N2847" s="195">
        <v>-8.0447989999999994</v>
      </c>
    </row>
    <row r="2848" spans="1:14" hidden="1" x14ac:dyDescent="0.35">
      <c r="A2848" s="52" t="s">
        <v>222</v>
      </c>
      <c r="B2848" s="52" t="s">
        <v>210</v>
      </c>
      <c r="C2848" s="52" t="s">
        <v>209</v>
      </c>
      <c r="D2848" s="52" t="s">
        <v>209</v>
      </c>
      <c r="E2848" s="52" t="s">
        <v>584</v>
      </c>
      <c r="F2848" s="52" t="s">
        <v>26</v>
      </c>
      <c r="G2848" s="195" t="s">
        <v>276</v>
      </c>
      <c r="H2848" s="195">
        <v>19.87771</v>
      </c>
      <c r="I2848" s="195">
        <v>10.87731</v>
      </c>
      <c r="J2848" s="195">
        <v>21.422540000000001</v>
      </c>
      <c r="K2848" s="195">
        <v>22.262029999999999</v>
      </c>
      <c r="L2848" s="195">
        <v>23.68225</v>
      </c>
      <c r="M2848" s="195">
        <v>24.83296</v>
      </c>
      <c r="N2848" s="195">
        <v>23.901250000000001</v>
      </c>
    </row>
    <row r="2849" spans="1:14" hidden="1" x14ac:dyDescent="0.35">
      <c r="A2849" s="52" t="s">
        <v>222</v>
      </c>
      <c r="B2849" s="52" t="s">
        <v>210</v>
      </c>
      <c r="C2849" s="52" t="s">
        <v>209</v>
      </c>
      <c r="D2849" s="52" t="s">
        <v>209</v>
      </c>
      <c r="E2849" s="52" t="s">
        <v>584</v>
      </c>
      <c r="F2849" s="52" t="s">
        <v>26</v>
      </c>
      <c r="G2849" s="195" t="s">
        <v>277</v>
      </c>
      <c r="H2849" s="195">
        <v>1.2694430000000001</v>
      </c>
      <c r="I2849" s="195">
        <v>0.84069970000000005</v>
      </c>
      <c r="J2849" s="195">
        <v>0.65600009999999997</v>
      </c>
      <c r="K2849" s="195">
        <v>0.41</v>
      </c>
      <c r="L2849" s="195">
        <v>1.162936</v>
      </c>
      <c r="M2849" s="195">
        <v>1.14198</v>
      </c>
      <c r="N2849" s="195">
        <v>2.6603520000000001</v>
      </c>
    </row>
    <row r="2850" spans="1:14" hidden="1" x14ac:dyDescent="0.35">
      <c r="A2850" s="52" t="s">
        <v>222</v>
      </c>
      <c r="B2850" s="52" t="s">
        <v>210</v>
      </c>
      <c r="C2850" s="52" t="s">
        <v>209</v>
      </c>
      <c r="D2850" s="52" t="s">
        <v>209</v>
      </c>
      <c r="E2850" s="52" t="s">
        <v>584</v>
      </c>
      <c r="F2850" s="52" t="s">
        <v>26</v>
      </c>
      <c r="G2850" s="195" t="s">
        <v>278</v>
      </c>
      <c r="H2850" s="195">
        <v>0.147843</v>
      </c>
      <c r="I2850" s="195">
        <v>0.147843</v>
      </c>
      <c r="J2850" s="195">
        <v>0.147843</v>
      </c>
      <c r="K2850" s="195">
        <v>0.147843</v>
      </c>
      <c r="L2850" s="195">
        <v>0.147843</v>
      </c>
      <c r="M2850" s="195">
        <v>0.147843</v>
      </c>
      <c r="N2850" s="195">
        <v>0.147843</v>
      </c>
    </row>
    <row r="2851" spans="1:14" hidden="1" x14ac:dyDescent="0.35">
      <c r="A2851" s="52" t="s">
        <v>222</v>
      </c>
      <c r="B2851" s="52" t="s">
        <v>210</v>
      </c>
      <c r="C2851" s="52" t="s">
        <v>209</v>
      </c>
      <c r="D2851" s="52" t="s">
        <v>209</v>
      </c>
      <c r="E2851" s="52" t="s">
        <v>584</v>
      </c>
      <c r="F2851" s="52" t="s">
        <v>26</v>
      </c>
      <c r="G2851" s="195" t="s">
        <v>279</v>
      </c>
      <c r="H2851" s="195">
        <v>6.7160289999999998</v>
      </c>
      <c r="I2851" s="195">
        <v>3.3889420000000001</v>
      </c>
      <c r="J2851" s="195">
        <v>6.5494960000000004</v>
      </c>
      <c r="K2851" s="195">
        <v>7.2867769999999998</v>
      </c>
      <c r="L2851" s="195">
        <v>7.7377900000000004</v>
      </c>
      <c r="M2851" s="195">
        <v>8.0899099999999997</v>
      </c>
      <c r="N2851" s="195">
        <v>7.8034739999999996</v>
      </c>
    </row>
    <row r="2852" spans="1:14" hidden="1" x14ac:dyDescent="0.35">
      <c r="A2852" s="52" t="s">
        <v>222</v>
      </c>
      <c r="B2852" s="52" t="s">
        <v>210</v>
      </c>
      <c r="C2852" s="52" t="s">
        <v>376</v>
      </c>
      <c r="D2852" s="52" t="s">
        <v>376</v>
      </c>
      <c r="E2852" s="52" t="s">
        <v>584</v>
      </c>
      <c r="F2852" s="52" t="s">
        <v>581</v>
      </c>
      <c r="G2852" s="195" t="s">
        <v>275</v>
      </c>
      <c r="H2852" s="195">
        <v>-3.8232499999999998E-3</v>
      </c>
      <c r="I2852" s="195">
        <v>-3.8232499999999998E-3</v>
      </c>
      <c r="J2852" s="195">
        <v>0</v>
      </c>
      <c r="K2852" s="195">
        <v>0</v>
      </c>
      <c r="L2852" s="195">
        <v>0</v>
      </c>
      <c r="M2852" s="195">
        <v>0</v>
      </c>
      <c r="N2852" s="195">
        <v>0</v>
      </c>
    </row>
    <row r="2853" spans="1:14" hidden="1" x14ac:dyDescent="0.35">
      <c r="A2853" s="52" t="s">
        <v>222</v>
      </c>
      <c r="B2853" s="52" t="s">
        <v>210</v>
      </c>
      <c r="C2853" s="52" t="s">
        <v>318</v>
      </c>
      <c r="D2853" s="52" t="s">
        <v>318</v>
      </c>
      <c r="E2853" s="52" t="s">
        <v>584</v>
      </c>
      <c r="F2853" s="52" t="s">
        <v>581</v>
      </c>
      <c r="G2853" s="195" t="s">
        <v>275</v>
      </c>
      <c r="H2853" s="195">
        <v>5.269799E-2</v>
      </c>
      <c r="I2853" s="195">
        <v>0</v>
      </c>
      <c r="J2853" s="195"/>
      <c r="K2853" s="195"/>
      <c r="L2853" s="195"/>
      <c r="M2853" s="195"/>
      <c r="N2853" s="195"/>
    </row>
    <row r="2854" spans="1:14" hidden="1" x14ac:dyDescent="0.35">
      <c r="A2854" s="52" t="s">
        <v>222</v>
      </c>
      <c r="B2854" s="52" t="s">
        <v>210</v>
      </c>
      <c r="C2854" s="52" t="s">
        <v>376</v>
      </c>
      <c r="D2854" s="52" t="s">
        <v>376</v>
      </c>
      <c r="E2854" s="52" t="s">
        <v>584</v>
      </c>
      <c r="F2854" s="52" t="s">
        <v>581</v>
      </c>
      <c r="G2854" s="195" t="s">
        <v>276</v>
      </c>
      <c r="H2854" s="195"/>
      <c r="I2854" s="195"/>
      <c r="J2854" s="195">
        <v>-3.8232499999999998E-3</v>
      </c>
      <c r="K2854" s="195">
        <v>-3.8231680000000001E-3</v>
      </c>
      <c r="L2854" s="195">
        <v>-3.8232499999999998E-3</v>
      </c>
      <c r="M2854" s="195">
        <v>-3.8232499999999998E-3</v>
      </c>
      <c r="N2854" s="195">
        <v>-0.1256266</v>
      </c>
    </row>
    <row r="2855" spans="1:14" hidden="1" x14ac:dyDescent="0.35">
      <c r="A2855" s="52" t="s">
        <v>222</v>
      </c>
      <c r="B2855" s="52" t="s">
        <v>210</v>
      </c>
      <c r="C2855" s="52" t="s">
        <v>318</v>
      </c>
      <c r="D2855" s="52" t="s">
        <v>318</v>
      </c>
      <c r="E2855" s="52" t="s">
        <v>584</v>
      </c>
      <c r="F2855" s="52" t="s">
        <v>581</v>
      </c>
      <c r="G2855" s="195" t="s">
        <v>278</v>
      </c>
      <c r="H2855" s="195">
        <v>-5.269799E-2</v>
      </c>
      <c r="I2855" s="195">
        <v>0</v>
      </c>
      <c r="J2855" s="195"/>
      <c r="K2855" s="195"/>
      <c r="L2855" s="195"/>
      <c r="M2855" s="195"/>
      <c r="N2855" s="195"/>
    </row>
    <row r="2856" spans="1:14" hidden="1" x14ac:dyDescent="0.35">
      <c r="A2856" s="52" t="s">
        <v>222</v>
      </c>
      <c r="B2856" s="52" t="s">
        <v>210</v>
      </c>
      <c r="C2856" s="52" t="s">
        <v>376</v>
      </c>
      <c r="D2856" s="52" t="s">
        <v>376</v>
      </c>
      <c r="E2856" s="52" t="s">
        <v>584</v>
      </c>
      <c r="F2856" s="52" t="s">
        <v>581</v>
      </c>
      <c r="G2856" s="195" t="s">
        <v>278</v>
      </c>
      <c r="H2856" s="195">
        <v>3.8232499999999998E-3</v>
      </c>
      <c r="I2856" s="195">
        <v>3.8232499999999998E-3</v>
      </c>
      <c r="J2856" s="195">
        <v>3.8232499999999998E-3</v>
      </c>
      <c r="K2856" s="195">
        <v>3.8231680000000001E-3</v>
      </c>
      <c r="L2856" s="195">
        <v>3.8232499999999998E-3</v>
      </c>
      <c r="M2856" s="195">
        <v>3.8232499999999998E-3</v>
      </c>
      <c r="N2856" s="195">
        <v>0.1256266</v>
      </c>
    </row>
    <row r="2857" spans="1:14" hidden="1" x14ac:dyDescent="0.35">
      <c r="A2857" s="52" t="s">
        <v>222</v>
      </c>
      <c r="B2857" s="52" t="s">
        <v>210</v>
      </c>
      <c r="C2857" s="52" t="s">
        <v>318</v>
      </c>
      <c r="D2857" s="52" t="s">
        <v>318</v>
      </c>
      <c r="E2857" s="52" t="s">
        <v>584</v>
      </c>
      <c r="F2857" s="52" t="s">
        <v>26</v>
      </c>
      <c r="G2857" s="195" t="s">
        <v>275</v>
      </c>
      <c r="H2857" s="195">
        <v>3.5131990000000002E-2</v>
      </c>
      <c r="I2857" s="195">
        <v>0</v>
      </c>
      <c r="J2857" s="195"/>
      <c r="K2857" s="195"/>
      <c r="L2857" s="195"/>
      <c r="M2857" s="195"/>
      <c r="N2857" s="195"/>
    </row>
    <row r="2858" spans="1:14" hidden="1" x14ac:dyDescent="0.35">
      <c r="A2858" s="52" t="s">
        <v>222</v>
      </c>
      <c r="B2858" s="52" t="s">
        <v>210</v>
      </c>
      <c r="C2858" s="52" t="s">
        <v>318</v>
      </c>
      <c r="D2858" s="52" t="s">
        <v>318</v>
      </c>
      <c r="E2858" s="52" t="s">
        <v>584</v>
      </c>
      <c r="F2858" s="52" t="s">
        <v>26</v>
      </c>
      <c r="G2858" s="195" t="s">
        <v>278</v>
      </c>
      <c r="H2858" s="195">
        <v>-3.5131990000000002E-2</v>
      </c>
      <c r="I2858" s="195">
        <v>0</v>
      </c>
      <c r="J2858" s="195"/>
      <c r="K2858" s="195"/>
      <c r="L2858" s="195"/>
      <c r="M2858" s="195"/>
      <c r="N2858" s="195"/>
    </row>
    <row r="2859" spans="1:14" hidden="1" x14ac:dyDescent="0.35">
      <c r="A2859" s="52" t="s">
        <v>222</v>
      </c>
      <c r="B2859" s="52" t="s">
        <v>168</v>
      </c>
      <c r="C2859" s="52" t="s">
        <v>87</v>
      </c>
      <c r="D2859" s="52" t="s">
        <v>87</v>
      </c>
      <c r="E2859" s="52" t="s">
        <v>584</v>
      </c>
      <c r="F2859" s="52" t="s">
        <v>581</v>
      </c>
      <c r="G2859" s="195" t="s">
        <v>275</v>
      </c>
      <c r="H2859" s="195">
        <v>117.58929999999999</v>
      </c>
      <c r="I2859" s="195">
        <v>39.347549999999998</v>
      </c>
      <c r="J2859" s="195">
        <v>9.3562469999999998</v>
      </c>
      <c r="K2859" s="195">
        <v>2.4688539999999999</v>
      </c>
      <c r="L2859" s="195">
        <v>7.7753519999999998</v>
      </c>
      <c r="M2859" s="195">
        <v>7.1631229999999997</v>
      </c>
      <c r="N2859" s="195">
        <v>3.3436110000000001</v>
      </c>
    </row>
    <row r="2860" spans="1:14" hidden="1" x14ac:dyDescent="0.35">
      <c r="A2860" s="52" t="s">
        <v>222</v>
      </c>
      <c r="B2860" s="52" t="s">
        <v>168</v>
      </c>
      <c r="C2860" s="52" t="s">
        <v>87</v>
      </c>
      <c r="D2860" s="52" t="s">
        <v>87</v>
      </c>
      <c r="E2860" s="52" t="s">
        <v>584</v>
      </c>
      <c r="F2860" s="52" t="s">
        <v>581</v>
      </c>
      <c r="G2860" s="195" t="s">
        <v>276</v>
      </c>
      <c r="H2860" s="195">
        <v>-28.04035</v>
      </c>
      <c r="I2860" s="195">
        <v>-21.69725</v>
      </c>
      <c r="J2860" s="195">
        <v>-6.9928549999999996</v>
      </c>
      <c r="K2860" s="195">
        <v>2.0687129999999998</v>
      </c>
      <c r="L2860" s="195">
        <v>5.7188429999999997</v>
      </c>
      <c r="M2860" s="195">
        <v>4.7438669999999998</v>
      </c>
      <c r="N2860" s="195">
        <v>1.3280920000000001</v>
      </c>
    </row>
    <row r="2861" spans="1:14" hidden="1" x14ac:dyDescent="0.35">
      <c r="A2861" s="52" t="s">
        <v>222</v>
      </c>
      <c r="B2861" s="52" t="s">
        <v>168</v>
      </c>
      <c r="C2861" s="52" t="s">
        <v>87</v>
      </c>
      <c r="D2861" s="52" t="s">
        <v>87</v>
      </c>
      <c r="E2861" s="52" t="s">
        <v>584</v>
      </c>
      <c r="F2861" s="52" t="s">
        <v>581</v>
      </c>
      <c r="G2861" s="195" t="s">
        <v>277</v>
      </c>
      <c r="H2861" s="195">
        <v>6.1500009999999996</v>
      </c>
      <c r="I2861" s="195">
        <v>6.15</v>
      </c>
      <c r="J2861" s="195">
        <v>3.6782650000000001</v>
      </c>
      <c r="K2861" s="195">
        <v>2.4599869999999999</v>
      </c>
      <c r="L2861" s="195"/>
      <c r="M2861" s="195"/>
      <c r="N2861" s="195"/>
    </row>
    <row r="2862" spans="1:14" hidden="1" x14ac:dyDescent="0.35">
      <c r="A2862" s="52" t="s">
        <v>222</v>
      </c>
      <c r="B2862" s="52" t="s">
        <v>168</v>
      </c>
      <c r="C2862" s="52" t="s">
        <v>87</v>
      </c>
      <c r="D2862" s="52" t="s">
        <v>87</v>
      </c>
      <c r="E2862" s="52" t="s">
        <v>584</v>
      </c>
      <c r="F2862" s="52" t="s">
        <v>581</v>
      </c>
      <c r="G2862" s="195" t="s">
        <v>278</v>
      </c>
      <c r="H2862" s="195">
        <v>6.6533259999999999</v>
      </c>
      <c r="I2862" s="195">
        <v>0.131496</v>
      </c>
      <c r="J2862" s="195">
        <v>0.131496</v>
      </c>
      <c r="K2862" s="195">
        <v>0.131496</v>
      </c>
      <c r="L2862" s="195">
        <v>0.131496</v>
      </c>
      <c r="M2862" s="195">
        <v>0.131496</v>
      </c>
      <c r="N2862" s="195">
        <v>0.131496</v>
      </c>
    </row>
    <row r="2863" spans="1:14" hidden="1" x14ac:dyDescent="0.35">
      <c r="A2863" s="52" t="s">
        <v>222</v>
      </c>
      <c r="B2863" s="52" t="s">
        <v>168</v>
      </c>
      <c r="C2863" s="52" t="s">
        <v>87</v>
      </c>
      <c r="D2863" s="52" t="s">
        <v>87</v>
      </c>
      <c r="E2863" s="52" t="s">
        <v>584</v>
      </c>
      <c r="F2863" s="52" t="s">
        <v>581</v>
      </c>
      <c r="G2863" s="195" t="s">
        <v>279</v>
      </c>
      <c r="H2863" s="195">
        <v>36.604289999999999</v>
      </c>
      <c r="I2863" s="195">
        <v>34.759050000000002</v>
      </c>
      <c r="J2863" s="195">
        <v>33.41639</v>
      </c>
      <c r="K2863" s="195">
        <v>37.136670000000002</v>
      </c>
      <c r="L2863" s="195">
        <v>40.095030000000001</v>
      </c>
      <c r="M2863" s="195">
        <v>40.232959999999999</v>
      </c>
      <c r="N2863" s="195">
        <v>38.96846</v>
      </c>
    </row>
    <row r="2864" spans="1:14" hidden="1" x14ac:dyDescent="0.35">
      <c r="A2864" s="52" t="s">
        <v>222</v>
      </c>
      <c r="B2864" s="52" t="s">
        <v>168</v>
      </c>
      <c r="C2864" s="52" t="s">
        <v>87</v>
      </c>
      <c r="D2864" s="52" t="s">
        <v>87</v>
      </c>
      <c r="E2864" s="52" t="s">
        <v>584</v>
      </c>
      <c r="F2864" s="52" t="s">
        <v>26</v>
      </c>
      <c r="G2864" s="195" t="s">
        <v>275</v>
      </c>
      <c r="H2864" s="195">
        <v>5.4309250000000002</v>
      </c>
      <c r="I2864" s="195">
        <v>2.9076240000000002</v>
      </c>
      <c r="J2864" s="195">
        <v>3.1510509999999998</v>
      </c>
      <c r="K2864" s="195">
        <v>3.0873270000000002</v>
      </c>
      <c r="L2864" s="195">
        <v>4.0135209999999999</v>
      </c>
      <c r="M2864" s="195">
        <v>3.8482150000000002</v>
      </c>
      <c r="N2864" s="195">
        <v>3.201009</v>
      </c>
    </row>
    <row r="2865" spans="1:14" hidden="1" x14ac:dyDescent="0.35">
      <c r="A2865" s="52" t="s">
        <v>222</v>
      </c>
      <c r="B2865" s="52" t="s">
        <v>168</v>
      </c>
      <c r="C2865" s="52" t="s">
        <v>87</v>
      </c>
      <c r="D2865" s="52" t="s">
        <v>87</v>
      </c>
      <c r="E2865" s="52" t="s">
        <v>584</v>
      </c>
      <c r="F2865" s="52" t="s">
        <v>26</v>
      </c>
      <c r="G2865" s="195" t="s">
        <v>276</v>
      </c>
      <c r="H2865" s="195">
        <v>9.6549650000000007</v>
      </c>
      <c r="I2865" s="195">
        <v>5.3016909999999999</v>
      </c>
      <c r="J2865" s="195">
        <v>5.0276360000000002</v>
      </c>
      <c r="K2865" s="195">
        <v>5.1524700000000001</v>
      </c>
      <c r="L2865" s="195">
        <v>7.1351560000000003</v>
      </c>
      <c r="M2865" s="195">
        <v>6.8412699999999997</v>
      </c>
      <c r="N2865" s="195">
        <v>5.6906759999999998</v>
      </c>
    </row>
    <row r="2866" spans="1:14" hidden="1" x14ac:dyDescent="0.35">
      <c r="A2866" s="52" t="s">
        <v>222</v>
      </c>
      <c r="B2866" s="52" t="s">
        <v>168</v>
      </c>
      <c r="C2866" s="52" t="s">
        <v>87</v>
      </c>
      <c r="D2866" s="52" t="s">
        <v>87</v>
      </c>
      <c r="E2866" s="52" t="s">
        <v>584</v>
      </c>
      <c r="F2866" s="52" t="s">
        <v>26</v>
      </c>
      <c r="G2866" s="195" t="s">
        <v>279</v>
      </c>
      <c r="H2866" s="195">
        <v>4.3313499999999996</v>
      </c>
      <c r="I2866" s="195">
        <v>3.7429969999999999</v>
      </c>
      <c r="J2866" s="195">
        <v>3.657905</v>
      </c>
      <c r="K2866" s="195">
        <v>3.9481489999999999</v>
      </c>
      <c r="L2866" s="195">
        <v>5.1190100000000003</v>
      </c>
      <c r="M2866" s="195">
        <v>4.9291320000000001</v>
      </c>
      <c r="N2866" s="195">
        <v>4.2048160000000001</v>
      </c>
    </row>
    <row r="2867" spans="1:14" hidden="1" x14ac:dyDescent="0.35">
      <c r="A2867" s="52" t="s">
        <v>222</v>
      </c>
      <c r="B2867" s="52" t="s">
        <v>168</v>
      </c>
      <c r="C2867" s="52" t="s">
        <v>318</v>
      </c>
      <c r="D2867" s="52" t="s">
        <v>318</v>
      </c>
      <c r="E2867" s="52" t="s">
        <v>584</v>
      </c>
      <c r="F2867" s="52" t="s">
        <v>581</v>
      </c>
      <c r="G2867" s="195" t="s">
        <v>275</v>
      </c>
      <c r="H2867" s="195">
        <v>-2.7422200000000001</v>
      </c>
      <c r="I2867" s="195">
        <v>0</v>
      </c>
      <c r="J2867" s="195"/>
      <c r="K2867" s="195"/>
      <c r="L2867" s="195"/>
      <c r="M2867" s="195"/>
      <c r="N2867" s="195"/>
    </row>
    <row r="2868" spans="1:14" hidden="1" x14ac:dyDescent="0.35">
      <c r="A2868" s="52" t="s">
        <v>222</v>
      </c>
      <c r="B2868" s="52" t="s">
        <v>168</v>
      </c>
      <c r="C2868" s="52" t="s">
        <v>318</v>
      </c>
      <c r="D2868" s="52" t="s">
        <v>318</v>
      </c>
      <c r="E2868" s="52" t="s">
        <v>584</v>
      </c>
      <c r="F2868" s="52" t="s">
        <v>581</v>
      </c>
      <c r="G2868" s="195" t="s">
        <v>276</v>
      </c>
      <c r="H2868" s="195">
        <v>-7.8523379999999996</v>
      </c>
      <c r="I2868" s="195">
        <v>0</v>
      </c>
      <c r="J2868" s="195"/>
      <c r="K2868" s="195"/>
      <c r="L2868" s="195"/>
      <c r="M2868" s="195"/>
      <c r="N2868" s="195"/>
    </row>
    <row r="2869" spans="1:14" hidden="1" x14ac:dyDescent="0.35">
      <c r="A2869" s="52" t="s">
        <v>222</v>
      </c>
      <c r="B2869" s="52" t="s">
        <v>168</v>
      </c>
      <c r="C2869" s="52" t="s">
        <v>318</v>
      </c>
      <c r="D2869" s="52" t="s">
        <v>318</v>
      </c>
      <c r="E2869" s="52" t="s">
        <v>584</v>
      </c>
      <c r="F2869" s="52" t="s">
        <v>581</v>
      </c>
      <c r="G2869" s="195" t="s">
        <v>278</v>
      </c>
      <c r="H2869" s="195">
        <v>10.59456</v>
      </c>
      <c r="I2869" s="195">
        <v>0</v>
      </c>
      <c r="J2869" s="195"/>
      <c r="K2869" s="195"/>
      <c r="L2869" s="195"/>
      <c r="M2869" s="195"/>
      <c r="N2869" s="195"/>
    </row>
    <row r="2870" spans="1:14" hidden="1" x14ac:dyDescent="0.35">
      <c r="A2870" s="52" t="s">
        <v>222</v>
      </c>
      <c r="B2870" s="52" t="s">
        <v>168</v>
      </c>
      <c r="C2870" s="52" t="s">
        <v>318</v>
      </c>
      <c r="D2870" s="52" t="s">
        <v>318</v>
      </c>
      <c r="E2870" s="52" t="s">
        <v>584</v>
      </c>
      <c r="F2870" s="52" t="s">
        <v>26</v>
      </c>
      <c r="G2870" s="195" t="s">
        <v>275</v>
      </c>
      <c r="H2870" s="195">
        <v>-1.828146</v>
      </c>
      <c r="I2870" s="195">
        <v>0</v>
      </c>
      <c r="J2870" s="195"/>
      <c r="K2870" s="195"/>
      <c r="L2870" s="195"/>
      <c r="M2870" s="195"/>
      <c r="N2870" s="195"/>
    </row>
    <row r="2871" spans="1:14" hidden="1" x14ac:dyDescent="0.35">
      <c r="A2871" s="52" t="s">
        <v>222</v>
      </c>
      <c r="B2871" s="52" t="s">
        <v>168</v>
      </c>
      <c r="C2871" s="52" t="s">
        <v>318</v>
      </c>
      <c r="D2871" s="52" t="s">
        <v>318</v>
      </c>
      <c r="E2871" s="52" t="s">
        <v>584</v>
      </c>
      <c r="F2871" s="52" t="s">
        <v>26</v>
      </c>
      <c r="G2871" s="195" t="s">
        <v>276</v>
      </c>
      <c r="H2871" s="195">
        <v>-5.2348910000000002</v>
      </c>
      <c r="I2871" s="195">
        <v>0</v>
      </c>
      <c r="J2871" s="195"/>
      <c r="K2871" s="195"/>
      <c r="L2871" s="195"/>
      <c r="M2871" s="195"/>
      <c r="N2871" s="195"/>
    </row>
    <row r="2872" spans="1:14" hidden="1" x14ac:dyDescent="0.35">
      <c r="A2872" s="52" t="s">
        <v>222</v>
      </c>
      <c r="B2872" s="52" t="s">
        <v>168</v>
      </c>
      <c r="C2872" s="52" t="s">
        <v>318</v>
      </c>
      <c r="D2872" s="52" t="s">
        <v>318</v>
      </c>
      <c r="E2872" s="52" t="s">
        <v>584</v>
      </c>
      <c r="F2872" s="52" t="s">
        <v>26</v>
      </c>
      <c r="G2872" s="195" t="s">
        <v>278</v>
      </c>
      <c r="H2872" s="195">
        <v>7.0630379999999997</v>
      </c>
      <c r="I2872" s="195">
        <v>0</v>
      </c>
      <c r="J2872" s="195"/>
      <c r="K2872" s="195"/>
      <c r="L2872" s="195"/>
      <c r="M2872" s="195"/>
      <c r="N2872" s="195"/>
    </row>
    <row r="2873" spans="1:14" hidden="1" x14ac:dyDescent="0.35">
      <c r="A2873" s="52" t="s">
        <v>222</v>
      </c>
      <c r="B2873" s="52" t="s">
        <v>225</v>
      </c>
      <c r="C2873" s="52" t="s">
        <v>224</v>
      </c>
      <c r="D2873" s="52" t="s">
        <v>224</v>
      </c>
      <c r="E2873" s="52" t="s">
        <v>661</v>
      </c>
      <c r="F2873" s="52" t="s">
        <v>581</v>
      </c>
      <c r="G2873" s="195" t="s">
        <v>275</v>
      </c>
      <c r="H2873" s="195">
        <v>0</v>
      </c>
      <c r="I2873" s="195">
        <v>-6.6792040000000004</v>
      </c>
      <c r="J2873" s="195">
        <v>-4.5159079999999996</v>
      </c>
      <c r="K2873" s="195">
        <v>-2.215179</v>
      </c>
      <c r="L2873" s="195">
        <v>-0.9777361</v>
      </c>
      <c r="M2873" s="195">
        <v>0.7702386</v>
      </c>
      <c r="N2873" s="195">
        <v>0.53716079999999999</v>
      </c>
    </row>
    <row r="2874" spans="1:14" hidden="1" x14ac:dyDescent="0.35">
      <c r="A2874" s="52" t="s">
        <v>222</v>
      </c>
      <c r="B2874" s="52" t="s">
        <v>225</v>
      </c>
      <c r="C2874" s="52" t="s">
        <v>224</v>
      </c>
      <c r="D2874" s="52" t="s">
        <v>224</v>
      </c>
      <c r="E2874" s="52" t="s">
        <v>661</v>
      </c>
      <c r="F2874" s="52" t="s">
        <v>581</v>
      </c>
      <c r="G2874" s="195" t="s">
        <v>276</v>
      </c>
      <c r="H2874" s="195">
        <v>0</v>
      </c>
      <c r="I2874" s="195">
        <v>-0.59991499999999998</v>
      </c>
      <c r="J2874" s="195">
        <v>-0.70314220000000005</v>
      </c>
      <c r="K2874" s="195">
        <v>-0.77797459999999996</v>
      </c>
      <c r="L2874" s="195">
        <v>-0.86656960000000005</v>
      </c>
      <c r="M2874" s="195">
        <v>-0.84374539999999998</v>
      </c>
      <c r="N2874" s="195">
        <v>-0.471775</v>
      </c>
    </row>
    <row r="2875" spans="1:14" hidden="1" x14ac:dyDescent="0.35">
      <c r="A2875" s="52" t="s">
        <v>222</v>
      </c>
      <c r="B2875" s="52" t="s">
        <v>225</v>
      </c>
      <c r="C2875" s="52" t="s">
        <v>224</v>
      </c>
      <c r="D2875" s="52" t="s">
        <v>224</v>
      </c>
      <c r="E2875" s="52" t="s">
        <v>661</v>
      </c>
      <c r="F2875" s="52" t="s">
        <v>581</v>
      </c>
      <c r="G2875" s="195" t="s">
        <v>277</v>
      </c>
      <c r="H2875" s="195">
        <v>0</v>
      </c>
      <c r="I2875" s="195">
        <v>2.5619450000000001</v>
      </c>
      <c r="J2875" s="195">
        <v>1.7039880000000001</v>
      </c>
      <c r="K2875" s="195">
        <v>1.010208</v>
      </c>
      <c r="L2875" s="195">
        <v>0.53973899999999997</v>
      </c>
      <c r="M2875" s="195">
        <v>0</v>
      </c>
      <c r="N2875" s="195">
        <v>0</v>
      </c>
    </row>
    <row r="2876" spans="1:14" hidden="1" x14ac:dyDescent="0.35">
      <c r="A2876" s="52" t="s">
        <v>222</v>
      </c>
      <c r="B2876" s="52" t="s">
        <v>225</v>
      </c>
      <c r="C2876" s="52" t="s">
        <v>224</v>
      </c>
      <c r="D2876" s="52" t="s">
        <v>224</v>
      </c>
      <c r="E2876" s="52" t="s">
        <v>661</v>
      </c>
      <c r="F2876" s="52" t="s">
        <v>581</v>
      </c>
      <c r="G2876" s="195" t="s">
        <v>278</v>
      </c>
      <c r="H2876" s="195">
        <v>0</v>
      </c>
      <c r="I2876" s="195">
        <v>3.9439609999999998</v>
      </c>
      <c r="J2876" s="195">
        <v>3.2350150000000002</v>
      </c>
      <c r="K2876" s="195">
        <v>1.8275790000000001</v>
      </c>
      <c r="L2876" s="195">
        <v>1.1426989999999999</v>
      </c>
      <c r="M2876" s="195">
        <v>0</v>
      </c>
      <c r="N2876" s="195"/>
    </row>
    <row r="2877" spans="1:14" hidden="1" x14ac:dyDescent="0.35">
      <c r="A2877" s="52" t="s">
        <v>222</v>
      </c>
      <c r="B2877" s="52" t="s">
        <v>225</v>
      </c>
      <c r="C2877" s="52" t="s">
        <v>224</v>
      </c>
      <c r="D2877" s="52" t="s">
        <v>224</v>
      </c>
      <c r="E2877" s="52" t="s">
        <v>661</v>
      </c>
      <c r="F2877" s="52" t="s">
        <v>581</v>
      </c>
      <c r="G2877" s="195" t="s">
        <v>279</v>
      </c>
      <c r="H2877" s="195">
        <v>0</v>
      </c>
      <c r="I2877" s="195">
        <v>1.192331</v>
      </c>
      <c r="J2877" s="195">
        <v>1.6141300000000001</v>
      </c>
      <c r="K2877" s="195">
        <v>1.7652859999999999</v>
      </c>
      <c r="L2877" s="195">
        <v>1.75084</v>
      </c>
      <c r="M2877" s="195">
        <v>1.282718</v>
      </c>
      <c r="N2877" s="195">
        <v>0.90778919999999996</v>
      </c>
    </row>
    <row r="2878" spans="1:14" hidden="1" x14ac:dyDescent="0.35">
      <c r="A2878" s="52" t="s">
        <v>222</v>
      </c>
      <c r="B2878" s="52" t="s">
        <v>225</v>
      </c>
      <c r="C2878" s="52" t="s">
        <v>224</v>
      </c>
      <c r="D2878" s="52" t="s">
        <v>224</v>
      </c>
      <c r="E2878" s="52" t="s">
        <v>661</v>
      </c>
      <c r="F2878" s="52" t="s">
        <v>26</v>
      </c>
      <c r="G2878" s="195" t="s">
        <v>275</v>
      </c>
      <c r="H2878" s="195">
        <v>0</v>
      </c>
      <c r="I2878" s="195">
        <v>-0.17063039999999999</v>
      </c>
      <c r="J2878" s="195">
        <v>-0.1314612</v>
      </c>
      <c r="K2878" s="195">
        <v>-0.12554380000000001</v>
      </c>
      <c r="L2878" s="195">
        <v>-0.12546640000000001</v>
      </c>
      <c r="M2878" s="195">
        <v>-8.5921999999999998E-2</v>
      </c>
      <c r="N2878" s="195">
        <v>-4.5447599999999998E-2</v>
      </c>
    </row>
    <row r="2879" spans="1:14" hidden="1" x14ac:dyDescent="0.35">
      <c r="A2879" s="52" t="s">
        <v>222</v>
      </c>
      <c r="B2879" s="52" t="s">
        <v>225</v>
      </c>
      <c r="C2879" s="52" t="s">
        <v>224</v>
      </c>
      <c r="D2879" s="52" t="s">
        <v>224</v>
      </c>
      <c r="E2879" s="52" t="s">
        <v>661</v>
      </c>
      <c r="F2879" s="52" t="s">
        <v>26</v>
      </c>
      <c r="G2879" s="195" t="s">
        <v>276</v>
      </c>
      <c r="H2879" s="195">
        <v>0</v>
      </c>
      <c r="I2879" s="195">
        <v>-6.9423600000000002E-2</v>
      </c>
      <c r="J2879" s="195">
        <v>-4.9540399999999998E-2</v>
      </c>
      <c r="K2879" s="195">
        <v>-4.3721200000000002E-2</v>
      </c>
      <c r="L2879" s="195">
        <v>-4.36946E-2</v>
      </c>
      <c r="M2879" s="195">
        <v>-2.9922199999999999E-2</v>
      </c>
      <c r="N2879" s="195">
        <v>-1.5827399999999998E-2</v>
      </c>
    </row>
    <row r="2880" spans="1:14" hidden="1" x14ac:dyDescent="0.35">
      <c r="A2880" s="52" t="s">
        <v>222</v>
      </c>
      <c r="B2880" s="52" t="s">
        <v>225</v>
      </c>
      <c r="C2880" s="52" t="s">
        <v>224</v>
      </c>
      <c r="D2880" s="52" t="s">
        <v>224</v>
      </c>
      <c r="E2880" s="52" t="s">
        <v>661</v>
      </c>
      <c r="F2880" s="52" t="s">
        <v>26</v>
      </c>
      <c r="G2880" s="195" t="s">
        <v>279</v>
      </c>
      <c r="H2880" s="195">
        <v>0</v>
      </c>
      <c r="I2880" s="195">
        <v>0.28213159999999998</v>
      </c>
      <c r="J2880" s="195">
        <v>0.3409334</v>
      </c>
      <c r="K2880" s="195">
        <v>0.36170099999999999</v>
      </c>
      <c r="L2880" s="195">
        <v>0.35903620000000003</v>
      </c>
      <c r="M2880" s="195">
        <v>0.26054699999999997</v>
      </c>
      <c r="N2880" s="195">
        <v>0.17773659999999999</v>
      </c>
    </row>
    <row r="2881" spans="1:14" hidden="1" x14ac:dyDescent="0.35">
      <c r="A2881" s="52" t="s">
        <v>222</v>
      </c>
      <c r="B2881" s="52" t="s">
        <v>225</v>
      </c>
      <c r="C2881" s="52" t="s">
        <v>318</v>
      </c>
      <c r="D2881" s="52" t="s">
        <v>318</v>
      </c>
      <c r="E2881" s="52" t="s">
        <v>584</v>
      </c>
      <c r="F2881" s="52" t="s">
        <v>581</v>
      </c>
      <c r="G2881" s="195" t="s">
        <v>275</v>
      </c>
      <c r="H2881" s="195">
        <v>1.779066</v>
      </c>
      <c r="I2881" s="195">
        <v>0</v>
      </c>
      <c r="J2881" s="195"/>
      <c r="K2881" s="195"/>
      <c r="L2881" s="195"/>
      <c r="M2881" s="195"/>
      <c r="N2881" s="195"/>
    </row>
    <row r="2882" spans="1:14" hidden="1" x14ac:dyDescent="0.35">
      <c r="A2882" s="52" t="s">
        <v>222</v>
      </c>
      <c r="B2882" s="52" t="s">
        <v>225</v>
      </c>
      <c r="C2882" s="52" t="s">
        <v>318</v>
      </c>
      <c r="D2882" s="52" t="s">
        <v>318</v>
      </c>
      <c r="E2882" s="52" t="s">
        <v>584</v>
      </c>
      <c r="F2882" s="52" t="s">
        <v>581</v>
      </c>
      <c r="G2882" s="195" t="s">
        <v>276</v>
      </c>
      <c r="H2882" s="195">
        <v>-2.0647479999999998</v>
      </c>
      <c r="I2882" s="195">
        <v>0</v>
      </c>
      <c r="J2882" s="195"/>
      <c r="K2882" s="195"/>
      <c r="L2882" s="195"/>
      <c r="M2882" s="195"/>
      <c r="N2882" s="195"/>
    </row>
    <row r="2883" spans="1:14" hidden="1" x14ac:dyDescent="0.35">
      <c r="A2883" s="52" t="s">
        <v>222</v>
      </c>
      <c r="B2883" s="52" t="s">
        <v>225</v>
      </c>
      <c r="C2883" s="52" t="s">
        <v>318</v>
      </c>
      <c r="D2883" s="52" t="s">
        <v>318</v>
      </c>
      <c r="E2883" s="52" t="s">
        <v>584</v>
      </c>
      <c r="F2883" s="52" t="s">
        <v>581</v>
      </c>
      <c r="G2883" s="195" t="s">
        <v>278</v>
      </c>
      <c r="H2883" s="195">
        <v>0.28567999999999999</v>
      </c>
      <c r="I2883" s="195">
        <v>0</v>
      </c>
      <c r="J2883" s="195"/>
      <c r="K2883" s="195"/>
      <c r="L2883" s="195"/>
      <c r="M2883" s="195"/>
      <c r="N2883" s="195"/>
    </row>
    <row r="2884" spans="1:14" hidden="1" x14ac:dyDescent="0.35">
      <c r="A2884" s="52" t="s">
        <v>222</v>
      </c>
      <c r="B2884" s="52" t="s">
        <v>225</v>
      </c>
      <c r="C2884" s="52" t="s">
        <v>318</v>
      </c>
      <c r="D2884" s="52" t="s">
        <v>318</v>
      </c>
      <c r="E2884" s="52" t="s">
        <v>584</v>
      </c>
      <c r="F2884" s="52" t="s">
        <v>26</v>
      </c>
      <c r="G2884" s="195" t="s">
        <v>275</v>
      </c>
      <c r="H2884" s="195">
        <v>1.1860440000000001</v>
      </c>
      <c r="I2884" s="195">
        <v>0</v>
      </c>
      <c r="J2884" s="195"/>
      <c r="K2884" s="195"/>
      <c r="L2884" s="195"/>
      <c r="M2884" s="195"/>
      <c r="N2884" s="195"/>
    </row>
    <row r="2885" spans="1:14" hidden="1" x14ac:dyDescent="0.35">
      <c r="A2885" s="52" t="s">
        <v>222</v>
      </c>
      <c r="B2885" s="52" t="s">
        <v>225</v>
      </c>
      <c r="C2885" s="52" t="s">
        <v>318</v>
      </c>
      <c r="D2885" s="52" t="s">
        <v>318</v>
      </c>
      <c r="E2885" s="52" t="s">
        <v>584</v>
      </c>
      <c r="F2885" s="52" t="s">
        <v>26</v>
      </c>
      <c r="G2885" s="195" t="s">
        <v>276</v>
      </c>
      <c r="H2885" s="195">
        <v>-1.376498</v>
      </c>
      <c r="I2885" s="195">
        <v>0</v>
      </c>
      <c r="J2885" s="195"/>
      <c r="K2885" s="195"/>
      <c r="L2885" s="195"/>
      <c r="M2885" s="195"/>
      <c r="N2885" s="195"/>
    </row>
    <row r="2886" spans="1:14" hidden="1" x14ac:dyDescent="0.35">
      <c r="A2886" s="52" t="s">
        <v>222</v>
      </c>
      <c r="B2886" s="52" t="s">
        <v>225</v>
      </c>
      <c r="C2886" s="52" t="s">
        <v>318</v>
      </c>
      <c r="D2886" s="52" t="s">
        <v>318</v>
      </c>
      <c r="E2886" s="52" t="s">
        <v>584</v>
      </c>
      <c r="F2886" s="52" t="s">
        <v>26</v>
      </c>
      <c r="G2886" s="195" t="s">
        <v>278</v>
      </c>
      <c r="H2886" s="195">
        <v>0.19045400000000001</v>
      </c>
      <c r="I2886" s="195">
        <v>0</v>
      </c>
      <c r="J2886" s="195"/>
      <c r="K2886" s="195"/>
      <c r="L2886" s="195"/>
      <c r="M2886" s="195"/>
      <c r="N2886" s="195"/>
    </row>
    <row r="2887" spans="1:14" hidden="1" x14ac:dyDescent="0.35">
      <c r="A2887" s="52" t="s">
        <v>222</v>
      </c>
      <c r="B2887" s="52" t="s">
        <v>74</v>
      </c>
      <c r="C2887" s="52" t="s">
        <v>318</v>
      </c>
      <c r="D2887" s="52" t="s">
        <v>318</v>
      </c>
      <c r="E2887" s="52" t="s">
        <v>584</v>
      </c>
      <c r="F2887" s="52" t="s">
        <v>581</v>
      </c>
      <c r="G2887" s="195" t="s">
        <v>275</v>
      </c>
      <c r="H2887" s="195">
        <v>0</v>
      </c>
      <c r="I2887" s="195"/>
      <c r="J2887" s="195"/>
      <c r="K2887" s="195"/>
      <c r="L2887" s="195"/>
      <c r="M2887" s="195"/>
      <c r="N2887" s="195"/>
    </row>
    <row r="2888" spans="1:14" hidden="1" x14ac:dyDescent="0.35">
      <c r="A2888" s="52" t="s">
        <v>222</v>
      </c>
      <c r="B2888" s="52" t="s">
        <v>307</v>
      </c>
      <c r="C2888" s="52" t="s">
        <v>318</v>
      </c>
      <c r="D2888" s="52" t="s">
        <v>318</v>
      </c>
      <c r="E2888" s="52" t="s">
        <v>584</v>
      </c>
      <c r="F2888" s="52" t="s">
        <v>581</v>
      </c>
      <c r="G2888" s="195" t="s">
        <v>275</v>
      </c>
      <c r="H2888" s="195">
        <v>0</v>
      </c>
      <c r="I2888" s="195"/>
      <c r="J2888" s="195"/>
      <c r="K2888" s="195"/>
      <c r="L2888" s="195"/>
      <c r="M2888" s="195"/>
      <c r="N2888" s="195"/>
    </row>
    <row r="2889" spans="1:14" hidden="1" x14ac:dyDescent="0.35">
      <c r="A2889" s="52" t="s">
        <v>222</v>
      </c>
      <c r="B2889" s="52" t="s">
        <v>60</v>
      </c>
      <c r="C2889" s="52" t="s">
        <v>318</v>
      </c>
      <c r="D2889" s="52" t="s">
        <v>318</v>
      </c>
      <c r="E2889" s="52" t="s">
        <v>584</v>
      </c>
      <c r="F2889" s="52" t="s">
        <v>581</v>
      </c>
      <c r="G2889" s="195" t="s">
        <v>275</v>
      </c>
      <c r="H2889" s="195">
        <v>3.1986000000000001E-2</v>
      </c>
      <c r="I2889" s="195">
        <v>0</v>
      </c>
      <c r="J2889" s="195"/>
      <c r="K2889" s="195"/>
      <c r="L2889" s="195"/>
      <c r="M2889" s="195"/>
      <c r="N2889" s="195"/>
    </row>
    <row r="2890" spans="1:14" hidden="1" x14ac:dyDescent="0.35">
      <c r="A2890" s="52" t="s">
        <v>222</v>
      </c>
      <c r="B2890" s="52" t="s">
        <v>307</v>
      </c>
      <c r="C2890" s="52" t="s">
        <v>318</v>
      </c>
      <c r="D2890" s="52" t="s">
        <v>318</v>
      </c>
      <c r="E2890" s="52" t="s">
        <v>584</v>
      </c>
      <c r="F2890" s="52" t="s">
        <v>581</v>
      </c>
      <c r="G2890" s="195" t="s">
        <v>276</v>
      </c>
      <c r="H2890" s="195">
        <v>0</v>
      </c>
      <c r="I2890" s="195"/>
      <c r="J2890" s="195"/>
      <c r="K2890" s="195"/>
      <c r="L2890" s="195"/>
      <c r="M2890" s="195"/>
      <c r="N2890" s="195"/>
    </row>
    <row r="2891" spans="1:14" hidden="1" x14ac:dyDescent="0.35">
      <c r="A2891" s="52" t="s">
        <v>222</v>
      </c>
      <c r="B2891" s="52" t="s">
        <v>60</v>
      </c>
      <c r="C2891" s="52" t="s">
        <v>318</v>
      </c>
      <c r="D2891" s="52" t="s">
        <v>318</v>
      </c>
      <c r="E2891" s="52" t="s">
        <v>584</v>
      </c>
      <c r="F2891" s="52" t="s">
        <v>581</v>
      </c>
      <c r="G2891" s="195" t="s">
        <v>278</v>
      </c>
      <c r="H2891" s="195">
        <v>-3.1986000000000001E-2</v>
      </c>
      <c r="I2891" s="195">
        <v>0</v>
      </c>
      <c r="J2891" s="195"/>
      <c r="K2891" s="195"/>
      <c r="L2891" s="195"/>
      <c r="M2891" s="195"/>
      <c r="N2891" s="195"/>
    </row>
    <row r="2892" spans="1:14" hidden="1" x14ac:dyDescent="0.35">
      <c r="A2892" s="52" t="s">
        <v>222</v>
      </c>
      <c r="B2892" s="52" t="s">
        <v>307</v>
      </c>
      <c r="C2892" s="52" t="s">
        <v>318</v>
      </c>
      <c r="D2892" s="52" t="s">
        <v>318</v>
      </c>
      <c r="E2892" s="52" t="s">
        <v>584</v>
      </c>
      <c r="F2892" s="52" t="s">
        <v>581</v>
      </c>
      <c r="G2892" s="195" t="s">
        <v>278</v>
      </c>
      <c r="H2892" s="195">
        <v>0</v>
      </c>
      <c r="I2892" s="195"/>
      <c r="J2892" s="195"/>
      <c r="K2892" s="195"/>
      <c r="L2892" s="195"/>
      <c r="M2892" s="195"/>
      <c r="N2892" s="195"/>
    </row>
    <row r="2893" spans="1:14" hidden="1" x14ac:dyDescent="0.35">
      <c r="A2893" s="52" t="s">
        <v>222</v>
      </c>
      <c r="B2893" s="52" t="s">
        <v>74</v>
      </c>
      <c r="C2893" s="52" t="s">
        <v>318</v>
      </c>
      <c r="D2893" s="52" t="s">
        <v>318</v>
      </c>
      <c r="E2893" s="52" t="s">
        <v>584</v>
      </c>
      <c r="F2893" s="52" t="s">
        <v>581</v>
      </c>
      <c r="G2893" s="195" t="s">
        <v>278</v>
      </c>
      <c r="H2893" s="195">
        <v>0</v>
      </c>
      <c r="I2893" s="195"/>
      <c r="J2893" s="195"/>
      <c r="K2893" s="195"/>
      <c r="L2893" s="195"/>
      <c r="M2893" s="195"/>
      <c r="N2893" s="195"/>
    </row>
    <row r="2894" spans="1:14" hidden="1" x14ac:dyDescent="0.35">
      <c r="A2894" s="52" t="s">
        <v>222</v>
      </c>
      <c r="B2894" s="52" t="s">
        <v>60</v>
      </c>
      <c r="C2894" s="52" t="s">
        <v>214</v>
      </c>
      <c r="D2894" s="52" t="s">
        <v>214</v>
      </c>
      <c r="E2894" s="52" t="s">
        <v>584</v>
      </c>
      <c r="F2894" s="52" t="s">
        <v>26</v>
      </c>
      <c r="G2894" s="195" t="s">
        <v>275</v>
      </c>
      <c r="H2894" s="195">
        <v>-0.123641</v>
      </c>
      <c r="I2894" s="195">
        <v>-8.0491999999999994E-2</v>
      </c>
      <c r="J2894" s="195">
        <v>0</v>
      </c>
      <c r="K2894" s="195">
        <v>0</v>
      </c>
      <c r="L2894" s="195">
        <v>0</v>
      </c>
      <c r="M2894" s="195">
        <v>0</v>
      </c>
      <c r="N2894" s="195">
        <v>0</v>
      </c>
    </row>
    <row r="2895" spans="1:14" hidden="1" x14ac:dyDescent="0.35">
      <c r="A2895" s="52" t="s">
        <v>222</v>
      </c>
      <c r="B2895" s="52" t="s">
        <v>60</v>
      </c>
      <c r="C2895" s="52" t="s">
        <v>318</v>
      </c>
      <c r="D2895" s="52" t="s">
        <v>318</v>
      </c>
      <c r="E2895" s="52" t="s">
        <v>584</v>
      </c>
      <c r="F2895" s="52" t="s">
        <v>26</v>
      </c>
      <c r="G2895" s="195" t="s">
        <v>275</v>
      </c>
      <c r="H2895" s="195">
        <v>2.1323999999999999E-2</v>
      </c>
      <c r="I2895" s="195">
        <v>0</v>
      </c>
      <c r="J2895" s="195"/>
      <c r="K2895" s="195"/>
      <c r="L2895" s="195"/>
      <c r="M2895" s="195"/>
      <c r="N2895" s="195"/>
    </row>
    <row r="2896" spans="1:14" hidden="1" x14ac:dyDescent="0.35">
      <c r="A2896" s="52" t="s">
        <v>222</v>
      </c>
      <c r="B2896" s="52" t="s">
        <v>74</v>
      </c>
      <c r="C2896" s="52" t="s">
        <v>146</v>
      </c>
      <c r="D2896" s="52" t="s">
        <v>221</v>
      </c>
      <c r="E2896" s="52" t="s">
        <v>584</v>
      </c>
      <c r="F2896" s="52" t="s">
        <v>26</v>
      </c>
      <c r="G2896" s="195" t="s">
        <v>275</v>
      </c>
      <c r="H2896" s="195">
        <v>0</v>
      </c>
      <c r="I2896" s="195"/>
      <c r="J2896" s="195"/>
      <c r="K2896" s="195"/>
      <c r="L2896" s="195"/>
      <c r="M2896" s="195"/>
      <c r="N2896" s="195"/>
    </row>
    <row r="2897" spans="1:14" hidden="1" x14ac:dyDescent="0.35">
      <c r="A2897" s="52" t="s">
        <v>222</v>
      </c>
      <c r="B2897" s="52" t="s">
        <v>307</v>
      </c>
      <c r="C2897" s="52" t="s">
        <v>318</v>
      </c>
      <c r="D2897" s="52" t="s">
        <v>318</v>
      </c>
      <c r="E2897" s="52" t="s">
        <v>584</v>
      </c>
      <c r="F2897" s="52" t="s">
        <v>26</v>
      </c>
      <c r="G2897" s="195" t="s">
        <v>275</v>
      </c>
      <c r="H2897" s="195">
        <v>0</v>
      </c>
      <c r="I2897" s="195"/>
      <c r="J2897" s="195"/>
      <c r="K2897" s="195"/>
      <c r="L2897" s="195"/>
      <c r="M2897" s="195"/>
      <c r="N2897" s="195"/>
    </row>
    <row r="2898" spans="1:14" hidden="1" x14ac:dyDescent="0.35">
      <c r="A2898" s="52" t="s">
        <v>222</v>
      </c>
      <c r="B2898" s="52" t="s">
        <v>74</v>
      </c>
      <c r="C2898" s="52" t="s">
        <v>318</v>
      </c>
      <c r="D2898" s="52" t="s">
        <v>318</v>
      </c>
      <c r="E2898" s="52" t="s">
        <v>584</v>
      </c>
      <c r="F2898" s="52" t="s">
        <v>26</v>
      </c>
      <c r="G2898" s="195" t="s">
        <v>275</v>
      </c>
      <c r="H2898" s="195">
        <v>0</v>
      </c>
      <c r="I2898" s="195"/>
      <c r="J2898" s="195"/>
      <c r="K2898" s="195"/>
      <c r="L2898" s="195"/>
      <c r="M2898" s="195"/>
      <c r="N2898" s="195"/>
    </row>
    <row r="2899" spans="1:14" hidden="1" x14ac:dyDescent="0.35">
      <c r="A2899" s="52" t="s">
        <v>222</v>
      </c>
      <c r="B2899" s="52" t="s">
        <v>307</v>
      </c>
      <c r="C2899" s="52" t="s">
        <v>318</v>
      </c>
      <c r="D2899" s="52" t="s">
        <v>318</v>
      </c>
      <c r="E2899" s="52" t="s">
        <v>584</v>
      </c>
      <c r="F2899" s="52" t="s">
        <v>26</v>
      </c>
      <c r="G2899" s="195" t="s">
        <v>276</v>
      </c>
      <c r="H2899" s="195">
        <v>0</v>
      </c>
      <c r="I2899" s="195"/>
      <c r="J2899" s="195"/>
      <c r="K2899" s="195"/>
      <c r="L2899" s="195"/>
      <c r="M2899" s="195"/>
      <c r="N2899" s="195"/>
    </row>
    <row r="2900" spans="1:14" hidden="1" x14ac:dyDescent="0.35">
      <c r="A2900" s="52" t="s">
        <v>222</v>
      </c>
      <c r="B2900" s="52" t="s">
        <v>60</v>
      </c>
      <c r="C2900" s="52" t="s">
        <v>214</v>
      </c>
      <c r="D2900" s="52" t="s">
        <v>214</v>
      </c>
      <c r="E2900" s="52" t="s">
        <v>584</v>
      </c>
      <c r="F2900" s="52" t="s">
        <v>26</v>
      </c>
      <c r="G2900" s="195" t="s">
        <v>276</v>
      </c>
      <c r="H2900" s="195"/>
      <c r="I2900" s="195"/>
      <c r="J2900" s="195">
        <v>-7.5956999999999997E-2</v>
      </c>
      <c r="K2900" s="195">
        <v>-0.274065</v>
      </c>
      <c r="L2900" s="195">
        <v>-36.457970000000003</v>
      </c>
      <c r="M2900" s="195">
        <v>-0.18386</v>
      </c>
      <c r="N2900" s="195">
        <v>-0.18386</v>
      </c>
    </row>
    <row r="2901" spans="1:14" hidden="1" x14ac:dyDescent="0.35">
      <c r="A2901" s="52" t="s">
        <v>222</v>
      </c>
      <c r="B2901" s="52" t="s">
        <v>74</v>
      </c>
      <c r="C2901" s="52" t="s">
        <v>146</v>
      </c>
      <c r="D2901" s="52" t="s">
        <v>221</v>
      </c>
      <c r="E2901" s="52" t="s">
        <v>584</v>
      </c>
      <c r="F2901" s="52" t="s">
        <v>26</v>
      </c>
      <c r="G2901" s="195" t="s">
        <v>276</v>
      </c>
      <c r="H2901" s="195">
        <v>0</v>
      </c>
      <c r="I2901" s="195"/>
      <c r="J2901" s="195"/>
      <c r="K2901" s="195"/>
      <c r="L2901" s="195"/>
      <c r="M2901" s="195"/>
      <c r="N2901" s="195"/>
    </row>
    <row r="2902" spans="1:14" hidden="1" x14ac:dyDescent="0.35">
      <c r="A2902" s="52" t="s">
        <v>222</v>
      </c>
      <c r="B2902" s="52" t="s">
        <v>307</v>
      </c>
      <c r="C2902" s="52" t="s">
        <v>318</v>
      </c>
      <c r="D2902" s="52" t="s">
        <v>318</v>
      </c>
      <c r="E2902" s="52" t="s">
        <v>584</v>
      </c>
      <c r="F2902" s="52" t="s">
        <v>26</v>
      </c>
      <c r="G2902" s="195" t="s">
        <v>278</v>
      </c>
      <c r="H2902" s="195">
        <v>0</v>
      </c>
      <c r="I2902" s="195"/>
      <c r="J2902" s="195"/>
      <c r="K2902" s="195"/>
      <c r="L2902" s="195"/>
      <c r="M2902" s="195"/>
      <c r="N2902" s="195"/>
    </row>
    <row r="2903" spans="1:14" hidden="1" x14ac:dyDescent="0.35">
      <c r="A2903" s="52" t="s">
        <v>222</v>
      </c>
      <c r="B2903" s="52" t="s">
        <v>74</v>
      </c>
      <c r="C2903" s="52" t="s">
        <v>318</v>
      </c>
      <c r="D2903" s="52" t="s">
        <v>318</v>
      </c>
      <c r="E2903" s="52" t="s">
        <v>584</v>
      </c>
      <c r="F2903" s="52" t="s">
        <v>26</v>
      </c>
      <c r="G2903" s="195" t="s">
        <v>278</v>
      </c>
      <c r="H2903" s="195">
        <v>0</v>
      </c>
      <c r="I2903" s="195"/>
      <c r="J2903" s="195"/>
      <c r="K2903" s="195"/>
      <c r="L2903" s="195"/>
      <c r="M2903" s="195"/>
      <c r="N2903" s="195"/>
    </row>
    <row r="2904" spans="1:14" hidden="1" x14ac:dyDescent="0.35">
      <c r="A2904" s="52" t="s">
        <v>222</v>
      </c>
      <c r="B2904" s="52" t="s">
        <v>60</v>
      </c>
      <c r="C2904" s="52" t="s">
        <v>214</v>
      </c>
      <c r="D2904" s="52" t="s">
        <v>214</v>
      </c>
      <c r="E2904" s="52" t="s">
        <v>584</v>
      </c>
      <c r="F2904" s="52" t="s">
        <v>26</v>
      </c>
      <c r="G2904" s="195" t="s">
        <v>278</v>
      </c>
      <c r="H2904" s="195">
        <v>0.123641</v>
      </c>
      <c r="I2904" s="195">
        <v>8.0491999999999994E-2</v>
      </c>
      <c r="J2904" s="195">
        <v>7.5956999999999997E-2</v>
      </c>
      <c r="K2904" s="195">
        <v>0.274065</v>
      </c>
      <c r="L2904" s="195">
        <v>36.457970000000003</v>
      </c>
      <c r="M2904" s="195">
        <v>0.18386</v>
      </c>
      <c r="N2904" s="195">
        <v>0.18386</v>
      </c>
    </row>
    <row r="2905" spans="1:14" hidden="1" x14ac:dyDescent="0.35">
      <c r="A2905" s="52" t="s">
        <v>222</v>
      </c>
      <c r="B2905" s="52" t="s">
        <v>60</v>
      </c>
      <c r="C2905" s="52" t="s">
        <v>318</v>
      </c>
      <c r="D2905" s="52" t="s">
        <v>318</v>
      </c>
      <c r="E2905" s="52" t="s">
        <v>584</v>
      </c>
      <c r="F2905" s="52" t="s">
        <v>26</v>
      </c>
      <c r="G2905" s="195" t="s">
        <v>278</v>
      </c>
      <c r="H2905" s="195">
        <v>-2.1323999999999999E-2</v>
      </c>
      <c r="I2905" s="195">
        <v>0</v>
      </c>
      <c r="J2905" s="195"/>
      <c r="K2905" s="195"/>
      <c r="L2905" s="195"/>
      <c r="M2905" s="195"/>
      <c r="N2905" s="195"/>
    </row>
    <row r="2906" spans="1:14" hidden="1" x14ac:dyDescent="0.35">
      <c r="A2906" s="52" t="s">
        <v>222</v>
      </c>
      <c r="B2906" s="52" t="s">
        <v>74</v>
      </c>
      <c r="C2906" s="52" t="s">
        <v>146</v>
      </c>
      <c r="D2906" s="52" t="s">
        <v>221</v>
      </c>
      <c r="E2906" s="52" t="s">
        <v>584</v>
      </c>
      <c r="F2906" s="52" t="s">
        <v>26</v>
      </c>
      <c r="G2906" s="195" t="s">
        <v>279</v>
      </c>
      <c r="H2906" s="195">
        <v>0</v>
      </c>
      <c r="I2906" s="195"/>
      <c r="J2906" s="195"/>
      <c r="K2906" s="195"/>
      <c r="L2906" s="195"/>
      <c r="M2906" s="195"/>
      <c r="N2906" s="195"/>
    </row>
    <row r="2907" spans="1:14" hidden="1" x14ac:dyDescent="0.35">
      <c r="A2907" s="52" t="s">
        <v>222</v>
      </c>
      <c r="B2907" s="52" t="s">
        <v>291</v>
      </c>
      <c r="C2907" s="52" t="s">
        <v>318</v>
      </c>
      <c r="D2907" s="52" t="s">
        <v>318</v>
      </c>
      <c r="E2907" s="52" t="s">
        <v>584</v>
      </c>
      <c r="F2907" s="52" t="s">
        <v>581</v>
      </c>
      <c r="G2907" s="195" t="s">
        <v>275</v>
      </c>
      <c r="H2907" s="195">
        <v>5.7287090000000003</v>
      </c>
      <c r="I2907" s="195">
        <v>0</v>
      </c>
      <c r="J2907" s="195"/>
      <c r="K2907" s="195"/>
      <c r="L2907" s="195"/>
      <c r="M2907" s="195"/>
      <c r="N2907" s="195"/>
    </row>
    <row r="2908" spans="1:14" hidden="1" x14ac:dyDescent="0.35">
      <c r="A2908" s="52" t="s">
        <v>222</v>
      </c>
      <c r="B2908" s="52" t="s">
        <v>291</v>
      </c>
      <c r="C2908" s="52" t="s">
        <v>102</v>
      </c>
      <c r="D2908" s="52" t="s">
        <v>102</v>
      </c>
      <c r="E2908" s="52" t="s">
        <v>584</v>
      </c>
      <c r="F2908" s="52" t="s">
        <v>581</v>
      </c>
      <c r="G2908" s="195" t="s">
        <v>275</v>
      </c>
      <c r="H2908" s="195">
        <v>-22.0444</v>
      </c>
      <c r="I2908" s="195">
        <v>-6.6384940000000003E-2</v>
      </c>
      <c r="J2908" s="195">
        <v>0</v>
      </c>
      <c r="K2908" s="195">
        <v>0</v>
      </c>
      <c r="L2908" s="195">
        <v>0</v>
      </c>
      <c r="M2908" s="195">
        <v>0</v>
      </c>
      <c r="N2908" s="195">
        <v>0</v>
      </c>
    </row>
    <row r="2909" spans="1:14" hidden="1" x14ac:dyDescent="0.35">
      <c r="A2909" s="52" t="s">
        <v>222</v>
      </c>
      <c r="B2909" s="52" t="s">
        <v>291</v>
      </c>
      <c r="C2909" s="52" t="s">
        <v>102</v>
      </c>
      <c r="D2909" s="52" t="s">
        <v>102</v>
      </c>
      <c r="E2909" s="52" t="s">
        <v>584</v>
      </c>
      <c r="F2909" s="52" t="s">
        <v>581</v>
      </c>
      <c r="G2909" s="195" t="s">
        <v>276</v>
      </c>
      <c r="H2909" s="195"/>
      <c r="I2909" s="195"/>
      <c r="J2909" s="195">
        <v>-78.275139999999993</v>
      </c>
      <c r="K2909" s="195">
        <v>-6.6384940000000003E-2</v>
      </c>
      <c r="L2909" s="195">
        <v>-6.6384940000000003E-2</v>
      </c>
      <c r="M2909" s="195">
        <v>-6.6384940000000003E-2</v>
      </c>
      <c r="N2909" s="195">
        <v>-8.3054939999999994E-2</v>
      </c>
    </row>
    <row r="2910" spans="1:14" hidden="1" x14ac:dyDescent="0.35">
      <c r="A2910" s="52" t="s">
        <v>222</v>
      </c>
      <c r="B2910" s="52" t="s">
        <v>291</v>
      </c>
      <c r="C2910" s="52" t="s">
        <v>102</v>
      </c>
      <c r="D2910" s="52" t="s">
        <v>102</v>
      </c>
      <c r="E2910" s="52" t="s">
        <v>584</v>
      </c>
      <c r="F2910" s="52" t="s">
        <v>581</v>
      </c>
      <c r="G2910" s="195" t="s">
        <v>277</v>
      </c>
      <c r="H2910" s="195"/>
      <c r="I2910" s="195"/>
      <c r="J2910" s="195"/>
      <c r="K2910" s="195"/>
      <c r="L2910" s="195"/>
      <c r="M2910" s="195">
        <v>0</v>
      </c>
      <c r="N2910" s="195">
        <v>1.6670000000000001E-2</v>
      </c>
    </row>
    <row r="2911" spans="1:14" hidden="1" x14ac:dyDescent="0.35">
      <c r="A2911" s="52" t="s">
        <v>222</v>
      </c>
      <c r="B2911" s="52" t="s">
        <v>291</v>
      </c>
      <c r="C2911" s="52" t="s">
        <v>318</v>
      </c>
      <c r="D2911" s="52" t="s">
        <v>318</v>
      </c>
      <c r="E2911" s="52" t="s">
        <v>584</v>
      </c>
      <c r="F2911" s="52" t="s">
        <v>581</v>
      </c>
      <c r="G2911" s="195" t="s">
        <v>278</v>
      </c>
      <c r="H2911" s="195">
        <v>-5.7287090000000003</v>
      </c>
      <c r="I2911" s="195">
        <v>0</v>
      </c>
      <c r="J2911" s="195"/>
      <c r="K2911" s="195"/>
      <c r="L2911" s="195"/>
      <c r="M2911" s="195"/>
      <c r="N2911" s="195"/>
    </row>
    <row r="2912" spans="1:14" hidden="1" x14ac:dyDescent="0.35">
      <c r="A2912" s="52" t="s">
        <v>222</v>
      </c>
      <c r="B2912" s="52" t="s">
        <v>291</v>
      </c>
      <c r="C2912" s="52" t="s">
        <v>102</v>
      </c>
      <c r="D2912" s="52" t="s">
        <v>102</v>
      </c>
      <c r="E2912" s="52" t="s">
        <v>584</v>
      </c>
      <c r="F2912" s="52" t="s">
        <v>581</v>
      </c>
      <c r="G2912" s="195" t="s">
        <v>278</v>
      </c>
      <c r="H2912" s="195">
        <v>22.0444</v>
      </c>
      <c r="I2912" s="195">
        <v>6.6384940000000003E-2</v>
      </c>
      <c r="J2912" s="195">
        <v>78.275139999999993</v>
      </c>
      <c r="K2912" s="195">
        <v>6.6384940000000003E-2</v>
      </c>
      <c r="L2912" s="195">
        <v>6.6384940000000003E-2</v>
      </c>
      <c r="M2912" s="195">
        <v>6.6384940000000003E-2</v>
      </c>
      <c r="N2912" s="195">
        <v>6.6384940000000003E-2</v>
      </c>
    </row>
    <row r="2913" spans="1:14" hidden="1" x14ac:dyDescent="0.35">
      <c r="A2913" s="52" t="s">
        <v>222</v>
      </c>
      <c r="B2913" s="52" t="s">
        <v>291</v>
      </c>
      <c r="C2913" s="52" t="s">
        <v>318</v>
      </c>
      <c r="D2913" s="52" t="s">
        <v>318</v>
      </c>
      <c r="E2913" s="52" t="s">
        <v>584</v>
      </c>
      <c r="F2913" s="52" t="s">
        <v>26</v>
      </c>
      <c r="G2913" s="195" t="s">
        <v>275</v>
      </c>
      <c r="H2913" s="195">
        <v>3.8191389999999998</v>
      </c>
      <c r="I2913" s="195">
        <v>0</v>
      </c>
      <c r="J2913" s="195"/>
      <c r="K2913" s="195"/>
      <c r="L2913" s="195"/>
      <c r="M2913" s="195"/>
      <c r="N2913" s="195"/>
    </row>
    <row r="2914" spans="1:14" hidden="1" x14ac:dyDescent="0.35">
      <c r="A2914" s="52" t="s">
        <v>222</v>
      </c>
      <c r="B2914" s="52" t="s">
        <v>291</v>
      </c>
      <c r="C2914" s="52" t="s">
        <v>318</v>
      </c>
      <c r="D2914" s="52" t="s">
        <v>318</v>
      </c>
      <c r="E2914" s="52" t="s">
        <v>584</v>
      </c>
      <c r="F2914" s="52" t="s">
        <v>26</v>
      </c>
      <c r="G2914" s="195" t="s">
        <v>278</v>
      </c>
      <c r="H2914" s="195">
        <v>-3.8191389999999998</v>
      </c>
      <c r="I2914" s="195">
        <v>0</v>
      </c>
      <c r="J2914" s="195"/>
      <c r="K2914" s="195"/>
      <c r="L2914" s="195"/>
      <c r="M2914" s="195"/>
      <c r="N2914" s="195"/>
    </row>
    <row r="2915" spans="1:14" hidden="1" x14ac:dyDescent="0.35">
      <c r="A2915" s="52" t="s">
        <v>222</v>
      </c>
      <c r="B2915" s="52" t="s">
        <v>291</v>
      </c>
      <c r="C2915" s="52" t="s">
        <v>290</v>
      </c>
      <c r="D2915" s="52" t="s">
        <v>290</v>
      </c>
      <c r="E2915" s="52" t="s">
        <v>584</v>
      </c>
      <c r="F2915" s="52" t="s">
        <v>581</v>
      </c>
      <c r="G2915" s="195" t="s">
        <v>275</v>
      </c>
      <c r="H2915" s="195">
        <v>-9.9989999999999996E-2</v>
      </c>
      <c r="I2915" s="195">
        <v>-9.9989999999999996E-2</v>
      </c>
      <c r="J2915" s="195">
        <v>0</v>
      </c>
      <c r="K2915" s="195">
        <v>0</v>
      </c>
      <c r="L2915" s="195">
        <v>0</v>
      </c>
      <c r="M2915" s="195">
        <v>0</v>
      </c>
      <c r="N2915" s="195">
        <v>0</v>
      </c>
    </row>
    <row r="2916" spans="1:14" hidden="1" x14ac:dyDescent="0.35">
      <c r="A2916" s="52" t="s">
        <v>222</v>
      </c>
      <c r="B2916" s="52" t="s">
        <v>291</v>
      </c>
      <c r="C2916" s="52" t="s">
        <v>290</v>
      </c>
      <c r="D2916" s="52" t="s">
        <v>290</v>
      </c>
      <c r="E2916" s="52" t="s">
        <v>584</v>
      </c>
      <c r="F2916" s="52" t="s">
        <v>581</v>
      </c>
      <c r="G2916" s="195" t="s">
        <v>276</v>
      </c>
      <c r="H2916" s="195"/>
      <c r="I2916" s="195"/>
      <c r="J2916" s="195">
        <v>-16.717040000000001</v>
      </c>
      <c r="K2916" s="195">
        <v>-1.5084200000000001</v>
      </c>
      <c r="L2916" s="195">
        <v>-0.1041562</v>
      </c>
      <c r="M2916" s="195">
        <v>-0.1041562</v>
      </c>
      <c r="N2916" s="195">
        <v>-0.2249775</v>
      </c>
    </row>
    <row r="2917" spans="1:14" hidden="1" x14ac:dyDescent="0.35">
      <c r="A2917" s="52" t="s">
        <v>222</v>
      </c>
      <c r="B2917" s="52" t="s">
        <v>291</v>
      </c>
      <c r="C2917" s="52" t="s">
        <v>290</v>
      </c>
      <c r="D2917" s="52" t="s">
        <v>290</v>
      </c>
      <c r="E2917" s="52" t="s">
        <v>584</v>
      </c>
      <c r="F2917" s="52" t="s">
        <v>581</v>
      </c>
      <c r="G2917" s="195" t="s">
        <v>277</v>
      </c>
      <c r="H2917" s="195"/>
      <c r="I2917" s="195"/>
      <c r="J2917" s="195"/>
      <c r="K2917" s="195">
        <v>0</v>
      </c>
      <c r="L2917" s="195">
        <v>4.1662499999999998E-3</v>
      </c>
      <c r="M2917" s="195">
        <v>4.1662499999999998E-3</v>
      </c>
      <c r="N2917" s="195">
        <v>0.1249875</v>
      </c>
    </row>
    <row r="2918" spans="1:14" hidden="1" x14ac:dyDescent="0.35">
      <c r="A2918" s="52" t="s">
        <v>222</v>
      </c>
      <c r="B2918" s="52" t="s">
        <v>291</v>
      </c>
      <c r="C2918" s="52" t="s">
        <v>290</v>
      </c>
      <c r="D2918" s="52" t="s">
        <v>290</v>
      </c>
      <c r="E2918" s="52" t="s">
        <v>584</v>
      </c>
      <c r="F2918" s="52" t="s">
        <v>581</v>
      </c>
      <c r="G2918" s="195" t="s">
        <v>278</v>
      </c>
      <c r="H2918" s="195">
        <v>9.9989999999999996E-2</v>
      </c>
      <c r="I2918" s="195">
        <v>9.9989999999999996E-2</v>
      </c>
      <c r="J2918" s="195">
        <v>16.717040000000001</v>
      </c>
      <c r="K2918" s="195">
        <v>1.508419</v>
      </c>
      <c r="L2918" s="195">
        <v>9.9989999999999996E-2</v>
      </c>
      <c r="M2918" s="195">
        <v>9.9989999999999996E-2</v>
      </c>
      <c r="N2918" s="195">
        <v>9.9989999999999996E-2</v>
      </c>
    </row>
    <row r="2919" spans="1:14" hidden="1" x14ac:dyDescent="0.35">
      <c r="A2919" s="52" t="s">
        <v>222</v>
      </c>
      <c r="B2919" s="52" t="s">
        <v>291</v>
      </c>
      <c r="C2919" s="52" t="s">
        <v>290</v>
      </c>
      <c r="D2919" s="52" t="s">
        <v>290</v>
      </c>
      <c r="E2919" s="52" t="s">
        <v>584</v>
      </c>
      <c r="F2919" s="52" t="s">
        <v>581</v>
      </c>
      <c r="G2919" s="195" t="s">
        <v>279</v>
      </c>
      <c r="H2919" s="195"/>
      <c r="I2919" s="195"/>
      <c r="J2919" s="195"/>
      <c r="K2919" s="195"/>
      <c r="L2919" s="195"/>
      <c r="M2919" s="195"/>
      <c r="N2919" s="195">
        <v>0</v>
      </c>
    </row>
    <row r="2920" spans="1:14" hidden="1" x14ac:dyDescent="0.35">
      <c r="A2920" s="52" t="s">
        <v>222</v>
      </c>
      <c r="B2920" s="52" t="s">
        <v>291</v>
      </c>
      <c r="C2920" s="52" t="s">
        <v>290</v>
      </c>
      <c r="D2920" s="52" t="s">
        <v>290</v>
      </c>
      <c r="E2920" s="52" t="s">
        <v>584</v>
      </c>
      <c r="F2920" s="52" t="s">
        <v>26</v>
      </c>
      <c r="G2920" s="195" t="s">
        <v>275</v>
      </c>
      <c r="H2920" s="195"/>
      <c r="I2920" s="195"/>
      <c r="J2920" s="195"/>
      <c r="K2920" s="195"/>
      <c r="L2920" s="195"/>
      <c r="M2920" s="195"/>
      <c r="N2920" s="195">
        <v>0</v>
      </c>
    </row>
    <row r="2921" spans="1:14" hidden="1" x14ac:dyDescent="0.35">
      <c r="A2921" s="52" t="s">
        <v>222</v>
      </c>
      <c r="B2921" s="52" t="s">
        <v>291</v>
      </c>
      <c r="C2921" s="52" t="s">
        <v>290</v>
      </c>
      <c r="D2921" s="52" t="s">
        <v>290</v>
      </c>
      <c r="E2921" s="52" t="s">
        <v>584</v>
      </c>
      <c r="F2921" s="52" t="s">
        <v>26</v>
      </c>
      <c r="G2921" s="195" t="s">
        <v>276</v>
      </c>
      <c r="H2921" s="195"/>
      <c r="I2921" s="195"/>
      <c r="J2921" s="195"/>
      <c r="K2921" s="195"/>
      <c r="L2921" s="195"/>
      <c r="M2921" s="195"/>
      <c r="N2921" s="195">
        <v>0</v>
      </c>
    </row>
    <row r="2922" spans="1:14" hidden="1" x14ac:dyDescent="0.35">
      <c r="A2922" s="52" t="s">
        <v>222</v>
      </c>
      <c r="B2922" s="52" t="s">
        <v>291</v>
      </c>
      <c r="C2922" s="52" t="s">
        <v>290</v>
      </c>
      <c r="D2922" s="52" t="s">
        <v>290</v>
      </c>
      <c r="E2922" s="52" t="s">
        <v>584</v>
      </c>
      <c r="F2922" s="52" t="s">
        <v>26</v>
      </c>
      <c r="G2922" s="195" t="s">
        <v>279</v>
      </c>
      <c r="H2922" s="195"/>
      <c r="I2922" s="195"/>
      <c r="J2922" s="195"/>
      <c r="K2922" s="195"/>
      <c r="L2922" s="195"/>
      <c r="M2922" s="195"/>
      <c r="N2922" s="195">
        <v>0</v>
      </c>
    </row>
    <row r="2923" spans="1:14" hidden="1" x14ac:dyDescent="0.35">
      <c r="A2923" s="52" t="s">
        <v>222</v>
      </c>
      <c r="B2923" s="52" t="s">
        <v>201</v>
      </c>
      <c r="C2923" s="52" t="s">
        <v>318</v>
      </c>
      <c r="D2923" s="52" t="s">
        <v>318</v>
      </c>
      <c r="E2923" s="52" t="s">
        <v>584</v>
      </c>
      <c r="F2923" s="52" t="s">
        <v>581</v>
      </c>
      <c r="G2923" s="195" t="s">
        <v>275</v>
      </c>
      <c r="H2923" s="195">
        <v>1.6077000000000001E-2</v>
      </c>
      <c r="I2923" s="195">
        <v>0</v>
      </c>
      <c r="J2923" s="195"/>
      <c r="K2923" s="195"/>
      <c r="L2923" s="195"/>
      <c r="M2923" s="195"/>
      <c r="N2923" s="195"/>
    </row>
    <row r="2924" spans="1:14" hidden="1" x14ac:dyDescent="0.35">
      <c r="A2924" s="52" t="s">
        <v>222</v>
      </c>
      <c r="B2924" s="52" t="s">
        <v>201</v>
      </c>
      <c r="C2924" s="52" t="s">
        <v>318</v>
      </c>
      <c r="D2924" s="52" t="s">
        <v>318</v>
      </c>
      <c r="E2924" s="52" t="s">
        <v>584</v>
      </c>
      <c r="F2924" s="52" t="s">
        <v>581</v>
      </c>
      <c r="G2924" s="195" t="s">
        <v>278</v>
      </c>
      <c r="H2924" s="195">
        <v>-1.6077000000000001E-2</v>
      </c>
      <c r="I2924" s="195">
        <v>0</v>
      </c>
      <c r="J2924" s="195"/>
      <c r="K2924" s="195"/>
      <c r="L2924" s="195"/>
      <c r="M2924" s="195"/>
      <c r="N2924" s="195"/>
    </row>
    <row r="2925" spans="1:14" hidden="1" x14ac:dyDescent="0.35">
      <c r="A2925" s="52" t="s">
        <v>222</v>
      </c>
      <c r="B2925" s="52" t="s">
        <v>201</v>
      </c>
      <c r="C2925" s="52" t="s">
        <v>318</v>
      </c>
      <c r="D2925" s="52" t="s">
        <v>318</v>
      </c>
      <c r="E2925" s="52" t="s">
        <v>584</v>
      </c>
      <c r="F2925" s="52" t="s">
        <v>26</v>
      </c>
      <c r="G2925" s="195" t="s">
        <v>275</v>
      </c>
      <c r="H2925" s="195">
        <v>1.0717000000000001E-2</v>
      </c>
      <c r="I2925" s="195">
        <v>0</v>
      </c>
      <c r="J2925" s="195"/>
      <c r="K2925" s="195"/>
      <c r="L2925" s="195"/>
      <c r="M2925" s="195"/>
      <c r="N2925" s="195"/>
    </row>
    <row r="2926" spans="1:14" hidden="1" x14ac:dyDescent="0.35">
      <c r="A2926" s="52" t="s">
        <v>222</v>
      </c>
      <c r="B2926" s="52" t="s">
        <v>201</v>
      </c>
      <c r="C2926" s="52" t="s">
        <v>318</v>
      </c>
      <c r="D2926" s="52" t="s">
        <v>318</v>
      </c>
      <c r="E2926" s="52" t="s">
        <v>584</v>
      </c>
      <c r="F2926" s="52" t="s">
        <v>26</v>
      </c>
      <c r="G2926" s="195" t="s">
        <v>278</v>
      </c>
      <c r="H2926" s="195">
        <v>-1.0717000000000001E-2</v>
      </c>
      <c r="I2926" s="195">
        <v>0</v>
      </c>
      <c r="J2926" s="195"/>
      <c r="K2926" s="195"/>
      <c r="L2926" s="195"/>
      <c r="M2926" s="195"/>
      <c r="N2926" s="195"/>
    </row>
    <row r="2927" spans="1:14" hidden="1" x14ac:dyDescent="0.35">
      <c r="A2927" s="52" t="s">
        <v>222</v>
      </c>
      <c r="B2927" s="52" t="s">
        <v>201</v>
      </c>
      <c r="C2927" s="52" t="s">
        <v>367</v>
      </c>
      <c r="D2927" s="52" t="s">
        <v>367</v>
      </c>
      <c r="E2927" s="52" t="s">
        <v>584</v>
      </c>
      <c r="F2927" s="52" t="s">
        <v>26</v>
      </c>
      <c r="G2927" s="195" t="s">
        <v>275</v>
      </c>
      <c r="H2927" s="195">
        <v>-6.2140800000000003E-2</v>
      </c>
      <c r="I2927" s="195">
        <v>-6.2140800000000003E-2</v>
      </c>
      <c r="J2927" s="195">
        <v>0</v>
      </c>
      <c r="K2927" s="195">
        <v>0</v>
      </c>
      <c r="L2927" s="195">
        <v>0</v>
      </c>
      <c r="M2927" s="195">
        <v>0</v>
      </c>
      <c r="N2927" s="195">
        <v>0</v>
      </c>
    </row>
    <row r="2928" spans="1:14" hidden="1" x14ac:dyDescent="0.35">
      <c r="A2928" s="52" t="s">
        <v>222</v>
      </c>
      <c r="B2928" s="52" t="s">
        <v>201</v>
      </c>
      <c r="C2928" s="52" t="s">
        <v>367</v>
      </c>
      <c r="D2928" s="52" t="s">
        <v>367</v>
      </c>
      <c r="E2928" s="52" t="s">
        <v>584</v>
      </c>
      <c r="F2928" s="52" t="s">
        <v>26</v>
      </c>
      <c r="G2928" s="195" t="s">
        <v>276</v>
      </c>
      <c r="H2928" s="195"/>
      <c r="I2928" s="195"/>
      <c r="J2928" s="195">
        <v>-6.2140800000000003E-2</v>
      </c>
      <c r="K2928" s="195">
        <v>-6.2140800000000003E-2</v>
      </c>
      <c r="L2928" s="195">
        <v>-6.2140800000000003E-2</v>
      </c>
      <c r="M2928" s="195">
        <v>-6.2140800000000003E-2</v>
      </c>
      <c r="N2928" s="195">
        <v>-6.2140800000000003E-2</v>
      </c>
    </row>
    <row r="2929" spans="1:14" hidden="1" x14ac:dyDescent="0.35">
      <c r="A2929" s="52" t="s">
        <v>222</v>
      </c>
      <c r="B2929" s="52" t="s">
        <v>201</v>
      </c>
      <c r="C2929" s="52" t="s">
        <v>367</v>
      </c>
      <c r="D2929" s="52" t="s">
        <v>367</v>
      </c>
      <c r="E2929" s="52" t="s">
        <v>584</v>
      </c>
      <c r="F2929" s="52" t="s">
        <v>26</v>
      </c>
      <c r="G2929" s="195" t="s">
        <v>278</v>
      </c>
      <c r="H2929" s="195">
        <v>6.2140500000000001E-2</v>
      </c>
      <c r="I2929" s="195">
        <v>6.2140800000000003E-2</v>
      </c>
      <c r="J2929" s="195">
        <v>6.2140800000000003E-2</v>
      </c>
      <c r="K2929" s="195">
        <v>6.2140800000000003E-2</v>
      </c>
      <c r="L2929" s="195">
        <v>6.2140800000000003E-2</v>
      </c>
      <c r="M2929" s="195">
        <v>6.2140800000000003E-2</v>
      </c>
      <c r="N2929" s="195">
        <v>6.2140800000000003E-2</v>
      </c>
    </row>
    <row r="2930" spans="1:14" hidden="1" x14ac:dyDescent="0.35">
      <c r="A2930" s="52" t="s">
        <v>222</v>
      </c>
      <c r="B2930" s="52" t="s">
        <v>34</v>
      </c>
      <c r="C2930" s="52" t="s">
        <v>113</v>
      </c>
      <c r="D2930" s="52" t="s">
        <v>113</v>
      </c>
      <c r="E2930" s="52" t="s">
        <v>584</v>
      </c>
      <c r="F2930" s="52" t="s">
        <v>581</v>
      </c>
      <c r="G2930" s="195" t="s">
        <v>275</v>
      </c>
      <c r="H2930" s="195">
        <v>-0.37873950000000001</v>
      </c>
      <c r="I2930" s="195">
        <v>-0.37873950000000001</v>
      </c>
      <c r="J2930" s="195">
        <v>0</v>
      </c>
      <c r="K2930" s="195">
        <v>0</v>
      </c>
      <c r="L2930" s="195">
        <v>0</v>
      </c>
      <c r="M2930" s="195">
        <v>0</v>
      </c>
      <c r="N2930" s="195">
        <v>0</v>
      </c>
    </row>
    <row r="2931" spans="1:14" hidden="1" x14ac:dyDescent="0.35">
      <c r="A2931" s="52" t="s">
        <v>222</v>
      </c>
      <c r="B2931" s="52" t="s">
        <v>34</v>
      </c>
      <c r="C2931" s="52" t="s">
        <v>318</v>
      </c>
      <c r="D2931" s="52" t="s">
        <v>318</v>
      </c>
      <c r="E2931" s="52" t="s">
        <v>584</v>
      </c>
      <c r="F2931" s="52" t="s">
        <v>581</v>
      </c>
      <c r="G2931" s="195" t="s">
        <v>275</v>
      </c>
      <c r="H2931" s="195">
        <v>0</v>
      </c>
      <c r="I2931" s="195"/>
      <c r="J2931" s="195"/>
      <c r="K2931" s="195"/>
      <c r="L2931" s="195"/>
      <c r="M2931" s="195"/>
      <c r="N2931" s="195"/>
    </row>
    <row r="2932" spans="1:14" hidden="1" x14ac:dyDescent="0.35">
      <c r="A2932" s="52" t="s">
        <v>222</v>
      </c>
      <c r="B2932" s="52" t="s">
        <v>34</v>
      </c>
      <c r="C2932" s="52" t="s">
        <v>113</v>
      </c>
      <c r="D2932" s="52" t="s">
        <v>113</v>
      </c>
      <c r="E2932" s="52" t="s">
        <v>584</v>
      </c>
      <c r="F2932" s="52" t="s">
        <v>581</v>
      </c>
      <c r="G2932" s="195" t="s">
        <v>276</v>
      </c>
      <c r="H2932" s="195"/>
      <c r="I2932" s="195"/>
      <c r="J2932" s="195">
        <v>-0.37873950000000001</v>
      </c>
      <c r="K2932" s="195">
        <v>-0.37873950000000001</v>
      </c>
      <c r="L2932" s="195">
        <v>-0.37873950000000001</v>
      </c>
      <c r="M2932" s="195">
        <v>-0.37873950000000001</v>
      </c>
      <c r="N2932" s="195">
        <v>-0.37873950000000001</v>
      </c>
    </row>
    <row r="2933" spans="1:14" hidden="1" x14ac:dyDescent="0.35">
      <c r="A2933" s="52" t="s">
        <v>222</v>
      </c>
      <c r="B2933" s="52" t="s">
        <v>34</v>
      </c>
      <c r="C2933" s="52" t="s">
        <v>113</v>
      </c>
      <c r="D2933" s="52" t="s">
        <v>113</v>
      </c>
      <c r="E2933" s="52" t="s">
        <v>584</v>
      </c>
      <c r="F2933" s="52" t="s">
        <v>581</v>
      </c>
      <c r="G2933" s="195" t="s">
        <v>277</v>
      </c>
      <c r="H2933" s="195"/>
      <c r="I2933" s="195"/>
      <c r="J2933" s="195"/>
      <c r="K2933" s="195"/>
      <c r="L2933" s="195"/>
      <c r="M2933" s="195"/>
      <c r="N2933" s="195">
        <v>0</v>
      </c>
    </row>
    <row r="2934" spans="1:14" hidden="1" x14ac:dyDescent="0.35">
      <c r="A2934" s="52" t="s">
        <v>222</v>
      </c>
      <c r="B2934" s="52" t="s">
        <v>34</v>
      </c>
      <c r="C2934" s="52" t="s">
        <v>318</v>
      </c>
      <c r="D2934" s="52" t="s">
        <v>318</v>
      </c>
      <c r="E2934" s="52" t="s">
        <v>584</v>
      </c>
      <c r="F2934" s="52" t="s">
        <v>581</v>
      </c>
      <c r="G2934" s="195" t="s">
        <v>278</v>
      </c>
      <c r="H2934" s="195">
        <v>0</v>
      </c>
      <c r="I2934" s="195"/>
      <c r="J2934" s="195"/>
      <c r="K2934" s="195"/>
      <c r="L2934" s="195"/>
      <c r="M2934" s="195"/>
      <c r="N2934" s="195"/>
    </row>
    <row r="2935" spans="1:14" hidden="1" x14ac:dyDescent="0.35">
      <c r="A2935" s="52" t="s">
        <v>222</v>
      </c>
      <c r="B2935" s="52" t="s">
        <v>34</v>
      </c>
      <c r="C2935" s="52" t="s">
        <v>113</v>
      </c>
      <c r="D2935" s="52" t="s">
        <v>113</v>
      </c>
      <c r="E2935" s="52" t="s">
        <v>584</v>
      </c>
      <c r="F2935" s="52" t="s">
        <v>581</v>
      </c>
      <c r="G2935" s="195" t="s">
        <v>278</v>
      </c>
      <c r="H2935" s="195">
        <v>0.37873950000000001</v>
      </c>
      <c r="I2935" s="195">
        <v>0.37873950000000001</v>
      </c>
      <c r="J2935" s="195">
        <v>0.37873950000000001</v>
      </c>
      <c r="K2935" s="195">
        <v>0.37873950000000001</v>
      </c>
      <c r="L2935" s="195">
        <v>0.37873950000000001</v>
      </c>
      <c r="M2935" s="195">
        <v>0.37873950000000001</v>
      </c>
      <c r="N2935" s="195">
        <v>0.37873950000000001</v>
      </c>
    </row>
    <row r="2936" spans="1:14" hidden="1" x14ac:dyDescent="0.35">
      <c r="A2936" s="52" t="s">
        <v>222</v>
      </c>
      <c r="B2936" s="52" t="s">
        <v>34</v>
      </c>
      <c r="C2936" s="52" t="s">
        <v>318</v>
      </c>
      <c r="D2936" s="52" t="s">
        <v>318</v>
      </c>
      <c r="E2936" s="52" t="s">
        <v>584</v>
      </c>
      <c r="F2936" s="52" t="s">
        <v>26</v>
      </c>
      <c r="G2936" s="195" t="s">
        <v>275</v>
      </c>
      <c r="H2936" s="195">
        <v>0</v>
      </c>
      <c r="I2936" s="195"/>
      <c r="J2936" s="195"/>
      <c r="K2936" s="195"/>
      <c r="L2936" s="195"/>
      <c r="M2936" s="195"/>
      <c r="N2936" s="195"/>
    </row>
    <row r="2937" spans="1:14" hidden="1" x14ac:dyDescent="0.35">
      <c r="A2937" s="52" t="s">
        <v>222</v>
      </c>
      <c r="B2937" s="52" t="s">
        <v>34</v>
      </c>
      <c r="C2937" s="52" t="s">
        <v>318</v>
      </c>
      <c r="D2937" s="52" t="s">
        <v>318</v>
      </c>
      <c r="E2937" s="52" t="s">
        <v>584</v>
      </c>
      <c r="F2937" s="52" t="s">
        <v>26</v>
      </c>
      <c r="G2937" s="195" t="s">
        <v>278</v>
      </c>
      <c r="H2937" s="195">
        <v>0</v>
      </c>
      <c r="I2937" s="195"/>
      <c r="J2937" s="195"/>
      <c r="K2937" s="195"/>
      <c r="L2937" s="195"/>
      <c r="M2937" s="195"/>
      <c r="N2937" s="195"/>
    </row>
    <row r="2938" spans="1:14" hidden="1" x14ac:dyDescent="0.35">
      <c r="A2938" s="52" t="s">
        <v>222</v>
      </c>
      <c r="B2938" s="52" t="s">
        <v>34</v>
      </c>
      <c r="C2938" s="52" t="s">
        <v>304</v>
      </c>
      <c r="D2938" s="52" t="s">
        <v>304</v>
      </c>
      <c r="E2938" s="52" t="s">
        <v>584</v>
      </c>
      <c r="F2938" s="52" t="s">
        <v>581</v>
      </c>
      <c r="G2938" s="195" t="s">
        <v>275</v>
      </c>
      <c r="H2938" s="195">
        <v>-0.21737570000000001</v>
      </c>
      <c r="I2938" s="195">
        <v>-0.21737600000000001</v>
      </c>
      <c r="J2938" s="195">
        <v>0</v>
      </c>
      <c r="K2938" s="195">
        <v>0</v>
      </c>
      <c r="L2938" s="195">
        <v>0</v>
      </c>
      <c r="M2938" s="195">
        <v>0</v>
      </c>
      <c r="N2938" s="195">
        <v>0</v>
      </c>
    </row>
    <row r="2939" spans="1:14" hidden="1" x14ac:dyDescent="0.35">
      <c r="A2939" s="52" t="s">
        <v>222</v>
      </c>
      <c r="B2939" s="52" t="s">
        <v>34</v>
      </c>
      <c r="C2939" s="52" t="s">
        <v>304</v>
      </c>
      <c r="D2939" s="52" t="s">
        <v>304</v>
      </c>
      <c r="E2939" s="52" t="s">
        <v>584</v>
      </c>
      <c r="F2939" s="52" t="s">
        <v>581</v>
      </c>
      <c r="G2939" s="195" t="s">
        <v>276</v>
      </c>
      <c r="H2939" s="195"/>
      <c r="I2939" s="195"/>
      <c r="J2939" s="195">
        <v>-19.060569999999998</v>
      </c>
      <c r="K2939" s="195">
        <v>-18.543959999999998</v>
      </c>
      <c r="L2939" s="195">
        <v>-0.21737580000000001</v>
      </c>
      <c r="M2939" s="195">
        <v>-0.22412000000000001</v>
      </c>
      <c r="N2939" s="195">
        <v>-0.24435229999999999</v>
      </c>
    </row>
    <row r="2940" spans="1:14" hidden="1" x14ac:dyDescent="0.35">
      <c r="A2940" s="52" t="s">
        <v>222</v>
      </c>
      <c r="B2940" s="52" t="s">
        <v>34</v>
      </c>
      <c r="C2940" s="52" t="s">
        <v>304</v>
      </c>
      <c r="D2940" s="52" t="s">
        <v>304</v>
      </c>
      <c r="E2940" s="52" t="s">
        <v>584</v>
      </c>
      <c r="F2940" s="52" t="s">
        <v>581</v>
      </c>
      <c r="G2940" s="195" t="s">
        <v>277</v>
      </c>
      <c r="H2940" s="195"/>
      <c r="I2940" s="195"/>
      <c r="J2940" s="195"/>
      <c r="K2940" s="195"/>
      <c r="L2940" s="195">
        <v>0</v>
      </c>
      <c r="M2940" s="195">
        <v>6.7442500000000002E-3</v>
      </c>
      <c r="N2940" s="195">
        <v>2.6976750000000001E-2</v>
      </c>
    </row>
    <row r="2941" spans="1:14" hidden="1" x14ac:dyDescent="0.35">
      <c r="A2941" s="52" t="s">
        <v>222</v>
      </c>
      <c r="B2941" s="52" t="s">
        <v>34</v>
      </c>
      <c r="C2941" s="52" t="s">
        <v>304</v>
      </c>
      <c r="D2941" s="52" t="s">
        <v>304</v>
      </c>
      <c r="E2941" s="52" t="s">
        <v>584</v>
      </c>
      <c r="F2941" s="52" t="s">
        <v>581</v>
      </c>
      <c r="G2941" s="195" t="s">
        <v>278</v>
      </c>
      <c r="H2941" s="195">
        <v>0.21737570000000001</v>
      </c>
      <c r="I2941" s="195">
        <v>0.21737600000000001</v>
      </c>
      <c r="J2941" s="195">
        <v>19.060569999999998</v>
      </c>
      <c r="K2941" s="195">
        <v>18.543959999999998</v>
      </c>
      <c r="L2941" s="195">
        <v>0.21737580000000001</v>
      </c>
      <c r="M2941" s="195">
        <v>0.21737580000000001</v>
      </c>
      <c r="N2941" s="195">
        <v>0.21737580000000001</v>
      </c>
    </row>
    <row r="2942" spans="1:14" hidden="1" x14ac:dyDescent="0.35">
      <c r="A2942" s="52" t="s">
        <v>232</v>
      </c>
      <c r="B2942" s="52" t="s">
        <v>37</v>
      </c>
      <c r="C2942" s="52" t="s">
        <v>35</v>
      </c>
      <c r="D2942" s="52" t="s">
        <v>189</v>
      </c>
      <c r="E2942" s="52" t="s">
        <v>590</v>
      </c>
      <c r="F2942" s="52" t="s">
        <v>581</v>
      </c>
      <c r="G2942" s="195" t="s">
        <v>275</v>
      </c>
      <c r="H2942" s="195">
        <v>107.3556</v>
      </c>
      <c r="I2942" s="195">
        <v>99.559529999999995</v>
      </c>
      <c r="J2942" s="195">
        <v>110.1581</v>
      </c>
      <c r="K2942" s="195">
        <v>115.82250000000001</v>
      </c>
      <c r="L2942" s="195">
        <v>84.462699999999998</v>
      </c>
      <c r="M2942" s="195">
        <v>48.80782</v>
      </c>
      <c r="N2942" s="195">
        <v>39.981819999999999</v>
      </c>
    </row>
    <row r="2943" spans="1:14" hidden="1" x14ac:dyDescent="0.35">
      <c r="A2943" s="52" t="s">
        <v>232</v>
      </c>
      <c r="B2943" s="52" t="s">
        <v>37</v>
      </c>
      <c r="C2943" s="52" t="s">
        <v>35</v>
      </c>
      <c r="D2943" s="52" t="s">
        <v>189</v>
      </c>
      <c r="E2943" s="52" t="s">
        <v>590</v>
      </c>
      <c r="F2943" s="52" t="s">
        <v>581</v>
      </c>
      <c r="G2943" s="195" t="s">
        <v>276</v>
      </c>
      <c r="H2943" s="195">
        <v>60.219929999999998</v>
      </c>
      <c r="I2943" s="195">
        <v>-0.30136390000000002</v>
      </c>
      <c r="J2943" s="195">
        <v>-20.756460000000001</v>
      </c>
      <c r="K2943" s="195">
        <v>-27.86797</v>
      </c>
      <c r="L2943" s="195">
        <v>-25.7666</v>
      </c>
      <c r="M2943" s="195">
        <v>5.129683</v>
      </c>
      <c r="N2943" s="195">
        <v>7.7075979999999999</v>
      </c>
    </row>
    <row r="2944" spans="1:14" hidden="1" x14ac:dyDescent="0.35">
      <c r="A2944" s="52" t="s">
        <v>232</v>
      </c>
      <c r="B2944" s="52" t="s">
        <v>37</v>
      </c>
      <c r="C2944" s="52" t="s">
        <v>35</v>
      </c>
      <c r="D2944" s="52" t="s">
        <v>189</v>
      </c>
      <c r="E2944" s="52" t="s">
        <v>590</v>
      </c>
      <c r="F2944" s="52" t="s">
        <v>581</v>
      </c>
      <c r="G2944" s="195" t="s">
        <v>277</v>
      </c>
      <c r="H2944" s="195">
        <v>356.52679999999998</v>
      </c>
      <c r="I2944" s="195">
        <v>41.781370000000003</v>
      </c>
      <c r="J2944" s="195">
        <v>5.4623059999999999</v>
      </c>
      <c r="K2944" s="195">
        <v>1.081947</v>
      </c>
      <c r="L2944" s="195">
        <v>0.54979060000000002</v>
      </c>
      <c r="M2944" s="195">
        <v>0</v>
      </c>
      <c r="N2944" s="195">
        <v>0</v>
      </c>
    </row>
    <row r="2945" spans="1:14" hidden="1" x14ac:dyDescent="0.35">
      <c r="A2945" s="52" t="s">
        <v>232</v>
      </c>
      <c r="B2945" s="52" t="s">
        <v>37</v>
      </c>
      <c r="C2945" s="52" t="s">
        <v>35</v>
      </c>
      <c r="D2945" s="52" t="s">
        <v>189</v>
      </c>
      <c r="E2945" s="52" t="s">
        <v>590</v>
      </c>
      <c r="F2945" s="52" t="s">
        <v>581</v>
      </c>
      <c r="G2945" s="195" t="s">
        <v>278</v>
      </c>
      <c r="H2945" s="195">
        <v>65.738389999999995</v>
      </c>
      <c r="I2945" s="195">
        <v>21.533829999999998</v>
      </c>
      <c r="J2945" s="195">
        <v>19.33436</v>
      </c>
      <c r="K2945" s="195">
        <v>3.8726219999999998</v>
      </c>
      <c r="L2945" s="195">
        <v>1.9699800000000001</v>
      </c>
      <c r="M2945" s="195">
        <v>0</v>
      </c>
      <c r="N2945" s="195">
        <v>0</v>
      </c>
    </row>
    <row r="2946" spans="1:14" hidden="1" x14ac:dyDescent="0.35">
      <c r="A2946" s="52" t="s">
        <v>232</v>
      </c>
      <c r="B2946" s="52" t="s">
        <v>37</v>
      </c>
      <c r="C2946" s="52" t="s">
        <v>35</v>
      </c>
      <c r="D2946" s="52" t="s">
        <v>189</v>
      </c>
      <c r="E2946" s="52" t="s">
        <v>590</v>
      </c>
      <c r="F2946" s="52" t="s">
        <v>581</v>
      </c>
      <c r="G2946" s="195" t="s">
        <v>279</v>
      </c>
      <c r="H2946" s="195">
        <v>245.721</v>
      </c>
      <c r="I2946" s="195">
        <v>224.8963</v>
      </c>
      <c r="J2946" s="195">
        <v>195.09450000000001</v>
      </c>
      <c r="K2946" s="195">
        <v>167.97989999999999</v>
      </c>
      <c r="L2946" s="195">
        <v>156.39179999999999</v>
      </c>
      <c r="M2946" s="195">
        <v>133.5076</v>
      </c>
      <c r="N2946" s="195">
        <v>117.1861</v>
      </c>
    </row>
    <row r="2947" spans="1:14" hidden="1" x14ac:dyDescent="0.35">
      <c r="A2947" s="52" t="s">
        <v>232</v>
      </c>
      <c r="B2947" s="52" t="s">
        <v>37</v>
      </c>
      <c r="C2947" s="52" t="s">
        <v>35</v>
      </c>
      <c r="D2947" s="52" t="s">
        <v>189</v>
      </c>
      <c r="E2947" s="52" t="s">
        <v>590</v>
      </c>
      <c r="F2947" s="52" t="s">
        <v>26</v>
      </c>
      <c r="G2947" s="195" t="s">
        <v>275</v>
      </c>
      <c r="H2947" s="195">
        <v>-19.440809999999999</v>
      </c>
      <c r="I2947" s="195">
        <v>-12.21172</v>
      </c>
      <c r="J2947" s="195">
        <v>-10.39406</v>
      </c>
      <c r="K2947" s="195">
        <v>-9.4297090000000008</v>
      </c>
      <c r="L2947" s="195">
        <v>-9.5674630000000001</v>
      </c>
      <c r="M2947" s="195">
        <v>-8.1862320000000004</v>
      </c>
      <c r="N2947" s="195">
        <v>-7.1551479999999996</v>
      </c>
    </row>
    <row r="2948" spans="1:14" hidden="1" x14ac:dyDescent="0.35">
      <c r="A2948" s="52" t="s">
        <v>232</v>
      </c>
      <c r="B2948" s="52" t="s">
        <v>37</v>
      </c>
      <c r="C2948" s="52" t="s">
        <v>35</v>
      </c>
      <c r="D2948" s="52" t="s">
        <v>189</v>
      </c>
      <c r="E2948" s="52" t="s">
        <v>590</v>
      </c>
      <c r="F2948" s="52" t="s">
        <v>26</v>
      </c>
      <c r="G2948" s="195" t="s">
        <v>276</v>
      </c>
      <c r="H2948" s="195">
        <v>-5.1678090000000001</v>
      </c>
      <c r="I2948" s="195">
        <v>-3.2461410000000002</v>
      </c>
      <c r="J2948" s="195">
        <v>-2.7629779999999999</v>
      </c>
      <c r="K2948" s="195">
        <v>-2.5066290000000002</v>
      </c>
      <c r="L2948" s="195">
        <v>-2.5432489999999999</v>
      </c>
      <c r="M2948" s="195">
        <v>-2.1760899999999999</v>
      </c>
      <c r="N2948" s="195">
        <v>-1.9019999999999999</v>
      </c>
    </row>
    <row r="2949" spans="1:14" hidden="1" x14ac:dyDescent="0.35">
      <c r="A2949" s="52" t="s">
        <v>232</v>
      </c>
      <c r="B2949" s="52" t="s">
        <v>37</v>
      </c>
      <c r="C2949" s="52" t="s">
        <v>35</v>
      </c>
      <c r="D2949" s="52" t="s">
        <v>189</v>
      </c>
      <c r="E2949" s="52" t="s">
        <v>590</v>
      </c>
      <c r="F2949" s="52" t="s">
        <v>26</v>
      </c>
      <c r="G2949" s="195" t="s">
        <v>279</v>
      </c>
      <c r="H2949" s="195">
        <v>52.577210000000001</v>
      </c>
      <c r="I2949" s="195">
        <v>28.6983</v>
      </c>
      <c r="J2949" s="195">
        <v>25.45674</v>
      </c>
      <c r="K2949" s="195">
        <v>22.283609999999999</v>
      </c>
      <c r="L2949" s="195">
        <v>20.7166</v>
      </c>
      <c r="M2949" s="195">
        <v>17.75854</v>
      </c>
      <c r="N2949" s="195">
        <v>15.56551</v>
      </c>
    </row>
    <row r="2950" spans="1:14" hidden="1" x14ac:dyDescent="0.35">
      <c r="A2950" s="52" t="s">
        <v>232</v>
      </c>
      <c r="B2950" s="52" t="s">
        <v>37</v>
      </c>
      <c r="C2950" s="52" t="s">
        <v>35</v>
      </c>
      <c r="D2950" s="52" t="s">
        <v>189</v>
      </c>
      <c r="E2950" s="52" t="s">
        <v>586</v>
      </c>
      <c r="F2950" s="52" t="s">
        <v>581</v>
      </c>
      <c r="G2950" s="195" t="s">
        <v>275</v>
      </c>
      <c r="H2950" s="195">
        <v>38.624519999999997</v>
      </c>
      <c r="I2950" s="195">
        <v>12.284179999999999</v>
      </c>
      <c r="J2950" s="195">
        <v>12.558299999999999</v>
      </c>
      <c r="K2950" s="195">
        <v>8.2242580000000007</v>
      </c>
      <c r="L2950" s="195">
        <v>5.3464390000000002</v>
      </c>
      <c r="M2950" s="195">
        <v>4.6044910000000003</v>
      </c>
      <c r="N2950" s="195">
        <v>4.0377729999999996</v>
      </c>
    </row>
    <row r="2951" spans="1:14" hidden="1" x14ac:dyDescent="0.35">
      <c r="A2951" s="52" t="s">
        <v>232</v>
      </c>
      <c r="B2951" s="52" t="s">
        <v>37</v>
      </c>
      <c r="C2951" s="52" t="s">
        <v>35</v>
      </c>
      <c r="D2951" s="52" t="s">
        <v>189</v>
      </c>
      <c r="E2951" s="52" t="s">
        <v>586</v>
      </c>
      <c r="F2951" s="52" t="s">
        <v>581</v>
      </c>
      <c r="G2951" s="195" t="s">
        <v>276</v>
      </c>
      <c r="H2951" s="195">
        <v>11.009230000000001</v>
      </c>
      <c r="I2951" s="195">
        <v>1.155708</v>
      </c>
      <c r="J2951" s="195">
        <v>-2.8928159999999998</v>
      </c>
      <c r="K2951" s="195">
        <v>-0.6094562</v>
      </c>
      <c r="L2951" s="195">
        <v>-0.59833159999999996</v>
      </c>
      <c r="M2951" s="195">
        <v>0.75177859999999996</v>
      </c>
      <c r="N2951" s="195">
        <v>0.89522310000000005</v>
      </c>
    </row>
    <row r="2952" spans="1:14" hidden="1" x14ac:dyDescent="0.35">
      <c r="A2952" s="52" t="s">
        <v>232</v>
      </c>
      <c r="B2952" s="52" t="s">
        <v>37</v>
      </c>
      <c r="C2952" s="52" t="s">
        <v>35</v>
      </c>
      <c r="D2952" s="52" t="s">
        <v>189</v>
      </c>
      <c r="E2952" s="52" t="s">
        <v>586</v>
      </c>
      <c r="F2952" s="52" t="s">
        <v>581</v>
      </c>
      <c r="G2952" s="195" t="s">
        <v>277</v>
      </c>
      <c r="H2952" s="195">
        <v>15.698639999999999</v>
      </c>
      <c r="I2952" s="195">
        <v>3.314934</v>
      </c>
      <c r="J2952" s="195">
        <v>0.235619</v>
      </c>
      <c r="K2952" s="195">
        <v>0.24006720000000001</v>
      </c>
      <c r="L2952" s="195">
        <v>0.22397619999999999</v>
      </c>
      <c r="M2952" s="195">
        <v>0</v>
      </c>
      <c r="N2952" s="195">
        <v>0</v>
      </c>
    </row>
    <row r="2953" spans="1:14" hidden="1" x14ac:dyDescent="0.35">
      <c r="A2953" s="52" t="s">
        <v>232</v>
      </c>
      <c r="B2953" s="52" t="s">
        <v>37</v>
      </c>
      <c r="C2953" s="52" t="s">
        <v>35</v>
      </c>
      <c r="D2953" s="52" t="s">
        <v>189</v>
      </c>
      <c r="E2953" s="52" t="s">
        <v>586</v>
      </c>
      <c r="F2953" s="52" t="s">
        <v>581</v>
      </c>
      <c r="G2953" s="195" t="s">
        <v>278</v>
      </c>
      <c r="H2953" s="195">
        <v>3.297701</v>
      </c>
      <c r="I2953" s="195">
        <v>0</v>
      </c>
      <c r="J2953" s="195">
        <v>0.78721870000000005</v>
      </c>
      <c r="K2953" s="195">
        <v>0.90396500000000002</v>
      </c>
      <c r="L2953" s="195">
        <v>0.82228780000000001</v>
      </c>
      <c r="M2953" s="195">
        <v>0</v>
      </c>
      <c r="N2953" s="195">
        <v>0</v>
      </c>
    </row>
    <row r="2954" spans="1:14" hidden="1" x14ac:dyDescent="0.35">
      <c r="A2954" s="52" t="s">
        <v>232</v>
      </c>
      <c r="B2954" s="52" t="s">
        <v>37</v>
      </c>
      <c r="C2954" s="52" t="s">
        <v>35</v>
      </c>
      <c r="D2954" s="52" t="s">
        <v>189</v>
      </c>
      <c r="E2954" s="52" t="s">
        <v>586</v>
      </c>
      <c r="F2954" s="52" t="s">
        <v>581</v>
      </c>
      <c r="G2954" s="195" t="s">
        <v>279</v>
      </c>
      <c r="H2954" s="195">
        <v>33.124180000000003</v>
      </c>
      <c r="I2954" s="195">
        <v>29.476659999999999</v>
      </c>
      <c r="J2954" s="195">
        <v>24.50619</v>
      </c>
      <c r="K2954" s="195">
        <v>21.667999999999999</v>
      </c>
      <c r="L2954" s="195">
        <v>21.801220000000001</v>
      </c>
      <c r="M2954" s="195">
        <v>19.51831</v>
      </c>
      <c r="N2954" s="195">
        <v>17.0624</v>
      </c>
    </row>
    <row r="2955" spans="1:14" hidden="1" x14ac:dyDescent="0.35">
      <c r="A2955" s="52" t="s">
        <v>232</v>
      </c>
      <c r="B2955" s="52" t="s">
        <v>37</v>
      </c>
      <c r="C2955" s="52" t="s">
        <v>35</v>
      </c>
      <c r="D2955" s="52" t="s">
        <v>189</v>
      </c>
      <c r="E2955" s="52" t="s">
        <v>586</v>
      </c>
      <c r="F2955" s="52" t="s">
        <v>26</v>
      </c>
      <c r="G2955" s="195" t="s">
        <v>275</v>
      </c>
      <c r="H2955" s="195">
        <v>-2.8177020000000002</v>
      </c>
      <c r="I2955" s="195">
        <v>-1.690118</v>
      </c>
      <c r="J2955" s="195">
        <v>-1.38693</v>
      </c>
      <c r="K2955" s="195">
        <v>-1.277541</v>
      </c>
      <c r="L2955" s="195">
        <v>-1.3762719999999999</v>
      </c>
      <c r="M2955" s="195">
        <v>-1.2288060000000001</v>
      </c>
      <c r="N2955" s="195">
        <v>-1.071142</v>
      </c>
    </row>
    <row r="2956" spans="1:14" hidden="1" x14ac:dyDescent="0.35">
      <c r="A2956" s="52" t="s">
        <v>232</v>
      </c>
      <c r="B2956" s="52" t="s">
        <v>37</v>
      </c>
      <c r="C2956" s="52" t="s">
        <v>35</v>
      </c>
      <c r="D2956" s="52" t="s">
        <v>189</v>
      </c>
      <c r="E2956" s="52" t="s">
        <v>586</v>
      </c>
      <c r="F2956" s="52" t="s">
        <v>26</v>
      </c>
      <c r="G2956" s="195" t="s">
        <v>276</v>
      </c>
      <c r="H2956" s="195">
        <v>-0.74900800000000001</v>
      </c>
      <c r="I2956" s="195">
        <v>-0.44927119999999998</v>
      </c>
      <c r="J2956" s="195">
        <v>-0.36867680000000003</v>
      </c>
      <c r="K2956" s="195">
        <v>-0.3395996</v>
      </c>
      <c r="L2956" s="195">
        <v>-0.36584420000000001</v>
      </c>
      <c r="M2956" s="195">
        <v>-0.32664520000000002</v>
      </c>
      <c r="N2956" s="195">
        <v>-0.2847346</v>
      </c>
    </row>
    <row r="2957" spans="1:14" hidden="1" x14ac:dyDescent="0.35">
      <c r="A2957" s="52" t="s">
        <v>232</v>
      </c>
      <c r="B2957" s="52" t="s">
        <v>37</v>
      </c>
      <c r="C2957" s="52" t="s">
        <v>35</v>
      </c>
      <c r="D2957" s="52" t="s">
        <v>189</v>
      </c>
      <c r="E2957" s="52" t="s">
        <v>586</v>
      </c>
      <c r="F2957" s="52" t="s">
        <v>26</v>
      </c>
      <c r="G2957" s="195" t="s">
        <v>279</v>
      </c>
      <c r="H2957" s="195">
        <v>6.9721440000000001</v>
      </c>
      <c r="I2957" s="195">
        <v>3.7182770000000001</v>
      </c>
      <c r="J2957" s="195">
        <v>3.1547100000000001</v>
      </c>
      <c r="K2957" s="195">
        <v>2.8223180000000001</v>
      </c>
      <c r="L2957" s="195">
        <v>2.8308759999999999</v>
      </c>
      <c r="M2957" s="195">
        <v>2.5357750000000001</v>
      </c>
      <c r="N2957" s="195">
        <v>2.2233200000000002</v>
      </c>
    </row>
    <row r="2958" spans="1:14" hidden="1" x14ac:dyDescent="0.35">
      <c r="A2958" s="52" t="s">
        <v>232</v>
      </c>
      <c r="B2958" s="52" t="s">
        <v>37</v>
      </c>
      <c r="C2958" s="52" t="s">
        <v>35</v>
      </c>
      <c r="D2958" s="52" t="s">
        <v>164</v>
      </c>
      <c r="E2958" s="52" t="s">
        <v>580</v>
      </c>
      <c r="F2958" s="52" t="s">
        <v>581</v>
      </c>
      <c r="G2958" s="195" t="s">
        <v>275</v>
      </c>
      <c r="H2958" s="195">
        <v>-86.798259999999999</v>
      </c>
      <c r="I2958" s="195">
        <v>24.170200000000001</v>
      </c>
      <c r="J2958" s="195">
        <v>-11.295159999999999</v>
      </c>
      <c r="K2958" s="195">
        <v>31.28707</v>
      </c>
      <c r="L2958" s="195">
        <v>-38.995289999999997</v>
      </c>
      <c r="M2958" s="195">
        <v>-42.787129999999998</v>
      </c>
      <c r="N2958" s="195">
        <v>-34.171259999999997</v>
      </c>
    </row>
    <row r="2959" spans="1:14" hidden="1" x14ac:dyDescent="0.35">
      <c r="A2959" s="52" t="s">
        <v>232</v>
      </c>
      <c r="B2959" s="52" t="s">
        <v>37</v>
      </c>
      <c r="C2959" s="52" t="s">
        <v>35</v>
      </c>
      <c r="D2959" s="52" t="s">
        <v>164</v>
      </c>
      <c r="E2959" s="52" t="s">
        <v>580</v>
      </c>
      <c r="F2959" s="52" t="s">
        <v>581</v>
      </c>
      <c r="G2959" s="195" t="s">
        <v>276</v>
      </c>
      <c r="H2959" s="195">
        <v>-22.92745</v>
      </c>
      <c r="I2959" s="195">
        <v>-71.195269999999994</v>
      </c>
      <c r="J2959" s="195">
        <v>-46.9925</v>
      </c>
      <c r="K2959" s="195">
        <v>-89.3279</v>
      </c>
      <c r="L2959" s="195">
        <v>-35.7393</v>
      </c>
      <c r="M2959" s="195">
        <v>-14.4655</v>
      </c>
      <c r="N2959" s="195">
        <v>-12.38081</v>
      </c>
    </row>
    <row r="2960" spans="1:14" hidden="1" x14ac:dyDescent="0.35">
      <c r="A2960" s="52" t="s">
        <v>232</v>
      </c>
      <c r="B2960" s="52" t="s">
        <v>37</v>
      </c>
      <c r="C2960" s="52" t="s">
        <v>35</v>
      </c>
      <c r="D2960" s="52" t="s">
        <v>164</v>
      </c>
      <c r="E2960" s="52" t="s">
        <v>580</v>
      </c>
      <c r="F2960" s="52" t="s">
        <v>581</v>
      </c>
      <c r="G2960" s="195" t="s">
        <v>277</v>
      </c>
      <c r="H2960" s="195">
        <v>211.6551</v>
      </c>
      <c r="I2960" s="195">
        <v>20.609380000000002</v>
      </c>
      <c r="J2960" s="195">
        <v>20.211780000000001</v>
      </c>
      <c r="K2960" s="195">
        <v>14.827059999999999</v>
      </c>
      <c r="L2960" s="195">
        <v>11.78227</v>
      </c>
      <c r="M2960" s="195">
        <v>3.3680370000000002</v>
      </c>
      <c r="N2960" s="195">
        <v>0</v>
      </c>
    </row>
    <row r="2961" spans="1:14" hidden="1" x14ac:dyDescent="0.35">
      <c r="A2961" s="52" t="s">
        <v>232</v>
      </c>
      <c r="B2961" s="52" t="s">
        <v>37</v>
      </c>
      <c r="C2961" s="52" t="s">
        <v>35</v>
      </c>
      <c r="D2961" s="52" t="s">
        <v>164</v>
      </c>
      <c r="E2961" s="52" t="s">
        <v>580</v>
      </c>
      <c r="F2961" s="52" t="s">
        <v>581</v>
      </c>
      <c r="G2961" s="195" t="s">
        <v>278</v>
      </c>
      <c r="H2961" s="195">
        <v>34.047989999999999</v>
      </c>
      <c r="I2961" s="195">
        <v>0</v>
      </c>
      <c r="J2961" s="195"/>
      <c r="K2961" s="195">
        <v>0</v>
      </c>
      <c r="L2961" s="195">
        <v>3.5392329999999999</v>
      </c>
      <c r="M2961" s="195">
        <v>0.66930900000000004</v>
      </c>
      <c r="N2961" s="195">
        <v>0</v>
      </c>
    </row>
    <row r="2962" spans="1:14" hidden="1" x14ac:dyDescent="0.35">
      <c r="A2962" s="52" t="s">
        <v>232</v>
      </c>
      <c r="B2962" s="52" t="s">
        <v>37</v>
      </c>
      <c r="C2962" s="52" t="s">
        <v>35</v>
      </c>
      <c r="D2962" s="52" t="s">
        <v>164</v>
      </c>
      <c r="E2962" s="52" t="s">
        <v>580</v>
      </c>
      <c r="F2962" s="52" t="s">
        <v>581</v>
      </c>
      <c r="G2962" s="195" t="s">
        <v>279</v>
      </c>
      <c r="H2962" s="195">
        <v>168.81559999999999</v>
      </c>
      <c r="I2962" s="195">
        <v>149.2602</v>
      </c>
      <c r="J2962" s="195">
        <v>151.31120000000001</v>
      </c>
      <c r="K2962" s="195">
        <v>159.97999999999999</v>
      </c>
      <c r="L2962" s="195">
        <v>172.7149</v>
      </c>
      <c r="M2962" s="195">
        <v>157.52250000000001</v>
      </c>
      <c r="N2962" s="195">
        <v>136.5171</v>
      </c>
    </row>
    <row r="2963" spans="1:14" hidden="1" x14ac:dyDescent="0.35">
      <c r="A2963" s="52" t="s">
        <v>232</v>
      </c>
      <c r="B2963" s="52" t="s">
        <v>37</v>
      </c>
      <c r="C2963" s="52" t="s">
        <v>35</v>
      </c>
      <c r="D2963" s="52" t="s">
        <v>164</v>
      </c>
      <c r="E2963" s="52" t="s">
        <v>580</v>
      </c>
      <c r="F2963" s="52" t="s">
        <v>26</v>
      </c>
      <c r="G2963" s="195" t="s">
        <v>275</v>
      </c>
      <c r="H2963" s="195">
        <v>-75.380390000000006</v>
      </c>
      <c r="I2963" s="195">
        <v>-45.631480000000003</v>
      </c>
      <c r="J2963" s="195">
        <v>-44.901820000000001</v>
      </c>
      <c r="K2963" s="195">
        <v>-49.755330000000001</v>
      </c>
      <c r="L2963" s="195">
        <v>-57.721989999999998</v>
      </c>
      <c r="M2963" s="195">
        <v>-52.522950000000002</v>
      </c>
      <c r="N2963" s="195">
        <v>-45.569369999999999</v>
      </c>
    </row>
    <row r="2964" spans="1:14" hidden="1" x14ac:dyDescent="0.35">
      <c r="A2964" s="52" t="s">
        <v>232</v>
      </c>
      <c r="B2964" s="52" t="s">
        <v>37</v>
      </c>
      <c r="C2964" s="52" t="s">
        <v>35</v>
      </c>
      <c r="D2964" s="52" t="s">
        <v>164</v>
      </c>
      <c r="E2964" s="52" t="s">
        <v>580</v>
      </c>
      <c r="F2964" s="52" t="s">
        <v>26</v>
      </c>
      <c r="G2964" s="195" t="s">
        <v>276</v>
      </c>
      <c r="H2964" s="195">
        <v>-20.03782</v>
      </c>
      <c r="I2964" s="195">
        <v>-12.12989</v>
      </c>
      <c r="J2964" s="195">
        <v>-11.935930000000001</v>
      </c>
      <c r="K2964" s="195">
        <v>-13.226100000000001</v>
      </c>
      <c r="L2964" s="195">
        <v>-15.343819999999999</v>
      </c>
      <c r="M2964" s="195">
        <v>-13.9618</v>
      </c>
      <c r="N2964" s="195">
        <v>-12.113379999999999</v>
      </c>
    </row>
    <row r="2965" spans="1:14" hidden="1" x14ac:dyDescent="0.35">
      <c r="A2965" s="52" t="s">
        <v>232</v>
      </c>
      <c r="B2965" s="52" t="s">
        <v>37</v>
      </c>
      <c r="C2965" s="52" t="s">
        <v>35</v>
      </c>
      <c r="D2965" s="52" t="s">
        <v>164</v>
      </c>
      <c r="E2965" s="52" t="s">
        <v>580</v>
      </c>
      <c r="F2965" s="52" t="s">
        <v>26</v>
      </c>
      <c r="G2965" s="195" t="s">
        <v>279</v>
      </c>
      <c r="H2965" s="195">
        <v>203.9384</v>
      </c>
      <c r="I2965" s="195">
        <v>107.0399</v>
      </c>
      <c r="J2965" s="195">
        <v>109.8374</v>
      </c>
      <c r="K2965" s="195">
        <v>117.53740000000001</v>
      </c>
      <c r="L2965" s="195">
        <v>125.8807</v>
      </c>
      <c r="M2965" s="195">
        <v>114.9692</v>
      </c>
      <c r="N2965" s="195">
        <v>99.506060000000005</v>
      </c>
    </row>
    <row r="2966" spans="1:14" hidden="1" x14ac:dyDescent="0.35">
      <c r="A2966" s="52" t="s">
        <v>232</v>
      </c>
      <c r="B2966" s="52" t="s">
        <v>37</v>
      </c>
      <c r="C2966" s="52" t="s">
        <v>35</v>
      </c>
      <c r="D2966" s="52" t="s">
        <v>129</v>
      </c>
      <c r="E2966" s="52" t="s">
        <v>580</v>
      </c>
      <c r="F2966" s="52" t="s">
        <v>581</v>
      </c>
      <c r="G2966" s="195" t="s">
        <v>275</v>
      </c>
      <c r="H2966" s="195">
        <v>151.00919999999999</v>
      </c>
      <c r="I2966" s="195">
        <v>53.17859</v>
      </c>
      <c r="J2966" s="195">
        <v>47.996119999999998</v>
      </c>
      <c r="K2966" s="195">
        <v>39.37135</v>
      </c>
      <c r="L2966" s="195">
        <v>22.911000000000001</v>
      </c>
      <c r="M2966" s="195">
        <v>15.60173</v>
      </c>
      <c r="N2966" s="195">
        <v>11.05616</v>
      </c>
    </row>
    <row r="2967" spans="1:14" hidden="1" x14ac:dyDescent="0.35">
      <c r="A2967" s="52" t="s">
        <v>232</v>
      </c>
      <c r="B2967" s="52" t="s">
        <v>37</v>
      </c>
      <c r="C2967" s="52" t="s">
        <v>35</v>
      </c>
      <c r="D2967" s="52" t="s">
        <v>129</v>
      </c>
      <c r="E2967" s="52" t="s">
        <v>580</v>
      </c>
      <c r="F2967" s="52" t="s">
        <v>581</v>
      </c>
      <c r="G2967" s="195" t="s">
        <v>276</v>
      </c>
      <c r="H2967" s="195">
        <v>4.5901420000000002</v>
      </c>
      <c r="I2967" s="195">
        <v>-4.8168639999999998</v>
      </c>
      <c r="J2967" s="195">
        <v>-10.908250000000001</v>
      </c>
      <c r="K2967" s="195">
        <v>-9.6477609999999991</v>
      </c>
      <c r="L2967" s="195">
        <v>-3.696237</v>
      </c>
      <c r="M2967" s="195">
        <v>2.5332569999999999</v>
      </c>
      <c r="N2967" s="195">
        <v>3.198359</v>
      </c>
    </row>
    <row r="2968" spans="1:14" hidden="1" x14ac:dyDescent="0.35">
      <c r="A2968" s="52" t="s">
        <v>232</v>
      </c>
      <c r="B2968" s="52" t="s">
        <v>37</v>
      </c>
      <c r="C2968" s="52" t="s">
        <v>35</v>
      </c>
      <c r="D2968" s="52" t="s">
        <v>129</v>
      </c>
      <c r="E2968" s="52" t="s">
        <v>580</v>
      </c>
      <c r="F2968" s="52" t="s">
        <v>581</v>
      </c>
      <c r="G2968" s="195" t="s">
        <v>277</v>
      </c>
      <c r="H2968" s="195">
        <v>71.678340000000006</v>
      </c>
      <c r="I2968" s="195">
        <v>6.8898789999999996</v>
      </c>
      <c r="J2968" s="195">
        <v>1.0707850000000001</v>
      </c>
      <c r="K2968" s="195">
        <v>0.47522239999999999</v>
      </c>
      <c r="L2968" s="195">
        <v>0.49539060000000001</v>
      </c>
      <c r="M2968" s="195">
        <v>0.34609679999999998</v>
      </c>
      <c r="N2968" s="195">
        <v>1.0525629999999999</v>
      </c>
    </row>
    <row r="2969" spans="1:14" hidden="1" x14ac:dyDescent="0.35">
      <c r="A2969" s="52" t="s">
        <v>232</v>
      </c>
      <c r="B2969" s="52" t="s">
        <v>37</v>
      </c>
      <c r="C2969" s="52" t="s">
        <v>35</v>
      </c>
      <c r="D2969" s="52" t="s">
        <v>129</v>
      </c>
      <c r="E2969" s="52" t="s">
        <v>580</v>
      </c>
      <c r="F2969" s="52" t="s">
        <v>581</v>
      </c>
      <c r="G2969" s="195" t="s">
        <v>278</v>
      </c>
      <c r="H2969" s="195">
        <v>16.263480000000001</v>
      </c>
      <c r="I2969" s="195">
        <v>8.2248289999999997</v>
      </c>
      <c r="J2969" s="195">
        <v>1.6421939999999999</v>
      </c>
      <c r="K2969" s="195">
        <v>1.0806389999999999</v>
      </c>
      <c r="L2969" s="195">
        <v>1.1908829999999999</v>
      </c>
      <c r="M2969" s="195">
        <v>0.73626820000000004</v>
      </c>
      <c r="N2969" s="195">
        <v>2.2416119999999999</v>
      </c>
    </row>
    <row r="2970" spans="1:14" hidden="1" x14ac:dyDescent="0.35">
      <c r="A2970" s="52" t="s">
        <v>232</v>
      </c>
      <c r="B2970" s="52" t="s">
        <v>37</v>
      </c>
      <c r="C2970" s="52" t="s">
        <v>35</v>
      </c>
      <c r="D2970" s="52" t="s">
        <v>129</v>
      </c>
      <c r="E2970" s="52" t="s">
        <v>580</v>
      </c>
      <c r="F2970" s="52" t="s">
        <v>581</v>
      </c>
      <c r="G2970" s="195" t="s">
        <v>279</v>
      </c>
      <c r="H2970" s="195">
        <v>108.1194</v>
      </c>
      <c r="I2970" s="195">
        <v>93.599000000000004</v>
      </c>
      <c r="J2970" s="195">
        <v>73.044700000000006</v>
      </c>
      <c r="K2970" s="195">
        <v>61.038440000000001</v>
      </c>
      <c r="L2970" s="195">
        <v>58.246490000000001</v>
      </c>
      <c r="M2970" s="195">
        <v>51.209009999999999</v>
      </c>
      <c r="N2970" s="195">
        <v>46.241869999999999</v>
      </c>
    </row>
    <row r="2971" spans="1:14" hidden="1" x14ac:dyDescent="0.35">
      <c r="A2971" s="52" t="s">
        <v>232</v>
      </c>
      <c r="B2971" s="52" t="s">
        <v>37</v>
      </c>
      <c r="C2971" s="52" t="s">
        <v>35</v>
      </c>
      <c r="D2971" s="52" t="s">
        <v>129</v>
      </c>
      <c r="E2971" s="52" t="s">
        <v>580</v>
      </c>
      <c r="F2971" s="52" t="s">
        <v>26</v>
      </c>
      <c r="G2971" s="195" t="s">
        <v>275</v>
      </c>
      <c r="H2971" s="195">
        <v>-15.93488</v>
      </c>
      <c r="I2971" s="195">
        <v>-9.3547639999999994</v>
      </c>
      <c r="J2971" s="195">
        <v>-7.2600749999999996</v>
      </c>
      <c r="K2971" s="195">
        <v>-6.3653120000000003</v>
      </c>
      <c r="L2971" s="195">
        <v>-6.5190149999999996</v>
      </c>
      <c r="M2971" s="195">
        <v>-5.7264290000000004</v>
      </c>
      <c r="N2971" s="195">
        <v>-5.168145</v>
      </c>
    </row>
    <row r="2972" spans="1:14" hidden="1" x14ac:dyDescent="0.35">
      <c r="A2972" s="52" t="s">
        <v>232</v>
      </c>
      <c r="B2972" s="52" t="s">
        <v>37</v>
      </c>
      <c r="C2972" s="52" t="s">
        <v>35</v>
      </c>
      <c r="D2972" s="52" t="s">
        <v>129</v>
      </c>
      <c r="E2972" s="52" t="s">
        <v>580</v>
      </c>
      <c r="F2972" s="52" t="s">
        <v>26</v>
      </c>
      <c r="G2972" s="195" t="s">
        <v>276</v>
      </c>
      <c r="H2972" s="195">
        <v>-4.2358560000000001</v>
      </c>
      <c r="I2972" s="195">
        <v>-2.4867110000000001</v>
      </c>
      <c r="J2972" s="195">
        <v>-1.929894</v>
      </c>
      <c r="K2972" s="195">
        <v>-1.692045</v>
      </c>
      <c r="L2972" s="195">
        <v>-1.7329060000000001</v>
      </c>
      <c r="M2972" s="195">
        <v>-1.522216</v>
      </c>
      <c r="N2972" s="195">
        <v>-1.37381</v>
      </c>
    </row>
    <row r="2973" spans="1:14" hidden="1" x14ac:dyDescent="0.35">
      <c r="A2973" s="52" t="s">
        <v>232</v>
      </c>
      <c r="B2973" s="52" t="s">
        <v>37</v>
      </c>
      <c r="C2973" s="52" t="s">
        <v>35</v>
      </c>
      <c r="D2973" s="52" t="s">
        <v>129</v>
      </c>
      <c r="E2973" s="52" t="s">
        <v>580</v>
      </c>
      <c r="F2973" s="52" t="s">
        <v>26</v>
      </c>
      <c r="G2973" s="195" t="s">
        <v>279</v>
      </c>
      <c r="H2973" s="195">
        <v>39.42942</v>
      </c>
      <c r="I2973" s="195">
        <v>20.571770000000001</v>
      </c>
      <c r="J2973" s="195">
        <v>16.481020000000001</v>
      </c>
      <c r="K2973" s="195">
        <v>14.00432</v>
      </c>
      <c r="L2973" s="195">
        <v>13.332660000000001</v>
      </c>
      <c r="M2973" s="195">
        <v>11.74794</v>
      </c>
      <c r="N2973" s="195">
        <v>10.60355</v>
      </c>
    </row>
    <row r="2974" spans="1:14" hidden="1" x14ac:dyDescent="0.35">
      <c r="A2974" s="52" t="s">
        <v>232</v>
      </c>
      <c r="B2974" s="52" t="s">
        <v>37</v>
      </c>
      <c r="C2974" s="52" t="s">
        <v>35</v>
      </c>
      <c r="D2974" s="52" t="s">
        <v>129</v>
      </c>
      <c r="E2974" s="52" t="s">
        <v>583</v>
      </c>
      <c r="F2974" s="52" t="s">
        <v>581</v>
      </c>
      <c r="G2974" s="195" t="s">
        <v>275</v>
      </c>
      <c r="H2974" s="195">
        <v>-7.3077209999999999</v>
      </c>
      <c r="I2974" s="195">
        <v>-2.8860860000000002</v>
      </c>
      <c r="J2974" s="195">
        <v>0.1083918</v>
      </c>
      <c r="K2974" s="195">
        <v>0.25008979999999997</v>
      </c>
      <c r="L2974" s="195">
        <v>-0.1475524</v>
      </c>
      <c r="M2974" s="195">
        <v>0.18259300000000001</v>
      </c>
      <c r="N2974" s="195">
        <v>0.16842599999999999</v>
      </c>
    </row>
    <row r="2975" spans="1:14" hidden="1" x14ac:dyDescent="0.35">
      <c r="A2975" s="52" t="s">
        <v>232</v>
      </c>
      <c r="B2975" s="52" t="s">
        <v>37</v>
      </c>
      <c r="C2975" s="52" t="s">
        <v>35</v>
      </c>
      <c r="D2975" s="52" t="s">
        <v>129</v>
      </c>
      <c r="E2975" s="52" t="s">
        <v>583</v>
      </c>
      <c r="F2975" s="52" t="s">
        <v>581</v>
      </c>
      <c r="G2975" s="195" t="s">
        <v>276</v>
      </c>
      <c r="H2975" s="195">
        <v>-0.66634199999999999</v>
      </c>
      <c r="I2975" s="195">
        <v>-0.73468880000000003</v>
      </c>
      <c r="J2975" s="195">
        <v>-0.87503620000000004</v>
      </c>
      <c r="K2975" s="195">
        <v>-1.1015489999999999</v>
      </c>
      <c r="L2975" s="195">
        <v>-0.95245610000000003</v>
      </c>
      <c r="M2975" s="195">
        <v>-0.38705020000000001</v>
      </c>
      <c r="N2975" s="195">
        <v>-3.0799799999999999E-2</v>
      </c>
    </row>
    <row r="2976" spans="1:14" hidden="1" x14ac:dyDescent="0.35">
      <c r="A2976" s="52" t="s">
        <v>232</v>
      </c>
      <c r="B2976" s="52" t="s">
        <v>37</v>
      </c>
      <c r="C2976" s="52" t="s">
        <v>35</v>
      </c>
      <c r="D2976" s="52" t="s">
        <v>129</v>
      </c>
      <c r="E2976" s="52" t="s">
        <v>583</v>
      </c>
      <c r="F2976" s="52" t="s">
        <v>581</v>
      </c>
      <c r="G2976" s="195" t="s">
        <v>277</v>
      </c>
      <c r="H2976" s="195">
        <v>7.8087109999999997</v>
      </c>
      <c r="I2976" s="195">
        <v>2.94794</v>
      </c>
      <c r="J2976" s="195">
        <v>0.26165919999999998</v>
      </c>
      <c r="K2976" s="195">
        <v>0.285686</v>
      </c>
      <c r="L2976" s="195">
        <v>0.52876719999999999</v>
      </c>
      <c r="M2976" s="195">
        <v>0</v>
      </c>
      <c r="N2976" s="195">
        <v>0</v>
      </c>
    </row>
    <row r="2977" spans="1:14" hidden="1" x14ac:dyDescent="0.35">
      <c r="A2977" s="52" t="s">
        <v>232</v>
      </c>
      <c r="B2977" s="52" t="s">
        <v>37</v>
      </c>
      <c r="C2977" s="52" t="s">
        <v>35</v>
      </c>
      <c r="D2977" s="52" t="s">
        <v>129</v>
      </c>
      <c r="E2977" s="52" t="s">
        <v>583</v>
      </c>
      <c r="F2977" s="52" t="s">
        <v>581</v>
      </c>
      <c r="G2977" s="195" t="s">
        <v>278</v>
      </c>
      <c r="H2977" s="195">
        <v>0.54299989999999998</v>
      </c>
      <c r="I2977" s="195">
        <v>0.583538</v>
      </c>
      <c r="J2977" s="195">
        <v>0.13682639999999999</v>
      </c>
      <c r="K2977" s="195">
        <v>0.1626756</v>
      </c>
      <c r="L2977" s="195">
        <v>5.8394599999999998E-2</v>
      </c>
      <c r="M2977" s="195">
        <v>0</v>
      </c>
      <c r="N2977" s="195"/>
    </row>
    <row r="2978" spans="1:14" hidden="1" x14ac:dyDescent="0.35">
      <c r="A2978" s="52" t="s">
        <v>232</v>
      </c>
      <c r="B2978" s="52" t="s">
        <v>37</v>
      </c>
      <c r="C2978" s="52" t="s">
        <v>35</v>
      </c>
      <c r="D2978" s="52" t="s">
        <v>129</v>
      </c>
      <c r="E2978" s="52" t="s">
        <v>583</v>
      </c>
      <c r="F2978" s="52" t="s">
        <v>581</v>
      </c>
      <c r="G2978" s="195" t="s">
        <v>279</v>
      </c>
      <c r="H2978" s="195">
        <v>2.3644669999999999</v>
      </c>
      <c r="I2978" s="195">
        <v>1.662955</v>
      </c>
      <c r="J2978" s="195">
        <v>1.665829</v>
      </c>
      <c r="K2978" s="195">
        <v>1.436825</v>
      </c>
      <c r="L2978" s="195">
        <v>1.460348</v>
      </c>
      <c r="M2978" s="195">
        <v>1.030092</v>
      </c>
      <c r="N2978" s="195">
        <v>0.57726460000000002</v>
      </c>
    </row>
    <row r="2979" spans="1:14" hidden="1" x14ac:dyDescent="0.35">
      <c r="A2979" s="52" t="s">
        <v>232</v>
      </c>
      <c r="B2979" s="52" t="s">
        <v>37</v>
      </c>
      <c r="C2979" s="52" t="s">
        <v>35</v>
      </c>
      <c r="D2979" s="52" t="s">
        <v>129</v>
      </c>
      <c r="E2979" s="52" t="s">
        <v>583</v>
      </c>
      <c r="F2979" s="52" t="s">
        <v>26</v>
      </c>
      <c r="G2979" s="195" t="s">
        <v>275</v>
      </c>
      <c r="H2979" s="195">
        <v>-8.0990000000000006E-2</v>
      </c>
      <c r="I2979" s="195">
        <v>-5.9174600000000001E-2</v>
      </c>
      <c r="J2979" s="195">
        <v>-5.1652000000000003E-2</v>
      </c>
      <c r="K2979" s="195">
        <v>-4.4253800000000003E-2</v>
      </c>
      <c r="L2979" s="195">
        <v>-4.7606999999999997E-2</v>
      </c>
      <c r="M2979" s="195">
        <v>-4.0917000000000002E-2</v>
      </c>
      <c r="N2979" s="195">
        <v>-3.44736E-2</v>
      </c>
    </row>
    <row r="2980" spans="1:14" hidden="1" x14ac:dyDescent="0.35">
      <c r="A2980" s="52" t="s">
        <v>232</v>
      </c>
      <c r="B2980" s="52" t="s">
        <v>37</v>
      </c>
      <c r="C2980" s="52" t="s">
        <v>35</v>
      </c>
      <c r="D2980" s="52" t="s">
        <v>129</v>
      </c>
      <c r="E2980" s="52" t="s">
        <v>583</v>
      </c>
      <c r="F2980" s="52" t="s">
        <v>26</v>
      </c>
      <c r="G2980" s="195" t="s">
        <v>276</v>
      </c>
      <c r="H2980" s="195">
        <v>-2.1529E-2</v>
      </c>
      <c r="I2980" s="195">
        <v>-1.5730399999999999E-2</v>
      </c>
      <c r="J2980" s="195">
        <v>-1.3731200000000001E-2</v>
      </c>
      <c r="K2980" s="195">
        <v>-1.17638E-2</v>
      </c>
      <c r="L2980" s="195">
        <v>-1.2654200000000001E-2</v>
      </c>
      <c r="M2980" s="195">
        <v>-1.08772E-2</v>
      </c>
      <c r="N2980" s="195">
        <v>-9.1646000000000002E-3</v>
      </c>
    </row>
    <row r="2981" spans="1:14" hidden="1" x14ac:dyDescent="0.35">
      <c r="A2981" s="52" t="s">
        <v>232</v>
      </c>
      <c r="B2981" s="52" t="s">
        <v>37</v>
      </c>
      <c r="C2981" s="52" t="s">
        <v>35</v>
      </c>
      <c r="D2981" s="52" t="s">
        <v>129</v>
      </c>
      <c r="E2981" s="52" t="s">
        <v>583</v>
      </c>
      <c r="F2981" s="52" t="s">
        <v>26</v>
      </c>
      <c r="G2981" s="195" t="s">
        <v>279</v>
      </c>
      <c r="H2981" s="195">
        <v>0.192415</v>
      </c>
      <c r="I2981" s="195">
        <v>0.1266478</v>
      </c>
      <c r="J2981" s="195">
        <v>0.1144772</v>
      </c>
      <c r="K2981" s="195">
        <v>9.5003199999999996E-2</v>
      </c>
      <c r="L2981" s="195">
        <v>9.5824409999999999E-2</v>
      </c>
      <c r="M2981" s="195">
        <v>8.27214E-2</v>
      </c>
      <c r="N2981" s="195">
        <v>7.0449399999999995E-2</v>
      </c>
    </row>
    <row r="2982" spans="1:14" hidden="1" x14ac:dyDescent="0.35">
      <c r="A2982" s="52" t="s">
        <v>232</v>
      </c>
      <c r="B2982" s="52" t="s">
        <v>37</v>
      </c>
      <c r="C2982" s="52" t="s">
        <v>35</v>
      </c>
      <c r="D2982" s="52" t="s">
        <v>38</v>
      </c>
      <c r="E2982" s="52" t="s">
        <v>584</v>
      </c>
      <c r="F2982" s="52" t="s">
        <v>581</v>
      </c>
      <c r="G2982" s="195" t="s">
        <v>275</v>
      </c>
      <c r="H2982" s="195">
        <v>95.710610000000003</v>
      </c>
      <c r="I2982" s="195">
        <v>6.829936</v>
      </c>
      <c r="J2982" s="195">
        <v>2.45966</v>
      </c>
      <c r="K2982" s="195">
        <v>3.4042020000000002</v>
      </c>
      <c r="L2982" s="195">
        <v>3.207576</v>
      </c>
      <c r="M2982" s="195">
        <v>3.9384709999999998</v>
      </c>
      <c r="N2982" s="195">
        <v>4.493398</v>
      </c>
    </row>
    <row r="2983" spans="1:14" hidden="1" x14ac:dyDescent="0.35">
      <c r="A2983" s="52" t="s">
        <v>232</v>
      </c>
      <c r="B2983" s="52" t="s">
        <v>37</v>
      </c>
      <c r="C2983" s="52" t="s">
        <v>35</v>
      </c>
      <c r="D2983" s="52" t="s">
        <v>38</v>
      </c>
      <c r="E2983" s="52" t="s">
        <v>584</v>
      </c>
      <c r="F2983" s="52" t="s">
        <v>581</v>
      </c>
      <c r="G2983" s="195" t="s">
        <v>276</v>
      </c>
      <c r="H2983" s="195">
        <v>28.96463</v>
      </c>
      <c r="I2983" s="195">
        <v>-1.0976520000000001</v>
      </c>
      <c r="J2983" s="195">
        <v>-3.1023559999999999</v>
      </c>
      <c r="K2983" s="195">
        <v>-2.943276</v>
      </c>
      <c r="L2983" s="195">
        <v>-2.3160029999999998</v>
      </c>
      <c r="M2983" s="195">
        <v>-1.5203759999999999</v>
      </c>
      <c r="N2983" s="195">
        <v>-1.1033189999999999</v>
      </c>
    </row>
    <row r="2984" spans="1:14" hidden="1" x14ac:dyDescent="0.35">
      <c r="A2984" s="52" t="s">
        <v>232</v>
      </c>
      <c r="B2984" s="52" t="s">
        <v>37</v>
      </c>
      <c r="C2984" s="52" t="s">
        <v>35</v>
      </c>
      <c r="D2984" s="52" t="s">
        <v>38</v>
      </c>
      <c r="E2984" s="52" t="s">
        <v>584</v>
      </c>
      <c r="F2984" s="52" t="s">
        <v>581</v>
      </c>
      <c r="G2984" s="195" t="s">
        <v>277</v>
      </c>
      <c r="H2984" s="195">
        <v>51.106090000000002</v>
      </c>
      <c r="I2984" s="195">
        <v>42.190199999999997</v>
      </c>
      <c r="J2984" s="195">
        <v>37.59187</v>
      </c>
      <c r="K2984" s="195">
        <v>33.246650000000002</v>
      </c>
      <c r="L2984" s="195">
        <v>29.33051</v>
      </c>
      <c r="M2984" s="195">
        <v>25.526240000000001</v>
      </c>
      <c r="N2984" s="195">
        <v>22.49577</v>
      </c>
    </row>
    <row r="2985" spans="1:14" hidden="1" x14ac:dyDescent="0.35">
      <c r="A2985" s="52" t="s">
        <v>232</v>
      </c>
      <c r="B2985" s="52" t="s">
        <v>37</v>
      </c>
      <c r="C2985" s="52" t="s">
        <v>35</v>
      </c>
      <c r="D2985" s="52" t="s">
        <v>38</v>
      </c>
      <c r="E2985" s="52" t="s">
        <v>584</v>
      </c>
      <c r="F2985" s="52" t="s">
        <v>581</v>
      </c>
      <c r="G2985" s="195" t="s">
        <v>279</v>
      </c>
      <c r="H2985" s="195">
        <v>50.14152</v>
      </c>
      <c r="I2985" s="195">
        <v>35.332920000000001</v>
      </c>
      <c r="J2985" s="195">
        <v>32.524340000000002</v>
      </c>
      <c r="K2985" s="195">
        <v>33.050170000000001</v>
      </c>
      <c r="L2985" s="195">
        <v>33.198520000000002</v>
      </c>
      <c r="M2985" s="195">
        <v>31.05782</v>
      </c>
      <c r="N2985" s="195">
        <v>29.138729999999999</v>
      </c>
    </row>
    <row r="2986" spans="1:14" hidden="1" x14ac:dyDescent="0.35">
      <c r="A2986" s="52" t="s">
        <v>232</v>
      </c>
      <c r="B2986" s="52" t="s">
        <v>37</v>
      </c>
      <c r="C2986" s="52" t="s">
        <v>35</v>
      </c>
      <c r="D2986" s="52" t="s">
        <v>38</v>
      </c>
      <c r="E2986" s="52" t="s">
        <v>584</v>
      </c>
      <c r="F2986" s="52" t="s">
        <v>26</v>
      </c>
      <c r="G2986" s="195" t="s">
        <v>275</v>
      </c>
      <c r="H2986" s="195">
        <v>-8.5069510000000008</v>
      </c>
      <c r="I2986" s="195">
        <v>-6.6766769999999998</v>
      </c>
      <c r="J2986" s="195">
        <v>-5.1597030000000004</v>
      </c>
      <c r="K2986" s="195">
        <v>-4.9628839999999999</v>
      </c>
      <c r="L2986" s="195">
        <v>-4.7525909999999998</v>
      </c>
      <c r="M2986" s="195">
        <v>-3.9810810000000001</v>
      </c>
      <c r="N2986" s="195">
        <v>-3.3805010000000002</v>
      </c>
    </row>
    <row r="2987" spans="1:14" hidden="1" x14ac:dyDescent="0.35">
      <c r="A2987" s="52" t="s">
        <v>232</v>
      </c>
      <c r="B2987" s="52" t="s">
        <v>37</v>
      </c>
      <c r="C2987" s="52" t="s">
        <v>35</v>
      </c>
      <c r="D2987" s="52" t="s">
        <v>38</v>
      </c>
      <c r="E2987" s="52" t="s">
        <v>584</v>
      </c>
      <c r="F2987" s="52" t="s">
        <v>26</v>
      </c>
      <c r="G2987" s="195" t="s">
        <v>276</v>
      </c>
      <c r="H2987" s="195">
        <v>-2.2613400000000001</v>
      </c>
      <c r="I2987" s="195">
        <v>-1.7748139999999999</v>
      </c>
      <c r="J2987" s="195">
        <v>-1.371567</v>
      </c>
      <c r="K2987" s="195">
        <v>-1.319248</v>
      </c>
      <c r="L2987" s="195">
        <v>-1.263347</v>
      </c>
      <c r="M2987" s="195">
        <v>-1.0582640000000001</v>
      </c>
      <c r="N2987" s="195">
        <v>-0.89861380000000002</v>
      </c>
    </row>
    <row r="2988" spans="1:14" hidden="1" x14ac:dyDescent="0.35">
      <c r="A2988" s="52" t="s">
        <v>232</v>
      </c>
      <c r="B2988" s="52" t="s">
        <v>37</v>
      </c>
      <c r="C2988" s="52" t="s">
        <v>35</v>
      </c>
      <c r="D2988" s="52" t="s">
        <v>38</v>
      </c>
      <c r="E2988" s="52" t="s">
        <v>584</v>
      </c>
      <c r="F2988" s="52" t="s">
        <v>26</v>
      </c>
      <c r="G2988" s="195" t="s">
        <v>279</v>
      </c>
      <c r="H2988" s="195">
        <v>33.056640000000002</v>
      </c>
      <c r="I2988" s="195">
        <v>20.352419999999999</v>
      </c>
      <c r="J2988" s="195">
        <v>15.812379999999999</v>
      </c>
      <c r="K2988" s="195">
        <v>13.454689999999999</v>
      </c>
      <c r="L2988" s="195">
        <v>11.50991</v>
      </c>
      <c r="M2988" s="195">
        <v>9.2085460000000001</v>
      </c>
      <c r="N2988" s="195">
        <v>7.4912799999999997</v>
      </c>
    </row>
    <row r="2989" spans="1:14" hidden="1" x14ac:dyDescent="0.35">
      <c r="A2989" s="52" t="s">
        <v>232</v>
      </c>
      <c r="B2989" s="52" t="s">
        <v>37</v>
      </c>
      <c r="C2989" s="52" t="s">
        <v>35</v>
      </c>
      <c r="D2989" s="52" t="s">
        <v>38</v>
      </c>
      <c r="E2989" s="52" t="s">
        <v>586</v>
      </c>
      <c r="F2989" s="52" t="s">
        <v>581</v>
      </c>
      <c r="G2989" s="195" t="s">
        <v>275</v>
      </c>
      <c r="H2989" s="195">
        <v>23.254339999999999</v>
      </c>
      <c r="I2989" s="195">
        <v>4.0700320000000003</v>
      </c>
      <c r="J2989" s="195">
        <v>2.5059849999999999</v>
      </c>
      <c r="K2989" s="195">
        <v>2.474971</v>
      </c>
      <c r="L2989" s="195">
        <v>1.228593</v>
      </c>
      <c r="M2989" s="195">
        <v>1.6708620000000001</v>
      </c>
      <c r="N2989" s="195">
        <v>1.4453860000000001</v>
      </c>
    </row>
    <row r="2990" spans="1:14" hidden="1" x14ac:dyDescent="0.35">
      <c r="A2990" s="52" t="s">
        <v>232</v>
      </c>
      <c r="B2990" s="52" t="s">
        <v>37</v>
      </c>
      <c r="C2990" s="52" t="s">
        <v>35</v>
      </c>
      <c r="D2990" s="52" t="s">
        <v>38</v>
      </c>
      <c r="E2990" s="52" t="s">
        <v>586</v>
      </c>
      <c r="F2990" s="52" t="s">
        <v>581</v>
      </c>
      <c r="G2990" s="195" t="s">
        <v>276</v>
      </c>
      <c r="H2990" s="195">
        <v>1.670051</v>
      </c>
      <c r="I2990" s="195">
        <v>0.2219921</v>
      </c>
      <c r="J2990" s="195">
        <v>0.79179299999999997</v>
      </c>
      <c r="K2990" s="195">
        <v>0.64136249999999995</v>
      </c>
      <c r="L2990" s="195">
        <v>0.36128779999999999</v>
      </c>
      <c r="M2990" s="195">
        <v>0.25063839999999998</v>
      </c>
      <c r="N2990" s="195">
        <v>0.26650040000000003</v>
      </c>
    </row>
    <row r="2991" spans="1:14" hidden="1" x14ac:dyDescent="0.35">
      <c r="A2991" s="52" t="s">
        <v>232</v>
      </c>
      <c r="B2991" s="52" t="s">
        <v>37</v>
      </c>
      <c r="C2991" s="52" t="s">
        <v>35</v>
      </c>
      <c r="D2991" s="52" t="s">
        <v>38</v>
      </c>
      <c r="E2991" s="52" t="s">
        <v>586</v>
      </c>
      <c r="F2991" s="52" t="s">
        <v>581</v>
      </c>
      <c r="G2991" s="195" t="s">
        <v>277</v>
      </c>
      <c r="H2991" s="195">
        <v>0</v>
      </c>
      <c r="I2991" s="195">
        <v>1.270905</v>
      </c>
      <c r="J2991" s="195">
        <v>0.84500759999999997</v>
      </c>
      <c r="K2991" s="195">
        <v>0.29456480000000002</v>
      </c>
      <c r="L2991" s="195">
        <v>0.51996249999999999</v>
      </c>
      <c r="M2991" s="195">
        <v>0</v>
      </c>
      <c r="N2991" s="195">
        <v>0</v>
      </c>
    </row>
    <row r="2992" spans="1:14" hidden="1" x14ac:dyDescent="0.35">
      <c r="A2992" s="52" t="s">
        <v>232</v>
      </c>
      <c r="B2992" s="52" t="s">
        <v>37</v>
      </c>
      <c r="C2992" s="52" t="s">
        <v>35</v>
      </c>
      <c r="D2992" s="52" t="s">
        <v>38</v>
      </c>
      <c r="E2992" s="52" t="s">
        <v>586</v>
      </c>
      <c r="F2992" s="52" t="s">
        <v>581</v>
      </c>
      <c r="G2992" s="195" t="s">
        <v>279</v>
      </c>
      <c r="H2992" s="195">
        <v>11.70229</v>
      </c>
      <c r="I2992" s="195">
        <v>9.9513300000000005</v>
      </c>
      <c r="J2992" s="195">
        <v>9.5557259999999999</v>
      </c>
      <c r="K2992" s="195">
        <v>8.5320769999999992</v>
      </c>
      <c r="L2992" s="195">
        <v>8.2491420000000009</v>
      </c>
      <c r="M2992" s="195">
        <v>7.2529760000000003</v>
      </c>
      <c r="N2992" s="195">
        <v>6.431324</v>
      </c>
    </row>
    <row r="2993" spans="1:14" hidden="1" x14ac:dyDescent="0.35">
      <c r="A2993" s="52" t="s">
        <v>232</v>
      </c>
      <c r="B2993" s="52" t="s">
        <v>37</v>
      </c>
      <c r="C2993" s="52" t="s">
        <v>35</v>
      </c>
      <c r="D2993" s="52" t="s">
        <v>38</v>
      </c>
      <c r="E2993" s="52" t="s">
        <v>586</v>
      </c>
      <c r="F2993" s="52" t="s">
        <v>26</v>
      </c>
      <c r="G2993" s="195" t="s">
        <v>275</v>
      </c>
      <c r="H2993" s="195">
        <v>-0.95828199999999997</v>
      </c>
      <c r="I2993" s="195">
        <v>-0.56742519999999996</v>
      </c>
      <c r="J2993" s="195">
        <v>-0.53369920000000004</v>
      </c>
      <c r="K2993" s="195">
        <v>-0.50181659999999995</v>
      </c>
      <c r="L2993" s="195">
        <v>-0.52364540000000004</v>
      </c>
      <c r="M2993" s="195">
        <v>-0.46171960000000001</v>
      </c>
      <c r="N2993" s="195">
        <v>-0.4087036</v>
      </c>
    </row>
    <row r="2994" spans="1:14" hidden="1" x14ac:dyDescent="0.35">
      <c r="A2994" s="52" t="s">
        <v>232</v>
      </c>
      <c r="B2994" s="52" t="s">
        <v>37</v>
      </c>
      <c r="C2994" s="52" t="s">
        <v>35</v>
      </c>
      <c r="D2994" s="52" t="s">
        <v>38</v>
      </c>
      <c r="E2994" s="52" t="s">
        <v>586</v>
      </c>
      <c r="F2994" s="52" t="s">
        <v>26</v>
      </c>
      <c r="G2994" s="195" t="s">
        <v>276</v>
      </c>
      <c r="H2994" s="195">
        <v>-0.25473299999999999</v>
      </c>
      <c r="I2994" s="195">
        <v>-0.15083479999999999</v>
      </c>
      <c r="J2994" s="195">
        <v>-0.1418692</v>
      </c>
      <c r="K2994" s="195">
        <v>-0.13339480000000001</v>
      </c>
      <c r="L2994" s="195">
        <v>-0.13919699999999999</v>
      </c>
      <c r="M2994" s="195">
        <v>-0.1227362</v>
      </c>
      <c r="N2994" s="195">
        <v>-0.1086428</v>
      </c>
    </row>
    <row r="2995" spans="1:14" hidden="1" x14ac:dyDescent="0.35">
      <c r="A2995" s="52" t="s">
        <v>232</v>
      </c>
      <c r="B2995" s="52" t="s">
        <v>37</v>
      </c>
      <c r="C2995" s="52" t="s">
        <v>35</v>
      </c>
      <c r="D2995" s="52" t="s">
        <v>38</v>
      </c>
      <c r="E2995" s="52" t="s">
        <v>586</v>
      </c>
      <c r="F2995" s="52" t="s">
        <v>26</v>
      </c>
      <c r="G2995" s="195" t="s">
        <v>279</v>
      </c>
      <c r="H2995" s="195">
        <v>2.5445869999999999</v>
      </c>
      <c r="I2995" s="195">
        <v>1.294699</v>
      </c>
      <c r="J2995" s="195">
        <v>1.2683880000000001</v>
      </c>
      <c r="K2995" s="195">
        <v>1.151033</v>
      </c>
      <c r="L2995" s="195">
        <v>1.108935</v>
      </c>
      <c r="M2995" s="195">
        <v>0.97848939999999995</v>
      </c>
      <c r="N2995" s="195">
        <v>0.8672552</v>
      </c>
    </row>
    <row r="2996" spans="1:14" hidden="1" x14ac:dyDescent="0.35">
      <c r="A2996" s="52" t="s">
        <v>232</v>
      </c>
      <c r="B2996" s="52" t="s">
        <v>37</v>
      </c>
      <c r="C2996" s="52" t="s">
        <v>35</v>
      </c>
      <c r="D2996" s="52" t="s">
        <v>38</v>
      </c>
      <c r="E2996" s="52" t="s">
        <v>644</v>
      </c>
      <c r="F2996" s="52" t="s">
        <v>581</v>
      </c>
      <c r="G2996" s="195" t="s">
        <v>275</v>
      </c>
      <c r="H2996" s="195">
        <v>12.79804</v>
      </c>
      <c r="I2996" s="195">
        <v>1.9332879999999999</v>
      </c>
      <c r="J2996" s="195">
        <v>1.7829349999999999</v>
      </c>
      <c r="K2996" s="195">
        <v>1.122093</v>
      </c>
      <c r="L2996" s="195">
        <v>0.58083899999999999</v>
      </c>
      <c r="M2996" s="195">
        <v>0.53560940000000001</v>
      </c>
      <c r="N2996" s="195">
        <v>0.46620400000000001</v>
      </c>
    </row>
    <row r="2997" spans="1:14" hidden="1" x14ac:dyDescent="0.35">
      <c r="A2997" s="52" t="s">
        <v>232</v>
      </c>
      <c r="B2997" s="52" t="s">
        <v>37</v>
      </c>
      <c r="C2997" s="52" t="s">
        <v>35</v>
      </c>
      <c r="D2997" s="52" t="s">
        <v>38</v>
      </c>
      <c r="E2997" s="52" t="s">
        <v>644</v>
      </c>
      <c r="F2997" s="52" t="s">
        <v>581</v>
      </c>
      <c r="G2997" s="195" t="s">
        <v>276</v>
      </c>
      <c r="H2997" s="195">
        <v>0.84121400000000002</v>
      </c>
      <c r="I2997" s="195">
        <v>0.2265336</v>
      </c>
      <c r="J2997" s="195">
        <v>-0.4144584</v>
      </c>
      <c r="K2997" s="195">
        <v>3.7168800000000002E-2</v>
      </c>
      <c r="L2997" s="195">
        <v>0.15439919999999999</v>
      </c>
      <c r="M2997" s="195">
        <v>0.14237759999999999</v>
      </c>
      <c r="N2997" s="195">
        <v>0.12392739999999999</v>
      </c>
    </row>
    <row r="2998" spans="1:14" hidden="1" x14ac:dyDescent="0.35">
      <c r="A2998" s="52" t="s">
        <v>232</v>
      </c>
      <c r="B2998" s="52" t="s">
        <v>37</v>
      </c>
      <c r="C2998" s="52" t="s">
        <v>35</v>
      </c>
      <c r="D2998" s="52" t="s">
        <v>38</v>
      </c>
      <c r="E2998" s="52" t="s">
        <v>644</v>
      </c>
      <c r="F2998" s="52" t="s">
        <v>581</v>
      </c>
      <c r="G2998" s="195" t="s">
        <v>277</v>
      </c>
      <c r="H2998" s="195">
        <v>0</v>
      </c>
      <c r="I2998" s="195"/>
      <c r="J2998" s="195"/>
      <c r="K2998" s="195"/>
      <c r="L2998" s="195"/>
      <c r="M2998" s="195"/>
      <c r="N2998" s="195"/>
    </row>
    <row r="2999" spans="1:14" hidden="1" x14ac:dyDescent="0.35">
      <c r="A2999" s="52" t="s">
        <v>232</v>
      </c>
      <c r="B2999" s="52" t="s">
        <v>37</v>
      </c>
      <c r="C2999" s="52" t="s">
        <v>35</v>
      </c>
      <c r="D2999" s="52" t="s">
        <v>38</v>
      </c>
      <c r="E2999" s="52" t="s">
        <v>644</v>
      </c>
      <c r="F2999" s="52" t="s">
        <v>581</v>
      </c>
      <c r="G2999" s="195" t="s">
        <v>279</v>
      </c>
      <c r="H2999" s="195">
        <v>6.2334100000000001</v>
      </c>
      <c r="I2999" s="195">
        <v>3.8278240000000001</v>
      </c>
      <c r="J2999" s="195">
        <v>3.2254839999999998</v>
      </c>
      <c r="K2999" s="195">
        <v>2.9740880000000001</v>
      </c>
      <c r="L2999" s="195">
        <v>2.9964729999999999</v>
      </c>
      <c r="M2999" s="195">
        <v>2.7012179999999999</v>
      </c>
      <c r="N2999" s="195">
        <v>2.4530319999999999</v>
      </c>
    </row>
    <row r="3000" spans="1:14" hidden="1" x14ac:dyDescent="0.35">
      <c r="A3000" s="52" t="s">
        <v>232</v>
      </c>
      <c r="B3000" s="52" t="s">
        <v>37</v>
      </c>
      <c r="C3000" s="52" t="s">
        <v>35</v>
      </c>
      <c r="D3000" s="52" t="s">
        <v>38</v>
      </c>
      <c r="E3000" s="52" t="s">
        <v>644</v>
      </c>
      <c r="F3000" s="52" t="s">
        <v>26</v>
      </c>
      <c r="G3000" s="195" t="s">
        <v>275</v>
      </c>
      <c r="H3000" s="195">
        <v>-0.77923200000000004</v>
      </c>
      <c r="I3000" s="195">
        <v>-0.34355200000000002</v>
      </c>
      <c r="J3000" s="195">
        <v>-0.290379</v>
      </c>
      <c r="K3000" s="195">
        <v>-0.28058139999999998</v>
      </c>
      <c r="L3000" s="195">
        <v>-0.30166860000000001</v>
      </c>
      <c r="M3000" s="195">
        <v>-0.27467439999999999</v>
      </c>
      <c r="N3000" s="195">
        <v>-0.25278919999999999</v>
      </c>
    </row>
    <row r="3001" spans="1:14" hidden="1" x14ac:dyDescent="0.35">
      <c r="A3001" s="52" t="s">
        <v>232</v>
      </c>
      <c r="B3001" s="52" t="s">
        <v>37</v>
      </c>
      <c r="C3001" s="52" t="s">
        <v>35</v>
      </c>
      <c r="D3001" s="52" t="s">
        <v>38</v>
      </c>
      <c r="E3001" s="52" t="s">
        <v>644</v>
      </c>
      <c r="F3001" s="52" t="s">
        <v>26</v>
      </c>
      <c r="G3001" s="195" t="s">
        <v>276</v>
      </c>
      <c r="H3001" s="195">
        <v>-0.20713699999999999</v>
      </c>
      <c r="I3001" s="195">
        <v>-9.1324000000000002E-2</v>
      </c>
      <c r="J3001" s="195">
        <v>-7.7189400000000005E-2</v>
      </c>
      <c r="K3001" s="195">
        <v>-7.4585189999999996E-2</v>
      </c>
      <c r="L3001" s="195">
        <v>-8.0190410000000004E-2</v>
      </c>
      <c r="M3001" s="195">
        <v>-7.3014800000000005E-2</v>
      </c>
      <c r="N3001" s="195">
        <v>-6.7197400000000004E-2</v>
      </c>
    </row>
    <row r="3002" spans="1:14" hidden="1" x14ac:dyDescent="0.35">
      <c r="A3002" s="52" t="s">
        <v>232</v>
      </c>
      <c r="B3002" s="52" t="s">
        <v>37</v>
      </c>
      <c r="C3002" s="52" t="s">
        <v>35</v>
      </c>
      <c r="D3002" s="52" t="s">
        <v>38</v>
      </c>
      <c r="E3002" s="52" t="s">
        <v>644</v>
      </c>
      <c r="F3002" s="52" t="s">
        <v>26</v>
      </c>
      <c r="G3002" s="195" t="s">
        <v>279</v>
      </c>
      <c r="H3002" s="195">
        <v>1.9583600000000001</v>
      </c>
      <c r="I3002" s="195">
        <v>0.73391799999999996</v>
      </c>
      <c r="J3002" s="195">
        <v>0.63482479999999997</v>
      </c>
      <c r="K3002" s="195">
        <v>0.59521900000000005</v>
      </c>
      <c r="L3002" s="195">
        <v>0.59810079999999999</v>
      </c>
      <c r="M3002" s="195">
        <v>0.54296199999999994</v>
      </c>
      <c r="N3002" s="195">
        <v>0.49587560000000003</v>
      </c>
    </row>
    <row r="3003" spans="1:14" hidden="1" x14ac:dyDescent="0.35">
      <c r="A3003" s="52" t="s">
        <v>232</v>
      </c>
      <c r="B3003" s="52" t="s">
        <v>37</v>
      </c>
      <c r="C3003" s="52" t="s">
        <v>35</v>
      </c>
      <c r="D3003" s="52" t="s">
        <v>39</v>
      </c>
      <c r="E3003" s="52" t="s">
        <v>582</v>
      </c>
      <c r="F3003" s="52" t="s">
        <v>581</v>
      </c>
      <c r="G3003" s="195" t="s">
        <v>275</v>
      </c>
      <c r="H3003" s="195">
        <v>-74.110789999999994</v>
      </c>
      <c r="I3003" s="195">
        <v>1.323372</v>
      </c>
      <c r="J3003" s="195">
        <v>28.85689</v>
      </c>
      <c r="K3003" s="195">
        <v>30.669920000000001</v>
      </c>
      <c r="L3003" s="195">
        <v>27.46284</v>
      </c>
      <c r="M3003" s="195">
        <v>18.361450000000001</v>
      </c>
      <c r="N3003" s="195">
        <v>13.19018</v>
      </c>
    </row>
    <row r="3004" spans="1:14" hidden="1" x14ac:dyDescent="0.35">
      <c r="A3004" s="52" t="s">
        <v>232</v>
      </c>
      <c r="B3004" s="52" t="s">
        <v>37</v>
      </c>
      <c r="C3004" s="52" t="s">
        <v>35</v>
      </c>
      <c r="D3004" s="52" t="s">
        <v>39</v>
      </c>
      <c r="E3004" s="52" t="s">
        <v>582</v>
      </c>
      <c r="F3004" s="52" t="s">
        <v>581</v>
      </c>
      <c r="G3004" s="195" t="s">
        <v>276</v>
      </c>
      <c r="H3004" s="195">
        <v>6.7011729999999998</v>
      </c>
      <c r="I3004" s="195">
        <v>-2.85528</v>
      </c>
      <c r="J3004" s="195">
        <v>-5.6356960000000003</v>
      </c>
      <c r="K3004" s="195">
        <v>-8.7877399999999994</v>
      </c>
      <c r="L3004" s="195">
        <v>-10.70078</v>
      </c>
      <c r="M3004" s="195">
        <v>-0.31107820000000003</v>
      </c>
      <c r="N3004" s="195">
        <v>2.2330999999999999</v>
      </c>
    </row>
    <row r="3005" spans="1:14" hidden="1" x14ac:dyDescent="0.35">
      <c r="A3005" s="52" t="s">
        <v>232</v>
      </c>
      <c r="B3005" s="52" t="s">
        <v>37</v>
      </c>
      <c r="C3005" s="52" t="s">
        <v>35</v>
      </c>
      <c r="D3005" s="52" t="s">
        <v>39</v>
      </c>
      <c r="E3005" s="52" t="s">
        <v>582</v>
      </c>
      <c r="F3005" s="52" t="s">
        <v>581</v>
      </c>
      <c r="G3005" s="195" t="s">
        <v>277</v>
      </c>
      <c r="H3005" s="195">
        <v>121.2118</v>
      </c>
      <c r="I3005" s="195">
        <v>21.411429999999999</v>
      </c>
      <c r="J3005" s="195">
        <v>2.3564379999999998</v>
      </c>
      <c r="K3005" s="195">
        <v>1.0744469999999999</v>
      </c>
      <c r="L3005" s="195">
        <v>0.57917160000000001</v>
      </c>
      <c r="M3005" s="195">
        <v>0</v>
      </c>
      <c r="N3005" s="195">
        <v>0</v>
      </c>
    </row>
    <row r="3006" spans="1:14" hidden="1" x14ac:dyDescent="0.35">
      <c r="A3006" s="52" t="s">
        <v>232</v>
      </c>
      <c r="B3006" s="52" t="s">
        <v>37</v>
      </c>
      <c r="C3006" s="52" t="s">
        <v>35</v>
      </c>
      <c r="D3006" s="52" t="s">
        <v>39</v>
      </c>
      <c r="E3006" s="52" t="s">
        <v>582</v>
      </c>
      <c r="F3006" s="52" t="s">
        <v>581</v>
      </c>
      <c r="G3006" s="195" t="s">
        <v>278</v>
      </c>
      <c r="H3006" s="195">
        <v>36.555149999999998</v>
      </c>
      <c r="I3006" s="195">
        <v>20.842490000000002</v>
      </c>
      <c r="J3006" s="195">
        <v>6.828919</v>
      </c>
      <c r="K3006" s="195">
        <v>3.9428779999999999</v>
      </c>
      <c r="L3006" s="195">
        <v>3.431441</v>
      </c>
      <c r="M3006" s="195">
        <v>0</v>
      </c>
      <c r="N3006" s="195">
        <v>0</v>
      </c>
    </row>
    <row r="3007" spans="1:14" hidden="1" x14ac:dyDescent="0.35">
      <c r="A3007" s="52" t="s">
        <v>232</v>
      </c>
      <c r="B3007" s="52" t="s">
        <v>37</v>
      </c>
      <c r="C3007" s="52" t="s">
        <v>35</v>
      </c>
      <c r="D3007" s="52" t="s">
        <v>39</v>
      </c>
      <c r="E3007" s="52" t="s">
        <v>582</v>
      </c>
      <c r="F3007" s="52" t="s">
        <v>581</v>
      </c>
      <c r="G3007" s="195" t="s">
        <v>279</v>
      </c>
      <c r="H3007" s="195">
        <v>30.19502</v>
      </c>
      <c r="I3007" s="195">
        <v>36.883740000000003</v>
      </c>
      <c r="J3007" s="195">
        <v>34.279049999999998</v>
      </c>
      <c r="K3007" s="195">
        <v>29.657879999999999</v>
      </c>
      <c r="L3007" s="195">
        <v>28.835429999999999</v>
      </c>
      <c r="M3007" s="195">
        <v>24.460979999999999</v>
      </c>
      <c r="N3007" s="195">
        <v>20.909469999999999</v>
      </c>
    </row>
    <row r="3008" spans="1:14" hidden="1" x14ac:dyDescent="0.35">
      <c r="A3008" s="52" t="s">
        <v>232</v>
      </c>
      <c r="B3008" s="52" t="s">
        <v>37</v>
      </c>
      <c r="C3008" s="52" t="s">
        <v>35</v>
      </c>
      <c r="D3008" s="52" t="s">
        <v>39</v>
      </c>
      <c r="E3008" s="52" t="s">
        <v>582</v>
      </c>
      <c r="F3008" s="52" t="s">
        <v>26</v>
      </c>
      <c r="G3008" s="195" t="s">
        <v>275</v>
      </c>
      <c r="H3008" s="195">
        <v>-3.2823880000000001</v>
      </c>
      <c r="I3008" s="195">
        <v>-3.1815259999999999</v>
      </c>
      <c r="J3008" s="195">
        <v>-2.7938860000000001</v>
      </c>
      <c r="K3008" s="195">
        <v>-2.6427740000000002</v>
      </c>
      <c r="L3008" s="195">
        <v>-2.9942310000000001</v>
      </c>
      <c r="M3008" s="195">
        <v>-2.5317599999999998</v>
      </c>
      <c r="N3008" s="195">
        <v>-2.165988</v>
      </c>
    </row>
    <row r="3009" spans="1:14" hidden="1" x14ac:dyDescent="0.35">
      <c r="A3009" s="52" t="s">
        <v>232</v>
      </c>
      <c r="B3009" s="52" t="s">
        <v>37</v>
      </c>
      <c r="C3009" s="52" t="s">
        <v>35</v>
      </c>
      <c r="D3009" s="52" t="s">
        <v>39</v>
      </c>
      <c r="E3009" s="52" t="s">
        <v>582</v>
      </c>
      <c r="F3009" s="52" t="s">
        <v>26</v>
      </c>
      <c r="G3009" s="195" t="s">
        <v>276</v>
      </c>
      <c r="H3009" s="195">
        <v>-0.87253700000000001</v>
      </c>
      <c r="I3009" s="195">
        <v>-0.84572179999999997</v>
      </c>
      <c r="J3009" s="195">
        <v>-0.74268000000000001</v>
      </c>
      <c r="K3009" s="195">
        <v>-0.70250999999999997</v>
      </c>
      <c r="L3009" s="195">
        <v>-0.79593230000000004</v>
      </c>
      <c r="M3009" s="195">
        <v>-0.67300040000000005</v>
      </c>
      <c r="N3009" s="195">
        <v>-0.57576939999999999</v>
      </c>
    </row>
    <row r="3010" spans="1:14" hidden="1" x14ac:dyDescent="0.35">
      <c r="A3010" s="52" t="s">
        <v>232</v>
      </c>
      <c r="B3010" s="52" t="s">
        <v>37</v>
      </c>
      <c r="C3010" s="52" t="s">
        <v>35</v>
      </c>
      <c r="D3010" s="52" t="s">
        <v>39</v>
      </c>
      <c r="E3010" s="52" t="s">
        <v>582</v>
      </c>
      <c r="F3010" s="52" t="s">
        <v>26</v>
      </c>
      <c r="G3010" s="195" t="s">
        <v>279</v>
      </c>
      <c r="H3010" s="195">
        <v>14.36965</v>
      </c>
      <c r="I3010" s="195">
        <v>10.658609999999999</v>
      </c>
      <c r="J3010" s="195">
        <v>10.170730000000001</v>
      </c>
      <c r="K3010" s="195">
        <v>8.9536569999999998</v>
      </c>
      <c r="L3010" s="195">
        <v>8.6903459999999999</v>
      </c>
      <c r="M3010" s="195">
        <v>7.3940229999999998</v>
      </c>
      <c r="N3010" s="195">
        <v>6.3237579999999998</v>
      </c>
    </row>
    <row r="3011" spans="1:14" hidden="1" x14ac:dyDescent="0.35">
      <c r="A3011" s="52" t="s">
        <v>232</v>
      </c>
      <c r="B3011" s="52" t="s">
        <v>37</v>
      </c>
      <c r="C3011" s="52" t="s">
        <v>35</v>
      </c>
      <c r="D3011" s="52" t="s">
        <v>233</v>
      </c>
      <c r="E3011" s="52" t="s">
        <v>589</v>
      </c>
      <c r="F3011" s="52" t="s">
        <v>581</v>
      </c>
      <c r="G3011" s="195" t="s">
        <v>275</v>
      </c>
      <c r="H3011" s="195">
        <v>-8.1430299999999995</v>
      </c>
      <c r="I3011" s="195">
        <v>20.216950000000001</v>
      </c>
      <c r="J3011" s="195">
        <v>15.921110000000001</v>
      </c>
      <c r="K3011" s="195">
        <v>22.40269</v>
      </c>
      <c r="L3011" s="195">
        <v>13.76163</v>
      </c>
      <c r="M3011" s="195">
        <v>6.7905879999999996</v>
      </c>
      <c r="N3011" s="195">
        <v>5.9229779999999996</v>
      </c>
    </row>
    <row r="3012" spans="1:14" hidden="1" x14ac:dyDescent="0.35">
      <c r="A3012" s="52" t="s">
        <v>232</v>
      </c>
      <c r="B3012" s="52" t="s">
        <v>37</v>
      </c>
      <c r="C3012" s="52" t="s">
        <v>35</v>
      </c>
      <c r="D3012" s="52" t="s">
        <v>233</v>
      </c>
      <c r="E3012" s="52" t="s">
        <v>589</v>
      </c>
      <c r="F3012" s="52" t="s">
        <v>581</v>
      </c>
      <c r="G3012" s="195" t="s">
        <v>276</v>
      </c>
      <c r="H3012" s="195">
        <v>9.0293430000000008</v>
      </c>
      <c r="I3012" s="195">
        <v>-3.2336469999999999</v>
      </c>
      <c r="J3012" s="195">
        <v>-7.5031040000000004</v>
      </c>
      <c r="K3012" s="195">
        <v>-11.41527</v>
      </c>
      <c r="L3012" s="195">
        <v>-6.6030100000000003</v>
      </c>
      <c r="M3012" s="195">
        <v>0.72852150000000004</v>
      </c>
      <c r="N3012" s="195">
        <v>0.71732280000000004</v>
      </c>
    </row>
    <row r="3013" spans="1:14" hidden="1" x14ac:dyDescent="0.35">
      <c r="A3013" s="52" t="s">
        <v>232</v>
      </c>
      <c r="B3013" s="52" t="s">
        <v>37</v>
      </c>
      <c r="C3013" s="52" t="s">
        <v>35</v>
      </c>
      <c r="D3013" s="52" t="s">
        <v>233</v>
      </c>
      <c r="E3013" s="52" t="s">
        <v>589</v>
      </c>
      <c r="F3013" s="52" t="s">
        <v>581</v>
      </c>
      <c r="G3013" s="195" t="s">
        <v>277</v>
      </c>
      <c r="H3013" s="195">
        <v>83.689840000000004</v>
      </c>
      <c r="I3013" s="195">
        <v>5.9298339999999996</v>
      </c>
      <c r="J3013" s="195">
        <v>5.7368629999999996</v>
      </c>
      <c r="K3013" s="195">
        <v>1.427894</v>
      </c>
      <c r="L3013" s="195">
        <v>1.3474489999999999</v>
      </c>
      <c r="M3013" s="195">
        <v>0</v>
      </c>
      <c r="N3013" s="195">
        <v>0</v>
      </c>
    </row>
    <row r="3014" spans="1:14" hidden="1" x14ac:dyDescent="0.35">
      <c r="A3014" s="52" t="s">
        <v>232</v>
      </c>
      <c r="B3014" s="52" t="s">
        <v>37</v>
      </c>
      <c r="C3014" s="52" t="s">
        <v>35</v>
      </c>
      <c r="D3014" s="52" t="s">
        <v>233</v>
      </c>
      <c r="E3014" s="52" t="s">
        <v>589</v>
      </c>
      <c r="F3014" s="52" t="s">
        <v>581</v>
      </c>
      <c r="G3014" s="195" t="s">
        <v>278</v>
      </c>
      <c r="H3014" s="195">
        <v>8.4946909999999995</v>
      </c>
      <c r="I3014" s="195">
        <v>1.082554</v>
      </c>
      <c r="J3014" s="195">
        <v>1.228259</v>
      </c>
      <c r="K3014" s="195">
        <v>0.51637679999999997</v>
      </c>
      <c r="L3014" s="195">
        <v>0</v>
      </c>
      <c r="M3014" s="195"/>
      <c r="N3014" s="195"/>
    </row>
    <row r="3015" spans="1:14" hidden="1" x14ac:dyDescent="0.35">
      <c r="A3015" s="52" t="s">
        <v>232</v>
      </c>
      <c r="B3015" s="52" t="s">
        <v>37</v>
      </c>
      <c r="C3015" s="52" t="s">
        <v>35</v>
      </c>
      <c r="D3015" s="52" t="s">
        <v>233</v>
      </c>
      <c r="E3015" s="52" t="s">
        <v>589</v>
      </c>
      <c r="F3015" s="52" t="s">
        <v>581</v>
      </c>
      <c r="G3015" s="195" t="s">
        <v>279</v>
      </c>
      <c r="H3015" s="195">
        <v>39.519750000000002</v>
      </c>
      <c r="I3015" s="195">
        <v>34.610199999999999</v>
      </c>
      <c r="J3015" s="195">
        <v>27.664549999999998</v>
      </c>
      <c r="K3015" s="195">
        <v>24.547840000000001</v>
      </c>
      <c r="L3015" s="195">
        <v>23.21144</v>
      </c>
      <c r="M3015" s="195">
        <v>19.822659999999999</v>
      </c>
      <c r="N3015" s="195">
        <v>17.356529999999999</v>
      </c>
    </row>
    <row r="3016" spans="1:14" hidden="1" x14ac:dyDescent="0.35">
      <c r="A3016" s="52" t="s">
        <v>232</v>
      </c>
      <c r="B3016" s="52" t="s">
        <v>37</v>
      </c>
      <c r="C3016" s="52" t="s">
        <v>35</v>
      </c>
      <c r="D3016" s="52" t="s">
        <v>233</v>
      </c>
      <c r="E3016" s="52" t="s">
        <v>589</v>
      </c>
      <c r="F3016" s="52" t="s">
        <v>26</v>
      </c>
      <c r="G3016" s="195" t="s">
        <v>275</v>
      </c>
      <c r="H3016" s="195">
        <v>-3.1398950000000001</v>
      </c>
      <c r="I3016" s="195">
        <v>-1.8873740000000001</v>
      </c>
      <c r="J3016" s="195">
        <v>-1.4863040000000001</v>
      </c>
      <c r="K3016" s="195">
        <v>-1.387248</v>
      </c>
      <c r="L3016" s="195">
        <v>-1.4285079999999999</v>
      </c>
      <c r="M3016" s="195">
        <v>-1.222005</v>
      </c>
      <c r="N3016" s="195">
        <v>-1.0624359999999999</v>
      </c>
    </row>
    <row r="3017" spans="1:14" hidden="1" x14ac:dyDescent="0.35">
      <c r="A3017" s="52" t="s">
        <v>232</v>
      </c>
      <c r="B3017" s="52" t="s">
        <v>37</v>
      </c>
      <c r="C3017" s="52" t="s">
        <v>35</v>
      </c>
      <c r="D3017" s="52" t="s">
        <v>233</v>
      </c>
      <c r="E3017" s="52" t="s">
        <v>589</v>
      </c>
      <c r="F3017" s="52" t="s">
        <v>26</v>
      </c>
      <c r="G3017" s="195" t="s">
        <v>276</v>
      </c>
      <c r="H3017" s="195">
        <v>-0.83466010000000002</v>
      </c>
      <c r="I3017" s="195">
        <v>-0.50170820000000005</v>
      </c>
      <c r="J3017" s="195">
        <v>-0.39509319999999998</v>
      </c>
      <c r="K3017" s="195">
        <v>-0.36876039999999999</v>
      </c>
      <c r="L3017" s="195">
        <v>-0.37972899999999998</v>
      </c>
      <c r="M3017" s="195">
        <v>-0.32483679999999998</v>
      </c>
      <c r="N3017" s="195">
        <v>-0.28242060000000002</v>
      </c>
    </row>
    <row r="3018" spans="1:14" hidden="1" x14ac:dyDescent="0.35">
      <c r="A3018" s="52" t="s">
        <v>232</v>
      </c>
      <c r="B3018" s="52" t="s">
        <v>37</v>
      </c>
      <c r="C3018" s="52" t="s">
        <v>35</v>
      </c>
      <c r="D3018" s="52" t="s">
        <v>233</v>
      </c>
      <c r="E3018" s="52" t="s">
        <v>589</v>
      </c>
      <c r="F3018" s="52" t="s">
        <v>26</v>
      </c>
      <c r="G3018" s="195" t="s">
        <v>279</v>
      </c>
      <c r="H3018" s="195">
        <v>8.4917800000000003</v>
      </c>
      <c r="I3018" s="195">
        <v>4.4290349999999998</v>
      </c>
      <c r="J3018" s="195">
        <v>3.6243970000000001</v>
      </c>
      <c r="K3018" s="195">
        <v>3.2679550000000002</v>
      </c>
      <c r="L3018" s="195">
        <v>3.0850770000000001</v>
      </c>
      <c r="M3018" s="195">
        <v>2.6449419999999999</v>
      </c>
      <c r="N3018" s="195">
        <v>2.309088</v>
      </c>
    </row>
    <row r="3019" spans="1:14" hidden="1" x14ac:dyDescent="0.35">
      <c r="A3019" s="52" t="s">
        <v>232</v>
      </c>
      <c r="B3019" s="52" t="s">
        <v>37</v>
      </c>
      <c r="C3019" s="52" t="s">
        <v>35</v>
      </c>
      <c r="D3019" s="52" t="s">
        <v>233</v>
      </c>
      <c r="E3019" s="52" t="s">
        <v>644</v>
      </c>
      <c r="F3019" s="52" t="s">
        <v>581</v>
      </c>
      <c r="G3019" s="195" t="s">
        <v>275</v>
      </c>
      <c r="H3019" s="195">
        <v>2.313126</v>
      </c>
      <c r="I3019" s="195">
        <v>-0.21279400000000001</v>
      </c>
      <c r="J3019" s="195">
        <v>-0.65397099999999997</v>
      </c>
      <c r="K3019" s="195">
        <v>-0.53592059999999997</v>
      </c>
      <c r="L3019" s="195">
        <v>-0.100484</v>
      </c>
      <c r="M3019" s="195">
        <v>-7.3345999999999995E-2</v>
      </c>
      <c r="N3019" s="195">
        <v>-3.1256399999999997E-2</v>
      </c>
    </row>
    <row r="3020" spans="1:14" hidden="1" x14ac:dyDescent="0.35">
      <c r="A3020" s="52" t="s">
        <v>232</v>
      </c>
      <c r="B3020" s="52" t="s">
        <v>37</v>
      </c>
      <c r="C3020" s="52" t="s">
        <v>35</v>
      </c>
      <c r="D3020" s="52" t="s">
        <v>233</v>
      </c>
      <c r="E3020" s="52" t="s">
        <v>644</v>
      </c>
      <c r="F3020" s="52" t="s">
        <v>581</v>
      </c>
      <c r="G3020" s="195" t="s">
        <v>276</v>
      </c>
      <c r="H3020" s="195">
        <v>-1.322384</v>
      </c>
      <c r="I3020" s="195">
        <v>-6.9521399999999997E-2</v>
      </c>
      <c r="J3020" s="195">
        <v>-6.1863399999999999E-2</v>
      </c>
      <c r="K3020" s="195">
        <v>-7.3480400000000001E-2</v>
      </c>
      <c r="L3020" s="195">
        <v>-7.0981600000000006E-2</v>
      </c>
      <c r="M3020" s="195">
        <v>-7.1458999999999995E-2</v>
      </c>
      <c r="N3020" s="195">
        <v>-8.25076E-2</v>
      </c>
    </row>
    <row r="3021" spans="1:14" hidden="1" x14ac:dyDescent="0.35">
      <c r="A3021" s="52" t="s">
        <v>232</v>
      </c>
      <c r="B3021" s="52" t="s">
        <v>37</v>
      </c>
      <c r="C3021" s="52" t="s">
        <v>35</v>
      </c>
      <c r="D3021" s="52" t="s">
        <v>233</v>
      </c>
      <c r="E3021" s="52" t="s">
        <v>644</v>
      </c>
      <c r="F3021" s="52" t="s">
        <v>581</v>
      </c>
      <c r="G3021" s="195" t="s">
        <v>277</v>
      </c>
      <c r="H3021" s="195">
        <v>0</v>
      </c>
      <c r="I3021" s="195">
        <v>0.18995580000000001</v>
      </c>
      <c r="J3021" s="195">
        <v>0.56454780000000004</v>
      </c>
      <c r="K3021" s="195">
        <v>0.46767540000000002</v>
      </c>
      <c r="L3021" s="195"/>
      <c r="M3021" s="195">
        <v>0</v>
      </c>
      <c r="N3021" s="195"/>
    </row>
    <row r="3022" spans="1:14" hidden="1" x14ac:dyDescent="0.35">
      <c r="A3022" s="52" t="s">
        <v>232</v>
      </c>
      <c r="B3022" s="52" t="s">
        <v>37</v>
      </c>
      <c r="C3022" s="52" t="s">
        <v>35</v>
      </c>
      <c r="D3022" s="52" t="s">
        <v>233</v>
      </c>
      <c r="E3022" s="52" t="s">
        <v>644</v>
      </c>
      <c r="F3022" s="52" t="s">
        <v>581</v>
      </c>
      <c r="G3022" s="195" t="s">
        <v>279</v>
      </c>
      <c r="H3022" s="195">
        <v>1.025428</v>
      </c>
      <c r="I3022" s="195">
        <v>0.92417419999999995</v>
      </c>
      <c r="J3022" s="195">
        <v>0.80907739999999995</v>
      </c>
      <c r="K3022" s="195">
        <v>0.74589559999999999</v>
      </c>
      <c r="L3022" s="195">
        <v>0.70995160000000002</v>
      </c>
      <c r="M3022" s="195">
        <v>0.631162</v>
      </c>
      <c r="N3022" s="195">
        <v>0.55070379999999997</v>
      </c>
    </row>
    <row r="3023" spans="1:14" hidden="1" x14ac:dyDescent="0.35">
      <c r="A3023" s="52" t="s">
        <v>232</v>
      </c>
      <c r="B3023" s="52" t="s">
        <v>37</v>
      </c>
      <c r="C3023" s="52" t="s">
        <v>35</v>
      </c>
      <c r="D3023" s="52" t="s">
        <v>233</v>
      </c>
      <c r="E3023" s="52" t="s">
        <v>644</v>
      </c>
      <c r="F3023" s="52" t="s">
        <v>26</v>
      </c>
      <c r="G3023" s="195" t="s">
        <v>275</v>
      </c>
      <c r="H3023" s="195">
        <v>-0.29202899999999998</v>
      </c>
      <c r="I3023" s="195">
        <v>-0.15872620000000001</v>
      </c>
      <c r="J3023" s="195">
        <v>-0.13765520000000001</v>
      </c>
      <c r="K3023" s="195">
        <v>-0.12961139999999999</v>
      </c>
      <c r="L3023" s="195">
        <v>-0.12701380000000001</v>
      </c>
      <c r="M3023" s="195">
        <v>-0.112568</v>
      </c>
      <c r="N3023" s="195">
        <v>-9.6955200000000005E-2</v>
      </c>
    </row>
    <row r="3024" spans="1:14" hidden="1" x14ac:dyDescent="0.35">
      <c r="A3024" s="52" t="s">
        <v>232</v>
      </c>
      <c r="B3024" s="52" t="s">
        <v>37</v>
      </c>
      <c r="C3024" s="52" t="s">
        <v>35</v>
      </c>
      <c r="D3024" s="52" t="s">
        <v>233</v>
      </c>
      <c r="E3024" s="52" t="s">
        <v>644</v>
      </c>
      <c r="F3024" s="52" t="s">
        <v>26</v>
      </c>
      <c r="G3024" s="195" t="s">
        <v>276</v>
      </c>
      <c r="H3024" s="195">
        <v>-7.7628000000000003E-2</v>
      </c>
      <c r="I3024" s="195">
        <v>-4.2193799999999997E-2</v>
      </c>
      <c r="J3024" s="195">
        <v>-3.6592399999999997E-2</v>
      </c>
      <c r="K3024" s="195">
        <v>-3.4453400000000002E-2</v>
      </c>
      <c r="L3024" s="195">
        <v>-3.3763599999999998E-2</v>
      </c>
      <c r="M3024" s="195">
        <v>-2.9923399999999999E-2</v>
      </c>
      <c r="N3024" s="195">
        <v>-2.5772799999999998E-2</v>
      </c>
    </row>
    <row r="3025" spans="1:14" hidden="1" x14ac:dyDescent="0.35">
      <c r="A3025" s="52" t="s">
        <v>232</v>
      </c>
      <c r="B3025" s="52" t="s">
        <v>37</v>
      </c>
      <c r="C3025" s="52" t="s">
        <v>35</v>
      </c>
      <c r="D3025" s="52" t="s">
        <v>233</v>
      </c>
      <c r="E3025" s="52" t="s">
        <v>644</v>
      </c>
      <c r="F3025" s="52" t="s">
        <v>26</v>
      </c>
      <c r="G3025" s="195" t="s">
        <v>279</v>
      </c>
      <c r="H3025" s="195">
        <v>0.57191999999999998</v>
      </c>
      <c r="I3025" s="195">
        <v>0.28669420000000001</v>
      </c>
      <c r="J3025" s="195">
        <v>0.25333800000000001</v>
      </c>
      <c r="K3025" s="195">
        <v>0.2365834</v>
      </c>
      <c r="L3025" s="195">
        <v>0.2252652</v>
      </c>
      <c r="M3025" s="195">
        <v>0.20057440000000001</v>
      </c>
      <c r="N3025" s="195">
        <v>0.17492160000000001</v>
      </c>
    </row>
    <row r="3026" spans="1:14" hidden="1" x14ac:dyDescent="0.35">
      <c r="A3026" s="52" t="s">
        <v>232</v>
      </c>
      <c r="B3026" s="52" t="s">
        <v>37</v>
      </c>
      <c r="C3026" s="52" t="s">
        <v>35</v>
      </c>
      <c r="D3026" s="52" t="s">
        <v>207</v>
      </c>
      <c r="E3026" s="52" t="s">
        <v>592</v>
      </c>
      <c r="F3026" s="52" t="s">
        <v>581</v>
      </c>
      <c r="G3026" s="195" t="s">
        <v>275</v>
      </c>
      <c r="H3026" s="195">
        <v>33.818779999999997</v>
      </c>
      <c r="I3026" s="195">
        <v>9.1600319999999993</v>
      </c>
      <c r="J3026" s="195">
        <v>6.1822100000000004</v>
      </c>
      <c r="K3026" s="195">
        <v>4.4111900000000004</v>
      </c>
      <c r="L3026" s="195">
        <v>2.2435</v>
      </c>
      <c r="M3026" s="195">
        <v>2.7526090000000001</v>
      </c>
      <c r="N3026" s="195">
        <v>2.5001790000000002</v>
      </c>
    </row>
    <row r="3027" spans="1:14" hidden="1" x14ac:dyDescent="0.35">
      <c r="A3027" s="52" t="s">
        <v>232</v>
      </c>
      <c r="B3027" s="52" t="s">
        <v>37</v>
      </c>
      <c r="C3027" s="52" t="s">
        <v>35</v>
      </c>
      <c r="D3027" s="52" t="s">
        <v>207</v>
      </c>
      <c r="E3027" s="52" t="s">
        <v>592</v>
      </c>
      <c r="F3027" s="52" t="s">
        <v>581</v>
      </c>
      <c r="G3027" s="195" t="s">
        <v>276</v>
      </c>
      <c r="H3027" s="195">
        <v>0.52227999999999997</v>
      </c>
      <c r="I3027" s="195">
        <v>-0.3566684</v>
      </c>
      <c r="J3027" s="195">
        <v>-1.0184580000000001</v>
      </c>
      <c r="K3027" s="195">
        <v>6.4506419999999995E-2</v>
      </c>
      <c r="L3027" s="195">
        <v>0.47523500000000002</v>
      </c>
      <c r="M3027" s="195">
        <v>0.65636799999999995</v>
      </c>
      <c r="N3027" s="195">
        <v>0.55093119999999995</v>
      </c>
    </row>
    <row r="3028" spans="1:14" hidden="1" x14ac:dyDescent="0.35">
      <c r="A3028" s="52" t="s">
        <v>232</v>
      </c>
      <c r="B3028" s="52" t="s">
        <v>37</v>
      </c>
      <c r="C3028" s="52" t="s">
        <v>35</v>
      </c>
      <c r="D3028" s="52" t="s">
        <v>207</v>
      </c>
      <c r="E3028" s="52" t="s">
        <v>592</v>
      </c>
      <c r="F3028" s="52" t="s">
        <v>581</v>
      </c>
      <c r="G3028" s="195" t="s">
        <v>277</v>
      </c>
      <c r="H3028" s="195">
        <v>2.5846990000000001</v>
      </c>
      <c r="I3028" s="195">
        <v>0</v>
      </c>
      <c r="J3028" s="195">
        <v>0.61308799999999997</v>
      </c>
      <c r="K3028" s="195">
        <v>0.52716019999999997</v>
      </c>
      <c r="L3028" s="195">
        <v>0.95724980000000004</v>
      </c>
      <c r="M3028" s="195">
        <v>0</v>
      </c>
      <c r="N3028" s="195">
        <v>0</v>
      </c>
    </row>
    <row r="3029" spans="1:14" hidden="1" x14ac:dyDescent="0.35">
      <c r="A3029" s="52" t="s">
        <v>232</v>
      </c>
      <c r="B3029" s="52" t="s">
        <v>37</v>
      </c>
      <c r="C3029" s="52" t="s">
        <v>35</v>
      </c>
      <c r="D3029" s="52" t="s">
        <v>207</v>
      </c>
      <c r="E3029" s="52" t="s">
        <v>592</v>
      </c>
      <c r="F3029" s="52" t="s">
        <v>581</v>
      </c>
      <c r="G3029" s="195" t="s">
        <v>278</v>
      </c>
      <c r="H3029" s="195">
        <v>0</v>
      </c>
      <c r="I3029" s="195"/>
      <c r="J3029" s="195"/>
      <c r="K3029" s="195"/>
      <c r="L3029" s="195"/>
      <c r="M3029" s="195"/>
      <c r="N3029" s="195"/>
    </row>
    <row r="3030" spans="1:14" hidden="1" x14ac:dyDescent="0.35">
      <c r="A3030" s="52" t="s">
        <v>232</v>
      </c>
      <c r="B3030" s="52" t="s">
        <v>37</v>
      </c>
      <c r="C3030" s="52" t="s">
        <v>35</v>
      </c>
      <c r="D3030" s="52" t="s">
        <v>207</v>
      </c>
      <c r="E3030" s="52" t="s">
        <v>592</v>
      </c>
      <c r="F3030" s="52" t="s">
        <v>581</v>
      </c>
      <c r="G3030" s="195" t="s">
        <v>279</v>
      </c>
      <c r="H3030" s="195">
        <v>14.98461</v>
      </c>
      <c r="I3030" s="195">
        <v>11.773870000000001</v>
      </c>
      <c r="J3030" s="195">
        <v>9.5941390000000002</v>
      </c>
      <c r="K3030" s="195">
        <v>8.7768189999999997</v>
      </c>
      <c r="L3030" s="195">
        <v>8.9467110000000005</v>
      </c>
      <c r="M3030" s="195">
        <v>8.0111989999999995</v>
      </c>
      <c r="N3030" s="195">
        <v>7.1574489999999997</v>
      </c>
    </row>
    <row r="3031" spans="1:14" hidden="1" x14ac:dyDescent="0.35">
      <c r="A3031" s="52" t="s">
        <v>232</v>
      </c>
      <c r="B3031" s="52" t="s">
        <v>37</v>
      </c>
      <c r="C3031" s="52" t="s">
        <v>35</v>
      </c>
      <c r="D3031" s="52" t="s">
        <v>207</v>
      </c>
      <c r="E3031" s="52" t="s">
        <v>592</v>
      </c>
      <c r="F3031" s="52" t="s">
        <v>26</v>
      </c>
      <c r="G3031" s="195" t="s">
        <v>275</v>
      </c>
      <c r="H3031" s="195">
        <v>-1.878471</v>
      </c>
      <c r="I3031" s="195">
        <v>-1.0137989999999999</v>
      </c>
      <c r="J3031" s="195">
        <v>-0.81430199999999997</v>
      </c>
      <c r="K3031" s="195">
        <v>-0.78251519999999997</v>
      </c>
      <c r="L3031" s="195">
        <v>-0.86510379999999998</v>
      </c>
      <c r="M3031" s="195">
        <v>-0.77377220000000002</v>
      </c>
      <c r="N3031" s="195">
        <v>-0.69102379999999997</v>
      </c>
    </row>
    <row r="3032" spans="1:14" hidden="1" x14ac:dyDescent="0.35">
      <c r="A3032" s="52" t="s">
        <v>232</v>
      </c>
      <c r="B3032" s="52" t="s">
        <v>37</v>
      </c>
      <c r="C3032" s="52" t="s">
        <v>35</v>
      </c>
      <c r="D3032" s="52" t="s">
        <v>207</v>
      </c>
      <c r="E3032" s="52" t="s">
        <v>592</v>
      </c>
      <c r="F3032" s="52" t="s">
        <v>26</v>
      </c>
      <c r="G3032" s="195" t="s">
        <v>276</v>
      </c>
      <c r="H3032" s="195">
        <v>-0.49934000000000001</v>
      </c>
      <c r="I3032" s="195">
        <v>-0.26949060000000002</v>
      </c>
      <c r="J3032" s="195">
        <v>-0.2164604</v>
      </c>
      <c r="K3032" s="195">
        <v>-0.20801</v>
      </c>
      <c r="L3032" s="195">
        <v>-0.22996440000000001</v>
      </c>
      <c r="M3032" s="195">
        <v>-0.20568620000000001</v>
      </c>
      <c r="N3032" s="195">
        <v>-0.1836902</v>
      </c>
    </row>
    <row r="3033" spans="1:14" hidden="1" x14ac:dyDescent="0.35">
      <c r="A3033" s="52" t="s">
        <v>232</v>
      </c>
      <c r="B3033" s="52" t="s">
        <v>37</v>
      </c>
      <c r="C3033" s="52" t="s">
        <v>35</v>
      </c>
      <c r="D3033" s="52" t="s">
        <v>207</v>
      </c>
      <c r="E3033" s="52" t="s">
        <v>592</v>
      </c>
      <c r="F3033" s="52" t="s">
        <v>26</v>
      </c>
      <c r="G3033" s="195" t="s">
        <v>279</v>
      </c>
      <c r="H3033" s="195">
        <v>5.0802810000000003</v>
      </c>
      <c r="I3033" s="195">
        <v>2.3710740000000001</v>
      </c>
      <c r="J3033" s="195">
        <v>1.977787</v>
      </c>
      <c r="K3033" s="195">
        <v>1.837385</v>
      </c>
      <c r="L3033" s="195">
        <v>1.868317</v>
      </c>
      <c r="M3033" s="195">
        <v>1.6774100000000001</v>
      </c>
      <c r="N3033" s="195">
        <v>1.4988079999999999</v>
      </c>
    </row>
    <row r="3034" spans="1:14" hidden="1" x14ac:dyDescent="0.35">
      <c r="A3034" s="52" t="s">
        <v>232</v>
      </c>
      <c r="B3034" s="52" t="s">
        <v>37</v>
      </c>
      <c r="C3034" s="52" t="s">
        <v>35</v>
      </c>
      <c r="D3034" s="52" t="s">
        <v>207</v>
      </c>
      <c r="E3034" s="52" t="s">
        <v>591</v>
      </c>
      <c r="F3034" s="52" t="s">
        <v>581</v>
      </c>
      <c r="G3034" s="195" t="s">
        <v>275</v>
      </c>
      <c r="H3034" s="195">
        <v>12.99785</v>
      </c>
      <c r="I3034" s="195">
        <v>2.3001999999999998</v>
      </c>
      <c r="J3034" s="195">
        <v>3.0859529999999999</v>
      </c>
      <c r="K3034" s="195">
        <v>2.7699500000000001</v>
      </c>
      <c r="L3034" s="195">
        <v>2.2431990000000002</v>
      </c>
      <c r="M3034" s="195">
        <v>1.9188229999999999</v>
      </c>
      <c r="N3034" s="195">
        <v>1.53328</v>
      </c>
    </row>
    <row r="3035" spans="1:14" hidden="1" x14ac:dyDescent="0.35">
      <c r="A3035" s="52" t="s">
        <v>232</v>
      </c>
      <c r="B3035" s="52" t="s">
        <v>37</v>
      </c>
      <c r="C3035" s="52" t="s">
        <v>35</v>
      </c>
      <c r="D3035" s="52" t="s">
        <v>207</v>
      </c>
      <c r="E3035" s="52" t="s">
        <v>591</v>
      </c>
      <c r="F3035" s="52" t="s">
        <v>581</v>
      </c>
      <c r="G3035" s="195" t="s">
        <v>276</v>
      </c>
      <c r="H3035" s="195">
        <v>2.9761470000000001</v>
      </c>
      <c r="I3035" s="195">
        <v>2.1977E-2</v>
      </c>
      <c r="J3035" s="195">
        <v>3.0653980000000001E-2</v>
      </c>
      <c r="K3035" s="195">
        <v>5.35126E-2</v>
      </c>
      <c r="L3035" s="195">
        <v>-0.464947</v>
      </c>
      <c r="M3035" s="195">
        <v>7.3865399999999998E-2</v>
      </c>
      <c r="N3035" s="195">
        <v>0.29101900000000003</v>
      </c>
    </row>
    <row r="3036" spans="1:14" hidden="1" x14ac:dyDescent="0.35">
      <c r="A3036" s="52" t="s">
        <v>232</v>
      </c>
      <c r="B3036" s="52" t="s">
        <v>37</v>
      </c>
      <c r="C3036" s="52" t="s">
        <v>35</v>
      </c>
      <c r="D3036" s="52" t="s">
        <v>207</v>
      </c>
      <c r="E3036" s="52" t="s">
        <v>591</v>
      </c>
      <c r="F3036" s="52" t="s">
        <v>581</v>
      </c>
      <c r="G3036" s="195" t="s">
        <v>277</v>
      </c>
      <c r="H3036" s="195">
        <v>9.4670430000000003</v>
      </c>
      <c r="I3036" s="195">
        <v>3.55592</v>
      </c>
      <c r="J3036" s="195">
        <v>0.80201960000000005</v>
      </c>
      <c r="K3036" s="195">
        <v>0.53570680000000004</v>
      </c>
      <c r="L3036" s="195">
        <v>0.38675320000000002</v>
      </c>
      <c r="M3036" s="195">
        <v>3.5164800000000003E-2</v>
      </c>
      <c r="N3036" s="195">
        <v>0</v>
      </c>
    </row>
    <row r="3037" spans="1:14" hidden="1" x14ac:dyDescent="0.35">
      <c r="A3037" s="52" t="s">
        <v>232</v>
      </c>
      <c r="B3037" s="52" t="s">
        <v>37</v>
      </c>
      <c r="C3037" s="52" t="s">
        <v>35</v>
      </c>
      <c r="D3037" s="52" t="s">
        <v>207</v>
      </c>
      <c r="E3037" s="52" t="s">
        <v>591</v>
      </c>
      <c r="F3037" s="52" t="s">
        <v>581</v>
      </c>
      <c r="G3037" s="195" t="s">
        <v>279</v>
      </c>
      <c r="H3037" s="195">
        <v>12.021459999999999</v>
      </c>
      <c r="I3037" s="195">
        <v>10.608739999999999</v>
      </c>
      <c r="J3037" s="195">
        <v>9.1897339999999996</v>
      </c>
      <c r="K3037" s="195">
        <v>8.4430709999999998</v>
      </c>
      <c r="L3037" s="195">
        <v>8.529579</v>
      </c>
      <c r="M3037" s="195">
        <v>7.6198730000000001</v>
      </c>
      <c r="N3037" s="195">
        <v>6.8549069999999999</v>
      </c>
    </row>
    <row r="3038" spans="1:14" hidden="1" x14ac:dyDescent="0.35">
      <c r="A3038" s="52" t="s">
        <v>232</v>
      </c>
      <c r="B3038" s="52" t="s">
        <v>37</v>
      </c>
      <c r="C3038" s="52" t="s">
        <v>35</v>
      </c>
      <c r="D3038" s="52" t="s">
        <v>207</v>
      </c>
      <c r="E3038" s="52" t="s">
        <v>591</v>
      </c>
      <c r="F3038" s="52" t="s">
        <v>26</v>
      </c>
      <c r="G3038" s="195" t="s">
        <v>275</v>
      </c>
      <c r="H3038" s="195">
        <v>-2.399505</v>
      </c>
      <c r="I3038" s="195">
        <v>-1.4137249999999999</v>
      </c>
      <c r="J3038" s="195">
        <v>-1.2020459999999999</v>
      </c>
      <c r="K3038" s="195">
        <v>-1.1538170000000001</v>
      </c>
      <c r="L3038" s="195">
        <v>-1.2580990000000001</v>
      </c>
      <c r="M3038" s="195">
        <v>-1.121596</v>
      </c>
      <c r="N3038" s="195">
        <v>-1.008527</v>
      </c>
    </row>
    <row r="3039" spans="1:14" hidden="1" x14ac:dyDescent="0.35">
      <c r="A3039" s="52" t="s">
        <v>232</v>
      </c>
      <c r="B3039" s="52" t="s">
        <v>37</v>
      </c>
      <c r="C3039" s="52" t="s">
        <v>35</v>
      </c>
      <c r="D3039" s="52" t="s">
        <v>207</v>
      </c>
      <c r="E3039" s="52" t="s">
        <v>591</v>
      </c>
      <c r="F3039" s="52" t="s">
        <v>26</v>
      </c>
      <c r="G3039" s="195" t="s">
        <v>276</v>
      </c>
      <c r="H3039" s="195">
        <v>-0.63784300000000005</v>
      </c>
      <c r="I3039" s="195">
        <v>-0.37580019999999997</v>
      </c>
      <c r="J3039" s="195">
        <v>-0.31953140000000002</v>
      </c>
      <c r="K3039" s="195">
        <v>-0.30671019999999999</v>
      </c>
      <c r="L3039" s="195">
        <v>-0.33443079999999997</v>
      </c>
      <c r="M3039" s="195">
        <v>-0.29814600000000002</v>
      </c>
      <c r="N3039" s="195">
        <v>-0.26809040000000001</v>
      </c>
    </row>
    <row r="3040" spans="1:14" hidden="1" x14ac:dyDescent="0.35">
      <c r="A3040" s="52" t="s">
        <v>232</v>
      </c>
      <c r="B3040" s="52" t="s">
        <v>37</v>
      </c>
      <c r="C3040" s="52" t="s">
        <v>35</v>
      </c>
      <c r="D3040" s="52" t="s">
        <v>207</v>
      </c>
      <c r="E3040" s="52" t="s">
        <v>591</v>
      </c>
      <c r="F3040" s="52" t="s">
        <v>26</v>
      </c>
      <c r="G3040" s="195" t="s">
        <v>279</v>
      </c>
      <c r="H3040" s="195">
        <v>6.1724370000000004</v>
      </c>
      <c r="I3040" s="195">
        <v>3.1956630000000001</v>
      </c>
      <c r="J3040" s="195">
        <v>2.8233809999999999</v>
      </c>
      <c r="K3040" s="195">
        <v>2.6297489999999999</v>
      </c>
      <c r="L3040" s="195">
        <v>2.6483569999999999</v>
      </c>
      <c r="M3040" s="195">
        <v>2.369761</v>
      </c>
      <c r="N3040" s="195">
        <v>2.1317110000000001</v>
      </c>
    </row>
    <row r="3041" spans="1:14" hidden="1" x14ac:dyDescent="0.35">
      <c r="A3041" s="52" t="s">
        <v>232</v>
      </c>
      <c r="B3041" s="52" t="s">
        <v>37</v>
      </c>
      <c r="C3041" s="52" t="s">
        <v>35</v>
      </c>
      <c r="D3041" s="52" t="s">
        <v>207</v>
      </c>
      <c r="E3041" s="52" t="s">
        <v>584</v>
      </c>
      <c r="F3041" s="52" t="s">
        <v>581</v>
      </c>
      <c r="G3041" s="195" t="s">
        <v>275</v>
      </c>
      <c r="H3041" s="195">
        <v>2.5038819999999999</v>
      </c>
      <c r="I3041" s="195">
        <v>0.52199340000000005</v>
      </c>
      <c r="J3041" s="195">
        <v>0.36712840000000002</v>
      </c>
      <c r="K3041" s="195">
        <v>0.3239186</v>
      </c>
      <c r="L3041" s="195">
        <v>0.28437519999999999</v>
      </c>
      <c r="M3041" s="195">
        <v>-42.561070000000001</v>
      </c>
      <c r="N3041" s="195"/>
    </row>
    <row r="3042" spans="1:14" hidden="1" x14ac:dyDescent="0.35">
      <c r="A3042" s="52" t="s">
        <v>232</v>
      </c>
      <c r="B3042" s="52" t="s">
        <v>37</v>
      </c>
      <c r="C3042" s="52" t="s">
        <v>35</v>
      </c>
      <c r="D3042" s="52" t="s">
        <v>207</v>
      </c>
      <c r="E3042" s="52" t="s">
        <v>584</v>
      </c>
      <c r="F3042" s="52" t="s">
        <v>581</v>
      </c>
      <c r="G3042" s="195" t="s">
        <v>276</v>
      </c>
      <c r="H3042" s="195">
        <v>0.66558989999999996</v>
      </c>
      <c r="I3042" s="195">
        <v>0.13875760000000001</v>
      </c>
      <c r="J3042" s="195">
        <v>9.7592399999999996E-2</v>
      </c>
      <c r="K3042" s="195">
        <v>8.6105399999999999E-2</v>
      </c>
      <c r="L3042" s="195">
        <v>7.5593800000000003E-2</v>
      </c>
      <c r="M3042" s="195">
        <v>-11.313700000000001</v>
      </c>
      <c r="N3042" s="195"/>
    </row>
    <row r="3043" spans="1:14" hidden="1" x14ac:dyDescent="0.35">
      <c r="A3043" s="52" t="s">
        <v>232</v>
      </c>
      <c r="B3043" s="52" t="s">
        <v>37</v>
      </c>
      <c r="C3043" s="52" t="s">
        <v>35</v>
      </c>
      <c r="D3043" s="52" t="s">
        <v>207</v>
      </c>
      <c r="E3043" s="52" t="s">
        <v>584</v>
      </c>
      <c r="F3043" s="52" t="s">
        <v>581</v>
      </c>
      <c r="G3043" s="195" t="s">
        <v>277</v>
      </c>
      <c r="H3043" s="195"/>
      <c r="I3043" s="195"/>
      <c r="J3043" s="195"/>
      <c r="K3043" s="195">
        <v>0</v>
      </c>
      <c r="L3043" s="195"/>
      <c r="M3043" s="195"/>
      <c r="N3043" s="195"/>
    </row>
    <row r="3044" spans="1:14" hidden="1" x14ac:dyDescent="0.35">
      <c r="A3044" s="52" t="s">
        <v>232</v>
      </c>
      <c r="B3044" s="52" t="s">
        <v>37</v>
      </c>
      <c r="C3044" s="52" t="s">
        <v>35</v>
      </c>
      <c r="D3044" s="52" t="s">
        <v>207</v>
      </c>
      <c r="E3044" s="52" t="s">
        <v>584</v>
      </c>
      <c r="F3044" s="52" t="s">
        <v>581</v>
      </c>
      <c r="G3044" s="195" t="s">
        <v>279</v>
      </c>
      <c r="H3044" s="195">
        <v>1.268751</v>
      </c>
      <c r="I3044" s="195">
        <v>0.95227859999999998</v>
      </c>
      <c r="J3044" s="195">
        <v>0.90053780000000005</v>
      </c>
      <c r="K3044" s="195">
        <v>0.9200026</v>
      </c>
      <c r="L3044" s="195">
        <v>0.91991409999999996</v>
      </c>
      <c r="M3044" s="195">
        <v>53.874760000000002</v>
      </c>
      <c r="N3044" s="195">
        <v>0</v>
      </c>
    </row>
    <row r="3045" spans="1:14" hidden="1" x14ac:dyDescent="0.35">
      <c r="A3045" s="52" t="s">
        <v>232</v>
      </c>
      <c r="B3045" s="52" t="s">
        <v>37</v>
      </c>
      <c r="C3045" s="52" t="s">
        <v>35</v>
      </c>
      <c r="D3045" s="52" t="s">
        <v>207</v>
      </c>
      <c r="E3045" s="52" t="s">
        <v>584</v>
      </c>
      <c r="F3045" s="52" t="s">
        <v>26</v>
      </c>
      <c r="G3045" s="195" t="s">
        <v>275</v>
      </c>
      <c r="H3045" s="195">
        <v>-24.449549999999999</v>
      </c>
      <c r="I3045" s="195">
        <v>-3.615828</v>
      </c>
      <c r="J3045" s="195">
        <v>-3.761307</v>
      </c>
      <c r="K3045" s="195">
        <v>-4.7708269999999997</v>
      </c>
      <c r="L3045" s="195">
        <v>-4.9486509999999999</v>
      </c>
      <c r="M3045" s="195">
        <v>-144.59399999999999</v>
      </c>
      <c r="N3045" s="195"/>
    </row>
    <row r="3046" spans="1:14" hidden="1" x14ac:dyDescent="0.35">
      <c r="A3046" s="52" t="s">
        <v>232</v>
      </c>
      <c r="B3046" s="52" t="s">
        <v>37</v>
      </c>
      <c r="C3046" s="52" t="s">
        <v>35</v>
      </c>
      <c r="D3046" s="52" t="s">
        <v>207</v>
      </c>
      <c r="E3046" s="52" t="s">
        <v>584</v>
      </c>
      <c r="F3046" s="52" t="s">
        <v>26</v>
      </c>
      <c r="G3046" s="195" t="s">
        <v>276</v>
      </c>
      <c r="H3046" s="195">
        <v>-10.68765</v>
      </c>
      <c r="I3046" s="195">
        <v>-5.3197000000000001</v>
      </c>
      <c r="J3046" s="195">
        <v>-3.2726679999999999</v>
      </c>
      <c r="K3046" s="195">
        <v>-2.4201999999999999</v>
      </c>
      <c r="L3046" s="195">
        <v>-1.8714189999999999</v>
      </c>
      <c r="M3046" s="195">
        <v>-38.436369999999997</v>
      </c>
      <c r="N3046" s="195"/>
    </row>
    <row r="3047" spans="1:14" hidden="1" x14ac:dyDescent="0.35">
      <c r="A3047" s="52" t="s">
        <v>232</v>
      </c>
      <c r="B3047" s="52" t="s">
        <v>37</v>
      </c>
      <c r="C3047" s="52" t="s">
        <v>35</v>
      </c>
      <c r="D3047" s="52" t="s">
        <v>207</v>
      </c>
      <c r="E3047" s="52" t="s">
        <v>584</v>
      </c>
      <c r="F3047" s="52" t="s">
        <v>26</v>
      </c>
      <c r="G3047" s="195" t="s">
        <v>277</v>
      </c>
      <c r="H3047" s="195">
        <v>25.73404</v>
      </c>
      <c r="I3047" s="195"/>
      <c r="J3047" s="195"/>
      <c r="K3047" s="195"/>
      <c r="L3047" s="195"/>
      <c r="M3047" s="195"/>
      <c r="N3047" s="195"/>
    </row>
    <row r="3048" spans="1:14" hidden="1" x14ac:dyDescent="0.35">
      <c r="A3048" s="52" t="s">
        <v>232</v>
      </c>
      <c r="B3048" s="52" t="s">
        <v>37</v>
      </c>
      <c r="C3048" s="52" t="s">
        <v>35</v>
      </c>
      <c r="D3048" s="52" t="s">
        <v>207</v>
      </c>
      <c r="E3048" s="52" t="s">
        <v>584</v>
      </c>
      <c r="F3048" s="52" t="s">
        <v>26</v>
      </c>
      <c r="G3048" s="195" t="s">
        <v>279</v>
      </c>
      <c r="H3048" s="195">
        <v>33.32647</v>
      </c>
      <c r="I3048" s="195">
        <v>23.89387</v>
      </c>
      <c r="J3048" s="195">
        <v>19.365130000000001</v>
      </c>
      <c r="K3048" s="195">
        <v>17.17435</v>
      </c>
      <c r="L3048" s="195">
        <v>14.734719999999999</v>
      </c>
      <c r="M3048" s="195">
        <v>183.03030000000001</v>
      </c>
      <c r="N3048" s="195">
        <v>0</v>
      </c>
    </row>
    <row r="3049" spans="1:14" hidden="1" x14ac:dyDescent="0.35">
      <c r="A3049" s="52" t="s">
        <v>232</v>
      </c>
      <c r="B3049" s="52" t="s">
        <v>37</v>
      </c>
      <c r="C3049" s="52" t="s">
        <v>35</v>
      </c>
      <c r="D3049" s="52" t="s">
        <v>207</v>
      </c>
      <c r="E3049" s="52" t="s">
        <v>651</v>
      </c>
      <c r="F3049" s="52" t="s">
        <v>581</v>
      </c>
      <c r="G3049" s="195" t="s">
        <v>275</v>
      </c>
      <c r="H3049" s="195">
        <v>-2.690804</v>
      </c>
      <c r="I3049" s="195">
        <v>-2.3960629999999998</v>
      </c>
      <c r="J3049" s="195">
        <v>-0.66029459999999995</v>
      </c>
      <c r="K3049" s="195">
        <v>-0.60719160000000005</v>
      </c>
      <c r="L3049" s="195">
        <v>-0.35071760000000002</v>
      </c>
      <c r="M3049" s="195">
        <v>0.3901694</v>
      </c>
      <c r="N3049" s="195">
        <v>0.19889979999999999</v>
      </c>
    </row>
    <row r="3050" spans="1:14" hidden="1" x14ac:dyDescent="0.35">
      <c r="A3050" s="52" t="s">
        <v>232</v>
      </c>
      <c r="B3050" s="52" t="s">
        <v>37</v>
      </c>
      <c r="C3050" s="52" t="s">
        <v>35</v>
      </c>
      <c r="D3050" s="52" t="s">
        <v>207</v>
      </c>
      <c r="E3050" s="52" t="s">
        <v>651</v>
      </c>
      <c r="F3050" s="52" t="s">
        <v>581</v>
      </c>
      <c r="G3050" s="195" t="s">
        <v>276</v>
      </c>
      <c r="H3050" s="195">
        <v>7.2979000000000002E-2</v>
      </c>
      <c r="I3050" s="195">
        <v>-0.1901264</v>
      </c>
      <c r="J3050" s="195">
        <v>-0.20252780000000001</v>
      </c>
      <c r="K3050" s="195">
        <v>-0.20051659999999999</v>
      </c>
      <c r="L3050" s="195">
        <v>-0.45849000000000001</v>
      </c>
      <c r="M3050" s="195">
        <v>-0.3051024</v>
      </c>
      <c r="N3050" s="195">
        <v>-0.1167112</v>
      </c>
    </row>
    <row r="3051" spans="1:14" hidden="1" x14ac:dyDescent="0.35">
      <c r="A3051" s="52" t="s">
        <v>232</v>
      </c>
      <c r="B3051" s="52" t="s">
        <v>37</v>
      </c>
      <c r="C3051" s="52" t="s">
        <v>35</v>
      </c>
      <c r="D3051" s="52" t="s">
        <v>207</v>
      </c>
      <c r="E3051" s="52" t="s">
        <v>651</v>
      </c>
      <c r="F3051" s="52" t="s">
        <v>581</v>
      </c>
      <c r="G3051" s="195" t="s">
        <v>277</v>
      </c>
      <c r="H3051" s="195">
        <v>3.6778050000000002</v>
      </c>
      <c r="I3051" s="195">
        <v>2.8440340000000002</v>
      </c>
      <c r="J3051" s="195">
        <v>1.036214</v>
      </c>
      <c r="K3051" s="195">
        <v>0.95389120000000005</v>
      </c>
      <c r="L3051" s="195">
        <v>0.90508599999999995</v>
      </c>
      <c r="M3051" s="195">
        <v>0</v>
      </c>
      <c r="N3051" s="195">
        <v>0</v>
      </c>
    </row>
    <row r="3052" spans="1:14" hidden="1" x14ac:dyDescent="0.35">
      <c r="A3052" s="52" t="s">
        <v>232</v>
      </c>
      <c r="B3052" s="52" t="s">
        <v>37</v>
      </c>
      <c r="C3052" s="52" t="s">
        <v>35</v>
      </c>
      <c r="D3052" s="52" t="s">
        <v>207</v>
      </c>
      <c r="E3052" s="52" t="s">
        <v>651</v>
      </c>
      <c r="F3052" s="52" t="s">
        <v>581</v>
      </c>
      <c r="G3052" s="195" t="s">
        <v>278</v>
      </c>
      <c r="H3052" s="195">
        <v>2.8879999999999999E-2</v>
      </c>
      <c r="I3052" s="195">
        <v>0</v>
      </c>
      <c r="J3052" s="195"/>
      <c r="K3052" s="195"/>
      <c r="L3052" s="195"/>
      <c r="M3052" s="195"/>
      <c r="N3052" s="195"/>
    </row>
    <row r="3053" spans="1:14" hidden="1" x14ac:dyDescent="0.35">
      <c r="A3053" s="52" t="s">
        <v>232</v>
      </c>
      <c r="B3053" s="52" t="s">
        <v>37</v>
      </c>
      <c r="C3053" s="52" t="s">
        <v>35</v>
      </c>
      <c r="D3053" s="52" t="s">
        <v>207</v>
      </c>
      <c r="E3053" s="52" t="s">
        <v>651</v>
      </c>
      <c r="F3053" s="52" t="s">
        <v>581</v>
      </c>
      <c r="G3053" s="195" t="s">
        <v>279</v>
      </c>
      <c r="H3053" s="195">
        <v>0.53157200000000004</v>
      </c>
      <c r="I3053" s="195">
        <v>0.48966500000000002</v>
      </c>
      <c r="J3053" s="195">
        <v>0.44153219999999999</v>
      </c>
      <c r="K3053" s="195">
        <v>0.40885880000000002</v>
      </c>
      <c r="L3053" s="195">
        <v>0.41389500000000001</v>
      </c>
      <c r="M3053" s="195">
        <v>0.35972680000000001</v>
      </c>
      <c r="N3053" s="195">
        <v>0.31043959999999998</v>
      </c>
    </row>
    <row r="3054" spans="1:14" hidden="1" x14ac:dyDescent="0.35">
      <c r="A3054" s="52" t="s">
        <v>232</v>
      </c>
      <c r="B3054" s="52" t="s">
        <v>37</v>
      </c>
      <c r="C3054" s="52" t="s">
        <v>35</v>
      </c>
      <c r="D3054" s="52" t="s">
        <v>207</v>
      </c>
      <c r="E3054" s="52" t="s">
        <v>651</v>
      </c>
      <c r="F3054" s="52" t="s">
        <v>26</v>
      </c>
      <c r="G3054" s="195" t="s">
        <v>275</v>
      </c>
      <c r="H3054" s="195">
        <v>-6.8707000000000004E-2</v>
      </c>
      <c r="I3054" s="195">
        <v>-4.1531199999999997E-2</v>
      </c>
      <c r="J3054" s="195">
        <v>-3.6673600000000001E-2</v>
      </c>
      <c r="K3054" s="195">
        <v>-3.5420800000000002E-2</v>
      </c>
      <c r="L3054" s="195">
        <v>-3.8650200000000003E-2</v>
      </c>
      <c r="M3054" s="195">
        <v>-3.3443599999999997E-2</v>
      </c>
      <c r="N3054" s="195">
        <v>-2.9169199999999999E-2</v>
      </c>
    </row>
    <row r="3055" spans="1:14" hidden="1" x14ac:dyDescent="0.35">
      <c r="A3055" s="52" t="s">
        <v>232</v>
      </c>
      <c r="B3055" s="52" t="s">
        <v>37</v>
      </c>
      <c r="C3055" s="52" t="s">
        <v>35</v>
      </c>
      <c r="D3055" s="52" t="s">
        <v>207</v>
      </c>
      <c r="E3055" s="52" t="s">
        <v>651</v>
      </c>
      <c r="F3055" s="52" t="s">
        <v>26</v>
      </c>
      <c r="G3055" s="195" t="s">
        <v>276</v>
      </c>
      <c r="H3055" s="195">
        <v>-1.8263000000000001E-2</v>
      </c>
      <c r="I3055" s="195">
        <v>-1.10402E-2</v>
      </c>
      <c r="J3055" s="195">
        <v>-9.7490010000000002E-3</v>
      </c>
      <c r="K3055" s="195">
        <v>-9.4147999999999992E-3</v>
      </c>
      <c r="L3055" s="195">
        <v>-1.0274200000000001E-2</v>
      </c>
      <c r="M3055" s="195">
        <v>-8.8899990000000009E-3</v>
      </c>
      <c r="N3055" s="195">
        <v>-7.7548000000000001E-3</v>
      </c>
    </row>
    <row r="3056" spans="1:14" hidden="1" x14ac:dyDescent="0.35">
      <c r="A3056" s="52" t="s">
        <v>232</v>
      </c>
      <c r="B3056" s="52" t="s">
        <v>37</v>
      </c>
      <c r="C3056" s="52" t="s">
        <v>35</v>
      </c>
      <c r="D3056" s="52" t="s">
        <v>207</v>
      </c>
      <c r="E3056" s="52" t="s">
        <v>651</v>
      </c>
      <c r="F3056" s="52" t="s">
        <v>26</v>
      </c>
      <c r="G3056" s="195" t="s">
        <v>279</v>
      </c>
      <c r="H3056" s="195">
        <v>0.176866</v>
      </c>
      <c r="I3056" s="195">
        <v>9.3958390000000003E-2</v>
      </c>
      <c r="J3056" s="195">
        <v>8.6070999999999995E-2</v>
      </c>
      <c r="K3056" s="195">
        <v>8.0407599999999996E-2</v>
      </c>
      <c r="L3056" s="195">
        <v>8.1465209999999996E-2</v>
      </c>
      <c r="M3056" s="195">
        <v>7.0715790000000001E-2</v>
      </c>
      <c r="N3056" s="195">
        <v>6.2001199999999999E-2</v>
      </c>
    </row>
    <row r="3057" spans="1:14" hidden="1" x14ac:dyDescent="0.35">
      <c r="A3057" s="52" t="s">
        <v>232</v>
      </c>
      <c r="B3057" s="52" t="s">
        <v>37</v>
      </c>
      <c r="C3057" s="52" t="s">
        <v>35</v>
      </c>
      <c r="D3057" s="52" t="s">
        <v>36</v>
      </c>
      <c r="E3057" s="52" t="s">
        <v>644</v>
      </c>
      <c r="F3057" s="52" t="s">
        <v>581</v>
      </c>
      <c r="G3057" s="195" t="s">
        <v>275</v>
      </c>
      <c r="H3057" s="195">
        <v>19.484629999999999</v>
      </c>
      <c r="I3057" s="195">
        <v>0.99113010000000001</v>
      </c>
      <c r="J3057" s="195">
        <v>1.521296</v>
      </c>
      <c r="K3057" s="195">
        <v>2.1724070000000002</v>
      </c>
      <c r="L3057" s="195">
        <v>1.5326740000000001</v>
      </c>
      <c r="M3057" s="195">
        <v>1.5394429999999999</v>
      </c>
      <c r="N3057" s="195">
        <v>1.1434120000000001</v>
      </c>
    </row>
    <row r="3058" spans="1:14" hidden="1" x14ac:dyDescent="0.35">
      <c r="A3058" s="52" t="s">
        <v>232</v>
      </c>
      <c r="B3058" s="52" t="s">
        <v>37</v>
      </c>
      <c r="C3058" s="52" t="s">
        <v>35</v>
      </c>
      <c r="D3058" s="52" t="s">
        <v>36</v>
      </c>
      <c r="E3058" s="52" t="s">
        <v>644</v>
      </c>
      <c r="F3058" s="52" t="s">
        <v>581</v>
      </c>
      <c r="G3058" s="195" t="s">
        <v>276</v>
      </c>
      <c r="H3058" s="195">
        <v>2.0755889999999999</v>
      </c>
      <c r="I3058" s="195">
        <v>0.46947369999999999</v>
      </c>
      <c r="J3058" s="195">
        <v>0.10154100000000001</v>
      </c>
      <c r="K3058" s="195">
        <v>-8.0626199999999995E-2</v>
      </c>
      <c r="L3058" s="195">
        <v>-0.19251499999999999</v>
      </c>
      <c r="M3058" s="195">
        <v>-8.4471019999999994E-2</v>
      </c>
      <c r="N3058" s="195">
        <v>8.6698800000000006E-2</v>
      </c>
    </row>
    <row r="3059" spans="1:14" hidden="1" x14ac:dyDescent="0.35">
      <c r="A3059" s="52" t="s">
        <v>232</v>
      </c>
      <c r="B3059" s="52" t="s">
        <v>37</v>
      </c>
      <c r="C3059" s="52" t="s">
        <v>35</v>
      </c>
      <c r="D3059" s="52" t="s">
        <v>36</v>
      </c>
      <c r="E3059" s="52" t="s">
        <v>644</v>
      </c>
      <c r="F3059" s="52" t="s">
        <v>581</v>
      </c>
      <c r="G3059" s="195" t="s">
        <v>277</v>
      </c>
      <c r="H3059" s="195">
        <v>3.9071699999999998</v>
      </c>
      <c r="I3059" s="195">
        <v>2.9518430000000002</v>
      </c>
      <c r="J3059" s="195">
        <v>1.3285690000000001</v>
      </c>
      <c r="K3059" s="195">
        <v>0.47656520000000002</v>
      </c>
      <c r="L3059" s="195">
        <v>0.2392726</v>
      </c>
      <c r="M3059" s="195">
        <v>0</v>
      </c>
      <c r="N3059" s="195">
        <v>0</v>
      </c>
    </row>
    <row r="3060" spans="1:14" hidden="1" x14ac:dyDescent="0.35">
      <c r="A3060" s="52" t="s">
        <v>232</v>
      </c>
      <c r="B3060" s="52" t="s">
        <v>37</v>
      </c>
      <c r="C3060" s="52" t="s">
        <v>35</v>
      </c>
      <c r="D3060" s="52" t="s">
        <v>36</v>
      </c>
      <c r="E3060" s="52" t="s">
        <v>644</v>
      </c>
      <c r="F3060" s="52" t="s">
        <v>581</v>
      </c>
      <c r="G3060" s="195" t="s">
        <v>278</v>
      </c>
      <c r="H3060" s="195">
        <v>0.33701100000000001</v>
      </c>
      <c r="I3060" s="195">
        <v>0.81805119999999998</v>
      </c>
      <c r="J3060" s="195">
        <v>0.40119320000000003</v>
      </c>
      <c r="K3060" s="195">
        <v>0.26178839999999998</v>
      </c>
      <c r="L3060" s="195"/>
      <c r="M3060" s="195">
        <v>0</v>
      </c>
      <c r="N3060" s="195"/>
    </row>
    <row r="3061" spans="1:14" hidden="1" x14ac:dyDescent="0.35">
      <c r="A3061" s="52" t="s">
        <v>232</v>
      </c>
      <c r="B3061" s="52" t="s">
        <v>37</v>
      </c>
      <c r="C3061" s="52" t="s">
        <v>35</v>
      </c>
      <c r="D3061" s="52" t="s">
        <v>36</v>
      </c>
      <c r="E3061" s="52" t="s">
        <v>644</v>
      </c>
      <c r="F3061" s="52" t="s">
        <v>581</v>
      </c>
      <c r="G3061" s="195" t="s">
        <v>279</v>
      </c>
      <c r="H3061" s="195">
        <v>13.028840000000001</v>
      </c>
      <c r="I3061" s="195">
        <v>11.06363</v>
      </c>
      <c r="J3061" s="195">
        <v>9.7321390000000001</v>
      </c>
      <c r="K3061" s="195">
        <v>9.0127410000000001</v>
      </c>
      <c r="L3061" s="195">
        <v>8.9734029999999994</v>
      </c>
      <c r="M3061" s="195">
        <v>7.9330800000000004</v>
      </c>
      <c r="N3061" s="195">
        <v>7.1519779999999997</v>
      </c>
    </row>
    <row r="3062" spans="1:14" hidden="1" x14ac:dyDescent="0.35">
      <c r="A3062" s="52" t="s">
        <v>232</v>
      </c>
      <c r="B3062" s="52" t="s">
        <v>37</v>
      </c>
      <c r="C3062" s="52" t="s">
        <v>35</v>
      </c>
      <c r="D3062" s="52" t="s">
        <v>36</v>
      </c>
      <c r="E3062" s="52" t="s">
        <v>644</v>
      </c>
      <c r="F3062" s="52" t="s">
        <v>26</v>
      </c>
      <c r="G3062" s="195" t="s">
        <v>275</v>
      </c>
      <c r="H3062" s="195">
        <v>-2.0056370000000001</v>
      </c>
      <c r="I3062" s="195">
        <v>-1.22818</v>
      </c>
      <c r="J3062" s="195">
        <v>-1.0806899999999999</v>
      </c>
      <c r="K3062" s="195">
        <v>-1.0464819999999999</v>
      </c>
      <c r="L3062" s="195">
        <v>-1.109853</v>
      </c>
      <c r="M3062" s="195">
        <v>-0.99042180000000002</v>
      </c>
      <c r="N3062" s="195">
        <v>-0.907613</v>
      </c>
    </row>
    <row r="3063" spans="1:14" hidden="1" x14ac:dyDescent="0.35">
      <c r="A3063" s="52" t="s">
        <v>232</v>
      </c>
      <c r="B3063" s="52" t="s">
        <v>37</v>
      </c>
      <c r="C3063" s="52" t="s">
        <v>35</v>
      </c>
      <c r="D3063" s="52" t="s">
        <v>36</v>
      </c>
      <c r="E3063" s="52" t="s">
        <v>644</v>
      </c>
      <c r="F3063" s="52" t="s">
        <v>26</v>
      </c>
      <c r="G3063" s="195" t="s">
        <v>276</v>
      </c>
      <c r="H3063" s="195">
        <v>-0.53314499999999998</v>
      </c>
      <c r="I3063" s="195">
        <v>-0.32647700000000002</v>
      </c>
      <c r="J3063" s="195">
        <v>-0.287273</v>
      </c>
      <c r="K3063" s="195">
        <v>-0.27817940000000002</v>
      </c>
      <c r="L3063" s="195">
        <v>-0.29502600000000001</v>
      </c>
      <c r="M3063" s="195">
        <v>-0.26327660000000003</v>
      </c>
      <c r="N3063" s="195">
        <v>-0.24126359999999999</v>
      </c>
    </row>
    <row r="3064" spans="1:14" hidden="1" x14ac:dyDescent="0.35">
      <c r="A3064" s="52" t="s">
        <v>232</v>
      </c>
      <c r="B3064" s="52" t="s">
        <v>37</v>
      </c>
      <c r="C3064" s="52" t="s">
        <v>35</v>
      </c>
      <c r="D3064" s="52" t="s">
        <v>36</v>
      </c>
      <c r="E3064" s="52" t="s">
        <v>644</v>
      </c>
      <c r="F3064" s="52" t="s">
        <v>26</v>
      </c>
      <c r="G3064" s="195" t="s">
        <v>279</v>
      </c>
      <c r="H3064" s="195">
        <v>4.9097660000000003</v>
      </c>
      <c r="I3064" s="195">
        <v>2.5843370000000001</v>
      </c>
      <c r="J3064" s="195">
        <v>2.33087</v>
      </c>
      <c r="K3064" s="195">
        <v>2.190912</v>
      </c>
      <c r="L3064" s="195">
        <v>2.1743320000000002</v>
      </c>
      <c r="M3064" s="195">
        <v>1.932947</v>
      </c>
      <c r="N3064" s="195">
        <v>1.754435</v>
      </c>
    </row>
    <row r="3065" spans="1:14" hidden="1" x14ac:dyDescent="0.35">
      <c r="A3065" s="52" t="s">
        <v>232</v>
      </c>
      <c r="B3065" s="52" t="s">
        <v>37</v>
      </c>
      <c r="C3065" s="52" t="s">
        <v>79</v>
      </c>
      <c r="D3065" s="52" t="s">
        <v>79</v>
      </c>
      <c r="E3065" s="52" t="s">
        <v>640</v>
      </c>
      <c r="F3065" s="52" t="s">
        <v>581</v>
      </c>
      <c r="G3065" s="195" t="s">
        <v>275</v>
      </c>
      <c r="H3065" s="195">
        <v>37.221380000000003</v>
      </c>
      <c r="I3065" s="195">
        <v>3.1304439999999998</v>
      </c>
      <c r="J3065" s="195">
        <v>2.3230909999999998</v>
      </c>
      <c r="K3065" s="195">
        <v>1.9004810000000001</v>
      </c>
      <c r="L3065" s="195">
        <v>2.6053860000000002</v>
      </c>
      <c r="M3065" s="195">
        <v>3.7194280000000002</v>
      </c>
      <c r="N3065" s="195">
        <v>3.0472350000000001</v>
      </c>
    </row>
    <row r="3066" spans="1:14" hidden="1" x14ac:dyDescent="0.35">
      <c r="A3066" s="52" t="s">
        <v>232</v>
      </c>
      <c r="B3066" s="52" t="s">
        <v>37</v>
      </c>
      <c r="C3066" s="52" t="s">
        <v>79</v>
      </c>
      <c r="D3066" s="52" t="s">
        <v>79</v>
      </c>
      <c r="E3066" s="52" t="s">
        <v>640</v>
      </c>
      <c r="F3066" s="52" t="s">
        <v>581</v>
      </c>
      <c r="G3066" s="195" t="s">
        <v>276</v>
      </c>
      <c r="H3066" s="195">
        <v>-19.610389999999999</v>
      </c>
      <c r="I3066" s="195">
        <v>-1.089998</v>
      </c>
      <c r="J3066" s="195">
        <v>0.3308392</v>
      </c>
      <c r="K3066" s="195">
        <v>0.1203824</v>
      </c>
      <c r="L3066" s="195">
        <v>-1.2367900000000001</v>
      </c>
      <c r="M3066" s="195">
        <v>-4.1245589999999999E-2</v>
      </c>
      <c r="N3066" s="195">
        <v>0.22628300000000001</v>
      </c>
    </row>
    <row r="3067" spans="1:14" hidden="1" x14ac:dyDescent="0.35">
      <c r="A3067" s="52" t="s">
        <v>232</v>
      </c>
      <c r="B3067" s="52" t="s">
        <v>37</v>
      </c>
      <c r="C3067" s="52" t="s">
        <v>79</v>
      </c>
      <c r="D3067" s="52" t="s">
        <v>79</v>
      </c>
      <c r="E3067" s="52" t="s">
        <v>640</v>
      </c>
      <c r="F3067" s="52" t="s">
        <v>581</v>
      </c>
      <c r="G3067" s="195" t="s">
        <v>277</v>
      </c>
      <c r="H3067" s="195">
        <v>20.690339999999999</v>
      </c>
      <c r="I3067" s="195">
        <v>6.342746</v>
      </c>
      <c r="J3067" s="195">
        <v>3.8320259999999999</v>
      </c>
      <c r="K3067" s="195">
        <v>3.1408559999999999</v>
      </c>
      <c r="L3067" s="195">
        <v>2.9330750000000001</v>
      </c>
      <c r="M3067" s="195">
        <v>0</v>
      </c>
      <c r="N3067" s="195">
        <v>0</v>
      </c>
    </row>
    <row r="3068" spans="1:14" hidden="1" x14ac:dyDescent="0.35">
      <c r="A3068" s="52" t="s">
        <v>232</v>
      </c>
      <c r="B3068" s="52" t="s">
        <v>37</v>
      </c>
      <c r="C3068" s="52" t="s">
        <v>79</v>
      </c>
      <c r="D3068" s="52" t="s">
        <v>79</v>
      </c>
      <c r="E3068" s="52" t="s">
        <v>640</v>
      </c>
      <c r="F3068" s="52" t="s">
        <v>581</v>
      </c>
      <c r="G3068" s="195" t="s">
        <v>278</v>
      </c>
      <c r="H3068" s="195">
        <v>0</v>
      </c>
      <c r="I3068" s="195"/>
      <c r="J3068" s="195"/>
      <c r="K3068" s="195"/>
      <c r="L3068" s="195"/>
      <c r="M3068" s="195"/>
      <c r="N3068" s="195"/>
    </row>
    <row r="3069" spans="1:14" hidden="1" x14ac:dyDescent="0.35">
      <c r="A3069" s="52" t="s">
        <v>232</v>
      </c>
      <c r="B3069" s="52" t="s">
        <v>37</v>
      </c>
      <c r="C3069" s="52" t="s">
        <v>79</v>
      </c>
      <c r="D3069" s="52" t="s">
        <v>79</v>
      </c>
      <c r="E3069" s="52" t="s">
        <v>640</v>
      </c>
      <c r="F3069" s="52" t="s">
        <v>581</v>
      </c>
      <c r="G3069" s="195" t="s">
        <v>279</v>
      </c>
      <c r="H3069" s="195">
        <v>12.384510000000001</v>
      </c>
      <c r="I3069" s="195">
        <v>7.3821899999999996</v>
      </c>
      <c r="J3069" s="195">
        <v>6.7750959999999996</v>
      </c>
      <c r="K3069" s="195">
        <v>5.7932160000000001</v>
      </c>
      <c r="L3069" s="195">
        <v>5.6798460000000004</v>
      </c>
      <c r="M3069" s="195">
        <v>4.2612610000000002</v>
      </c>
      <c r="N3069" s="195">
        <v>3.487552</v>
      </c>
    </row>
    <row r="3070" spans="1:14" hidden="1" x14ac:dyDescent="0.35">
      <c r="A3070" s="52" t="s">
        <v>232</v>
      </c>
      <c r="B3070" s="52" t="s">
        <v>37</v>
      </c>
      <c r="C3070" s="52" t="s">
        <v>79</v>
      </c>
      <c r="D3070" s="52" t="s">
        <v>79</v>
      </c>
      <c r="E3070" s="52" t="s">
        <v>640</v>
      </c>
      <c r="F3070" s="52" t="s">
        <v>26</v>
      </c>
      <c r="G3070" s="195" t="s">
        <v>275</v>
      </c>
      <c r="H3070" s="195">
        <v>0.19189200000000001</v>
      </c>
      <c r="I3070" s="195">
        <v>-2.9409399999999999E-2</v>
      </c>
      <c r="J3070" s="195">
        <v>3.8295000000000003E-2</v>
      </c>
      <c r="K3070" s="195">
        <v>-3.7678000000000003E-2</v>
      </c>
      <c r="L3070" s="195">
        <v>-0.1388876</v>
      </c>
      <c r="M3070" s="195">
        <v>-8.3161399999999996E-2</v>
      </c>
      <c r="N3070" s="195">
        <v>-4.9088600000000003E-2</v>
      </c>
    </row>
    <row r="3071" spans="1:14" hidden="1" x14ac:dyDescent="0.35">
      <c r="A3071" s="52" t="s">
        <v>232</v>
      </c>
      <c r="B3071" s="52" t="s">
        <v>37</v>
      </c>
      <c r="C3071" s="52" t="s">
        <v>79</v>
      </c>
      <c r="D3071" s="52" t="s">
        <v>79</v>
      </c>
      <c r="E3071" s="52" t="s">
        <v>640</v>
      </c>
      <c r="F3071" s="52" t="s">
        <v>26</v>
      </c>
      <c r="G3071" s="195" t="s">
        <v>276</v>
      </c>
      <c r="H3071" s="195">
        <v>5.5625000000000001E-2</v>
      </c>
      <c r="I3071" s="195">
        <v>-8.5248000000000008E-3</v>
      </c>
      <c r="J3071" s="195">
        <v>1.1102600000000001E-2</v>
      </c>
      <c r="K3071" s="195">
        <v>-1.0922400000000001E-2</v>
      </c>
      <c r="L3071" s="195">
        <v>-4.0262199999999998E-2</v>
      </c>
      <c r="M3071" s="195">
        <v>-2.4107400000000001E-2</v>
      </c>
      <c r="N3071" s="195">
        <v>-1.4228599999999999E-2</v>
      </c>
    </row>
    <row r="3072" spans="1:14" hidden="1" x14ac:dyDescent="0.35">
      <c r="A3072" s="52" t="s">
        <v>232</v>
      </c>
      <c r="B3072" s="52" t="s">
        <v>37</v>
      </c>
      <c r="C3072" s="52" t="s">
        <v>79</v>
      </c>
      <c r="D3072" s="52" t="s">
        <v>79</v>
      </c>
      <c r="E3072" s="52" t="s">
        <v>640</v>
      </c>
      <c r="F3072" s="52" t="s">
        <v>26</v>
      </c>
      <c r="G3072" s="195" t="s">
        <v>279</v>
      </c>
      <c r="H3072" s="195">
        <v>2.3521260000000002</v>
      </c>
      <c r="I3072" s="195">
        <v>2.0218419999999999</v>
      </c>
      <c r="J3072" s="195">
        <v>2.022008</v>
      </c>
      <c r="K3072" s="195">
        <v>1.6566609999999999</v>
      </c>
      <c r="L3072" s="195">
        <v>1.5935049999999999</v>
      </c>
      <c r="M3072" s="195">
        <v>1.2025269999999999</v>
      </c>
      <c r="N3072" s="195">
        <v>0.98372159999999997</v>
      </c>
    </row>
    <row r="3073" spans="1:14" hidden="1" x14ac:dyDescent="0.35">
      <c r="A3073" s="52" t="s">
        <v>232</v>
      </c>
      <c r="B3073" s="52" t="s">
        <v>37</v>
      </c>
      <c r="C3073" s="52" t="s">
        <v>79</v>
      </c>
      <c r="D3073" s="52" t="s">
        <v>79</v>
      </c>
      <c r="E3073" s="52" t="s">
        <v>584</v>
      </c>
      <c r="F3073" s="52" t="s">
        <v>581</v>
      </c>
      <c r="G3073" s="195" t="s">
        <v>275</v>
      </c>
      <c r="H3073" s="195">
        <v>3.187891</v>
      </c>
      <c r="I3073" s="195">
        <v>0.95755089999999998</v>
      </c>
      <c r="J3073" s="195">
        <v>0.4250295</v>
      </c>
      <c r="K3073" s="195">
        <v>-1.1214120000000001</v>
      </c>
      <c r="L3073" s="195">
        <v>-1.004948</v>
      </c>
      <c r="M3073" s="195">
        <v>-0.90311439999999998</v>
      </c>
      <c r="N3073" s="195">
        <v>-0.80389969999999999</v>
      </c>
    </row>
    <row r="3074" spans="1:14" hidden="1" x14ac:dyDescent="0.35">
      <c r="A3074" s="52" t="s">
        <v>232</v>
      </c>
      <c r="B3074" s="52" t="s">
        <v>37</v>
      </c>
      <c r="C3074" s="52" t="s">
        <v>79</v>
      </c>
      <c r="D3074" s="52" t="s">
        <v>79</v>
      </c>
      <c r="E3074" s="52" t="s">
        <v>584</v>
      </c>
      <c r="F3074" s="52" t="s">
        <v>581</v>
      </c>
      <c r="G3074" s="195" t="s">
        <v>276</v>
      </c>
      <c r="H3074" s="195">
        <v>0.85776839999999999</v>
      </c>
      <c r="I3074" s="195">
        <v>0.14522489999999999</v>
      </c>
      <c r="J3074" s="195">
        <v>3.2911019999999999E-2</v>
      </c>
      <c r="K3074" s="195">
        <v>-0.1535938</v>
      </c>
      <c r="L3074" s="195">
        <v>-0.1440941</v>
      </c>
      <c r="M3074" s="195">
        <v>-0.13554079999999999</v>
      </c>
      <c r="N3074" s="195">
        <v>-0.1851853</v>
      </c>
    </row>
    <row r="3075" spans="1:14" hidden="1" x14ac:dyDescent="0.35">
      <c r="A3075" s="52" t="s">
        <v>232</v>
      </c>
      <c r="B3075" s="52" t="s">
        <v>37</v>
      </c>
      <c r="C3075" s="52" t="s">
        <v>79</v>
      </c>
      <c r="D3075" s="52" t="s">
        <v>79</v>
      </c>
      <c r="E3075" s="52" t="s">
        <v>584</v>
      </c>
      <c r="F3075" s="52" t="s">
        <v>581</v>
      </c>
      <c r="G3075" s="195" t="s">
        <v>277</v>
      </c>
      <c r="H3075" s="195">
        <v>0.38579580000000002</v>
      </c>
      <c r="I3075" s="195">
        <v>1.95E-6</v>
      </c>
      <c r="J3075" s="195">
        <v>0.21131520000000001</v>
      </c>
      <c r="K3075" s="195">
        <v>1.156574</v>
      </c>
      <c r="L3075" s="195">
        <v>1.0412539999999999</v>
      </c>
      <c r="M3075" s="195">
        <v>0.91188069999999999</v>
      </c>
      <c r="N3075" s="195">
        <v>0.73927560000000003</v>
      </c>
    </row>
    <row r="3076" spans="1:14" hidden="1" x14ac:dyDescent="0.35">
      <c r="A3076" s="52" t="s">
        <v>232</v>
      </c>
      <c r="B3076" s="52" t="s">
        <v>37</v>
      </c>
      <c r="C3076" s="52" t="s">
        <v>79</v>
      </c>
      <c r="D3076" s="52" t="s">
        <v>79</v>
      </c>
      <c r="E3076" s="52" t="s">
        <v>584</v>
      </c>
      <c r="F3076" s="52" t="s">
        <v>581</v>
      </c>
      <c r="G3076" s="195" t="s">
        <v>279</v>
      </c>
      <c r="H3076" s="195">
        <v>1.4817579999999999</v>
      </c>
      <c r="I3076" s="195">
        <v>1.0634049999999999</v>
      </c>
      <c r="J3076" s="195">
        <v>1.173352</v>
      </c>
      <c r="K3076" s="195">
        <v>1.9453929999999999</v>
      </c>
      <c r="L3076" s="195">
        <v>1.9244509999999999</v>
      </c>
      <c r="M3076" s="195">
        <v>1.8898740000000001</v>
      </c>
      <c r="N3076" s="195">
        <v>1.799293</v>
      </c>
    </row>
    <row r="3077" spans="1:14" hidden="1" x14ac:dyDescent="0.35">
      <c r="A3077" s="52" t="s">
        <v>232</v>
      </c>
      <c r="B3077" s="52" t="s">
        <v>37</v>
      </c>
      <c r="C3077" s="52" t="s">
        <v>79</v>
      </c>
      <c r="D3077" s="52" t="s">
        <v>79</v>
      </c>
      <c r="E3077" s="52" t="s">
        <v>584</v>
      </c>
      <c r="F3077" s="52" t="s">
        <v>26</v>
      </c>
      <c r="G3077" s="195" t="s">
        <v>275</v>
      </c>
      <c r="H3077" s="195">
        <v>1.2091689999999999</v>
      </c>
      <c r="I3077" s="195">
        <v>-0.1132552</v>
      </c>
      <c r="J3077" s="195">
        <v>0.1876235</v>
      </c>
      <c r="K3077" s="195">
        <v>1.3346549999999999</v>
      </c>
      <c r="L3077" s="195">
        <v>1.0954079999999999</v>
      </c>
      <c r="M3077" s="195">
        <v>0.84286479999999997</v>
      </c>
      <c r="N3077" s="195">
        <v>0.6301795</v>
      </c>
    </row>
    <row r="3078" spans="1:14" hidden="1" x14ac:dyDescent="0.35">
      <c r="A3078" s="52" t="s">
        <v>232</v>
      </c>
      <c r="B3078" s="52" t="s">
        <v>37</v>
      </c>
      <c r="C3078" s="52" t="s">
        <v>79</v>
      </c>
      <c r="D3078" s="52" t="s">
        <v>79</v>
      </c>
      <c r="E3078" s="52" t="s">
        <v>584</v>
      </c>
      <c r="F3078" s="52" t="s">
        <v>26</v>
      </c>
      <c r="G3078" s="195" t="s">
        <v>276</v>
      </c>
      <c r="H3078" s="195">
        <v>0.44916739999999999</v>
      </c>
      <c r="I3078" s="195">
        <v>-5.4704129999999997E-2</v>
      </c>
      <c r="J3078" s="195">
        <v>-9.3450140000000001E-2</v>
      </c>
      <c r="K3078" s="195">
        <v>2.244674E-2</v>
      </c>
      <c r="L3078" s="195">
        <v>1.4593989999999999E-2</v>
      </c>
      <c r="M3078" s="195">
        <v>2.807366E-2</v>
      </c>
      <c r="N3078" s="195">
        <v>5.2467970000000003E-2</v>
      </c>
    </row>
    <row r="3079" spans="1:14" hidden="1" x14ac:dyDescent="0.35">
      <c r="A3079" s="52" t="s">
        <v>232</v>
      </c>
      <c r="B3079" s="52" t="s">
        <v>37</v>
      </c>
      <c r="C3079" s="52" t="s">
        <v>79</v>
      </c>
      <c r="D3079" s="52" t="s">
        <v>79</v>
      </c>
      <c r="E3079" s="52" t="s">
        <v>584</v>
      </c>
      <c r="F3079" s="52" t="s">
        <v>26</v>
      </c>
      <c r="G3079" s="195" t="s">
        <v>277</v>
      </c>
      <c r="H3079" s="195">
        <v>1.8261529999999999</v>
      </c>
      <c r="I3079" s="195">
        <v>1.5357780000000001</v>
      </c>
      <c r="J3079" s="195"/>
      <c r="K3079" s="195">
        <v>0</v>
      </c>
      <c r="L3079" s="195"/>
      <c r="M3079" s="195"/>
      <c r="N3079" s="195"/>
    </row>
    <row r="3080" spans="1:14" hidden="1" x14ac:dyDescent="0.35">
      <c r="A3080" s="52" t="s">
        <v>232</v>
      </c>
      <c r="B3080" s="52" t="s">
        <v>37</v>
      </c>
      <c r="C3080" s="52" t="s">
        <v>79</v>
      </c>
      <c r="D3080" s="52" t="s">
        <v>79</v>
      </c>
      <c r="E3080" s="52" t="s">
        <v>584</v>
      </c>
      <c r="F3080" s="52" t="s">
        <v>26</v>
      </c>
      <c r="G3080" s="195" t="s">
        <v>279</v>
      </c>
      <c r="H3080" s="195">
        <v>6.4132920000000002</v>
      </c>
      <c r="I3080" s="195">
        <v>5.1735870000000004</v>
      </c>
      <c r="J3080" s="195">
        <v>4.5442239999999998</v>
      </c>
      <c r="K3080" s="195">
        <v>3.5172439999999998</v>
      </c>
      <c r="L3080" s="195">
        <v>2.9843380000000002</v>
      </c>
      <c r="M3080" s="195">
        <v>2.4705780000000002</v>
      </c>
      <c r="N3080" s="195">
        <v>2.048886</v>
      </c>
    </row>
    <row r="3081" spans="1:14" hidden="1" x14ac:dyDescent="0.35">
      <c r="A3081" s="52" t="s">
        <v>232</v>
      </c>
      <c r="B3081" s="52" t="s">
        <v>37</v>
      </c>
      <c r="C3081" s="52" t="s">
        <v>46</v>
      </c>
      <c r="D3081" s="52" t="s">
        <v>46</v>
      </c>
      <c r="E3081" s="52" t="s">
        <v>584</v>
      </c>
      <c r="F3081" s="52" t="s">
        <v>581</v>
      </c>
      <c r="G3081" s="195" t="s">
        <v>275</v>
      </c>
      <c r="H3081" s="195">
        <v>8.4225999999999995E-2</v>
      </c>
      <c r="I3081" s="195">
        <v>7.3717990000000001E-3</v>
      </c>
      <c r="J3081" s="195">
        <v>-5.0279950000000002E-4</v>
      </c>
      <c r="K3081" s="195">
        <v>-3.9029999999999998E-3</v>
      </c>
      <c r="L3081" s="195">
        <v>-6.3287999999999999E-3</v>
      </c>
      <c r="M3081" s="195">
        <v>-8.3922000000000007E-3</v>
      </c>
      <c r="N3081" s="195">
        <v>-8.5051999999999992E-3</v>
      </c>
    </row>
    <row r="3082" spans="1:14" hidden="1" x14ac:dyDescent="0.35">
      <c r="A3082" s="52" t="s">
        <v>232</v>
      </c>
      <c r="B3082" s="52" t="s">
        <v>37</v>
      </c>
      <c r="C3082" s="52" t="s">
        <v>46</v>
      </c>
      <c r="D3082" s="52" t="s">
        <v>46</v>
      </c>
      <c r="E3082" s="52" t="s">
        <v>584</v>
      </c>
      <c r="F3082" s="52" t="s">
        <v>581</v>
      </c>
      <c r="G3082" s="195" t="s">
        <v>276</v>
      </c>
      <c r="H3082" s="195">
        <v>2.2388999999999999E-2</v>
      </c>
      <c r="I3082" s="195">
        <v>1.9602E-3</v>
      </c>
      <c r="J3082" s="195">
        <v>-1.3540009999999999E-4</v>
      </c>
      <c r="K3082" s="195">
        <v>-1.0374E-3</v>
      </c>
      <c r="L3082" s="195">
        <v>-1.6822E-3</v>
      </c>
      <c r="M3082" s="195">
        <v>-2.2309999999999999E-3</v>
      </c>
      <c r="N3082" s="195">
        <v>-2.2607999999999999E-3</v>
      </c>
    </row>
    <row r="3083" spans="1:14" hidden="1" x14ac:dyDescent="0.35">
      <c r="A3083" s="52" t="s">
        <v>232</v>
      </c>
      <c r="B3083" s="52" t="s">
        <v>37</v>
      </c>
      <c r="C3083" s="52" t="s">
        <v>46</v>
      </c>
      <c r="D3083" s="52" t="s">
        <v>46</v>
      </c>
      <c r="E3083" s="52" t="s">
        <v>584</v>
      </c>
      <c r="F3083" s="52" t="s">
        <v>581</v>
      </c>
      <c r="G3083" s="195" t="s">
        <v>279</v>
      </c>
      <c r="H3083" s="195">
        <v>5.6910000000000002E-2</v>
      </c>
      <c r="I3083" s="195">
        <v>4.0919799999999999E-2</v>
      </c>
      <c r="J3083" s="195">
        <v>3.7373999999999998E-2</v>
      </c>
      <c r="K3083" s="195">
        <v>3.7041400000000002E-2</v>
      </c>
      <c r="L3083" s="195">
        <v>3.6651000000000003E-2</v>
      </c>
      <c r="M3083" s="195">
        <v>3.1546200000000003E-2</v>
      </c>
      <c r="N3083" s="195">
        <v>3.1016800000000001E-2</v>
      </c>
    </row>
    <row r="3084" spans="1:14" hidden="1" x14ac:dyDescent="0.35">
      <c r="A3084" s="52" t="s">
        <v>232</v>
      </c>
      <c r="B3084" s="52" t="s">
        <v>37</v>
      </c>
      <c r="C3084" s="52" t="s">
        <v>46</v>
      </c>
      <c r="D3084" s="52" t="s">
        <v>46</v>
      </c>
      <c r="E3084" s="52" t="s">
        <v>584</v>
      </c>
      <c r="F3084" s="52" t="s">
        <v>26</v>
      </c>
      <c r="G3084" s="195" t="s">
        <v>275</v>
      </c>
      <c r="H3084" s="195">
        <v>-33.876690000000004</v>
      </c>
      <c r="I3084" s="195">
        <v>-30.132459999999998</v>
      </c>
      <c r="J3084" s="195">
        <v>-23.38297</v>
      </c>
      <c r="K3084" s="195">
        <v>-22.594719999999999</v>
      </c>
      <c r="L3084" s="195">
        <v>-22.038430000000002</v>
      </c>
      <c r="M3084" s="195">
        <v>-20.553650000000001</v>
      </c>
      <c r="N3084" s="195">
        <v>-18.73846</v>
      </c>
    </row>
    <row r="3085" spans="1:14" hidden="1" x14ac:dyDescent="0.35">
      <c r="A3085" s="52" t="s">
        <v>232</v>
      </c>
      <c r="B3085" s="52" t="s">
        <v>37</v>
      </c>
      <c r="C3085" s="52" t="s">
        <v>46</v>
      </c>
      <c r="D3085" s="52" t="s">
        <v>46</v>
      </c>
      <c r="E3085" s="52" t="s">
        <v>584</v>
      </c>
      <c r="F3085" s="52" t="s">
        <v>26</v>
      </c>
      <c r="G3085" s="195" t="s">
        <v>276</v>
      </c>
      <c r="H3085" s="195">
        <v>-8.5617090000000005</v>
      </c>
      <c r="I3085" s="195">
        <v>-5.2187710000000003</v>
      </c>
      <c r="J3085" s="195">
        <v>-8.9218159999999997</v>
      </c>
      <c r="K3085" s="195">
        <v>-8.8661440000000002</v>
      </c>
      <c r="L3085" s="195">
        <v>-8.0857320000000001</v>
      </c>
      <c r="M3085" s="195">
        <v>-6.9619540000000004</v>
      </c>
      <c r="N3085" s="195">
        <v>-6.4524780000000002</v>
      </c>
    </row>
    <row r="3086" spans="1:14" hidden="1" x14ac:dyDescent="0.35">
      <c r="A3086" s="52" t="s">
        <v>232</v>
      </c>
      <c r="B3086" s="52" t="s">
        <v>37</v>
      </c>
      <c r="C3086" s="52" t="s">
        <v>46</v>
      </c>
      <c r="D3086" s="52" t="s">
        <v>46</v>
      </c>
      <c r="E3086" s="52" t="s">
        <v>584</v>
      </c>
      <c r="F3086" s="52" t="s">
        <v>26</v>
      </c>
      <c r="G3086" s="195" t="s">
        <v>277</v>
      </c>
      <c r="H3086" s="195">
        <v>47.881219999999999</v>
      </c>
      <c r="I3086" s="195">
        <v>37.97645</v>
      </c>
      <c r="J3086" s="195">
        <v>35.265500000000003</v>
      </c>
      <c r="K3086" s="195">
        <v>33.403230000000001</v>
      </c>
      <c r="L3086" s="195">
        <v>31.22514</v>
      </c>
      <c r="M3086" s="195">
        <v>28.50177</v>
      </c>
      <c r="N3086" s="195">
        <v>26.108989999999999</v>
      </c>
    </row>
    <row r="3087" spans="1:14" hidden="1" x14ac:dyDescent="0.35">
      <c r="A3087" s="52" t="s">
        <v>232</v>
      </c>
      <c r="B3087" s="52" t="s">
        <v>37</v>
      </c>
      <c r="C3087" s="52" t="s">
        <v>46</v>
      </c>
      <c r="D3087" s="52" t="s">
        <v>46</v>
      </c>
      <c r="E3087" s="52" t="s">
        <v>584</v>
      </c>
      <c r="F3087" s="52" t="s">
        <v>26</v>
      </c>
      <c r="G3087" s="195" t="s">
        <v>279</v>
      </c>
      <c r="H3087" s="195">
        <v>16.452000000000002</v>
      </c>
      <c r="I3087" s="195">
        <v>13.71561</v>
      </c>
      <c r="J3087" s="195">
        <v>13.13983</v>
      </c>
      <c r="K3087" s="195">
        <v>13.68915</v>
      </c>
      <c r="L3087" s="195">
        <v>13.868069999999999</v>
      </c>
      <c r="M3087" s="195">
        <v>13.005660000000001</v>
      </c>
      <c r="N3087" s="195">
        <v>12.24188</v>
      </c>
    </row>
    <row r="3088" spans="1:14" hidden="1" x14ac:dyDescent="0.35">
      <c r="A3088" s="52" t="s">
        <v>232</v>
      </c>
      <c r="B3088" s="52" t="s">
        <v>37</v>
      </c>
      <c r="C3088" s="52" t="s">
        <v>109</v>
      </c>
      <c r="D3088" s="52" t="s">
        <v>109</v>
      </c>
      <c r="E3088" s="52" t="s">
        <v>584</v>
      </c>
      <c r="F3088" s="52" t="s">
        <v>581</v>
      </c>
      <c r="G3088" s="195" t="s">
        <v>275</v>
      </c>
      <c r="H3088" s="195">
        <v>13.36164</v>
      </c>
      <c r="I3088" s="195">
        <v>2.9602590000000002</v>
      </c>
      <c r="J3088" s="195">
        <v>1.938636</v>
      </c>
      <c r="K3088" s="195">
        <v>0.95300200000000002</v>
      </c>
      <c r="L3088" s="195">
        <v>0.35346349999999999</v>
      </c>
      <c r="M3088" s="195">
        <v>0.50348400000000004</v>
      </c>
      <c r="N3088" s="195">
        <v>0.38071120000000003</v>
      </c>
    </row>
    <row r="3089" spans="1:14" hidden="1" x14ac:dyDescent="0.35">
      <c r="A3089" s="52" t="s">
        <v>232</v>
      </c>
      <c r="B3089" s="52" t="s">
        <v>37</v>
      </c>
      <c r="C3089" s="52" t="s">
        <v>109</v>
      </c>
      <c r="D3089" s="52" t="s">
        <v>109</v>
      </c>
      <c r="E3089" s="52" t="s">
        <v>584</v>
      </c>
      <c r="F3089" s="52" t="s">
        <v>581</v>
      </c>
      <c r="G3089" s="195" t="s">
        <v>276</v>
      </c>
      <c r="H3089" s="195">
        <v>3.4100090000000001</v>
      </c>
      <c r="I3089" s="195">
        <v>0.66014499999999998</v>
      </c>
      <c r="J3089" s="195">
        <v>0.42152070000000003</v>
      </c>
      <c r="K3089" s="195">
        <v>0.2066578</v>
      </c>
      <c r="L3089" s="195">
        <v>8.6667629999999996E-2</v>
      </c>
      <c r="M3089" s="195">
        <v>2.240116E-2</v>
      </c>
      <c r="N3089" s="195">
        <v>-1.586162E-2</v>
      </c>
    </row>
    <row r="3090" spans="1:14" hidden="1" x14ac:dyDescent="0.35">
      <c r="A3090" s="52" t="s">
        <v>232</v>
      </c>
      <c r="B3090" s="52" t="s">
        <v>37</v>
      </c>
      <c r="C3090" s="52" t="s">
        <v>109</v>
      </c>
      <c r="D3090" s="52" t="s">
        <v>109</v>
      </c>
      <c r="E3090" s="52" t="s">
        <v>584</v>
      </c>
      <c r="F3090" s="52" t="s">
        <v>581</v>
      </c>
      <c r="G3090" s="195" t="s">
        <v>277</v>
      </c>
      <c r="H3090" s="195">
        <v>0.95463640000000005</v>
      </c>
      <c r="I3090" s="195">
        <v>0.81060980000000005</v>
      </c>
      <c r="J3090" s="195">
        <v>0.75045689999999998</v>
      </c>
      <c r="K3090" s="195">
        <v>0.84276039999999997</v>
      </c>
      <c r="L3090" s="195">
        <v>0.89408180000000004</v>
      </c>
      <c r="M3090" s="195">
        <v>0.34809000000000001</v>
      </c>
      <c r="N3090" s="195">
        <v>0.2009184</v>
      </c>
    </row>
    <row r="3091" spans="1:14" hidden="1" x14ac:dyDescent="0.35">
      <c r="A3091" s="52" t="s">
        <v>232</v>
      </c>
      <c r="B3091" s="52" t="s">
        <v>37</v>
      </c>
      <c r="C3091" s="52" t="s">
        <v>109</v>
      </c>
      <c r="D3091" s="52" t="s">
        <v>109</v>
      </c>
      <c r="E3091" s="52" t="s">
        <v>584</v>
      </c>
      <c r="F3091" s="52" t="s">
        <v>581</v>
      </c>
      <c r="G3091" s="195" t="s">
        <v>278</v>
      </c>
      <c r="H3091" s="195">
        <v>1.020019E-2</v>
      </c>
      <c r="I3091" s="195">
        <v>1.020019E-2</v>
      </c>
      <c r="J3091" s="195">
        <v>1.020019E-2</v>
      </c>
      <c r="K3091" s="195">
        <v>1.020019E-2</v>
      </c>
      <c r="L3091" s="195">
        <v>1.020019E-2</v>
      </c>
      <c r="M3091" s="195">
        <v>1.020019E-2</v>
      </c>
      <c r="N3091" s="195">
        <v>1.020019E-2</v>
      </c>
    </row>
    <row r="3092" spans="1:14" hidden="1" x14ac:dyDescent="0.35">
      <c r="A3092" s="52" t="s">
        <v>232</v>
      </c>
      <c r="B3092" s="52" t="s">
        <v>37</v>
      </c>
      <c r="C3092" s="52" t="s">
        <v>109</v>
      </c>
      <c r="D3092" s="52" t="s">
        <v>109</v>
      </c>
      <c r="E3092" s="52" t="s">
        <v>584</v>
      </c>
      <c r="F3092" s="52" t="s">
        <v>581</v>
      </c>
      <c r="G3092" s="195" t="s">
        <v>279</v>
      </c>
      <c r="H3092" s="195">
        <v>3.365713</v>
      </c>
      <c r="I3092" s="195">
        <v>2.6400009999999998</v>
      </c>
      <c r="J3092" s="195">
        <v>2.351</v>
      </c>
      <c r="K3092" s="195">
        <v>1.8836759999999999</v>
      </c>
      <c r="L3092" s="195">
        <v>1.4608859999999999</v>
      </c>
      <c r="M3092" s="195">
        <v>1.1583699999999999</v>
      </c>
      <c r="N3092" s="195">
        <v>0.89353749999999998</v>
      </c>
    </row>
    <row r="3093" spans="1:14" hidden="1" x14ac:dyDescent="0.35">
      <c r="A3093" s="52" t="s">
        <v>232</v>
      </c>
      <c r="B3093" s="52" t="s">
        <v>37</v>
      </c>
      <c r="C3093" s="52" t="s">
        <v>109</v>
      </c>
      <c r="D3093" s="52" t="s">
        <v>109</v>
      </c>
      <c r="E3093" s="52" t="s">
        <v>584</v>
      </c>
      <c r="F3093" s="52" t="s">
        <v>26</v>
      </c>
      <c r="G3093" s="195" t="s">
        <v>275</v>
      </c>
      <c r="H3093" s="195">
        <v>3.933611</v>
      </c>
      <c r="I3093" s="195">
        <v>0.67121949999999997</v>
      </c>
      <c r="J3093" s="195">
        <v>7.7437590000000001E-2</v>
      </c>
      <c r="K3093" s="195">
        <v>0.75200219999999995</v>
      </c>
      <c r="L3093" s="195">
        <v>0.4522795</v>
      </c>
      <c r="M3093" s="195">
        <v>0.1993463</v>
      </c>
      <c r="N3093" s="195">
        <v>-0.1054281</v>
      </c>
    </row>
    <row r="3094" spans="1:14" hidden="1" x14ac:dyDescent="0.35">
      <c r="A3094" s="52" t="s">
        <v>232</v>
      </c>
      <c r="B3094" s="52" t="s">
        <v>37</v>
      </c>
      <c r="C3094" s="52" t="s">
        <v>109</v>
      </c>
      <c r="D3094" s="52" t="s">
        <v>109</v>
      </c>
      <c r="E3094" s="52" t="s">
        <v>584</v>
      </c>
      <c r="F3094" s="52" t="s">
        <v>26</v>
      </c>
      <c r="G3094" s="195" t="s">
        <v>276</v>
      </c>
      <c r="H3094" s="195">
        <v>0.96093899999999999</v>
      </c>
      <c r="I3094" s="195">
        <v>-2.592951E-3</v>
      </c>
      <c r="J3094" s="195">
        <v>-0.18794359999999999</v>
      </c>
      <c r="K3094" s="195">
        <v>-0.24947150000000001</v>
      </c>
      <c r="L3094" s="195">
        <v>-0.26077240000000002</v>
      </c>
      <c r="M3094" s="195">
        <v>-0.2167549</v>
      </c>
      <c r="N3094" s="195">
        <v>-0.19505339999999999</v>
      </c>
    </row>
    <row r="3095" spans="1:14" hidden="1" x14ac:dyDescent="0.35">
      <c r="A3095" s="52" t="s">
        <v>232</v>
      </c>
      <c r="B3095" s="52" t="s">
        <v>37</v>
      </c>
      <c r="C3095" s="52" t="s">
        <v>109</v>
      </c>
      <c r="D3095" s="52" t="s">
        <v>109</v>
      </c>
      <c r="E3095" s="52" t="s">
        <v>584</v>
      </c>
      <c r="F3095" s="52" t="s">
        <v>26</v>
      </c>
      <c r="G3095" s="195" t="s">
        <v>277</v>
      </c>
      <c r="H3095" s="195">
        <v>2.7058119999999999</v>
      </c>
      <c r="I3095" s="195">
        <v>2.1136659999999998</v>
      </c>
      <c r="J3095" s="195">
        <v>1.827707</v>
      </c>
      <c r="K3095" s="195">
        <v>0.33165800000000001</v>
      </c>
      <c r="L3095" s="195">
        <v>0.22309019999999999</v>
      </c>
      <c r="M3095" s="195">
        <v>0.1453758</v>
      </c>
      <c r="N3095" s="195"/>
    </row>
    <row r="3096" spans="1:14" hidden="1" x14ac:dyDescent="0.35">
      <c r="A3096" s="52" t="s">
        <v>232</v>
      </c>
      <c r="B3096" s="52" t="s">
        <v>37</v>
      </c>
      <c r="C3096" s="52" t="s">
        <v>109</v>
      </c>
      <c r="D3096" s="52" t="s">
        <v>109</v>
      </c>
      <c r="E3096" s="52" t="s">
        <v>584</v>
      </c>
      <c r="F3096" s="52" t="s">
        <v>26</v>
      </c>
      <c r="G3096" s="195" t="s">
        <v>279</v>
      </c>
      <c r="H3096" s="195">
        <v>9.498075</v>
      </c>
      <c r="I3096" s="195">
        <v>6.3995329999999999</v>
      </c>
      <c r="J3096" s="195">
        <v>4.8632749999999998</v>
      </c>
      <c r="K3096" s="195">
        <v>3.9186510000000001</v>
      </c>
      <c r="L3096" s="195">
        <v>3.0804770000000001</v>
      </c>
      <c r="M3096" s="195">
        <v>2.4812150000000002</v>
      </c>
      <c r="N3096" s="195">
        <v>1.72888</v>
      </c>
    </row>
    <row r="3097" spans="1:14" hidden="1" x14ac:dyDescent="0.35">
      <c r="A3097" s="52" t="s">
        <v>232</v>
      </c>
      <c r="B3097" s="52" t="s">
        <v>37</v>
      </c>
      <c r="C3097" s="52" t="s">
        <v>61</v>
      </c>
      <c r="D3097" s="52" t="s">
        <v>62</v>
      </c>
      <c r="E3097" s="52" t="s">
        <v>584</v>
      </c>
      <c r="F3097" s="52" t="s">
        <v>581</v>
      </c>
      <c r="G3097" s="195" t="s">
        <v>275</v>
      </c>
      <c r="H3097" s="195">
        <v>12.93324</v>
      </c>
      <c r="I3097" s="195">
        <v>-3.0213070000000002</v>
      </c>
      <c r="J3097" s="195">
        <v>0.2217277</v>
      </c>
      <c r="K3097" s="195">
        <v>-18.583480000000002</v>
      </c>
      <c r="L3097" s="195">
        <v>-19.393719999999998</v>
      </c>
      <c r="M3097" s="195">
        <v>0.18808620000000001</v>
      </c>
      <c r="N3097" s="195">
        <v>-37.362259999999999</v>
      </c>
    </row>
    <row r="3098" spans="1:14" hidden="1" x14ac:dyDescent="0.35">
      <c r="A3098" s="52" t="s">
        <v>232</v>
      </c>
      <c r="B3098" s="52" t="s">
        <v>37</v>
      </c>
      <c r="C3098" s="52" t="s">
        <v>61</v>
      </c>
      <c r="D3098" s="52" t="s">
        <v>62</v>
      </c>
      <c r="E3098" s="52" t="s">
        <v>584</v>
      </c>
      <c r="F3098" s="52" t="s">
        <v>581</v>
      </c>
      <c r="G3098" s="195" t="s">
        <v>276</v>
      </c>
      <c r="H3098" s="195">
        <v>2.7822719999999999</v>
      </c>
      <c r="I3098" s="195">
        <v>-1.224901</v>
      </c>
      <c r="J3098" s="195">
        <v>-0.64487369999999999</v>
      </c>
      <c r="K3098" s="195">
        <v>-5.5536450000000004</v>
      </c>
      <c r="L3098" s="195">
        <v>-5.4976260000000003</v>
      </c>
      <c r="M3098" s="195">
        <v>-6.5513849999999998</v>
      </c>
      <c r="N3098" s="195">
        <v>-12.915940000000001</v>
      </c>
    </row>
    <row r="3099" spans="1:14" hidden="1" x14ac:dyDescent="0.35">
      <c r="A3099" s="52" t="s">
        <v>232</v>
      </c>
      <c r="B3099" s="52" t="s">
        <v>37</v>
      </c>
      <c r="C3099" s="52" t="s">
        <v>61</v>
      </c>
      <c r="D3099" s="52" t="s">
        <v>62</v>
      </c>
      <c r="E3099" s="52" t="s">
        <v>584</v>
      </c>
      <c r="F3099" s="52" t="s">
        <v>581</v>
      </c>
      <c r="G3099" s="195" t="s">
        <v>277</v>
      </c>
      <c r="H3099" s="195">
        <v>2.34259</v>
      </c>
      <c r="I3099" s="195">
        <v>1.739266</v>
      </c>
      <c r="J3099" s="195">
        <v>0.28638449999999999</v>
      </c>
      <c r="K3099" s="195">
        <v>0.225464</v>
      </c>
      <c r="L3099" s="195">
        <v>0.15638279999999999</v>
      </c>
      <c r="M3099" s="195">
        <v>0.10904800000000001</v>
      </c>
      <c r="N3099" s="195">
        <v>7.6514899999999997E-2</v>
      </c>
    </row>
    <row r="3100" spans="1:14" hidden="1" x14ac:dyDescent="0.35">
      <c r="A3100" s="52" t="s">
        <v>232</v>
      </c>
      <c r="B3100" s="52" t="s">
        <v>37</v>
      </c>
      <c r="C3100" s="52" t="s">
        <v>61</v>
      </c>
      <c r="D3100" s="52" t="s">
        <v>62</v>
      </c>
      <c r="E3100" s="52" t="s">
        <v>584</v>
      </c>
      <c r="F3100" s="52" t="s">
        <v>581</v>
      </c>
      <c r="G3100" s="195" t="s">
        <v>278</v>
      </c>
      <c r="H3100" s="195">
        <v>8.6702249999999995E-2</v>
      </c>
      <c r="I3100" s="195">
        <v>8.6702249999999995E-2</v>
      </c>
      <c r="J3100" s="195">
        <v>5.3082249999999997E-2</v>
      </c>
      <c r="K3100" s="195">
        <v>5.3082249999999997E-2</v>
      </c>
      <c r="L3100" s="195">
        <v>5.3082249999999997E-2</v>
      </c>
      <c r="M3100" s="195">
        <v>6.4130830000000003</v>
      </c>
      <c r="N3100" s="195">
        <v>2.9531990000000001</v>
      </c>
    </row>
    <row r="3101" spans="1:14" hidden="1" x14ac:dyDescent="0.35">
      <c r="A3101" s="52" t="s">
        <v>232</v>
      </c>
      <c r="B3101" s="52" t="s">
        <v>37</v>
      </c>
      <c r="C3101" s="52" t="s">
        <v>61</v>
      </c>
      <c r="D3101" s="52" t="s">
        <v>62</v>
      </c>
      <c r="E3101" s="52" t="s">
        <v>584</v>
      </c>
      <c r="F3101" s="52" t="s">
        <v>581</v>
      </c>
      <c r="G3101" s="195" t="s">
        <v>279</v>
      </c>
      <c r="H3101" s="195">
        <v>13.808160000000001</v>
      </c>
      <c r="I3101" s="195">
        <v>12.37255</v>
      </c>
      <c r="J3101" s="195">
        <v>6.6654580000000001</v>
      </c>
      <c r="K3101" s="195">
        <v>29.411370000000002</v>
      </c>
      <c r="L3101" s="195">
        <v>29.429490000000001</v>
      </c>
      <c r="M3101" s="195">
        <v>0.13349150000000001</v>
      </c>
      <c r="N3101" s="195">
        <v>47.450519999999997</v>
      </c>
    </row>
    <row r="3102" spans="1:14" hidden="1" x14ac:dyDescent="0.35">
      <c r="A3102" s="52" t="s">
        <v>232</v>
      </c>
      <c r="B3102" s="52" t="s">
        <v>37</v>
      </c>
      <c r="C3102" s="52" t="s">
        <v>61</v>
      </c>
      <c r="D3102" s="52" t="s">
        <v>62</v>
      </c>
      <c r="E3102" s="52" t="s">
        <v>584</v>
      </c>
      <c r="F3102" s="52" t="s">
        <v>26</v>
      </c>
      <c r="G3102" s="195" t="s">
        <v>275</v>
      </c>
      <c r="H3102" s="195">
        <v>0.2167432</v>
      </c>
      <c r="I3102" s="195">
        <v>-0.15286620000000001</v>
      </c>
      <c r="J3102" s="195">
        <v>-8.9289939999999998E-2</v>
      </c>
      <c r="K3102" s="195">
        <v>-2.4569679999999998</v>
      </c>
      <c r="L3102" s="195">
        <v>-72.474010000000007</v>
      </c>
      <c r="M3102" s="195">
        <v>1.6004600000000001E-2</v>
      </c>
      <c r="N3102" s="195">
        <v>-25.08351</v>
      </c>
    </row>
    <row r="3103" spans="1:14" hidden="1" x14ac:dyDescent="0.35">
      <c r="A3103" s="52" t="s">
        <v>232</v>
      </c>
      <c r="B3103" s="52" t="s">
        <v>37</v>
      </c>
      <c r="C3103" s="52" t="s">
        <v>61</v>
      </c>
      <c r="D3103" s="52" t="s">
        <v>62</v>
      </c>
      <c r="E3103" s="52" t="s">
        <v>584</v>
      </c>
      <c r="F3103" s="52" t="s">
        <v>26</v>
      </c>
      <c r="G3103" s="195" t="s">
        <v>276</v>
      </c>
      <c r="H3103" s="195">
        <v>-8.4131890000000001E-2</v>
      </c>
      <c r="I3103" s="195">
        <v>-0.1148777</v>
      </c>
      <c r="J3103" s="195">
        <v>-0.1124574</v>
      </c>
      <c r="K3103" s="195">
        <v>-0.71257000000000004</v>
      </c>
      <c r="L3103" s="195">
        <v>-19.295380000000002</v>
      </c>
      <c r="M3103" s="195">
        <v>-1.02889E-2</v>
      </c>
      <c r="N3103" s="195">
        <v>-6.6677689999999998</v>
      </c>
    </row>
    <row r="3104" spans="1:14" hidden="1" x14ac:dyDescent="0.35">
      <c r="A3104" s="52" t="s">
        <v>232</v>
      </c>
      <c r="B3104" s="52" t="s">
        <v>37</v>
      </c>
      <c r="C3104" s="52" t="s">
        <v>61</v>
      </c>
      <c r="D3104" s="52" t="s">
        <v>62</v>
      </c>
      <c r="E3104" s="52" t="s">
        <v>584</v>
      </c>
      <c r="F3104" s="52" t="s">
        <v>26</v>
      </c>
      <c r="G3104" s="195" t="s">
        <v>277</v>
      </c>
      <c r="H3104" s="195">
        <v>0.42924299999999999</v>
      </c>
      <c r="I3104" s="195">
        <v>0.13356499999999999</v>
      </c>
      <c r="J3104" s="195"/>
      <c r="K3104" s="195"/>
      <c r="L3104" s="195">
        <v>0</v>
      </c>
      <c r="M3104" s="195"/>
      <c r="N3104" s="195"/>
    </row>
    <row r="3105" spans="1:14" hidden="1" x14ac:dyDescent="0.35">
      <c r="A3105" s="52" t="s">
        <v>232</v>
      </c>
      <c r="B3105" s="52" t="s">
        <v>37</v>
      </c>
      <c r="C3105" s="52" t="s">
        <v>61</v>
      </c>
      <c r="D3105" s="52" t="s">
        <v>62</v>
      </c>
      <c r="E3105" s="52" t="s">
        <v>584</v>
      </c>
      <c r="F3105" s="52" t="s">
        <v>26</v>
      </c>
      <c r="G3105" s="195" t="s">
        <v>279</v>
      </c>
      <c r="H3105" s="195">
        <v>3.5598860000000001</v>
      </c>
      <c r="I3105" s="195">
        <v>2.7775340000000002</v>
      </c>
      <c r="J3105" s="195">
        <v>2.6083889999999998</v>
      </c>
      <c r="K3105" s="195">
        <v>4.1901200000000003</v>
      </c>
      <c r="L3105" s="195">
        <v>92.682749999999999</v>
      </c>
      <c r="M3105" s="195">
        <v>4.5367499999999998E-2</v>
      </c>
      <c r="N3105" s="195">
        <v>31.791350000000001</v>
      </c>
    </row>
    <row r="3106" spans="1:14" hidden="1" x14ac:dyDescent="0.35">
      <c r="A3106" s="52" t="s">
        <v>232</v>
      </c>
      <c r="B3106" s="52" t="s">
        <v>37</v>
      </c>
      <c r="C3106" s="52" t="s">
        <v>318</v>
      </c>
      <c r="D3106" s="52" t="s">
        <v>318</v>
      </c>
      <c r="E3106" s="52" t="s">
        <v>584</v>
      </c>
      <c r="F3106" s="52" t="s">
        <v>581</v>
      </c>
      <c r="G3106" s="195" t="s">
        <v>275</v>
      </c>
      <c r="H3106" s="195">
        <v>0</v>
      </c>
      <c r="I3106" s="195"/>
      <c r="J3106" s="195"/>
      <c r="K3106" s="195"/>
      <c r="L3106" s="195"/>
      <c r="M3106" s="195"/>
      <c r="N3106" s="195"/>
    </row>
    <row r="3107" spans="1:14" hidden="1" x14ac:dyDescent="0.35">
      <c r="A3107" s="52" t="s">
        <v>232</v>
      </c>
      <c r="B3107" s="52" t="s">
        <v>37</v>
      </c>
      <c r="C3107" s="52" t="s">
        <v>318</v>
      </c>
      <c r="D3107" s="52" t="s">
        <v>318</v>
      </c>
      <c r="E3107" s="52" t="s">
        <v>584</v>
      </c>
      <c r="F3107" s="52" t="s">
        <v>581</v>
      </c>
      <c r="G3107" s="195" t="s">
        <v>278</v>
      </c>
      <c r="H3107" s="195">
        <v>0</v>
      </c>
      <c r="I3107" s="195"/>
      <c r="J3107" s="195"/>
      <c r="K3107" s="195"/>
      <c r="L3107" s="195"/>
      <c r="M3107" s="195"/>
      <c r="N3107" s="195"/>
    </row>
    <row r="3108" spans="1:14" hidden="1" x14ac:dyDescent="0.35">
      <c r="A3108" s="52" t="s">
        <v>232</v>
      </c>
      <c r="B3108" s="52" t="s">
        <v>37</v>
      </c>
      <c r="C3108" s="52" t="s">
        <v>318</v>
      </c>
      <c r="D3108" s="52" t="s">
        <v>318</v>
      </c>
      <c r="E3108" s="52" t="s">
        <v>584</v>
      </c>
      <c r="F3108" s="52" t="s">
        <v>26</v>
      </c>
      <c r="G3108" s="195" t="s">
        <v>275</v>
      </c>
      <c r="H3108" s="195">
        <v>0</v>
      </c>
      <c r="I3108" s="195"/>
      <c r="J3108" s="195"/>
      <c r="K3108" s="195"/>
      <c r="L3108" s="195"/>
      <c r="M3108" s="195"/>
      <c r="N3108" s="195"/>
    </row>
    <row r="3109" spans="1:14" hidden="1" x14ac:dyDescent="0.35">
      <c r="A3109" s="52" t="s">
        <v>232</v>
      </c>
      <c r="B3109" s="52" t="s">
        <v>37</v>
      </c>
      <c r="C3109" s="52" t="s">
        <v>318</v>
      </c>
      <c r="D3109" s="52" t="s">
        <v>318</v>
      </c>
      <c r="E3109" s="52" t="s">
        <v>584</v>
      </c>
      <c r="F3109" s="52" t="s">
        <v>26</v>
      </c>
      <c r="G3109" s="195" t="s">
        <v>278</v>
      </c>
      <c r="H3109" s="195">
        <v>0</v>
      </c>
      <c r="I3109" s="195"/>
      <c r="J3109" s="195"/>
      <c r="K3109" s="195"/>
      <c r="L3109" s="195"/>
      <c r="M3109" s="195"/>
      <c r="N3109" s="195"/>
    </row>
    <row r="3110" spans="1:14" hidden="1" x14ac:dyDescent="0.35">
      <c r="A3110" s="52" t="s">
        <v>232</v>
      </c>
      <c r="B3110" s="52" t="s">
        <v>121</v>
      </c>
      <c r="C3110" s="52" t="s">
        <v>173</v>
      </c>
      <c r="D3110" s="52" t="s">
        <v>173</v>
      </c>
      <c r="E3110" s="52" t="s">
        <v>584</v>
      </c>
      <c r="F3110" s="52" t="s">
        <v>581</v>
      </c>
      <c r="G3110" s="195" t="s">
        <v>275</v>
      </c>
      <c r="H3110" s="195">
        <v>204.55719999999999</v>
      </c>
      <c r="I3110" s="195">
        <v>43.57246</v>
      </c>
      <c r="J3110" s="195">
        <v>33.01399</v>
      </c>
      <c r="K3110" s="195">
        <v>29.417349999999999</v>
      </c>
      <c r="L3110" s="195">
        <v>23.87876</v>
      </c>
      <c r="M3110" s="195">
        <v>20.574280000000002</v>
      </c>
      <c r="N3110" s="195">
        <v>15.991820000000001</v>
      </c>
    </row>
    <row r="3111" spans="1:14" hidden="1" x14ac:dyDescent="0.35">
      <c r="A3111" s="52" t="s">
        <v>232</v>
      </c>
      <c r="B3111" s="52" t="s">
        <v>121</v>
      </c>
      <c r="C3111" s="52" t="s">
        <v>173</v>
      </c>
      <c r="D3111" s="52" t="s">
        <v>173</v>
      </c>
      <c r="E3111" s="52" t="s">
        <v>584</v>
      </c>
      <c r="F3111" s="52" t="s">
        <v>581</v>
      </c>
      <c r="G3111" s="195" t="s">
        <v>276</v>
      </c>
      <c r="H3111" s="195">
        <v>9.1247539999999994</v>
      </c>
      <c r="I3111" s="195">
        <v>2.1517019999999998</v>
      </c>
      <c r="J3111" s="195">
        <v>1.1926620000000001</v>
      </c>
      <c r="K3111" s="195">
        <v>1.3360369999999999</v>
      </c>
      <c r="L3111" s="195">
        <v>1.499255</v>
      </c>
      <c r="M3111" s="195">
        <v>1.5681879999999999</v>
      </c>
      <c r="N3111" s="195">
        <v>1.6585000000000001</v>
      </c>
    </row>
    <row r="3112" spans="1:14" hidden="1" x14ac:dyDescent="0.35">
      <c r="A3112" s="52" t="s">
        <v>232</v>
      </c>
      <c r="B3112" s="52" t="s">
        <v>121</v>
      </c>
      <c r="C3112" s="52" t="s">
        <v>173</v>
      </c>
      <c r="D3112" s="52" t="s">
        <v>173</v>
      </c>
      <c r="E3112" s="52" t="s">
        <v>584</v>
      </c>
      <c r="F3112" s="52" t="s">
        <v>581</v>
      </c>
      <c r="G3112" s="195" t="s">
        <v>277</v>
      </c>
      <c r="H3112" s="195">
        <v>58.515709999999999</v>
      </c>
      <c r="I3112" s="195">
        <v>38.897030000000001</v>
      </c>
      <c r="J3112" s="195">
        <v>28.419280000000001</v>
      </c>
      <c r="K3112" s="195">
        <v>24.222529999999999</v>
      </c>
      <c r="L3112" s="195">
        <v>23.91478</v>
      </c>
      <c r="M3112" s="195">
        <v>22.033539999999999</v>
      </c>
      <c r="N3112" s="195">
        <v>20.52216</v>
      </c>
    </row>
    <row r="3113" spans="1:14" hidden="1" x14ac:dyDescent="0.35">
      <c r="A3113" s="52" t="s">
        <v>232</v>
      </c>
      <c r="B3113" s="52" t="s">
        <v>121</v>
      </c>
      <c r="C3113" s="52" t="s">
        <v>173</v>
      </c>
      <c r="D3113" s="52" t="s">
        <v>173</v>
      </c>
      <c r="E3113" s="52" t="s">
        <v>584</v>
      </c>
      <c r="F3113" s="52" t="s">
        <v>581</v>
      </c>
      <c r="G3113" s="195" t="s">
        <v>278</v>
      </c>
      <c r="H3113" s="195">
        <v>11.952859999999999</v>
      </c>
      <c r="I3113" s="195">
        <v>0.56189940000000005</v>
      </c>
      <c r="J3113" s="195">
        <v>0.24947179999999999</v>
      </c>
      <c r="K3113" s="195">
        <v>0.24947179999999999</v>
      </c>
      <c r="L3113" s="195">
        <v>0.24947179999999999</v>
      </c>
      <c r="M3113" s="195">
        <v>0.24947179999999999</v>
      </c>
      <c r="N3113" s="195">
        <v>0.24947179999999999</v>
      </c>
    </row>
    <row r="3114" spans="1:14" hidden="1" x14ac:dyDescent="0.35">
      <c r="A3114" s="52" t="s">
        <v>232</v>
      </c>
      <c r="B3114" s="52" t="s">
        <v>121</v>
      </c>
      <c r="C3114" s="52" t="s">
        <v>173</v>
      </c>
      <c r="D3114" s="52" t="s">
        <v>173</v>
      </c>
      <c r="E3114" s="52" t="s">
        <v>584</v>
      </c>
      <c r="F3114" s="52" t="s">
        <v>581</v>
      </c>
      <c r="G3114" s="195" t="s">
        <v>279</v>
      </c>
      <c r="H3114" s="195">
        <v>50.98751</v>
      </c>
      <c r="I3114" s="195">
        <v>41.613799999999998</v>
      </c>
      <c r="J3114" s="195">
        <v>40.358179999999997</v>
      </c>
      <c r="K3114" s="195">
        <v>39.748040000000003</v>
      </c>
      <c r="L3114" s="195">
        <v>36.683509999999998</v>
      </c>
      <c r="M3114" s="195">
        <v>34.523269999999997</v>
      </c>
      <c r="N3114" s="195">
        <v>29.668749999999999</v>
      </c>
    </row>
    <row r="3115" spans="1:14" hidden="1" x14ac:dyDescent="0.35">
      <c r="A3115" s="52" t="s">
        <v>232</v>
      </c>
      <c r="B3115" s="52" t="s">
        <v>121</v>
      </c>
      <c r="C3115" s="52" t="s">
        <v>173</v>
      </c>
      <c r="D3115" s="52" t="s">
        <v>173</v>
      </c>
      <c r="E3115" s="52" t="s">
        <v>584</v>
      </c>
      <c r="F3115" s="52" t="s">
        <v>26</v>
      </c>
      <c r="G3115" s="195" t="s">
        <v>275</v>
      </c>
      <c r="H3115" s="195">
        <v>-63.444949999999999</v>
      </c>
      <c r="I3115" s="195">
        <v>-22.586169999999999</v>
      </c>
      <c r="J3115" s="195">
        <v>-23.334009999999999</v>
      </c>
      <c r="K3115" s="195">
        <v>-29.524360000000001</v>
      </c>
      <c r="L3115" s="195">
        <v>-27.825959999999998</v>
      </c>
      <c r="M3115" s="195">
        <v>-25.08297</v>
      </c>
      <c r="N3115" s="195">
        <v>-21.465920000000001</v>
      </c>
    </row>
    <row r="3116" spans="1:14" hidden="1" x14ac:dyDescent="0.35">
      <c r="A3116" s="52" t="s">
        <v>232</v>
      </c>
      <c r="B3116" s="52" t="s">
        <v>121</v>
      </c>
      <c r="C3116" s="52" t="s">
        <v>173</v>
      </c>
      <c r="D3116" s="52" t="s">
        <v>173</v>
      </c>
      <c r="E3116" s="52" t="s">
        <v>584</v>
      </c>
      <c r="F3116" s="52" t="s">
        <v>26</v>
      </c>
      <c r="G3116" s="195" t="s">
        <v>276</v>
      </c>
      <c r="H3116" s="195">
        <v>-0.87296830000000003</v>
      </c>
      <c r="I3116" s="195">
        <v>1.6997009999999999</v>
      </c>
      <c r="J3116" s="195">
        <v>2.1030549999999999</v>
      </c>
      <c r="K3116" s="195">
        <v>1.598144</v>
      </c>
      <c r="L3116" s="195">
        <v>1.2867029999999999</v>
      </c>
      <c r="M3116" s="195">
        <v>0.91310139999999995</v>
      </c>
      <c r="N3116" s="195">
        <v>0.60134670000000001</v>
      </c>
    </row>
    <row r="3117" spans="1:14" hidden="1" x14ac:dyDescent="0.35">
      <c r="A3117" s="52" t="s">
        <v>232</v>
      </c>
      <c r="B3117" s="52" t="s">
        <v>121</v>
      </c>
      <c r="C3117" s="52" t="s">
        <v>173</v>
      </c>
      <c r="D3117" s="52" t="s">
        <v>173</v>
      </c>
      <c r="E3117" s="52" t="s">
        <v>584</v>
      </c>
      <c r="F3117" s="52" t="s">
        <v>26</v>
      </c>
      <c r="G3117" s="195" t="s">
        <v>277</v>
      </c>
      <c r="H3117" s="195">
        <v>131.27629999999999</v>
      </c>
      <c r="I3117" s="195">
        <v>97.451620000000005</v>
      </c>
      <c r="J3117" s="195">
        <v>88.944500000000005</v>
      </c>
      <c r="K3117" s="195">
        <v>83.281610000000001</v>
      </c>
      <c r="L3117" s="195">
        <v>76.668779999999998</v>
      </c>
      <c r="M3117" s="195">
        <v>70.27122</v>
      </c>
      <c r="N3117" s="195">
        <v>59.577060000000003</v>
      </c>
    </row>
    <row r="3118" spans="1:14" hidden="1" x14ac:dyDescent="0.35">
      <c r="A3118" s="52" t="s">
        <v>232</v>
      </c>
      <c r="B3118" s="52" t="s">
        <v>121</v>
      </c>
      <c r="C3118" s="52" t="s">
        <v>173</v>
      </c>
      <c r="D3118" s="52" t="s">
        <v>173</v>
      </c>
      <c r="E3118" s="52" t="s">
        <v>584</v>
      </c>
      <c r="F3118" s="52" t="s">
        <v>26</v>
      </c>
      <c r="G3118" s="195" t="s">
        <v>278</v>
      </c>
      <c r="H3118" s="195">
        <v>0.27219969999999999</v>
      </c>
      <c r="I3118" s="195">
        <v>0.27219969999999999</v>
      </c>
      <c r="J3118" s="195">
        <v>1.723034E-2</v>
      </c>
      <c r="K3118" s="195">
        <v>1.723034E-2</v>
      </c>
      <c r="L3118" s="195">
        <v>1.723034E-2</v>
      </c>
      <c r="M3118" s="195">
        <v>1.723034E-2</v>
      </c>
      <c r="N3118" s="195">
        <v>1.723034E-2</v>
      </c>
    </row>
    <row r="3119" spans="1:14" hidden="1" x14ac:dyDescent="0.35">
      <c r="A3119" s="52" t="s">
        <v>232</v>
      </c>
      <c r="B3119" s="52" t="s">
        <v>121</v>
      </c>
      <c r="C3119" s="52" t="s">
        <v>173</v>
      </c>
      <c r="D3119" s="52" t="s">
        <v>173</v>
      </c>
      <c r="E3119" s="52" t="s">
        <v>584</v>
      </c>
      <c r="F3119" s="52" t="s">
        <v>26</v>
      </c>
      <c r="G3119" s="195" t="s">
        <v>279</v>
      </c>
      <c r="H3119" s="195">
        <v>134.77529999999999</v>
      </c>
      <c r="I3119" s="195">
        <v>110.7574</v>
      </c>
      <c r="J3119" s="195">
        <v>105.3558</v>
      </c>
      <c r="K3119" s="195">
        <v>100.8852</v>
      </c>
      <c r="L3119" s="195">
        <v>94.541409999999999</v>
      </c>
      <c r="M3119" s="195">
        <v>87.021609999999995</v>
      </c>
      <c r="N3119" s="195">
        <v>75.127880000000005</v>
      </c>
    </row>
    <row r="3120" spans="1:14" hidden="1" x14ac:dyDescent="0.35">
      <c r="A3120" s="52" t="s">
        <v>232</v>
      </c>
      <c r="B3120" s="52" t="s">
        <v>121</v>
      </c>
      <c r="C3120" s="52" t="s">
        <v>173</v>
      </c>
      <c r="D3120" s="52" t="s">
        <v>234</v>
      </c>
      <c r="E3120" s="52" t="s">
        <v>584</v>
      </c>
      <c r="F3120" s="52" t="s">
        <v>581</v>
      </c>
      <c r="G3120" s="195" t="s">
        <v>275</v>
      </c>
      <c r="H3120" s="195">
        <v>10.166980000000001</v>
      </c>
      <c r="I3120" s="195">
        <v>2.291601</v>
      </c>
      <c r="J3120" s="195">
        <v>0.80073930000000004</v>
      </c>
      <c r="K3120" s="195">
        <v>0.33056829999999998</v>
      </c>
      <c r="L3120" s="195">
        <v>0.1192628</v>
      </c>
      <c r="M3120" s="195">
        <v>0.1284032</v>
      </c>
      <c r="N3120" s="195">
        <v>-3.3472750000000003E-2</v>
      </c>
    </row>
    <row r="3121" spans="1:14" hidden="1" x14ac:dyDescent="0.35">
      <c r="A3121" s="52" t="s">
        <v>232</v>
      </c>
      <c r="B3121" s="52" t="s">
        <v>121</v>
      </c>
      <c r="C3121" s="52" t="s">
        <v>173</v>
      </c>
      <c r="D3121" s="52" t="s">
        <v>234</v>
      </c>
      <c r="E3121" s="52" t="s">
        <v>584</v>
      </c>
      <c r="F3121" s="52" t="s">
        <v>581</v>
      </c>
      <c r="G3121" s="195" t="s">
        <v>276</v>
      </c>
      <c r="H3121" s="195">
        <v>2.5940889999999999</v>
      </c>
      <c r="I3121" s="195">
        <v>0.53705590000000003</v>
      </c>
      <c r="J3121" s="195">
        <v>0.3599907</v>
      </c>
      <c r="K3121" s="195">
        <v>0.3070368</v>
      </c>
      <c r="L3121" s="195">
        <v>0.2323955</v>
      </c>
      <c r="M3121" s="195">
        <v>0.2076945</v>
      </c>
      <c r="N3121" s="195">
        <v>0.118937</v>
      </c>
    </row>
    <row r="3122" spans="1:14" hidden="1" x14ac:dyDescent="0.35">
      <c r="A3122" s="52" t="s">
        <v>232</v>
      </c>
      <c r="B3122" s="52" t="s">
        <v>121</v>
      </c>
      <c r="C3122" s="52" t="s">
        <v>173</v>
      </c>
      <c r="D3122" s="52" t="s">
        <v>234</v>
      </c>
      <c r="E3122" s="52" t="s">
        <v>584</v>
      </c>
      <c r="F3122" s="52" t="s">
        <v>581</v>
      </c>
      <c r="G3122" s="195" t="s">
        <v>277</v>
      </c>
      <c r="H3122" s="195">
        <v>6.1473719999999998</v>
      </c>
      <c r="I3122" s="195">
        <v>4.6563090000000003</v>
      </c>
      <c r="J3122" s="195">
        <v>3.9149039999999999</v>
      </c>
      <c r="K3122" s="195">
        <v>3.664704</v>
      </c>
      <c r="L3122" s="195">
        <v>3.008791</v>
      </c>
      <c r="M3122" s="195">
        <v>2.6702309999999998</v>
      </c>
      <c r="N3122" s="195">
        <v>2.204682</v>
      </c>
    </row>
    <row r="3123" spans="1:14" hidden="1" x14ac:dyDescent="0.35">
      <c r="A3123" s="52" t="s">
        <v>232</v>
      </c>
      <c r="B3123" s="52" t="s">
        <v>121</v>
      </c>
      <c r="C3123" s="52" t="s">
        <v>173</v>
      </c>
      <c r="D3123" s="52" t="s">
        <v>234</v>
      </c>
      <c r="E3123" s="52" t="s">
        <v>584</v>
      </c>
      <c r="F3123" s="52" t="s">
        <v>581</v>
      </c>
      <c r="G3123" s="195" t="s">
        <v>278</v>
      </c>
      <c r="H3123" s="195">
        <v>6.550831E-2</v>
      </c>
      <c r="I3123" s="195">
        <v>6.550831E-2</v>
      </c>
      <c r="J3123" s="195">
        <v>0</v>
      </c>
      <c r="K3123" s="195">
        <v>0</v>
      </c>
      <c r="L3123" s="195">
        <v>0</v>
      </c>
      <c r="M3123" s="195">
        <v>0</v>
      </c>
      <c r="N3123" s="195">
        <v>0</v>
      </c>
    </row>
    <row r="3124" spans="1:14" hidden="1" x14ac:dyDescent="0.35">
      <c r="A3124" s="52" t="s">
        <v>232</v>
      </c>
      <c r="B3124" s="52" t="s">
        <v>121</v>
      </c>
      <c r="C3124" s="52" t="s">
        <v>173</v>
      </c>
      <c r="D3124" s="52" t="s">
        <v>234</v>
      </c>
      <c r="E3124" s="52" t="s">
        <v>584</v>
      </c>
      <c r="F3124" s="52" t="s">
        <v>581</v>
      </c>
      <c r="G3124" s="195" t="s">
        <v>279</v>
      </c>
      <c r="H3124" s="195">
        <v>4.5384710000000004</v>
      </c>
      <c r="I3124" s="195">
        <v>4.0431619999999997</v>
      </c>
      <c r="J3124" s="195">
        <v>3.526446</v>
      </c>
      <c r="K3124" s="195">
        <v>3.3209849999999999</v>
      </c>
      <c r="L3124" s="195">
        <v>2.8117070000000002</v>
      </c>
      <c r="M3124" s="195">
        <v>2.575504</v>
      </c>
      <c r="N3124" s="195">
        <v>2.1150920000000002</v>
      </c>
    </row>
    <row r="3125" spans="1:14" hidden="1" x14ac:dyDescent="0.35">
      <c r="A3125" s="52" t="s">
        <v>232</v>
      </c>
      <c r="B3125" s="52" t="s">
        <v>121</v>
      </c>
      <c r="C3125" s="52" t="s">
        <v>173</v>
      </c>
      <c r="D3125" s="52" t="s">
        <v>234</v>
      </c>
      <c r="E3125" s="52" t="s">
        <v>584</v>
      </c>
      <c r="F3125" s="52" t="s">
        <v>26</v>
      </c>
      <c r="G3125" s="195" t="s">
        <v>275</v>
      </c>
      <c r="H3125" s="195">
        <v>-0.20553650000000001</v>
      </c>
      <c r="I3125" s="195">
        <v>1.533722E-2</v>
      </c>
      <c r="J3125" s="195">
        <v>0.23004530000000001</v>
      </c>
      <c r="K3125" s="195">
        <v>0.15466840000000001</v>
      </c>
      <c r="L3125" s="195">
        <v>8.5884290000000002E-2</v>
      </c>
      <c r="M3125" s="195">
        <v>7.6075799999999999E-2</v>
      </c>
      <c r="N3125" s="195">
        <v>8.8995779999999997E-2</v>
      </c>
    </row>
    <row r="3126" spans="1:14" hidden="1" x14ac:dyDescent="0.35">
      <c r="A3126" s="52" t="s">
        <v>232</v>
      </c>
      <c r="B3126" s="52" t="s">
        <v>121</v>
      </c>
      <c r="C3126" s="52" t="s">
        <v>173</v>
      </c>
      <c r="D3126" s="52" t="s">
        <v>234</v>
      </c>
      <c r="E3126" s="52" t="s">
        <v>584</v>
      </c>
      <c r="F3126" s="52" t="s">
        <v>26</v>
      </c>
      <c r="G3126" s="195" t="s">
        <v>276</v>
      </c>
      <c r="H3126" s="195">
        <v>1.429471E-2</v>
      </c>
      <c r="I3126" s="195">
        <v>0.28846189999999999</v>
      </c>
      <c r="J3126" s="195">
        <v>-1.5484990000000001E-2</v>
      </c>
      <c r="K3126" s="195">
        <v>-42.431019999999997</v>
      </c>
      <c r="L3126" s="195">
        <v>-22.093219999999999</v>
      </c>
      <c r="M3126" s="195">
        <v>-11.1297</v>
      </c>
      <c r="N3126" s="195">
        <v>-5.5717829999999999</v>
      </c>
    </row>
    <row r="3127" spans="1:14" hidden="1" x14ac:dyDescent="0.35">
      <c r="A3127" s="52" t="s">
        <v>232</v>
      </c>
      <c r="B3127" s="52" t="s">
        <v>121</v>
      </c>
      <c r="C3127" s="52" t="s">
        <v>173</v>
      </c>
      <c r="D3127" s="52" t="s">
        <v>234</v>
      </c>
      <c r="E3127" s="52" t="s">
        <v>584</v>
      </c>
      <c r="F3127" s="52" t="s">
        <v>26</v>
      </c>
      <c r="G3127" s="195" t="s">
        <v>278</v>
      </c>
      <c r="H3127" s="195">
        <v>0.262712</v>
      </c>
      <c r="I3127" s="195">
        <v>0.262712</v>
      </c>
      <c r="J3127" s="195">
        <v>0.262712</v>
      </c>
      <c r="K3127" s="195">
        <v>42.647550000000003</v>
      </c>
      <c r="L3127" s="195">
        <v>22.31174</v>
      </c>
      <c r="M3127" s="195">
        <v>11.330909999999999</v>
      </c>
      <c r="N3127" s="195">
        <v>5.7957939999999999</v>
      </c>
    </row>
    <row r="3128" spans="1:14" hidden="1" x14ac:dyDescent="0.35">
      <c r="A3128" s="52" t="s">
        <v>232</v>
      </c>
      <c r="B3128" s="52" t="s">
        <v>121</v>
      </c>
      <c r="C3128" s="52" t="s">
        <v>173</v>
      </c>
      <c r="D3128" s="52" t="s">
        <v>234</v>
      </c>
      <c r="E3128" s="52" t="s">
        <v>584</v>
      </c>
      <c r="F3128" s="52" t="s">
        <v>26</v>
      </c>
      <c r="G3128" s="195" t="s">
        <v>279</v>
      </c>
      <c r="H3128" s="195">
        <v>1.230947</v>
      </c>
      <c r="I3128" s="195">
        <v>1.0947480000000001</v>
      </c>
      <c r="J3128" s="195">
        <v>0.9485787</v>
      </c>
      <c r="K3128" s="195">
        <v>0.88933519999999999</v>
      </c>
      <c r="L3128" s="195">
        <v>0.7881975</v>
      </c>
      <c r="M3128" s="195">
        <v>0.72875420000000002</v>
      </c>
      <c r="N3128" s="195">
        <v>0.80705570000000004</v>
      </c>
    </row>
    <row r="3129" spans="1:14" hidden="1" x14ac:dyDescent="0.35">
      <c r="A3129" s="52" t="s">
        <v>232</v>
      </c>
      <c r="B3129" s="52" t="s">
        <v>121</v>
      </c>
      <c r="C3129" s="52" t="s">
        <v>172</v>
      </c>
      <c r="D3129" s="52" t="s">
        <v>172</v>
      </c>
      <c r="E3129" s="52" t="s">
        <v>584</v>
      </c>
      <c r="F3129" s="52" t="s">
        <v>581</v>
      </c>
      <c r="G3129" s="195" t="s">
        <v>275</v>
      </c>
      <c r="H3129" s="195">
        <v>192.9248</v>
      </c>
      <c r="I3129" s="195">
        <v>51.614579999999997</v>
      </c>
      <c r="J3129" s="195">
        <v>25.86626</v>
      </c>
      <c r="K3129" s="195">
        <v>24.694990000000001</v>
      </c>
      <c r="L3129" s="195">
        <v>22.9862</v>
      </c>
      <c r="M3129" s="195">
        <v>21.742740000000001</v>
      </c>
      <c r="N3129" s="195">
        <v>20.128360000000001</v>
      </c>
    </row>
    <row r="3130" spans="1:14" hidden="1" x14ac:dyDescent="0.35">
      <c r="A3130" s="52" t="s">
        <v>232</v>
      </c>
      <c r="B3130" s="52" t="s">
        <v>121</v>
      </c>
      <c r="C3130" s="52" t="s">
        <v>172</v>
      </c>
      <c r="D3130" s="52" t="s">
        <v>172</v>
      </c>
      <c r="E3130" s="52" t="s">
        <v>584</v>
      </c>
      <c r="F3130" s="52" t="s">
        <v>581</v>
      </c>
      <c r="G3130" s="195" t="s">
        <v>276</v>
      </c>
      <c r="H3130" s="195">
        <v>48.619300000000003</v>
      </c>
      <c r="I3130" s="195">
        <v>14.51834</v>
      </c>
      <c r="J3130" s="195">
        <v>10.72209</v>
      </c>
      <c r="K3130" s="195">
        <v>9.7349840000000007</v>
      </c>
      <c r="L3130" s="195">
        <v>8.7659000000000002</v>
      </c>
      <c r="M3130" s="195">
        <v>7.5082399999999998</v>
      </c>
      <c r="N3130" s="195">
        <v>5.779509</v>
      </c>
    </row>
    <row r="3131" spans="1:14" hidden="1" x14ac:dyDescent="0.35">
      <c r="A3131" s="52" t="s">
        <v>232</v>
      </c>
      <c r="B3131" s="52" t="s">
        <v>121</v>
      </c>
      <c r="C3131" s="52" t="s">
        <v>172</v>
      </c>
      <c r="D3131" s="52" t="s">
        <v>172</v>
      </c>
      <c r="E3131" s="52" t="s">
        <v>584</v>
      </c>
      <c r="F3131" s="52" t="s">
        <v>581</v>
      </c>
      <c r="G3131" s="195" t="s">
        <v>277</v>
      </c>
      <c r="H3131" s="195">
        <v>60.31221</v>
      </c>
      <c r="I3131" s="195">
        <v>46.652050000000003</v>
      </c>
      <c r="J3131" s="195">
        <v>42.388950000000001</v>
      </c>
      <c r="K3131" s="195">
        <v>45.954030000000003</v>
      </c>
      <c r="L3131" s="195">
        <v>39.461570000000002</v>
      </c>
      <c r="M3131" s="195">
        <v>38.100909999999999</v>
      </c>
      <c r="N3131" s="195">
        <v>36.047409999999999</v>
      </c>
    </row>
    <row r="3132" spans="1:14" hidden="1" x14ac:dyDescent="0.35">
      <c r="A3132" s="52" t="s">
        <v>232</v>
      </c>
      <c r="B3132" s="52" t="s">
        <v>121</v>
      </c>
      <c r="C3132" s="52" t="s">
        <v>172</v>
      </c>
      <c r="D3132" s="52" t="s">
        <v>172</v>
      </c>
      <c r="E3132" s="52" t="s">
        <v>584</v>
      </c>
      <c r="F3132" s="52" t="s">
        <v>581</v>
      </c>
      <c r="G3132" s="195" t="s">
        <v>278</v>
      </c>
      <c r="H3132" s="195">
        <v>1.089384E-2</v>
      </c>
      <c r="I3132" s="195">
        <v>1.089384E-2</v>
      </c>
      <c r="J3132" s="195">
        <v>1.089384E-2</v>
      </c>
      <c r="K3132" s="195">
        <v>5.7806400000000001E-2</v>
      </c>
      <c r="L3132" s="195">
        <v>1.089384E-2</v>
      </c>
      <c r="M3132" s="195">
        <v>1.089384E-2</v>
      </c>
      <c r="N3132" s="195">
        <v>1.089384E-2</v>
      </c>
    </row>
    <row r="3133" spans="1:14" hidden="1" x14ac:dyDescent="0.35">
      <c r="A3133" s="52" t="s">
        <v>232</v>
      </c>
      <c r="B3133" s="52" t="s">
        <v>121</v>
      </c>
      <c r="C3133" s="52" t="s">
        <v>172</v>
      </c>
      <c r="D3133" s="52" t="s">
        <v>172</v>
      </c>
      <c r="E3133" s="52" t="s">
        <v>584</v>
      </c>
      <c r="F3133" s="52" t="s">
        <v>581</v>
      </c>
      <c r="G3133" s="195" t="s">
        <v>279</v>
      </c>
      <c r="H3133" s="195">
        <v>78.127709999999993</v>
      </c>
      <c r="I3133" s="195">
        <v>67.463470000000001</v>
      </c>
      <c r="J3133" s="195">
        <v>71.241910000000004</v>
      </c>
      <c r="K3133" s="195">
        <v>62.32273</v>
      </c>
      <c r="L3133" s="195">
        <v>59.08954</v>
      </c>
      <c r="M3133" s="195">
        <v>52.414400000000001</v>
      </c>
      <c r="N3133" s="195">
        <v>48.354579999999999</v>
      </c>
    </row>
    <row r="3134" spans="1:14" hidden="1" x14ac:dyDescent="0.35">
      <c r="A3134" s="52" t="s">
        <v>232</v>
      </c>
      <c r="B3134" s="52" t="s">
        <v>121</v>
      </c>
      <c r="C3134" s="52" t="s">
        <v>172</v>
      </c>
      <c r="D3134" s="52" t="s">
        <v>172</v>
      </c>
      <c r="E3134" s="52" t="s">
        <v>584</v>
      </c>
      <c r="F3134" s="52" t="s">
        <v>26</v>
      </c>
      <c r="G3134" s="195" t="s">
        <v>275</v>
      </c>
      <c r="H3134" s="195">
        <v>-46.512720000000002</v>
      </c>
      <c r="I3134" s="195">
        <v>4.7315420000000001</v>
      </c>
      <c r="J3134" s="195">
        <v>5.5450850000000003</v>
      </c>
      <c r="K3134" s="195">
        <v>4.9146289999999997</v>
      </c>
      <c r="L3134" s="195">
        <v>4.2285810000000001</v>
      </c>
      <c r="M3134" s="195">
        <v>3.5795970000000001</v>
      </c>
      <c r="N3134" s="195">
        <v>3.059545</v>
      </c>
    </row>
    <row r="3135" spans="1:14" hidden="1" x14ac:dyDescent="0.35">
      <c r="A3135" s="52" t="s">
        <v>232</v>
      </c>
      <c r="B3135" s="52" t="s">
        <v>121</v>
      </c>
      <c r="C3135" s="52" t="s">
        <v>172</v>
      </c>
      <c r="D3135" s="52" t="s">
        <v>172</v>
      </c>
      <c r="E3135" s="52" t="s">
        <v>584</v>
      </c>
      <c r="F3135" s="52" t="s">
        <v>26</v>
      </c>
      <c r="G3135" s="195" t="s">
        <v>276</v>
      </c>
      <c r="H3135" s="195">
        <v>-0.1402157</v>
      </c>
      <c r="I3135" s="195">
        <v>0.96365540000000005</v>
      </c>
      <c r="J3135" s="195">
        <v>-6.8132529999999996</v>
      </c>
      <c r="K3135" s="195">
        <v>-2.2265709999999999</v>
      </c>
      <c r="L3135" s="195">
        <v>-20.256869999999999</v>
      </c>
      <c r="M3135" s="195">
        <v>-14.03579</v>
      </c>
      <c r="N3135" s="195">
        <v>-10.933400000000001</v>
      </c>
    </row>
    <row r="3136" spans="1:14" hidden="1" x14ac:dyDescent="0.35">
      <c r="A3136" s="52" t="s">
        <v>232</v>
      </c>
      <c r="B3136" s="52" t="s">
        <v>121</v>
      </c>
      <c r="C3136" s="52" t="s">
        <v>172</v>
      </c>
      <c r="D3136" s="52" t="s">
        <v>172</v>
      </c>
      <c r="E3136" s="52" t="s">
        <v>584</v>
      </c>
      <c r="F3136" s="52" t="s">
        <v>26</v>
      </c>
      <c r="G3136" s="195" t="s">
        <v>277</v>
      </c>
      <c r="H3136" s="195">
        <v>0.33991589999999999</v>
      </c>
      <c r="I3136" s="195">
        <v>0.25687680000000002</v>
      </c>
      <c r="J3136" s="195">
        <v>0.2630981</v>
      </c>
      <c r="K3136" s="195">
        <v>0.35765279999999999</v>
      </c>
      <c r="L3136" s="195">
        <v>0.41114400000000001</v>
      </c>
      <c r="M3136" s="195">
        <v>0.44519059999999999</v>
      </c>
      <c r="N3136" s="195">
        <v>2.0150030000000001</v>
      </c>
    </row>
    <row r="3137" spans="1:14" hidden="1" x14ac:dyDescent="0.35">
      <c r="A3137" s="52" t="s">
        <v>232</v>
      </c>
      <c r="B3137" s="52" t="s">
        <v>121</v>
      </c>
      <c r="C3137" s="52" t="s">
        <v>172</v>
      </c>
      <c r="D3137" s="52" t="s">
        <v>172</v>
      </c>
      <c r="E3137" s="52" t="s">
        <v>584</v>
      </c>
      <c r="F3137" s="52" t="s">
        <v>26</v>
      </c>
      <c r="G3137" s="195" t="s">
        <v>278</v>
      </c>
      <c r="H3137" s="195">
        <v>47.13944</v>
      </c>
      <c r="I3137" s="195">
        <v>0.40355089999999999</v>
      </c>
      <c r="J3137" s="195">
        <v>7.914676</v>
      </c>
      <c r="K3137" s="195">
        <v>3.1880920000000001</v>
      </c>
      <c r="L3137" s="195">
        <v>21.275110000000002</v>
      </c>
      <c r="M3137" s="195">
        <v>15.28144</v>
      </c>
      <c r="N3137" s="195">
        <v>10.87543</v>
      </c>
    </row>
    <row r="3138" spans="1:14" hidden="1" x14ac:dyDescent="0.35">
      <c r="A3138" s="52" t="s">
        <v>232</v>
      </c>
      <c r="B3138" s="52" t="s">
        <v>121</v>
      </c>
      <c r="C3138" s="52" t="s">
        <v>172</v>
      </c>
      <c r="D3138" s="52" t="s">
        <v>172</v>
      </c>
      <c r="E3138" s="52" t="s">
        <v>584</v>
      </c>
      <c r="F3138" s="52" t="s">
        <v>26</v>
      </c>
      <c r="G3138" s="195" t="s">
        <v>279</v>
      </c>
      <c r="H3138" s="195">
        <v>15.23424</v>
      </c>
      <c r="I3138" s="195">
        <v>13.55752</v>
      </c>
      <c r="J3138" s="195">
        <v>12.929830000000001</v>
      </c>
      <c r="K3138" s="195">
        <v>12.93599</v>
      </c>
      <c r="L3138" s="195">
        <v>11.84388</v>
      </c>
      <c r="M3138" s="195">
        <v>10.7879</v>
      </c>
      <c r="N3138" s="195">
        <v>9.9953280000000007</v>
      </c>
    </row>
    <row r="3139" spans="1:14" hidden="1" x14ac:dyDescent="0.35">
      <c r="A3139" s="52" t="s">
        <v>232</v>
      </c>
      <c r="B3139" s="52" t="s">
        <v>121</v>
      </c>
      <c r="C3139" s="52" t="s">
        <v>235</v>
      </c>
      <c r="D3139" s="52" t="s">
        <v>235</v>
      </c>
      <c r="E3139" s="52" t="s">
        <v>584</v>
      </c>
      <c r="F3139" s="52" t="s">
        <v>581</v>
      </c>
      <c r="G3139" s="195" t="s">
        <v>275</v>
      </c>
      <c r="H3139" s="195">
        <v>206.93700000000001</v>
      </c>
      <c r="I3139" s="195">
        <v>53.223739999999999</v>
      </c>
      <c r="J3139" s="195">
        <v>25.68929</v>
      </c>
      <c r="K3139" s="195">
        <v>25.518380000000001</v>
      </c>
      <c r="L3139" s="195">
        <v>20.009969999999999</v>
      </c>
      <c r="M3139" s="195">
        <v>-6.407881E-2</v>
      </c>
      <c r="N3139" s="195">
        <v>-28.702349999999999</v>
      </c>
    </row>
    <row r="3140" spans="1:14" hidden="1" x14ac:dyDescent="0.35">
      <c r="A3140" s="52" t="s">
        <v>232</v>
      </c>
      <c r="B3140" s="52" t="s">
        <v>121</v>
      </c>
      <c r="C3140" s="52" t="s">
        <v>235</v>
      </c>
      <c r="D3140" s="52" t="s">
        <v>235</v>
      </c>
      <c r="E3140" s="52" t="s">
        <v>584</v>
      </c>
      <c r="F3140" s="52" t="s">
        <v>581</v>
      </c>
      <c r="G3140" s="195" t="s">
        <v>276</v>
      </c>
      <c r="H3140" s="195">
        <v>16.505199999999999</v>
      </c>
      <c r="I3140" s="195">
        <v>4.1613480000000003</v>
      </c>
      <c r="J3140" s="195">
        <v>3.063409</v>
      </c>
      <c r="K3140" s="195">
        <v>2.594608</v>
      </c>
      <c r="L3140" s="195">
        <v>2.183017</v>
      </c>
      <c r="M3140" s="195">
        <v>1.8332949999999999</v>
      </c>
      <c r="N3140" s="195">
        <v>1.5998859999999999</v>
      </c>
    </row>
    <row r="3141" spans="1:14" hidden="1" x14ac:dyDescent="0.35">
      <c r="A3141" s="52" t="s">
        <v>232</v>
      </c>
      <c r="B3141" s="52" t="s">
        <v>121</v>
      </c>
      <c r="C3141" s="52" t="s">
        <v>235</v>
      </c>
      <c r="D3141" s="52" t="s">
        <v>235</v>
      </c>
      <c r="E3141" s="52" t="s">
        <v>584</v>
      </c>
      <c r="F3141" s="52" t="s">
        <v>581</v>
      </c>
      <c r="G3141" s="195" t="s">
        <v>277</v>
      </c>
      <c r="H3141" s="195">
        <v>54.549219999999998</v>
      </c>
      <c r="I3141" s="195">
        <v>35.931559999999998</v>
      </c>
      <c r="J3141" s="195">
        <v>32.949480000000001</v>
      </c>
      <c r="K3141" s="195">
        <v>35.480730000000001</v>
      </c>
      <c r="L3141" s="195">
        <v>36.88503</v>
      </c>
      <c r="M3141" s="195">
        <v>51.679070000000003</v>
      </c>
      <c r="N3141" s="195">
        <v>74.123149999999995</v>
      </c>
    </row>
    <row r="3142" spans="1:14" hidden="1" x14ac:dyDescent="0.35">
      <c r="A3142" s="52" t="s">
        <v>232</v>
      </c>
      <c r="B3142" s="52" t="s">
        <v>121</v>
      </c>
      <c r="C3142" s="52" t="s">
        <v>235</v>
      </c>
      <c r="D3142" s="52" t="s">
        <v>235</v>
      </c>
      <c r="E3142" s="52" t="s">
        <v>584</v>
      </c>
      <c r="F3142" s="52" t="s">
        <v>581</v>
      </c>
      <c r="G3142" s="195" t="s">
        <v>278</v>
      </c>
      <c r="H3142" s="195">
        <v>1.0997399999999999</v>
      </c>
      <c r="I3142" s="195">
        <v>0.31102239999999998</v>
      </c>
      <c r="J3142" s="195">
        <v>0.25436890000000001</v>
      </c>
      <c r="K3142" s="195">
        <v>0.16076750000000001</v>
      </c>
      <c r="L3142" s="195">
        <v>0.16076750000000001</v>
      </c>
      <c r="M3142" s="195">
        <v>0.16076750000000001</v>
      </c>
      <c r="N3142" s="195">
        <v>0.1025833</v>
      </c>
    </row>
    <row r="3143" spans="1:14" hidden="1" x14ac:dyDescent="0.35">
      <c r="A3143" s="52" t="s">
        <v>232</v>
      </c>
      <c r="B3143" s="52" t="s">
        <v>121</v>
      </c>
      <c r="C3143" s="52" t="s">
        <v>235</v>
      </c>
      <c r="D3143" s="52" t="s">
        <v>235</v>
      </c>
      <c r="E3143" s="52" t="s">
        <v>584</v>
      </c>
      <c r="F3143" s="52" t="s">
        <v>581</v>
      </c>
      <c r="G3143" s="195" t="s">
        <v>279</v>
      </c>
      <c r="H3143" s="195">
        <v>77.686580000000006</v>
      </c>
      <c r="I3143" s="195">
        <v>62.708799999999997</v>
      </c>
      <c r="J3143" s="195">
        <v>68.577799999999996</v>
      </c>
      <c r="K3143" s="195">
        <v>57.492899999999999</v>
      </c>
      <c r="L3143" s="195">
        <v>50.100810000000003</v>
      </c>
      <c r="M3143" s="195">
        <v>44.30977</v>
      </c>
      <c r="N3143" s="195">
        <v>38.880400000000002</v>
      </c>
    </row>
    <row r="3144" spans="1:14" hidden="1" x14ac:dyDescent="0.35">
      <c r="A3144" s="52" t="s">
        <v>232</v>
      </c>
      <c r="B3144" s="52" t="s">
        <v>121</v>
      </c>
      <c r="C3144" s="52" t="s">
        <v>235</v>
      </c>
      <c r="D3144" s="52" t="s">
        <v>235</v>
      </c>
      <c r="E3144" s="52" t="s">
        <v>584</v>
      </c>
      <c r="F3144" s="52" t="s">
        <v>26</v>
      </c>
      <c r="G3144" s="195" t="s">
        <v>275</v>
      </c>
      <c r="H3144" s="195">
        <v>1.8059909999999999</v>
      </c>
      <c r="I3144" s="195">
        <v>1.8003439999999999</v>
      </c>
      <c r="J3144" s="195">
        <v>2.1797529999999998</v>
      </c>
      <c r="K3144" s="195">
        <v>0.99563869999999999</v>
      </c>
      <c r="L3144" s="195">
        <v>0.83401670000000006</v>
      </c>
      <c r="M3144" s="195">
        <v>-0.12386320000000001</v>
      </c>
      <c r="N3144" s="195">
        <v>-1.597254</v>
      </c>
    </row>
    <row r="3145" spans="1:14" hidden="1" x14ac:dyDescent="0.35">
      <c r="A3145" s="52" t="s">
        <v>232</v>
      </c>
      <c r="B3145" s="52" t="s">
        <v>121</v>
      </c>
      <c r="C3145" s="52" t="s">
        <v>235</v>
      </c>
      <c r="D3145" s="52" t="s">
        <v>235</v>
      </c>
      <c r="E3145" s="52" t="s">
        <v>584</v>
      </c>
      <c r="F3145" s="52" t="s">
        <v>26</v>
      </c>
      <c r="G3145" s="195" t="s">
        <v>276</v>
      </c>
      <c r="H3145" s="195">
        <v>-1.334246</v>
      </c>
      <c r="I3145" s="195">
        <v>1.084687</v>
      </c>
      <c r="J3145" s="195">
        <v>0.96377120000000005</v>
      </c>
      <c r="K3145" s="195">
        <v>0.8983814</v>
      </c>
      <c r="L3145" s="195">
        <v>0.86549370000000003</v>
      </c>
      <c r="M3145" s="195">
        <v>0.95723469999999999</v>
      </c>
      <c r="N3145" s="195">
        <v>0.85429200000000005</v>
      </c>
    </row>
    <row r="3146" spans="1:14" hidden="1" x14ac:dyDescent="0.35">
      <c r="A3146" s="52" t="s">
        <v>232</v>
      </c>
      <c r="B3146" s="52" t="s">
        <v>121</v>
      </c>
      <c r="C3146" s="52" t="s">
        <v>235</v>
      </c>
      <c r="D3146" s="52" t="s">
        <v>235</v>
      </c>
      <c r="E3146" s="52" t="s">
        <v>584</v>
      </c>
      <c r="F3146" s="52" t="s">
        <v>26</v>
      </c>
      <c r="G3146" s="195" t="s">
        <v>277</v>
      </c>
      <c r="H3146" s="195">
        <v>4.6172310000000001E-2</v>
      </c>
      <c r="I3146" s="195">
        <v>0.16745099999999999</v>
      </c>
      <c r="J3146" s="195">
        <v>0.1507415</v>
      </c>
      <c r="K3146" s="195">
        <v>0.19026019999999999</v>
      </c>
      <c r="L3146" s="195">
        <v>0.21003720000000001</v>
      </c>
      <c r="M3146" s="195">
        <v>1.011231</v>
      </c>
      <c r="N3146" s="195">
        <v>2.4185989999999999</v>
      </c>
    </row>
    <row r="3147" spans="1:14" hidden="1" x14ac:dyDescent="0.35">
      <c r="A3147" s="52" t="s">
        <v>232</v>
      </c>
      <c r="B3147" s="52" t="s">
        <v>121</v>
      </c>
      <c r="C3147" s="52" t="s">
        <v>235</v>
      </c>
      <c r="D3147" s="52" t="s">
        <v>235</v>
      </c>
      <c r="E3147" s="52" t="s">
        <v>584</v>
      </c>
      <c r="F3147" s="52" t="s">
        <v>26</v>
      </c>
      <c r="G3147" s="195" t="s">
        <v>278</v>
      </c>
      <c r="H3147" s="195">
        <v>0.1568705</v>
      </c>
      <c r="I3147" s="195">
        <v>0.1568705</v>
      </c>
      <c r="J3147" s="195">
        <v>0.1568705</v>
      </c>
      <c r="K3147" s="195">
        <v>0.1568705</v>
      </c>
      <c r="L3147" s="195">
        <v>0.21023049999999999</v>
      </c>
      <c r="M3147" s="195">
        <v>0.1568705</v>
      </c>
      <c r="N3147" s="195">
        <v>0.1568705</v>
      </c>
    </row>
    <row r="3148" spans="1:14" hidden="1" x14ac:dyDescent="0.35">
      <c r="A3148" s="52" t="s">
        <v>232</v>
      </c>
      <c r="B3148" s="52" t="s">
        <v>121</v>
      </c>
      <c r="C3148" s="52" t="s">
        <v>235</v>
      </c>
      <c r="D3148" s="52" t="s">
        <v>235</v>
      </c>
      <c r="E3148" s="52" t="s">
        <v>584</v>
      </c>
      <c r="F3148" s="52" t="s">
        <v>26</v>
      </c>
      <c r="G3148" s="195" t="s">
        <v>279</v>
      </c>
      <c r="H3148" s="195">
        <v>5.0706280000000001</v>
      </c>
      <c r="I3148" s="195">
        <v>7.5942020000000001</v>
      </c>
      <c r="J3148" s="195">
        <v>10.73104</v>
      </c>
      <c r="K3148" s="195">
        <v>6.2769959999999996</v>
      </c>
      <c r="L3148" s="195">
        <v>5.7957400000000003</v>
      </c>
      <c r="M3148" s="195">
        <v>5.4313840000000004</v>
      </c>
      <c r="N3148" s="195">
        <v>5.024921</v>
      </c>
    </row>
    <row r="3149" spans="1:14" hidden="1" x14ac:dyDescent="0.35">
      <c r="A3149" s="52" t="s">
        <v>232</v>
      </c>
      <c r="B3149" s="52" t="s">
        <v>121</v>
      </c>
      <c r="C3149" s="52" t="s">
        <v>237</v>
      </c>
      <c r="D3149" s="52" t="s">
        <v>237</v>
      </c>
      <c r="E3149" s="52" t="s">
        <v>584</v>
      </c>
      <c r="F3149" s="52" t="s">
        <v>581</v>
      </c>
      <c r="G3149" s="195" t="s">
        <v>275</v>
      </c>
      <c r="H3149" s="195">
        <v>2.9066429999999999</v>
      </c>
      <c r="I3149" s="195">
        <v>-1.554694</v>
      </c>
      <c r="J3149" s="195">
        <v>-1.7737369999999999</v>
      </c>
      <c r="K3149" s="195">
        <v>-1.6953100000000001</v>
      </c>
      <c r="L3149" s="195">
        <v>-1.5380739999999999</v>
      </c>
      <c r="M3149" s="195">
        <v>-1.3679749999999999</v>
      </c>
      <c r="N3149" s="195">
        <v>-1.1888590000000001</v>
      </c>
    </row>
    <row r="3150" spans="1:14" hidden="1" x14ac:dyDescent="0.35">
      <c r="A3150" s="52" t="s">
        <v>232</v>
      </c>
      <c r="B3150" s="52" t="s">
        <v>121</v>
      </c>
      <c r="C3150" s="52" t="s">
        <v>237</v>
      </c>
      <c r="D3150" s="52" t="s">
        <v>237</v>
      </c>
      <c r="E3150" s="52" t="s">
        <v>584</v>
      </c>
      <c r="F3150" s="52" t="s">
        <v>581</v>
      </c>
      <c r="G3150" s="195" t="s">
        <v>276</v>
      </c>
      <c r="H3150" s="195">
        <v>0.79005380000000003</v>
      </c>
      <c r="I3150" s="195">
        <v>0.26860210000000001</v>
      </c>
      <c r="J3150" s="195">
        <v>0.1815599</v>
      </c>
      <c r="K3150" s="195">
        <v>0.16917209999999999</v>
      </c>
      <c r="L3150" s="195">
        <v>0.1433275</v>
      </c>
      <c r="M3150" s="195">
        <v>0.14679819999999999</v>
      </c>
      <c r="N3150" s="195">
        <v>0.13251250000000001</v>
      </c>
    </row>
    <row r="3151" spans="1:14" hidden="1" x14ac:dyDescent="0.35">
      <c r="A3151" s="52" t="s">
        <v>232</v>
      </c>
      <c r="B3151" s="52" t="s">
        <v>121</v>
      </c>
      <c r="C3151" s="52" t="s">
        <v>237</v>
      </c>
      <c r="D3151" s="52" t="s">
        <v>237</v>
      </c>
      <c r="E3151" s="52" t="s">
        <v>584</v>
      </c>
      <c r="F3151" s="52" t="s">
        <v>581</v>
      </c>
      <c r="G3151" s="195" t="s">
        <v>277</v>
      </c>
      <c r="H3151" s="195">
        <v>5.5173759999999996</v>
      </c>
      <c r="I3151" s="195">
        <v>3.9365399999999999</v>
      </c>
      <c r="J3151" s="195">
        <v>3.4727519999999998</v>
      </c>
      <c r="K3151" s="195">
        <v>3.1941310000000001</v>
      </c>
      <c r="L3151" s="195">
        <v>2.9441039999999998</v>
      </c>
      <c r="M3151" s="195">
        <v>2.7275469999999999</v>
      </c>
      <c r="N3151" s="195">
        <v>2.4063319999999999</v>
      </c>
    </row>
    <row r="3152" spans="1:14" hidden="1" x14ac:dyDescent="0.35">
      <c r="A3152" s="52" t="s">
        <v>232</v>
      </c>
      <c r="B3152" s="52" t="s">
        <v>121</v>
      </c>
      <c r="C3152" s="52" t="s">
        <v>237</v>
      </c>
      <c r="D3152" s="52" t="s">
        <v>237</v>
      </c>
      <c r="E3152" s="52" t="s">
        <v>584</v>
      </c>
      <c r="F3152" s="52" t="s">
        <v>581</v>
      </c>
      <c r="G3152" s="195" t="s">
        <v>278</v>
      </c>
      <c r="H3152" s="195">
        <v>3.54825E-2</v>
      </c>
      <c r="I3152" s="195">
        <v>3.54825E-2</v>
      </c>
      <c r="J3152" s="195">
        <v>3.54825E-2</v>
      </c>
      <c r="K3152" s="195">
        <v>3.54825E-2</v>
      </c>
      <c r="L3152" s="195">
        <v>5.0056000000000003E-2</v>
      </c>
      <c r="M3152" s="195">
        <v>3.54825E-2</v>
      </c>
      <c r="N3152" s="195">
        <v>3.54825E-2</v>
      </c>
    </row>
    <row r="3153" spans="1:14" hidden="1" x14ac:dyDescent="0.35">
      <c r="A3153" s="52" t="s">
        <v>232</v>
      </c>
      <c r="B3153" s="52" t="s">
        <v>121</v>
      </c>
      <c r="C3153" s="52" t="s">
        <v>237</v>
      </c>
      <c r="D3153" s="52" t="s">
        <v>237</v>
      </c>
      <c r="E3153" s="52" t="s">
        <v>584</v>
      </c>
      <c r="F3153" s="52" t="s">
        <v>581</v>
      </c>
      <c r="G3153" s="195" t="s">
        <v>279</v>
      </c>
      <c r="H3153" s="195">
        <v>2.019768</v>
      </c>
      <c r="I3153" s="195">
        <v>1.712704</v>
      </c>
      <c r="J3153" s="195">
        <v>1.635399</v>
      </c>
      <c r="K3153" s="195">
        <v>1.6577139999999999</v>
      </c>
      <c r="L3153" s="195">
        <v>1.636538</v>
      </c>
      <c r="M3153" s="195">
        <v>1.6964159999999999</v>
      </c>
      <c r="N3153" s="195">
        <v>1.5932249999999999</v>
      </c>
    </row>
    <row r="3154" spans="1:14" hidden="1" x14ac:dyDescent="0.35">
      <c r="A3154" s="52" t="s">
        <v>232</v>
      </c>
      <c r="B3154" s="52" t="s">
        <v>121</v>
      </c>
      <c r="C3154" s="52" t="s">
        <v>237</v>
      </c>
      <c r="D3154" s="52" t="s">
        <v>237</v>
      </c>
      <c r="E3154" s="52" t="s">
        <v>584</v>
      </c>
      <c r="F3154" s="52" t="s">
        <v>26</v>
      </c>
      <c r="G3154" s="195" t="s">
        <v>275</v>
      </c>
      <c r="H3154" s="195">
        <v>-2.4350000000000001E-4</v>
      </c>
      <c r="I3154" s="195">
        <v>-2.52E-4</v>
      </c>
      <c r="J3154" s="195">
        <v>-2.522E-4</v>
      </c>
      <c r="K3154" s="195">
        <v>-1.9689999999999999E-4</v>
      </c>
      <c r="L3154" s="195">
        <v>5.7000009999999997E-5</v>
      </c>
      <c r="M3154" s="195">
        <v>1.0097000000000001E-3</v>
      </c>
      <c r="N3154" s="195">
        <v>9.1309989999999999E-4</v>
      </c>
    </row>
    <row r="3155" spans="1:14" hidden="1" x14ac:dyDescent="0.35">
      <c r="A3155" s="52" t="s">
        <v>232</v>
      </c>
      <c r="B3155" s="52" t="s">
        <v>121</v>
      </c>
      <c r="C3155" s="52" t="s">
        <v>237</v>
      </c>
      <c r="D3155" s="52" t="s">
        <v>237</v>
      </c>
      <c r="E3155" s="52" t="s">
        <v>584</v>
      </c>
      <c r="F3155" s="52" t="s">
        <v>26</v>
      </c>
      <c r="G3155" s="195" t="s">
        <v>276</v>
      </c>
      <c r="H3155" s="195"/>
      <c r="I3155" s="195"/>
      <c r="J3155" s="195"/>
      <c r="K3155" s="195"/>
      <c r="L3155" s="195">
        <v>0</v>
      </c>
      <c r="M3155" s="195">
        <v>-9.4450000000000003E-4</v>
      </c>
      <c r="N3155" s="195">
        <v>-9.4400009999999999E-4</v>
      </c>
    </row>
    <row r="3156" spans="1:14" hidden="1" x14ac:dyDescent="0.35">
      <c r="A3156" s="52" t="s">
        <v>232</v>
      </c>
      <c r="B3156" s="52" t="s">
        <v>121</v>
      </c>
      <c r="C3156" s="52" t="s">
        <v>237</v>
      </c>
      <c r="D3156" s="52" t="s">
        <v>237</v>
      </c>
      <c r="E3156" s="52" t="s">
        <v>584</v>
      </c>
      <c r="F3156" s="52" t="s">
        <v>26</v>
      </c>
      <c r="G3156" s="195" t="s">
        <v>279</v>
      </c>
      <c r="H3156" s="195">
        <v>2.8899999999999998E-4</v>
      </c>
      <c r="I3156" s="195">
        <v>2.6449999999999998E-4</v>
      </c>
      <c r="J3156" s="195">
        <v>2.6449999999999998E-4</v>
      </c>
      <c r="K3156" s="195">
        <v>3.8699999999999997E-4</v>
      </c>
      <c r="L3156" s="195">
        <v>9.4410010000000005E-4</v>
      </c>
      <c r="M3156" s="195">
        <v>3.9760000000000004E-3</v>
      </c>
      <c r="N3156" s="195">
        <v>3.7634000000000001E-3</v>
      </c>
    </row>
    <row r="3157" spans="1:14" hidden="1" x14ac:dyDescent="0.35">
      <c r="A3157" s="52" t="s">
        <v>232</v>
      </c>
      <c r="B3157" s="52" t="s">
        <v>121</v>
      </c>
      <c r="C3157" s="52" t="s">
        <v>238</v>
      </c>
      <c r="D3157" s="52" t="s">
        <v>238</v>
      </c>
      <c r="E3157" s="52" t="s">
        <v>584</v>
      </c>
      <c r="F3157" s="52" t="s">
        <v>581</v>
      </c>
      <c r="G3157" s="195" t="s">
        <v>275</v>
      </c>
      <c r="H3157" s="195">
        <v>1.9879309999999999</v>
      </c>
      <c r="I3157" s="195">
        <v>-0.14259740000000001</v>
      </c>
      <c r="J3157" s="195">
        <v>-0.39603050000000001</v>
      </c>
      <c r="K3157" s="195">
        <v>-0.4007114</v>
      </c>
      <c r="L3157" s="195">
        <v>2.4039700000000001E-2</v>
      </c>
      <c r="M3157" s="195">
        <v>4.2871510000000002E-2</v>
      </c>
      <c r="N3157" s="195">
        <v>-1.1712180000000001</v>
      </c>
    </row>
    <row r="3158" spans="1:14" hidden="1" x14ac:dyDescent="0.35">
      <c r="A3158" s="52" t="s">
        <v>232</v>
      </c>
      <c r="B3158" s="52" t="s">
        <v>121</v>
      </c>
      <c r="C3158" s="52" t="s">
        <v>238</v>
      </c>
      <c r="D3158" s="52" t="s">
        <v>238</v>
      </c>
      <c r="E3158" s="52" t="s">
        <v>584</v>
      </c>
      <c r="F3158" s="52" t="s">
        <v>581</v>
      </c>
      <c r="G3158" s="195" t="s">
        <v>276</v>
      </c>
      <c r="H3158" s="195">
        <v>0.1057878</v>
      </c>
      <c r="I3158" s="195">
        <v>3.8912309999999999E-2</v>
      </c>
      <c r="J3158" s="195">
        <v>1.5570250000000001E-2</v>
      </c>
      <c r="K3158" s="195">
        <v>3.6552640000000001E-3</v>
      </c>
      <c r="L3158" s="195">
        <v>9.2165089999999997E-4</v>
      </c>
      <c r="M3158" s="195">
        <v>2.7505500000000002E-4</v>
      </c>
      <c r="N3158" s="195">
        <v>1.045542E-4</v>
      </c>
    </row>
    <row r="3159" spans="1:14" hidden="1" x14ac:dyDescent="0.35">
      <c r="A3159" s="52" t="s">
        <v>232</v>
      </c>
      <c r="B3159" s="52" t="s">
        <v>121</v>
      </c>
      <c r="C3159" s="52" t="s">
        <v>238</v>
      </c>
      <c r="D3159" s="52" t="s">
        <v>238</v>
      </c>
      <c r="E3159" s="52" t="s">
        <v>584</v>
      </c>
      <c r="F3159" s="52" t="s">
        <v>581</v>
      </c>
      <c r="G3159" s="195" t="s">
        <v>277</v>
      </c>
      <c r="H3159" s="195">
        <v>0.49650840000000002</v>
      </c>
      <c r="I3159" s="195">
        <v>0.1573417</v>
      </c>
      <c r="J3159" s="195">
        <v>9.2673309999999995E-2</v>
      </c>
      <c r="K3159" s="195">
        <v>4.7911160000000001E-2</v>
      </c>
      <c r="L3159" s="195">
        <v>5.0388269999999999E-2</v>
      </c>
      <c r="M3159" s="195">
        <v>1.63435E-2</v>
      </c>
      <c r="N3159" s="195">
        <v>1.5716500000000001E-2</v>
      </c>
    </row>
    <row r="3160" spans="1:14" hidden="1" x14ac:dyDescent="0.35">
      <c r="A3160" s="52" t="s">
        <v>232</v>
      </c>
      <c r="B3160" s="52" t="s">
        <v>121</v>
      </c>
      <c r="C3160" s="52" t="s">
        <v>238</v>
      </c>
      <c r="D3160" s="52" t="s">
        <v>238</v>
      </c>
      <c r="E3160" s="52" t="s">
        <v>584</v>
      </c>
      <c r="F3160" s="52" t="s">
        <v>581</v>
      </c>
      <c r="G3160" s="195" t="s">
        <v>279</v>
      </c>
      <c r="H3160" s="195">
        <v>0.64137809999999995</v>
      </c>
      <c r="I3160" s="195">
        <v>1.0422990000000001</v>
      </c>
      <c r="J3160" s="195">
        <v>1.407079</v>
      </c>
      <c r="K3160" s="195">
        <v>1.424634</v>
      </c>
      <c r="L3160" s="195">
        <v>0.2651366</v>
      </c>
      <c r="M3160" s="195">
        <v>0.23763090000000001</v>
      </c>
      <c r="N3160" s="195">
        <v>1.40072</v>
      </c>
    </row>
    <row r="3161" spans="1:14" hidden="1" x14ac:dyDescent="0.35">
      <c r="A3161" s="52" t="s">
        <v>232</v>
      </c>
      <c r="B3161" s="52" t="s">
        <v>121</v>
      </c>
      <c r="C3161" s="52" t="s">
        <v>239</v>
      </c>
      <c r="D3161" s="52" t="s">
        <v>239</v>
      </c>
      <c r="E3161" s="52" t="s">
        <v>584</v>
      </c>
      <c r="F3161" s="52" t="s">
        <v>581</v>
      </c>
      <c r="G3161" s="195" t="s">
        <v>275</v>
      </c>
      <c r="H3161" s="195">
        <v>0.90210129999999999</v>
      </c>
      <c r="I3161" s="195">
        <v>2.1259509999999999E-2</v>
      </c>
      <c r="J3161" s="195">
        <v>-1.9552080000000001</v>
      </c>
      <c r="K3161" s="195">
        <v>-9.136147E-2</v>
      </c>
      <c r="L3161" s="195">
        <v>-8.7752280000000002E-2</v>
      </c>
      <c r="M3161" s="195">
        <v>3.3899449999999998E-2</v>
      </c>
      <c r="N3161" s="195">
        <v>2.1806289999999999E-2</v>
      </c>
    </row>
    <row r="3162" spans="1:14" hidden="1" x14ac:dyDescent="0.35">
      <c r="A3162" s="52" t="s">
        <v>232</v>
      </c>
      <c r="B3162" s="52" t="s">
        <v>121</v>
      </c>
      <c r="C3162" s="52" t="s">
        <v>239</v>
      </c>
      <c r="D3162" s="52" t="s">
        <v>239</v>
      </c>
      <c r="E3162" s="52" t="s">
        <v>584</v>
      </c>
      <c r="F3162" s="52" t="s">
        <v>581</v>
      </c>
      <c r="G3162" s="195" t="s">
        <v>276</v>
      </c>
      <c r="H3162" s="195">
        <v>0.1004481</v>
      </c>
      <c r="I3162" s="195">
        <v>3.003287E-2</v>
      </c>
      <c r="J3162" s="195">
        <v>1.394285E-2</v>
      </c>
      <c r="K3162" s="195">
        <v>8.6926720000000002E-3</v>
      </c>
      <c r="L3162" s="195">
        <v>6.7601520000000002E-3</v>
      </c>
      <c r="M3162" s="195">
        <v>5.6853370000000004E-3</v>
      </c>
      <c r="N3162" s="195">
        <v>4.2013739999999999E-3</v>
      </c>
    </row>
    <row r="3163" spans="1:14" hidden="1" x14ac:dyDescent="0.35">
      <c r="A3163" s="52" t="s">
        <v>232</v>
      </c>
      <c r="B3163" s="52" t="s">
        <v>121</v>
      </c>
      <c r="C3163" s="52" t="s">
        <v>239</v>
      </c>
      <c r="D3163" s="52" t="s">
        <v>239</v>
      </c>
      <c r="E3163" s="52" t="s">
        <v>584</v>
      </c>
      <c r="F3163" s="52" t="s">
        <v>581</v>
      </c>
      <c r="G3163" s="195" t="s">
        <v>277</v>
      </c>
      <c r="H3163" s="195">
        <v>0.32263190000000003</v>
      </c>
      <c r="I3163" s="195">
        <v>0.2354908</v>
      </c>
      <c r="J3163" s="195">
        <v>0.20822499999999999</v>
      </c>
      <c r="K3163" s="195">
        <v>0.1452734</v>
      </c>
      <c r="L3163" s="195">
        <v>0.12855130000000001</v>
      </c>
      <c r="M3163" s="195"/>
      <c r="N3163" s="195">
        <v>5.1657000000000005E-4</v>
      </c>
    </row>
    <row r="3164" spans="1:14" hidden="1" x14ac:dyDescent="0.35">
      <c r="A3164" s="52" t="s">
        <v>232</v>
      </c>
      <c r="B3164" s="52" t="s">
        <v>121</v>
      </c>
      <c r="C3164" s="52" t="s">
        <v>239</v>
      </c>
      <c r="D3164" s="52" t="s">
        <v>239</v>
      </c>
      <c r="E3164" s="52" t="s">
        <v>584</v>
      </c>
      <c r="F3164" s="52" t="s">
        <v>581</v>
      </c>
      <c r="G3164" s="195" t="s">
        <v>279</v>
      </c>
      <c r="H3164" s="195">
        <v>0.29314129999999999</v>
      </c>
      <c r="I3164" s="195">
        <v>0.1970741</v>
      </c>
      <c r="J3164" s="195">
        <v>1.957673</v>
      </c>
      <c r="K3164" s="195">
        <v>7.7445819999999999E-2</v>
      </c>
      <c r="L3164" s="195">
        <v>6.1350399999999999E-2</v>
      </c>
      <c r="M3164" s="195">
        <v>5.144982E-2</v>
      </c>
      <c r="N3164" s="195">
        <v>4.1160099999999998E-2</v>
      </c>
    </row>
    <row r="3165" spans="1:14" hidden="1" x14ac:dyDescent="0.35">
      <c r="A3165" s="52" t="s">
        <v>232</v>
      </c>
      <c r="B3165" s="52" t="s">
        <v>121</v>
      </c>
      <c r="C3165" s="52" t="s">
        <v>128</v>
      </c>
      <c r="D3165" s="52" t="s">
        <v>128</v>
      </c>
      <c r="E3165" s="52" t="s">
        <v>584</v>
      </c>
      <c r="F3165" s="52" t="s">
        <v>581</v>
      </c>
      <c r="G3165" s="195" t="s">
        <v>275</v>
      </c>
      <c r="H3165" s="195">
        <v>-0.1928783</v>
      </c>
      <c r="I3165" s="195">
        <v>-0.55710579999999998</v>
      </c>
      <c r="J3165" s="195">
        <v>-0.60344509999999996</v>
      </c>
      <c r="K3165" s="195">
        <v>-0.68573170000000006</v>
      </c>
      <c r="L3165" s="195">
        <v>0</v>
      </c>
      <c r="M3165" s="195"/>
      <c r="N3165" s="195">
        <v>0</v>
      </c>
    </row>
    <row r="3166" spans="1:14" hidden="1" x14ac:dyDescent="0.35">
      <c r="A3166" s="52" t="s">
        <v>232</v>
      </c>
      <c r="B3166" s="52" t="s">
        <v>121</v>
      </c>
      <c r="C3166" s="52" t="s">
        <v>128</v>
      </c>
      <c r="D3166" s="52" t="s">
        <v>128</v>
      </c>
      <c r="E3166" s="52" t="s">
        <v>584</v>
      </c>
      <c r="F3166" s="52" t="s">
        <v>581</v>
      </c>
      <c r="G3166" s="195" t="s">
        <v>276</v>
      </c>
      <c r="H3166" s="195">
        <v>3.947664E-2</v>
      </c>
      <c r="I3166" s="195">
        <v>1.025878E-2</v>
      </c>
      <c r="J3166" s="195">
        <v>8.700302E-3</v>
      </c>
      <c r="K3166" s="195">
        <v>6.8931440000000004E-3</v>
      </c>
      <c r="L3166" s="195">
        <v>0</v>
      </c>
      <c r="M3166" s="195"/>
      <c r="N3166" s="195"/>
    </row>
    <row r="3167" spans="1:14" hidden="1" x14ac:dyDescent="0.35">
      <c r="A3167" s="52" t="s">
        <v>232</v>
      </c>
      <c r="B3167" s="52" t="s">
        <v>121</v>
      </c>
      <c r="C3167" s="52" t="s">
        <v>128</v>
      </c>
      <c r="D3167" s="52" t="s">
        <v>128</v>
      </c>
      <c r="E3167" s="52" t="s">
        <v>584</v>
      </c>
      <c r="F3167" s="52" t="s">
        <v>581</v>
      </c>
      <c r="G3167" s="195" t="s">
        <v>277</v>
      </c>
      <c r="H3167" s="195">
        <v>0</v>
      </c>
      <c r="I3167" s="195"/>
      <c r="J3167" s="195"/>
      <c r="K3167" s="195"/>
      <c r="L3167" s="195"/>
      <c r="M3167" s="195"/>
      <c r="N3167" s="195"/>
    </row>
    <row r="3168" spans="1:14" hidden="1" x14ac:dyDescent="0.35">
      <c r="A3168" s="52" t="s">
        <v>232</v>
      </c>
      <c r="B3168" s="52" t="s">
        <v>121</v>
      </c>
      <c r="C3168" s="52" t="s">
        <v>128</v>
      </c>
      <c r="D3168" s="52" t="s">
        <v>128</v>
      </c>
      <c r="E3168" s="52" t="s">
        <v>584</v>
      </c>
      <c r="F3168" s="52" t="s">
        <v>581</v>
      </c>
      <c r="G3168" s="195" t="s">
        <v>279</v>
      </c>
      <c r="H3168" s="195">
        <v>0.7894101</v>
      </c>
      <c r="I3168" s="195">
        <v>0.71212830000000005</v>
      </c>
      <c r="J3168" s="195">
        <v>0.73491280000000003</v>
      </c>
      <c r="K3168" s="195">
        <v>0.78989209999999999</v>
      </c>
      <c r="L3168" s="195">
        <v>0</v>
      </c>
      <c r="M3168" s="195"/>
      <c r="N3168" s="195">
        <v>0</v>
      </c>
    </row>
    <row r="3169" spans="1:14" hidden="1" x14ac:dyDescent="0.35">
      <c r="A3169" s="52" t="s">
        <v>232</v>
      </c>
      <c r="B3169" s="52" t="s">
        <v>121</v>
      </c>
      <c r="C3169" s="52" t="s">
        <v>318</v>
      </c>
      <c r="D3169" s="52" t="s">
        <v>318</v>
      </c>
      <c r="E3169" s="52" t="s">
        <v>584</v>
      </c>
      <c r="F3169" s="52" t="s">
        <v>581</v>
      </c>
      <c r="G3169" s="195" t="s">
        <v>275</v>
      </c>
      <c r="H3169" s="195">
        <v>0</v>
      </c>
      <c r="I3169" s="195"/>
      <c r="J3169" s="195"/>
      <c r="K3169" s="195"/>
      <c r="L3169" s="195"/>
      <c r="M3169" s="195"/>
      <c r="N3169" s="195"/>
    </row>
    <row r="3170" spans="1:14" hidden="1" x14ac:dyDescent="0.35">
      <c r="A3170" s="52" t="s">
        <v>232</v>
      </c>
      <c r="B3170" s="52" t="s">
        <v>121</v>
      </c>
      <c r="C3170" s="52" t="s">
        <v>318</v>
      </c>
      <c r="D3170" s="52" t="s">
        <v>318</v>
      </c>
      <c r="E3170" s="52" t="s">
        <v>584</v>
      </c>
      <c r="F3170" s="52" t="s">
        <v>581</v>
      </c>
      <c r="G3170" s="195" t="s">
        <v>278</v>
      </c>
      <c r="H3170" s="195">
        <v>0</v>
      </c>
      <c r="I3170" s="195"/>
      <c r="J3170" s="195"/>
      <c r="K3170" s="195"/>
      <c r="L3170" s="195"/>
      <c r="M3170" s="195"/>
      <c r="N3170" s="195"/>
    </row>
    <row r="3171" spans="1:14" hidden="1" x14ac:dyDescent="0.35">
      <c r="A3171" s="52" t="s">
        <v>232</v>
      </c>
      <c r="B3171" s="52" t="s">
        <v>121</v>
      </c>
      <c r="C3171" s="52" t="s">
        <v>318</v>
      </c>
      <c r="D3171" s="52" t="s">
        <v>318</v>
      </c>
      <c r="E3171" s="52" t="s">
        <v>584</v>
      </c>
      <c r="F3171" s="52" t="s">
        <v>26</v>
      </c>
      <c r="G3171" s="195" t="s">
        <v>275</v>
      </c>
      <c r="H3171" s="195">
        <v>0</v>
      </c>
      <c r="I3171" s="195"/>
      <c r="J3171" s="195"/>
      <c r="K3171" s="195"/>
      <c r="L3171" s="195"/>
      <c r="M3171" s="195"/>
      <c r="N3171" s="195"/>
    </row>
    <row r="3172" spans="1:14" hidden="1" x14ac:dyDescent="0.35">
      <c r="A3172" s="52" t="s">
        <v>232</v>
      </c>
      <c r="B3172" s="52" t="s">
        <v>121</v>
      </c>
      <c r="C3172" s="52" t="s">
        <v>318</v>
      </c>
      <c r="D3172" s="52" t="s">
        <v>318</v>
      </c>
      <c r="E3172" s="52" t="s">
        <v>584</v>
      </c>
      <c r="F3172" s="52" t="s">
        <v>26</v>
      </c>
      <c r="G3172" s="195" t="s">
        <v>278</v>
      </c>
      <c r="H3172" s="195">
        <v>0</v>
      </c>
      <c r="I3172" s="195"/>
      <c r="J3172" s="195"/>
      <c r="K3172" s="195"/>
      <c r="L3172" s="195"/>
      <c r="M3172" s="195"/>
      <c r="N3172" s="195"/>
    </row>
    <row r="3173" spans="1:14" hidden="1" x14ac:dyDescent="0.35">
      <c r="A3173" s="52" t="s">
        <v>232</v>
      </c>
      <c r="B3173" s="52" t="s">
        <v>74</v>
      </c>
      <c r="C3173" s="52" t="s">
        <v>71</v>
      </c>
      <c r="D3173" s="52" t="s">
        <v>138</v>
      </c>
      <c r="E3173" s="52" t="s">
        <v>584</v>
      </c>
      <c r="F3173" s="52" t="s">
        <v>581</v>
      </c>
      <c r="G3173" s="195" t="s">
        <v>275</v>
      </c>
      <c r="H3173" s="195">
        <v>66.888159999999999</v>
      </c>
      <c r="I3173" s="195">
        <v>-6.2649600000000003</v>
      </c>
      <c r="J3173" s="195">
        <v>-21.76174</v>
      </c>
      <c r="K3173" s="195">
        <v>-17.64217</v>
      </c>
      <c r="L3173" s="195">
        <v>-14.86969</v>
      </c>
      <c r="M3173" s="195">
        <v>-25.061319999999998</v>
      </c>
      <c r="N3173" s="195">
        <v>-6.3207000000000004</v>
      </c>
    </row>
    <row r="3174" spans="1:14" hidden="1" x14ac:dyDescent="0.35">
      <c r="A3174" s="52" t="s">
        <v>232</v>
      </c>
      <c r="B3174" s="52" t="s">
        <v>74</v>
      </c>
      <c r="C3174" s="52" t="s">
        <v>71</v>
      </c>
      <c r="D3174" s="52" t="s">
        <v>138</v>
      </c>
      <c r="E3174" s="52" t="s">
        <v>584</v>
      </c>
      <c r="F3174" s="52" t="s">
        <v>581</v>
      </c>
      <c r="G3174" s="195" t="s">
        <v>276</v>
      </c>
      <c r="H3174" s="195">
        <v>38.116610000000001</v>
      </c>
      <c r="I3174" s="195">
        <v>-6.3672000000000004</v>
      </c>
      <c r="J3174" s="195">
        <v>-21.309719999999999</v>
      </c>
      <c r="K3174" s="195">
        <v>-16.571549999999998</v>
      </c>
      <c r="L3174" s="195">
        <v>-10.38711</v>
      </c>
      <c r="M3174" s="195">
        <v>-17.019870000000001</v>
      </c>
      <c r="N3174" s="195">
        <v>-6.6924580000000002</v>
      </c>
    </row>
    <row r="3175" spans="1:14" hidden="1" x14ac:dyDescent="0.35">
      <c r="A3175" s="52" t="s">
        <v>232</v>
      </c>
      <c r="B3175" s="52" t="s">
        <v>74</v>
      </c>
      <c r="C3175" s="52" t="s">
        <v>71</v>
      </c>
      <c r="D3175" s="52" t="s">
        <v>138</v>
      </c>
      <c r="E3175" s="52" t="s">
        <v>584</v>
      </c>
      <c r="F3175" s="52" t="s">
        <v>581</v>
      </c>
      <c r="G3175" s="195" t="s">
        <v>277</v>
      </c>
      <c r="H3175" s="195">
        <v>62.16489</v>
      </c>
      <c r="I3175" s="195">
        <v>21.029399999999999</v>
      </c>
      <c r="J3175" s="195">
        <v>14.119109999999999</v>
      </c>
      <c r="K3175" s="195">
        <v>6.3930480000000003</v>
      </c>
      <c r="L3175" s="195">
        <v>1.642744</v>
      </c>
      <c r="M3175" s="195">
        <v>9.0840000000000004E-2</v>
      </c>
      <c r="N3175" s="195">
        <v>2.0646249999999999</v>
      </c>
    </row>
    <row r="3176" spans="1:14" hidden="1" x14ac:dyDescent="0.35">
      <c r="A3176" s="52" t="s">
        <v>232</v>
      </c>
      <c r="B3176" s="52" t="s">
        <v>74</v>
      </c>
      <c r="C3176" s="52" t="s">
        <v>71</v>
      </c>
      <c r="D3176" s="52" t="s">
        <v>138</v>
      </c>
      <c r="E3176" s="52" t="s">
        <v>584</v>
      </c>
      <c r="F3176" s="52" t="s">
        <v>581</v>
      </c>
      <c r="G3176" s="195" t="s">
        <v>278</v>
      </c>
      <c r="H3176" s="195">
        <v>0.16220180000000001</v>
      </c>
      <c r="I3176" s="195">
        <v>0.2214864</v>
      </c>
      <c r="J3176" s="195">
        <v>5.3311489999999999</v>
      </c>
      <c r="K3176" s="195">
        <v>4.1441610000000004</v>
      </c>
      <c r="L3176" s="195">
        <v>0.2214864</v>
      </c>
      <c r="M3176" s="195">
        <v>0.2214864</v>
      </c>
      <c r="N3176" s="195">
        <v>0.41403259999999997</v>
      </c>
    </row>
    <row r="3177" spans="1:14" hidden="1" x14ac:dyDescent="0.35">
      <c r="A3177" s="52" t="s">
        <v>232</v>
      </c>
      <c r="B3177" s="52" t="s">
        <v>74</v>
      </c>
      <c r="C3177" s="52" t="s">
        <v>71</v>
      </c>
      <c r="D3177" s="52" t="s">
        <v>138</v>
      </c>
      <c r="E3177" s="52" t="s">
        <v>584</v>
      </c>
      <c r="F3177" s="52" t="s">
        <v>581</v>
      </c>
      <c r="G3177" s="195" t="s">
        <v>279</v>
      </c>
      <c r="H3177" s="195">
        <v>94.970659999999995</v>
      </c>
      <c r="I3177" s="195">
        <v>99.757990000000007</v>
      </c>
      <c r="J3177" s="195">
        <v>96.676910000000007</v>
      </c>
      <c r="K3177" s="195">
        <v>88.569659999999999</v>
      </c>
      <c r="L3177" s="195">
        <v>70.177539999999993</v>
      </c>
      <c r="M3177" s="195">
        <v>68.539100000000005</v>
      </c>
      <c r="N3177" s="195">
        <v>34.987819999999999</v>
      </c>
    </row>
    <row r="3178" spans="1:14" hidden="1" x14ac:dyDescent="0.35">
      <c r="A3178" s="52" t="s">
        <v>232</v>
      </c>
      <c r="B3178" s="52" t="s">
        <v>74</v>
      </c>
      <c r="C3178" s="52" t="s">
        <v>71</v>
      </c>
      <c r="D3178" s="52" t="s">
        <v>138</v>
      </c>
      <c r="E3178" s="52" t="s">
        <v>584</v>
      </c>
      <c r="F3178" s="52" t="s">
        <v>26</v>
      </c>
      <c r="G3178" s="195" t="s">
        <v>275</v>
      </c>
      <c r="H3178" s="195">
        <v>26.69726</v>
      </c>
      <c r="I3178" s="195">
        <v>16.735410000000002</v>
      </c>
      <c r="J3178" s="195">
        <v>14.00174</v>
      </c>
      <c r="K3178" s="195">
        <v>12.766019999999999</v>
      </c>
      <c r="L3178" s="195">
        <v>9.004346</v>
      </c>
      <c r="M3178" s="195">
        <v>-2.700421</v>
      </c>
      <c r="N3178" s="195">
        <v>5.0407960000000003</v>
      </c>
    </row>
    <row r="3179" spans="1:14" hidden="1" x14ac:dyDescent="0.35">
      <c r="A3179" s="52" t="s">
        <v>232</v>
      </c>
      <c r="B3179" s="52" t="s">
        <v>74</v>
      </c>
      <c r="C3179" s="52" t="s">
        <v>71</v>
      </c>
      <c r="D3179" s="52" t="s">
        <v>138</v>
      </c>
      <c r="E3179" s="52" t="s">
        <v>584</v>
      </c>
      <c r="F3179" s="52" t="s">
        <v>26</v>
      </c>
      <c r="G3179" s="195" t="s">
        <v>276</v>
      </c>
      <c r="H3179" s="195">
        <v>17.798169999999999</v>
      </c>
      <c r="I3179" s="195">
        <v>11.156940000000001</v>
      </c>
      <c r="J3179" s="195">
        <v>9.3344939999999994</v>
      </c>
      <c r="K3179" s="195">
        <v>8.5106809999999999</v>
      </c>
      <c r="L3179" s="195">
        <v>6.0028959999999998</v>
      </c>
      <c r="M3179" s="195">
        <v>-1.8002819999999999</v>
      </c>
      <c r="N3179" s="195">
        <v>3.3460070000000002</v>
      </c>
    </row>
    <row r="3180" spans="1:14" hidden="1" x14ac:dyDescent="0.35">
      <c r="A3180" s="52" t="s">
        <v>232</v>
      </c>
      <c r="B3180" s="52" t="s">
        <v>74</v>
      </c>
      <c r="C3180" s="52" t="s">
        <v>71</v>
      </c>
      <c r="D3180" s="52" t="s">
        <v>138</v>
      </c>
      <c r="E3180" s="52" t="s">
        <v>584</v>
      </c>
      <c r="F3180" s="52" t="s">
        <v>26</v>
      </c>
      <c r="G3180" s="195" t="s">
        <v>277</v>
      </c>
      <c r="H3180" s="195"/>
      <c r="I3180" s="195"/>
      <c r="J3180" s="195"/>
      <c r="K3180" s="195"/>
      <c r="L3180" s="195"/>
      <c r="M3180" s="195">
        <v>0</v>
      </c>
      <c r="N3180" s="195">
        <v>1.452326E-2</v>
      </c>
    </row>
    <row r="3181" spans="1:14" hidden="1" x14ac:dyDescent="0.35">
      <c r="A3181" s="52" t="s">
        <v>232</v>
      </c>
      <c r="B3181" s="52" t="s">
        <v>74</v>
      </c>
      <c r="C3181" s="52" t="s">
        <v>71</v>
      </c>
      <c r="D3181" s="52" t="s">
        <v>138</v>
      </c>
      <c r="E3181" s="52" t="s">
        <v>584</v>
      </c>
      <c r="F3181" s="52" t="s">
        <v>26</v>
      </c>
      <c r="G3181" s="195" t="s">
        <v>279</v>
      </c>
      <c r="H3181" s="195">
        <v>16.104330000000001</v>
      </c>
      <c r="I3181" s="195">
        <v>17.04344</v>
      </c>
      <c r="J3181" s="195">
        <v>13.65823</v>
      </c>
      <c r="K3181" s="195">
        <v>11.550079999999999</v>
      </c>
      <c r="L3181" s="195">
        <v>7.9133899999999997</v>
      </c>
      <c r="M3181" s="195">
        <v>15.253830000000001</v>
      </c>
      <c r="N3181" s="195">
        <v>3.7680479999999998</v>
      </c>
    </row>
    <row r="3182" spans="1:14" hidden="1" x14ac:dyDescent="0.35">
      <c r="A3182" s="52" t="s">
        <v>232</v>
      </c>
      <c r="B3182" s="52" t="s">
        <v>74</v>
      </c>
      <c r="C3182" s="52" t="s">
        <v>71</v>
      </c>
      <c r="D3182" s="52" t="s">
        <v>236</v>
      </c>
      <c r="E3182" s="52" t="s">
        <v>584</v>
      </c>
      <c r="F3182" s="52" t="s">
        <v>581</v>
      </c>
      <c r="G3182" s="195" t="s">
        <v>275</v>
      </c>
      <c r="H3182" s="195">
        <v>-58.834600000000002</v>
      </c>
      <c r="I3182" s="195">
        <v>-7.7760059999999998</v>
      </c>
      <c r="J3182" s="195">
        <v>11.778840000000001</v>
      </c>
      <c r="K3182" s="195">
        <v>5.6818499999999998</v>
      </c>
      <c r="L3182" s="195">
        <v>0.5129823</v>
      </c>
      <c r="M3182" s="195">
        <v>-3.8529270000000002</v>
      </c>
      <c r="N3182" s="195">
        <v>-2.8603960000000002</v>
      </c>
    </row>
    <row r="3183" spans="1:14" hidden="1" x14ac:dyDescent="0.35">
      <c r="A3183" s="52" t="s">
        <v>232</v>
      </c>
      <c r="B3183" s="52" t="s">
        <v>74</v>
      </c>
      <c r="C3183" s="52" t="s">
        <v>71</v>
      </c>
      <c r="D3183" s="52" t="s">
        <v>236</v>
      </c>
      <c r="E3183" s="52" t="s">
        <v>584</v>
      </c>
      <c r="F3183" s="52" t="s">
        <v>581</v>
      </c>
      <c r="G3183" s="195" t="s">
        <v>276</v>
      </c>
      <c r="H3183" s="195">
        <v>-70.583889999999997</v>
      </c>
      <c r="I3183" s="195">
        <v>-7.2867980000000001</v>
      </c>
      <c r="J3183" s="195">
        <v>6.999034</v>
      </c>
      <c r="K3183" s="195">
        <v>2.9001610000000002</v>
      </c>
      <c r="L3183" s="195">
        <v>-1.9866919999999999</v>
      </c>
      <c r="M3183" s="195">
        <v>-6.959314</v>
      </c>
      <c r="N3183" s="195">
        <v>-3.7375560000000001</v>
      </c>
    </row>
    <row r="3184" spans="1:14" hidden="1" x14ac:dyDescent="0.35">
      <c r="A3184" s="52" t="s">
        <v>232</v>
      </c>
      <c r="B3184" s="52" t="s">
        <v>74</v>
      </c>
      <c r="C3184" s="52" t="s">
        <v>71</v>
      </c>
      <c r="D3184" s="52" t="s">
        <v>236</v>
      </c>
      <c r="E3184" s="52" t="s">
        <v>584</v>
      </c>
      <c r="F3184" s="52" t="s">
        <v>581</v>
      </c>
      <c r="G3184" s="195" t="s">
        <v>277</v>
      </c>
      <c r="H3184" s="195">
        <v>165.52440000000001</v>
      </c>
      <c r="I3184" s="195">
        <v>20.792369999999998</v>
      </c>
      <c r="J3184" s="195">
        <v>5.8059320000000003</v>
      </c>
      <c r="K3184" s="195">
        <v>6.1343920000000001</v>
      </c>
      <c r="L3184" s="195">
        <v>7.4062380000000001</v>
      </c>
      <c r="M3184" s="195">
        <v>10.78459</v>
      </c>
      <c r="N3184" s="195">
        <v>7.4298000000000002</v>
      </c>
    </row>
    <row r="3185" spans="1:14" hidden="1" x14ac:dyDescent="0.35">
      <c r="A3185" s="52" t="s">
        <v>232</v>
      </c>
      <c r="B3185" s="52" t="s">
        <v>74</v>
      </c>
      <c r="C3185" s="52" t="s">
        <v>71</v>
      </c>
      <c r="D3185" s="52" t="s">
        <v>236</v>
      </c>
      <c r="E3185" s="52" t="s">
        <v>584</v>
      </c>
      <c r="F3185" s="52" t="s">
        <v>581</v>
      </c>
      <c r="G3185" s="195" t="s">
        <v>278</v>
      </c>
      <c r="H3185" s="195">
        <v>53.739510000000003</v>
      </c>
      <c r="I3185" s="195">
        <v>36.385820000000002</v>
      </c>
      <c r="J3185" s="195">
        <v>0.24873970000000001</v>
      </c>
      <c r="K3185" s="195">
        <v>0.24873970000000001</v>
      </c>
      <c r="L3185" s="195">
        <v>1.4134549999999999</v>
      </c>
      <c r="M3185" s="195">
        <v>0.24873970000000001</v>
      </c>
      <c r="N3185" s="195">
        <v>0.7115435</v>
      </c>
    </row>
    <row r="3186" spans="1:14" hidden="1" x14ac:dyDescent="0.35">
      <c r="A3186" s="52" t="s">
        <v>232</v>
      </c>
      <c r="B3186" s="52" t="s">
        <v>74</v>
      </c>
      <c r="C3186" s="52" t="s">
        <v>71</v>
      </c>
      <c r="D3186" s="52" t="s">
        <v>236</v>
      </c>
      <c r="E3186" s="52" t="s">
        <v>584</v>
      </c>
      <c r="F3186" s="52" t="s">
        <v>581</v>
      </c>
      <c r="G3186" s="195" t="s">
        <v>279</v>
      </c>
      <c r="H3186" s="195">
        <v>25.77497</v>
      </c>
      <c r="I3186" s="195">
        <v>28.588699999999999</v>
      </c>
      <c r="J3186" s="195">
        <v>25.188559999999999</v>
      </c>
      <c r="K3186" s="195">
        <v>25.22672</v>
      </c>
      <c r="L3186" s="195">
        <v>20.082999999999998</v>
      </c>
      <c r="M3186" s="195">
        <v>21.434830000000002</v>
      </c>
      <c r="N3186" s="195">
        <v>16.223710000000001</v>
      </c>
    </row>
    <row r="3187" spans="1:14" hidden="1" x14ac:dyDescent="0.35">
      <c r="A3187" s="52" t="s">
        <v>232</v>
      </c>
      <c r="B3187" s="52" t="s">
        <v>74</v>
      </c>
      <c r="C3187" s="52" t="s">
        <v>71</v>
      </c>
      <c r="D3187" s="52" t="s">
        <v>236</v>
      </c>
      <c r="E3187" s="52" t="s">
        <v>584</v>
      </c>
      <c r="F3187" s="52" t="s">
        <v>26</v>
      </c>
      <c r="G3187" s="195" t="s">
        <v>275</v>
      </c>
      <c r="H3187" s="195">
        <v>2.9993799999999999</v>
      </c>
      <c r="I3187" s="195">
        <v>16.976199999999999</v>
      </c>
      <c r="J3187" s="195">
        <v>14.46795</v>
      </c>
      <c r="K3187" s="195">
        <v>10.27807</v>
      </c>
      <c r="L3187" s="195">
        <v>8.2667009999999994</v>
      </c>
      <c r="M3187" s="195">
        <v>6.8705440000000007E-2</v>
      </c>
      <c r="N3187" s="195">
        <v>3.7323080000000002</v>
      </c>
    </row>
    <row r="3188" spans="1:14" hidden="1" x14ac:dyDescent="0.35">
      <c r="A3188" s="52" t="s">
        <v>232</v>
      </c>
      <c r="B3188" s="52" t="s">
        <v>74</v>
      </c>
      <c r="C3188" s="52" t="s">
        <v>71</v>
      </c>
      <c r="D3188" s="52" t="s">
        <v>236</v>
      </c>
      <c r="E3188" s="52" t="s">
        <v>584</v>
      </c>
      <c r="F3188" s="52" t="s">
        <v>26</v>
      </c>
      <c r="G3188" s="195" t="s">
        <v>276</v>
      </c>
      <c r="H3188" s="195">
        <v>-1.629786</v>
      </c>
      <c r="I3188" s="195">
        <v>11.130850000000001</v>
      </c>
      <c r="J3188" s="195">
        <v>9.4763120000000001</v>
      </c>
      <c r="K3188" s="195">
        <v>6.8520469999999998</v>
      </c>
      <c r="L3188" s="195">
        <v>5.5111330000000001</v>
      </c>
      <c r="M3188" s="195">
        <v>4.5803549999999998E-2</v>
      </c>
      <c r="N3188" s="195">
        <v>2.4882059999999999</v>
      </c>
    </row>
    <row r="3189" spans="1:14" hidden="1" x14ac:dyDescent="0.35">
      <c r="A3189" s="52" t="s">
        <v>232</v>
      </c>
      <c r="B3189" s="52" t="s">
        <v>74</v>
      </c>
      <c r="C3189" s="52" t="s">
        <v>71</v>
      </c>
      <c r="D3189" s="52" t="s">
        <v>236</v>
      </c>
      <c r="E3189" s="52" t="s">
        <v>584</v>
      </c>
      <c r="F3189" s="52" t="s">
        <v>26</v>
      </c>
      <c r="G3189" s="195" t="s">
        <v>277</v>
      </c>
      <c r="H3189" s="195">
        <v>34.841520000000003</v>
      </c>
      <c r="I3189" s="195">
        <v>1.791561</v>
      </c>
      <c r="J3189" s="195">
        <v>1.622285</v>
      </c>
      <c r="K3189" s="195"/>
      <c r="L3189" s="195"/>
      <c r="M3189" s="195">
        <v>0</v>
      </c>
      <c r="N3189" s="195">
        <v>0</v>
      </c>
    </row>
    <row r="3190" spans="1:14" hidden="1" x14ac:dyDescent="0.35">
      <c r="A3190" s="52" t="s">
        <v>232</v>
      </c>
      <c r="B3190" s="52" t="s">
        <v>74</v>
      </c>
      <c r="C3190" s="52" t="s">
        <v>71</v>
      </c>
      <c r="D3190" s="52" t="s">
        <v>236</v>
      </c>
      <c r="E3190" s="52" t="s">
        <v>584</v>
      </c>
      <c r="F3190" s="52" t="s">
        <v>26</v>
      </c>
      <c r="G3190" s="195" t="s">
        <v>279</v>
      </c>
      <c r="H3190" s="195">
        <v>20.91281</v>
      </c>
      <c r="I3190" s="195">
        <v>22.917660000000001</v>
      </c>
      <c r="J3190" s="195">
        <v>19.806940000000001</v>
      </c>
      <c r="K3190" s="195">
        <v>18.720839999999999</v>
      </c>
      <c r="L3190" s="195">
        <v>9.6957570000000004</v>
      </c>
      <c r="M3190" s="195">
        <v>17.805499999999999</v>
      </c>
      <c r="N3190" s="195">
        <v>8.2488419999999998</v>
      </c>
    </row>
    <row r="3191" spans="1:14" hidden="1" x14ac:dyDescent="0.35">
      <c r="A3191" s="52" t="s">
        <v>232</v>
      </c>
      <c r="B3191" s="52" t="s">
        <v>74</v>
      </c>
      <c r="C3191" s="52" t="s">
        <v>71</v>
      </c>
      <c r="D3191" s="52" t="s">
        <v>140</v>
      </c>
      <c r="E3191" s="52" t="s">
        <v>584</v>
      </c>
      <c r="F3191" s="52" t="s">
        <v>581</v>
      </c>
      <c r="G3191" s="195" t="s">
        <v>275</v>
      </c>
      <c r="H3191" s="195">
        <v>21.917999999999999</v>
      </c>
      <c r="I3191" s="195">
        <v>15.846109999999999</v>
      </c>
      <c r="J3191" s="195">
        <v>7.8039839999999998</v>
      </c>
      <c r="K3191" s="195">
        <v>4.7488130000000002</v>
      </c>
      <c r="L3191" s="195">
        <v>2.9409139999999998</v>
      </c>
      <c r="M3191" s="195">
        <v>1.169772</v>
      </c>
      <c r="N3191" s="195">
        <v>9.9969219999999998E-2</v>
      </c>
    </row>
    <row r="3192" spans="1:14" hidden="1" x14ac:dyDescent="0.35">
      <c r="A3192" s="52" t="s">
        <v>232</v>
      </c>
      <c r="B3192" s="52" t="s">
        <v>74</v>
      </c>
      <c r="C3192" s="52" t="s">
        <v>71</v>
      </c>
      <c r="D3192" s="52" t="s">
        <v>140</v>
      </c>
      <c r="E3192" s="52" t="s">
        <v>584</v>
      </c>
      <c r="F3192" s="52" t="s">
        <v>581</v>
      </c>
      <c r="G3192" s="195" t="s">
        <v>276</v>
      </c>
      <c r="H3192" s="195">
        <v>10.456289999999999</v>
      </c>
      <c r="I3192" s="195">
        <v>10.322609999999999</v>
      </c>
      <c r="J3192" s="195">
        <v>-6.4858779999999996</v>
      </c>
      <c r="K3192" s="195">
        <v>2.0136820000000002</v>
      </c>
      <c r="L3192" s="195">
        <v>1.366336</v>
      </c>
      <c r="M3192" s="195">
        <v>-12.92642</v>
      </c>
      <c r="N3192" s="195">
        <v>-2.6313339999999998</v>
      </c>
    </row>
    <row r="3193" spans="1:14" hidden="1" x14ac:dyDescent="0.35">
      <c r="A3193" s="52" t="s">
        <v>232</v>
      </c>
      <c r="B3193" s="52" t="s">
        <v>74</v>
      </c>
      <c r="C3193" s="52" t="s">
        <v>71</v>
      </c>
      <c r="D3193" s="52" t="s">
        <v>140</v>
      </c>
      <c r="E3193" s="52" t="s">
        <v>584</v>
      </c>
      <c r="F3193" s="52" t="s">
        <v>581</v>
      </c>
      <c r="G3193" s="195" t="s">
        <v>277</v>
      </c>
      <c r="H3193" s="195">
        <v>39.825839999999999</v>
      </c>
      <c r="I3193" s="195">
        <v>2.294422</v>
      </c>
      <c r="J3193" s="195">
        <v>2.1500840000000001</v>
      </c>
      <c r="K3193" s="195">
        <v>2.656075</v>
      </c>
      <c r="L3193" s="195">
        <v>3.0948280000000001</v>
      </c>
      <c r="M3193" s="195">
        <v>3.1300189999999999</v>
      </c>
      <c r="N3193" s="195">
        <v>4.7700519999999997</v>
      </c>
    </row>
    <row r="3194" spans="1:14" hidden="1" x14ac:dyDescent="0.35">
      <c r="A3194" s="52" t="s">
        <v>232</v>
      </c>
      <c r="B3194" s="52" t="s">
        <v>74</v>
      </c>
      <c r="C3194" s="52" t="s">
        <v>71</v>
      </c>
      <c r="D3194" s="52" t="s">
        <v>140</v>
      </c>
      <c r="E3194" s="52" t="s">
        <v>584</v>
      </c>
      <c r="F3194" s="52" t="s">
        <v>581</v>
      </c>
      <c r="G3194" s="195" t="s">
        <v>278</v>
      </c>
      <c r="H3194" s="195">
        <v>0.2163629</v>
      </c>
      <c r="I3194" s="195">
        <v>0.29544389999999998</v>
      </c>
      <c r="J3194" s="195">
        <v>11.46457</v>
      </c>
      <c r="K3194" s="195">
        <v>0.86887800000000004</v>
      </c>
      <c r="L3194" s="195">
        <v>0.27189609999999997</v>
      </c>
      <c r="M3194" s="195">
        <v>13.380229999999999</v>
      </c>
      <c r="N3194" s="195">
        <v>0.17775170000000001</v>
      </c>
    </row>
    <row r="3195" spans="1:14" hidden="1" x14ac:dyDescent="0.35">
      <c r="A3195" s="52" t="s">
        <v>232</v>
      </c>
      <c r="B3195" s="52" t="s">
        <v>74</v>
      </c>
      <c r="C3195" s="52" t="s">
        <v>71</v>
      </c>
      <c r="D3195" s="52" t="s">
        <v>140</v>
      </c>
      <c r="E3195" s="52" t="s">
        <v>584</v>
      </c>
      <c r="F3195" s="52" t="s">
        <v>581</v>
      </c>
      <c r="G3195" s="195" t="s">
        <v>279</v>
      </c>
      <c r="H3195" s="195">
        <v>12.64916</v>
      </c>
      <c r="I3195" s="195">
        <v>13.700950000000001</v>
      </c>
      <c r="J3195" s="195">
        <v>10.632389999999999</v>
      </c>
      <c r="K3195" s="195">
        <v>10.272030000000001</v>
      </c>
      <c r="L3195" s="195">
        <v>9.2715069999999997</v>
      </c>
      <c r="M3195" s="195">
        <v>8.1402260000000002</v>
      </c>
      <c r="N3195" s="195">
        <v>7.2681360000000002</v>
      </c>
    </row>
    <row r="3196" spans="1:14" hidden="1" x14ac:dyDescent="0.35">
      <c r="A3196" s="52" t="s">
        <v>232</v>
      </c>
      <c r="B3196" s="52" t="s">
        <v>74</v>
      </c>
      <c r="C3196" s="52" t="s">
        <v>71</v>
      </c>
      <c r="D3196" s="52" t="s">
        <v>140</v>
      </c>
      <c r="E3196" s="52" t="s">
        <v>584</v>
      </c>
      <c r="F3196" s="52" t="s">
        <v>26</v>
      </c>
      <c r="G3196" s="195" t="s">
        <v>275</v>
      </c>
      <c r="H3196" s="195">
        <v>3.4072809999999998</v>
      </c>
      <c r="I3196" s="195">
        <v>2.4880260000000001</v>
      </c>
      <c r="J3196" s="195">
        <v>1.8551850000000001</v>
      </c>
      <c r="K3196" s="195">
        <v>1.4695959999999999</v>
      </c>
      <c r="L3196" s="195">
        <v>1.230138</v>
      </c>
      <c r="M3196" s="195">
        <v>0.94183159999999999</v>
      </c>
      <c r="N3196" s="195">
        <v>0.70866779999999996</v>
      </c>
    </row>
    <row r="3197" spans="1:14" hidden="1" x14ac:dyDescent="0.35">
      <c r="A3197" s="52" t="s">
        <v>232</v>
      </c>
      <c r="B3197" s="52" t="s">
        <v>74</v>
      </c>
      <c r="C3197" s="52" t="s">
        <v>71</v>
      </c>
      <c r="D3197" s="52" t="s">
        <v>140</v>
      </c>
      <c r="E3197" s="52" t="s">
        <v>584</v>
      </c>
      <c r="F3197" s="52" t="s">
        <v>26</v>
      </c>
      <c r="G3197" s="195" t="s">
        <v>276</v>
      </c>
      <c r="H3197" s="195">
        <v>2.2715190000000001</v>
      </c>
      <c r="I3197" s="195">
        <v>1.6586829999999999</v>
      </c>
      <c r="J3197" s="195">
        <v>1.2367900000000001</v>
      </c>
      <c r="K3197" s="195">
        <v>0.97973160000000004</v>
      </c>
      <c r="L3197" s="195">
        <v>0.82009129999999997</v>
      </c>
      <c r="M3197" s="195">
        <v>0.62788750000000004</v>
      </c>
      <c r="N3197" s="195">
        <v>0.12927359999999999</v>
      </c>
    </row>
    <row r="3198" spans="1:14" hidden="1" x14ac:dyDescent="0.35">
      <c r="A3198" s="52" t="s">
        <v>232</v>
      </c>
      <c r="B3198" s="52" t="s">
        <v>74</v>
      </c>
      <c r="C3198" s="52" t="s">
        <v>71</v>
      </c>
      <c r="D3198" s="52" t="s">
        <v>140</v>
      </c>
      <c r="E3198" s="52" t="s">
        <v>584</v>
      </c>
      <c r="F3198" s="52" t="s">
        <v>26</v>
      </c>
      <c r="G3198" s="195" t="s">
        <v>277</v>
      </c>
      <c r="H3198" s="195">
        <v>0</v>
      </c>
      <c r="I3198" s="195"/>
      <c r="J3198" s="195"/>
      <c r="K3198" s="195"/>
      <c r="L3198" s="195"/>
      <c r="M3198" s="195">
        <v>0</v>
      </c>
      <c r="N3198" s="195"/>
    </row>
    <row r="3199" spans="1:14" hidden="1" x14ac:dyDescent="0.35">
      <c r="A3199" s="52" t="s">
        <v>232</v>
      </c>
      <c r="B3199" s="52" t="s">
        <v>74</v>
      </c>
      <c r="C3199" s="52" t="s">
        <v>71</v>
      </c>
      <c r="D3199" s="52" t="s">
        <v>140</v>
      </c>
      <c r="E3199" s="52" t="s">
        <v>584</v>
      </c>
      <c r="F3199" s="52" t="s">
        <v>26</v>
      </c>
      <c r="G3199" s="195" t="s">
        <v>279</v>
      </c>
      <c r="H3199" s="195">
        <v>2.0423939999999998</v>
      </c>
      <c r="I3199" s="195">
        <v>2.1016569999999999</v>
      </c>
      <c r="J3199" s="195">
        <v>1.523396</v>
      </c>
      <c r="K3199" s="195">
        <v>1.3319099999999999</v>
      </c>
      <c r="L3199" s="195">
        <v>1.1166879999999999</v>
      </c>
      <c r="M3199" s="195">
        <v>0.85393629999999998</v>
      </c>
      <c r="N3199" s="195">
        <v>0.64238419999999996</v>
      </c>
    </row>
    <row r="3200" spans="1:14" hidden="1" x14ac:dyDescent="0.35">
      <c r="A3200" s="52" t="s">
        <v>232</v>
      </c>
      <c r="B3200" s="52" t="s">
        <v>74</v>
      </c>
      <c r="C3200" s="52" t="s">
        <v>71</v>
      </c>
      <c r="D3200" s="52" t="s">
        <v>139</v>
      </c>
      <c r="E3200" s="52" t="s">
        <v>584</v>
      </c>
      <c r="F3200" s="52" t="s">
        <v>581</v>
      </c>
      <c r="G3200" s="195" t="s">
        <v>275</v>
      </c>
      <c r="H3200" s="195">
        <v>-3.1748449999999998E-2</v>
      </c>
      <c r="I3200" s="195">
        <v>-4.3352189999999999E-2</v>
      </c>
      <c r="J3200" s="195">
        <v>0</v>
      </c>
      <c r="K3200" s="195">
        <v>0</v>
      </c>
      <c r="L3200" s="195">
        <v>0</v>
      </c>
      <c r="M3200" s="195">
        <v>0</v>
      </c>
      <c r="N3200" s="195">
        <v>0</v>
      </c>
    </row>
    <row r="3201" spans="1:14" hidden="1" x14ac:dyDescent="0.35">
      <c r="A3201" s="52" t="s">
        <v>232</v>
      </c>
      <c r="B3201" s="52" t="s">
        <v>74</v>
      </c>
      <c r="C3201" s="52" t="s">
        <v>71</v>
      </c>
      <c r="D3201" s="52" t="s">
        <v>139</v>
      </c>
      <c r="E3201" s="52" t="s">
        <v>584</v>
      </c>
      <c r="F3201" s="52" t="s">
        <v>581</v>
      </c>
      <c r="G3201" s="195" t="s">
        <v>276</v>
      </c>
      <c r="H3201" s="195">
        <v>-2.1165819999999998E-2</v>
      </c>
      <c r="I3201" s="195">
        <v>-2.8901840000000002E-2</v>
      </c>
      <c r="J3201" s="195">
        <v>-7.225463E-2</v>
      </c>
      <c r="K3201" s="195">
        <v>-7.2254020000000002E-2</v>
      </c>
      <c r="L3201" s="195">
        <v>-7.2255239999999998E-2</v>
      </c>
      <c r="M3201" s="195">
        <v>-9.4086730000000003</v>
      </c>
      <c r="N3201" s="195">
        <v>-7.2255180000000002E-2</v>
      </c>
    </row>
    <row r="3202" spans="1:14" hidden="1" x14ac:dyDescent="0.35">
      <c r="A3202" s="52" t="s">
        <v>232</v>
      </c>
      <c r="B3202" s="52" t="s">
        <v>74</v>
      </c>
      <c r="C3202" s="52" t="s">
        <v>71</v>
      </c>
      <c r="D3202" s="52" t="s">
        <v>139</v>
      </c>
      <c r="E3202" s="52" t="s">
        <v>584</v>
      </c>
      <c r="F3202" s="52" t="s">
        <v>581</v>
      </c>
      <c r="G3202" s="195" t="s">
        <v>278</v>
      </c>
      <c r="H3202" s="195">
        <v>5.2913719999999997E-2</v>
      </c>
      <c r="I3202" s="195">
        <v>7.2254020000000002E-2</v>
      </c>
      <c r="J3202" s="195">
        <v>7.2254020000000002E-2</v>
      </c>
      <c r="K3202" s="195">
        <v>7.2254020000000002E-2</v>
      </c>
      <c r="L3202" s="195">
        <v>7.2254020000000002E-2</v>
      </c>
      <c r="M3202" s="195">
        <v>9.4086730000000003</v>
      </c>
      <c r="N3202" s="195">
        <v>7.2254029999999997E-2</v>
      </c>
    </row>
    <row r="3203" spans="1:14" hidden="1" x14ac:dyDescent="0.35">
      <c r="A3203" s="52" t="s">
        <v>232</v>
      </c>
      <c r="B3203" s="52" t="s">
        <v>74</v>
      </c>
      <c r="C3203" s="52" t="s">
        <v>87</v>
      </c>
      <c r="D3203" s="52" t="s">
        <v>91</v>
      </c>
      <c r="E3203" s="52" t="s">
        <v>584</v>
      </c>
      <c r="F3203" s="52" t="s">
        <v>581</v>
      </c>
      <c r="G3203" s="195" t="s">
        <v>275</v>
      </c>
      <c r="H3203" s="195">
        <v>7.7791329999999999</v>
      </c>
      <c r="I3203" s="195">
        <v>-66.902709999999999</v>
      </c>
      <c r="J3203" s="195">
        <v>-98.701520000000002</v>
      </c>
      <c r="K3203" s="195">
        <v>-139.72720000000001</v>
      </c>
      <c r="L3203" s="195">
        <v>-151.67660000000001</v>
      </c>
      <c r="M3203" s="195">
        <v>-161.3459</v>
      </c>
      <c r="N3203" s="195">
        <v>-168.89529999999999</v>
      </c>
    </row>
    <row r="3204" spans="1:14" hidden="1" x14ac:dyDescent="0.35">
      <c r="A3204" s="52" t="s">
        <v>232</v>
      </c>
      <c r="B3204" s="52" t="s">
        <v>74</v>
      </c>
      <c r="C3204" s="52" t="s">
        <v>87</v>
      </c>
      <c r="D3204" s="52" t="s">
        <v>91</v>
      </c>
      <c r="E3204" s="52" t="s">
        <v>584</v>
      </c>
      <c r="F3204" s="52" t="s">
        <v>581</v>
      </c>
      <c r="G3204" s="195" t="s">
        <v>276</v>
      </c>
      <c r="H3204" s="195">
        <v>-23.532620000000001</v>
      </c>
      <c r="I3204" s="195">
        <v>-44.726260000000003</v>
      </c>
      <c r="J3204" s="195">
        <v>-65.893259999999998</v>
      </c>
      <c r="K3204" s="195">
        <v>-93.21293</v>
      </c>
      <c r="L3204" s="195">
        <v>-101.1417</v>
      </c>
      <c r="M3204" s="195">
        <v>-107.5879</v>
      </c>
      <c r="N3204" s="195">
        <v>-112.6208</v>
      </c>
    </row>
    <row r="3205" spans="1:14" hidden="1" x14ac:dyDescent="0.35">
      <c r="A3205" s="52" t="s">
        <v>232</v>
      </c>
      <c r="B3205" s="52" t="s">
        <v>74</v>
      </c>
      <c r="C3205" s="52" t="s">
        <v>87</v>
      </c>
      <c r="D3205" s="52" t="s">
        <v>91</v>
      </c>
      <c r="E3205" s="52" t="s">
        <v>584</v>
      </c>
      <c r="F3205" s="52" t="s">
        <v>581</v>
      </c>
      <c r="G3205" s="195" t="s">
        <v>277</v>
      </c>
      <c r="H3205" s="195">
        <v>275.69970000000001</v>
      </c>
      <c r="I3205" s="195">
        <v>1.194688</v>
      </c>
      <c r="J3205" s="195">
        <v>0.65565859999999998</v>
      </c>
      <c r="K3205" s="195">
        <v>0.35983290000000001</v>
      </c>
      <c r="L3205" s="195">
        <v>0</v>
      </c>
      <c r="M3205" s="195">
        <v>0</v>
      </c>
      <c r="N3205" s="195">
        <v>0</v>
      </c>
    </row>
    <row r="3206" spans="1:14" hidden="1" x14ac:dyDescent="0.35">
      <c r="A3206" s="52" t="s">
        <v>232</v>
      </c>
      <c r="B3206" s="52" t="s">
        <v>74</v>
      </c>
      <c r="C3206" s="52" t="s">
        <v>87</v>
      </c>
      <c r="D3206" s="52" t="s">
        <v>91</v>
      </c>
      <c r="E3206" s="52" t="s">
        <v>584</v>
      </c>
      <c r="F3206" s="52" t="s">
        <v>581</v>
      </c>
      <c r="G3206" s="195" t="s">
        <v>278</v>
      </c>
      <c r="H3206" s="195">
        <v>1.7532519999999999E-2</v>
      </c>
      <c r="I3206" s="195">
        <v>2.394137E-2</v>
      </c>
      <c r="J3206" s="195">
        <v>2.394137E-2</v>
      </c>
      <c r="K3206" s="195">
        <v>2.394137E-2</v>
      </c>
      <c r="L3206" s="195">
        <v>2.394137E-2</v>
      </c>
      <c r="M3206" s="195">
        <v>2.394137E-2</v>
      </c>
      <c r="N3206" s="195">
        <v>2.394137E-2</v>
      </c>
    </row>
    <row r="3207" spans="1:14" hidden="1" x14ac:dyDescent="0.35">
      <c r="A3207" s="52" t="s">
        <v>232</v>
      </c>
      <c r="B3207" s="52" t="s">
        <v>74</v>
      </c>
      <c r="C3207" s="52" t="s">
        <v>87</v>
      </c>
      <c r="D3207" s="52" t="s">
        <v>91</v>
      </c>
      <c r="E3207" s="52" t="s">
        <v>584</v>
      </c>
      <c r="F3207" s="52" t="s">
        <v>581</v>
      </c>
      <c r="G3207" s="195" t="s">
        <v>279</v>
      </c>
      <c r="H3207" s="195">
        <v>396.29700000000003</v>
      </c>
      <c r="I3207" s="195">
        <v>351.23680000000002</v>
      </c>
      <c r="J3207" s="195">
        <v>326.23099999999999</v>
      </c>
      <c r="K3207" s="195">
        <v>376.50510000000003</v>
      </c>
      <c r="L3207" s="195">
        <v>372.82389999999998</v>
      </c>
      <c r="M3207" s="195">
        <v>375.55739999999997</v>
      </c>
      <c r="N3207" s="195">
        <v>381.93209999999999</v>
      </c>
    </row>
    <row r="3208" spans="1:14" hidden="1" x14ac:dyDescent="0.35">
      <c r="A3208" s="52" t="s">
        <v>232</v>
      </c>
      <c r="B3208" s="52" t="s">
        <v>74</v>
      </c>
      <c r="C3208" s="52" t="s">
        <v>87</v>
      </c>
      <c r="D3208" s="52" t="s">
        <v>91</v>
      </c>
      <c r="E3208" s="52" t="s">
        <v>584</v>
      </c>
      <c r="F3208" s="52" t="s">
        <v>26</v>
      </c>
      <c r="G3208" s="195" t="s">
        <v>275</v>
      </c>
      <c r="H3208" s="195">
        <v>0.22423180000000001</v>
      </c>
      <c r="I3208" s="195">
        <v>7.6618889999999995E-2</v>
      </c>
      <c r="J3208" s="195">
        <v>5.7665750000000002E-2</v>
      </c>
      <c r="K3208" s="195">
        <v>3.0528949999999999E-2</v>
      </c>
      <c r="L3208" s="195">
        <v>2.118979E-2</v>
      </c>
      <c r="M3208" s="195">
        <v>3.768283E-2</v>
      </c>
      <c r="N3208" s="195">
        <v>4.3414880000000003E-2</v>
      </c>
    </row>
    <row r="3209" spans="1:14" hidden="1" x14ac:dyDescent="0.35">
      <c r="A3209" s="52" t="s">
        <v>232</v>
      </c>
      <c r="B3209" s="52" t="s">
        <v>74</v>
      </c>
      <c r="C3209" s="52" t="s">
        <v>87</v>
      </c>
      <c r="D3209" s="52" t="s">
        <v>91</v>
      </c>
      <c r="E3209" s="52" t="s">
        <v>584</v>
      </c>
      <c r="F3209" s="52" t="s">
        <v>26</v>
      </c>
      <c r="G3209" s="195" t="s">
        <v>276</v>
      </c>
      <c r="H3209" s="195">
        <v>0.14948800000000001</v>
      </c>
      <c r="I3209" s="195">
        <v>5.1079810000000003E-2</v>
      </c>
      <c r="J3209" s="195">
        <v>3.8443369999999998E-2</v>
      </c>
      <c r="K3209" s="195">
        <v>2.0352519999999999E-2</v>
      </c>
      <c r="L3209" s="195">
        <v>1.412623E-2</v>
      </c>
      <c r="M3209" s="195">
        <v>2.5122120000000001E-2</v>
      </c>
      <c r="N3209" s="195">
        <v>2.8943300000000002E-2</v>
      </c>
    </row>
    <row r="3210" spans="1:14" hidden="1" x14ac:dyDescent="0.35">
      <c r="A3210" s="52" t="s">
        <v>232</v>
      </c>
      <c r="B3210" s="52" t="s">
        <v>74</v>
      </c>
      <c r="C3210" s="52" t="s">
        <v>87</v>
      </c>
      <c r="D3210" s="52" t="s">
        <v>91</v>
      </c>
      <c r="E3210" s="52" t="s">
        <v>584</v>
      </c>
      <c r="F3210" s="52" t="s">
        <v>26</v>
      </c>
      <c r="G3210" s="195" t="s">
        <v>279</v>
      </c>
      <c r="H3210" s="195">
        <v>0.69987699999999997</v>
      </c>
      <c r="I3210" s="195">
        <v>0.61069110000000004</v>
      </c>
      <c r="J3210" s="195">
        <v>0.39924799999999999</v>
      </c>
      <c r="K3210" s="195">
        <v>0.31286910000000001</v>
      </c>
      <c r="L3210" s="195">
        <v>0.21858369999999999</v>
      </c>
      <c r="M3210" s="195">
        <v>0.33260529999999999</v>
      </c>
      <c r="N3210" s="195">
        <v>0.42471130000000001</v>
      </c>
    </row>
    <row r="3211" spans="1:14" hidden="1" x14ac:dyDescent="0.35">
      <c r="A3211" s="52" t="s">
        <v>232</v>
      </c>
      <c r="B3211" s="52" t="s">
        <v>74</v>
      </c>
      <c r="C3211" s="52" t="s">
        <v>87</v>
      </c>
      <c r="D3211" s="52" t="s">
        <v>87</v>
      </c>
      <c r="E3211" s="52" t="s">
        <v>584</v>
      </c>
      <c r="F3211" s="52" t="s">
        <v>581</v>
      </c>
      <c r="G3211" s="195" t="s">
        <v>275</v>
      </c>
      <c r="H3211" s="195">
        <v>-0.41928199999999999</v>
      </c>
      <c r="I3211" s="195">
        <v>4.5123990000000003E-2</v>
      </c>
      <c r="J3211" s="195">
        <v>-0.37447560000000002</v>
      </c>
      <c r="K3211" s="195">
        <v>-0.71211590000000002</v>
      </c>
      <c r="L3211" s="195">
        <v>0</v>
      </c>
      <c r="M3211" s="195">
        <v>-4.8795460000000004</v>
      </c>
      <c r="N3211" s="195">
        <v>0</v>
      </c>
    </row>
    <row r="3212" spans="1:14" hidden="1" x14ac:dyDescent="0.35">
      <c r="A3212" s="52" t="s">
        <v>232</v>
      </c>
      <c r="B3212" s="52" t="s">
        <v>74</v>
      </c>
      <c r="C3212" s="52" t="s">
        <v>87</v>
      </c>
      <c r="D3212" s="52" t="s">
        <v>87</v>
      </c>
      <c r="E3212" s="52" t="s">
        <v>584</v>
      </c>
      <c r="F3212" s="52" t="s">
        <v>581</v>
      </c>
      <c r="G3212" s="195" t="s">
        <v>276</v>
      </c>
      <c r="H3212" s="195">
        <v>-0.27952199999999999</v>
      </c>
      <c r="I3212" s="195">
        <v>3.00828E-2</v>
      </c>
      <c r="J3212" s="195">
        <v>-0.47020820000000002</v>
      </c>
      <c r="K3212" s="195">
        <v>-4.6703840000000003</v>
      </c>
      <c r="L3212" s="195">
        <v>-1.3314870000000001</v>
      </c>
      <c r="M3212" s="195">
        <v>-3.490726</v>
      </c>
      <c r="N3212" s="195">
        <v>-0.56332990000000005</v>
      </c>
    </row>
    <row r="3213" spans="1:14" hidden="1" x14ac:dyDescent="0.35">
      <c r="A3213" s="52" t="s">
        <v>232</v>
      </c>
      <c r="B3213" s="52" t="s">
        <v>74</v>
      </c>
      <c r="C3213" s="52" t="s">
        <v>87</v>
      </c>
      <c r="D3213" s="52" t="s">
        <v>87</v>
      </c>
      <c r="E3213" s="52" t="s">
        <v>584</v>
      </c>
      <c r="F3213" s="52" t="s">
        <v>581</v>
      </c>
      <c r="G3213" s="195" t="s">
        <v>277</v>
      </c>
      <c r="H3213" s="195"/>
      <c r="I3213" s="195"/>
      <c r="J3213" s="195"/>
      <c r="K3213" s="195">
        <v>0</v>
      </c>
      <c r="L3213" s="195">
        <v>1.7139000000000001E-2</v>
      </c>
      <c r="M3213" s="195">
        <v>1.7139000000000001E-2</v>
      </c>
      <c r="N3213" s="195">
        <v>0.34277299999999999</v>
      </c>
    </row>
    <row r="3214" spans="1:14" hidden="1" x14ac:dyDescent="0.35">
      <c r="A3214" s="52" t="s">
        <v>232</v>
      </c>
      <c r="B3214" s="52" t="s">
        <v>74</v>
      </c>
      <c r="C3214" s="52" t="s">
        <v>87</v>
      </c>
      <c r="D3214" s="52" t="s">
        <v>87</v>
      </c>
      <c r="E3214" s="52" t="s">
        <v>584</v>
      </c>
      <c r="F3214" s="52" t="s">
        <v>581</v>
      </c>
      <c r="G3214" s="195" t="s">
        <v>278</v>
      </c>
      <c r="H3214" s="195">
        <v>0.161521</v>
      </c>
      <c r="I3214" s="195">
        <v>0.220557</v>
      </c>
      <c r="J3214" s="195">
        <v>0.220557</v>
      </c>
      <c r="K3214" s="195">
        <v>4.19564</v>
      </c>
      <c r="L3214" s="195">
        <v>1.3143480000000001</v>
      </c>
      <c r="M3214" s="195">
        <v>0.220557</v>
      </c>
      <c r="N3214" s="195">
        <v>0.220557</v>
      </c>
    </row>
    <row r="3215" spans="1:14" hidden="1" x14ac:dyDescent="0.35">
      <c r="A3215" s="52" t="s">
        <v>232</v>
      </c>
      <c r="B3215" s="52" t="s">
        <v>74</v>
      </c>
      <c r="C3215" s="52" t="s">
        <v>87</v>
      </c>
      <c r="D3215" s="52" t="s">
        <v>87</v>
      </c>
      <c r="E3215" s="52" t="s">
        <v>584</v>
      </c>
      <c r="F3215" s="52" t="s">
        <v>581</v>
      </c>
      <c r="G3215" s="195" t="s">
        <v>279</v>
      </c>
      <c r="H3215" s="195">
        <v>1.6130789999999999</v>
      </c>
      <c r="I3215" s="195">
        <v>1.8512189999999999</v>
      </c>
      <c r="J3215" s="195">
        <v>1.54769</v>
      </c>
      <c r="K3215" s="195">
        <v>1.7316510000000001</v>
      </c>
      <c r="L3215" s="195">
        <v>0</v>
      </c>
      <c r="M3215" s="195">
        <v>8.1325749999999992</v>
      </c>
      <c r="N3215" s="195"/>
    </row>
    <row r="3216" spans="1:14" hidden="1" x14ac:dyDescent="0.35">
      <c r="A3216" s="52" t="s">
        <v>232</v>
      </c>
      <c r="B3216" s="52" t="s">
        <v>74</v>
      </c>
      <c r="C3216" s="52" t="s">
        <v>87</v>
      </c>
      <c r="D3216" s="52" t="s">
        <v>87</v>
      </c>
      <c r="E3216" s="52" t="s">
        <v>584</v>
      </c>
      <c r="F3216" s="52" t="s">
        <v>26</v>
      </c>
      <c r="G3216" s="195" t="s">
        <v>275</v>
      </c>
      <c r="H3216" s="195"/>
      <c r="I3216" s="195"/>
      <c r="J3216" s="195"/>
      <c r="K3216" s="195"/>
      <c r="L3216" s="195"/>
      <c r="M3216" s="195"/>
      <c r="N3216" s="195">
        <v>0</v>
      </c>
    </row>
    <row r="3217" spans="1:14" hidden="1" x14ac:dyDescent="0.35">
      <c r="A3217" s="52" t="s">
        <v>232</v>
      </c>
      <c r="B3217" s="52" t="s">
        <v>74</v>
      </c>
      <c r="C3217" s="52" t="s">
        <v>87</v>
      </c>
      <c r="D3217" s="52" t="s">
        <v>87</v>
      </c>
      <c r="E3217" s="52" t="s">
        <v>584</v>
      </c>
      <c r="F3217" s="52" t="s">
        <v>26</v>
      </c>
      <c r="G3217" s="195" t="s">
        <v>276</v>
      </c>
      <c r="H3217" s="195"/>
      <c r="I3217" s="195"/>
      <c r="J3217" s="195"/>
      <c r="K3217" s="195"/>
      <c r="L3217" s="195"/>
      <c r="M3217" s="195"/>
      <c r="N3217" s="195">
        <v>0</v>
      </c>
    </row>
    <row r="3218" spans="1:14" hidden="1" x14ac:dyDescent="0.35">
      <c r="A3218" s="52" t="s">
        <v>232</v>
      </c>
      <c r="B3218" s="52" t="s">
        <v>74</v>
      </c>
      <c r="C3218" s="52" t="s">
        <v>87</v>
      </c>
      <c r="D3218" s="52" t="s">
        <v>87</v>
      </c>
      <c r="E3218" s="52" t="s">
        <v>584</v>
      </c>
      <c r="F3218" s="52" t="s">
        <v>26</v>
      </c>
      <c r="G3218" s="195" t="s">
        <v>277</v>
      </c>
      <c r="H3218" s="195"/>
      <c r="I3218" s="195"/>
      <c r="J3218" s="195"/>
      <c r="K3218" s="195"/>
      <c r="L3218" s="195"/>
      <c r="M3218" s="195"/>
      <c r="N3218" s="195">
        <v>0</v>
      </c>
    </row>
    <row r="3219" spans="1:14" hidden="1" x14ac:dyDescent="0.35">
      <c r="A3219" s="52" t="s">
        <v>232</v>
      </c>
      <c r="B3219" s="52" t="s">
        <v>74</v>
      </c>
      <c r="C3219" s="52" t="s">
        <v>87</v>
      </c>
      <c r="D3219" s="52" t="s">
        <v>92</v>
      </c>
      <c r="E3219" s="52" t="s">
        <v>584</v>
      </c>
      <c r="F3219" s="52" t="s">
        <v>26</v>
      </c>
      <c r="G3219" s="195" t="s">
        <v>275</v>
      </c>
      <c r="H3219" s="195">
        <v>-0.13716400000000001</v>
      </c>
      <c r="I3219" s="195">
        <v>-0.10716299999999999</v>
      </c>
      <c r="J3219" s="195">
        <v>-9.7037999999999999E-2</v>
      </c>
      <c r="K3219" s="195">
        <v>-0.114958</v>
      </c>
      <c r="L3219" s="195">
        <v>-0.138798</v>
      </c>
      <c r="M3219" s="195">
        <v>-0.14226800000000001</v>
      </c>
      <c r="N3219" s="195">
        <v>-0.13195599999999999</v>
      </c>
    </row>
    <row r="3220" spans="1:14" hidden="1" x14ac:dyDescent="0.35">
      <c r="A3220" s="52" t="s">
        <v>232</v>
      </c>
      <c r="B3220" s="52" t="s">
        <v>74</v>
      </c>
      <c r="C3220" s="52" t="s">
        <v>87</v>
      </c>
      <c r="D3220" s="52" t="s">
        <v>92</v>
      </c>
      <c r="E3220" s="52" t="s">
        <v>584</v>
      </c>
      <c r="F3220" s="52" t="s">
        <v>26</v>
      </c>
      <c r="G3220" s="195" t="s">
        <v>276</v>
      </c>
      <c r="H3220" s="195">
        <v>-0.118024</v>
      </c>
      <c r="I3220" s="195">
        <v>-9.2209990000000006E-2</v>
      </c>
      <c r="J3220" s="195">
        <v>-8.3496000000000001E-2</v>
      </c>
      <c r="K3220" s="195">
        <v>-9.8918000000000006E-2</v>
      </c>
      <c r="L3220" s="195">
        <v>-0.119432</v>
      </c>
      <c r="M3220" s="195">
        <v>-0.122416</v>
      </c>
      <c r="N3220" s="195">
        <v>-0.1135444</v>
      </c>
    </row>
    <row r="3221" spans="1:14" hidden="1" x14ac:dyDescent="0.35">
      <c r="A3221" s="52" t="s">
        <v>232</v>
      </c>
      <c r="B3221" s="52" t="s">
        <v>74</v>
      </c>
      <c r="C3221" s="52" t="s">
        <v>87</v>
      </c>
      <c r="D3221" s="52" t="s">
        <v>92</v>
      </c>
      <c r="E3221" s="52" t="s">
        <v>584</v>
      </c>
      <c r="F3221" s="52" t="s">
        <v>26</v>
      </c>
      <c r="G3221" s="195" t="s">
        <v>277</v>
      </c>
      <c r="H3221" s="195">
        <v>0.255189</v>
      </c>
      <c r="I3221" s="195">
        <v>0.199374</v>
      </c>
      <c r="J3221" s="195">
        <v>0.180534</v>
      </c>
      <c r="K3221" s="195">
        <v>0.21387800000000001</v>
      </c>
      <c r="L3221" s="195">
        <v>0.25822800000000001</v>
      </c>
      <c r="M3221" s="195">
        <v>0.26468599999999998</v>
      </c>
      <c r="N3221" s="195">
        <v>0.24549879999999999</v>
      </c>
    </row>
    <row r="3222" spans="1:14" hidden="1" x14ac:dyDescent="0.35">
      <c r="A3222" s="52" t="s">
        <v>232</v>
      </c>
      <c r="B3222" s="52" t="s">
        <v>74</v>
      </c>
      <c r="C3222" s="52" t="s">
        <v>146</v>
      </c>
      <c r="D3222" s="52" t="s">
        <v>197</v>
      </c>
      <c r="E3222" s="52" t="s">
        <v>584</v>
      </c>
      <c r="F3222" s="52" t="s">
        <v>581</v>
      </c>
      <c r="G3222" s="195" t="s">
        <v>275</v>
      </c>
      <c r="H3222" s="195">
        <v>16.66498</v>
      </c>
      <c r="I3222" s="195">
        <v>2.3292389999999998</v>
      </c>
      <c r="J3222" s="195">
        <v>0.243312</v>
      </c>
      <c r="K3222" s="195">
        <v>-1.100009</v>
      </c>
      <c r="L3222" s="195">
        <v>0.1104304</v>
      </c>
      <c r="M3222" s="195">
        <v>9.2965699999999998E-2</v>
      </c>
      <c r="N3222" s="195">
        <v>-4.8183000000000002E-3</v>
      </c>
    </row>
    <row r="3223" spans="1:14" hidden="1" x14ac:dyDescent="0.35">
      <c r="A3223" s="52" t="s">
        <v>232</v>
      </c>
      <c r="B3223" s="52" t="s">
        <v>74</v>
      </c>
      <c r="C3223" s="52" t="s">
        <v>146</v>
      </c>
      <c r="D3223" s="52" t="s">
        <v>197</v>
      </c>
      <c r="E3223" s="52" t="s">
        <v>584</v>
      </c>
      <c r="F3223" s="52" t="s">
        <v>581</v>
      </c>
      <c r="G3223" s="195" t="s">
        <v>276</v>
      </c>
      <c r="H3223" s="195">
        <v>11.00747</v>
      </c>
      <c r="I3223" s="195">
        <v>1.472729</v>
      </c>
      <c r="J3223" s="195">
        <v>2.013001E-2</v>
      </c>
      <c r="K3223" s="195">
        <v>-4.9280359999999996</v>
      </c>
      <c r="L3223" s="195">
        <v>-1.4359710000000001</v>
      </c>
      <c r="M3223" s="195">
        <v>-8.1372200000000006E-2</v>
      </c>
      <c r="N3223" s="195">
        <v>-0.1476681</v>
      </c>
    </row>
    <row r="3224" spans="1:14" hidden="1" x14ac:dyDescent="0.35">
      <c r="A3224" s="52" t="s">
        <v>232</v>
      </c>
      <c r="B3224" s="52" t="s">
        <v>74</v>
      </c>
      <c r="C3224" s="52" t="s">
        <v>146</v>
      </c>
      <c r="D3224" s="52" t="s">
        <v>197</v>
      </c>
      <c r="E3224" s="52" t="s">
        <v>584</v>
      </c>
      <c r="F3224" s="52" t="s">
        <v>581</v>
      </c>
      <c r="G3224" s="195" t="s">
        <v>277</v>
      </c>
      <c r="H3224" s="195">
        <v>0.98421099999999995</v>
      </c>
      <c r="I3224" s="195">
        <v>0.76894149999999994</v>
      </c>
      <c r="J3224" s="195">
        <v>0.1392574</v>
      </c>
      <c r="K3224" s="195"/>
      <c r="L3224" s="195"/>
      <c r="M3224" s="195"/>
      <c r="N3224" s="195"/>
    </row>
    <row r="3225" spans="1:14" hidden="1" x14ac:dyDescent="0.35">
      <c r="A3225" s="52" t="s">
        <v>232</v>
      </c>
      <c r="B3225" s="52" t="s">
        <v>74</v>
      </c>
      <c r="C3225" s="52" t="s">
        <v>146</v>
      </c>
      <c r="D3225" s="52" t="s">
        <v>197</v>
      </c>
      <c r="E3225" s="52" t="s">
        <v>584</v>
      </c>
      <c r="F3225" s="52" t="s">
        <v>581</v>
      </c>
      <c r="G3225" s="195" t="s">
        <v>278</v>
      </c>
      <c r="H3225" s="195">
        <v>9.3425999999999995E-2</v>
      </c>
      <c r="I3225" s="195">
        <v>0.12757299999999999</v>
      </c>
      <c r="J3225" s="195">
        <v>0.12757299999999999</v>
      </c>
      <c r="K3225" s="195">
        <v>4.177657</v>
      </c>
      <c r="L3225" s="195">
        <v>1.509592</v>
      </c>
      <c r="M3225" s="195">
        <v>0.12757299999999999</v>
      </c>
      <c r="N3225" s="195">
        <v>0.12757299999999999</v>
      </c>
    </row>
    <row r="3226" spans="1:14" hidden="1" x14ac:dyDescent="0.35">
      <c r="A3226" s="52" t="s">
        <v>232</v>
      </c>
      <c r="B3226" s="52" t="s">
        <v>74</v>
      </c>
      <c r="C3226" s="52" t="s">
        <v>146</v>
      </c>
      <c r="D3226" s="52" t="s">
        <v>197</v>
      </c>
      <c r="E3226" s="52" t="s">
        <v>584</v>
      </c>
      <c r="F3226" s="52" t="s">
        <v>581</v>
      </c>
      <c r="G3226" s="195" t="s">
        <v>279</v>
      </c>
      <c r="H3226" s="195">
        <v>9.5283379999999998</v>
      </c>
      <c r="I3226" s="195">
        <v>8.0585550000000001</v>
      </c>
      <c r="J3226" s="195">
        <v>6.9483389999999998</v>
      </c>
      <c r="K3226" s="195">
        <v>7.5903049999999999</v>
      </c>
      <c r="L3226" s="195"/>
      <c r="M3226" s="195"/>
      <c r="N3226" s="195"/>
    </row>
    <row r="3227" spans="1:14" hidden="1" x14ac:dyDescent="0.35">
      <c r="A3227" s="52" t="s">
        <v>232</v>
      </c>
      <c r="B3227" s="52" t="s">
        <v>74</v>
      </c>
      <c r="C3227" s="52" t="s">
        <v>146</v>
      </c>
      <c r="D3227" s="52" t="s">
        <v>197</v>
      </c>
      <c r="E3227" s="52" t="s">
        <v>584</v>
      </c>
      <c r="F3227" s="52" t="s">
        <v>26</v>
      </c>
      <c r="G3227" s="195" t="s">
        <v>275</v>
      </c>
      <c r="H3227" s="195">
        <v>0.4232746</v>
      </c>
      <c r="I3227" s="195">
        <v>0.23401939999999999</v>
      </c>
      <c r="J3227" s="195">
        <v>0.1674213</v>
      </c>
      <c r="K3227" s="195">
        <v>0.12771660000000001</v>
      </c>
      <c r="L3227" s="195"/>
      <c r="M3227" s="195"/>
      <c r="N3227" s="195"/>
    </row>
    <row r="3228" spans="1:14" hidden="1" x14ac:dyDescent="0.35">
      <c r="A3228" s="52" t="s">
        <v>232</v>
      </c>
      <c r="B3228" s="52" t="s">
        <v>74</v>
      </c>
      <c r="C3228" s="52" t="s">
        <v>146</v>
      </c>
      <c r="D3228" s="52" t="s">
        <v>197</v>
      </c>
      <c r="E3228" s="52" t="s">
        <v>584</v>
      </c>
      <c r="F3228" s="52" t="s">
        <v>26</v>
      </c>
      <c r="G3228" s="195" t="s">
        <v>276</v>
      </c>
      <c r="H3228" s="195">
        <v>0.28218300000000002</v>
      </c>
      <c r="I3228" s="195">
        <v>0.1560127</v>
      </c>
      <c r="J3228" s="195">
        <v>0.11161409999999999</v>
      </c>
      <c r="K3228" s="195">
        <v>8.5144410000000004E-2</v>
      </c>
      <c r="L3228" s="195"/>
      <c r="M3228" s="195"/>
      <c r="N3228" s="195"/>
    </row>
    <row r="3229" spans="1:14" hidden="1" x14ac:dyDescent="0.35">
      <c r="A3229" s="52" t="s">
        <v>232</v>
      </c>
      <c r="B3229" s="52" t="s">
        <v>74</v>
      </c>
      <c r="C3229" s="52" t="s">
        <v>146</v>
      </c>
      <c r="D3229" s="52" t="s">
        <v>197</v>
      </c>
      <c r="E3229" s="52" t="s">
        <v>584</v>
      </c>
      <c r="F3229" s="52" t="s">
        <v>26</v>
      </c>
      <c r="G3229" s="195" t="s">
        <v>279</v>
      </c>
      <c r="H3229" s="195">
        <v>0.255328</v>
      </c>
      <c r="I3229" s="195">
        <v>0.19849749999999999</v>
      </c>
      <c r="J3229" s="195">
        <v>0.1376685</v>
      </c>
      <c r="K3229" s="195">
        <v>0.1159155</v>
      </c>
      <c r="L3229" s="195"/>
      <c r="M3229" s="195"/>
      <c r="N3229" s="195"/>
    </row>
    <row r="3230" spans="1:14" hidden="1" x14ac:dyDescent="0.35">
      <c r="A3230" s="52" t="s">
        <v>232</v>
      </c>
      <c r="B3230" s="52" t="s">
        <v>74</v>
      </c>
      <c r="C3230" s="52" t="s">
        <v>146</v>
      </c>
      <c r="D3230" s="52" t="s">
        <v>147</v>
      </c>
      <c r="E3230" s="52" t="s">
        <v>584</v>
      </c>
      <c r="F3230" s="52" t="s">
        <v>581</v>
      </c>
      <c r="G3230" s="195" t="s">
        <v>275</v>
      </c>
      <c r="H3230" s="195">
        <v>-6.1929999999999997E-3</v>
      </c>
      <c r="I3230" s="195">
        <v>-8.456E-3</v>
      </c>
      <c r="J3230" s="195">
        <v>0</v>
      </c>
      <c r="K3230" s="195">
        <v>0</v>
      </c>
      <c r="L3230" s="195">
        <v>0</v>
      </c>
      <c r="M3230" s="195">
        <v>0</v>
      </c>
      <c r="N3230" s="195">
        <v>0</v>
      </c>
    </row>
    <row r="3231" spans="1:14" hidden="1" x14ac:dyDescent="0.35">
      <c r="A3231" s="52" t="s">
        <v>232</v>
      </c>
      <c r="B3231" s="52" t="s">
        <v>74</v>
      </c>
      <c r="C3231" s="52" t="s">
        <v>146</v>
      </c>
      <c r="D3231" s="52" t="s">
        <v>147</v>
      </c>
      <c r="E3231" s="52" t="s">
        <v>584</v>
      </c>
      <c r="F3231" s="52" t="s">
        <v>581</v>
      </c>
      <c r="G3231" s="195" t="s">
        <v>276</v>
      </c>
      <c r="H3231" s="195">
        <v>-4.1279999999999997E-3</v>
      </c>
      <c r="I3231" s="195">
        <v>-5.6380010000000001E-3</v>
      </c>
      <c r="J3231" s="195">
        <v>-1.4093E-2</v>
      </c>
      <c r="K3231" s="195">
        <v>-1.4093E-2</v>
      </c>
      <c r="L3231" s="195">
        <v>-1.4093E-2</v>
      </c>
      <c r="M3231" s="195">
        <v>-1.4093E-2</v>
      </c>
      <c r="N3231" s="195">
        <v>-1.4094000000000001E-2</v>
      </c>
    </row>
    <row r="3232" spans="1:14" hidden="1" x14ac:dyDescent="0.35">
      <c r="A3232" s="52" t="s">
        <v>232</v>
      </c>
      <c r="B3232" s="52" t="s">
        <v>74</v>
      </c>
      <c r="C3232" s="52" t="s">
        <v>146</v>
      </c>
      <c r="D3232" s="52" t="s">
        <v>147</v>
      </c>
      <c r="E3232" s="52" t="s">
        <v>584</v>
      </c>
      <c r="F3232" s="52" t="s">
        <v>581</v>
      </c>
      <c r="G3232" s="195" t="s">
        <v>278</v>
      </c>
      <c r="H3232" s="195">
        <v>1.0321E-2</v>
      </c>
      <c r="I3232" s="195">
        <v>1.4093E-2</v>
      </c>
      <c r="J3232" s="195">
        <v>1.4093E-2</v>
      </c>
      <c r="K3232" s="195">
        <v>1.4093E-2</v>
      </c>
      <c r="L3232" s="195">
        <v>1.4093E-2</v>
      </c>
      <c r="M3232" s="195">
        <v>1.4093E-2</v>
      </c>
      <c r="N3232" s="195">
        <v>1.4093E-2</v>
      </c>
    </row>
    <row r="3233" spans="1:14" hidden="1" x14ac:dyDescent="0.35">
      <c r="A3233" s="52" t="s">
        <v>232</v>
      </c>
      <c r="B3233" s="52" t="s">
        <v>74</v>
      </c>
      <c r="C3233" s="52" t="s">
        <v>318</v>
      </c>
      <c r="D3233" s="52" t="s">
        <v>318</v>
      </c>
      <c r="E3233" s="52" t="s">
        <v>584</v>
      </c>
      <c r="F3233" s="52" t="s">
        <v>581</v>
      </c>
      <c r="G3233" s="195" t="s">
        <v>275</v>
      </c>
      <c r="H3233" s="195">
        <v>0</v>
      </c>
      <c r="I3233" s="195"/>
      <c r="J3233" s="195"/>
      <c r="K3233" s="195"/>
      <c r="L3233" s="195"/>
      <c r="M3233" s="195"/>
      <c r="N3233" s="195"/>
    </row>
    <row r="3234" spans="1:14" hidden="1" x14ac:dyDescent="0.35">
      <c r="A3234" s="52" t="s">
        <v>232</v>
      </c>
      <c r="B3234" s="52" t="s">
        <v>74</v>
      </c>
      <c r="C3234" s="52" t="s">
        <v>318</v>
      </c>
      <c r="D3234" s="52" t="s">
        <v>318</v>
      </c>
      <c r="E3234" s="52" t="s">
        <v>584</v>
      </c>
      <c r="F3234" s="52" t="s">
        <v>581</v>
      </c>
      <c r="G3234" s="195" t="s">
        <v>276</v>
      </c>
      <c r="H3234" s="195">
        <v>0</v>
      </c>
      <c r="I3234" s="195"/>
      <c r="J3234" s="195"/>
      <c r="K3234" s="195"/>
      <c r="L3234" s="195"/>
      <c r="M3234" s="195"/>
      <c r="N3234" s="195"/>
    </row>
    <row r="3235" spans="1:14" hidden="1" x14ac:dyDescent="0.35">
      <c r="A3235" s="52" t="s">
        <v>232</v>
      </c>
      <c r="B3235" s="52" t="s">
        <v>74</v>
      </c>
      <c r="C3235" s="52" t="s">
        <v>318</v>
      </c>
      <c r="D3235" s="52" t="s">
        <v>318</v>
      </c>
      <c r="E3235" s="52" t="s">
        <v>584</v>
      </c>
      <c r="F3235" s="52" t="s">
        <v>581</v>
      </c>
      <c r="G3235" s="195" t="s">
        <v>278</v>
      </c>
      <c r="H3235" s="195">
        <v>0</v>
      </c>
      <c r="I3235" s="195"/>
      <c r="J3235" s="195"/>
      <c r="K3235" s="195"/>
      <c r="L3235" s="195"/>
      <c r="M3235" s="195"/>
      <c r="N3235" s="195"/>
    </row>
    <row r="3236" spans="1:14" hidden="1" x14ac:dyDescent="0.35">
      <c r="A3236" s="52" t="s">
        <v>232</v>
      </c>
      <c r="B3236" s="52" t="s">
        <v>74</v>
      </c>
      <c r="C3236" s="52" t="s">
        <v>318</v>
      </c>
      <c r="D3236" s="52" t="s">
        <v>318</v>
      </c>
      <c r="E3236" s="52" t="s">
        <v>584</v>
      </c>
      <c r="F3236" s="52" t="s">
        <v>26</v>
      </c>
      <c r="G3236" s="195" t="s">
        <v>275</v>
      </c>
      <c r="H3236" s="195">
        <v>0</v>
      </c>
      <c r="I3236" s="195"/>
      <c r="J3236" s="195"/>
      <c r="K3236" s="195"/>
      <c r="L3236" s="195"/>
      <c r="M3236" s="195"/>
      <c r="N3236" s="195"/>
    </row>
    <row r="3237" spans="1:14" hidden="1" x14ac:dyDescent="0.35">
      <c r="A3237" s="52" t="s">
        <v>232</v>
      </c>
      <c r="B3237" s="52" t="s">
        <v>74</v>
      </c>
      <c r="C3237" s="52" t="s">
        <v>318</v>
      </c>
      <c r="D3237" s="52" t="s">
        <v>318</v>
      </c>
      <c r="E3237" s="52" t="s">
        <v>584</v>
      </c>
      <c r="F3237" s="52" t="s">
        <v>26</v>
      </c>
      <c r="G3237" s="195" t="s">
        <v>276</v>
      </c>
      <c r="H3237" s="195">
        <v>0</v>
      </c>
      <c r="I3237" s="195"/>
      <c r="J3237" s="195"/>
      <c r="K3237" s="195"/>
      <c r="L3237" s="195"/>
      <c r="M3237" s="195"/>
      <c r="N3237" s="195"/>
    </row>
    <row r="3238" spans="1:14" hidden="1" x14ac:dyDescent="0.35">
      <c r="A3238" s="52" t="s">
        <v>232</v>
      </c>
      <c r="B3238" s="52" t="s">
        <v>74</v>
      </c>
      <c r="C3238" s="52" t="s">
        <v>318</v>
      </c>
      <c r="D3238" s="52" t="s">
        <v>318</v>
      </c>
      <c r="E3238" s="52" t="s">
        <v>584</v>
      </c>
      <c r="F3238" s="52" t="s">
        <v>26</v>
      </c>
      <c r="G3238" s="195" t="s">
        <v>278</v>
      </c>
      <c r="H3238" s="195">
        <v>0</v>
      </c>
      <c r="I3238" s="195"/>
      <c r="J3238" s="195"/>
      <c r="K3238" s="195"/>
      <c r="L3238" s="195"/>
      <c r="M3238" s="195"/>
      <c r="N3238" s="195"/>
    </row>
    <row r="3239" spans="1:14" hidden="1" x14ac:dyDescent="0.35">
      <c r="A3239" s="52" t="s">
        <v>232</v>
      </c>
      <c r="B3239" s="52" t="s">
        <v>291</v>
      </c>
      <c r="C3239" s="52" t="s">
        <v>102</v>
      </c>
      <c r="D3239" s="52" t="s">
        <v>102</v>
      </c>
      <c r="E3239" s="52" t="s">
        <v>584</v>
      </c>
      <c r="F3239" s="52" t="s">
        <v>581</v>
      </c>
      <c r="G3239" s="195" t="s">
        <v>275</v>
      </c>
      <c r="H3239" s="195">
        <v>-36.0565</v>
      </c>
      <c r="I3239" s="195">
        <v>-270.65230000000003</v>
      </c>
      <c r="J3239" s="195">
        <v>0</v>
      </c>
      <c r="K3239" s="195">
        <v>0</v>
      </c>
      <c r="L3239" s="195">
        <v>0</v>
      </c>
      <c r="M3239" s="195">
        <v>0</v>
      </c>
      <c r="N3239" s="195">
        <v>0</v>
      </c>
    </row>
    <row r="3240" spans="1:14" hidden="1" x14ac:dyDescent="0.35">
      <c r="A3240" s="52" t="s">
        <v>232</v>
      </c>
      <c r="B3240" s="52" t="s">
        <v>291</v>
      </c>
      <c r="C3240" s="52" t="s">
        <v>102</v>
      </c>
      <c r="D3240" s="52" t="s">
        <v>102</v>
      </c>
      <c r="E3240" s="52" t="s">
        <v>584</v>
      </c>
      <c r="F3240" s="52" t="s">
        <v>581</v>
      </c>
      <c r="G3240" s="195" t="s">
        <v>276</v>
      </c>
      <c r="H3240" s="195"/>
      <c r="I3240" s="195"/>
      <c r="J3240" s="195">
        <v>-7.928776</v>
      </c>
      <c r="K3240" s="195">
        <v>-7.928776</v>
      </c>
      <c r="L3240" s="195">
        <v>-7.9537750000000003</v>
      </c>
      <c r="M3240" s="195">
        <v>-0.30843670000000001</v>
      </c>
      <c r="N3240" s="195">
        <v>-1.033436</v>
      </c>
    </row>
    <row r="3241" spans="1:14" hidden="1" x14ac:dyDescent="0.35">
      <c r="A3241" s="52" t="s">
        <v>232</v>
      </c>
      <c r="B3241" s="52" t="s">
        <v>291</v>
      </c>
      <c r="C3241" s="52" t="s">
        <v>102</v>
      </c>
      <c r="D3241" s="52" t="s">
        <v>102</v>
      </c>
      <c r="E3241" s="52" t="s">
        <v>584</v>
      </c>
      <c r="F3241" s="52" t="s">
        <v>581</v>
      </c>
      <c r="G3241" s="195" t="s">
        <v>277</v>
      </c>
      <c r="H3241" s="195"/>
      <c r="I3241" s="195">
        <v>0</v>
      </c>
      <c r="J3241" s="195">
        <v>0</v>
      </c>
      <c r="K3241" s="195">
        <v>0</v>
      </c>
      <c r="L3241" s="195">
        <v>2.5000000000000001E-2</v>
      </c>
      <c r="M3241" s="195">
        <v>4.7500000000000001E-2</v>
      </c>
      <c r="N3241" s="195">
        <v>0.77249999999999996</v>
      </c>
    </row>
    <row r="3242" spans="1:14" hidden="1" x14ac:dyDescent="0.35">
      <c r="A3242" s="52" t="s">
        <v>232</v>
      </c>
      <c r="B3242" s="52" t="s">
        <v>291</v>
      </c>
      <c r="C3242" s="52" t="s">
        <v>102</v>
      </c>
      <c r="D3242" s="52" t="s">
        <v>102</v>
      </c>
      <c r="E3242" s="52" t="s">
        <v>584</v>
      </c>
      <c r="F3242" s="52" t="s">
        <v>581</v>
      </c>
      <c r="G3242" s="195" t="s">
        <v>278</v>
      </c>
      <c r="H3242" s="195">
        <v>36.056510000000003</v>
      </c>
      <c r="I3242" s="195">
        <v>270.65230000000003</v>
      </c>
      <c r="J3242" s="195">
        <v>7.928776</v>
      </c>
      <c r="K3242" s="195">
        <v>7.928776</v>
      </c>
      <c r="L3242" s="195">
        <v>7.928776</v>
      </c>
      <c r="M3242" s="195">
        <v>0.26093670000000002</v>
      </c>
      <c r="N3242" s="195">
        <v>0.26093719999999998</v>
      </c>
    </row>
    <row r="3243" spans="1:14" hidden="1" x14ac:dyDescent="0.35">
      <c r="A3243" s="52" t="s">
        <v>232</v>
      </c>
      <c r="B3243" s="52" t="s">
        <v>291</v>
      </c>
      <c r="C3243" s="52" t="s">
        <v>102</v>
      </c>
      <c r="D3243" s="52" t="s">
        <v>102</v>
      </c>
      <c r="E3243" s="52" t="s">
        <v>584</v>
      </c>
      <c r="F3243" s="52" t="s">
        <v>581</v>
      </c>
      <c r="G3243" s="195" t="s">
        <v>279</v>
      </c>
      <c r="H3243" s="195"/>
      <c r="I3243" s="195"/>
      <c r="J3243" s="195"/>
      <c r="K3243" s="195"/>
      <c r="L3243" s="195"/>
      <c r="M3243" s="195"/>
      <c r="N3243" s="195">
        <v>0</v>
      </c>
    </row>
    <row r="3244" spans="1:14" hidden="1" x14ac:dyDescent="0.35">
      <c r="A3244" s="52" t="s">
        <v>232</v>
      </c>
      <c r="B3244" s="52" t="s">
        <v>291</v>
      </c>
      <c r="C3244" s="52" t="s">
        <v>102</v>
      </c>
      <c r="D3244" s="52" t="s">
        <v>102</v>
      </c>
      <c r="E3244" s="52" t="s">
        <v>584</v>
      </c>
      <c r="F3244" s="52" t="s">
        <v>26</v>
      </c>
      <c r="G3244" s="195" t="s">
        <v>275</v>
      </c>
      <c r="H3244" s="195"/>
      <c r="I3244" s="195"/>
      <c r="J3244" s="195"/>
      <c r="K3244" s="195"/>
      <c r="L3244" s="195"/>
      <c r="M3244" s="195"/>
      <c r="N3244" s="195">
        <v>0</v>
      </c>
    </row>
    <row r="3245" spans="1:14" hidden="1" x14ac:dyDescent="0.35">
      <c r="A3245" s="52" t="s">
        <v>232</v>
      </c>
      <c r="B3245" s="52" t="s">
        <v>291</v>
      </c>
      <c r="C3245" s="52" t="s">
        <v>102</v>
      </c>
      <c r="D3245" s="52" t="s">
        <v>102</v>
      </c>
      <c r="E3245" s="52" t="s">
        <v>584</v>
      </c>
      <c r="F3245" s="52" t="s">
        <v>26</v>
      </c>
      <c r="G3245" s="195" t="s">
        <v>276</v>
      </c>
      <c r="H3245" s="195"/>
      <c r="I3245" s="195"/>
      <c r="J3245" s="195"/>
      <c r="K3245" s="195"/>
      <c r="L3245" s="195"/>
      <c r="M3245" s="195"/>
      <c r="N3245" s="195">
        <v>0</v>
      </c>
    </row>
    <row r="3246" spans="1:14" hidden="1" x14ac:dyDescent="0.35">
      <c r="A3246" s="52" t="s">
        <v>232</v>
      </c>
      <c r="B3246" s="52" t="s">
        <v>291</v>
      </c>
      <c r="C3246" s="52" t="s">
        <v>102</v>
      </c>
      <c r="D3246" s="52" t="s">
        <v>102</v>
      </c>
      <c r="E3246" s="52" t="s">
        <v>584</v>
      </c>
      <c r="F3246" s="52" t="s">
        <v>26</v>
      </c>
      <c r="G3246" s="195" t="s">
        <v>277</v>
      </c>
      <c r="H3246" s="195"/>
      <c r="I3246" s="195"/>
      <c r="J3246" s="195"/>
      <c r="K3246" s="195"/>
      <c r="L3246" s="195"/>
      <c r="M3246" s="195"/>
      <c r="N3246" s="195">
        <v>0</v>
      </c>
    </row>
    <row r="3247" spans="1:14" hidden="1" x14ac:dyDescent="0.35">
      <c r="A3247" s="52" t="s">
        <v>232</v>
      </c>
      <c r="B3247" s="52" t="s">
        <v>291</v>
      </c>
      <c r="C3247" s="52" t="s">
        <v>102</v>
      </c>
      <c r="D3247" s="52" t="s">
        <v>102</v>
      </c>
      <c r="E3247" s="52" t="s">
        <v>584</v>
      </c>
      <c r="F3247" s="52" t="s">
        <v>26</v>
      </c>
      <c r="G3247" s="195" t="s">
        <v>279</v>
      </c>
      <c r="H3247" s="195"/>
      <c r="I3247" s="195"/>
      <c r="J3247" s="195"/>
      <c r="K3247" s="195"/>
      <c r="L3247" s="195"/>
      <c r="M3247" s="195"/>
      <c r="N3247" s="195">
        <v>0</v>
      </c>
    </row>
    <row r="3248" spans="1:14" hidden="1" x14ac:dyDescent="0.35">
      <c r="A3248" s="52" t="s">
        <v>232</v>
      </c>
      <c r="B3248" s="52" t="s">
        <v>291</v>
      </c>
      <c r="C3248" s="52" t="s">
        <v>318</v>
      </c>
      <c r="D3248" s="52" t="s">
        <v>318</v>
      </c>
      <c r="E3248" s="52" t="s">
        <v>584</v>
      </c>
      <c r="F3248" s="52" t="s">
        <v>581</v>
      </c>
      <c r="G3248" s="195" t="s">
        <v>275</v>
      </c>
      <c r="H3248" s="195">
        <v>0</v>
      </c>
      <c r="I3248" s="195"/>
      <c r="J3248" s="195"/>
      <c r="K3248" s="195"/>
      <c r="L3248" s="195"/>
      <c r="M3248" s="195"/>
      <c r="N3248" s="195"/>
    </row>
    <row r="3249" spans="1:14" hidden="1" x14ac:dyDescent="0.35">
      <c r="A3249" s="52" t="s">
        <v>232</v>
      </c>
      <c r="B3249" s="52" t="s">
        <v>291</v>
      </c>
      <c r="C3249" s="52" t="s">
        <v>318</v>
      </c>
      <c r="D3249" s="52" t="s">
        <v>318</v>
      </c>
      <c r="E3249" s="52" t="s">
        <v>584</v>
      </c>
      <c r="F3249" s="52" t="s">
        <v>581</v>
      </c>
      <c r="G3249" s="195" t="s">
        <v>278</v>
      </c>
      <c r="H3249" s="195">
        <v>0</v>
      </c>
      <c r="I3249" s="195"/>
      <c r="J3249" s="195"/>
      <c r="K3249" s="195"/>
      <c r="L3249" s="195"/>
      <c r="M3249" s="195"/>
      <c r="N3249" s="195"/>
    </row>
    <row r="3250" spans="1:14" hidden="1" x14ac:dyDescent="0.35">
      <c r="A3250" s="52" t="s">
        <v>232</v>
      </c>
      <c r="B3250" s="52" t="s">
        <v>291</v>
      </c>
      <c r="C3250" s="52" t="s">
        <v>318</v>
      </c>
      <c r="D3250" s="52" t="s">
        <v>318</v>
      </c>
      <c r="E3250" s="52" t="s">
        <v>584</v>
      </c>
      <c r="F3250" s="52" t="s">
        <v>26</v>
      </c>
      <c r="G3250" s="195" t="s">
        <v>275</v>
      </c>
      <c r="H3250" s="195">
        <v>0</v>
      </c>
      <c r="I3250" s="195"/>
      <c r="J3250" s="195"/>
      <c r="K3250" s="195"/>
      <c r="L3250" s="195"/>
      <c r="M3250" s="195"/>
      <c r="N3250" s="195"/>
    </row>
    <row r="3251" spans="1:14" hidden="1" x14ac:dyDescent="0.35">
      <c r="A3251" s="52" t="s">
        <v>232</v>
      </c>
      <c r="B3251" s="52" t="s">
        <v>291</v>
      </c>
      <c r="C3251" s="52" t="s">
        <v>318</v>
      </c>
      <c r="D3251" s="52" t="s">
        <v>318</v>
      </c>
      <c r="E3251" s="52" t="s">
        <v>584</v>
      </c>
      <c r="F3251" s="52" t="s">
        <v>26</v>
      </c>
      <c r="G3251" s="195" t="s">
        <v>278</v>
      </c>
      <c r="H3251" s="195">
        <v>0</v>
      </c>
      <c r="I3251" s="195"/>
      <c r="J3251" s="195"/>
      <c r="K3251" s="195"/>
      <c r="L3251" s="195"/>
      <c r="M3251" s="195"/>
      <c r="N3251" s="195"/>
    </row>
    <row r="3252" spans="1:14" hidden="1" x14ac:dyDescent="0.35">
      <c r="A3252" s="52" t="s">
        <v>232</v>
      </c>
      <c r="B3252" s="52" t="s">
        <v>366</v>
      </c>
      <c r="C3252" s="52" t="s">
        <v>318</v>
      </c>
      <c r="D3252" s="52" t="s">
        <v>318</v>
      </c>
      <c r="E3252" s="52" t="s">
        <v>584</v>
      </c>
      <c r="F3252" s="52" t="s">
        <v>581</v>
      </c>
      <c r="G3252" s="195" t="s">
        <v>275</v>
      </c>
      <c r="H3252" s="195">
        <v>0</v>
      </c>
      <c r="I3252" s="195"/>
      <c r="J3252" s="195"/>
      <c r="K3252" s="195"/>
      <c r="L3252" s="195"/>
      <c r="M3252" s="195"/>
      <c r="N3252" s="195"/>
    </row>
    <row r="3253" spans="1:14" hidden="1" x14ac:dyDescent="0.35">
      <c r="A3253" s="52" t="s">
        <v>232</v>
      </c>
      <c r="B3253" s="52" t="s">
        <v>366</v>
      </c>
      <c r="C3253" s="52" t="s">
        <v>318</v>
      </c>
      <c r="D3253" s="52" t="s">
        <v>318</v>
      </c>
      <c r="E3253" s="52" t="s">
        <v>584</v>
      </c>
      <c r="F3253" s="52" t="s">
        <v>581</v>
      </c>
      <c r="G3253" s="195" t="s">
        <v>278</v>
      </c>
      <c r="H3253" s="195">
        <v>0</v>
      </c>
      <c r="I3253" s="195"/>
      <c r="J3253" s="195"/>
      <c r="K3253" s="195"/>
      <c r="L3253" s="195"/>
      <c r="M3253" s="195"/>
      <c r="N3253" s="195"/>
    </row>
    <row r="3254" spans="1:14" hidden="1" x14ac:dyDescent="0.35">
      <c r="A3254" s="52" t="s">
        <v>232</v>
      </c>
      <c r="B3254" s="52" t="s">
        <v>366</v>
      </c>
      <c r="C3254" s="52" t="s">
        <v>318</v>
      </c>
      <c r="D3254" s="52" t="s">
        <v>318</v>
      </c>
      <c r="E3254" s="52" t="s">
        <v>584</v>
      </c>
      <c r="F3254" s="52" t="s">
        <v>26</v>
      </c>
      <c r="G3254" s="195" t="s">
        <v>275</v>
      </c>
      <c r="H3254" s="195">
        <v>0</v>
      </c>
      <c r="I3254" s="195"/>
      <c r="J3254" s="195"/>
      <c r="K3254" s="195"/>
      <c r="L3254" s="195"/>
      <c r="M3254" s="195"/>
      <c r="N3254" s="195"/>
    </row>
    <row r="3255" spans="1:14" hidden="1" x14ac:dyDescent="0.35">
      <c r="A3255" s="52" t="s">
        <v>232</v>
      </c>
      <c r="B3255" s="52" t="s">
        <v>366</v>
      </c>
      <c r="C3255" s="52" t="s">
        <v>314</v>
      </c>
      <c r="D3255" s="52" t="s">
        <v>314</v>
      </c>
      <c r="E3255" s="52" t="s">
        <v>584</v>
      </c>
      <c r="F3255" s="52" t="s">
        <v>26</v>
      </c>
      <c r="G3255" s="195" t="s">
        <v>275</v>
      </c>
      <c r="H3255" s="195">
        <v>-7.5013999999999997E-2</v>
      </c>
      <c r="I3255" s="195">
        <v>-7.5013999999999997E-2</v>
      </c>
      <c r="J3255" s="195">
        <v>0</v>
      </c>
      <c r="K3255" s="195">
        <v>0</v>
      </c>
      <c r="L3255" s="195">
        <v>0</v>
      </c>
      <c r="M3255" s="195">
        <v>0</v>
      </c>
      <c r="N3255" s="195">
        <v>0</v>
      </c>
    </row>
    <row r="3256" spans="1:14" hidden="1" x14ac:dyDescent="0.35">
      <c r="A3256" s="52" t="s">
        <v>232</v>
      </c>
      <c r="B3256" s="52" t="s">
        <v>366</v>
      </c>
      <c r="C3256" s="52" t="s">
        <v>314</v>
      </c>
      <c r="D3256" s="52" t="s">
        <v>314</v>
      </c>
      <c r="E3256" s="52" t="s">
        <v>584</v>
      </c>
      <c r="F3256" s="52" t="s">
        <v>26</v>
      </c>
      <c r="G3256" s="195" t="s">
        <v>277</v>
      </c>
      <c r="H3256" s="195"/>
      <c r="I3256" s="195"/>
      <c r="J3256" s="195"/>
      <c r="K3256" s="195"/>
      <c r="L3256" s="195"/>
      <c r="M3256" s="195">
        <v>0</v>
      </c>
      <c r="N3256" s="195">
        <v>0</v>
      </c>
    </row>
    <row r="3257" spans="1:14" hidden="1" x14ac:dyDescent="0.35">
      <c r="A3257" s="52" t="s">
        <v>232</v>
      </c>
      <c r="B3257" s="52" t="s">
        <v>366</v>
      </c>
      <c r="C3257" s="52" t="s">
        <v>318</v>
      </c>
      <c r="D3257" s="52" t="s">
        <v>318</v>
      </c>
      <c r="E3257" s="52" t="s">
        <v>584</v>
      </c>
      <c r="F3257" s="52" t="s">
        <v>26</v>
      </c>
      <c r="G3257" s="195" t="s">
        <v>278</v>
      </c>
      <c r="H3257" s="195">
        <v>0</v>
      </c>
      <c r="I3257" s="195"/>
      <c r="J3257" s="195"/>
      <c r="K3257" s="195"/>
      <c r="L3257" s="195"/>
      <c r="M3257" s="195"/>
      <c r="N3257" s="195"/>
    </row>
    <row r="3258" spans="1:14" hidden="1" x14ac:dyDescent="0.35">
      <c r="A3258" s="52" t="s">
        <v>232</v>
      </c>
      <c r="B3258" s="52" t="s">
        <v>366</v>
      </c>
      <c r="C3258" s="52" t="s">
        <v>314</v>
      </c>
      <c r="D3258" s="52" t="s">
        <v>314</v>
      </c>
      <c r="E3258" s="52" t="s">
        <v>584</v>
      </c>
      <c r="F3258" s="52" t="s">
        <v>26</v>
      </c>
      <c r="G3258" s="195" t="s">
        <v>278</v>
      </c>
      <c r="H3258" s="195">
        <v>7.5013999999999997E-2</v>
      </c>
      <c r="I3258" s="195">
        <v>7.5013999999999997E-2</v>
      </c>
      <c r="J3258" s="195">
        <v>0</v>
      </c>
      <c r="K3258" s="195">
        <v>0</v>
      </c>
      <c r="L3258" s="195">
        <v>0</v>
      </c>
      <c r="M3258" s="195">
        <v>0</v>
      </c>
      <c r="N3258" s="195">
        <v>0</v>
      </c>
    </row>
    <row r="3259" spans="1:14" hidden="1" x14ac:dyDescent="0.35">
      <c r="A3259" s="52" t="s">
        <v>672</v>
      </c>
      <c r="B3259" s="52" t="s">
        <v>73</v>
      </c>
      <c r="C3259" s="52" t="s">
        <v>87</v>
      </c>
      <c r="D3259" s="52" t="s">
        <v>132</v>
      </c>
      <c r="E3259" s="52" t="s">
        <v>584</v>
      </c>
      <c r="F3259" s="52" t="s">
        <v>581</v>
      </c>
      <c r="G3259" s="195" t="s">
        <v>275</v>
      </c>
      <c r="H3259" s="195">
        <v>-325.84070000000003</v>
      </c>
      <c r="I3259" s="195">
        <v>-159.25739999999999</v>
      </c>
      <c r="J3259" s="195">
        <v>43.193170000000002</v>
      </c>
      <c r="K3259" s="195">
        <v>91.483779999999996</v>
      </c>
      <c r="L3259" s="195">
        <v>132.53469999999999</v>
      </c>
      <c r="M3259" s="195">
        <v>91.969110000000001</v>
      </c>
      <c r="N3259" s="195">
        <v>70.711849999999998</v>
      </c>
    </row>
    <row r="3260" spans="1:14" hidden="1" x14ac:dyDescent="0.35">
      <c r="A3260" s="52" t="s">
        <v>672</v>
      </c>
      <c r="B3260" s="52" t="s">
        <v>73</v>
      </c>
      <c r="C3260" s="52" t="s">
        <v>87</v>
      </c>
      <c r="D3260" s="52" t="s">
        <v>132</v>
      </c>
      <c r="E3260" s="52" t="s">
        <v>584</v>
      </c>
      <c r="F3260" s="52" t="s">
        <v>581</v>
      </c>
      <c r="G3260" s="195" t="s">
        <v>276</v>
      </c>
      <c r="H3260" s="195">
        <v>33.680590000000002</v>
      </c>
      <c r="I3260" s="195">
        <v>-292.95870000000002</v>
      </c>
      <c r="J3260" s="195">
        <v>-327.41449999999998</v>
      </c>
      <c r="K3260" s="195">
        <v>-404.58249999999998</v>
      </c>
      <c r="L3260" s="195">
        <v>-393.39449999999999</v>
      </c>
      <c r="M3260" s="195">
        <v>-329.58030000000002</v>
      </c>
      <c r="N3260" s="195">
        <v>-218.11340000000001</v>
      </c>
    </row>
    <row r="3261" spans="1:14" hidden="1" x14ac:dyDescent="0.35">
      <c r="A3261" s="52" t="s">
        <v>672</v>
      </c>
      <c r="B3261" s="52" t="s">
        <v>73</v>
      </c>
      <c r="C3261" s="52" t="s">
        <v>87</v>
      </c>
      <c r="D3261" s="52" t="s">
        <v>132</v>
      </c>
      <c r="E3261" s="52" t="s">
        <v>584</v>
      </c>
      <c r="F3261" s="52" t="s">
        <v>581</v>
      </c>
      <c r="G3261" s="195" t="s">
        <v>277</v>
      </c>
      <c r="H3261" s="195">
        <v>668.53440000000001</v>
      </c>
      <c r="I3261" s="195">
        <v>450</v>
      </c>
      <c r="J3261" s="195">
        <v>270</v>
      </c>
      <c r="K3261" s="195">
        <v>225</v>
      </c>
      <c r="L3261" s="195">
        <v>166.4195</v>
      </c>
      <c r="M3261" s="195">
        <v>170.74340000000001</v>
      </c>
      <c r="N3261" s="195">
        <v>127.9242</v>
      </c>
    </row>
    <row r="3262" spans="1:14" hidden="1" x14ac:dyDescent="0.35">
      <c r="A3262" s="52" t="s">
        <v>672</v>
      </c>
      <c r="B3262" s="52" t="s">
        <v>73</v>
      </c>
      <c r="C3262" s="52" t="s">
        <v>87</v>
      </c>
      <c r="D3262" s="52" t="s">
        <v>132</v>
      </c>
      <c r="E3262" s="52" t="s">
        <v>584</v>
      </c>
      <c r="F3262" s="52" t="s">
        <v>581</v>
      </c>
      <c r="G3262" s="195" t="s">
        <v>278</v>
      </c>
      <c r="H3262" s="195">
        <v>6.9399890000000006E-2</v>
      </c>
      <c r="I3262" s="195"/>
      <c r="J3262" s="195"/>
      <c r="K3262" s="195"/>
      <c r="L3262" s="195"/>
      <c r="M3262" s="195"/>
      <c r="N3262" s="195"/>
    </row>
    <row r="3263" spans="1:14" hidden="1" x14ac:dyDescent="0.35">
      <c r="A3263" s="52" t="s">
        <v>672</v>
      </c>
      <c r="B3263" s="52" t="s">
        <v>73</v>
      </c>
      <c r="C3263" s="52" t="s">
        <v>87</v>
      </c>
      <c r="D3263" s="52" t="s">
        <v>132</v>
      </c>
      <c r="E3263" s="52" t="s">
        <v>584</v>
      </c>
      <c r="F3263" s="52" t="s">
        <v>581</v>
      </c>
      <c r="G3263" s="195" t="s">
        <v>279</v>
      </c>
      <c r="H3263" s="195">
        <v>409.68900000000002</v>
      </c>
      <c r="I3263" s="195">
        <v>478.9443</v>
      </c>
      <c r="J3263" s="195">
        <v>524.23969999999997</v>
      </c>
      <c r="K3263" s="195">
        <v>551.94110000000001</v>
      </c>
      <c r="L3263" s="195">
        <v>509.48070000000001</v>
      </c>
      <c r="M3263" s="195">
        <v>430.37479999999999</v>
      </c>
      <c r="N3263" s="195">
        <v>460.9434</v>
      </c>
    </row>
    <row r="3264" spans="1:14" hidden="1" x14ac:dyDescent="0.35">
      <c r="A3264" s="52" t="s">
        <v>672</v>
      </c>
      <c r="B3264" s="52" t="s">
        <v>73</v>
      </c>
      <c r="C3264" s="52" t="s">
        <v>87</v>
      </c>
      <c r="D3264" s="52" t="s">
        <v>132</v>
      </c>
      <c r="E3264" s="52" t="s">
        <v>584</v>
      </c>
      <c r="F3264" s="52" t="s">
        <v>26</v>
      </c>
      <c r="G3264" s="195" t="s">
        <v>275</v>
      </c>
      <c r="H3264" s="195">
        <v>9.1074129999999993</v>
      </c>
      <c r="I3264" s="195">
        <v>7.7809299999999997</v>
      </c>
      <c r="J3264" s="195">
        <v>11.48376</v>
      </c>
      <c r="K3264" s="195">
        <v>10.48935</v>
      </c>
      <c r="L3264" s="195">
        <v>10.001440000000001</v>
      </c>
      <c r="M3264" s="195">
        <v>8.7457170000000009</v>
      </c>
      <c r="N3264" s="195">
        <v>10.669409999999999</v>
      </c>
    </row>
    <row r="3265" spans="1:14" hidden="1" x14ac:dyDescent="0.35">
      <c r="A3265" s="52" t="s">
        <v>672</v>
      </c>
      <c r="B3265" s="52" t="s">
        <v>73</v>
      </c>
      <c r="C3265" s="52" t="s">
        <v>87</v>
      </c>
      <c r="D3265" s="52" t="s">
        <v>132</v>
      </c>
      <c r="E3265" s="52" t="s">
        <v>584</v>
      </c>
      <c r="F3265" s="52" t="s">
        <v>26</v>
      </c>
      <c r="G3265" s="195" t="s">
        <v>276</v>
      </c>
      <c r="H3265" s="195">
        <v>32.582140000000003</v>
      </c>
      <c r="I3265" s="195">
        <v>27.844290000000001</v>
      </c>
      <c r="J3265" s="195">
        <v>41.053930000000001</v>
      </c>
      <c r="K3265" s="195">
        <v>37.500549999999997</v>
      </c>
      <c r="L3265" s="195">
        <v>35.731180000000002</v>
      </c>
      <c r="M3265" s="195">
        <v>31.196169999999999</v>
      </c>
      <c r="N3265" s="195">
        <v>37.952640000000002</v>
      </c>
    </row>
    <row r="3266" spans="1:14" hidden="1" x14ac:dyDescent="0.35">
      <c r="A3266" s="52" t="s">
        <v>672</v>
      </c>
      <c r="B3266" s="52" t="s">
        <v>73</v>
      </c>
      <c r="C3266" s="52" t="s">
        <v>87</v>
      </c>
      <c r="D3266" s="52" t="s">
        <v>132</v>
      </c>
      <c r="E3266" s="52" t="s">
        <v>584</v>
      </c>
      <c r="F3266" s="52" t="s">
        <v>26</v>
      </c>
      <c r="G3266" s="195" t="s">
        <v>277</v>
      </c>
      <c r="H3266" s="195"/>
      <c r="I3266" s="195"/>
      <c r="J3266" s="195"/>
      <c r="K3266" s="195">
        <v>0</v>
      </c>
      <c r="L3266" s="195">
        <v>6.5250000000000004E-3</v>
      </c>
      <c r="M3266" s="195">
        <v>6.5250000000000004E-3</v>
      </c>
      <c r="N3266" s="195">
        <v>0.1305</v>
      </c>
    </row>
    <row r="3267" spans="1:14" hidden="1" x14ac:dyDescent="0.35">
      <c r="A3267" s="52" t="s">
        <v>672</v>
      </c>
      <c r="B3267" s="52" t="s">
        <v>73</v>
      </c>
      <c r="C3267" s="52" t="s">
        <v>87</v>
      </c>
      <c r="D3267" s="52" t="s">
        <v>132</v>
      </c>
      <c r="E3267" s="52" t="s">
        <v>584</v>
      </c>
      <c r="F3267" s="52" t="s">
        <v>26</v>
      </c>
      <c r="G3267" s="195" t="s">
        <v>278</v>
      </c>
      <c r="H3267" s="195"/>
      <c r="I3267" s="195">
        <v>4.5336599999999998E-2</v>
      </c>
      <c r="J3267" s="195">
        <v>5.4461700000000002E-2</v>
      </c>
      <c r="K3267" s="195">
        <v>4.5991799999999999E-2</v>
      </c>
      <c r="L3267" s="195">
        <v>4.1261399999999997E-2</v>
      </c>
      <c r="M3267" s="195">
        <v>8.47638E-2</v>
      </c>
      <c r="N3267" s="195">
        <v>8.47638E-2</v>
      </c>
    </row>
    <row r="3268" spans="1:14" hidden="1" x14ac:dyDescent="0.35">
      <c r="A3268" s="52" t="s">
        <v>672</v>
      </c>
      <c r="B3268" s="52" t="s">
        <v>73</v>
      </c>
      <c r="C3268" s="52" t="s">
        <v>87</v>
      </c>
      <c r="D3268" s="52" t="s">
        <v>132</v>
      </c>
      <c r="E3268" s="52" t="s">
        <v>584</v>
      </c>
      <c r="F3268" s="52" t="s">
        <v>26</v>
      </c>
      <c r="G3268" s="195" t="s">
        <v>279</v>
      </c>
      <c r="H3268" s="195">
        <v>16.749310000000001</v>
      </c>
      <c r="I3268" s="195">
        <v>25.153210000000001</v>
      </c>
      <c r="J3268" s="195">
        <v>25.997199999999999</v>
      </c>
      <c r="K3268" s="195">
        <v>23.403670000000002</v>
      </c>
      <c r="L3268" s="195">
        <v>18.075009999999999</v>
      </c>
      <c r="M3268" s="195">
        <v>15.93655</v>
      </c>
      <c r="N3268" s="195">
        <v>19.145130000000002</v>
      </c>
    </row>
    <row r="3269" spans="1:14" hidden="1" x14ac:dyDescent="0.35">
      <c r="A3269" s="52" t="s">
        <v>672</v>
      </c>
      <c r="B3269" s="52" t="s">
        <v>73</v>
      </c>
      <c r="C3269" s="52" t="s">
        <v>87</v>
      </c>
      <c r="D3269" s="52" t="s">
        <v>131</v>
      </c>
      <c r="E3269" s="52" t="s">
        <v>584</v>
      </c>
      <c r="F3269" s="52" t="s">
        <v>581</v>
      </c>
      <c r="G3269" s="195" t="s">
        <v>275</v>
      </c>
      <c r="H3269" s="195">
        <v>-105.5419</v>
      </c>
      <c r="I3269" s="195">
        <v>-83.512469999999993</v>
      </c>
      <c r="J3269" s="195">
        <v>8.9194139999999997</v>
      </c>
      <c r="K3269" s="195">
        <v>10.77758</v>
      </c>
      <c r="L3269" s="195">
        <v>7.4797560000000001</v>
      </c>
      <c r="M3269" s="195">
        <v>-0.92336110000000005</v>
      </c>
      <c r="N3269" s="195">
        <v>-6.096819</v>
      </c>
    </row>
    <row r="3270" spans="1:14" hidden="1" x14ac:dyDescent="0.35">
      <c r="A3270" s="52" t="s">
        <v>672</v>
      </c>
      <c r="B3270" s="52" t="s">
        <v>73</v>
      </c>
      <c r="C3270" s="52" t="s">
        <v>87</v>
      </c>
      <c r="D3270" s="52" t="s">
        <v>131</v>
      </c>
      <c r="E3270" s="52" t="s">
        <v>584</v>
      </c>
      <c r="F3270" s="52" t="s">
        <v>581</v>
      </c>
      <c r="G3270" s="195" t="s">
        <v>276</v>
      </c>
      <c r="H3270" s="195">
        <v>-132.18199999999999</v>
      </c>
      <c r="I3270" s="195">
        <v>-152.708</v>
      </c>
      <c r="J3270" s="195">
        <v>-174.37280000000001</v>
      </c>
      <c r="K3270" s="195">
        <v>-181.48519999999999</v>
      </c>
      <c r="L3270" s="195">
        <v>-157.63679999999999</v>
      </c>
      <c r="M3270" s="195">
        <v>-159.1482</v>
      </c>
      <c r="N3270" s="195">
        <v>-158.24430000000001</v>
      </c>
    </row>
    <row r="3271" spans="1:14" hidden="1" x14ac:dyDescent="0.35">
      <c r="A3271" s="52" t="s">
        <v>672</v>
      </c>
      <c r="B3271" s="52" t="s">
        <v>73</v>
      </c>
      <c r="C3271" s="52" t="s">
        <v>87</v>
      </c>
      <c r="D3271" s="52" t="s">
        <v>131</v>
      </c>
      <c r="E3271" s="52" t="s">
        <v>584</v>
      </c>
      <c r="F3271" s="52" t="s">
        <v>581</v>
      </c>
      <c r="G3271" s="195" t="s">
        <v>277</v>
      </c>
      <c r="H3271" s="195">
        <v>171.60939999999999</v>
      </c>
      <c r="I3271" s="195">
        <v>159.82230000000001</v>
      </c>
      <c r="J3271" s="195">
        <v>67.683980000000005</v>
      </c>
      <c r="K3271" s="195">
        <v>69.112710000000007</v>
      </c>
      <c r="L3271" s="195">
        <v>71.000950000000003</v>
      </c>
      <c r="M3271" s="195">
        <v>68.668379999999999</v>
      </c>
      <c r="N3271" s="195">
        <v>53.599800000000002</v>
      </c>
    </row>
    <row r="3272" spans="1:14" hidden="1" x14ac:dyDescent="0.35">
      <c r="A3272" s="52" t="s">
        <v>672</v>
      </c>
      <c r="B3272" s="52" t="s">
        <v>73</v>
      </c>
      <c r="C3272" s="52" t="s">
        <v>87</v>
      </c>
      <c r="D3272" s="52" t="s">
        <v>131</v>
      </c>
      <c r="E3272" s="52" t="s">
        <v>584</v>
      </c>
      <c r="F3272" s="52" t="s">
        <v>581</v>
      </c>
      <c r="G3272" s="195" t="s">
        <v>278</v>
      </c>
      <c r="H3272" s="195">
        <v>71.691410000000005</v>
      </c>
      <c r="I3272" s="195">
        <v>0.17787710000000001</v>
      </c>
      <c r="J3272" s="195">
        <v>12.81936</v>
      </c>
      <c r="K3272" s="195">
        <v>0.16217719999999999</v>
      </c>
      <c r="L3272" s="195">
        <v>0.14549860000000001</v>
      </c>
      <c r="M3272" s="195">
        <v>0.298902</v>
      </c>
      <c r="N3272" s="195">
        <v>0.298902</v>
      </c>
    </row>
    <row r="3273" spans="1:14" hidden="1" x14ac:dyDescent="0.35">
      <c r="A3273" s="52" t="s">
        <v>672</v>
      </c>
      <c r="B3273" s="52" t="s">
        <v>73</v>
      </c>
      <c r="C3273" s="52" t="s">
        <v>87</v>
      </c>
      <c r="D3273" s="52" t="s">
        <v>131</v>
      </c>
      <c r="E3273" s="52" t="s">
        <v>584</v>
      </c>
      <c r="F3273" s="52" t="s">
        <v>581</v>
      </c>
      <c r="G3273" s="195" t="s">
        <v>279</v>
      </c>
      <c r="H3273" s="195">
        <v>149.7663</v>
      </c>
      <c r="I3273" s="195">
        <v>151.64420000000001</v>
      </c>
      <c r="J3273" s="195">
        <v>151.05340000000001</v>
      </c>
      <c r="K3273" s="195">
        <v>199.21969999999999</v>
      </c>
      <c r="L3273" s="195">
        <v>243.27969999999999</v>
      </c>
      <c r="M3273" s="195">
        <v>243.80439999999999</v>
      </c>
      <c r="N3273" s="195">
        <v>211.84719999999999</v>
      </c>
    </row>
    <row r="3274" spans="1:14" hidden="1" x14ac:dyDescent="0.35">
      <c r="A3274" s="52" t="s">
        <v>672</v>
      </c>
      <c r="B3274" s="52" t="s">
        <v>73</v>
      </c>
      <c r="C3274" s="52" t="s">
        <v>87</v>
      </c>
      <c r="D3274" s="52" t="s">
        <v>131</v>
      </c>
      <c r="E3274" s="52" t="s">
        <v>584</v>
      </c>
      <c r="F3274" s="52" t="s">
        <v>26</v>
      </c>
      <c r="G3274" s="195" t="s">
        <v>275</v>
      </c>
      <c r="H3274" s="195">
        <v>-4.3591999999999997E-3</v>
      </c>
      <c r="I3274" s="195">
        <v>-0.19517039999999999</v>
      </c>
      <c r="J3274" s="195">
        <v>0</v>
      </c>
      <c r="K3274" s="195">
        <v>0</v>
      </c>
      <c r="L3274" s="195">
        <v>0</v>
      </c>
      <c r="M3274" s="195">
        <v>0</v>
      </c>
      <c r="N3274" s="195">
        <v>0</v>
      </c>
    </row>
    <row r="3275" spans="1:14" hidden="1" x14ac:dyDescent="0.35">
      <c r="A3275" s="52" t="s">
        <v>672</v>
      </c>
      <c r="B3275" s="52" t="s">
        <v>73</v>
      </c>
      <c r="C3275" s="52" t="s">
        <v>87</v>
      </c>
      <c r="D3275" s="52" t="s">
        <v>131</v>
      </c>
      <c r="E3275" s="52" t="s">
        <v>584</v>
      </c>
      <c r="F3275" s="52" t="s">
        <v>26</v>
      </c>
      <c r="G3275" s="195" t="s">
        <v>276</v>
      </c>
      <c r="H3275" s="195">
        <v>-8.736961E-2</v>
      </c>
      <c r="I3275" s="195">
        <v>-0.1231288</v>
      </c>
      <c r="J3275" s="195">
        <v>-0.18341969999999999</v>
      </c>
      <c r="K3275" s="195">
        <v>-4.0620149999999997</v>
      </c>
      <c r="L3275" s="195">
        <v>-8.0414070000000004E-2</v>
      </c>
      <c r="M3275" s="195">
        <v>-2.7084929999999998</v>
      </c>
      <c r="N3275" s="195">
        <v>-0.60998450000000004</v>
      </c>
    </row>
    <row r="3276" spans="1:14" hidden="1" x14ac:dyDescent="0.35">
      <c r="A3276" s="52" t="s">
        <v>672</v>
      </c>
      <c r="B3276" s="52" t="s">
        <v>73</v>
      </c>
      <c r="C3276" s="52" t="s">
        <v>87</v>
      </c>
      <c r="D3276" s="52" t="s">
        <v>131</v>
      </c>
      <c r="E3276" s="52" t="s">
        <v>584</v>
      </c>
      <c r="F3276" s="52" t="s">
        <v>26</v>
      </c>
      <c r="G3276" s="195" t="s">
        <v>277</v>
      </c>
      <c r="H3276" s="195">
        <v>0</v>
      </c>
      <c r="I3276" s="195">
        <v>0.23200000000000001</v>
      </c>
      <c r="J3276" s="195">
        <v>7.9750009999999996E-2</v>
      </c>
      <c r="K3276" s="195">
        <v>1.67475</v>
      </c>
      <c r="L3276" s="195">
        <v>0</v>
      </c>
      <c r="M3276" s="195">
        <v>2.5780530000000002</v>
      </c>
      <c r="N3276" s="195">
        <v>0.47398889999999999</v>
      </c>
    </row>
    <row r="3277" spans="1:14" hidden="1" x14ac:dyDescent="0.35">
      <c r="A3277" s="52" t="s">
        <v>672</v>
      </c>
      <c r="B3277" s="52" t="s">
        <v>73</v>
      </c>
      <c r="C3277" s="52" t="s">
        <v>87</v>
      </c>
      <c r="D3277" s="52" t="s">
        <v>131</v>
      </c>
      <c r="E3277" s="52" t="s">
        <v>584</v>
      </c>
      <c r="F3277" s="52" t="s">
        <v>26</v>
      </c>
      <c r="G3277" s="195" t="s">
        <v>278</v>
      </c>
      <c r="H3277" s="195">
        <v>9.1728790000000004E-2</v>
      </c>
      <c r="I3277" s="195">
        <v>8.6299000000000001E-2</v>
      </c>
      <c r="J3277" s="195">
        <v>0.103669</v>
      </c>
      <c r="K3277" s="195">
        <v>2.3872640000000001</v>
      </c>
      <c r="L3277" s="195">
        <v>7.8542100000000004E-2</v>
      </c>
      <c r="M3277" s="195">
        <v>0.12856870000000001</v>
      </c>
      <c r="N3277" s="195">
        <v>0.12856870000000001</v>
      </c>
    </row>
    <row r="3278" spans="1:14" hidden="1" x14ac:dyDescent="0.35">
      <c r="A3278" s="52" t="s">
        <v>672</v>
      </c>
      <c r="B3278" s="52" t="s">
        <v>73</v>
      </c>
      <c r="C3278" s="52" t="s">
        <v>87</v>
      </c>
      <c r="D3278" s="52" t="s">
        <v>131</v>
      </c>
      <c r="E3278" s="52" t="s">
        <v>584</v>
      </c>
      <c r="F3278" s="52" t="s">
        <v>26</v>
      </c>
      <c r="G3278" s="195" t="s">
        <v>279</v>
      </c>
      <c r="H3278" s="195"/>
      <c r="I3278" s="195"/>
      <c r="J3278" s="195"/>
      <c r="K3278" s="195">
        <v>0</v>
      </c>
      <c r="L3278" s="195">
        <v>1.8722000000000001E-3</v>
      </c>
      <c r="M3278" s="195">
        <v>1.8722000000000001E-3</v>
      </c>
      <c r="N3278" s="195">
        <v>7.4263999999999997E-3</v>
      </c>
    </row>
    <row r="3279" spans="1:14" hidden="1" x14ac:dyDescent="0.35">
      <c r="A3279" s="52" t="s">
        <v>672</v>
      </c>
      <c r="B3279" s="52" t="s">
        <v>73</v>
      </c>
      <c r="C3279" s="52" t="s">
        <v>87</v>
      </c>
      <c r="D3279" s="52" t="s">
        <v>87</v>
      </c>
      <c r="E3279" s="52" t="s">
        <v>584</v>
      </c>
      <c r="F3279" s="52" t="s">
        <v>581</v>
      </c>
      <c r="G3279" s="195" t="s">
        <v>275</v>
      </c>
      <c r="H3279" s="195"/>
      <c r="I3279" s="195">
        <v>0</v>
      </c>
      <c r="J3279" s="195">
        <v>0</v>
      </c>
      <c r="K3279" s="195">
        <v>0</v>
      </c>
      <c r="L3279" s="195">
        <v>0</v>
      </c>
      <c r="M3279" s="195">
        <v>0</v>
      </c>
      <c r="N3279" s="195">
        <v>0</v>
      </c>
    </row>
    <row r="3280" spans="1:14" hidden="1" x14ac:dyDescent="0.35">
      <c r="A3280" s="52" t="s">
        <v>672</v>
      </c>
      <c r="B3280" s="52" t="s">
        <v>73</v>
      </c>
      <c r="C3280" s="52" t="s">
        <v>87</v>
      </c>
      <c r="D3280" s="52" t="s">
        <v>87</v>
      </c>
      <c r="E3280" s="52" t="s">
        <v>584</v>
      </c>
      <c r="F3280" s="52" t="s">
        <v>581</v>
      </c>
      <c r="G3280" s="195" t="s">
        <v>276</v>
      </c>
      <c r="H3280" s="195"/>
      <c r="I3280" s="195">
        <v>0</v>
      </c>
      <c r="J3280" s="195">
        <v>0</v>
      </c>
      <c r="K3280" s="195">
        <v>0</v>
      </c>
      <c r="L3280" s="195">
        <v>0</v>
      </c>
      <c r="M3280" s="195">
        <v>0</v>
      </c>
      <c r="N3280" s="195">
        <v>0</v>
      </c>
    </row>
    <row r="3281" spans="1:14" hidden="1" x14ac:dyDescent="0.35">
      <c r="A3281" s="52" t="s">
        <v>672</v>
      </c>
      <c r="B3281" s="52" t="s">
        <v>73</v>
      </c>
      <c r="C3281" s="52" t="s">
        <v>87</v>
      </c>
      <c r="D3281" s="52" t="s">
        <v>87</v>
      </c>
      <c r="E3281" s="52" t="s">
        <v>584</v>
      </c>
      <c r="F3281" s="52" t="s">
        <v>581</v>
      </c>
      <c r="G3281" s="195" t="s">
        <v>277</v>
      </c>
      <c r="H3281" s="195">
        <v>3.2851530000000002</v>
      </c>
      <c r="I3281" s="195">
        <v>0</v>
      </c>
      <c r="J3281" s="195">
        <v>0</v>
      </c>
      <c r="K3281" s="195">
        <v>0</v>
      </c>
      <c r="L3281" s="195">
        <v>0</v>
      </c>
      <c r="M3281" s="195">
        <v>0</v>
      </c>
      <c r="N3281" s="195">
        <v>0</v>
      </c>
    </row>
    <row r="3282" spans="1:14" hidden="1" x14ac:dyDescent="0.35">
      <c r="A3282" s="52" t="s">
        <v>672</v>
      </c>
      <c r="B3282" s="52" t="s">
        <v>73</v>
      </c>
      <c r="C3282" s="52" t="s">
        <v>87</v>
      </c>
      <c r="D3282" s="52" t="s">
        <v>87</v>
      </c>
      <c r="E3282" s="52" t="s">
        <v>584</v>
      </c>
      <c r="F3282" s="52" t="s">
        <v>581</v>
      </c>
      <c r="G3282" s="195" t="s">
        <v>278</v>
      </c>
      <c r="H3282" s="195">
        <v>74.470569999999995</v>
      </c>
      <c r="I3282" s="195">
        <v>0</v>
      </c>
      <c r="J3282" s="195"/>
      <c r="K3282" s="195"/>
      <c r="L3282" s="195"/>
      <c r="M3282" s="195"/>
      <c r="N3282" s="195"/>
    </row>
    <row r="3283" spans="1:14" hidden="1" x14ac:dyDescent="0.35">
      <c r="A3283" s="52" t="s">
        <v>672</v>
      </c>
      <c r="B3283" s="52" t="s">
        <v>73</v>
      </c>
      <c r="C3283" s="52" t="s">
        <v>87</v>
      </c>
      <c r="D3283" s="52" t="s">
        <v>87</v>
      </c>
      <c r="E3283" s="52" t="s">
        <v>584</v>
      </c>
      <c r="F3283" s="52" t="s">
        <v>581</v>
      </c>
      <c r="G3283" s="195" t="s">
        <v>279</v>
      </c>
      <c r="H3283" s="195">
        <v>0</v>
      </c>
      <c r="I3283" s="195"/>
      <c r="J3283" s="195"/>
      <c r="K3283" s="195"/>
      <c r="L3283" s="195">
        <v>0</v>
      </c>
      <c r="M3283" s="195">
        <v>0</v>
      </c>
      <c r="N3283" s="195">
        <v>0</v>
      </c>
    </row>
    <row r="3284" spans="1:14" hidden="1" x14ac:dyDescent="0.35">
      <c r="A3284" s="52" t="s">
        <v>672</v>
      </c>
      <c r="B3284" s="52" t="s">
        <v>73</v>
      </c>
      <c r="C3284" s="52" t="s">
        <v>87</v>
      </c>
      <c r="D3284" s="52" t="s">
        <v>87</v>
      </c>
      <c r="E3284" s="52" t="s">
        <v>584</v>
      </c>
      <c r="F3284" s="52" t="s">
        <v>26</v>
      </c>
      <c r="G3284" s="195" t="s">
        <v>275</v>
      </c>
      <c r="H3284" s="195"/>
      <c r="I3284" s="195"/>
      <c r="J3284" s="195"/>
      <c r="K3284" s="195"/>
      <c r="L3284" s="195">
        <v>0</v>
      </c>
      <c r="M3284" s="195">
        <v>0</v>
      </c>
      <c r="N3284" s="195">
        <v>0</v>
      </c>
    </row>
    <row r="3285" spans="1:14" hidden="1" x14ac:dyDescent="0.35">
      <c r="A3285" s="52" t="s">
        <v>672</v>
      </c>
      <c r="B3285" s="52" t="s">
        <v>73</v>
      </c>
      <c r="C3285" s="52" t="s">
        <v>87</v>
      </c>
      <c r="D3285" s="52" t="s">
        <v>87</v>
      </c>
      <c r="E3285" s="52" t="s">
        <v>584</v>
      </c>
      <c r="F3285" s="52" t="s">
        <v>26</v>
      </c>
      <c r="G3285" s="195" t="s">
        <v>276</v>
      </c>
      <c r="H3285" s="195"/>
      <c r="I3285" s="195"/>
      <c r="J3285" s="195"/>
      <c r="K3285" s="195"/>
      <c r="L3285" s="195">
        <v>0</v>
      </c>
      <c r="M3285" s="195">
        <v>0</v>
      </c>
      <c r="N3285" s="195">
        <v>0</v>
      </c>
    </row>
    <row r="3286" spans="1:14" hidden="1" x14ac:dyDescent="0.35">
      <c r="A3286" s="52" t="s">
        <v>672</v>
      </c>
      <c r="B3286" s="52" t="s">
        <v>73</v>
      </c>
      <c r="C3286" s="52" t="s">
        <v>87</v>
      </c>
      <c r="D3286" s="52" t="s">
        <v>87</v>
      </c>
      <c r="E3286" s="52" t="s">
        <v>584</v>
      </c>
      <c r="F3286" s="52" t="s">
        <v>26</v>
      </c>
      <c r="G3286" s="195" t="s">
        <v>277</v>
      </c>
      <c r="H3286" s="195"/>
      <c r="I3286" s="195"/>
      <c r="J3286" s="195"/>
      <c r="K3286" s="195"/>
      <c r="L3286" s="195">
        <v>0</v>
      </c>
      <c r="M3286" s="195">
        <v>0</v>
      </c>
      <c r="N3286" s="195">
        <v>0</v>
      </c>
    </row>
    <row r="3287" spans="1:14" hidden="1" x14ac:dyDescent="0.35">
      <c r="A3287" s="52" t="s">
        <v>672</v>
      </c>
      <c r="B3287" s="52" t="s">
        <v>73</v>
      </c>
      <c r="C3287" s="52" t="s">
        <v>87</v>
      </c>
      <c r="D3287" s="52" t="s">
        <v>87</v>
      </c>
      <c r="E3287" s="52" t="s">
        <v>584</v>
      </c>
      <c r="F3287" s="52" t="s">
        <v>26</v>
      </c>
      <c r="G3287" s="195" t="s">
        <v>279</v>
      </c>
      <c r="H3287" s="195"/>
      <c r="I3287" s="195"/>
      <c r="J3287" s="195"/>
      <c r="K3287" s="195"/>
      <c r="L3287" s="195">
        <v>0</v>
      </c>
      <c r="M3287" s="195">
        <v>0</v>
      </c>
      <c r="N3287" s="195">
        <v>0</v>
      </c>
    </row>
    <row r="3288" spans="1:14" hidden="1" x14ac:dyDescent="0.35">
      <c r="A3288" s="52" t="s">
        <v>672</v>
      </c>
      <c r="B3288" s="52" t="s">
        <v>73</v>
      </c>
      <c r="C3288" s="52" t="s">
        <v>87</v>
      </c>
      <c r="D3288" s="52" t="s">
        <v>330</v>
      </c>
      <c r="E3288" s="52" t="s">
        <v>584</v>
      </c>
      <c r="F3288" s="52" t="s">
        <v>581</v>
      </c>
      <c r="G3288" s="195" t="s">
        <v>275</v>
      </c>
      <c r="H3288" s="195">
        <v>-6.09174E-3</v>
      </c>
      <c r="I3288" s="195">
        <v>5.3137400000000004E-4</v>
      </c>
      <c r="J3288" s="195">
        <v>-5.9904600000000002E-2</v>
      </c>
      <c r="K3288" s="195">
        <v>-1.1149659999999999</v>
      </c>
      <c r="L3288" s="195">
        <v>-0.58221970000000001</v>
      </c>
      <c r="M3288" s="195">
        <v>-10.258459999999999</v>
      </c>
      <c r="N3288" s="195">
        <v>-15.47015</v>
      </c>
    </row>
    <row r="3289" spans="1:14" hidden="1" x14ac:dyDescent="0.35">
      <c r="A3289" s="52" t="s">
        <v>672</v>
      </c>
      <c r="B3289" s="52" t="s">
        <v>73</v>
      </c>
      <c r="C3289" s="52" t="s">
        <v>87</v>
      </c>
      <c r="D3289" s="52" t="s">
        <v>330</v>
      </c>
      <c r="E3289" s="52" t="s">
        <v>584</v>
      </c>
      <c r="F3289" s="52" t="s">
        <v>581</v>
      </c>
      <c r="G3289" s="195" t="s">
        <v>276</v>
      </c>
      <c r="H3289" s="195">
        <v>-0.1221001</v>
      </c>
      <c r="I3289" s="195">
        <v>-8.4274520000000006E-2</v>
      </c>
      <c r="J3289" s="195">
        <v>-0.48511290000000001</v>
      </c>
      <c r="K3289" s="195">
        <v>-0.33292070000000001</v>
      </c>
      <c r="L3289" s="195">
        <v>-0.54715389999999997</v>
      </c>
      <c r="M3289" s="195">
        <v>-2.5758190000000001</v>
      </c>
      <c r="N3289" s="195">
        <v>-5.943384</v>
      </c>
    </row>
    <row r="3290" spans="1:14" hidden="1" x14ac:dyDescent="0.35">
      <c r="A3290" s="52" t="s">
        <v>672</v>
      </c>
      <c r="B3290" s="52" t="s">
        <v>73</v>
      </c>
      <c r="C3290" s="52" t="s">
        <v>87</v>
      </c>
      <c r="D3290" s="52" t="s">
        <v>330</v>
      </c>
      <c r="E3290" s="52" t="s">
        <v>584</v>
      </c>
      <c r="F3290" s="52" t="s">
        <v>581</v>
      </c>
      <c r="G3290" s="195" t="s">
        <v>277</v>
      </c>
      <c r="H3290" s="195"/>
      <c r="I3290" s="195">
        <v>0</v>
      </c>
      <c r="J3290" s="195">
        <v>7.7799999999999994E-2</v>
      </c>
      <c r="K3290" s="195">
        <v>1.3437049999999999</v>
      </c>
      <c r="L3290" s="195">
        <v>0.91278740000000003</v>
      </c>
      <c r="M3290" s="195">
        <v>12.593999999999999</v>
      </c>
      <c r="N3290" s="195">
        <v>21.173259999999999</v>
      </c>
    </row>
    <row r="3291" spans="1:14" hidden="1" x14ac:dyDescent="0.35">
      <c r="A3291" s="52" t="s">
        <v>672</v>
      </c>
      <c r="B3291" s="52" t="s">
        <v>73</v>
      </c>
      <c r="C3291" s="52" t="s">
        <v>87</v>
      </c>
      <c r="D3291" s="52" t="s">
        <v>330</v>
      </c>
      <c r="E3291" s="52" t="s">
        <v>584</v>
      </c>
      <c r="F3291" s="52" t="s">
        <v>581</v>
      </c>
      <c r="G3291" s="195" t="s">
        <v>278</v>
      </c>
      <c r="H3291" s="195">
        <v>0.12819259999999999</v>
      </c>
      <c r="I3291" s="195">
        <v>8.3743150000000002E-2</v>
      </c>
      <c r="J3291" s="195">
        <v>0.47317670000000001</v>
      </c>
      <c r="K3291" s="195">
        <v>0.1071312</v>
      </c>
      <c r="L3291" s="195">
        <v>3.2997940000000003E-2</v>
      </c>
      <c r="M3291" s="195">
        <v>5.6690530000000003E-2</v>
      </c>
      <c r="N3291" s="195">
        <v>5.6690530000000003E-2</v>
      </c>
    </row>
    <row r="3292" spans="1:14" hidden="1" x14ac:dyDescent="0.35">
      <c r="A3292" s="52" t="s">
        <v>672</v>
      </c>
      <c r="B3292" s="52" t="s">
        <v>73</v>
      </c>
      <c r="C3292" s="52" t="s">
        <v>87</v>
      </c>
      <c r="D3292" s="52" t="s">
        <v>330</v>
      </c>
      <c r="E3292" s="52" t="s">
        <v>584</v>
      </c>
      <c r="F3292" s="52" t="s">
        <v>581</v>
      </c>
      <c r="G3292" s="195" t="s">
        <v>279</v>
      </c>
      <c r="H3292" s="195"/>
      <c r="I3292" s="195"/>
      <c r="J3292" s="195"/>
      <c r="K3292" s="195">
        <v>0</v>
      </c>
      <c r="L3292" s="195">
        <v>0.1835881</v>
      </c>
      <c r="M3292" s="195">
        <v>0.1835881</v>
      </c>
      <c r="N3292" s="195">
        <v>0.1835881</v>
      </c>
    </row>
    <row r="3293" spans="1:14" hidden="1" x14ac:dyDescent="0.35">
      <c r="A3293" s="52" t="s">
        <v>672</v>
      </c>
      <c r="B3293" s="52" t="s">
        <v>73</v>
      </c>
      <c r="C3293" s="52" t="s">
        <v>87</v>
      </c>
      <c r="D3293" s="52" t="s">
        <v>330</v>
      </c>
      <c r="E3293" s="52" t="s">
        <v>584</v>
      </c>
      <c r="F3293" s="52" t="s">
        <v>26</v>
      </c>
      <c r="G3293" s="195" t="s">
        <v>275</v>
      </c>
      <c r="H3293" s="195">
        <v>-1.6143500000000001E-3</v>
      </c>
      <c r="I3293" s="195">
        <v>1.4081780000000001E-4</v>
      </c>
      <c r="J3293" s="195">
        <v>0</v>
      </c>
      <c r="K3293" s="195">
        <v>0</v>
      </c>
      <c r="L3293" s="195">
        <v>-0.29437279999999999</v>
      </c>
      <c r="M3293" s="195">
        <v>-3.7454130000000001</v>
      </c>
      <c r="N3293" s="195">
        <v>-3.3044910000000001</v>
      </c>
    </row>
    <row r="3294" spans="1:14" hidden="1" x14ac:dyDescent="0.35">
      <c r="A3294" s="52" t="s">
        <v>672</v>
      </c>
      <c r="B3294" s="52" t="s">
        <v>73</v>
      </c>
      <c r="C3294" s="52" t="s">
        <v>87</v>
      </c>
      <c r="D3294" s="52" t="s">
        <v>330</v>
      </c>
      <c r="E3294" s="52" t="s">
        <v>584</v>
      </c>
      <c r="F3294" s="52" t="s">
        <v>26</v>
      </c>
      <c r="G3294" s="195" t="s">
        <v>276</v>
      </c>
      <c r="H3294" s="195">
        <v>-3.2346130000000001E-2</v>
      </c>
      <c r="I3294" s="195">
        <v>-2.232549E-2</v>
      </c>
      <c r="J3294" s="195">
        <v>-2.6649619999999999E-2</v>
      </c>
      <c r="K3294" s="195">
        <v>-2.2505210000000001E-2</v>
      </c>
      <c r="L3294" s="195">
        <v>-0.1452204</v>
      </c>
      <c r="M3294" s="195">
        <v>-0.88114789999999998</v>
      </c>
      <c r="N3294" s="195">
        <v>-1.647583</v>
      </c>
    </row>
    <row r="3295" spans="1:14" hidden="1" x14ac:dyDescent="0.35">
      <c r="A3295" s="52" t="s">
        <v>672</v>
      </c>
      <c r="B3295" s="52" t="s">
        <v>73</v>
      </c>
      <c r="C3295" s="52" t="s">
        <v>87</v>
      </c>
      <c r="D3295" s="52" t="s">
        <v>330</v>
      </c>
      <c r="E3295" s="52" t="s">
        <v>584</v>
      </c>
      <c r="F3295" s="52" t="s">
        <v>26</v>
      </c>
      <c r="G3295" s="195" t="s">
        <v>277</v>
      </c>
      <c r="H3295" s="195"/>
      <c r="I3295" s="195"/>
      <c r="J3295" s="195"/>
      <c r="K3295" s="195">
        <v>0</v>
      </c>
      <c r="L3295" s="195">
        <v>0.32551239999999998</v>
      </c>
      <c r="M3295" s="195">
        <v>4.4911909999999997</v>
      </c>
      <c r="N3295" s="195">
        <v>4.8167030000000004</v>
      </c>
    </row>
    <row r="3296" spans="1:14" hidden="1" x14ac:dyDescent="0.35">
      <c r="A3296" s="52" t="s">
        <v>672</v>
      </c>
      <c r="B3296" s="52" t="s">
        <v>73</v>
      </c>
      <c r="C3296" s="52" t="s">
        <v>87</v>
      </c>
      <c r="D3296" s="52" t="s">
        <v>330</v>
      </c>
      <c r="E3296" s="52" t="s">
        <v>584</v>
      </c>
      <c r="F3296" s="52" t="s">
        <v>26</v>
      </c>
      <c r="G3296" s="195" t="s">
        <v>278</v>
      </c>
      <c r="H3296" s="195">
        <v>3.3960480000000001E-2</v>
      </c>
      <c r="I3296" s="195">
        <v>2.218467E-2</v>
      </c>
      <c r="J3296" s="195">
        <v>2.6650389999999999E-2</v>
      </c>
      <c r="K3296" s="195">
        <v>2.250599E-2</v>
      </c>
      <c r="L3296" s="195">
        <v>2.0190659999999999E-2</v>
      </c>
      <c r="M3296" s="195">
        <v>4.147907E-2</v>
      </c>
      <c r="N3296" s="195">
        <v>4.147907E-2</v>
      </c>
    </row>
    <row r="3297" spans="1:14" hidden="1" x14ac:dyDescent="0.35">
      <c r="A3297" s="52" t="s">
        <v>672</v>
      </c>
      <c r="B3297" s="52" t="s">
        <v>73</v>
      </c>
      <c r="C3297" s="52" t="s">
        <v>87</v>
      </c>
      <c r="D3297" s="52" t="s">
        <v>330</v>
      </c>
      <c r="E3297" s="52" t="s">
        <v>584</v>
      </c>
      <c r="F3297" s="52" t="s">
        <v>26</v>
      </c>
      <c r="G3297" s="195" t="s">
        <v>279</v>
      </c>
      <c r="H3297" s="195"/>
      <c r="I3297" s="195"/>
      <c r="J3297" s="195"/>
      <c r="K3297" s="195">
        <v>0</v>
      </c>
      <c r="L3297" s="195">
        <v>9.3890280000000007E-2</v>
      </c>
      <c r="M3297" s="195">
        <v>9.3890280000000007E-2</v>
      </c>
      <c r="N3297" s="195">
        <v>9.3890139999999997E-2</v>
      </c>
    </row>
    <row r="3298" spans="1:14" hidden="1" x14ac:dyDescent="0.35">
      <c r="A3298" s="52" t="s">
        <v>672</v>
      </c>
      <c r="B3298" s="52" t="s">
        <v>73</v>
      </c>
      <c r="C3298" s="52" t="s">
        <v>87</v>
      </c>
      <c r="D3298" s="52" t="s">
        <v>88</v>
      </c>
      <c r="E3298" s="52" t="s">
        <v>584</v>
      </c>
      <c r="F3298" s="52" t="s">
        <v>581</v>
      </c>
      <c r="G3298" s="195" t="s">
        <v>275</v>
      </c>
      <c r="H3298" s="195">
        <v>-2.5460999999999999E-3</v>
      </c>
      <c r="I3298" s="195"/>
      <c r="J3298" s="195"/>
      <c r="K3298" s="195"/>
      <c r="L3298" s="195">
        <v>0</v>
      </c>
      <c r="M3298" s="195">
        <v>0</v>
      </c>
      <c r="N3298" s="195">
        <v>0</v>
      </c>
    </row>
    <row r="3299" spans="1:14" hidden="1" x14ac:dyDescent="0.35">
      <c r="A3299" s="52" t="s">
        <v>672</v>
      </c>
      <c r="B3299" s="52" t="s">
        <v>73</v>
      </c>
      <c r="C3299" s="52" t="s">
        <v>87</v>
      </c>
      <c r="D3299" s="52" t="s">
        <v>88</v>
      </c>
      <c r="E3299" s="52" t="s">
        <v>584</v>
      </c>
      <c r="F3299" s="52" t="s">
        <v>581</v>
      </c>
      <c r="G3299" s="195" t="s">
        <v>276</v>
      </c>
      <c r="H3299" s="195">
        <v>-5.1020099999999999E-2</v>
      </c>
      <c r="I3299" s="195"/>
      <c r="J3299" s="195"/>
      <c r="K3299" s="195"/>
      <c r="L3299" s="195">
        <v>0</v>
      </c>
      <c r="M3299" s="195">
        <v>0</v>
      </c>
      <c r="N3299" s="195">
        <v>0</v>
      </c>
    </row>
    <row r="3300" spans="1:14" hidden="1" x14ac:dyDescent="0.35">
      <c r="A3300" s="52" t="s">
        <v>672</v>
      </c>
      <c r="B3300" s="52" t="s">
        <v>73</v>
      </c>
      <c r="C3300" s="52" t="s">
        <v>87</v>
      </c>
      <c r="D3300" s="52" t="s">
        <v>88</v>
      </c>
      <c r="E3300" s="52" t="s">
        <v>584</v>
      </c>
      <c r="F3300" s="52" t="s">
        <v>581</v>
      </c>
      <c r="G3300" s="195" t="s">
        <v>277</v>
      </c>
      <c r="H3300" s="195"/>
      <c r="I3300" s="195">
        <v>0</v>
      </c>
      <c r="J3300" s="195">
        <v>0</v>
      </c>
      <c r="K3300" s="195">
        <v>0</v>
      </c>
      <c r="L3300" s="195">
        <v>0</v>
      </c>
      <c r="M3300" s="195">
        <v>0</v>
      </c>
      <c r="N3300" s="195">
        <v>0</v>
      </c>
    </row>
    <row r="3301" spans="1:14" hidden="1" x14ac:dyDescent="0.35">
      <c r="A3301" s="52" t="s">
        <v>672</v>
      </c>
      <c r="B3301" s="52" t="s">
        <v>73</v>
      </c>
      <c r="C3301" s="52" t="s">
        <v>87</v>
      </c>
      <c r="D3301" s="52" t="s">
        <v>88</v>
      </c>
      <c r="E3301" s="52" t="s">
        <v>584</v>
      </c>
      <c r="F3301" s="52" t="s">
        <v>581</v>
      </c>
      <c r="G3301" s="195" t="s">
        <v>278</v>
      </c>
      <c r="H3301" s="195">
        <v>5.3566210000000003E-2</v>
      </c>
      <c r="I3301" s="195"/>
      <c r="J3301" s="195">
        <v>0</v>
      </c>
      <c r="K3301" s="195"/>
      <c r="L3301" s="195">
        <v>0</v>
      </c>
      <c r="M3301" s="195">
        <v>0</v>
      </c>
      <c r="N3301" s="195"/>
    </row>
    <row r="3302" spans="1:14" hidden="1" x14ac:dyDescent="0.35">
      <c r="A3302" s="52" t="s">
        <v>672</v>
      </c>
      <c r="B3302" s="52" t="s">
        <v>73</v>
      </c>
      <c r="C3302" s="52" t="s">
        <v>87</v>
      </c>
      <c r="D3302" s="52" t="s">
        <v>88</v>
      </c>
      <c r="E3302" s="52" t="s">
        <v>584</v>
      </c>
      <c r="F3302" s="52" t="s">
        <v>581</v>
      </c>
      <c r="G3302" s="195" t="s">
        <v>279</v>
      </c>
      <c r="H3302" s="195"/>
      <c r="I3302" s="195"/>
      <c r="J3302" s="195"/>
      <c r="K3302" s="195">
        <v>0</v>
      </c>
      <c r="L3302" s="195">
        <v>0</v>
      </c>
      <c r="M3302" s="195">
        <v>0</v>
      </c>
      <c r="N3302" s="195">
        <v>0</v>
      </c>
    </row>
    <row r="3303" spans="1:14" hidden="1" x14ac:dyDescent="0.35">
      <c r="A3303" s="52" t="s">
        <v>672</v>
      </c>
      <c r="B3303" s="52" t="s">
        <v>73</v>
      </c>
      <c r="C3303" s="52" t="s">
        <v>87</v>
      </c>
      <c r="D3303" s="52" t="s">
        <v>88</v>
      </c>
      <c r="E3303" s="52" t="s">
        <v>584</v>
      </c>
      <c r="F3303" s="52" t="s">
        <v>26</v>
      </c>
      <c r="G3303" s="195" t="s">
        <v>275</v>
      </c>
      <c r="H3303" s="195">
        <v>-2.1589500000000002E-3</v>
      </c>
      <c r="I3303" s="195">
        <v>4.0967670000000001E-4</v>
      </c>
      <c r="J3303" s="195">
        <v>3.7242859999999998E-3</v>
      </c>
      <c r="K3303" s="195">
        <v>1.843082E-3</v>
      </c>
      <c r="L3303" s="195">
        <v>0</v>
      </c>
      <c r="M3303" s="195">
        <v>0</v>
      </c>
      <c r="N3303" s="195">
        <v>0</v>
      </c>
    </row>
    <row r="3304" spans="1:14" hidden="1" x14ac:dyDescent="0.35">
      <c r="A3304" s="52" t="s">
        <v>672</v>
      </c>
      <c r="B3304" s="52" t="s">
        <v>73</v>
      </c>
      <c r="C3304" s="52" t="s">
        <v>87</v>
      </c>
      <c r="D3304" s="52" t="s">
        <v>88</v>
      </c>
      <c r="E3304" s="52" t="s">
        <v>584</v>
      </c>
      <c r="F3304" s="52" t="s">
        <v>26</v>
      </c>
      <c r="G3304" s="195" t="s">
        <v>276</v>
      </c>
      <c r="H3304" s="195">
        <v>-4.3273140000000002E-2</v>
      </c>
      <c r="I3304" s="195">
        <v>-6.5081840000000002E-2</v>
      </c>
      <c r="J3304" s="195">
        <v>-4.2034500000000002E-2</v>
      </c>
      <c r="K3304" s="195">
        <v>-0.25964189999999998</v>
      </c>
      <c r="L3304" s="195">
        <v>-3.1847399999999998E-2</v>
      </c>
      <c r="M3304" s="195">
        <v>-6.5425499999999998E-2</v>
      </c>
      <c r="N3304" s="195">
        <v>-7.1950500000000001E-2</v>
      </c>
    </row>
    <row r="3305" spans="1:14" hidden="1" x14ac:dyDescent="0.35">
      <c r="A3305" s="52" t="s">
        <v>672</v>
      </c>
      <c r="B3305" s="52" t="s">
        <v>73</v>
      </c>
      <c r="C3305" s="52" t="s">
        <v>87</v>
      </c>
      <c r="D3305" s="52" t="s">
        <v>88</v>
      </c>
      <c r="E3305" s="52" t="s">
        <v>584</v>
      </c>
      <c r="F3305" s="52" t="s">
        <v>26</v>
      </c>
      <c r="G3305" s="195" t="s">
        <v>277</v>
      </c>
      <c r="H3305" s="195"/>
      <c r="I3305" s="195">
        <v>0</v>
      </c>
      <c r="J3305" s="195">
        <v>0</v>
      </c>
      <c r="K3305" s="195">
        <v>0</v>
      </c>
      <c r="L3305" s="195">
        <v>0</v>
      </c>
      <c r="M3305" s="195">
        <v>0</v>
      </c>
      <c r="N3305" s="195">
        <v>6.5250000000000004E-3</v>
      </c>
    </row>
    <row r="3306" spans="1:14" hidden="1" x14ac:dyDescent="0.35">
      <c r="A3306" s="52" t="s">
        <v>672</v>
      </c>
      <c r="B3306" s="52" t="s">
        <v>73</v>
      </c>
      <c r="C3306" s="52" t="s">
        <v>87</v>
      </c>
      <c r="D3306" s="52" t="s">
        <v>88</v>
      </c>
      <c r="E3306" s="52" t="s">
        <v>584</v>
      </c>
      <c r="F3306" s="52" t="s">
        <v>26</v>
      </c>
      <c r="G3306" s="195" t="s">
        <v>278</v>
      </c>
      <c r="H3306" s="195">
        <v>4.5432090000000001E-2</v>
      </c>
      <c r="I3306" s="195">
        <v>6.4672049999999995E-2</v>
      </c>
      <c r="J3306" s="195">
        <v>4.2036299999999999E-2</v>
      </c>
      <c r="K3306" s="195">
        <v>0.25964189999999998</v>
      </c>
      <c r="L3306" s="195">
        <v>3.1847399999999998E-2</v>
      </c>
      <c r="M3306" s="195">
        <v>6.5425499999999998E-2</v>
      </c>
      <c r="N3306" s="195">
        <v>6.5425499999999998E-2</v>
      </c>
    </row>
    <row r="3307" spans="1:14" hidden="1" x14ac:dyDescent="0.35">
      <c r="A3307" s="52" t="s">
        <v>672</v>
      </c>
      <c r="B3307" s="52" t="s">
        <v>73</v>
      </c>
      <c r="C3307" s="52" t="s">
        <v>87</v>
      </c>
      <c r="D3307" s="52" t="s">
        <v>88</v>
      </c>
      <c r="E3307" s="52" t="s">
        <v>584</v>
      </c>
      <c r="F3307" s="52" t="s">
        <v>26</v>
      </c>
      <c r="G3307" s="195" t="s">
        <v>279</v>
      </c>
      <c r="H3307" s="195"/>
      <c r="I3307" s="195"/>
      <c r="J3307" s="195"/>
      <c r="K3307" s="195">
        <v>0</v>
      </c>
      <c r="L3307" s="195">
        <v>0</v>
      </c>
      <c r="M3307" s="195">
        <v>0</v>
      </c>
      <c r="N3307" s="195">
        <v>0</v>
      </c>
    </row>
    <row r="3308" spans="1:14" hidden="1" x14ac:dyDescent="0.35">
      <c r="A3308" s="52" t="s">
        <v>672</v>
      </c>
      <c r="B3308" s="52" t="s">
        <v>73</v>
      </c>
      <c r="C3308" s="52" t="s">
        <v>87</v>
      </c>
      <c r="D3308" s="52" t="s">
        <v>208</v>
      </c>
      <c r="E3308" s="52" t="s">
        <v>584</v>
      </c>
      <c r="F3308" s="52" t="s">
        <v>581</v>
      </c>
      <c r="G3308" s="195" t="s">
        <v>275</v>
      </c>
      <c r="H3308" s="195">
        <v>-1.1590349999999999E-2</v>
      </c>
      <c r="I3308" s="195">
        <v>-4.8872999999999998E-3</v>
      </c>
      <c r="J3308" s="195">
        <v>-0.14143810000000001</v>
      </c>
      <c r="K3308" s="195">
        <v>9.5985299999999992E-3</v>
      </c>
      <c r="L3308" s="195">
        <v>2.4416279999999999E-2</v>
      </c>
      <c r="M3308" s="195">
        <v>2.4535769999999998E-2</v>
      </c>
      <c r="N3308" s="195">
        <v>-0.1357225</v>
      </c>
    </row>
    <row r="3309" spans="1:14" hidden="1" x14ac:dyDescent="0.35">
      <c r="A3309" s="52" t="s">
        <v>672</v>
      </c>
      <c r="B3309" s="52" t="s">
        <v>73</v>
      </c>
      <c r="C3309" s="52" t="s">
        <v>87</v>
      </c>
      <c r="D3309" s="52" t="s">
        <v>208</v>
      </c>
      <c r="E3309" s="52" t="s">
        <v>584</v>
      </c>
      <c r="F3309" s="52" t="s">
        <v>581</v>
      </c>
      <c r="G3309" s="195" t="s">
        <v>276</v>
      </c>
      <c r="H3309" s="195">
        <v>-6.7083000000000004E-2</v>
      </c>
      <c r="I3309" s="195">
        <v>-4.6506449999999998E-2</v>
      </c>
      <c r="J3309" s="195">
        <v>-0.79378680000000001</v>
      </c>
      <c r="K3309" s="195">
        <v>-1.508362</v>
      </c>
      <c r="L3309" s="195">
        <v>-9.5836909999999997E-2</v>
      </c>
      <c r="M3309" s="195">
        <v>-0.14708599999999999</v>
      </c>
      <c r="N3309" s="195">
        <v>-0.66999989999999998</v>
      </c>
    </row>
    <row r="3310" spans="1:14" hidden="1" x14ac:dyDescent="0.35">
      <c r="A3310" s="52" t="s">
        <v>672</v>
      </c>
      <c r="B3310" s="52" t="s">
        <v>73</v>
      </c>
      <c r="C3310" s="52" t="s">
        <v>87</v>
      </c>
      <c r="D3310" s="52" t="s">
        <v>208</v>
      </c>
      <c r="E3310" s="52" t="s">
        <v>584</v>
      </c>
      <c r="F3310" s="52" t="s">
        <v>581</v>
      </c>
      <c r="G3310" s="195" t="s">
        <v>277</v>
      </c>
      <c r="H3310" s="195"/>
      <c r="I3310" s="195">
        <v>0</v>
      </c>
      <c r="J3310" s="195">
        <v>1.4999999999999999E-2</v>
      </c>
      <c r="K3310" s="195">
        <v>1.4999999999999999E-2</v>
      </c>
      <c r="L3310" s="195">
        <v>2.71875E-2</v>
      </c>
      <c r="M3310" s="195">
        <v>3.2987500000000003E-2</v>
      </c>
      <c r="N3310" s="195">
        <v>0.71615930000000005</v>
      </c>
    </row>
    <row r="3311" spans="1:14" hidden="1" x14ac:dyDescent="0.35">
      <c r="A3311" s="52" t="s">
        <v>672</v>
      </c>
      <c r="B3311" s="52" t="s">
        <v>73</v>
      </c>
      <c r="C3311" s="52" t="s">
        <v>87</v>
      </c>
      <c r="D3311" s="52" t="s">
        <v>208</v>
      </c>
      <c r="E3311" s="52" t="s">
        <v>584</v>
      </c>
      <c r="F3311" s="52" t="s">
        <v>581</v>
      </c>
      <c r="G3311" s="195" t="s">
        <v>278</v>
      </c>
      <c r="H3311" s="195">
        <v>7.8672950000000005E-2</v>
      </c>
      <c r="I3311" s="195">
        <v>5.1393899999999999E-2</v>
      </c>
      <c r="J3311" s="195">
        <v>0.92057529999999999</v>
      </c>
      <c r="K3311" s="195">
        <v>1.4839370000000001</v>
      </c>
      <c r="L3311" s="195">
        <v>4.4232800000000003E-2</v>
      </c>
      <c r="M3311" s="195">
        <v>8.9562749999999997E-2</v>
      </c>
      <c r="N3311" s="195">
        <v>8.9562749999999997E-2</v>
      </c>
    </row>
    <row r="3312" spans="1:14" hidden="1" x14ac:dyDescent="0.35">
      <c r="A3312" s="52" t="s">
        <v>672</v>
      </c>
      <c r="B3312" s="52" t="s">
        <v>73</v>
      </c>
      <c r="C3312" s="52" t="s">
        <v>87</v>
      </c>
      <c r="D3312" s="52" t="s">
        <v>208</v>
      </c>
      <c r="E3312" s="52" t="s">
        <v>584</v>
      </c>
      <c r="F3312" s="52" t="s">
        <v>581</v>
      </c>
      <c r="G3312" s="195" t="s">
        <v>279</v>
      </c>
      <c r="H3312" s="195"/>
      <c r="I3312" s="195"/>
      <c r="J3312" s="195"/>
      <c r="K3312" s="195"/>
      <c r="L3312" s="195"/>
      <c r="M3312" s="195"/>
      <c r="N3312" s="195">
        <v>0</v>
      </c>
    </row>
    <row r="3313" spans="1:14" hidden="1" x14ac:dyDescent="0.35">
      <c r="A3313" s="52" t="s">
        <v>672</v>
      </c>
      <c r="B3313" s="52" t="s">
        <v>73</v>
      </c>
      <c r="C3313" s="52" t="s">
        <v>87</v>
      </c>
      <c r="D3313" s="52" t="s">
        <v>208</v>
      </c>
      <c r="E3313" s="52" t="s">
        <v>584</v>
      </c>
      <c r="F3313" s="52" t="s">
        <v>26</v>
      </c>
      <c r="G3313" s="195" t="s">
        <v>275</v>
      </c>
      <c r="H3313" s="195">
        <v>-1.0195E-3</v>
      </c>
      <c r="I3313" s="195">
        <v>8.9500100000000001E-5</v>
      </c>
      <c r="J3313" s="195">
        <v>1.7585000000000001E-3</v>
      </c>
      <c r="K3313" s="195">
        <v>8.7000000000000001E-4</v>
      </c>
      <c r="L3313" s="195">
        <v>0</v>
      </c>
      <c r="M3313" s="195">
        <v>0</v>
      </c>
      <c r="N3313" s="195">
        <v>0</v>
      </c>
    </row>
    <row r="3314" spans="1:14" hidden="1" x14ac:dyDescent="0.35">
      <c r="A3314" s="52" t="s">
        <v>672</v>
      </c>
      <c r="B3314" s="52" t="s">
        <v>73</v>
      </c>
      <c r="C3314" s="52" t="s">
        <v>87</v>
      </c>
      <c r="D3314" s="52" t="s">
        <v>208</v>
      </c>
      <c r="E3314" s="52" t="s">
        <v>584</v>
      </c>
      <c r="F3314" s="52" t="s">
        <v>26</v>
      </c>
      <c r="G3314" s="195" t="s">
        <v>276</v>
      </c>
      <c r="H3314" s="195">
        <v>-2.0431999999999999E-2</v>
      </c>
      <c r="I3314" s="195">
        <v>-1.4102E-2</v>
      </c>
      <c r="J3314" s="195">
        <v>0</v>
      </c>
      <c r="K3314" s="195">
        <v>0</v>
      </c>
      <c r="L3314" s="195">
        <v>0</v>
      </c>
      <c r="M3314" s="195">
        <v>0</v>
      </c>
      <c r="N3314" s="195">
        <v>0</v>
      </c>
    </row>
    <row r="3315" spans="1:14" hidden="1" x14ac:dyDescent="0.35">
      <c r="A3315" s="52" t="s">
        <v>672</v>
      </c>
      <c r="B3315" s="52" t="s">
        <v>73</v>
      </c>
      <c r="C3315" s="52" t="s">
        <v>87</v>
      </c>
      <c r="D3315" s="52" t="s">
        <v>208</v>
      </c>
      <c r="E3315" s="52" t="s">
        <v>584</v>
      </c>
      <c r="F3315" s="52" t="s">
        <v>26</v>
      </c>
      <c r="G3315" s="195" t="s">
        <v>277</v>
      </c>
      <c r="H3315" s="195"/>
      <c r="I3315" s="195"/>
      <c r="J3315" s="195"/>
      <c r="K3315" s="195"/>
      <c r="L3315" s="195"/>
      <c r="M3315" s="195"/>
      <c r="N3315" s="195">
        <v>0</v>
      </c>
    </row>
    <row r="3316" spans="1:14" hidden="1" x14ac:dyDescent="0.35">
      <c r="A3316" s="52" t="s">
        <v>672</v>
      </c>
      <c r="B3316" s="52" t="s">
        <v>73</v>
      </c>
      <c r="C3316" s="52" t="s">
        <v>87</v>
      </c>
      <c r="D3316" s="52" t="s">
        <v>208</v>
      </c>
      <c r="E3316" s="52" t="s">
        <v>584</v>
      </c>
      <c r="F3316" s="52" t="s">
        <v>26</v>
      </c>
      <c r="G3316" s="195" t="s">
        <v>278</v>
      </c>
      <c r="H3316" s="195">
        <v>2.1451499999999998E-2</v>
      </c>
      <c r="I3316" s="195">
        <v>1.40135E-2</v>
      </c>
      <c r="J3316" s="195">
        <v>0</v>
      </c>
      <c r="K3316" s="195">
        <v>0</v>
      </c>
      <c r="L3316" s="195">
        <v>0</v>
      </c>
      <c r="M3316" s="195">
        <v>0</v>
      </c>
      <c r="N3316" s="195"/>
    </row>
    <row r="3317" spans="1:14" hidden="1" x14ac:dyDescent="0.35">
      <c r="A3317" s="52" t="s">
        <v>672</v>
      </c>
      <c r="B3317" s="52" t="s">
        <v>73</v>
      </c>
      <c r="C3317" s="52" t="s">
        <v>87</v>
      </c>
      <c r="D3317" s="52" t="s">
        <v>208</v>
      </c>
      <c r="E3317" s="52" t="s">
        <v>584</v>
      </c>
      <c r="F3317" s="52" t="s">
        <v>26</v>
      </c>
      <c r="G3317" s="195" t="s">
        <v>279</v>
      </c>
      <c r="H3317" s="195"/>
      <c r="I3317" s="195"/>
      <c r="J3317" s="195"/>
      <c r="K3317" s="195"/>
      <c r="L3317" s="195"/>
      <c r="M3317" s="195"/>
      <c r="N3317" s="195">
        <v>0</v>
      </c>
    </row>
    <row r="3318" spans="1:14" hidden="1" x14ac:dyDescent="0.35">
      <c r="A3318" s="52" t="s">
        <v>672</v>
      </c>
      <c r="B3318" s="52" t="s">
        <v>73</v>
      </c>
      <c r="C3318" s="52" t="s">
        <v>87</v>
      </c>
      <c r="D3318" s="52" t="s">
        <v>331</v>
      </c>
      <c r="E3318" s="52" t="s">
        <v>584</v>
      </c>
      <c r="F3318" s="52" t="s">
        <v>581</v>
      </c>
      <c r="G3318" s="195" t="s">
        <v>275</v>
      </c>
      <c r="H3318" s="195">
        <v>1.0269999999999999E-3</v>
      </c>
      <c r="I3318" s="195">
        <v>6.8720000000000001E-4</v>
      </c>
      <c r="J3318" s="195">
        <v>3.2239999999999998E-4</v>
      </c>
      <c r="K3318" s="195">
        <v>0</v>
      </c>
      <c r="L3318" s="195"/>
      <c r="M3318" s="195"/>
      <c r="N3318" s="195"/>
    </row>
    <row r="3319" spans="1:14" hidden="1" x14ac:dyDescent="0.35">
      <c r="A3319" s="52" t="s">
        <v>672</v>
      </c>
      <c r="B3319" s="52" t="s">
        <v>73</v>
      </c>
      <c r="C3319" s="52" t="s">
        <v>87</v>
      </c>
      <c r="D3319" s="52" t="s">
        <v>331</v>
      </c>
      <c r="E3319" s="52" t="s">
        <v>584</v>
      </c>
      <c r="F3319" s="52" t="s">
        <v>581</v>
      </c>
      <c r="G3319" s="195" t="s">
        <v>276</v>
      </c>
      <c r="H3319" s="195">
        <v>-1.0269999999999999E-3</v>
      </c>
      <c r="I3319" s="195">
        <v>-6.8720000000000001E-4</v>
      </c>
      <c r="J3319" s="195">
        <v>0</v>
      </c>
      <c r="K3319" s="195">
        <v>0</v>
      </c>
      <c r="L3319" s="195"/>
      <c r="M3319" s="195"/>
      <c r="N3319" s="195"/>
    </row>
    <row r="3320" spans="1:14" hidden="1" x14ac:dyDescent="0.35">
      <c r="A3320" s="52" t="s">
        <v>672</v>
      </c>
      <c r="B3320" s="52" t="s">
        <v>73</v>
      </c>
      <c r="C3320" s="52" t="s">
        <v>87</v>
      </c>
      <c r="D3320" s="52" t="s">
        <v>331</v>
      </c>
      <c r="E3320" s="52" t="s">
        <v>584</v>
      </c>
      <c r="F3320" s="52" t="s">
        <v>581</v>
      </c>
      <c r="G3320" s="195" t="s">
        <v>278</v>
      </c>
      <c r="H3320" s="195">
        <v>0</v>
      </c>
      <c r="I3320" s="195"/>
      <c r="J3320" s="195"/>
      <c r="K3320" s="195"/>
      <c r="L3320" s="195"/>
      <c r="M3320" s="195"/>
      <c r="N3320" s="195"/>
    </row>
    <row r="3321" spans="1:14" hidden="1" x14ac:dyDescent="0.35">
      <c r="A3321" s="52" t="s">
        <v>672</v>
      </c>
      <c r="B3321" s="52" t="s">
        <v>73</v>
      </c>
      <c r="C3321" s="52" t="s">
        <v>87</v>
      </c>
      <c r="D3321" s="52" t="s">
        <v>332</v>
      </c>
      <c r="E3321" s="52" t="s">
        <v>584</v>
      </c>
      <c r="F3321" s="52" t="s">
        <v>581</v>
      </c>
      <c r="G3321" s="195" t="s">
        <v>275</v>
      </c>
      <c r="H3321" s="195">
        <v>-1.2243E-3</v>
      </c>
      <c r="I3321" s="195">
        <v>1.072499E-4</v>
      </c>
      <c r="J3321" s="195">
        <v>0</v>
      </c>
      <c r="K3321" s="195">
        <v>0</v>
      </c>
      <c r="L3321" s="195">
        <v>0</v>
      </c>
      <c r="M3321" s="195">
        <v>0</v>
      </c>
      <c r="N3321" s="195">
        <v>0</v>
      </c>
    </row>
    <row r="3322" spans="1:14" hidden="1" x14ac:dyDescent="0.35">
      <c r="A3322" s="52" t="s">
        <v>672</v>
      </c>
      <c r="B3322" s="52" t="s">
        <v>73</v>
      </c>
      <c r="C3322" s="52" t="s">
        <v>87</v>
      </c>
      <c r="D3322" s="52" t="s">
        <v>332</v>
      </c>
      <c r="E3322" s="52" t="s">
        <v>584</v>
      </c>
      <c r="F3322" s="52" t="s">
        <v>581</v>
      </c>
      <c r="G3322" s="195" t="s">
        <v>276</v>
      </c>
      <c r="H3322" s="195">
        <v>-2.4538250000000001E-2</v>
      </c>
      <c r="I3322" s="195">
        <v>-1.6936150000000001E-2</v>
      </c>
      <c r="J3322" s="195">
        <v>-1.7919069999999999</v>
      </c>
      <c r="K3322" s="195">
        <v>-0.30718869999999998</v>
      </c>
      <c r="L3322" s="195">
        <v>-1.9304999999999999E-2</v>
      </c>
      <c r="M3322" s="195">
        <v>-0.1152036</v>
      </c>
      <c r="N3322" s="195">
        <v>-3.8837150000000001E-2</v>
      </c>
    </row>
    <row r="3323" spans="1:14" hidden="1" x14ac:dyDescent="0.35">
      <c r="A3323" s="52" t="s">
        <v>672</v>
      </c>
      <c r="B3323" s="52" t="s">
        <v>73</v>
      </c>
      <c r="C3323" s="52" t="s">
        <v>87</v>
      </c>
      <c r="D3323" s="52" t="s">
        <v>332</v>
      </c>
      <c r="E3323" s="52" t="s">
        <v>584</v>
      </c>
      <c r="F3323" s="52" t="s">
        <v>581</v>
      </c>
      <c r="G3323" s="195" t="s">
        <v>277</v>
      </c>
      <c r="H3323" s="195"/>
      <c r="I3323" s="195"/>
      <c r="J3323" s="195"/>
      <c r="K3323" s="195">
        <v>0</v>
      </c>
      <c r="L3323" s="195">
        <v>3.9874999999999997E-3</v>
      </c>
      <c r="M3323" s="195">
        <v>8.3737510000000001E-2</v>
      </c>
      <c r="N3323" s="195">
        <v>0</v>
      </c>
    </row>
    <row r="3324" spans="1:14" hidden="1" x14ac:dyDescent="0.35">
      <c r="A3324" s="52" t="s">
        <v>672</v>
      </c>
      <c r="B3324" s="52" t="s">
        <v>73</v>
      </c>
      <c r="C3324" s="52" t="s">
        <v>87</v>
      </c>
      <c r="D3324" s="52" t="s">
        <v>332</v>
      </c>
      <c r="E3324" s="52" t="s">
        <v>584</v>
      </c>
      <c r="F3324" s="52" t="s">
        <v>581</v>
      </c>
      <c r="G3324" s="195" t="s">
        <v>278</v>
      </c>
      <c r="H3324" s="195">
        <v>2.5762E-2</v>
      </c>
      <c r="I3324" s="195">
        <v>1.6829449999999999E-2</v>
      </c>
      <c r="J3324" s="195">
        <v>1.7919069999999999</v>
      </c>
      <c r="K3324" s="195">
        <v>0.30718820000000002</v>
      </c>
      <c r="L3324" s="195">
        <v>1.5316949999999999E-2</v>
      </c>
      <c r="M3324" s="195">
        <v>3.1466050000000002E-2</v>
      </c>
      <c r="N3324" s="195">
        <v>3.1466050000000002E-2</v>
      </c>
    </row>
    <row r="3325" spans="1:14" hidden="1" x14ac:dyDescent="0.35">
      <c r="A3325" s="52" t="s">
        <v>672</v>
      </c>
      <c r="B3325" s="52" t="s">
        <v>73</v>
      </c>
      <c r="C3325" s="52" t="s">
        <v>87</v>
      </c>
      <c r="D3325" s="52" t="s">
        <v>332</v>
      </c>
      <c r="E3325" s="52" t="s">
        <v>584</v>
      </c>
      <c r="F3325" s="52" t="s">
        <v>581</v>
      </c>
      <c r="G3325" s="195" t="s">
        <v>279</v>
      </c>
      <c r="H3325" s="195"/>
      <c r="I3325" s="195"/>
      <c r="J3325" s="195"/>
      <c r="K3325" s="195"/>
      <c r="L3325" s="195"/>
      <c r="M3325" s="195">
        <v>0</v>
      </c>
      <c r="N3325" s="195">
        <v>7.3716500000000004E-3</v>
      </c>
    </row>
    <row r="3326" spans="1:14" hidden="1" x14ac:dyDescent="0.35">
      <c r="A3326" s="52" t="s">
        <v>672</v>
      </c>
      <c r="B3326" s="52" t="s">
        <v>73</v>
      </c>
      <c r="C3326" s="52" t="s">
        <v>87</v>
      </c>
      <c r="D3326" s="52" t="s">
        <v>332</v>
      </c>
      <c r="E3326" s="52" t="s">
        <v>584</v>
      </c>
      <c r="F3326" s="52" t="s">
        <v>26</v>
      </c>
      <c r="G3326" s="195" t="s">
        <v>275</v>
      </c>
      <c r="H3326" s="195"/>
      <c r="I3326" s="195"/>
      <c r="J3326" s="195"/>
      <c r="K3326" s="195"/>
      <c r="L3326" s="195"/>
      <c r="M3326" s="195">
        <v>0</v>
      </c>
      <c r="N3326" s="195">
        <v>0</v>
      </c>
    </row>
    <row r="3327" spans="1:14" hidden="1" x14ac:dyDescent="0.35">
      <c r="A3327" s="52" t="s">
        <v>672</v>
      </c>
      <c r="B3327" s="52" t="s">
        <v>73</v>
      </c>
      <c r="C3327" s="52" t="s">
        <v>87</v>
      </c>
      <c r="D3327" s="52" t="s">
        <v>332</v>
      </c>
      <c r="E3327" s="52" t="s">
        <v>584</v>
      </c>
      <c r="F3327" s="52" t="s">
        <v>26</v>
      </c>
      <c r="G3327" s="195" t="s">
        <v>276</v>
      </c>
      <c r="H3327" s="195"/>
      <c r="I3327" s="195"/>
      <c r="J3327" s="195"/>
      <c r="K3327" s="195"/>
      <c r="L3327" s="195"/>
      <c r="M3327" s="195">
        <v>0</v>
      </c>
      <c r="N3327" s="195">
        <v>-5.7034999999999996E-4</v>
      </c>
    </row>
    <row r="3328" spans="1:14" hidden="1" x14ac:dyDescent="0.35">
      <c r="A3328" s="52" t="s">
        <v>672</v>
      </c>
      <c r="B3328" s="52" t="s">
        <v>73</v>
      </c>
      <c r="C3328" s="52" t="s">
        <v>87</v>
      </c>
      <c r="D3328" s="52" t="s">
        <v>332</v>
      </c>
      <c r="E3328" s="52" t="s">
        <v>584</v>
      </c>
      <c r="F3328" s="52" t="s">
        <v>26</v>
      </c>
      <c r="G3328" s="195" t="s">
        <v>279</v>
      </c>
      <c r="H3328" s="195"/>
      <c r="I3328" s="195"/>
      <c r="J3328" s="195"/>
      <c r="K3328" s="195"/>
      <c r="L3328" s="195"/>
      <c r="M3328" s="195">
        <v>0</v>
      </c>
      <c r="N3328" s="195">
        <v>5.7034999999999996E-4</v>
      </c>
    </row>
    <row r="3329" spans="1:14" hidden="1" x14ac:dyDescent="0.35">
      <c r="A3329" s="52" t="s">
        <v>672</v>
      </c>
      <c r="B3329" s="52" t="s">
        <v>73</v>
      </c>
      <c r="C3329" s="52" t="s">
        <v>71</v>
      </c>
      <c r="D3329" s="52" t="s">
        <v>140</v>
      </c>
      <c r="E3329" s="52" t="s">
        <v>584</v>
      </c>
      <c r="F3329" s="52" t="s">
        <v>581</v>
      </c>
      <c r="G3329" s="195" t="s">
        <v>275</v>
      </c>
      <c r="H3329" s="195">
        <v>166.613</v>
      </c>
      <c r="I3329" s="195">
        <v>63.352440000000001</v>
      </c>
      <c r="J3329" s="195">
        <v>39.995269999999998</v>
      </c>
      <c r="K3329" s="195">
        <v>25.962309999999999</v>
      </c>
      <c r="L3329" s="195">
        <v>56.999339999999997</v>
      </c>
      <c r="M3329" s="195">
        <v>41.514209999999999</v>
      </c>
      <c r="N3329" s="195">
        <v>34.371630000000003</v>
      </c>
    </row>
    <row r="3330" spans="1:14" hidden="1" x14ac:dyDescent="0.35">
      <c r="A3330" s="52" t="s">
        <v>672</v>
      </c>
      <c r="B3330" s="52" t="s">
        <v>73</v>
      </c>
      <c r="C3330" s="52" t="s">
        <v>71</v>
      </c>
      <c r="D3330" s="52" t="s">
        <v>140</v>
      </c>
      <c r="E3330" s="52" t="s">
        <v>584</v>
      </c>
      <c r="F3330" s="52" t="s">
        <v>581</v>
      </c>
      <c r="G3330" s="195" t="s">
        <v>276</v>
      </c>
      <c r="H3330" s="195">
        <v>432.10860000000002</v>
      </c>
      <c r="I3330" s="195">
        <v>38.551690000000001</v>
      </c>
      <c r="J3330" s="195">
        <v>19.366309999999999</v>
      </c>
      <c r="K3330" s="195">
        <v>2.1727319999999999</v>
      </c>
      <c r="L3330" s="195">
        <v>-4.910666</v>
      </c>
      <c r="M3330" s="195">
        <v>-10.42404</v>
      </c>
      <c r="N3330" s="195">
        <v>-14.027979999999999</v>
      </c>
    </row>
    <row r="3331" spans="1:14" hidden="1" x14ac:dyDescent="0.35">
      <c r="A3331" s="52" t="s">
        <v>672</v>
      </c>
      <c r="B3331" s="52" t="s">
        <v>73</v>
      </c>
      <c r="C3331" s="52" t="s">
        <v>71</v>
      </c>
      <c r="D3331" s="52" t="s">
        <v>140</v>
      </c>
      <c r="E3331" s="52" t="s">
        <v>584</v>
      </c>
      <c r="F3331" s="52" t="s">
        <v>581</v>
      </c>
      <c r="G3331" s="195" t="s">
        <v>277</v>
      </c>
      <c r="H3331" s="195">
        <v>73.516900000000007</v>
      </c>
      <c r="I3331" s="195">
        <v>71.126630000000006</v>
      </c>
      <c r="J3331" s="195">
        <v>65.963939999999994</v>
      </c>
      <c r="K3331" s="195">
        <v>58.001600000000003</v>
      </c>
      <c r="L3331" s="195"/>
      <c r="M3331" s="195">
        <v>8.5618590000000001</v>
      </c>
      <c r="N3331" s="195">
        <v>0</v>
      </c>
    </row>
    <row r="3332" spans="1:14" hidden="1" x14ac:dyDescent="0.35">
      <c r="A3332" s="52" t="s">
        <v>672</v>
      </c>
      <c r="B3332" s="52" t="s">
        <v>73</v>
      </c>
      <c r="C3332" s="52" t="s">
        <v>71</v>
      </c>
      <c r="D3332" s="52" t="s">
        <v>140</v>
      </c>
      <c r="E3332" s="52" t="s">
        <v>584</v>
      </c>
      <c r="F3332" s="52" t="s">
        <v>581</v>
      </c>
      <c r="G3332" s="195" t="s">
        <v>278</v>
      </c>
      <c r="H3332" s="195">
        <v>4.4060250000000002E-2</v>
      </c>
      <c r="I3332" s="195">
        <v>0</v>
      </c>
      <c r="J3332" s="195"/>
      <c r="K3332" s="195">
        <v>0</v>
      </c>
      <c r="L3332" s="195"/>
      <c r="M3332" s="195"/>
      <c r="N3332" s="195"/>
    </row>
    <row r="3333" spans="1:14" hidden="1" x14ac:dyDescent="0.35">
      <c r="A3333" s="52" t="s">
        <v>672</v>
      </c>
      <c r="B3333" s="52" t="s">
        <v>73</v>
      </c>
      <c r="C3333" s="52" t="s">
        <v>71</v>
      </c>
      <c r="D3333" s="52" t="s">
        <v>140</v>
      </c>
      <c r="E3333" s="52" t="s">
        <v>584</v>
      </c>
      <c r="F3333" s="52" t="s">
        <v>581</v>
      </c>
      <c r="G3333" s="195" t="s">
        <v>279</v>
      </c>
      <c r="H3333" s="195">
        <v>101.3052</v>
      </c>
      <c r="I3333" s="195">
        <v>94.455119999999994</v>
      </c>
      <c r="J3333" s="195">
        <v>91.912649999999999</v>
      </c>
      <c r="K3333" s="195">
        <v>107.2129</v>
      </c>
      <c r="L3333" s="195">
        <v>106.2704</v>
      </c>
      <c r="M3333" s="195">
        <v>105.55200000000001</v>
      </c>
      <c r="N3333" s="195">
        <v>105.3402</v>
      </c>
    </row>
    <row r="3334" spans="1:14" hidden="1" x14ac:dyDescent="0.35">
      <c r="A3334" s="52" t="s">
        <v>672</v>
      </c>
      <c r="B3334" s="52" t="s">
        <v>73</v>
      </c>
      <c r="C3334" s="52" t="s">
        <v>71</v>
      </c>
      <c r="D3334" s="52" t="s">
        <v>140</v>
      </c>
      <c r="E3334" s="52" t="s">
        <v>584</v>
      </c>
      <c r="F3334" s="52" t="s">
        <v>26</v>
      </c>
      <c r="G3334" s="195" t="s">
        <v>275</v>
      </c>
      <c r="H3334" s="195">
        <v>14.47423</v>
      </c>
      <c r="I3334" s="195">
        <v>7.8928890000000003</v>
      </c>
      <c r="J3334" s="195">
        <v>8.4661709999999992</v>
      </c>
      <c r="K3334" s="195">
        <v>8.1752310000000001</v>
      </c>
      <c r="L3334" s="195">
        <v>7.5526770000000001</v>
      </c>
      <c r="M3334" s="195">
        <v>6.4989980000000003</v>
      </c>
      <c r="N3334" s="195">
        <v>5.6131909999999996</v>
      </c>
    </row>
    <row r="3335" spans="1:14" hidden="1" x14ac:dyDescent="0.35">
      <c r="A3335" s="52" t="s">
        <v>672</v>
      </c>
      <c r="B3335" s="52" t="s">
        <v>73</v>
      </c>
      <c r="C3335" s="52" t="s">
        <v>71</v>
      </c>
      <c r="D3335" s="52" t="s">
        <v>140</v>
      </c>
      <c r="E3335" s="52" t="s">
        <v>584</v>
      </c>
      <c r="F3335" s="52" t="s">
        <v>26</v>
      </c>
      <c r="G3335" s="195" t="s">
        <v>276</v>
      </c>
      <c r="H3335" s="195">
        <v>51.724319999999999</v>
      </c>
      <c r="I3335" s="195">
        <v>28.19558</v>
      </c>
      <c r="J3335" s="195">
        <v>29.998740000000002</v>
      </c>
      <c r="K3335" s="195">
        <v>29.18131</v>
      </c>
      <c r="L3335" s="195">
        <v>26.943159999999999</v>
      </c>
      <c r="M3335" s="195">
        <v>23.152760000000001</v>
      </c>
      <c r="N3335" s="195">
        <v>19.899850000000001</v>
      </c>
    </row>
    <row r="3336" spans="1:14" hidden="1" x14ac:dyDescent="0.35">
      <c r="A3336" s="52" t="s">
        <v>672</v>
      </c>
      <c r="B3336" s="52" t="s">
        <v>73</v>
      </c>
      <c r="C3336" s="52" t="s">
        <v>71</v>
      </c>
      <c r="D3336" s="52" t="s">
        <v>140</v>
      </c>
      <c r="E3336" s="52" t="s">
        <v>584</v>
      </c>
      <c r="F3336" s="52" t="s">
        <v>26</v>
      </c>
      <c r="G3336" s="195" t="s">
        <v>277</v>
      </c>
      <c r="H3336" s="195"/>
      <c r="I3336" s="195"/>
      <c r="J3336" s="195"/>
      <c r="K3336" s="195">
        <v>0</v>
      </c>
      <c r="L3336" s="195">
        <v>4.7124999999999997E-3</v>
      </c>
      <c r="M3336" s="195">
        <v>4.7124999999999997E-3</v>
      </c>
      <c r="N3336" s="195">
        <v>9.4250009999999995E-2</v>
      </c>
    </row>
    <row r="3337" spans="1:14" hidden="1" x14ac:dyDescent="0.35">
      <c r="A3337" s="52" t="s">
        <v>672</v>
      </c>
      <c r="B3337" s="52" t="s">
        <v>73</v>
      </c>
      <c r="C3337" s="52" t="s">
        <v>71</v>
      </c>
      <c r="D3337" s="52" t="s">
        <v>140</v>
      </c>
      <c r="E3337" s="52" t="s">
        <v>584</v>
      </c>
      <c r="F3337" s="52" t="s">
        <v>26</v>
      </c>
      <c r="G3337" s="195" t="s">
        <v>278</v>
      </c>
      <c r="H3337" s="195"/>
      <c r="I3337" s="195">
        <v>2.878265E-2</v>
      </c>
      <c r="J3337" s="195">
        <v>0.25440869999999999</v>
      </c>
      <c r="K3337" s="195">
        <v>2.919865E-2</v>
      </c>
      <c r="L3337" s="195">
        <v>2.6195650000000001E-2</v>
      </c>
      <c r="M3337" s="195">
        <v>5.3814800000000003E-2</v>
      </c>
      <c r="N3337" s="195">
        <v>5.3814800000000003E-2</v>
      </c>
    </row>
    <row r="3338" spans="1:14" hidden="1" x14ac:dyDescent="0.35">
      <c r="A3338" s="52" t="s">
        <v>672</v>
      </c>
      <c r="B3338" s="52" t="s">
        <v>73</v>
      </c>
      <c r="C3338" s="52" t="s">
        <v>71</v>
      </c>
      <c r="D3338" s="52" t="s">
        <v>140</v>
      </c>
      <c r="E3338" s="52" t="s">
        <v>584</v>
      </c>
      <c r="F3338" s="52" t="s">
        <v>26</v>
      </c>
      <c r="G3338" s="195" t="s">
        <v>279</v>
      </c>
      <c r="H3338" s="195">
        <v>15.128019999999999</v>
      </c>
      <c r="I3338" s="195">
        <v>12.14522</v>
      </c>
      <c r="J3338" s="195">
        <v>8.6195740000000001</v>
      </c>
      <c r="K3338" s="195">
        <v>7.7337309999999997</v>
      </c>
      <c r="L3338" s="195">
        <v>4.7629650000000003</v>
      </c>
      <c r="M3338" s="195">
        <v>4.1642469999999996</v>
      </c>
      <c r="N3338" s="195">
        <v>3.6636120000000001</v>
      </c>
    </row>
    <row r="3339" spans="1:14" hidden="1" x14ac:dyDescent="0.35">
      <c r="A3339" s="52" t="s">
        <v>672</v>
      </c>
      <c r="B3339" s="52" t="s">
        <v>73</v>
      </c>
      <c r="C3339" s="52" t="s">
        <v>71</v>
      </c>
      <c r="D3339" s="52" t="s">
        <v>142</v>
      </c>
      <c r="E3339" s="52" t="s">
        <v>584</v>
      </c>
      <c r="F3339" s="52" t="s">
        <v>581</v>
      </c>
      <c r="G3339" s="195" t="s">
        <v>275</v>
      </c>
      <c r="H3339" s="195">
        <v>188.74889999999999</v>
      </c>
      <c r="I3339" s="195">
        <v>91.122829999999993</v>
      </c>
      <c r="J3339" s="195">
        <v>21.536349999999999</v>
      </c>
      <c r="K3339" s="195">
        <v>47.631500000000003</v>
      </c>
      <c r="L3339" s="195">
        <v>46.617579999999997</v>
      </c>
      <c r="M3339" s="195">
        <v>46.784889999999997</v>
      </c>
      <c r="N3339" s="195">
        <v>34.420349999999999</v>
      </c>
    </row>
    <row r="3340" spans="1:14" hidden="1" x14ac:dyDescent="0.35">
      <c r="A3340" s="52" t="s">
        <v>672</v>
      </c>
      <c r="B3340" s="52" t="s">
        <v>73</v>
      </c>
      <c r="C3340" s="52" t="s">
        <v>71</v>
      </c>
      <c r="D3340" s="52" t="s">
        <v>142</v>
      </c>
      <c r="E3340" s="52" t="s">
        <v>584</v>
      </c>
      <c r="F3340" s="52" t="s">
        <v>581</v>
      </c>
      <c r="G3340" s="195" t="s">
        <v>276</v>
      </c>
      <c r="H3340" s="195">
        <v>140.49870000000001</v>
      </c>
      <c r="I3340" s="195">
        <v>-24.69829</v>
      </c>
      <c r="J3340" s="195">
        <v>-25.090109999999999</v>
      </c>
      <c r="K3340" s="195">
        <v>12.114089999999999</v>
      </c>
      <c r="L3340" s="195">
        <v>37.577809999999999</v>
      </c>
      <c r="M3340" s="195">
        <v>26.278020000000001</v>
      </c>
      <c r="N3340" s="195">
        <v>20.617509999999999</v>
      </c>
    </row>
    <row r="3341" spans="1:14" hidden="1" x14ac:dyDescent="0.35">
      <c r="A3341" s="52" t="s">
        <v>672</v>
      </c>
      <c r="B3341" s="52" t="s">
        <v>73</v>
      </c>
      <c r="C3341" s="52" t="s">
        <v>71</v>
      </c>
      <c r="D3341" s="52" t="s">
        <v>142</v>
      </c>
      <c r="E3341" s="52" t="s">
        <v>584</v>
      </c>
      <c r="F3341" s="52" t="s">
        <v>581</v>
      </c>
      <c r="G3341" s="195" t="s">
        <v>277</v>
      </c>
      <c r="H3341" s="195">
        <v>65.525450000000006</v>
      </c>
      <c r="I3341" s="195">
        <v>73.005589999999998</v>
      </c>
      <c r="J3341" s="195">
        <v>100.7492</v>
      </c>
      <c r="K3341" s="195">
        <v>48.276020000000003</v>
      </c>
      <c r="L3341" s="195">
        <v>42.542969999999997</v>
      </c>
      <c r="M3341" s="195">
        <v>31.165030000000002</v>
      </c>
      <c r="N3341" s="195">
        <v>34.359499999999997</v>
      </c>
    </row>
    <row r="3342" spans="1:14" hidden="1" x14ac:dyDescent="0.35">
      <c r="A3342" s="52" t="s">
        <v>672</v>
      </c>
      <c r="B3342" s="52" t="s">
        <v>73</v>
      </c>
      <c r="C3342" s="52" t="s">
        <v>71</v>
      </c>
      <c r="D3342" s="52" t="s">
        <v>142</v>
      </c>
      <c r="E3342" s="52" t="s">
        <v>584</v>
      </c>
      <c r="F3342" s="52" t="s">
        <v>581</v>
      </c>
      <c r="G3342" s="195" t="s">
        <v>278</v>
      </c>
      <c r="H3342" s="195">
        <v>9.4862649999999995</v>
      </c>
      <c r="I3342" s="195">
        <v>1.0518540000000001</v>
      </c>
      <c r="J3342" s="195">
        <v>12.394819999999999</v>
      </c>
      <c r="K3342" s="195">
        <v>4.5846679999999997</v>
      </c>
      <c r="L3342" s="195">
        <v>0.24571799999999999</v>
      </c>
      <c r="M3342" s="195">
        <v>2.5400969999999998</v>
      </c>
      <c r="N3342" s="195">
        <v>0.50478639999999997</v>
      </c>
    </row>
    <row r="3343" spans="1:14" hidden="1" x14ac:dyDescent="0.35">
      <c r="A3343" s="52" t="s">
        <v>672</v>
      </c>
      <c r="B3343" s="52" t="s">
        <v>73</v>
      </c>
      <c r="C3343" s="52" t="s">
        <v>71</v>
      </c>
      <c r="D3343" s="52" t="s">
        <v>142</v>
      </c>
      <c r="E3343" s="52" t="s">
        <v>584</v>
      </c>
      <c r="F3343" s="52" t="s">
        <v>581</v>
      </c>
      <c r="G3343" s="195" t="s">
        <v>279</v>
      </c>
      <c r="H3343" s="195">
        <v>38.267409999999998</v>
      </c>
      <c r="I3343" s="195">
        <v>33.489080000000001</v>
      </c>
      <c r="J3343" s="195">
        <v>31.233730000000001</v>
      </c>
      <c r="K3343" s="195">
        <v>44.704439999999998</v>
      </c>
      <c r="L3343" s="195">
        <v>48.32114</v>
      </c>
      <c r="M3343" s="195">
        <v>44.104140000000001</v>
      </c>
      <c r="N3343" s="195">
        <v>40.64922</v>
      </c>
    </row>
    <row r="3344" spans="1:14" hidden="1" x14ac:dyDescent="0.35">
      <c r="A3344" s="52" t="s">
        <v>672</v>
      </c>
      <c r="B3344" s="52" t="s">
        <v>73</v>
      </c>
      <c r="C3344" s="52" t="s">
        <v>71</v>
      </c>
      <c r="D3344" s="52" t="s">
        <v>142</v>
      </c>
      <c r="E3344" s="52" t="s">
        <v>584</v>
      </c>
      <c r="F3344" s="52" t="s">
        <v>26</v>
      </c>
      <c r="G3344" s="195" t="s">
        <v>275</v>
      </c>
      <c r="H3344" s="195">
        <v>7.4041079999999999</v>
      </c>
      <c r="I3344" s="195">
        <v>2.0723150000000001</v>
      </c>
      <c r="J3344" s="195">
        <v>8.6748409999999998E-2</v>
      </c>
      <c r="K3344" s="195">
        <v>0.80128460000000001</v>
      </c>
      <c r="L3344" s="195">
        <v>1.5809679999999999</v>
      </c>
      <c r="M3344" s="195">
        <v>1.4003019999999999</v>
      </c>
      <c r="N3344" s="195">
        <v>1.1029770000000001</v>
      </c>
    </row>
    <row r="3345" spans="1:14" hidden="1" x14ac:dyDescent="0.35">
      <c r="A3345" s="52" t="s">
        <v>672</v>
      </c>
      <c r="B3345" s="52" t="s">
        <v>73</v>
      </c>
      <c r="C3345" s="52" t="s">
        <v>71</v>
      </c>
      <c r="D3345" s="52" t="s">
        <v>142</v>
      </c>
      <c r="E3345" s="52" t="s">
        <v>584</v>
      </c>
      <c r="F3345" s="52" t="s">
        <v>26</v>
      </c>
      <c r="G3345" s="195" t="s">
        <v>276</v>
      </c>
      <c r="H3345" s="195">
        <v>5.1085969999999996</v>
      </c>
      <c r="I3345" s="195">
        <v>-6.2766859999999998</v>
      </c>
      <c r="J3345" s="195">
        <v>5.3701530000000002</v>
      </c>
      <c r="K3345" s="195">
        <v>2.5874450000000002</v>
      </c>
      <c r="L3345" s="195">
        <v>2.3013050000000002</v>
      </c>
      <c r="M3345" s="195">
        <v>1.5667420000000001</v>
      </c>
      <c r="N3345" s="195">
        <v>1.1140969999999999</v>
      </c>
    </row>
    <row r="3346" spans="1:14" hidden="1" x14ac:dyDescent="0.35">
      <c r="A3346" s="52" t="s">
        <v>672</v>
      </c>
      <c r="B3346" s="52" t="s">
        <v>73</v>
      </c>
      <c r="C3346" s="52" t="s">
        <v>71</v>
      </c>
      <c r="D3346" s="52" t="s">
        <v>142</v>
      </c>
      <c r="E3346" s="52" t="s">
        <v>584</v>
      </c>
      <c r="F3346" s="52" t="s">
        <v>26</v>
      </c>
      <c r="G3346" s="195" t="s">
        <v>277</v>
      </c>
      <c r="H3346" s="195">
        <v>0</v>
      </c>
      <c r="I3346" s="195">
        <v>0.18892539999999999</v>
      </c>
      <c r="J3346" s="195">
        <v>3.2482199999999999</v>
      </c>
      <c r="K3346" s="195">
        <v>0.85928610000000005</v>
      </c>
      <c r="L3346" s="195">
        <v>0</v>
      </c>
      <c r="M3346" s="195">
        <v>5.9450000000000003E-2</v>
      </c>
      <c r="N3346" s="195">
        <v>5.9450000000000003E-2</v>
      </c>
    </row>
    <row r="3347" spans="1:14" hidden="1" x14ac:dyDescent="0.35">
      <c r="A3347" s="52" t="s">
        <v>672</v>
      </c>
      <c r="B3347" s="52" t="s">
        <v>73</v>
      </c>
      <c r="C3347" s="52" t="s">
        <v>71</v>
      </c>
      <c r="D3347" s="52" t="s">
        <v>142</v>
      </c>
      <c r="E3347" s="52" t="s">
        <v>584</v>
      </c>
      <c r="F3347" s="52" t="s">
        <v>26</v>
      </c>
      <c r="G3347" s="195" t="s">
        <v>278</v>
      </c>
      <c r="H3347" s="195">
        <v>2.2405600000000001E-2</v>
      </c>
      <c r="I3347" s="195">
        <v>11.304650000000001</v>
      </c>
      <c r="J3347" s="195">
        <v>6.2870549999999997E-2</v>
      </c>
      <c r="K3347" s="195">
        <v>5.3093359999999999E-2</v>
      </c>
      <c r="L3347" s="195">
        <v>4.7632599999999997E-2</v>
      </c>
      <c r="M3347" s="195">
        <v>9.7853350000000006E-2</v>
      </c>
      <c r="N3347" s="195">
        <v>9.785336E-2</v>
      </c>
    </row>
    <row r="3348" spans="1:14" hidden="1" x14ac:dyDescent="0.35">
      <c r="A3348" s="52" t="s">
        <v>672</v>
      </c>
      <c r="B3348" s="52" t="s">
        <v>73</v>
      </c>
      <c r="C3348" s="52" t="s">
        <v>71</v>
      </c>
      <c r="D3348" s="52" t="s">
        <v>142</v>
      </c>
      <c r="E3348" s="52" t="s">
        <v>584</v>
      </c>
      <c r="F3348" s="52" t="s">
        <v>26</v>
      </c>
      <c r="G3348" s="195" t="s">
        <v>279</v>
      </c>
      <c r="H3348" s="195">
        <v>13.087949999999999</v>
      </c>
      <c r="I3348" s="195">
        <v>12.36867</v>
      </c>
      <c r="J3348" s="195">
        <v>12.997909999999999</v>
      </c>
      <c r="K3348" s="195">
        <v>18.117239999999999</v>
      </c>
      <c r="L3348" s="195">
        <v>16.619679999999999</v>
      </c>
      <c r="M3348" s="195">
        <v>13.330679999999999</v>
      </c>
      <c r="N3348" s="195">
        <v>10.360189999999999</v>
      </c>
    </row>
    <row r="3349" spans="1:14" hidden="1" x14ac:dyDescent="0.35">
      <c r="A3349" s="52" t="s">
        <v>672</v>
      </c>
      <c r="B3349" s="52" t="s">
        <v>73</v>
      </c>
      <c r="C3349" s="52" t="s">
        <v>71</v>
      </c>
      <c r="D3349" s="52" t="s">
        <v>139</v>
      </c>
      <c r="E3349" s="52" t="s">
        <v>584</v>
      </c>
      <c r="F3349" s="52" t="s">
        <v>581</v>
      </c>
      <c r="G3349" s="195" t="s">
        <v>275</v>
      </c>
      <c r="H3349" s="195">
        <v>69.955929999999995</v>
      </c>
      <c r="I3349" s="195">
        <v>39.617339999999999</v>
      </c>
      <c r="J3349" s="195">
        <v>30.994980000000002</v>
      </c>
      <c r="K3349" s="195">
        <v>18.139959999999999</v>
      </c>
      <c r="L3349" s="195">
        <v>-1.445913</v>
      </c>
      <c r="M3349" s="195">
        <v>-5.0071089999999998</v>
      </c>
      <c r="N3349" s="195">
        <v>-22.27148</v>
      </c>
    </row>
    <row r="3350" spans="1:14" hidden="1" x14ac:dyDescent="0.35">
      <c r="A3350" s="52" t="s">
        <v>672</v>
      </c>
      <c r="B3350" s="52" t="s">
        <v>73</v>
      </c>
      <c r="C3350" s="52" t="s">
        <v>71</v>
      </c>
      <c r="D3350" s="52" t="s">
        <v>139</v>
      </c>
      <c r="E3350" s="52" t="s">
        <v>584</v>
      </c>
      <c r="F3350" s="52" t="s">
        <v>581</v>
      </c>
      <c r="G3350" s="195" t="s">
        <v>276</v>
      </c>
      <c r="H3350" s="195">
        <v>-36.124670000000002</v>
      </c>
      <c r="I3350" s="195">
        <v>17.081379999999999</v>
      </c>
      <c r="J3350" s="195">
        <v>25.023800000000001</v>
      </c>
      <c r="K3350" s="195">
        <v>5.2717229999999997</v>
      </c>
      <c r="L3350" s="195">
        <v>7.5877359999999996</v>
      </c>
      <c r="M3350" s="195">
        <v>-2.8789509999999998</v>
      </c>
      <c r="N3350" s="195">
        <v>-51.68327</v>
      </c>
    </row>
    <row r="3351" spans="1:14" hidden="1" x14ac:dyDescent="0.35">
      <c r="A3351" s="52" t="s">
        <v>672</v>
      </c>
      <c r="B3351" s="52" t="s">
        <v>73</v>
      </c>
      <c r="C3351" s="52" t="s">
        <v>71</v>
      </c>
      <c r="D3351" s="52" t="s">
        <v>139</v>
      </c>
      <c r="E3351" s="52" t="s">
        <v>584</v>
      </c>
      <c r="F3351" s="52" t="s">
        <v>581</v>
      </c>
      <c r="G3351" s="195" t="s">
        <v>277</v>
      </c>
      <c r="H3351" s="195">
        <v>19.323070000000001</v>
      </c>
      <c r="I3351" s="195">
        <v>6.8954459999999997</v>
      </c>
      <c r="J3351" s="195">
        <v>8.7292419999999993</v>
      </c>
      <c r="K3351" s="195">
        <v>11.683809999999999</v>
      </c>
      <c r="L3351" s="195">
        <v>15.988910000000001</v>
      </c>
      <c r="M3351" s="195">
        <v>20.144670000000001</v>
      </c>
      <c r="N3351" s="195">
        <v>25.237690000000001</v>
      </c>
    </row>
    <row r="3352" spans="1:14" hidden="1" x14ac:dyDescent="0.35">
      <c r="A3352" s="52" t="s">
        <v>672</v>
      </c>
      <c r="B3352" s="52" t="s">
        <v>73</v>
      </c>
      <c r="C3352" s="52" t="s">
        <v>71</v>
      </c>
      <c r="D3352" s="52" t="s">
        <v>139</v>
      </c>
      <c r="E3352" s="52" t="s">
        <v>584</v>
      </c>
      <c r="F3352" s="52" t="s">
        <v>581</v>
      </c>
      <c r="G3352" s="195" t="s">
        <v>278</v>
      </c>
      <c r="H3352" s="195">
        <v>125.35760000000001</v>
      </c>
      <c r="I3352" s="195">
        <v>0.3656411</v>
      </c>
      <c r="J3352" s="195">
        <v>1.3001480000000001</v>
      </c>
      <c r="K3352" s="195">
        <v>6.5652220000000003</v>
      </c>
      <c r="L3352" s="195">
        <v>0.185247</v>
      </c>
      <c r="M3352" s="195">
        <v>0.38055810000000001</v>
      </c>
      <c r="N3352" s="195">
        <v>0.34204299999999999</v>
      </c>
    </row>
    <row r="3353" spans="1:14" hidden="1" x14ac:dyDescent="0.35">
      <c r="A3353" s="52" t="s">
        <v>672</v>
      </c>
      <c r="B3353" s="52" t="s">
        <v>73</v>
      </c>
      <c r="C3353" s="52" t="s">
        <v>71</v>
      </c>
      <c r="D3353" s="52" t="s">
        <v>139</v>
      </c>
      <c r="E3353" s="52" t="s">
        <v>584</v>
      </c>
      <c r="F3353" s="52" t="s">
        <v>581</v>
      </c>
      <c r="G3353" s="195" t="s">
        <v>279</v>
      </c>
      <c r="H3353" s="195">
        <v>21.031320000000001</v>
      </c>
      <c r="I3353" s="195">
        <v>19.002099999999999</v>
      </c>
      <c r="J3353" s="195">
        <v>20.229430000000001</v>
      </c>
      <c r="K3353" s="195">
        <v>21.43327</v>
      </c>
      <c r="L3353" s="195">
        <v>16.378050000000002</v>
      </c>
      <c r="M3353" s="195">
        <v>12.578860000000001</v>
      </c>
      <c r="N3353" s="195">
        <v>79.113230000000001</v>
      </c>
    </row>
    <row r="3354" spans="1:14" hidden="1" x14ac:dyDescent="0.35">
      <c r="A3354" s="52" t="s">
        <v>672</v>
      </c>
      <c r="B3354" s="52" t="s">
        <v>73</v>
      </c>
      <c r="C3354" s="52" t="s">
        <v>71</v>
      </c>
      <c r="D3354" s="52" t="s">
        <v>139</v>
      </c>
      <c r="E3354" s="52" t="s">
        <v>584</v>
      </c>
      <c r="F3354" s="52" t="s">
        <v>26</v>
      </c>
      <c r="G3354" s="195" t="s">
        <v>275</v>
      </c>
      <c r="H3354" s="195">
        <v>3.9385309999999998</v>
      </c>
      <c r="I3354" s="195">
        <v>8.4132610000000003</v>
      </c>
      <c r="J3354" s="195">
        <v>7.7003510000000004</v>
      </c>
      <c r="K3354" s="195">
        <v>0.23871529999999999</v>
      </c>
      <c r="L3354" s="195">
        <v>-34.80115</v>
      </c>
      <c r="M3354" s="195">
        <v>-84.317750000000004</v>
      </c>
      <c r="N3354" s="195">
        <v>-17.675039999999999</v>
      </c>
    </row>
    <row r="3355" spans="1:14" hidden="1" x14ac:dyDescent="0.35">
      <c r="A3355" s="52" t="s">
        <v>672</v>
      </c>
      <c r="B3355" s="52" t="s">
        <v>73</v>
      </c>
      <c r="C3355" s="52" t="s">
        <v>71</v>
      </c>
      <c r="D3355" s="52" t="s">
        <v>139</v>
      </c>
      <c r="E3355" s="52" t="s">
        <v>584</v>
      </c>
      <c r="F3355" s="52" t="s">
        <v>26</v>
      </c>
      <c r="G3355" s="195" t="s">
        <v>276</v>
      </c>
      <c r="H3355" s="195">
        <v>-16.01437</v>
      </c>
      <c r="I3355" s="195">
        <v>-0.95917949999999996</v>
      </c>
      <c r="J3355" s="195">
        <v>-0.5619556</v>
      </c>
      <c r="K3355" s="195">
        <v>-3.634385</v>
      </c>
      <c r="L3355" s="195">
        <v>-4.5766169999999997</v>
      </c>
      <c r="M3355" s="195">
        <v>-22.844709999999999</v>
      </c>
      <c r="N3355" s="195">
        <v>-6.3696339999999996</v>
      </c>
    </row>
    <row r="3356" spans="1:14" hidden="1" x14ac:dyDescent="0.35">
      <c r="A3356" s="52" t="s">
        <v>672</v>
      </c>
      <c r="B3356" s="52" t="s">
        <v>73</v>
      </c>
      <c r="C3356" s="52" t="s">
        <v>71</v>
      </c>
      <c r="D3356" s="52" t="s">
        <v>139</v>
      </c>
      <c r="E3356" s="52" t="s">
        <v>584</v>
      </c>
      <c r="F3356" s="52" t="s">
        <v>26</v>
      </c>
      <c r="G3356" s="195" t="s">
        <v>277</v>
      </c>
      <c r="H3356" s="195"/>
      <c r="I3356" s="195">
        <v>0</v>
      </c>
      <c r="J3356" s="195">
        <v>0.32500000000000001</v>
      </c>
      <c r="K3356" s="195">
        <v>3.5750000000000002</v>
      </c>
      <c r="L3356" s="195">
        <v>43.103850000000001</v>
      </c>
      <c r="M3356" s="195">
        <v>109.89409999999999</v>
      </c>
      <c r="N3356" s="195">
        <v>60.106119999999997</v>
      </c>
    </row>
    <row r="3357" spans="1:14" hidden="1" x14ac:dyDescent="0.35">
      <c r="A3357" s="52" t="s">
        <v>672</v>
      </c>
      <c r="B3357" s="52" t="s">
        <v>73</v>
      </c>
      <c r="C3357" s="52" t="s">
        <v>71</v>
      </c>
      <c r="D3357" s="52" t="s">
        <v>139</v>
      </c>
      <c r="E3357" s="52" t="s">
        <v>584</v>
      </c>
      <c r="F3357" s="52" t="s">
        <v>26</v>
      </c>
      <c r="G3357" s="195" t="s">
        <v>278</v>
      </c>
      <c r="H3357" s="195">
        <v>29.370010000000001</v>
      </c>
      <c r="I3357" s="195">
        <v>0.1026189</v>
      </c>
      <c r="J3357" s="195">
        <v>7.2532150000000004E-2</v>
      </c>
      <c r="K3357" s="195">
        <v>6.0131410000000001</v>
      </c>
      <c r="L3357" s="195">
        <v>5.4952099999999997E-2</v>
      </c>
      <c r="M3357" s="195">
        <v>0.1128904</v>
      </c>
      <c r="N3357" s="195">
        <v>0.1128904</v>
      </c>
    </row>
    <row r="3358" spans="1:14" hidden="1" x14ac:dyDescent="0.35">
      <c r="A3358" s="52" t="s">
        <v>672</v>
      </c>
      <c r="B3358" s="52" t="s">
        <v>73</v>
      </c>
      <c r="C3358" s="52" t="s">
        <v>71</v>
      </c>
      <c r="D3358" s="52" t="s">
        <v>139</v>
      </c>
      <c r="E3358" s="52" t="s">
        <v>584</v>
      </c>
      <c r="F3358" s="52" t="s">
        <v>26</v>
      </c>
      <c r="G3358" s="195" t="s">
        <v>279</v>
      </c>
      <c r="H3358" s="195">
        <v>3.600085</v>
      </c>
      <c r="I3358" s="195">
        <v>2.3265370000000001</v>
      </c>
      <c r="J3358" s="195">
        <v>1.212944</v>
      </c>
      <c r="K3358" s="195">
        <v>0.88148979999999999</v>
      </c>
      <c r="L3358" s="195">
        <v>0.79718409999999995</v>
      </c>
      <c r="M3358" s="195">
        <v>0.72481280000000003</v>
      </c>
      <c r="N3358" s="195">
        <v>15.49006</v>
      </c>
    </row>
    <row r="3359" spans="1:14" hidden="1" x14ac:dyDescent="0.35">
      <c r="A3359" s="52" t="s">
        <v>672</v>
      </c>
      <c r="B3359" s="52" t="s">
        <v>73</v>
      </c>
      <c r="C3359" s="52" t="s">
        <v>71</v>
      </c>
      <c r="D3359" s="52" t="s">
        <v>143</v>
      </c>
      <c r="E3359" s="52" t="s">
        <v>584</v>
      </c>
      <c r="F3359" s="52" t="s">
        <v>581</v>
      </c>
      <c r="G3359" s="195" t="s">
        <v>275</v>
      </c>
      <c r="H3359" s="195">
        <v>-38.915219999999998</v>
      </c>
      <c r="I3359" s="195">
        <v>6.7366970000000004</v>
      </c>
      <c r="J3359" s="195">
        <v>7.7977499999999997</v>
      </c>
      <c r="K3359" s="195">
        <v>7.7277579999999997</v>
      </c>
      <c r="L3359" s="195">
        <v>-8.2887029999999999</v>
      </c>
      <c r="M3359" s="195">
        <v>6.0231969999999997</v>
      </c>
      <c r="N3359" s="195">
        <v>-0.21191070000000001</v>
      </c>
    </row>
    <row r="3360" spans="1:14" hidden="1" x14ac:dyDescent="0.35">
      <c r="A3360" s="52" t="s">
        <v>672</v>
      </c>
      <c r="B3360" s="52" t="s">
        <v>73</v>
      </c>
      <c r="C3360" s="52" t="s">
        <v>71</v>
      </c>
      <c r="D3360" s="52" t="s">
        <v>143</v>
      </c>
      <c r="E3360" s="52" t="s">
        <v>584</v>
      </c>
      <c r="F3360" s="52" t="s">
        <v>581</v>
      </c>
      <c r="G3360" s="195" t="s">
        <v>276</v>
      </c>
      <c r="H3360" s="195">
        <v>5.4434009999999997</v>
      </c>
      <c r="I3360" s="195">
        <v>4.5371160000000001</v>
      </c>
      <c r="J3360" s="195">
        <v>-4.2243769999999996</v>
      </c>
      <c r="K3360" s="195">
        <v>1.6487210000000001</v>
      </c>
      <c r="L3360" s="195">
        <v>-2.6925270000000001</v>
      </c>
      <c r="M3360" s="195">
        <v>-1.7350030000000001</v>
      </c>
      <c r="N3360" s="195">
        <v>1.4264559999999999</v>
      </c>
    </row>
    <row r="3361" spans="1:14" hidden="1" x14ac:dyDescent="0.35">
      <c r="A3361" s="52" t="s">
        <v>672</v>
      </c>
      <c r="B3361" s="52" t="s">
        <v>73</v>
      </c>
      <c r="C3361" s="52" t="s">
        <v>71</v>
      </c>
      <c r="D3361" s="52" t="s">
        <v>143</v>
      </c>
      <c r="E3361" s="52" t="s">
        <v>584</v>
      </c>
      <c r="F3361" s="52" t="s">
        <v>581</v>
      </c>
      <c r="G3361" s="195" t="s">
        <v>277</v>
      </c>
      <c r="H3361" s="195">
        <v>54.549520000000001</v>
      </c>
      <c r="I3361" s="195">
        <v>7.7642360000000004</v>
      </c>
      <c r="J3361" s="195">
        <v>6.5726279999999999</v>
      </c>
      <c r="K3361" s="195">
        <v>6.9863980000000003</v>
      </c>
      <c r="L3361" s="195">
        <v>25.122890000000002</v>
      </c>
      <c r="M3361" s="195">
        <v>13.63592</v>
      </c>
      <c r="N3361" s="195">
        <v>19.972079999999998</v>
      </c>
    </row>
    <row r="3362" spans="1:14" hidden="1" x14ac:dyDescent="0.35">
      <c r="A3362" s="52" t="s">
        <v>672</v>
      </c>
      <c r="B3362" s="52" t="s">
        <v>73</v>
      </c>
      <c r="C3362" s="52" t="s">
        <v>71</v>
      </c>
      <c r="D3362" s="52" t="s">
        <v>143</v>
      </c>
      <c r="E3362" s="52" t="s">
        <v>584</v>
      </c>
      <c r="F3362" s="52" t="s">
        <v>581</v>
      </c>
      <c r="G3362" s="195" t="s">
        <v>278</v>
      </c>
      <c r="H3362" s="195">
        <v>0.51026510000000003</v>
      </c>
      <c r="I3362" s="195">
        <v>4.2840850000000001</v>
      </c>
      <c r="J3362" s="195">
        <v>9.9223119999999998</v>
      </c>
      <c r="K3362" s="195">
        <v>0.21244840000000001</v>
      </c>
      <c r="L3362" s="195">
        <v>0.16927420000000001</v>
      </c>
      <c r="M3362" s="195">
        <v>0.3477461</v>
      </c>
      <c r="N3362" s="195">
        <v>0.3202623</v>
      </c>
    </row>
    <row r="3363" spans="1:14" hidden="1" x14ac:dyDescent="0.35">
      <c r="A3363" s="52" t="s">
        <v>672</v>
      </c>
      <c r="B3363" s="52" t="s">
        <v>73</v>
      </c>
      <c r="C3363" s="52" t="s">
        <v>71</v>
      </c>
      <c r="D3363" s="52" t="s">
        <v>143</v>
      </c>
      <c r="E3363" s="52" t="s">
        <v>584</v>
      </c>
      <c r="F3363" s="52" t="s">
        <v>581</v>
      </c>
      <c r="G3363" s="195" t="s">
        <v>279</v>
      </c>
      <c r="H3363" s="195">
        <v>32.363190000000003</v>
      </c>
      <c r="I3363" s="195">
        <v>10.47052</v>
      </c>
      <c r="J3363" s="195">
        <v>2.6182919999999998</v>
      </c>
      <c r="K3363" s="195">
        <v>2.8829729999999998</v>
      </c>
      <c r="L3363" s="195">
        <v>2.7355290000000001</v>
      </c>
      <c r="M3363" s="195">
        <v>4.524203</v>
      </c>
      <c r="N3363" s="195">
        <v>5.6545439999999996</v>
      </c>
    </row>
    <row r="3364" spans="1:14" hidden="1" x14ac:dyDescent="0.35">
      <c r="A3364" s="52" t="s">
        <v>672</v>
      </c>
      <c r="B3364" s="52" t="s">
        <v>73</v>
      </c>
      <c r="C3364" s="52" t="s">
        <v>71</v>
      </c>
      <c r="D3364" s="52" t="s">
        <v>143</v>
      </c>
      <c r="E3364" s="52" t="s">
        <v>584</v>
      </c>
      <c r="F3364" s="52" t="s">
        <v>26</v>
      </c>
      <c r="G3364" s="195" t="s">
        <v>275</v>
      </c>
      <c r="H3364" s="195">
        <v>0.145762</v>
      </c>
      <c r="I3364" s="195">
        <v>-0.28262359999999997</v>
      </c>
      <c r="J3364" s="195">
        <v>0.1115443</v>
      </c>
      <c r="K3364" s="195">
        <v>7.1819400000000005E-2</v>
      </c>
      <c r="L3364" s="195">
        <v>-9.2748239999999996E-2</v>
      </c>
      <c r="M3364" s="195">
        <v>-0.40736790000000001</v>
      </c>
      <c r="N3364" s="195">
        <v>-1.4070830000000001</v>
      </c>
    </row>
    <row r="3365" spans="1:14" hidden="1" x14ac:dyDescent="0.35">
      <c r="A3365" s="52" t="s">
        <v>672</v>
      </c>
      <c r="B3365" s="52" t="s">
        <v>73</v>
      </c>
      <c r="C3365" s="52" t="s">
        <v>71</v>
      </c>
      <c r="D3365" s="52" t="s">
        <v>143</v>
      </c>
      <c r="E3365" s="52" t="s">
        <v>584</v>
      </c>
      <c r="F3365" s="52" t="s">
        <v>26</v>
      </c>
      <c r="G3365" s="195" t="s">
        <v>276</v>
      </c>
      <c r="H3365" s="195">
        <v>0.92140319999999998</v>
      </c>
      <c r="I3365" s="195">
        <v>-0.82465869999999997</v>
      </c>
      <c r="J3365" s="195">
        <v>-1.5451159999999999</v>
      </c>
      <c r="K3365" s="195">
        <v>-5.6556790000000003E-2</v>
      </c>
      <c r="L3365" s="195">
        <v>-0.164685</v>
      </c>
      <c r="M3365" s="195">
        <v>-0.3963506</v>
      </c>
      <c r="N3365" s="195">
        <v>-1.9236899999999999</v>
      </c>
    </row>
    <row r="3366" spans="1:14" hidden="1" x14ac:dyDescent="0.35">
      <c r="A3366" s="52" t="s">
        <v>672</v>
      </c>
      <c r="B3366" s="52" t="s">
        <v>73</v>
      </c>
      <c r="C3366" s="52" t="s">
        <v>71</v>
      </c>
      <c r="D3366" s="52" t="s">
        <v>143</v>
      </c>
      <c r="E3366" s="52" t="s">
        <v>584</v>
      </c>
      <c r="F3366" s="52" t="s">
        <v>26</v>
      </c>
      <c r="G3366" s="195" t="s">
        <v>277</v>
      </c>
      <c r="H3366" s="195">
        <v>0.199681</v>
      </c>
      <c r="I3366" s="195">
        <v>0.1721665</v>
      </c>
      <c r="J3366" s="195">
        <v>0</v>
      </c>
      <c r="K3366" s="195">
        <v>7.7083999999999998E-3</v>
      </c>
      <c r="L3366" s="195">
        <v>0.26486920000000003</v>
      </c>
      <c r="M3366" s="195">
        <v>0.74421910000000002</v>
      </c>
      <c r="N3366" s="195">
        <v>3.4612050000000001</v>
      </c>
    </row>
    <row r="3367" spans="1:14" hidden="1" x14ac:dyDescent="0.35">
      <c r="A3367" s="52" t="s">
        <v>672</v>
      </c>
      <c r="B3367" s="52" t="s">
        <v>73</v>
      </c>
      <c r="C3367" s="52" t="s">
        <v>71</v>
      </c>
      <c r="D3367" s="52" t="s">
        <v>143</v>
      </c>
      <c r="E3367" s="52" t="s">
        <v>584</v>
      </c>
      <c r="F3367" s="52" t="s">
        <v>26</v>
      </c>
      <c r="G3367" s="195" t="s">
        <v>278</v>
      </c>
      <c r="H3367" s="195"/>
      <c r="I3367" s="195">
        <v>5.7887260000000003E-2</v>
      </c>
      <c r="J3367" s="195">
        <v>1.5527740000000001</v>
      </c>
      <c r="K3367" s="195">
        <v>5.8723860000000003E-2</v>
      </c>
      <c r="L3367" s="195">
        <v>5.2684500000000002E-2</v>
      </c>
      <c r="M3367" s="195">
        <v>0.1082322</v>
      </c>
      <c r="N3367" s="195">
        <v>0.1082322</v>
      </c>
    </row>
    <row r="3368" spans="1:14" hidden="1" x14ac:dyDescent="0.35">
      <c r="A3368" s="52" t="s">
        <v>672</v>
      </c>
      <c r="B3368" s="52" t="s">
        <v>73</v>
      </c>
      <c r="C3368" s="52" t="s">
        <v>71</v>
      </c>
      <c r="D3368" s="52" t="s">
        <v>143</v>
      </c>
      <c r="E3368" s="52" t="s">
        <v>584</v>
      </c>
      <c r="F3368" s="52" t="s">
        <v>26</v>
      </c>
      <c r="G3368" s="195" t="s">
        <v>279</v>
      </c>
      <c r="H3368" s="195">
        <v>0.93771850000000001</v>
      </c>
      <c r="I3368" s="195">
        <v>3.9288949999999998</v>
      </c>
      <c r="J3368" s="195">
        <v>6.5634650000000003E-2</v>
      </c>
      <c r="K3368" s="195">
        <v>4.5235079999999997E-2</v>
      </c>
      <c r="L3368" s="195">
        <v>2.7003019999999999E-2</v>
      </c>
      <c r="M3368" s="195">
        <v>0.2075351</v>
      </c>
      <c r="N3368" s="195">
        <v>0.2349976</v>
      </c>
    </row>
    <row r="3369" spans="1:14" hidden="1" x14ac:dyDescent="0.35">
      <c r="A3369" s="52" t="s">
        <v>672</v>
      </c>
      <c r="B3369" s="52" t="s">
        <v>73</v>
      </c>
      <c r="C3369" s="52" t="s">
        <v>71</v>
      </c>
      <c r="D3369" s="52" t="s">
        <v>141</v>
      </c>
      <c r="E3369" s="52" t="s">
        <v>584</v>
      </c>
      <c r="F3369" s="52" t="s">
        <v>581</v>
      </c>
      <c r="G3369" s="195" t="s">
        <v>275</v>
      </c>
      <c r="H3369" s="195">
        <v>-39.219470000000001</v>
      </c>
      <c r="I3369" s="195">
        <v>6.7715100000000001</v>
      </c>
      <c r="J3369" s="195">
        <v>22.015070000000001</v>
      </c>
      <c r="K3369" s="195">
        <v>18.08182</v>
      </c>
      <c r="L3369" s="195">
        <v>14.03388</v>
      </c>
      <c r="M3369" s="195">
        <v>8.3890779999999996</v>
      </c>
      <c r="N3369" s="195">
        <v>1.0909869999999999</v>
      </c>
    </row>
    <row r="3370" spans="1:14" hidden="1" x14ac:dyDescent="0.35">
      <c r="A3370" s="52" t="s">
        <v>672</v>
      </c>
      <c r="B3370" s="52" t="s">
        <v>73</v>
      </c>
      <c r="C3370" s="52" t="s">
        <v>71</v>
      </c>
      <c r="D3370" s="52" t="s">
        <v>141</v>
      </c>
      <c r="E3370" s="52" t="s">
        <v>584</v>
      </c>
      <c r="F3370" s="52" t="s">
        <v>581</v>
      </c>
      <c r="G3370" s="195" t="s">
        <v>276</v>
      </c>
      <c r="H3370" s="195">
        <v>-14.46208</v>
      </c>
      <c r="I3370" s="195">
        <v>-6.6644750000000004</v>
      </c>
      <c r="J3370" s="195">
        <v>7.8294249999999996</v>
      </c>
      <c r="K3370" s="195">
        <v>-0.83054790000000001</v>
      </c>
      <c r="L3370" s="195">
        <v>-5.1962789999999996</v>
      </c>
      <c r="M3370" s="195">
        <v>-4.4150229999999997</v>
      </c>
      <c r="N3370" s="195">
        <v>-0.13951820000000001</v>
      </c>
    </row>
    <row r="3371" spans="1:14" hidden="1" x14ac:dyDescent="0.35">
      <c r="A3371" s="52" t="s">
        <v>672</v>
      </c>
      <c r="B3371" s="52" t="s">
        <v>73</v>
      </c>
      <c r="C3371" s="52" t="s">
        <v>71</v>
      </c>
      <c r="D3371" s="52" t="s">
        <v>141</v>
      </c>
      <c r="E3371" s="52" t="s">
        <v>584</v>
      </c>
      <c r="F3371" s="52" t="s">
        <v>581</v>
      </c>
      <c r="G3371" s="195" t="s">
        <v>277</v>
      </c>
      <c r="H3371" s="195">
        <v>53.3429</v>
      </c>
      <c r="I3371" s="195">
        <v>11.9596</v>
      </c>
      <c r="J3371" s="195">
        <v>0.84099979999999996</v>
      </c>
      <c r="K3371" s="195">
        <v>1.3602240000000001</v>
      </c>
      <c r="L3371" s="195">
        <v>2.2333120000000002</v>
      </c>
      <c r="M3371" s="195">
        <v>2.7203909999999998</v>
      </c>
      <c r="N3371" s="195">
        <v>3.01844</v>
      </c>
    </row>
    <row r="3372" spans="1:14" hidden="1" x14ac:dyDescent="0.35">
      <c r="A3372" s="52" t="s">
        <v>672</v>
      </c>
      <c r="B3372" s="52" t="s">
        <v>73</v>
      </c>
      <c r="C3372" s="52" t="s">
        <v>71</v>
      </c>
      <c r="D3372" s="52" t="s">
        <v>141</v>
      </c>
      <c r="E3372" s="52" t="s">
        <v>584</v>
      </c>
      <c r="F3372" s="52" t="s">
        <v>581</v>
      </c>
      <c r="G3372" s="195" t="s">
        <v>278</v>
      </c>
      <c r="H3372" s="195">
        <v>6.7191799999999996E-2</v>
      </c>
      <c r="I3372" s="195">
        <v>4.3893849999999998E-2</v>
      </c>
      <c r="J3372" s="195">
        <v>5.2728650000000002E-2</v>
      </c>
      <c r="K3372" s="195">
        <v>4.4528249999999998E-2</v>
      </c>
      <c r="L3372" s="195">
        <v>3.9948999999999998E-2</v>
      </c>
      <c r="M3372" s="195">
        <v>8.2068349999999998E-2</v>
      </c>
      <c r="N3372" s="195">
        <v>8.2068349999999998E-2</v>
      </c>
    </row>
    <row r="3373" spans="1:14" hidden="1" x14ac:dyDescent="0.35">
      <c r="A3373" s="52" t="s">
        <v>672</v>
      </c>
      <c r="B3373" s="52" t="s">
        <v>73</v>
      </c>
      <c r="C3373" s="52" t="s">
        <v>71</v>
      </c>
      <c r="D3373" s="52" t="s">
        <v>141</v>
      </c>
      <c r="E3373" s="52" t="s">
        <v>584</v>
      </c>
      <c r="F3373" s="52" t="s">
        <v>581</v>
      </c>
      <c r="G3373" s="195" t="s">
        <v>279</v>
      </c>
      <c r="H3373" s="195">
        <v>0.27146530000000002</v>
      </c>
      <c r="I3373" s="195">
        <v>3.7224240000000002</v>
      </c>
      <c r="J3373" s="195">
        <v>6.7943210000000001</v>
      </c>
      <c r="K3373" s="195">
        <v>6.9966379999999999</v>
      </c>
      <c r="L3373" s="195">
        <v>5.386984</v>
      </c>
      <c r="M3373" s="195">
        <v>4.4908080000000004</v>
      </c>
      <c r="N3373" s="195">
        <v>3.9531890000000001</v>
      </c>
    </row>
    <row r="3374" spans="1:14" hidden="1" x14ac:dyDescent="0.35">
      <c r="A3374" s="52" t="s">
        <v>672</v>
      </c>
      <c r="B3374" s="52" t="s">
        <v>73</v>
      </c>
      <c r="C3374" s="52" t="s">
        <v>71</v>
      </c>
      <c r="D3374" s="52" t="s">
        <v>141</v>
      </c>
      <c r="E3374" s="52" t="s">
        <v>584</v>
      </c>
      <c r="F3374" s="52" t="s">
        <v>26</v>
      </c>
      <c r="G3374" s="195" t="s">
        <v>275</v>
      </c>
      <c r="H3374" s="195">
        <v>-0.81801590000000002</v>
      </c>
      <c r="I3374" s="195">
        <v>0.13936950000000001</v>
      </c>
      <c r="J3374" s="195">
        <v>1.232721</v>
      </c>
      <c r="K3374" s="195">
        <v>0.98227359999999997</v>
      </c>
      <c r="L3374" s="195">
        <v>0.77634840000000005</v>
      </c>
      <c r="M3374" s="195">
        <v>0.45449299999999998</v>
      </c>
      <c r="N3374" s="195">
        <v>0.2228667</v>
      </c>
    </row>
    <row r="3375" spans="1:14" hidden="1" x14ac:dyDescent="0.35">
      <c r="A3375" s="52" t="s">
        <v>672</v>
      </c>
      <c r="B3375" s="52" t="s">
        <v>73</v>
      </c>
      <c r="C3375" s="52" t="s">
        <v>71</v>
      </c>
      <c r="D3375" s="52" t="s">
        <v>141</v>
      </c>
      <c r="E3375" s="52" t="s">
        <v>584</v>
      </c>
      <c r="F3375" s="52" t="s">
        <v>26</v>
      </c>
      <c r="G3375" s="195" t="s">
        <v>276</v>
      </c>
      <c r="H3375" s="195">
        <v>-0.4890679</v>
      </c>
      <c r="I3375" s="195">
        <v>-8.967646E-2</v>
      </c>
      <c r="J3375" s="195">
        <v>1.8675120000000001</v>
      </c>
      <c r="K3375" s="195">
        <v>1.183101</v>
      </c>
      <c r="L3375" s="195">
        <v>0.68823129999999999</v>
      </c>
      <c r="M3375" s="195">
        <v>0.53356820000000005</v>
      </c>
      <c r="N3375" s="195">
        <v>0.46929280000000001</v>
      </c>
    </row>
    <row r="3376" spans="1:14" hidden="1" x14ac:dyDescent="0.35">
      <c r="A3376" s="52" t="s">
        <v>672</v>
      </c>
      <c r="B3376" s="52" t="s">
        <v>73</v>
      </c>
      <c r="C3376" s="52" t="s">
        <v>71</v>
      </c>
      <c r="D3376" s="52" t="s">
        <v>141</v>
      </c>
      <c r="E3376" s="52" t="s">
        <v>584</v>
      </c>
      <c r="F3376" s="52" t="s">
        <v>26</v>
      </c>
      <c r="G3376" s="195" t="s">
        <v>277</v>
      </c>
      <c r="H3376" s="195">
        <v>1.2839780000000001</v>
      </c>
      <c r="I3376" s="195">
        <v>0.55027709999999996</v>
      </c>
      <c r="J3376" s="195">
        <v>0</v>
      </c>
      <c r="K3376" s="195"/>
      <c r="L3376" s="195"/>
      <c r="M3376" s="195"/>
      <c r="N3376" s="195"/>
    </row>
    <row r="3377" spans="1:14" hidden="1" x14ac:dyDescent="0.35">
      <c r="A3377" s="52" t="s">
        <v>672</v>
      </c>
      <c r="B3377" s="52" t="s">
        <v>73</v>
      </c>
      <c r="C3377" s="52" t="s">
        <v>71</v>
      </c>
      <c r="D3377" s="52" t="s">
        <v>141</v>
      </c>
      <c r="E3377" s="52" t="s">
        <v>584</v>
      </c>
      <c r="F3377" s="52" t="s">
        <v>26</v>
      </c>
      <c r="G3377" s="195" t="s">
        <v>279</v>
      </c>
      <c r="H3377" s="195">
        <v>2.31062E-2</v>
      </c>
      <c r="I3377" s="195">
        <v>0.26700889999999999</v>
      </c>
      <c r="J3377" s="195">
        <v>0.8436669</v>
      </c>
      <c r="K3377" s="195">
        <v>0.63436029999999999</v>
      </c>
      <c r="L3377" s="195">
        <v>0.32082240000000001</v>
      </c>
      <c r="M3377" s="195">
        <v>0.2252555</v>
      </c>
      <c r="N3377" s="195">
        <v>0.16606460000000001</v>
      </c>
    </row>
    <row r="3378" spans="1:14" hidden="1" x14ac:dyDescent="0.35">
      <c r="A3378" s="52" t="s">
        <v>672</v>
      </c>
      <c r="B3378" s="52" t="s">
        <v>73</v>
      </c>
      <c r="C3378" s="52" t="s">
        <v>71</v>
      </c>
      <c r="D3378" s="52" t="s">
        <v>334</v>
      </c>
      <c r="E3378" s="52" t="s">
        <v>584</v>
      </c>
      <c r="F3378" s="52" t="s">
        <v>581</v>
      </c>
      <c r="G3378" s="195" t="s">
        <v>275</v>
      </c>
      <c r="H3378" s="195">
        <v>-24.432960000000001</v>
      </c>
      <c r="I3378" s="195">
        <v>0.55728319999999998</v>
      </c>
      <c r="J3378" s="195">
        <v>6.1798229999999998</v>
      </c>
      <c r="K3378" s="195">
        <v>6.4897580000000001</v>
      </c>
      <c r="L3378" s="195">
        <v>-2.1582720000000002</v>
      </c>
      <c r="M3378" s="195">
        <v>-29.17671</v>
      </c>
      <c r="N3378" s="195">
        <v>-228.49340000000001</v>
      </c>
    </row>
    <row r="3379" spans="1:14" hidden="1" x14ac:dyDescent="0.35">
      <c r="A3379" s="52" t="s">
        <v>672</v>
      </c>
      <c r="B3379" s="52" t="s">
        <v>73</v>
      </c>
      <c r="C3379" s="52" t="s">
        <v>71</v>
      </c>
      <c r="D3379" s="52" t="s">
        <v>334</v>
      </c>
      <c r="E3379" s="52" t="s">
        <v>584</v>
      </c>
      <c r="F3379" s="52" t="s">
        <v>581</v>
      </c>
      <c r="G3379" s="195" t="s">
        <v>276</v>
      </c>
      <c r="H3379" s="195">
        <v>-31.06316</v>
      </c>
      <c r="I3379" s="195">
        <v>-37.315570000000001</v>
      </c>
      <c r="J3379" s="195">
        <v>-6.1944020000000002</v>
      </c>
      <c r="K3379" s="195">
        <v>-3.3598509999999999</v>
      </c>
      <c r="L3379" s="195">
        <v>-6.9714349999999996</v>
      </c>
      <c r="M3379" s="195">
        <v>-11.89132</v>
      </c>
      <c r="N3379" s="195">
        <v>-58.114640000000001</v>
      </c>
    </row>
    <row r="3380" spans="1:14" hidden="1" x14ac:dyDescent="0.35">
      <c r="A3380" s="52" t="s">
        <v>672</v>
      </c>
      <c r="B3380" s="52" t="s">
        <v>73</v>
      </c>
      <c r="C3380" s="52" t="s">
        <v>71</v>
      </c>
      <c r="D3380" s="52" t="s">
        <v>334</v>
      </c>
      <c r="E3380" s="52" t="s">
        <v>584</v>
      </c>
      <c r="F3380" s="52" t="s">
        <v>581</v>
      </c>
      <c r="G3380" s="195" t="s">
        <v>277</v>
      </c>
      <c r="H3380" s="195">
        <v>36</v>
      </c>
      <c r="I3380" s="195">
        <v>1.416193</v>
      </c>
      <c r="J3380" s="195">
        <v>0.31323839999999997</v>
      </c>
      <c r="K3380" s="195">
        <v>0.13087699999999999</v>
      </c>
      <c r="L3380" s="195">
        <v>8.3989619999999992</v>
      </c>
      <c r="M3380" s="195">
        <v>41.396000000000001</v>
      </c>
      <c r="N3380" s="195">
        <v>283.99470000000002</v>
      </c>
    </row>
    <row r="3381" spans="1:14" hidden="1" x14ac:dyDescent="0.35">
      <c r="A3381" s="52" t="s">
        <v>672</v>
      </c>
      <c r="B3381" s="52" t="s">
        <v>73</v>
      </c>
      <c r="C3381" s="52" t="s">
        <v>71</v>
      </c>
      <c r="D3381" s="52" t="s">
        <v>334</v>
      </c>
      <c r="E3381" s="52" t="s">
        <v>584</v>
      </c>
      <c r="F3381" s="52" t="s">
        <v>581</v>
      </c>
      <c r="G3381" s="195" t="s">
        <v>278</v>
      </c>
      <c r="H3381" s="195">
        <v>19.496120000000001</v>
      </c>
      <c r="I3381" s="195">
        <v>35.342089999999999</v>
      </c>
      <c r="J3381" s="195">
        <v>3.8960859999999999</v>
      </c>
      <c r="K3381" s="195">
        <v>0.93046709999999999</v>
      </c>
      <c r="L3381" s="195">
        <v>3.6825640000000002</v>
      </c>
      <c r="M3381" s="195">
        <v>0.51914170000000004</v>
      </c>
      <c r="N3381" s="195">
        <v>0.47046460000000001</v>
      </c>
    </row>
    <row r="3382" spans="1:14" hidden="1" x14ac:dyDescent="0.35">
      <c r="A3382" s="52" t="s">
        <v>672</v>
      </c>
      <c r="B3382" s="52" t="s">
        <v>73</v>
      </c>
      <c r="C3382" s="52" t="s">
        <v>71</v>
      </c>
      <c r="D3382" s="52" t="s">
        <v>334</v>
      </c>
      <c r="E3382" s="52" t="s">
        <v>584</v>
      </c>
      <c r="F3382" s="52" t="s">
        <v>581</v>
      </c>
      <c r="G3382" s="195" t="s">
        <v>279</v>
      </c>
      <c r="H3382" s="195"/>
      <c r="I3382" s="195"/>
      <c r="J3382" s="195"/>
      <c r="K3382" s="195">
        <v>0</v>
      </c>
      <c r="L3382" s="195">
        <v>3.8180640000000002E-2</v>
      </c>
      <c r="M3382" s="195">
        <v>2.1428910000000001</v>
      </c>
      <c r="N3382" s="195">
        <v>2.1428919999999998</v>
      </c>
    </row>
    <row r="3383" spans="1:14" hidden="1" x14ac:dyDescent="0.35">
      <c r="A3383" s="52" t="s">
        <v>672</v>
      </c>
      <c r="B3383" s="52" t="s">
        <v>73</v>
      </c>
      <c r="C3383" s="52" t="s">
        <v>71</v>
      </c>
      <c r="D3383" s="52" t="s">
        <v>334</v>
      </c>
      <c r="E3383" s="52" t="s">
        <v>584</v>
      </c>
      <c r="F3383" s="52" t="s">
        <v>26</v>
      </c>
      <c r="G3383" s="195" t="s">
        <v>275</v>
      </c>
      <c r="H3383" s="195">
        <v>-8.4095270000000006</v>
      </c>
      <c r="I3383" s="195">
        <v>1.4791460000000001</v>
      </c>
      <c r="J3383" s="195">
        <v>1.5738730000000001</v>
      </c>
      <c r="K3383" s="195">
        <v>1.2636959999999999</v>
      </c>
      <c r="L3383" s="195">
        <v>0.79569900000000005</v>
      </c>
      <c r="M3383" s="195">
        <v>-7.5567060000000001</v>
      </c>
      <c r="N3383" s="195">
        <v>-35.433149999999998</v>
      </c>
    </row>
    <row r="3384" spans="1:14" hidden="1" x14ac:dyDescent="0.35">
      <c r="A3384" s="52" t="s">
        <v>672</v>
      </c>
      <c r="B3384" s="52" t="s">
        <v>73</v>
      </c>
      <c r="C3384" s="52" t="s">
        <v>71</v>
      </c>
      <c r="D3384" s="52" t="s">
        <v>334</v>
      </c>
      <c r="E3384" s="52" t="s">
        <v>584</v>
      </c>
      <c r="F3384" s="52" t="s">
        <v>26</v>
      </c>
      <c r="G3384" s="195" t="s">
        <v>276</v>
      </c>
      <c r="H3384" s="195">
        <v>-1.6057619999999999</v>
      </c>
      <c r="I3384" s="195">
        <v>-1.6224670000000001</v>
      </c>
      <c r="J3384" s="195">
        <v>-0.32897680000000001</v>
      </c>
      <c r="K3384" s="195">
        <v>-0.39226610000000001</v>
      </c>
      <c r="L3384" s="195">
        <v>-0.49969560000000002</v>
      </c>
      <c r="M3384" s="195">
        <v>-2.7744740000000001</v>
      </c>
      <c r="N3384" s="195">
        <v>-9.5334760000000003</v>
      </c>
    </row>
    <row r="3385" spans="1:14" hidden="1" x14ac:dyDescent="0.35">
      <c r="A3385" s="52" t="s">
        <v>672</v>
      </c>
      <c r="B3385" s="52" t="s">
        <v>73</v>
      </c>
      <c r="C3385" s="52" t="s">
        <v>71</v>
      </c>
      <c r="D3385" s="52" t="s">
        <v>334</v>
      </c>
      <c r="E3385" s="52" t="s">
        <v>584</v>
      </c>
      <c r="F3385" s="52" t="s">
        <v>26</v>
      </c>
      <c r="G3385" s="195" t="s">
        <v>277</v>
      </c>
      <c r="H3385" s="195">
        <v>9.9999990000000007</v>
      </c>
      <c r="I3385" s="195">
        <v>0.1333336</v>
      </c>
      <c r="J3385" s="195">
        <v>2.6666720000000001E-2</v>
      </c>
      <c r="K3385" s="195">
        <v>0.4</v>
      </c>
      <c r="L3385" s="195">
        <v>0.66517839999999995</v>
      </c>
      <c r="M3385" s="195">
        <v>10.521240000000001</v>
      </c>
      <c r="N3385" s="195">
        <v>44.116689999999998</v>
      </c>
    </row>
    <row r="3386" spans="1:14" hidden="1" x14ac:dyDescent="0.35">
      <c r="A3386" s="52" t="s">
        <v>672</v>
      </c>
      <c r="B3386" s="52" t="s">
        <v>73</v>
      </c>
      <c r="C3386" s="52" t="s">
        <v>71</v>
      </c>
      <c r="D3386" s="52" t="s">
        <v>334</v>
      </c>
      <c r="E3386" s="52" t="s">
        <v>584</v>
      </c>
      <c r="F3386" s="52" t="s">
        <v>26</v>
      </c>
      <c r="G3386" s="195" t="s">
        <v>278</v>
      </c>
      <c r="H3386" s="195">
        <v>1.5289199999999999E-2</v>
      </c>
      <c r="I3386" s="195">
        <v>9.9875999999999993E-3</v>
      </c>
      <c r="J3386" s="195">
        <v>2.3996E-3</v>
      </c>
      <c r="K3386" s="195">
        <v>2.0263999999999998E-3</v>
      </c>
      <c r="L3386" s="195">
        <v>1.818E-3</v>
      </c>
      <c r="M3386" s="195">
        <v>0</v>
      </c>
      <c r="N3386" s="195"/>
    </row>
    <row r="3387" spans="1:14" hidden="1" x14ac:dyDescent="0.35">
      <c r="A3387" s="52" t="s">
        <v>672</v>
      </c>
      <c r="B3387" s="52" t="s">
        <v>73</v>
      </c>
      <c r="C3387" s="52" t="s">
        <v>71</v>
      </c>
      <c r="D3387" s="52" t="s">
        <v>334</v>
      </c>
      <c r="E3387" s="52" t="s">
        <v>584</v>
      </c>
      <c r="F3387" s="52" t="s">
        <v>26</v>
      </c>
      <c r="G3387" s="195" t="s">
        <v>279</v>
      </c>
      <c r="H3387" s="195"/>
      <c r="I3387" s="195"/>
      <c r="J3387" s="195"/>
      <c r="K3387" s="195">
        <v>0</v>
      </c>
      <c r="L3387" s="195">
        <v>7.6999999999999999E-2</v>
      </c>
      <c r="M3387" s="195">
        <v>0.84993799999999997</v>
      </c>
      <c r="N3387" s="195">
        <v>0.84993799999999997</v>
      </c>
    </row>
    <row r="3388" spans="1:14" hidden="1" x14ac:dyDescent="0.35">
      <c r="A3388" s="52" t="s">
        <v>672</v>
      </c>
      <c r="B3388" s="52" t="s">
        <v>73</v>
      </c>
      <c r="C3388" s="52" t="s">
        <v>71</v>
      </c>
      <c r="D3388" s="52" t="s">
        <v>75</v>
      </c>
      <c r="E3388" s="52" t="s">
        <v>584</v>
      </c>
      <c r="F3388" s="52" t="s">
        <v>581</v>
      </c>
      <c r="G3388" s="195" t="s">
        <v>275</v>
      </c>
      <c r="H3388" s="195">
        <v>4.4914509999999998E-2</v>
      </c>
      <c r="I3388" s="195">
        <v>7.0595780000000004E-3</v>
      </c>
      <c r="J3388" s="195">
        <v>2.093708E-2</v>
      </c>
      <c r="K3388" s="195">
        <v>1.51206E-2</v>
      </c>
      <c r="L3388" s="195">
        <v>4.2312000000000001E-3</v>
      </c>
      <c r="M3388" s="195">
        <v>3.8566999999999998E-3</v>
      </c>
      <c r="N3388" s="195">
        <v>0</v>
      </c>
    </row>
    <row r="3389" spans="1:14" hidden="1" x14ac:dyDescent="0.35">
      <c r="A3389" s="52" t="s">
        <v>672</v>
      </c>
      <c r="B3389" s="52" t="s">
        <v>73</v>
      </c>
      <c r="C3389" s="52" t="s">
        <v>71</v>
      </c>
      <c r="D3389" s="52" t="s">
        <v>75</v>
      </c>
      <c r="E3389" s="52" t="s">
        <v>584</v>
      </c>
      <c r="F3389" s="52" t="s">
        <v>581</v>
      </c>
      <c r="G3389" s="195" t="s">
        <v>276</v>
      </c>
      <c r="H3389" s="195">
        <v>8.0776509999999996E-2</v>
      </c>
      <c r="I3389" s="195">
        <v>-7.1836059999999993E-2</v>
      </c>
      <c r="J3389" s="195">
        <v>-0.63797780000000004</v>
      </c>
      <c r="K3389" s="195">
        <v>-7.1672739999999999</v>
      </c>
      <c r="L3389" s="195">
        <v>-0.1159993</v>
      </c>
      <c r="M3389" s="195">
        <v>-0.31104680000000001</v>
      </c>
      <c r="N3389" s="195">
        <v>-1.094104</v>
      </c>
    </row>
    <row r="3390" spans="1:14" hidden="1" x14ac:dyDescent="0.35">
      <c r="A3390" s="52" t="s">
        <v>672</v>
      </c>
      <c r="B3390" s="52" t="s">
        <v>73</v>
      </c>
      <c r="C3390" s="52" t="s">
        <v>71</v>
      </c>
      <c r="D3390" s="52" t="s">
        <v>75</v>
      </c>
      <c r="E3390" s="52" t="s">
        <v>584</v>
      </c>
      <c r="F3390" s="52" t="s">
        <v>581</v>
      </c>
      <c r="G3390" s="195" t="s">
        <v>277</v>
      </c>
      <c r="H3390" s="195">
        <v>1.6811400000000001E-2</v>
      </c>
      <c r="I3390" s="195">
        <v>1.2855800000000001E-2</v>
      </c>
      <c r="J3390" s="195">
        <v>0</v>
      </c>
      <c r="K3390" s="195">
        <v>0</v>
      </c>
      <c r="L3390" s="195">
        <v>4.7850000000000002E-3</v>
      </c>
      <c r="M3390" s="195">
        <v>8.7409399999999998E-2</v>
      </c>
      <c r="N3390" s="195">
        <v>0.87432480000000001</v>
      </c>
    </row>
    <row r="3391" spans="1:14" hidden="1" x14ac:dyDescent="0.35">
      <c r="A3391" s="52" t="s">
        <v>672</v>
      </c>
      <c r="B3391" s="52" t="s">
        <v>73</v>
      </c>
      <c r="C3391" s="52" t="s">
        <v>71</v>
      </c>
      <c r="D3391" s="52" t="s">
        <v>75</v>
      </c>
      <c r="E3391" s="52" t="s">
        <v>584</v>
      </c>
      <c r="F3391" s="52" t="s">
        <v>581</v>
      </c>
      <c r="G3391" s="195" t="s">
        <v>278</v>
      </c>
      <c r="H3391" s="195">
        <v>0.17994089999999999</v>
      </c>
      <c r="I3391" s="195">
        <v>0.1175484</v>
      </c>
      <c r="J3391" s="195">
        <v>0.64402470000000001</v>
      </c>
      <c r="K3391" s="195">
        <v>7.1521520000000001</v>
      </c>
      <c r="L3391" s="195">
        <v>0.1069832</v>
      </c>
      <c r="M3391" s="195">
        <v>0.21977959999999999</v>
      </c>
      <c r="N3391" s="195">
        <v>0.21977959999999999</v>
      </c>
    </row>
    <row r="3392" spans="1:14" hidden="1" x14ac:dyDescent="0.35">
      <c r="A3392" s="52" t="s">
        <v>672</v>
      </c>
      <c r="B3392" s="52" t="s">
        <v>73</v>
      </c>
      <c r="C3392" s="52" t="s">
        <v>71</v>
      </c>
      <c r="D3392" s="52" t="s">
        <v>75</v>
      </c>
      <c r="E3392" s="52" t="s">
        <v>584</v>
      </c>
      <c r="F3392" s="52" t="s">
        <v>581</v>
      </c>
      <c r="G3392" s="195" t="s">
        <v>279</v>
      </c>
      <c r="H3392" s="195">
        <v>0.1071891</v>
      </c>
      <c r="I3392" s="195">
        <v>8.7578210000000004E-2</v>
      </c>
      <c r="J3392" s="195">
        <v>8.1816100000000003E-2</v>
      </c>
      <c r="K3392" s="195">
        <v>0</v>
      </c>
      <c r="L3392" s="195"/>
      <c r="M3392" s="195"/>
      <c r="N3392" s="195">
        <v>0</v>
      </c>
    </row>
    <row r="3393" spans="1:14" hidden="1" x14ac:dyDescent="0.35">
      <c r="A3393" s="52" t="s">
        <v>672</v>
      </c>
      <c r="B3393" s="52" t="s">
        <v>73</v>
      </c>
      <c r="C3393" s="52" t="s">
        <v>71</v>
      </c>
      <c r="D3393" s="52" t="s">
        <v>75</v>
      </c>
      <c r="E3393" s="52" t="s">
        <v>584</v>
      </c>
      <c r="F3393" s="52" t="s">
        <v>26</v>
      </c>
      <c r="G3393" s="195" t="s">
        <v>275</v>
      </c>
      <c r="H3393" s="195"/>
      <c r="I3393" s="195"/>
      <c r="J3393" s="195"/>
      <c r="K3393" s="195"/>
      <c r="L3393" s="195"/>
      <c r="M3393" s="195"/>
      <c r="N3393" s="195">
        <v>0</v>
      </c>
    </row>
    <row r="3394" spans="1:14" hidden="1" x14ac:dyDescent="0.35">
      <c r="A3394" s="52" t="s">
        <v>672</v>
      </c>
      <c r="B3394" s="52" t="s">
        <v>73</v>
      </c>
      <c r="C3394" s="52" t="s">
        <v>71</v>
      </c>
      <c r="D3394" s="52" t="s">
        <v>75</v>
      </c>
      <c r="E3394" s="52" t="s">
        <v>584</v>
      </c>
      <c r="F3394" s="52" t="s">
        <v>26</v>
      </c>
      <c r="G3394" s="195" t="s">
        <v>276</v>
      </c>
      <c r="H3394" s="195"/>
      <c r="I3394" s="195"/>
      <c r="J3394" s="195"/>
      <c r="K3394" s="195"/>
      <c r="L3394" s="195"/>
      <c r="M3394" s="195"/>
      <c r="N3394" s="195">
        <v>0</v>
      </c>
    </row>
    <row r="3395" spans="1:14" hidden="1" x14ac:dyDescent="0.35">
      <c r="A3395" s="52" t="s">
        <v>672</v>
      </c>
      <c r="B3395" s="52" t="s">
        <v>73</v>
      </c>
      <c r="C3395" s="52" t="s">
        <v>71</v>
      </c>
      <c r="D3395" s="52" t="s">
        <v>75</v>
      </c>
      <c r="E3395" s="52" t="s">
        <v>584</v>
      </c>
      <c r="F3395" s="52" t="s">
        <v>26</v>
      </c>
      <c r="G3395" s="195" t="s">
        <v>277</v>
      </c>
      <c r="H3395" s="195"/>
      <c r="I3395" s="195"/>
      <c r="J3395" s="195"/>
      <c r="K3395" s="195"/>
      <c r="L3395" s="195"/>
      <c r="M3395" s="195"/>
      <c r="N3395" s="195">
        <v>0</v>
      </c>
    </row>
    <row r="3396" spans="1:14" hidden="1" x14ac:dyDescent="0.35">
      <c r="A3396" s="52" t="s">
        <v>672</v>
      </c>
      <c r="B3396" s="52" t="s">
        <v>73</v>
      </c>
      <c r="C3396" s="52" t="s">
        <v>71</v>
      </c>
      <c r="D3396" s="52" t="s">
        <v>75</v>
      </c>
      <c r="E3396" s="52" t="s">
        <v>584</v>
      </c>
      <c r="F3396" s="52" t="s">
        <v>26</v>
      </c>
      <c r="G3396" s="195" t="s">
        <v>279</v>
      </c>
      <c r="H3396" s="195"/>
      <c r="I3396" s="195"/>
      <c r="J3396" s="195"/>
      <c r="K3396" s="195"/>
      <c r="L3396" s="195"/>
      <c r="M3396" s="195"/>
      <c r="N3396" s="195">
        <v>0</v>
      </c>
    </row>
    <row r="3397" spans="1:14" hidden="1" x14ac:dyDescent="0.35">
      <c r="A3397" s="52" t="s">
        <v>672</v>
      </c>
      <c r="B3397" s="52" t="s">
        <v>73</v>
      </c>
      <c r="C3397" s="52" t="s">
        <v>71</v>
      </c>
      <c r="D3397" s="52" t="s">
        <v>72</v>
      </c>
      <c r="E3397" s="52" t="s">
        <v>584</v>
      </c>
      <c r="F3397" s="52" t="s">
        <v>581</v>
      </c>
      <c r="G3397" s="195" t="s">
        <v>275</v>
      </c>
      <c r="H3397" s="195">
        <v>1.6067549999999999</v>
      </c>
      <c r="I3397" s="195">
        <v>-5.7958999999999996</v>
      </c>
      <c r="J3397" s="195">
        <v>3.6930000000000001E-3</v>
      </c>
      <c r="K3397" s="195">
        <v>1.8273E-3</v>
      </c>
      <c r="L3397" s="195">
        <v>0</v>
      </c>
      <c r="M3397" s="195">
        <v>0</v>
      </c>
      <c r="N3397" s="195">
        <v>0</v>
      </c>
    </row>
    <row r="3398" spans="1:14" hidden="1" x14ac:dyDescent="0.35">
      <c r="A3398" s="52" t="s">
        <v>672</v>
      </c>
      <c r="B3398" s="52" t="s">
        <v>73</v>
      </c>
      <c r="C3398" s="52" t="s">
        <v>71</v>
      </c>
      <c r="D3398" s="52" t="s">
        <v>72</v>
      </c>
      <c r="E3398" s="52" t="s">
        <v>584</v>
      </c>
      <c r="F3398" s="52" t="s">
        <v>581</v>
      </c>
      <c r="G3398" s="195" t="s">
        <v>276</v>
      </c>
      <c r="H3398" s="195">
        <v>-2.0095860000000001</v>
      </c>
      <c r="I3398" s="195">
        <v>-24.799869999999999</v>
      </c>
      <c r="J3398" s="195">
        <v>-8.898847</v>
      </c>
      <c r="K3398" s="195">
        <v>-2.4235699999999998</v>
      </c>
      <c r="L3398" s="195">
        <v>-4.6702959999999996</v>
      </c>
      <c r="M3398" s="195">
        <v>-34.927320000000002</v>
      </c>
      <c r="N3398" s="195">
        <v>-16.551189999999998</v>
      </c>
    </row>
    <row r="3399" spans="1:14" hidden="1" x14ac:dyDescent="0.35">
      <c r="A3399" s="52" t="s">
        <v>672</v>
      </c>
      <c r="B3399" s="52" t="s">
        <v>73</v>
      </c>
      <c r="C3399" s="52" t="s">
        <v>71</v>
      </c>
      <c r="D3399" s="52" t="s">
        <v>72</v>
      </c>
      <c r="E3399" s="52" t="s">
        <v>584</v>
      </c>
      <c r="F3399" s="52" t="s">
        <v>581</v>
      </c>
      <c r="G3399" s="195" t="s">
        <v>277</v>
      </c>
      <c r="H3399" s="195"/>
      <c r="I3399" s="195">
        <v>0</v>
      </c>
      <c r="J3399" s="195">
        <v>5.8000009999999998E-2</v>
      </c>
      <c r="K3399" s="195">
        <v>0.69890010000000002</v>
      </c>
      <c r="L3399" s="195">
        <v>4.3579970000000001</v>
      </c>
      <c r="M3399" s="195">
        <v>34.511670000000002</v>
      </c>
      <c r="N3399" s="195">
        <v>15.24451</v>
      </c>
    </row>
    <row r="3400" spans="1:14" hidden="1" x14ac:dyDescent="0.35">
      <c r="A3400" s="52" t="s">
        <v>672</v>
      </c>
      <c r="B3400" s="52" t="s">
        <v>73</v>
      </c>
      <c r="C3400" s="52" t="s">
        <v>71</v>
      </c>
      <c r="D3400" s="52" t="s">
        <v>72</v>
      </c>
      <c r="E3400" s="52" t="s">
        <v>584</v>
      </c>
      <c r="F3400" s="52" t="s">
        <v>581</v>
      </c>
      <c r="G3400" s="195" t="s">
        <v>278</v>
      </c>
      <c r="H3400" s="195">
        <v>0.40283089999999999</v>
      </c>
      <c r="I3400" s="195">
        <v>30.595770000000002</v>
      </c>
      <c r="J3400" s="195">
        <v>8.8408479999999994</v>
      </c>
      <c r="K3400" s="195">
        <v>1.7246710000000001</v>
      </c>
      <c r="L3400" s="195">
        <v>0.18802060000000001</v>
      </c>
      <c r="M3400" s="195">
        <v>0.29137829999999998</v>
      </c>
      <c r="N3400" s="195">
        <v>0.29137829999999998</v>
      </c>
    </row>
    <row r="3401" spans="1:14" hidden="1" x14ac:dyDescent="0.35">
      <c r="A3401" s="52" t="s">
        <v>672</v>
      </c>
      <c r="B3401" s="52" t="s">
        <v>73</v>
      </c>
      <c r="C3401" s="52" t="s">
        <v>71</v>
      </c>
      <c r="D3401" s="52" t="s">
        <v>72</v>
      </c>
      <c r="E3401" s="52" t="s">
        <v>584</v>
      </c>
      <c r="F3401" s="52" t="s">
        <v>581</v>
      </c>
      <c r="G3401" s="195" t="s">
        <v>279</v>
      </c>
      <c r="H3401" s="195"/>
      <c r="I3401" s="195"/>
      <c r="J3401" s="195"/>
      <c r="K3401" s="195">
        <v>0</v>
      </c>
      <c r="L3401" s="195">
        <v>0.1242784</v>
      </c>
      <c r="M3401" s="195">
        <v>0.1242772</v>
      </c>
      <c r="N3401" s="195">
        <v>1.0934159999999999</v>
      </c>
    </row>
    <row r="3402" spans="1:14" hidden="1" x14ac:dyDescent="0.35">
      <c r="A3402" s="52" t="s">
        <v>672</v>
      </c>
      <c r="B3402" s="52" t="s">
        <v>73</v>
      </c>
      <c r="C3402" s="52" t="s">
        <v>71</v>
      </c>
      <c r="D3402" s="52" t="s">
        <v>72</v>
      </c>
      <c r="E3402" s="52" t="s">
        <v>584</v>
      </c>
      <c r="F3402" s="52" t="s">
        <v>26</v>
      </c>
      <c r="G3402" s="195" t="s">
        <v>275</v>
      </c>
      <c r="H3402" s="195"/>
      <c r="I3402" s="195"/>
      <c r="J3402" s="195"/>
      <c r="K3402" s="195">
        <v>0</v>
      </c>
      <c r="L3402" s="195">
        <v>0</v>
      </c>
      <c r="M3402" s="195">
        <v>0</v>
      </c>
      <c r="N3402" s="195">
        <v>0</v>
      </c>
    </row>
    <row r="3403" spans="1:14" hidden="1" x14ac:dyDescent="0.35">
      <c r="A3403" s="52" t="s">
        <v>672</v>
      </c>
      <c r="B3403" s="52" t="s">
        <v>73</v>
      </c>
      <c r="C3403" s="52" t="s">
        <v>71</v>
      </c>
      <c r="D3403" s="52" t="s">
        <v>72</v>
      </c>
      <c r="E3403" s="52" t="s">
        <v>584</v>
      </c>
      <c r="F3403" s="52" t="s">
        <v>26</v>
      </c>
      <c r="G3403" s="195" t="s">
        <v>276</v>
      </c>
      <c r="H3403" s="195"/>
      <c r="I3403" s="195"/>
      <c r="J3403" s="195"/>
      <c r="K3403" s="195">
        <v>0</v>
      </c>
      <c r="L3403" s="195">
        <v>-9.8252010000000004E-3</v>
      </c>
      <c r="M3403" s="195">
        <v>-1.679602</v>
      </c>
      <c r="N3403" s="195">
        <v>-0.57696820000000004</v>
      </c>
    </row>
    <row r="3404" spans="1:14" hidden="1" x14ac:dyDescent="0.35">
      <c r="A3404" s="52" t="s">
        <v>672</v>
      </c>
      <c r="B3404" s="52" t="s">
        <v>73</v>
      </c>
      <c r="C3404" s="52" t="s">
        <v>71</v>
      </c>
      <c r="D3404" s="52" t="s">
        <v>72</v>
      </c>
      <c r="E3404" s="52" t="s">
        <v>584</v>
      </c>
      <c r="F3404" s="52" t="s">
        <v>26</v>
      </c>
      <c r="G3404" s="195" t="s">
        <v>277</v>
      </c>
      <c r="H3404" s="195"/>
      <c r="I3404" s="195"/>
      <c r="J3404" s="195"/>
      <c r="K3404" s="195">
        <v>0</v>
      </c>
      <c r="L3404" s="195">
        <v>0</v>
      </c>
      <c r="M3404" s="195">
        <v>1.6697759999999999</v>
      </c>
      <c r="N3404" s="195">
        <v>0.57050749999999995</v>
      </c>
    </row>
    <row r="3405" spans="1:14" hidden="1" x14ac:dyDescent="0.35">
      <c r="A3405" s="52" t="s">
        <v>672</v>
      </c>
      <c r="B3405" s="52" t="s">
        <v>73</v>
      </c>
      <c r="C3405" s="52" t="s">
        <v>71</v>
      </c>
      <c r="D3405" s="52" t="s">
        <v>72</v>
      </c>
      <c r="E3405" s="52" t="s">
        <v>584</v>
      </c>
      <c r="F3405" s="52" t="s">
        <v>26</v>
      </c>
      <c r="G3405" s="195" t="s">
        <v>279</v>
      </c>
      <c r="H3405" s="195"/>
      <c r="I3405" s="195"/>
      <c r="J3405" s="195"/>
      <c r="K3405" s="195">
        <v>0</v>
      </c>
      <c r="L3405" s="195">
        <v>9.8252010000000004E-3</v>
      </c>
      <c r="M3405" s="195">
        <v>9.8252010000000004E-3</v>
      </c>
      <c r="N3405" s="195">
        <v>1.09756E-2</v>
      </c>
    </row>
    <row r="3406" spans="1:14" hidden="1" x14ac:dyDescent="0.35">
      <c r="A3406" s="52" t="s">
        <v>672</v>
      </c>
      <c r="B3406" s="52" t="s">
        <v>73</v>
      </c>
      <c r="C3406" s="52" t="s">
        <v>71</v>
      </c>
      <c r="D3406" s="52" t="s">
        <v>335</v>
      </c>
      <c r="E3406" s="52" t="s">
        <v>584</v>
      </c>
      <c r="F3406" s="52" t="s">
        <v>581</v>
      </c>
      <c r="G3406" s="195" t="s">
        <v>275</v>
      </c>
      <c r="H3406" s="195">
        <v>-1.9983000000000002E-3</v>
      </c>
      <c r="I3406" s="195">
        <v>-0.12595770000000001</v>
      </c>
      <c r="J3406" s="195">
        <v>-1.8105420000000001E-2</v>
      </c>
      <c r="K3406" s="195">
        <v>1.0540799999999999E-2</v>
      </c>
      <c r="L3406" s="195">
        <v>-0.42293700000000001</v>
      </c>
      <c r="M3406" s="195">
        <v>-0.90489960000000003</v>
      </c>
      <c r="N3406" s="195">
        <v>-19.393830000000001</v>
      </c>
    </row>
    <row r="3407" spans="1:14" hidden="1" x14ac:dyDescent="0.35">
      <c r="A3407" s="52" t="s">
        <v>672</v>
      </c>
      <c r="B3407" s="52" t="s">
        <v>73</v>
      </c>
      <c r="C3407" s="52" t="s">
        <v>71</v>
      </c>
      <c r="D3407" s="52" t="s">
        <v>335</v>
      </c>
      <c r="E3407" s="52" t="s">
        <v>584</v>
      </c>
      <c r="F3407" s="52" t="s">
        <v>581</v>
      </c>
      <c r="G3407" s="195" t="s">
        <v>276</v>
      </c>
      <c r="H3407" s="195">
        <v>-4.0046999999999999E-2</v>
      </c>
      <c r="I3407" s="195">
        <v>-5.15088E-2</v>
      </c>
      <c r="J3407" s="195">
        <v>-1.5735840000000001E-2</v>
      </c>
      <c r="K3407" s="195">
        <v>-1.4749379999999999E-2</v>
      </c>
      <c r="L3407" s="195">
        <v>-9.5862710000000004E-2</v>
      </c>
      <c r="M3407" s="195">
        <v>-0.38455810000000001</v>
      </c>
      <c r="N3407" s="195">
        <v>-4.0915119999999998</v>
      </c>
    </row>
    <row r="3408" spans="1:14" hidden="1" x14ac:dyDescent="0.35">
      <c r="A3408" s="52" t="s">
        <v>672</v>
      </c>
      <c r="B3408" s="52" t="s">
        <v>73</v>
      </c>
      <c r="C3408" s="52" t="s">
        <v>71</v>
      </c>
      <c r="D3408" s="52" t="s">
        <v>335</v>
      </c>
      <c r="E3408" s="52" t="s">
        <v>584</v>
      </c>
      <c r="F3408" s="52" t="s">
        <v>581</v>
      </c>
      <c r="G3408" s="195" t="s">
        <v>277</v>
      </c>
      <c r="H3408" s="195">
        <v>0</v>
      </c>
      <c r="I3408" s="195">
        <v>0.15</v>
      </c>
      <c r="J3408" s="195">
        <v>0.03</v>
      </c>
      <c r="K3408" s="195">
        <v>0</v>
      </c>
      <c r="L3408" s="195">
        <v>0.51380009999999998</v>
      </c>
      <c r="M3408" s="195">
        <v>1.1474800000000001</v>
      </c>
      <c r="N3408" s="195">
        <v>23.353629999999999</v>
      </c>
    </row>
    <row r="3409" spans="1:14" hidden="1" x14ac:dyDescent="0.35">
      <c r="A3409" s="52" t="s">
        <v>672</v>
      </c>
      <c r="B3409" s="52" t="s">
        <v>73</v>
      </c>
      <c r="C3409" s="52" t="s">
        <v>71</v>
      </c>
      <c r="D3409" s="52" t="s">
        <v>335</v>
      </c>
      <c r="E3409" s="52" t="s">
        <v>584</v>
      </c>
      <c r="F3409" s="52" t="s">
        <v>581</v>
      </c>
      <c r="G3409" s="195" t="s">
        <v>278</v>
      </c>
      <c r="H3409" s="195">
        <v>4.2044999999999999E-2</v>
      </c>
      <c r="I3409" s="195">
        <v>2.7466500000000001E-2</v>
      </c>
      <c r="J3409" s="195">
        <v>6.5989209999999998E-3</v>
      </c>
      <c r="K3409" s="195">
        <v>5.57268E-3</v>
      </c>
      <c r="L3409" s="195">
        <v>4.9995600000000001E-3</v>
      </c>
      <c r="M3409" s="195">
        <v>1.027074E-2</v>
      </c>
      <c r="N3409" s="195">
        <v>0</v>
      </c>
    </row>
    <row r="3410" spans="1:14" hidden="1" x14ac:dyDescent="0.35">
      <c r="A3410" s="52" t="s">
        <v>672</v>
      </c>
      <c r="B3410" s="52" t="s">
        <v>73</v>
      </c>
      <c r="C3410" s="52" t="s">
        <v>71</v>
      </c>
      <c r="D3410" s="52" t="s">
        <v>335</v>
      </c>
      <c r="E3410" s="52" t="s">
        <v>584</v>
      </c>
      <c r="F3410" s="52" t="s">
        <v>581</v>
      </c>
      <c r="G3410" s="195" t="s">
        <v>279</v>
      </c>
      <c r="H3410" s="195"/>
      <c r="I3410" s="195"/>
      <c r="J3410" s="195"/>
      <c r="K3410" s="195"/>
      <c r="L3410" s="195">
        <v>0</v>
      </c>
      <c r="M3410" s="195">
        <v>0.13170670000000001</v>
      </c>
      <c r="N3410" s="195">
        <v>0.13170670000000001</v>
      </c>
    </row>
    <row r="3411" spans="1:14" hidden="1" x14ac:dyDescent="0.35">
      <c r="A3411" s="52" t="s">
        <v>672</v>
      </c>
      <c r="B3411" s="52" t="s">
        <v>73</v>
      </c>
      <c r="C3411" s="52" t="s">
        <v>71</v>
      </c>
      <c r="D3411" s="52" t="s">
        <v>335</v>
      </c>
      <c r="E3411" s="52" t="s">
        <v>584</v>
      </c>
      <c r="F3411" s="52" t="s">
        <v>26</v>
      </c>
      <c r="G3411" s="195" t="s">
        <v>275</v>
      </c>
      <c r="H3411" s="195"/>
      <c r="I3411" s="195"/>
      <c r="J3411" s="195"/>
      <c r="K3411" s="195"/>
      <c r="L3411" s="195">
        <v>0</v>
      </c>
      <c r="M3411" s="195">
        <v>-2.007258E-2</v>
      </c>
      <c r="N3411" s="195">
        <v>-0.29422229999999999</v>
      </c>
    </row>
    <row r="3412" spans="1:14" hidden="1" x14ac:dyDescent="0.35">
      <c r="A3412" s="52" t="s">
        <v>672</v>
      </c>
      <c r="B3412" s="52" t="s">
        <v>73</v>
      </c>
      <c r="C3412" s="52" t="s">
        <v>71</v>
      </c>
      <c r="D3412" s="52" t="s">
        <v>335</v>
      </c>
      <c r="E3412" s="52" t="s">
        <v>584</v>
      </c>
      <c r="F3412" s="52" t="s">
        <v>26</v>
      </c>
      <c r="G3412" s="195" t="s">
        <v>276</v>
      </c>
      <c r="H3412" s="195"/>
      <c r="I3412" s="195"/>
      <c r="J3412" s="195"/>
      <c r="K3412" s="195"/>
      <c r="L3412" s="195">
        <v>0</v>
      </c>
      <c r="M3412" s="195">
        <v>-7.6119600000000001E-3</v>
      </c>
      <c r="N3412" s="195">
        <v>-6.3750899999999999E-2</v>
      </c>
    </row>
    <row r="3413" spans="1:14" hidden="1" x14ac:dyDescent="0.35">
      <c r="A3413" s="52" t="s">
        <v>672</v>
      </c>
      <c r="B3413" s="52" t="s">
        <v>73</v>
      </c>
      <c r="C3413" s="52" t="s">
        <v>71</v>
      </c>
      <c r="D3413" s="52" t="s">
        <v>335</v>
      </c>
      <c r="E3413" s="52" t="s">
        <v>584</v>
      </c>
      <c r="F3413" s="52" t="s">
        <v>26</v>
      </c>
      <c r="G3413" s="195" t="s">
        <v>277</v>
      </c>
      <c r="H3413" s="195"/>
      <c r="I3413" s="195"/>
      <c r="J3413" s="195"/>
      <c r="K3413" s="195"/>
      <c r="L3413" s="195">
        <v>0</v>
      </c>
      <c r="M3413" s="195">
        <v>2.251968E-2</v>
      </c>
      <c r="N3413" s="195">
        <v>0.35280830000000002</v>
      </c>
    </row>
    <row r="3414" spans="1:14" hidden="1" x14ac:dyDescent="0.35">
      <c r="A3414" s="52" t="s">
        <v>672</v>
      </c>
      <c r="B3414" s="52" t="s">
        <v>73</v>
      </c>
      <c r="C3414" s="52" t="s">
        <v>71</v>
      </c>
      <c r="D3414" s="52" t="s">
        <v>335</v>
      </c>
      <c r="E3414" s="52" t="s">
        <v>584</v>
      </c>
      <c r="F3414" s="52" t="s">
        <v>26</v>
      </c>
      <c r="G3414" s="195" t="s">
        <v>279</v>
      </c>
      <c r="H3414" s="195"/>
      <c r="I3414" s="195"/>
      <c r="J3414" s="195"/>
      <c r="K3414" s="195"/>
      <c r="L3414" s="195">
        <v>0</v>
      </c>
      <c r="M3414" s="195">
        <v>5.1648600000000003E-3</v>
      </c>
      <c r="N3414" s="195">
        <v>5.1648600000000003E-3</v>
      </c>
    </row>
    <row r="3415" spans="1:14" hidden="1" x14ac:dyDescent="0.35">
      <c r="A3415" s="52" t="s">
        <v>672</v>
      </c>
      <c r="B3415" s="52" t="s">
        <v>73</v>
      </c>
      <c r="C3415" s="52" t="s">
        <v>71</v>
      </c>
      <c r="D3415" s="52" t="s">
        <v>336</v>
      </c>
      <c r="E3415" s="52" t="s">
        <v>584</v>
      </c>
      <c r="F3415" s="52" t="s">
        <v>581</v>
      </c>
      <c r="G3415" s="195" t="s">
        <v>275</v>
      </c>
      <c r="H3415" s="195">
        <v>-2.41075E-2</v>
      </c>
      <c r="I3415" s="195">
        <v>-3.7212489999999998E-3</v>
      </c>
      <c r="J3415" s="195">
        <v>0</v>
      </c>
      <c r="K3415" s="195">
        <v>0</v>
      </c>
      <c r="L3415" s="195">
        <v>0</v>
      </c>
      <c r="M3415" s="195">
        <v>0</v>
      </c>
      <c r="N3415" s="195">
        <v>0</v>
      </c>
    </row>
    <row r="3416" spans="1:14" hidden="1" x14ac:dyDescent="0.35">
      <c r="A3416" s="52" t="s">
        <v>672</v>
      </c>
      <c r="B3416" s="52" t="s">
        <v>73</v>
      </c>
      <c r="C3416" s="52" t="s">
        <v>71</v>
      </c>
      <c r="D3416" s="52" t="s">
        <v>336</v>
      </c>
      <c r="E3416" s="52" t="s">
        <v>584</v>
      </c>
      <c r="F3416" s="52" t="s">
        <v>581</v>
      </c>
      <c r="G3416" s="195" t="s">
        <v>276</v>
      </c>
      <c r="H3416" s="195">
        <v>-0.17118349999999999</v>
      </c>
      <c r="I3416" s="195">
        <v>-5.3193400000000002E-2</v>
      </c>
      <c r="J3416" s="195">
        <v>-4.1363529999999997</v>
      </c>
      <c r="K3416" s="195">
        <v>-5.7736919999999997E-2</v>
      </c>
      <c r="L3416" s="195">
        <v>-7.0649799999999999E-2</v>
      </c>
      <c r="M3416" s="195">
        <v>-0.12526280000000001</v>
      </c>
      <c r="N3416" s="195">
        <v>-0.48341279999999998</v>
      </c>
    </row>
    <row r="3417" spans="1:14" hidden="1" x14ac:dyDescent="0.35">
      <c r="A3417" s="52" t="s">
        <v>672</v>
      </c>
      <c r="B3417" s="52" t="s">
        <v>73</v>
      </c>
      <c r="C3417" s="52" t="s">
        <v>71</v>
      </c>
      <c r="D3417" s="52" t="s">
        <v>336</v>
      </c>
      <c r="E3417" s="52" t="s">
        <v>584</v>
      </c>
      <c r="F3417" s="52" t="s">
        <v>581</v>
      </c>
      <c r="G3417" s="195" t="s">
        <v>277</v>
      </c>
      <c r="H3417" s="195"/>
      <c r="I3417" s="195"/>
      <c r="J3417" s="195"/>
      <c r="K3417" s="195">
        <v>0</v>
      </c>
      <c r="L3417" s="195">
        <v>1.8849999999999999E-2</v>
      </c>
      <c r="M3417" s="195">
        <v>1.8849999999999999E-2</v>
      </c>
      <c r="N3417" s="195">
        <v>0.377</v>
      </c>
    </row>
    <row r="3418" spans="1:14" hidden="1" x14ac:dyDescent="0.35">
      <c r="A3418" s="52" t="s">
        <v>672</v>
      </c>
      <c r="B3418" s="52" t="s">
        <v>73</v>
      </c>
      <c r="C3418" s="52" t="s">
        <v>71</v>
      </c>
      <c r="D3418" s="52" t="s">
        <v>336</v>
      </c>
      <c r="E3418" s="52" t="s">
        <v>584</v>
      </c>
      <c r="F3418" s="52" t="s">
        <v>581</v>
      </c>
      <c r="G3418" s="195" t="s">
        <v>278</v>
      </c>
      <c r="H3418" s="195">
        <v>0.19529099999999999</v>
      </c>
      <c r="I3418" s="195">
        <v>5.6914649999999997E-2</v>
      </c>
      <c r="J3418" s="195">
        <v>4.136355</v>
      </c>
      <c r="K3418" s="195">
        <v>5.7737549999999999E-2</v>
      </c>
      <c r="L3418" s="195">
        <v>5.17998E-2</v>
      </c>
      <c r="M3418" s="195">
        <v>0.10641349999999999</v>
      </c>
      <c r="N3418" s="195">
        <v>0.10641349999999999</v>
      </c>
    </row>
    <row r="3419" spans="1:14" hidden="1" x14ac:dyDescent="0.35">
      <c r="A3419" s="52" t="s">
        <v>672</v>
      </c>
      <c r="B3419" s="52" t="s">
        <v>73</v>
      </c>
      <c r="C3419" s="52" t="s">
        <v>71</v>
      </c>
      <c r="D3419" s="52" t="s">
        <v>336</v>
      </c>
      <c r="E3419" s="52" t="s">
        <v>584</v>
      </c>
      <c r="F3419" s="52" t="s">
        <v>581</v>
      </c>
      <c r="G3419" s="195" t="s">
        <v>279</v>
      </c>
      <c r="H3419" s="195"/>
      <c r="I3419" s="195"/>
      <c r="J3419" s="195"/>
      <c r="K3419" s="195"/>
      <c r="L3419" s="195"/>
      <c r="M3419" s="195"/>
      <c r="N3419" s="195">
        <v>0</v>
      </c>
    </row>
    <row r="3420" spans="1:14" hidden="1" x14ac:dyDescent="0.35">
      <c r="A3420" s="52" t="s">
        <v>672</v>
      </c>
      <c r="B3420" s="52" t="s">
        <v>73</v>
      </c>
      <c r="C3420" s="52" t="s">
        <v>71</v>
      </c>
      <c r="D3420" s="52" t="s">
        <v>336</v>
      </c>
      <c r="E3420" s="52" t="s">
        <v>584</v>
      </c>
      <c r="F3420" s="52" t="s">
        <v>26</v>
      </c>
      <c r="G3420" s="195" t="s">
        <v>275</v>
      </c>
      <c r="H3420" s="195">
        <v>0</v>
      </c>
      <c r="I3420" s="195">
        <v>-3.1465009999999999E-3</v>
      </c>
      <c r="J3420" s="195">
        <v>0</v>
      </c>
      <c r="K3420" s="195">
        <v>0</v>
      </c>
      <c r="L3420" s="195">
        <v>0</v>
      </c>
      <c r="M3420" s="195">
        <v>0</v>
      </c>
      <c r="N3420" s="195">
        <v>0</v>
      </c>
    </row>
    <row r="3421" spans="1:14" hidden="1" x14ac:dyDescent="0.35">
      <c r="A3421" s="52" t="s">
        <v>672</v>
      </c>
      <c r="B3421" s="52" t="s">
        <v>73</v>
      </c>
      <c r="C3421" s="52" t="s">
        <v>71</v>
      </c>
      <c r="D3421" s="52" t="s">
        <v>336</v>
      </c>
      <c r="E3421" s="52" t="s">
        <v>584</v>
      </c>
      <c r="F3421" s="52" t="s">
        <v>26</v>
      </c>
      <c r="G3421" s="195" t="s">
        <v>276</v>
      </c>
      <c r="H3421" s="195"/>
      <c r="I3421" s="195">
        <v>-6.7515099999999995E-2</v>
      </c>
      <c r="J3421" s="195">
        <v>-0.1016027</v>
      </c>
      <c r="K3421" s="195">
        <v>-16.906669999999998</v>
      </c>
      <c r="L3421" s="195">
        <v>-6.9023269999999998E-2</v>
      </c>
      <c r="M3421" s="195">
        <v>-0.2093264</v>
      </c>
      <c r="N3421" s="195">
        <v>-0.29886390000000002</v>
      </c>
    </row>
    <row r="3422" spans="1:14" hidden="1" x14ac:dyDescent="0.35">
      <c r="A3422" s="52" t="s">
        <v>672</v>
      </c>
      <c r="B3422" s="52" t="s">
        <v>73</v>
      </c>
      <c r="C3422" s="52" t="s">
        <v>71</v>
      </c>
      <c r="D3422" s="52" t="s">
        <v>336</v>
      </c>
      <c r="E3422" s="52" t="s">
        <v>584</v>
      </c>
      <c r="F3422" s="52" t="s">
        <v>26</v>
      </c>
      <c r="G3422" s="195" t="s">
        <v>277</v>
      </c>
      <c r="H3422" s="195"/>
      <c r="I3422" s="195"/>
      <c r="J3422" s="195"/>
      <c r="K3422" s="195">
        <v>0</v>
      </c>
      <c r="L3422" s="195">
        <v>4.7124999999999997E-3</v>
      </c>
      <c r="M3422" s="195">
        <v>7.7212500000000003E-2</v>
      </c>
      <c r="N3422" s="195">
        <v>0.16675000000000001</v>
      </c>
    </row>
    <row r="3423" spans="1:14" hidden="1" x14ac:dyDescent="0.35">
      <c r="A3423" s="52" t="s">
        <v>672</v>
      </c>
      <c r="B3423" s="52" t="s">
        <v>73</v>
      </c>
      <c r="C3423" s="52" t="s">
        <v>71</v>
      </c>
      <c r="D3423" s="52" t="s">
        <v>336</v>
      </c>
      <c r="E3423" s="52" t="s">
        <v>584</v>
      </c>
      <c r="F3423" s="52" t="s">
        <v>26</v>
      </c>
      <c r="G3423" s="195" t="s">
        <v>278</v>
      </c>
      <c r="H3423" s="195"/>
      <c r="I3423" s="195">
        <v>7.066095E-2</v>
      </c>
      <c r="J3423" s="195">
        <v>0.1016027</v>
      </c>
      <c r="K3423" s="195">
        <v>16.906669999999998</v>
      </c>
      <c r="L3423" s="195">
        <v>6.4310300000000001E-2</v>
      </c>
      <c r="M3423" s="195">
        <v>0.13211390000000001</v>
      </c>
      <c r="N3423" s="195">
        <v>0.13211390000000001</v>
      </c>
    </row>
    <row r="3424" spans="1:14" hidden="1" x14ac:dyDescent="0.35">
      <c r="A3424" s="52" t="s">
        <v>672</v>
      </c>
      <c r="B3424" s="52" t="s">
        <v>73</v>
      </c>
      <c r="C3424" s="52" t="s">
        <v>71</v>
      </c>
      <c r="D3424" s="52" t="s">
        <v>336</v>
      </c>
      <c r="E3424" s="52" t="s">
        <v>584</v>
      </c>
      <c r="F3424" s="52" t="s">
        <v>26</v>
      </c>
      <c r="G3424" s="195" t="s">
        <v>279</v>
      </c>
      <c r="H3424" s="195"/>
      <c r="I3424" s="195"/>
      <c r="J3424" s="195"/>
      <c r="K3424" s="195"/>
      <c r="L3424" s="195"/>
      <c r="M3424" s="195"/>
      <c r="N3424" s="195">
        <v>0</v>
      </c>
    </row>
    <row r="3425" spans="1:14" hidden="1" x14ac:dyDescent="0.35">
      <c r="A3425" s="52" t="s">
        <v>672</v>
      </c>
      <c r="B3425" s="52" t="s">
        <v>73</v>
      </c>
      <c r="C3425" s="52" t="s">
        <v>71</v>
      </c>
      <c r="D3425" s="52" t="s">
        <v>78</v>
      </c>
      <c r="E3425" s="52" t="s">
        <v>584</v>
      </c>
      <c r="F3425" s="52" t="s">
        <v>581</v>
      </c>
      <c r="G3425" s="195" t="s">
        <v>275</v>
      </c>
      <c r="H3425" s="195">
        <v>-4.8579549999999996</v>
      </c>
      <c r="I3425" s="195">
        <v>1.096487</v>
      </c>
      <c r="J3425" s="195">
        <v>1.0943579999999999</v>
      </c>
      <c r="K3425" s="195">
        <v>1.0946119999999999</v>
      </c>
      <c r="L3425" s="195">
        <v>-2.8088000000000002E-3</v>
      </c>
      <c r="M3425" s="195">
        <v>-9.3247989999999999E-3</v>
      </c>
      <c r="N3425" s="195">
        <v>-5.7413199999999998E-2</v>
      </c>
    </row>
    <row r="3426" spans="1:14" hidden="1" x14ac:dyDescent="0.35">
      <c r="A3426" s="52" t="s">
        <v>672</v>
      </c>
      <c r="B3426" s="52" t="s">
        <v>73</v>
      </c>
      <c r="C3426" s="52" t="s">
        <v>71</v>
      </c>
      <c r="D3426" s="52" t="s">
        <v>78</v>
      </c>
      <c r="E3426" s="52" t="s">
        <v>584</v>
      </c>
      <c r="F3426" s="52" t="s">
        <v>581</v>
      </c>
      <c r="G3426" s="195" t="s">
        <v>276</v>
      </c>
      <c r="H3426" s="195">
        <v>-22.258220000000001</v>
      </c>
      <c r="I3426" s="195">
        <v>-1.142458</v>
      </c>
      <c r="J3426" s="195">
        <v>-1.1495820000000001</v>
      </c>
      <c r="K3426" s="195">
        <v>-1.1412469999999999</v>
      </c>
      <c r="L3426" s="195">
        <v>-3.9030799999999997E-2</v>
      </c>
      <c r="M3426" s="195">
        <v>-7.6626399999999997E-2</v>
      </c>
      <c r="N3426" s="195">
        <v>-8.6538000000000004E-2</v>
      </c>
    </row>
    <row r="3427" spans="1:14" hidden="1" x14ac:dyDescent="0.35">
      <c r="A3427" s="52" t="s">
        <v>672</v>
      </c>
      <c r="B3427" s="52" t="s">
        <v>73</v>
      </c>
      <c r="C3427" s="52" t="s">
        <v>71</v>
      </c>
      <c r="D3427" s="52" t="s">
        <v>78</v>
      </c>
      <c r="E3427" s="52" t="s">
        <v>584</v>
      </c>
      <c r="F3427" s="52" t="s">
        <v>581</v>
      </c>
      <c r="G3427" s="195" t="s">
        <v>277</v>
      </c>
      <c r="H3427" s="195"/>
      <c r="I3427" s="195"/>
      <c r="J3427" s="195"/>
      <c r="K3427" s="195"/>
      <c r="L3427" s="195"/>
      <c r="M3427" s="195">
        <v>0</v>
      </c>
      <c r="N3427" s="195">
        <v>5.8000009999999998E-2</v>
      </c>
    </row>
    <row r="3428" spans="1:14" hidden="1" x14ac:dyDescent="0.35">
      <c r="A3428" s="52" t="s">
        <v>672</v>
      </c>
      <c r="B3428" s="52" t="s">
        <v>73</v>
      </c>
      <c r="C3428" s="52" t="s">
        <v>71</v>
      </c>
      <c r="D3428" s="52" t="s">
        <v>78</v>
      </c>
      <c r="E3428" s="52" t="s">
        <v>584</v>
      </c>
      <c r="F3428" s="52" t="s">
        <v>581</v>
      </c>
      <c r="G3428" s="195" t="s">
        <v>278</v>
      </c>
      <c r="H3428" s="195">
        <v>27.11617</v>
      </c>
      <c r="I3428" s="195">
        <v>4.5971199999999997E-2</v>
      </c>
      <c r="J3428" s="195">
        <v>5.5224000000000002E-2</v>
      </c>
      <c r="K3428" s="195">
        <v>4.6635200000000002E-2</v>
      </c>
      <c r="L3428" s="195">
        <v>4.18392E-2</v>
      </c>
      <c r="M3428" s="195">
        <v>8.5951600000000003E-2</v>
      </c>
      <c r="N3428" s="195">
        <v>8.5951600000000003E-2</v>
      </c>
    </row>
    <row r="3429" spans="1:14" hidden="1" x14ac:dyDescent="0.35">
      <c r="A3429" s="52" t="s">
        <v>672</v>
      </c>
      <c r="B3429" s="52" t="s">
        <v>73</v>
      </c>
      <c r="C3429" s="52" t="s">
        <v>97</v>
      </c>
      <c r="D3429" s="52" t="s">
        <v>98</v>
      </c>
      <c r="E3429" s="52" t="s">
        <v>584</v>
      </c>
      <c r="F3429" s="52" t="s">
        <v>581</v>
      </c>
      <c r="G3429" s="195" t="s">
        <v>275</v>
      </c>
      <c r="H3429" s="195">
        <v>-96.391840000000002</v>
      </c>
      <c r="I3429" s="195">
        <v>114.0009</v>
      </c>
      <c r="J3429" s="195">
        <v>203.57329999999999</v>
      </c>
      <c r="K3429" s="195">
        <v>225.1626</v>
      </c>
      <c r="L3429" s="195">
        <v>221.19659999999999</v>
      </c>
      <c r="M3429" s="195">
        <v>186.49780000000001</v>
      </c>
      <c r="N3429" s="195">
        <v>148.0565</v>
      </c>
    </row>
    <row r="3430" spans="1:14" hidden="1" x14ac:dyDescent="0.35">
      <c r="A3430" s="52" t="s">
        <v>672</v>
      </c>
      <c r="B3430" s="52" t="s">
        <v>73</v>
      </c>
      <c r="C3430" s="52" t="s">
        <v>97</v>
      </c>
      <c r="D3430" s="52" t="s">
        <v>98</v>
      </c>
      <c r="E3430" s="52" t="s">
        <v>584</v>
      </c>
      <c r="F3430" s="52" t="s">
        <v>581</v>
      </c>
      <c r="G3430" s="195" t="s">
        <v>276</v>
      </c>
      <c r="H3430" s="195">
        <v>-112.983</v>
      </c>
      <c r="I3430" s="195">
        <v>61.29</v>
      </c>
      <c r="J3430" s="195">
        <v>40.40842</v>
      </c>
      <c r="K3430" s="195">
        <v>77.394810000000007</v>
      </c>
      <c r="L3430" s="195">
        <v>263.06220000000002</v>
      </c>
      <c r="M3430" s="195">
        <v>306.52280000000002</v>
      </c>
      <c r="N3430" s="195">
        <v>358.2509</v>
      </c>
    </row>
    <row r="3431" spans="1:14" hidden="1" x14ac:dyDescent="0.35">
      <c r="A3431" s="52" t="s">
        <v>672</v>
      </c>
      <c r="B3431" s="52" t="s">
        <v>73</v>
      </c>
      <c r="C3431" s="52" t="s">
        <v>97</v>
      </c>
      <c r="D3431" s="52" t="s">
        <v>98</v>
      </c>
      <c r="E3431" s="52" t="s">
        <v>584</v>
      </c>
      <c r="F3431" s="52" t="s">
        <v>581</v>
      </c>
      <c r="G3431" s="195" t="s">
        <v>277</v>
      </c>
      <c r="H3431" s="195">
        <v>351.78710000000001</v>
      </c>
      <c r="I3431" s="195">
        <v>223.03989999999999</v>
      </c>
      <c r="J3431" s="195">
        <v>121.4147</v>
      </c>
      <c r="K3431" s="195">
        <v>53.392919999999997</v>
      </c>
      <c r="L3431" s="195">
        <v>46.177599999999998</v>
      </c>
      <c r="M3431" s="195">
        <v>51.880070000000003</v>
      </c>
      <c r="N3431" s="195">
        <v>51.906559999999999</v>
      </c>
    </row>
    <row r="3432" spans="1:14" hidden="1" x14ac:dyDescent="0.35">
      <c r="A3432" s="52" t="s">
        <v>672</v>
      </c>
      <c r="B3432" s="52" t="s">
        <v>73</v>
      </c>
      <c r="C3432" s="52" t="s">
        <v>97</v>
      </c>
      <c r="D3432" s="52" t="s">
        <v>98</v>
      </c>
      <c r="E3432" s="52" t="s">
        <v>584</v>
      </c>
      <c r="F3432" s="52" t="s">
        <v>581</v>
      </c>
      <c r="G3432" s="195" t="s">
        <v>278</v>
      </c>
      <c r="H3432" s="195">
        <v>10.39823</v>
      </c>
      <c r="I3432" s="195">
        <v>11.487</v>
      </c>
      <c r="J3432" s="195">
        <v>15.05039</v>
      </c>
      <c r="K3432" s="195">
        <v>5.609248</v>
      </c>
      <c r="L3432" s="195">
        <v>0.17623730000000001</v>
      </c>
      <c r="M3432" s="195">
        <v>0.36205080000000001</v>
      </c>
      <c r="N3432" s="195">
        <v>0.36205080000000001</v>
      </c>
    </row>
    <row r="3433" spans="1:14" hidden="1" x14ac:dyDescent="0.35">
      <c r="A3433" s="52" t="s">
        <v>672</v>
      </c>
      <c r="B3433" s="52" t="s">
        <v>73</v>
      </c>
      <c r="C3433" s="52" t="s">
        <v>97</v>
      </c>
      <c r="D3433" s="52" t="s">
        <v>98</v>
      </c>
      <c r="E3433" s="52" t="s">
        <v>584</v>
      </c>
      <c r="F3433" s="52" t="s">
        <v>581</v>
      </c>
      <c r="G3433" s="195" t="s">
        <v>279</v>
      </c>
      <c r="H3433" s="195">
        <v>16.534890000000001</v>
      </c>
      <c r="I3433" s="195">
        <v>52.001399999999997</v>
      </c>
      <c r="J3433" s="195">
        <v>53.782780000000002</v>
      </c>
      <c r="K3433" s="195">
        <v>74.955709999999996</v>
      </c>
      <c r="L3433" s="195">
        <v>114.7277</v>
      </c>
      <c r="M3433" s="195">
        <v>117.849</v>
      </c>
      <c r="N3433" s="195">
        <v>120.59950000000001</v>
      </c>
    </row>
    <row r="3434" spans="1:14" hidden="1" x14ac:dyDescent="0.35">
      <c r="A3434" s="52" t="s">
        <v>672</v>
      </c>
      <c r="B3434" s="52" t="s">
        <v>73</v>
      </c>
      <c r="C3434" s="52" t="s">
        <v>97</v>
      </c>
      <c r="D3434" s="52" t="s">
        <v>98</v>
      </c>
      <c r="E3434" s="52" t="s">
        <v>584</v>
      </c>
      <c r="F3434" s="52" t="s">
        <v>26</v>
      </c>
      <c r="G3434" s="195" t="s">
        <v>275</v>
      </c>
      <c r="H3434" s="195">
        <v>-0.88798549999999998</v>
      </c>
      <c r="I3434" s="195">
        <v>0.62620659999999995</v>
      </c>
      <c r="J3434" s="195">
        <v>3.2235800000000001</v>
      </c>
      <c r="K3434" s="195">
        <v>2.3128039999999999</v>
      </c>
      <c r="L3434" s="195">
        <v>2.0471729999999999</v>
      </c>
      <c r="M3434" s="195">
        <v>1.752324</v>
      </c>
      <c r="N3434" s="195">
        <v>1.486197</v>
      </c>
    </row>
    <row r="3435" spans="1:14" hidden="1" x14ac:dyDescent="0.35">
      <c r="A3435" s="52" t="s">
        <v>672</v>
      </c>
      <c r="B3435" s="52" t="s">
        <v>73</v>
      </c>
      <c r="C3435" s="52" t="s">
        <v>97</v>
      </c>
      <c r="D3435" s="52" t="s">
        <v>98</v>
      </c>
      <c r="E3435" s="52" t="s">
        <v>584</v>
      </c>
      <c r="F3435" s="52" t="s">
        <v>26</v>
      </c>
      <c r="G3435" s="195" t="s">
        <v>276</v>
      </c>
      <c r="H3435" s="195">
        <v>-1.6939139999999999</v>
      </c>
      <c r="I3435" s="195">
        <v>3.1142089999999998</v>
      </c>
      <c r="J3435" s="195">
        <v>4.378844</v>
      </c>
      <c r="K3435" s="195">
        <v>2.2386240000000002</v>
      </c>
      <c r="L3435" s="195">
        <v>2.7028470000000002</v>
      </c>
      <c r="M3435" s="195">
        <v>3.264335</v>
      </c>
      <c r="N3435" s="195">
        <v>3.7241439999999999</v>
      </c>
    </row>
    <row r="3436" spans="1:14" hidden="1" x14ac:dyDescent="0.35">
      <c r="A3436" s="52" t="s">
        <v>672</v>
      </c>
      <c r="B3436" s="52" t="s">
        <v>73</v>
      </c>
      <c r="C3436" s="52" t="s">
        <v>97</v>
      </c>
      <c r="D3436" s="52" t="s">
        <v>98</v>
      </c>
      <c r="E3436" s="52" t="s">
        <v>584</v>
      </c>
      <c r="F3436" s="52" t="s">
        <v>26</v>
      </c>
      <c r="G3436" s="195" t="s">
        <v>277</v>
      </c>
      <c r="H3436" s="195">
        <v>2.355829</v>
      </c>
      <c r="I3436" s="195">
        <v>2.639427</v>
      </c>
      <c r="J3436" s="195">
        <v>0.1049702</v>
      </c>
      <c r="K3436" s="195">
        <v>1.7994860000000001E-2</v>
      </c>
      <c r="L3436" s="195">
        <v>0</v>
      </c>
      <c r="M3436" s="195">
        <v>0</v>
      </c>
      <c r="N3436" s="195">
        <v>0</v>
      </c>
    </row>
    <row r="3437" spans="1:14" hidden="1" x14ac:dyDescent="0.35">
      <c r="A3437" s="52" t="s">
        <v>672</v>
      </c>
      <c r="B3437" s="52" t="s">
        <v>73</v>
      </c>
      <c r="C3437" s="52" t="s">
        <v>97</v>
      </c>
      <c r="D3437" s="52" t="s">
        <v>98</v>
      </c>
      <c r="E3437" s="52" t="s">
        <v>584</v>
      </c>
      <c r="F3437" s="52" t="s">
        <v>26</v>
      </c>
      <c r="G3437" s="195" t="s">
        <v>278</v>
      </c>
      <c r="H3437" s="195">
        <v>3.9748600000000002E-2</v>
      </c>
      <c r="I3437" s="195">
        <v>2.5965999999999999E-2</v>
      </c>
      <c r="J3437" s="195">
        <v>0</v>
      </c>
      <c r="K3437" s="195">
        <v>0</v>
      </c>
      <c r="L3437" s="195">
        <v>0</v>
      </c>
      <c r="M3437" s="195">
        <v>0</v>
      </c>
      <c r="N3437" s="195">
        <v>0</v>
      </c>
    </row>
    <row r="3438" spans="1:14" hidden="1" x14ac:dyDescent="0.35">
      <c r="A3438" s="52" t="s">
        <v>672</v>
      </c>
      <c r="B3438" s="52" t="s">
        <v>73</v>
      </c>
      <c r="C3438" s="52" t="s">
        <v>97</v>
      </c>
      <c r="D3438" s="52" t="s">
        <v>98</v>
      </c>
      <c r="E3438" s="52" t="s">
        <v>584</v>
      </c>
      <c r="F3438" s="52" t="s">
        <v>26</v>
      </c>
      <c r="G3438" s="195" t="s">
        <v>279</v>
      </c>
      <c r="H3438" s="195">
        <v>0.1863223</v>
      </c>
      <c r="I3438" s="195">
        <v>8.3316370000000006</v>
      </c>
      <c r="J3438" s="195">
        <v>9.031955</v>
      </c>
      <c r="K3438" s="195">
        <v>12.18934</v>
      </c>
      <c r="L3438" s="195">
        <v>12.71654</v>
      </c>
      <c r="M3438" s="195">
        <v>13.442209999999999</v>
      </c>
      <c r="N3438" s="195">
        <v>13.931699999999999</v>
      </c>
    </row>
    <row r="3439" spans="1:14" hidden="1" x14ac:dyDescent="0.35">
      <c r="A3439" s="52" t="s">
        <v>672</v>
      </c>
      <c r="B3439" s="52" t="s">
        <v>73</v>
      </c>
      <c r="C3439" s="52" t="s">
        <v>97</v>
      </c>
      <c r="D3439" s="52" t="s">
        <v>171</v>
      </c>
      <c r="E3439" s="52" t="s">
        <v>584</v>
      </c>
      <c r="F3439" s="52" t="s">
        <v>581</v>
      </c>
      <c r="G3439" s="195" t="s">
        <v>275</v>
      </c>
      <c r="H3439" s="195">
        <v>-16.544920000000001</v>
      </c>
      <c r="I3439" s="195">
        <v>3.211239</v>
      </c>
      <c r="J3439" s="195">
        <v>3.8575460000000001</v>
      </c>
      <c r="K3439" s="195">
        <v>3.916757</v>
      </c>
      <c r="L3439" s="195">
        <v>2.2463109999999999</v>
      </c>
      <c r="M3439" s="195">
        <v>0.59808890000000003</v>
      </c>
      <c r="N3439" s="195">
        <v>-9.03599</v>
      </c>
    </row>
    <row r="3440" spans="1:14" hidden="1" x14ac:dyDescent="0.35">
      <c r="A3440" s="52" t="s">
        <v>672</v>
      </c>
      <c r="B3440" s="52" t="s">
        <v>73</v>
      </c>
      <c r="C3440" s="52" t="s">
        <v>97</v>
      </c>
      <c r="D3440" s="52" t="s">
        <v>171</v>
      </c>
      <c r="E3440" s="52" t="s">
        <v>584</v>
      </c>
      <c r="F3440" s="52" t="s">
        <v>581</v>
      </c>
      <c r="G3440" s="195" t="s">
        <v>276</v>
      </c>
      <c r="H3440" s="195">
        <v>-12.62501</v>
      </c>
      <c r="I3440" s="195">
        <v>-5.9223429999999997</v>
      </c>
      <c r="J3440" s="195">
        <v>-1.1087499999999999</v>
      </c>
      <c r="K3440" s="195">
        <v>-1.0917239999999999</v>
      </c>
      <c r="L3440" s="195">
        <v>-0.87031049999999999</v>
      </c>
      <c r="M3440" s="195">
        <v>-1.63229</v>
      </c>
      <c r="N3440" s="195">
        <v>-3.1738309999999998</v>
      </c>
    </row>
    <row r="3441" spans="1:14" hidden="1" x14ac:dyDescent="0.35">
      <c r="A3441" s="52" t="s">
        <v>672</v>
      </c>
      <c r="B3441" s="52" t="s">
        <v>73</v>
      </c>
      <c r="C3441" s="52" t="s">
        <v>97</v>
      </c>
      <c r="D3441" s="52" t="s">
        <v>171</v>
      </c>
      <c r="E3441" s="52" t="s">
        <v>584</v>
      </c>
      <c r="F3441" s="52" t="s">
        <v>581</v>
      </c>
      <c r="G3441" s="195" t="s">
        <v>277</v>
      </c>
      <c r="H3441" s="195">
        <v>23</v>
      </c>
      <c r="I3441" s="195">
        <v>0.3008672</v>
      </c>
      <c r="J3441" s="195">
        <v>6.0173450000000003E-2</v>
      </c>
      <c r="K3441" s="195">
        <v>0</v>
      </c>
      <c r="L3441" s="195">
        <v>0.92072489999999996</v>
      </c>
      <c r="M3441" s="195">
        <v>2.9710299999999998</v>
      </c>
      <c r="N3441" s="195">
        <v>11.7804</v>
      </c>
    </row>
    <row r="3442" spans="1:14" hidden="1" x14ac:dyDescent="0.35">
      <c r="A3442" s="52" t="s">
        <v>672</v>
      </c>
      <c r="B3442" s="52" t="s">
        <v>73</v>
      </c>
      <c r="C3442" s="52" t="s">
        <v>97</v>
      </c>
      <c r="D3442" s="52" t="s">
        <v>171</v>
      </c>
      <c r="E3442" s="52" t="s">
        <v>584</v>
      </c>
      <c r="F3442" s="52" t="s">
        <v>581</v>
      </c>
      <c r="G3442" s="195" t="s">
        <v>278</v>
      </c>
      <c r="H3442" s="195">
        <v>6.1699270000000004</v>
      </c>
      <c r="I3442" s="195">
        <v>2.4102359999999998</v>
      </c>
      <c r="J3442" s="195">
        <v>0.125752</v>
      </c>
      <c r="K3442" s="195">
        <v>0.106195</v>
      </c>
      <c r="L3442" s="195">
        <v>9.5273350000000007E-2</v>
      </c>
      <c r="M3442" s="195">
        <v>0.19572310000000001</v>
      </c>
      <c r="N3442" s="195">
        <v>0.16997209999999999</v>
      </c>
    </row>
    <row r="3443" spans="1:14" hidden="1" x14ac:dyDescent="0.35">
      <c r="A3443" s="52" t="s">
        <v>672</v>
      </c>
      <c r="B3443" s="52" t="s">
        <v>73</v>
      </c>
      <c r="C3443" s="52" t="s">
        <v>97</v>
      </c>
      <c r="D3443" s="52" t="s">
        <v>171</v>
      </c>
      <c r="E3443" s="52" t="s">
        <v>584</v>
      </c>
      <c r="F3443" s="52" t="s">
        <v>581</v>
      </c>
      <c r="G3443" s="195" t="s">
        <v>279</v>
      </c>
      <c r="H3443" s="195"/>
      <c r="I3443" s="195"/>
      <c r="J3443" s="195"/>
      <c r="K3443" s="195"/>
      <c r="L3443" s="195">
        <v>0</v>
      </c>
      <c r="M3443" s="195">
        <v>0.2594475</v>
      </c>
      <c r="N3443" s="195">
        <v>0.2594475</v>
      </c>
    </row>
    <row r="3444" spans="1:14" hidden="1" x14ac:dyDescent="0.35">
      <c r="A3444" s="52" t="s">
        <v>672</v>
      </c>
      <c r="B3444" s="52" t="s">
        <v>73</v>
      </c>
      <c r="C3444" s="52" t="s">
        <v>97</v>
      </c>
      <c r="D3444" s="52" t="s">
        <v>171</v>
      </c>
      <c r="E3444" s="52" t="s">
        <v>584</v>
      </c>
      <c r="F3444" s="52" t="s">
        <v>26</v>
      </c>
      <c r="G3444" s="195" t="s">
        <v>275</v>
      </c>
      <c r="H3444" s="195">
        <v>0</v>
      </c>
      <c r="I3444" s="195">
        <v>2.7168359999999998E-4</v>
      </c>
      <c r="J3444" s="195">
        <v>0</v>
      </c>
      <c r="K3444" s="195">
        <v>0</v>
      </c>
      <c r="L3444" s="195">
        <v>0</v>
      </c>
      <c r="M3444" s="195">
        <v>-0.21734909999999999</v>
      </c>
      <c r="N3444" s="195">
        <v>-0.78532760000000001</v>
      </c>
    </row>
    <row r="3445" spans="1:14" hidden="1" x14ac:dyDescent="0.35">
      <c r="A3445" s="52" t="s">
        <v>672</v>
      </c>
      <c r="B3445" s="52" t="s">
        <v>73</v>
      </c>
      <c r="C3445" s="52" t="s">
        <v>97</v>
      </c>
      <c r="D3445" s="52" t="s">
        <v>171</v>
      </c>
      <c r="E3445" s="52" t="s">
        <v>584</v>
      </c>
      <c r="F3445" s="52" t="s">
        <v>26</v>
      </c>
      <c r="G3445" s="195" t="s">
        <v>276</v>
      </c>
      <c r="H3445" s="195"/>
      <c r="I3445" s="195">
        <v>-4.3011599999999997E-2</v>
      </c>
      <c r="J3445" s="195">
        <v>-0.2379849</v>
      </c>
      <c r="K3445" s="195">
        <v>-4.3358189999999998E-2</v>
      </c>
      <c r="L3445" s="195">
        <v>-3.8897540000000001E-2</v>
      </c>
      <c r="M3445" s="195">
        <v>-0.1450796</v>
      </c>
      <c r="N3445" s="195">
        <v>-0.43117490000000003</v>
      </c>
    </row>
    <row r="3446" spans="1:14" hidden="1" x14ac:dyDescent="0.35">
      <c r="A3446" s="52" t="s">
        <v>672</v>
      </c>
      <c r="B3446" s="52" t="s">
        <v>73</v>
      </c>
      <c r="C3446" s="52" t="s">
        <v>97</v>
      </c>
      <c r="D3446" s="52" t="s">
        <v>171</v>
      </c>
      <c r="E3446" s="52" t="s">
        <v>584</v>
      </c>
      <c r="F3446" s="52" t="s">
        <v>26</v>
      </c>
      <c r="G3446" s="195" t="s">
        <v>277</v>
      </c>
      <c r="H3446" s="195"/>
      <c r="I3446" s="195"/>
      <c r="J3446" s="195"/>
      <c r="K3446" s="195"/>
      <c r="L3446" s="195">
        <v>0</v>
      </c>
      <c r="M3446" s="195">
        <v>0.25882149999999998</v>
      </c>
      <c r="N3446" s="195">
        <v>1.112895</v>
      </c>
    </row>
    <row r="3447" spans="1:14" hidden="1" x14ac:dyDescent="0.35">
      <c r="A3447" s="52" t="s">
        <v>672</v>
      </c>
      <c r="B3447" s="52" t="s">
        <v>73</v>
      </c>
      <c r="C3447" s="52" t="s">
        <v>97</v>
      </c>
      <c r="D3447" s="52" t="s">
        <v>171</v>
      </c>
      <c r="E3447" s="52" t="s">
        <v>584</v>
      </c>
      <c r="F3447" s="52" t="s">
        <v>26</v>
      </c>
      <c r="G3447" s="195" t="s">
        <v>278</v>
      </c>
      <c r="H3447" s="195"/>
      <c r="I3447" s="195">
        <v>4.2739010000000001E-2</v>
      </c>
      <c r="J3447" s="195">
        <v>0.237984</v>
      </c>
      <c r="K3447" s="195">
        <v>4.335729E-2</v>
      </c>
      <c r="L3447" s="195">
        <v>3.8897540000000001E-2</v>
      </c>
      <c r="M3447" s="195">
        <v>7.9908980000000004E-2</v>
      </c>
      <c r="N3447" s="195">
        <v>7.9908980000000004E-2</v>
      </c>
    </row>
    <row r="3448" spans="1:14" hidden="1" x14ac:dyDescent="0.35">
      <c r="A3448" s="52" t="s">
        <v>672</v>
      </c>
      <c r="B3448" s="52" t="s">
        <v>73</v>
      </c>
      <c r="C3448" s="52" t="s">
        <v>97</v>
      </c>
      <c r="D3448" s="52" t="s">
        <v>171</v>
      </c>
      <c r="E3448" s="52" t="s">
        <v>584</v>
      </c>
      <c r="F3448" s="52" t="s">
        <v>26</v>
      </c>
      <c r="G3448" s="195" t="s">
        <v>279</v>
      </c>
      <c r="H3448" s="195"/>
      <c r="I3448" s="195"/>
      <c r="J3448" s="195"/>
      <c r="K3448" s="195"/>
      <c r="L3448" s="195">
        <v>0</v>
      </c>
      <c r="M3448" s="195">
        <v>2.3699029999999999E-2</v>
      </c>
      <c r="N3448" s="195">
        <v>2.3699029999999999E-2</v>
      </c>
    </row>
    <row r="3449" spans="1:14" hidden="1" x14ac:dyDescent="0.35">
      <c r="A3449" s="52" t="s">
        <v>672</v>
      </c>
      <c r="B3449" s="52" t="s">
        <v>73</v>
      </c>
      <c r="C3449" s="52" t="s">
        <v>80</v>
      </c>
      <c r="D3449" s="52" t="s">
        <v>152</v>
      </c>
      <c r="E3449" s="52" t="s">
        <v>584</v>
      </c>
      <c r="F3449" s="52" t="s">
        <v>581</v>
      </c>
      <c r="G3449" s="195" t="s">
        <v>275</v>
      </c>
      <c r="H3449" s="195">
        <v>26.94125</v>
      </c>
      <c r="I3449" s="195">
        <v>7.2304880000000002</v>
      </c>
      <c r="J3449" s="195">
        <v>16.99221</v>
      </c>
      <c r="K3449" s="195">
        <v>16.71039</v>
      </c>
      <c r="L3449" s="195">
        <v>16.88139</v>
      </c>
      <c r="M3449" s="195">
        <v>13.41849</v>
      </c>
      <c r="N3449" s="195">
        <v>5.1569880000000001</v>
      </c>
    </row>
    <row r="3450" spans="1:14" hidden="1" x14ac:dyDescent="0.35">
      <c r="A3450" s="52" t="s">
        <v>672</v>
      </c>
      <c r="B3450" s="52" t="s">
        <v>73</v>
      </c>
      <c r="C3450" s="52" t="s">
        <v>80</v>
      </c>
      <c r="D3450" s="52" t="s">
        <v>152</v>
      </c>
      <c r="E3450" s="52" t="s">
        <v>584</v>
      </c>
      <c r="F3450" s="52" t="s">
        <v>581</v>
      </c>
      <c r="G3450" s="195" t="s">
        <v>276</v>
      </c>
      <c r="H3450" s="195">
        <v>105.5155</v>
      </c>
      <c r="I3450" s="195">
        <v>41.4664</v>
      </c>
      <c r="J3450" s="195">
        <v>25.658380000000001</v>
      </c>
      <c r="K3450" s="195">
        <v>39.204639999999998</v>
      </c>
      <c r="L3450" s="195">
        <v>48.084710000000001</v>
      </c>
      <c r="M3450" s="195">
        <v>44.719140000000003</v>
      </c>
      <c r="N3450" s="195">
        <v>36.174970000000002</v>
      </c>
    </row>
    <row r="3451" spans="1:14" hidden="1" x14ac:dyDescent="0.35">
      <c r="A3451" s="52" t="s">
        <v>672</v>
      </c>
      <c r="B3451" s="52" t="s">
        <v>73</v>
      </c>
      <c r="C3451" s="52" t="s">
        <v>80</v>
      </c>
      <c r="D3451" s="52" t="s">
        <v>152</v>
      </c>
      <c r="E3451" s="52" t="s">
        <v>584</v>
      </c>
      <c r="F3451" s="52" t="s">
        <v>581</v>
      </c>
      <c r="G3451" s="195" t="s">
        <v>277</v>
      </c>
      <c r="H3451" s="195">
        <v>6.0015479999999997</v>
      </c>
      <c r="I3451" s="195">
        <v>9.7894299999999994</v>
      </c>
      <c r="J3451" s="195">
        <v>0</v>
      </c>
      <c r="K3451" s="195">
        <v>3.5000000000000003E-2</v>
      </c>
      <c r="L3451" s="195">
        <v>0.45897379999999999</v>
      </c>
      <c r="M3451" s="195">
        <v>2.345628</v>
      </c>
      <c r="N3451" s="195">
        <v>9.0067599999999999</v>
      </c>
    </row>
    <row r="3452" spans="1:14" hidden="1" x14ac:dyDescent="0.35">
      <c r="A3452" s="52" t="s">
        <v>672</v>
      </c>
      <c r="B3452" s="52" t="s">
        <v>73</v>
      </c>
      <c r="C3452" s="52" t="s">
        <v>80</v>
      </c>
      <c r="D3452" s="52" t="s">
        <v>152</v>
      </c>
      <c r="E3452" s="52" t="s">
        <v>584</v>
      </c>
      <c r="F3452" s="52" t="s">
        <v>581</v>
      </c>
      <c r="G3452" s="195" t="s">
        <v>278</v>
      </c>
      <c r="H3452" s="195">
        <v>23.908339999999999</v>
      </c>
      <c r="I3452" s="195">
        <v>0.1319642</v>
      </c>
      <c r="J3452" s="195">
        <v>16.574259999999999</v>
      </c>
      <c r="K3452" s="195">
        <v>2.7471000000000001</v>
      </c>
      <c r="L3452" s="195">
        <v>3.6777690000000002E-2</v>
      </c>
      <c r="M3452" s="195">
        <v>7.5553590000000004E-2</v>
      </c>
      <c r="N3452" s="195">
        <v>4.5597230000000002E-2</v>
      </c>
    </row>
    <row r="3453" spans="1:14" hidden="1" x14ac:dyDescent="0.35">
      <c r="A3453" s="52" t="s">
        <v>672</v>
      </c>
      <c r="B3453" s="52" t="s">
        <v>73</v>
      </c>
      <c r="C3453" s="52" t="s">
        <v>80</v>
      </c>
      <c r="D3453" s="52" t="s">
        <v>152</v>
      </c>
      <c r="E3453" s="52" t="s">
        <v>584</v>
      </c>
      <c r="F3453" s="52" t="s">
        <v>581</v>
      </c>
      <c r="G3453" s="195" t="s">
        <v>279</v>
      </c>
      <c r="H3453" s="195">
        <v>7.7802179999999996</v>
      </c>
      <c r="I3453" s="195">
        <v>7.3829390000000004</v>
      </c>
      <c r="J3453" s="195">
        <v>9.8926309999999997</v>
      </c>
      <c r="K3453" s="195">
        <v>12.97667</v>
      </c>
      <c r="L3453" s="195">
        <v>15.573969999999999</v>
      </c>
      <c r="M3453" s="195">
        <v>14.66695</v>
      </c>
      <c r="N3453" s="195">
        <v>12.535209999999999</v>
      </c>
    </row>
    <row r="3454" spans="1:14" hidden="1" x14ac:dyDescent="0.35">
      <c r="A3454" s="52" t="s">
        <v>672</v>
      </c>
      <c r="B3454" s="52" t="s">
        <v>73</v>
      </c>
      <c r="C3454" s="52" t="s">
        <v>80</v>
      </c>
      <c r="D3454" s="52" t="s">
        <v>152</v>
      </c>
      <c r="E3454" s="52" t="s">
        <v>584</v>
      </c>
      <c r="F3454" s="52" t="s">
        <v>26</v>
      </c>
      <c r="G3454" s="195" t="s">
        <v>275</v>
      </c>
      <c r="H3454" s="195">
        <v>-52.453609999999998</v>
      </c>
      <c r="I3454" s="195">
        <v>-70.054550000000006</v>
      </c>
      <c r="J3454" s="195">
        <v>-11.596970000000001</v>
      </c>
      <c r="K3454" s="195">
        <v>43.52863</v>
      </c>
      <c r="L3454" s="195">
        <v>55.130920000000003</v>
      </c>
      <c r="M3454" s="195">
        <v>44.973350000000003</v>
      </c>
      <c r="N3454" s="195">
        <v>32.427720000000001</v>
      </c>
    </row>
    <row r="3455" spans="1:14" hidden="1" x14ac:dyDescent="0.35">
      <c r="A3455" s="52" t="s">
        <v>672</v>
      </c>
      <c r="B3455" s="52" t="s">
        <v>73</v>
      </c>
      <c r="C3455" s="52" t="s">
        <v>80</v>
      </c>
      <c r="D3455" s="52" t="s">
        <v>152</v>
      </c>
      <c r="E3455" s="52" t="s">
        <v>584</v>
      </c>
      <c r="F3455" s="52" t="s">
        <v>26</v>
      </c>
      <c r="G3455" s="195" t="s">
        <v>276</v>
      </c>
      <c r="H3455" s="195">
        <v>25.93328</v>
      </c>
      <c r="I3455" s="195">
        <v>-26.663869999999999</v>
      </c>
      <c r="J3455" s="195">
        <v>12.279019999999999</v>
      </c>
      <c r="K3455" s="195">
        <v>7.703633</v>
      </c>
      <c r="L3455" s="195">
        <v>56.527050000000003</v>
      </c>
      <c r="M3455" s="195">
        <v>45.051960000000001</v>
      </c>
      <c r="N3455" s="195">
        <v>26.027850000000001</v>
      </c>
    </row>
    <row r="3456" spans="1:14" hidden="1" x14ac:dyDescent="0.35">
      <c r="A3456" s="52" t="s">
        <v>672</v>
      </c>
      <c r="B3456" s="52" t="s">
        <v>73</v>
      </c>
      <c r="C3456" s="52" t="s">
        <v>80</v>
      </c>
      <c r="D3456" s="52" t="s">
        <v>152</v>
      </c>
      <c r="E3456" s="52" t="s">
        <v>584</v>
      </c>
      <c r="F3456" s="52" t="s">
        <v>26</v>
      </c>
      <c r="G3456" s="195" t="s">
        <v>277</v>
      </c>
      <c r="H3456" s="195">
        <v>88.311779999999999</v>
      </c>
      <c r="I3456" s="195">
        <v>111.83669999999999</v>
      </c>
      <c r="J3456" s="195">
        <v>79.737560000000002</v>
      </c>
      <c r="K3456" s="195">
        <v>27.97551</v>
      </c>
      <c r="L3456" s="195">
        <v>31.891909999999999</v>
      </c>
      <c r="M3456" s="195">
        <v>36.832500000000003</v>
      </c>
      <c r="N3456" s="195">
        <v>33.36092</v>
      </c>
    </row>
    <row r="3457" spans="1:14" hidden="1" x14ac:dyDescent="0.35">
      <c r="A3457" s="52" t="s">
        <v>672</v>
      </c>
      <c r="B3457" s="52" t="s">
        <v>73</v>
      </c>
      <c r="C3457" s="52" t="s">
        <v>80</v>
      </c>
      <c r="D3457" s="52" t="s">
        <v>152</v>
      </c>
      <c r="E3457" s="52" t="s">
        <v>584</v>
      </c>
      <c r="F3457" s="52" t="s">
        <v>26</v>
      </c>
      <c r="G3457" s="195" t="s">
        <v>278</v>
      </c>
      <c r="H3457" s="195">
        <v>9.6696509999999999E-2</v>
      </c>
      <c r="I3457" s="195">
        <v>7.6476939999999993E-2</v>
      </c>
      <c r="J3457" s="195">
        <v>0.1595152</v>
      </c>
      <c r="K3457" s="195">
        <v>3.6785779999999999</v>
      </c>
      <c r="L3457" s="195">
        <v>5.9852839999999997E-2</v>
      </c>
      <c r="M3457" s="195">
        <v>0.1157884</v>
      </c>
      <c r="N3457" s="195">
        <v>0.1157884</v>
      </c>
    </row>
    <row r="3458" spans="1:14" hidden="1" x14ac:dyDescent="0.35">
      <c r="A3458" s="52" t="s">
        <v>672</v>
      </c>
      <c r="B3458" s="52" t="s">
        <v>73</v>
      </c>
      <c r="C3458" s="52" t="s">
        <v>80</v>
      </c>
      <c r="D3458" s="52" t="s">
        <v>152</v>
      </c>
      <c r="E3458" s="52" t="s">
        <v>584</v>
      </c>
      <c r="F3458" s="52" t="s">
        <v>26</v>
      </c>
      <c r="G3458" s="195" t="s">
        <v>279</v>
      </c>
      <c r="H3458" s="195">
        <v>101.0889</v>
      </c>
      <c r="I3458" s="195">
        <v>103.8177</v>
      </c>
      <c r="J3458" s="195">
        <v>112.3626</v>
      </c>
      <c r="K3458" s="195">
        <v>106.7835</v>
      </c>
      <c r="L3458" s="195">
        <v>87.800179999999997</v>
      </c>
      <c r="M3458" s="195">
        <v>84.515339999999995</v>
      </c>
      <c r="N3458" s="195">
        <v>76.96472</v>
      </c>
    </row>
    <row r="3459" spans="1:14" hidden="1" x14ac:dyDescent="0.35">
      <c r="A3459" s="52" t="s">
        <v>672</v>
      </c>
      <c r="B3459" s="52" t="s">
        <v>73</v>
      </c>
      <c r="C3459" s="52" t="s">
        <v>80</v>
      </c>
      <c r="D3459" s="52" t="s">
        <v>347</v>
      </c>
      <c r="E3459" s="52" t="s">
        <v>584</v>
      </c>
      <c r="F3459" s="52" t="s">
        <v>581</v>
      </c>
      <c r="G3459" s="195" t="s">
        <v>275</v>
      </c>
      <c r="H3459" s="195">
        <v>-1.1648800000000001E-2</v>
      </c>
      <c r="I3459" s="195"/>
      <c r="J3459" s="195"/>
      <c r="K3459" s="195">
        <v>0</v>
      </c>
      <c r="L3459" s="195">
        <v>-0.238319</v>
      </c>
      <c r="M3459" s="195">
        <v>-4.1518550000000003</v>
      </c>
      <c r="N3459" s="195">
        <v>0.91239190000000003</v>
      </c>
    </row>
    <row r="3460" spans="1:14" hidden="1" x14ac:dyDescent="0.35">
      <c r="A3460" s="52" t="s">
        <v>672</v>
      </c>
      <c r="B3460" s="52" t="s">
        <v>73</v>
      </c>
      <c r="C3460" s="52" t="s">
        <v>80</v>
      </c>
      <c r="D3460" s="52" t="s">
        <v>347</v>
      </c>
      <c r="E3460" s="52" t="s">
        <v>584</v>
      </c>
      <c r="F3460" s="52" t="s">
        <v>581</v>
      </c>
      <c r="G3460" s="195" t="s">
        <v>276</v>
      </c>
      <c r="H3460" s="195">
        <v>-0.1062652</v>
      </c>
      <c r="I3460" s="195"/>
      <c r="J3460" s="195"/>
      <c r="K3460" s="195">
        <v>0</v>
      </c>
      <c r="L3460" s="195">
        <v>-0.19836119999999999</v>
      </c>
      <c r="M3460" s="195">
        <v>-0.98234370000000004</v>
      </c>
      <c r="N3460" s="195">
        <v>2.9742519999999999</v>
      </c>
    </row>
    <row r="3461" spans="1:14" hidden="1" x14ac:dyDescent="0.35">
      <c r="A3461" s="52" t="s">
        <v>672</v>
      </c>
      <c r="B3461" s="52" t="s">
        <v>73</v>
      </c>
      <c r="C3461" s="52" t="s">
        <v>80</v>
      </c>
      <c r="D3461" s="52" t="s">
        <v>347</v>
      </c>
      <c r="E3461" s="52" t="s">
        <v>584</v>
      </c>
      <c r="F3461" s="52" t="s">
        <v>581</v>
      </c>
      <c r="G3461" s="195" t="s">
        <v>277</v>
      </c>
      <c r="H3461" s="195"/>
      <c r="I3461" s="195"/>
      <c r="J3461" s="195"/>
      <c r="K3461" s="195">
        <v>0</v>
      </c>
      <c r="L3461" s="195">
        <v>0.22910929999999999</v>
      </c>
      <c r="M3461" s="195">
        <v>4.9265590000000001</v>
      </c>
      <c r="N3461" s="195">
        <v>1.2971950000000001</v>
      </c>
    </row>
    <row r="3462" spans="1:14" hidden="1" x14ac:dyDescent="0.35">
      <c r="A3462" s="52" t="s">
        <v>672</v>
      </c>
      <c r="B3462" s="52" t="s">
        <v>73</v>
      </c>
      <c r="C3462" s="52" t="s">
        <v>80</v>
      </c>
      <c r="D3462" s="52" t="s">
        <v>347</v>
      </c>
      <c r="E3462" s="52" t="s">
        <v>584</v>
      </c>
      <c r="F3462" s="52" t="s">
        <v>581</v>
      </c>
      <c r="G3462" s="195" t="s">
        <v>278</v>
      </c>
      <c r="H3462" s="195">
        <v>0.1179137</v>
      </c>
      <c r="I3462" s="195">
        <v>0</v>
      </c>
      <c r="J3462" s="195">
        <v>0</v>
      </c>
      <c r="K3462" s="195">
        <v>0</v>
      </c>
      <c r="L3462" s="195">
        <v>0</v>
      </c>
      <c r="M3462" s="195"/>
      <c r="N3462" s="195">
        <v>0</v>
      </c>
    </row>
    <row r="3463" spans="1:14" hidden="1" x14ac:dyDescent="0.35">
      <c r="A3463" s="52" t="s">
        <v>672</v>
      </c>
      <c r="B3463" s="52" t="s">
        <v>73</v>
      </c>
      <c r="C3463" s="52" t="s">
        <v>80</v>
      </c>
      <c r="D3463" s="52" t="s">
        <v>347</v>
      </c>
      <c r="E3463" s="52" t="s">
        <v>584</v>
      </c>
      <c r="F3463" s="52" t="s">
        <v>581</v>
      </c>
      <c r="G3463" s="195" t="s">
        <v>279</v>
      </c>
      <c r="H3463" s="195"/>
      <c r="I3463" s="195"/>
      <c r="J3463" s="195"/>
      <c r="K3463" s="195">
        <v>0</v>
      </c>
      <c r="L3463" s="195">
        <v>0.20757120000000001</v>
      </c>
      <c r="M3463" s="195">
        <v>0.20764050000000001</v>
      </c>
      <c r="N3463" s="195">
        <v>1.392881</v>
      </c>
    </row>
    <row r="3464" spans="1:14" hidden="1" x14ac:dyDescent="0.35">
      <c r="A3464" s="52" t="s">
        <v>672</v>
      </c>
      <c r="B3464" s="52" t="s">
        <v>73</v>
      </c>
      <c r="C3464" s="52" t="s">
        <v>80</v>
      </c>
      <c r="D3464" s="52" t="s">
        <v>347</v>
      </c>
      <c r="E3464" s="52" t="s">
        <v>584</v>
      </c>
      <c r="F3464" s="52" t="s">
        <v>26</v>
      </c>
      <c r="G3464" s="195" t="s">
        <v>275</v>
      </c>
      <c r="H3464" s="195">
        <v>-4.3269570000000002</v>
      </c>
      <c r="I3464" s="195">
        <v>-8.7182040000000001</v>
      </c>
      <c r="J3464" s="195">
        <v>0.76013980000000003</v>
      </c>
      <c r="K3464" s="195">
        <v>-1.2795110000000001</v>
      </c>
      <c r="L3464" s="195">
        <v>-13.06246</v>
      </c>
      <c r="M3464" s="195">
        <v>-59.647530000000003</v>
      </c>
      <c r="N3464" s="195">
        <v>-16.7561</v>
      </c>
    </row>
    <row r="3465" spans="1:14" hidden="1" x14ac:dyDescent="0.35">
      <c r="A3465" s="52" t="s">
        <v>672</v>
      </c>
      <c r="B3465" s="52" t="s">
        <v>73</v>
      </c>
      <c r="C3465" s="52" t="s">
        <v>80</v>
      </c>
      <c r="D3465" s="52" t="s">
        <v>347</v>
      </c>
      <c r="E3465" s="52" t="s">
        <v>584</v>
      </c>
      <c r="F3465" s="52" t="s">
        <v>26</v>
      </c>
      <c r="G3465" s="195" t="s">
        <v>276</v>
      </c>
      <c r="H3465" s="195">
        <v>-19.94584</v>
      </c>
      <c r="I3465" s="195">
        <v>-42.29495</v>
      </c>
      <c r="J3465" s="195">
        <v>-7.7762419999999999</v>
      </c>
      <c r="K3465" s="195">
        <v>-15.198499999999999</v>
      </c>
      <c r="L3465" s="195">
        <v>-12.9192</v>
      </c>
      <c r="M3465" s="195">
        <v>-31.351610000000001</v>
      </c>
      <c r="N3465" s="195">
        <v>-14.68187</v>
      </c>
    </row>
    <row r="3466" spans="1:14" hidden="1" x14ac:dyDescent="0.35">
      <c r="A3466" s="52" t="s">
        <v>672</v>
      </c>
      <c r="B3466" s="52" t="s">
        <v>73</v>
      </c>
      <c r="C3466" s="52" t="s">
        <v>80</v>
      </c>
      <c r="D3466" s="52" t="s">
        <v>347</v>
      </c>
      <c r="E3466" s="52" t="s">
        <v>584</v>
      </c>
      <c r="F3466" s="52" t="s">
        <v>26</v>
      </c>
      <c r="G3466" s="195" t="s">
        <v>277</v>
      </c>
      <c r="H3466" s="195"/>
      <c r="I3466" s="195">
        <v>0</v>
      </c>
      <c r="J3466" s="195">
        <v>0.25620749999999998</v>
      </c>
      <c r="K3466" s="195">
        <v>2.731932</v>
      </c>
      <c r="L3466" s="195">
        <v>16.349139999999998</v>
      </c>
      <c r="M3466" s="195">
        <v>76.69014</v>
      </c>
      <c r="N3466" s="195">
        <v>40.598660000000002</v>
      </c>
    </row>
    <row r="3467" spans="1:14" hidden="1" x14ac:dyDescent="0.35">
      <c r="A3467" s="52" t="s">
        <v>672</v>
      </c>
      <c r="B3467" s="52" t="s">
        <v>73</v>
      </c>
      <c r="C3467" s="52" t="s">
        <v>80</v>
      </c>
      <c r="D3467" s="52" t="s">
        <v>347</v>
      </c>
      <c r="E3467" s="52" t="s">
        <v>584</v>
      </c>
      <c r="F3467" s="52" t="s">
        <v>26</v>
      </c>
      <c r="G3467" s="195" t="s">
        <v>278</v>
      </c>
      <c r="H3467" s="195">
        <v>24.2728</v>
      </c>
      <c r="I3467" s="195">
        <v>51.013150000000003</v>
      </c>
      <c r="J3467" s="195">
        <v>6.7630910000000002</v>
      </c>
      <c r="K3467" s="195">
        <v>13.74766</v>
      </c>
      <c r="L3467" s="195">
        <v>9.3295709999999996</v>
      </c>
      <c r="M3467" s="195">
        <v>14.00583</v>
      </c>
      <c r="N3467" s="195">
        <v>0.36379660000000003</v>
      </c>
    </row>
    <row r="3468" spans="1:14" hidden="1" x14ac:dyDescent="0.35">
      <c r="A3468" s="52" t="s">
        <v>672</v>
      </c>
      <c r="B3468" s="52" t="s">
        <v>73</v>
      </c>
      <c r="C3468" s="52" t="s">
        <v>80</v>
      </c>
      <c r="D3468" s="52" t="s">
        <v>347</v>
      </c>
      <c r="E3468" s="52" t="s">
        <v>584</v>
      </c>
      <c r="F3468" s="52" t="s">
        <v>26</v>
      </c>
      <c r="G3468" s="195" t="s">
        <v>279</v>
      </c>
      <c r="H3468" s="195"/>
      <c r="I3468" s="195"/>
      <c r="J3468" s="195"/>
      <c r="K3468" s="195">
        <v>0</v>
      </c>
      <c r="L3468" s="195">
        <v>0.30295230000000001</v>
      </c>
      <c r="M3468" s="195">
        <v>0.30317830000000001</v>
      </c>
      <c r="N3468" s="195">
        <v>4.4242039999999996</v>
      </c>
    </row>
    <row r="3469" spans="1:14" hidden="1" x14ac:dyDescent="0.35">
      <c r="A3469" s="52" t="s">
        <v>672</v>
      </c>
      <c r="B3469" s="52" t="s">
        <v>73</v>
      </c>
      <c r="C3469" s="52" t="s">
        <v>80</v>
      </c>
      <c r="D3469" s="52" t="s">
        <v>345</v>
      </c>
      <c r="E3469" s="52" t="s">
        <v>584</v>
      </c>
      <c r="F3469" s="52" t="s">
        <v>581</v>
      </c>
      <c r="G3469" s="195" t="s">
        <v>275</v>
      </c>
      <c r="H3469" s="195">
        <v>-2.4978000000000001E-3</v>
      </c>
      <c r="I3469" s="195">
        <v>2.1840029999999999E-4</v>
      </c>
      <c r="J3469" s="195">
        <v>4.3086000000000001E-3</v>
      </c>
      <c r="K3469" s="195">
        <v>2.1318000000000001E-3</v>
      </c>
      <c r="L3469" s="195">
        <v>0</v>
      </c>
      <c r="M3469" s="195">
        <v>0</v>
      </c>
      <c r="N3469" s="195">
        <v>0</v>
      </c>
    </row>
    <row r="3470" spans="1:14" hidden="1" x14ac:dyDescent="0.35">
      <c r="A3470" s="52" t="s">
        <v>672</v>
      </c>
      <c r="B3470" s="52" t="s">
        <v>73</v>
      </c>
      <c r="C3470" s="52" t="s">
        <v>80</v>
      </c>
      <c r="D3470" s="52" t="s">
        <v>345</v>
      </c>
      <c r="E3470" s="52" t="s">
        <v>584</v>
      </c>
      <c r="F3470" s="52" t="s">
        <v>581</v>
      </c>
      <c r="G3470" s="195" t="s">
        <v>276</v>
      </c>
      <c r="H3470" s="195">
        <v>-5.0058600000000002E-2</v>
      </c>
      <c r="I3470" s="195">
        <v>-3.4550999999999998E-2</v>
      </c>
      <c r="J3470" s="195">
        <v>0</v>
      </c>
      <c r="K3470" s="195">
        <v>0</v>
      </c>
      <c r="L3470" s="195">
        <v>0</v>
      </c>
      <c r="M3470" s="195">
        <v>0</v>
      </c>
      <c r="N3470" s="195">
        <v>0</v>
      </c>
    </row>
    <row r="3471" spans="1:14" hidden="1" x14ac:dyDescent="0.35">
      <c r="A3471" s="52" t="s">
        <v>672</v>
      </c>
      <c r="B3471" s="52" t="s">
        <v>73</v>
      </c>
      <c r="C3471" s="52" t="s">
        <v>80</v>
      </c>
      <c r="D3471" s="52" t="s">
        <v>345</v>
      </c>
      <c r="E3471" s="52" t="s">
        <v>584</v>
      </c>
      <c r="F3471" s="52" t="s">
        <v>581</v>
      </c>
      <c r="G3471" s="195" t="s">
        <v>278</v>
      </c>
      <c r="H3471" s="195">
        <v>5.2556400000000003E-2</v>
      </c>
      <c r="I3471" s="195">
        <v>3.4333200000000001E-2</v>
      </c>
      <c r="J3471" s="195">
        <v>0</v>
      </c>
      <c r="K3471" s="195">
        <v>0</v>
      </c>
      <c r="L3471" s="195">
        <v>0</v>
      </c>
      <c r="M3471" s="195">
        <v>0</v>
      </c>
      <c r="N3471" s="195">
        <v>0</v>
      </c>
    </row>
    <row r="3472" spans="1:14" hidden="1" x14ac:dyDescent="0.35">
      <c r="A3472" s="52" t="s">
        <v>672</v>
      </c>
      <c r="B3472" s="52" t="s">
        <v>73</v>
      </c>
      <c r="C3472" s="52" t="s">
        <v>80</v>
      </c>
      <c r="D3472" s="52" t="s">
        <v>83</v>
      </c>
      <c r="E3472" s="52" t="s">
        <v>584</v>
      </c>
      <c r="F3472" s="52" t="s">
        <v>26</v>
      </c>
      <c r="G3472" s="195" t="s">
        <v>275</v>
      </c>
      <c r="H3472" s="195">
        <v>-1.2489000000000001E-3</v>
      </c>
      <c r="I3472" s="195">
        <v>3.3858E-3</v>
      </c>
      <c r="J3472" s="195">
        <v>2.1543000000000001E-3</v>
      </c>
      <c r="K3472" s="195">
        <v>-2.9267700000000001E-2</v>
      </c>
      <c r="L3472" s="195">
        <v>-2.459358E-2</v>
      </c>
      <c r="M3472" s="195">
        <v>1.14801E-2</v>
      </c>
      <c r="N3472" s="195">
        <v>-0.59519149999999998</v>
      </c>
    </row>
    <row r="3473" spans="1:14" hidden="1" x14ac:dyDescent="0.35">
      <c r="A3473" s="52" t="s">
        <v>672</v>
      </c>
      <c r="B3473" s="52" t="s">
        <v>73</v>
      </c>
      <c r="C3473" s="52" t="s">
        <v>80</v>
      </c>
      <c r="D3473" s="52" t="s">
        <v>83</v>
      </c>
      <c r="E3473" s="52" t="s">
        <v>584</v>
      </c>
      <c r="F3473" s="52" t="s">
        <v>26</v>
      </c>
      <c r="G3473" s="195" t="s">
        <v>276</v>
      </c>
      <c r="H3473" s="195">
        <v>-2.5029300000000001E-2</v>
      </c>
      <c r="I3473" s="195">
        <v>-3.3855000000000001E-3</v>
      </c>
      <c r="J3473" s="195">
        <v>-4.3080000000000001E-4</v>
      </c>
      <c r="K3473" s="195">
        <v>-5.9532600000000001E-3</v>
      </c>
      <c r="L3473" s="195">
        <v>-1.148004E-2</v>
      </c>
      <c r="M3473" s="195">
        <v>-1.148004E-2</v>
      </c>
      <c r="N3473" s="195">
        <v>-0.1262808</v>
      </c>
    </row>
    <row r="3474" spans="1:14" hidden="1" x14ac:dyDescent="0.35">
      <c r="A3474" s="52" t="s">
        <v>672</v>
      </c>
      <c r="B3474" s="52" t="s">
        <v>73</v>
      </c>
      <c r="C3474" s="52" t="s">
        <v>80</v>
      </c>
      <c r="D3474" s="52" t="s">
        <v>83</v>
      </c>
      <c r="E3474" s="52" t="s">
        <v>584</v>
      </c>
      <c r="F3474" s="52" t="s">
        <v>26</v>
      </c>
      <c r="G3474" s="195" t="s">
        <v>277</v>
      </c>
      <c r="H3474" s="195"/>
      <c r="I3474" s="195"/>
      <c r="J3474" s="195">
        <v>0</v>
      </c>
      <c r="K3474" s="195">
        <v>3.6073620000000001E-2</v>
      </c>
      <c r="L3474" s="195">
        <v>3.6073620000000001E-2</v>
      </c>
      <c r="M3474" s="195">
        <v>0</v>
      </c>
      <c r="N3474" s="195">
        <v>0.72147229999999996</v>
      </c>
    </row>
    <row r="3475" spans="1:14" hidden="1" x14ac:dyDescent="0.35">
      <c r="A3475" s="52" t="s">
        <v>672</v>
      </c>
      <c r="B3475" s="52" t="s">
        <v>73</v>
      </c>
      <c r="C3475" s="52" t="s">
        <v>80</v>
      </c>
      <c r="D3475" s="52" t="s">
        <v>83</v>
      </c>
      <c r="E3475" s="52" t="s">
        <v>584</v>
      </c>
      <c r="F3475" s="52" t="s">
        <v>26</v>
      </c>
      <c r="G3475" s="195" t="s">
        <v>278</v>
      </c>
      <c r="H3475" s="195">
        <v>2.6278200000000002E-2</v>
      </c>
      <c r="I3475" s="195">
        <v>0</v>
      </c>
      <c r="J3475" s="195"/>
      <c r="K3475" s="195"/>
      <c r="L3475" s="195"/>
      <c r="M3475" s="195"/>
      <c r="N3475" s="195"/>
    </row>
    <row r="3476" spans="1:14" hidden="1" x14ac:dyDescent="0.35">
      <c r="A3476" s="52" t="s">
        <v>672</v>
      </c>
      <c r="B3476" s="52" t="s">
        <v>73</v>
      </c>
      <c r="C3476" s="52" t="s">
        <v>80</v>
      </c>
      <c r="D3476" s="52" t="s">
        <v>83</v>
      </c>
      <c r="E3476" s="52" t="s">
        <v>584</v>
      </c>
      <c r="F3476" s="52" t="s">
        <v>26</v>
      </c>
      <c r="G3476" s="195" t="s">
        <v>279</v>
      </c>
      <c r="H3476" s="195"/>
      <c r="I3476" s="195"/>
      <c r="J3476" s="195"/>
      <c r="K3476" s="195"/>
      <c r="L3476" s="195"/>
      <c r="M3476" s="195"/>
      <c r="N3476" s="195">
        <v>0</v>
      </c>
    </row>
    <row r="3477" spans="1:14" hidden="1" x14ac:dyDescent="0.35">
      <c r="A3477" s="52" t="s">
        <v>672</v>
      </c>
      <c r="B3477" s="52" t="s">
        <v>73</v>
      </c>
      <c r="C3477" s="52" t="s">
        <v>80</v>
      </c>
      <c r="D3477" s="52" t="s">
        <v>346</v>
      </c>
      <c r="E3477" s="52" t="s">
        <v>584</v>
      </c>
      <c r="F3477" s="52" t="s">
        <v>581</v>
      </c>
      <c r="G3477" s="195" t="s">
        <v>275</v>
      </c>
      <c r="H3477" s="195">
        <v>-1.241841</v>
      </c>
      <c r="I3477" s="195">
        <v>0.28047879999999997</v>
      </c>
      <c r="J3477" s="195">
        <v>0.27869100000000002</v>
      </c>
      <c r="K3477" s="195">
        <v>0.2788506</v>
      </c>
      <c r="L3477" s="195">
        <v>-2.24946E-2</v>
      </c>
      <c r="M3477" s="195">
        <v>-2.2671400000000001E-2</v>
      </c>
      <c r="N3477" s="195">
        <v>2.408E-3</v>
      </c>
    </row>
    <row r="3478" spans="1:14" hidden="1" x14ac:dyDescent="0.35">
      <c r="A3478" s="52" t="s">
        <v>672</v>
      </c>
      <c r="B3478" s="52" t="s">
        <v>73</v>
      </c>
      <c r="C3478" s="52" t="s">
        <v>80</v>
      </c>
      <c r="D3478" s="52" t="s">
        <v>346</v>
      </c>
      <c r="E3478" s="52" t="s">
        <v>584</v>
      </c>
      <c r="F3478" s="52" t="s">
        <v>581</v>
      </c>
      <c r="G3478" s="195" t="s">
        <v>276</v>
      </c>
      <c r="H3478" s="195">
        <v>-5.70364</v>
      </c>
      <c r="I3478" s="195">
        <v>-0.30254320000000001</v>
      </c>
      <c r="J3478" s="195">
        <v>-0.30519639999999998</v>
      </c>
      <c r="K3478" s="195">
        <v>-0.3012338</v>
      </c>
      <c r="L3478" s="195">
        <v>-2.2236599999999999E-2</v>
      </c>
      <c r="M3478" s="195">
        <v>-4.3232E-2</v>
      </c>
      <c r="N3478" s="195">
        <v>-4.3661600000000002E-2</v>
      </c>
    </row>
    <row r="3479" spans="1:14" hidden="1" x14ac:dyDescent="0.35">
      <c r="A3479" s="52" t="s">
        <v>672</v>
      </c>
      <c r="B3479" s="52" t="s">
        <v>73</v>
      </c>
      <c r="C3479" s="52" t="s">
        <v>80</v>
      </c>
      <c r="D3479" s="52" t="s">
        <v>346</v>
      </c>
      <c r="E3479" s="52" t="s">
        <v>584</v>
      </c>
      <c r="F3479" s="52" t="s">
        <v>581</v>
      </c>
      <c r="G3479" s="195" t="s">
        <v>277</v>
      </c>
      <c r="H3479" s="195"/>
      <c r="I3479" s="195"/>
      <c r="J3479" s="195"/>
      <c r="K3479" s="195">
        <v>0</v>
      </c>
      <c r="L3479" s="195">
        <v>2.4649999999999998E-2</v>
      </c>
      <c r="M3479" s="195">
        <v>2.4649999999999998E-2</v>
      </c>
      <c r="N3479" s="195">
        <v>0</v>
      </c>
    </row>
    <row r="3480" spans="1:14" hidden="1" x14ac:dyDescent="0.35">
      <c r="A3480" s="52" t="s">
        <v>672</v>
      </c>
      <c r="B3480" s="52" t="s">
        <v>73</v>
      </c>
      <c r="C3480" s="52" t="s">
        <v>80</v>
      </c>
      <c r="D3480" s="52" t="s">
        <v>346</v>
      </c>
      <c r="E3480" s="52" t="s">
        <v>584</v>
      </c>
      <c r="F3480" s="52" t="s">
        <v>581</v>
      </c>
      <c r="G3480" s="195" t="s">
        <v>278</v>
      </c>
      <c r="H3480" s="195">
        <v>6.945481</v>
      </c>
      <c r="I3480" s="195">
        <v>2.2064400000000001E-2</v>
      </c>
      <c r="J3480" s="195">
        <v>2.6505399999999998E-2</v>
      </c>
      <c r="K3480" s="195">
        <v>2.2383199999999999E-2</v>
      </c>
      <c r="L3480" s="195">
        <v>2.00812E-2</v>
      </c>
      <c r="M3480" s="195">
        <v>4.1253600000000001E-2</v>
      </c>
      <c r="N3480" s="195">
        <v>4.1253600000000001E-2</v>
      </c>
    </row>
    <row r="3481" spans="1:14" hidden="1" x14ac:dyDescent="0.35">
      <c r="A3481" s="52" t="s">
        <v>672</v>
      </c>
      <c r="B3481" s="52" t="s">
        <v>73</v>
      </c>
      <c r="C3481" s="52" t="s">
        <v>80</v>
      </c>
      <c r="D3481" s="52" t="s">
        <v>346</v>
      </c>
      <c r="E3481" s="52" t="s">
        <v>584</v>
      </c>
      <c r="F3481" s="52" t="s">
        <v>26</v>
      </c>
      <c r="G3481" s="195" t="s">
        <v>275</v>
      </c>
      <c r="H3481" s="195">
        <v>-4.1100000000000002E-4</v>
      </c>
      <c r="I3481" s="195">
        <v>3.6000039999999997E-5</v>
      </c>
      <c r="J3481" s="195">
        <v>0</v>
      </c>
      <c r="K3481" s="195">
        <v>0</v>
      </c>
      <c r="L3481" s="195">
        <v>0</v>
      </c>
      <c r="M3481" s="195">
        <v>0</v>
      </c>
      <c r="N3481" s="195">
        <v>0</v>
      </c>
    </row>
    <row r="3482" spans="1:14" hidden="1" x14ac:dyDescent="0.35">
      <c r="A3482" s="52" t="s">
        <v>672</v>
      </c>
      <c r="B3482" s="52" t="s">
        <v>73</v>
      </c>
      <c r="C3482" s="52" t="s">
        <v>80</v>
      </c>
      <c r="D3482" s="52" t="s">
        <v>346</v>
      </c>
      <c r="E3482" s="52" t="s">
        <v>584</v>
      </c>
      <c r="F3482" s="52" t="s">
        <v>26</v>
      </c>
      <c r="G3482" s="195" t="s">
        <v>276</v>
      </c>
      <c r="H3482" s="195">
        <v>-8.2378499999999997E-3</v>
      </c>
      <c r="I3482" s="195">
        <v>-5.6857499999999998E-3</v>
      </c>
      <c r="J3482" s="195">
        <v>-6.7872000000000002E-3</v>
      </c>
      <c r="K3482" s="195">
        <v>-5.7314999999999996E-3</v>
      </c>
      <c r="L3482" s="195">
        <v>-5.1422999999999998E-3</v>
      </c>
      <c r="M3482" s="195">
        <v>-1.6000799999999999E-2</v>
      </c>
      <c r="N3482" s="195">
        <v>-1.6000799999999999E-2</v>
      </c>
    </row>
    <row r="3483" spans="1:14" hidden="1" x14ac:dyDescent="0.35">
      <c r="A3483" s="52" t="s">
        <v>672</v>
      </c>
      <c r="B3483" s="52" t="s">
        <v>73</v>
      </c>
      <c r="C3483" s="52" t="s">
        <v>80</v>
      </c>
      <c r="D3483" s="52" t="s">
        <v>346</v>
      </c>
      <c r="E3483" s="52" t="s">
        <v>584</v>
      </c>
      <c r="F3483" s="52" t="s">
        <v>26</v>
      </c>
      <c r="G3483" s="195" t="s">
        <v>277</v>
      </c>
      <c r="H3483" s="195"/>
      <c r="I3483" s="195"/>
      <c r="J3483" s="195"/>
      <c r="K3483" s="195"/>
      <c r="L3483" s="195">
        <v>0</v>
      </c>
      <c r="M3483" s="195">
        <v>5.4374999999999996E-3</v>
      </c>
      <c r="N3483" s="195">
        <v>5.437501E-3</v>
      </c>
    </row>
    <row r="3484" spans="1:14" hidden="1" x14ac:dyDescent="0.35">
      <c r="A3484" s="52" t="s">
        <v>672</v>
      </c>
      <c r="B3484" s="52" t="s">
        <v>73</v>
      </c>
      <c r="C3484" s="52" t="s">
        <v>80</v>
      </c>
      <c r="D3484" s="52" t="s">
        <v>346</v>
      </c>
      <c r="E3484" s="52" t="s">
        <v>584</v>
      </c>
      <c r="F3484" s="52" t="s">
        <v>26</v>
      </c>
      <c r="G3484" s="195" t="s">
        <v>278</v>
      </c>
      <c r="H3484" s="195">
        <v>8.6488499999999996E-3</v>
      </c>
      <c r="I3484" s="195">
        <v>5.6499009999999997E-3</v>
      </c>
      <c r="J3484" s="195">
        <v>6.7870500000000002E-3</v>
      </c>
      <c r="K3484" s="195">
        <v>5.7314999999999996E-3</v>
      </c>
      <c r="L3484" s="195">
        <v>5.1421499999999998E-3</v>
      </c>
      <c r="M3484" s="195">
        <v>1.0563599999999999E-2</v>
      </c>
      <c r="N3484" s="195">
        <v>1.0563599999999999E-2</v>
      </c>
    </row>
    <row r="3485" spans="1:14" hidden="1" x14ac:dyDescent="0.35">
      <c r="A3485" s="52" t="s">
        <v>672</v>
      </c>
      <c r="B3485" s="52" t="s">
        <v>73</v>
      </c>
      <c r="C3485" s="52" t="s">
        <v>80</v>
      </c>
      <c r="D3485" s="52" t="s">
        <v>81</v>
      </c>
      <c r="E3485" s="52" t="s">
        <v>584</v>
      </c>
      <c r="F3485" s="52" t="s">
        <v>581</v>
      </c>
      <c r="G3485" s="195" t="s">
        <v>275</v>
      </c>
      <c r="H3485" s="195">
        <v>-3.1823999999999998E-2</v>
      </c>
      <c r="I3485" s="195"/>
      <c r="J3485" s="195"/>
      <c r="K3485" s="195"/>
      <c r="L3485" s="195">
        <v>0</v>
      </c>
      <c r="M3485" s="195"/>
      <c r="N3485" s="195"/>
    </row>
    <row r="3486" spans="1:14" hidden="1" x14ac:dyDescent="0.35">
      <c r="A3486" s="52" t="s">
        <v>672</v>
      </c>
      <c r="B3486" s="52" t="s">
        <v>73</v>
      </c>
      <c r="C3486" s="52" t="s">
        <v>80</v>
      </c>
      <c r="D3486" s="52" t="s">
        <v>81</v>
      </c>
      <c r="E3486" s="52" t="s">
        <v>584</v>
      </c>
      <c r="F3486" s="52" t="s">
        <v>581</v>
      </c>
      <c r="G3486" s="195" t="s">
        <v>276</v>
      </c>
      <c r="H3486" s="195">
        <v>-0.14552699999999999</v>
      </c>
      <c r="I3486" s="195"/>
      <c r="J3486" s="195"/>
      <c r="K3486" s="195"/>
      <c r="L3486" s="195">
        <v>0</v>
      </c>
      <c r="M3486" s="195"/>
      <c r="N3486" s="195"/>
    </row>
    <row r="3487" spans="1:14" hidden="1" x14ac:dyDescent="0.35">
      <c r="A3487" s="52" t="s">
        <v>672</v>
      </c>
      <c r="B3487" s="52" t="s">
        <v>73</v>
      </c>
      <c r="C3487" s="52" t="s">
        <v>80</v>
      </c>
      <c r="D3487" s="52" t="s">
        <v>81</v>
      </c>
      <c r="E3487" s="52" t="s">
        <v>584</v>
      </c>
      <c r="F3487" s="52" t="s">
        <v>581</v>
      </c>
      <c r="G3487" s="195" t="s">
        <v>277</v>
      </c>
      <c r="H3487" s="195"/>
      <c r="I3487" s="195"/>
      <c r="J3487" s="195"/>
      <c r="K3487" s="195">
        <v>0</v>
      </c>
      <c r="L3487" s="195"/>
      <c r="M3487" s="195"/>
      <c r="N3487" s="195">
        <v>0</v>
      </c>
    </row>
    <row r="3488" spans="1:14" hidden="1" x14ac:dyDescent="0.35">
      <c r="A3488" s="52" t="s">
        <v>672</v>
      </c>
      <c r="B3488" s="52" t="s">
        <v>73</v>
      </c>
      <c r="C3488" s="52" t="s">
        <v>80</v>
      </c>
      <c r="D3488" s="52" t="s">
        <v>81</v>
      </c>
      <c r="E3488" s="52" t="s">
        <v>584</v>
      </c>
      <c r="F3488" s="52" t="s">
        <v>581</v>
      </c>
      <c r="G3488" s="195" t="s">
        <v>278</v>
      </c>
      <c r="H3488" s="195">
        <v>0.1773516</v>
      </c>
      <c r="I3488" s="195">
        <v>0</v>
      </c>
      <c r="J3488" s="195"/>
      <c r="K3488" s="195">
        <v>0</v>
      </c>
      <c r="L3488" s="195"/>
      <c r="M3488" s="195"/>
      <c r="N3488" s="195"/>
    </row>
    <row r="3489" spans="1:14" hidden="1" x14ac:dyDescent="0.35">
      <c r="A3489" s="52" t="s">
        <v>672</v>
      </c>
      <c r="B3489" s="52" t="s">
        <v>73</v>
      </c>
      <c r="C3489" s="52" t="s">
        <v>80</v>
      </c>
      <c r="D3489" s="52" t="s">
        <v>81</v>
      </c>
      <c r="E3489" s="52" t="s">
        <v>584</v>
      </c>
      <c r="F3489" s="52" t="s">
        <v>26</v>
      </c>
      <c r="G3489" s="195" t="s">
        <v>275</v>
      </c>
      <c r="H3489" s="195">
        <v>-2.0260799999999999E-2</v>
      </c>
      <c r="I3489" s="195">
        <v>-3.3754810000000002</v>
      </c>
      <c r="J3489" s="195">
        <v>0</v>
      </c>
      <c r="K3489" s="195">
        <v>0</v>
      </c>
      <c r="L3489" s="195">
        <v>0</v>
      </c>
      <c r="M3489" s="195">
        <v>0</v>
      </c>
      <c r="N3489" s="195">
        <v>0</v>
      </c>
    </row>
    <row r="3490" spans="1:14" hidden="1" x14ac:dyDescent="0.35">
      <c r="A3490" s="52" t="s">
        <v>672</v>
      </c>
      <c r="B3490" s="52" t="s">
        <v>73</v>
      </c>
      <c r="C3490" s="52" t="s">
        <v>80</v>
      </c>
      <c r="D3490" s="52" t="s">
        <v>81</v>
      </c>
      <c r="E3490" s="52" t="s">
        <v>584</v>
      </c>
      <c r="F3490" s="52" t="s">
        <v>26</v>
      </c>
      <c r="G3490" s="195" t="s">
        <v>276</v>
      </c>
      <c r="H3490" s="195">
        <v>-9.2651399999999995E-2</v>
      </c>
      <c r="I3490" s="195">
        <v>-14.36999</v>
      </c>
      <c r="J3490" s="195">
        <v>-3.9340350000000002</v>
      </c>
      <c r="K3490" s="195">
        <v>-0.1923589</v>
      </c>
      <c r="L3490" s="195">
        <v>-0.18997620000000001</v>
      </c>
      <c r="M3490" s="195">
        <v>-0.3719268</v>
      </c>
      <c r="N3490" s="195">
        <v>-0.35452620000000001</v>
      </c>
    </row>
    <row r="3491" spans="1:14" hidden="1" x14ac:dyDescent="0.35">
      <c r="A3491" s="52" t="s">
        <v>672</v>
      </c>
      <c r="B3491" s="52" t="s">
        <v>73</v>
      </c>
      <c r="C3491" s="52" t="s">
        <v>80</v>
      </c>
      <c r="D3491" s="52" t="s">
        <v>81</v>
      </c>
      <c r="E3491" s="52" t="s">
        <v>584</v>
      </c>
      <c r="F3491" s="52" t="s">
        <v>26</v>
      </c>
      <c r="G3491" s="195" t="s">
        <v>277</v>
      </c>
      <c r="H3491" s="195"/>
      <c r="I3491" s="195"/>
      <c r="J3491" s="195"/>
      <c r="K3491" s="195">
        <v>0</v>
      </c>
      <c r="L3491" s="195">
        <v>1.7399999999999999E-2</v>
      </c>
      <c r="M3491" s="195">
        <v>1.7399999999999999E-2</v>
      </c>
      <c r="N3491" s="195">
        <v>0</v>
      </c>
    </row>
    <row r="3492" spans="1:14" hidden="1" x14ac:dyDescent="0.35">
      <c r="A3492" s="52" t="s">
        <v>672</v>
      </c>
      <c r="B3492" s="52" t="s">
        <v>73</v>
      </c>
      <c r="C3492" s="52" t="s">
        <v>80</v>
      </c>
      <c r="D3492" s="52" t="s">
        <v>81</v>
      </c>
      <c r="E3492" s="52" t="s">
        <v>584</v>
      </c>
      <c r="F3492" s="52" t="s">
        <v>26</v>
      </c>
      <c r="G3492" s="195" t="s">
        <v>278</v>
      </c>
      <c r="H3492" s="195">
        <v>0.1129122</v>
      </c>
      <c r="I3492" s="195">
        <v>17.745470000000001</v>
      </c>
      <c r="J3492" s="195">
        <v>3.934034</v>
      </c>
      <c r="K3492" s="195">
        <v>0.19235820000000001</v>
      </c>
      <c r="L3492" s="195">
        <v>0.1725756</v>
      </c>
      <c r="M3492" s="195">
        <v>0.35452679999999998</v>
      </c>
      <c r="N3492" s="195">
        <v>0.35452679999999998</v>
      </c>
    </row>
    <row r="3493" spans="1:14" hidden="1" x14ac:dyDescent="0.35">
      <c r="A3493" s="52" t="s">
        <v>672</v>
      </c>
      <c r="B3493" s="52" t="s">
        <v>73</v>
      </c>
      <c r="C3493" s="52" t="s">
        <v>155</v>
      </c>
      <c r="D3493" s="52" t="s">
        <v>155</v>
      </c>
      <c r="E3493" s="52" t="s">
        <v>584</v>
      </c>
      <c r="F3493" s="52" t="s">
        <v>581</v>
      </c>
      <c r="G3493" s="195" t="s">
        <v>275</v>
      </c>
      <c r="H3493" s="195">
        <v>9.2327460000000006</v>
      </c>
      <c r="I3493" s="195">
        <v>22.412179999999999</v>
      </c>
      <c r="J3493" s="195">
        <v>18.322559999999999</v>
      </c>
      <c r="K3493" s="195">
        <v>14.044</v>
      </c>
      <c r="L3493" s="195">
        <v>9.8077020000000008</v>
      </c>
      <c r="M3493" s="195">
        <v>1.988332</v>
      </c>
      <c r="N3493" s="195">
        <v>0.1028469</v>
      </c>
    </row>
    <row r="3494" spans="1:14" hidden="1" x14ac:dyDescent="0.35">
      <c r="A3494" s="52" t="s">
        <v>672</v>
      </c>
      <c r="B3494" s="52" t="s">
        <v>73</v>
      </c>
      <c r="C3494" s="52" t="s">
        <v>155</v>
      </c>
      <c r="D3494" s="52" t="s">
        <v>155</v>
      </c>
      <c r="E3494" s="52" t="s">
        <v>584</v>
      </c>
      <c r="F3494" s="52" t="s">
        <v>581</v>
      </c>
      <c r="G3494" s="195" t="s">
        <v>276</v>
      </c>
      <c r="H3494" s="195">
        <v>9.0977209999999999</v>
      </c>
      <c r="I3494" s="195">
        <v>13.58001</v>
      </c>
      <c r="J3494" s="195">
        <v>1.82223</v>
      </c>
      <c r="K3494" s="195">
        <v>-9.6099180000000004</v>
      </c>
      <c r="L3494" s="195">
        <v>-5.3262099999999997</v>
      </c>
      <c r="M3494" s="195">
        <v>0.99785999999999997</v>
      </c>
      <c r="N3494" s="195">
        <v>1.141197</v>
      </c>
    </row>
    <row r="3495" spans="1:14" hidden="1" x14ac:dyDescent="0.35">
      <c r="A3495" s="52" t="s">
        <v>672</v>
      </c>
      <c r="B3495" s="52" t="s">
        <v>73</v>
      </c>
      <c r="C3495" s="52" t="s">
        <v>155</v>
      </c>
      <c r="D3495" s="52" t="s">
        <v>155</v>
      </c>
      <c r="E3495" s="52" t="s">
        <v>584</v>
      </c>
      <c r="F3495" s="52" t="s">
        <v>581</v>
      </c>
      <c r="G3495" s="195" t="s">
        <v>277</v>
      </c>
      <c r="H3495" s="195">
        <v>11.915419999999999</v>
      </c>
      <c r="I3495" s="195">
        <v>0</v>
      </c>
      <c r="J3495" s="195">
        <v>0</v>
      </c>
      <c r="K3495" s="195">
        <v>0.31900000000000001</v>
      </c>
      <c r="L3495" s="195">
        <v>0.4717692</v>
      </c>
      <c r="M3495" s="195">
        <v>0.4821764</v>
      </c>
      <c r="N3495" s="195">
        <v>0.53429099999999996</v>
      </c>
    </row>
    <row r="3496" spans="1:14" hidden="1" x14ac:dyDescent="0.35">
      <c r="A3496" s="52" t="s">
        <v>672</v>
      </c>
      <c r="B3496" s="52" t="s">
        <v>73</v>
      </c>
      <c r="C3496" s="52" t="s">
        <v>155</v>
      </c>
      <c r="D3496" s="52" t="s">
        <v>155</v>
      </c>
      <c r="E3496" s="52" t="s">
        <v>584</v>
      </c>
      <c r="F3496" s="52" t="s">
        <v>581</v>
      </c>
      <c r="G3496" s="195" t="s">
        <v>278</v>
      </c>
      <c r="H3496" s="195">
        <v>6.1574410000000004</v>
      </c>
      <c r="I3496" s="195">
        <v>0.15054699999999999</v>
      </c>
      <c r="J3496" s="195">
        <v>0.18084839999999999</v>
      </c>
      <c r="K3496" s="195">
        <v>3.7393079999999999</v>
      </c>
      <c r="L3496" s="195">
        <v>0.7801148</v>
      </c>
      <c r="M3496" s="195">
        <v>4.6371950000000002E-2</v>
      </c>
      <c r="N3496" s="195">
        <v>4.6371950000000002E-2</v>
      </c>
    </row>
    <row r="3497" spans="1:14" hidden="1" x14ac:dyDescent="0.35">
      <c r="A3497" s="52" t="s">
        <v>672</v>
      </c>
      <c r="B3497" s="52" t="s">
        <v>73</v>
      </c>
      <c r="C3497" s="52" t="s">
        <v>155</v>
      </c>
      <c r="D3497" s="52" t="s">
        <v>155</v>
      </c>
      <c r="E3497" s="52" t="s">
        <v>584</v>
      </c>
      <c r="F3497" s="52" t="s">
        <v>581</v>
      </c>
      <c r="G3497" s="195" t="s">
        <v>279</v>
      </c>
      <c r="H3497" s="195">
        <v>3.8032270000000001</v>
      </c>
      <c r="I3497" s="195">
        <v>6.4389719999999997</v>
      </c>
      <c r="J3497" s="195">
        <v>4.558897</v>
      </c>
      <c r="K3497" s="195">
        <v>3.8119480000000001</v>
      </c>
      <c r="L3497" s="195">
        <v>3.2733840000000001</v>
      </c>
      <c r="M3497" s="195">
        <v>2.821431</v>
      </c>
      <c r="N3497" s="195">
        <v>2.4876640000000001</v>
      </c>
    </row>
    <row r="3498" spans="1:14" hidden="1" x14ac:dyDescent="0.35">
      <c r="A3498" s="52" t="s">
        <v>672</v>
      </c>
      <c r="B3498" s="52" t="s">
        <v>73</v>
      </c>
      <c r="C3498" s="52" t="s">
        <v>155</v>
      </c>
      <c r="D3498" s="52" t="s">
        <v>155</v>
      </c>
      <c r="E3498" s="52" t="s">
        <v>584</v>
      </c>
      <c r="F3498" s="52" t="s">
        <v>26</v>
      </c>
      <c r="G3498" s="195" t="s">
        <v>275</v>
      </c>
      <c r="H3498" s="195">
        <v>-0.13614399999999999</v>
      </c>
      <c r="I3498" s="195">
        <v>1.7134739999999999E-2</v>
      </c>
      <c r="J3498" s="195">
        <v>0.3167721</v>
      </c>
      <c r="K3498" s="195">
        <v>0.20045460000000001</v>
      </c>
      <c r="L3498" s="195">
        <v>0.13731109999999999</v>
      </c>
      <c r="M3498" s="195">
        <v>9.1190320000000005E-2</v>
      </c>
      <c r="N3498" s="195">
        <v>4.5022710000000001E-2</v>
      </c>
    </row>
    <row r="3499" spans="1:14" hidden="1" x14ac:dyDescent="0.35">
      <c r="A3499" s="52" t="s">
        <v>672</v>
      </c>
      <c r="B3499" s="52" t="s">
        <v>73</v>
      </c>
      <c r="C3499" s="52" t="s">
        <v>155</v>
      </c>
      <c r="D3499" s="52" t="s">
        <v>155</v>
      </c>
      <c r="E3499" s="52" t="s">
        <v>584</v>
      </c>
      <c r="F3499" s="52" t="s">
        <v>26</v>
      </c>
      <c r="G3499" s="195" t="s">
        <v>276</v>
      </c>
      <c r="H3499" s="195">
        <v>-0.12894710000000001</v>
      </c>
      <c r="I3499" s="195">
        <v>-0.13811000000000001</v>
      </c>
      <c r="J3499" s="195">
        <v>0.60976889999999995</v>
      </c>
      <c r="K3499" s="195">
        <v>0.22198270000000001</v>
      </c>
      <c r="L3499" s="195">
        <v>0.16766439999999999</v>
      </c>
      <c r="M3499" s="195">
        <v>0.1218954</v>
      </c>
      <c r="N3499" s="195">
        <v>9.8219870000000001E-2</v>
      </c>
    </row>
    <row r="3500" spans="1:14" hidden="1" x14ac:dyDescent="0.35">
      <c r="A3500" s="52" t="s">
        <v>672</v>
      </c>
      <c r="B3500" s="52" t="s">
        <v>73</v>
      </c>
      <c r="C3500" s="52" t="s">
        <v>155</v>
      </c>
      <c r="D3500" s="52" t="s">
        <v>155</v>
      </c>
      <c r="E3500" s="52" t="s">
        <v>584</v>
      </c>
      <c r="F3500" s="52" t="s">
        <v>26</v>
      </c>
      <c r="G3500" s="195" t="s">
        <v>277</v>
      </c>
      <c r="H3500" s="195">
        <v>0.2377087</v>
      </c>
      <c r="I3500" s="195">
        <v>0.1018752</v>
      </c>
      <c r="J3500" s="195">
        <v>0</v>
      </c>
      <c r="K3500" s="195"/>
      <c r="L3500" s="195"/>
      <c r="M3500" s="195"/>
      <c r="N3500" s="195">
        <v>0</v>
      </c>
    </row>
    <row r="3501" spans="1:14" hidden="1" x14ac:dyDescent="0.35">
      <c r="A3501" s="52" t="s">
        <v>672</v>
      </c>
      <c r="B3501" s="52" t="s">
        <v>73</v>
      </c>
      <c r="C3501" s="52" t="s">
        <v>155</v>
      </c>
      <c r="D3501" s="52" t="s">
        <v>155</v>
      </c>
      <c r="E3501" s="52" t="s">
        <v>584</v>
      </c>
      <c r="F3501" s="52" t="s">
        <v>26</v>
      </c>
      <c r="G3501" s="195" t="s">
        <v>278</v>
      </c>
      <c r="H3501" s="195">
        <v>2.3889500000000001E-2</v>
      </c>
      <c r="I3501" s="195">
        <v>1.5606E-2</v>
      </c>
      <c r="J3501" s="195">
        <v>0</v>
      </c>
      <c r="K3501" s="195">
        <v>0</v>
      </c>
      <c r="L3501" s="195">
        <v>0</v>
      </c>
      <c r="M3501" s="195">
        <v>0</v>
      </c>
      <c r="N3501" s="195">
        <v>0</v>
      </c>
    </row>
    <row r="3502" spans="1:14" hidden="1" x14ac:dyDescent="0.35">
      <c r="A3502" s="52" t="s">
        <v>672</v>
      </c>
      <c r="B3502" s="52" t="s">
        <v>73</v>
      </c>
      <c r="C3502" s="52" t="s">
        <v>155</v>
      </c>
      <c r="D3502" s="52" t="s">
        <v>155</v>
      </c>
      <c r="E3502" s="52" t="s">
        <v>584</v>
      </c>
      <c r="F3502" s="52" t="s">
        <v>26</v>
      </c>
      <c r="G3502" s="195" t="s">
        <v>279</v>
      </c>
      <c r="H3502" s="195">
        <v>3.4929000000000002E-3</v>
      </c>
      <c r="I3502" s="195">
        <v>3.4930500000000001E-3</v>
      </c>
      <c r="J3502" s="195">
        <v>0.1941485</v>
      </c>
      <c r="K3502" s="195">
        <v>0.13142989999999999</v>
      </c>
      <c r="L3502" s="195">
        <v>9.9316500000000002E-2</v>
      </c>
      <c r="M3502" s="195">
        <v>7.1547749999999993E-2</v>
      </c>
      <c r="N3502" s="195">
        <v>5.05052E-2</v>
      </c>
    </row>
    <row r="3503" spans="1:14" hidden="1" x14ac:dyDescent="0.35">
      <c r="A3503" s="52" t="s">
        <v>672</v>
      </c>
      <c r="B3503" s="52" t="s">
        <v>73</v>
      </c>
      <c r="C3503" s="52" t="s">
        <v>155</v>
      </c>
      <c r="D3503" s="52" t="s">
        <v>358</v>
      </c>
      <c r="E3503" s="52" t="s">
        <v>584</v>
      </c>
      <c r="F3503" s="52" t="s">
        <v>581</v>
      </c>
      <c r="G3503" s="195" t="s">
        <v>275</v>
      </c>
      <c r="H3503" s="195">
        <v>-2.6060400000000001E-2</v>
      </c>
      <c r="I3503" s="195">
        <v>-6.0163999999999999E-3</v>
      </c>
      <c r="J3503" s="195">
        <v>0</v>
      </c>
      <c r="K3503" s="195">
        <v>0</v>
      </c>
      <c r="L3503" s="195">
        <v>0</v>
      </c>
      <c r="M3503" s="195">
        <v>0</v>
      </c>
      <c r="N3503" s="195">
        <v>0</v>
      </c>
    </row>
    <row r="3504" spans="1:14" hidden="1" x14ac:dyDescent="0.35">
      <c r="A3504" s="52" t="s">
        <v>672</v>
      </c>
      <c r="B3504" s="52" t="s">
        <v>73</v>
      </c>
      <c r="C3504" s="52" t="s">
        <v>155</v>
      </c>
      <c r="D3504" s="52" t="s">
        <v>358</v>
      </c>
      <c r="E3504" s="52" t="s">
        <v>584</v>
      </c>
      <c r="F3504" s="52" t="s">
        <v>581</v>
      </c>
      <c r="G3504" s="195" t="s">
        <v>276</v>
      </c>
      <c r="H3504" s="195">
        <v>-0.18424679999999999</v>
      </c>
      <c r="I3504" s="195">
        <v>-0.13136819999999999</v>
      </c>
      <c r="J3504" s="195">
        <v>-1.968939</v>
      </c>
      <c r="K3504" s="195">
        <v>-4.7122650000000004</v>
      </c>
      <c r="L3504" s="195">
        <v>-0.1308366</v>
      </c>
      <c r="M3504" s="195">
        <v>-0.39606780000000003</v>
      </c>
      <c r="N3504" s="195">
        <v>-0.63601419999999997</v>
      </c>
    </row>
    <row r="3505" spans="1:14" hidden="1" x14ac:dyDescent="0.35">
      <c r="A3505" s="52" t="s">
        <v>672</v>
      </c>
      <c r="B3505" s="52" t="s">
        <v>73</v>
      </c>
      <c r="C3505" s="52" t="s">
        <v>155</v>
      </c>
      <c r="D3505" s="52" t="s">
        <v>358</v>
      </c>
      <c r="E3505" s="52" t="s">
        <v>584</v>
      </c>
      <c r="F3505" s="52" t="s">
        <v>581</v>
      </c>
      <c r="G3505" s="195" t="s">
        <v>277</v>
      </c>
      <c r="H3505" s="195"/>
      <c r="I3505" s="195"/>
      <c r="J3505" s="195"/>
      <c r="K3505" s="195">
        <v>0</v>
      </c>
      <c r="L3505" s="195">
        <v>5.7999999999999996E-3</v>
      </c>
      <c r="M3505" s="195">
        <v>0.13919999999999999</v>
      </c>
      <c r="N3505" s="195">
        <v>0.3654</v>
      </c>
    </row>
    <row r="3506" spans="1:14" hidden="1" x14ac:dyDescent="0.35">
      <c r="A3506" s="52" t="s">
        <v>672</v>
      </c>
      <c r="B3506" s="52" t="s">
        <v>73</v>
      </c>
      <c r="C3506" s="52" t="s">
        <v>155</v>
      </c>
      <c r="D3506" s="52" t="s">
        <v>358</v>
      </c>
      <c r="E3506" s="52" t="s">
        <v>584</v>
      </c>
      <c r="F3506" s="52" t="s">
        <v>581</v>
      </c>
      <c r="G3506" s="195" t="s">
        <v>278</v>
      </c>
      <c r="H3506" s="195">
        <v>0.21030660000000001</v>
      </c>
      <c r="I3506" s="195">
        <v>0.1373848</v>
      </c>
      <c r="J3506" s="195">
        <v>1.9689399999999999</v>
      </c>
      <c r="K3506" s="195">
        <v>4.7122669999999998</v>
      </c>
      <c r="L3506" s="195">
        <v>0.12503739999999999</v>
      </c>
      <c r="M3506" s="195">
        <v>0.25686759999999997</v>
      </c>
      <c r="N3506" s="195">
        <v>0.25686759999999997</v>
      </c>
    </row>
    <row r="3507" spans="1:14" hidden="1" x14ac:dyDescent="0.35">
      <c r="A3507" s="52" t="s">
        <v>672</v>
      </c>
      <c r="B3507" s="52" t="s">
        <v>73</v>
      </c>
      <c r="C3507" s="52" t="s">
        <v>155</v>
      </c>
      <c r="D3507" s="52" t="s">
        <v>358</v>
      </c>
      <c r="E3507" s="52" t="s">
        <v>584</v>
      </c>
      <c r="F3507" s="52" t="s">
        <v>581</v>
      </c>
      <c r="G3507" s="195" t="s">
        <v>279</v>
      </c>
      <c r="H3507" s="195"/>
      <c r="I3507" s="195"/>
      <c r="J3507" s="195"/>
      <c r="K3507" s="195"/>
      <c r="L3507" s="195"/>
      <c r="M3507" s="195">
        <v>0</v>
      </c>
      <c r="N3507" s="195">
        <v>1.3746599999999999E-2</v>
      </c>
    </row>
    <row r="3508" spans="1:14" hidden="1" x14ac:dyDescent="0.35">
      <c r="A3508" s="52" t="s">
        <v>672</v>
      </c>
      <c r="B3508" s="52" t="s">
        <v>73</v>
      </c>
      <c r="C3508" s="52" t="s">
        <v>155</v>
      </c>
      <c r="D3508" s="52" t="s">
        <v>358</v>
      </c>
      <c r="E3508" s="52" t="s">
        <v>584</v>
      </c>
      <c r="F3508" s="52" t="s">
        <v>26</v>
      </c>
      <c r="G3508" s="195" t="s">
        <v>275</v>
      </c>
      <c r="H3508" s="195"/>
      <c r="I3508" s="195"/>
      <c r="J3508" s="195"/>
      <c r="K3508" s="195"/>
      <c r="L3508" s="195"/>
      <c r="M3508" s="195">
        <v>0</v>
      </c>
      <c r="N3508" s="195">
        <v>0</v>
      </c>
    </row>
    <row r="3509" spans="1:14" hidden="1" x14ac:dyDescent="0.35">
      <c r="A3509" s="52" t="s">
        <v>672</v>
      </c>
      <c r="B3509" s="52" t="s">
        <v>73</v>
      </c>
      <c r="C3509" s="52" t="s">
        <v>155</v>
      </c>
      <c r="D3509" s="52" t="s">
        <v>358</v>
      </c>
      <c r="E3509" s="52" t="s">
        <v>584</v>
      </c>
      <c r="F3509" s="52" t="s">
        <v>26</v>
      </c>
      <c r="G3509" s="195" t="s">
        <v>276</v>
      </c>
      <c r="H3509" s="195"/>
      <c r="I3509" s="195"/>
      <c r="J3509" s="195"/>
      <c r="K3509" s="195"/>
      <c r="L3509" s="195"/>
      <c r="M3509" s="195">
        <v>0</v>
      </c>
      <c r="N3509" s="195">
        <v>-1.1002E-3</v>
      </c>
    </row>
    <row r="3510" spans="1:14" hidden="1" x14ac:dyDescent="0.35">
      <c r="A3510" s="52" t="s">
        <v>672</v>
      </c>
      <c r="B3510" s="52" t="s">
        <v>73</v>
      </c>
      <c r="C3510" s="52" t="s">
        <v>155</v>
      </c>
      <c r="D3510" s="52" t="s">
        <v>358</v>
      </c>
      <c r="E3510" s="52" t="s">
        <v>584</v>
      </c>
      <c r="F3510" s="52" t="s">
        <v>26</v>
      </c>
      <c r="G3510" s="195" t="s">
        <v>279</v>
      </c>
      <c r="H3510" s="195"/>
      <c r="I3510" s="195"/>
      <c r="J3510" s="195"/>
      <c r="K3510" s="195"/>
      <c r="L3510" s="195"/>
      <c r="M3510" s="195">
        <v>0</v>
      </c>
      <c r="N3510" s="195">
        <v>1.1004000000000001E-3</v>
      </c>
    </row>
    <row r="3511" spans="1:14" hidden="1" x14ac:dyDescent="0.35">
      <c r="A3511" s="52" t="s">
        <v>672</v>
      </c>
      <c r="B3511" s="52" t="s">
        <v>73</v>
      </c>
      <c r="C3511" s="52" t="s">
        <v>184</v>
      </c>
      <c r="D3511" s="52" t="s">
        <v>184</v>
      </c>
      <c r="E3511" s="52" t="s">
        <v>584</v>
      </c>
      <c r="F3511" s="52" t="s">
        <v>581</v>
      </c>
      <c r="G3511" s="195" t="s">
        <v>275</v>
      </c>
      <c r="H3511" s="195">
        <v>-6.9747000000000003E-3</v>
      </c>
      <c r="I3511" s="195"/>
      <c r="J3511" s="195"/>
      <c r="K3511" s="195"/>
      <c r="L3511" s="195">
        <v>0</v>
      </c>
      <c r="M3511" s="195"/>
      <c r="N3511" s="195">
        <v>0</v>
      </c>
    </row>
    <row r="3512" spans="1:14" hidden="1" x14ac:dyDescent="0.35">
      <c r="A3512" s="52" t="s">
        <v>672</v>
      </c>
      <c r="B3512" s="52" t="s">
        <v>73</v>
      </c>
      <c r="C3512" s="52" t="s">
        <v>184</v>
      </c>
      <c r="D3512" s="52" t="s">
        <v>184</v>
      </c>
      <c r="E3512" s="52" t="s">
        <v>584</v>
      </c>
      <c r="F3512" s="52" t="s">
        <v>581</v>
      </c>
      <c r="G3512" s="195" t="s">
        <v>276</v>
      </c>
      <c r="H3512" s="195">
        <v>-6.9535799999999995E-2</v>
      </c>
      <c r="I3512" s="195"/>
      <c r="J3512" s="195"/>
      <c r="K3512" s="195"/>
      <c r="L3512" s="195">
        <v>-9.4499459999999993E-2</v>
      </c>
      <c r="M3512" s="195"/>
      <c r="N3512" s="195">
        <v>-3.7829939999999999E-2</v>
      </c>
    </row>
    <row r="3513" spans="1:14" hidden="1" x14ac:dyDescent="0.35">
      <c r="A3513" s="52" t="s">
        <v>672</v>
      </c>
      <c r="B3513" s="52" t="s">
        <v>73</v>
      </c>
      <c r="C3513" s="52" t="s">
        <v>184</v>
      </c>
      <c r="D3513" s="52" t="s">
        <v>184</v>
      </c>
      <c r="E3513" s="52" t="s">
        <v>584</v>
      </c>
      <c r="F3513" s="52" t="s">
        <v>581</v>
      </c>
      <c r="G3513" s="195" t="s">
        <v>277</v>
      </c>
      <c r="H3513" s="195"/>
      <c r="I3513" s="195"/>
      <c r="J3513" s="195"/>
      <c r="K3513" s="195"/>
      <c r="L3513" s="195">
        <v>0</v>
      </c>
      <c r="M3513" s="195">
        <v>1.74E-3</v>
      </c>
      <c r="N3513" s="195"/>
    </row>
    <row r="3514" spans="1:14" hidden="1" x14ac:dyDescent="0.35">
      <c r="A3514" s="52" t="s">
        <v>672</v>
      </c>
      <c r="B3514" s="52" t="s">
        <v>73</v>
      </c>
      <c r="C3514" s="52" t="s">
        <v>184</v>
      </c>
      <c r="D3514" s="52" t="s">
        <v>184</v>
      </c>
      <c r="E3514" s="52" t="s">
        <v>584</v>
      </c>
      <c r="F3514" s="52" t="s">
        <v>581</v>
      </c>
      <c r="G3514" s="195" t="s">
        <v>278</v>
      </c>
      <c r="H3514" s="195">
        <v>7.6510499999999995E-2</v>
      </c>
      <c r="I3514" s="195"/>
      <c r="J3514" s="195">
        <v>1.200828E-2</v>
      </c>
      <c r="K3514" s="195">
        <v>0.48642970000000002</v>
      </c>
      <c r="L3514" s="195">
        <v>9.4499459999999993E-2</v>
      </c>
      <c r="M3514" s="195">
        <v>1.8689939999999999E-2</v>
      </c>
      <c r="N3514" s="195"/>
    </row>
    <row r="3515" spans="1:14" hidden="1" x14ac:dyDescent="0.35">
      <c r="A3515" s="52" t="s">
        <v>672</v>
      </c>
      <c r="B3515" s="52" t="s">
        <v>73</v>
      </c>
      <c r="C3515" s="52" t="s">
        <v>184</v>
      </c>
      <c r="D3515" s="52" t="s">
        <v>184</v>
      </c>
      <c r="E3515" s="52" t="s">
        <v>584</v>
      </c>
      <c r="F3515" s="52" t="s">
        <v>581</v>
      </c>
      <c r="G3515" s="195" t="s">
        <v>279</v>
      </c>
      <c r="H3515" s="195"/>
      <c r="I3515" s="195"/>
      <c r="J3515" s="195"/>
      <c r="K3515" s="195"/>
      <c r="L3515" s="195"/>
      <c r="M3515" s="195"/>
      <c r="N3515" s="195">
        <v>0</v>
      </c>
    </row>
    <row r="3516" spans="1:14" hidden="1" x14ac:dyDescent="0.35">
      <c r="A3516" s="52" t="s">
        <v>672</v>
      </c>
      <c r="B3516" s="52" t="s">
        <v>73</v>
      </c>
      <c r="C3516" s="52" t="s">
        <v>184</v>
      </c>
      <c r="D3516" s="52" t="s">
        <v>184</v>
      </c>
      <c r="E3516" s="52" t="s">
        <v>584</v>
      </c>
      <c r="F3516" s="52" t="s">
        <v>26</v>
      </c>
      <c r="G3516" s="195" t="s">
        <v>275</v>
      </c>
      <c r="H3516" s="195">
        <v>0</v>
      </c>
      <c r="I3516" s="195"/>
      <c r="J3516" s="195"/>
      <c r="K3516" s="195"/>
      <c r="L3516" s="195">
        <v>0</v>
      </c>
      <c r="M3516" s="195"/>
      <c r="N3516" s="195"/>
    </row>
    <row r="3517" spans="1:14" hidden="1" x14ac:dyDescent="0.35">
      <c r="A3517" s="52" t="s">
        <v>672</v>
      </c>
      <c r="B3517" s="52" t="s">
        <v>73</v>
      </c>
      <c r="C3517" s="52" t="s">
        <v>184</v>
      </c>
      <c r="D3517" s="52" t="s">
        <v>184</v>
      </c>
      <c r="E3517" s="52" t="s">
        <v>584</v>
      </c>
      <c r="F3517" s="52" t="s">
        <v>26</v>
      </c>
      <c r="G3517" s="195" t="s">
        <v>276</v>
      </c>
      <c r="H3517" s="195"/>
      <c r="I3517" s="195"/>
      <c r="J3517" s="195"/>
      <c r="K3517" s="195"/>
      <c r="L3517" s="195">
        <v>-0.37799779999999999</v>
      </c>
      <c r="M3517" s="195"/>
      <c r="N3517" s="195"/>
    </row>
    <row r="3518" spans="1:14" hidden="1" x14ac:dyDescent="0.35">
      <c r="A3518" s="52" t="s">
        <v>672</v>
      </c>
      <c r="B3518" s="52" t="s">
        <v>73</v>
      </c>
      <c r="C3518" s="52" t="s">
        <v>184</v>
      </c>
      <c r="D3518" s="52" t="s">
        <v>184</v>
      </c>
      <c r="E3518" s="52" t="s">
        <v>584</v>
      </c>
      <c r="F3518" s="52" t="s">
        <v>26</v>
      </c>
      <c r="G3518" s="195" t="s">
        <v>277</v>
      </c>
      <c r="H3518" s="195"/>
      <c r="I3518" s="195"/>
      <c r="J3518" s="195"/>
      <c r="K3518" s="195"/>
      <c r="L3518" s="195">
        <v>0</v>
      </c>
      <c r="M3518" s="195">
        <v>6.96E-3</v>
      </c>
      <c r="N3518" s="195"/>
    </row>
    <row r="3519" spans="1:14" hidden="1" x14ac:dyDescent="0.35">
      <c r="A3519" s="52" t="s">
        <v>672</v>
      </c>
      <c r="B3519" s="52" t="s">
        <v>73</v>
      </c>
      <c r="C3519" s="52" t="s">
        <v>184</v>
      </c>
      <c r="D3519" s="52" t="s">
        <v>184</v>
      </c>
      <c r="E3519" s="52" t="s">
        <v>584</v>
      </c>
      <c r="F3519" s="52" t="s">
        <v>26</v>
      </c>
      <c r="G3519" s="195" t="s">
        <v>278</v>
      </c>
      <c r="H3519" s="195"/>
      <c r="I3519" s="195"/>
      <c r="J3519" s="195">
        <v>4.8033119999999999E-2</v>
      </c>
      <c r="K3519" s="195">
        <v>1.945719</v>
      </c>
      <c r="L3519" s="195">
        <v>0.37799779999999999</v>
      </c>
      <c r="M3519" s="195">
        <v>7.4759759999999995E-2</v>
      </c>
      <c r="N3519" s="195"/>
    </row>
    <row r="3520" spans="1:14" hidden="1" x14ac:dyDescent="0.35">
      <c r="A3520" s="52" t="s">
        <v>672</v>
      </c>
      <c r="B3520" s="52" t="s">
        <v>73</v>
      </c>
      <c r="C3520" s="52" t="s">
        <v>184</v>
      </c>
      <c r="D3520" s="52" t="s">
        <v>184</v>
      </c>
      <c r="E3520" s="52" t="s">
        <v>584</v>
      </c>
      <c r="F3520" s="52" t="s">
        <v>26</v>
      </c>
      <c r="G3520" s="195" t="s">
        <v>279</v>
      </c>
      <c r="H3520" s="195"/>
      <c r="I3520" s="195"/>
      <c r="J3520" s="195"/>
      <c r="K3520" s="195"/>
      <c r="L3520" s="195"/>
      <c r="M3520" s="195"/>
      <c r="N3520" s="195">
        <v>0</v>
      </c>
    </row>
    <row r="3521" spans="1:14" hidden="1" x14ac:dyDescent="0.35">
      <c r="A3521" s="52" t="s">
        <v>672</v>
      </c>
      <c r="B3521" s="52" t="s">
        <v>73</v>
      </c>
      <c r="C3521" s="52" t="s">
        <v>184</v>
      </c>
      <c r="D3521" s="52" t="s">
        <v>356</v>
      </c>
      <c r="E3521" s="52" t="s">
        <v>584</v>
      </c>
      <c r="F3521" s="52" t="s">
        <v>581</v>
      </c>
      <c r="G3521" s="195" t="s">
        <v>275</v>
      </c>
      <c r="H3521" s="195">
        <v>-1.5031849999999999E-2</v>
      </c>
      <c r="I3521" s="195">
        <v>-0.1097786</v>
      </c>
      <c r="J3521" s="195">
        <v>0</v>
      </c>
      <c r="K3521" s="195">
        <v>0</v>
      </c>
      <c r="L3521" s="195">
        <v>0</v>
      </c>
      <c r="M3521" s="195">
        <v>0</v>
      </c>
      <c r="N3521" s="195">
        <v>0</v>
      </c>
    </row>
    <row r="3522" spans="1:14" hidden="1" x14ac:dyDescent="0.35">
      <c r="A3522" s="52" t="s">
        <v>672</v>
      </c>
      <c r="B3522" s="52" t="s">
        <v>73</v>
      </c>
      <c r="C3522" s="52" t="s">
        <v>184</v>
      </c>
      <c r="D3522" s="52" t="s">
        <v>356</v>
      </c>
      <c r="E3522" s="52" t="s">
        <v>584</v>
      </c>
      <c r="F3522" s="52" t="s">
        <v>581</v>
      </c>
      <c r="G3522" s="195" t="s">
        <v>276</v>
      </c>
      <c r="H3522" s="195">
        <v>-0.1220329</v>
      </c>
      <c r="I3522" s="195">
        <v>-0.4943225</v>
      </c>
      <c r="J3522" s="195">
        <v>-3.3696249999999997E-2</v>
      </c>
      <c r="K3522" s="195">
        <v>-2.84557E-2</v>
      </c>
      <c r="L3522" s="195">
        <v>-2.5529E-2</v>
      </c>
      <c r="M3522" s="195">
        <v>-5.4348E-2</v>
      </c>
      <c r="N3522" s="195">
        <v>-5.4348E-2</v>
      </c>
    </row>
    <row r="3523" spans="1:14" hidden="1" x14ac:dyDescent="0.35">
      <c r="A3523" s="52" t="s">
        <v>672</v>
      </c>
      <c r="B3523" s="52" t="s">
        <v>73</v>
      </c>
      <c r="C3523" s="52" t="s">
        <v>184</v>
      </c>
      <c r="D3523" s="52" t="s">
        <v>356</v>
      </c>
      <c r="E3523" s="52" t="s">
        <v>584</v>
      </c>
      <c r="F3523" s="52" t="s">
        <v>581</v>
      </c>
      <c r="G3523" s="195" t="s">
        <v>277</v>
      </c>
      <c r="H3523" s="195"/>
      <c r="I3523" s="195"/>
      <c r="J3523" s="195"/>
      <c r="K3523" s="195">
        <v>0</v>
      </c>
      <c r="L3523" s="195">
        <v>0</v>
      </c>
      <c r="M3523" s="195">
        <v>1.9032999999999999E-3</v>
      </c>
      <c r="N3523" s="195">
        <v>1.9032999999999999E-3</v>
      </c>
    </row>
    <row r="3524" spans="1:14" hidden="1" x14ac:dyDescent="0.35">
      <c r="A3524" s="52" t="s">
        <v>672</v>
      </c>
      <c r="B3524" s="52" t="s">
        <v>73</v>
      </c>
      <c r="C3524" s="52" t="s">
        <v>184</v>
      </c>
      <c r="D3524" s="52" t="s">
        <v>356</v>
      </c>
      <c r="E3524" s="52" t="s">
        <v>584</v>
      </c>
      <c r="F3524" s="52" t="s">
        <v>581</v>
      </c>
      <c r="G3524" s="195" t="s">
        <v>278</v>
      </c>
      <c r="H3524" s="195">
        <v>0.1370652</v>
      </c>
      <c r="I3524" s="195">
        <v>0.60410140000000001</v>
      </c>
      <c r="J3524" s="195">
        <v>3.3695900000000001E-2</v>
      </c>
      <c r="K3524" s="195">
        <v>2.8455350000000001E-2</v>
      </c>
      <c r="L3524" s="195">
        <v>2.5529E-2</v>
      </c>
      <c r="M3524" s="195">
        <v>5.244505E-2</v>
      </c>
      <c r="N3524" s="195">
        <v>5.244505E-2</v>
      </c>
    </row>
    <row r="3525" spans="1:14" hidden="1" x14ac:dyDescent="0.35">
      <c r="A3525" s="52" t="s">
        <v>672</v>
      </c>
      <c r="B3525" s="52" t="s">
        <v>73</v>
      </c>
      <c r="C3525" s="52" t="s">
        <v>184</v>
      </c>
      <c r="D3525" s="52" t="s">
        <v>356</v>
      </c>
      <c r="E3525" s="52" t="s">
        <v>584</v>
      </c>
      <c r="F3525" s="52" t="s">
        <v>581</v>
      </c>
      <c r="G3525" s="195" t="s">
        <v>279</v>
      </c>
      <c r="H3525" s="195"/>
      <c r="I3525" s="195"/>
      <c r="J3525" s="195"/>
      <c r="K3525" s="195"/>
      <c r="L3525" s="195"/>
      <c r="M3525" s="195"/>
      <c r="N3525" s="195">
        <v>0</v>
      </c>
    </row>
    <row r="3526" spans="1:14" hidden="1" x14ac:dyDescent="0.35">
      <c r="A3526" s="52" t="s">
        <v>672</v>
      </c>
      <c r="B3526" s="52" t="s">
        <v>73</v>
      </c>
      <c r="C3526" s="52" t="s">
        <v>184</v>
      </c>
      <c r="D3526" s="52" t="s">
        <v>356</v>
      </c>
      <c r="E3526" s="52" t="s">
        <v>584</v>
      </c>
      <c r="F3526" s="52" t="s">
        <v>26</v>
      </c>
      <c r="G3526" s="195" t="s">
        <v>275</v>
      </c>
      <c r="H3526" s="195">
        <v>0</v>
      </c>
      <c r="I3526" s="195">
        <v>-4.0204999999999998E-3</v>
      </c>
      <c r="J3526" s="195">
        <v>0</v>
      </c>
      <c r="K3526" s="195">
        <v>0</v>
      </c>
      <c r="L3526" s="195">
        <v>0</v>
      </c>
      <c r="M3526" s="195">
        <v>0</v>
      </c>
      <c r="N3526" s="195">
        <v>0</v>
      </c>
    </row>
    <row r="3527" spans="1:14" hidden="1" x14ac:dyDescent="0.35">
      <c r="A3527" s="52" t="s">
        <v>672</v>
      </c>
      <c r="B3527" s="52" t="s">
        <v>73</v>
      </c>
      <c r="C3527" s="52" t="s">
        <v>184</v>
      </c>
      <c r="D3527" s="52" t="s">
        <v>356</v>
      </c>
      <c r="E3527" s="52" t="s">
        <v>584</v>
      </c>
      <c r="F3527" s="52" t="s">
        <v>26</v>
      </c>
      <c r="G3527" s="195" t="s">
        <v>276</v>
      </c>
      <c r="H3527" s="195"/>
      <c r="I3527" s="195">
        <v>-5.7468499999999999E-2</v>
      </c>
      <c r="J3527" s="195">
        <v>-6.474977</v>
      </c>
      <c r="K3527" s="195">
        <v>-6.2378000000000003E-2</v>
      </c>
      <c r="L3527" s="195">
        <v>-7.0462520000000001E-2</v>
      </c>
      <c r="M3527" s="195">
        <v>-0.129465</v>
      </c>
      <c r="N3527" s="195">
        <v>-0.25996599999999997</v>
      </c>
    </row>
    <row r="3528" spans="1:14" hidden="1" x14ac:dyDescent="0.35">
      <c r="A3528" s="52" t="s">
        <v>672</v>
      </c>
      <c r="B3528" s="52" t="s">
        <v>73</v>
      </c>
      <c r="C3528" s="52" t="s">
        <v>184</v>
      </c>
      <c r="D3528" s="52" t="s">
        <v>356</v>
      </c>
      <c r="E3528" s="52" t="s">
        <v>584</v>
      </c>
      <c r="F3528" s="52" t="s">
        <v>26</v>
      </c>
      <c r="G3528" s="195" t="s">
        <v>277</v>
      </c>
      <c r="H3528" s="195"/>
      <c r="I3528" s="195"/>
      <c r="J3528" s="195"/>
      <c r="K3528" s="195">
        <v>0</v>
      </c>
      <c r="L3528" s="195">
        <v>1.4500000000000001E-2</v>
      </c>
      <c r="M3528" s="195">
        <v>1.4500000000000001E-2</v>
      </c>
      <c r="N3528" s="195">
        <v>0.14499999999999999</v>
      </c>
    </row>
    <row r="3529" spans="1:14" hidden="1" x14ac:dyDescent="0.35">
      <c r="A3529" s="52" t="s">
        <v>672</v>
      </c>
      <c r="B3529" s="52" t="s">
        <v>73</v>
      </c>
      <c r="C3529" s="52" t="s">
        <v>184</v>
      </c>
      <c r="D3529" s="52" t="s">
        <v>356</v>
      </c>
      <c r="E3529" s="52" t="s">
        <v>584</v>
      </c>
      <c r="F3529" s="52" t="s">
        <v>26</v>
      </c>
      <c r="G3529" s="195" t="s">
        <v>278</v>
      </c>
      <c r="H3529" s="195"/>
      <c r="I3529" s="195">
        <v>6.1489000000000002E-2</v>
      </c>
      <c r="J3529" s="195">
        <v>6.474977</v>
      </c>
      <c r="K3529" s="195">
        <v>6.2377509999999997E-2</v>
      </c>
      <c r="L3529" s="195">
        <v>5.5962499999999998E-2</v>
      </c>
      <c r="M3529" s="195">
        <v>0.1149655</v>
      </c>
      <c r="N3529" s="195">
        <v>0.1149655</v>
      </c>
    </row>
    <row r="3530" spans="1:14" hidden="1" x14ac:dyDescent="0.35">
      <c r="A3530" s="52" t="s">
        <v>672</v>
      </c>
      <c r="B3530" s="52" t="s">
        <v>73</v>
      </c>
      <c r="C3530" s="52" t="s">
        <v>184</v>
      </c>
      <c r="D3530" s="52" t="s">
        <v>356</v>
      </c>
      <c r="E3530" s="52" t="s">
        <v>584</v>
      </c>
      <c r="F3530" s="52" t="s">
        <v>26</v>
      </c>
      <c r="G3530" s="195" t="s">
        <v>279</v>
      </c>
      <c r="H3530" s="195"/>
      <c r="I3530" s="195"/>
      <c r="J3530" s="195"/>
      <c r="K3530" s="195"/>
      <c r="L3530" s="195"/>
      <c r="M3530" s="195"/>
      <c r="N3530" s="195">
        <v>0</v>
      </c>
    </row>
    <row r="3531" spans="1:14" hidden="1" x14ac:dyDescent="0.35">
      <c r="A3531" s="52" t="s">
        <v>672</v>
      </c>
      <c r="B3531" s="52" t="s">
        <v>73</v>
      </c>
      <c r="C3531" s="52" t="s">
        <v>322</v>
      </c>
      <c r="D3531" s="52" t="s">
        <v>323</v>
      </c>
      <c r="E3531" s="52" t="s">
        <v>584</v>
      </c>
      <c r="F3531" s="52" t="s">
        <v>581</v>
      </c>
      <c r="G3531" s="195" t="s">
        <v>275</v>
      </c>
      <c r="H3531" s="195">
        <v>-1.9817700000000001E-2</v>
      </c>
      <c r="I3531" s="195"/>
      <c r="J3531" s="195"/>
      <c r="K3531" s="195"/>
      <c r="L3531" s="195">
        <v>0</v>
      </c>
      <c r="M3531" s="195"/>
      <c r="N3531" s="195"/>
    </row>
    <row r="3532" spans="1:14" hidden="1" x14ac:dyDescent="0.35">
      <c r="A3532" s="52" t="s">
        <v>672</v>
      </c>
      <c r="B3532" s="52" t="s">
        <v>73</v>
      </c>
      <c r="C3532" s="52" t="s">
        <v>322</v>
      </c>
      <c r="D3532" s="52" t="s">
        <v>323</v>
      </c>
      <c r="E3532" s="52" t="s">
        <v>584</v>
      </c>
      <c r="F3532" s="52" t="s">
        <v>581</v>
      </c>
      <c r="G3532" s="195" t="s">
        <v>276</v>
      </c>
      <c r="H3532" s="195">
        <v>-0.1237698</v>
      </c>
      <c r="I3532" s="195"/>
      <c r="J3532" s="195"/>
      <c r="K3532" s="195"/>
      <c r="L3532" s="195">
        <v>-1.707384E-2</v>
      </c>
      <c r="M3532" s="195"/>
      <c r="N3532" s="195"/>
    </row>
    <row r="3533" spans="1:14" hidden="1" x14ac:dyDescent="0.35">
      <c r="A3533" s="52" t="s">
        <v>672</v>
      </c>
      <c r="B3533" s="52" t="s">
        <v>73</v>
      </c>
      <c r="C3533" s="52" t="s">
        <v>322</v>
      </c>
      <c r="D3533" s="52" t="s">
        <v>323</v>
      </c>
      <c r="E3533" s="52" t="s">
        <v>584</v>
      </c>
      <c r="F3533" s="52" t="s">
        <v>581</v>
      </c>
      <c r="G3533" s="195" t="s">
        <v>277</v>
      </c>
      <c r="H3533" s="195"/>
      <c r="I3533" s="195"/>
      <c r="J3533" s="195"/>
      <c r="K3533" s="195"/>
      <c r="L3533" s="195">
        <v>0</v>
      </c>
      <c r="M3533" s="195"/>
      <c r="N3533" s="195"/>
    </row>
    <row r="3534" spans="1:14" hidden="1" x14ac:dyDescent="0.35">
      <c r="A3534" s="52" t="s">
        <v>672</v>
      </c>
      <c r="B3534" s="52" t="s">
        <v>73</v>
      </c>
      <c r="C3534" s="52" t="s">
        <v>322</v>
      </c>
      <c r="D3534" s="52" t="s">
        <v>323</v>
      </c>
      <c r="E3534" s="52" t="s">
        <v>584</v>
      </c>
      <c r="F3534" s="52" t="s">
        <v>581</v>
      </c>
      <c r="G3534" s="195" t="s">
        <v>278</v>
      </c>
      <c r="H3534" s="195">
        <v>0.14358679999999999</v>
      </c>
      <c r="I3534" s="195">
        <v>1.875986E-2</v>
      </c>
      <c r="J3534" s="195"/>
      <c r="K3534" s="195">
        <v>1.9031039999999999E-2</v>
      </c>
      <c r="L3534" s="195"/>
      <c r="M3534" s="195"/>
      <c r="N3534" s="195"/>
    </row>
    <row r="3535" spans="1:14" hidden="1" x14ac:dyDescent="0.35">
      <c r="A3535" s="52" t="s">
        <v>672</v>
      </c>
      <c r="B3535" s="52" t="s">
        <v>73</v>
      </c>
      <c r="C3535" s="52" t="s">
        <v>322</v>
      </c>
      <c r="D3535" s="52" t="s">
        <v>323</v>
      </c>
      <c r="E3535" s="52" t="s">
        <v>584</v>
      </c>
      <c r="F3535" s="52" t="s">
        <v>26</v>
      </c>
      <c r="G3535" s="195" t="s">
        <v>275</v>
      </c>
      <c r="H3535" s="195">
        <v>0</v>
      </c>
      <c r="I3535" s="195"/>
      <c r="J3535" s="195"/>
      <c r="K3535" s="195"/>
      <c r="L3535" s="195">
        <v>0</v>
      </c>
      <c r="M3535" s="195"/>
      <c r="N3535" s="195"/>
    </row>
    <row r="3536" spans="1:14" hidden="1" x14ac:dyDescent="0.35">
      <c r="A3536" s="52" t="s">
        <v>672</v>
      </c>
      <c r="B3536" s="52" t="s">
        <v>73</v>
      </c>
      <c r="C3536" s="52" t="s">
        <v>322</v>
      </c>
      <c r="D3536" s="52" t="s">
        <v>323</v>
      </c>
      <c r="E3536" s="52" t="s">
        <v>584</v>
      </c>
      <c r="F3536" s="52" t="s">
        <v>26</v>
      </c>
      <c r="G3536" s="195" t="s">
        <v>276</v>
      </c>
      <c r="H3536" s="195"/>
      <c r="I3536" s="195"/>
      <c r="J3536" s="195"/>
      <c r="K3536" s="195"/>
      <c r="L3536" s="195">
        <v>-6.8295369999999994E-2</v>
      </c>
      <c r="M3536" s="195"/>
      <c r="N3536" s="195"/>
    </row>
    <row r="3537" spans="1:14" hidden="1" x14ac:dyDescent="0.35">
      <c r="A3537" s="52" t="s">
        <v>672</v>
      </c>
      <c r="B3537" s="52" t="s">
        <v>73</v>
      </c>
      <c r="C3537" s="52" t="s">
        <v>322</v>
      </c>
      <c r="D3537" s="52" t="s">
        <v>323</v>
      </c>
      <c r="E3537" s="52" t="s">
        <v>584</v>
      </c>
      <c r="F3537" s="52" t="s">
        <v>26</v>
      </c>
      <c r="G3537" s="195" t="s">
        <v>277</v>
      </c>
      <c r="H3537" s="195"/>
      <c r="I3537" s="195"/>
      <c r="J3537" s="195"/>
      <c r="K3537" s="195"/>
      <c r="L3537" s="195">
        <v>0</v>
      </c>
      <c r="M3537" s="195"/>
      <c r="N3537" s="195"/>
    </row>
    <row r="3538" spans="1:14" hidden="1" x14ac:dyDescent="0.35">
      <c r="A3538" s="52" t="s">
        <v>672</v>
      </c>
      <c r="B3538" s="52" t="s">
        <v>73</v>
      </c>
      <c r="C3538" s="52" t="s">
        <v>322</v>
      </c>
      <c r="D3538" s="52" t="s">
        <v>323</v>
      </c>
      <c r="E3538" s="52" t="s">
        <v>584</v>
      </c>
      <c r="F3538" s="52" t="s">
        <v>26</v>
      </c>
      <c r="G3538" s="195" t="s">
        <v>278</v>
      </c>
      <c r="H3538" s="195"/>
      <c r="I3538" s="195">
        <v>7.5039430000000004E-2</v>
      </c>
      <c r="J3538" s="195"/>
      <c r="K3538" s="195">
        <v>7.6124150000000002E-2</v>
      </c>
      <c r="L3538" s="195"/>
      <c r="M3538" s="195"/>
      <c r="N3538" s="195"/>
    </row>
    <row r="3539" spans="1:14" hidden="1" x14ac:dyDescent="0.35">
      <c r="A3539" s="52" t="s">
        <v>672</v>
      </c>
      <c r="B3539" s="52" t="s">
        <v>73</v>
      </c>
      <c r="C3539" s="52" t="s">
        <v>324</v>
      </c>
      <c r="D3539" s="52" t="s">
        <v>324</v>
      </c>
      <c r="E3539" s="52" t="s">
        <v>584</v>
      </c>
      <c r="F3539" s="52" t="s">
        <v>581</v>
      </c>
      <c r="G3539" s="195" t="s">
        <v>275</v>
      </c>
      <c r="H3539" s="195">
        <v>-2.979538E-2</v>
      </c>
      <c r="I3539" s="195">
        <v>-1.141335</v>
      </c>
      <c r="J3539" s="195">
        <v>0</v>
      </c>
      <c r="K3539" s="195">
        <v>0</v>
      </c>
      <c r="L3539" s="195">
        <v>0</v>
      </c>
      <c r="M3539" s="195">
        <v>0</v>
      </c>
      <c r="N3539" s="195">
        <v>0</v>
      </c>
    </row>
    <row r="3540" spans="1:14" hidden="1" x14ac:dyDescent="0.35">
      <c r="A3540" s="52" t="s">
        <v>672</v>
      </c>
      <c r="B3540" s="52" t="s">
        <v>73</v>
      </c>
      <c r="C3540" s="52" t="s">
        <v>324</v>
      </c>
      <c r="D3540" s="52" t="s">
        <v>324</v>
      </c>
      <c r="E3540" s="52" t="s">
        <v>584</v>
      </c>
      <c r="F3540" s="52" t="s">
        <v>581</v>
      </c>
      <c r="G3540" s="195" t="s">
        <v>276</v>
      </c>
      <c r="H3540" s="195">
        <v>-0.19566720000000001</v>
      </c>
      <c r="I3540" s="195">
        <v>-4.9071930000000004</v>
      </c>
      <c r="J3540" s="195">
        <v>-0.13069439999999999</v>
      </c>
      <c r="K3540" s="195">
        <v>-2.7268530000000002</v>
      </c>
      <c r="L3540" s="195">
        <v>-9.901828E-2</v>
      </c>
      <c r="M3540" s="195">
        <v>-0.23841760000000001</v>
      </c>
      <c r="N3540" s="195">
        <v>-0.25241730000000001</v>
      </c>
    </row>
    <row r="3541" spans="1:14" hidden="1" x14ac:dyDescent="0.35">
      <c r="A3541" s="52" t="s">
        <v>672</v>
      </c>
      <c r="B3541" s="52" t="s">
        <v>73</v>
      </c>
      <c r="C3541" s="52" t="s">
        <v>324</v>
      </c>
      <c r="D3541" s="52" t="s">
        <v>324</v>
      </c>
      <c r="E3541" s="52" t="s">
        <v>584</v>
      </c>
      <c r="F3541" s="52" t="s">
        <v>581</v>
      </c>
      <c r="G3541" s="195" t="s">
        <v>277</v>
      </c>
      <c r="H3541" s="195"/>
      <c r="I3541" s="195"/>
      <c r="J3541" s="195"/>
      <c r="K3541" s="195"/>
      <c r="L3541" s="195">
        <v>0</v>
      </c>
      <c r="M3541" s="195">
        <v>3.5000000000000003E-2</v>
      </c>
      <c r="N3541" s="195">
        <v>4.9000000000000002E-2</v>
      </c>
    </row>
    <row r="3542" spans="1:14" hidden="1" x14ac:dyDescent="0.35">
      <c r="A3542" s="52" t="s">
        <v>672</v>
      </c>
      <c r="B3542" s="52" t="s">
        <v>73</v>
      </c>
      <c r="C3542" s="52" t="s">
        <v>324</v>
      </c>
      <c r="D3542" s="52" t="s">
        <v>324</v>
      </c>
      <c r="E3542" s="52" t="s">
        <v>584</v>
      </c>
      <c r="F3542" s="52" t="s">
        <v>581</v>
      </c>
      <c r="G3542" s="195" t="s">
        <v>278</v>
      </c>
      <c r="H3542" s="195">
        <v>0.2254623</v>
      </c>
      <c r="I3542" s="195">
        <v>6.0485280000000001</v>
      </c>
      <c r="J3542" s="195">
        <v>0.1306949</v>
      </c>
      <c r="K3542" s="195">
        <v>2.7268530000000002</v>
      </c>
      <c r="L3542" s="195">
        <v>9.9018480000000006E-2</v>
      </c>
      <c r="M3542" s="195">
        <v>0.20341709999999999</v>
      </c>
      <c r="N3542" s="195">
        <v>0.20341709999999999</v>
      </c>
    </row>
    <row r="3543" spans="1:14" hidden="1" x14ac:dyDescent="0.35">
      <c r="A3543" s="52" t="s">
        <v>672</v>
      </c>
      <c r="B3543" s="52" t="s">
        <v>73</v>
      </c>
      <c r="C3543" s="52" t="s">
        <v>324</v>
      </c>
      <c r="D3543" s="52" t="s">
        <v>324</v>
      </c>
      <c r="E3543" s="52" t="s">
        <v>584</v>
      </c>
      <c r="F3543" s="52" t="s">
        <v>26</v>
      </c>
      <c r="G3543" s="195" t="s">
        <v>275</v>
      </c>
      <c r="H3543" s="195">
        <v>8.0198800000000001E-2</v>
      </c>
      <c r="I3543" s="195">
        <v>6.9336809999999999E-2</v>
      </c>
      <c r="J3543" s="195">
        <v>8.0771960000000004E-2</v>
      </c>
      <c r="K3543" s="195">
        <v>1.7948000000000001E-4</v>
      </c>
      <c r="L3543" s="195">
        <v>0</v>
      </c>
      <c r="M3543" s="195">
        <v>0</v>
      </c>
      <c r="N3543" s="195">
        <v>0</v>
      </c>
    </row>
    <row r="3544" spans="1:14" hidden="1" x14ac:dyDescent="0.35">
      <c r="A3544" s="52" t="s">
        <v>672</v>
      </c>
      <c r="B3544" s="52" t="s">
        <v>73</v>
      </c>
      <c r="C3544" s="52" t="s">
        <v>324</v>
      </c>
      <c r="D3544" s="52" t="s">
        <v>324</v>
      </c>
      <c r="E3544" s="52" t="s">
        <v>584</v>
      </c>
      <c r="F3544" s="52" t="s">
        <v>26</v>
      </c>
      <c r="G3544" s="195" t="s">
        <v>276</v>
      </c>
      <c r="H3544" s="195">
        <v>-8.4624599999999994E-2</v>
      </c>
      <c r="I3544" s="195">
        <v>-0.15680050000000001</v>
      </c>
      <c r="J3544" s="195">
        <v>-0.31963859999999999</v>
      </c>
      <c r="K3544" s="195">
        <v>-1.9524840000000001</v>
      </c>
      <c r="L3544" s="195">
        <v>-3.5028959999999998E-2</v>
      </c>
      <c r="M3544" s="195">
        <v>-7.1961250000000004E-2</v>
      </c>
      <c r="N3544" s="195">
        <v>-7.3360999999999996E-2</v>
      </c>
    </row>
    <row r="3545" spans="1:14" hidden="1" x14ac:dyDescent="0.35">
      <c r="A3545" s="52" t="s">
        <v>672</v>
      </c>
      <c r="B3545" s="52" t="s">
        <v>73</v>
      </c>
      <c r="C3545" s="52" t="s">
        <v>324</v>
      </c>
      <c r="D3545" s="52" t="s">
        <v>324</v>
      </c>
      <c r="E3545" s="52" t="s">
        <v>584</v>
      </c>
      <c r="F3545" s="52" t="s">
        <v>26</v>
      </c>
      <c r="G3545" s="195" t="s">
        <v>277</v>
      </c>
      <c r="H3545" s="195"/>
      <c r="I3545" s="195"/>
      <c r="J3545" s="195"/>
      <c r="K3545" s="195"/>
      <c r="L3545" s="195">
        <v>0</v>
      </c>
      <c r="M3545" s="195">
        <v>0</v>
      </c>
      <c r="N3545" s="195">
        <v>1.4E-3</v>
      </c>
    </row>
    <row r="3546" spans="1:14" hidden="1" x14ac:dyDescent="0.35">
      <c r="A3546" s="52" t="s">
        <v>672</v>
      </c>
      <c r="B3546" s="52" t="s">
        <v>73</v>
      </c>
      <c r="C3546" s="52" t="s">
        <v>324</v>
      </c>
      <c r="D3546" s="52" t="s">
        <v>324</v>
      </c>
      <c r="E3546" s="52" t="s">
        <v>584</v>
      </c>
      <c r="F3546" s="52" t="s">
        <v>26</v>
      </c>
      <c r="G3546" s="195" t="s">
        <v>278</v>
      </c>
      <c r="H3546" s="195">
        <v>4.4257999999999997E-3</v>
      </c>
      <c r="I3546" s="195">
        <v>8.7463479999999996E-2</v>
      </c>
      <c r="J3546" s="195">
        <v>0.31963829999999999</v>
      </c>
      <c r="K3546" s="195">
        <v>1.9524840000000001</v>
      </c>
      <c r="L3546" s="195">
        <v>3.5028919999999998E-2</v>
      </c>
      <c r="M3546" s="195">
        <v>7.1961010000000006E-2</v>
      </c>
      <c r="N3546" s="195">
        <v>7.1961010000000006E-2</v>
      </c>
    </row>
    <row r="3547" spans="1:14" hidden="1" x14ac:dyDescent="0.35">
      <c r="A3547" s="52" t="s">
        <v>672</v>
      </c>
      <c r="B3547" s="52" t="s">
        <v>73</v>
      </c>
      <c r="C3547" s="52" t="s">
        <v>354</v>
      </c>
      <c r="D3547" s="52" t="s">
        <v>354</v>
      </c>
      <c r="E3547" s="52" t="s">
        <v>584</v>
      </c>
      <c r="F3547" s="52" t="s">
        <v>581</v>
      </c>
      <c r="G3547" s="195" t="s">
        <v>275</v>
      </c>
      <c r="H3547" s="195">
        <v>-2.0119399999999999E-2</v>
      </c>
      <c r="I3547" s="195">
        <v>-3.19038E-3</v>
      </c>
      <c r="J3547" s="195">
        <v>0</v>
      </c>
      <c r="K3547" s="195">
        <v>0</v>
      </c>
      <c r="L3547" s="195">
        <v>0</v>
      </c>
      <c r="M3547" s="195">
        <v>0</v>
      </c>
      <c r="N3547" s="195">
        <v>0</v>
      </c>
    </row>
    <row r="3548" spans="1:14" hidden="1" x14ac:dyDescent="0.35">
      <c r="A3548" s="52" t="s">
        <v>672</v>
      </c>
      <c r="B3548" s="52" t="s">
        <v>73</v>
      </c>
      <c r="C3548" s="52" t="s">
        <v>354</v>
      </c>
      <c r="D3548" s="52" t="s">
        <v>354</v>
      </c>
      <c r="E3548" s="52" t="s">
        <v>584</v>
      </c>
      <c r="F3548" s="52" t="s">
        <v>581</v>
      </c>
      <c r="G3548" s="195" t="s">
        <v>276</v>
      </c>
      <c r="H3548" s="195">
        <v>-0.12565190000000001</v>
      </c>
      <c r="I3548" s="195">
        <v>-4.5608759999999998E-2</v>
      </c>
      <c r="J3548" s="195">
        <v>-5.862262E-2</v>
      </c>
      <c r="K3548" s="195">
        <v>-2.060791</v>
      </c>
      <c r="L3548" s="195">
        <v>-4.4414019999999999E-2</v>
      </c>
      <c r="M3548" s="195">
        <v>-9.1240580000000002E-2</v>
      </c>
      <c r="N3548" s="195">
        <v>-0.1045415</v>
      </c>
    </row>
    <row r="3549" spans="1:14" hidden="1" x14ac:dyDescent="0.35">
      <c r="A3549" s="52" t="s">
        <v>672</v>
      </c>
      <c r="B3549" s="52" t="s">
        <v>73</v>
      </c>
      <c r="C3549" s="52" t="s">
        <v>354</v>
      </c>
      <c r="D3549" s="52" t="s">
        <v>354</v>
      </c>
      <c r="E3549" s="52" t="s">
        <v>584</v>
      </c>
      <c r="F3549" s="52" t="s">
        <v>581</v>
      </c>
      <c r="G3549" s="195" t="s">
        <v>277</v>
      </c>
      <c r="H3549" s="195"/>
      <c r="I3549" s="195"/>
      <c r="J3549" s="195"/>
      <c r="K3549" s="195"/>
      <c r="L3549" s="195"/>
      <c r="M3549" s="195">
        <v>0</v>
      </c>
      <c r="N3549" s="195">
        <v>1.3299999999999999E-2</v>
      </c>
    </row>
    <row r="3550" spans="1:14" hidden="1" x14ac:dyDescent="0.35">
      <c r="A3550" s="52" t="s">
        <v>672</v>
      </c>
      <c r="B3550" s="52" t="s">
        <v>73</v>
      </c>
      <c r="C3550" s="52" t="s">
        <v>354</v>
      </c>
      <c r="D3550" s="52" t="s">
        <v>354</v>
      </c>
      <c r="E3550" s="52" t="s">
        <v>584</v>
      </c>
      <c r="F3550" s="52" t="s">
        <v>581</v>
      </c>
      <c r="G3550" s="195" t="s">
        <v>278</v>
      </c>
      <c r="H3550" s="195">
        <v>0.14577129999999999</v>
      </c>
      <c r="I3550" s="195">
        <v>4.8799740000000001E-2</v>
      </c>
      <c r="J3550" s="195">
        <v>5.8622100000000003E-2</v>
      </c>
      <c r="K3550" s="195">
        <v>2.060791</v>
      </c>
      <c r="L3550" s="195">
        <v>4.4413939999999999E-2</v>
      </c>
      <c r="M3550" s="195">
        <v>9.1240879999999996E-2</v>
      </c>
      <c r="N3550" s="195">
        <v>9.1240879999999996E-2</v>
      </c>
    </row>
    <row r="3551" spans="1:14" hidden="1" x14ac:dyDescent="0.35">
      <c r="A3551" s="52" t="s">
        <v>672</v>
      </c>
      <c r="B3551" s="52" t="s">
        <v>73</v>
      </c>
      <c r="C3551" s="52" t="s">
        <v>354</v>
      </c>
      <c r="D3551" s="52" t="s">
        <v>354</v>
      </c>
      <c r="E3551" s="52" t="s">
        <v>584</v>
      </c>
      <c r="F3551" s="52" t="s">
        <v>26</v>
      </c>
      <c r="G3551" s="195" t="s">
        <v>275</v>
      </c>
      <c r="H3551" s="195">
        <v>0</v>
      </c>
      <c r="I3551" s="195"/>
      <c r="J3551" s="195"/>
      <c r="K3551" s="195"/>
      <c r="L3551" s="195">
        <v>0</v>
      </c>
      <c r="M3551" s="195"/>
      <c r="N3551" s="195"/>
    </row>
    <row r="3552" spans="1:14" hidden="1" x14ac:dyDescent="0.35">
      <c r="A3552" s="52" t="s">
        <v>672</v>
      </c>
      <c r="B3552" s="52" t="s">
        <v>73</v>
      </c>
      <c r="C3552" s="52" t="s">
        <v>354</v>
      </c>
      <c r="D3552" s="52" t="s">
        <v>354</v>
      </c>
      <c r="E3552" s="52" t="s">
        <v>584</v>
      </c>
      <c r="F3552" s="52" t="s">
        <v>26</v>
      </c>
      <c r="G3552" s="195" t="s">
        <v>276</v>
      </c>
      <c r="H3552" s="195"/>
      <c r="I3552" s="195"/>
      <c r="J3552" s="195"/>
      <c r="K3552" s="195"/>
      <c r="L3552" s="195">
        <v>-4.2254079999999999E-2</v>
      </c>
      <c r="M3552" s="195"/>
      <c r="N3552" s="195"/>
    </row>
    <row r="3553" spans="1:14" hidden="1" x14ac:dyDescent="0.35">
      <c r="A3553" s="52" t="s">
        <v>672</v>
      </c>
      <c r="B3553" s="52" t="s">
        <v>73</v>
      </c>
      <c r="C3553" s="52" t="s">
        <v>354</v>
      </c>
      <c r="D3553" s="52" t="s">
        <v>354</v>
      </c>
      <c r="E3553" s="52" t="s">
        <v>584</v>
      </c>
      <c r="F3553" s="52" t="s">
        <v>26</v>
      </c>
      <c r="G3553" s="195" t="s">
        <v>277</v>
      </c>
      <c r="H3553" s="195"/>
      <c r="I3553" s="195"/>
      <c r="J3553" s="195"/>
      <c r="K3553" s="195"/>
      <c r="L3553" s="195"/>
      <c r="M3553" s="195">
        <v>0</v>
      </c>
      <c r="N3553" s="195"/>
    </row>
    <row r="3554" spans="1:14" hidden="1" x14ac:dyDescent="0.35">
      <c r="A3554" s="52" t="s">
        <v>672</v>
      </c>
      <c r="B3554" s="52" t="s">
        <v>73</v>
      </c>
      <c r="C3554" s="52" t="s">
        <v>354</v>
      </c>
      <c r="D3554" s="52" t="s">
        <v>354</v>
      </c>
      <c r="E3554" s="52" t="s">
        <v>584</v>
      </c>
      <c r="F3554" s="52" t="s">
        <v>26</v>
      </c>
      <c r="G3554" s="195" t="s">
        <v>278</v>
      </c>
      <c r="H3554" s="195"/>
      <c r="I3554" s="195"/>
      <c r="J3554" s="195">
        <v>5.57712E-2</v>
      </c>
      <c r="K3554" s="195"/>
      <c r="L3554" s="195">
        <v>4.2253760000000001E-2</v>
      </c>
      <c r="M3554" s="195"/>
      <c r="N3554" s="195"/>
    </row>
    <row r="3555" spans="1:14" hidden="1" x14ac:dyDescent="0.35">
      <c r="A3555" s="52" t="s">
        <v>672</v>
      </c>
      <c r="B3555" s="52" t="s">
        <v>73</v>
      </c>
      <c r="C3555" s="52" t="s">
        <v>354</v>
      </c>
      <c r="D3555" s="52" t="s">
        <v>355</v>
      </c>
      <c r="E3555" s="52" t="s">
        <v>584</v>
      </c>
      <c r="F3555" s="52" t="s">
        <v>581</v>
      </c>
      <c r="G3555" s="195" t="s">
        <v>275</v>
      </c>
      <c r="H3555" s="195">
        <v>0.45291140000000002</v>
      </c>
      <c r="I3555" s="195">
        <v>-1.7440530000000001</v>
      </c>
      <c r="J3555" s="195">
        <v>0</v>
      </c>
      <c r="K3555" s="195">
        <v>0</v>
      </c>
      <c r="L3555" s="195">
        <v>0</v>
      </c>
      <c r="M3555" s="195">
        <v>0</v>
      </c>
      <c r="N3555" s="195">
        <v>0</v>
      </c>
    </row>
    <row r="3556" spans="1:14" hidden="1" x14ac:dyDescent="0.35">
      <c r="A3556" s="52" t="s">
        <v>672</v>
      </c>
      <c r="B3556" s="52" t="s">
        <v>73</v>
      </c>
      <c r="C3556" s="52" t="s">
        <v>354</v>
      </c>
      <c r="D3556" s="52" t="s">
        <v>355</v>
      </c>
      <c r="E3556" s="52" t="s">
        <v>584</v>
      </c>
      <c r="F3556" s="52" t="s">
        <v>581</v>
      </c>
      <c r="G3556" s="195" t="s">
        <v>276</v>
      </c>
      <c r="H3556" s="195">
        <v>-0.52581520000000004</v>
      </c>
      <c r="I3556" s="195">
        <v>-7.4098889999999997</v>
      </c>
      <c r="J3556" s="195">
        <v>-1.9803020000000001E-2</v>
      </c>
      <c r="K3556" s="195">
        <v>-1.6723390000000001E-2</v>
      </c>
      <c r="L3556" s="195">
        <v>-1.5003610000000001E-2</v>
      </c>
      <c r="M3556" s="195">
        <v>-3.08224E-2</v>
      </c>
      <c r="N3556" s="195">
        <v>-6.5822000000000006E-2</v>
      </c>
    </row>
    <row r="3557" spans="1:14" hidden="1" x14ac:dyDescent="0.35">
      <c r="A3557" s="52" t="s">
        <v>672</v>
      </c>
      <c r="B3557" s="52" t="s">
        <v>73</v>
      </c>
      <c r="C3557" s="52" t="s">
        <v>354</v>
      </c>
      <c r="D3557" s="52" t="s">
        <v>355</v>
      </c>
      <c r="E3557" s="52" t="s">
        <v>584</v>
      </c>
      <c r="F3557" s="52" t="s">
        <v>581</v>
      </c>
      <c r="G3557" s="195" t="s">
        <v>277</v>
      </c>
      <c r="H3557" s="195"/>
      <c r="I3557" s="195"/>
      <c r="J3557" s="195"/>
      <c r="K3557" s="195"/>
      <c r="L3557" s="195"/>
      <c r="M3557" s="195">
        <v>0</v>
      </c>
      <c r="N3557" s="195">
        <v>3.5000000000000003E-2</v>
      </c>
    </row>
    <row r="3558" spans="1:14" hidden="1" x14ac:dyDescent="0.35">
      <c r="A3558" s="52" t="s">
        <v>672</v>
      </c>
      <c r="B3558" s="52" t="s">
        <v>73</v>
      </c>
      <c r="C3558" s="52" t="s">
        <v>354</v>
      </c>
      <c r="D3558" s="52" t="s">
        <v>355</v>
      </c>
      <c r="E3558" s="52" t="s">
        <v>584</v>
      </c>
      <c r="F3558" s="52" t="s">
        <v>581</v>
      </c>
      <c r="G3558" s="195" t="s">
        <v>278</v>
      </c>
      <c r="H3558" s="195">
        <v>7.2903599999999999E-2</v>
      </c>
      <c r="I3558" s="195">
        <v>9.1539420000000007</v>
      </c>
      <c r="J3558" s="195">
        <v>1.98032E-2</v>
      </c>
      <c r="K3558" s="195">
        <v>1.6723399999999999E-2</v>
      </c>
      <c r="L3558" s="195">
        <v>1.5003600000000001E-2</v>
      </c>
      <c r="M3558" s="195">
        <v>3.0822200000000001E-2</v>
      </c>
      <c r="N3558" s="195">
        <v>3.0822200000000001E-2</v>
      </c>
    </row>
    <row r="3559" spans="1:14" hidden="1" x14ac:dyDescent="0.35">
      <c r="A3559" s="52" t="s">
        <v>672</v>
      </c>
      <c r="B3559" s="52" t="s">
        <v>73</v>
      </c>
      <c r="C3559" s="52" t="s">
        <v>354</v>
      </c>
      <c r="D3559" s="52" t="s">
        <v>355</v>
      </c>
      <c r="E3559" s="52" t="s">
        <v>584</v>
      </c>
      <c r="F3559" s="52" t="s">
        <v>26</v>
      </c>
      <c r="G3559" s="195" t="s">
        <v>275</v>
      </c>
      <c r="H3559" s="195">
        <v>0</v>
      </c>
      <c r="I3559" s="195">
        <v>0.45657360000000002</v>
      </c>
      <c r="J3559" s="195">
        <v>0.45405040000000002</v>
      </c>
      <c r="K3559" s="195">
        <v>-2.1007999999999999E-3</v>
      </c>
      <c r="L3559" s="195">
        <v>-2.4935999999999999E-3</v>
      </c>
      <c r="M3559" s="195">
        <v>-8.2787989999999999E-3</v>
      </c>
      <c r="N3559" s="195">
        <v>-7.6727999999999996E-3</v>
      </c>
    </row>
    <row r="3560" spans="1:14" hidden="1" x14ac:dyDescent="0.35">
      <c r="A3560" s="52" t="s">
        <v>672</v>
      </c>
      <c r="B3560" s="52" t="s">
        <v>73</v>
      </c>
      <c r="C3560" s="52" t="s">
        <v>354</v>
      </c>
      <c r="D3560" s="52" t="s">
        <v>355</v>
      </c>
      <c r="E3560" s="52" t="s">
        <v>584</v>
      </c>
      <c r="F3560" s="52" t="s">
        <v>26</v>
      </c>
      <c r="G3560" s="195" t="s">
        <v>276</v>
      </c>
      <c r="H3560" s="195"/>
      <c r="I3560" s="195">
        <v>-0.48771360000000002</v>
      </c>
      <c r="J3560" s="195">
        <v>-0.49145759999999999</v>
      </c>
      <c r="K3560" s="195">
        <v>-2.9489600000000001E-2</v>
      </c>
      <c r="L3560" s="195">
        <v>-2.5847200000000001E-2</v>
      </c>
      <c r="M3560" s="195">
        <v>-4.9942800000000002E-2</v>
      </c>
      <c r="N3560" s="195">
        <v>-5.05484E-2</v>
      </c>
    </row>
    <row r="3561" spans="1:14" hidden="1" x14ac:dyDescent="0.35">
      <c r="A3561" s="52" t="s">
        <v>672</v>
      </c>
      <c r="B3561" s="52" t="s">
        <v>73</v>
      </c>
      <c r="C3561" s="52" t="s">
        <v>354</v>
      </c>
      <c r="D3561" s="52" t="s">
        <v>355</v>
      </c>
      <c r="E3561" s="52" t="s">
        <v>584</v>
      </c>
      <c r="F3561" s="52" t="s">
        <v>26</v>
      </c>
      <c r="G3561" s="195" t="s">
        <v>277</v>
      </c>
      <c r="H3561" s="195"/>
      <c r="I3561" s="195"/>
      <c r="J3561" s="195"/>
      <c r="K3561" s="195"/>
      <c r="L3561" s="195"/>
      <c r="M3561" s="195">
        <v>0</v>
      </c>
      <c r="N3561" s="195"/>
    </row>
    <row r="3562" spans="1:14" hidden="1" x14ac:dyDescent="0.35">
      <c r="A3562" s="52" t="s">
        <v>672</v>
      </c>
      <c r="B3562" s="52" t="s">
        <v>73</v>
      </c>
      <c r="C3562" s="52" t="s">
        <v>354</v>
      </c>
      <c r="D3562" s="52" t="s">
        <v>355</v>
      </c>
      <c r="E3562" s="52" t="s">
        <v>584</v>
      </c>
      <c r="F3562" s="52" t="s">
        <v>26</v>
      </c>
      <c r="G3562" s="195" t="s">
        <v>278</v>
      </c>
      <c r="H3562" s="195">
        <v>0</v>
      </c>
      <c r="I3562" s="195">
        <v>3.11396E-2</v>
      </c>
      <c r="J3562" s="195">
        <v>3.7407599999999999E-2</v>
      </c>
      <c r="K3562" s="195">
        <v>3.159E-2</v>
      </c>
      <c r="L3562" s="195">
        <v>2.8340799999999999E-2</v>
      </c>
      <c r="M3562" s="195">
        <v>5.8221599999999998E-2</v>
      </c>
      <c r="N3562" s="195">
        <v>5.8221599999999998E-2</v>
      </c>
    </row>
    <row r="3563" spans="1:14" hidden="1" x14ac:dyDescent="0.35">
      <c r="A3563" s="52" t="s">
        <v>672</v>
      </c>
      <c r="B3563" s="52" t="s">
        <v>73</v>
      </c>
      <c r="C3563" s="52" t="s">
        <v>327</v>
      </c>
      <c r="D3563" s="52" t="s">
        <v>327</v>
      </c>
      <c r="E3563" s="52" t="s">
        <v>584</v>
      </c>
      <c r="F3563" s="52" t="s">
        <v>581</v>
      </c>
      <c r="G3563" s="195" t="s">
        <v>275</v>
      </c>
      <c r="H3563" s="195">
        <v>1.395084</v>
      </c>
      <c r="I3563" s="195">
        <v>-0.71900869999999995</v>
      </c>
      <c r="J3563" s="195">
        <v>2.5133500000000001E-3</v>
      </c>
      <c r="K3563" s="195">
        <v>1.24355E-3</v>
      </c>
      <c r="L3563" s="195">
        <v>0</v>
      </c>
      <c r="M3563" s="195">
        <v>0</v>
      </c>
      <c r="N3563" s="195">
        <v>0</v>
      </c>
    </row>
    <row r="3564" spans="1:14" hidden="1" x14ac:dyDescent="0.35">
      <c r="A3564" s="52" t="s">
        <v>672</v>
      </c>
      <c r="B3564" s="52" t="s">
        <v>73</v>
      </c>
      <c r="C3564" s="52" t="s">
        <v>327</v>
      </c>
      <c r="D3564" s="52" t="s">
        <v>327</v>
      </c>
      <c r="E3564" s="52" t="s">
        <v>584</v>
      </c>
      <c r="F3564" s="52" t="s">
        <v>581</v>
      </c>
      <c r="G3564" s="195" t="s">
        <v>276</v>
      </c>
      <c r="H3564" s="195">
        <v>-1.4809969999999999</v>
      </c>
      <c r="I3564" s="195">
        <v>-10.448510000000001</v>
      </c>
      <c r="J3564" s="195">
        <v>-4.3361129999999998E-2</v>
      </c>
      <c r="K3564" s="195">
        <v>-3.6617709999999998E-2</v>
      </c>
      <c r="L3564" s="195">
        <v>-3.2851709999999999E-2</v>
      </c>
      <c r="M3564" s="195">
        <v>-0.12873799999999999</v>
      </c>
      <c r="N3564" s="195">
        <v>-0.12873870000000001</v>
      </c>
    </row>
    <row r="3565" spans="1:14" hidden="1" x14ac:dyDescent="0.35">
      <c r="A3565" s="52" t="s">
        <v>672</v>
      </c>
      <c r="B3565" s="52" t="s">
        <v>73</v>
      </c>
      <c r="C3565" s="52" t="s">
        <v>327</v>
      </c>
      <c r="D3565" s="52" t="s">
        <v>327</v>
      </c>
      <c r="E3565" s="52" t="s">
        <v>584</v>
      </c>
      <c r="F3565" s="52" t="s">
        <v>581</v>
      </c>
      <c r="G3565" s="195" t="s">
        <v>277</v>
      </c>
      <c r="H3565" s="195"/>
      <c r="I3565" s="195"/>
      <c r="J3565" s="195"/>
      <c r="K3565" s="195"/>
      <c r="L3565" s="195">
        <v>0</v>
      </c>
      <c r="M3565" s="195">
        <v>6.1249999999999999E-2</v>
      </c>
      <c r="N3565" s="195">
        <v>6.1249999999999999E-2</v>
      </c>
    </row>
    <row r="3566" spans="1:14" hidden="1" x14ac:dyDescent="0.35">
      <c r="A3566" s="52" t="s">
        <v>672</v>
      </c>
      <c r="B3566" s="52" t="s">
        <v>73</v>
      </c>
      <c r="C3566" s="52" t="s">
        <v>327</v>
      </c>
      <c r="D3566" s="52" t="s">
        <v>327</v>
      </c>
      <c r="E3566" s="52" t="s">
        <v>584</v>
      </c>
      <c r="F3566" s="52" t="s">
        <v>581</v>
      </c>
      <c r="G3566" s="195" t="s">
        <v>278</v>
      </c>
      <c r="H3566" s="195">
        <v>8.5913100000000006E-2</v>
      </c>
      <c r="I3566" s="195">
        <v>11.16752</v>
      </c>
      <c r="J3566" s="195">
        <v>4.3361150000000001E-2</v>
      </c>
      <c r="K3566" s="195">
        <v>3.6617700000000003E-2</v>
      </c>
      <c r="L3566" s="195">
        <v>3.2851699999999998E-2</v>
      </c>
      <c r="M3566" s="195">
        <v>6.7488400000000004E-2</v>
      </c>
      <c r="N3566" s="195">
        <v>6.7488400000000004E-2</v>
      </c>
    </row>
    <row r="3567" spans="1:14" hidden="1" x14ac:dyDescent="0.35">
      <c r="A3567" s="52" t="s">
        <v>672</v>
      </c>
      <c r="B3567" s="52" t="s">
        <v>73</v>
      </c>
      <c r="C3567" s="52" t="s">
        <v>327</v>
      </c>
      <c r="D3567" s="52" t="s">
        <v>327</v>
      </c>
      <c r="E3567" s="52" t="s">
        <v>584</v>
      </c>
      <c r="F3567" s="52" t="s">
        <v>26</v>
      </c>
      <c r="G3567" s="195" t="s">
        <v>275</v>
      </c>
      <c r="H3567" s="195">
        <v>0</v>
      </c>
      <c r="I3567" s="195"/>
      <c r="J3567" s="195"/>
      <c r="K3567" s="195"/>
      <c r="L3567" s="195">
        <v>0</v>
      </c>
      <c r="M3567" s="195"/>
      <c r="N3567" s="195"/>
    </row>
    <row r="3568" spans="1:14" hidden="1" x14ac:dyDescent="0.35">
      <c r="A3568" s="52" t="s">
        <v>672</v>
      </c>
      <c r="B3568" s="52" t="s">
        <v>73</v>
      </c>
      <c r="C3568" s="52" t="s">
        <v>327</v>
      </c>
      <c r="D3568" s="52" t="s">
        <v>327</v>
      </c>
      <c r="E3568" s="52" t="s">
        <v>584</v>
      </c>
      <c r="F3568" s="52" t="s">
        <v>26</v>
      </c>
      <c r="G3568" s="195" t="s">
        <v>276</v>
      </c>
      <c r="H3568" s="195"/>
      <c r="I3568" s="195"/>
      <c r="J3568" s="195"/>
      <c r="K3568" s="195"/>
      <c r="L3568" s="195">
        <v>0</v>
      </c>
      <c r="M3568" s="195"/>
      <c r="N3568" s="195"/>
    </row>
    <row r="3569" spans="1:14" hidden="1" x14ac:dyDescent="0.35">
      <c r="A3569" s="52" t="s">
        <v>672</v>
      </c>
      <c r="B3569" s="52" t="s">
        <v>73</v>
      </c>
      <c r="C3569" s="52" t="s">
        <v>327</v>
      </c>
      <c r="D3569" s="52" t="s">
        <v>327</v>
      </c>
      <c r="E3569" s="52" t="s">
        <v>584</v>
      </c>
      <c r="F3569" s="52" t="s">
        <v>26</v>
      </c>
      <c r="G3569" s="195" t="s">
        <v>277</v>
      </c>
      <c r="H3569" s="195"/>
      <c r="I3569" s="195"/>
      <c r="J3569" s="195"/>
      <c r="K3569" s="195"/>
      <c r="L3569" s="195">
        <v>0</v>
      </c>
      <c r="M3569" s="195"/>
      <c r="N3569" s="195">
        <v>0</v>
      </c>
    </row>
    <row r="3570" spans="1:14" hidden="1" x14ac:dyDescent="0.35">
      <c r="A3570" s="52" t="s">
        <v>672</v>
      </c>
      <c r="B3570" s="52" t="s">
        <v>73</v>
      </c>
      <c r="C3570" s="52" t="s">
        <v>327</v>
      </c>
      <c r="D3570" s="52" t="s">
        <v>327</v>
      </c>
      <c r="E3570" s="52" t="s">
        <v>584</v>
      </c>
      <c r="F3570" s="52" t="s">
        <v>26</v>
      </c>
      <c r="G3570" s="195" t="s">
        <v>278</v>
      </c>
      <c r="H3570" s="195">
        <v>0</v>
      </c>
      <c r="I3570" s="195"/>
      <c r="J3570" s="195">
        <v>0</v>
      </c>
      <c r="K3570" s="195"/>
      <c r="L3570" s="195"/>
      <c r="M3570" s="195"/>
      <c r="N3570" s="195"/>
    </row>
    <row r="3571" spans="1:14" hidden="1" x14ac:dyDescent="0.35">
      <c r="A3571" s="52" t="s">
        <v>672</v>
      </c>
      <c r="B3571" s="52" t="s">
        <v>73</v>
      </c>
      <c r="C3571" s="52" t="s">
        <v>338</v>
      </c>
      <c r="D3571" s="52" t="s">
        <v>338</v>
      </c>
      <c r="E3571" s="52" t="s">
        <v>584</v>
      </c>
      <c r="F3571" s="52" t="s">
        <v>581</v>
      </c>
      <c r="G3571" s="195" t="s">
        <v>275</v>
      </c>
      <c r="H3571" s="195">
        <v>-1.12722E-2</v>
      </c>
      <c r="I3571" s="195">
        <v>-3.4884009999999999E-3</v>
      </c>
      <c r="J3571" s="195">
        <v>0</v>
      </c>
      <c r="K3571" s="195">
        <v>0</v>
      </c>
      <c r="L3571" s="195">
        <v>0</v>
      </c>
      <c r="M3571" s="195">
        <v>0</v>
      </c>
      <c r="N3571" s="195">
        <v>0</v>
      </c>
    </row>
    <row r="3572" spans="1:14" hidden="1" x14ac:dyDescent="0.35">
      <c r="A3572" s="52" t="s">
        <v>672</v>
      </c>
      <c r="B3572" s="52" t="s">
        <v>73</v>
      </c>
      <c r="C3572" s="52" t="s">
        <v>338</v>
      </c>
      <c r="D3572" s="52" t="s">
        <v>338</v>
      </c>
      <c r="E3572" s="52" t="s">
        <v>584</v>
      </c>
      <c r="F3572" s="52" t="s">
        <v>581</v>
      </c>
      <c r="G3572" s="195" t="s">
        <v>276</v>
      </c>
      <c r="H3572" s="195">
        <v>-7.0399509999999998E-2</v>
      </c>
      <c r="I3572" s="195">
        <v>-4.9864800000000001E-2</v>
      </c>
      <c r="J3572" s="195">
        <v>-6.4091389999999998E-2</v>
      </c>
      <c r="K3572" s="195">
        <v>-2.5546410000000002</v>
      </c>
      <c r="L3572" s="195">
        <v>-4.8557999999999997E-2</v>
      </c>
      <c r="M3572" s="195">
        <v>-0.11025359999999999</v>
      </c>
      <c r="N3572" s="195">
        <v>-0.42525390000000002</v>
      </c>
    </row>
    <row r="3573" spans="1:14" hidden="1" x14ac:dyDescent="0.35">
      <c r="A3573" s="52" t="s">
        <v>672</v>
      </c>
      <c r="B3573" s="52" t="s">
        <v>73</v>
      </c>
      <c r="C3573" s="52" t="s">
        <v>338</v>
      </c>
      <c r="D3573" s="52" t="s">
        <v>338</v>
      </c>
      <c r="E3573" s="52" t="s">
        <v>584</v>
      </c>
      <c r="F3573" s="52" t="s">
        <v>581</v>
      </c>
      <c r="G3573" s="195" t="s">
        <v>277</v>
      </c>
      <c r="H3573" s="195"/>
      <c r="I3573" s="195"/>
      <c r="J3573" s="195"/>
      <c r="K3573" s="195"/>
      <c r="L3573" s="195">
        <v>0</v>
      </c>
      <c r="M3573" s="195">
        <v>1.0500000000000001E-2</v>
      </c>
      <c r="N3573" s="195">
        <v>0.32550000000000001</v>
      </c>
    </row>
    <row r="3574" spans="1:14" hidden="1" x14ac:dyDescent="0.35">
      <c r="A3574" s="52" t="s">
        <v>672</v>
      </c>
      <c r="B3574" s="52" t="s">
        <v>73</v>
      </c>
      <c r="C3574" s="52" t="s">
        <v>338</v>
      </c>
      <c r="D3574" s="52" t="s">
        <v>338</v>
      </c>
      <c r="E3574" s="52" t="s">
        <v>584</v>
      </c>
      <c r="F3574" s="52" t="s">
        <v>581</v>
      </c>
      <c r="G3574" s="195" t="s">
        <v>278</v>
      </c>
      <c r="H3574" s="195">
        <v>8.1671999999999995E-2</v>
      </c>
      <c r="I3574" s="195">
        <v>5.3353200000000003E-2</v>
      </c>
      <c r="J3574" s="195">
        <v>6.4091700000000001E-2</v>
      </c>
      <c r="K3574" s="195">
        <v>2.5546410000000002</v>
      </c>
      <c r="L3574" s="195">
        <v>4.8557999999999997E-2</v>
      </c>
      <c r="M3574" s="195">
        <v>9.9753889999999998E-2</v>
      </c>
      <c r="N3574" s="195">
        <v>9.9753889999999998E-2</v>
      </c>
    </row>
    <row r="3575" spans="1:14" hidden="1" x14ac:dyDescent="0.35">
      <c r="A3575" s="52" t="s">
        <v>672</v>
      </c>
      <c r="B3575" s="52" t="s">
        <v>73</v>
      </c>
      <c r="C3575" s="52" t="s">
        <v>338</v>
      </c>
      <c r="D3575" s="52" t="s">
        <v>338</v>
      </c>
      <c r="E3575" s="52" t="s">
        <v>584</v>
      </c>
      <c r="F3575" s="52" t="s">
        <v>581</v>
      </c>
      <c r="G3575" s="195" t="s">
        <v>279</v>
      </c>
      <c r="H3575" s="195"/>
      <c r="I3575" s="195"/>
      <c r="J3575" s="195"/>
      <c r="K3575" s="195"/>
      <c r="L3575" s="195"/>
      <c r="M3575" s="195"/>
      <c r="N3575" s="195">
        <v>0</v>
      </c>
    </row>
    <row r="3576" spans="1:14" hidden="1" x14ac:dyDescent="0.35">
      <c r="A3576" s="52" t="s">
        <v>672</v>
      </c>
      <c r="B3576" s="52" t="s">
        <v>73</v>
      </c>
      <c r="C3576" s="52" t="s">
        <v>338</v>
      </c>
      <c r="D3576" s="52" t="s">
        <v>338</v>
      </c>
      <c r="E3576" s="52" t="s">
        <v>584</v>
      </c>
      <c r="F3576" s="52" t="s">
        <v>26</v>
      </c>
      <c r="G3576" s="195" t="s">
        <v>275</v>
      </c>
      <c r="H3576" s="195"/>
      <c r="I3576" s="195"/>
      <c r="J3576" s="195"/>
      <c r="K3576" s="195"/>
      <c r="L3576" s="195"/>
      <c r="M3576" s="195"/>
      <c r="N3576" s="195">
        <v>0</v>
      </c>
    </row>
    <row r="3577" spans="1:14" hidden="1" x14ac:dyDescent="0.35">
      <c r="A3577" s="52" t="s">
        <v>672</v>
      </c>
      <c r="B3577" s="52" t="s">
        <v>73</v>
      </c>
      <c r="C3577" s="52" t="s">
        <v>338</v>
      </c>
      <c r="D3577" s="52" t="s">
        <v>338</v>
      </c>
      <c r="E3577" s="52" t="s">
        <v>584</v>
      </c>
      <c r="F3577" s="52" t="s">
        <v>26</v>
      </c>
      <c r="G3577" s="195" t="s">
        <v>276</v>
      </c>
      <c r="H3577" s="195"/>
      <c r="I3577" s="195"/>
      <c r="J3577" s="195"/>
      <c r="K3577" s="195"/>
      <c r="L3577" s="195"/>
      <c r="M3577" s="195"/>
      <c r="N3577" s="195">
        <v>0</v>
      </c>
    </row>
    <row r="3578" spans="1:14" hidden="1" x14ac:dyDescent="0.35">
      <c r="A3578" s="52" t="s">
        <v>672</v>
      </c>
      <c r="B3578" s="52" t="s">
        <v>73</v>
      </c>
      <c r="C3578" s="52" t="s">
        <v>338</v>
      </c>
      <c r="D3578" s="52" t="s">
        <v>338</v>
      </c>
      <c r="E3578" s="52" t="s">
        <v>584</v>
      </c>
      <c r="F3578" s="52" t="s">
        <v>26</v>
      </c>
      <c r="G3578" s="195" t="s">
        <v>279</v>
      </c>
      <c r="H3578" s="195"/>
      <c r="I3578" s="195"/>
      <c r="J3578" s="195"/>
      <c r="K3578" s="195"/>
      <c r="L3578" s="195"/>
      <c r="M3578" s="195"/>
      <c r="N3578" s="195">
        <v>0</v>
      </c>
    </row>
    <row r="3579" spans="1:14" hidden="1" x14ac:dyDescent="0.35">
      <c r="A3579" s="52" t="s">
        <v>672</v>
      </c>
      <c r="B3579" s="52" t="s">
        <v>73</v>
      </c>
      <c r="C3579" s="52" t="s">
        <v>328</v>
      </c>
      <c r="D3579" s="52" t="s">
        <v>328</v>
      </c>
      <c r="E3579" s="52" t="s">
        <v>584</v>
      </c>
      <c r="F3579" s="52" t="s">
        <v>581</v>
      </c>
      <c r="G3579" s="195" t="s">
        <v>275</v>
      </c>
      <c r="H3579" s="195">
        <v>-4.4656000000000001E-3</v>
      </c>
      <c r="I3579" s="195">
        <v>-2.5799280000000002</v>
      </c>
      <c r="J3579" s="195">
        <v>0</v>
      </c>
      <c r="K3579" s="195">
        <v>0</v>
      </c>
      <c r="L3579" s="195">
        <v>0</v>
      </c>
      <c r="M3579" s="195">
        <v>0</v>
      </c>
      <c r="N3579" s="195">
        <v>0</v>
      </c>
    </row>
    <row r="3580" spans="1:14" hidden="1" x14ac:dyDescent="0.35">
      <c r="A3580" s="52" t="s">
        <v>672</v>
      </c>
      <c r="B3580" s="52" t="s">
        <v>73</v>
      </c>
      <c r="C3580" s="52" t="s">
        <v>328</v>
      </c>
      <c r="D3580" s="52" t="s">
        <v>328</v>
      </c>
      <c r="E3580" s="52" t="s">
        <v>584</v>
      </c>
      <c r="F3580" s="52" t="s">
        <v>581</v>
      </c>
      <c r="G3580" s="195" t="s">
        <v>276</v>
      </c>
      <c r="H3580" s="195">
        <v>-8.9495199999999997E-2</v>
      </c>
      <c r="I3580" s="195">
        <v>-10.999459999999999</v>
      </c>
      <c r="J3580" s="195">
        <v>-7.373478E-2</v>
      </c>
      <c r="K3580" s="195">
        <v>-6.2266799999999997E-2</v>
      </c>
      <c r="L3580" s="195">
        <v>-0.125864</v>
      </c>
      <c r="M3580" s="195">
        <v>-0.18476319999999999</v>
      </c>
      <c r="N3580" s="195">
        <v>-2.214763</v>
      </c>
    </row>
    <row r="3581" spans="1:14" hidden="1" x14ac:dyDescent="0.35">
      <c r="A3581" s="52" t="s">
        <v>672</v>
      </c>
      <c r="B3581" s="52" t="s">
        <v>73</v>
      </c>
      <c r="C3581" s="52" t="s">
        <v>328</v>
      </c>
      <c r="D3581" s="52" t="s">
        <v>328</v>
      </c>
      <c r="E3581" s="52" t="s">
        <v>584</v>
      </c>
      <c r="F3581" s="52" t="s">
        <v>581</v>
      </c>
      <c r="G3581" s="195" t="s">
        <v>277</v>
      </c>
      <c r="H3581" s="195"/>
      <c r="I3581" s="195"/>
      <c r="J3581" s="195"/>
      <c r="K3581" s="195">
        <v>0</v>
      </c>
      <c r="L3581" s="195">
        <v>7.0000000000000007E-2</v>
      </c>
      <c r="M3581" s="195">
        <v>7.0000000000000007E-2</v>
      </c>
      <c r="N3581" s="195">
        <v>2.1</v>
      </c>
    </row>
    <row r="3582" spans="1:14" hidden="1" x14ac:dyDescent="0.35">
      <c r="A3582" s="52" t="s">
        <v>672</v>
      </c>
      <c r="B3582" s="52" t="s">
        <v>73</v>
      </c>
      <c r="C3582" s="52" t="s">
        <v>328</v>
      </c>
      <c r="D3582" s="52" t="s">
        <v>328</v>
      </c>
      <c r="E3582" s="52" t="s">
        <v>584</v>
      </c>
      <c r="F3582" s="52" t="s">
        <v>581</v>
      </c>
      <c r="G3582" s="195" t="s">
        <v>278</v>
      </c>
      <c r="H3582" s="195">
        <v>9.3960399999999999E-2</v>
      </c>
      <c r="I3582" s="195">
        <v>13.57939</v>
      </c>
      <c r="J3582" s="195">
        <v>7.3734800000000003E-2</v>
      </c>
      <c r="K3582" s="195">
        <v>6.2267599999999999E-2</v>
      </c>
      <c r="L3582" s="195">
        <v>5.5863999999999997E-2</v>
      </c>
      <c r="M3582" s="195">
        <v>0.1147628</v>
      </c>
      <c r="N3582" s="195">
        <v>0.1147628</v>
      </c>
    </row>
    <row r="3583" spans="1:14" hidden="1" x14ac:dyDescent="0.35">
      <c r="A3583" s="52" t="s">
        <v>672</v>
      </c>
      <c r="B3583" s="52" t="s">
        <v>73</v>
      </c>
      <c r="C3583" s="52" t="s">
        <v>328</v>
      </c>
      <c r="D3583" s="52" t="s">
        <v>328</v>
      </c>
      <c r="E3583" s="52" t="s">
        <v>584</v>
      </c>
      <c r="F3583" s="52" t="s">
        <v>581</v>
      </c>
      <c r="G3583" s="195" t="s">
        <v>279</v>
      </c>
      <c r="H3583" s="195"/>
      <c r="I3583" s="195"/>
      <c r="J3583" s="195"/>
      <c r="K3583" s="195"/>
      <c r="L3583" s="195"/>
      <c r="M3583" s="195"/>
      <c r="N3583" s="195">
        <v>0</v>
      </c>
    </row>
    <row r="3584" spans="1:14" hidden="1" x14ac:dyDescent="0.35">
      <c r="A3584" s="52" t="s">
        <v>672</v>
      </c>
      <c r="B3584" s="52" t="s">
        <v>73</v>
      </c>
      <c r="C3584" s="52" t="s">
        <v>328</v>
      </c>
      <c r="D3584" s="52" t="s">
        <v>328</v>
      </c>
      <c r="E3584" s="52" t="s">
        <v>584</v>
      </c>
      <c r="F3584" s="52" t="s">
        <v>26</v>
      </c>
      <c r="G3584" s="195" t="s">
        <v>275</v>
      </c>
      <c r="H3584" s="195">
        <v>0</v>
      </c>
      <c r="I3584" s="195"/>
      <c r="J3584" s="195"/>
      <c r="K3584" s="195"/>
      <c r="L3584" s="195">
        <v>0</v>
      </c>
      <c r="M3584" s="195"/>
      <c r="N3584" s="195"/>
    </row>
    <row r="3585" spans="1:14" hidden="1" x14ac:dyDescent="0.35">
      <c r="A3585" s="52" t="s">
        <v>672</v>
      </c>
      <c r="B3585" s="52" t="s">
        <v>73</v>
      </c>
      <c r="C3585" s="52" t="s">
        <v>328</v>
      </c>
      <c r="D3585" s="52" t="s">
        <v>328</v>
      </c>
      <c r="E3585" s="52" t="s">
        <v>584</v>
      </c>
      <c r="F3585" s="52" t="s">
        <v>26</v>
      </c>
      <c r="G3585" s="195" t="s">
        <v>276</v>
      </c>
      <c r="H3585" s="195"/>
      <c r="I3585" s="195"/>
      <c r="J3585" s="195"/>
      <c r="K3585" s="195"/>
      <c r="L3585" s="195">
        <v>0</v>
      </c>
      <c r="M3585" s="195"/>
      <c r="N3585" s="195"/>
    </row>
    <row r="3586" spans="1:14" hidden="1" x14ac:dyDescent="0.35">
      <c r="A3586" s="52" t="s">
        <v>672</v>
      </c>
      <c r="B3586" s="52" t="s">
        <v>73</v>
      </c>
      <c r="C3586" s="52" t="s">
        <v>328</v>
      </c>
      <c r="D3586" s="52" t="s">
        <v>328</v>
      </c>
      <c r="E3586" s="52" t="s">
        <v>584</v>
      </c>
      <c r="F3586" s="52" t="s">
        <v>26</v>
      </c>
      <c r="G3586" s="195" t="s">
        <v>277</v>
      </c>
      <c r="H3586" s="195"/>
      <c r="I3586" s="195"/>
      <c r="J3586" s="195"/>
      <c r="K3586" s="195">
        <v>0</v>
      </c>
      <c r="L3586" s="195"/>
      <c r="M3586" s="195">
        <v>0</v>
      </c>
      <c r="N3586" s="195">
        <v>0</v>
      </c>
    </row>
    <row r="3587" spans="1:14" hidden="1" x14ac:dyDescent="0.35">
      <c r="A3587" s="52" t="s">
        <v>672</v>
      </c>
      <c r="B3587" s="52" t="s">
        <v>73</v>
      </c>
      <c r="C3587" s="52" t="s">
        <v>328</v>
      </c>
      <c r="D3587" s="52" t="s">
        <v>328</v>
      </c>
      <c r="E3587" s="52" t="s">
        <v>584</v>
      </c>
      <c r="F3587" s="52" t="s">
        <v>26</v>
      </c>
      <c r="G3587" s="195" t="s">
        <v>278</v>
      </c>
      <c r="H3587" s="195">
        <v>0</v>
      </c>
      <c r="I3587" s="195"/>
      <c r="J3587" s="195">
        <v>0</v>
      </c>
      <c r="K3587" s="195"/>
      <c r="L3587" s="195"/>
      <c r="M3587" s="195"/>
      <c r="N3587" s="195"/>
    </row>
    <row r="3588" spans="1:14" hidden="1" x14ac:dyDescent="0.35">
      <c r="A3588" s="52" t="s">
        <v>672</v>
      </c>
      <c r="B3588" s="52" t="s">
        <v>73</v>
      </c>
      <c r="C3588" s="52" t="s">
        <v>328</v>
      </c>
      <c r="D3588" s="52" t="s">
        <v>328</v>
      </c>
      <c r="E3588" s="52" t="s">
        <v>584</v>
      </c>
      <c r="F3588" s="52" t="s">
        <v>26</v>
      </c>
      <c r="G3588" s="195" t="s">
        <v>279</v>
      </c>
      <c r="H3588" s="195"/>
      <c r="I3588" s="195"/>
      <c r="J3588" s="195"/>
      <c r="K3588" s="195"/>
      <c r="L3588" s="195"/>
      <c r="M3588" s="195"/>
      <c r="N3588" s="195">
        <v>0</v>
      </c>
    </row>
    <row r="3589" spans="1:14" hidden="1" x14ac:dyDescent="0.35">
      <c r="A3589" s="52" t="s">
        <v>672</v>
      </c>
      <c r="B3589" s="52" t="s">
        <v>73</v>
      </c>
      <c r="C3589" s="52" t="s">
        <v>318</v>
      </c>
      <c r="D3589" s="52" t="s">
        <v>318</v>
      </c>
      <c r="E3589" s="52" t="s">
        <v>584</v>
      </c>
      <c r="F3589" s="52" t="s">
        <v>581</v>
      </c>
      <c r="G3589" s="195" t="s">
        <v>275</v>
      </c>
      <c r="H3589" s="195">
        <v>0</v>
      </c>
      <c r="I3589" s="195"/>
      <c r="J3589" s="195"/>
      <c r="K3589" s="195"/>
      <c r="L3589" s="195"/>
      <c r="M3589" s="195"/>
      <c r="N3589" s="195"/>
    </row>
    <row r="3590" spans="1:14" hidden="1" x14ac:dyDescent="0.35">
      <c r="A3590" s="52" t="s">
        <v>672</v>
      </c>
      <c r="B3590" s="52" t="s">
        <v>73</v>
      </c>
      <c r="C3590" s="52" t="s">
        <v>318</v>
      </c>
      <c r="D3590" s="52" t="s">
        <v>318</v>
      </c>
      <c r="E3590" s="52" t="s">
        <v>584</v>
      </c>
      <c r="F3590" s="52" t="s">
        <v>581</v>
      </c>
      <c r="G3590" s="195" t="s">
        <v>276</v>
      </c>
      <c r="H3590" s="195">
        <v>0</v>
      </c>
      <c r="I3590" s="195"/>
      <c r="J3590" s="195"/>
      <c r="K3590" s="195"/>
      <c r="L3590" s="195"/>
      <c r="M3590" s="195"/>
      <c r="N3590" s="195"/>
    </row>
    <row r="3591" spans="1:14" hidden="1" x14ac:dyDescent="0.35">
      <c r="A3591" s="52" t="s">
        <v>672</v>
      </c>
      <c r="B3591" s="52" t="s">
        <v>73</v>
      </c>
      <c r="C3591" s="52" t="s">
        <v>318</v>
      </c>
      <c r="D3591" s="52" t="s">
        <v>318</v>
      </c>
      <c r="E3591" s="52" t="s">
        <v>584</v>
      </c>
      <c r="F3591" s="52" t="s">
        <v>581</v>
      </c>
      <c r="G3591" s="195" t="s">
        <v>278</v>
      </c>
      <c r="H3591" s="195">
        <v>0</v>
      </c>
      <c r="I3591" s="195"/>
      <c r="J3591" s="195"/>
      <c r="K3591" s="195"/>
      <c r="L3591" s="195"/>
      <c r="M3591" s="195"/>
      <c r="N3591" s="195"/>
    </row>
    <row r="3592" spans="1:14" hidden="1" x14ac:dyDescent="0.35">
      <c r="A3592" s="52" t="s">
        <v>672</v>
      </c>
      <c r="B3592" s="52" t="s">
        <v>73</v>
      </c>
      <c r="C3592" s="52" t="s">
        <v>318</v>
      </c>
      <c r="D3592" s="52" t="s">
        <v>318</v>
      </c>
      <c r="E3592" s="52" t="s">
        <v>584</v>
      </c>
      <c r="F3592" s="52" t="s">
        <v>26</v>
      </c>
      <c r="G3592" s="195" t="s">
        <v>275</v>
      </c>
      <c r="H3592" s="195">
        <v>0</v>
      </c>
      <c r="I3592" s="195"/>
      <c r="J3592" s="195"/>
      <c r="K3592" s="195"/>
      <c r="L3592" s="195"/>
      <c r="M3592" s="195"/>
      <c r="N3592" s="195"/>
    </row>
    <row r="3593" spans="1:14" hidden="1" x14ac:dyDescent="0.35">
      <c r="A3593" s="52" t="s">
        <v>672</v>
      </c>
      <c r="B3593" s="52" t="s">
        <v>73</v>
      </c>
      <c r="C3593" s="52" t="s">
        <v>318</v>
      </c>
      <c r="D3593" s="52" t="s">
        <v>318</v>
      </c>
      <c r="E3593" s="52" t="s">
        <v>584</v>
      </c>
      <c r="F3593" s="52" t="s">
        <v>26</v>
      </c>
      <c r="G3593" s="195" t="s">
        <v>276</v>
      </c>
      <c r="H3593" s="195">
        <v>0</v>
      </c>
      <c r="I3593" s="195"/>
      <c r="J3593" s="195"/>
      <c r="K3593" s="195"/>
      <c r="L3593" s="195"/>
      <c r="M3593" s="195"/>
      <c r="N3593" s="195"/>
    </row>
    <row r="3594" spans="1:14" hidden="1" x14ac:dyDescent="0.35">
      <c r="A3594" s="52" t="s">
        <v>672</v>
      </c>
      <c r="B3594" s="52" t="s">
        <v>73</v>
      </c>
      <c r="C3594" s="52" t="s">
        <v>318</v>
      </c>
      <c r="D3594" s="52" t="s">
        <v>318</v>
      </c>
      <c r="E3594" s="52" t="s">
        <v>584</v>
      </c>
      <c r="F3594" s="52" t="s">
        <v>26</v>
      </c>
      <c r="G3594" s="195" t="s">
        <v>278</v>
      </c>
      <c r="H3594" s="195">
        <v>0</v>
      </c>
      <c r="I3594" s="195"/>
      <c r="J3594" s="195"/>
      <c r="K3594" s="195"/>
      <c r="L3594" s="195"/>
      <c r="M3594" s="195"/>
      <c r="N3594" s="195"/>
    </row>
    <row r="3595" spans="1:14" hidden="1" x14ac:dyDescent="0.35">
      <c r="A3595" s="52" t="s">
        <v>672</v>
      </c>
      <c r="B3595" s="52" t="s">
        <v>73</v>
      </c>
      <c r="C3595" s="52" t="s">
        <v>339</v>
      </c>
      <c r="D3595" s="52" t="s">
        <v>340</v>
      </c>
      <c r="E3595" s="52" t="s">
        <v>584</v>
      </c>
      <c r="F3595" s="52" t="s">
        <v>581</v>
      </c>
      <c r="G3595" s="195" t="s">
        <v>275</v>
      </c>
      <c r="H3595" s="195">
        <v>-7.3625020000000001</v>
      </c>
      <c r="I3595" s="195">
        <v>1.663921</v>
      </c>
      <c r="J3595" s="195">
        <v>1.661729</v>
      </c>
      <c r="K3595" s="195">
        <v>1.661924</v>
      </c>
      <c r="L3595" s="195">
        <v>-2.1670000000000001E-3</v>
      </c>
      <c r="M3595" s="195">
        <v>-3.6624999999999998E-2</v>
      </c>
      <c r="N3595" s="195">
        <v>-3.0529199999999999E-2</v>
      </c>
    </row>
    <row r="3596" spans="1:14" hidden="1" x14ac:dyDescent="0.35">
      <c r="A3596" s="52" t="s">
        <v>672</v>
      </c>
      <c r="B3596" s="52" t="s">
        <v>73</v>
      </c>
      <c r="C3596" s="52" t="s">
        <v>339</v>
      </c>
      <c r="D3596" s="52" t="s">
        <v>340</v>
      </c>
      <c r="E3596" s="52" t="s">
        <v>584</v>
      </c>
      <c r="F3596" s="52" t="s">
        <v>581</v>
      </c>
      <c r="G3596" s="195" t="s">
        <v>276</v>
      </c>
      <c r="H3596" s="195">
        <v>-33.698390000000003</v>
      </c>
      <c r="I3596" s="195">
        <v>-1.6909810000000001</v>
      </c>
      <c r="J3596" s="195">
        <v>-1.6942349999999999</v>
      </c>
      <c r="K3596" s="195">
        <v>-1.689376</v>
      </c>
      <c r="L3596" s="195">
        <v>-2.2461600000000002E-2</v>
      </c>
      <c r="M3596" s="195">
        <v>-4.8969400000000003E-2</v>
      </c>
      <c r="N3596" s="195">
        <v>-5.5065410000000002E-2</v>
      </c>
    </row>
    <row r="3597" spans="1:14" hidden="1" x14ac:dyDescent="0.35">
      <c r="A3597" s="52" t="s">
        <v>672</v>
      </c>
      <c r="B3597" s="52" t="s">
        <v>73</v>
      </c>
      <c r="C3597" s="52" t="s">
        <v>339</v>
      </c>
      <c r="D3597" s="52" t="s">
        <v>340</v>
      </c>
      <c r="E3597" s="52" t="s">
        <v>584</v>
      </c>
      <c r="F3597" s="52" t="s">
        <v>581</v>
      </c>
      <c r="G3597" s="195" t="s">
        <v>277</v>
      </c>
      <c r="H3597" s="195"/>
      <c r="I3597" s="195"/>
      <c r="J3597" s="195"/>
      <c r="K3597" s="195"/>
      <c r="L3597" s="195">
        <v>0</v>
      </c>
      <c r="M3597" s="195">
        <v>3.5000000000000003E-2</v>
      </c>
      <c r="N3597" s="195">
        <v>3.5000000000000003E-2</v>
      </c>
    </row>
    <row r="3598" spans="1:14" hidden="1" x14ac:dyDescent="0.35">
      <c r="A3598" s="52" t="s">
        <v>672</v>
      </c>
      <c r="B3598" s="52" t="s">
        <v>73</v>
      </c>
      <c r="C3598" s="52" t="s">
        <v>339</v>
      </c>
      <c r="D3598" s="52" t="s">
        <v>340</v>
      </c>
      <c r="E3598" s="52" t="s">
        <v>584</v>
      </c>
      <c r="F3598" s="52" t="s">
        <v>581</v>
      </c>
      <c r="G3598" s="195" t="s">
        <v>278</v>
      </c>
      <c r="H3598" s="195">
        <v>41.060890000000001</v>
      </c>
      <c r="I3598" s="195">
        <v>2.7060399999999998E-2</v>
      </c>
      <c r="J3598" s="195">
        <v>3.2507000000000001E-2</v>
      </c>
      <c r="K3598" s="195">
        <v>2.74516E-2</v>
      </c>
      <c r="L3598" s="195">
        <v>2.4628400000000002E-2</v>
      </c>
      <c r="M3598" s="195">
        <v>5.0594600000000003E-2</v>
      </c>
      <c r="N3598" s="195">
        <v>5.0594600000000003E-2</v>
      </c>
    </row>
    <row r="3599" spans="1:14" hidden="1" x14ac:dyDescent="0.35">
      <c r="A3599" s="52" t="s">
        <v>672</v>
      </c>
      <c r="B3599" s="52" t="s">
        <v>73</v>
      </c>
      <c r="C3599" s="52" t="s">
        <v>344</v>
      </c>
      <c r="D3599" s="52" t="s">
        <v>344</v>
      </c>
      <c r="E3599" s="52" t="s">
        <v>584</v>
      </c>
      <c r="F3599" s="52" t="s">
        <v>581</v>
      </c>
      <c r="G3599" s="195" t="s">
        <v>275</v>
      </c>
      <c r="H3599" s="195">
        <v>-2.9193400000000001E-2</v>
      </c>
      <c r="I3599" s="195">
        <v>-9.7360020000000005E-3</v>
      </c>
      <c r="J3599" s="195">
        <v>0</v>
      </c>
      <c r="K3599" s="195">
        <v>0</v>
      </c>
      <c r="L3599" s="195">
        <v>0</v>
      </c>
      <c r="M3599" s="195">
        <v>0</v>
      </c>
      <c r="N3599" s="195">
        <v>0</v>
      </c>
    </row>
    <row r="3600" spans="1:14" hidden="1" x14ac:dyDescent="0.35">
      <c r="A3600" s="52" t="s">
        <v>672</v>
      </c>
      <c r="B3600" s="52" t="s">
        <v>73</v>
      </c>
      <c r="C3600" s="52" t="s">
        <v>344</v>
      </c>
      <c r="D3600" s="52" t="s">
        <v>344</v>
      </c>
      <c r="E3600" s="52" t="s">
        <v>584</v>
      </c>
      <c r="F3600" s="52" t="s">
        <v>581</v>
      </c>
      <c r="G3600" s="195" t="s">
        <v>276</v>
      </c>
      <c r="H3600" s="195">
        <v>-0.1749696</v>
      </c>
      <c r="I3600" s="195">
        <v>-0.12363590000000001</v>
      </c>
      <c r="J3600" s="195">
        <v>-5.1042610000000002</v>
      </c>
      <c r="K3600" s="195">
        <v>-2.6981030000000001</v>
      </c>
      <c r="L3600" s="195">
        <v>-0.1213843</v>
      </c>
      <c r="M3600" s="195">
        <v>-0.26336549999999997</v>
      </c>
      <c r="N3600" s="195">
        <v>-0.2878636</v>
      </c>
    </row>
    <row r="3601" spans="1:14" hidden="1" x14ac:dyDescent="0.35">
      <c r="A3601" s="52" t="s">
        <v>672</v>
      </c>
      <c r="B3601" s="52" t="s">
        <v>73</v>
      </c>
      <c r="C3601" s="52" t="s">
        <v>344</v>
      </c>
      <c r="D3601" s="52" t="s">
        <v>344</v>
      </c>
      <c r="E3601" s="52" t="s">
        <v>584</v>
      </c>
      <c r="F3601" s="52" t="s">
        <v>581</v>
      </c>
      <c r="G3601" s="195" t="s">
        <v>277</v>
      </c>
      <c r="H3601" s="195"/>
      <c r="I3601" s="195"/>
      <c r="J3601" s="195"/>
      <c r="K3601" s="195"/>
      <c r="L3601" s="195">
        <v>0</v>
      </c>
      <c r="M3601" s="195">
        <v>1.4E-2</v>
      </c>
      <c r="N3601" s="195">
        <v>3.85E-2</v>
      </c>
    </row>
    <row r="3602" spans="1:14" hidden="1" x14ac:dyDescent="0.35">
      <c r="A3602" s="52" t="s">
        <v>672</v>
      </c>
      <c r="B3602" s="52" t="s">
        <v>73</v>
      </c>
      <c r="C3602" s="52" t="s">
        <v>344</v>
      </c>
      <c r="D3602" s="52" t="s">
        <v>344</v>
      </c>
      <c r="E3602" s="52" t="s">
        <v>584</v>
      </c>
      <c r="F3602" s="52" t="s">
        <v>581</v>
      </c>
      <c r="G3602" s="195" t="s">
        <v>278</v>
      </c>
      <c r="H3602" s="195">
        <v>0.20416339999999999</v>
      </c>
      <c r="I3602" s="195">
        <v>0.13337189999999999</v>
      </c>
      <c r="J3602" s="195">
        <v>5.10426</v>
      </c>
      <c r="K3602" s="195">
        <v>2.6981030000000001</v>
      </c>
      <c r="L3602" s="195">
        <v>0.1213843</v>
      </c>
      <c r="M3602" s="195">
        <v>0.24936430000000001</v>
      </c>
      <c r="N3602" s="195">
        <v>0.24936430000000001</v>
      </c>
    </row>
    <row r="3603" spans="1:14" hidden="1" x14ac:dyDescent="0.35">
      <c r="A3603" s="52" t="s">
        <v>672</v>
      </c>
      <c r="B3603" s="52" t="s">
        <v>73</v>
      </c>
      <c r="C3603" s="52" t="s">
        <v>325</v>
      </c>
      <c r="D3603" s="52" t="s">
        <v>325</v>
      </c>
      <c r="E3603" s="52" t="s">
        <v>584</v>
      </c>
      <c r="F3603" s="52" t="s">
        <v>581</v>
      </c>
      <c r="G3603" s="195" t="s">
        <v>275</v>
      </c>
      <c r="H3603" s="195">
        <v>2.6502880000000002</v>
      </c>
      <c r="I3603" s="195">
        <v>2.7148780000000001</v>
      </c>
      <c r="J3603" s="195">
        <v>8.9922000000000005E-3</v>
      </c>
      <c r="K3603" s="195">
        <v>4.4483999999999999E-3</v>
      </c>
      <c r="L3603" s="195">
        <v>0</v>
      </c>
      <c r="M3603" s="195">
        <v>0</v>
      </c>
      <c r="N3603" s="195">
        <v>0</v>
      </c>
    </row>
    <row r="3604" spans="1:14" hidden="1" x14ac:dyDescent="0.35">
      <c r="A3604" s="52" t="s">
        <v>672</v>
      </c>
      <c r="B3604" s="52" t="s">
        <v>73</v>
      </c>
      <c r="C3604" s="52" t="s">
        <v>325</v>
      </c>
      <c r="D3604" s="52" t="s">
        <v>325</v>
      </c>
      <c r="E3604" s="52" t="s">
        <v>584</v>
      </c>
      <c r="F3604" s="52" t="s">
        <v>581</v>
      </c>
      <c r="G3604" s="195" t="s">
        <v>276</v>
      </c>
      <c r="H3604" s="195">
        <v>-3.5426350000000002</v>
      </c>
      <c r="I3604" s="195">
        <v>-3.2978160000000001</v>
      </c>
      <c r="J3604" s="195">
        <v>-22.154599999999999</v>
      </c>
      <c r="K3604" s="195">
        <v>-1.4388030000000001</v>
      </c>
      <c r="L3604" s="195">
        <v>-5.0307870000000001</v>
      </c>
      <c r="M3604" s="195">
        <v>-0.65301529999999997</v>
      </c>
      <c r="N3604" s="195">
        <v>-6.1615270000000004</v>
      </c>
    </row>
    <row r="3605" spans="1:14" hidden="1" x14ac:dyDescent="0.35">
      <c r="A3605" s="52" t="s">
        <v>672</v>
      </c>
      <c r="B3605" s="52" t="s">
        <v>73</v>
      </c>
      <c r="C3605" s="52" t="s">
        <v>325</v>
      </c>
      <c r="D3605" s="52" t="s">
        <v>325</v>
      </c>
      <c r="E3605" s="52" t="s">
        <v>584</v>
      </c>
      <c r="F3605" s="52" t="s">
        <v>581</v>
      </c>
      <c r="G3605" s="195" t="s">
        <v>277</v>
      </c>
      <c r="H3605" s="195"/>
      <c r="I3605" s="195"/>
      <c r="J3605" s="195">
        <v>0</v>
      </c>
      <c r="K3605" s="195">
        <v>0</v>
      </c>
      <c r="L3605" s="195">
        <v>0</v>
      </c>
      <c r="M3605" s="195">
        <v>7.1749999999999994E-2</v>
      </c>
      <c r="N3605" s="195">
        <v>7.8750000000000001E-2</v>
      </c>
    </row>
    <row r="3606" spans="1:14" hidden="1" x14ac:dyDescent="0.35">
      <c r="A3606" s="52" t="s">
        <v>672</v>
      </c>
      <c r="B3606" s="52" t="s">
        <v>73</v>
      </c>
      <c r="C3606" s="52" t="s">
        <v>325</v>
      </c>
      <c r="D3606" s="52" t="s">
        <v>325</v>
      </c>
      <c r="E3606" s="52" t="s">
        <v>584</v>
      </c>
      <c r="F3606" s="52" t="s">
        <v>581</v>
      </c>
      <c r="G3606" s="195" t="s">
        <v>278</v>
      </c>
      <c r="H3606" s="195">
        <v>0.89234780000000002</v>
      </c>
      <c r="I3606" s="195">
        <v>0.58293550000000005</v>
      </c>
      <c r="J3606" s="195">
        <v>22.154610000000002</v>
      </c>
      <c r="K3606" s="195">
        <v>1.4388030000000001</v>
      </c>
      <c r="L3606" s="195">
        <v>5.0307890000000004</v>
      </c>
      <c r="M3606" s="195">
        <v>0.58126509999999998</v>
      </c>
      <c r="N3606" s="195">
        <v>6.082776</v>
      </c>
    </row>
    <row r="3607" spans="1:14" hidden="1" x14ac:dyDescent="0.35">
      <c r="A3607" s="52" t="s">
        <v>672</v>
      </c>
      <c r="B3607" s="52" t="s">
        <v>73</v>
      </c>
      <c r="C3607" s="52" t="s">
        <v>325</v>
      </c>
      <c r="D3607" s="52" t="s">
        <v>325</v>
      </c>
      <c r="E3607" s="52" t="s">
        <v>584</v>
      </c>
      <c r="F3607" s="52" t="s">
        <v>581</v>
      </c>
      <c r="G3607" s="195" t="s">
        <v>279</v>
      </c>
      <c r="H3607" s="195"/>
      <c r="I3607" s="195"/>
      <c r="J3607" s="195"/>
      <c r="K3607" s="195"/>
      <c r="L3607" s="195"/>
      <c r="M3607" s="195"/>
      <c r="N3607" s="195">
        <v>0</v>
      </c>
    </row>
    <row r="3608" spans="1:14" hidden="1" x14ac:dyDescent="0.35">
      <c r="A3608" s="52" t="s">
        <v>672</v>
      </c>
      <c r="B3608" s="52" t="s">
        <v>73</v>
      </c>
      <c r="C3608" s="52" t="s">
        <v>325</v>
      </c>
      <c r="D3608" s="52" t="s">
        <v>325</v>
      </c>
      <c r="E3608" s="52" t="s">
        <v>584</v>
      </c>
      <c r="F3608" s="52" t="s">
        <v>26</v>
      </c>
      <c r="G3608" s="195" t="s">
        <v>275</v>
      </c>
      <c r="H3608" s="195">
        <v>-1.5204000000000001E-3</v>
      </c>
      <c r="I3608" s="195">
        <v>1.3265010000000001E-4</v>
      </c>
      <c r="J3608" s="195">
        <v>2.62255E-3</v>
      </c>
      <c r="K3608" s="195">
        <v>1.2974499999999999E-3</v>
      </c>
      <c r="L3608" s="195">
        <v>0</v>
      </c>
      <c r="M3608" s="195">
        <v>0</v>
      </c>
      <c r="N3608" s="195">
        <v>0</v>
      </c>
    </row>
    <row r="3609" spans="1:14" hidden="1" x14ac:dyDescent="0.35">
      <c r="A3609" s="52" t="s">
        <v>672</v>
      </c>
      <c r="B3609" s="52" t="s">
        <v>73</v>
      </c>
      <c r="C3609" s="52" t="s">
        <v>325</v>
      </c>
      <c r="D3609" s="52" t="s">
        <v>325</v>
      </c>
      <c r="E3609" s="52" t="s">
        <v>584</v>
      </c>
      <c r="F3609" s="52" t="s">
        <v>26</v>
      </c>
      <c r="G3609" s="195" t="s">
        <v>276</v>
      </c>
      <c r="H3609" s="195">
        <v>-3.0470299999999999E-2</v>
      </c>
      <c r="I3609" s="195">
        <v>-2.1031149999999998E-2</v>
      </c>
      <c r="J3609" s="195">
        <v>0</v>
      </c>
      <c r="K3609" s="195">
        <v>0</v>
      </c>
      <c r="L3609" s="195">
        <v>0</v>
      </c>
      <c r="M3609" s="195">
        <v>0</v>
      </c>
      <c r="N3609" s="195">
        <v>0</v>
      </c>
    </row>
    <row r="3610" spans="1:14" hidden="1" x14ac:dyDescent="0.35">
      <c r="A3610" s="52" t="s">
        <v>672</v>
      </c>
      <c r="B3610" s="52" t="s">
        <v>73</v>
      </c>
      <c r="C3610" s="52" t="s">
        <v>325</v>
      </c>
      <c r="D3610" s="52" t="s">
        <v>325</v>
      </c>
      <c r="E3610" s="52" t="s">
        <v>584</v>
      </c>
      <c r="F3610" s="52" t="s">
        <v>26</v>
      </c>
      <c r="G3610" s="195" t="s">
        <v>277</v>
      </c>
      <c r="H3610" s="195"/>
      <c r="I3610" s="195"/>
      <c r="J3610" s="195"/>
      <c r="K3610" s="195"/>
      <c r="L3610" s="195"/>
      <c r="M3610" s="195"/>
      <c r="N3610" s="195">
        <v>0</v>
      </c>
    </row>
    <row r="3611" spans="1:14" hidden="1" x14ac:dyDescent="0.35">
      <c r="A3611" s="52" t="s">
        <v>672</v>
      </c>
      <c r="B3611" s="52" t="s">
        <v>73</v>
      </c>
      <c r="C3611" s="52" t="s">
        <v>325</v>
      </c>
      <c r="D3611" s="52" t="s">
        <v>325</v>
      </c>
      <c r="E3611" s="52" t="s">
        <v>584</v>
      </c>
      <c r="F3611" s="52" t="s">
        <v>26</v>
      </c>
      <c r="G3611" s="195" t="s">
        <v>278</v>
      </c>
      <c r="H3611" s="195">
        <v>3.1990699999999997E-2</v>
      </c>
      <c r="I3611" s="195">
        <v>2.08985E-2</v>
      </c>
      <c r="J3611" s="195">
        <v>0</v>
      </c>
      <c r="K3611" s="195">
        <v>0</v>
      </c>
      <c r="L3611" s="195">
        <v>0</v>
      </c>
      <c r="M3611" s="195">
        <v>0</v>
      </c>
      <c r="N3611" s="195">
        <v>0</v>
      </c>
    </row>
    <row r="3612" spans="1:14" hidden="1" x14ac:dyDescent="0.35">
      <c r="A3612" s="52" t="s">
        <v>672</v>
      </c>
      <c r="B3612" s="52" t="s">
        <v>73</v>
      </c>
      <c r="C3612" s="52" t="s">
        <v>325</v>
      </c>
      <c r="D3612" s="52" t="s">
        <v>325</v>
      </c>
      <c r="E3612" s="52" t="s">
        <v>584</v>
      </c>
      <c r="F3612" s="52" t="s">
        <v>26</v>
      </c>
      <c r="G3612" s="195" t="s">
        <v>279</v>
      </c>
      <c r="H3612" s="195"/>
      <c r="I3612" s="195"/>
      <c r="J3612" s="195"/>
      <c r="K3612" s="195"/>
      <c r="L3612" s="195"/>
      <c r="M3612" s="195"/>
      <c r="N3612" s="195">
        <v>0</v>
      </c>
    </row>
    <row r="3613" spans="1:14" hidden="1" x14ac:dyDescent="0.35">
      <c r="A3613" s="52" t="s">
        <v>672</v>
      </c>
      <c r="B3613" s="52" t="s">
        <v>73</v>
      </c>
      <c r="C3613" s="52" t="s">
        <v>325</v>
      </c>
      <c r="D3613" s="52" t="s">
        <v>326</v>
      </c>
      <c r="E3613" s="52" t="s">
        <v>584</v>
      </c>
      <c r="F3613" s="52" t="s">
        <v>581</v>
      </c>
      <c r="G3613" s="195" t="s">
        <v>275</v>
      </c>
      <c r="H3613" s="195">
        <v>2.2902089999999999</v>
      </c>
      <c r="I3613" s="195"/>
      <c r="J3613" s="195"/>
      <c r="K3613" s="195"/>
      <c r="L3613" s="195">
        <v>-4.0039999999999997E-4</v>
      </c>
      <c r="M3613" s="195"/>
      <c r="N3613" s="195"/>
    </row>
    <row r="3614" spans="1:14" hidden="1" x14ac:dyDescent="0.35">
      <c r="A3614" s="52" t="s">
        <v>672</v>
      </c>
      <c r="B3614" s="52" t="s">
        <v>73</v>
      </c>
      <c r="C3614" s="52" t="s">
        <v>325</v>
      </c>
      <c r="D3614" s="52" t="s">
        <v>326</v>
      </c>
      <c r="E3614" s="52" t="s">
        <v>584</v>
      </c>
      <c r="F3614" s="52" t="s">
        <v>581</v>
      </c>
      <c r="G3614" s="195" t="s">
        <v>276</v>
      </c>
      <c r="H3614" s="195">
        <v>-2.3284769999999999</v>
      </c>
      <c r="I3614" s="195"/>
      <c r="J3614" s="195"/>
      <c r="K3614" s="195"/>
      <c r="L3614" s="195"/>
      <c r="M3614" s="195"/>
      <c r="N3614" s="195"/>
    </row>
    <row r="3615" spans="1:14" hidden="1" x14ac:dyDescent="0.35">
      <c r="A3615" s="52" t="s">
        <v>672</v>
      </c>
      <c r="B3615" s="52" t="s">
        <v>73</v>
      </c>
      <c r="C3615" s="52" t="s">
        <v>325</v>
      </c>
      <c r="D3615" s="52" t="s">
        <v>326</v>
      </c>
      <c r="E3615" s="52" t="s">
        <v>584</v>
      </c>
      <c r="F3615" s="52" t="s">
        <v>581</v>
      </c>
      <c r="G3615" s="195" t="s">
        <v>277</v>
      </c>
      <c r="H3615" s="195"/>
      <c r="I3615" s="195"/>
      <c r="J3615" s="195"/>
      <c r="K3615" s="195"/>
      <c r="L3615" s="195"/>
      <c r="M3615" s="195">
        <v>0</v>
      </c>
      <c r="N3615" s="195"/>
    </row>
    <row r="3616" spans="1:14" hidden="1" x14ac:dyDescent="0.35">
      <c r="A3616" s="52" t="s">
        <v>672</v>
      </c>
      <c r="B3616" s="52" t="s">
        <v>73</v>
      </c>
      <c r="C3616" s="52" t="s">
        <v>325</v>
      </c>
      <c r="D3616" s="52" t="s">
        <v>326</v>
      </c>
      <c r="E3616" s="52" t="s">
        <v>584</v>
      </c>
      <c r="F3616" s="52" t="s">
        <v>581</v>
      </c>
      <c r="G3616" s="195" t="s">
        <v>278</v>
      </c>
      <c r="H3616" s="195">
        <v>3.8268299999999998E-2</v>
      </c>
      <c r="I3616" s="195"/>
      <c r="J3616" s="195"/>
      <c r="K3616" s="195"/>
      <c r="L3616" s="195"/>
      <c r="M3616" s="195"/>
      <c r="N3616" s="195"/>
    </row>
    <row r="3617" spans="1:14" hidden="1" x14ac:dyDescent="0.35">
      <c r="A3617" s="52" t="s">
        <v>672</v>
      </c>
      <c r="B3617" s="52" t="s">
        <v>73</v>
      </c>
      <c r="C3617" s="52" t="s">
        <v>325</v>
      </c>
      <c r="D3617" s="52" t="s">
        <v>326</v>
      </c>
      <c r="E3617" s="52" t="s">
        <v>584</v>
      </c>
      <c r="F3617" s="52" t="s">
        <v>26</v>
      </c>
      <c r="G3617" s="195" t="s">
        <v>275</v>
      </c>
      <c r="H3617" s="195">
        <v>0</v>
      </c>
      <c r="I3617" s="195"/>
      <c r="J3617" s="195"/>
      <c r="K3617" s="195"/>
      <c r="L3617" s="195">
        <v>-1.6015999999999999E-3</v>
      </c>
      <c r="M3617" s="195"/>
      <c r="N3617" s="195"/>
    </row>
    <row r="3618" spans="1:14" hidden="1" x14ac:dyDescent="0.35">
      <c r="A3618" s="52" t="s">
        <v>672</v>
      </c>
      <c r="B3618" s="52" t="s">
        <v>73</v>
      </c>
      <c r="C3618" s="52" t="s">
        <v>325</v>
      </c>
      <c r="D3618" s="52" t="s">
        <v>326</v>
      </c>
      <c r="E3618" s="52" t="s">
        <v>584</v>
      </c>
      <c r="F3618" s="52" t="s">
        <v>26</v>
      </c>
      <c r="G3618" s="195" t="s">
        <v>276</v>
      </c>
      <c r="H3618" s="195"/>
      <c r="I3618" s="195"/>
      <c r="J3618" s="195"/>
      <c r="K3618" s="195"/>
      <c r="L3618" s="195">
        <v>-1.6600360000000002E-2</v>
      </c>
      <c r="M3618" s="195"/>
      <c r="N3618" s="195"/>
    </row>
    <row r="3619" spans="1:14" hidden="1" x14ac:dyDescent="0.35">
      <c r="A3619" s="52" t="s">
        <v>672</v>
      </c>
      <c r="B3619" s="52" t="s">
        <v>73</v>
      </c>
      <c r="C3619" s="52" t="s">
        <v>325</v>
      </c>
      <c r="D3619" s="52" t="s">
        <v>326</v>
      </c>
      <c r="E3619" s="52" t="s">
        <v>584</v>
      </c>
      <c r="F3619" s="52" t="s">
        <v>26</v>
      </c>
      <c r="G3619" s="195" t="s">
        <v>277</v>
      </c>
      <c r="H3619" s="195"/>
      <c r="I3619" s="195"/>
      <c r="J3619" s="195"/>
      <c r="K3619" s="195"/>
      <c r="L3619" s="195"/>
      <c r="M3619" s="195">
        <v>0</v>
      </c>
      <c r="N3619" s="195"/>
    </row>
    <row r="3620" spans="1:14" hidden="1" x14ac:dyDescent="0.35">
      <c r="A3620" s="52" t="s">
        <v>672</v>
      </c>
      <c r="B3620" s="52" t="s">
        <v>73</v>
      </c>
      <c r="C3620" s="52" t="s">
        <v>325</v>
      </c>
      <c r="D3620" s="52" t="s">
        <v>326</v>
      </c>
      <c r="E3620" s="52" t="s">
        <v>584</v>
      </c>
      <c r="F3620" s="52" t="s">
        <v>26</v>
      </c>
      <c r="G3620" s="195" t="s">
        <v>278</v>
      </c>
      <c r="H3620" s="195">
        <v>0</v>
      </c>
      <c r="I3620" s="195"/>
      <c r="J3620" s="195"/>
      <c r="K3620" s="195"/>
      <c r="L3620" s="195"/>
      <c r="M3620" s="195"/>
      <c r="N3620" s="195"/>
    </row>
    <row r="3621" spans="1:14" hidden="1" x14ac:dyDescent="0.35">
      <c r="A3621" s="52" t="s">
        <v>250</v>
      </c>
      <c r="B3621" s="52" t="s">
        <v>37</v>
      </c>
      <c r="C3621" s="52" t="s">
        <v>35</v>
      </c>
      <c r="D3621" s="52" t="s">
        <v>36</v>
      </c>
      <c r="E3621" s="52" t="s">
        <v>589</v>
      </c>
      <c r="F3621" s="52" t="s">
        <v>581</v>
      </c>
      <c r="G3621" s="195" t="s">
        <v>275</v>
      </c>
      <c r="H3621" s="195">
        <v>-35.255580000000002</v>
      </c>
      <c r="I3621" s="195">
        <v>149.39580000000001</v>
      </c>
      <c r="J3621" s="195">
        <v>384.59739999999999</v>
      </c>
      <c r="K3621" s="195">
        <v>441.6619</v>
      </c>
      <c r="L3621" s="195">
        <v>353.97449999999998</v>
      </c>
      <c r="M3621" s="195">
        <v>236.39940000000001</v>
      </c>
      <c r="N3621" s="195">
        <v>192.26990000000001</v>
      </c>
    </row>
    <row r="3622" spans="1:14" hidden="1" x14ac:dyDescent="0.35">
      <c r="A3622" s="52" t="s">
        <v>250</v>
      </c>
      <c r="B3622" s="52" t="s">
        <v>37</v>
      </c>
      <c r="C3622" s="52" t="s">
        <v>35</v>
      </c>
      <c r="D3622" s="52" t="s">
        <v>36</v>
      </c>
      <c r="E3622" s="52" t="s">
        <v>589</v>
      </c>
      <c r="F3622" s="52" t="s">
        <v>581</v>
      </c>
      <c r="G3622" s="195" t="s">
        <v>276</v>
      </c>
      <c r="H3622" s="195">
        <v>72.138890000000004</v>
      </c>
      <c r="I3622" s="195">
        <v>-228.93029999999999</v>
      </c>
      <c r="J3622" s="195">
        <v>-190.31530000000001</v>
      </c>
      <c r="K3622" s="195">
        <v>-148.0446</v>
      </c>
      <c r="L3622" s="195">
        <v>-119.95699999999999</v>
      </c>
      <c r="M3622" s="195">
        <v>-0.88986969999999999</v>
      </c>
      <c r="N3622" s="195">
        <v>26.173349999999999</v>
      </c>
    </row>
    <row r="3623" spans="1:14" hidden="1" x14ac:dyDescent="0.35">
      <c r="A3623" s="52" t="s">
        <v>250</v>
      </c>
      <c r="B3623" s="52" t="s">
        <v>37</v>
      </c>
      <c r="C3623" s="52" t="s">
        <v>35</v>
      </c>
      <c r="D3623" s="52" t="s">
        <v>36</v>
      </c>
      <c r="E3623" s="52" t="s">
        <v>589</v>
      </c>
      <c r="F3623" s="52" t="s">
        <v>581</v>
      </c>
      <c r="G3623" s="195" t="s">
        <v>277</v>
      </c>
      <c r="H3623" s="195">
        <v>1509.673</v>
      </c>
      <c r="I3623" s="195">
        <v>381.94799999999998</v>
      </c>
      <c r="J3623" s="195">
        <v>55.053539999999998</v>
      </c>
      <c r="K3623" s="195">
        <v>19.712399999999999</v>
      </c>
      <c r="L3623" s="195">
        <v>10.77533</v>
      </c>
      <c r="M3623" s="195">
        <v>9.7604819999999997</v>
      </c>
      <c r="N3623" s="195">
        <v>27.600680000000001</v>
      </c>
    </row>
    <row r="3624" spans="1:14" hidden="1" x14ac:dyDescent="0.35">
      <c r="A3624" s="52" t="s">
        <v>250</v>
      </c>
      <c r="B3624" s="52" t="s">
        <v>37</v>
      </c>
      <c r="C3624" s="52" t="s">
        <v>35</v>
      </c>
      <c r="D3624" s="52" t="s">
        <v>36</v>
      </c>
      <c r="E3624" s="52" t="s">
        <v>589</v>
      </c>
      <c r="F3624" s="52" t="s">
        <v>581</v>
      </c>
      <c r="G3624" s="195" t="s">
        <v>278</v>
      </c>
      <c r="H3624" s="195">
        <v>351.46370000000002</v>
      </c>
      <c r="I3624" s="195">
        <v>186.06049999999999</v>
      </c>
      <c r="J3624" s="195">
        <v>202.7647</v>
      </c>
      <c r="K3624" s="195">
        <v>104.0992</v>
      </c>
      <c r="L3624" s="195">
        <v>74.293790000000001</v>
      </c>
      <c r="M3624" s="195">
        <v>51.200589999999998</v>
      </c>
      <c r="N3624" s="195">
        <v>28.793140000000001</v>
      </c>
    </row>
    <row r="3625" spans="1:14" hidden="1" x14ac:dyDescent="0.35">
      <c r="A3625" s="52" t="s">
        <v>250</v>
      </c>
      <c r="B3625" s="52" t="s">
        <v>37</v>
      </c>
      <c r="C3625" s="52" t="s">
        <v>35</v>
      </c>
      <c r="D3625" s="52" t="s">
        <v>36</v>
      </c>
      <c r="E3625" s="52" t="s">
        <v>589</v>
      </c>
      <c r="F3625" s="52" t="s">
        <v>581</v>
      </c>
      <c r="G3625" s="195" t="s">
        <v>279</v>
      </c>
      <c r="H3625" s="195">
        <v>732.05079999999998</v>
      </c>
      <c r="I3625" s="195">
        <v>564.07619999999997</v>
      </c>
      <c r="J3625" s="195">
        <v>623.30169999999998</v>
      </c>
      <c r="K3625" s="195">
        <v>599.67520000000002</v>
      </c>
      <c r="L3625" s="195">
        <v>592.51639999999998</v>
      </c>
      <c r="M3625" s="195">
        <v>513.13530000000003</v>
      </c>
      <c r="N3625" s="195">
        <v>460.03559999999999</v>
      </c>
    </row>
    <row r="3626" spans="1:14" hidden="1" x14ac:dyDescent="0.35">
      <c r="A3626" s="52" t="s">
        <v>250</v>
      </c>
      <c r="B3626" s="52" t="s">
        <v>37</v>
      </c>
      <c r="C3626" s="52" t="s">
        <v>35</v>
      </c>
      <c r="D3626" s="52" t="s">
        <v>36</v>
      </c>
      <c r="E3626" s="52" t="s">
        <v>589</v>
      </c>
      <c r="F3626" s="52" t="s">
        <v>26</v>
      </c>
      <c r="G3626" s="195" t="s">
        <v>275</v>
      </c>
      <c r="H3626" s="195">
        <v>-29.261880000000001</v>
      </c>
      <c r="I3626" s="195">
        <v>-38.490279999999998</v>
      </c>
      <c r="J3626" s="195">
        <v>-39.458590000000001</v>
      </c>
      <c r="K3626" s="195">
        <v>-42.132129999999997</v>
      </c>
      <c r="L3626" s="195">
        <v>-49.653280000000002</v>
      </c>
      <c r="M3626" s="195">
        <v>-42.207929999999998</v>
      </c>
      <c r="N3626" s="195">
        <v>-37.48903</v>
      </c>
    </row>
    <row r="3627" spans="1:14" hidden="1" x14ac:dyDescent="0.35">
      <c r="A3627" s="52" t="s">
        <v>250</v>
      </c>
      <c r="B3627" s="52" t="s">
        <v>37</v>
      </c>
      <c r="C3627" s="52" t="s">
        <v>35</v>
      </c>
      <c r="D3627" s="52" t="s">
        <v>36</v>
      </c>
      <c r="E3627" s="52" t="s">
        <v>589</v>
      </c>
      <c r="F3627" s="52" t="s">
        <v>26</v>
      </c>
      <c r="G3627" s="195" t="s">
        <v>276</v>
      </c>
      <c r="H3627" s="195">
        <v>-7.7784579999999997</v>
      </c>
      <c r="I3627" s="195">
        <v>-10.23161</v>
      </c>
      <c r="J3627" s="195">
        <v>-10.48902</v>
      </c>
      <c r="K3627" s="195">
        <v>-11.199669999999999</v>
      </c>
      <c r="L3627" s="195">
        <v>-13.198980000000001</v>
      </c>
      <c r="M3627" s="195">
        <v>-11.21982</v>
      </c>
      <c r="N3627" s="195">
        <v>-9.9654330000000009</v>
      </c>
    </row>
    <row r="3628" spans="1:14" hidden="1" x14ac:dyDescent="0.35">
      <c r="A3628" s="52" t="s">
        <v>250</v>
      </c>
      <c r="B3628" s="52" t="s">
        <v>37</v>
      </c>
      <c r="C3628" s="52" t="s">
        <v>35</v>
      </c>
      <c r="D3628" s="52" t="s">
        <v>36</v>
      </c>
      <c r="E3628" s="52" t="s">
        <v>589</v>
      </c>
      <c r="F3628" s="52" t="s">
        <v>26</v>
      </c>
      <c r="G3628" s="195" t="s">
        <v>279</v>
      </c>
      <c r="H3628" s="195">
        <v>161.7278</v>
      </c>
      <c r="I3628" s="195">
        <v>153.58500000000001</v>
      </c>
      <c r="J3628" s="195">
        <v>174.48259999999999</v>
      </c>
      <c r="K3628" s="195">
        <v>170.53559999999999</v>
      </c>
      <c r="L3628" s="195">
        <v>167.23349999999999</v>
      </c>
      <c r="M3628" s="195">
        <v>144.9014</v>
      </c>
      <c r="N3628" s="195">
        <v>129.70169999999999</v>
      </c>
    </row>
    <row r="3629" spans="1:14" hidden="1" x14ac:dyDescent="0.35">
      <c r="A3629" s="52" t="s">
        <v>250</v>
      </c>
      <c r="B3629" s="52" t="s">
        <v>37</v>
      </c>
      <c r="C3629" s="52" t="s">
        <v>35</v>
      </c>
      <c r="D3629" s="52" t="s">
        <v>36</v>
      </c>
      <c r="E3629" s="52" t="s">
        <v>588</v>
      </c>
      <c r="F3629" s="52" t="s">
        <v>581</v>
      </c>
      <c r="G3629" s="195" t="s">
        <v>275</v>
      </c>
      <c r="H3629" s="195">
        <v>39.709600000000002</v>
      </c>
      <c r="I3629" s="195">
        <v>71.482069999999993</v>
      </c>
      <c r="J3629" s="195">
        <v>128.9716</v>
      </c>
      <c r="K3629" s="195">
        <v>148.79740000000001</v>
      </c>
      <c r="L3629" s="195">
        <v>82.694739999999996</v>
      </c>
      <c r="M3629" s="195">
        <v>47.794400000000003</v>
      </c>
      <c r="N3629" s="195">
        <v>33.347819999999999</v>
      </c>
    </row>
    <row r="3630" spans="1:14" hidden="1" x14ac:dyDescent="0.35">
      <c r="A3630" s="52" t="s">
        <v>250</v>
      </c>
      <c r="B3630" s="52" t="s">
        <v>37</v>
      </c>
      <c r="C3630" s="52" t="s">
        <v>35</v>
      </c>
      <c r="D3630" s="52" t="s">
        <v>36</v>
      </c>
      <c r="E3630" s="52" t="s">
        <v>588</v>
      </c>
      <c r="F3630" s="52" t="s">
        <v>581</v>
      </c>
      <c r="G3630" s="195" t="s">
        <v>276</v>
      </c>
      <c r="H3630" s="195">
        <v>14.570040000000001</v>
      </c>
      <c r="I3630" s="195">
        <v>-68.708420000000004</v>
      </c>
      <c r="J3630" s="195">
        <v>-72.890079999999998</v>
      </c>
      <c r="K3630" s="195">
        <v>-100.61409999999999</v>
      </c>
      <c r="L3630" s="195">
        <v>-38.588299999999997</v>
      </c>
      <c r="M3630" s="195">
        <v>-4.2573590000000001</v>
      </c>
      <c r="N3630" s="195">
        <v>4.3154219999999999</v>
      </c>
    </row>
    <row r="3631" spans="1:14" hidden="1" x14ac:dyDescent="0.35">
      <c r="A3631" s="52" t="s">
        <v>250</v>
      </c>
      <c r="B3631" s="52" t="s">
        <v>37</v>
      </c>
      <c r="C3631" s="52" t="s">
        <v>35</v>
      </c>
      <c r="D3631" s="52" t="s">
        <v>36</v>
      </c>
      <c r="E3631" s="52" t="s">
        <v>588</v>
      </c>
      <c r="F3631" s="52" t="s">
        <v>581</v>
      </c>
      <c r="G3631" s="195" t="s">
        <v>277</v>
      </c>
      <c r="H3631" s="195">
        <v>414.66730000000001</v>
      </c>
      <c r="I3631" s="195">
        <v>95.472170000000006</v>
      </c>
      <c r="J3631" s="195">
        <v>9.273892</v>
      </c>
      <c r="K3631" s="195">
        <v>4.9067730000000003</v>
      </c>
      <c r="L3631" s="195">
        <v>1.3730690000000001</v>
      </c>
      <c r="M3631" s="195">
        <v>0</v>
      </c>
      <c r="N3631" s="195">
        <v>0</v>
      </c>
    </row>
    <row r="3632" spans="1:14" hidden="1" x14ac:dyDescent="0.35">
      <c r="A3632" s="52" t="s">
        <v>250</v>
      </c>
      <c r="B3632" s="52" t="s">
        <v>37</v>
      </c>
      <c r="C3632" s="52" t="s">
        <v>35</v>
      </c>
      <c r="D3632" s="52" t="s">
        <v>36</v>
      </c>
      <c r="E3632" s="52" t="s">
        <v>588</v>
      </c>
      <c r="F3632" s="52" t="s">
        <v>581</v>
      </c>
      <c r="G3632" s="195" t="s">
        <v>278</v>
      </c>
      <c r="H3632" s="195">
        <v>102.24209999999999</v>
      </c>
      <c r="I3632" s="195">
        <v>41.449809999999999</v>
      </c>
      <c r="J3632" s="195">
        <v>24.088090000000001</v>
      </c>
      <c r="K3632" s="195">
        <v>19.33868</v>
      </c>
      <c r="L3632" s="195">
        <v>6.1722549999999998</v>
      </c>
      <c r="M3632" s="195">
        <v>0</v>
      </c>
      <c r="N3632" s="195">
        <v>0</v>
      </c>
    </row>
    <row r="3633" spans="1:14" hidden="1" x14ac:dyDescent="0.35">
      <c r="A3633" s="52" t="s">
        <v>250</v>
      </c>
      <c r="B3633" s="52" t="s">
        <v>37</v>
      </c>
      <c r="C3633" s="52" t="s">
        <v>35</v>
      </c>
      <c r="D3633" s="52" t="s">
        <v>36</v>
      </c>
      <c r="E3633" s="52" t="s">
        <v>588</v>
      </c>
      <c r="F3633" s="52" t="s">
        <v>581</v>
      </c>
      <c r="G3633" s="195" t="s">
        <v>279</v>
      </c>
      <c r="H3633" s="195">
        <v>226.14099999999999</v>
      </c>
      <c r="I3633" s="195">
        <v>169.8329</v>
      </c>
      <c r="J3633" s="195">
        <v>129.89850000000001</v>
      </c>
      <c r="K3633" s="195">
        <v>110.3085</v>
      </c>
      <c r="L3633" s="195">
        <v>103.5462</v>
      </c>
      <c r="M3633" s="195">
        <v>84.692959999999999</v>
      </c>
      <c r="N3633" s="195">
        <v>73.323679999999996</v>
      </c>
    </row>
    <row r="3634" spans="1:14" hidden="1" x14ac:dyDescent="0.35">
      <c r="A3634" s="52" t="s">
        <v>250</v>
      </c>
      <c r="B3634" s="52" t="s">
        <v>37</v>
      </c>
      <c r="C3634" s="52" t="s">
        <v>35</v>
      </c>
      <c r="D3634" s="52" t="s">
        <v>36</v>
      </c>
      <c r="E3634" s="52" t="s">
        <v>588</v>
      </c>
      <c r="F3634" s="52" t="s">
        <v>26</v>
      </c>
      <c r="G3634" s="195" t="s">
        <v>275</v>
      </c>
      <c r="H3634" s="195">
        <v>-5.6486359999999998</v>
      </c>
      <c r="I3634" s="195">
        <v>-8.3342220000000005</v>
      </c>
      <c r="J3634" s="195">
        <v>-5.6935149999999997</v>
      </c>
      <c r="K3634" s="195">
        <v>-5.5784940000000001</v>
      </c>
      <c r="L3634" s="195">
        <v>-6.5942350000000003</v>
      </c>
      <c r="M3634" s="195">
        <v>-5.3365669999999996</v>
      </c>
      <c r="N3634" s="195">
        <v>-4.6132780000000002</v>
      </c>
    </row>
    <row r="3635" spans="1:14" hidden="1" x14ac:dyDescent="0.35">
      <c r="A3635" s="52" t="s">
        <v>250</v>
      </c>
      <c r="B3635" s="52" t="s">
        <v>37</v>
      </c>
      <c r="C3635" s="52" t="s">
        <v>35</v>
      </c>
      <c r="D3635" s="52" t="s">
        <v>36</v>
      </c>
      <c r="E3635" s="52" t="s">
        <v>588</v>
      </c>
      <c r="F3635" s="52" t="s">
        <v>26</v>
      </c>
      <c r="G3635" s="195" t="s">
        <v>276</v>
      </c>
      <c r="H3635" s="195">
        <v>-1.5015430000000001</v>
      </c>
      <c r="I3635" s="195">
        <v>-2.2154340000000001</v>
      </c>
      <c r="J3635" s="195">
        <v>-1.513468</v>
      </c>
      <c r="K3635" s="195">
        <v>-1.4829049999999999</v>
      </c>
      <c r="L3635" s="195">
        <v>-1.752901</v>
      </c>
      <c r="M3635" s="195">
        <v>-1.4185840000000001</v>
      </c>
      <c r="N3635" s="195">
        <v>-1.2263120000000001</v>
      </c>
    </row>
    <row r="3636" spans="1:14" hidden="1" x14ac:dyDescent="0.35">
      <c r="A3636" s="52" t="s">
        <v>250</v>
      </c>
      <c r="B3636" s="52" t="s">
        <v>37</v>
      </c>
      <c r="C3636" s="52" t="s">
        <v>35</v>
      </c>
      <c r="D3636" s="52" t="s">
        <v>36</v>
      </c>
      <c r="E3636" s="52" t="s">
        <v>588</v>
      </c>
      <c r="F3636" s="52" t="s">
        <v>26</v>
      </c>
      <c r="G3636" s="195" t="s">
        <v>279</v>
      </c>
      <c r="H3636" s="195">
        <v>44.897010000000002</v>
      </c>
      <c r="I3636" s="195">
        <v>41.348939999999999</v>
      </c>
      <c r="J3636" s="195">
        <v>32.532780000000002</v>
      </c>
      <c r="K3636" s="195">
        <v>28.072410000000001</v>
      </c>
      <c r="L3636" s="195">
        <v>26.124980000000001</v>
      </c>
      <c r="M3636" s="195">
        <v>21.425989999999999</v>
      </c>
      <c r="N3636" s="195">
        <v>18.55292</v>
      </c>
    </row>
    <row r="3637" spans="1:14" hidden="1" x14ac:dyDescent="0.35">
      <c r="A3637" s="52" t="s">
        <v>250</v>
      </c>
      <c r="B3637" s="52" t="s">
        <v>37</v>
      </c>
      <c r="C3637" s="52" t="s">
        <v>35</v>
      </c>
      <c r="D3637" s="52" t="s">
        <v>36</v>
      </c>
      <c r="E3637" s="52" t="s">
        <v>590</v>
      </c>
      <c r="F3637" s="52" t="s">
        <v>581</v>
      </c>
      <c r="G3637" s="195" t="s">
        <v>275</v>
      </c>
      <c r="H3637" s="195">
        <v>26.557089999999999</v>
      </c>
      <c r="I3637" s="195">
        <v>56.833069999999999</v>
      </c>
      <c r="J3637" s="195">
        <v>86.949330000000003</v>
      </c>
      <c r="K3637" s="195">
        <v>89.447810000000004</v>
      </c>
      <c r="L3637" s="195">
        <v>73.939620000000005</v>
      </c>
      <c r="M3637" s="195">
        <v>39.086820000000003</v>
      </c>
      <c r="N3637" s="195">
        <v>29.53059</v>
      </c>
    </row>
    <row r="3638" spans="1:14" hidden="1" x14ac:dyDescent="0.35">
      <c r="A3638" s="52" t="s">
        <v>250</v>
      </c>
      <c r="B3638" s="52" t="s">
        <v>37</v>
      </c>
      <c r="C3638" s="52" t="s">
        <v>35</v>
      </c>
      <c r="D3638" s="52" t="s">
        <v>36</v>
      </c>
      <c r="E3638" s="52" t="s">
        <v>590</v>
      </c>
      <c r="F3638" s="52" t="s">
        <v>581</v>
      </c>
      <c r="G3638" s="195" t="s">
        <v>276</v>
      </c>
      <c r="H3638" s="195">
        <v>49.376849999999997</v>
      </c>
      <c r="I3638" s="195">
        <v>-28.503499999999999</v>
      </c>
      <c r="J3638" s="195">
        <v>-29.601659999999999</v>
      </c>
      <c r="K3638" s="195">
        <v>-38.80339</v>
      </c>
      <c r="L3638" s="195">
        <v>-33.864100000000001</v>
      </c>
      <c r="M3638" s="195">
        <v>0.36240109999999998</v>
      </c>
      <c r="N3638" s="195">
        <v>5.7190640000000004</v>
      </c>
    </row>
    <row r="3639" spans="1:14" hidden="1" x14ac:dyDescent="0.35">
      <c r="A3639" s="52" t="s">
        <v>250</v>
      </c>
      <c r="B3639" s="52" t="s">
        <v>37</v>
      </c>
      <c r="C3639" s="52" t="s">
        <v>35</v>
      </c>
      <c r="D3639" s="52" t="s">
        <v>36</v>
      </c>
      <c r="E3639" s="52" t="s">
        <v>590</v>
      </c>
      <c r="F3639" s="52" t="s">
        <v>581</v>
      </c>
      <c r="G3639" s="195" t="s">
        <v>277</v>
      </c>
      <c r="H3639" s="195">
        <v>380.36840000000001</v>
      </c>
      <c r="I3639" s="195">
        <v>63.109789999999997</v>
      </c>
      <c r="J3639" s="195">
        <v>4.4385269999999997</v>
      </c>
      <c r="K3639" s="195">
        <v>2.0124119999999999</v>
      </c>
      <c r="L3639" s="195">
        <v>0.63454820000000001</v>
      </c>
      <c r="M3639" s="195">
        <v>0</v>
      </c>
      <c r="N3639" s="195">
        <v>0</v>
      </c>
    </row>
    <row r="3640" spans="1:14" hidden="1" x14ac:dyDescent="0.35">
      <c r="A3640" s="52" t="s">
        <v>250</v>
      </c>
      <c r="B3640" s="52" t="s">
        <v>37</v>
      </c>
      <c r="C3640" s="52" t="s">
        <v>35</v>
      </c>
      <c r="D3640" s="52" t="s">
        <v>36</v>
      </c>
      <c r="E3640" s="52" t="s">
        <v>590</v>
      </c>
      <c r="F3640" s="52" t="s">
        <v>581</v>
      </c>
      <c r="G3640" s="195" t="s">
        <v>278</v>
      </c>
      <c r="H3640" s="195">
        <v>87.81944</v>
      </c>
      <c r="I3640" s="195">
        <v>20.30603</v>
      </c>
      <c r="J3640" s="195">
        <v>11.34182</v>
      </c>
      <c r="K3640" s="195">
        <v>8.8678530000000002</v>
      </c>
      <c r="L3640" s="195">
        <v>2.7892839999999999</v>
      </c>
      <c r="M3640" s="195">
        <v>0</v>
      </c>
      <c r="N3640" s="195">
        <v>0</v>
      </c>
    </row>
    <row r="3641" spans="1:14" hidden="1" x14ac:dyDescent="0.35">
      <c r="A3641" s="52" t="s">
        <v>250</v>
      </c>
      <c r="B3641" s="52" t="s">
        <v>37</v>
      </c>
      <c r="C3641" s="52" t="s">
        <v>35</v>
      </c>
      <c r="D3641" s="52" t="s">
        <v>36</v>
      </c>
      <c r="E3641" s="52" t="s">
        <v>590</v>
      </c>
      <c r="F3641" s="52" t="s">
        <v>581</v>
      </c>
      <c r="G3641" s="195" t="s">
        <v>279</v>
      </c>
      <c r="H3641" s="195">
        <v>233.49270000000001</v>
      </c>
      <c r="I3641" s="195">
        <v>159.43610000000001</v>
      </c>
      <c r="J3641" s="195">
        <v>127.83459999999999</v>
      </c>
      <c r="K3641" s="195">
        <v>113.39190000000001</v>
      </c>
      <c r="L3641" s="195">
        <v>111.38330000000001</v>
      </c>
      <c r="M3641" s="195">
        <v>96.932280000000006</v>
      </c>
      <c r="N3641" s="195">
        <v>86.383420000000001</v>
      </c>
    </row>
    <row r="3642" spans="1:14" hidden="1" x14ac:dyDescent="0.35">
      <c r="A3642" s="52" t="s">
        <v>250</v>
      </c>
      <c r="B3642" s="52" t="s">
        <v>37</v>
      </c>
      <c r="C3642" s="52" t="s">
        <v>35</v>
      </c>
      <c r="D3642" s="52" t="s">
        <v>36</v>
      </c>
      <c r="E3642" s="52" t="s">
        <v>590</v>
      </c>
      <c r="F3642" s="52" t="s">
        <v>26</v>
      </c>
      <c r="G3642" s="195" t="s">
        <v>275</v>
      </c>
      <c r="H3642" s="195">
        <v>-9.9384490000000003</v>
      </c>
      <c r="I3642" s="195">
        <v>-11.294119999999999</v>
      </c>
      <c r="J3642" s="195">
        <v>-8.4153920000000006</v>
      </c>
      <c r="K3642" s="195">
        <v>-8.2696550000000002</v>
      </c>
      <c r="L3642" s="195">
        <v>-9.6535770000000003</v>
      </c>
      <c r="M3642" s="195">
        <v>-8.3267330000000008</v>
      </c>
      <c r="N3642" s="195">
        <v>-7.4070429999999998</v>
      </c>
    </row>
    <row r="3643" spans="1:14" hidden="1" x14ac:dyDescent="0.35">
      <c r="A3643" s="52" t="s">
        <v>250</v>
      </c>
      <c r="B3643" s="52" t="s">
        <v>37</v>
      </c>
      <c r="C3643" s="52" t="s">
        <v>35</v>
      </c>
      <c r="D3643" s="52" t="s">
        <v>36</v>
      </c>
      <c r="E3643" s="52" t="s">
        <v>590</v>
      </c>
      <c r="F3643" s="52" t="s">
        <v>26</v>
      </c>
      <c r="G3643" s="195" t="s">
        <v>276</v>
      </c>
      <c r="H3643" s="195">
        <v>-2.6418729999999999</v>
      </c>
      <c r="I3643" s="195">
        <v>-3.0022250000000001</v>
      </c>
      <c r="J3643" s="195">
        <v>-2.2370030000000001</v>
      </c>
      <c r="K3643" s="195">
        <v>-2.1982659999999998</v>
      </c>
      <c r="L3643" s="195">
        <v>-2.566147</v>
      </c>
      <c r="M3643" s="195">
        <v>-2.213435</v>
      </c>
      <c r="N3643" s="195">
        <v>-1.96896</v>
      </c>
    </row>
    <row r="3644" spans="1:14" hidden="1" x14ac:dyDescent="0.35">
      <c r="A3644" s="52" t="s">
        <v>250</v>
      </c>
      <c r="B3644" s="52" t="s">
        <v>37</v>
      </c>
      <c r="C3644" s="52" t="s">
        <v>35</v>
      </c>
      <c r="D3644" s="52" t="s">
        <v>36</v>
      </c>
      <c r="E3644" s="52" t="s">
        <v>590</v>
      </c>
      <c r="F3644" s="52" t="s">
        <v>26</v>
      </c>
      <c r="G3644" s="195" t="s">
        <v>279</v>
      </c>
      <c r="H3644" s="195">
        <v>53.191540000000003</v>
      </c>
      <c r="I3644" s="195">
        <v>44.073430000000002</v>
      </c>
      <c r="J3644" s="195">
        <v>36.306519999999999</v>
      </c>
      <c r="K3644" s="195">
        <v>32.716990000000003</v>
      </c>
      <c r="L3644" s="195">
        <v>31.869209999999999</v>
      </c>
      <c r="M3644" s="195">
        <v>27.8047</v>
      </c>
      <c r="N3644" s="195">
        <v>24.77983</v>
      </c>
    </row>
    <row r="3645" spans="1:14" hidden="1" x14ac:dyDescent="0.35">
      <c r="A3645" s="52" t="s">
        <v>250</v>
      </c>
      <c r="B3645" s="52" t="s">
        <v>37</v>
      </c>
      <c r="C3645" s="52" t="s">
        <v>35</v>
      </c>
      <c r="D3645" s="52" t="s">
        <v>36</v>
      </c>
      <c r="E3645" s="52" t="s">
        <v>584</v>
      </c>
      <c r="F3645" s="52" t="s">
        <v>581</v>
      </c>
      <c r="G3645" s="195" t="s">
        <v>275</v>
      </c>
      <c r="H3645" s="195">
        <v>191.143</v>
      </c>
      <c r="I3645" s="195">
        <v>33.611229999999999</v>
      </c>
      <c r="J3645" s="195">
        <v>29.396979999999999</v>
      </c>
      <c r="K3645" s="195">
        <v>27.229679999999998</v>
      </c>
      <c r="L3645" s="195">
        <v>18.97926</v>
      </c>
      <c r="M3645" s="195">
        <v>18.40278</v>
      </c>
      <c r="N3645" s="195">
        <v>16.155709999999999</v>
      </c>
    </row>
    <row r="3646" spans="1:14" hidden="1" x14ac:dyDescent="0.35">
      <c r="A3646" s="52" t="s">
        <v>250</v>
      </c>
      <c r="B3646" s="52" t="s">
        <v>37</v>
      </c>
      <c r="C3646" s="52" t="s">
        <v>35</v>
      </c>
      <c r="D3646" s="52" t="s">
        <v>36</v>
      </c>
      <c r="E3646" s="52" t="s">
        <v>584</v>
      </c>
      <c r="F3646" s="52" t="s">
        <v>581</v>
      </c>
      <c r="G3646" s="195" t="s">
        <v>276</v>
      </c>
      <c r="H3646" s="195">
        <v>50.307540000000003</v>
      </c>
      <c r="I3646" s="195">
        <v>9.3102</v>
      </c>
      <c r="J3646" s="195">
        <v>6.0699759999999996</v>
      </c>
      <c r="K3646" s="195">
        <v>5.4646049999999997</v>
      </c>
      <c r="L3646" s="195">
        <v>4.674525</v>
      </c>
      <c r="M3646" s="195">
        <v>4.276872</v>
      </c>
      <c r="N3646" s="195">
        <v>4.3495239999999997</v>
      </c>
    </row>
    <row r="3647" spans="1:14" hidden="1" x14ac:dyDescent="0.35">
      <c r="A3647" s="52" t="s">
        <v>250</v>
      </c>
      <c r="B3647" s="52" t="s">
        <v>37</v>
      </c>
      <c r="C3647" s="52" t="s">
        <v>35</v>
      </c>
      <c r="D3647" s="52" t="s">
        <v>36</v>
      </c>
      <c r="E3647" s="52" t="s">
        <v>584</v>
      </c>
      <c r="F3647" s="52" t="s">
        <v>581</v>
      </c>
      <c r="G3647" s="195" t="s">
        <v>277</v>
      </c>
      <c r="H3647" s="195">
        <v>1.9915499999999999</v>
      </c>
      <c r="I3647" s="195">
        <v>5.6484670000000001</v>
      </c>
      <c r="J3647" s="195">
        <v>0</v>
      </c>
      <c r="K3647" s="195"/>
      <c r="L3647" s="195"/>
      <c r="M3647" s="195">
        <v>0</v>
      </c>
      <c r="N3647" s="195">
        <v>0.25848680000000002</v>
      </c>
    </row>
    <row r="3648" spans="1:14" hidden="1" x14ac:dyDescent="0.35">
      <c r="A3648" s="52" t="s">
        <v>250</v>
      </c>
      <c r="B3648" s="52" t="s">
        <v>37</v>
      </c>
      <c r="C3648" s="52" t="s">
        <v>35</v>
      </c>
      <c r="D3648" s="52" t="s">
        <v>36</v>
      </c>
      <c r="E3648" s="52" t="s">
        <v>584</v>
      </c>
      <c r="F3648" s="52" t="s">
        <v>581</v>
      </c>
      <c r="G3648" s="195" t="s">
        <v>279</v>
      </c>
      <c r="H3648" s="195">
        <v>108.0547</v>
      </c>
      <c r="I3648" s="195">
        <v>73.838040000000007</v>
      </c>
      <c r="J3648" s="195">
        <v>67.110439999999997</v>
      </c>
      <c r="K3648" s="195">
        <v>65.477140000000006</v>
      </c>
      <c r="L3648" s="195">
        <v>68.095259999999996</v>
      </c>
      <c r="M3648" s="195">
        <v>62.113050000000001</v>
      </c>
      <c r="N3648" s="195">
        <v>56.623690000000003</v>
      </c>
    </row>
    <row r="3649" spans="1:14" hidden="1" x14ac:dyDescent="0.35">
      <c r="A3649" s="52" t="s">
        <v>250</v>
      </c>
      <c r="B3649" s="52" t="s">
        <v>37</v>
      </c>
      <c r="C3649" s="52" t="s">
        <v>35</v>
      </c>
      <c r="D3649" s="52" t="s">
        <v>36</v>
      </c>
      <c r="E3649" s="52" t="s">
        <v>584</v>
      </c>
      <c r="F3649" s="52" t="s">
        <v>26</v>
      </c>
      <c r="G3649" s="195" t="s">
        <v>275</v>
      </c>
      <c r="H3649" s="195">
        <v>-6.1020240000000001</v>
      </c>
      <c r="I3649" s="195">
        <v>-6.1360029999999997</v>
      </c>
      <c r="J3649" s="195">
        <v>-5.3126300000000004</v>
      </c>
      <c r="K3649" s="195">
        <v>-5.5742149999999997</v>
      </c>
      <c r="L3649" s="195">
        <v>-6.6240690000000004</v>
      </c>
      <c r="M3649" s="195">
        <v>-5.994599</v>
      </c>
      <c r="N3649" s="195">
        <v>-5.4557289999999998</v>
      </c>
    </row>
    <row r="3650" spans="1:14" hidden="1" x14ac:dyDescent="0.35">
      <c r="A3650" s="52" t="s">
        <v>250</v>
      </c>
      <c r="B3650" s="52" t="s">
        <v>37</v>
      </c>
      <c r="C3650" s="52" t="s">
        <v>35</v>
      </c>
      <c r="D3650" s="52" t="s">
        <v>36</v>
      </c>
      <c r="E3650" s="52" t="s">
        <v>584</v>
      </c>
      <c r="F3650" s="52" t="s">
        <v>26</v>
      </c>
      <c r="G3650" s="195" t="s">
        <v>276</v>
      </c>
      <c r="H3650" s="195">
        <v>-1.622055</v>
      </c>
      <c r="I3650" s="195">
        <v>-1.631086</v>
      </c>
      <c r="J3650" s="195">
        <v>-1.412218</v>
      </c>
      <c r="K3650" s="195">
        <v>-1.4817549999999999</v>
      </c>
      <c r="L3650" s="195">
        <v>-1.7608280000000001</v>
      </c>
      <c r="M3650" s="195">
        <v>-1.5935010000000001</v>
      </c>
      <c r="N3650" s="195">
        <v>-1.4502569999999999</v>
      </c>
    </row>
    <row r="3651" spans="1:14" hidden="1" x14ac:dyDescent="0.35">
      <c r="A3651" s="52" t="s">
        <v>250</v>
      </c>
      <c r="B3651" s="52" t="s">
        <v>37</v>
      </c>
      <c r="C3651" s="52" t="s">
        <v>35</v>
      </c>
      <c r="D3651" s="52" t="s">
        <v>36</v>
      </c>
      <c r="E3651" s="52" t="s">
        <v>584</v>
      </c>
      <c r="F3651" s="52" t="s">
        <v>26</v>
      </c>
      <c r="G3651" s="195" t="s">
        <v>279</v>
      </c>
      <c r="H3651" s="195">
        <v>24.057379999999998</v>
      </c>
      <c r="I3651" s="195">
        <v>19.42792</v>
      </c>
      <c r="J3651" s="195">
        <v>18.110420000000001</v>
      </c>
      <c r="K3651" s="195">
        <v>17.934049999999999</v>
      </c>
      <c r="L3651" s="195">
        <v>18.528490000000001</v>
      </c>
      <c r="M3651" s="195">
        <v>16.936679999999999</v>
      </c>
      <c r="N3651" s="195">
        <v>15.439780000000001</v>
      </c>
    </row>
    <row r="3652" spans="1:14" hidden="1" x14ac:dyDescent="0.35">
      <c r="A3652" s="52" t="s">
        <v>250</v>
      </c>
      <c r="B3652" s="52" t="s">
        <v>37</v>
      </c>
      <c r="C3652" s="52" t="s">
        <v>35</v>
      </c>
      <c r="D3652" s="52" t="s">
        <v>36</v>
      </c>
      <c r="E3652" s="52" t="s">
        <v>660</v>
      </c>
      <c r="F3652" s="52" t="s">
        <v>581</v>
      </c>
      <c r="G3652" s="195" t="s">
        <v>275</v>
      </c>
      <c r="H3652" s="195">
        <v>87.07302</v>
      </c>
      <c r="I3652" s="195">
        <v>8.9706480000000006</v>
      </c>
      <c r="J3652" s="195">
        <v>4.9695340000000003</v>
      </c>
      <c r="K3652" s="195">
        <v>4.4902280000000001</v>
      </c>
      <c r="L3652" s="195">
        <v>1.132752</v>
      </c>
      <c r="M3652" s="195">
        <v>1.259333</v>
      </c>
      <c r="N3652" s="195">
        <v>1.157691</v>
      </c>
    </row>
    <row r="3653" spans="1:14" hidden="1" x14ac:dyDescent="0.35">
      <c r="A3653" s="52" t="s">
        <v>250</v>
      </c>
      <c r="B3653" s="52" t="s">
        <v>37</v>
      </c>
      <c r="C3653" s="52" t="s">
        <v>35</v>
      </c>
      <c r="D3653" s="52" t="s">
        <v>36</v>
      </c>
      <c r="E3653" s="52" t="s">
        <v>660</v>
      </c>
      <c r="F3653" s="52" t="s">
        <v>581</v>
      </c>
      <c r="G3653" s="195" t="s">
        <v>276</v>
      </c>
      <c r="H3653" s="195">
        <v>11.29449</v>
      </c>
      <c r="I3653" s="195">
        <v>2.1375299999999999</v>
      </c>
      <c r="J3653" s="195">
        <v>1.1233550000000001</v>
      </c>
      <c r="K3653" s="195">
        <v>0.48731679999999999</v>
      </c>
      <c r="L3653" s="195">
        <v>0.21676609999999999</v>
      </c>
      <c r="M3653" s="195">
        <v>0.33475840000000001</v>
      </c>
      <c r="N3653" s="195">
        <v>0.30774020000000002</v>
      </c>
    </row>
    <row r="3654" spans="1:14" hidden="1" x14ac:dyDescent="0.35">
      <c r="A3654" s="52" t="s">
        <v>250</v>
      </c>
      <c r="B3654" s="52" t="s">
        <v>37</v>
      </c>
      <c r="C3654" s="52" t="s">
        <v>35</v>
      </c>
      <c r="D3654" s="52" t="s">
        <v>36</v>
      </c>
      <c r="E3654" s="52" t="s">
        <v>660</v>
      </c>
      <c r="F3654" s="52" t="s">
        <v>581</v>
      </c>
      <c r="G3654" s="195" t="s">
        <v>277</v>
      </c>
      <c r="H3654" s="195">
        <v>0.77464200000000005</v>
      </c>
      <c r="I3654" s="195">
        <v>0</v>
      </c>
      <c r="J3654" s="195"/>
      <c r="K3654" s="195"/>
      <c r="L3654" s="195"/>
      <c r="M3654" s="195">
        <v>0</v>
      </c>
      <c r="N3654" s="195">
        <v>0</v>
      </c>
    </row>
    <row r="3655" spans="1:14" hidden="1" x14ac:dyDescent="0.35">
      <c r="A3655" s="52" t="s">
        <v>250</v>
      </c>
      <c r="B3655" s="52" t="s">
        <v>37</v>
      </c>
      <c r="C3655" s="52" t="s">
        <v>35</v>
      </c>
      <c r="D3655" s="52" t="s">
        <v>36</v>
      </c>
      <c r="E3655" s="52" t="s">
        <v>660</v>
      </c>
      <c r="F3655" s="52" t="s">
        <v>581</v>
      </c>
      <c r="G3655" s="195" t="s">
        <v>278</v>
      </c>
      <c r="H3655" s="195">
        <v>0</v>
      </c>
      <c r="I3655" s="195"/>
      <c r="J3655" s="195"/>
      <c r="K3655" s="195"/>
      <c r="L3655" s="195"/>
      <c r="M3655" s="195"/>
      <c r="N3655" s="195"/>
    </row>
    <row r="3656" spans="1:14" hidden="1" x14ac:dyDescent="0.35">
      <c r="A3656" s="52" t="s">
        <v>250</v>
      </c>
      <c r="B3656" s="52" t="s">
        <v>37</v>
      </c>
      <c r="C3656" s="52" t="s">
        <v>35</v>
      </c>
      <c r="D3656" s="52" t="s">
        <v>36</v>
      </c>
      <c r="E3656" s="52" t="s">
        <v>660</v>
      </c>
      <c r="F3656" s="52" t="s">
        <v>581</v>
      </c>
      <c r="G3656" s="195" t="s">
        <v>279</v>
      </c>
      <c r="H3656" s="195">
        <v>60.591810000000002</v>
      </c>
      <c r="I3656" s="195">
        <v>37.868079999999999</v>
      </c>
      <c r="J3656" s="195">
        <v>31.97316</v>
      </c>
      <c r="K3656" s="195">
        <v>29.343810000000001</v>
      </c>
      <c r="L3656" s="195">
        <v>29.637070000000001</v>
      </c>
      <c r="M3656" s="195">
        <v>26.463460000000001</v>
      </c>
      <c r="N3656" s="195">
        <v>23.829699999999999</v>
      </c>
    </row>
    <row r="3657" spans="1:14" hidden="1" x14ac:dyDescent="0.35">
      <c r="A3657" s="52" t="s">
        <v>250</v>
      </c>
      <c r="B3657" s="52" t="s">
        <v>37</v>
      </c>
      <c r="C3657" s="52" t="s">
        <v>35</v>
      </c>
      <c r="D3657" s="52" t="s">
        <v>36</v>
      </c>
      <c r="E3657" s="52" t="s">
        <v>660</v>
      </c>
      <c r="F3657" s="52" t="s">
        <v>26</v>
      </c>
      <c r="G3657" s="195" t="s">
        <v>275</v>
      </c>
      <c r="H3657" s="195">
        <v>-3.6185260000000001</v>
      </c>
      <c r="I3657" s="195">
        <v>-3.0542199999999999</v>
      </c>
      <c r="J3657" s="195">
        <v>-2.4971269999999999</v>
      </c>
      <c r="K3657" s="195">
        <v>-2.4039649999999999</v>
      </c>
      <c r="L3657" s="195">
        <v>-2.6707740000000002</v>
      </c>
      <c r="M3657" s="195">
        <v>-2.3705780000000001</v>
      </c>
      <c r="N3657" s="195">
        <v>-2.1321080000000001</v>
      </c>
    </row>
    <row r="3658" spans="1:14" hidden="1" x14ac:dyDescent="0.35">
      <c r="A3658" s="52" t="s">
        <v>250</v>
      </c>
      <c r="B3658" s="52" t="s">
        <v>37</v>
      </c>
      <c r="C3658" s="52" t="s">
        <v>35</v>
      </c>
      <c r="D3658" s="52" t="s">
        <v>36</v>
      </c>
      <c r="E3658" s="52" t="s">
        <v>660</v>
      </c>
      <c r="F3658" s="52" t="s">
        <v>26</v>
      </c>
      <c r="G3658" s="195" t="s">
        <v>276</v>
      </c>
      <c r="H3658" s="195">
        <v>-0.96188499999999999</v>
      </c>
      <c r="I3658" s="195">
        <v>-0.81188170000000004</v>
      </c>
      <c r="J3658" s="195">
        <v>-0.66379330000000003</v>
      </c>
      <c r="K3658" s="195">
        <v>-0.63902930000000002</v>
      </c>
      <c r="L3658" s="195">
        <v>-0.70995299999999995</v>
      </c>
      <c r="M3658" s="195">
        <v>-0.63015339999999997</v>
      </c>
      <c r="N3658" s="195">
        <v>-0.56676360000000003</v>
      </c>
    </row>
    <row r="3659" spans="1:14" hidden="1" x14ac:dyDescent="0.35">
      <c r="A3659" s="52" t="s">
        <v>250</v>
      </c>
      <c r="B3659" s="52" t="s">
        <v>37</v>
      </c>
      <c r="C3659" s="52" t="s">
        <v>35</v>
      </c>
      <c r="D3659" s="52" t="s">
        <v>36</v>
      </c>
      <c r="E3659" s="52" t="s">
        <v>660</v>
      </c>
      <c r="F3659" s="52" t="s">
        <v>26</v>
      </c>
      <c r="G3659" s="195" t="s">
        <v>279</v>
      </c>
      <c r="H3659" s="195">
        <v>10.682779999999999</v>
      </c>
      <c r="I3659" s="195">
        <v>7.8014140000000003</v>
      </c>
      <c r="J3659" s="195">
        <v>6.7252140000000002</v>
      </c>
      <c r="K3659" s="195">
        <v>6.2512020000000001</v>
      </c>
      <c r="L3659" s="195">
        <v>6.2707050000000004</v>
      </c>
      <c r="M3659" s="195">
        <v>5.6102889999999999</v>
      </c>
      <c r="N3659" s="195">
        <v>5.051952</v>
      </c>
    </row>
    <row r="3660" spans="1:14" hidden="1" x14ac:dyDescent="0.35">
      <c r="A3660" s="52" t="s">
        <v>250</v>
      </c>
      <c r="B3660" s="52" t="s">
        <v>37</v>
      </c>
      <c r="C3660" s="52" t="s">
        <v>114</v>
      </c>
      <c r="D3660" s="52" t="s">
        <v>114</v>
      </c>
      <c r="E3660" s="52" t="s">
        <v>584</v>
      </c>
      <c r="F3660" s="52" t="s">
        <v>581</v>
      </c>
      <c r="G3660" s="195" t="s">
        <v>275</v>
      </c>
      <c r="H3660" s="195">
        <v>4.7496929999999997</v>
      </c>
      <c r="I3660" s="195">
        <v>0.40239770000000002</v>
      </c>
      <c r="J3660" s="195">
        <v>0.47721370000000002</v>
      </c>
      <c r="K3660" s="195">
        <v>0.64197839999999995</v>
      </c>
      <c r="L3660" s="195">
        <v>0.56679939999999995</v>
      </c>
      <c r="M3660" s="195">
        <v>0.50648020000000005</v>
      </c>
      <c r="N3660" s="195">
        <v>0.36389840000000001</v>
      </c>
    </row>
    <row r="3661" spans="1:14" hidden="1" x14ac:dyDescent="0.35">
      <c r="A3661" s="52" t="s">
        <v>250</v>
      </c>
      <c r="B3661" s="52" t="s">
        <v>37</v>
      </c>
      <c r="C3661" s="52" t="s">
        <v>114</v>
      </c>
      <c r="D3661" s="52" t="s">
        <v>114</v>
      </c>
      <c r="E3661" s="52" t="s">
        <v>584</v>
      </c>
      <c r="F3661" s="52" t="s">
        <v>581</v>
      </c>
      <c r="G3661" s="195" t="s">
        <v>276</v>
      </c>
      <c r="H3661" s="195">
        <v>2.7997800000000002</v>
      </c>
      <c r="I3661" s="195">
        <v>-6.7391199999999998E-2</v>
      </c>
      <c r="J3661" s="195">
        <v>-0.48638419999999999</v>
      </c>
      <c r="K3661" s="195">
        <v>-0.68799200000000005</v>
      </c>
      <c r="L3661" s="195">
        <v>-0.60539960000000004</v>
      </c>
      <c r="M3661" s="195">
        <v>-0.51782039999999996</v>
      </c>
      <c r="N3661" s="195">
        <v>-0.369087</v>
      </c>
    </row>
    <row r="3662" spans="1:14" hidden="1" x14ac:dyDescent="0.35">
      <c r="A3662" s="52" t="s">
        <v>250</v>
      </c>
      <c r="B3662" s="52" t="s">
        <v>37</v>
      </c>
      <c r="C3662" s="52" t="s">
        <v>114</v>
      </c>
      <c r="D3662" s="52" t="s">
        <v>114</v>
      </c>
      <c r="E3662" s="52" t="s">
        <v>584</v>
      </c>
      <c r="F3662" s="52" t="s">
        <v>581</v>
      </c>
      <c r="G3662" s="195" t="s">
        <v>277</v>
      </c>
      <c r="H3662" s="195">
        <v>4.2465609999999998</v>
      </c>
      <c r="I3662" s="195">
        <v>2.3640789999999998</v>
      </c>
      <c r="J3662" s="195">
        <v>1.547579</v>
      </c>
      <c r="K3662" s="195">
        <v>1.0705709999999999</v>
      </c>
      <c r="L3662" s="195">
        <v>0.72398180000000001</v>
      </c>
      <c r="M3662" s="195">
        <v>0.48227880000000001</v>
      </c>
      <c r="N3662" s="195">
        <v>0.32877600000000001</v>
      </c>
    </row>
    <row r="3663" spans="1:14" hidden="1" x14ac:dyDescent="0.35">
      <c r="A3663" s="52" t="s">
        <v>250</v>
      </c>
      <c r="B3663" s="52" t="s">
        <v>37</v>
      </c>
      <c r="C3663" s="52" t="s">
        <v>114</v>
      </c>
      <c r="D3663" s="52" t="s">
        <v>114</v>
      </c>
      <c r="E3663" s="52" t="s">
        <v>584</v>
      </c>
      <c r="F3663" s="52" t="s">
        <v>581</v>
      </c>
      <c r="G3663" s="195" t="s">
        <v>279</v>
      </c>
      <c r="H3663" s="195">
        <v>2.54061</v>
      </c>
      <c r="I3663" s="195">
        <v>1.1255710000000001</v>
      </c>
      <c r="J3663" s="195">
        <v>0.72500410000000004</v>
      </c>
      <c r="K3663" s="195">
        <v>0.53063579999999999</v>
      </c>
      <c r="L3663" s="195">
        <v>0.38319799999999998</v>
      </c>
      <c r="M3663" s="195">
        <v>0.26328940000000001</v>
      </c>
      <c r="N3663" s="195">
        <v>0.1809016</v>
      </c>
    </row>
    <row r="3664" spans="1:14" hidden="1" x14ac:dyDescent="0.35">
      <c r="A3664" s="52" t="s">
        <v>250</v>
      </c>
      <c r="B3664" s="52" t="s">
        <v>37</v>
      </c>
      <c r="C3664" s="52" t="s">
        <v>114</v>
      </c>
      <c r="D3664" s="52" t="s">
        <v>114</v>
      </c>
      <c r="E3664" s="52" t="s">
        <v>584</v>
      </c>
      <c r="F3664" s="52" t="s">
        <v>26</v>
      </c>
      <c r="G3664" s="195" t="s">
        <v>275</v>
      </c>
      <c r="H3664" s="195">
        <v>0.46486699999999997</v>
      </c>
      <c r="I3664" s="195">
        <v>0.16849439999999999</v>
      </c>
      <c r="J3664" s="195">
        <v>0.13195599999999999</v>
      </c>
      <c r="K3664" s="195">
        <v>6.462619E-2</v>
      </c>
      <c r="L3664" s="195">
        <v>2.9329399999999999E-2</v>
      </c>
      <c r="M3664" s="195">
        <v>1.9895599999999999E-2</v>
      </c>
      <c r="N3664" s="195">
        <v>1.38634E-2</v>
      </c>
    </row>
    <row r="3665" spans="1:14" hidden="1" x14ac:dyDescent="0.35">
      <c r="A3665" s="52" t="s">
        <v>250</v>
      </c>
      <c r="B3665" s="52" t="s">
        <v>37</v>
      </c>
      <c r="C3665" s="52" t="s">
        <v>114</v>
      </c>
      <c r="D3665" s="52" t="s">
        <v>114</v>
      </c>
      <c r="E3665" s="52" t="s">
        <v>584</v>
      </c>
      <c r="F3665" s="52" t="s">
        <v>26</v>
      </c>
      <c r="G3665" s="195" t="s">
        <v>276</v>
      </c>
      <c r="H3665" s="195">
        <v>0.203044</v>
      </c>
      <c r="I3665" s="195">
        <v>7.3594999999999994E-2</v>
      </c>
      <c r="J3665" s="195">
        <v>5.7635800000000001E-2</v>
      </c>
      <c r="K3665" s="195">
        <v>2.8227599999999999E-2</v>
      </c>
      <c r="L3665" s="195">
        <v>1.281E-2</v>
      </c>
      <c r="M3665" s="195">
        <v>8.6899999999999998E-3</v>
      </c>
      <c r="N3665" s="195">
        <v>6.0553999999999998E-3</v>
      </c>
    </row>
    <row r="3666" spans="1:14" hidden="1" x14ac:dyDescent="0.35">
      <c r="A3666" s="52" t="s">
        <v>250</v>
      </c>
      <c r="B3666" s="52" t="s">
        <v>37</v>
      </c>
      <c r="C3666" s="52" t="s">
        <v>114</v>
      </c>
      <c r="D3666" s="52" t="s">
        <v>114</v>
      </c>
      <c r="E3666" s="52" t="s">
        <v>584</v>
      </c>
      <c r="F3666" s="52" t="s">
        <v>26</v>
      </c>
      <c r="G3666" s="195" t="s">
        <v>279</v>
      </c>
      <c r="H3666" s="195">
        <v>1.7751049999999999</v>
      </c>
      <c r="I3666" s="195">
        <v>1.0367459999999999</v>
      </c>
      <c r="J3666" s="195">
        <v>0.69447139999999996</v>
      </c>
      <c r="K3666" s="195">
        <v>0.51441099999999995</v>
      </c>
      <c r="L3666" s="195">
        <v>0.37474859999999999</v>
      </c>
      <c r="M3666" s="195">
        <v>0.25745079999999998</v>
      </c>
      <c r="N3666" s="195">
        <v>0.17691399999999999</v>
      </c>
    </row>
    <row r="3667" spans="1:14" hidden="1" x14ac:dyDescent="0.35">
      <c r="A3667" s="52" t="s">
        <v>639</v>
      </c>
      <c r="B3667" s="52" t="s">
        <v>37</v>
      </c>
      <c r="C3667" s="52" t="s">
        <v>63</v>
      </c>
      <c r="D3667" s="52" t="s">
        <v>63</v>
      </c>
      <c r="E3667" s="52" t="s">
        <v>610</v>
      </c>
      <c r="F3667" s="52" t="s">
        <v>581</v>
      </c>
      <c r="G3667" s="195" t="s">
        <v>275</v>
      </c>
      <c r="H3667" s="195">
        <v>682.65319999999997</v>
      </c>
      <c r="I3667" s="195">
        <v>66.59102</v>
      </c>
      <c r="J3667" s="195">
        <v>9.3613970000000002</v>
      </c>
      <c r="K3667" s="195">
        <v>-13.157679999999999</v>
      </c>
      <c r="L3667" s="195">
        <v>-34.039299999999997</v>
      </c>
      <c r="M3667" s="195">
        <v>-29.607209999999998</v>
      </c>
      <c r="N3667" s="195">
        <v>-26.743089999999999</v>
      </c>
    </row>
    <row r="3668" spans="1:14" hidden="1" x14ac:dyDescent="0.35">
      <c r="A3668" s="52" t="s">
        <v>639</v>
      </c>
      <c r="B3668" s="52" t="s">
        <v>37</v>
      </c>
      <c r="C3668" s="52" t="s">
        <v>63</v>
      </c>
      <c r="D3668" s="52" t="s">
        <v>63</v>
      </c>
      <c r="E3668" s="52" t="s">
        <v>610</v>
      </c>
      <c r="F3668" s="52" t="s">
        <v>581</v>
      </c>
      <c r="G3668" s="195" t="s">
        <v>276</v>
      </c>
      <c r="H3668" s="195">
        <v>47.457189999999997</v>
      </c>
      <c r="I3668" s="195">
        <v>4.6293150000000001</v>
      </c>
      <c r="J3668" s="195">
        <v>0.65077209999999996</v>
      </c>
      <c r="K3668" s="195">
        <v>-0.91471599999999997</v>
      </c>
      <c r="L3668" s="195">
        <v>-2.3663630000000002</v>
      </c>
      <c r="M3668" s="195">
        <v>-2.058249</v>
      </c>
      <c r="N3668" s="195">
        <v>-1.8591409999999999</v>
      </c>
    </row>
    <row r="3669" spans="1:14" hidden="1" x14ac:dyDescent="0.35">
      <c r="A3669" s="52" t="s">
        <v>639</v>
      </c>
      <c r="B3669" s="52" t="s">
        <v>37</v>
      </c>
      <c r="C3669" s="52" t="s">
        <v>63</v>
      </c>
      <c r="D3669" s="52" t="s">
        <v>63</v>
      </c>
      <c r="E3669" s="52" t="s">
        <v>610</v>
      </c>
      <c r="F3669" s="52" t="s">
        <v>581</v>
      </c>
      <c r="G3669" s="195" t="s">
        <v>279</v>
      </c>
      <c r="H3669" s="195">
        <v>504.80009999999999</v>
      </c>
      <c r="I3669" s="195">
        <v>462.8836</v>
      </c>
      <c r="J3669" s="195">
        <v>404.77879999999999</v>
      </c>
      <c r="K3669" s="195">
        <v>369.19819999999999</v>
      </c>
      <c r="L3669" s="195">
        <v>351.14760000000001</v>
      </c>
      <c r="M3669" s="195">
        <v>316.73230000000001</v>
      </c>
      <c r="N3669" s="195">
        <v>286.89909999999998</v>
      </c>
    </row>
    <row r="3670" spans="1:14" hidden="1" x14ac:dyDescent="0.35">
      <c r="A3670" s="52" t="s">
        <v>639</v>
      </c>
      <c r="B3670" s="52" t="s">
        <v>37</v>
      </c>
      <c r="C3670" s="52" t="s">
        <v>63</v>
      </c>
      <c r="D3670" s="52" t="s">
        <v>63</v>
      </c>
      <c r="E3670" s="52" t="s">
        <v>610</v>
      </c>
      <c r="F3670" s="52" t="s">
        <v>26</v>
      </c>
      <c r="G3670" s="195" t="s">
        <v>275</v>
      </c>
      <c r="H3670" s="195">
        <v>-1081.8130000000001</v>
      </c>
      <c r="I3670" s="195">
        <v>-367.60289999999998</v>
      </c>
      <c r="J3670" s="195">
        <v>-74.043750000000003</v>
      </c>
      <c r="K3670" s="195">
        <v>-127.5899</v>
      </c>
      <c r="L3670" s="195">
        <v>-195.649</v>
      </c>
      <c r="M3670" s="195">
        <v>-181.4211</v>
      </c>
      <c r="N3670" s="195">
        <v>-171.32480000000001</v>
      </c>
    </row>
    <row r="3671" spans="1:14" hidden="1" x14ac:dyDescent="0.35">
      <c r="A3671" s="52" t="s">
        <v>639</v>
      </c>
      <c r="B3671" s="52" t="s">
        <v>37</v>
      </c>
      <c r="C3671" s="52" t="s">
        <v>63</v>
      </c>
      <c r="D3671" s="52" t="s">
        <v>63</v>
      </c>
      <c r="E3671" s="52" t="s">
        <v>610</v>
      </c>
      <c r="F3671" s="52" t="s">
        <v>26</v>
      </c>
      <c r="G3671" s="195" t="s">
        <v>276</v>
      </c>
      <c r="H3671" s="195">
        <v>-74.414090000000002</v>
      </c>
      <c r="I3671" s="195">
        <v>-78.578509999999994</v>
      </c>
      <c r="J3671" s="195">
        <v>-59.32517</v>
      </c>
      <c r="K3671" s="195">
        <v>-55.884639999999997</v>
      </c>
      <c r="L3671" s="195">
        <v>-50.837980000000002</v>
      </c>
      <c r="M3671" s="195">
        <v>-40.725340000000003</v>
      </c>
      <c r="N3671" s="195">
        <v>-27.46829</v>
      </c>
    </row>
    <row r="3672" spans="1:14" hidden="1" x14ac:dyDescent="0.35">
      <c r="A3672" s="52" t="s">
        <v>639</v>
      </c>
      <c r="B3672" s="52" t="s">
        <v>37</v>
      </c>
      <c r="C3672" s="52" t="s">
        <v>63</v>
      </c>
      <c r="D3672" s="52" t="s">
        <v>63</v>
      </c>
      <c r="E3672" s="52" t="s">
        <v>610</v>
      </c>
      <c r="F3672" s="52" t="s">
        <v>26</v>
      </c>
      <c r="G3672" s="195" t="s">
        <v>277</v>
      </c>
      <c r="H3672" s="195">
        <v>1075.3030000000001</v>
      </c>
      <c r="I3672" s="195">
        <v>119.75960000000001</v>
      </c>
      <c r="J3672" s="195">
        <v>13.32483</v>
      </c>
      <c r="K3672" s="195">
        <v>0</v>
      </c>
      <c r="L3672" s="195"/>
      <c r="M3672" s="195">
        <v>1.8275030000000001</v>
      </c>
      <c r="N3672" s="195">
        <v>0</v>
      </c>
    </row>
    <row r="3673" spans="1:14" hidden="1" x14ac:dyDescent="0.35">
      <c r="A3673" s="52" t="s">
        <v>639</v>
      </c>
      <c r="B3673" s="52" t="s">
        <v>37</v>
      </c>
      <c r="C3673" s="52" t="s">
        <v>63</v>
      </c>
      <c r="D3673" s="52" t="s">
        <v>63</v>
      </c>
      <c r="E3673" s="52" t="s">
        <v>610</v>
      </c>
      <c r="F3673" s="52" t="s">
        <v>26</v>
      </c>
      <c r="G3673" s="195" t="s">
        <v>278</v>
      </c>
      <c r="H3673" s="195">
        <v>149.78200000000001</v>
      </c>
      <c r="I3673" s="195">
        <v>177.5831</v>
      </c>
      <c r="J3673" s="195">
        <v>22.19942</v>
      </c>
      <c r="K3673" s="195">
        <v>4.3215070000000004</v>
      </c>
      <c r="L3673" s="195"/>
      <c r="M3673" s="195">
        <v>0</v>
      </c>
      <c r="N3673" s="195"/>
    </row>
    <row r="3674" spans="1:14" hidden="1" x14ac:dyDescent="0.35">
      <c r="A3674" s="52" t="s">
        <v>639</v>
      </c>
      <c r="B3674" s="52" t="s">
        <v>37</v>
      </c>
      <c r="C3674" s="52" t="s">
        <v>63</v>
      </c>
      <c r="D3674" s="52" t="s">
        <v>63</v>
      </c>
      <c r="E3674" s="52" t="s">
        <v>610</v>
      </c>
      <c r="F3674" s="52" t="s">
        <v>26</v>
      </c>
      <c r="G3674" s="195" t="s">
        <v>279</v>
      </c>
      <c r="H3674" s="195">
        <v>1861.72</v>
      </c>
      <c r="I3674" s="195">
        <v>1688.2950000000001</v>
      </c>
      <c r="J3674" s="195">
        <v>1494.6469999999999</v>
      </c>
      <c r="K3674" s="195">
        <v>1370.444</v>
      </c>
      <c r="L3674" s="195">
        <v>1297.367</v>
      </c>
      <c r="M3674" s="195">
        <v>1171.394</v>
      </c>
      <c r="N3674" s="195">
        <v>1061.1120000000001</v>
      </c>
    </row>
    <row r="3675" spans="1:14" hidden="1" x14ac:dyDescent="0.35">
      <c r="A3675" s="52" t="s">
        <v>639</v>
      </c>
      <c r="B3675" s="52" t="s">
        <v>37</v>
      </c>
      <c r="C3675" s="52" t="s">
        <v>63</v>
      </c>
      <c r="D3675" s="52" t="s">
        <v>63</v>
      </c>
      <c r="E3675" s="52" t="s">
        <v>612</v>
      </c>
      <c r="F3675" s="52" t="s">
        <v>581</v>
      </c>
      <c r="G3675" s="195" t="s">
        <v>275</v>
      </c>
      <c r="H3675" s="195">
        <v>128.30789999999999</v>
      </c>
      <c r="I3675" s="195">
        <v>23.025680000000001</v>
      </c>
      <c r="J3675" s="195">
        <v>13.31185</v>
      </c>
      <c r="K3675" s="195">
        <v>10.15555</v>
      </c>
      <c r="L3675" s="195">
        <v>7.3981260000000004</v>
      </c>
      <c r="M3675" s="195">
        <v>6.9052280000000001</v>
      </c>
      <c r="N3675" s="195">
        <v>6.0932659999999998</v>
      </c>
    </row>
    <row r="3676" spans="1:14" hidden="1" x14ac:dyDescent="0.35">
      <c r="A3676" s="52" t="s">
        <v>639</v>
      </c>
      <c r="B3676" s="52" t="s">
        <v>37</v>
      </c>
      <c r="C3676" s="52" t="s">
        <v>63</v>
      </c>
      <c r="D3676" s="52" t="s">
        <v>63</v>
      </c>
      <c r="E3676" s="52" t="s">
        <v>612</v>
      </c>
      <c r="F3676" s="52" t="s">
        <v>581</v>
      </c>
      <c r="G3676" s="195" t="s">
        <v>276</v>
      </c>
      <c r="H3676" s="195">
        <v>-0.112369</v>
      </c>
      <c r="I3676" s="195">
        <v>0</v>
      </c>
      <c r="J3676" s="195"/>
      <c r="K3676" s="195">
        <v>0</v>
      </c>
      <c r="L3676" s="195">
        <v>0</v>
      </c>
      <c r="M3676" s="195">
        <v>8.3845199999999995E-2</v>
      </c>
      <c r="N3676" s="195">
        <v>0.1060306</v>
      </c>
    </row>
    <row r="3677" spans="1:14" hidden="1" x14ac:dyDescent="0.35">
      <c r="A3677" s="52" t="s">
        <v>639</v>
      </c>
      <c r="B3677" s="52" t="s">
        <v>37</v>
      </c>
      <c r="C3677" s="52" t="s">
        <v>63</v>
      </c>
      <c r="D3677" s="52" t="s">
        <v>63</v>
      </c>
      <c r="E3677" s="52" t="s">
        <v>612</v>
      </c>
      <c r="F3677" s="52" t="s">
        <v>581</v>
      </c>
      <c r="G3677" s="195" t="s">
        <v>277</v>
      </c>
      <c r="H3677" s="195">
        <v>0</v>
      </c>
      <c r="I3677" s="195">
        <v>0</v>
      </c>
      <c r="J3677" s="195">
        <v>0.56423719999999999</v>
      </c>
      <c r="K3677" s="195">
        <v>0.16725319999999999</v>
      </c>
      <c r="L3677" s="195"/>
      <c r="M3677" s="195">
        <v>0</v>
      </c>
      <c r="N3677" s="195">
        <v>0</v>
      </c>
    </row>
    <row r="3678" spans="1:14" hidden="1" x14ac:dyDescent="0.35">
      <c r="A3678" s="52" t="s">
        <v>639</v>
      </c>
      <c r="B3678" s="52" t="s">
        <v>37</v>
      </c>
      <c r="C3678" s="52" t="s">
        <v>63</v>
      </c>
      <c r="D3678" s="52" t="s">
        <v>63</v>
      </c>
      <c r="E3678" s="52" t="s">
        <v>612</v>
      </c>
      <c r="F3678" s="52" t="s">
        <v>581</v>
      </c>
      <c r="G3678" s="195" t="s">
        <v>278</v>
      </c>
      <c r="H3678" s="195"/>
      <c r="I3678" s="195">
        <v>0</v>
      </c>
      <c r="J3678" s="195">
        <v>0.81320879999999995</v>
      </c>
      <c r="K3678" s="195">
        <v>0.75445419999999996</v>
      </c>
      <c r="L3678" s="195"/>
      <c r="M3678" s="195">
        <v>0</v>
      </c>
      <c r="N3678" s="195">
        <v>0</v>
      </c>
    </row>
    <row r="3679" spans="1:14" hidden="1" x14ac:dyDescent="0.35">
      <c r="A3679" s="52" t="s">
        <v>639</v>
      </c>
      <c r="B3679" s="52" t="s">
        <v>37</v>
      </c>
      <c r="C3679" s="52" t="s">
        <v>63</v>
      </c>
      <c r="D3679" s="52" t="s">
        <v>63</v>
      </c>
      <c r="E3679" s="52" t="s">
        <v>612</v>
      </c>
      <c r="F3679" s="52" t="s">
        <v>581</v>
      </c>
      <c r="G3679" s="195" t="s">
        <v>279</v>
      </c>
      <c r="H3679" s="195">
        <v>39.952350000000003</v>
      </c>
      <c r="I3679" s="195">
        <v>31.416360000000001</v>
      </c>
      <c r="J3679" s="195">
        <v>27.172499999999999</v>
      </c>
      <c r="K3679" s="195">
        <v>24.052589999999999</v>
      </c>
      <c r="L3679" s="195">
        <v>22.457660000000001</v>
      </c>
      <c r="M3679" s="195">
        <v>19.776869999999999</v>
      </c>
      <c r="N3679" s="195">
        <v>17.747019999999999</v>
      </c>
    </row>
    <row r="3680" spans="1:14" hidden="1" x14ac:dyDescent="0.35">
      <c r="A3680" s="52" t="s">
        <v>639</v>
      </c>
      <c r="B3680" s="52" t="s">
        <v>37</v>
      </c>
      <c r="C3680" s="52" t="s">
        <v>63</v>
      </c>
      <c r="D3680" s="52" t="s">
        <v>63</v>
      </c>
      <c r="E3680" s="52" t="s">
        <v>612</v>
      </c>
      <c r="F3680" s="52" t="s">
        <v>26</v>
      </c>
      <c r="G3680" s="195" t="s">
        <v>275</v>
      </c>
      <c r="H3680" s="195">
        <v>-26.837910000000001</v>
      </c>
      <c r="I3680" s="195">
        <v>-34.586309999999997</v>
      </c>
      <c r="J3680" s="195">
        <v>-15.977359999999999</v>
      </c>
      <c r="K3680" s="195">
        <v>-22.406009999999998</v>
      </c>
      <c r="L3680" s="195">
        <v>-28.285440000000001</v>
      </c>
      <c r="M3680" s="195">
        <v>-25.414290000000001</v>
      </c>
      <c r="N3680" s="195">
        <v>-23.06165</v>
      </c>
    </row>
    <row r="3681" spans="1:14" hidden="1" x14ac:dyDescent="0.35">
      <c r="A3681" s="52" t="s">
        <v>639</v>
      </c>
      <c r="B3681" s="52" t="s">
        <v>37</v>
      </c>
      <c r="C3681" s="52" t="s">
        <v>63</v>
      </c>
      <c r="D3681" s="52" t="s">
        <v>63</v>
      </c>
      <c r="E3681" s="52" t="s">
        <v>612</v>
      </c>
      <c r="F3681" s="52" t="s">
        <v>26</v>
      </c>
      <c r="G3681" s="195" t="s">
        <v>276</v>
      </c>
      <c r="H3681" s="195">
        <v>0.112369</v>
      </c>
      <c r="I3681" s="195">
        <v>0</v>
      </c>
      <c r="J3681" s="195"/>
      <c r="K3681" s="195">
        <v>0</v>
      </c>
      <c r="L3681" s="195"/>
      <c r="M3681" s="195">
        <v>0</v>
      </c>
      <c r="N3681" s="195">
        <v>0</v>
      </c>
    </row>
    <row r="3682" spans="1:14" hidden="1" x14ac:dyDescent="0.35">
      <c r="A3682" s="52" t="s">
        <v>639</v>
      </c>
      <c r="B3682" s="52" t="s">
        <v>37</v>
      </c>
      <c r="C3682" s="52" t="s">
        <v>63</v>
      </c>
      <c r="D3682" s="52" t="s">
        <v>63</v>
      </c>
      <c r="E3682" s="52" t="s">
        <v>612</v>
      </c>
      <c r="F3682" s="52" t="s">
        <v>26</v>
      </c>
      <c r="G3682" s="195" t="s">
        <v>277</v>
      </c>
      <c r="H3682" s="195">
        <v>29.03659</v>
      </c>
      <c r="I3682" s="195">
        <v>12.39345</v>
      </c>
      <c r="J3682" s="195"/>
      <c r="K3682" s="195">
        <v>0</v>
      </c>
      <c r="L3682" s="195">
        <v>0.1211912</v>
      </c>
      <c r="M3682" s="195">
        <v>0.30687059999999999</v>
      </c>
      <c r="N3682" s="195">
        <v>0.4406408</v>
      </c>
    </row>
    <row r="3683" spans="1:14" hidden="1" x14ac:dyDescent="0.35">
      <c r="A3683" s="52" t="s">
        <v>639</v>
      </c>
      <c r="B3683" s="52" t="s">
        <v>37</v>
      </c>
      <c r="C3683" s="52" t="s">
        <v>63</v>
      </c>
      <c r="D3683" s="52" t="s">
        <v>63</v>
      </c>
      <c r="E3683" s="52" t="s">
        <v>612</v>
      </c>
      <c r="F3683" s="52" t="s">
        <v>26</v>
      </c>
      <c r="G3683" s="195" t="s">
        <v>278</v>
      </c>
      <c r="H3683" s="195">
        <v>0</v>
      </c>
      <c r="I3683" s="195"/>
      <c r="J3683" s="195"/>
      <c r="K3683" s="195"/>
      <c r="L3683" s="195"/>
      <c r="M3683" s="195"/>
      <c r="N3683" s="195"/>
    </row>
    <row r="3684" spans="1:14" hidden="1" x14ac:dyDescent="0.35">
      <c r="A3684" s="52" t="s">
        <v>639</v>
      </c>
      <c r="B3684" s="52" t="s">
        <v>37</v>
      </c>
      <c r="C3684" s="52" t="s">
        <v>63</v>
      </c>
      <c r="D3684" s="52" t="s">
        <v>63</v>
      </c>
      <c r="E3684" s="52" t="s">
        <v>612</v>
      </c>
      <c r="F3684" s="52" t="s">
        <v>26</v>
      </c>
      <c r="G3684" s="195" t="s">
        <v>279</v>
      </c>
      <c r="H3684" s="195">
        <v>228.38579999999999</v>
      </c>
      <c r="I3684" s="195">
        <v>186.97710000000001</v>
      </c>
      <c r="J3684" s="195">
        <v>157.0376</v>
      </c>
      <c r="K3684" s="195">
        <v>136.92699999999999</v>
      </c>
      <c r="L3684" s="195">
        <v>127.5288</v>
      </c>
      <c r="M3684" s="195">
        <v>113.5271</v>
      </c>
      <c r="N3684" s="195">
        <v>102.6095</v>
      </c>
    </row>
    <row r="3685" spans="1:14" hidden="1" x14ac:dyDescent="0.35">
      <c r="A3685" s="52" t="s">
        <v>639</v>
      </c>
      <c r="B3685" s="52" t="s">
        <v>37</v>
      </c>
      <c r="C3685" s="52" t="s">
        <v>63</v>
      </c>
      <c r="D3685" s="52" t="s">
        <v>63</v>
      </c>
      <c r="E3685" s="52" t="s">
        <v>609</v>
      </c>
      <c r="F3685" s="52" t="s">
        <v>26</v>
      </c>
      <c r="G3685" s="195" t="s">
        <v>275</v>
      </c>
      <c r="H3685" s="195">
        <v>-0.56898700000000002</v>
      </c>
      <c r="I3685" s="195">
        <v>-12.814579999999999</v>
      </c>
      <c r="J3685" s="195">
        <v>-10.048730000000001</v>
      </c>
      <c r="K3685" s="195">
        <v>-10.012919999999999</v>
      </c>
      <c r="L3685" s="195">
        <v>-10.947749999999999</v>
      </c>
      <c r="M3685" s="195">
        <v>-9.2640080000000005</v>
      </c>
      <c r="N3685" s="195">
        <v>-8.1715319999999991</v>
      </c>
    </row>
    <row r="3686" spans="1:14" hidden="1" x14ac:dyDescent="0.35">
      <c r="A3686" s="52" t="s">
        <v>639</v>
      </c>
      <c r="B3686" s="52" t="s">
        <v>37</v>
      </c>
      <c r="C3686" s="52" t="s">
        <v>63</v>
      </c>
      <c r="D3686" s="52" t="s">
        <v>63</v>
      </c>
      <c r="E3686" s="52" t="s">
        <v>609</v>
      </c>
      <c r="F3686" s="52" t="s">
        <v>26</v>
      </c>
      <c r="G3686" s="195" t="s">
        <v>276</v>
      </c>
      <c r="H3686" s="195">
        <v>0</v>
      </c>
      <c r="I3686" s="195">
        <v>0</v>
      </c>
      <c r="J3686" s="195"/>
      <c r="K3686" s="195">
        <v>0</v>
      </c>
      <c r="L3686" s="195"/>
      <c r="M3686" s="195">
        <v>0</v>
      </c>
      <c r="N3686" s="195"/>
    </row>
    <row r="3687" spans="1:14" hidden="1" x14ac:dyDescent="0.35">
      <c r="A3687" s="52" t="s">
        <v>639</v>
      </c>
      <c r="B3687" s="52" t="s">
        <v>37</v>
      </c>
      <c r="C3687" s="52" t="s">
        <v>63</v>
      </c>
      <c r="D3687" s="52" t="s">
        <v>63</v>
      </c>
      <c r="E3687" s="52" t="s">
        <v>609</v>
      </c>
      <c r="F3687" s="52" t="s">
        <v>26</v>
      </c>
      <c r="G3687" s="195" t="s">
        <v>277</v>
      </c>
      <c r="H3687" s="195">
        <v>0</v>
      </c>
      <c r="I3687" s="195">
        <v>4.886641</v>
      </c>
      <c r="J3687" s="195">
        <v>2.4975350000000001</v>
      </c>
      <c r="K3687" s="195">
        <v>0.54075459999999997</v>
      </c>
      <c r="L3687" s="195"/>
      <c r="M3687" s="195">
        <v>0</v>
      </c>
      <c r="N3687" s="195">
        <v>0</v>
      </c>
    </row>
    <row r="3688" spans="1:14" hidden="1" x14ac:dyDescent="0.35">
      <c r="A3688" s="52" t="s">
        <v>639</v>
      </c>
      <c r="B3688" s="52" t="s">
        <v>37</v>
      </c>
      <c r="C3688" s="52" t="s">
        <v>63</v>
      </c>
      <c r="D3688" s="52" t="s">
        <v>63</v>
      </c>
      <c r="E3688" s="52" t="s">
        <v>609</v>
      </c>
      <c r="F3688" s="52" t="s">
        <v>26</v>
      </c>
      <c r="G3688" s="195" t="s">
        <v>278</v>
      </c>
      <c r="H3688" s="195"/>
      <c r="I3688" s="195">
        <v>0</v>
      </c>
      <c r="J3688" s="195">
        <v>1.300659</v>
      </c>
      <c r="K3688" s="195">
        <v>0.15134819999999999</v>
      </c>
      <c r="L3688" s="195"/>
      <c r="M3688" s="195">
        <v>0</v>
      </c>
      <c r="N3688" s="195"/>
    </row>
    <row r="3689" spans="1:14" hidden="1" x14ac:dyDescent="0.35">
      <c r="A3689" s="52" t="s">
        <v>639</v>
      </c>
      <c r="B3689" s="52" t="s">
        <v>37</v>
      </c>
      <c r="C3689" s="52" t="s">
        <v>63</v>
      </c>
      <c r="D3689" s="52" t="s">
        <v>63</v>
      </c>
      <c r="E3689" s="52" t="s">
        <v>609</v>
      </c>
      <c r="F3689" s="52" t="s">
        <v>26</v>
      </c>
      <c r="G3689" s="195" t="s">
        <v>279</v>
      </c>
      <c r="H3689" s="195">
        <v>91.333269999999999</v>
      </c>
      <c r="I3689" s="195">
        <v>59.593049999999998</v>
      </c>
      <c r="J3689" s="195">
        <v>56.068300000000001</v>
      </c>
      <c r="K3689" s="195">
        <v>53.064439999999998</v>
      </c>
      <c r="L3689" s="195">
        <v>46.294829999999997</v>
      </c>
      <c r="M3689" s="195">
        <v>39.911799999999999</v>
      </c>
      <c r="N3689" s="195">
        <v>35.25864</v>
      </c>
    </row>
    <row r="3690" spans="1:14" hidden="1" x14ac:dyDescent="0.35">
      <c r="A3690" s="52" t="s">
        <v>639</v>
      </c>
      <c r="B3690" s="52" t="s">
        <v>37</v>
      </c>
      <c r="C3690" s="52" t="s">
        <v>63</v>
      </c>
      <c r="D3690" s="52" t="s">
        <v>63</v>
      </c>
      <c r="E3690" s="52" t="s">
        <v>611</v>
      </c>
      <c r="F3690" s="52" t="s">
        <v>581</v>
      </c>
      <c r="G3690" s="195" t="s">
        <v>275</v>
      </c>
      <c r="H3690" s="195">
        <v>0.15338099999999999</v>
      </c>
      <c r="I3690" s="195">
        <v>2.94728E-2</v>
      </c>
      <c r="J3690" s="195">
        <v>1.9067000000000001E-2</v>
      </c>
      <c r="K3690" s="195">
        <v>1.54918E-2</v>
      </c>
      <c r="L3690" s="195">
        <v>1.3064600000000001E-2</v>
      </c>
      <c r="M3690" s="195">
        <v>1.21488E-2</v>
      </c>
      <c r="N3690" s="195">
        <v>1.08932E-2</v>
      </c>
    </row>
    <row r="3691" spans="1:14" hidden="1" x14ac:dyDescent="0.35">
      <c r="A3691" s="52" t="s">
        <v>639</v>
      </c>
      <c r="B3691" s="52" t="s">
        <v>37</v>
      </c>
      <c r="C3691" s="52" t="s">
        <v>63</v>
      </c>
      <c r="D3691" s="52" t="s">
        <v>63</v>
      </c>
      <c r="E3691" s="52" t="s">
        <v>611</v>
      </c>
      <c r="F3691" s="52" t="s">
        <v>581</v>
      </c>
      <c r="G3691" s="195" t="s">
        <v>276</v>
      </c>
      <c r="H3691" s="195">
        <v>1.0663000000000001E-2</v>
      </c>
      <c r="I3691" s="195">
        <v>2.0487999999999999E-3</v>
      </c>
      <c r="J3691" s="195">
        <v>1.3255999999999999E-3</v>
      </c>
      <c r="K3691" s="195">
        <v>1.0771999999999999E-3</v>
      </c>
      <c r="L3691" s="195">
        <v>9.0859990000000004E-4</v>
      </c>
      <c r="M3691" s="195">
        <v>8.4400000000000002E-4</v>
      </c>
      <c r="N3691" s="195">
        <v>7.5759999999999998E-4</v>
      </c>
    </row>
    <row r="3692" spans="1:14" hidden="1" x14ac:dyDescent="0.35">
      <c r="A3692" s="52" t="s">
        <v>639</v>
      </c>
      <c r="B3692" s="52" t="s">
        <v>37</v>
      </c>
      <c r="C3692" s="52" t="s">
        <v>63</v>
      </c>
      <c r="D3692" s="52" t="s">
        <v>63</v>
      </c>
      <c r="E3692" s="52" t="s">
        <v>611</v>
      </c>
      <c r="F3692" s="52" t="s">
        <v>581</v>
      </c>
      <c r="G3692" s="195" t="s">
        <v>279</v>
      </c>
      <c r="H3692" s="195">
        <v>6.7878999999999995E-2</v>
      </c>
      <c r="I3692" s="195">
        <v>4.3908999999999997E-2</v>
      </c>
      <c r="J3692" s="195">
        <v>3.8606399999999999E-2</v>
      </c>
      <c r="K3692" s="195">
        <v>3.7891000000000001E-2</v>
      </c>
      <c r="L3692" s="195">
        <v>3.9357799999999998E-2</v>
      </c>
      <c r="M3692" s="195">
        <v>3.6167600000000001E-2</v>
      </c>
      <c r="N3692" s="195">
        <v>3.2821000000000003E-2</v>
      </c>
    </row>
    <row r="3693" spans="1:14" hidden="1" x14ac:dyDescent="0.35">
      <c r="A3693" s="52" t="s">
        <v>639</v>
      </c>
      <c r="B3693" s="52" t="s">
        <v>37</v>
      </c>
      <c r="C3693" s="52" t="s">
        <v>63</v>
      </c>
      <c r="D3693" s="52" t="s">
        <v>63</v>
      </c>
      <c r="E3693" s="52" t="s">
        <v>611</v>
      </c>
      <c r="F3693" s="52" t="s">
        <v>26</v>
      </c>
      <c r="G3693" s="195" t="s">
        <v>275</v>
      </c>
      <c r="H3693" s="195">
        <v>0.13438700000000001</v>
      </c>
      <c r="I3693" s="195">
        <v>9.6333589999999997E-2</v>
      </c>
      <c r="J3693" s="195">
        <v>6.9514000000000006E-2</v>
      </c>
      <c r="K3693" s="195">
        <v>6.0635799999999997E-2</v>
      </c>
      <c r="L3693" s="195">
        <v>-5.4089199999999997E-2</v>
      </c>
      <c r="M3693" s="195">
        <v>-2.8156199999999999E-2</v>
      </c>
      <c r="N3693" s="195">
        <v>-2.55488E-2</v>
      </c>
    </row>
    <row r="3694" spans="1:14" hidden="1" x14ac:dyDescent="0.35">
      <c r="A3694" s="52" t="s">
        <v>639</v>
      </c>
      <c r="B3694" s="52" t="s">
        <v>37</v>
      </c>
      <c r="C3694" s="52" t="s">
        <v>63</v>
      </c>
      <c r="D3694" s="52" t="s">
        <v>63</v>
      </c>
      <c r="E3694" s="52" t="s">
        <v>611</v>
      </c>
      <c r="F3694" s="52" t="s">
        <v>26</v>
      </c>
      <c r="G3694" s="195" t="s">
        <v>276</v>
      </c>
      <c r="H3694" s="195">
        <v>-0.13330500000000001</v>
      </c>
      <c r="I3694" s="195">
        <v>-0.1160824</v>
      </c>
      <c r="J3694" s="195">
        <v>-8.4083400000000003E-2</v>
      </c>
      <c r="K3694" s="195">
        <v>-8.4701399999999996E-2</v>
      </c>
      <c r="L3694" s="195">
        <v>-2.3579999999999999E-3</v>
      </c>
      <c r="M3694" s="195">
        <v>-2.1911999999999999E-3</v>
      </c>
      <c r="N3694" s="195">
        <v>-2.0094000000000002E-3</v>
      </c>
    </row>
    <row r="3695" spans="1:14" hidden="1" x14ac:dyDescent="0.35">
      <c r="A3695" s="52" t="s">
        <v>639</v>
      </c>
      <c r="B3695" s="52" t="s">
        <v>37</v>
      </c>
      <c r="C3695" s="52" t="s">
        <v>63</v>
      </c>
      <c r="D3695" s="52" t="s">
        <v>63</v>
      </c>
      <c r="E3695" s="52" t="s">
        <v>611</v>
      </c>
      <c r="F3695" s="52" t="s">
        <v>26</v>
      </c>
      <c r="G3695" s="195" t="s">
        <v>277</v>
      </c>
      <c r="H3695" s="195"/>
      <c r="I3695" s="195"/>
      <c r="J3695" s="195"/>
      <c r="K3695" s="195">
        <v>0</v>
      </c>
      <c r="L3695" s="195"/>
      <c r="M3695" s="195">
        <v>0</v>
      </c>
      <c r="N3695" s="195">
        <v>0</v>
      </c>
    </row>
    <row r="3696" spans="1:14" hidden="1" x14ac:dyDescent="0.35">
      <c r="A3696" s="52" t="s">
        <v>639</v>
      </c>
      <c r="B3696" s="52" t="s">
        <v>37</v>
      </c>
      <c r="C3696" s="52" t="s">
        <v>63</v>
      </c>
      <c r="D3696" s="52" t="s">
        <v>63</v>
      </c>
      <c r="E3696" s="52" t="s">
        <v>611</v>
      </c>
      <c r="F3696" s="52" t="s">
        <v>26</v>
      </c>
      <c r="G3696" s="195" t="s">
        <v>279</v>
      </c>
      <c r="H3696" s="195">
        <v>0.23277600000000001</v>
      </c>
      <c r="I3696" s="195">
        <v>0.1685574</v>
      </c>
      <c r="J3696" s="195">
        <v>0.15112880000000001</v>
      </c>
      <c r="K3696" s="195">
        <v>0.14995120000000001</v>
      </c>
      <c r="L3696" s="195">
        <v>0.1547144</v>
      </c>
      <c r="M3696" s="195">
        <v>0.142432</v>
      </c>
      <c r="N3696" s="195">
        <v>0.12928999999999999</v>
      </c>
    </row>
    <row r="3697" spans="1:14" hidden="1" x14ac:dyDescent="0.35">
      <c r="A3697" s="52" t="s">
        <v>268</v>
      </c>
      <c r="B3697" s="52" t="s">
        <v>37</v>
      </c>
      <c r="C3697" s="52" t="s">
        <v>51</v>
      </c>
      <c r="D3697" s="52" t="s">
        <v>51</v>
      </c>
      <c r="E3697" s="52" t="s">
        <v>602</v>
      </c>
      <c r="F3697" s="52" t="s">
        <v>581</v>
      </c>
      <c r="G3697" s="195" t="s">
        <v>275</v>
      </c>
      <c r="H3697" s="195">
        <v>938.60599999999999</v>
      </c>
      <c r="I3697" s="195">
        <v>-38.430669999999999</v>
      </c>
      <c r="J3697" s="195">
        <v>399.83859999999999</v>
      </c>
      <c r="K3697" s="195">
        <v>429.45870000000002</v>
      </c>
      <c r="L3697" s="195">
        <v>306.83319999999998</v>
      </c>
      <c r="M3697" s="195">
        <v>208.4897</v>
      </c>
      <c r="N3697" s="195">
        <v>139.21969999999999</v>
      </c>
    </row>
    <row r="3698" spans="1:14" hidden="1" x14ac:dyDescent="0.35">
      <c r="A3698" s="52" t="s">
        <v>268</v>
      </c>
      <c r="B3698" s="52" t="s">
        <v>37</v>
      </c>
      <c r="C3698" s="52" t="s">
        <v>51</v>
      </c>
      <c r="D3698" s="52" t="s">
        <v>51</v>
      </c>
      <c r="E3698" s="52" t="s">
        <v>602</v>
      </c>
      <c r="F3698" s="52" t="s">
        <v>581</v>
      </c>
      <c r="G3698" s="195" t="s">
        <v>276</v>
      </c>
      <c r="H3698" s="195">
        <v>254.93350000000001</v>
      </c>
      <c r="I3698" s="195">
        <v>-47.050739999999998</v>
      </c>
      <c r="J3698" s="195">
        <v>-77.676299999999998</v>
      </c>
      <c r="K3698" s="195">
        <v>-88.069550000000007</v>
      </c>
      <c r="L3698" s="195">
        <v>-60.552280000000003</v>
      </c>
      <c r="M3698" s="195">
        <v>-11.17113</v>
      </c>
      <c r="N3698" s="195">
        <v>27.183420000000002</v>
      </c>
    </row>
    <row r="3699" spans="1:14" hidden="1" x14ac:dyDescent="0.35">
      <c r="A3699" s="52" t="s">
        <v>268</v>
      </c>
      <c r="B3699" s="52" t="s">
        <v>37</v>
      </c>
      <c r="C3699" s="52" t="s">
        <v>51</v>
      </c>
      <c r="D3699" s="52" t="s">
        <v>51</v>
      </c>
      <c r="E3699" s="52" t="s">
        <v>602</v>
      </c>
      <c r="F3699" s="52" t="s">
        <v>581</v>
      </c>
      <c r="G3699" s="195" t="s">
        <v>277</v>
      </c>
      <c r="H3699" s="195">
        <v>1147.2239999999999</v>
      </c>
      <c r="I3699" s="195">
        <v>585.72249999999997</v>
      </c>
      <c r="J3699" s="195">
        <v>109.9769</v>
      </c>
      <c r="K3699" s="195">
        <v>17.543510000000001</v>
      </c>
      <c r="L3699" s="195">
        <v>16.25141</v>
      </c>
      <c r="M3699" s="195">
        <v>37.761139999999997</v>
      </c>
      <c r="N3699" s="195">
        <v>45.929110000000001</v>
      </c>
    </row>
    <row r="3700" spans="1:14" hidden="1" x14ac:dyDescent="0.35">
      <c r="A3700" s="52" t="s">
        <v>268</v>
      </c>
      <c r="B3700" s="52" t="s">
        <v>37</v>
      </c>
      <c r="C3700" s="52" t="s">
        <v>51</v>
      </c>
      <c r="D3700" s="52" t="s">
        <v>51</v>
      </c>
      <c r="E3700" s="52" t="s">
        <v>602</v>
      </c>
      <c r="F3700" s="52" t="s">
        <v>581</v>
      </c>
      <c r="G3700" s="195" t="s">
        <v>278</v>
      </c>
      <c r="H3700" s="195">
        <v>15.055680000000001</v>
      </c>
      <c r="I3700" s="195">
        <v>63.103540000000002</v>
      </c>
      <c r="J3700" s="195">
        <v>64.151309999999995</v>
      </c>
      <c r="K3700" s="195">
        <v>62.811590000000002</v>
      </c>
      <c r="L3700" s="195">
        <v>37.535699999999999</v>
      </c>
      <c r="M3700" s="195">
        <v>27.197389999999999</v>
      </c>
      <c r="N3700" s="195">
        <v>28.909880000000001</v>
      </c>
    </row>
    <row r="3701" spans="1:14" hidden="1" x14ac:dyDescent="0.35">
      <c r="A3701" s="52" t="s">
        <v>268</v>
      </c>
      <c r="B3701" s="52" t="s">
        <v>37</v>
      </c>
      <c r="C3701" s="52" t="s">
        <v>51</v>
      </c>
      <c r="D3701" s="52" t="s">
        <v>51</v>
      </c>
      <c r="E3701" s="52" t="s">
        <v>602</v>
      </c>
      <c r="F3701" s="52" t="s">
        <v>581</v>
      </c>
      <c r="G3701" s="195" t="s">
        <v>279</v>
      </c>
      <c r="H3701" s="195">
        <v>659.13310000000001</v>
      </c>
      <c r="I3701" s="195">
        <v>431.50349999999997</v>
      </c>
      <c r="J3701" s="195">
        <v>441.86919999999998</v>
      </c>
      <c r="K3701" s="195">
        <v>389.71469999999999</v>
      </c>
      <c r="L3701" s="195">
        <v>340.44470000000001</v>
      </c>
      <c r="M3701" s="195">
        <v>285.45949999999999</v>
      </c>
      <c r="N3701" s="195">
        <v>256.01729999999998</v>
      </c>
    </row>
    <row r="3702" spans="1:14" hidden="1" x14ac:dyDescent="0.35">
      <c r="A3702" s="52" t="s">
        <v>268</v>
      </c>
      <c r="B3702" s="52" t="s">
        <v>37</v>
      </c>
      <c r="C3702" s="52" t="s">
        <v>51</v>
      </c>
      <c r="D3702" s="52" t="s">
        <v>51</v>
      </c>
      <c r="E3702" s="52" t="s">
        <v>602</v>
      </c>
      <c r="F3702" s="52" t="s">
        <v>26</v>
      </c>
      <c r="G3702" s="195" t="s">
        <v>275</v>
      </c>
      <c r="H3702" s="195">
        <v>56.631210000000003</v>
      </c>
      <c r="I3702" s="195">
        <v>34.620649999999998</v>
      </c>
      <c r="J3702" s="195">
        <v>41.926569999999998</v>
      </c>
      <c r="K3702" s="195">
        <v>33.98404</v>
      </c>
      <c r="L3702" s="195">
        <v>21.575009999999999</v>
      </c>
      <c r="M3702" s="195">
        <v>18.692270000000001</v>
      </c>
      <c r="N3702" s="195">
        <v>17.019909999999999</v>
      </c>
    </row>
    <row r="3703" spans="1:14" hidden="1" x14ac:dyDescent="0.35">
      <c r="A3703" s="52" t="s">
        <v>268</v>
      </c>
      <c r="B3703" s="52" t="s">
        <v>37</v>
      </c>
      <c r="C3703" s="52" t="s">
        <v>51</v>
      </c>
      <c r="D3703" s="52" t="s">
        <v>51</v>
      </c>
      <c r="E3703" s="52" t="s">
        <v>602</v>
      </c>
      <c r="F3703" s="52" t="s">
        <v>26</v>
      </c>
      <c r="G3703" s="195" t="s">
        <v>276</v>
      </c>
      <c r="H3703" s="195">
        <v>15.05387</v>
      </c>
      <c r="I3703" s="195">
        <v>9.2029460000000007</v>
      </c>
      <c r="J3703" s="195">
        <v>11.145049999999999</v>
      </c>
      <c r="K3703" s="195">
        <v>9.0337169999999993</v>
      </c>
      <c r="L3703" s="195">
        <v>5.735131</v>
      </c>
      <c r="M3703" s="195">
        <v>4.9688220000000003</v>
      </c>
      <c r="N3703" s="195">
        <v>4.5242779999999998</v>
      </c>
    </row>
    <row r="3704" spans="1:14" hidden="1" x14ac:dyDescent="0.35">
      <c r="A3704" s="52" t="s">
        <v>268</v>
      </c>
      <c r="B3704" s="52" t="s">
        <v>37</v>
      </c>
      <c r="C3704" s="52" t="s">
        <v>51</v>
      </c>
      <c r="D3704" s="52" t="s">
        <v>51</v>
      </c>
      <c r="E3704" s="52" t="s">
        <v>602</v>
      </c>
      <c r="F3704" s="52" t="s">
        <v>26</v>
      </c>
      <c r="G3704" s="195" t="s">
        <v>279</v>
      </c>
      <c r="H3704" s="195">
        <v>98.984830000000002</v>
      </c>
      <c r="I3704" s="195">
        <v>82.444400000000002</v>
      </c>
      <c r="J3704" s="195">
        <v>87.83202</v>
      </c>
      <c r="K3704" s="195">
        <v>78.849109999999996</v>
      </c>
      <c r="L3704" s="195">
        <v>68.174289999999999</v>
      </c>
      <c r="M3704" s="195">
        <v>57.163409999999999</v>
      </c>
      <c r="N3704" s="195">
        <v>51.215440000000001</v>
      </c>
    </row>
    <row r="3705" spans="1:14" hidden="1" x14ac:dyDescent="0.35">
      <c r="A3705" s="52" t="s">
        <v>268</v>
      </c>
      <c r="B3705" s="52" t="s">
        <v>37</v>
      </c>
      <c r="C3705" s="52" t="s">
        <v>51</v>
      </c>
      <c r="D3705" s="52" t="s">
        <v>51</v>
      </c>
      <c r="E3705" s="52" t="s">
        <v>584</v>
      </c>
      <c r="F3705" s="52" t="s">
        <v>581</v>
      </c>
      <c r="G3705" s="195" t="s">
        <v>275</v>
      </c>
      <c r="H3705" s="195">
        <v>62.687600000000003</v>
      </c>
      <c r="I3705" s="195">
        <v>3.5870419999999998</v>
      </c>
      <c r="J3705" s="195">
        <v>-1.179354</v>
      </c>
      <c r="K3705" s="195">
        <v>-1.411473</v>
      </c>
      <c r="L3705" s="195">
        <v>-4.1221690000000004</v>
      </c>
      <c r="M3705" s="195">
        <v>-3.452426</v>
      </c>
      <c r="N3705" s="195">
        <v>-3.1431900000000002</v>
      </c>
    </row>
    <row r="3706" spans="1:14" hidden="1" x14ac:dyDescent="0.35">
      <c r="A3706" s="52" t="s">
        <v>268</v>
      </c>
      <c r="B3706" s="52" t="s">
        <v>37</v>
      </c>
      <c r="C3706" s="52" t="s">
        <v>51</v>
      </c>
      <c r="D3706" s="52" t="s">
        <v>51</v>
      </c>
      <c r="E3706" s="52" t="s">
        <v>584</v>
      </c>
      <c r="F3706" s="52" t="s">
        <v>581</v>
      </c>
      <c r="G3706" s="195" t="s">
        <v>276</v>
      </c>
      <c r="H3706" s="195">
        <v>7.6604729999999996</v>
      </c>
      <c r="I3706" s="195">
        <v>-1.9599230000000001</v>
      </c>
      <c r="J3706" s="195">
        <v>-0.31349919999999998</v>
      </c>
      <c r="K3706" s="195">
        <v>-0.37520219999999999</v>
      </c>
      <c r="L3706" s="195">
        <v>-1.0957669999999999</v>
      </c>
      <c r="M3706" s="195">
        <v>-0.91773260000000001</v>
      </c>
      <c r="N3706" s="195">
        <v>-0.83553160000000004</v>
      </c>
    </row>
    <row r="3707" spans="1:14" hidden="1" x14ac:dyDescent="0.35">
      <c r="A3707" s="52" t="s">
        <v>268</v>
      </c>
      <c r="B3707" s="52" t="s">
        <v>37</v>
      </c>
      <c r="C3707" s="52" t="s">
        <v>51</v>
      </c>
      <c r="D3707" s="52" t="s">
        <v>51</v>
      </c>
      <c r="E3707" s="52" t="s">
        <v>584</v>
      </c>
      <c r="F3707" s="52" t="s">
        <v>581</v>
      </c>
      <c r="G3707" s="195" t="s">
        <v>279</v>
      </c>
      <c r="H3707" s="195">
        <v>53.305030000000002</v>
      </c>
      <c r="I3707" s="195">
        <v>37.693420000000003</v>
      </c>
      <c r="J3707" s="195">
        <v>32.535179999999997</v>
      </c>
      <c r="K3707" s="195">
        <v>30.48413</v>
      </c>
      <c r="L3707" s="195">
        <v>31.746390000000002</v>
      </c>
      <c r="M3707" s="195">
        <v>28.955929999999999</v>
      </c>
      <c r="N3707" s="195">
        <v>26.638359999999999</v>
      </c>
    </row>
    <row r="3708" spans="1:14" hidden="1" x14ac:dyDescent="0.35">
      <c r="A3708" s="52" t="s">
        <v>268</v>
      </c>
      <c r="B3708" s="52" t="s">
        <v>37</v>
      </c>
      <c r="C3708" s="52" t="s">
        <v>51</v>
      </c>
      <c r="D3708" s="52" t="s">
        <v>51</v>
      </c>
      <c r="E3708" s="52" t="s">
        <v>584</v>
      </c>
      <c r="F3708" s="52" t="s">
        <v>26</v>
      </c>
      <c r="G3708" s="195" t="s">
        <v>275</v>
      </c>
      <c r="H3708" s="195">
        <v>-0.43590000000000001</v>
      </c>
      <c r="I3708" s="195">
        <v>-0.39446619999999999</v>
      </c>
      <c r="J3708" s="195">
        <v>-0.3113456</v>
      </c>
      <c r="K3708" s="195">
        <v>-0.30746960000000001</v>
      </c>
      <c r="L3708" s="195">
        <v>-0.3853258</v>
      </c>
      <c r="M3708" s="195">
        <v>-0.34627219999999997</v>
      </c>
      <c r="N3708" s="195">
        <v>-0.31790160000000001</v>
      </c>
    </row>
    <row r="3709" spans="1:14" hidden="1" x14ac:dyDescent="0.35">
      <c r="A3709" s="52" t="s">
        <v>268</v>
      </c>
      <c r="B3709" s="52" t="s">
        <v>37</v>
      </c>
      <c r="C3709" s="52" t="s">
        <v>51</v>
      </c>
      <c r="D3709" s="52" t="s">
        <v>51</v>
      </c>
      <c r="E3709" s="52" t="s">
        <v>584</v>
      </c>
      <c r="F3709" s="52" t="s">
        <v>26</v>
      </c>
      <c r="G3709" s="195" t="s">
        <v>276</v>
      </c>
      <c r="H3709" s="195">
        <v>-0.11587</v>
      </c>
      <c r="I3709" s="195">
        <v>-0.1048574</v>
      </c>
      <c r="J3709" s="195">
        <v>-8.2764199999999996E-2</v>
      </c>
      <c r="K3709" s="195">
        <v>-8.1732399999999997E-2</v>
      </c>
      <c r="L3709" s="195">
        <v>-0.1024288</v>
      </c>
      <c r="M3709" s="195">
        <v>-9.2047000000000004E-2</v>
      </c>
      <c r="N3709" s="195">
        <v>-8.450539E-2</v>
      </c>
    </row>
    <row r="3710" spans="1:14" hidden="1" x14ac:dyDescent="0.35">
      <c r="A3710" s="52" t="s">
        <v>268</v>
      </c>
      <c r="B3710" s="52" t="s">
        <v>37</v>
      </c>
      <c r="C3710" s="52" t="s">
        <v>51</v>
      </c>
      <c r="D3710" s="52" t="s">
        <v>51</v>
      </c>
      <c r="E3710" s="52" t="s">
        <v>584</v>
      </c>
      <c r="F3710" s="52" t="s">
        <v>26</v>
      </c>
      <c r="G3710" s="195" t="s">
        <v>279</v>
      </c>
      <c r="H3710" s="195">
        <v>1.9209540000000001</v>
      </c>
      <c r="I3710" s="195">
        <v>1.3431599999999999</v>
      </c>
      <c r="J3710" s="195">
        <v>1.1750689999999999</v>
      </c>
      <c r="K3710" s="195">
        <v>1.1094390000000001</v>
      </c>
      <c r="L3710" s="195">
        <v>1.151608</v>
      </c>
      <c r="M3710" s="195">
        <v>1.051447</v>
      </c>
      <c r="N3710" s="195">
        <v>0.96724860000000001</v>
      </c>
    </row>
    <row r="3711" spans="1:14" hidden="1" x14ac:dyDescent="0.35">
      <c r="A3711" s="52" t="s">
        <v>268</v>
      </c>
      <c r="B3711" s="52" t="s">
        <v>37</v>
      </c>
      <c r="C3711" s="52" t="s">
        <v>105</v>
      </c>
      <c r="D3711" s="52" t="s">
        <v>105</v>
      </c>
      <c r="E3711" s="52" t="s">
        <v>619</v>
      </c>
      <c r="F3711" s="52" t="s">
        <v>581</v>
      </c>
      <c r="G3711" s="195" t="s">
        <v>275</v>
      </c>
      <c r="H3711" s="195">
        <v>-228.1292</v>
      </c>
      <c r="I3711" s="195">
        <v>112.50490000000001</v>
      </c>
      <c r="J3711" s="195">
        <v>107.8343</v>
      </c>
      <c r="K3711" s="195">
        <v>101.14919999999999</v>
      </c>
      <c r="L3711" s="195">
        <v>100.17610000000001</v>
      </c>
      <c r="M3711" s="195">
        <v>59.359839999999998</v>
      </c>
      <c r="N3711" s="195">
        <v>47.086860000000001</v>
      </c>
    </row>
    <row r="3712" spans="1:14" hidden="1" x14ac:dyDescent="0.35">
      <c r="A3712" s="52" t="s">
        <v>268</v>
      </c>
      <c r="B3712" s="52" t="s">
        <v>37</v>
      </c>
      <c r="C3712" s="52" t="s">
        <v>105</v>
      </c>
      <c r="D3712" s="52" t="s">
        <v>105</v>
      </c>
      <c r="E3712" s="52" t="s">
        <v>619</v>
      </c>
      <c r="F3712" s="52" t="s">
        <v>581</v>
      </c>
      <c r="G3712" s="195" t="s">
        <v>276</v>
      </c>
      <c r="H3712" s="195">
        <v>3.646862</v>
      </c>
      <c r="I3712" s="195">
        <v>17.395130000000002</v>
      </c>
      <c r="J3712" s="195">
        <v>8.946726</v>
      </c>
      <c r="K3712" s="195">
        <v>-3.4370959999999999</v>
      </c>
      <c r="L3712" s="195">
        <v>-21.79139</v>
      </c>
      <c r="M3712" s="195">
        <v>15.412789999999999</v>
      </c>
      <c r="N3712" s="195">
        <v>18.575369999999999</v>
      </c>
    </row>
    <row r="3713" spans="1:14" hidden="1" x14ac:dyDescent="0.35">
      <c r="A3713" s="52" t="s">
        <v>268</v>
      </c>
      <c r="B3713" s="52" t="s">
        <v>37</v>
      </c>
      <c r="C3713" s="52" t="s">
        <v>105</v>
      </c>
      <c r="D3713" s="52" t="s">
        <v>105</v>
      </c>
      <c r="E3713" s="52" t="s">
        <v>619</v>
      </c>
      <c r="F3713" s="52" t="s">
        <v>581</v>
      </c>
      <c r="G3713" s="195" t="s">
        <v>277</v>
      </c>
      <c r="H3713" s="195">
        <v>623.2115</v>
      </c>
      <c r="I3713" s="195">
        <v>30.282119999999999</v>
      </c>
      <c r="J3713" s="195">
        <v>5.698296</v>
      </c>
      <c r="K3713" s="195">
        <v>1.4936720000000001</v>
      </c>
      <c r="L3713" s="195">
        <v>3.2591749999999999</v>
      </c>
      <c r="M3713" s="195">
        <v>3.0738979999999998</v>
      </c>
      <c r="N3713" s="195">
        <v>11.704079999999999</v>
      </c>
    </row>
    <row r="3714" spans="1:14" hidden="1" x14ac:dyDescent="0.35">
      <c r="A3714" s="52" t="s">
        <v>268</v>
      </c>
      <c r="B3714" s="52" t="s">
        <v>37</v>
      </c>
      <c r="C3714" s="52" t="s">
        <v>105</v>
      </c>
      <c r="D3714" s="52" t="s">
        <v>105</v>
      </c>
      <c r="E3714" s="52" t="s">
        <v>619</v>
      </c>
      <c r="F3714" s="52" t="s">
        <v>581</v>
      </c>
      <c r="G3714" s="195" t="s">
        <v>278</v>
      </c>
      <c r="H3714" s="195">
        <v>93.048569999999998</v>
      </c>
      <c r="I3714" s="195">
        <v>17.168430000000001</v>
      </c>
      <c r="J3714" s="195">
        <v>5.8462110000000003</v>
      </c>
      <c r="K3714" s="195">
        <v>4.8361130000000001</v>
      </c>
      <c r="L3714" s="195">
        <v>6.9528999999999996</v>
      </c>
      <c r="M3714" s="195">
        <v>7.1363000000000003</v>
      </c>
      <c r="N3714" s="195">
        <v>6.821847</v>
      </c>
    </row>
    <row r="3715" spans="1:14" hidden="1" x14ac:dyDescent="0.35">
      <c r="A3715" s="52" t="s">
        <v>268</v>
      </c>
      <c r="B3715" s="52" t="s">
        <v>37</v>
      </c>
      <c r="C3715" s="52" t="s">
        <v>105</v>
      </c>
      <c r="D3715" s="52" t="s">
        <v>105</v>
      </c>
      <c r="E3715" s="52" t="s">
        <v>619</v>
      </c>
      <c r="F3715" s="52" t="s">
        <v>581</v>
      </c>
      <c r="G3715" s="195" t="s">
        <v>279</v>
      </c>
      <c r="H3715" s="195">
        <v>98.725809999999996</v>
      </c>
      <c r="I3715" s="195">
        <v>76.347890000000007</v>
      </c>
      <c r="J3715" s="195">
        <v>62.485039999999998</v>
      </c>
      <c r="K3715" s="195">
        <v>53.63111</v>
      </c>
      <c r="L3715" s="195">
        <v>52.829880000000003</v>
      </c>
      <c r="M3715" s="195">
        <v>49.990139999999997</v>
      </c>
      <c r="N3715" s="195">
        <v>49.764249999999997</v>
      </c>
    </row>
    <row r="3716" spans="1:14" hidden="1" x14ac:dyDescent="0.35">
      <c r="A3716" s="52" t="s">
        <v>268</v>
      </c>
      <c r="B3716" s="52" t="s">
        <v>37</v>
      </c>
      <c r="C3716" s="52" t="s">
        <v>105</v>
      </c>
      <c r="D3716" s="52" t="s">
        <v>105</v>
      </c>
      <c r="E3716" s="52" t="s">
        <v>619</v>
      </c>
      <c r="F3716" s="52" t="s">
        <v>26</v>
      </c>
      <c r="G3716" s="195" t="s">
        <v>275</v>
      </c>
      <c r="H3716" s="195">
        <v>72.802819999999997</v>
      </c>
      <c r="I3716" s="195">
        <v>49.168410000000002</v>
      </c>
      <c r="J3716" s="195">
        <v>75.997640000000004</v>
      </c>
      <c r="K3716" s="195">
        <v>50.16742</v>
      </c>
      <c r="L3716" s="195">
        <v>49.319659999999999</v>
      </c>
      <c r="M3716" s="195">
        <v>21.250509999999998</v>
      </c>
      <c r="N3716" s="195">
        <v>6.9351029999999998</v>
      </c>
    </row>
    <row r="3717" spans="1:14" hidden="1" x14ac:dyDescent="0.35">
      <c r="A3717" s="52" t="s">
        <v>268</v>
      </c>
      <c r="B3717" s="52" t="s">
        <v>37</v>
      </c>
      <c r="C3717" s="52" t="s">
        <v>105</v>
      </c>
      <c r="D3717" s="52" t="s">
        <v>105</v>
      </c>
      <c r="E3717" s="52" t="s">
        <v>619</v>
      </c>
      <c r="F3717" s="52" t="s">
        <v>26</v>
      </c>
      <c r="G3717" s="195" t="s">
        <v>276</v>
      </c>
      <c r="H3717" s="195">
        <v>25.234919999999999</v>
      </c>
      <c r="I3717" s="195">
        <v>-29.372689999999999</v>
      </c>
      <c r="J3717" s="195">
        <v>-21.86196</v>
      </c>
      <c r="K3717" s="195">
        <v>-11.75179</v>
      </c>
      <c r="L3717" s="195">
        <v>-25.03098</v>
      </c>
      <c r="M3717" s="195">
        <v>2.96001</v>
      </c>
      <c r="N3717" s="195">
        <v>6.6404870000000003</v>
      </c>
    </row>
    <row r="3718" spans="1:14" hidden="1" x14ac:dyDescent="0.35">
      <c r="A3718" s="52" t="s">
        <v>268</v>
      </c>
      <c r="B3718" s="52" t="s">
        <v>37</v>
      </c>
      <c r="C3718" s="52" t="s">
        <v>105</v>
      </c>
      <c r="D3718" s="52" t="s">
        <v>105</v>
      </c>
      <c r="E3718" s="52" t="s">
        <v>619</v>
      </c>
      <c r="F3718" s="52" t="s">
        <v>26</v>
      </c>
      <c r="G3718" s="195" t="s">
        <v>277</v>
      </c>
      <c r="H3718" s="195">
        <v>0</v>
      </c>
      <c r="I3718" s="195">
        <v>46.237560000000002</v>
      </c>
      <c r="J3718" s="195">
        <v>4.5009800000000002</v>
      </c>
      <c r="K3718" s="195">
        <v>3.856722</v>
      </c>
      <c r="L3718" s="195">
        <v>6.5217109999999998</v>
      </c>
      <c r="M3718" s="195">
        <v>6.6005770000000004</v>
      </c>
      <c r="N3718" s="195">
        <v>20.09732</v>
      </c>
    </row>
    <row r="3719" spans="1:14" hidden="1" x14ac:dyDescent="0.35">
      <c r="A3719" s="52" t="s">
        <v>268</v>
      </c>
      <c r="B3719" s="52" t="s">
        <v>37</v>
      </c>
      <c r="C3719" s="52" t="s">
        <v>105</v>
      </c>
      <c r="D3719" s="52" t="s">
        <v>105</v>
      </c>
      <c r="E3719" s="52" t="s">
        <v>619</v>
      </c>
      <c r="F3719" s="52" t="s">
        <v>26</v>
      </c>
      <c r="G3719" s="195" t="s">
        <v>278</v>
      </c>
      <c r="H3719" s="195">
        <v>0</v>
      </c>
      <c r="I3719" s="195">
        <v>9.6956959999999999</v>
      </c>
      <c r="J3719" s="195">
        <v>10.205299999999999</v>
      </c>
      <c r="K3719" s="195">
        <v>12.56457</v>
      </c>
      <c r="L3719" s="195">
        <v>16.251729999999998</v>
      </c>
      <c r="M3719" s="195">
        <v>15.21316</v>
      </c>
      <c r="N3719" s="195">
        <v>12.81912</v>
      </c>
    </row>
    <row r="3720" spans="1:14" hidden="1" x14ac:dyDescent="0.35">
      <c r="A3720" s="52" t="s">
        <v>268</v>
      </c>
      <c r="B3720" s="52" t="s">
        <v>37</v>
      </c>
      <c r="C3720" s="52" t="s">
        <v>105</v>
      </c>
      <c r="D3720" s="52" t="s">
        <v>105</v>
      </c>
      <c r="E3720" s="52" t="s">
        <v>619</v>
      </c>
      <c r="F3720" s="52" t="s">
        <v>26</v>
      </c>
      <c r="G3720" s="195" t="s">
        <v>279</v>
      </c>
      <c r="H3720" s="195">
        <v>74.731160000000003</v>
      </c>
      <c r="I3720" s="195">
        <v>71.243589999999998</v>
      </c>
      <c r="J3720" s="195">
        <v>60.617489999999997</v>
      </c>
      <c r="K3720" s="195">
        <v>55.148739999999997</v>
      </c>
      <c r="L3720" s="195">
        <v>56.288699999999999</v>
      </c>
      <c r="M3720" s="195">
        <v>52.986080000000001</v>
      </c>
      <c r="N3720" s="195">
        <v>52.735500000000002</v>
      </c>
    </row>
    <row r="3721" spans="1:14" hidden="1" x14ac:dyDescent="0.35">
      <c r="A3721" s="52" t="s">
        <v>268</v>
      </c>
      <c r="B3721" s="52" t="s">
        <v>37</v>
      </c>
      <c r="C3721" s="52" t="s">
        <v>105</v>
      </c>
      <c r="D3721" s="52" t="s">
        <v>105</v>
      </c>
      <c r="E3721" s="52" t="s">
        <v>632</v>
      </c>
      <c r="F3721" s="52" t="s">
        <v>581</v>
      </c>
      <c r="G3721" s="195" t="s">
        <v>275</v>
      </c>
      <c r="H3721" s="195">
        <v>-14.28187</v>
      </c>
      <c r="I3721" s="195">
        <v>57.797460000000001</v>
      </c>
      <c r="J3721" s="195">
        <v>82.357860000000002</v>
      </c>
      <c r="K3721" s="195">
        <v>64.627269999999996</v>
      </c>
      <c r="L3721" s="195">
        <v>38.880740000000003</v>
      </c>
      <c r="M3721" s="195">
        <v>5.2538600000000004</v>
      </c>
      <c r="N3721" s="195">
        <v>-7.3792999999999997</v>
      </c>
    </row>
    <row r="3722" spans="1:14" hidden="1" x14ac:dyDescent="0.35">
      <c r="A3722" s="52" t="s">
        <v>268</v>
      </c>
      <c r="B3722" s="52" t="s">
        <v>37</v>
      </c>
      <c r="C3722" s="52" t="s">
        <v>105</v>
      </c>
      <c r="D3722" s="52" t="s">
        <v>105</v>
      </c>
      <c r="E3722" s="52" t="s">
        <v>632</v>
      </c>
      <c r="F3722" s="52" t="s">
        <v>581</v>
      </c>
      <c r="G3722" s="195" t="s">
        <v>276</v>
      </c>
      <c r="H3722" s="195">
        <v>20.790880000000001</v>
      </c>
      <c r="I3722" s="195">
        <v>-30.883849999999999</v>
      </c>
      <c r="J3722" s="195">
        <v>-48.242469999999997</v>
      </c>
      <c r="K3722" s="195">
        <v>-31.79711</v>
      </c>
      <c r="L3722" s="195">
        <v>-22.122949999999999</v>
      </c>
      <c r="M3722" s="195">
        <v>1.67754</v>
      </c>
      <c r="N3722" s="195">
        <v>4.5985040000000001</v>
      </c>
    </row>
    <row r="3723" spans="1:14" hidden="1" x14ac:dyDescent="0.35">
      <c r="A3723" s="52" t="s">
        <v>268</v>
      </c>
      <c r="B3723" s="52" t="s">
        <v>37</v>
      </c>
      <c r="C3723" s="52" t="s">
        <v>105</v>
      </c>
      <c r="D3723" s="52" t="s">
        <v>105</v>
      </c>
      <c r="E3723" s="52" t="s">
        <v>632</v>
      </c>
      <c r="F3723" s="52" t="s">
        <v>581</v>
      </c>
      <c r="G3723" s="195" t="s">
        <v>277</v>
      </c>
      <c r="H3723" s="195">
        <v>227.1472</v>
      </c>
      <c r="I3723" s="195">
        <v>35.400880000000001</v>
      </c>
      <c r="J3723" s="195">
        <v>7.5897819999999996</v>
      </c>
      <c r="K3723" s="195">
        <v>3.1375929999999999</v>
      </c>
      <c r="L3723" s="195">
        <v>5.7800989999999999</v>
      </c>
      <c r="M3723" s="195">
        <v>9.2587240000000008</v>
      </c>
      <c r="N3723" s="195">
        <v>26.767800000000001</v>
      </c>
    </row>
    <row r="3724" spans="1:14" hidden="1" x14ac:dyDescent="0.35">
      <c r="A3724" s="52" t="s">
        <v>268</v>
      </c>
      <c r="B3724" s="52" t="s">
        <v>37</v>
      </c>
      <c r="C3724" s="52" t="s">
        <v>105</v>
      </c>
      <c r="D3724" s="52" t="s">
        <v>105</v>
      </c>
      <c r="E3724" s="52" t="s">
        <v>632</v>
      </c>
      <c r="F3724" s="52" t="s">
        <v>581</v>
      </c>
      <c r="G3724" s="195" t="s">
        <v>278</v>
      </c>
      <c r="H3724" s="195">
        <v>43.662820000000004</v>
      </c>
      <c r="I3724" s="195">
        <v>13.51168</v>
      </c>
      <c r="J3724" s="195">
        <v>16.282889999999998</v>
      </c>
      <c r="K3724" s="195">
        <v>10.504770000000001</v>
      </c>
      <c r="L3724" s="195">
        <v>17.30161</v>
      </c>
      <c r="M3724" s="195">
        <v>25.121649999999999</v>
      </c>
      <c r="N3724" s="195">
        <v>23.57788</v>
      </c>
    </row>
    <row r="3725" spans="1:14" hidden="1" x14ac:dyDescent="0.35">
      <c r="A3725" s="52" t="s">
        <v>268</v>
      </c>
      <c r="B3725" s="52" t="s">
        <v>37</v>
      </c>
      <c r="C3725" s="52" t="s">
        <v>105</v>
      </c>
      <c r="D3725" s="52" t="s">
        <v>105</v>
      </c>
      <c r="E3725" s="52" t="s">
        <v>632</v>
      </c>
      <c r="F3725" s="52" t="s">
        <v>581</v>
      </c>
      <c r="G3725" s="195" t="s">
        <v>279</v>
      </c>
      <c r="H3725" s="195">
        <v>60.198630000000001</v>
      </c>
      <c r="I3725" s="195">
        <v>33.946860000000001</v>
      </c>
      <c r="J3725" s="195">
        <v>29.374140000000001</v>
      </c>
      <c r="K3725" s="195">
        <v>24.465789999999998</v>
      </c>
      <c r="L3725" s="195">
        <v>24.012820000000001</v>
      </c>
      <c r="M3725" s="195">
        <v>24.399260000000002</v>
      </c>
      <c r="N3725" s="195">
        <v>27.83699</v>
      </c>
    </row>
    <row r="3726" spans="1:14" hidden="1" x14ac:dyDescent="0.35">
      <c r="A3726" s="52" t="s">
        <v>268</v>
      </c>
      <c r="B3726" s="52" t="s">
        <v>37</v>
      </c>
      <c r="C3726" s="52" t="s">
        <v>105</v>
      </c>
      <c r="D3726" s="52" t="s">
        <v>105</v>
      </c>
      <c r="E3726" s="52" t="s">
        <v>632</v>
      </c>
      <c r="F3726" s="52" t="s">
        <v>26</v>
      </c>
      <c r="G3726" s="195" t="s">
        <v>275</v>
      </c>
      <c r="H3726" s="195">
        <v>34.136189999999999</v>
      </c>
      <c r="I3726" s="195">
        <v>16.430689999999998</v>
      </c>
      <c r="J3726" s="195">
        <v>15.79588</v>
      </c>
      <c r="K3726" s="195">
        <v>12.24029</v>
      </c>
      <c r="L3726" s="195">
        <v>10.05053</v>
      </c>
      <c r="M3726" s="195">
        <v>10.35385</v>
      </c>
      <c r="N3726" s="195">
        <v>11.867380000000001</v>
      </c>
    </row>
    <row r="3727" spans="1:14" hidden="1" x14ac:dyDescent="0.35">
      <c r="A3727" s="52" t="s">
        <v>268</v>
      </c>
      <c r="B3727" s="52" t="s">
        <v>37</v>
      </c>
      <c r="C3727" s="52" t="s">
        <v>105</v>
      </c>
      <c r="D3727" s="52" t="s">
        <v>105</v>
      </c>
      <c r="E3727" s="52" t="s">
        <v>632</v>
      </c>
      <c r="F3727" s="52" t="s">
        <v>26</v>
      </c>
      <c r="G3727" s="195" t="s">
        <v>276</v>
      </c>
      <c r="H3727" s="195">
        <v>11.83229</v>
      </c>
      <c r="I3727" s="195">
        <v>5.6952049999999996</v>
      </c>
      <c r="J3727" s="195">
        <v>5.4751630000000002</v>
      </c>
      <c r="K3727" s="195">
        <v>4.2427289999999998</v>
      </c>
      <c r="L3727" s="195">
        <v>3.4837159999999998</v>
      </c>
      <c r="M3727" s="195">
        <v>3.588854</v>
      </c>
      <c r="N3727" s="195">
        <v>4.1134750000000002</v>
      </c>
    </row>
    <row r="3728" spans="1:14" hidden="1" x14ac:dyDescent="0.35">
      <c r="A3728" s="52" t="s">
        <v>268</v>
      </c>
      <c r="B3728" s="52" t="s">
        <v>37</v>
      </c>
      <c r="C3728" s="52" t="s">
        <v>105</v>
      </c>
      <c r="D3728" s="52" t="s">
        <v>105</v>
      </c>
      <c r="E3728" s="52" t="s">
        <v>632</v>
      </c>
      <c r="F3728" s="52" t="s">
        <v>26</v>
      </c>
      <c r="G3728" s="195" t="s">
        <v>279</v>
      </c>
      <c r="H3728" s="195">
        <v>35.689030000000002</v>
      </c>
      <c r="I3728" s="195">
        <v>21.287189999999999</v>
      </c>
      <c r="J3728" s="195">
        <v>19.122039999999998</v>
      </c>
      <c r="K3728" s="195">
        <v>16.212710000000001</v>
      </c>
      <c r="L3728" s="195">
        <v>15.741770000000001</v>
      </c>
      <c r="M3728" s="195">
        <v>16.031320000000001</v>
      </c>
      <c r="N3728" s="195">
        <v>18.27467</v>
      </c>
    </row>
    <row r="3729" spans="1:14" hidden="1" x14ac:dyDescent="0.35">
      <c r="A3729" s="52" t="s">
        <v>268</v>
      </c>
      <c r="B3729" s="52" t="s">
        <v>37</v>
      </c>
      <c r="C3729" s="52" t="s">
        <v>105</v>
      </c>
      <c r="D3729" s="52" t="s">
        <v>105</v>
      </c>
      <c r="E3729" s="52" t="s">
        <v>656</v>
      </c>
      <c r="F3729" s="52" t="s">
        <v>581</v>
      </c>
      <c r="G3729" s="195" t="s">
        <v>275</v>
      </c>
      <c r="H3729" s="195">
        <v>-57.801870000000001</v>
      </c>
      <c r="I3729" s="195">
        <v>23.67708</v>
      </c>
      <c r="J3729" s="195">
        <v>51.036720000000003</v>
      </c>
      <c r="K3729" s="195">
        <v>70.084010000000006</v>
      </c>
      <c r="L3729" s="195">
        <v>38.622500000000002</v>
      </c>
      <c r="M3729" s="195">
        <v>18.660450000000001</v>
      </c>
      <c r="N3729" s="195">
        <v>20.197880000000001</v>
      </c>
    </row>
    <row r="3730" spans="1:14" hidden="1" x14ac:dyDescent="0.35">
      <c r="A3730" s="52" t="s">
        <v>268</v>
      </c>
      <c r="B3730" s="52" t="s">
        <v>37</v>
      </c>
      <c r="C3730" s="52" t="s">
        <v>105</v>
      </c>
      <c r="D3730" s="52" t="s">
        <v>105</v>
      </c>
      <c r="E3730" s="52" t="s">
        <v>656</v>
      </c>
      <c r="F3730" s="52" t="s">
        <v>581</v>
      </c>
      <c r="G3730" s="195" t="s">
        <v>276</v>
      </c>
      <c r="H3730" s="195">
        <v>16.48912</v>
      </c>
      <c r="I3730" s="195">
        <v>-7.1629930000000002</v>
      </c>
      <c r="J3730" s="195">
        <v>-6.7236229999999999</v>
      </c>
      <c r="K3730" s="195">
        <v>-31.547940000000001</v>
      </c>
      <c r="L3730" s="195">
        <v>-18.09723</v>
      </c>
      <c r="M3730" s="195">
        <v>3.1822590000000002</v>
      </c>
      <c r="N3730" s="195">
        <v>6.7821280000000002</v>
      </c>
    </row>
    <row r="3731" spans="1:14" hidden="1" x14ac:dyDescent="0.35">
      <c r="A3731" s="52" t="s">
        <v>268</v>
      </c>
      <c r="B3731" s="52" t="s">
        <v>37</v>
      </c>
      <c r="C3731" s="52" t="s">
        <v>105</v>
      </c>
      <c r="D3731" s="52" t="s">
        <v>105</v>
      </c>
      <c r="E3731" s="52" t="s">
        <v>656</v>
      </c>
      <c r="F3731" s="52" t="s">
        <v>581</v>
      </c>
      <c r="G3731" s="195" t="s">
        <v>277</v>
      </c>
      <c r="H3731" s="195">
        <v>208.65</v>
      </c>
      <c r="I3731" s="195">
        <v>38.78096</v>
      </c>
      <c r="J3731" s="195">
        <v>4.9368610000000004</v>
      </c>
      <c r="K3731" s="195">
        <v>2.4129900000000002</v>
      </c>
      <c r="L3731" s="195">
        <v>6.4944160000000002</v>
      </c>
      <c r="M3731" s="195">
        <v>7.1748450000000004</v>
      </c>
      <c r="N3731" s="195">
        <v>8.7689020000000006</v>
      </c>
    </row>
    <row r="3732" spans="1:14" hidden="1" x14ac:dyDescent="0.35">
      <c r="A3732" s="52" t="s">
        <v>268</v>
      </c>
      <c r="B3732" s="52" t="s">
        <v>37</v>
      </c>
      <c r="C3732" s="52" t="s">
        <v>105</v>
      </c>
      <c r="D3732" s="52" t="s">
        <v>105</v>
      </c>
      <c r="E3732" s="52" t="s">
        <v>656</v>
      </c>
      <c r="F3732" s="52" t="s">
        <v>581</v>
      </c>
      <c r="G3732" s="195" t="s">
        <v>278</v>
      </c>
      <c r="H3732" s="195">
        <v>39.950049999999997</v>
      </c>
      <c r="I3732" s="195">
        <v>14.883839999999999</v>
      </c>
      <c r="J3732" s="195">
        <v>11.78074</v>
      </c>
      <c r="K3732" s="195">
        <v>10.78706</v>
      </c>
      <c r="L3732" s="195">
        <v>19.431360000000002</v>
      </c>
      <c r="M3732" s="195">
        <v>17.888999999999999</v>
      </c>
      <c r="N3732" s="195">
        <v>9.8517410000000005</v>
      </c>
    </row>
    <row r="3733" spans="1:14" hidden="1" x14ac:dyDescent="0.35">
      <c r="A3733" s="52" t="s">
        <v>268</v>
      </c>
      <c r="B3733" s="52" t="s">
        <v>37</v>
      </c>
      <c r="C3733" s="52" t="s">
        <v>105</v>
      </c>
      <c r="D3733" s="52" t="s">
        <v>105</v>
      </c>
      <c r="E3733" s="52" t="s">
        <v>656</v>
      </c>
      <c r="F3733" s="52" t="s">
        <v>581</v>
      </c>
      <c r="G3733" s="195" t="s">
        <v>279</v>
      </c>
      <c r="H3733" s="195">
        <v>35.205030000000001</v>
      </c>
      <c r="I3733" s="195">
        <v>23.632280000000002</v>
      </c>
      <c r="J3733" s="195">
        <v>22.887029999999999</v>
      </c>
      <c r="K3733" s="195">
        <v>21.009160000000001</v>
      </c>
      <c r="L3733" s="195">
        <v>21.486370000000001</v>
      </c>
      <c r="M3733" s="195">
        <v>20.99859</v>
      </c>
      <c r="N3733" s="195">
        <v>20.0185</v>
      </c>
    </row>
    <row r="3734" spans="1:14" hidden="1" x14ac:dyDescent="0.35">
      <c r="A3734" s="52" t="s">
        <v>268</v>
      </c>
      <c r="B3734" s="52" t="s">
        <v>37</v>
      </c>
      <c r="C3734" s="52" t="s">
        <v>105</v>
      </c>
      <c r="D3734" s="52" t="s">
        <v>105</v>
      </c>
      <c r="E3734" s="52" t="s">
        <v>656</v>
      </c>
      <c r="F3734" s="52" t="s">
        <v>26</v>
      </c>
      <c r="G3734" s="195" t="s">
        <v>275</v>
      </c>
      <c r="H3734" s="195">
        <v>10.739979999999999</v>
      </c>
      <c r="I3734" s="195">
        <v>7.6267760000000004</v>
      </c>
      <c r="J3734" s="195">
        <v>8.2596509999999999</v>
      </c>
      <c r="K3734" s="195">
        <v>3.9550580000000002</v>
      </c>
      <c r="L3734" s="195">
        <v>2.2647210000000002</v>
      </c>
      <c r="M3734" s="195">
        <v>5.8258770000000002</v>
      </c>
      <c r="N3734" s="195">
        <v>5.6676719999999996</v>
      </c>
    </row>
    <row r="3735" spans="1:14" hidden="1" x14ac:dyDescent="0.35">
      <c r="A3735" s="52" t="s">
        <v>268</v>
      </c>
      <c r="B3735" s="52" t="s">
        <v>37</v>
      </c>
      <c r="C3735" s="52" t="s">
        <v>105</v>
      </c>
      <c r="D3735" s="52" t="s">
        <v>105</v>
      </c>
      <c r="E3735" s="52" t="s">
        <v>656</v>
      </c>
      <c r="F3735" s="52" t="s">
        <v>26</v>
      </c>
      <c r="G3735" s="195" t="s">
        <v>276</v>
      </c>
      <c r="H3735" s="195">
        <v>3.7226900000000001</v>
      </c>
      <c r="I3735" s="195">
        <v>2.6435909999999998</v>
      </c>
      <c r="J3735" s="195">
        <v>2.862959</v>
      </c>
      <c r="K3735" s="195">
        <v>2.0989080000000002</v>
      </c>
      <c r="L3735" s="195">
        <v>1.615605</v>
      </c>
      <c r="M3735" s="195">
        <v>1.7076439999999999</v>
      </c>
      <c r="N3735" s="195">
        <v>1.7151510000000001</v>
      </c>
    </row>
    <row r="3736" spans="1:14" hidden="1" x14ac:dyDescent="0.35">
      <c r="A3736" s="52" t="s">
        <v>268</v>
      </c>
      <c r="B3736" s="52" t="s">
        <v>37</v>
      </c>
      <c r="C3736" s="52" t="s">
        <v>105</v>
      </c>
      <c r="D3736" s="52" t="s">
        <v>105</v>
      </c>
      <c r="E3736" s="52" t="s">
        <v>656</v>
      </c>
      <c r="F3736" s="52" t="s">
        <v>26</v>
      </c>
      <c r="G3736" s="195" t="s">
        <v>277</v>
      </c>
      <c r="H3736" s="195"/>
      <c r="I3736" s="195"/>
      <c r="J3736" s="195">
        <v>0</v>
      </c>
      <c r="K3736" s="195">
        <v>0.4985424</v>
      </c>
      <c r="L3736" s="195">
        <v>0.55859380000000003</v>
      </c>
      <c r="M3736" s="195">
        <v>0</v>
      </c>
      <c r="N3736" s="195">
        <v>0</v>
      </c>
    </row>
    <row r="3737" spans="1:14" hidden="1" x14ac:dyDescent="0.35">
      <c r="A3737" s="52" t="s">
        <v>268</v>
      </c>
      <c r="B3737" s="52" t="s">
        <v>37</v>
      </c>
      <c r="C3737" s="52" t="s">
        <v>105</v>
      </c>
      <c r="D3737" s="52" t="s">
        <v>105</v>
      </c>
      <c r="E3737" s="52" t="s">
        <v>656</v>
      </c>
      <c r="F3737" s="52" t="s">
        <v>26</v>
      </c>
      <c r="G3737" s="195" t="s">
        <v>278</v>
      </c>
      <c r="H3737" s="195"/>
      <c r="I3737" s="195"/>
      <c r="J3737" s="195">
        <v>0</v>
      </c>
      <c r="K3737" s="195">
        <v>2.126811</v>
      </c>
      <c r="L3737" s="195">
        <v>2.9618609999999999</v>
      </c>
      <c r="M3737" s="195">
        <v>0</v>
      </c>
      <c r="N3737" s="195"/>
    </row>
    <row r="3738" spans="1:14" hidden="1" x14ac:dyDescent="0.35">
      <c r="A3738" s="52" t="s">
        <v>268</v>
      </c>
      <c r="B3738" s="52" t="s">
        <v>37</v>
      </c>
      <c r="C3738" s="52" t="s">
        <v>105</v>
      </c>
      <c r="D3738" s="52" t="s">
        <v>105</v>
      </c>
      <c r="E3738" s="52" t="s">
        <v>656</v>
      </c>
      <c r="F3738" s="52" t="s">
        <v>26</v>
      </c>
      <c r="G3738" s="195" t="s">
        <v>279</v>
      </c>
      <c r="H3738" s="195">
        <v>11.08192</v>
      </c>
      <c r="I3738" s="195">
        <v>9.7323380000000004</v>
      </c>
      <c r="J3738" s="195">
        <v>9.8557699999999997</v>
      </c>
      <c r="K3738" s="195">
        <v>9.4929889999999997</v>
      </c>
      <c r="L3738" s="195">
        <v>9.9714580000000002</v>
      </c>
      <c r="M3738" s="195">
        <v>9.6194439999999997</v>
      </c>
      <c r="N3738" s="195">
        <v>9.0419830000000001</v>
      </c>
    </row>
    <row r="3739" spans="1:14" hidden="1" x14ac:dyDescent="0.35">
      <c r="A3739" s="52" t="s">
        <v>268</v>
      </c>
      <c r="B3739" s="52" t="s">
        <v>37</v>
      </c>
      <c r="C3739" s="52" t="s">
        <v>105</v>
      </c>
      <c r="D3739" s="52" t="s">
        <v>105</v>
      </c>
      <c r="E3739" s="52" t="s">
        <v>633</v>
      </c>
      <c r="F3739" s="52" t="s">
        <v>581</v>
      </c>
      <c r="G3739" s="195" t="s">
        <v>275</v>
      </c>
      <c r="H3739" s="195">
        <v>18.82536</v>
      </c>
      <c r="I3739" s="195">
        <v>5.490691</v>
      </c>
      <c r="J3739" s="195">
        <v>4.8321079999999998</v>
      </c>
      <c r="K3739" s="195">
        <v>4.6752250000000002</v>
      </c>
      <c r="L3739" s="195">
        <v>4.0845649999999996</v>
      </c>
      <c r="M3739" s="195">
        <v>3.4704769999999998</v>
      </c>
      <c r="N3739" s="195">
        <v>2.8832979999999999</v>
      </c>
    </row>
    <row r="3740" spans="1:14" hidden="1" x14ac:dyDescent="0.35">
      <c r="A3740" s="52" t="s">
        <v>268</v>
      </c>
      <c r="B3740" s="52" t="s">
        <v>37</v>
      </c>
      <c r="C3740" s="52" t="s">
        <v>105</v>
      </c>
      <c r="D3740" s="52" t="s">
        <v>105</v>
      </c>
      <c r="E3740" s="52" t="s">
        <v>633</v>
      </c>
      <c r="F3740" s="52" t="s">
        <v>581</v>
      </c>
      <c r="G3740" s="195" t="s">
        <v>276</v>
      </c>
      <c r="H3740" s="195">
        <v>6.5252470000000002</v>
      </c>
      <c r="I3740" s="195">
        <v>1.903184</v>
      </c>
      <c r="J3740" s="195">
        <v>1.6749080000000001</v>
      </c>
      <c r="K3740" s="195">
        <v>1.6205259999999999</v>
      </c>
      <c r="L3740" s="195">
        <v>1.4157930000000001</v>
      </c>
      <c r="M3740" s="195">
        <v>1.2029350000000001</v>
      </c>
      <c r="N3740" s="195">
        <v>0.9994075</v>
      </c>
    </row>
    <row r="3741" spans="1:14" hidden="1" x14ac:dyDescent="0.35">
      <c r="A3741" s="52" t="s">
        <v>268</v>
      </c>
      <c r="B3741" s="52" t="s">
        <v>37</v>
      </c>
      <c r="C3741" s="52" t="s">
        <v>105</v>
      </c>
      <c r="D3741" s="52" t="s">
        <v>105</v>
      </c>
      <c r="E3741" s="52" t="s">
        <v>633</v>
      </c>
      <c r="F3741" s="52" t="s">
        <v>581</v>
      </c>
      <c r="G3741" s="195" t="s">
        <v>279</v>
      </c>
      <c r="H3741" s="195">
        <v>6.0325129999999998</v>
      </c>
      <c r="I3741" s="195">
        <v>3.9665490000000001</v>
      </c>
      <c r="J3741" s="195">
        <v>3.983222</v>
      </c>
      <c r="K3741" s="195">
        <v>4.0217739999999997</v>
      </c>
      <c r="L3741" s="195">
        <v>4.1391080000000002</v>
      </c>
      <c r="M3741" s="195">
        <v>3.4405760000000001</v>
      </c>
      <c r="N3741" s="195">
        <v>2.856433</v>
      </c>
    </row>
    <row r="3742" spans="1:14" hidden="1" x14ac:dyDescent="0.35">
      <c r="A3742" s="52" t="s">
        <v>268</v>
      </c>
      <c r="B3742" s="52" t="s">
        <v>37</v>
      </c>
      <c r="C3742" s="52" t="s">
        <v>105</v>
      </c>
      <c r="D3742" s="52" t="s">
        <v>105</v>
      </c>
      <c r="E3742" s="52" t="s">
        <v>633</v>
      </c>
      <c r="F3742" s="52" t="s">
        <v>26</v>
      </c>
      <c r="G3742" s="195" t="s">
        <v>275</v>
      </c>
      <c r="H3742" s="195">
        <v>30.04806</v>
      </c>
      <c r="I3742" s="195">
        <v>16.822279999999999</v>
      </c>
      <c r="J3742" s="195">
        <v>19.5352</v>
      </c>
      <c r="K3742" s="195">
        <v>25.216729999999998</v>
      </c>
      <c r="L3742" s="195">
        <v>7.5106630000000001</v>
      </c>
      <c r="M3742" s="195">
        <v>17.414200000000001</v>
      </c>
      <c r="N3742" s="195">
        <v>14.244149999999999</v>
      </c>
    </row>
    <row r="3743" spans="1:14" hidden="1" x14ac:dyDescent="0.35">
      <c r="A3743" s="52" t="s">
        <v>268</v>
      </c>
      <c r="B3743" s="52" t="s">
        <v>37</v>
      </c>
      <c r="C3743" s="52" t="s">
        <v>105</v>
      </c>
      <c r="D3743" s="52" t="s">
        <v>105</v>
      </c>
      <c r="E3743" s="52" t="s">
        <v>633</v>
      </c>
      <c r="F3743" s="52" t="s">
        <v>26</v>
      </c>
      <c r="G3743" s="195" t="s">
        <v>276</v>
      </c>
      <c r="H3743" s="195">
        <v>-7.227894</v>
      </c>
      <c r="I3743" s="195">
        <v>-9.2879919999999991</v>
      </c>
      <c r="J3743" s="195">
        <v>-7.4197369999999996</v>
      </c>
      <c r="K3743" s="195">
        <v>-9.5308609999999998</v>
      </c>
      <c r="L3743" s="195">
        <v>1.5314449999999999</v>
      </c>
      <c r="M3743" s="195">
        <v>1.6578440000000001</v>
      </c>
      <c r="N3743" s="195">
        <v>1.6330610000000001</v>
      </c>
    </row>
    <row r="3744" spans="1:14" hidden="1" x14ac:dyDescent="0.35">
      <c r="A3744" s="52" t="s">
        <v>268</v>
      </c>
      <c r="B3744" s="52" t="s">
        <v>37</v>
      </c>
      <c r="C3744" s="52" t="s">
        <v>105</v>
      </c>
      <c r="D3744" s="52" t="s">
        <v>105</v>
      </c>
      <c r="E3744" s="52" t="s">
        <v>633</v>
      </c>
      <c r="F3744" s="52" t="s">
        <v>26</v>
      </c>
      <c r="G3744" s="195" t="s">
        <v>277</v>
      </c>
      <c r="H3744" s="195">
        <v>19.423870000000001</v>
      </c>
      <c r="I3744" s="195">
        <v>16.262789999999999</v>
      </c>
      <c r="J3744" s="195">
        <v>14.921099999999999</v>
      </c>
      <c r="K3744" s="195">
        <v>10.450340000000001</v>
      </c>
      <c r="L3744" s="195">
        <v>13.590730000000001</v>
      </c>
      <c r="M3744" s="195">
        <v>0</v>
      </c>
      <c r="N3744" s="195">
        <v>0</v>
      </c>
    </row>
    <row r="3745" spans="1:14" hidden="1" x14ac:dyDescent="0.35">
      <c r="A3745" s="52" t="s">
        <v>268</v>
      </c>
      <c r="B3745" s="52" t="s">
        <v>37</v>
      </c>
      <c r="C3745" s="52" t="s">
        <v>105</v>
      </c>
      <c r="D3745" s="52" t="s">
        <v>105</v>
      </c>
      <c r="E3745" s="52" t="s">
        <v>633</v>
      </c>
      <c r="F3745" s="52" t="s">
        <v>26</v>
      </c>
      <c r="G3745" s="195" t="s">
        <v>278</v>
      </c>
      <c r="H3745" s="195">
        <v>0.79613100000000003</v>
      </c>
      <c r="I3745" s="195">
        <v>1.7744960000000001</v>
      </c>
      <c r="J3745" s="195">
        <v>1.369707</v>
      </c>
      <c r="K3745" s="195">
        <v>0.49137700000000001</v>
      </c>
      <c r="L3745" s="195">
        <v>0</v>
      </c>
      <c r="M3745" s="195"/>
      <c r="N3745" s="195"/>
    </row>
    <row r="3746" spans="1:14" hidden="1" x14ac:dyDescent="0.35">
      <c r="A3746" s="52" t="s">
        <v>268</v>
      </c>
      <c r="B3746" s="52" t="s">
        <v>37</v>
      </c>
      <c r="C3746" s="52" t="s">
        <v>105</v>
      </c>
      <c r="D3746" s="52" t="s">
        <v>105</v>
      </c>
      <c r="E3746" s="52" t="s">
        <v>633</v>
      </c>
      <c r="F3746" s="52" t="s">
        <v>26</v>
      </c>
      <c r="G3746" s="195" t="s">
        <v>279</v>
      </c>
      <c r="H3746" s="195">
        <v>32.990780000000001</v>
      </c>
      <c r="I3746" s="195">
        <v>24.248809999999999</v>
      </c>
      <c r="J3746" s="195">
        <v>25.13768</v>
      </c>
      <c r="K3746" s="195">
        <v>25.807950000000002</v>
      </c>
      <c r="L3746" s="195">
        <v>26.19211</v>
      </c>
      <c r="M3746" s="195">
        <v>21.830680000000001</v>
      </c>
      <c r="N3746" s="195">
        <v>18.129280000000001</v>
      </c>
    </row>
    <row r="3747" spans="1:14" hidden="1" x14ac:dyDescent="0.35">
      <c r="A3747" s="52" t="s">
        <v>268</v>
      </c>
      <c r="B3747" s="52" t="s">
        <v>37</v>
      </c>
      <c r="C3747" s="52" t="s">
        <v>105</v>
      </c>
      <c r="D3747" s="52" t="s">
        <v>105</v>
      </c>
      <c r="E3747" s="52" t="s">
        <v>584</v>
      </c>
      <c r="F3747" s="52" t="s">
        <v>581</v>
      </c>
      <c r="G3747" s="195" t="s">
        <v>275</v>
      </c>
      <c r="H3747" s="195">
        <v>0.113536</v>
      </c>
      <c r="I3747" s="195">
        <v>-7.9455799999999993E-2</v>
      </c>
      <c r="J3747" s="195">
        <v>-7.8922199999999998E-2</v>
      </c>
      <c r="K3747" s="195">
        <v>-7.5734200000000002E-2</v>
      </c>
      <c r="L3747" s="195">
        <v>-8.9982199999999998E-2</v>
      </c>
      <c r="M3747" s="195">
        <v>-8.0870789999999998E-2</v>
      </c>
      <c r="N3747" s="195">
        <v>-7.4292410000000003E-2</v>
      </c>
    </row>
    <row r="3748" spans="1:14" hidden="1" x14ac:dyDescent="0.35">
      <c r="A3748" s="52" t="s">
        <v>268</v>
      </c>
      <c r="B3748" s="52" t="s">
        <v>37</v>
      </c>
      <c r="C3748" s="52" t="s">
        <v>105</v>
      </c>
      <c r="D3748" s="52" t="s">
        <v>105</v>
      </c>
      <c r="E3748" s="52" t="s">
        <v>584</v>
      </c>
      <c r="F3748" s="52" t="s">
        <v>581</v>
      </c>
      <c r="G3748" s="195" t="s">
        <v>276</v>
      </c>
      <c r="H3748" s="195">
        <v>3.9354E-2</v>
      </c>
      <c r="I3748" s="195">
        <v>-2.7541E-2</v>
      </c>
      <c r="J3748" s="195">
        <v>-2.7355999999999998E-2</v>
      </c>
      <c r="K3748" s="195">
        <v>-2.6251E-2</v>
      </c>
      <c r="L3748" s="195">
        <v>-3.11892E-2</v>
      </c>
      <c r="M3748" s="195">
        <v>-2.8031E-2</v>
      </c>
      <c r="N3748" s="195">
        <v>-2.5751400000000001E-2</v>
      </c>
    </row>
    <row r="3749" spans="1:14" hidden="1" x14ac:dyDescent="0.35">
      <c r="A3749" s="52" t="s">
        <v>268</v>
      </c>
      <c r="B3749" s="52" t="s">
        <v>37</v>
      </c>
      <c r="C3749" s="52" t="s">
        <v>105</v>
      </c>
      <c r="D3749" s="52" t="s">
        <v>105</v>
      </c>
      <c r="E3749" s="52" t="s">
        <v>584</v>
      </c>
      <c r="F3749" s="52" t="s">
        <v>581</v>
      </c>
      <c r="G3749" s="195" t="s">
        <v>279</v>
      </c>
      <c r="H3749" s="195">
        <v>0.41043099999999999</v>
      </c>
      <c r="I3749" s="195">
        <v>0.27725820000000001</v>
      </c>
      <c r="J3749" s="195">
        <v>0.24034800000000001</v>
      </c>
      <c r="K3749" s="195">
        <v>0.225856</v>
      </c>
      <c r="L3749" s="195">
        <v>0.2356172</v>
      </c>
      <c r="M3749" s="195">
        <v>0.21490780000000001</v>
      </c>
      <c r="N3749" s="195">
        <v>0.19769220000000001</v>
      </c>
    </row>
    <row r="3750" spans="1:14" hidden="1" x14ac:dyDescent="0.35">
      <c r="A3750" s="52" t="s">
        <v>268</v>
      </c>
      <c r="B3750" s="52" t="s">
        <v>37</v>
      </c>
      <c r="C3750" s="52" t="s">
        <v>105</v>
      </c>
      <c r="D3750" s="52" t="s">
        <v>105</v>
      </c>
      <c r="E3750" s="52" t="s">
        <v>584</v>
      </c>
      <c r="F3750" s="52" t="s">
        <v>26</v>
      </c>
      <c r="G3750" s="195" t="s">
        <v>275</v>
      </c>
      <c r="H3750" s="195">
        <v>-6.2094999999999997E-2</v>
      </c>
      <c r="I3750" s="195">
        <v>-0.13944019999999999</v>
      </c>
      <c r="J3750" s="195">
        <v>-0.12363739999999999</v>
      </c>
      <c r="K3750" s="195">
        <v>-0.14717</v>
      </c>
      <c r="L3750" s="195">
        <v>-0.26458860000000001</v>
      </c>
      <c r="M3750" s="195">
        <v>-0.23302220000000001</v>
      </c>
      <c r="N3750" s="195">
        <v>-0.21323980000000001</v>
      </c>
    </row>
    <row r="3751" spans="1:14" hidden="1" x14ac:dyDescent="0.35">
      <c r="A3751" s="52" t="s">
        <v>268</v>
      </c>
      <c r="B3751" s="52" t="s">
        <v>37</v>
      </c>
      <c r="C3751" s="52" t="s">
        <v>105</v>
      </c>
      <c r="D3751" s="52" t="s">
        <v>105</v>
      </c>
      <c r="E3751" s="52" t="s">
        <v>584</v>
      </c>
      <c r="F3751" s="52" t="s">
        <v>26</v>
      </c>
      <c r="G3751" s="195" t="s">
        <v>276</v>
      </c>
      <c r="H3751" s="195">
        <v>-4.3778009999999999E-2</v>
      </c>
      <c r="I3751" s="195">
        <v>-0.13735140000000001</v>
      </c>
      <c r="J3751" s="195">
        <v>-4.2855200000000003E-2</v>
      </c>
      <c r="K3751" s="195">
        <v>-5.1012000000000002E-2</v>
      </c>
      <c r="L3751" s="195">
        <v>-9.1711409999999993E-2</v>
      </c>
      <c r="M3751" s="195">
        <v>-8.0769590000000002E-2</v>
      </c>
      <c r="N3751" s="195">
        <v>-7.3912989999999998E-2</v>
      </c>
    </row>
    <row r="3752" spans="1:14" hidden="1" x14ac:dyDescent="0.35">
      <c r="A3752" s="52" t="s">
        <v>268</v>
      </c>
      <c r="B3752" s="52" t="s">
        <v>37</v>
      </c>
      <c r="C3752" s="52" t="s">
        <v>105</v>
      </c>
      <c r="D3752" s="52" t="s">
        <v>105</v>
      </c>
      <c r="E3752" s="52" t="s">
        <v>584</v>
      </c>
      <c r="F3752" s="52" t="s">
        <v>26</v>
      </c>
      <c r="G3752" s="195" t="s">
        <v>279</v>
      </c>
      <c r="H3752" s="195">
        <v>3.3860540000000001</v>
      </c>
      <c r="I3752" s="195">
        <v>1.9190389999999999</v>
      </c>
      <c r="J3752" s="195">
        <v>1.686374</v>
      </c>
      <c r="K3752" s="195">
        <v>1.599893</v>
      </c>
      <c r="L3752" s="195">
        <v>1.6482749999999999</v>
      </c>
      <c r="M3752" s="195">
        <v>1.507053</v>
      </c>
      <c r="N3752" s="195">
        <v>1.3864339999999999</v>
      </c>
    </row>
    <row r="3753" spans="1:14" hidden="1" x14ac:dyDescent="0.35">
      <c r="A3753" s="52" t="s">
        <v>268</v>
      </c>
      <c r="B3753" s="52" t="s">
        <v>37</v>
      </c>
      <c r="C3753" s="52" t="s">
        <v>105</v>
      </c>
      <c r="D3753" s="52" t="s">
        <v>105</v>
      </c>
      <c r="E3753" s="52" t="s">
        <v>658</v>
      </c>
      <c r="F3753" s="52" t="s">
        <v>581</v>
      </c>
      <c r="G3753" s="195" t="s">
        <v>275</v>
      </c>
      <c r="H3753" s="195">
        <v>0</v>
      </c>
      <c r="I3753" s="195">
        <v>-1.0332E-3</v>
      </c>
      <c r="J3753" s="195">
        <v>-1.0058000000000001E-3</v>
      </c>
      <c r="K3753" s="195">
        <v>-9.6419989999999998E-4</v>
      </c>
      <c r="L3753" s="195">
        <v>-1.124E-3</v>
      </c>
      <c r="M3753" s="195">
        <v>-1.0134E-3</v>
      </c>
      <c r="N3753" s="195">
        <v>-9.2980000000000005E-4</v>
      </c>
    </row>
    <row r="3754" spans="1:14" hidden="1" x14ac:dyDescent="0.35">
      <c r="A3754" s="52" t="s">
        <v>268</v>
      </c>
      <c r="B3754" s="52" t="s">
        <v>37</v>
      </c>
      <c r="C3754" s="52" t="s">
        <v>105</v>
      </c>
      <c r="D3754" s="52" t="s">
        <v>105</v>
      </c>
      <c r="E3754" s="52" t="s">
        <v>658</v>
      </c>
      <c r="F3754" s="52" t="s">
        <v>581</v>
      </c>
      <c r="G3754" s="195" t="s">
        <v>276</v>
      </c>
      <c r="H3754" s="195">
        <v>0</v>
      </c>
      <c r="I3754" s="195">
        <v>-3.3419999999999999E-4</v>
      </c>
      <c r="J3754" s="195">
        <v>-3.2660000000000002E-4</v>
      </c>
      <c r="K3754" s="195">
        <v>-3.1260000000000001E-4</v>
      </c>
      <c r="L3754" s="195">
        <v>-3.6519999999999999E-4</v>
      </c>
      <c r="M3754" s="195">
        <v>-3.2840000000000001E-4</v>
      </c>
      <c r="N3754" s="195">
        <v>-3.0180000000000002E-4</v>
      </c>
    </row>
    <row r="3755" spans="1:14" hidden="1" x14ac:dyDescent="0.35">
      <c r="A3755" s="52" t="s">
        <v>268</v>
      </c>
      <c r="B3755" s="52" t="s">
        <v>37</v>
      </c>
      <c r="C3755" s="52" t="s">
        <v>105</v>
      </c>
      <c r="D3755" s="52" t="s">
        <v>105</v>
      </c>
      <c r="E3755" s="52" t="s">
        <v>658</v>
      </c>
      <c r="F3755" s="52" t="s">
        <v>581</v>
      </c>
      <c r="G3755" s="195" t="s">
        <v>279</v>
      </c>
      <c r="H3755" s="195">
        <v>0</v>
      </c>
      <c r="I3755" s="195">
        <v>3.1771999999999998E-3</v>
      </c>
      <c r="J3755" s="195">
        <v>2.7602E-3</v>
      </c>
      <c r="K3755" s="195">
        <v>2.594E-3</v>
      </c>
      <c r="L3755" s="195">
        <v>2.7049999999999999E-3</v>
      </c>
      <c r="M3755" s="195">
        <v>2.4675999999999999E-3</v>
      </c>
      <c r="N3755" s="195">
        <v>2.2690000000000002E-3</v>
      </c>
    </row>
    <row r="3756" spans="1:14" hidden="1" x14ac:dyDescent="0.35">
      <c r="A3756" s="52" t="s">
        <v>268</v>
      </c>
      <c r="B3756" s="52" t="s">
        <v>37</v>
      </c>
      <c r="C3756" s="52" t="s">
        <v>105</v>
      </c>
      <c r="D3756" s="52" t="s">
        <v>105</v>
      </c>
      <c r="E3756" s="52" t="s">
        <v>658</v>
      </c>
      <c r="F3756" s="52" t="s">
        <v>26</v>
      </c>
      <c r="G3756" s="195" t="s">
        <v>275</v>
      </c>
      <c r="H3756" s="195">
        <v>0.33885510000000002</v>
      </c>
      <c r="I3756" s="195">
        <v>0.4337376</v>
      </c>
      <c r="J3756" s="195">
        <v>0.38590920000000001</v>
      </c>
      <c r="K3756" s="195">
        <v>0.52843459999999998</v>
      </c>
      <c r="L3756" s="195">
        <v>-1.00964E-2</v>
      </c>
      <c r="M3756" s="195">
        <v>-8.8913989999999995E-3</v>
      </c>
      <c r="N3756" s="195">
        <v>-8.1364000000000002E-3</v>
      </c>
    </row>
    <row r="3757" spans="1:14" hidden="1" x14ac:dyDescent="0.35">
      <c r="A3757" s="52" t="s">
        <v>268</v>
      </c>
      <c r="B3757" s="52" t="s">
        <v>37</v>
      </c>
      <c r="C3757" s="52" t="s">
        <v>105</v>
      </c>
      <c r="D3757" s="52" t="s">
        <v>105</v>
      </c>
      <c r="E3757" s="52" t="s">
        <v>658</v>
      </c>
      <c r="F3757" s="52" t="s">
        <v>26</v>
      </c>
      <c r="G3757" s="195" t="s">
        <v>276</v>
      </c>
      <c r="H3757" s="195">
        <v>-0.342553</v>
      </c>
      <c r="I3757" s="195">
        <v>-0.44425500000000001</v>
      </c>
      <c r="J3757" s="195">
        <v>-0.39228760000000001</v>
      </c>
      <c r="K3757" s="195">
        <v>-0.53593440000000003</v>
      </c>
      <c r="L3757" s="195">
        <v>-3.3019999999999998E-3</v>
      </c>
      <c r="M3757" s="195">
        <v>-2.9076000000000002E-3</v>
      </c>
      <c r="N3757" s="195">
        <v>-2.6603999999999998E-3</v>
      </c>
    </row>
    <row r="3758" spans="1:14" hidden="1" x14ac:dyDescent="0.35">
      <c r="A3758" s="52" t="s">
        <v>268</v>
      </c>
      <c r="B3758" s="52" t="s">
        <v>37</v>
      </c>
      <c r="C3758" s="52" t="s">
        <v>105</v>
      </c>
      <c r="D3758" s="52" t="s">
        <v>105</v>
      </c>
      <c r="E3758" s="52" t="s">
        <v>658</v>
      </c>
      <c r="F3758" s="52" t="s">
        <v>26</v>
      </c>
      <c r="G3758" s="195" t="s">
        <v>277</v>
      </c>
      <c r="H3758" s="195">
        <v>0</v>
      </c>
      <c r="I3758" s="195"/>
      <c r="J3758" s="195"/>
      <c r="K3758" s="195"/>
      <c r="L3758" s="195"/>
      <c r="M3758" s="195">
        <v>0</v>
      </c>
      <c r="N3758" s="195">
        <v>0</v>
      </c>
    </row>
    <row r="3759" spans="1:14" hidden="1" x14ac:dyDescent="0.35">
      <c r="A3759" s="52" t="s">
        <v>268</v>
      </c>
      <c r="B3759" s="52" t="s">
        <v>37</v>
      </c>
      <c r="C3759" s="52" t="s">
        <v>105</v>
      </c>
      <c r="D3759" s="52" t="s">
        <v>105</v>
      </c>
      <c r="E3759" s="52" t="s">
        <v>658</v>
      </c>
      <c r="F3759" s="52" t="s">
        <v>26</v>
      </c>
      <c r="G3759" s="195" t="s">
        <v>279</v>
      </c>
      <c r="H3759" s="195">
        <v>0.100343</v>
      </c>
      <c r="I3759" s="195">
        <v>7.1039000000000005E-2</v>
      </c>
      <c r="J3759" s="195">
        <v>6.2387999999999999E-2</v>
      </c>
      <c r="K3759" s="195">
        <v>5.91548E-2</v>
      </c>
      <c r="L3759" s="195">
        <v>6.1009000000000001E-2</v>
      </c>
      <c r="M3759" s="195">
        <v>5.5770399999999998E-2</v>
      </c>
      <c r="N3759" s="195">
        <v>5.1306999999999998E-2</v>
      </c>
    </row>
    <row r="3760" spans="1:14" hidden="1" x14ac:dyDescent="0.35">
      <c r="A3760" s="52" t="s">
        <v>268</v>
      </c>
      <c r="B3760" s="52" t="s">
        <v>37</v>
      </c>
      <c r="C3760" s="52" t="s">
        <v>86</v>
      </c>
      <c r="D3760" s="52" t="s">
        <v>86</v>
      </c>
      <c r="E3760" s="52" t="s">
        <v>619</v>
      </c>
      <c r="F3760" s="52" t="s">
        <v>581</v>
      </c>
      <c r="G3760" s="195" t="s">
        <v>275</v>
      </c>
      <c r="H3760" s="195">
        <v>-6.5061559999999998</v>
      </c>
      <c r="I3760" s="195">
        <v>-1.603024</v>
      </c>
      <c r="J3760" s="195">
        <v>-0.60446069999999996</v>
      </c>
      <c r="K3760" s="195">
        <v>3.0897579999999998</v>
      </c>
      <c r="L3760" s="195">
        <v>0.52363440000000006</v>
      </c>
      <c r="M3760" s="195">
        <v>4.1933600000000002</v>
      </c>
      <c r="N3760" s="195">
        <v>3.3065600000000002</v>
      </c>
    </row>
    <row r="3761" spans="1:14" hidden="1" x14ac:dyDescent="0.35">
      <c r="A3761" s="52" t="s">
        <v>268</v>
      </c>
      <c r="B3761" s="52" t="s">
        <v>37</v>
      </c>
      <c r="C3761" s="52" t="s">
        <v>86</v>
      </c>
      <c r="D3761" s="52" t="s">
        <v>86</v>
      </c>
      <c r="E3761" s="52" t="s">
        <v>619</v>
      </c>
      <c r="F3761" s="52" t="s">
        <v>581</v>
      </c>
      <c r="G3761" s="195" t="s">
        <v>276</v>
      </c>
      <c r="H3761" s="195">
        <v>-1.684766</v>
      </c>
      <c r="I3761" s="195">
        <v>-0.94866349999999999</v>
      </c>
      <c r="J3761" s="195">
        <v>-5.0866790000000002E-2</v>
      </c>
      <c r="K3761" s="195">
        <v>8.6668579999999995E-2</v>
      </c>
      <c r="L3761" s="195">
        <v>-1.7692730000000001</v>
      </c>
      <c r="M3761" s="195">
        <v>-0.24542340000000001</v>
      </c>
      <c r="N3761" s="195">
        <v>6.9740209999999997E-2</v>
      </c>
    </row>
    <row r="3762" spans="1:14" hidden="1" x14ac:dyDescent="0.35">
      <c r="A3762" s="52" t="s">
        <v>268</v>
      </c>
      <c r="B3762" s="52" t="s">
        <v>37</v>
      </c>
      <c r="C3762" s="52" t="s">
        <v>86</v>
      </c>
      <c r="D3762" s="52" t="s">
        <v>86</v>
      </c>
      <c r="E3762" s="52" t="s">
        <v>619</v>
      </c>
      <c r="F3762" s="52" t="s">
        <v>581</v>
      </c>
      <c r="G3762" s="195" t="s">
        <v>277</v>
      </c>
      <c r="H3762" s="195">
        <v>19.009779999999999</v>
      </c>
      <c r="I3762" s="195">
        <v>6.7507580000000003</v>
      </c>
      <c r="J3762" s="195">
        <v>4.1871309999999999</v>
      </c>
      <c r="K3762" s="195">
        <v>0.99220640000000004</v>
      </c>
      <c r="L3762" s="195">
        <v>5.3974849999999996</v>
      </c>
      <c r="M3762" s="195">
        <v>0</v>
      </c>
      <c r="N3762" s="195">
        <v>0</v>
      </c>
    </row>
    <row r="3763" spans="1:14" hidden="1" x14ac:dyDescent="0.35">
      <c r="A3763" s="52" t="s">
        <v>268</v>
      </c>
      <c r="B3763" s="52" t="s">
        <v>37</v>
      </c>
      <c r="C3763" s="52" t="s">
        <v>86</v>
      </c>
      <c r="D3763" s="52" t="s">
        <v>86</v>
      </c>
      <c r="E3763" s="52" t="s">
        <v>619</v>
      </c>
      <c r="F3763" s="52" t="s">
        <v>581</v>
      </c>
      <c r="G3763" s="195" t="s">
        <v>278</v>
      </c>
      <c r="H3763" s="195">
        <v>1.550219</v>
      </c>
      <c r="I3763" s="195">
        <v>1.188313</v>
      </c>
      <c r="J3763" s="195">
        <v>1.262421</v>
      </c>
      <c r="K3763" s="195">
        <v>0.44999319999999998</v>
      </c>
      <c r="L3763" s="195">
        <v>0.27081499999999997</v>
      </c>
      <c r="M3763" s="195">
        <v>0</v>
      </c>
      <c r="N3763" s="195"/>
    </row>
    <row r="3764" spans="1:14" hidden="1" x14ac:dyDescent="0.35">
      <c r="A3764" s="52" t="s">
        <v>268</v>
      </c>
      <c r="B3764" s="52" t="s">
        <v>37</v>
      </c>
      <c r="C3764" s="52" t="s">
        <v>86</v>
      </c>
      <c r="D3764" s="52" t="s">
        <v>86</v>
      </c>
      <c r="E3764" s="52" t="s">
        <v>619</v>
      </c>
      <c r="F3764" s="52" t="s">
        <v>581</v>
      </c>
      <c r="G3764" s="195" t="s">
        <v>279</v>
      </c>
      <c r="H3764" s="195">
        <v>2.1662509999999999</v>
      </c>
      <c r="I3764" s="195">
        <v>1.870511</v>
      </c>
      <c r="J3764" s="195">
        <v>1.8562909999999999</v>
      </c>
      <c r="K3764" s="195">
        <v>1.8511610000000001</v>
      </c>
      <c r="L3764" s="195">
        <v>1.997201</v>
      </c>
      <c r="M3764" s="195">
        <v>1.7602040000000001</v>
      </c>
      <c r="N3764" s="195">
        <v>1.503887</v>
      </c>
    </row>
    <row r="3765" spans="1:14" hidden="1" x14ac:dyDescent="0.35">
      <c r="A3765" s="52" t="s">
        <v>268</v>
      </c>
      <c r="B3765" s="52" t="s">
        <v>37</v>
      </c>
      <c r="C3765" s="52" t="s">
        <v>86</v>
      </c>
      <c r="D3765" s="52" t="s">
        <v>86</v>
      </c>
      <c r="E3765" s="52" t="s">
        <v>619</v>
      </c>
      <c r="F3765" s="52" t="s">
        <v>26</v>
      </c>
      <c r="G3765" s="195" t="s">
        <v>275</v>
      </c>
      <c r="H3765" s="195">
        <v>3.8681809999999999</v>
      </c>
      <c r="I3765" s="195">
        <v>3.2111489999999998</v>
      </c>
      <c r="J3765" s="195">
        <v>3.5102690000000001</v>
      </c>
      <c r="K3765" s="195">
        <v>3.2620719999999999</v>
      </c>
      <c r="L3765" s="195">
        <v>2.9687890000000001</v>
      </c>
      <c r="M3765" s="195">
        <v>2.6454430000000002</v>
      </c>
      <c r="N3765" s="195">
        <v>2.2650899999999998</v>
      </c>
    </row>
    <row r="3766" spans="1:14" hidden="1" x14ac:dyDescent="0.35">
      <c r="A3766" s="52" t="s">
        <v>268</v>
      </c>
      <c r="B3766" s="52" t="s">
        <v>37</v>
      </c>
      <c r="C3766" s="52" t="s">
        <v>86</v>
      </c>
      <c r="D3766" s="52" t="s">
        <v>86</v>
      </c>
      <c r="E3766" s="52" t="s">
        <v>619</v>
      </c>
      <c r="F3766" s="52" t="s">
        <v>26</v>
      </c>
      <c r="G3766" s="195" t="s">
        <v>276</v>
      </c>
      <c r="H3766" s="195">
        <v>1.340789</v>
      </c>
      <c r="I3766" s="195">
        <v>1.113049</v>
      </c>
      <c r="J3766" s="195">
        <v>1.2167300000000001</v>
      </c>
      <c r="K3766" s="195">
        <v>1.1306989999999999</v>
      </c>
      <c r="L3766" s="195">
        <v>1.0290410000000001</v>
      </c>
      <c r="M3766" s="195">
        <v>0.91696359999999999</v>
      </c>
      <c r="N3766" s="195">
        <v>0.78512559999999998</v>
      </c>
    </row>
    <row r="3767" spans="1:14" hidden="1" x14ac:dyDescent="0.35">
      <c r="A3767" s="52" t="s">
        <v>268</v>
      </c>
      <c r="B3767" s="52" t="s">
        <v>37</v>
      </c>
      <c r="C3767" s="52" t="s">
        <v>86</v>
      </c>
      <c r="D3767" s="52" t="s">
        <v>86</v>
      </c>
      <c r="E3767" s="52" t="s">
        <v>619</v>
      </c>
      <c r="F3767" s="52" t="s">
        <v>26</v>
      </c>
      <c r="G3767" s="195" t="s">
        <v>279</v>
      </c>
      <c r="H3767" s="195">
        <v>3.8988860000000001</v>
      </c>
      <c r="I3767" s="195">
        <v>3.9938220000000002</v>
      </c>
      <c r="J3767" s="195">
        <v>4.0920800000000002</v>
      </c>
      <c r="K3767" s="195">
        <v>4.1593280000000004</v>
      </c>
      <c r="L3767" s="195">
        <v>4.4573660000000004</v>
      </c>
      <c r="M3767" s="195">
        <v>3.9382459999999999</v>
      </c>
      <c r="N3767" s="195">
        <v>3.3649019999999998</v>
      </c>
    </row>
    <row r="3768" spans="1:14" hidden="1" x14ac:dyDescent="0.35">
      <c r="A3768" s="52" t="s">
        <v>268</v>
      </c>
      <c r="B3768" s="52" t="s">
        <v>37</v>
      </c>
      <c r="C3768" s="52" t="s">
        <v>269</v>
      </c>
      <c r="D3768" s="52" t="s">
        <v>269</v>
      </c>
      <c r="E3768" s="52" t="s">
        <v>584</v>
      </c>
      <c r="F3768" s="52" t="s">
        <v>581</v>
      </c>
      <c r="G3768" s="195" t="s">
        <v>275</v>
      </c>
      <c r="H3768" s="195">
        <v>1.0609919999999999</v>
      </c>
      <c r="I3768" s="195">
        <v>0.1420208</v>
      </c>
      <c r="J3768" s="195">
        <v>0.11853859999999999</v>
      </c>
      <c r="K3768" s="195">
        <v>0.33591779999999999</v>
      </c>
      <c r="L3768" s="195">
        <v>-0.19364319999999999</v>
      </c>
      <c r="M3768" s="195">
        <v>-0.15736040000000001</v>
      </c>
      <c r="N3768" s="195">
        <v>-0.1382766</v>
      </c>
    </row>
    <row r="3769" spans="1:14" hidden="1" x14ac:dyDescent="0.35">
      <c r="A3769" s="52" t="s">
        <v>268</v>
      </c>
      <c r="B3769" s="52" t="s">
        <v>37</v>
      </c>
      <c r="C3769" s="52" t="s">
        <v>269</v>
      </c>
      <c r="D3769" s="52" t="s">
        <v>269</v>
      </c>
      <c r="E3769" s="52" t="s">
        <v>584</v>
      </c>
      <c r="F3769" s="52" t="s">
        <v>581</v>
      </c>
      <c r="G3769" s="195" t="s">
        <v>276</v>
      </c>
      <c r="H3769" s="195">
        <v>-0.308251</v>
      </c>
      <c r="I3769" s="195">
        <v>-0.26183440000000002</v>
      </c>
      <c r="J3769" s="195">
        <v>-0.35684959999999999</v>
      </c>
      <c r="K3769" s="195">
        <v>-0.53865220000000003</v>
      </c>
      <c r="L3769" s="195">
        <v>-5.1475E-2</v>
      </c>
      <c r="M3769" s="195">
        <v>-4.1829600000000002E-2</v>
      </c>
      <c r="N3769" s="195">
        <v>-3.6756200000000003E-2</v>
      </c>
    </row>
    <row r="3770" spans="1:14" hidden="1" x14ac:dyDescent="0.35">
      <c r="A3770" s="52" t="s">
        <v>268</v>
      </c>
      <c r="B3770" s="52" t="s">
        <v>37</v>
      </c>
      <c r="C3770" s="52" t="s">
        <v>269</v>
      </c>
      <c r="D3770" s="52" t="s">
        <v>269</v>
      </c>
      <c r="E3770" s="52" t="s">
        <v>584</v>
      </c>
      <c r="F3770" s="52" t="s">
        <v>581</v>
      </c>
      <c r="G3770" s="195" t="s">
        <v>277</v>
      </c>
      <c r="H3770" s="195">
        <v>0</v>
      </c>
      <c r="I3770" s="195"/>
      <c r="J3770" s="195"/>
      <c r="K3770" s="195"/>
      <c r="L3770" s="195">
        <v>0</v>
      </c>
      <c r="M3770" s="195">
        <v>0</v>
      </c>
      <c r="N3770" s="195">
        <v>0</v>
      </c>
    </row>
    <row r="3771" spans="1:14" hidden="1" x14ac:dyDescent="0.35">
      <c r="A3771" s="52" t="s">
        <v>268</v>
      </c>
      <c r="B3771" s="52" t="s">
        <v>37</v>
      </c>
      <c r="C3771" s="52" t="s">
        <v>269</v>
      </c>
      <c r="D3771" s="52" t="s">
        <v>269</v>
      </c>
      <c r="E3771" s="52" t="s">
        <v>584</v>
      </c>
      <c r="F3771" s="52" t="s">
        <v>581</v>
      </c>
      <c r="G3771" s="195" t="s">
        <v>279</v>
      </c>
      <c r="H3771" s="195">
        <v>0.88152699999999995</v>
      </c>
      <c r="I3771" s="195">
        <v>0.87798220000000005</v>
      </c>
      <c r="J3771" s="195">
        <v>1.1262019999999999</v>
      </c>
      <c r="K3771" s="195">
        <v>0.91441899999999998</v>
      </c>
      <c r="L3771" s="195">
        <v>0.78865240000000003</v>
      </c>
      <c r="M3771" s="195">
        <v>0.66434059999999995</v>
      </c>
      <c r="N3771" s="195">
        <v>0.58563180000000004</v>
      </c>
    </row>
    <row r="3772" spans="1:14" hidden="1" x14ac:dyDescent="0.35">
      <c r="A3772" s="52" t="s">
        <v>268</v>
      </c>
      <c r="B3772" s="52" t="s">
        <v>37</v>
      </c>
      <c r="C3772" s="52" t="s">
        <v>269</v>
      </c>
      <c r="D3772" s="52" t="s">
        <v>269</v>
      </c>
      <c r="E3772" s="52" t="s">
        <v>584</v>
      </c>
      <c r="F3772" s="52" t="s">
        <v>26</v>
      </c>
      <c r="G3772" s="195" t="s">
        <v>275</v>
      </c>
      <c r="H3772" s="195">
        <v>-0.107712</v>
      </c>
      <c r="I3772" s="195">
        <v>-0.118184</v>
      </c>
      <c r="J3772" s="195">
        <v>-0.1458448</v>
      </c>
      <c r="K3772" s="195">
        <v>-0.1213598</v>
      </c>
      <c r="L3772" s="195">
        <v>-0.11512840000000001</v>
      </c>
      <c r="M3772" s="195">
        <v>-9.6199999999999994E-2</v>
      </c>
      <c r="N3772" s="195">
        <v>-8.4711400000000006E-2</v>
      </c>
    </row>
    <row r="3773" spans="1:14" hidden="1" x14ac:dyDescent="0.35">
      <c r="A3773" s="52" t="s">
        <v>268</v>
      </c>
      <c r="B3773" s="52" t="s">
        <v>37</v>
      </c>
      <c r="C3773" s="52" t="s">
        <v>269</v>
      </c>
      <c r="D3773" s="52" t="s">
        <v>269</v>
      </c>
      <c r="E3773" s="52" t="s">
        <v>584</v>
      </c>
      <c r="F3773" s="52" t="s">
        <v>26</v>
      </c>
      <c r="G3773" s="195" t="s">
        <v>276</v>
      </c>
      <c r="H3773" s="195">
        <v>-2.8632000000000001E-2</v>
      </c>
      <c r="I3773" s="195">
        <v>-3.1416600000000003E-2</v>
      </c>
      <c r="J3773" s="195">
        <v>-3.87686E-2</v>
      </c>
      <c r="K3773" s="195">
        <v>-3.2260200000000003E-2</v>
      </c>
      <c r="L3773" s="195">
        <v>-3.0603999999999999E-2</v>
      </c>
      <c r="M3773" s="195">
        <v>-2.5571799999999999E-2</v>
      </c>
      <c r="N3773" s="195">
        <v>-2.2518400000000001E-2</v>
      </c>
    </row>
    <row r="3774" spans="1:14" hidden="1" x14ac:dyDescent="0.35">
      <c r="A3774" s="52" t="s">
        <v>268</v>
      </c>
      <c r="B3774" s="52" t="s">
        <v>37</v>
      </c>
      <c r="C3774" s="52" t="s">
        <v>269</v>
      </c>
      <c r="D3774" s="52" t="s">
        <v>269</v>
      </c>
      <c r="E3774" s="52" t="s">
        <v>584</v>
      </c>
      <c r="F3774" s="52" t="s">
        <v>26</v>
      </c>
      <c r="G3774" s="195" t="s">
        <v>279</v>
      </c>
      <c r="H3774" s="195">
        <v>0.28668100000000002</v>
      </c>
      <c r="I3774" s="195">
        <v>0.2787482</v>
      </c>
      <c r="J3774" s="195">
        <v>0.362377</v>
      </c>
      <c r="K3774" s="195">
        <v>0.29584779999999999</v>
      </c>
      <c r="L3774" s="195">
        <v>0.25409939999999998</v>
      </c>
      <c r="M3774" s="195">
        <v>0.21424219999999999</v>
      </c>
      <c r="N3774" s="195">
        <v>0.18886159999999999</v>
      </c>
    </row>
    <row r="3775" spans="1:14" hidden="1" x14ac:dyDescent="0.35">
      <c r="A3775" s="52" t="s">
        <v>268</v>
      </c>
      <c r="B3775" s="52" t="s">
        <v>37</v>
      </c>
      <c r="C3775" s="52" t="s">
        <v>79</v>
      </c>
      <c r="D3775" s="52" t="s">
        <v>79</v>
      </c>
      <c r="E3775" s="52" t="s">
        <v>584</v>
      </c>
      <c r="F3775" s="52" t="s">
        <v>581</v>
      </c>
      <c r="G3775" s="195" t="s">
        <v>275</v>
      </c>
      <c r="H3775" s="195">
        <v>0.40295900000000001</v>
      </c>
      <c r="I3775" s="195">
        <v>0.102407</v>
      </c>
      <c r="J3775" s="195">
        <v>6.0566200000000001E-2</v>
      </c>
      <c r="K3775" s="195">
        <v>5.46262E-2</v>
      </c>
      <c r="L3775" s="195">
        <v>4.1688999999999997E-2</v>
      </c>
      <c r="M3775" s="195">
        <v>3.9578200000000001E-2</v>
      </c>
      <c r="N3775" s="195">
        <v>3.6445999999999999E-2</v>
      </c>
    </row>
    <row r="3776" spans="1:14" hidden="1" x14ac:dyDescent="0.35">
      <c r="A3776" s="52" t="s">
        <v>268</v>
      </c>
      <c r="B3776" s="52" t="s">
        <v>37</v>
      </c>
      <c r="C3776" s="52" t="s">
        <v>79</v>
      </c>
      <c r="D3776" s="52" t="s">
        <v>79</v>
      </c>
      <c r="E3776" s="52" t="s">
        <v>584</v>
      </c>
      <c r="F3776" s="52" t="s">
        <v>581</v>
      </c>
      <c r="G3776" s="195" t="s">
        <v>276</v>
      </c>
      <c r="H3776" s="195">
        <v>0.101427</v>
      </c>
      <c r="I3776" s="195">
        <v>4.4663999999999997E-3</v>
      </c>
      <c r="J3776" s="195">
        <v>1.61E-2</v>
      </c>
      <c r="K3776" s="195">
        <v>1.45206E-2</v>
      </c>
      <c r="L3776" s="195">
        <v>1.1082E-2</v>
      </c>
      <c r="M3776" s="195">
        <v>1.05206E-2</v>
      </c>
      <c r="N3776" s="195">
        <v>9.6880000000000004E-3</v>
      </c>
    </row>
    <row r="3777" spans="1:14" hidden="1" x14ac:dyDescent="0.35">
      <c r="A3777" s="52" t="s">
        <v>268</v>
      </c>
      <c r="B3777" s="52" t="s">
        <v>37</v>
      </c>
      <c r="C3777" s="52" t="s">
        <v>79</v>
      </c>
      <c r="D3777" s="52" t="s">
        <v>79</v>
      </c>
      <c r="E3777" s="52" t="s">
        <v>584</v>
      </c>
      <c r="F3777" s="52" t="s">
        <v>581</v>
      </c>
      <c r="G3777" s="195" t="s">
        <v>279</v>
      </c>
      <c r="H3777" s="195">
        <v>0.19778200000000001</v>
      </c>
      <c r="I3777" s="195">
        <v>0.12726560000000001</v>
      </c>
      <c r="J3777" s="195">
        <v>0.109264</v>
      </c>
      <c r="K3777" s="195">
        <v>0.102448</v>
      </c>
      <c r="L3777" s="195">
        <v>0.10559499999999999</v>
      </c>
      <c r="M3777" s="195">
        <v>9.6438990000000002E-2</v>
      </c>
      <c r="N3777" s="195">
        <v>8.8713600000000004E-2</v>
      </c>
    </row>
    <row r="3778" spans="1:14" hidden="1" x14ac:dyDescent="0.35">
      <c r="A3778" s="52" t="s">
        <v>268</v>
      </c>
      <c r="B3778" s="52" t="s">
        <v>37</v>
      </c>
      <c r="C3778" s="52" t="s">
        <v>79</v>
      </c>
      <c r="D3778" s="52" t="s">
        <v>79</v>
      </c>
      <c r="E3778" s="52" t="s">
        <v>584</v>
      </c>
      <c r="F3778" s="52" t="s">
        <v>26</v>
      </c>
      <c r="G3778" s="195" t="s">
        <v>275</v>
      </c>
      <c r="H3778" s="195">
        <v>-2.1738E-2</v>
      </c>
      <c r="I3778" s="195">
        <v>-4.2281399999999997E-2</v>
      </c>
      <c r="J3778" s="195">
        <v>-2.7456000000000001E-2</v>
      </c>
      <c r="K3778" s="195">
        <v>-3.0970000000000001E-2</v>
      </c>
      <c r="L3778" s="195">
        <v>-5.1096000000000003E-2</v>
      </c>
      <c r="M3778" s="195">
        <v>-4.5190599999999997E-2</v>
      </c>
      <c r="N3778" s="195">
        <v>-4.1382599999999999E-2</v>
      </c>
    </row>
    <row r="3779" spans="1:14" hidden="1" x14ac:dyDescent="0.35">
      <c r="A3779" s="52" t="s">
        <v>268</v>
      </c>
      <c r="B3779" s="52" t="s">
        <v>37</v>
      </c>
      <c r="C3779" s="52" t="s">
        <v>79</v>
      </c>
      <c r="D3779" s="52" t="s">
        <v>79</v>
      </c>
      <c r="E3779" s="52" t="s">
        <v>584</v>
      </c>
      <c r="F3779" s="52" t="s">
        <v>26</v>
      </c>
      <c r="G3779" s="195" t="s">
        <v>276</v>
      </c>
      <c r="H3779" s="195">
        <v>-5.7779989999999998E-3</v>
      </c>
      <c r="I3779" s="195">
        <v>-1.12394E-2</v>
      </c>
      <c r="J3779" s="195">
        <v>-7.2988000000000003E-3</v>
      </c>
      <c r="K3779" s="195">
        <v>-8.2319990000000003E-3</v>
      </c>
      <c r="L3779" s="195">
        <v>-1.35832E-2</v>
      </c>
      <c r="M3779" s="195">
        <v>-1.2012800000000001E-2</v>
      </c>
      <c r="N3779" s="195">
        <v>-1.0999999999999999E-2</v>
      </c>
    </row>
    <row r="3780" spans="1:14" hidden="1" x14ac:dyDescent="0.35">
      <c r="A3780" s="52" t="s">
        <v>268</v>
      </c>
      <c r="B3780" s="52" t="s">
        <v>37</v>
      </c>
      <c r="C3780" s="52" t="s">
        <v>79</v>
      </c>
      <c r="D3780" s="52" t="s">
        <v>79</v>
      </c>
      <c r="E3780" s="52" t="s">
        <v>584</v>
      </c>
      <c r="F3780" s="52" t="s">
        <v>26</v>
      </c>
      <c r="G3780" s="195" t="s">
        <v>279</v>
      </c>
      <c r="H3780" s="195">
        <v>0.47270600000000002</v>
      </c>
      <c r="I3780" s="195">
        <v>0.32707019999999998</v>
      </c>
      <c r="J3780" s="195">
        <v>0.2879216</v>
      </c>
      <c r="K3780" s="195">
        <v>0.2726864</v>
      </c>
      <c r="L3780" s="195">
        <v>0.27988439999999998</v>
      </c>
      <c r="M3780" s="195">
        <v>0.255967</v>
      </c>
      <c r="N3780" s="195">
        <v>0.23549120000000001</v>
      </c>
    </row>
    <row r="3781" spans="1:14" hidden="1" x14ac:dyDescent="0.35">
      <c r="A3781" s="52" t="s">
        <v>268</v>
      </c>
      <c r="B3781" s="52" t="s">
        <v>37</v>
      </c>
      <c r="C3781" s="52" t="s">
        <v>63</v>
      </c>
      <c r="D3781" s="52" t="s">
        <v>63</v>
      </c>
      <c r="E3781" s="52" t="s">
        <v>608</v>
      </c>
      <c r="F3781" s="52" t="s">
        <v>581</v>
      </c>
      <c r="G3781" s="195" t="s">
        <v>275</v>
      </c>
      <c r="H3781" s="195"/>
      <c r="I3781" s="195"/>
      <c r="J3781" s="195"/>
      <c r="K3781" s="195">
        <v>0</v>
      </c>
      <c r="L3781" s="195">
        <v>-6.1653999999999997E-3</v>
      </c>
      <c r="M3781" s="195">
        <v>-2.9646E-3</v>
      </c>
      <c r="N3781" s="195">
        <v>-2.7092000000000001E-3</v>
      </c>
    </row>
    <row r="3782" spans="1:14" hidden="1" x14ac:dyDescent="0.35">
      <c r="A3782" s="52" t="s">
        <v>268</v>
      </c>
      <c r="B3782" s="52" t="s">
        <v>37</v>
      </c>
      <c r="C3782" s="52" t="s">
        <v>63</v>
      </c>
      <c r="D3782" s="52" t="s">
        <v>63</v>
      </c>
      <c r="E3782" s="52" t="s">
        <v>608</v>
      </c>
      <c r="F3782" s="52" t="s">
        <v>581</v>
      </c>
      <c r="G3782" s="195" t="s">
        <v>276</v>
      </c>
      <c r="H3782" s="195"/>
      <c r="I3782" s="195"/>
      <c r="J3782" s="195"/>
      <c r="K3782" s="195">
        <v>0</v>
      </c>
      <c r="L3782" s="195">
        <v>-6.7759999999999999E-4</v>
      </c>
      <c r="M3782" s="195">
        <v>-1.1999999999999999E-3</v>
      </c>
      <c r="N3782" s="195">
        <v>-2.9760000000000002E-4</v>
      </c>
    </row>
    <row r="3783" spans="1:14" hidden="1" x14ac:dyDescent="0.35">
      <c r="A3783" s="52" t="s">
        <v>268</v>
      </c>
      <c r="B3783" s="52" t="s">
        <v>37</v>
      </c>
      <c r="C3783" s="52" t="s">
        <v>63</v>
      </c>
      <c r="D3783" s="52" t="s">
        <v>63</v>
      </c>
      <c r="E3783" s="52" t="s">
        <v>608</v>
      </c>
      <c r="F3783" s="52" t="s">
        <v>581</v>
      </c>
      <c r="G3783" s="195" t="s">
        <v>279</v>
      </c>
      <c r="H3783" s="195"/>
      <c r="I3783" s="195"/>
      <c r="J3783" s="195"/>
      <c r="K3783" s="195">
        <v>0</v>
      </c>
      <c r="L3783" s="195">
        <v>7.5918000000000001E-3</v>
      </c>
      <c r="M3783" s="195">
        <v>1.35844E-2</v>
      </c>
      <c r="N3783" s="195">
        <v>8.4078E-3</v>
      </c>
    </row>
    <row r="3784" spans="1:14" hidden="1" x14ac:dyDescent="0.35">
      <c r="A3784" s="52" t="s">
        <v>268</v>
      </c>
      <c r="B3784" s="52" t="s">
        <v>37</v>
      </c>
      <c r="C3784" s="52" t="s">
        <v>63</v>
      </c>
      <c r="D3784" s="52" t="s">
        <v>63</v>
      </c>
      <c r="E3784" s="52" t="s">
        <v>608</v>
      </c>
      <c r="F3784" s="52" t="s">
        <v>26</v>
      </c>
      <c r="G3784" s="195" t="s">
        <v>275</v>
      </c>
      <c r="H3784" s="195"/>
      <c r="I3784" s="195"/>
      <c r="J3784" s="195"/>
      <c r="K3784" s="195">
        <v>0</v>
      </c>
      <c r="L3784" s="195">
        <v>-1.3686</v>
      </c>
      <c r="M3784" s="195">
        <v>0.22708880000000001</v>
      </c>
      <c r="N3784" s="195">
        <v>0.13453200000000001</v>
      </c>
    </row>
    <row r="3785" spans="1:14" hidden="1" x14ac:dyDescent="0.35">
      <c r="A3785" s="52" t="s">
        <v>268</v>
      </c>
      <c r="B3785" s="52" t="s">
        <v>37</v>
      </c>
      <c r="C3785" s="52" t="s">
        <v>63</v>
      </c>
      <c r="D3785" s="52" t="s">
        <v>63</v>
      </c>
      <c r="E3785" s="52" t="s">
        <v>608</v>
      </c>
      <c r="F3785" s="52" t="s">
        <v>26</v>
      </c>
      <c r="G3785" s="195" t="s">
        <v>276</v>
      </c>
      <c r="H3785" s="195"/>
      <c r="I3785" s="195"/>
      <c r="J3785" s="195"/>
      <c r="K3785" s="195">
        <v>0</v>
      </c>
      <c r="L3785" s="195">
        <v>-2.84744E-2</v>
      </c>
      <c r="M3785" s="195">
        <v>1.70796E-2</v>
      </c>
      <c r="N3785" s="195">
        <v>-5.535E-3</v>
      </c>
    </row>
    <row r="3786" spans="1:14" hidden="1" x14ac:dyDescent="0.35">
      <c r="A3786" s="52" t="s">
        <v>268</v>
      </c>
      <c r="B3786" s="52" t="s">
        <v>37</v>
      </c>
      <c r="C3786" s="52" t="s">
        <v>63</v>
      </c>
      <c r="D3786" s="52" t="s">
        <v>63</v>
      </c>
      <c r="E3786" s="52" t="s">
        <v>608</v>
      </c>
      <c r="F3786" s="52" t="s">
        <v>26</v>
      </c>
      <c r="G3786" s="195" t="s">
        <v>277</v>
      </c>
      <c r="H3786" s="195"/>
      <c r="I3786" s="195"/>
      <c r="J3786" s="195"/>
      <c r="K3786" s="195">
        <v>0</v>
      </c>
      <c r="L3786" s="195">
        <v>0.42207020000000001</v>
      </c>
      <c r="M3786" s="195">
        <v>0</v>
      </c>
      <c r="N3786" s="195">
        <v>0</v>
      </c>
    </row>
    <row r="3787" spans="1:14" hidden="1" x14ac:dyDescent="0.35">
      <c r="A3787" s="52" t="s">
        <v>268</v>
      </c>
      <c r="B3787" s="52" t="s">
        <v>37</v>
      </c>
      <c r="C3787" s="52" t="s">
        <v>63</v>
      </c>
      <c r="D3787" s="52" t="s">
        <v>63</v>
      </c>
      <c r="E3787" s="52" t="s">
        <v>608</v>
      </c>
      <c r="F3787" s="52" t="s">
        <v>26</v>
      </c>
      <c r="G3787" s="195" t="s">
        <v>278</v>
      </c>
      <c r="H3787" s="195"/>
      <c r="I3787" s="195"/>
      <c r="J3787" s="195"/>
      <c r="K3787" s="195">
        <v>0</v>
      </c>
      <c r="L3787" s="195">
        <v>0.87229520000000005</v>
      </c>
      <c r="M3787" s="195">
        <v>0</v>
      </c>
      <c r="N3787" s="195"/>
    </row>
    <row r="3788" spans="1:14" hidden="1" x14ac:dyDescent="0.35">
      <c r="A3788" s="52" t="s">
        <v>268</v>
      </c>
      <c r="B3788" s="52" t="s">
        <v>37</v>
      </c>
      <c r="C3788" s="52" t="s">
        <v>63</v>
      </c>
      <c r="D3788" s="52" t="s">
        <v>63</v>
      </c>
      <c r="E3788" s="52" t="s">
        <v>608</v>
      </c>
      <c r="F3788" s="52" t="s">
        <v>26</v>
      </c>
      <c r="G3788" s="195" t="s">
        <v>279</v>
      </c>
      <c r="H3788" s="195"/>
      <c r="I3788" s="195"/>
      <c r="J3788" s="195"/>
      <c r="K3788" s="195">
        <v>0</v>
      </c>
      <c r="L3788" s="195">
        <v>0.18130099999999999</v>
      </c>
      <c r="M3788" s="195">
        <v>0.74202400000000002</v>
      </c>
      <c r="N3788" s="195">
        <v>0.43682300000000002</v>
      </c>
    </row>
    <row r="3789" spans="1:14" hidden="1" x14ac:dyDescent="0.35">
      <c r="A3789" s="52" t="s">
        <v>268</v>
      </c>
      <c r="B3789" s="52" t="s">
        <v>37</v>
      </c>
      <c r="C3789" s="52" t="s">
        <v>251</v>
      </c>
      <c r="D3789" s="52" t="s">
        <v>251</v>
      </c>
      <c r="E3789" s="52" t="s">
        <v>584</v>
      </c>
      <c r="F3789" s="52" t="s">
        <v>581</v>
      </c>
      <c r="G3789" s="195" t="s">
        <v>275</v>
      </c>
      <c r="H3789" s="195">
        <v>1.5141E-2</v>
      </c>
      <c r="I3789" s="195">
        <v>-2.4090000000000001E-3</v>
      </c>
      <c r="J3789" s="195">
        <v>8.3999999999999995E-5</v>
      </c>
      <c r="K3789" s="195">
        <v>-10.837149999999999</v>
      </c>
      <c r="L3789" s="195">
        <v>5.4000009999999999E-5</v>
      </c>
      <c r="M3789" s="195">
        <v>0</v>
      </c>
      <c r="N3789" s="195"/>
    </row>
    <row r="3790" spans="1:14" hidden="1" x14ac:dyDescent="0.35">
      <c r="A3790" s="52" t="s">
        <v>268</v>
      </c>
      <c r="B3790" s="52" t="s">
        <v>37</v>
      </c>
      <c r="C3790" s="52" t="s">
        <v>251</v>
      </c>
      <c r="D3790" s="52" t="s">
        <v>251</v>
      </c>
      <c r="E3790" s="52" t="s">
        <v>584</v>
      </c>
      <c r="F3790" s="52" t="s">
        <v>581</v>
      </c>
      <c r="G3790" s="195" t="s">
        <v>276</v>
      </c>
      <c r="H3790" s="195">
        <v>3.7659999999999998E-3</v>
      </c>
      <c r="I3790" s="195">
        <v>-1.06E-4</v>
      </c>
      <c r="J3790" s="195">
        <v>-8.3999999999999995E-5</v>
      </c>
      <c r="K3790" s="195">
        <v>-2.8808470000000002</v>
      </c>
      <c r="L3790" s="195">
        <v>-5.4000009999999999E-5</v>
      </c>
      <c r="M3790" s="195">
        <v>0</v>
      </c>
      <c r="N3790" s="195"/>
    </row>
    <row r="3791" spans="1:14" hidden="1" x14ac:dyDescent="0.35">
      <c r="A3791" s="52" t="s">
        <v>268</v>
      </c>
      <c r="B3791" s="52" t="s">
        <v>37</v>
      </c>
      <c r="C3791" s="52" t="s">
        <v>251</v>
      </c>
      <c r="D3791" s="52" t="s">
        <v>251</v>
      </c>
      <c r="E3791" s="52" t="s">
        <v>584</v>
      </c>
      <c r="F3791" s="52" t="s">
        <v>581</v>
      </c>
      <c r="G3791" s="195" t="s">
        <v>278</v>
      </c>
      <c r="H3791" s="195">
        <v>0</v>
      </c>
      <c r="I3791" s="195">
        <v>2.5149999999999999E-3</v>
      </c>
      <c r="J3791" s="195">
        <v>0</v>
      </c>
      <c r="K3791" s="195"/>
      <c r="L3791" s="195"/>
      <c r="M3791" s="195"/>
      <c r="N3791" s="195"/>
    </row>
    <row r="3792" spans="1:14" hidden="1" x14ac:dyDescent="0.35">
      <c r="A3792" s="52" t="s">
        <v>268</v>
      </c>
      <c r="B3792" s="52" t="s">
        <v>37</v>
      </c>
      <c r="C3792" s="52" t="s">
        <v>251</v>
      </c>
      <c r="D3792" s="52" t="s">
        <v>251</v>
      </c>
      <c r="E3792" s="52" t="s">
        <v>584</v>
      </c>
      <c r="F3792" s="52" t="s">
        <v>581</v>
      </c>
      <c r="G3792" s="195" t="s">
        <v>279</v>
      </c>
      <c r="H3792" s="195">
        <v>1.149E-2</v>
      </c>
      <c r="I3792" s="195">
        <v>0</v>
      </c>
      <c r="J3792" s="195">
        <v>0</v>
      </c>
      <c r="K3792" s="195">
        <v>13.718</v>
      </c>
      <c r="L3792" s="195"/>
      <c r="M3792" s="195">
        <v>0</v>
      </c>
      <c r="N3792" s="195"/>
    </row>
    <row r="3793" spans="1:14" hidden="1" x14ac:dyDescent="0.35">
      <c r="A3793" s="52" t="s">
        <v>268</v>
      </c>
      <c r="B3793" s="52" t="s">
        <v>37</v>
      </c>
      <c r="C3793" s="52" t="s">
        <v>251</v>
      </c>
      <c r="D3793" s="52" t="s">
        <v>251</v>
      </c>
      <c r="E3793" s="52" t="s">
        <v>584</v>
      </c>
      <c r="F3793" s="52" t="s">
        <v>26</v>
      </c>
      <c r="G3793" s="195" t="s">
        <v>275</v>
      </c>
      <c r="H3793" s="195">
        <v>8.0832009999999996E-2</v>
      </c>
      <c r="I3793" s="195">
        <v>1.9123999999999999E-2</v>
      </c>
      <c r="J3793" s="195">
        <v>-1.48238E-2</v>
      </c>
      <c r="K3793" s="195">
        <v>-12.643689999999999</v>
      </c>
      <c r="L3793" s="195">
        <v>0</v>
      </c>
      <c r="M3793" s="195"/>
      <c r="N3793" s="195"/>
    </row>
    <row r="3794" spans="1:14" hidden="1" x14ac:dyDescent="0.35">
      <c r="A3794" s="52" t="s">
        <v>268</v>
      </c>
      <c r="B3794" s="52" t="s">
        <v>37</v>
      </c>
      <c r="C3794" s="52" t="s">
        <v>251</v>
      </c>
      <c r="D3794" s="52" t="s">
        <v>251</v>
      </c>
      <c r="E3794" s="52" t="s">
        <v>584</v>
      </c>
      <c r="F3794" s="52" t="s">
        <v>26</v>
      </c>
      <c r="G3794" s="195" t="s">
        <v>276</v>
      </c>
      <c r="H3794" s="195">
        <v>-0.151918</v>
      </c>
      <c r="I3794" s="195">
        <v>-0.1234722</v>
      </c>
      <c r="J3794" s="195">
        <v>-7.2868409999999995E-2</v>
      </c>
      <c r="K3794" s="195">
        <v>-3.4228499999999999</v>
      </c>
      <c r="L3794" s="195"/>
      <c r="M3794" s="195"/>
      <c r="N3794" s="195"/>
    </row>
    <row r="3795" spans="1:14" hidden="1" x14ac:dyDescent="0.35">
      <c r="A3795" s="52" t="s">
        <v>268</v>
      </c>
      <c r="B3795" s="52" t="s">
        <v>37</v>
      </c>
      <c r="C3795" s="52" t="s">
        <v>251</v>
      </c>
      <c r="D3795" s="52" t="s">
        <v>251</v>
      </c>
      <c r="E3795" s="52" t="s">
        <v>584</v>
      </c>
      <c r="F3795" s="52" t="s">
        <v>26</v>
      </c>
      <c r="G3795" s="195" t="s">
        <v>277</v>
      </c>
      <c r="H3795" s="195">
        <v>0</v>
      </c>
      <c r="I3795" s="195"/>
      <c r="J3795" s="195">
        <v>0</v>
      </c>
      <c r="K3795" s="195"/>
      <c r="L3795" s="195"/>
      <c r="M3795" s="195"/>
      <c r="N3795" s="195"/>
    </row>
    <row r="3796" spans="1:14" hidden="1" x14ac:dyDescent="0.35">
      <c r="A3796" s="52" t="s">
        <v>268</v>
      </c>
      <c r="B3796" s="52" t="s">
        <v>37</v>
      </c>
      <c r="C3796" s="52" t="s">
        <v>251</v>
      </c>
      <c r="D3796" s="52" t="s">
        <v>251</v>
      </c>
      <c r="E3796" s="52" t="s">
        <v>584</v>
      </c>
      <c r="F3796" s="52" t="s">
        <v>26</v>
      </c>
      <c r="G3796" s="195" t="s">
        <v>279</v>
      </c>
      <c r="H3796" s="195">
        <v>0.60125010000000001</v>
      </c>
      <c r="I3796" s="195">
        <v>0.51016839999999997</v>
      </c>
      <c r="J3796" s="195">
        <v>0.49786399999999997</v>
      </c>
      <c r="K3796" s="195">
        <v>16.06654</v>
      </c>
      <c r="L3796" s="195"/>
      <c r="M3796" s="195">
        <v>0</v>
      </c>
      <c r="N3796" s="195"/>
    </row>
    <row r="3797" spans="1:14" hidden="1" x14ac:dyDescent="0.35">
      <c r="A3797" s="52" t="s">
        <v>268</v>
      </c>
      <c r="B3797" s="52" t="s">
        <v>37</v>
      </c>
      <c r="C3797" s="52" t="s">
        <v>205</v>
      </c>
      <c r="D3797" s="52" t="s">
        <v>205</v>
      </c>
      <c r="E3797" s="52" t="s">
        <v>611</v>
      </c>
      <c r="F3797" s="52" t="s">
        <v>581</v>
      </c>
      <c r="G3797" s="195" t="s">
        <v>275</v>
      </c>
      <c r="H3797" s="195"/>
      <c r="I3797" s="195"/>
      <c r="J3797" s="195"/>
      <c r="K3797" s="195"/>
      <c r="L3797" s="195">
        <v>0</v>
      </c>
      <c r="M3797" s="195">
        <v>0</v>
      </c>
      <c r="N3797" s="195">
        <v>0</v>
      </c>
    </row>
    <row r="3798" spans="1:14" hidden="1" x14ac:dyDescent="0.35">
      <c r="A3798" s="52" t="s">
        <v>268</v>
      </c>
      <c r="B3798" s="52" t="s">
        <v>37</v>
      </c>
      <c r="C3798" s="52" t="s">
        <v>118</v>
      </c>
      <c r="D3798" s="52" t="s">
        <v>118</v>
      </c>
      <c r="E3798" s="52" t="s">
        <v>659</v>
      </c>
      <c r="F3798" s="52" t="s">
        <v>581</v>
      </c>
      <c r="G3798" s="195" t="s">
        <v>275</v>
      </c>
      <c r="H3798" s="195"/>
      <c r="I3798" s="195"/>
      <c r="J3798" s="195"/>
      <c r="K3798" s="195">
        <v>0</v>
      </c>
      <c r="L3798" s="195">
        <v>0</v>
      </c>
      <c r="M3798" s="195">
        <v>0</v>
      </c>
      <c r="N3798" s="195">
        <v>0</v>
      </c>
    </row>
    <row r="3799" spans="1:14" hidden="1" x14ac:dyDescent="0.35">
      <c r="A3799" s="52" t="s">
        <v>268</v>
      </c>
      <c r="B3799" s="52" t="s">
        <v>37</v>
      </c>
      <c r="C3799" s="52" t="s">
        <v>118</v>
      </c>
      <c r="D3799" s="52" t="s">
        <v>118</v>
      </c>
      <c r="E3799" s="52" t="s">
        <v>659</v>
      </c>
      <c r="F3799" s="52" t="s">
        <v>581</v>
      </c>
      <c r="G3799" s="195" t="s">
        <v>276</v>
      </c>
      <c r="H3799" s="195"/>
      <c r="I3799" s="195"/>
      <c r="J3799" s="195"/>
      <c r="K3799" s="195">
        <v>0</v>
      </c>
      <c r="L3799" s="195">
        <v>0</v>
      </c>
      <c r="M3799" s="195">
        <v>0</v>
      </c>
      <c r="N3799" s="195">
        <v>0</v>
      </c>
    </row>
    <row r="3800" spans="1:14" hidden="1" x14ac:dyDescent="0.35">
      <c r="A3800" s="52" t="s">
        <v>268</v>
      </c>
      <c r="B3800" s="52" t="s">
        <v>37</v>
      </c>
      <c r="C3800" s="52" t="s">
        <v>205</v>
      </c>
      <c r="D3800" s="52" t="s">
        <v>205</v>
      </c>
      <c r="E3800" s="52" t="s">
        <v>611</v>
      </c>
      <c r="F3800" s="52" t="s">
        <v>581</v>
      </c>
      <c r="G3800" s="195" t="s">
        <v>279</v>
      </c>
      <c r="H3800" s="195"/>
      <c r="I3800" s="195"/>
      <c r="J3800" s="195"/>
      <c r="K3800" s="195"/>
      <c r="L3800" s="195">
        <v>0</v>
      </c>
      <c r="M3800" s="195">
        <v>0</v>
      </c>
      <c r="N3800" s="195">
        <v>0</v>
      </c>
    </row>
    <row r="3801" spans="1:14" hidden="1" x14ac:dyDescent="0.35">
      <c r="A3801" s="52" t="s">
        <v>268</v>
      </c>
      <c r="B3801" s="52" t="s">
        <v>37</v>
      </c>
      <c r="C3801" s="52" t="s">
        <v>118</v>
      </c>
      <c r="D3801" s="52" t="s">
        <v>118</v>
      </c>
      <c r="E3801" s="52" t="s">
        <v>659</v>
      </c>
      <c r="F3801" s="52" t="s">
        <v>581</v>
      </c>
      <c r="G3801" s="195" t="s">
        <v>279</v>
      </c>
      <c r="H3801" s="195"/>
      <c r="I3801" s="195"/>
      <c r="J3801" s="195"/>
      <c r="K3801" s="195">
        <v>0</v>
      </c>
      <c r="L3801" s="195">
        <v>0</v>
      </c>
      <c r="M3801" s="195">
        <v>0</v>
      </c>
      <c r="N3801" s="195">
        <v>0</v>
      </c>
    </row>
    <row r="3802" spans="1:14" hidden="1" x14ac:dyDescent="0.35">
      <c r="A3802" s="52" t="s">
        <v>268</v>
      </c>
      <c r="B3802" s="52" t="s">
        <v>37</v>
      </c>
      <c r="C3802" s="52" t="s">
        <v>205</v>
      </c>
      <c r="D3802" s="52" t="s">
        <v>205</v>
      </c>
      <c r="E3802" s="52" t="s">
        <v>611</v>
      </c>
      <c r="F3802" s="52" t="s">
        <v>26</v>
      </c>
      <c r="G3802" s="195" t="s">
        <v>275</v>
      </c>
      <c r="H3802" s="195"/>
      <c r="I3802" s="195"/>
      <c r="J3802" s="195"/>
      <c r="K3802" s="195"/>
      <c r="L3802" s="195">
        <v>0</v>
      </c>
      <c r="M3802" s="195">
        <v>0</v>
      </c>
      <c r="N3802" s="195">
        <v>0</v>
      </c>
    </row>
    <row r="3803" spans="1:14" hidden="1" x14ac:dyDescent="0.35">
      <c r="A3803" s="52" t="s">
        <v>268</v>
      </c>
      <c r="B3803" s="52" t="s">
        <v>37</v>
      </c>
      <c r="C3803" s="52" t="s">
        <v>118</v>
      </c>
      <c r="D3803" s="52" t="s">
        <v>118</v>
      </c>
      <c r="E3803" s="52" t="s">
        <v>659</v>
      </c>
      <c r="F3803" s="52" t="s">
        <v>26</v>
      </c>
      <c r="G3803" s="195" t="s">
        <v>275</v>
      </c>
      <c r="H3803" s="195"/>
      <c r="I3803" s="195"/>
      <c r="J3803" s="195"/>
      <c r="K3803" s="195">
        <v>0</v>
      </c>
      <c r="L3803" s="195">
        <v>0</v>
      </c>
      <c r="M3803" s="195">
        <v>0</v>
      </c>
      <c r="N3803" s="195">
        <v>0</v>
      </c>
    </row>
    <row r="3804" spans="1:14" hidden="1" x14ac:dyDescent="0.35">
      <c r="A3804" s="52" t="s">
        <v>268</v>
      </c>
      <c r="B3804" s="52" t="s">
        <v>37</v>
      </c>
      <c r="C3804" s="52" t="s">
        <v>118</v>
      </c>
      <c r="D3804" s="52" t="s">
        <v>118</v>
      </c>
      <c r="E3804" s="52" t="s">
        <v>659</v>
      </c>
      <c r="F3804" s="52" t="s">
        <v>26</v>
      </c>
      <c r="G3804" s="195" t="s">
        <v>276</v>
      </c>
      <c r="H3804" s="195"/>
      <c r="I3804" s="195"/>
      <c r="J3804" s="195"/>
      <c r="K3804" s="195">
        <v>0</v>
      </c>
      <c r="L3804" s="195">
        <v>0</v>
      </c>
      <c r="M3804" s="195">
        <v>0</v>
      </c>
      <c r="N3804" s="195">
        <v>0</v>
      </c>
    </row>
    <row r="3805" spans="1:14" hidden="1" x14ac:dyDescent="0.35">
      <c r="A3805" s="52" t="s">
        <v>268</v>
      </c>
      <c r="B3805" s="52" t="s">
        <v>37</v>
      </c>
      <c r="C3805" s="52" t="s">
        <v>205</v>
      </c>
      <c r="D3805" s="52" t="s">
        <v>205</v>
      </c>
      <c r="E3805" s="52" t="s">
        <v>611</v>
      </c>
      <c r="F3805" s="52" t="s">
        <v>26</v>
      </c>
      <c r="G3805" s="195" t="s">
        <v>277</v>
      </c>
      <c r="H3805" s="195"/>
      <c r="I3805" s="195"/>
      <c r="J3805" s="195"/>
      <c r="K3805" s="195"/>
      <c r="L3805" s="195">
        <v>0</v>
      </c>
      <c r="M3805" s="195">
        <v>0</v>
      </c>
      <c r="N3805" s="195">
        <v>0</v>
      </c>
    </row>
    <row r="3806" spans="1:14" hidden="1" x14ac:dyDescent="0.35">
      <c r="A3806" s="52" t="s">
        <v>268</v>
      </c>
      <c r="B3806" s="52" t="s">
        <v>37</v>
      </c>
      <c r="C3806" s="52" t="s">
        <v>118</v>
      </c>
      <c r="D3806" s="52" t="s">
        <v>118</v>
      </c>
      <c r="E3806" s="52" t="s">
        <v>659</v>
      </c>
      <c r="F3806" s="52" t="s">
        <v>26</v>
      </c>
      <c r="G3806" s="195" t="s">
        <v>277</v>
      </c>
      <c r="H3806" s="195"/>
      <c r="I3806" s="195"/>
      <c r="J3806" s="195"/>
      <c r="K3806" s="195">
        <v>0</v>
      </c>
      <c r="L3806" s="195">
        <v>0</v>
      </c>
      <c r="M3806" s="195">
        <v>0</v>
      </c>
      <c r="N3806" s="195">
        <v>0</v>
      </c>
    </row>
    <row r="3807" spans="1:14" hidden="1" x14ac:dyDescent="0.35">
      <c r="A3807" s="52" t="s">
        <v>268</v>
      </c>
      <c r="B3807" s="52" t="s">
        <v>37</v>
      </c>
      <c r="C3807" s="52" t="s">
        <v>205</v>
      </c>
      <c r="D3807" s="52" t="s">
        <v>205</v>
      </c>
      <c r="E3807" s="52" t="s">
        <v>611</v>
      </c>
      <c r="F3807" s="52" t="s">
        <v>26</v>
      </c>
      <c r="G3807" s="195" t="s">
        <v>279</v>
      </c>
      <c r="H3807" s="195"/>
      <c r="I3807" s="195"/>
      <c r="J3807" s="195"/>
      <c r="K3807" s="195"/>
      <c r="L3807" s="195">
        <v>0</v>
      </c>
      <c r="M3807" s="195">
        <v>0</v>
      </c>
      <c r="N3807" s="195">
        <v>0</v>
      </c>
    </row>
    <row r="3808" spans="1:14" hidden="1" x14ac:dyDescent="0.35">
      <c r="A3808" s="52" t="s">
        <v>268</v>
      </c>
      <c r="B3808" s="52" t="s">
        <v>37</v>
      </c>
      <c r="C3808" s="52" t="s">
        <v>118</v>
      </c>
      <c r="D3808" s="52" t="s">
        <v>118</v>
      </c>
      <c r="E3808" s="52" t="s">
        <v>659</v>
      </c>
      <c r="F3808" s="52" t="s">
        <v>26</v>
      </c>
      <c r="G3808" s="195" t="s">
        <v>279</v>
      </c>
      <c r="H3808" s="195"/>
      <c r="I3808" s="195"/>
      <c r="J3808" s="195"/>
      <c r="K3808" s="195">
        <v>0</v>
      </c>
      <c r="L3808" s="195">
        <v>0</v>
      </c>
      <c r="M3808" s="195">
        <v>0</v>
      </c>
      <c r="N3808" s="195">
        <v>0</v>
      </c>
    </row>
    <row r="3809" spans="1:14" hidden="1" x14ac:dyDescent="0.35">
      <c r="A3809" s="52" t="s">
        <v>684</v>
      </c>
      <c r="B3809" s="52" t="s">
        <v>245</v>
      </c>
      <c r="C3809" s="52" t="s">
        <v>244</v>
      </c>
      <c r="D3809" s="52" t="s">
        <v>244</v>
      </c>
      <c r="E3809" s="52" t="s">
        <v>584</v>
      </c>
      <c r="F3809" s="52" t="s">
        <v>581</v>
      </c>
      <c r="G3809" s="195" t="s">
        <v>275</v>
      </c>
      <c r="H3809" s="195">
        <v>-3.1247579999999999</v>
      </c>
      <c r="I3809" s="195">
        <v>8.4993309999999997</v>
      </c>
      <c r="J3809" s="195">
        <v>-6.5663419999999997</v>
      </c>
      <c r="K3809" s="195">
        <v>17.712140000000002</v>
      </c>
      <c r="L3809" s="195">
        <v>16.34273</v>
      </c>
      <c r="M3809" s="195">
        <v>12.13855</v>
      </c>
      <c r="N3809" s="195">
        <v>10.7544</v>
      </c>
    </row>
    <row r="3810" spans="1:14" hidden="1" x14ac:dyDescent="0.35">
      <c r="A3810" s="52" t="s">
        <v>684</v>
      </c>
      <c r="B3810" s="52" t="s">
        <v>245</v>
      </c>
      <c r="C3810" s="52" t="s">
        <v>244</v>
      </c>
      <c r="D3810" s="52" t="s">
        <v>244</v>
      </c>
      <c r="E3810" s="52" t="s">
        <v>584</v>
      </c>
      <c r="F3810" s="52" t="s">
        <v>581</v>
      </c>
      <c r="G3810" s="195" t="s">
        <v>276</v>
      </c>
      <c r="H3810" s="195">
        <v>1.2554259999999999</v>
      </c>
      <c r="I3810" s="195">
        <v>0.4036189</v>
      </c>
      <c r="J3810" s="195">
        <v>2.3467220000000002</v>
      </c>
      <c r="K3810" s="195">
        <v>2.981166</v>
      </c>
      <c r="L3810" s="195">
        <v>2.1904430000000001</v>
      </c>
      <c r="M3810" s="195">
        <v>4.3923690000000004</v>
      </c>
      <c r="N3810" s="195">
        <v>5.9402489999999997</v>
      </c>
    </row>
    <row r="3811" spans="1:14" hidden="1" x14ac:dyDescent="0.35">
      <c r="A3811" s="52" t="s">
        <v>684</v>
      </c>
      <c r="B3811" s="52" t="s">
        <v>245</v>
      </c>
      <c r="C3811" s="52" t="s">
        <v>244</v>
      </c>
      <c r="D3811" s="52" t="s">
        <v>244</v>
      </c>
      <c r="E3811" s="52" t="s">
        <v>584</v>
      </c>
      <c r="F3811" s="52" t="s">
        <v>581</v>
      </c>
      <c r="G3811" s="195" t="s">
        <v>277</v>
      </c>
      <c r="H3811" s="195">
        <v>7.4568940000000001</v>
      </c>
      <c r="I3811" s="195">
        <v>2.7487020000000001E-2</v>
      </c>
      <c r="J3811" s="195">
        <v>24.787500000000001</v>
      </c>
      <c r="K3811" s="195">
        <v>0.34914539999999999</v>
      </c>
      <c r="L3811" s="195">
        <v>1.6699269999999999</v>
      </c>
      <c r="M3811" s="195">
        <v>5.8982970000000003</v>
      </c>
      <c r="N3811" s="195">
        <v>4.8313360000000003</v>
      </c>
    </row>
    <row r="3812" spans="1:14" hidden="1" x14ac:dyDescent="0.35">
      <c r="A3812" s="52" t="s">
        <v>684</v>
      </c>
      <c r="B3812" s="52" t="s">
        <v>245</v>
      </c>
      <c r="C3812" s="52" t="s">
        <v>244</v>
      </c>
      <c r="D3812" s="52" t="s">
        <v>244</v>
      </c>
      <c r="E3812" s="52" t="s">
        <v>584</v>
      </c>
      <c r="F3812" s="52" t="s">
        <v>581</v>
      </c>
      <c r="G3812" s="195" t="s">
        <v>278</v>
      </c>
      <c r="H3812" s="195">
        <v>3.4936250000000002E-2</v>
      </c>
      <c r="I3812" s="195">
        <v>3.4936250000000002E-2</v>
      </c>
      <c r="J3812" s="195">
        <v>3.4936250000000002E-2</v>
      </c>
      <c r="K3812" s="195">
        <v>3.4936250000000002E-2</v>
      </c>
      <c r="L3812" s="195">
        <v>1.7172909999999999</v>
      </c>
      <c r="M3812" s="195">
        <v>0.29030299999999998</v>
      </c>
      <c r="N3812" s="195">
        <v>3.4936250000000002E-2</v>
      </c>
    </row>
    <row r="3813" spans="1:14" hidden="1" x14ac:dyDescent="0.35">
      <c r="A3813" s="52" t="s">
        <v>684</v>
      </c>
      <c r="B3813" s="52" t="s">
        <v>245</v>
      </c>
      <c r="C3813" s="52" t="s">
        <v>244</v>
      </c>
      <c r="D3813" s="52" t="s">
        <v>244</v>
      </c>
      <c r="E3813" s="52" t="s">
        <v>584</v>
      </c>
      <c r="F3813" s="52" t="s">
        <v>581</v>
      </c>
      <c r="G3813" s="195" t="s">
        <v>279</v>
      </c>
      <c r="H3813" s="195">
        <v>0.56453089999999995</v>
      </c>
      <c r="I3813" s="195">
        <v>1.3832709999999999</v>
      </c>
      <c r="J3813" s="195">
        <v>3.3967350000000001</v>
      </c>
      <c r="K3813" s="195">
        <v>3.8726600000000002</v>
      </c>
      <c r="L3813" s="195">
        <v>4.1596489999999999</v>
      </c>
      <c r="M3813" s="195">
        <v>4.4048049999999996</v>
      </c>
      <c r="N3813" s="195">
        <v>4.1392829999999998</v>
      </c>
    </row>
    <row r="3814" spans="1:14" hidden="1" x14ac:dyDescent="0.35">
      <c r="A3814" s="52" t="s">
        <v>684</v>
      </c>
      <c r="B3814" s="52" t="s">
        <v>245</v>
      </c>
      <c r="C3814" s="52" t="s">
        <v>244</v>
      </c>
      <c r="D3814" s="52" t="s">
        <v>244</v>
      </c>
      <c r="E3814" s="52" t="s">
        <v>584</v>
      </c>
      <c r="F3814" s="52" t="s">
        <v>26</v>
      </c>
      <c r="G3814" s="195" t="s">
        <v>275</v>
      </c>
      <c r="H3814" s="195">
        <v>-312.2749</v>
      </c>
      <c r="I3814" s="195">
        <v>748.48270000000002</v>
      </c>
      <c r="J3814" s="195">
        <v>665.74019999999996</v>
      </c>
      <c r="K3814" s="195">
        <v>849.57449999999994</v>
      </c>
      <c r="L3814" s="195">
        <v>585.20799999999997</v>
      </c>
      <c r="M3814" s="195">
        <v>356.43360000000001</v>
      </c>
      <c r="N3814" s="195">
        <v>494.13290000000001</v>
      </c>
    </row>
    <row r="3815" spans="1:14" hidden="1" x14ac:dyDescent="0.35">
      <c r="A3815" s="52" t="s">
        <v>684</v>
      </c>
      <c r="B3815" s="52" t="s">
        <v>245</v>
      </c>
      <c r="C3815" s="52" t="s">
        <v>244</v>
      </c>
      <c r="D3815" s="52" t="s">
        <v>244</v>
      </c>
      <c r="E3815" s="52" t="s">
        <v>584</v>
      </c>
      <c r="F3815" s="52" t="s">
        <v>26</v>
      </c>
      <c r="G3815" s="195" t="s">
        <v>276</v>
      </c>
      <c r="H3815" s="195">
        <v>68.131249999999994</v>
      </c>
      <c r="I3815" s="195">
        <v>76.180790000000002</v>
      </c>
      <c r="J3815" s="195">
        <v>208.50659999999999</v>
      </c>
      <c r="K3815" s="195">
        <v>300.31369999999998</v>
      </c>
      <c r="L3815" s="195">
        <v>355.45179999999999</v>
      </c>
      <c r="M3815" s="195">
        <v>403.4348</v>
      </c>
      <c r="N3815" s="195">
        <v>473.70359999999999</v>
      </c>
    </row>
    <row r="3816" spans="1:14" hidden="1" x14ac:dyDescent="0.35">
      <c r="A3816" s="52" t="s">
        <v>684</v>
      </c>
      <c r="B3816" s="52" t="s">
        <v>245</v>
      </c>
      <c r="C3816" s="52" t="s">
        <v>244</v>
      </c>
      <c r="D3816" s="52" t="s">
        <v>244</v>
      </c>
      <c r="E3816" s="52" t="s">
        <v>584</v>
      </c>
      <c r="F3816" s="52" t="s">
        <v>26</v>
      </c>
      <c r="G3816" s="195" t="s">
        <v>277</v>
      </c>
      <c r="H3816" s="195">
        <v>575.61620000000005</v>
      </c>
      <c r="I3816" s="195">
        <v>87.703869999999995</v>
      </c>
      <c r="J3816" s="195">
        <v>294.4649</v>
      </c>
      <c r="K3816" s="195">
        <v>42.775010000000002</v>
      </c>
      <c r="L3816" s="195">
        <v>293.11759999999998</v>
      </c>
      <c r="M3816" s="195">
        <v>516.18399999999997</v>
      </c>
      <c r="N3816" s="195">
        <v>358.35399999999998</v>
      </c>
    </row>
    <row r="3817" spans="1:14" hidden="1" x14ac:dyDescent="0.35">
      <c r="A3817" s="52" t="s">
        <v>684</v>
      </c>
      <c r="B3817" s="52" t="s">
        <v>245</v>
      </c>
      <c r="C3817" s="52" t="s">
        <v>244</v>
      </c>
      <c r="D3817" s="52" t="s">
        <v>244</v>
      </c>
      <c r="E3817" s="52" t="s">
        <v>584</v>
      </c>
      <c r="F3817" s="52" t="s">
        <v>26</v>
      </c>
      <c r="G3817" s="195" t="s">
        <v>278</v>
      </c>
      <c r="H3817" s="195">
        <v>0.29402739999999999</v>
      </c>
      <c r="I3817" s="195">
        <v>0.26486130000000002</v>
      </c>
      <c r="J3817" s="195">
        <v>0.19682230000000001</v>
      </c>
      <c r="K3817" s="195">
        <v>5.0205489999999999</v>
      </c>
      <c r="L3817" s="195">
        <v>5.3131979999999999</v>
      </c>
      <c r="M3817" s="195">
        <v>4.4870760000000004E-3</v>
      </c>
      <c r="N3817" s="195">
        <v>4.4870760000000004E-3</v>
      </c>
    </row>
    <row r="3818" spans="1:14" hidden="1" x14ac:dyDescent="0.35">
      <c r="A3818" s="52" t="s">
        <v>684</v>
      </c>
      <c r="B3818" s="52" t="s">
        <v>245</v>
      </c>
      <c r="C3818" s="52" t="s">
        <v>244</v>
      </c>
      <c r="D3818" s="52" t="s">
        <v>244</v>
      </c>
      <c r="E3818" s="52" t="s">
        <v>584</v>
      </c>
      <c r="F3818" s="52" t="s">
        <v>26</v>
      </c>
      <c r="G3818" s="195" t="s">
        <v>279</v>
      </c>
      <c r="H3818" s="195">
        <v>65.466909999999999</v>
      </c>
      <c r="I3818" s="195">
        <v>102.708</v>
      </c>
      <c r="J3818" s="195">
        <v>124.8746</v>
      </c>
      <c r="K3818" s="195">
        <v>140.49539999999999</v>
      </c>
      <c r="L3818" s="195">
        <v>147.50729999999999</v>
      </c>
      <c r="M3818" s="195">
        <v>153.0898</v>
      </c>
      <c r="N3818" s="195">
        <v>160.3827</v>
      </c>
    </row>
    <row r="3819" spans="1:14" hidden="1" x14ac:dyDescent="0.35">
      <c r="A3819" s="52" t="s">
        <v>684</v>
      </c>
      <c r="B3819" s="52" t="s">
        <v>245</v>
      </c>
      <c r="C3819" s="52" t="s">
        <v>247</v>
      </c>
      <c r="D3819" s="52" t="s">
        <v>247</v>
      </c>
      <c r="E3819" s="52" t="s">
        <v>584</v>
      </c>
      <c r="F3819" s="52" t="s">
        <v>26</v>
      </c>
      <c r="G3819" s="195" t="s">
        <v>275</v>
      </c>
      <c r="H3819" s="195">
        <v>-7.2762739999999999</v>
      </c>
      <c r="I3819" s="195">
        <v>-2.8558479999999999</v>
      </c>
      <c r="J3819" s="195">
        <v>-3.4168569999999998</v>
      </c>
      <c r="K3819" s="195">
        <v>-1.866455</v>
      </c>
      <c r="L3819" s="195">
        <v>-1.622938</v>
      </c>
      <c r="M3819" s="195">
        <v>-1.468693</v>
      </c>
      <c r="N3819" s="195">
        <v>-1.336543</v>
      </c>
    </row>
    <row r="3820" spans="1:14" hidden="1" x14ac:dyDescent="0.35">
      <c r="A3820" s="52" t="s">
        <v>684</v>
      </c>
      <c r="B3820" s="52" t="s">
        <v>245</v>
      </c>
      <c r="C3820" s="52" t="s">
        <v>247</v>
      </c>
      <c r="D3820" s="52" t="s">
        <v>247</v>
      </c>
      <c r="E3820" s="52" t="s">
        <v>584</v>
      </c>
      <c r="F3820" s="52" t="s">
        <v>26</v>
      </c>
      <c r="G3820" s="195" t="s">
        <v>276</v>
      </c>
      <c r="H3820" s="195"/>
      <c r="I3820" s="195">
        <v>0</v>
      </c>
      <c r="J3820" s="195"/>
      <c r="K3820" s="195"/>
      <c r="L3820" s="195"/>
      <c r="M3820" s="195"/>
      <c r="N3820" s="195">
        <v>0</v>
      </c>
    </row>
    <row r="3821" spans="1:14" hidden="1" x14ac:dyDescent="0.35">
      <c r="A3821" s="52" t="s">
        <v>684</v>
      </c>
      <c r="B3821" s="52" t="s">
        <v>245</v>
      </c>
      <c r="C3821" s="52" t="s">
        <v>247</v>
      </c>
      <c r="D3821" s="52" t="s">
        <v>247</v>
      </c>
      <c r="E3821" s="52" t="s">
        <v>584</v>
      </c>
      <c r="F3821" s="52" t="s">
        <v>26</v>
      </c>
      <c r="G3821" s="195" t="s">
        <v>277</v>
      </c>
      <c r="H3821" s="195">
        <v>12.415710000000001</v>
      </c>
      <c r="I3821" s="195">
        <v>5.4742670000000002</v>
      </c>
      <c r="J3821" s="195">
        <v>3.7819120000000002</v>
      </c>
      <c r="K3821" s="195">
        <v>1.9238919999999999</v>
      </c>
      <c r="L3821" s="195">
        <v>1.7974840000000001</v>
      </c>
      <c r="M3821" s="195">
        <v>1.6317489999999999</v>
      </c>
      <c r="N3821" s="195">
        <v>1.489314</v>
      </c>
    </row>
    <row r="3822" spans="1:14" hidden="1" x14ac:dyDescent="0.35">
      <c r="A3822" s="52" t="s">
        <v>684</v>
      </c>
      <c r="B3822" s="52" t="s">
        <v>245</v>
      </c>
      <c r="C3822" s="52" t="s">
        <v>247</v>
      </c>
      <c r="D3822" s="52" t="s">
        <v>247</v>
      </c>
      <c r="E3822" s="52" t="s">
        <v>584</v>
      </c>
      <c r="F3822" s="52" t="s">
        <v>26</v>
      </c>
      <c r="G3822" s="195" t="s">
        <v>279</v>
      </c>
      <c r="H3822" s="195">
        <v>2.2665419999999998</v>
      </c>
      <c r="I3822" s="195">
        <v>2.0034700000000001</v>
      </c>
      <c r="J3822" s="195">
        <v>1.9762459999999999</v>
      </c>
      <c r="K3822" s="195">
        <v>2.0265780000000002</v>
      </c>
      <c r="L3822" s="195">
        <v>0.42159210000000003</v>
      </c>
      <c r="M3822" s="195">
        <v>0.3987851</v>
      </c>
      <c r="N3822" s="195">
        <v>0.378807</v>
      </c>
    </row>
    <row r="3823" spans="1:14" hidden="1" x14ac:dyDescent="0.35">
      <c r="A3823" s="52" t="s">
        <v>684</v>
      </c>
      <c r="B3823" s="52" t="s">
        <v>245</v>
      </c>
      <c r="C3823" s="52" t="s">
        <v>842</v>
      </c>
      <c r="D3823" s="52" t="s">
        <v>842</v>
      </c>
      <c r="E3823" s="52" t="s">
        <v>584</v>
      </c>
      <c r="F3823" s="52" t="s">
        <v>581</v>
      </c>
      <c r="G3823" s="195" t="s">
        <v>275</v>
      </c>
      <c r="H3823" s="195">
        <v>-3.4936250000000002E-2</v>
      </c>
      <c r="I3823" s="195">
        <v>-3.4936250000000002E-2</v>
      </c>
      <c r="J3823" s="195">
        <v>0</v>
      </c>
      <c r="K3823" s="195">
        <v>0</v>
      </c>
      <c r="L3823" s="195">
        <v>0</v>
      </c>
      <c r="M3823" s="195">
        <v>0</v>
      </c>
      <c r="N3823" s="195">
        <v>0</v>
      </c>
    </row>
    <row r="3824" spans="1:14" hidden="1" x14ac:dyDescent="0.35">
      <c r="A3824" s="52" t="s">
        <v>684</v>
      </c>
      <c r="B3824" s="52" t="s">
        <v>245</v>
      </c>
      <c r="C3824" s="52" t="s">
        <v>842</v>
      </c>
      <c r="D3824" s="52" t="s">
        <v>842</v>
      </c>
      <c r="E3824" s="52" t="s">
        <v>584</v>
      </c>
      <c r="F3824" s="52" t="s">
        <v>581</v>
      </c>
      <c r="G3824" s="195" t="s">
        <v>276</v>
      </c>
      <c r="H3824" s="195"/>
      <c r="I3824" s="195"/>
      <c r="J3824" s="195">
        <v>-3.4936250000000002E-2</v>
      </c>
      <c r="K3824" s="195">
        <v>-3.4936250000000002E-2</v>
      </c>
      <c r="L3824" s="195">
        <v>-2.0278800000000001</v>
      </c>
      <c r="M3824" s="195">
        <v>-0.33744750000000001</v>
      </c>
      <c r="N3824" s="195">
        <v>-3.4936250000000002E-2</v>
      </c>
    </row>
    <row r="3825" spans="1:14" hidden="1" x14ac:dyDescent="0.35">
      <c r="A3825" s="52" t="s">
        <v>684</v>
      </c>
      <c r="B3825" s="52" t="s">
        <v>245</v>
      </c>
      <c r="C3825" s="52" t="s">
        <v>842</v>
      </c>
      <c r="D3825" s="52" t="s">
        <v>842</v>
      </c>
      <c r="E3825" s="52" t="s">
        <v>584</v>
      </c>
      <c r="F3825" s="52" t="s">
        <v>581</v>
      </c>
      <c r="G3825" s="195" t="s">
        <v>278</v>
      </c>
      <c r="H3825" s="195">
        <v>3.4936250000000002E-2</v>
      </c>
      <c r="I3825" s="195">
        <v>3.4936250000000002E-2</v>
      </c>
      <c r="J3825" s="195">
        <v>3.4936250000000002E-2</v>
      </c>
      <c r="K3825" s="195">
        <v>3.4936250000000002E-2</v>
      </c>
      <c r="L3825" s="195">
        <v>2.0278800000000001</v>
      </c>
      <c r="M3825" s="195">
        <v>0.33744750000000001</v>
      </c>
      <c r="N3825" s="195">
        <v>3.4936250000000002E-2</v>
      </c>
    </row>
    <row r="3826" spans="1:14" hidden="1" x14ac:dyDescent="0.35">
      <c r="A3826" s="52" t="s">
        <v>684</v>
      </c>
      <c r="B3826" s="52" t="s">
        <v>74</v>
      </c>
      <c r="C3826" s="52" t="s">
        <v>146</v>
      </c>
      <c r="D3826" s="52" t="s">
        <v>196</v>
      </c>
      <c r="E3826" s="52" t="s">
        <v>584</v>
      </c>
      <c r="F3826" s="52" t="s">
        <v>581</v>
      </c>
      <c r="G3826" s="195" t="s">
        <v>275</v>
      </c>
      <c r="H3826" s="195">
        <v>209.56020000000001</v>
      </c>
      <c r="I3826" s="195">
        <v>36.229259999999996</v>
      </c>
      <c r="J3826" s="195">
        <v>12.449479999999999</v>
      </c>
      <c r="K3826" s="195">
        <v>-9.523809</v>
      </c>
      <c r="L3826" s="195">
        <v>-9.5102609999999999</v>
      </c>
      <c r="M3826" s="195">
        <v>-9.2922189999999993</v>
      </c>
      <c r="N3826" s="195">
        <v>-34.886099999999999</v>
      </c>
    </row>
    <row r="3827" spans="1:14" hidden="1" x14ac:dyDescent="0.35">
      <c r="A3827" s="52" t="s">
        <v>684</v>
      </c>
      <c r="B3827" s="52" t="s">
        <v>74</v>
      </c>
      <c r="C3827" s="52" t="s">
        <v>146</v>
      </c>
      <c r="D3827" s="52" t="s">
        <v>196</v>
      </c>
      <c r="E3827" s="52" t="s">
        <v>584</v>
      </c>
      <c r="F3827" s="52" t="s">
        <v>581</v>
      </c>
      <c r="G3827" s="195" t="s">
        <v>276</v>
      </c>
      <c r="H3827" s="195">
        <v>134.52860000000001</v>
      </c>
      <c r="I3827" s="195">
        <v>21.97109</v>
      </c>
      <c r="J3827" s="195">
        <v>-3.5204179999999998</v>
      </c>
      <c r="K3827" s="195">
        <v>-14.130940000000001</v>
      </c>
      <c r="L3827" s="195">
        <v>-29.592829999999999</v>
      </c>
      <c r="M3827" s="195">
        <v>-8.3412039999999994</v>
      </c>
      <c r="N3827" s="195">
        <v>-24.747699999999998</v>
      </c>
    </row>
    <row r="3828" spans="1:14" hidden="1" x14ac:dyDescent="0.35">
      <c r="A3828" s="52" t="s">
        <v>684</v>
      </c>
      <c r="B3828" s="52" t="s">
        <v>74</v>
      </c>
      <c r="C3828" s="52" t="s">
        <v>146</v>
      </c>
      <c r="D3828" s="52" t="s">
        <v>196</v>
      </c>
      <c r="E3828" s="52" t="s">
        <v>584</v>
      </c>
      <c r="F3828" s="52" t="s">
        <v>581</v>
      </c>
      <c r="G3828" s="195" t="s">
        <v>277</v>
      </c>
      <c r="H3828" s="195">
        <v>50.8157</v>
      </c>
      <c r="I3828" s="195">
        <v>22.230139999999999</v>
      </c>
      <c r="J3828" s="195">
        <v>46.844720000000002</v>
      </c>
      <c r="K3828" s="195">
        <v>52.30612</v>
      </c>
      <c r="L3828" s="195">
        <v>34.289450000000002</v>
      </c>
      <c r="M3828" s="195">
        <v>18.314299999999999</v>
      </c>
      <c r="N3828" s="195">
        <v>49.690249999999999</v>
      </c>
    </row>
    <row r="3829" spans="1:14" hidden="1" x14ac:dyDescent="0.35">
      <c r="A3829" s="52" t="s">
        <v>684</v>
      </c>
      <c r="B3829" s="52" t="s">
        <v>74</v>
      </c>
      <c r="C3829" s="52" t="s">
        <v>146</v>
      </c>
      <c r="D3829" s="52" t="s">
        <v>196</v>
      </c>
      <c r="E3829" s="52" t="s">
        <v>584</v>
      </c>
      <c r="F3829" s="52" t="s">
        <v>581</v>
      </c>
      <c r="G3829" s="195" t="s">
        <v>278</v>
      </c>
      <c r="H3829" s="195">
        <v>0.36245880000000003</v>
      </c>
      <c r="I3829" s="195">
        <v>0.49493609999999999</v>
      </c>
      <c r="J3829" s="195">
        <v>7.0977699999999997</v>
      </c>
      <c r="K3829" s="195">
        <v>2.4774020000000001</v>
      </c>
      <c r="L3829" s="195">
        <v>19.79993</v>
      </c>
      <c r="M3829" s="195">
        <v>0.32836110000000002</v>
      </c>
      <c r="N3829" s="195">
        <v>0.32836110000000002</v>
      </c>
    </row>
    <row r="3830" spans="1:14" hidden="1" x14ac:dyDescent="0.35">
      <c r="A3830" s="52" t="s">
        <v>684</v>
      </c>
      <c r="B3830" s="52" t="s">
        <v>74</v>
      </c>
      <c r="C3830" s="52" t="s">
        <v>146</v>
      </c>
      <c r="D3830" s="52" t="s">
        <v>196</v>
      </c>
      <c r="E3830" s="52" t="s">
        <v>584</v>
      </c>
      <c r="F3830" s="52" t="s">
        <v>581</v>
      </c>
      <c r="G3830" s="195" t="s">
        <v>279</v>
      </c>
      <c r="H3830" s="195">
        <v>118.09739999999999</v>
      </c>
      <c r="I3830" s="195">
        <v>126.4059</v>
      </c>
      <c r="J3830" s="195">
        <v>104.00239999999999</v>
      </c>
      <c r="K3830" s="195">
        <v>109.2317</v>
      </c>
      <c r="L3830" s="195">
        <v>103.53919999999999</v>
      </c>
      <c r="M3830" s="195">
        <v>98.983329999999995</v>
      </c>
      <c r="N3830" s="195">
        <v>96.156890000000004</v>
      </c>
    </row>
    <row r="3831" spans="1:14" hidden="1" x14ac:dyDescent="0.35">
      <c r="A3831" s="52" t="s">
        <v>684</v>
      </c>
      <c r="B3831" s="52" t="s">
        <v>74</v>
      </c>
      <c r="C3831" s="52" t="s">
        <v>146</v>
      </c>
      <c r="D3831" s="52" t="s">
        <v>196</v>
      </c>
      <c r="E3831" s="52" t="s">
        <v>584</v>
      </c>
      <c r="F3831" s="52" t="s">
        <v>26</v>
      </c>
      <c r="G3831" s="195" t="s">
        <v>275</v>
      </c>
      <c r="H3831" s="195">
        <v>3.554389</v>
      </c>
      <c r="I3831" s="195">
        <v>2.3813559999999998</v>
      </c>
      <c r="J3831" s="195">
        <v>2.4402219999999999</v>
      </c>
      <c r="K3831" s="195">
        <v>1.9835719999999999</v>
      </c>
      <c r="L3831" s="195">
        <v>1.6722490000000001</v>
      </c>
      <c r="M3831" s="195">
        <v>1.4124410000000001</v>
      </c>
      <c r="N3831" s="195">
        <v>0.94904460000000002</v>
      </c>
    </row>
    <row r="3832" spans="1:14" hidden="1" x14ac:dyDescent="0.35">
      <c r="A3832" s="52" t="s">
        <v>684</v>
      </c>
      <c r="B3832" s="52" t="s">
        <v>74</v>
      </c>
      <c r="C3832" s="52" t="s">
        <v>146</v>
      </c>
      <c r="D3832" s="52" t="s">
        <v>196</v>
      </c>
      <c r="E3832" s="52" t="s">
        <v>584</v>
      </c>
      <c r="F3832" s="52" t="s">
        <v>26</v>
      </c>
      <c r="G3832" s="195" t="s">
        <v>276</v>
      </c>
      <c r="H3832" s="195">
        <v>2.3696069999999998</v>
      </c>
      <c r="I3832" s="195">
        <v>1.587574</v>
      </c>
      <c r="J3832" s="195">
        <v>1.6268130000000001</v>
      </c>
      <c r="K3832" s="195">
        <v>1.3223830000000001</v>
      </c>
      <c r="L3832" s="195">
        <v>1.1148400000000001</v>
      </c>
      <c r="M3832" s="195">
        <v>0.94163459999999999</v>
      </c>
      <c r="N3832" s="195">
        <v>0.6326929</v>
      </c>
    </row>
    <row r="3833" spans="1:14" hidden="1" x14ac:dyDescent="0.35">
      <c r="A3833" s="52" t="s">
        <v>684</v>
      </c>
      <c r="B3833" s="52" t="s">
        <v>74</v>
      </c>
      <c r="C3833" s="52" t="s">
        <v>146</v>
      </c>
      <c r="D3833" s="52" t="s">
        <v>196</v>
      </c>
      <c r="E3833" s="52" t="s">
        <v>584</v>
      </c>
      <c r="F3833" s="52" t="s">
        <v>26</v>
      </c>
      <c r="G3833" s="195" t="s">
        <v>277</v>
      </c>
      <c r="H3833" s="195"/>
      <c r="I3833" s="195"/>
      <c r="J3833" s="195"/>
      <c r="K3833" s="195"/>
      <c r="L3833" s="195"/>
      <c r="M3833" s="195">
        <v>0</v>
      </c>
      <c r="N3833" s="195">
        <v>0.45609129999999998</v>
      </c>
    </row>
    <row r="3834" spans="1:14" hidden="1" x14ac:dyDescent="0.35">
      <c r="A3834" s="52" t="s">
        <v>684</v>
      </c>
      <c r="B3834" s="52" t="s">
        <v>74</v>
      </c>
      <c r="C3834" s="52" t="s">
        <v>146</v>
      </c>
      <c r="D3834" s="52" t="s">
        <v>196</v>
      </c>
      <c r="E3834" s="52" t="s">
        <v>584</v>
      </c>
      <c r="F3834" s="52" t="s">
        <v>26</v>
      </c>
      <c r="G3834" s="195" t="s">
        <v>279</v>
      </c>
      <c r="H3834" s="195">
        <v>2.144085</v>
      </c>
      <c r="I3834" s="195">
        <v>2.0198909999999999</v>
      </c>
      <c r="J3834" s="195">
        <v>2.0047380000000001</v>
      </c>
      <c r="K3834" s="195">
        <v>1.798597</v>
      </c>
      <c r="L3834" s="195">
        <v>1.518759</v>
      </c>
      <c r="M3834" s="195">
        <v>1.2812460000000001</v>
      </c>
      <c r="N3834" s="195">
        <v>1.108867</v>
      </c>
    </row>
    <row r="3835" spans="1:14" hidden="1" x14ac:dyDescent="0.35">
      <c r="A3835" s="52" t="s">
        <v>684</v>
      </c>
      <c r="B3835" s="52" t="s">
        <v>74</v>
      </c>
      <c r="C3835" s="52" t="s">
        <v>146</v>
      </c>
      <c r="D3835" s="52" t="s">
        <v>147</v>
      </c>
      <c r="E3835" s="52" t="s">
        <v>584</v>
      </c>
      <c r="F3835" s="52" t="s">
        <v>581</v>
      </c>
      <c r="G3835" s="195" t="s">
        <v>275</v>
      </c>
      <c r="H3835" s="195">
        <v>112.717</v>
      </c>
      <c r="I3835" s="195">
        <v>-5.8271319999999998</v>
      </c>
      <c r="J3835" s="195">
        <v>-3.568352</v>
      </c>
      <c r="K3835" s="195">
        <v>-4.1229050000000003</v>
      </c>
      <c r="L3835" s="195">
        <v>-4.2822120000000004</v>
      </c>
      <c r="M3835" s="195">
        <v>-2.3143630000000002</v>
      </c>
      <c r="N3835" s="195">
        <v>-13.5847</v>
      </c>
    </row>
    <row r="3836" spans="1:14" hidden="1" x14ac:dyDescent="0.35">
      <c r="A3836" s="52" t="s">
        <v>684</v>
      </c>
      <c r="B3836" s="52" t="s">
        <v>74</v>
      </c>
      <c r="C3836" s="52" t="s">
        <v>146</v>
      </c>
      <c r="D3836" s="52" t="s">
        <v>147</v>
      </c>
      <c r="E3836" s="52" t="s">
        <v>584</v>
      </c>
      <c r="F3836" s="52" t="s">
        <v>581</v>
      </c>
      <c r="G3836" s="195" t="s">
        <v>276</v>
      </c>
      <c r="H3836" s="195">
        <v>73.855509999999995</v>
      </c>
      <c r="I3836" s="195">
        <v>-5.5115460000000001</v>
      </c>
      <c r="J3836" s="195">
        <v>-3.4697830000000001</v>
      </c>
      <c r="K3836" s="195">
        <v>-3.438469</v>
      </c>
      <c r="L3836" s="195">
        <v>-3.7609469999999998</v>
      </c>
      <c r="M3836" s="195">
        <v>-1.980221</v>
      </c>
      <c r="N3836" s="195">
        <v>-11.25196</v>
      </c>
    </row>
    <row r="3837" spans="1:14" hidden="1" x14ac:dyDescent="0.35">
      <c r="A3837" s="52" t="s">
        <v>684</v>
      </c>
      <c r="B3837" s="52" t="s">
        <v>74</v>
      </c>
      <c r="C3837" s="52" t="s">
        <v>146</v>
      </c>
      <c r="D3837" s="52" t="s">
        <v>147</v>
      </c>
      <c r="E3837" s="52" t="s">
        <v>584</v>
      </c>
      <c r="F3837" s="52" t="s">
        <v>581</v>
      </c>
      <c r="G3837" s="195" t="s">
        <v>277</v>
      </c>
      <c r="H3837" s="195">
        <v>12.37602</v>
      </c>
      <c r="I3837" s="195">
        <v>15.61717</v>
      </c>
      <c r="J3837" s="195">
        <v>8.0903639999999992</v>
      </c>
      <c r="K3837" s="195">
        <v>4.2406170000000003</v>
      </c>
      <c r="L3837" s="195">
        <v>2.104025</v>
      </c>
      <c r="M3837" s="195">
        <v>0.244009</v>
      </c>
      <c r="N3837" s="195">
        <v>2.002192</v>
      </c>
    </row>
    <row r="3838" spans="1:14" hidden="1" x14ac:dyDescent="0.35">
      <c r="A3838" s="52" t="s">
        <v>684</v>
      </c>
      <c r="B3838" s="52" t="s">
        <v>74</v>
      </c>
      <c r="C3838" s="52" t="s">
        <v>146</v>
      </c>
      <c r="D3838" s="52" t="s">
        <v>147</v>
      </c>
      <c r="E3838" s="52" t="s">
        <v>584</v>
      </c>
      <c r="F3838" s="52" t="s">
        <v>581</v>
      </c>
      <c r="G3838" s="195" t="s">
        <v>278</v>
      </c>
      <c r="H3838" s="195">
        <v>0.1501354</v>
      </c>
      <c r="I3838" s="195">
        <v>9.5343940000000007</v>
      </c>
      <c r="J3838" s="195">
        <v>0.1933018</v>
      </c>
      <c r="K3838" s="195">
        <v>0.1933018</v>
      </c>
      <c r="L3838" s="195">
        <v>0.63143649999999996</v>
      </c>
      <c r="M3838" s="195">
        <v>0.1933018</v>
      </c>
      <c r="N3838" s="195">
        <v>0.1933018</v>
      </c>
    </row>
    <row r="3839" spans="1:14" hidden="1" x14ac:dyDescent="0.35">
      <c r="A3839" s="52" t="s">
        <v>684</v>
      </c>
      <c r="B3839" s="52" t="s">
        <v>74</v>
      </c>
      <c r="C3839" s="52" t="s">
        <v>146</v>
      </c>
      <c r="D3839" s="52" t="s">
        <v>147</v>
      </c>
      <c r="E3839" s="52" t="s">
        <v>584</v>
      </c>
      <c r="F3839" s="52" t="s">
        <v>581</v>
      </c>
      <c r="G3839" s="195" t="s">
        <v>279</v>
      </c>
      <c r="H3839" s="195">
        <v>68.947959999999995</v>
      </c>
      <c r="I3839" s="195">
        <v>47.15278</v>
      </c>
      <c r="J3839" s="195">
        <v>46.377029999999998</v>
      </c>
      <c r="K3839" s="195">
        <v>42.402500000000003</v>
      </c>
      <c r="L3839" s="195">
        <v>31.901669999999999</v>
      </c>
      <c r="M3839" s="195">
        <v>20.446999999999999</v>
      </c>
      <c r="N3839" s="195">
        <v>35.225749999999998</v>
      </c>
    </row>
    <row r="3840" spans="1:14" hidden="1" x14ac:dyDescent="0.35">
      <c r="A3840" s="52" t="s">
        <v>684</v>
      </c>
      <c r="B3840" s="52" t="s">
        <v>74</v>
      </c>
      <c r="C3840" s="52" t="s">
        <v>146</v>
      </c>
      <c r="D3840" s="52" t="s">
        <v>147</v>
      </c>
      <c r="E3840" s="52" t="s">
        <v>584</v>
      </c>
      <c r="F3840" s="52" t="s">
        <v>26</v>
      </c>
      <c r="G3840" s="195" t="s">
        <v>275</v>
      </c>
      <c r="H3840" s="195">
        <v>56.048369999999998</v>
      </c>
      <c r="I3840" s="195">
        <v>15.97458</v>
      </c>
      <c r="J3840" s="195">
        <v>8.2615269999999992</v>
      </c>
      <c r="K3840" s="195">
        <v>4.6384790000000002</v>
      </c>
      <c r="L3840" s="195">
        <v>-0.22799069999999999</v>
      </c>
      <c r="M3840" s="195">
        <v>-0.66023960000000004</v>
      </c>
      <c r="N3840" s="195">
        <v>-2.6789700000000001</v>
      </c>
    </row>
    <row r="3841" spans="1:14" hidden="1" x14ac:dyDescent="0.35">
      <c r="A3841" s="52" t="s">
        <v>684</v>
      </c>
      <c r="B3841" s="52" t="s">
        <v>74</v>
      </c>
      <c r="C3841" s="52" t="s">
        <v>146</v>
      </c>
      <c r="D3841" s="52" t="s">
        <v>147</v>
      </c>
      <c r="E3841" s="52" t="s">
        <v>584</v>
      </c>
      <c r="F3841" s="52" t="s">
        <v>26</v>
      </c>
      <c r="G3841" s="195" t="s">
        <v>276</v>
      </c>
      <c r="H3841" s="195">
        <v>35.439520000000002</v>
      </c>
      <c r="I3841" s="195">
        <v>9.0902170000000009</v>
      </c>
      <c r="J3841" s="195">
        <v>4.0026820000000001</v>
      </c>
      <c r="K3841" s="195">
        <v>2.1324049999999999</v>
      </c>
      <c r="L3841" s="195">
        <v>-0.5451106</v>
      </c>
      <c r="M3841" s="195">
        <v>-0.48861189999999999</v>
      </c>
      <c r="N3841" s="195">
        <v>-1.7859799999999999</v>
      </c>
    </row>
    <row r="3842" spans="1:14" hidden="1" x14ac:dyDescent="0.35">
      <c r="A3842" s="52" t="s">
        <v>684</v>
      </c>
      <c r="B3842" s="52" t="s">
        <v>74</v>
      </c>
      <c r="C3842" s="52" t="s">
        <v>146</v>
      </c>
      <c r="D3842" s="52" t="s">
        <v>147</v>
      </c>
      <c r="E3842" s="52" t="s">
        <v>584</v>
      </c>
      <c r="F3842" s="52" t="s">
        <v>26</v>
      </c>
      <c r="G3842" s="195" t="s">
        <v>277</v>
      </c>
      <c r="H3842" s="195">
        <v>18.490269999999999</v>
      </c>
      <c r="I3842" s="195">
        <v>14.971259999999999</v>
      </c>
      <c r="J3842" s="195">
        <v>14.44802</v>
      </c>
      <c r="K3842" s="195">
        <v>9.2151910000000008</v>
      </c>
      <c r="L3842" s="195">
        <v>3.7739199999999999</v>
      </c>
      <c r="M3842" s="195">
        <v>0.4651457</v>
      </c>
      <c r="N3842" s="195"/>
    </row>
    <row r="3843" spans="1:14" hidden="1" x14ac:dyDescent="0.35">
      <c r="A3843" s="52" t="s">
        <v>684</v>
      </c>
      <c r="B3843" s="52" t="s">
        <v>74</v>
      </c>
      <c r="C3843" s="52" t="s">
        <v>146</v>
      </c>
      <c r="D3843" s="52" t="s">
        <v>147</v>
      </c>
      <c r="E3843" s="52" t="s">
        <v>584</v>
      </c>
      <c r="F3843" s="52" t="s">
        <v>26</v>
      </c>
      <c r="G3843" s="195" t="s">
        <v>279</v>
      </c>
      <c r="H3843" s="195">
        <v>55.919600000000003</v>
      </c>
      <c r="I3843" s="195">
        <v>36.380769999999998</v>
      </c>
      <c r="J3843" s="195">
        <v>28.599710000000002</v>
      </c>
      <c r="K3843" s="195">
        <v>27.741700000000002</v>
      </c>
      <c r="L3843" s="195">
        <v>21.067900000000002</v>
      </c>
      <c r="M3843" s="195">
        <v>9.323366</v>
      </c>
      <c r="N3843" s="195">
        <v>8.4109049999999996</v>
      </c>
    </row>
    <row r="3844" spans="1:14" hidden="1" x14ac:dyDescent="0.35">
      <c r="A3844" s="52" t="s">
        <v>684</v>
      </c>
      <c r="B3844" s="52" t="s">
        <v>74</v>
      </c>
      <c r="C3844" s="52" t="s">
        <v>146</v>
      </c>
      <c r="D3844" s="52" t="s">
        <v>197</v>
      </c>
      <c r="E3844" s="52" t="s">
        <v>584</v>
      </c>
      <c r="F3844" s="52" t="s">
        <v>581</v>
      </c>
      <c r="G3844" s="195" t="s">
        <v>275</v>
      </c>
      <c r="H3844" s="195">
        <v>3.9479009999999999</v>
      </c>
      <c r="I3844" s="195">
        <v>1.451948</v>
      </c>
      <c r="J3844" s="195">
        <v>0.81365449999999995</v>
      </c>
      <c r="K3844" s="195">
        <v>0.69404940000000004</v>
      </c>
      <c r="L3844" s="195">
        <v>0</v>
      </c>
      <c r="M3844" s="195">
        <v>-2.0784020000000001</v>
      </c>
      <c r="N3844" s="195">
        <v>0</v>
      </c>
    </row>
    <row r="3845" spans="1:14" hidden="1" x14ac:dyDescent="0.35">
      <c r="A3845" s="52" t="s">
        <v>684</v>
      </c>
      <c r="B3845" s="52" t="s">
        <v>74</v>
      </c>
      <c r="C3845" s="52" t="s">
        <v>146</v>
      </c>
      <c r="D3845" s="52" t="s">
        <v>197</v>
      </c>
      <c r="E3845" s="52" t="s">
        <v>584</v>
      </c>
      <c r="F3845" s="52" t="s">
        <v>581</v>
      </c>
      <c r="G3845" s="195" t="s">
        <v>276</v>
      </c>
      <c r="H3845" s="195">
        <v>2.6319340000000002</v>
      </c>
      <c r="I3845" s="195">
        <v>0.96796539999999998</v>
      </c>
      <c r="J3845" s="195">
        <v>0.53948070000000004</v>
      </c>
      <c r="K3845" s="195">
        <v>0.45974359999999997</v>
      </c>
      <c r="L3845" s="195">
        <v>-2.9554999999999998E-3</v>
      </c>
      <c r="M3845" s="195">
        <v>-1.388557</v>
      </c>
      <c r="N3845" s="195">
        <v>-2.9559999999999999E-3</v>
      </c>
    </row>
    <row r="3846" spans="1:14" hidden="1" x14ac:dyDescent="0.35">
      <c r="A3846" s="52" t="s">
        <v>684</v>
      </c>
      <c r="B3846" s="52" t="s">
        <v>74</v>
      </c>
      <c r="C3846" s="52" t="s">
        <v>146</v>
      </c>
      <c r="D3846" s="52" t="s">
        <v>197</v>
      </c>
      <c r="E3846" s="52" t="s">
        <v>584</v>
      </c>
      <c r="F3846" s="52" t="s">
        <v>581</v>
      </c>
      <c r="G3846" s="195" t="s">
        <v>278</v>
      </c>
      <c r="H3846" s="195">
        <v>2.16475E-3</v>
      </c>
      <c r="I3846" s="195">
        <v>2.95575E-3</v>
      </c>
      <c r="J3846" s="195">
        <v>2.95575E-3</v>
      </c>
      <c r="K3846" s="195">
        <v>2.95575E-3</v>
      </c>
      <c r="L3846" s="195">
        <v>2.95575E-3</v>
      </c>
      <c r="M3846" s="195">
        <v>2.95575E-3</v>
      </c>
      <c r="N3846" s="195">
        <v>2.95575E-3</v>
      </c>
    </row>
    <row r="3847" spans="1:14" hidden="1" x14ac:dyDescent="0.35">
      <c r="A3847" s="52" t="s">
        <v>684</v>
      </c>
      <c r="B3847" s="52" t="s">
        <v>74</v>
      </c>
      <c r="C3847" s="52" t="s">
        <v>146</v>
      </c>
      <c r="D3847" s="52" t="s">
        <v>197</v>
      </c>
      <c r="E3847" s="52" t="s">
        <v>584</v>
      </c>
      <c r="F3847" s="52" t="s">
        <v>581</v>
      </c>
      <c r="G3847" s="195" t="s">
        <v>279</v>
      </c>
      <c r="H3847" s="195">
        <v>0.82815280000000002</v>
      </c>
      <c r="I3847" s="195">
        <v>0.83835479999999996</v>
      </c>
      <c r="J3847" s="195">
        <v>0.58883059999999998</v>
      </c>
      <c r="K3847" s="195">
        <v>0.55172169999999998</v>
      </c>
      <c r="L3847" s="195">
        <v>0</v>
      </c>
      <c r="M3847" s="195">
        <v>3.4640029999999999</v>
      </c>
      <c r="N3847" s="195">
        <v>0</v>
      </c>
    </row>
    <row r="3848" spans="1:14" hidden="1" x14ac:dyDescent="0.35">
      <c r="A3848" s="52" t="s">
        <v>684</v>
      </c>
      <c r="B3848" s="52" t="s">
        <v>74</v>
      </c>
      <c r="C3848" s="52" t="s">
        <v>146</v>
      </c>
      <c r="D3848" s="52" t="s">
        <v>197</v>
      </c>
      <c r="E3848" s="52" t="s">
        <v>584</v>
      </c>
      <c r="F3848" s="52" t="s">
        <v>26</v>
      </c>
      <c r="G3848" s="195" t="s">
        <v>275</v>
      </c>
      <c r="H3848" s="195">
        <v>1.810365</v>
      </c>
      <c r="I3848" s="195">
        <v>2.1050300000000002</v>
      </c>
      <c r="J3848" s="195">
        <v>1.416175</v>
      </c>
      <c r="K3848" s="195">
        <v>1.266662</v>
      </c>
      <c r="L3848" s="195">
        <v>0</v>
      </c>
      <c r="M3848" s="195">
        <v>-3.9502929999999998</v>
      </c>
      <c r="N3848" s="195">
        <v>0</v>
      </c>
    </row>
    <row r="3849" spans="1:14" hidden="1" x14ac:dyDescent="0.35">
      <c r="A3849" s="52" t="s">
        <v>684</v>
      </c>
      <c r="B3849" s="52" t="s">
        <v>74</v>
      </c>
      <c r="C3849" s="52" t="s">
        <v>146</v>
      </c>
      <c r="D3849" s="52" t="s">
        <v>197</v>
      </c>
      <c r="E3849" s="52" t="s">
        <v>584</v>
      </c>
      <c r="F3849" s="52" t="s">
        <v>26</v>
      </c>
      <c r="G3849" s="195" t="s">
        <v>276</v>
      </c>
      <c r="H3849" s="195">
        <v>0.90092059999999996</v>
      </c>
      <c r="I3849" s="195">
        <v>1.359853</v>
      </c>
      <c r="J3849" s="195">
        <v>0.90472719999999995</v>
      </c>
      <c r="K3849" s="195">
        <v>0.84444149999999996</v>
      </c>
      <c r="L3849" s="195">
        <v>0</v>
      </c>
      <c r="M3849" s="195">
        <v>-2.6335289999999998</v>
      </c>
      <c r="N3849" s="195">
        <v>0</v>
      </c>
    </row>
    <row r="3850" spans="1:14" hidden="1" x14ac:dyDescent="0.35">
      <c r="A3850" s="52" t="s">
        <v>684</v>
      </c>
      <c r="B3850" s="52" t="s">
        <v>74</v>
      </c>
      <c r="C3850" s="52" t="s">
        <v>146</v>
      </c>
      <c r="D3850" s="52" t="s">
        <v>197</v>
      </c>
      <c r="E3850" s="52" t="s">
        <v>584</v>
      </c>
      <c r="F3850" s="52" t="s">
        <v>26</v>
      </c>
      <c r="G3850" s="195" t="s">
        <v>277</v>
      </c>
      <c r="H3850" s="195">
        <v>2.9375</v>
      </c>
      <c r="I3850" s="195">
        <v>0.41760019999999998</v>
      </c>
      <c r="J3850" s="195">
        <v>0.37814300000000001</v>
      </c>
      <c r="K3850" s="195">
        <v>0</v>
      </c>
      <c r="L3850" s="195"/>
      <c r="M3850" s="195"/>
      <c r="N3850" s="195"/>
    </row>
    <row r="3851" spans="1:14" hidden="1" x14ac:dyDescent="0.35">
      <c r="A3851" s="52" t="s">
        <v>684</v>
      </c>
      <c r="B3851" s="52" t="s">
        <v>74</v>
      </c>
      <c r="C3851" s="52" t="s">
        <v>146</v>
      </c>
      <c r="D3851" s="52" t="s">
        <v>197</v>
      </c>
      <c r="E3851" s="52" t="s">
        <v>584</v>
      </c>
      <c r="F3851" s="52" t="s">
        <v>26</v>
      </c>
      <c r="G3851" s="195" t="s">
        <v>279</v>
      </c>
      <c r="H3851" s="195">
        <v>2.8426939999999998</v>
      </c>
      <c r="I3851" s="195">
        <v>2.7672650000000001</v>
      </c>
      <c r="J3851" s="195">
        <v>2.0906020000000001</v>
      </c>
      <c r="K3851" s="195">
        <v>2.0942129999999999</v>
      </c>
      <c r="L3851" s="195">
        <v>0</v>
      </c>
      <c r="M3851" s="195">
        <v>6.5838229999999998</v>
      </c>
      <c r="N3851" s="195">
        <v>0</v>
      </c>
    </row>
    <row r="3852" spans="1:14" hidden="1" x14ac:dyDescent="0.35">
      <c r="A3852" s="52" t="s">
        <v>684</v>
      </c>
      <c r="B3852" s="52" t="s">
        <v>74</v>
      </c>
      <c r="C3852" s="52" t="s">
        <v>146</v>
      </c>
      <c r="D3852" s="52" t="s">
        <v>843</v>
      </c>
      <c r="E3852" s="52" t="s">
        <v>584</v>
      </c>
      <c r="F3852" s="52" t="s">
        <v>581</v>
      </c>
      <c r="G3852" s="195" t="s">
        <v>275</v>
      </c>
      <c r="H3852" s="195"/>
      <c r="I3852" s="195"/>
      <c r="J3852" s="195"/>
      <c r="K3852" s="195">
        <v>0</v>
      </c>
      <c r="L3852" s="195">
        <v>-43.38</v>
      </c>
      <c r="M3852" s="195">
        <v>0</v>
      </c>
      <c r="N3852" s="195"/>
    </row>
    <row r="3853" spans="1:14" hidden="1" x14ac:dyDescent="0.35">
      <c r="A3853" s="52" t="s">
        <v>684</v>
      </c>
      <c r="B3853" s="52" t="s">
        <v>74</v>
      </c>
      <c r="C3853" s="52" t="s">
        <v>146</v>
      </c>
      <c r="D3853" s="52" t="s">
        <v>843</v>
      </c>
      <c r="E3853" s="52" t="s">
        <v>584</v>
      </c>
      <c r="F3853" s="52" t="s">
        <v>581</v>
      </c>
      <c r="G3853" s="195" t="s">
        <v>276</v>
      </c>
      <c r="H3853" s="195"/>
      <c r="I3853" s="195"/>
      <c r="J3853" s="195"/>
      <c r="K3853" s="195">
        <v>0</v>
      </c>
      <c r="L3853" s="195">
        <v>-28.92</v>
      </c>
      <c r="M3853" s="195">
        <v>0</v>
      </c>
      <c r="N3853" s="195"/>
    </row>
    <row r="3854" spans="1:14" hidden="1" x14ac:dyDescent="0.35">
      <c r="A3854" s="52" t="s">
        <v>684</v>
      </c>
      <c r="B3854" s="52" t="s">
        <v>74</v>
      </c>
      <c r="C3854" s="52" t="s">
        <v>146</v>
      </c>
      <c r="D3854" s="52" t="s">
        <v>843</v>
      </c>
      <c r="E3854" s="52" t="s">
        <v>584</v>
      </c>
      <c r="F3854" s="52" t="s">
        <v>581</v>
      </c>
      <c r="G3854" s="195" t="s">
        <v>279</v>
      </c>
      <c r="H3854" s="195"/>
      <c r="I3854" s="195"/>
      <c r="J3854" s="195"/>
      <c r="K3854" s="195">
        <v>0</v>
      </c>
      <c r="L3854" s="195">
        <v>72.3</v>
      </c>
      <c r="M3854" s="195">
        <v>22.587910000000001</v>
      </c>
      <c r="N3854" s="195">
        <v>0</v>
      </c>
    </row>
    <row r="3855" spans="1:14" hidden="1" x14ac:dyDescent="0.35">
      <c r="A3855" s="52" t="s">
        <v>684</v>
      </c>
      <c r="B3855" s="52" t="s">
        <v>74</v>
      </c>
      <c r="C3855" s="52" t="s">
        <v>146</v>
      </c>
      <c r="D3855" s="52" t="s">
        <v>258</v>
      </c>
      <c r="E3855" s="52" t="s">
        <v>584</v>
      </c>
      <c r="F3855" s="52" t="s">
        <v>581</v>
      </c>
      <c r="G3855" s="195" t="s">
        <v>275</v>
      </c>
      <c r="H3855" s="195">
        <v>-4.84565E-2</v>
      </c>
      <c r="I3855" s="195">
        <v>-6.6167500000000004E-2</v>
      </c>
      <c r="J3855" s="195">
        <v>0</v>
      </c>
      <c r="K3855" s="195">
        <v>0</v>
      </c>
      <c r="L3855" s="195">
        <v>0</v>
      </c>
      <c r="M3855" s="195">
        <v>0</v>
      </c>
      <c r="N3855" s="195">
        <v>0</v>
      </c>
    </row>
    <row r="3856" spans="1:14" hidden="1" x14ac:dyDescent="0.35">
      <c r="A3856" s="52" t="s">
        <v>684</v>
      </c>
      <c r="B3856" s="52" t="s">
        <v>74</v>
      </c>
      <c r="C3856" s="52" t="s">
        <v>146</v>
      </c>
      <c r="D3856" s="52" t="s">
        <v>258</v>
      </c>
      <c r="E3856" s="52" t="s">
        <v>584</v>
      </c>
      <c r="F3856" s="52" t="s">
        <v>581</v>
      </c>
      <c r="G3856" s="195" t="s">
        <v>276</v>
      </c>
      <c r="H3856" s="195">
        <v>-3.23045E-2</v>
      </c>
      <c r="I3856" s="195">
        <v>-4.4111499999999998E-2</v>
      </c>
      <c r="J3856" s="195">
        <v>-0.110279</v>
      </c>
      <c r="K3856" s="195">
        <v>-2.9228360000000002</v>
      </c>
      <c r="L3856" s="195">
        <v>-0.8929125</v>
      </c>
      <c r="M3856" s="195">
        <v>-0.11884749999999999</v>
      </c>
      <c r="N3856" s="195">
        <v>-0.29023450000000001</v>
      </c>
    </row>
    <row r="3857" spans="1:14" hidden="1" x14ac:dyDescent="0.35">
      <c r="A3857" s="52" t="s">
        <v>684</v>
      </c>
      <c r="B3857" s="52" t="s">
        <v>74</v>
      </c>
      <c r="C3857" s="52" t="s">
        <v>146</v>
      </c>
      <c r="D3857" s="52" t="s">
        <v>258</v>
      </c>
      <c r="E3857" s="52" t="s">
        <v>584</v>
      </c>
      <c r="F3857" s="52" t="s">
        <v>581</v>
      </c>
      <c r="G3857" s="195" t="s">
        <v>277</v>
      </c>
      <c r="H3857" s="195"/>
      <c r="I3857" s="195"/>
      <c r="J3857" s="195"/>
      <c r="K3857" s="195"/>
      <c r="L3857" s="195">
        <v>0</v>
      </c>
      <c r="M3857" s="195">
        <v>8.5694989999999995E-3</v>
      </c>
      <c r="N3857" s="195">
        <v>0.179956</v>
      </c>
    </row>
    <row r="3858" spans="1:14" hidden="1" x14ac:dyDescent="0.35">
      <c r="A3858" s="52" t="s">
        <v>684</v>
      </c>
      <c r="B3858" s="52" t="s">
        <v>74</v>
      </c>
      <c r="C3858" s="52" t="s">
        <v>146</v>
      </c>
      <c r="D3858" s="52" t="s">
        <v>258</v>
      </c>
      <c r="E3858" s="52" t="s">
        <v>584</v>
      </c>
      <c r="F3858" s="52" t="s">
        <v>581</v>
      </c>
      <c r="G3858" s="195" t="s">
        <v>278</v>
      </c>
      <c r="H3858" s="195">
        <v>8.0760499999999999E-2</v>
      </c>
      <c r="I3858" s="195">
        <v>0.1102785</v>
      </c>
      <c r="J3858" s="195">
        <v>0.1102785</v>
      </c>
      <c r="K3858" s="195">
        <v>2.9228369999999999</v>
      </c>
      <c r="L3858" s="195">
        <v>0.89291299999999996</v>
      </c>
      <c r="M3858" s="195">
        <v>0.1102785</v>
      </c>
      <c r="N3858" s="195">
        <v>0.1102785</v>
      </c>
    </row>
    <row r="3859" spans="1:14" hidden="1" x14ac:dyDescent="0.35">
      <c r="A3859" s="52" t="s">
        <v>684</v>
      </c>
      <c r="B3859" s="52" t="s">
        <v>74</v>
      </c>
      <c r="C3859" s="52" t="s">
        <v>146</v>
      </c>
      <c r="D3859" s="52" t="s">
        <v>221</v>
      </c>
      <c r="E3859" s="52" t="s">
        <v>584</v>
      </c>
      <c r="F3859" s="52" t="s">
        <v>581</v>
      </c>
      <c r="G3859" s="195" t="s">
        <v>275</v>
      </c>
      <c r="H3859" s="195">
        <v>-5.8147999999999998E-2</v>
      </c>
      <c r="I3859" s="195">
        <v>-7.9400999999999999E-2</v>
      </c>
      <c r="J3859" s="195">
        <v>0</v>
      </c>
      <c r="K3859" s="195">
        <v>0</v>
      </c>
      <c r="L3859" s="195">
        <v>0</v>
      </c>
      <c r="M3859" s="195">
        <v>0</v>
      </c>
      <c r="N3859" s="195">
        <v>0</v>
      </c>
    </row>
    <row r="3860" spans="1:14" hidden="1" x14ac:dyDescent="0.35">
      <c r="A3860" s="52" t="s">
        <v>684</v>
      </c>
      <c r="B3860" s="52" t="s">
        <v>74</v>
      </c>
      <c r="C3860" s="52" t="s">
        <v>146</v>
      </c>
      <c r="D3860" s="52" t="s">
        <v>221</v>
      </c>
      <c r="E3860" s="52" t="s">
        <v>584</v>
      </c>
      <c r="F3860" s="52" t="s">
        <v>581</v>
      </c>
      <c r="G3860" s="195" t="s">
        <v>276</v>
      </c>
      <c r="H3860" s="195">
        <v>-3.8765000000000001E-2</v>
      </c>
      <c r="I3860" s="195">
        <v>-5.2933000000000001E-2</v>
      </c>
      <c r="J3860" s="195">
        <v>-0.13233400000000001</v>
      </c>
      <c r="K3860" s="195">
        <v>-4.107418</v>
      </c>
      <c r="L3860" s="195">
        <v>-1.424663</v>
      </c>
      <c r="M3860" s="195">
        <v>-0.13233400000000001</v>
      </c>
      <c r="N3860" s="195">
        <v>-0.13233300000000001</v>
      </c>
    </row>
    <row r="3861" spans="1:14" hidden="1" x14ac:dyDescent="0.35">
      <c r="A3861" s="52" t="s">
        <v>684</v>
      </c>
      <c r="B3861" s="52" t="s">
        <v>74</v>
      </c>
      <c r="C3861" s="52" t="s">
        <v>146</v>
      </c>
      <c r="D3861" s="52" t="s">
        <v>221</v>
      </c>
      <c r="E3861" s="52" t="s">
        <v>584</v>
      </c>
      <c r="F3861" s="52" t="s">
        <v>581</v>
      </c>
      <c r="G3861" s="195" t="s">
        <v>278</v>
      </c>
      <c r="H3861" s="195">
        <v>9.6911999999999998E-2</v>
      </c>
      <c r="I3861" s="195">
        <v>0.13233400000000001</v>
      </c>
      <c r="J3861" s="195">
        <v>0.13233400000000001</v>
      </c>
      <c r="K3861" s="195">
        <v>4.1074169999999999</v>
      </c>
      <c r="L3861" s="195">
        <v>1.424663</v>
      </c>
      <c r="M3861" s="195">
        <v>0.13233400000000001</v>
      </c>
      <c r="N3861" s="195">
        <v>0.13233400000000001</v>
      </c>
    </row>
    <row r="3862" spans="1:14" hidden="1" x14ac:dyDescent="0.35">
      <c r="A3862" s="52" t="s">
        <v>684</v>
      </c>
      <c r="B3862" s="52" t="s">
        <v>74</v>
      </c>
      <c r="C3862" s="52" t="s">
        <v>87</v>
      </c>
      <c r="D3862" s="52" t="s">
        <v>88</v>
      </c>
      <c r="E3862" s="52" t="s">
        <v>584</v>
      </c>
      <c r="F3862" s="52" t="s">
        <v>581</v>
      </c>
      <c r="G3862" s="195" t="s">
        <v>275</v>
      </c>
      <c r="H3862" s="195">
        <v>61.314349999999997</v>
      </c>
      <c r="I3862" s="195">
        <v>3.345075</v>
      </c>
      <c r="J3862" s="195">
        <v>19.648710000000001</v>
      </c>
      <c r="K3862" s="195">
        <v>12.18228</v>
      </c>
      <c r="L3862" s="195">
        <v>8.7320689999999992</v>
      </c>
      <c r="M3862" s="195">
        <v>6.5386329999999999</v>
      </c>
      <c r="N3862" s="195">
        <v>8.0672899999999998</v>
      </c>
    </row>
    <row r="3863" spans="1:14" hidden="1" x14ac:dyDescent="0.35">
      <c r="A3863" s="52" t="s">
        <v>684</v>
      </c>
      <c r="B3863" s="52" t="s">
        <v>74</v>
      </c>
      <c r="C3863" s="52" t="s">
        <v>87</v>
      </c>
      <c r="D3863" s="52" t="s">
        <v>88</v>
      </c>
      <c r="E3863" s="52" t="s">
        <v>584</v>
      </c>
      <c r="F3863" s="52" t="s">
        <v>581</v>
      </c>
      <c r="G3863" s="195" t="s">
        <v>276</v>
      </c>
      <c r="H3863" s="195">
        <v>37.203760000000003</v>
      </c>
      <c r="I3863" s="195">
        <v>-8.3579080000000001</v>
      </c>
      <c r="J3863" s="195">
        <v>10.44148</v>
      </c>
      <c r="K3863" s="195">
        <v>6.1305500000000004</v>
      </c>
      <c r="L3863" s="195">
        <v>3.8226209999999998</v>
      </c>
      <c r="M3863" s="195">
        <v>0.75954259999999996</v>
      </c>
      <c r="N3863" s="195">
        <v>3.3315679999999999</v>
      </c>
    </row>
    <row r="3864" spans="1:14" hidden="1" x14ac:dyDescent="0.35">
      <c r="A3864" s="52" t="s">
        <v>684</v>
      </c>
      <c r="B3864" s="52" t="s">
        <v>74</v>
      </c>
      <c r="C3864" s="52" t="s">
        <v>87</v>
      </c>
      <c r="D3864" s="52" t="s">
        <v>88</v>
      </c>
      <c r="E3864" s="52" t="s">
        <v>584</v>
      </c>
      <c r="F3864" s="52" t="s">
        <v>581</v>
      </c>
      <c r="G3864" s="195" t="s">
        <v>277</v>
      </c>
      <c r="H3864" s="195">
        <v>84.780699999999996</v>
      </c>
      <c r="I3864" s="195">
        <v>42.220260000000003</v>
      </c>
      <c r="J3864" s="195">
        <v>20.357479999999999</v>
      </c>
      <c r="K3864" s="195">
        <v>16.410730000000001</v>
      </c>
      <c r="L3864" s="195">
        <v>16.340810000000001</v>
      </c>
      <c r="M3864" s="195">
        <v>12.648999999999999</v>
      </c>
      <c r="N3864" s="195">
        <v>4.95235</v>
      </c>
    </row>
    <row r="3865" spans="1:14" hidden="1" x14ac:dyDescent="0.35">
      <c r="A3865" s="52" t="s">
        <v>684</v>
      </c>
      <c r="B3865" s="52" t="s">
        <v>74</v>
      </c>
      <c r="C3865" s="52" t="s">
        <v>87</v>
      </c>
      <c r="D3865" s="52" t="s">
        <v>88</v>
      </c>
      <c r="E3865" s="52" t="s">
        <v>584</v>
      </c>
      <c r="F3865" s="52" t="s">
        <v>581</v>
      </c>
      <c r="G3865" s="195" t="s">
        <v>278</v>
      </c>
      <c r="H3865" s="195">
        <v>0.20616209999999999</v>
      </c>
      <c r="I3865" s="195">
        <v>12.6465</v>
      </c>
      <c r="J3865" s="195">
        <v>0.53708299999999998</v>
      </c>
      <c r="K3865" s="195">
        <v>0.28151530000000002</v>
      </c>
      <c r="L3865" s="195">
        <v>0.29659079999999999</v>
      </c>
      <c r="M3865" s="195">
        <v>2.2819419999999999</v>
      </c>
      <c r="N3865" s="195">
        <v>1.535234</v>
      </c>
    </row>
    <row r="3866" spans="1:14" hidden="1" x14ac:dyDescent="0.35">
      <c r="A3866" s="52" t="s">
        <v>684</v>
      </c>
      <c r="B3866" s="52" t="s">
        <v>74</v>
      </c>
      <c r="C3866" s="52" t="s">
        <v>87</v>
      </c>
      <c r="D3866" s="52" t="s">
        <v>88</v>
      </c>
      <c r="E3866" s="52" t="s">
        <v>584</v>
      </c>
      <c r="F3866" s="52" t="s">
        <v>581</v>
      </c>
      <c r="G3866" s="195" t="s">
        <v>279</v>
      </c>
      <c r="H3866" s="195">
        <v>34.223239999999997</v>
      </c>
      <c r="I3866" s="195">
        <v>31.517340000000001</v>
      </c>
      <c r="J3866" s="195">
        <v>35.609070000000003</v>
      </c>
      <c r="K3866" s="195">
        <v>34.721679999999999</v>
      </c>
      <c r="L3866" s="195">
        <v>32.563560000000003</v>
      </c>
      <c r="M3866" s="195">
        <v>29.76519</v>
      </c>
      <c r="N3866" s="195">
        <v>27.688120000000001</v>
      </c>
    </row>
    <row r="3867" spans="1:14" hidden="1" x14ac:dyDescent="0.35">
      <c r="A3867" s="52" t="s">
        <v>684</v>
      </c>
      <c r="B3867" s="52" t="s">
        <v>74</v>
      </c>
      <c r="C3867" s="52" t="s">
        <v>87</v>
      </c>
      <c r="D3867" s="52" t="s">
        <v>88</v>
      </c>
      <c r="E3867" s="52" t="s">
        <v>584</v>
      </c>
      <c r="F3867" s="52" t="s">
        <v>26</v>
      </c>
      <c r="G3867" s="195" t="s">
        <v>275</v>
      </c>
      <c r="H3867" s="195">
        <v>36.390079999999998</v>
      </c>
      <c r="I3867" s="195">
        <v>26.024509999999999</v>
      </c>
      <c r="J3867" s="195">
        <v>34.846980000000002</v>
      </c>
      <c r="K3867" s="195">
        <v>26.846789999999999</v>
      </c>
      <c r="L3867" s="195">
        <v>23.970210000000002</v>
      </c>
      <c r="M3867" s="195">
        <v>21.471109999999999</v>
      </c>
      <c r="N3867" s="195">
        <v>19.208780000000001</v>
      </c>
    </row>
    <row r="3868" spans="1:14" hidden="1" x14ac:dyDescent="0.35">
      <c r="A3868" s="52" t="s">
        <v>684</v>
      </c>
      <c r="B3868" s="52" t="s">
        <v>74</v>
      </c>
      <c r="C3868" s="52" t="s">
        <v>87</v>
      </c>
      <c r="D3868" s="52" t="s">
        <v>88</v>
      </c>
      <c r="E3868" s="52" t="s">
        <v>584</v>
      </c>
      <c r="F3868" s="52" t="s">
        <v>26</v>
      </c>
      <c r="G3868" s="195" t="s">
        <v>276</v>
      </c>
      <c r="H3868" s="195">
        <v>23.90239</v>
      </c>
      <c r="I3868" s="195">
        <v>15.70354</v>
      </c>
      <c r="J3868" s="195">
        <v>22.931260000000002</v>
      </c>
      <c r="K3868" s="195">
        <v>17.526039999999998</v>
      </c>
      <c r="L3868" s="195">
        <v>15.532769999999999</v>
      </c>
      <c r="M3868" s="195">
        <v>13.887029999999999</v>
      </c>
      <c r="N3868" s="195">
        <v>12.198869999999999</v>
      </c>
    </row>
    <row r="3869" spans="1:14" hidden="1" x14ac:dyDescent="0.35">
      <c r="A3869" s="52" t="s">
        <v>684</v>
      </c>
      <c r="B3869" s="52" t="s">
        <v>74</v>
      </c>
      <c r="C3869" s="52" t="s">
        <v>87</v>
      </c>
      <c r="D3869" s="52" t="s">
        <v>88</v>
      </c>
      <c r="E3869" s="52" t="s">
        <v>584</v>
      </c>
      <c r="F3869" s="52" t="s">
        <v>26</v>
      </c>
      <c r="G3869" s="195" t="s">
        <v>277</v>
      </c>
      <c r="H3869" s="195">
        <v>13.07977</v>
      </c>
      <c r="I3869" s="195">
        <v>6.1566960000000002</v>
      </c>
      <c r="J3869" s="195">
        <v>2.8806449999999999</v>
      </c>
      <c r="K3869" s="195">
        <v>3.5794090000000001</v>
      </c>
      <c r="L3869" s="195">
        <v>4.3047380000000004</v>
      </c>
      <c r="M3869" s="195">
        <v>4.299588</v>
      </c>
      <c r="N3869" s="195">
        <v>6.0260509999999998</v>
      </c>
    </row>
    <row r="3870" spans="1:14" hidden="1" x14ac:dyDescent="0.35">
      <c r="A3870" s="52" t="s">
        <v>684</v>
      </c>
      <c r="B3870" s="52" t="s">
        <v>74</v>
      </c>
      <c r="C3870" s="52" t="s">
        <v>87</v>
      </c>
      <c r="D3870" s="52" t="s">
        <v>88</v>
      </c>
      <c r="E3870" s="52" t="s">
        <v>584</v>
      </c>
      <c r="F3870" s="52" t="s">
        <v>26</v>
      </c>
      <c r="G3870" s="195" t="s">
        <v>278</v>
      </c>
      <c r="H3870" s="195">
        <v>2.0497730000000001</v>
      </c>
      <c r="I3870" s="195">
        <v>0</v>
      </c>
      <c r="J3870" s="195"/>
      <c r="K3870" s="195"/>
      <c r="L3870" s="195"/>
      <c r="M3870" s="195"/>
      <c r="N3870" s="195"/>
    </row>
    <row r="3871" spans="1:14" hidden="1" x14ac:dyDescent="0.35">
      <c r="A3871" s="52" t="s">
        <v>684</v>
      </c>
      <c r="B3871" s="52" t="s">
        <v>74</v>
      </c>
      <c r="C3871" s="52" t="s">
        <v>87</v>
      </c>
      <c r="D3871" s="52" t="s">
        <v>88</v>
      </c>
      <c r="E3871" s="52" t="s">
        <v>584</v>
      </c>
      <c r="F3871" s="52" t="s">
        <v>26</v>
      </c>
      <c r="G3871" s="195" t="s">
        <v>279</v>
      </c>
      <c r="H3871" s="195">
        <v>26.720569999999999</v>
      </c>
      <c r="I3871" s="195">
        <v>24.72289</v>
      </c>
      <c r="J3871" s="195">
        <v>29.81504</v>
      </c>
      <c r="K3871" s="195">
        <v>27.71538</v>
      </c>
      <c r="L3871" s="195">
        <v>25.631270000000001</v>
      </c>
      <c r="M3871" s="195">
        <v>23.717700000000001</v>
      </c>
      <c r="N3871" s="195">
        <v>23.10107</v>
      </c>
    </row>
    <row r="3872" spans="1:14" hidden="1" x14ac:dyDescent="0.35">
      <c r="A3872" s="52" t="s">
        <v>684</v>
      </c>
      <c r="B3872" s="52" t="s">
        <v>74</v>
      </c>
      <c r="C3872" s="52" t="s">
        <v>87</v>
      </c>
      <c r="D3872" s="52" t="s">
        <v>130</v>
      </c>
      <c r="E3872" s="52" t="s">
        <v>584</v>
      </c>
      <c r="F3872" s="52" t="s">
        <v>581</v>
      </c>
      <c r="G3872" s="195" t="s">
        <v>275</v>
      </c>
      <c r="H3872" s="195">
        <v>37.270870000000002</v>
      </c>
      <c r="I3872" s="195">
        <v>1.77766</v>
      </c>
      <c r="J3872" s="195">
        <v>-4.5320689999999999</v>
      </c>
      <c r="K3872" s="195">
        <v>-4.7977939999999997</v>
      </c>
      <c r="L3872" s="195">
        <v>-2.2340779999999998</v>
      </c>
      <c r="M3872" s="195">
        <v>-2.8634740000000001</v>
      </c>
      <c r="N3872" s="195">
        <v>0.31527569999999999</v>
      </c>
    </row>
    <row r="3873" spans="1:14" hidden="1" x14ac:dyDescent="0.35">
      <c r="A3873" s="52" t="s">
        <v>684</v>
      </c>
      <c r="B3873" s="52" t="s">
        <v>74</v>
      </c>
      <c r="C3873" s="52" t="s">
        <v>87</v>
      </c>
      <c r="D3873" s="52" t="s">
        <v>130</v>
      </c>
      <c r="E3873" s="52" t="s">
        <v>584</v>
      </c>
      <c r="F3873" s="52" t="s">
        <v>581</v>
      </c>
      <c r="G3873" s="195" t="s">
        <v>276</v>
      </c>
      <c r="H3873" s="195">
        <v>23.473400000000002</v>
      </c>
      <c r="I3873" s="195">
        <v>0.68412010000000001</v>
      </c>
      <c r="J3873" s="195">
        <v>-6.8845619999999998</v>
      </c>
      <c r="K3873" s="195">
        <v>-4.0221</v>
      </c>
      <c r="L3873" s="195">
        <v>-1.690804</v>
      </c>
      <c r="M3873" s="195">
        <v>-2.1106739999999999</v>
      </c>
      <c r="N3873" s="195">
        <v>-0.1430109</v>
      </c>
    </row>
    <row r="3874" spans="1:14" hidden="1" x14ac:dyDescent="0.35">
      <c r="A3874" s="52" t="s">
        <v>684</v>
      </c>
      <c r="B3874" s="52" t="s">
        <v>74</v>
      </c>
      <c r="C3874" s="52" t="s">
        <v>87</v>
      </c>
      <c r="D3874" s="52" t="s">
        <v>130</v>
      </c>
      <c r="E3874" s="52" t="s">
        <v>584</v>
      </c>
      <c r="F3874" s="52" t="s">
        <v>581</v>
      </c>
      <c r="G3874" s="195" t="s">
        <v>277</v>
      </c>
      <c r="H3874" s="195">
        <v>13.18896</v>
      </c>
      <c r="I3874" s="195">
        <v>4.809482</v>
      </c>
      <c r="J3874" s="195">
        <v>4.3357169999999998</v>
      </c>
      <c r="K3874" s="195">
        <v>0.96740250000000005</v>
      </c>
      <c r="L3874" s="195">
        <v>1.140738</v>
      </c>
      <c r="M3874" s="195">
        <v>1.143362</v>
      </c>
      <c r="N3874" s="195">
        <v>1.270597</v>
      </c>
    </row>
    <row r="3875" spans="1:14" hidden="1" x14ac:dyDescent="0.35">
      <c r="A3875" s="52" t="s">
        <v>684</v>
      </c>
      <c r="B3875" s="52" t="s">
        <v>74</v>
      </c>
      <c r="C3875" s="52" t="s">
        <v>87</v>
      </c>
      <c r="D3875" s="52" t="s">
        <v>130</v>
      </c>
      <c r="E3875" s="52" t="s">
        <v>584</v>
      </c>
      <c r="F3875" s="52" t="s">
        <v>581</v>
      </c>
      <c r="G3875" s="195" t="s">
        <v>278</v>
      </c>
      <c r="H3875" s="195">
        <v>7.3698280000000005E-2</v>
      </c>
      <c r="I3875" s="195">
        <v>0.1006354</v>
      </c>
      <c r="J3875" s="195">
        <v>3.411546</v>
      </c>
      <c r="K3875" s="195">
        <v>0.72280100000000003</v>
      </c>
      <c r="L3875" s="195">
        <v>8.2589940000000001E-2</v>
      </c>
      <c r="M3875" s="195">
        <v>8.2589940000000001E-2</v>
      </c>
      <c r="N3875" s="195">
        <v>0.19256870000000001</v>
      </c>
    </row>
    <row r="3876" spans="1:14" hidden="1" x14ac:dyDescent="0.35">
      <c r="A3876" s="52" t="s">
        <v>684</v>
      </c>
      <c r="B3876" s="52" t="s">
        <v>74</v>
      </c>
      <c r="C3876" s="52" t="s">
        <v>87</v>
      </c>
      <c r="D3876" s="52" t="s">
        <v>130</v>
      </c>
      <c r="E3876" s="52" t="s">
        <v>584</v>
      </c>
      <c r="F3876" s="52" t="s">
        <v>581</v>
      </c>
      <c r="G3876" s="195" t="s">
        <v>279</v>
      </c>
      <c r="H3876" s="195">
        <v>30.028690000000001</v>
      </c>
      <c r="I3876" s="195">
        <v>24.490780000000001</v>
      </c>
      <c r="J3876" s="195">
        <v>25.485510000000001</v>
      </c>
      <c r="K3876" s="195">
        <v>27.362480000000001</v>
      </c>
      <c r="L3876" s="195">
        <v>22.770890000000001</v>
      </c>
      <c r="M3876" s="195">
        <v>22.30856</v>
      </c>
      <c r="N3876" s="195">
        <v>15.76272</v>
      </c>
    </row>
    <row r="3877" spans="1:14" hidden="1" x14ac:dyDescent="0.35">
      <c r="A3877" s="52" t="s">
        <v>684</v>
      </c>
      <c r="B3877" s="52" t="s">
        <v>74</v>
      </c>
      <c r="C3877" s="52" t="s">
        <v>87</v>
      </c>
      <c r="D3877" s="52" t="s">
        <v>130</v>
      </c>
      <c r="E3877" s="52" t="s">
        <v>584</v>
      </c>
      <c r="F3877" s="52" t="s">
        <v>26</v>
      </c>
      <c r="G3877" s="195" t="s">
        <v>275</v>
      </c>
      <c r="H3877" s="195">
        <v>10.08445</v>
      </c>
      <c r="I3877" s="195">
        <v>-1.674749</v>
      </c>
      <c r="J3877" s="195">
        <v>-1.044478</v>
      </c>
      <c r="K3877" s="195">
        <v>3.6896</v>
      </c>
      <c r="L3877" s="195">
        <v>5.2367179999999998</v>
      </c>
      <c r="M3877" s="195">
        <v>5.0073109999999996</v>
      </c>
      <c r="N3877" s="195">
        <v>1.239188</v>
      </c>
    </row>
    <row r="3878" spans="1:14" hidden="1" x14ac:dyDescent="0.35">
      <c r="A3878" s="52" t="s">
        <v>684</v>
      </c>
      <c r="B3878" s="52" t="s">
        <v>74</v>
      </c>
      <c r="C3878" s="52" t="s">
        <v>87</v>
      </c>
      <c r="D3878" s="52" t="s">
        <v>130</v>
      </c>
      <c r="E3878" s="52" t="s">
        <v>584</v>
      </c>
      <c r="F3878" s="52" t="s">
        <v>26</v>
      </c>
      <c r="G3878" s="195" t="s">
        <v>276</v>
      </c>
      <c r="H3878" s="195">
        <v>6.7229669999999997</v>
      </c>
      <c r="I3878" s="195">
        <v>-1.1164989999999999</v>
      </c>
      <c r="J3878" s="195">
        <v>-0.69631889999999996</v>
      </c>
      <c r="K3878" s="195">
        <v>-2.546141E-2</v>
      </c>
      <c r="L3878" s="195">
        <v>3.3524560000000001</v>
      </c>
      <c r="M3878" s="195">
        <v>3.1960519999999999</v>
      </c>
      <c r="N3878" s="195">
        <v>0.79226909999999995</v>
      </c>
    </row>
    <row r="3879" spans="1:14" hidden="1" x14ac:dyDescent="0.35">
      <c r="A3879" s="52" t="s">
        <v>684</v>
      </c>
      <c r="B3879" s="52" t="s">
        <v>74</v>
      </c>
      <c r="C3879" s="52" t="s">
        <v>87</v>
      </c>
      <c r="D3879" s="52" t="s">
        <v>130</v>
      </c>
      <c r="E3879" s="52" t="s">
        <v>584</v>
      </c>
      <c r="F3879" s="52" t="s">
        <v>26</v>
      </c>
      <c r="G3879" s="195" t="s">
        <v>277</v>
      </c>
      <c r="H3879" s="195">
        <v>0.74303010000000003</v>
      </c>
      <c r="I3879" s="195">
        <v>10.47423</v>
      </c>
      <c r="J3879" s="195">
        <v>8.1059760000000001</v>
      </c>
      <c r="K3879" s="195">
        <v>4.1606399999999999</v>
      </c>
      <c r="L3879" s="195">
        <v>1.3314189999999999</v>
      </c>
      <c r="M3879" s="195">
        <v>1.364703</v>
      </c>
      <c r="N3879" s="195">
        <v>0.32501649999999999</v>
      </c>
    </row>
    <row r="3880" spans="1:14" hidden="1" x14ac:dyDescent="0.35">
      <c r="A3880" s="52" t="s">
        <v>684</v>
      </c>
      <c r="B3880" s="52" t="s">
        <v>74</v>
      </c>
      <c r="C3880" s="52" t="s">
        <v>87</v>
      </c>
      <c r="D3880" s="52" t="s">
        <v>130</v>
      </c>
      <c r="E3880" s="52" t="s">
        <v>584</v>
      </c>
      <c r="F3880" s="52" t="s">
        <v>26</v>
      </c>
      <c r="G3880" s="195" t="s">
        <v>279</v>
      </c>
      <c r="H3880" s="195">
        <v>13.234999999999999</v>
      </c>
      <c r="I3880" s="195">
        <v>9.2210760000000001</v>
      </c>
      <c r="J3880" s="195">
        <v>7.2520949999999997</v>
      </c>
      <c r="K3880" s="195">
        <v>12.157220000000001</v>
      </c>
      <c r="L3880" s="195">
        <v>14.5861</v>
      </c>
      <c r="M3880" s="195">
        <v>13.914490000000001</v>
      </c>
      <c r="N3880" s="195">
        <v>19.487130000000001</v>
      </c>
    </row>
    <row r="3881" spans="1:14" hidden="1" x14ac:dyDescent="0.35">
      <c r="A3881" s="52" t="s">
        <v>684</v>
      </c>
      <c r="B3881" s="52" t="s">
        <v>74</v>
      </c>
      <c r="C3881" s="52" t="s">
        <v>87</v>
      </c>
      <c r="D3881" s="52" t="s">
        <v>89</v>
      </c>
      <c r="E3881" s="52" t="s">
        <v>584</v>
      </c>
      <c r="F3881" s="52" t="s">
        <v>581</v>
      </c>
      <c r="G3881" s="195" t="s">
        <v>275</v>
      </c>
      <c r="H3881" s="195">
        <v>-0.23951629999999999</v>
      </c>
      <c r="I3881" s="195">
        <v>1.8602209999999999</v>
      </c>
      <c r="J3881" s="195">
        <v>0.65434349999999997</v>
      </c>
      <c r="K3881" s="195">
        <v>-0.49930760000000002</v>
      </c>
      <c r="L3881" s="195">
        <v>-0.6409956</v>
      </c>
      <c r="M3881" s="195">
        <v>0.29415150000000001</v>
      </c>
      <c r="N3881" s="195">
        <v>0.23531740000000001</v>
      </c>
    </row>
    <row r="3882" spans="1:14" hidden="1" x14ac:dyDescent="0.35">
      <c r="A3882" s="52" t="s">
        <v>684</v>
      </c>
      <c r="B3882" s="52" t="s">
        <v>74</v>
      </c>
      <c r="C3882" s="52" t="s">
        <v>87</v>
      </c>
      <c r="D3882" s="52" t="s">
        <v>89</v>
      </c>
      <c r="E3882" s="52" t="s">
        <v>584</v>
      </c>
      <c r="F3882" s="52" t="s">
        <v>581</v>
      </c>
      <c r="G3882" s="195" t="s">
        <v>276</v>
      </c>
      <c r="H3882" s="195">
        <v>-4.6775539999999998</v>
      </c>
      <c r="I3882" s="195">
        <v>1.0796220000000001</v>
      </c>
      <c r="J3882" s="195">
        <v>0.33066649999999997</v>
      </c>
      <c r="K3882" s="195">
        <v>-0.41171160000000001</v>
      </c>
      <c r="L3882" s="195">
        <v>-0.47331119999999999</v>
      </c>
      <c r="M3882" s="195">
        <v>0.15215049999999999</v>
      </c>
      <c r="N3882" s="195">
        <v>0.15086659999999999</v>
      </c>
    </row>
    <row r="3883" spans="1:14" hidden="1" x14ac:dyDescent="0.35">
      <c r="A3883" s="52" t="s">
        <v>684</v>
      </c>
      <c r="B3883" s="52" t="s">
        <v>74</v>
      </c>
      <c r="C3883" s="52" t="s">
        <v>87</v>
      </c>
      <c r="D3883" s="52" t="s">
        <v>89</v>
      </c>
      <c r="E3883" s="52" t="s">
        <v>584</v>
      </c>
      <c r="F3883" s="52" t="s">
        <v>581</v>
      </c>
      <c r="G3883" s="195" t="s">
        <v>277</v>
      </c>
      <c r="H3883" s="195">
        <v>43.37162</v>
      </c>
      <c r="I3883" s="195">
        <v>1.541056</v>
      </c>
      <c r="J3883" s="195">
        <v>0.95568900000000001</v>
      </c>
      <c r="K3883" s="195">
        <v>0.69916060000000002</v>
      </c>
      <c r="L3883" s="195"/>
      <c r="M3883" s="195"/>
      <c r="N3883" s="195"/>
    </row>
    <row r="3884" spans="1:14" hidden="1" x14ac:dyDescent="0.35">
      <c r="A3884" s="52" t="s">
        <v>684</v>
      </c>
      <c r="B3884" s="52" t="s">
        <v>74</v>
      </c>
      <c r="C3884" s="52" t="s">
        <v>87</v>
      </c>
      <c r="D3884" s="52" t="s">
        <v>89</v>
      </c>
      <c r="E3884" s="52" t="s">
        <v>584</v>
      </c>
      <c r="F3884" s="52" t="s">
        <v>581</v>
      </c>
      <c r="G3884" s="195" t="s">
        <v>278</v>
      </c>
      <c r="H3884" s="195">
        <v>4.4021889999999999E-3</v>
      </c>
      <c r="I3884" s="195">
        <v>6.0112949999999998E-3</v>
      </c>
      <c r="J3884" s="195">
        <v>6.0112949999999998E-3</v>
      </c>
      <c r="K3884" s="195">
        <v>6.0112949999999998E-3</v>
      </c>
      <c r="L3884" s="195">
        <v>6.0112949999999998E-3</v>
      </c>
      <c r="M3884" s="195">
        <v>6.0112949999999998E-3</v>
      </c>
      <c r="N3884" s="195">
        <v>6.0112949999999998E-3</v>
      </c>
    </row>
    <row r="3885" spans="1:14" hidden="1" x14ac:dyDescent="0.35">
      <c r="A3885" s="52" t="s">
        <v>684</v>
      </c>
      <c r="B3885" s="52" t="s">
        <v>74</v>
      </c>
      <c r="C3885" s="52" t="s">
        <v>87</v>
      </c>
      <c r="D3885" s="52" t="s">
        <v>89</v>
      </c>
      <c r="E3885" s="52" t="s">
        <v>584</v>
      </c>
      <c r="F3885" s="52" t="s">
        <v>581</v>
      </c>
      <c r="G3885" s="195" t="s">
        <v>279</v>
      </c>
      <c r="H3885" s="195">
        <v>19.707940000000001</v>
      </c>
      <c r="I3885" s="195">
        <v>17.360240000000001</v>
      </c>
      <c r="J3885" s="195">
        <v>17.348520000000001</v>
      </c>
      <c r="K3885" s="195">
        <v>19.983630000000002</v>
      </c>
      <c r="L3885" s="195">
        <v>20.06523</v>
      </c>
      <c r="M3885" s="195"/>
      <c r="N3885" s="195"/>
    </row>
    <row r="3886" spans="1:14" hidden="1" x14ac:dyDescent="0.35">
      <c r="A3886" s="52" t="s">
        <v>684</v>
      </c>
      <c r="B3886" s="52" t="s">
        <v>74</v>
      </c>
      <c r="C3886" s="52" t="s">
        <v>87</v>
      </c>
      <c r="D3886" s="52" t="s">
        <v>89</v>
      </c>
      <c r="E3886" s="52" t="s">
        <v>584</v>
      </c>
      <c r="F3886" s="52" t="s">
        <v>26</v>
      </c>
      <c r="G3886" s="195" t="s">
        <v>275</v>
      </c>
      <c r="H3886" s="195">
        <v>-0.36823919999999999</v>
      </c>
      <c r="I3886" s="195">
        <v>-0.47399550000000001</v>
      </c>
      <c r="J3886" s="195">
        <v>-0.47602650000000002</v>
      </c>
      <c r="K3886" s="195">
        <v>-0.57307180000000002</v>
      </c>
      <c r="L3886" s="195">
        <v>-0.56119759999999996</v>
      </c>
      <c r="M3886" s="195"/>
      <c r="N3886" s="195"/>
    </row>
    <row r="3887" spans="1:14" hidden="1" x14ac:dyDescent="0.35">
      <c r="A3887" s="52" t="s">
        <v>684</v>
      </c>
      <c r="B3887" s="52" t="s">
        <v>74</v>
      </c>
      <c r="C3887" s="52" t="s">
        <v>87</v>
      </c>
      <c r="D3887" s="52" t="s">
        <v>89</v>
      </c>
      <c r="E3887" s="52" t="s">
        <v>584</v>
      </c>
      <c r="F3887" s="52" t="s">
        <v>26</v>
      </c>
      <c r="G3887" s="195" t="s">
        <v>276</v>
      </c>
      <c r="H3887" s="195">
        <v>-0.24549260000000001</v>
      </c>
      <c r="I3887" s="195">
        <v>-0.31599699999999997</v>
      </c>
      <c r="J3887" s="195">
        <v>-0.31735079999999999</v>
      </c>
      <c r="K3887" s="195">
        <v>-0.38204759999999999</v>
      </c>
      <c r="L3887" s="195">
        <v>-0.37413229999999997</v>
      </c>
      <c r="M3887" s="195"/>
      <c r="N3887" s="195"/>
    </row>
    <row r="3888" spans="1:14" hidden="1" x14ac:dyDescent="0.35">
      <c r="A3888" s="52" t="s">
        <v>684</v>
      </c>
      <c r="B3888" s="52" t="s">
        <v>74</v>
      </c>
      <c r="C3888" s="52" t="s">
        <v>87</v>
      </c>
      <c r="D3888" s="52" t="s">
        <v>89</v>
      </c>
      <c r="E3888" s="52" t="s">
        <v>584</v>
      </c>
      <c r="F3888" s="52" t="s">
        <v>26</v>
      </c>
      <c r="G3888" s="195" t="s">
        <v>279</v>
      </c>
      <c r="H3888" s="195">
        <v>2.5982850000000002</v>
      </c>
      <c r="I3888" s="195">
        <v>1.9845870000000001</v>
      </c>
      <c r="J3888" s="195">
        <v>2.0676160000000001</v>
      </c>
      <c r="K3888" s="195">
        <v>2.2605940000000002</v>
      </c>
      <c r="L3888" s="195">
        <v>2.2105990000000002</v>
      </c>
      <c r="M3888" s="195"/>
      <c r="N3888" s="195"/>
    </row>
    <row r="3889" spans="1:14" hidden="1" x14ac:dyDescent="0.35">
      <c r="A3889" s="52" t="s">
        <v>684</v>
      </c>
      <c r="B3889" s="52" t="s">
        <v>74</v>
      </c>
      <c r="C3889" s="52" t="s">
        <v>87</v>
      </c>
      <c r="D3889" s="52" t="s">
        <v>199</v>
      </c>
      <c r="E3889" s="52" t="s">
        <v>584</v>
      </c>
      <c r="F3889" s="52" t="s">
        <v>581</v>
      </c>
      <c r="G3889" s="195" t="s">
        <v>275</v>
      </c>
      <c r="H3889" s="195">
        <v>6.4733419999999997</v>
      </c>
      <c r="I3889" s="195">
        <v>2.0431910000000002</v>
      </c>
      <c r="J3889" s="195">
        <v>1.291404</v>
      </c>
      <c r="K3889" s="195">
        <v>0.44093329999999997</v>
      </c>
      <c r="L3889" s="195">
        <v>0.6832241</v>
      </c>
      <c r="M3889" s="195">
        <v>1.1198619999999999</v>
      </c>
      <c r="N3889" s="195">
        <v>1.1907840000000001</v>
      </c>
    </row>
    <row r="3890" spans="1:14" hidden="1" x14ac:dyDescent="0.35">
      <c r="A3890" s="52" t="s">
        <v>684</v>
      </c>
      <c r="B3890" s="52" t="s">
        <v>74</v>
      </c>
      <c r="C3890" s="52" t="s">
        <v>87</v>
      </c>
      <c r="D3890" s="52" t="s">
        <v>199</v>
      </c>
      <c r="E3890" s="52" t="s">
        <v>584</v>
      </c>
      <c r="F3890" s="52" t="s">
        <v>581</v>
      </c>
      <c r="G3890" s="195" t="s">
        <v>276</v>
      </c>
      <c r="H3890" s="195">
        <v>4.3155599999999996</v>
      </c>
      <c r="I3890" s="195">
        <v>1.362128</v>
      </c>
      <c r="J3890" s="195">
        <v>-7.79948</v>
      </c>
      <c r="K3890" s="195">
        <v>0.24991450000000001</v>
      </c>
      <c r="L3890" s="195">
        <v>0.22510939999999999</v>
      </c>
      <c r="M3890" s="195">
        <v>0.58803179999999999</v>
      </c>
      <c r="N3890" s="195">
        <v>0.67206279999999996</v>
      </c>
    </row>
    <row r="3891" spans="1:14" hidden="1" x14ac:dyDescent="0.35">
      <c r="A3891" s="52" t="s">
        <v>684</v>
      </c>
      <c r="B3891" s="52" t="s">
        <v>74</v>
      </c>
      <c r="C3891" s="52" t="s">
        <v>87</v>
      </c>
      <c r="D3891" s="52" t="s">
        <v>199</v>
      </c>
      <c r="E3891" s="52" t="s">
        <v>584</v>
      </c>
      <c r="F3891" s="52" t="s">
        <v>581</v>
      </c>
      <c r="G3891" s="195" t="s">
        <v>277</v>
      </c>
      <c r="H3891" s="195"/>
      <c r="I3891" s="195"/>
      <c r="J3891" s="195">
        <v>0</v>
      </c>
      <c r="K3891" s="195">
        <v>0</v>
      </c>
      <c r="L3891" s="195">
        <v>0</v>
      </c>
      <c r="M3891" s="195">
        <v>0</v>
      </c>
      <c r="N3891" s="195">
        <v>0</v>
      </c>
    </row>
    <row r="3892" spans="1:14" hidden="1" x14ac:dyDescent="0.35">
      <c r="A3892" s="52" t="s">
        <v>684</v>
      </c>
      <c r="B3892" s="52" t="s">
        <v>74</v>
      </c>
      <c r="C3892" s="52" t="s">
        <v>87</v>
      </c>
      <c r="D3892" s="52" t="s">
        <v>199</v>
      </c>
      <c r="E3892" s="52" t="s">
        <v>584</v>
      </c>
      <c r="F3892" s="52" t="s">
        <v>581</v>
      </c>
      <c r="G3892" s="195" t="s">
        <v>278</v>
      </c>
      <c r="H3892" s="195">
        <v>3.2251969999999998E-2</v>
      </c>
      <c r="I3892" s="195">
        <v>4.4039849999999998E-2</v>
      </c>
      <c r="J3892" s="195">
        <v>8.6604170000000007</v>
      </c>
      <c r="K3892" s="195">
        <v>4.4039849999999998E-2</v>
      </c>
      <c r="L3892" s="195">
        <v>0.23037340000000001</v>
      </c>
      <c r="M3892" s="195">
        <v>0.1585425</v>
      </c>
      <c r="N3892" s="195">
        <v>0.1217936</v>
      </c>
    </row>
    <row r="3893" spans="1:14" hidden="1" x14ac:dyDescent="0.35">
      <c r="A3893" s="52" t="s">
        <v>684</v>
      </c>
      <c r="B3893" s="52" t="s">
        <v>74</v>
      </c>
      <c r="C3893" s="52" t="s">
        <v>87</v>
      </c>
      <c r="D3893" s="52" t="s">
        <v>199</v>
      </c>
      <c r="E3893" s="52" t="s">
        <v>584</v>
      </c>
      <c r="F3893" s="52" t="s">
        <v>581</v>
      </c>
      <c r="G3893" s="195" t="s">
        <v>279</v>
      </c>
      <c r="H3893" s="195">
        <v>1.465322</v>
      </c>
      <c r="I3893" s="195">
        <v>1.328638</v>
      </c>
      <c r="J3893" s="195">
        <v>1.0481309999999999</v>
      </c>
      <c r="K3893" s="195">
        <v>0.39453149999999998</v>
      </c>
      <c r="L3893" s="195">
        <v>0.66832080000000005</v>
      </c>
      <c r="M3893" s="195">
        <v>1.02064</v>
      </c>
      <c r="N3893" s="195">
        <v>1.062521</v>
      </c>
    </row>
    <row r="3894" spans="1:14" hidden="1" x14ac:dyDescent="0.35">
      <c r="A3894" s="52" t="s">
        <v>684</v>
      </c>
      <c r="B3894" s="52" t="s">
        <v>74</v>
      </c>
      <c r="C3894" s="52" t="s">
        <v>87</v>
      </c>
      <c r="D3894" s="52" t="s">
        <v>199</v>
      </c>
      <c r="E3894" s="52" t="s">
        <v>584</v>
      </c>
      <c r="F3894" s="52" t="s">
        <v>26</v>
      </c>
      <c r="G3894" s="195" t="s">
        <v>275</v>
      </c>
      <c r="H3894" s="195">
        <v>1.07392</v>
      </c>
      <c r="I3894" s="195">
        <v>-2.7178749999999998</v>
      </c>
      <c r="J3894" s="195">
        <v>-3.1776399999999998</v>
      </c>
      <c r="K3894" s="195">
        <v>-3.315823</v>
      </c>
      <c r="L3894" s="195">
        <v>-1.9613510000000001</v>
      </c>
      <c r="M3894" s="195">
        <v>-0.76434270000000004</v>
      </c>
      <c r="N3894" s="195">
        <v>2.5964600000000001E-2</v>
      </c>
    </row>
    <row r="3895" spans="1:14" hidden="1" x14ac:dyDescent="0.35">
      <c r="A3895" s="52" t="s">
        <v>684</v>
      </c>
      <c r="B3895" s="52" t="s">
        <v>74</v>
      </c>
      <c r="C3895" s="52" t="s">
        <v>87</v>
      </c>
      <c r="D3895" s="52" t="s">
        <v>199</v>
      </c>
      <c r="E3895" s="52" t="s">
        <v>584</v>
      </c>
      <c r="F3895" s="52" t="s">
        <v>26</v>
      </c>
      <c r="G3895" s="195" t="s">
        <v>276</v>
      </c>
      <c r="H3895" s="195">
        <v>0.19187709999999999</v>
      </c>
      <c r="I3895" s="195">
        <v>-2.7082540000000002</v>
      </c>
      <c r="J3895" s="195">
        <v>-2.9806089999999998</v>
      </c>
      <c r="K3895" s="195">
        <v>-2.6298210000000002</v>
      </c>
      <c r="L3895" s="195">
        <v>-1.539466</v>
      </c>
      <c r="M3895" s="195">
        <v>-0.65234119999999995</v>
      </c>
      <c r="N3895" s="195">
        <v>1.7309930000000001E-2</v>
      </c>
    </row>
    <row r="3896" spans="1:14" hidden="1" x14ac:dyDescent="0.35">
      <c r="A3896" s="52" t="s">
        <v>684</v>
      </c>
      <c r="B3896" s="52" t="s">
        <v>74</v>
      </c>
      <c r="C3896" s="52" t="s">
        <v>87</v>
      </c>
      <c r="D3896" s="52" t="s">
        <v>199</v>
      </c>
      <c r="E3896" s="52" t="s">
        <v>584</v>
      </c>
      <c r="F3896" s="52" t="s">
        <v>26</v>
      </c>
      <c r="G3896" s="195" t="s">
        <v>277</v>
      </c>
      <c r="H3896" s="195">
        <v>5.0310740000000003</v>
      </c>
      <c r="I3896" s="195">
        <v>8.604832</v>
      </c>
      <c r="J3896" s="195">
        <v>8.2769460000000006</v>
      </c>
      <c r="K3896" s="195">
        <v>4.0250149999999998</v>
      </c>
      <c r="L3896" s="195">
        <v>2.2262230000000001</v>
      </c>
      <c r="M3896" s="195">
        <v>1.370681</v>
      </c>
      <c r="N3896" s="195"/>
    </row>
    <row r="3897" spans="1:14" hidden="1" x14ac:dyDescent="0.35">
      <c r="A3897" s="52" t="s">
        <v>684</v>
      </c>
      <c r="B3897" s="52" t="s">
        <v>74</v>
      </c>
      <c r="C3897" s="52" t="s">
        <v>87</v>
      </c>
      <c r="D3897" s="52" t="s">
        <v>199</v>
      </c>
      <c r="E3897" s="52" t="s">
        <v>584</v>
      </c>
      <c r="F3897" s="52" t="s">
        <v>26</v>
      </c>
      <c r="G3897" s="195" t="s">
        <v>279</v>
      </c>
      <c r="H3897" s="195">
        <v>7.0933520000000003</v>
      </c>
      <c r="I3897" s="195">
        <v>6.3907319999999999</v>
      </c>
      <c r="J3897" s="195">
        <v>5.6229120000000004</v>
      </c>
      <c r="K3897" s="195">
        <v>4.6512560000000001</v>
      </c>
      <c r="L3897" s="195">
        <v>5.22593</v>
      </c>
      <c r="M3897" s="195">
        <v>5.9953830000000004</v>
      </c>
      <c r="N3897" s="195">
        <v>6.1669650000000003</v>
      </c>
    </row>
    <row r="3898" spans="1:14" hidden="1" x14ac:dyDescent="0.35">
      <c r="A3898" s="52" t="s">
        <v>684</v>
      </c>
      <c r="B3898" s="52" t="s">
        <v>74</v>
      </c>
      <c r="C3898" s="52" t="s">
        <v>87</v>
      </c>
      <c r="D3898" s="52" t="s">
        <v>90</v>
      </c>
      <c r="E3898" s="52" t="s">
        <v>584</v>
      </c>
      <c r="F3898" s="52" t="s">
        <v>581</v>
      </c>
      <c r="G3898" s="195" t="s">
        <v>275</v>
      </c>
      <c r="H3898" s="195">
        <v>0</v>
      </c>
      <c r="I3898" s="195"/>
      <c r="J3898" s="195"/>
      <c r="K3898" s="195">
        <v>0</v>
      </c>
      <c r="L3898" s="195">
        <v>-1.320756</v>
      </c>
      <c r="M3898" s="195">
        <v>-0.97860659999999999</v>
      </c>
      <c r="N3898" s="195">
        <v>1.9226559999999999</v>
      </c>
    </row>
    <row r="3899" spans="1:14" hidden="1" x14ac:dyDescent="0.35">
      <c r="A3899" s="52" t="s">
        <v>684</v>
      </c>
      <c r="B3899" s="52" t="s">
        <v>74</v>
      </c>
      <c r="C3899" s="52" t="s">
        <v>87</v>
      </c>
      <c r="D3899" s="52" t="s">
        <v>90</v>
      </c>
      <c r="E3899" s="52" t="s">
        <v>584</v>
      </c>
      <c r="F3899" s="52" t="s">
        <v>581</v>
      </c>
      <c r="G3899" s="195" t="s">
        <v>276</v>
      </c>
      <c r="H3899" s="195">
        <v>0</v>
      </c>
      <c r="I3899" s="195"/>
      <c r="J3899" s="195"/>
      <c r="K3899" s="195">
        <v>0</v>
      </c>
      <c r="L3899" s="195">
        <v>-0.88050399999999995</v>
      </c>
      <c r="M3899" s="195">
        <v>-1.493941</v>
      </c>
      <c r="N3899" s="195">
        <v>1.281771</v>
      </c>
    </row>
    <row r="3900" spans="1:14" hidden="1" x14ac:dyDescent="0.35">
      <c r="A3900" s="52" t="s">
        <v>684</v>
      </c>
      <c r="B3900" s="52" t="s">
        <v>74</v>
      </c>
      <c r="C3900" s="52" t="s">
        <v>87</v>
      </c>
      <c r="D3900" s="52" t="s">
        <v>90</v>
      </c>
      <c r="E3900" s="52" t="s">
        <v>584</v>
      </c>
      <c r="F3900" s="52" t="s">
        <v>581</v>
      </c>
      <c r="G3900" s="195" t="s">
        <v>277</v>
      </c>
      <c r="H3900" s="195">
        <v>0</v>
      </c>
      <c r="I3900" s="195"/>
      <c r="J3900" s="195">
        <v>0</v>
      </c>
      <c r="K3900" s="195">
        <v>0</v>
      </c>
      <c r="L3900" s="195">
        <v>2.20126</v>
      </c>
      <c r="M3900" s="195">
        <v>5.8774949999999997</v>
      </c>
      <c r="N3900" s="195">
        <v>0</v>
      </c>
    </row>
    <row r="3901" spans="1:14" hidden="1" x14ac:dyDescent="0.35">
      <c r="A3901" s="52" t="s">
        <v>684</v>
      </c>
      <c r="B3901" s="52" t="s">
        <v>74</v>
      </c>
      <c r="C3901" s="52" t="s">
        <v>87</v>
      </c>
      <c r="D3901" s="52" t="s">
        <v>90</v>
      </c>
      <c r="E3901" s="52" t="s">
        <v>584</v>
      </c>
      <c r="F3901" s="52" t="s">
        <v>581</v>
      </c>
      <c r="G3901" s="195" t="s">
        <v>279</v>
      </c>
      <c r="H3901" s="195"/>
      <c r="I3901" s="195"/>
      <c r="J3901" s="195"/>
      <c r="K3901" s="195"/>
      <c r="L3901" s="195">
        <v>0</v>
      </c>
      <c r="M3901" s="195">
        <v>1.070748</v>
      </c>
      <c r="N3901" s="195">
        <v>1.0076160000000001</v>
      </c>
    </row>
    <row r="3902" spans="1:14" hidden="1" x14ac:dyDescent="0.35">
      <c r="A3902" s="52" t="s">
        <v>684</v>
      </c>
      <c r="B3902" s="52" t="s">
        <v>74</v>
      </c>
      <c r="C3902" s="52" t="s">
        <v>87</v>
      </c>
      <c r="D3902" s="52" t="s">
        <v>90</v>
      </c>
      <c r="E3902" s="52" t="s">
        <v>584</v>
      </c>
      <c r="F3902" s="52" t="s">
        <v>26</v>
      </c>
      <c r="G3902" s="195" t="s">
        <v>275</v>
      </c>
      <c r="H3902" s="195">
        <v>0</v>
      </c>
      <c r="I3902" s="195">
        <v>-0.3</v>
      </c>
      <c r="J3902" s="195">
        <v>-0.06</v>
      </c>
      <c r="K3902" s="195">
        <v>-0.6</v>
      </c>
      <c r="L3902" s="195">
        <v>-0.64146320000000001</v>
      </c>
      <c r="M3902" s="195">
        <v>0.52370079999999997</v>
      </c>
      <c r="N3902" s="195">
        <v>1.654185</v>
      </c>
    </row>
    <row r="3903" spans="1:14" hidden="1" x14ac:dyDescent="0.35">
      <c r="A3903" s="52" t="s">
        <v>684</v>
      </c>
      <c r="B3903" s="52" t="s">
        <v>74</v>
      </c>
      <c r="C3903" s="52" t="s">
        <v>87</v>
      </c>
      <c r="D3903" s="52" t="s">
        <v>90</v>
      </c>
      <c r="E3903" s="52" t="s">
        <v>584</v>
      </c>
      <c r="F3903" s="52" t="s">
        <v>26</v>
      </c>
      <c r="G3903" s="195" t="s">
        <v>276</v>
      </c>
      <c r="H3903" s="195">
        <v>0</v>
      </c>
      <c r="I3903" s="195">
        <v>-0.2</v>
      </c>
      <c r="J3903" s="195">
        <v>-0.04</v>
      </c>
      <c r="K3903" s="195">
        <v>-0.4</v>
      </c>
      <c r="L3903" s="195">
        <v>-0.42764219999999997</v>
      </c>
      <c r="M3903" s="195">
        <v>-0.1788486</v>
      </c>
      <c r="N3903" s="195">
        <v>1.0837220000000001</v>
      </c>
    </row>
    <row r="3904" spans="1:14" hidden="1" x14ac:dyDescent="0.35">
      <c r="A3904" s="52" t="s">
        <v>684</v>
      </c>
      <c r="B3904" s="52" t="s">
        <v>74</v>
      </c>
      <c r="C3904" s="52" t="s">
        <v>87</v>
      </c>
      <c r="D3904" s="52" t="s">
        <v>90</v>
      </c>
      <c r="E3904" s="52" t="s">
        <v>584</v>
      </c>
      <c r="F3904" s="52" t="s">
        <v>26</v>
      </c>
      <c r="G3904" s="195" t="s">
        <v>277</v>
      </c>
      <c r="H3904" s="195">
        <v>0</v>
      </c>
      <c r="I3904" s="195">
        <v>0.5</v>
      </c>
      <c r="J3904" s="195">
        <v>0.1</v>
      </c>
      <c r="K3904" s="195">
        <v>0.99999990000000005</v>
      </c>
      <c r="L3904" s="195">
        <v>1.0691059999999999</v>
      </c>
      <c r="M3904" s="195">
        <v>2.7995269999999999</v>
      </c>
      <c r="N3904" s="195">
        <v>0.18304619999999999</v>
      </c>
    </row>
    <row r="3905" spans="1:14" hidden="1" x14ac:dyDescent="0.35">
      <c r="A3905" s="52" t="s">
        <v>684</v>
      </c>
      <c r="B3905" s="52" t="s">
        <v>74</v>
      </c>
      <c r="C3905" s="52" t="s">
        <v>87</v>
      </c>
      <c r="D3905" s="52" t="s">
        <v>90</v>
      </c>
      <c r="E3905" s="52" t="s">
        <v>584</v>
      </c>
      <c r="F3905" s="52" t="s">
        <v>26</v>
      </c>
      <c r="G3905" s="195" t="s">
        <v>279</v>
      </c>
      <c r="H3905" s="195"/>
      <c r="I3905" s="195"/>
      <c r="J3905" s="195"/>
      <c r="K3905" s="195"/>
      <c r="L3905" s="195">
        <v>0</v>
      </c>
      <c r="M3905" s="195">
        <v>1.917621</v>
      </c>
      <c r="N3905" s="195">
        <v>1.8428070000000001</v>
      </c>
    </row>
    <row r="3906" spans="1:14" hidden="1" x14ac:dyDescent="0.35">
      <c r="A3906" s="52" t="s">
        <v>684</v>
      </c>
      <c r="B3906" s="52" t="s">
        <v>74</v>
      </c>
      <c r="C3906" s="52" t="s">
        <v>71</v>
      </c>
      <c r="D3906" s="52" t="s">
        <v>77</v>
      </c>
      <c r="E3906" s="52" t="s">
        <v>584</v>
      </c>
      <c r="F3906" s="52" t="s">
        <v>581</v>
      </c>
      <c r="G3906" s="195" t="s">
        <v>275</v>
      </c>
      <c r="H3906" s="195">
        <v>9.1420480000000008</v>
      </c>
      <c r="I3906" s="195">
        <v>-2.6887159999999999</v>
      </c>
      <c r="J3906" s="195">
        <v>-83.984700000000004</v>
      </c>
      <c r="K3906" s="195">
        <v>-91.547219999999996</v>
      </c>
      <c r="L3906" s="195">
        <v>-4.2490940000000004</v>
      </c>
      <c r="M3906" s="195">
        <v>-1.2640739999999999</v>
      </c>
      <c r="N3906" s="195">
        <v>-7.4810239999999997</v>
      </c>
    </row>
    <row r="3907" spans="1:14" hidden="1" x14ac:dyDescent="0.35">
      <c r="A3907" s="52" t="s">
        <v>684</v>
      </c>
      <c r="B3907" s="52" t="s">
        <v>74</v>
      </c>
      <c r="C3907" s="52" t="s">
        <v>71</v>
      </c>
      <c r="D3907" s="52" t="s">
        <v>77</v>
      </c>
      <c r="E3907" s="52" t="s">
        <v>584</v>
      </c>
      <c r="F3907" s="52" t="s">
        <v>581</v>
      </c>
      <c r="G3907" s="195" t="s">
        <v>276</v>
      </c>
      <c r="H3907" s="195">
        <v>5.8342229999999997</v>
      </c>
      <c r="I3907" s="195">
        <v>-1.9450510000000001</v>
      </c>
      <c r="J3907" s="195">
        <v>-56.129159999999999</v>
      </c>
      <c r="K3907" s="195">
        <v>-61.148670000000003</v>
      </c>
      <c r="L3907" s="195">
        <v>-2.9287079999999999</v>
      </c>
      <c r="M3907" s="195">
        <v>-0.87670029999999999</v>
      </c>
      <c r="N3907" s="195">
        <v>-5.021331</v>
      </c>
    </row>
    <row r="3908" spans="1:14" hidden="1" x14ac:dyDescent="0.35">
      <c r="A3908" s="52" t="s">
        <v>684</v>
      </c>
      <c r="B3908" s="52" t="s">
        <v>74</v>
      </c>
      <c r="C3908" s="52" t="s">
        <v>71</v>
      </c>
      <c r="D3908" s="52" t="s">
        <v>77</v>
      </c>
      <c r="E3908" s="52" t="s">
        <v>584</v>
      </c>
      <c r="F3908" s="52" t="s">
        <v>581</v>
      </c>
      <c r="G3908" s="195" t="s">
        <v>277</v>
      </c>
      <c r="H3908" s="195">
        <v>2.500572</v>
      </c>
      <c r="I3908" s="195">
        <v>1.4646950000000001</v>
      </c>
      <c r="J3908" s="195">
        <v>1.011657</v>
      </c>
      <c r="K3908" s="195">
        <v>0.79885349999999999</v>
      </c>
      <c r="L3908" s="195">
        <v>0.59514719999999999</v>
      </c>
      <c r="M3908" s="195">
        <v>0</v>
      </c>
      <c r="N3908" s="195">
        <v>0</v>
      </c>
    </row>
    <row r="3909" spans="1:14" hidden="1" x14ac:dyDescent="0.35">
      <c r="A3909" s="52" t="s">
        <v>684</v>
      </c>
      <c r="B3909" s="52" t="s">
        <v>74</v>
      </c>
      <c r="C3909" s="52" t="s">
        <v>71</v>
      </c>
      <c r="D3909" s="52" t="s">
        <v>77</v>
      </c>
      <c r="E3909" s="52" t="s">
        <v>584</v>
      </c>
      <c r="F3909" s="52" t="s">
        <v>581</v>
      </c>
      <c r="G3909" s="195" t="s">
        <v>278</v>
      </c>
      <c r="H3909" s="195">
        <v>0.10417990000000001</v>
      </c>
      <c r="I3909" s="195">
        <v>0.1422571</v>
      </c>
      <c r="J3909" s="195">
        <v>3.3983470000000002E-2</v>
      </c>
      <c r="K3909" s="195">
        <v>3.3983470000000002E-2</v>
      </c>
      <c r="L3909" s="195">
        <v>3.3983470000000002E-2</v>
      </c>
      <c r="M3909" s="195">
        <v>3.3983470000000002E-2</v>
      </c>
      <c r="N3909" s="195">
        <v>3.3983470000000002E-2</v>
      </c>
    </row>
    <row r="3910" spans="1:14" hidden="1" x14ac:dyDescent="0.35">
      <c r="A3910" s="52" t="s">
        <v>684</v>
      </c>
      <c r="B3910" s="52" t="s">
        <v>74</v>
      </c>
      <c r="C3910" s="52" t="s">
        <v>71</v>
      </c>
      <c r="D3910" s="52" t="s">
        <v>77</v>
      </c>
      <c r="E3910" s="52" t="s">
        <v>584</v>
      </c>
      <c r="F3910" s="52" t="s">
        <v>581</v>
      </c>
      <c r="G3910" s="195" t="s">
        <v>279</v>
      </c>
      <c r="H3910" s="195">
        <v>21.199449999999999</v>
      </c>
      <c r="I3910" s="195">
        <v>13.52101</v>
      </c>
      <c r="J3910" s="195">
        <v>146.32079999999999</v>
      </c>
      <c r="K3910" s="195">
        <v>157.9958</v>
      </c>
      <c r="L3910" s="195">
        <v>10.68146</v>
      </c>
      <c r="M3910" s="195">
        <v>5.6783130000000002</v>
      </c>
      <c r="N3910" s="195">
        <v>15.574009999999999</v>
      </c>
    </row>
    <row r="3911" spans="1:14" hidden="1" x14ac:dyDescent="0.35">
      <c r="A3911" s="52" t="s">
        <v>684</v>
      </c>
      <c r="B3911" s="52" t="s">
        <v>74</v>
      </c>
      <c r="C3911" s="52" t="s">
        <v>71</v>
      </c>
      <c r="D3911" s="52" t="s">
        <v>76</v>
      </c>
      <c r="E3911" s="52" t="s">
        <v>584</v>
      </c>
      <c r="F3911" s="52" t="s">
        <v>581</v>
      </c>
      <c r="G3911" s="195" t="s">
        <v>275</v>
      </c>
      <c r="H3911" s="195">
        <v>0.20259540000000001</v>
      </c>
      <c r="I3911" s="195">
        <v>-0.15345800000000001</v>
      </c>
      <c r="J3911" s="195">
        <v>-0.17698</v>
      </c>
      <c r="K3911" s="195">
        <v>-0.21803510000000001</v>
      </c>
      <c r="L3911" s="195">
        <v>0</v>
      </c>
      <c r="M3911" s="195">
        <v>0</v>
      </c>
      <c r="N3911" s="195">
        <v>0</v>
      </c>
    </row>
    <row r="3912" spans="1:14" hidden="1" x14ac:dyDescent="0.35">
      <c r="A3912" s="52" t="s">
        <v>684</v>
      </c>
      <c r="B3912" s="52" t="s">
        <v>74</v>
      </c>
      <c r="C3912" s="52" t="s">
        <v>71</v>
      </c>
      <c r="D3912" s="52" t="s">
        <v>76</v>
      </c>
      <c r="E3912" s="52" t="s">
        <v>584</v>
      </c>
      <c r="F3912" s="52" t="s">
        <v>581</v>
      </c>
      <c r="G3912" s="195" t="s">
        <v>276</v>
      </c>
      <c r="H3912" s="195">
        <v>0.1230841</v>
      </c>
      <c r="I3912" s="195">
        <v>-0.1023042</v>
      </c>
      <c r="J3912" s="195">
        <v>-0.1382784</v>
      </c>
      <c r="K3912" s="195">
        <v>-0.16564870000000001</v>
      </c>
      <c r="L3912" s="195">
        <v>-2.0290969999999998E-2</v>
      </c>
      <c r="M3912" s="195">
        <v>-2.0290969999999998E-2</v>
      </c>
      <c r="N3912" s="195">
        <v>-0.65253939999999999</v>
      </c>
    </row>
    <row r="3913" spans="1:14" hidden="1" x14ac:dyDescent="0.35">
      <c r="A3913" s="52" t="s">
        <v>684</v>
      </c>
      <c r="B3913" s="52" t="s">
        <v>74</v>
      </c>
      <c r="C3913" s="52" t="s">
        <v>71</v>
      </c>
      <c r="D3913" s="52" t="s">
        <v>76</v>
      </c>
      <c r="E3913" s="52" t="s">
        <v>584</v>
      </c>
      <c r="F3913" s="52" t="s">
        <v>581</v>
      </c>
      <c r="G3913" s="195" t="s">
        <v>277</v>
      </c>
      <c r="H3913" s="195">
        <v>0.1150128</v>
      </c>
      <c r="I3913" s="195"/>
      <c r="J3913" s="195"/>
      <c r="K3913" s="195"/>
      <c r="L3913" s="195"/>
      <c r="M3913" s="195">
        <v>0</v>
      </c>
      <c r="N3913" s="195"/>
    </row>
    <row r="3914" spans="1:14" hidden="1" x14ac:dyDescent="0.35">
      <c r="A3914" s="52" t="s">
        <v>684</v>
      </c>
      <c r="B3914" s="52" t="s">
        <v>74</v>
      </c>
      <c r="C3914" s="52" t="s">
        <v>71</v>
      </c>
      <c r="D3914" s="52" t="s">
        <v>76</v>
      </c>
      <c r="E3914" s="52" t="s">
        <v>584</v>
      </c>
      <c r="F3914" s="52" t="s">
        <v>581</v>
      </c>
      <c r="G3914" s="195" t="s">
        <v>278</v>
      </c>
      <c r="H3914" s="195">
        <v>1.485963E-2</v>
      </c>
      <c r="I3914" s="195">
        <v>2.029137E-2</v>
      </c>
      <c r="J3914" s="195">
        <v>2.029137E-2</v>
      </c>
      <c r="K3914" s="195">
        <v>2.029137E-2</v>
      </c>
      <c r="L3914" s="195">
        <v>2.029137E-2</v>
      </c>
      <c r="M3914" s="195">
        <v>2.029137E-2</v>
      </c>
      <c r="N3914" s="195">
        <v>0.65253939999999999</v>
      </c>
    </row>
    <row r="3915" spans="1:14" hidden="1" x14ac:dyDescent="0.35">
      <c r="A3915" s="52" t="s">
        <v>684</v>
      </c>
      <c r="B3915" s="52" t="s">
        <v>74</v>
      </c>
      <c r="C3915" s="52" t="s">
        <v>71</v>
      </c>
      <c r="D3915" s="52" t="s">
        <v>76</v>
      </c>
      <c r="E3915" s="52" t="s">
        <v>584</v>
      </c>
      <c r="F3915" s="52" t="s">
        <v>581</v>
      </c>
      <c r="G3915" s="195" t="s">
        <v>279</v>
      </c>
      <c r="H3915" s="195">
        <v>0.7903637</v>
      </c>
      <c r="I3915" s="195">
        <v>0.66888239999999999</v>
      </c>
      <c r="J3915" s="195">
        <v>0.67776159999999996</v>
      </c>
      <c r="K3915" s="195">
        <v>0.63980320000000002</v>
      </c>
      <c r="L3915" s="195"/>
      <c r="M3915" s="195"/>
      <c r="N3915" s="195">
        <v>0</v>
      </c>
    </row>
    <row r="3916" spans="1:14" hidden="1" x14ac:dyDescent="0.35">
      <c r="A3916" s="52" t="s">
        <v>684</v>
      </c>
      <c r="B3916" s="52" t="s">
        <v>74</v>
      </c>
      <c r="C3916" s="52" t="s">
        <v>71</v>
      </c>
      <c r="D3916" s="52" t="s">
        <v>236</v>
      </c>
      <c r="E3916" s="52" t="s">
        <v>584</v>
      </c>
      <c r="F3916" s="52" t="s">
        <v>581</v>
      </c>
      <c r="G3916" s="195" t="s">
        <v>275</v>
      </c>
      <c r="H3916" s="195">
        <v>-6.1355010000000001E-2</v>
      </c>
      <c r="I3916" s="195">
        <v>-8.3784010000000006E-2</v>
      </c>
      <c r="J3916" s="195">
        <v>0</v>
      </c>
      <c r="K3916" s="195">
        <v>0</v>
      </c>
      <c r="L3916" s="195">
        <v>0</v>
      </c>
      <c r="M3916" s="195">
        <v>0</v>
      </c>
      <c r="N3916" s="195">
        <v>0</v>
      </c>
    </row>
    <row r="3917" spans="1:14" hidden="1" x14ac:dyDescent="0.35">
      <c r="A3917" s="52" t="s">
        <v>684</v>
      </c>
      <c r="B3917" s="52" t="s">
        <v>74</v>
      </c>
      <c r="C3917" s="52" t="s">
        <v>71</v>
      </c>
      <c r="D3917" s="52" t="s">
        <v>236</v>
      </c>
      <c r="E3917" s="52" t="s">
        <v>584</v>
      </c>
      <c r="F3917" s="52" t="s">
        <v>581</v>
      </c>
      <c r="G3917" s="195" t="s">
        <v>276</v>
      </c>
      <c r="H3917" s="195">
        <v>-4.0904999999999997E-2</v>
      </c>
      <c r="I3917" s="195">
        <v>-5.5855000000000002E-2</v>
      </c>
      <c r="J3917" s="195">
        <v>-2.5633680000000001</v>
      </c>
      <c r="K3917" s="195">
        <v>-1.036521</v>
      </c>
      <c r="L3917" s="195">
        <v>-9.4523999999999997E-2</v>
      </c>
      <c r="M3917" s="195">
        <v>-9.4523999999999997E-2</v>
      </c>
      <c r="N3917" s="195">
        <v>-9.4523999999999997E-2</v>
      </c>
    </row>
    <row r="3918" spans="1:14" hidden="1" x14ac:dyDescent="0.35">
      <c r="A3918" s="52" t="s">
        <v>684</v>
      </c>
      <c r="B3918" s="52" t="s">
        <v>74</v>
      </c>
      <c r="C3918" s="52" t="s">
        <v>71</v>
      </c>
      <c r="D3918" s="52" t="s">
        <v>236</v>
      </c>
      <c r="E3918" s="52" t="s">
        <v>584</v>
      </c>
      <c r="F3918" s="52" t="s">
        <v>581</v>
      </c>
      <c r="G3918" s="195" t="s">
        <v>278</v>
      </c>
      <c r="H3918" s="195">
        <v>0.102261</v>
      </c>
      <c r="I3918" s="195">
        <v>0.13963800000000001</v>
      </c>
      <c r="J3918" s="195">
        <v>2.5633680000000001</v>
      </c>
      <c r="K3918" s="195">
        <v>1.0365219999999999</v>
      </c>
      <c r="L3918" s="195">
        <v>9.4523999999999997E-2</v>
      </c>
      <c r="M3918" s="195">
        <v>9.4523999999999997E-2</v>
      </c>
      <c r="N3918" s="195">
        <v>9.4523999999999997E-2</v>
      </c>
    </row>
    <row r="3919" spans="1:14" hidden="1" x14ac:dyDescent="0.35">
      <c r="A3919" s="52" t="s">
        <v>684</v>
      </c>
      <c r="B3919" s="52" t="s">
        <v>74</v>
      </c>
      <c r="C3919" s="52" t="s">
        <v>96</v>
      </c>
      <c r="D3919" s="52" t="s">
        <v>96</v>
      </c>
      <c r="E3919" s="52" t="s">
        <v>584</v>
      </c>
      <c r="F3919" s="52" t="s">
        <v>26</v>
      </c>
      <c r="G3919" s="195" t="s">
        <v>275</v>
      </c>
      <c r="H3919" s="195">
        <v>0</v>
      </c>
      <c r="I3919" s="195">
        <v>-36.54</v>
      </c>
      <c r="J3919" s="195">
        <v>-45.45</v>
      </c>
      <c r="K3919" s="195">
        <v>-8.91</v>
      </c>
      <c r="L3919" s="195">
        <v>0</v>
      </c>
      <c r="M3919" s="195"/>
      <c r="N3919" s="195"/>
    </row>
    <row r="3920" spans="1:14" hidden="1" x14ac:dyDescent="0.35">
      <c r="A3920" s="52" t="s">
        <v>684</v>
      </c>
      <c r="B3920" s="52" t="s">
        <v>74</v>
      </c>
      <c r="C3920" s="52" t="s">
        <v>96</v>
      </c>
      <c r="D3920" s="52" t="s">
        <v>96</v>
      </c>
      <c r="E3920" s="52" t="s">
        <v>584</v>
      </c>
      <c r="F3920" s="52" t="s">
        <v>26</v>
      </c>
      <c r="G3920" s="195" t="s">
        <v>276</v>
      </c>
      <c r="H3920" s="195">
        <v>0</v>
      </c>
      <c r="I3920" s="195">
        <v>-24.36</v>
      </c>
      <c r="J3920" s="195">
        <v>-30.3</v>
      </c>
      <c r="K3920" s="195">
        <v>-5.9400009999999996</v>
      </c>
      <c r="L3920" s="195">
        <v>0</v>
      </c>
      <c r="M3920" s="195"/>
      <c r="N3920" s="195"/>
    </row>
    <row r="3921" spans="1:14" hidden="1" x14ac:dyDescent="0.35">
      <c r="A3921" s="52" t="s">
        <v>684</v>
      </c>
      <c r="B3921" s="52" t="s">
        <v>74</v>
      </c>
      <c r="C3921" s="52" t="s">
        <v>96</v>
      </c>
      <c r="D3921" s="52" t="s">
        <v>96</v>
      </c>
      <c r="E3921" s="52" t="s">
        <v>584</v>
      </c>
      <c r="F3921" s="52" t="s">
        <v>26</v>
      </c>
      <c r="G3921" s="195" t="s">
        <v>279</v>
      </c>
      <c r="H3921" s="195">
        <v>0</v>
      </c>
      <c r="I3921" s="195">
        <v>60.9</v>
      </c>
      <c r="J3921" s="195">
        <v>75.75</v>
      </c>
      <c r="K3921" s="195">
        <v>14.85</v>
      </c>
      <c r="L3921" s="195">
        <v>0</v>
      </c>
      <c r="M3921" s="195"/>
      <c r="N3921" s="195"/>
    </row>
    <row r="3922" spans="1:14" hidden="1" x14ac:dyDescent="0.35">
      <c r="A3922" s="52" t="s">
        <v>684</v>
      </c>
      <c r="B3922" s="52" t="s">
        <v>844</v>
      </c>
      <c r="C3922" s="52" t="s">
        <v>845</v>
      </c>
      <c r="D3922" s="52" t="s">
        <v>845</v>
      </c>
      <c r="E3922" s="52" t="s">
        <v>584</v>
      </c>
      <c r="F3922" s="52" t="s">
        <v>581</v>
      </c>
      <c r="G3922" s="195" t="s">
        <v>275</v>
      </c>
      <c r="H3922" s="195">
        <v>-0.32758769999999998</v>
      </c>
      <c r="I3922" s="195">
        <v>-0.32758710000000002</v>
      </c>
      <c r="J3922" s="195">
        <v>0</v>
      </c>
      <c r="K3922" s="195">
        <v>0</v>
      </c>
      <c r="L3922" s="195">
        <v>0</v>
      </c>
      <c r="M3922" s="195">
        <v>0</v>
      </c>
      <c r="N3922" s="195">
        <v>0</v>
      </c>
    </row>
    <row r="3923" spans="1:14" hidden="1" x14ac:dyDescent="0.35">
      <c r="A3923" s="52" t="s">
        <v>684</v>
      </c>
      <c r="B3923" s="52" t="s">
        <v>844</v>
      </c>
      <c r="C3923" s="52" t="s">
        <v>845</v>
      </c>
      <c r="D3923" s="52" t="s">
        <v>845</v>
      </c>
      <c r="E3923" s="52" t="s">
        <v>584</v>
      </c>
      <c r="F3923" s="52" t="s">
        <v>581</v>
      </c>
      <c r="G3923" s="195" t="s">
        <v>276</v>
      </c>
      <c r="H3923" s="195">
        <v>-0.1763932</v>
      </c>
      <c r="I3923" s="195">
        <v>-0.1763932</v>
      </c>
      <c r="J3923" s="195">
        <v>-33.388089999999998</v>
      </c>
      <c r="K3923" s="195">
        <v>-0.12249699999999999</v>
      </c>
      <c r="L3923" s="195">
        <v>-0.1881227</v>
      </c>
      <c r="M3923" s="195">
        <v>-0.1881225</v>
      </c>
      <c r="N3923" s="195">
        <v>-0.77874679999999996</v>
      </c>
    </row>
    <row r="3924" spans="1:14" hidden="1" x14ac:dyDescent="0.35">
      <c r="A3924" s="52" t="s">
        <v>684</v>
      </c>
      <c r="B3924" s="52" t="s">
        <v>844</v>
      </c>
      <c r="C3924" s="52" t="s">
        <v>845</v>
      </c>
      <c r="D3924" s="52" t="s">
        <v>845</v>
      </c>
      <c r="E3924" s="52" t="s">
        <v>584</v>
      </c>
      <c r="F3924" s="52" t="s">
        <v>581</v>
      </c>
      <c r="G3924" s="195" t="s">
        <v>277</v>
      </c>
      <c r="H3924" s="195"/>
      <c r="I3924" s="195"/>
      <c r="J3924" s="195"/>
      <c r="K3924" s="195">
        <v>0</v>
      </c>
      <c r="L3924" s="195">
        <v>6.562519E-2</v>
      </c>
      <c r="M3924" s="195">
        <v>6.5624619999999995E-2</v>
      </c>
      <c r="N3924" s="195">
        <v>0.65624899999999997</v>
      </c>
    </row>
    <row r="3925" spans="1:14" hidden="1" x14ac:dyDescent="0.35">
      <c r="A3925" s="52" t="s">
        <v>684</v>
      </c>
      <c r="B3925" s="52" t="s">
        <v>844</v>
      </c>
      <c r="C3925" s="52" t="s">
        <v>845</v>
      </c>
      <c r="D3925" s="52" t="s">
        <v>845</v>
      </c>
      <c r="E3925" s="52" t="s">
        <v>584</v>
      </c>
      <c r="F3925" s="52" t="s">
        <v>581</v>
      </c>
      <c r="G3925" s="195" t="s">
        <v>278</v>
      </c>
      <c r="H3925" s="195">
        <v>0.50398030000000005</v>
      </c>
      <c r="I3925" s="195">
        <v>0.50398030000000005</v>
      </c>
      <c r="J3925" s="195">
        <v>33.388100000000001</v>
      </c>
      <c r="K3925" s="195">
        <v>0.12249790000000001</v>
      </c>
      <c r="L3925" s="195">
        <v>0.12249790000000001</v>
      </c>
      <c r="M3925" s="195">
        <v>0.12249790000000001</v>
      </c>
      <c r="N3925" s="195">
        <v>0.12249790000000001</v>
      </c>
    </row>
    <row r="3926" spans="1:14" hidden="1" x14ac:dyDescent="0.35">
      <c r="A3926" s="52" t="s">
        <v>684</v>
      </c>
      <c r="B3926" s="52" t="s">
        <v>844</v>
      </c>
      <c r="C3926" s="52" t="s">
        <v>845</v>
      </c>
      <c r="D3926" s="52" t="s">
        <v>845</v>
      </c>
      <c r="E3926" s="52" t="s">
        <v>584</v>
      </c>
      <c r="F3926" s="52" t="s">
        <v>581</v>
      </c>
      <c r="G3926" s="195" t="s">
        <v>279</v>
      </c>
      <c r="H3926" s="195"/>
      <c r="I3926" s="195"/>
      <c r="J3926" s="195"/>
      <c r="K3926" s="195"/>
      <c r="L3926" s="195"/>
      <c r="M3926" s="195"/>
      <c r="N3926" s="195">
        <v>0</v>
      </c>
    </row>
    <row r="3927" spans="1:14" hidden="1" x14ac:dyDescent="0.35">
      <c r="A3927" s="52" t="s">
        <v>684</v>
      </c>
      <c r="B3927" s="52" t="s">
        <v>844</v>
      </c>
      <c r="C3927" s="52" t="s">
        <v>845</v>
      </c>
      <c r="D3927" s="52" t="s">
        <v>845</v>
      </c>
      <c r="E3927" s="52" t="s">
        <v>584</v>
      </c>
      <c r="F3927" s="52" t="s">
        <v>26</v>
      </c>
      <c r="G3927" s="195" t="s">
        <v>275</v>
      </c>
      <c r="H3927" s="195"/>
      <c r="I3927" s="195"/>
      <c r="J3927" s="195"/>
      <c r="K3927" s="195"/>
      <c r="L3927" s="195"/>
      <c r="M3927" s="195"/>
      <c r="N3927" s="195">
        <v>0</v>
      </c>
    </row>
    <row r="3928" spans="1:14" hidden="1" x14ac:dyDescent="0.35">
      <c r="A3928" s="52" t="s">
        <v>684</v>
      </c>
      <c r="B3928" s="52" t="s">
        <v>844</v>
      </c>
      <c r="C3928" s="52" t="s">
        <v>845</v>
      </c>
      <c r="D3928" s="52" t="s">
        <v>845</v>
      </c>
      <c r="E3928" s="52" t="s">
        <v>584</v>
      </c>
      <c r="F3928" s="52" t="s">
        <v>26</v>
      </c>
      <c r="G3928" s="195" t="s">
        <v>276</v>
      </c>
      <c r="H3928" s="195"/>
      <c r="I3928" s="195"/>
      <c r="J3928" s="195"/>
      <c r="K3928" s="195"/>
      <c r="L3928" s="195"/>
      <c r="M3928" s="195"/>
      <c r="N3928" s="195">
        <v>0</v>
      </c>
    </row>
    <row r="3929" spans="1:14" hidden="1" x14ac:dyDescent="0.35">
      <c r="A3929" s="52" t="s">
        <v>684</v>
      </c>
      <c r="B3929" s="52" t="s">
        <v>844</v>
      </c>
      <c r="C3929" s="52" t="s">
        <v>845</v>
      </c>
      <c r="D3929" s="52" t="s">
        <v>845</v>
      </c>
      <c r="E3929" s="52" t="s">
        <v>584</v>
      </c>
      <c r="F3929" s="52" t="s">
        <v>26</v>
      </c>
      <c r="G3929" s="195" t="s">
        <v>279</v>
      </c>
      <c r="H3929" s="195"/>
      <c r="I3929" s="195"/>
      <c r="J3929" s="195"/>
      <c r="K3929" s="195"/>
      <c r="L3929" s="195"/>
      <c r="M3929" s="195"/>
      <c r="N3929" s="195">
        <v>0</v>
      </c>
    </row>
    <row r="3930" spans="1:14" hidden="1" x14ac:dyDescent="0.35">
      <c r="A3930" s="52" t="s">
        <v>684</v>
      </c>
      <c r="B3930" s="52" t="s">
        <v>34</v>
      </c>
      <c r="C3930" s="52" t="s">
        <v>304</v>
      </c>
      <c r="D3930" s="52" t="s">
        <v>304</v>
      </c>
      <c r="E3930" s="52" t="s">
        <v>584</v>
      </c>
      <c r="F3930" s="52" t="s">
        <v>581</v>
      </c>
      <c r="G3930" s="195" t="s">
        <v>275</v>
      </c>
      <c r="H3930" s="195">
        <v>-0.16528200000000001</v>
      </c>
      <c r="I3930" s="195">
        <v>-0.16528200000000001</v>
      </c>
      <c r="J3930" s="195">
        <v>0</v>
      </c>
      <c r="K3930" s="195">
        <v>0</v>
      </c>
      <c r="L3930" s="195">
        <v>0</v>
      </c>
      <c r="M3930" s="195">
        <v>0</v>
      </c>
      <c r="N3930" s="195">
        <v>0</v>
      </c>
    </row>
    <row r="3931" spans="1:14" hidden="1" x14ac:dyDescent="0.35">
      <c r="A3931" s="52" t="s">
        <v>684</v>
      </c>
      <c r="B3931" s="52" t="s">
        <v>34</v>
      </c>
      <c r="C3931" s="52" t="s">
        <v>304</v>
      </c>
      <c r="D3931" s="52" t="s">
        <v>304</v>
      </c>
      <c r="E3931" s="52" t="s">
        <v>584</v>
      </c>
      <c r="F3931" s="52" t="s">
        <v>581</v>
      </c>
      <c r="G3931" s="195" t="s">
        <v>276</v>
      </c>
      <c r="H3931" s="195"/>
      <c r="I3931" s="195"/>
      <c r="J3931" s="195">
        <v>-0.16528200000000001</v>
      </c>
      <c r="K3931" s="195">
        <v>-0.16528200000000001</v>
      </c>
      <c r="L3931" s="195">
        <v>-0.16528200000000001</v>
      </c>
      <c r="M3931" s="195">
        <v>-0.16528200000000001</v>
      </c>
      <c r="N3931" s="195">
        <v>-0.16528200000000001</v>
      </c>
    </row>
    <row r="3932" spans="1:14" hidden="1" x14ac:dyDescent="0.35">
      <c r="A3932" s="52" t="s">
        <v>684</v>
      </c>
      <c r="B3932" s="52" t="s">
        <v>34</v>
      </c>
      <c r="C3932" s="52" t="s">
        <v>304</v>
      </c>
      <c r="D3932" s="52" t="s">
        <v>304</v>
      </c>
      <c r="E3932" s="52" t="s">
        <v>584</v>
      </c>
      <c r="F3932" s="52" t="s">
        <v>581</v>
      </c>
      <c r="G3932" s="195" t="s">
        <v>278</v>
      </c>
      <c r="H3932" s="195">
        <v>0.16528200000000001</v>
      </c>
      <c r="I3932" s="195">
        <v>0.16528200000000001</v>
      </c>
      <c r="J3932" s="195">
        <v>0.16528200000000001</v>
      </c>
      <c r="K3932" s="195">
        <v>0.16528200000000001</v>
      </c>
      <c r="L3932" s="195">
        <v>0.16528200000000001</v>
      </c>
      <c r="M3932" s="195">
        <v>0.16528200000000001</v>
      </c>
      <c r="N3932" s="195">
        <v>0.16528200000000001</v>
      </c>
    </row>
    <row r="3933" spans="1:14" hidden="1" x14ac:dyDescent="0.35">
      <c r="A3933" s="52" t="s">
        <v>684</v>
      </c>
      <c r="B3933" s="52" t="s">
        <v>288</v>
      </c>
      <c r="C3933" s="52" t="s">
        <v>244</v>
      </c>
      <c r="D3933" s="52" t="s">
        <v>244</v>
      </c>
      <c r="E3933" s="52" t="s">
        <v>584</v>
      </c>
      <c r="F3933" s="52" t="s">
        <v>581</v>
      </c>
      <c r="G3933" s="195" t="s">
        <v>275</v>
      </c>
      <c r="H3933" s="195"/>
      <c r="I3933" s="195"/>
      <c r="J3933" s="195"/>
      <c r="K3933" s="195"/>
      <c r="L3933" s="195"/>
      <c r="M3933" s="195">
        <v>0</v>
      </c>
      <c r="N3933" s="195">
        <v>-0.6603116</v>
      </c>
    </row>
    <row r="3934" spans="1:14" hidden="1" x14ac:dyDescent="0.35">
      <c r="A3934" s="52" t="s">
        <v>684</v>
      </c>
      <c r="B3934" s="52" t="s">
        <v>288</v>
      </c>
      <c r="C3934" s="52" t="s">
        <v>244</v>
      </c>
      <c r="D3934" s="52" t="s">
        <v>244</v>
      </c>
      <c r="E3934" s="52" t="s">
        <v>584</v>
      </c>
      <c r="F3934" s="52" t="s">
        <v>581</v>
      </c>
      <c r="G3934" s="195" t="s">
        <v>277</v>
      </c>
      <c r="H3934" s="195"/>
      <c r="I3934" s="195"/>
      <c r="J3934" s="195"/>
      <c r="K3934" s="195"/>
      <c r="L3934" s="195"/>
      <c r="M3934" s="195">
        <v>0</v>
      </c>
      <c r="N3934" s="195">
        <v>0.46197129999999997</v>
      </c>
    </row>
    <row r="3935" spans="1:14" hidden="1" x14ac:dyDescent="0.35">
      <c r="A3935" s="52" t="s">
        <v>684</v>
      </c>
      <c r="B3935" s="52" t="s">
        <v>288</v>
      </c>
      <c r="C3935" s="52" t="s">
        <v>244</v>
      </c>
      <c r="D3935" s="52" t="s">
        <v>244</v>
      </c>
      <c r="E3935" s="52" t="s">
        <v>584</v>
      </c>
      <c r="F3935" s="52" t="s">
        <v>581</v>
      </c>
      <c r="G3935" s="195" t="s">
        <v>279</v>
      </c>
      <c r="H3935" s="195"/>
      <c r="I3935" s="195"/>
      <c r="J3935" s="195"/>
      <c r="K3935" s="195"/>
      <c r="L3935" s="195"/>
      <c r="M3935" s="195">
        <v>0</v>
      </c>
      <c r="N3935" s="195">
        <v>0.19833990000000001</v>
      </c>
    </row>
    <row r="3936" spans="1:14" hidden="1" x14ac:dyDescent="0.35">
      <c r="A3936" s="52" t="s">
        <v>684</v>
      </c>
      <c r="B3936" s="52" t="s">
        <v>288</v>
      </c>
      <c r="C3936" s="52" t="s">
        <v>244</v>
      </c>
      <c r="D3936" s="52" t="s">
        <v>244</v>
      </c>
      <c r="E3936" s="52" t="s">
        <v>584</v>
      </c>
      <c r="F3936" s="52" t="s">
        <v>26</v>
      </c>
      <c r="G3936" s="195" t="s">
        <v>275</v>
      </c>
      <c r="H3936" s="195">
        <v>-0.1143927</v>
      </c>
      <c r="I3936" s="195">
        <v>-0.1143927</v>
      </c>
      <c r="J3936" s="195">
        <v>-5.7951900000000001E-2</v>
      </c>
      <c r="K3936" s="195">
        <v>-15.93393</v>
      </c>
      <c r="L3936" s="195">
        <v>-0.50795190000000001</v>
      </c>
      <c r="M3936" s="195">
        <v>-11.950229999999999</v>
      </c>
      <c r="N3936" s="195">
        <v>-21.747199999999999</v>
      </c>
    </row>
    <row r="3937" spans="1:14" hidden="1" x14ac:dyDescent="0.35">
      <c r="A3937" s="52" t="s">
        <v>684</v>
      </c>
      <c r="B3937" s="52" t="s">
        <v>288</v>
      </c>
      <c r="C3937" s="52" t="s">
        <v>244</v>
      </c>
      <c r="D3937" s="52" t="s">
        <v>244</v>
      </c>
      <c r="E3937" s="52" t="s">
        <v>584</v>
      </c>
      <c r="F3937" s="52" t="s">
        <v>26</v>
      </c>
      <c r="G3937" s="195" t="s">
        <v>276</v>
      </c>
      <c r="H3937" s="195"/>
      <c r="I3937" s="195"/>
      <c r="J3937" s="195">
        <v>-0.89621419999999996</v>
      </c>
      <c r="K3937" s="195">
        <v>-5.62227E-2</v>
      </c>
      <c r="L3937" s="195">
        <v>-5.6222710000000002E-2</v>
      </c>
      <c r="M3937" s="195">
        <v>-5.7347710000000003E-2</v>
      </c>
      <c r="N3937" s="195">
        <v>-5.7347710000000003E-2</v>
      </c>
    </row>
    <row r="3938" spans="1:14" hidden="1" x14ac:dyDescent="0.35">
      <c r="A3938" s="52" t="s">
        <v>684</v>
      </c>
      <c r="B3938" s="52" t="s">
        <v>288</v>
      </c>
      <c r="C3938" s="52" t="s">
        <v>244</v>
      </c>
      <c r="D3938" s="52" t="s">
        <v>244</v>
      </c>
      <c r="E3938" s="52" t="s">
        <v>584</v>
      </c>
      <c r="F3938" s="52" t="s">
        <v>26</v>
      </c>
      <c r="G3938" s="195" t="s">
        <v>277</v>
      </c>
      <c r="H3938" s="195"/>
      <c r="I3938" s="195"/>
      <c r="J3938" s="195">
        <v>0</v>
      </c>
      <c r="K3938" s="195">
        <v>0.45</v>
      </c>
      <c r="L3938" s="195">
        <v>0.45</v>
      </c>
      <c r="M3938" s="195">
        <v>11.893409999999999</v>
      </c>
      <c r="N3938" s="195">
        <v>19.747869999999999</v>
      </c>
    </row>
    <row r="3939" spans="1:14" hidden="1" x14ac:dyDescent="0.35">
      <c r="A3939" s="52" t="s">
        <v>684</v>
      </c>
      <c r="B3939" s="52" t="s">
        <v>288</v>
      </c>
      <c r="C3939" s="52" t="s">
        <v>244</v>
      </c>
      <c r="D3939" s="52" t="s">
        <v>244</v>
      </c>
      <c r="E3939" s="52" t="s">
        <v>584</v>
      </c>
      <c r="F3939" s="52" t="s">
        <v>26</v>
      </c>
      <c r="G3939" s="195" t="s">
        <v>278</v>
      </c>
      <c r="H3939" s="195">
        <v>0.1143927</v>
      </c>
      <c r="I3939" s="195">
        <v>0.1143927</v>
      </c>
      <c r="J3939" s="195">
        <v>0.95416590000000001</v>
      </c>
      <c r="K3939" s="195">
        <v>15.540150000000001</v>
      </c>
      <c r="L3939" s="195">
        <v>0.1141746</v>
      </c>
      <c r="M3939" s="195">
        <v>0.1141746</v>
      </c>
      <c r="N3939" s="195">
        <v>0.1141746</v>
      </c>
    </row>
    <row r="3940" spans="1:14" hidden="1" x14ac:dyDescent="0.35">
      <c r="A3940" s="52" t="s">
        <v>684</v>
      </c>
      <c r="B3940" s="52" t="s">
        <v>288</v>
      </c>
      <c r="C3940" s="52" t="s">
        <v>244</v>
      </c>
      <c r="D3940" s="52" t="s">
        <v>244</v>
      </c>
      <c r="E3940" s="52" t="s">
        <v>584</v>
      </c>
      <c r="F3940" s="52" t="s">
        <v>26</v>
      </c>
      <c r="G3940" s="195" t="s">
        <v>279</v>
      </c>
      <c r="H3940" s="195"/>
      <c r="I3940" s="195"/>
      <c r="J3940" s="195"/>
      <c r="K3940" s="195"/>
      <c r="L3940" s="195"/>
      <c r="M3940" s="195">
        <v>0</v>
      </c>
      <c r="N3940" s="195">
        <v>1.9424999999999999</v>
      </c>
    </row>
    <row r="3941" spans="1:14" hidden="1" x14ac:dyDescent="0.35">
      <c r="A3941" s="52" t="s">
        <v>684</v>
      </c>
      <c r="B3941" s="52" t="s">
        <v>37</v>
      </c>
      <c r="C3941" s="52" t="s">
        <v>61</v>
      </c>
      <c r="D3941" s="52" t="s">
        <v>62</v>
      </c>
      <c r="E3941" s="52" t="s">
        <v>584</v>
      </c>
      <c r="F3941" s="52" t="s">
        <v>581</v>
      </c>
      <c r="G3941" s="195" t="s">
        <v>275</v>
      </c>
      <c r="H3941" s="195">
        <v>-6.3550999999999996E-2</v>
      </c>
      <c r="I3941" s="195">
        <v>-6.3550990000000002E-2</v>
      </c>
      <c r="J3941" s="195">
        <v>0</v>
      </c>
      <c r="K3941" s="195">
        <v>0</v>
      </c>
      <c r="L3941" s="195">
        <v>0</v>
      </c>
      <c r="M3941" s="195">
        <v>0</v>
      </c>
      <c r="N3941" s="195">
        <v>0</v>
      </c>
    </row>
    <row r="3942" spans="1:14" hidden="1" x14ac:dyDescent="0.35">
      <c r="A3942" s="52" t="s">
        <v>684</v>
      </c>
      <c r="B3942" s="52" t="s">
        <v>37</v>
      </c>
      <c r="C3942" s="52" t="s">
        <v>61</v>
      </c>
      <c r="D3942" s="52" t="s">
        <v>62</v>
      </c>
      <c r="E3942" s="52" t="s">
        <v>584</v>
      </c>
      <c r="F3942" s="52" t="s">
        <v>581</v>
      </c>
      <c r="G3942" s="195" t="s">
        <v>276</v>
      </c>
      <c r="H3942" s="195">
        <v>-1.6892999999999998E-2</v>
      </c>
      <c r="I3942" s="195">
        <v>-1.6892999999999998E-2</v>
      </c>
      <c r="J3942" s="195">
        <v>-8.0444000000000002E-2</v>
      </c>
      <c r="K3942" s="195">
        <v>-8.0443009999999995E-2</v>
      </c>
      <c r="L3942" s="195">
        <v>-8.0444000000000002E-2</v>
      </c>
      <c r="M3942" s="195">
        <v>-8.0444000000000002E-2</v>
      </c>
      <c r="N3942" s="195">
        <v>-8.0444000000000002E-2</v>
      </c>
    </row>
    <row r="3943" spans="1:14" hidden="1" x14ac:dyDescent="0.35">
      <c r="A3943" s="52" t="s">
        <v>684</v>
      </c>
      <c r="B3943" s="52" t="s">
        <v>37</v>
      </c>
      <c r="C3943" s="52" t="s">
        <v>61</v>
      </c>
      <c r="D3943" s="52" t="s">
        <v>62</v>
      </c>
      <c r="E3943" s="52" t="s">
        <v>584</v>
      </c>
      <c r="F3943" s="52" t="s">
        <v>581</v>
      </c>
      <c r="G3943" s="195" t="s">
        <v>278</v>
      </c>
      <c r="H3943" s="195">
        <v>8.0444000000000002E-2</v>
      </c>
      <c r="I3943" s="195">
        <v>8.0444000000000002E-2</v>
      </c>
      <c r="J3943" s="195">
        <v>8.0444000000000002E-2</v>
      </c>
      <c r="K3943" s="195">
        <v>8.0444000000000002E-2</v>
      </c>
      <c r="L3943" s="195">
        <v>8.0444000000000002E-2</v>
      </c>
      <c r="M3943" s="195">
        <v>8.0444000000000002E-2</v>
      </c>
      <c r="N3943" s="195">
        <v>8.0444000000000002E-2</v>
      </c>
    </row>
    <row r="3944" spans="1:14" hidden="1" x14ac:dyDescent="0.35">
      <c r="A3944" s="52" t="s">
        <v>684</v>
      </c>
      <c r="B3944" s="52" t="s">
        <v>37</v>
      </c>
      <c r="C3944" s="52" t="s">
        <v>109</v>
      </c>
      <c r="D3944" s="52" t="s">
        <v>109</v>
      </c>
      <c r="E3944" s="52" t="s">
        <v>584</v>
      </c>
      <c r="F3944" s="52" t="s">
        <v>581</v>
      </c>
      <c r="G3944" s="195" t="s">
        <v>275</v>
      </c>
      <c r="H3944" s="195">
        <v>-159.1412</v>
      </c>
      <c r="I3944" s="195">
        <v>-9.9844030000000004</v>
      </c>
      <c r="J3944" s="195">
        <v>0.16068950000000001</v>
      </c>
      <c r="K3944" s="195">
        <v>0.44066179999999999</v>
      </c>
      <c r="L3944" s="195">
        <v>0.19744800000000001</v>
      </c>
      <c r="M3944" s="195">
        <v>-2.8349849999999999E-2</v>
      </c>
      <c r="N3944" s="195">
        <v>-6.8233499999999997E-3</v>
      </c>
    </row>
    <row r="3945" spans="1:14" hidden="1" x14ac:dyDescent="0.35">
      <c r="A3945" s="52" t="s">
        <v>684</v>
      </c>
      <c r="B3945" s="52" t="s">
        <v>37</v>
      </c>
      <c r="C3945" s="52" t="s">
        <v>109</v>
      </c>
      <c r="D3945" s="52" t="s">
        <v>109</v>
      </c>
      <c r="E3945" s="52" t="s">
        <v>584</v>
      </c>
      <c r="F3945" s="52" t="s">
        <v>581</v>
      </c>
      <c r="G3945" s="195" t="s">
        <v>276</v>
      </c>
      <c r="H3945" s="195">
        <v>-7.8995059999999997</v>
      </c>
      <c r="I3945" s="195">
        <v>-6.1496810000000002</v>
      </c>
      <c r="J3945" s="195">
        <v>-0.63558950000000003</v>
      </c>
      <c r="K3945" s="195">
        <v>-0.72806269999999995</v>
      </c>
      <c r="L3945" s="195">
        <v>-0.33795399999999998</v>
      </c>
      <c r="M3945" s="195">
        <v>-0.1121566</v>
      </c>
      <c r="N3945" s="195">
        <v>-0.1118276</v>
      </c>
    </row>
    <row r="3946" spans="1:14" hidden="1" x14ac:dyDescent="0.35">
      <c r="A3946" s="52" t="s">
        <v>684</v>
      </c>
      <c r="B3946" s="52" t="s">
        <v>37</v>
      </c>
      <c r="C3946" s="52" t="s">
        <v>109</v>
      </c>
      <c r="D3946" s="52" t="s">
        <v>109</v>
      </c>
      <c r="E3946" s="52" t="s">
        <v>584</v>
      </c>
      <c r="F3946" s="52" t="s">
        <v>581</v>
      </c>
      <c r="G3946" s="195" t="s">
        <v>277</v>
      </c>
      <c r="H3946" s="195"/>
      <c r="I3946" s="195">
        <v>0</v>
      </c>
      <c r="J3946" s="195">
        <v>0.35625000000000001</v>
      </c>
      <c r="K3946" s="195">
        <v>0.16875000000000001</v>
      </c>
      <c r="L3946" s="195">
        <v>2.1856799999999999E-2</v>
      </c>
      <c r="M3946" s="195"/>
      <c r="N3946" s="195">
        <v>0</v>
      </c>
    </row>
    <row r="3947" spans="1:14" hidden="1" x14ac:dyDescent="0.35">
      <c r="A3947" s="52" t="s">
        <v>684</v>
      </c>
      <c r="B3947" s="52" t="s">
        <v>37</v>
      </c>
      <c r="C3947" s="52" t="s">
        <v>109</v>
      </c>
      <c r="D3947" s="52" t="s">
        <v>109</v>
      </c>
      <c r="E3947" s="52" t="s">
        <v>584</v>
      </c>
      <c r="F3947" s="52" t="s">
        <v>581</v>
      </c>
      <c r="G3947" s="195" t="s">
        <v>278</v>
      </c>
      <c r="H3947" s="195">
        <v>167.04069999999999</v>
      </c>
      <c r="I3947" s="195">
        <v>16.134080000000001</v>
      </c>
      <c r="J3947" s="195">
        <v>0.1186503</v>
      </c>
      <c r="K3947" s="195">
        <v>0.1186503</v>
      </c>
      <c r="L3947" s="195">
        <v>0.1186503</v>
      </c>
      <c r="M3947" s="195">
        <v>0.1186503</v>
      </c>
      <c r="N3947" s="195">
        <v>0.1186503</v>
      </c>
    </row>
    <row r="3948" spans="1:14" hidden="1" x14ac:dyDescent="0.35">
      <c r="A3948" s="52" t="s">
        <v>684</v>
      </c>
      <c r="B3948" s="52" t="s">
        <v>37</v>
      </c>
      <c r="C3948" s="52" t="s">
        <v>109</v>
      </c>
      <c r="D3948" s="52" t="s">
        <v>109</v>
      </c>
      <c r="E3948" s="52" t="s">
        <v>584</v>
      </c>
      <c r="F3948" s="52" t="s">
        <v>26</v>
      </c>
      <c r="G3948" s="195" t="s">
        <v>275</v>
      </c>
      <c r="H3948" s="195">
        <v>0</v>
      </c>
      <c r="I3948" s="195"/>
      <c r="J3948" s="195"/>
      <c r="K3948" s="195"/>
      <c r="L3948" s="195"/>
      <c r="M3948" s="195">
        <v>-0.1133994</v>
      </c>
      <c r="N3948" s="195"/>
    </row>
    <row r="3949" spans="1:14" hidden="1" x14ac:dyDescent="0.35">
      <c r="A3949" s="52" t="s">
        <v>684</v>
      </c>
      <c r="B3949" s="52" t="s">
        <v>37</v>
      </c>
      <c r="C3949" s="52" t="s">
        <v>109</v>
      </c>
      <c r="D3949" s="52" t="s">
        <v>109</v>
      </c>
      <c r="E3949" s="52" t="s">
        <v>584</v>
      </c>
      <c r="F3949" s="52" t="s">
        <v>26</v>
      </c>
      <c r="G3949" s="195" t="s">
        <v>276</v>
      </c>
      <c r="H3949" s="195"/>
      <c r="I3949" s="195"/>
      <c r="J3949" s="195"/>
      <c r="K3949" s="195"/>
      <c r="L3949" s="195"/>
      <c r="M3949" s="195">
        <v>-1.52706E-2</v>
      </c>
      <c r="N3949" s="195"/>
    </row>
    <row r="3950" spans="1:14" hidden="1" x14ac:dyDescent="0.35">
      <c r="A3950" s="52" t="s">
        <v>684</v>
      </c>
      <c r="B3950" s="52" t="s">
        <v>37</v>
      </c>
      <c r="C3950" s="52" t="s">
        <v>109</v>
      </c>
      <c r="D3950" s="52" t="s">
        <v>109</v>
      </c>
      <c r="E3950" s="52" t="s">
        <v>584</v>
      </c>
      <c r="F3950" s="52" t="s">
        <v>26</v>
      </c>
      <c r="G3950" s="195" t="s">
        <v>277</v>
      </c>
      <c r="H3950" s="195"/>
      <c r="I3950" s="195"/>
      <c r="J3950" s="195"/>
      <c r="K3950" s="195">
        <v>0</v>
      </c>
      <c r="L3950" s="195"/>
      <c r="M3950" s="195"/>
      <c r="N3950" s="195">
        <v>0</v>
      </c>
    </row>
    <row r="3951" spans="1:14" hidden="1" x14ac:dyDescent="0.35">
      <c r="A3951" s="52" t="s">
        <v>684</v>
      </c>
      <c r="B3951" s="52" t="s">
        <v>37</v>
      </c>
      <c r="C3951" s="52" t="s">
        <v>109</v>
      </c>
      <c r="D3951" s="52" t="s">
        <v>109</v>
      </c>
      <c r="E3951" s="52" t="s">
        <v>584</v>
      </c>
      <c r="F3951" s="52" t="s">
        <v>26</v>
      </c>
      <c r="G3951" s="195" t="s">
        <v>278</v>
      </c>
      <c r="H3951" s="195"/>
      <c r="I3951" s="195">
        <v>4.12422E-2</v>
      </c>
      <c r="J3951" s="195"/>
      <c r="K3951" s="195"/>
      <c r="L3951" s="195"/>
      <c r="M3951" s="195"/>
      <c r="N3951" s="195"/>
    </row>
    <row r="3952" spans="1:14" hidden="1" x14ac:dyDescent="0.35">
      <c r="A3952" s="52" t="s">
        <v>270</v>
      </c>
      <c r="B3952" s="52" t="s">
        <v>37</v>
      </c>
      <c r="C3952" s="52" t="s">
        <v>35</v>
      </c>
      <c r="D3952" s="52" t="s">
        <v>36</v>
      </c>
      <c r="E3952" s="52" t="s">
        <v>588</v>
      </c>
      <c r="F3952" s="52" t="s">
        <v>581</v>
      </c>
      <c r="G3952" s="195" t="s">
        <v>275</v>
      </c>
      <c r="H3952" s="195">
        <v>-205.1962</v>
      </c>
      <c r="I3952" s="195">
        <v>21.065529999999999</v>
      </c>
      <c r="J3952" s="195">
        <v>131.2269</v>
      </c>
      <c r="K3952" s="195">
        <v>137.52109999999999</v>
      </c>
      <c r="L3952" s="195">
        <v>127.47539999999999</v>
      </c>
      <c r="M3952" s="195">
        <v>86.169430000000006</v>
      </c>
      <c r="N3952" s="195">
        <v>65.345789999999994</v>
      </c>
    </row>
    <row r="3953" spans="1:14" hidden="1" x14ac:dyDescent="0.35">
      <c r="A3953" s="52" t="s">
        <v>270</v>
      </c>
      <c r="B3953" s="52" t="s">
        <v>37</v>
      </c>
      <c r="C3953" s="52" t="s">
        <v>35</v>
      </c>
      <c r="D3953" s="52" t="s">
        <v>36</v>
      </c>
      <c r="E3953" s="52" t="s">
        <v>588</v>
      </c>
      <c r="F3953" s="52" t="s">
        <v>581</v>
      </c>
      <c r="G3953" s="195" t="s">
        <v>276</v>
      </c>
      <c r="H3953" s="195">
        <v>38.816980000000001</v>
      </c>
      <c r="I3953" s="195">
        <v>-38.163559999999997</v>
      </c>
      <c r="J3953" s="195">
        <v>-39.979019999999998</v>
      </c>
      <c r="K3953" s="195">
        <v>-41.488759999999999</v>
      </c>
      <c r="L3953" s="195">
        <v>-54.701459999999997</v>
      </c>
      <c r="M3953" s="195">
        <v>0.16045690000000001</v>
      </c>
      <c r="N3953" s="195">
        <v>11.679119999999999</v>
      </c>
    </row>
    <row r="3954" spans="1:14" x14ac:dyDescent="0.35">
      <c r="A3954" s="52" t="s">
        <v>270</v>
      </c>
      <c r="B3954" s="52" t="s">
        <v>37</v>
      </c>
      <c r="C3954" s="52" t="s">
        <v>35</v>
      </c>
      <c r="D3954" s="52" t="s">
        <v>36</v>
      </c>
      <c r="E3954" s="52" t="s">
        <v>588</v>
      </c>
      <c r="F3954" s="52" t="s">
        <v>581</v>
      </c>
      <c r="G3954" s="195" t="s">
        <v>277</v>
      </c>
      <c r="H3954" s="195">
        <v>673.02840000000003</v>
      </c>
      <c r="I3954" s="195">
        <v>109.0848</v>
      </c>
      <c r="J3954" s="195">
        <v>21.556260000000002</v>
      </c>
      <c r="K3954" s="195">
        <v>8.4820460000000004</v>
      </c>
      <c r="L3954" s="195">
        <v>10.18154</v>
      </c>
      <c r="M3954" s="195">
        <v>10.748200000000001</v>
      </c>
      <c r="N3954" s="195">
        <v>16.731079999999999</v>
      </c>
    </row>
    <row r="3955" spans="1:14" x14ac:dyDescent="0.35">
      <c r="A3955" s="52" t="s">
        <v>270</v>
      </c>
      <c r="B3955" s="52" t="s">
        <v>37</v>
      </c>
      <c r="C3955" s="52" t="s">
        <v>35</v>
      </c>
      <c r="D3955" s="52" t="s">
        <v>36</v>
      </c>
      <c r="E3955" s="52" t="s">
        <v>588</v>
      </c>
      <c r="F3955" s="52" t="s">
        <v>581</v>
      </c>
      <c r="G3955" s="195" t="s">
        <v>278</v>
      </c>
      <c r="H3955" s="195">
        <v>142.4419</v>
      </c>
      <c r="I3955" s="195">
        <v>101.5762</v>
      </c>
      <c r="J3955" s="195">
        <v>48.8414</v>
      </c>
      <c r="K3955" s="195">
        <v>40.619549999999997</v>
      </c>
      <c r="L3955" s="195">
        <v>38.81644</v>
      </c>
      <c r="M3955" s="195">
        <v>16.819669999999999</v>
      </c>
      <c r="N3955" s="195">
        <v>12.18821</v>
      </c>
    </row>
    <row r="3956" spans="1:14" hidden="1" x14ac:dyDescent="0.35">
      <c r="A3956" s="52" t="s">
        <v>270</v>
      </c>
      <c r="B3956" s="52" t="s">
        <v>37</v>
      </c>
      <c r="C3956" s="52" t="s">
        <v>35</v>
      </c>
      <c r="D3956" s="52" t="s">
        <v>36</v>
      </c>
      <c r="E3956" s="52" t="s">
        <v>588</v>
      </c>
      <c r="F3956" s="52" t="s">
        <v>581</v>
      </c>
      <c r="G3956" s="195" t="s">
        <v>279</v>
      </c>
      <c r="H3956" s="195">
        <v>206.1311</v>
      </c>
      <c r="I3956" s="195">
        <v>160.50550000000001</v>
      </c>
      <c r="J3956" s="195">
        <v>152.8235</v>
      </c>
      <c r="K3956" s="195">
        <v>139.21969999999999</v>
      </c>
      <c r="L3956" s="195">
        <v>144.07730000000001</v>
      </c>
      <c r="M3956" s="195">
        <v>126.7633</v>
      </c>
      <c r="N3956" s="195">
        <v>114.19629999999999</v>
      </c>
    </row>
    <row r="3957" spans="1:14" hidden="1" x14ac:dyDescent="0.35">
      <c r="A3957" s="52" t="s">
        <v>270</v>
      </c>
      <c r="B3957" s="52" t="s">
        <v>37</v>
      </c>
      <c r="C3957" s="52" t="s">
        <v>35</v>
      </c>
      <c r="D3957" s="52" t="s">
        <v>36</v>
      </c>
      <c r="E3957" s="52" t="s">
        <v>588</v>
      </c>
      <c r="F3957" s="52" t="s">
        <v>26</v>
      </c>
      <c r="G3957" s="195" t="s">
        <v>275</v>
      </c>
      <c r="H3957" s="195">
        <v>-4.6612039999999997</v>
      </c>
      <c r="I3957" s="195">
        <v>-8.2352550000000004</v>
      </c>
      <c r="J3957" s="195">
        <v>-6.1907870000000003</v>
      </c>
      <c r="K3957" s="195">
        <v>-6.2670089999999998</v>
      </c>
      <c r="L3957" s="195">
        <v>-9.8929580000000001</v>
      </c>
      <c r="M3957" s="195">
        <v>-8.2830600000000008</v>
      </c>
      <c r="N3957" s="195">
        <v>-7.3196940000000001</v>
      </c>
    </row>
    <row r="3958" spans="1:14" hidden="1" x14ac:dyDescent="0.35">
      <c r="A3958" s="52" t="s">
        <v>270</v>
      </c>
      <c r="B3958" s="52" t="s">
        <v>37</v>
      </c>
      <c r="C3958" s="52" t="s">
        <v>35</v>
      </c>
      <c r="D3958" s="52" t="s">
        <v>36</v>
      </c>
      <c r="E3958" s="52" t="s">
        <v>588</v>
      </c>
      <c r="F3958" s="52" t="s">
        <v>26</v>
      </c>
      <c r="G3958" s="195" t="s">
        <v>276</v>
      </c>
      <c r="H3958" s="195">
        <v>-1.239055</v>
      </c>
      <c r="I3958" s="195">
        <v>-2.189114</v>
      </c>
      <c r="J3958" s="195">
        <v>-1.6456550000000001</v>
      </c>
      <c r="K3958" s="195">
        <v>-1.6659189999999999</v>
      </c>
      <c r="L3958" s="195">
        <v>-2.6297630000000001</v>
      </c>
      <c r="M3958" s="195">
        <v>-2.2018309999999999</v>
      </c>
      <c r="N3958" s="195">
        <v>-1.9457420000000001</v>
      </c>
    </row>
    <row r="3959" spans="1:14" hidden="1" x14ac:dyDescent="0.35">
      <c r="A3959" s="52" t="s">
        <v>270</v>
      </c>
      <c r="B3959" s="52" t="s">
        <v>37</v>
      </c>
      <c r="C3959" s="52" t="s">
        <v>35</v>
      </c>
      <c r="D3959" s="52" t="s">
        <v>36</v>
      </c>
      <c r="E3959" s="52" t="s">
        <v>588</v>
      </c>
      <c r="F3959" s="52" t="s">
        <v>26</v>
      </c>
      <c r="G3959" s="195" t="s">
        <v>279</v>
      </c>
      <c r="H3959" s="195">
        <v>60.665109999999999</v>
      </c>
      <c r="I3959" s="195">
        <v>52.651299999999999</v>
      </c>
      <c r="J3959" s="195">
        <v>51.402279999999998</v>
      </c>
      <c r="K3959" s="195">
        <v>47.10219</v>
      </c>
      <c r="L3959" s="195">
        <v>48.866329999999998</v>
      </c>
      <c r="M3959" s="195">
        <v>42.890790000000003</v>
      </c>
      <c r="N3959" s="195">
        <v>38.547420000000002</v>
      </c>
    </row>
    <row r="3960" spans="1:14" hidden="1" x14ac:dyDescent="0.35">
      <c r="A3960" s="52" t="s">
        <v>270</v>
      </c>
      <c r="B3960" s="52" t="s">
        <v>37</v>
      </c>
      <c r="C3960" s="52" t="s">
        <v>35</v>
      </c>
      <c r="D3960" s="52" t="s">
        <v>36</v>
      </c>
      <c r="E3960" s="52" t="s">
        <v>589</v>
      </c>
      <c r="F3960" s="52" t="s">
        <v>581</v>
      </c>
      <c r="G3960" s="195" t="s">
        <v>275</v>
      </c>
      <c r="H3960" s="195">
        <v>49.145980000000002</v>
      </c>
      <c r="I3960" s="195">
        <v>36.171909999999997</v>
      </c>
      <c r="J3960" s="195">
        <v>65.220299999999995</v>
      </c>
      <c r="K3960" s="195">
        <v>51.784469999999999</v>
      </c>
      <c r="L3960" s="195">
        <v>42.348059999999997</v>
      </c>
      <c r="M3960" s="195">
        <v>25.101320000000001</v>
      </c>
      <c r="N3960" s="195">
        <v>18.738600000000002</v>
      </c>
    </row>
    <row r="3961" spans="1:14" hidden="1" x14ac:dyDescent="0.35">
      <c r="A3961" s="52" t="s">
        <v>270</v>
      </c>
      <c r="B3961" s="52" t="s">
        <v>37</v>
      </c>
      <c r="C3961" s="52" t="s">
        <v>35</v>
      </c>
      <c r="D3961" s="52" t="s">
        <v>36</v>
      </c>
      <c r="E3961" s="52" t="s">
        <v>589</v>
      </c>
      <c r="F3961" s="52" t="s">
        <v>581</v>
      </c>
      <c r="G3961" s="195" t="s">
        <v>276</v>
      </c>
      <c r="H3961" s="195">
        <v>18.311579999999999</v>
      </c>
      <c r="I3961" s="195">
        <v>-24.24539</v>
      </c>
      <c r="J3961" s="195">
        <v>-28.261310000000002</v>
      </c>
      <c r="K3961" s="195">
        <v>-18.32104</v>
      </c>
      <c r="L3961" s="195">
        <v>-15.58675</v>
      </c>
      <c r="M3961" s="195">
        <v>1.6511089999999999</v>
      </c>
      <c r="N3961" s="195">
        <v>4.7336109999999998</v>
      </c>
    </row>
    <row r="3962" spans="1:14" x14ac:dyDescent="0.35">
      <c r="A3962" s="52" t="s">
        <v>270</v>
      </c>
      <c r="B3962" s="52" t="s">
        <v>37</v>
      </c>
      <c r="C3962" s="52" t="s">
        <v>35</v>
      </c>
      <c r="D3962" s="52" t="s">
        <v>36</v>
      </c>
      <c r="E3962" s="52" t="s">
        <v>589</v>
      </c>
      <c r="F3962" s="52" t="s">
        <v>581</v>
      </c>
      <c r="G3962" s="195" t="s">
        <v>277</v>
      </c>
      <c r="H3962" s="195">
        <v>172.2217</v>
      </c>
      <c r="I3962" s="195">
        <v>26.362950000000001</v>
      </c>
      <c r="J3962" s="195">
        <v>4.6873940000000003</v>
      </c>
      <c r="K3962" s="195">
        <v>1.9805999999999999</v>
      </c>
      <c r="L3962" s="195">
        <v>1.245552</v>
      </c>
      <c r="M3962" s="195">
        <v>1.525137</v>
      </c>
      <c r="N3962" s="195">
        <v>4.2116930000000004</v>
      </c>
    </row>
    <row r="3963" spans="1:14" x14ac:dyDescent="0.35">
      <c r="A3963" s="52" t="s">
        <v>270</v>
      </c>
      <c r="B3963" s="52" t="s">
        <v>37</v>
      </c>
      <c r="C3963" s="52" t="s">
        <v>35</v>
      </c>
      <c r="D3963" s="52" t="s">
        <v>36</v>
      </c>
      <c r="E3963" s="52" t="s">
        <v>589</v>
      </c>
      <c r="F3963" s="52" t="s">
        <v>581</v>
      </c>
      <c r="G3963" s="195" t="s">
        <v>278</v>
      </c>
      <c r="H3963" s="195">
        <v>36.501779999999997</v>
      </c>
      <c r="I3963" s="195">
        <v>23.873080000000002</v>
      </c>
      <c r="J3963" s="195">
        <v>11.58361</v>
      </c>
      <c r="K3963" s="195">
        <v>9.430828</v>
      </c>
      <c r="L3963" s="195">
        <v>7.7918630000000002</v>
      </c>
      <c r="M3963" s="195">
        <v>4.4893689999999999</v>
      </c>
      <c r="N3963" s="195">
        <v>1.8759680000000001</v>
      </c>
    </row>
    <row r="3964" spans="1:14" hidden="1" x14ac:dyDescent="0.35">
      <c r="A3964" s="52" t="s">
        <v>270</v>
      </c>
      <c r="B3964" s="52" t="s">
        <v>37</v>
      </c>
      <c r="C3964" s="52" t="s">
        <v>35</v>
      </c>
      <c r="D3964" s="52" t="s">
        <v>36</v>
      </c>
      <c r="E3964" s="52" t="s">
        <v>589</v>
      </c>
      <c r="F3964" s="52" t="s">
        <v>581</v>
      </c>
      <c r="G3964" s="195" t="s">
        <v>279</v>
      </c>
      <c r="H3964" s="195">
        <v>79.335790000000003</v>
      </c>
      <c r="I3964" s="195">
        <v>47.479430000000001</v>
      </c>
      <c r="J3964" s="195">
        <v>46.278419999999997</v>
      </c>
      <c r="K3964" s="195">
        <v>39.509300000000003</v>
      </c>
      <c r="L3964" s="195">
        <v>39.24221</v>
      </c>
      <c r="M3964" s="195">
        <v>34.044780000000003</v>
      </c>
      <c r="N3964" s="195">
        <v>29.892250000000001</v>
      </c>
    </row>
    <row r="3965" spans="1:14" hidden="1" x14ac:dyDescent="0.35">
      <c r="A3965" s="52" t="s">
        <v>270</v>
      </c>
      <c r="B3965" s="52" t="s">
        <v>37</v>
      </c>
      <c r="C3965" s="52" t="s">
        <v>35</v>
      </c>
      <c r="D3965" s="52" t="s">
        <v>36</v>
      </c>
      <c r="E3965" s="52" t="s">
        <v>589</v>
      </c>
      <c r="F3965" s="52" t="s">
        <v>26</v>
      </c>
      <c r="G3965" s="195" t="s">
        <v>275</v>
      </c>
      <c r="H3965" s="195">
        <v>4.1595E-2</v>
      </c>
      <c r="I3965" s="195">
        <v>-1.3823289999999999</v>
      </c>
      <c r="J3965" s="195">
        <v>-0.74112330000000004</v>
      </c>
      <c r="K3965" s="195">
        <v>-0.82517839999999998</v>
      </c>
      <c r="L3965" s="195">
        <v>-1.88303</v>
      </c>
      <c r="M3965" s="195">
        <v>-1.518135</v>
      </c>
      <c r="N3965" s="195">
        <v>-1.298449</v>
      </c>
    </row>
    <row r="3966" spans="1:14" hidden="1" x14ac:dyDescent="0.35">
      <c r="A3966" s="52" t="s">
        <v>270</v>
      </c>
      <c r="B3966" s="52" t="s">
        <v>37</v>
      </c>
      <c r="C3966" s="52" t="s">
        <v>35</v>
      </c>
      <c r="D3966" s="52" t="s">
        <v>36</v>
      </c>
      <c r="E3966" s="52" t="s">
        <v>589</v>
      </c>
      <c r="F3966" s="52" t="s">
        <v>26</v>
      </c>
      <c r="G3966" s="195" t="s">
        <v>276</v>
      </c>
      <c r="H3966" s="195">
        <v>1.4421E-2</v>
      </c>
      <c r="I3966" s="195">
        <v>-0.47914800000000002</v>
      </c>
      <c r="J3966" s="195">
        <v>-0.25689339999999999</v>
      </c>
      <c r="K3966" s="195">
        <v>-0.28601959999999998</v>
      </c>
      <c r="L3966" s="195">
        <v>-0.6526942</v>
      </c>
      <c r="M3966" s="195">
        <v>-0.52621519999999999</v>
      </c>
      <c r="N3966" s="195">
        <v>-0.45006940000000001</v>
      </c>
    </row>
    <row r="3967" spans="1:14" hidden="1" x14ac:dyDescent="0.35">
      <c r="A3967" s="52" t="s">
        <v>270</v>
      </c>
      <c r="B3967" s="52" t="s">
        <v>37</v>
      </c>
      <c r="C3967" s="52" t="s">
        <v>35</v>
      </c>
      <c r="D3967" s="52" t="s">
        <v>36</v>
      </c>
      <c r="E3967" s="52" t="s">
        <v>589</v>
      </c>
      <c r="F3967" s="52" t="s">
        <v>26</v>
      </c>
      <c r="G3967" s="195" t="s">
        <v>279</v>
      </c>
      <c r="H3967" s="195">
        <v>25.319710000000001</v>
      </c>
      <c r="I3967" s="195">
        <v>16.419640000000001</v>
      </c>
      <c r="J3967" s="195">
        <v>16.35633</v>
      </c>
      <c r="K3967" s="195">
        <v>14.0502</v>
      </c>
      <c r="L3967" s="195">
        <v>14.00858</v>
      </c>
      <c r="M3967" s="195">
        <v>12.13424</v>
      </c>
      <c r="N3967" s="195">
        <v>10.63588</v>
      </c>
    </row>
    <row r="3968" spans="1:14" hidden="1" x14ac:dyDescent="0.35">
      <c r="A3968" s="52" t="s">
        <v>270</v>
      </c>
      <c r="B3968" s="52" t="s">
        <v>37</v>
      </c>
      <c r="C3968" s="52" t="s">
        <v>35</v>
      </c>
      <c r="D3968" s="52" t="s">
        <v>36</v>
      </c>
      <c r="E3968" s="52" t="s">
        <v>590</v>
      </c>
      <c r="F3968" s="52" t="s">
        <v>581</v>
      </c>
      <c r="G3968" s="195" t="s">
        <v>275</v>
      </c>
      <c r="H3968" s="195">
        <v>23.336480000000002</v>
      </c>
      <c r="I3968" s="195">
        <v>19.231770000000001</v>
      </c>
      <c r="J3968" s="195">
        <v>40.713200000000001</v>
      </c>
      <c r="K3968" s="195">
        <v>39.836309999999997</v>
      </c>
      <c r="L3968" s="195">
        <v>40.626820000000002</v>
      </c>
      <c r="M3968" s="195">
        <v>31.502040000000001</v>
      </c>
      <c r="N3968" s="195">
        <v>19.045729999999999</v>
      </c>
    </row>
    <row r="3969" spans="1:14" hidden="1" x14ac:dyDescent="0.35">
      <c r="A3969" s="52" t="s">
        <v>270</v>
      </c>
      <c r="B3969" s="52" t="s">
        <v>37</v>
      </c>
      <c r="C3969" s="52" t="s">
        <v>35</v>
      </c>
      <c r="D3969" s="52" t="s">
        <v>36</v>
      </c>
      <c r="E3969" s="52" t="s">
        <v>590</v>
      </c>
      <c r="F3969" s="52" t="s">
        <v>581</v>
      </c>
      <c r="G3969" s="195" t="s">
        <v>276</v>
      </c>
      <c r="H3969" s="195">
        <v>12.43196</v>
      </c>
      <c r="I3969" s="195">
        <v>-10.44014</v>
      </c>
      <c r="J3969" s="195">
        <v>-12.030150000000001</v>
      </c>
      <c r="K3969" s="195">
        <v>-6.2503209999999996</v>
      </c>
      <c r="L3969" s="195">
        <v>-7.0524019999999998</v>
      </c>
      <c r="M3969" s="195">
        <v>2.7740049999999998</v>
      </c>
      <c r="N3969" s="195">
        <v>4.6193759999999999</v>
      </c>
    </row>
    <row r="3970" spans="1:14" x14ac:dyDescent="0.35">
      <c r="A3970" s="52" t="s">
        <v>270</v>
      </c>
      <c r="B3970" s="52" t="s">
        <v>37</v>
      </c>
      <c r="C3970" s="52" t="s">
        <v>35</v>
      </c>
      <c r="D3970" s="52" t="s">
        <v>36</v>
      </c>
      <c r="E3970" s="52" t="s">
        <v>590</v>
      </c>
      <c r="F3970" s="52" t="s">
        <v>581</v>
      </c>
      <c r="G3970" s="195" t="s">
        <v>277</v>
      </c>
      <c r="H3970" s="195">
        <v>127.4915</v>
      </c>
      <c r="I3970" s="195">
        <v>16.400829999999999</v>
      </c>
      <c r="J3970" s="195">
        <v>4.7427849999999996</v>
      </c>
      <c r="K3970" s="195">
        <v>1.9661770000000001</v>
      </c>
      <c r="L3970" s="195">
        <v>1.235981</v>
      </c>
      <c r="M3970" s="195">
        <v>0.89630960000000004</v>
      </c>
      <c r="N3970" s="195">
        <v>8.2320049999999991</v>
      </c>
    </row>
    <row r="3971" spans="1:14" x14ac:dyDescent="0.35">
      <c r="A3971" s="52" t="s">
        <v>270</v>
      </c>
      <c r="B3971" s="52" t="s">
        <v>37</v>
      </c>
      <c r="C3971" s="52" t="s">
        <v>35</v>
      </c>
      <c r="D3971" s="52" t="s">
        <v>36</v>
      </c>
      <c r="E3971" s="52" t="s">
        <v>590</v>
      </c>
      <c r="F3971" s="52" t="s">
        <v>581</v>
      </c>
      <c r="G3971" s="195" t="s">
        <v>278</v>
      </c>
      <c r="H3971" s="195">
        <v>33.550960000000003</v>
      </c>
      <c r="I3971" s="195">
        <v>31.264420000000001</v>
      </c>
      <c r="J3971" s="195">
        <v>16.979949999999999</v>
      </c>
      <c r="K3971" s="195">
        <v>15.56969</v>
      </c>
      <c r="L3971" s="195">
        <v>10.355119999999999</v>
      </c>
      <c r="M3971" s="195">
        <v>5.0796299999999999</v>
      </c>
      <c r="N3971" s="195">
        <v>6.0993000000000004</v>
      </c>
    </row>
    <row r="3972" spans="1:14" hidden="1" x14ac:dyDescent="0.35">
      <c r="A3972" s="52" t="s">
        <v>270</v>
      </c>
      <c r="B3972" s="52" t="s">
        <v>37</v>
      </c>
      <c r="C3972" s="52" t="s">
        <v>35</v>
      </c>
      <c r="D3972" s="52" t="s">
        <v>36</v>
      </c>
      <c r="E3972" s="52" t="s">
        <v>590</v>
      </c>
      <c r="F3972" s="52" t="s">
        <v>581</v>
      </c>
      <c r="G3972" s="195" t="s">
        <v>279</v>
      </c>
      <c r="H3972" s="195">
        <v>53.045180000000002</v>
      </c>
      <c r="I3972" s="195">
        <v>35.502079999999999</v>
      </c>
      <c r="J3972" s="195">
        <v>35.232140000000001</v>
      </c>
      <c r="K3972" s="195">
        <v>36.31465</v>
      </c>
      <c r="L3972" s="195">
        <v>38.449289999999998</v>
      </c>
      <c r="M3972" s="195">
        <v>32.713389999999997</v>
      </c>
      <c r="N3972" s="195">
        <v>29.846309999999999</v>
      </c>
    </row>
    <row r="3973" spans="1:14" hidden="1" x14ac:dyDescent="0.35">
      <c r="A3973" s="52" t="s">
        <v>270</v>
      </c>
      <c r="B3973" s="52" t="s">
        <v>37</v>
      </c>
      <c r="C3973" s="52" t="s">
        <v>35</v>
      </c>
      <c r="D3973" s="52" t="s">
        <v>36</v>
      </c>
      <c r="E3973" s="52" t="s">
        <v>590</v>
      </c>
      <c r="F3973" s="52" t="s">
        <v>26</v>
      </c>
      <c r="G3973" s="195" t="s">
        <v>275</v>
      </c>
      <c r="H3973" s="195">
        <v>1.6522399999999999</v>
      </c>
      <c r="I3973" s="195">
        <v>1.51194E-2</v>
      </c>
      <c r="J3973" s="195">
        <v>0.59753619999999996</v>
      </c>
      <c r="K3973" s="195">
        <v>0.3829978</v>
      </c>
      <c r="L3973" s="195">
        <v>-0.82436540000000003</v>
      </c>
      <c r="M3973" s="195">
        <v>-0.56816860000000002</v>
      </c>
      <c r="N3973" s="195">
        <v>-0.46066600000000002</v>
      </c>
    </row>
    <row r="3974" spans="1:14" hidden="1" x14ac:dyDescent="0.35">
      <c r="A3974" s="52" t="s">
        <v>270</v>
      </c>
      <c r="B3974" s="52" t="s">
        <v>37</v>
      </c>
      <c r="C3974" s="52" t="s">
        <v>35</v>
      </c>
      <c r="D3974" s="52" t="s">
        <v>36</v>
      </c>
      <c r="E3974" s="52" t="s">
        <v>590</v>
      </c>
      <c r="F3974" s="52" t="s">
        <v>26</v>
      </c>
      <c r="G3974" s="195" t="s">
        <v>276</v>
      </c>
      <c r="H3974" s="195">
        <v>0.43920999999999999</v>
      </c>
      <c r="I3974" s="195">
        <v>4.0199980000000003E-3</v>
      </c>
      <c r="J3974" s="195">
        <v>0.15883900000000001</v>
      </c>
      <c r="K3974" s="195">
        <v>0.10180699999999999</v>
      </c>
      <c r="L3974" s="195">
        <v>-0.2191322</v>
      </c>
      <c r="M3974" s="195">
        <v>-0.15103279999999999</v>
      </c>
      <c r="N3974" s="195">
        <v>-0.122456</v>
      </c>
    </row>
    <row r="3975" spans="1:14" hidden="1" x14ac:dyDescent="0.35">
      <c r="A3975" s="52" t="s">
        <v>270</v>
      </c>
      <c r="B3975" s="52" t="s">
        <v>37</v>
      </c>
      <c r="C3975" s="52" t="s">
        <v>35</v>
      </c>
      <c r="D3975" s="52" t="s">
        <v>36</v>
      </c>
      <c r="E3975" s="52" t="s">
        <v>590</v>
      </c>
      <c r="F3975" s="52" t="s">
        <v>26</v>
      </c>
      <c r="G3975" s="195" t="s">
        <v>279</v>
      </c>
      <c r="H3975" s="195">
        <v>16.87548</v>
      </c>
      <c r="I3975" s="195">
        <v>12.99156</v>
      </c>
      <c r="J3975" s="195">
        <v>13.259119999999999</v>
      </c>
      <c r="K3975" s="195">
        <v>13.76332</v>
      </c>
      <c r="L3975" s="195">
        <v>14.61731</v>
      </c>
      <c r="M3975" s="195">
        <v>12.40771</v>
      </c>
      <c r="N3975" s="195">
        <v>11.280189999999999</v>
      </c>
    </row>
    <row r="3976" spans="1:14" hidden="1" x14ac:dyDescent="0.35">
      <c r="A3976" s="52" t="s">
        <v>270</v>
      </c>
      <c r="B3976" s="52" t="s">
        <v>37</v>
      </c>
      <c r="C3976" s="52" t="s">
        <v>35</v>
      </c>
      <c r="D3976" s="52" t="s">
        <v>36</v>
      </c>
      <c r="E3976" s="52" t="s">
        <v>587</v>
      </c>
      <c r="F3976" s="52" t="s">
        <v>581</v>
      </c>
      <c r="G3976" s="195" t="s">
        <v>275</v>
      </c>
      <c r="H3976" s="195">
        <v>84.276079999999993</v>
      </c>
      <c r="I3976" s="195">
        <v>14.51806</v>
      </c>
      <c r="J3976" s="195">
        <v>9.538157</v>
      </c>
      <c r="K3976" s="195">
        <v>9.4937199999999997</v>
      </c>
      <c r="L3976" s="195">
        <v>6.4110839999999998</v>
      </c>
      <c r="M3976" s="195">
        <v>5.9205629999999996</v>
      </c>
      <c r="N3976" s="195">
        <v>5.3225059999999997</v>
      </c>
    </row>
    <row r="3977" spans="1:14" hidden="1" x14ac:dyDescent="0.35">
      <c r="A3977" s="52" t="s">
        <v>270</v>
      </c>
      <c r="B3977" s="52" t="s">
        <v>37</v>
      </c>
      <c r="C3977" s="52" t="s">
        <v>35</v>
      </c>
      <c r="D3977" s="52" t="s">
        <v>36</v>
      </c>
      <c r="E3977" s="52" t="s">
        <v>587</v>
      </c>
      <c r="F3977" s="52" t="s">
        <v>581</v>
      </c>
      <c r="G3977" s="195" t="s">
        <v>276</v>
      </c>
      <c r="H3977" s="195">
        <v>-3.9061080000000001</v>
      </c>
      <c r="I3977" s="195">
        <v>1.7374799999999999</v>
      </c>
      <c r="J3977" s="195">
        <v>2.1261079999999999</v>
      </c>
      <c r="K3977" s="195">
        <v>1.0284219999999999</v>
      </c>
      <c r="L3977" s="195">
        <v>1.704213</v>
      </c>
      <c r="M3977" s="195">
        <v>1.57382</v>
      </c>
      <c r="N3977" s="195">
        <v>1.414844</v>
      </c>
    </row>
    <row r="3978" spans="1:14" x14ac:dyDescent="0.35">
      <c r="A3978" s="52" t="s">
        <v>270</v>
      </c>
      <c r="B3978" s="52" t="s">
        <v>37</v>
      </c>
      <c r="C3978" s="52" t="s">
        <v>35</v>
      </c>
      <c r="D3978" s="52" t="s">
        <v>36</v>
      </c>
      <c r="E3978" s="52" t="s">
        <v>587</v>
      </c>
      <c r="F3978" s="52" t="s">
        <v>581</v>
      </c>
      <c r="G3978" s="195" t="s">
        <v>277</v>
      </c>
      <c r="H3978" s="195">
        <v>6.0000000000000002E-6</v>
      </c>
      <c r="I3978" s="195">
        <v>0</v>
      </c>
      <c r="J3978" s="195"/>
      <c r="K3978" s="195"/>
      <c r="L3978" s="195"/>
      <c r="M3978" s="195">
        <v>0</v>
      </c>
      <c r="N3978" s="195">
        <v>0</v>
      </c>
    </row>
    <row r="3979" spans="1:14" hidden="1" x14ac:dyDescent="0.35">
      <c r="A3979" s="52" t="s">
        <v>270</v>
      </c>
      <c r="B3979" s="52" t="s">
        <v>37</v>
      </c>
      <c r="C3979" s="52" t="s">
        <v>35</v>
      </c>
      <c r="D3979" s="52" t="s">
        <v>36</v>
      </c>
      <c r="E3979" s="52" t="s">
        <v>587</v>
      </c>
      <c r="F3979" s="52" t="s">
        <v>581</v>
      </c>
      <c r="G3979" s="195" t="s">
        <v>279</v>
      </c>
      <c r="H3979" s="195">
        <v>29.23948</v>
      </c>
      <c r="I3979" s="195">
        <v>17.228439999999999</v>
      </c>
      <c r="J3979" s="195">
        <v>14.518969999999999</v>
      </c>
      <c r="K3979" s="195">
        <v>13.466419999999999</v>
      </c>
      <c r="L3979" s="195">
        <v>13.65658</v>
      </c>
      <c r="M3979" s="195">
        <v>12.14198</v>
      </c>
      <c r="N3979" s="195">
        <v>10.88302</v>
      </c>
    </row>
    <row r="3980" spans="1:14" hidden="1" x14ac:dyDescent="0.35">
      <c r="A3980" s="52" t="s">
        <v>270</v>
      </c>
      <c r="B3980" s="52" t="s">
        <v>37</v>
      </c>
      <c r="C3980" s="52" t="s">
        <v>35</v>
      </c>
      <c r="D3980" s="52" t="s">
        <v>36</v>
      </c>
      <c r="E3980" s="52" t="s">
        <v>587</v>
      </c>
      <c r="F3980" s="52" t="s">
        <v>26</v>
      </c>
      <c r="G3980" s="195" t="s">
        <v>275</v>
      </c>
      <c r="H3980" s="195">
        <v>-0.99320200000000003</v>
      </c>
      <c r="I3980" s="195">
        <v>-1.4319949999999999</v>
      </c>
      <c r="J3980" s="195">
        <v>-0.93246700000000005</v>
      </c>
      <c r="K3980" s="195">
        <v>-0.9792457</v>
      </c>
      <c r="L3980" s="195">
        <v>-1.5688279999999999</v>
      </c>
      <c r="M3980" s="195">
        <v>-1.3471470000000001</v>
      </c>
      <c r="N3980" s="195">
        <v>-1.2021809999999999</v>
      </c>
    </row>
    <row r="3981" spans="1:14" hidden="1" x14ac:dyDescent="0.35">
      <c r="A3981" s="52" t="s">
        <v>270</v>
      </c>
      <c r="B3981" s="52" t="s">
        <v>37</v>
      </c>
      <c r="C3981" s="52" t="s">
        <v>35</v>
      </c>
      <c r="D3981" s="52" t="s">
        <v>36</v>
      </c>
      <c r="E3981" s="52" t="s">
        <v>587</v>
      </c>
      <c r="F3981" s="52" t="s">
        <v>26</v>
      </c>
      <c r="G3981" s="195" t="s">
        <v>276</v>
      </c>
      <c r="H3981" s="195">
        <v>-0.26401599999999997</v>
      </c>
      <c r="I3981" s="195">
        <v>-0.38065680000000002</v>
      </c>
      <c r="J3981" s="195">
        <v>-0.2478708</v>
      </c>
      <c r="K3981" s="195">
        <v>-0.26030579999999998</v>
      </c>
      <c r="L3981" s="195">
        <v>-0.4170314</v>
      </c>
      <c r="M3981" s="195">
        <v>-0.358103</v>
      </c>
      <c r="N3981" s="195">
        <v>-0.31956639999999997</v>
      </c>
    </row>
    <row r="3982" spans="1:14" hidden="1" x14ac:dyDescent="0.35">
      <c r="A3982" s="52" t="s">
        <v>270</v>
      </c>
      <c r="B3982" s="52" t="s">
        <v>37</v>
      </c>
      <c r="C3982" s="52" t="s">
        <v>35</v>
      </c>
      <c r="D3982" s="52" t="s">
        <v>36</v>
      </c>
      <c r="E3982" s="52" t="s">
        <v>587</v>
      </c>
      <c r="F3982" s="52" t="s">
        <v>26</v>
      </c>
      <c r="G3982" s="195" t="s">
        <v>279</v>
      </c>
      <c r="H3982" s="195">
        <v>15.33497</v>
      </c>
      <c r="I3982" s="195">
        <v>9.8228679999999997</v>
      </c>
      <c r="J3982" s="195">
        <v>8.4728910000000006</v>
      </c>
      <c r="K3982" s="195">
        <v>7.9095930000000001</v>
      </c>
      <c r="L3982" s="195">
        <v>8.0260069999999999</v>
      </c>
      <c r="M3982" s="195">
        <v>7.1379239999999999</v>
      </c>
      <c r="N3982" s="195">
        <v>6.3976550000000003</v>
      </c>
    </row>
    <row r="3983" spans="1:14" hidden="1" x14ac:dyDescent="0.35">
      <c r="A3983" s="52" t="s">
        <v>270</v>
      </c>
      <c r="B3983" s="52" t="s">
        <v>37</v>
      </c>
      <c r="C3983" s="52" t="s">
        <v>35</v>
      </c>
      <c r="D3983" s="52" t="s">
        <v>39</v>
      </c>
      <c r="E3983" s="52" t="s">
        <v>582</v>
      </c>
      <c r="F3983" s="52" t="s">
        <v>581</v>
      </c>
      <c r="G3983" s="195" t="s">
        <v>275</v>
      </c>
      <c r="H3983" s="195">
        <v>-124.3177</v>
      </c>
      <c r="I3983" s="195">
        <v>100.77290000000001</v>
      </c>
      <c r="J3983" s="195">
        <v>235.55600000000001</v>
      </c>
      <c r="K3983" s="195">
        <v>246.18799999999999</v>
      </c>
      <c r="L3983" s="195">
        <v>191.2867</v>
      </c>
      <c r="M3983" s="195">
        <v>119.70059999999999</v>
      </c>
      <c r="N3983" s="195">
        <v>92.783580000000001</v>
      </c>
    </row>
    <row r="3984" spans="1:14" hidden="1" x14ac:dyDescent="0.35">
      <c r="A3984" s="52" t="s">
        <v>270</v>
      </c>
      <c r="B3984" s="52" t="s">
        <v>37</v>
      </c>
      <c r="C3984" s="52" t="s">
        <v>35</v>
      </c>
      <c r="D3984" s="52" t="s">
        <v>39</v>
      </c>
      <c r="E3984" s="52" t="s">
        <v>582</v>
      </c>
      <c r="F3984" s="52" t="s">
        <v>581</v>
      </c>
      <c r="G3984" s="195" t="s">
        <v>276</v>
      </c>
      <c r="H3984" s="195">
        <v>38.664499999999997</v>
      </c>
      <c r="I3984" s="195">
        <v>-51.20993</v>
      </c>
      <c r="J3984" s="195">
        <v>-64.709500000000006</v>
      </c>
      <c r="K3984" s="195">
        <v>-96.316760000000002</v>
      </c>
      <c r="L3984" s="195">
        <v>-82.464969999999994</v>
      </c>
      <c r="M3984" s="195">
        <v>3.8974839999999999</v>
      </c>
      <c r="N3984" s="195">
        <v>19.355920000000001</v>
      </c>
    </row>
    <row r="3985" spans="1:14" x14ac:dyDescent="0.35">
      <c r="A3985" s="52" t="s">
        <v>270</v>
      </c>
      <c r="B3985" s="52" t="s">
        <v>37</v>
      </c>
      <c r="C3985" s="52" t="s">
        <v>35</v>
      </c>
      <c r="D3985" s="52" t="s">
        <v>39</v>
      </c>
      <c r="E3985" s="52" t="s">
        <v>582</v>
      </c>
      <c r="F3985" s="52" t="s">
        <v>581</v>
      </c>
      <c r="G3985" s="195" t="s">
        <v>277</v>
      </c>
      <c r="H3985" s="195">
        <v>1000.5410000000001</v>
      </c>
      <c r="I3985" s="195">
        <v>138.4521</v>
      </c>
      <c r="J3985" s="195">
        <v>15.019489999999999</v>
      </c>
      <c r="K3985" s="195">
        <v>6.5791370000000002</v>
      </c>
      <c r="L3985" s="195">
        <v>5.5577730000000001</v>
      </c>
      <c r="M3985" s="195">
        <v>3.7428919999999999</v>
      </c>
      <c r="N3985" s="195">
        <v>3.8788749999999999</v>
      </c>
    </row>
    <row r="3986" spans="1:14" x14ac:dyDescent="0.35">
      <c r="A3986" s="52" t="s">
        <v>270</v>
      </c>
      <c r="B3986" s="52" t="s">
        <v>37</v>
      </c>
      <c r="C3986" s="52" t="s">
        <v>35</v>
      </c>
      <c r="D3986" s="52" t="s">
        <v>39</v>
      </c>
      <c r="E3986" s="52" t="s">
        <v>582</v>
      </c>
      <c r="F3986" s="52" t="s">
        <v>581</v>
      </c>
      <c r="G3986" s="195" t="s">
        <v>278</v>
      </c>
      <c r="H3986" s="195">
        <v>217.23849999999999</v>
      </c>
      <c r="I3986" s="195">
        <v>116.10599999999999</v>
      </c>
      <c r="J3986" s="195">
        <v>39.384459999999997</v>
      </c>
      <c r="K3986" s="195">
        <v>34.05735</v>
      </c>
      <c r="L3986" s="195">
        <v>40.470829999999999</v>
      </c>
      <c r="M3986" s="195">
        <v>17.963840000000001</v>
      </c>
      <c r="N3986" s="195">
        <v>15.922750000000001</v>
      </c>
    </row>
    <row r="3987" spans="1:14" hidden="1" x14ac:dyDescent="0.35">
      <c r="A3987" s="52" t="s">
        <v>270</v>
      </c>
      <c r="B3987" s="52" t="s">
        <v>37</v>
      </c>
      <c r="C3987" s="52" t="s">
        <v>35</v>
      </c>
      <c r="D3987" s="52" t="s">
        <v>39</v>
      </c>
      <c r="E3987" s="52" t="s">
        <v>582</v>
      </c>
      <c r="F3987" s="52" t="s">
        <v>581</v>
      </c>
      <c r="G3987" s="195" t="s">
        <v>279</v>
      </c>
      <c r="H3987" s="195">
        <v>376.58640000000003</v>
      </c>
      <c r="I3987" s="195">
        <v>281.67039999999997</v>
      </c>
      <c r="J3987" s="195">
        <v>241.77379999999999</v>
      </c>
      <c r="K3987" s="195">
        <v>209.61279999999999</v>
      </c>
      <c r="L3987" s="195">
        <v>215.785</v>
      </c>
      <c r="M3987" s="195">
        <v>192.38919999999999</v>
      </c>
      <c r="N3987" s="195">
        <v>171.7054</v>
      </c>
    </row>
    <row r="3988" spans="1:14" hidden="1" x14ac:dyDescent="0.35">
      <c r="A3988" s="52" t="s">
        <v>270</v>
      </c>
      <c r="B3988" s="52" t="s">
        <v>37</v>
      </c>
      <c r="C3988" s="52" t="s">
        <v>35</v>
      </c>
      <c r="D3988" s="52" t="s">
        <v>39</v>
      </c>
      <c r="E3988" s="52" t="s">
        <v>582</v>
      </c>
      <c r="F3988" s="52" t="s">
        <v>26</v>
      </c>
      <c r="G3988" s="195" t="s">
        <v>275</v>
      </c>
      <c r="H3988" s="195">
        <v>-12.801130000000001</v>
      </c>
      <c r="I3988" s="195">
        <v>-26.45298</v>
      </c>
      <c r="J3988" s="195">
        <v>-17.454640000000001</v>
      </c>
      <c r="K3988" s="195">
        <v>-17.663740000000001</v>
      </c>
      <c r="L3988" s="195">
        <v>-28.19097</v>
      </c>
      <c r="M3988" s="195">
        <v>-24.247610000000002</v>
      </c>
      <c r="N3988" s="195">
        <v>-21.309809999999999</v>
      </c>
    </row>
    <row r="3989" spans="1:14" hidden="1" x14ac:dyDescent="0.35">
      <c r="A3989" s="52" t="s">
        <v>270</v>
      </c>
      <c r="B3989" s="52" t="s">
        <v>37</v>
      </c>
      <c r="C3989" s="52" t="s">
        <v>35</v>
      </c>
      <c r="D3989" s="52" t="s">
        <v>39</v>
      </c>
      <c r="E3989" s="52" t="s">
        <v>582</v>
      </c>
      <c r="F3989" s="52" t="s">
        <v>26</v>
      </c>
      <c r="G3989" s="195" t="s">
        <v>276</v>
      </c>
      <c r="H3989" s="195">
        <v>-3.4028160000000001</v>
      </c>
      <c r="I3989" s="195">
        <v>-7.0317930000000004</v>
      </c>
      <c r="J3989" s="195">
        <v>-4.6398239999999999</v>
      </c>
      <c r="K3989" s="195">
        <v>-4.6954339999999997</v>
      </c>
      <c r="L3989" s="195">
        <v>-7.4937930000000001</v>
      </c>
      <c r="M3989" s="195">
        <v>-6.4455530000000003</v>
      </c>
      <c r="N3989" s="195">
        <v>-5.6646289999999997</v>
      </c>
    </row>
    <row r="3990" spans="1:14" hidden="1" x14ac:dyDescent="0.35">
      <c r="A3990" s="52" t="s">
        <v>270</v>
      </c>
      <c r="B3990" s="52" t="s">
        <v>37</v>
      </c>
      <c r="C3990" s="52" t="s">
        <v>35</v>
      </c>
      <c r="D3990" s="52" t="s">
        <v>39</v>
      </c>
      <c r="E3990" s="52" t="s">
        <v>582</v>
      </c>
      <c r="F3990" s="52" t="s">
        <v>26</v>
      </c>
      <c r="G3990" s="195" t="s">
        <v>279</v>
      </c>
      <c r="H3990" s="195">
        <v>210.584</v>
      </c>
      <c r="I3990" s="195">
        <v>184.0489</v>
      </c>
      <c r="J3990" s="195">
        <v>161.6035</v>
      </c>
      <c r="K3990" s="195">
        <v>141.40940000000001</v>
      </c>
      <c r="L3990" s="195">
        <v>145.43469999999999</v>
      </c>
      <c r="M3990" s="195">
        <v>129.76650000000001</v>
      </c>
      <c r="N3990" s="195">
        <v>115.59520000000001</v>
      </c>
    </row>
    <row r="3991" spans="1:14" hidden="1" x14ac:dyDescent="0.35">
      <c r="A3991" s="52" t="s">
        <v>270</v>
      </c>
      <c r="B3991" s="52" t="s">
        <v>37</v>
      </c>
      <c r="C3991" s="52" t="s">
        <v>35</v>
      </c>
      <c r="D3991" s="52" t="s">
        <v>129</v>
      </c>
      <c r="E3991" s="52" t="s">
        <v>580</v>
      </c>
      <c r="F3991" s="52" t="s">
        <v>581</v>
      </c>
      <c r="G3991" s="195" t="s">
        <v>275</v>
      </c>
      <c r="H3991" s="195">
        <v>76.483670000000004</v>
      </c>
      <c r="I3991" s="195">
        <v>107.1318</v>
      </c>
      <c r="J3991" s="195">
        <v>137.72190000000001</v>
      </c>
      <c r="K3991" s="195">
        <v>164.62190000000001</v>
      </c>
      <c r="L3991" s="195">
        <v>97.830629999999999</v>
      </c>
      <c r="M3991" s="195">
        <v>58.917110000000001</v>
      </c>
      <c r="N3991" s="195">
        <v>46.76023</v>
      </c>
    </row>
    <row r="3992" spans="1:14" hidden="1" x14ac:dyDescent="0.35">
      <c r="A3992" s="52" t="s">
        <v>270</v>
      </c>
      <c r="B3992" s="52" t="s">
        <v>37</v>
      </c>
      <c r="C3992" s="52" t="s">
        <v>35</v>
      </c>
      <c r="D3992" s="52" t="s">
        <v>129</v>
      </c>
      <c r="E3992" s="52" t="s">
        <v>580</v>
      </c>
      <c r="F3992" s="52" t="s">
        <v>581</v>
      </c>
      <c r="G3992" s="195" t="s">
        <v>276</v>
      </c>
      <c r="H3992" s="195">
        <v>-0.87396569999999996</v>
      </c>
      <c r="I3992" s="195">
        <v>-58.216439999999999</v>
      </c>
      <c r="J3992" s="195">
        <v>-56.222259999999999</v>
      </c>
      <c r="K3992" s="195">
        <v>-89.093490000000003</v>
      </c>
      <c r="L3992" s="195">
        <v>-35.350740000000002</v>
      </c>
      <c r="M3992" s="195">
        <v>3.604867</v>
      </c>
      <c r="N3992" s="195">
        <v>8.5620119999999993</v>
      </c>
    </row>
    <row r="3993" spans="1:14" x14ac:dyDescent="0.35">
      <c r="A3993" s="52" t="s">
        <v>270</v>
      </c>
      <c r="B3993" s="52" t="s">
        <v>37</v>
      </c>
      <c r="C3993" s="52" t="s">
        <v>35</v>
      </c>
      <c r="D3993" s="52" t="s">
        <v>129</v>
      </c>
      <c r="E3993" s="52" t="s">
        <v>580</v>
      </c>
      <c r="F3993" s="52" t="s">
        <v>581</v>
      </c>
      <c r="G3993" s="195" t="s">
        <v>277</v>
      </c>
      <c r="H3993" s="195">
        <v>457.33670000000001</v>
      </c>
      <c r="I3993" s="195">
        <v>57.528680000000001</v>
      </c>
      <c r="J3993" s="195">
        <v>9.1772840000000002</v>
      </c>
      <c r="K3993" s="195">
        <v>3.0870160000000002</v>
      </c>
      <c r="L3993" s="195">
        <v>1.249404</v>
      </c>
      <c r="M3993" s="195">
        <v>0</v>
      </c>
      <c r="N3993" s="195">
        <v>0</v>
      </c>
    </row>
    <row r="3994" spans="1:14" x14ac:dyDescent="0.35">
      <c r="A3994" s="52" t="s">
        <v>270</v>
      </c>
      <c r="B3994" s="52" t="s">
        <v>37</v>
      </c>
      <c r="C3994" s="52" t="s">
        <v>35</v>
      </c>
      <c r="D3994" s="52" t="s">
        <v>129</v>
      </c>
      <c r="E3994" s="52" t="s">
        <v>580</v>
      </c>
      <c r="F3994" s="52" t="s">
        <v>581</v>
      </c>
      <c r="G3994" s="195" t="s">
        <v>278</v>
      </c>
      <c r="H3994" s="195">
        <v>82.78134</v>
      </c>
      <c r="I3994" s="195">
        <v>36.909239999999997</v>
      </c>
      <c r="J3994" s="195">
        <v>18.933710000000001</v>
      </c>
      <c r="K3994" s="195">
        <v>16.030239999999999</v>
      </c>
      <c r="L3994" s="195">
        <v>7.1793829999999996</v>
      </c>
      <c r="M3994" s="195">
        <v>0</v>
      </c>
      <c r="N3994" s="195">
        <v>0</v>
      </c>
    </row>
    <row r="3995" spans="1:14" hidden="1" x14ac:dyDescent="0.35">
      <c r="A3995" s="52" t="s">
        <v>270</v>
      </c>
      <c r="B3995" s="52" t="s">
        <v>37</v>
      </c>
      <c r="C3995" s="52" t="s">
        <v>35</v>
      </c>
      <c r="D3995" s="52" t="s">
        <v>129</v>
      </c>
      <c r="E3995" s="52" t="s">
        <v>580</v>
      </c>
      <c r="F3995" s="52" t="s">
        <v>581</v>
      </c>
      <c r="G3995" s="195" t="s">
        <v>279</v>
      </c>
      <c r="H3995" s="195">
        <v>207.6011</v>
      </c>
      <c r="I3995" s="195">
        <v>137.1712</v>
      </c>
      <c r="J3995" s="195">
        <v>121.6288</v>
      </c>
      <c r="K3995" s="195">
        <v>107.4772</v>
      </c>
      <c r="L3995" s="195">
        <v>103.8151</v>
      </c>
      <c r="M3995" s="195">
        <v>88.637129999999999</v>
      </c>
      <c r="N3995" s="195">
        <v>78.261799999999994</v>
      </c>
    </row>
    <row r="3996" spans="1:14" hidden="1" x14ac:dyDescent="0.35">
      <c r="A3996" s="52" t="s">
        <v>270</v>
      </c>
      <c r="B3996" s="52" t="s">
        <v>37</v>
      </c>
      <c r="C3996" s="52" t="s">
        <v>35</v>
      </c>
      <c r="D3996" s="52" t="s">
        <v>129</v>
      </c>
      <c r="E3996" s="52" t="s">
        <v>580</v>
      </c>
      <c r="F3996" s="52" t="s">
        <v>26</v>
      </c>
      <c r="G3996" s="195" t="s">
        <v>275</v>
      </c>
      <c r="H3996" s="195">
        <v>4.2195450000000001</v>
      </c>
      <c r="I3996" s="195">
        <v>-3.7699530000000001</v>
      </c>
      <c r="J3996" s="195">
        <v>-0.5687065</v>
      </c>
      <c r="K3996" s="195">
        <v>-1.4365840000000001</v>
      </c>
      <c r="L3996" s="195">
        <v>-6.2161679999999997</v>
      </c>
      <c r="M3996" s="195">
        <v>-4.9352109999999998</v>
      </c>
      <c r="N3996" s="195">
        <v>-4.3196640000000004</v>
      </c>
    </row>
    <row r="3997" spans="1:14" hidden="1" x14ac:dyDescent="0.35">
      <c r="A3997" s="52" t="s">
        <v>270</v>
      </c>
      <c r="B3997" s="52" t="s">
        <v>37</v>
      </c>
      <c r="C3997" s="52" t="s">
        <v>35</v>
      </c>
      <c r="D3997" s="52" t="s">
        <v>129</v>
      </c>
      <c r="E3997" s="52" t="s">
        <v>580</v>
      </c>
      <c r="F3997" s="52" t="s">
        <v>26</v>
      </c>
      <c r="G3997" s="195" t="s">
        <v>276</v>
      </c>
      <c r="H3997" s="195">
        <v>1.1216489999999999</v>
      </c>
      <c r="I3997" s="195">
        <v>-1.0021420000000001</v>
      </c>
      <c r="J3997" s="195">
        <v>-0.15116460000000001</v>
      </c>
      <c r="K3997" s="195">
        <v>-0.38187460000000001</v>
      </c>
      <c r="L3997" s="195">
        <v>-1.6524080000000001</v>
      </c>
      <c r="M3997" s="195">
        <v>-1.3118920000000001</v>
      </c>
      <c r="N3997" s="195">
        <v>-1.148263</v>
      </c>
    </row>
    <row r="3998" spans="1:14" hidden="1" x14ac:dyDescent="0.35">
      <c r="A3998" s="52" t="s">
        <v>270</v>
      </c>
      <c r="B3998" s="52" t="s">
        <v>37</v>
      </c>
      <c r="C3998" s="52" t="s">
        <v>35</v>
      </c>
      <c r="D3998" s="52" t="s">
        <v>129</v>
      </c>
      <c r="E3998" s="52" t="s">
        <v>580</v>
      </c>
      <c r="F3998" s="52" t="s">
        <v>26</v>
      </c>
      <c r="G3998" s="195" t="s">
        <v>279</v>
      </c>
      <c r="H3998" s="195">
        <v>94.372979999999998</v>
      </c>
      <c r="I3998" s="195">
        <v>72.390410000000003</v>
      </c>
      <c r="J3998" s="195">
        <v>65.508359999999996</v>
      </c>
      <c r="K3998" s="195">
        <v>58.282220000000002</v>
      </c>
      <c r="L3998" s="195">
        <v>56.539580000000001</v>
      </c>
      <c r="M3998" s="195">
        <v>48.27713</v>
      </c>
      <c r="N3998" s="195">
        <v>42.624540000000003</v>
      </c>
    </row>
    <row r="3999" spans="1:14" hidden="1" x14ac:dyDescent="0.35">
      <c r="A3999" s="52" t="s">
        <v>270</v>
      </c>
      <c r="B3999" s="52" t="s">
        <v>37</v>
      </c>
      <c r="C3999" s="52" t="s">
        <v>35</v>
      </c>
      <c r="D3999" s="52" t="s">
        <v>38</v>
      </c>
      <c r="E3999" s="52" t="s">
        <v>584</v>
      </c>
      <c r="F3999" s="52" t="s">
        <v>581</v>
      </c>
      <c r="G3999" s="195" t="s">
        <v>275</v>
      </c>
      <c r="H3999" s="195">
        <v>63.321890000000003</v>
      </c>
      <c r="I3999" s="195">
        <v>10.26534</v>
      </c>
      <c r="J3999" s="195">
        <v>7.1385899999999998</v>
      </c>
      <c r="K3999" s="195">
        <v>7.04725</v>
      </c>
      <c r="L3999" s="195">
        <v>3.259741</v>
      </c>
      <c r="M3999" s="195">
        <v>3.0070570000000001</v>
      </c>
      <c r="N3999" s="195">
        <v>2.7264560000000002</v>
      </c>
    </row>
    <row r="4000" spans="1:14" hidden="1" x14ac:dyDescent="0.35">
      <c r="A4000" s="52" t="s">
        <v>270</v>
      </c>
      <c r="B4000" s="52" t="s">
        <v>37</v>
      </c>
      <c r="C4000" s="52" t="s">
        <v>35</v>
      </c>
      <c r="D4000" s="52" t="s">
        <v>38</v>
      </c>
      <c r="E4000" s="52" t="s">
        <v>584</v>
      </c>
      <c r="F4000" s="52" t="s">
        <v>581</v>
      </c>
      <c r="G4000" s="195" t="s">
        <v>276</v>
      </c>
      <c r="H4000" s="195">
        <v>15.145490000000001</v>
      </c>
      <c r="I4000" s="195">
        <v>1.5915250000000001</v>
      </c>
      <c r="J4000" s="195">
        <v>0.45422839999999998</v>
      </c>
      <c r="K4000" s="195">
        <v>-0.45262839999999999</v>
      </c>
      <c r="L4000" s="195">
        <v>0.59187719999999999</v>
      </c>
      <c r="M4000" s="195">
        <v>0.77879790000000004</v>
      </c>
      <c r="N4000" s="195">
        <v>0.72475420000000002</v>
      </c>
    </row>
    <row r="4001" spans="1:14" x14ac:dyDescent="0.35">
      <c r="A4001" s="52" t="s">
        <v>270</v>
      </c>
      <c r="B4001" s="52" t="s">
        <v>37</v>
      </c>
      <c r="C4001" s="52" t="s">
        <v>35</v>
      </c>
      <c r="D4001" s="52" t="s">
        <v>38</v>
      </c>
      <c r="E4001" s="52" t="s">
        <v>584</v>
      </c>
      <c r="F4001" s="52" t="s">
        <v>581</v>
      </c>
      <c r="G4001" s="195" t="s">
        <v>277</v>
      </c>
      <c r="H4001" s="195">
        <v>2.475177</v>
      </c>
      <c r="I4001" s="195">
        <v>0.18870919999999999</v>
      </c>
      <c r="J4001" s="195">
        <v>0</v>
      </c>
      <c r="K4001" s="195"/>
      <c r="L4001" s="195"/>
      <c r="M4001" s="195">
        <v>0</v>
      </c>
      <c r="N4001" s="195">
        <v>0</v>
      </c>
    </row>
    <row r="4002" spans="1:14" hidden="1" x14ac:dyDescent="0.35">
      <c r="A4002" s="52" t="s">
        <v>270</v>
      </c>
      <c r="B4002" s="52" t="s">
        <v>37</v>
      </c>
      <c r="C4002" s="52" t="s">
        <v>35</v>
      </c>
      <c r="D4002" s="52" t="s">
        <v>38</v>
      </c>
      <c r="E4002" s="52" t="s">
        <v>584</v>
      </c>
      <c r="F4002" s="52" t="s">
        <v>581</v>
      </c>
      <c r="G4002" s="195" t="s">
        <v>279</v>
      </c>
      <c r="H4002" s="195">
        <v>40.972720000000002</v>
      </c>
      <c r="I4002" s="195">
        <v>25.281199999999998</v>
      </c>
      <c r="J4002" s="195">
        <v>20.739339999999999</v>
      </c>
      <c r="K4002" s="195">
        <v>18.844259999999998</v>
      </c>
      <c r="L4002" s="195">
        <v>19.089670000000002</v>
      </c>
      <c r="M4002" s="195">
        <v>17.20815</v>
      </c>
      <c r="N4002" s="195">
        <v>15.584619999999999</v>
      </c>
    </row>
    <row r="4003" spans="1:14" hidden="1" x14ac:dyDescent="0.35">
      <c r="A4003" s="52" t="s">
        <v>270</v>
      </c>
      <c r="B4003" s="52" t="s">
        <v>37</v>
      </c>
      <c r="C4003" s="52" t="s">
        <v>35</v>
      </c>
      <c r="D4003" s="52" t="s">
        <v>38</v>
      </c>
      <c r="E4003" s="52" t="s">
        <v>584</v>
      </c>
      <c r="F4003" s="52" t="s">
        <v>26</v>
      </c>
      <c r="G4003" s="195" t="s">
        <v>275</v>
      </c>
      <c r="H4003" s="195">
        <v>-4.2965520000000001</v>
      </c>
      <c r="I4003" s="195">
        <v>-3.9192420000000001</v>
      </c>
      <c r="J4003" s="195">
        <v>-2.8385799999999999</v>
      </c>
      <c r="K4003" s="195">
        <v>-2.725177</v>
      </c>
      <c r="L4003" s="195">
        <v>-3.5686849999999999</v>
      </c>
      <c r="M4003" s="195">
        <v>-3.1477379999999999</v>
      </c>
      <c r="N4003" s="195">
        <v>-2.8432780000000002</v>
      </c>
    </row>
    <row r="4004" spans="1:14" hidden="1" x14ac:dyDescent="0.35">
      <c r="A4004" s="52" t="s">
        <v>270</v>
      </c>
      <c r="B4004" s="52" t="s">
        <v>37</v>
      </c>
      <c r="C4004" s="52" t="s">
        <v>35</v>
      </c>
      <c r="D4004" s="52" t="s">
        <v>38</v>
      </c>
      <c r="E4004" s="52" t="s">
        <v>584</v>
      </c>
      <c r="F4004" s="52" t="s">
        <v>26</v>
      </c>
      <c r="G4004" s="195" t="s">
        <v>276</v>
      </c>
      <c r="H4004" s="195">
        <v>-1.1421209999999999</v>
      </c>
      <c r="I4004" s="195">
        <v>-1.0418240000000001</v>
      </c>
      <c r="J4004" s="195">
        <v>-0.75455899999999998</v>
      </c>
      <c r="K4004" s="195">
        <v>-0.72441359999999999</v>
      </c>
      <c r="L4004" s="195">
        <v>-0.94863799999999998</v>
      </c>
      <c r="M4004" s="195">
        <v>-0.83673940000000002</v>
      </c>
      <c r="N4004" s="195">
        <v>-0.75580800000000004</v>
      </c>
    </row>
    <row r="4005" spans="1:14" hidden="1" x14ac:dyDescent="0.35">
      <c r="A4005" s="52" t="s">
        <v>270</v>
      </c>
      <c r="B4005" s="52" t="s">
        <v>37</v>
      </c>
      <c r="C4005" s="52" t="s">
        <v>35</v>
      </c>
      <c r="D4005" s="52" t="s">
        <v>38</v>
      </c>
      <c r="E4005" s="52" t="s">
        <v>584</v>
      </c>
      <c r="F4005" s="52" t="s">
        <v>26</v>
      </c>
      <c r="G4005" s="195" t="s">
        <v>279</v>
      </c>
      <c r="H4005" s="195">
        <v>25.635290000000001</v>
      </c>
      <c r="I4005" s="195">
        <v>16.46658</v>
      </c>
      <c r="J4005" s="195">
        <v>13.773630000000001</v>
      </c>
      <c r="K4005" s="195">
        <v>12.575049999999999</v>
      </c>
      <c r="L4005" s="195">
        <v>12.728440000000001</v>
      </c>
      <c r="M4005" s="195">
        <v>11.4779</v>
      </c>
      <c r="N4005" s="195">
        <v>10.39495</v>
      </c>
    </row>
    <row r="4006" spans="1:14" hidden="1" x14ac:dyDescent="0.35">
      <c r="A4006" s="52" t="s">
        <v>670</v>
      </c>
      <c r="B4006" s="52" t="s">
        <v>37</v>
      </c>
      <c r="C4006" s="52" t="s">
        <v>35</v>
      </c>
      <c r="D4006" s="52" t="s">
        <v>36</v>
      </c>
      <c r="E4006" s="52" t="s">
        <v>588</v>
      </c>
      <c r="F4006" s="52" t="s">
        <v>581</v>
      </c>
      <c r="G4006" s="195" t="s">
        <v>275</v>
      </c>
      <c r="H4006" s="195">
        <v>95.8583</v>
      </c>
      <c r="I4006" s="195">
        <v>158.23179999999999</v>
      </c>
      <c r="J4006" s="195">
        <v>163.4254</v>
      </c>
      <c r="K4006" s="195">
        <v>162.3117</v>
      </c>
      <c r="L4006" s="195">
        <v>109.3978</v>
      </c>
      <c r="M4006" s="195">
        <v>57.153480000000002</v>
      </c>
      <c r="N4006" s="195">
        <v>57.231639999999999</v>
      </c>
    </row>
    <row r="4007" spans="1:14" hidden="1" x14ac:dyDescent="0.35">
      <c r="A4007" s="52" t="s">
        <v>670</v>
      </c>
      <c r="B4007" s="52" t="s">
        <v>37</v>
      </c>
      <c r="C4007" s="52" t="s">
        <v>35</v>
      </c>
      <c r="D4007" s="52" t="s">
        <v>36</v>
      </c>
      <c r="E4007" s="52" t="s">
        <v>588</v>
      </c>
      <c r="F4007" s="52" t="s">
        <v>581</v>
      </c>
      <c r="G4007" s="195" t="s">
        <v>276</v>
      </c>
      <c r="H4007" s="195">
        <v>70.735190000000003</v>
      </c>
      <c r="I4007" s="195">
        <v>-17.08474</v>
      </c>
      <c r="J4007" s="195">
        <v>-27.855560000000001</v>
      </c>
      <c r="K4007" s="195">
        <v>-31.900569999999998</v>
      </c>
      <c r="L4007" s="195">
        <v>-32.21313</v>
      </c>
      <c r="M4007" s="195">
        <v>14.720179999999999</v>
      </c>
      <c r="N4007" s="195">
        <v>19.595859999999998</v>
      </c>
    </row>
    <row r="4008" spans="1:14" hidden="1" x14ac:dyDescent="0.35">
      <c r="A4008" s="52" t="s">
        <v>670</v>
      </c>
      <c r="B4008" s="52" t="s">
        <v>37</v>
      </c>
      <c r="C4008" s="52" t="s">
        <v>35</v>
      </c>
      <c r="D4008" s="52" t="s">
        <v>36</v>
      </c>
      <c r="E4008" s="52" t="s">
        <v>588</v>
      </c>
      <c r="F4008" s="52" t="s">
        <v>581</v>
      </c>
      <c r="G4008" s="195" t="s">
        <v>277</v>
      </c>
      <c r="H4008" s="195">
        <v>531.5059</v>
      </c>
      <c r="I4008" s="195">
        <v>66.200379999999996</v>
      </c>
      <c r="J4008" s="195">
        <v>21.636220000000002</v>
      </c>
      <c r="K4008" s="195">
        <v>7.7318420000000003</v>
      </c>
      <c r="L4008" s="195">
        <v>38.431939999999997</v>
      </c>
      <c r="M4008" s="195">
        <v>55.405369999999998</v>
      </c>
      <c r="N4008" s="195">
        <v>59.581339999999997</v>
      </c>
    </row>
    <row r="4009" spans="1:14" hidden="1" x14ac:dyDescent="0.35">
      <c r="A4009" s="52" t="s">
        <v>670</v>
      </c>
      <c r="B4009" s="52" t="s">
        <v>37</v>
      </c>
      <c r="C4009" s="52" t="s">
        <v>35</v>
      </c>
      <c r="D4009" s="52" t="s">
        <v>36</v>
      </c>
      <c r="E4009" s="52" t="s">
        <v>588</v>
      </c>
      <c r="F4009" s="52" t="s">
        <v>581</v>
      </c>
      <c r="G4009" s="195" t="s">
        <v>278</v>
      </c>
      <c r="H4009" s="195">
        <v>93.514589999999998</v>
      </c>
      <c r="I4009" s="195">
        <v>35.90334</v>
      </c>
      <c r="J4009" s="195">
        <v>27.63682</v>
      </c>
      <c r="K4009" s="195">
        <v>19.030709999999999</v>
      </c>
      <c r="L4009" s="195">
        <v>19.658270000000002</v>
      </c>
      <c r="M4009" s="195">
        <v>16.85679</v>
      </c>
      <c r="N4009" s="195">
        <v>13.42661</v>
      </c>
    </row>
    <row r="4010" spans="1:14" hidden="1" x14ac:dyDescent="0.35">
      <c r="A4010" s="52" t="s">
        <v>670</v>
      </c>
      <c r="B4010" s="52" t="s">
        <v>37</v>
      </c>
      <c r="C4010" s="52" t="s">
        <v>35</v>
      </c>
      <c r="D4010" s="52" t="s">
        <v>36</v>
      </c>
      <c r="E4010" s="52" t="s">
        <v>588</v>
      </c>
      <c r="F4010" s="52" t="s">
        <v>581</v>
      </c>
      <c r="G4010" s="195" t="s">
        <v>279</v>
      </c>
      <c r="H4010" s="195">
        <v>203.58529999999999</v>
      </c>
      <c r="I4010" s="195">
        <v>135.87880000000001</v>
      </c>
      <c r="J4010" s="195">
        <v>115.6982</v>
      </c>
      <c r="K4010" s="195">
        <v>100.46720000000001</v>
      </c>
      <c r="L4010" s="195">
        <v>101.0936</v>
      </c>
      <c r="M4010" s="195">
        <v>103.5502</v>
      </c>
      <c r="N4010" s="195">
        <v>105.9606</v>
      </c>
    </row>
    <row r="4011" spans="1:14" hidden="1" x14ac:dyDescent="0.35">
      <c r="A4011" s="52" t="s">
        <v>670</v>
      </c>
      <c r="B4011" s="52" t="s">
        <v>37</v>
      </c>
      <c r="C4011" s="52" t="s">
        <v>35</v>
      </c>
      <c r="D4011" s="52" t="s">
        <v>36</v>
      </c>
      <c r="E4011" s="52" t="s">
        <v>588</v>
      </c>
      <c r="F4011" s="52" t="s">
        <v>26</v>
      </c>
      <c r="G4011" s="195" t="s">
        <v>275</v>
      </c>
      <c r="H4011" s="195">
        <v>-6.2485359999999996</v>
      </c>
      <c r="I4011" s="195">
        <v>10.520960000000001</v>
      </c>
      <c r="J4011" s="195">
        <v>9.9732749999999992</v>
      </c>
      <c r="K4011" s="195">
        <v>8.0778470000000002</v>
      </c>
      <c r="L4011" s="195">
        <v>6.5375649999999998</v>
      </c>
      <c r="M4011" s="195">
        <v>7.6864549999999996</v>
      </c>
      <c r="N4011" s="195">
        <v>8.4888060000000003</v>
      </c>
    </row>
    <row r="4012" spans="1:14" hidden="1" x14ac:dyDescent="0.35">
      <c r="A4012" s="52" t="s">
        <v>670</v>
      </c>
      <c r="B4012" s="52" t="s">
        <v>37</v>
      </c>
      <c r="C4012" s="52" t="s">
        <v>35</v>
      </c>
      <c r="D4012" s="52" t="s">
        <v>36</v>
      </c>
      <c r="E4012" s="52" t="s">
        <v>588</v>
      </c>
      <c r="F4012" s="52" t="s">
        <v>26</v>
      </c>
      <c r="G4012" s="195" t="s">
        <v>276</v>
      </c>
      <c r="H4012" s="195">
        <v>-1.6609940000000001</v>
      </c>
      <c r="I4012" s="195">
        <v>2.796713</v>
      </c>
      <c r="J4012" s="195">
        <v>2.6511230000000001</v>
      </c>
      <c r="K4012" s="195">
        <v>2.147275</v>
      </c>
      <c r="L4012" s="195">
        <v>1.7378370000000001</v>
      </c>
      <c r="M4012" s="195">
        <v>2.043234</v>
      </c>
      <c r="N4012" s="195">
        <v>2.2565179999999998</v>
      </c>
    </row>
    <row r="4013" spans="1:14" hidden="1" x14ac:dyDescent="0.35">
      <c r="A4013" s="52" t="s">
        <v>670</v>
      </c>
      <c r="B4013" s="52" t="s">
        <v>37</v>
      </c>
      <c r="C4013" s="52" t="s">
        <v>35</v>
      </c>
      <c r="D4013" s="52" t="s">
        <v>36</v>
      </c>
      <c r="E4013" s="52" t="s">
        <v>588</v>
      </c>
      <c r="F4013" s="52" t="s">
        <v>26</v>
      </c>
      <c r="G4013" s="195" t="s">
        <v>279</v>
      </c>
      <c r="H4013" s="195">
        <v>23.26942</v>
      </c>
      <c r="I4013" s="195">
        <v>23.915279999999999</v>
      </c>
      <c r="J4013" s="195">
        <v>20.98668</v>
      </c>
      <c r="K4013" s="195">
        <v>18.323519999999998</v>
      </c>
      <c r="L4013" s="195">
        <v>18.498169999999998</v>
      </c>
      <c r="M4013" s="195">
        <v>19.08963</v>
      </c>
      <c r="N4013" s="195">
        <v>19.631139999999998</v>
      </c>
    </row>
    <row r="4014" spans="1:14" hidden="1" x14ac:dyDescent="0.35">
      <c r="A4014" s="52" t="s">
        <v>670</v>
      </c>
      <c r="B4014" s="52" t="s">
        <v>37</v>
      </c>
      <c r="C4014" s="52" t="s">
        <v>35</v>
      </c>
      <c r="D4014" s="52" t="s">
        <v>36</v>
      </c>
      <c r="E4014" s="52" t="s">
        <v>589</v>
      </c>
      <c r="F4014" s="52" t="s">
        <v>581</v>
      </c>
      <c r="G4014" s="195" t="s">
        <v>275</v>
      </c>
      <c r="H4014" s="195">
        <v>18.723220000000001</v>
      </c>
      <c r="I4014" s="195">
        <v>93.546300000000002</v>
      </c>
      <c r="J4014" s="195">
        <v>127.8014</v>
      </c>
      <c r="K4014" s="195">
        <v>142.7115</v>
      </c>
      <c r="L4014" s="195">
        <v>115.10809999999999</v>
      </c>
      <c r="M4014" s="195">
        <v>60.588819999999998</v>
      </c>
      <c r="N4014" s="195">
        <v>34.868049999999997</v>
      </c>
    </row>
    <row r="4015" spans="1:14" hidden="1" x14ac:dyDescent="0.35">
      <c r="A4015" s="52" t="s">
        <v>670</v>
      </c>
      <c r="B4015" s="52" t="s">
        <v>37</v>
      </c>
      <c r="C4015" s="52" t="s">
        <v>35</v>
      </c>
      <c r="D4015" s="52" t="s">
        <v>36</v>
      </c>
      <c r="E4015" s="52" t="s">
        <v>589</v>
      </c>
      <c r="F4015" s="52" t="s">
        <v>581</v>
      </c>
      <c r="G4015" s="195" t="s">
        <v>276</v>
      </c>
      <c r="H4015" s="195">
        <v>74.448260000000005</v>
      </c>
      <c r="I4015" s="195">
        <v>-10.675599999999999</v>
      </c>
      <c r="J4015" s="195">
        <v>-25.06148</v>
      </c>
      <c r="K4015" s="195">
        <v>-22.557659999999998</v>
      </c>
      <c r="L4015" s="195">
        <v>-27.285910000000001</v>
      </c>
      <c r="M4015" s="195">
        <v>8.3120580000000004</v>
      </c>
      <c r="N4015" s="195">
        <v>13.40549</v>
      </c>
    </row>
    <row r="4016" spans="1:14" hidden="1" x14ac:dyDescent="0.35">
      <c r="A4016" s="52" t="s">
        <v>670</v>
      </c>
      <c r="B4016" s="52" t="s">
        <v>37</v>
      </c>
      <c r="C4016" s="52" t="s">
        <v>35</v>
      </c>
      <c r="D4016" s="52" t="s">
        <v>36</v>
      </c>
      <c r="E4016" s="52" t="s">
        <v>589</v>
      </c>
      <c r="F4016" s="52" t="s">
        <v>581</v>
      </c>
      <c r="G4016" s="195" t="s">
        <v>277</v>
      </c>
      <c r="H4016" s="195">
        <v>453.61040000000003</v>
      </c>
      <c r="I4016" s="195">
        <v>86.582819999999998</v>
      </c>
      <c r="J4016" s="195">
        <v>25.82105</v>
      </c>
      <c r="K4016" s="195">
        <v>6.1137110000000003</v>
      </c>
      <c r="L4016" s="195">
        <v>8.5456889999999994</v>
      </c>
      <c r="M4016" s="195">
        <v>13.525829999999999</v>
      </c>
      <c r="N4016" s="195">
        <v>29.364080000000001</v>
      </c>
    </row>
    <row r="4017" spans="1:14" hidden="1" x14ac:dyDescent="0.35">
      <c r="A4017" s="52" t="s">
        <v>670</v>
      </c>
      <c r="B4017" s="52" t="s">
        <v>37</v>
      </c>
      <c r="C4017" s="52" t="s">
        <v>35</v>
      </c>
      <c r="D4017" s="52" t="s">
        <v>36</v>
      </c>
      <c r="E4017" s="52" t="s">
        <v>589</v>
      </c>
      <c r="F4017" s="52" t="s">
        <v>581</v>
      </c>
      <c r="G4017" s="195" t="s">
        <v>278</v>
      </c>
      <c r="H4017" s="195">
        <v>75.68629</v>
      </c>
      <c r="I4017" s="195">
        <v>32.668129999999998</v>
      </c>
      <c r="J4017" s="195">
        <v>37.600450000000002</v>
      </c>
      <c r="K4017" s="195">
        <v>22.073530000000002</v>
      </c>
      <c r="L4017" s="195">
        <v>21.30941</v>
      </c>
      <c r="M4017" s="195">
        <v>29.48</v>
      </c>
      <c r="N4017" s="195">
        <v>39.546370000000003</v>
      </c>
    </row>
    <row r="4018" spans="1:14" hidden="1" x14ac:dyDescent="0.35">
      <c r="A4018" s="52" t="s">
        <v>670</v>
      </c>
      <c r="B4018" s="52" t="s">
        <v>37</v>
      </c>
      <c r="C4018" s="52" t="s">
        <v>35</v>
      </c>
      <c r="D4018" s="52" t="s">
        <v>36</v>
      </c>
      <c r="E4018" s="52" t="s">
        <v>589</v>
      </c>
      <c r="F4018" s="52" t="s">
        <v>581</v>
      </c>
      <c r="G4018" s="195" t="s">
        <v>279</v>
      </c>
      <c r="H4018" s="195">
        <v>148.14660000000001</v>
      </c>
      <c r="I4018" s="195">
        <v>101.7754</v>
      </c>
      <c r="J4018" s="195">
        <v>92.303529999999995</v>
      </c>
      <c r="K4018" s="195">
        <v>83.593190000000007</v>
      </c>
      <c r="L4018" s="195">
        <v>77.534940000000006</v>
      </c>
      <c r="M4018" s="195">
        <v>71.763990000000007</v>
      </c>
      <c r="N4018" s="195">
        <v>74.804919999999996</v>
      </c>
    </row>
    <row r="4019" spans="1:14" hidden="1" x14ac:dyDescent="0.35">
      <c r="A4019" s="52" t="s">
        <v>670</v>
      </c>
      <c r="B4019" s="52" t="s">
        <v>37</v>
      </c>
      <c r="C4019" s="52" t="s">
        <v>35</v>
      </c>
      <c r="D4019" s="52" t="s">
        <v>36</v>
      </c>
      <c r="E4019" s="52" t="s">
        <v>589</v>
      </c>
      <c r="F4019" s="52" t="s">
        <v>26</v>
      </c>
      <c r="G4019" s="195" t="s">
        <v>275</v>
      </c>
      <c r="H4019" s="195">
        <v>-2.5391979999999998</v>
      </c>
      <c r="I4019" s="195">
        <v>13.748200000000001</v>
      </c>
      <c r="J4019" s="195">
        <v>14.31767</v>
      </c>
      <c r="K4019" s="195">
        <v>12.5594</v>
      </c>
      <c r="L4019" s="195">
        <v>9.3498169999999998</v>
      </c>
      <c r="M4019" s="195">
        <v>8.869237</v>
      </c>
      <c r="N4019" s="195">
        <v>9.2748030000000004</v>
      </c>
    </row>
    <row r="4020" spans="1:14" hidden="1" x14ac:dyDescent="0.35">
      <c r="A4020" s="52" t="s">
        <v>670</v>
      </c>
      <c r="B4020" s="52" t="s">
        <v>37</v>
      </c>
      <c r="C4020" s="52" t="s">
        <v>35</v>
      </c>
      <c r="D4020" s="52" t="s">
        <v>36</v>
      </c>
      <c r="E4020" s="52" t="s">
        <v>589</v>
      </c>
      <c r="F4020" s="52" t="s">
        <v>26</v>
      </c>
      <c r="G4020" s="195" t="s">
        <v>276</v>
      </c>
      <c r="H4020" s="195">
        <v>-0.67498709999999995</v>
      </c>
      <c r="I4020" s="195">
        <v>3.654579</v>
      </c>
      <c r="J4020" s="195">
        <v>3.8059660000000002</v>
      </c>
      <c r="K4020" s="195">
        <v>3.3385690000000001</v>
      </c>
      <c r="L4020" s="195">
        <v>2.4853939999999999</v>
      </c>
      <c r="M4020" s="195">
        <v>2.3576440000000001</v>
      </c>
      <c r="N4020" s="195">
        <v>2.465452</v>
      </c>
    </row>
    <row r="4021" spans="1:14" hidden="1" x14ac:dyDescent="0.35">
      <c r="A4021" s="52" t="s">
        <v>670</v>
      </c>
      <c r="B4021" s="52" t="s">
        <v>37</v>
      </c>
      <c r="C4021" s="52" t="s">
        <v>35</v>
      </c>
      <c r="D4021" s="52" t="s">
        <v>36</v>
      </c>
      <c r="E4021" s="52" t="s">
        <v>589</v>
      </c>
      <c r="F4021" s="52" t="s">
        <v>26</v>
      </c>
      <c r="G4021" s="195" t="s">
        <v>279</v>
      </c>
      <c r="H4021" s="195">
        <v>14.30273</v>
      </c>
      <c r="I4021" s="195">
        <v>20.133769999999998</v>
      </c>
      <c r="J4021" s="195">
        <v>18.974260000000001</v>
      </c>
      <c r="K4021" s="195">
        <v>17.257560000000002</v>
      </c>
      <c r="L4021" s="195">
        <v>15.947699999999999</v>
      </c>
      <c r="M4021" s="195">
        <v>14.754350000000001</v>
      </c>
      <c r="N4021" s="195">
        <v>15.373950000000001</v>
      </c>
    </row>
    <row r="4022" spans="1:14" hidden="1" x14ac:dyDescent="0.35">
      <c r="A4022" s="52" t="s">
        <v>670</v>
      </c>
      <c r="B4022" s="52" t="s">
        <v>37</v>
      </c>
      <c r="C4022" s="52" t="s">
        <v>35</v>
      </c>
      <c r="D4022" s="52" t="s">
        <v>36</v>
      </c>
      <c r="E4022" s="52" t="s">
        <v>587</v>
      </c>
      <c r="F4022" s="52" t="s">
        <v>581</v>
      </c>
      <c r="G4022" s="195" t="s">
        <v>275</v>
      </c>
      <c r="H4022" s="195">
        <v>21.694050000000001</v>
      </c>
      <c r="I4022" s="195">
        <v>13.10735</v>
      </c>
      <c r="J4022" s="195">
        <v>7.8695149999999998</v>
      </c>
      <c r="K4022" s="195">
        <v>6.6052949999999999</v>
      </c>
      <c r="L4022" s="195">
        <v>5.1283599999999998</v>
      </c>
      <c r="M4022" s="195">
        <v>4.9781449999999996</v>
      </c>
      <c r="N4022" s="195">
        <v>4.540349</v>
      </c>
    </row>
    <row r="4023" spans="1:14" hidden="1" x14ac:dyDescent="0.35">
      <c r="A4023" s="52" t="s">
        <v>670</v>
      </c>
      <c r="B4023" s="52" t="s">
        <v>37</v>
      </c>
      <c r="C4023" s="52" t="s">
        <v>35</v>
      </c>
      <c r="D4023" s="52" t="s">
        <v>36</v>
      </c>
      <c r="E4023" s="52" t="s">
        <v>587</v>
      </c>
      <c r="F4023" s="52" t="s">
        <v>581</v>
      </c>
      <c r="G4023" s="195" t="s">
        <v>276</v>
      </c>
      <c r="H4023" s="195">
        <v>1.108795</v>
      </c>
      <c r="I4023" s="195">
        <v>0.6346638</v>
      </c>
      <c r="J4023" s="195">
        <v>1.8775679999999999</v>
      </c>
      <c r="K4023" s="195">
        <v>1.7293339999999999</v>
      </c>
      <c r="L4023" s="195">
        <v>1.1834439999999999</v>
      </c>
      <c r="M4023" s="195">
        <v>1.3005949999999999</v>
      </c>
      <c r="N4023" s="195">
        <v>1.1799850000000001</v>
      </c>
    </row>
    <row r="4024" spans="1:14" hidden="1" x14ac:dyDescent="0.35">
      <c r="A4024" s="52" t="s">
        <v>670</v>
      </c>
      <c r="B4024" s="52" t="s">
        <v>37</v>
      </c>
      <c r="C4024" s="52" t="s">
        <v>35</v>
      </c>
      <c r="D4024" s="52" t="s">
        <v>36</v>
      </c>
      <c r="E4024" s="52" t="s">
        <v>587</v>
      </c>
      <c r="F4024" s="52" t="s">
        <v>581</v>
      </c>
      <c r="G4024" s="195" t="s">
        <v>277</v>
      </c>
      <c r="H4024" s="195">
        <v>2.754022</v>
      </c>
      <c r="I4024" s="195">
        <v>5.6017400000000002E-2</v>
      </c>
      <c r="J4024" s="195">
        <v>0</v>
      </c>
      <c r="K4024" s="195">
        <v>0.21743660000000001</v>
      </c>
      <c r="L4024" s="195">
        <v>0.53763039999999995</v>
      </c>
      <c r="M4024" s="195">
        <v>6.4208000000000001E-2</v>
      </c>
      <c r="N4024" s="195">
        <v>0</v>
      </c>
    </row>
    <row r="4025" spans="1:14" hidden="1" x14ac:dyDescent="0.35">
      <c r="A4025" s="52" t="s">
        <v>670</v>
      </c>
      <c r="B4025" s="52" t="s">
        <v>37</v>
      </c>
      <c r="C4025" s="52" t="s">
        <v>35</v>
      </c>
      <c r="D4025" s="52" t="s">
        <v>36</v>
      </c>
      <c r="E4025" s="52" t="s">
        <v>587</v>
      </c>
      <c r="F4025" s="52" t="s">
        <v>581</v>
      </c>
      <c r="G4025" s="195" t="s">
        <v>279</v>
      </c>
      <c r="H4025" s="195">
        <v>8.6114870000000003</v>
      </c>
      <c r="I4025" s="195">
        <v>12.244389999999999</v>
      </c>
      <c r="J4025" s="195">
        <v>10.10825</v>
      </c>
      <c r="K4025" s="195">
        <v>9.2769490000000001</v>
      </c>
      <c r="L4025" s="195">
        <v>9.2498380000000004</v>
      </c>
      <c r="M4025" s="195">
        <v>8.3333390000000005</v>
      </c>
      <c r="N4025" s="195">
        <v>7.5025500000000003</v>
      </c>
    </row>
    <row r="4026" spans="1:14" hidden="1" x14ac:dyDescent="0.35">
      <c r="A4026" s="52" t="s">
        <v>670</v>
      </c>
      <c r="B4026" s="52" t="s">
        <v>37</v>
      </c>
      <c r="C4026" s="52" t="s">
        <v>35</v>
      </c>
      <c r="D4026" s="52" t="s">
        <v>36</v>
      </c>
      <c r="E4026" s="52" t="s">
        <v>587</v>
      </c>
      <c r="F4026" s="52" t="s">
        <v>26</v>
      </c>
      <c r="G4026" s="195" t="s">
        <v>275</v>
      </c>
      <c r="H4026" s="195">
        <v>-0.40350399999999997</v>
      </c>
      <c r="I4026" s="195">
        <v>-0.80386060000000004</v>
      </c>
      <c r="J4026" s="195">
        <v>-0.64876750000000005</v>
      </c>
      <c r="K4026" s="195">
        <v>-0.59906159999999997</v>
      </c>
      <c r="L4026" s="195">
        <v>-0.65450019999999998</v>
      </c>
      <c r="M4026" s="195">
        <v>-0.5837388</v>
      </c>
      <c r="N4026" s="195">
        <v>-0.52511759999999996</v>
      </c>
    </row>
    <row r="4027" spans="1:14" hidden="1" x14ac:dyDescent="0.35">
      <c r="A4027" s="52" t="s">
        <v>670</v>
      </c>
      <c r="B4027" s="52" t="s">
        <v>37</v>
      </c>
      <c r="C4027" s="52" t="s">
        <v>35</v>
      </c>
      <c r="D4027" s="52" t="s">
        <v>36</v>
      </c>
      <c r="E4027" s="52" t="s">
        <v>587</v>
      </c>
      <c r="F4027" s="52" t="s">
        <v>26</v>
      </c>
      <c r="G4027" s="195" t="s">
        <v>276</v>
      </c>
      <c r="H4027" s="195">
        <v>-0.107261</v>
      </c>
      <c r="I4027" s="195">
        <v>-0.21368400000000001</v>
      </c>
      <c r="J4027" s="195">
        <v>-0.17245779999999999</v>
      </c>
      <c r="K4027" s="195">
        <v>-0.1592442</v>
      </c>
      <c r="L4027" s="195">
        <v>-0.173982</v>
      </c>
      <c r="M4027" s="195">
        <v>-0.155171</v>
      </c>
      <c r="N4027" s="195">
        <v>-0.1395882</v>
      </c>
    </row>
    <row r="4028" spans="1:14" hidden="1" x14ac:dyDescent="0.35">
      <c r="A4028" s="52" t="s">
        <v>670</v>
      </c>
      <c r="B4028" s="52" t="s">
        <v>37</v>
      </c>
      <c r="C4028" s="52" t="s">
        <v>35</v>
      </c>
      <c r="D4028" s="52" t="s">
        <v>36</v>
      </c>
      <c r="E4028" s="52" t="s">
        <v>587</v>
      </c>
      <c r="F4028" s="52" t="s">
        <v>26</v>
      </c>
      <c r="G4028" s="195" t="s">
        <v>279</v>
      </c>
      <c r="H4028" s="195">
        <v>0.87818099999999999</v>
      </c>
      <c r="I4028" s="195">
        <v>1.6130629999999999</v>
      </c>
      <c r="J4028" s="195">
        <v>1.350006</v>
      </c>
      <c r="K4028" s="195">
        <v>1.232318</v>
      </c>
      <c r="L4028" s="195">
        <v>1.2554080000000001</v>
      </c>
      <c r="M4028" s="195">
        <v>1.127043</v>
      </c>
      <c r="N4028" s="195">
        <v>1.014572</v>
      </c>
    </row>
    <row r="4029" spans="1:14" hidden="1" x14ac:dyDescent="0.35">
      <c r="A4029" s="52" t="s">
        <v>670</v>
      </c>
      <c r="B4029" s="52" t="s">
        <v>37</v>
      </c>
      <c r="C4029" s="52" t="s">
        <v>35</v>
      </c>
      <c r="D4029" s="52" t="s">
        <v>129</v>
      </c>
      <c r="E4029" s="52" t="s">
        <v>580</v>
      </c>
      <c r="F4029" s="52" t="s">
        <v>581</v>
      </c>
      <c r="G4029" s="195" t="s">
        <v>275</v>
      </c>
      <c r="H4029" s="195">
        <v>-607.89200000000005</v>
      </c>
      <c r="I4029" s="195">
        <v>83.556089999999998</v>
      </c>
      <c r="J4029" s="195">
        <v>152.63759999999999</v>
      </c>
      <c r="K4029" s="195">
        <v>174.3914</v>
      </c>
      <c r="L4029" s="195">
        <v>175.41820000000001</v>
      </c>
      <c r="M4029" s="195">
        <v>62.879219999999997</v>
      </c>
      <c r="N4029" s="195">
        <v>46.226410000000001</v>
      </c>
    </row>
    <row r="4030" spans="1:14" hidden="1" x14ac:dyDescent="0.35">
      <c r="A4030" s="52" t="s">
        <v>670</v>
      </c>
      <c r="B4030" s="52" t="s">
        <v>37</v>
      </c>
      <c r="C4030" s="52" t="s">
        <v>35</v>
      </c>
      <c r="D4030" s="52" t="s">
        <v>129</v>
      </c>
      <c r="E4030" s="52" t="s">
        <v>580</v>
      </c>
      <c r="F4030" s="52" t="s">
        <v>581</v>
      </c>
      <c r="G4030" s="195" t="s">
        <v>276</v>
      </c>
      <c r="H4030" s="195">
        <v>53.287309999999998</v>
      </c>
      <c r="I4030" s="195">
        <v>-24.195419999999999</v>
      </c>
      <c r="J4030" s="195">
        <v>-35.939399999999999</v>
      </c>
      <c r="K4030" s="195">
        <v>-50.75508</v>
      </c>
      <c r="L4030" s="195">
        <v>-85.341049999999996</v>
      </c>
      <c r="M4030" s="195">
        <v>5.7769839999999997</v>
      </c>
      <c r="N4030" s="195">
        <v>16.637699999999999</v>
      </c>
    </row>
    <row r="4031" spans="1:14" hidden="1" x14ac:dyDescent="0.35">
      <c r="A4031" s="52" t="s">
        <v>670</v>
      </c>
      <c r="B4031" s="52" t="s">
        <v>37</v>
      </c>
      <c r="C4031" s="52" t="s">
        <v>35</v>
      </c>
      <c r="D4031" s="52" t="s">
        <v>129</v>
      </c>
      <c r="E4031" s="52" t="s">
        <v>580</v>
      </c>
      <c r="F4031" s="52" t="s">
        <v>581</v>
      </c>
      <c r="G4031" s="195" t="s">
        <v>277</v>
      </c>
      <c r="H4031" s="195">
        <v>973.14170000000001</v>
      </c>
      <c r="I4031" s="195">
        <v>89.978290000000001</v>
      </c>
      <c r="J4031" s="195">
        <v>25.235620000000001</v>
      </c>
      <c r="K4031" s="195">
        <v>9.7836990000000004</v>
      </c>
      <c r="L4031" s="195">
        <v>12.93249</v>
      </c>
      <c r="M4031" s="195">
        <v>20.28633</v>
      </c>
      <c r="N4031" s="195">
        <v>31.930679999999999</v>
      </c>
    </row>
    <row r="4032" spans="1:14" hidden="1" x14ac:dyDescent="0.35">
      <c r="A4032" s="52" t="s">
        <v>670</v>
      </c>
      <c r="B4032" s="52" t="s">
        <v>37</v>
      </c>
      <c r="C4032" s="52" t="s">
        <v>35</v>
      </c>
      <c r="D4032" s="52" t="s">
        <v>129</v>
      </c>
      <c r="E4032" s="52" t="s">
        <v>580</v>
      </c>
      <c r="F4032" s="52" t="s">
        <v>581</v>
      </c>
      <c r="G4032" s="195" t="s">
        <v>278</v>
      </c>
      <c r="H4032" s="195">
        <v>264.7715</v>
      </c>
      <c r="I4032" s="195">
        <v>116.7474</v>
      </c>
      <c r="J4032" s="195">
        <v>69.997219999999999</v>
      </c>
      <c r="K4032" s="195">
        <v>53.65052</v>
      </c>
      <c r="L4032" s="195">
        <v>54.685099999999998</v>
      </c>
      <c r="M4032" s="195">
        <v>69.986530000000002</v>
      </c>
      <c r="N4032" s="195">
        <v>74.275379999999998</v>
      </c>
    </row>
    <row r="4033" spans="1:14" hidden="1" x14ac:dyDescent="0.35">
      <c r="A4033" s="52" t="s">
        <v>670</v>
      </c>
      <c r="B4033" s="52" t="s">
        <v>37</v>
      </c>
      <c r="C4033" s="52" t="s">
        <v>35</v>
      </c>
      <c r="D4033" s="52" t="s">
        <v>129</v>
      </c>
      <c r="E4033" s="52" t="s">
        <v>580</v>
      </c>
      <c r="F4033" s="52" t="s">
        <v>581</v>
      </c>
      <c r="G4033" s="195" t="s">
        <v>279</v>
      </c>
      <c r="H4033" s="195">
        <v>157.57239999999999</v>
      </c>
      <c r="I4033" s="195">
        <v>135.364</v>
      </c>
      <c r="J4033" s="195">
        <v>118.6146</v>
      </c>
      <c r="K4033" s="195">
        <v>106.3993</v>
      </c>
      <c r="L4033" s="195">
        <v>104.447</v>
      </c>
      <c r="M4033" s="195">
        <v>102.6781</v>
      </c>
      <c r="N4033" s="195">
        <v>108.31310000000001</v>
      </c>
    </row>
    <row r="4034" spans="1:14" hidden="1" x14ac:dyDescent="0.35">
      <c r="A4034" s="52" t="s">
        <v>670</v>
      </c>
      <c r="B4034" s="52" t="s">
        <v>37</v>
      </c>
      <c r="C4034" s="52" t="s">
        <v>35</v>
      </c>
      <c r="D4034" s="52" t="s">
        <v>129</v>
      </c>
      <c r="E4034" s="52" t="s">
        <v>580</v>
      </c>
      <c r="F4034" s="52" t="s">
        <v>26</v>
      </c>
      <c r="G4034" s="195" t="s">
        <v>275</v>
      </c>
      <c r="H4034" s="195">
        <v>-2.181378</v>
      </c>
      <c r="I4034" s="195">
        <v>20.025300000000001</v>
      </c>
      <c r="J4034" s="195">
        <v>20.35521</v>
      </c>
      <c r="K4034" s="195">
        <v>17.396509999999999</v>
      </c>
      <c r="L4034" s="195">
        <v>13.33249</v>
      </c>
      <c r="M4034" s="195">
        <v>13.45068</v>
      </c>
      <c r="N4034" s="195">
        <v>14.26229</v>
      </c>
    </row>
    <row r="4035" spans="1:14" hidden="1" x14ac:dyDescent="0.35">
      <c r="A4035" s="52" t="s">
        <v>670</v>
      </c>
      <c r="B4035" s="52" t="s">
        <v>37</v>
      </c>
      <c r="C4035" s="52" t="s">
        <v>35</v>
      </c>
      <c r="D4035" s="52" t="s">
        <v>129</v>
      </c>
      <c r="E4035" s="52" t="s">
        <v>580</v>
      </c>
      <c r="F4035" s="52" t="s">
        <v>26</v>
      </c>
      <c r="G4035" s="195" t="s">
        <v>276</v>
      </c>
      <c r="H4035" s="195">
        <v>-0.57987200000000005</v>
      </c>
      <c r="I4035" s="195">
        <v>5.3231799999999998</v>
      </c>
      <c r="J4035" s="195">
        <v>5.4108710000000002</v>
      </c>
      <c r="K4035" s="195">
        <v>4.6243980000000002</v>
      </c>
      <c r="L4035" s="195">
        <v>3.5440879999999999</v>
      </c>
      <c r="M4035" s="195">
        <v>3.575494</v>
      </c>
      <c r="N4035" s="195">
        <v>3.7912499999999998</v>
      </c>
    </row>
    <row r="4036" spans="1:14" hidden="1" x14ac:dyDescent="0.35">
      <c r="A4036" s="52" t="s">
        <v>670</v>
      </c>
      <c r="B4036" s="52" t="s">
        <v>37</v>
      </c>
      <c r="C4036" s="52" t="s">
        <v>35</v>
      </c>
      <c r="D4036" s="52" t="s">
        <v>129</v>
      </c>
      <c r="E4036" s="52" t="s">
        <v>580</v>
      </c>
      <c r="F4036" s="52" t="s">
        <v>26</v>
      </c>
      <c r="G4036" s="195" t="s">
        <v>279</v>
      </c>
      <c r="H4036" s="195">
        <v>22.668890000000001</v>
      </c>
      <c r="I4036" s="195">
        <v>37.430480000000003</v>
      </c>
      <c r="J4036" s="195">
        <v>34.070160000000001</v>
      </c>
      <c r="K4036" s="195">
        <v>30.821850000000001</v>
      </c>
      <c r="L4036" s="195">
        <v>30.106120000000001</v>
      </c>
      <c r="M4036" s="195">
        <v>29.60633</v>
      </c>
      <c r="N4036" s="195">
        <v>31.202940000000002</v>
      </c>
    </row>
    <row r="4037" spans="1:14" hidden="1" x14ac:dyDescent="0.35">
      <c r="A4037" s="52" t="s">
        <v>670</v>
      </c>
      <c r="B4037" s="52" t="s">
        <v>37</v>
      </c>
      <c r="C4037" s="52" t="s">
        <v>35</v>
      </c>
      <c r="D4037" s="52" t="s">
        <v>129</v>
      </c>
      <c r="E4037" s="52" t="s">
        <v>582</v>
      </c>
      <c r="F4037" s="52" t="s">
        <v>581</v>
      </c>
      <c r="G4037" s="195" t="s">
        <v>275</v>
      </c>
      <c r="H4037" s="195">
        <v>2.9984419999999998</v>
      </c>
      <c r="I4037" s="195">
        <v>4.6510259999999999</v>
      </c>
      <c r="J4037" s="195">
        <v>4.2054299999999998</v>
      </c>
      <c r="K4037" s="195">
        <v>16.657299999999999</v>
      </c>
      <c r="L4037" s="195">
        <v>9.6594280000000001</v>
      </c>
      <c r="M4037" s="195">
        <v>4.7842539999999998</v>
      </c>
      <c r="N4037" s="195">
        <v>-2.7424050000000002</v>
      </c>
    </row>
    <row r="4038" spans="1:14" hidden="1" x14ac:dyDescent="0.35">
      <c r="A4038" s="52" t="s">
        <v>670</v>
      </c>
      <c r="B4038" s="52" t="s">
        <v>37</v>
      </c>
      <c r="C4038" s="52" t="s">
        <v>35</v>
      </c>
      <c r="D4038" s="52" t="s">
        <v>129</v>
      </c>
      <c r="E4038" s="52" t="s">
        <v>582</v>
      </c>
      <c r="F4038" s="52" t="s">
        <v>581</v>
      </c>
      <c r="G4038" s="195" t="s">
        <v>276</v>
      </c>
      <c r="H4038" s="195">
        <v>2.7208779999999999E-3</v>
      </c>
      <c r="I4038" s="195">
        <v>-2.5851109999999999</v>
      </c>
      <c r="J4038" s="195">
        <v>-1.4004779999999999</v>
      </c>
      <c r="K4038" s="195">
        <v>-1.622911</v>
      </c>
      <c r="L4038" s="195">
        <v>0.49106159999999999</v>
      </c>
      <c r="M4038" s="195">
        <v>0.84574039999999995</v>
      </c>
      <c r="N4038" s="195">
        <v>0.78579319999999997</v>
      </c>
    </row>
    <row r="4039" spans="1:14" hidden="1" x14ac:dyDescent="0.35">
      <c r="A4039" s="52" t="s">
        <v>670</v>
      </c>
      <c r="B4039" s="52" t="s">
        <v>37</v>
      </c>
      <c r="C4039" s="52" t="s">
        <v>35</v>
      </c>
      <c r="D4039" s="52" t="s">
        <v>129</v>
      </c>
      <c r="E4039" s="52" t="s">
        <v>582</v>
      </c>
      <c r="F4039" s="52" t="s">
        <v>581</v>
      </c>
      <c r="G4039" s="195" t="s">
        <v>277</v>
      </c>
      <c r="H4039" s="195">
        <v>14.4168</v>
      </c>
      <c r="I4039" s="195">
        <v>5.8300700000000001</v>
      </c>
      <c r="J4039" s="195">
        <v>2.2624849999999999</v>
      </c>
      <c r="K4039" s="195">
        <v>0.63027200000000005</v>
      </c>
      <c r="L4039" s="195">
        <v>0.94779179999999996</v>
      </c>
      <c r="M4039" s="195">
        <v>1.86114</v>
      </c>
      <c r="N4039" s="195">
        <v>6.5326839999999997</v>
      </c>
    </row>
    <row r="4040" spans="1:14" hidden="1" x14ac:dyDescent="0.35">
      <c r="A4040" s="52" t="s">
        <v>670</v>
      </c>
      <c r="B4040" s="52" t="s">
        <v>37</v>
      </c>
      <c r="C4040" s="52" t="s">
        <v>35</v>
      </c>
      <c r="D4040" s="52" t="s">
        <v>129</v>
      </c>
      <c r="E4040" s="52" t="s">
        <v>582</v>
      </c>
      <c r="F4040" s="52" t="s">
        <v>581</v>
      </c>
      <c r="G4040" s="195" t="s">
        <v>278</v>
      </c>
      <c r="H4040" s="195">
        <v>4.3001110000000002</v>
      </c>
      <c r="I4040" s="195">
        <v>7.8375009999999996</v>
      </c>
      <c r="J4040" s="195">
        <v>13.93868</v>
      </c>
      <c r="K4040" s="195">
        <v>6.5606350000000004</v>
      </c>
      <c r="L4040" s="195">
        <v>4.6499550000000003</v>
      </c>
      <c r="M4040" s="195">
        <v>7.4771650000000003</v>
      </c>
      <c r="N4040" s="195">
        <v>12.56916</v>
      </c>
    </row>
    <row r="4041" spans="1:14" hidden="1" x14ac:dyDescent="0.35">
      <c r="A4041" s="52" t="s">
        <v>670</v>
      </c>
      <c r="B4041" s="52" t="s">
        <v>37</v>
      </c>
      <c r="C4041" s="52" t="s">
        <v>35</v>
      </c>
      <c r="D4041" s="52" t="s">
        <v>129</v>
      </c>
      <c r="E4041" s="52" t="s">
        <v>582</v>
      </c>
      <c r="F4041" s="52" t="s">
        <v>581</v>
      </c>
      <c r="G4041" s="195" t="s">
        <v>279</v>
      </c>
      <c r="H4041" s="195">
        <v>5.2053209999999996</v>
      </c>
      <c r="I4041" s="195">
        <v>7.9355589999999996</v>
      </c>
      <c r="J4041" s="195">
        <v>10.58229</v>
      </c>
      <c r="K4041" s="195">
        <v>12.67188</v>
      </c>
      <c r="L4041" s="195">
        <v>10.42934</v>
      </c>
      <c r="M4041" s="195">
        <v>9.6443139999999996</v>
      </c>
      <c r="N4041" s="195">
        <v>10.804</v>
      </c>
    </row>
    <row r="4042" spans="1:14" hidden="1" x14ac:dyDescent="0.35">
      <c r="A4042" s="52" t="s">
        <v>670</v>
      </c>
      <c r="B4042" s="52" t="s">
        <v>37</v>
      </c>
      <c r="C4042" s="52" t="s">
        <v>35</v>
      </c>
      <c r="D4042" s="52" t="s">
        <v>129</v>
      </c>
      <c r="E4042" s="52" t="s">
        <v>582</v>
      </c>
      <c r="F4042" s="52" t="s">
        <v>26</v>
      </c>
      <c r="G4042" s="195" t="s">
        <v>275</v>
      </c>
      <c r="H4042" s="195">
        <v>-0.15190899999999999</v>
      </c>
      <c r="I4042" s="195">
        <v>0.84451880000000001</v>
      </c>
      <c r="J4042" s="195">
        <v>1.3027059999999999</v>
      </c>
      <c r="K4042" s="195">
        <v>1.4860739999999999</v>
      </c>
      <c r="L4042" s="195">
        <v>0.95884130000000001</v>
      </c>
      <c r="M4042" s="195">
        <v>0.91075209999999995</v>
      </c>
      <c r="N4042" s="195">
        <v>1.0306219999999999</v>
      </c>
    </row>
    <row r="4043" spans="1:14" hidden="1" x14ac:dyDescent="0.35">
      <c r="A4043" s="52" t="s">
        <v>670</v>
      </c>
      <c r="B4043" s="52" t="s">
        <v>37</v>
      </c>
      <c r="C4043" s="52" t="s">
        <v>35</v>
      </c>
      <c r="D4043" s="52" t="s">
        <v>129</v>
      </c>
      <c r="E4043" s="52" t="s">
        <v>582</v>
      </c>
      <c r="F4043" s="52" t="s">
        <v>26</v>
      </c>
      <c r="G4043" s="195" t="s">
        <v>276</v>
      </c>
      <c r="H4043" s="195">
        <v>-4.0381E-2</v>
      </c>
      <c r="I4043" s="195">
        <v>0.22449279999999999</v>
      </c>
      <c r="J4043" s="195">
        <v>0.3462886</v>
      </c>
      <c r="K4043" s="195">
        <v>0.39503319999999997</v>
      </c>
      <c r="L4043" s="195">
        <v>0.25488260000000001</v>
      </c>
      <c r="M4043" s="195">
        <v>0.24209919999999999</v>
      </c>
      <c r="N4043" s="195">
        <v>0.2739626</v>
      </c>
    </row>
    <row r="4044" spans="1:14" hidden="1" x14ac:dyDescent="0.35">
      <c r="A4044" s="52" t="s">
        <v>670</v>
      </c>
      <c r="B4044" s="52" t="s">
        <v>37</v>
      </c>
      <c r="C4044" s="52" t="s">
        <v>35</v>
      </c>
      <c r="D4044" s="52" t="s">
        <v>129</v>
      </c>
      <c r="E4044" s="52" t="s">
        <v>582</v>
      </c>
      <c r="F4044" s="52" t="s">
        <v>26</v>
      </c>
      <c r="G4044" s="195" t="s">
        <v>279</v>
      </c>
      <c r="H4044" s="195">
        <v>0.63582899999999998</v>
      </c>
      <c r="I4044" s="195">
        <v>1.5291410000000001</v>
      </c>
      <c r="J4044" s="195">
        <v>2.1185969999999998</v>
      </c>
      <c r="K4044" s="195">
        <v>2.55951</v>
      </c>
      <c r="L4044" s="195">
        <v>2.0956640000000002</v>
      </c>
      <c r="M4044" s="195">
        <v>1.9378029999999999</v>
      </c>
      <c r="N4044" s="195">
        <v>2.1649949999999998</v>
      </c>
    </row>
    <row r="4045" spans="1:14" hidden="1" x14ac:dyDescent="0.35">
      <c r="A4045" s="52" t="s">
        <v>670</v>
      </c>
      <c r="B4045" s="52" t="s">
        <v>37</v>
      </c>
      <c r="C4045" s="52" t="s">
        <v>35</v>
      </c>
      <c r="D4045" s="52" t="s">
        <v>267</v>
      </c>
      <c r="E4045" s="52" t="s">
        <v>589</v>
      </c>
      <c r="F4045" s="52" t="s">
        <v>581</v>
      </c>
      <c r="G4045" s="195" t="s">
        <v>275</v>
      </c>
      <c r="H4045" s="195">
        <v>203.62389999999999</v>
      </c>
      <c r="I4045" s="195">
        <v>91.247979999999998</v>
      </c>
      <c r="J4045" s="195">
        <v>96.458799999999997</v>
      </c>
      <c r="K4045" s="195">
        <v>75.649839999999998</v>
      </c>
      <c r="L4045" s="195">
        <v>55.027619999999999</v>
      </c>
      <c r="M4045" s="195">
        <v>34.849449999999997</v>
      </c>
      <c r="N4045" s="195">
        <v>28.109349999999999</v>
      </c>
    </row>
    <row r="4046" spans="1:14" hidden="1" x14ac:dyDescent="0.35">
      <c r="A4046" s="52" t="s">
        <v>670</v>
      </c>
      <c r="B4046" s="52" t="s">
        <v>37</v>
      </c>
      <c r="C4046" s="52" t="s">
        <v>35</v>
      </c>
      <c r="D4046" s="52" t="s">
        <v>267</v>
      </c>
      <c r="E4046" s="52" t="s">
        <v>589</v>
      </c>
      <c r="F4046" s="52" t="s">
        <v>581</v>
      </c>
      <c r="G4046" s="195" t="s">
        <v>276</v>
      </c>
      <c r="H4046" s="195">
        <v>5.3981830000000004</v>
      </c>
      <c r="I4046" s="195">
        <v>-27.270569999999999</v>
      </c>
      <c r="J4046" s="195">
        <v>-38.200899999999997</v>
      </c>
      <c r="K4046" s="195">
        <v>-24.695460000000001</v>
      </c>
      <c r="L4046" s="195">
        <v>-13.84526</v>
      </c>
      <c r="M4046" s="195">
        <v>3.771922</v>
      </c>
      <c r="N4046" s="195">
        <v>5.743633</v>
      </c>
    </row>
    <row r="4047" spans="1:14" hidden="1" x14ac:dyDescent="0.35">
      <c r="A4047" s="52" t="s">
        <v>670</v>
      </c>
      <c r="B4047" s="52" t="s">
        <v>37</v>
      </c>
      <c r="C4047" s="52" t="s">
        <v>35</v>
      </c>
      <c r="D4047" s="52" t="s">
        <v>267</v>
      </c>
      <c r="E4047" s="52" t="s">
        <v>589</v>
      </c>
      <c r="F4047" s="52" t="s">
        <v>581</v>
      </c>
      <c r="G4047" s="195" t="s">
        <v>277</v>
      </c>
      <c r="H4047" s="195">
        <v>224.22380000000001</v>
      </c>
      <c r="I4047" s="195">
        <v>30.410820000000001</v>
      </c>
      <c r="J4047" s="195">
        <v>5.4133389999999997</v>
      </c>
      <c r="K4047" s="195">
        <v>2.703131</v>
      </c>
      <c r="L4047" s="195">
        <v>1.4834270000000001</v>
      </c>
      <c r="M4047" s="195">
        <v>0</v>
      </c>
      <c r="N4047" s="195">
        <v>0</v>
      </c>
    </row>
    <row r="4048" spans="1:14" hidden="1" x14ac:dyDescent="0.35">
      <c r="A4048" s="52" t="s">
        <v>670</v>
      </c>
      <c r="B4048" s="52" t="s">
        <v>37</v>
      </c>
      <c r="C4048" s="52" t="s">
        <v>35</v>
      </c>
      <c r="D4048" s="52" t="s">
        <v>267</v>
      </c>
      <c r="E4048" s="52" t="s">
        <v>589</v>
      </c>
      <c r="F4048" s="52" t="s">
        <v>581</v>
      </c>
      <c r="G4048" s="195" t="s">
        <v>278</v>
      </c>
      <c r="H4048" s="195">
        <v>25.697839999999999</v>
      </c>
      <c r="I4048" s="195">
        <v>13.074730000000001</v>
      </c>
      <c r="J4048" s="195">
        <v>7.4767869999999998</v>
      </c>
      <c r="K4048" s="195">
        <v>5.1499309999999996</v>
      </c>
      <c r="L4048" s="195">
        <v>1.7854289999999999</v>
      </c>
      <c r="M4048" s="195">
        <v>0</v>
      </c>
      <c r="N4048" s="195">
        <v>0</v>
      </c>
    </row>
    <row r="4049" spans="1:14" hidden="1" x14ac:dyDescent="0.35">
      <c r="A4049" s="52" t="s">
        <v>670</v>
      </c>
      <c r="B4049" s="52" t="s">
        <v>37</v>
      </c>
      <c r="C4049" s="52" t="s">
        <v>35</v>
      </c>
      <c r="D4049" s="52" t="s">
        <v>267</v>
      </c>
      <c r="E4049" s="52" t="s">
        <v>589</v>
      </c>
      <c r="F4049" s="52" t="s">
        <v>581</v>
      </c>
      <c r="G4049" s="195" t="s">
        <v>279</v>
      </c>
      <c r="H4049" s="195">
        <v>157.1377</v>
      </c>
      <c r="I4049" s="195">
        <v>97.476960000000005</v>
      </c>
      <c r="J4049" s="195">
        <v>74.815079999999995</v>
      </c>
      <c r="K4049" s="195">
        <v>64.269900000000007</v>
      </c>
      <c r="L4049" s="195">
        <v>61.03246</v>
      </c>
      <c r="M4049" s="195">
        <v>51.587020000000003</v>
      </c>
      <c r="N4049" s="195">
        <v>45.155090000000001</v>
      </c>
    </row>
    <row r="4050" spans="1:14" hidden="1" x14ac:dyDescent="0.35">
      <c r="A4050" s="52" t="s">
        <v>670</v>
      </c>
      <c r="B4050" s="52" t="s">
        <v>37</v>
      </c>
      <c r="C4050" s="52" t="s">
        <v>35</v>
      </c>
      <c r="D4050" s="52" t="s">
        <v>267</v>
      </c>
      <c r="E4050" s="52" t="s">
        <v>589</v>
      </c>
      <c r="F4050" s="52" t="s">
        <v>26</v>
      </c>
      <c r="G4050" s="195" t="s">
        <v>275</v>
      </c>
      <c r="H4050" s="195">
        <v>-19.08352</v>
      </c>
      <c r="I4050" s="195">
        <v>-15.9255</v>
      </c>
      <c r="J4050" s="195">
        <v>-12.385210000000001</v>
      </c>
      <c r="K4050" s="195">
        <v>-10.963290000000001</v>
      </c>
      <c r="L4050" s="195">
        <v>-10.777049999999999</v>
      </c>
      <c r="M4050" s="195">
        <v>-9.1010229999999996</v>
      </c>
      <c r="N4050" s="195">
        <v>-7.9634660000000004</v>
      </c>
    </row>
    <row r="4051" spans="1:14" hidden="1" x14ac:dyDescent="0.35">
      <c r="A4051" s="52" t="s">
        <v>670</v>
      </c>
      <c r="B4051" s="52" t="s">
        <v>37</v>
      </c>
      <c r="C4051" s="52" t="s">
        <v>35</v>
      </c>
      <c r="D4051" s="52" t="s">
        <v>267</v>
      </c>
      <c r="E4051" s="52" t="s">
        <v>589</v>
      </c>
      <c r="F4051" s="52" t="s">
        <v>26</v>
      </c>
      <c r="G4051" s="195" t="s">
        <v>276</v>
      </c>
      <c r="H4051" s="195">
        <v>-5.072838</v>
      </c>
      <c r="I4051" s="195">
        <v>-4.2333639999999999</v>
      </c>
      <c r="J4051" s="195">
        <v>-3.2922729999999998</v>
      </c>
      <c r="K4051" s="195">
        <v>-2.9142950000000001</v>
      </c>
      <c r="L4051" s="195">
        <v>-2.8647840000000002</v>
      </c>
      <c r="M4051" s="195">
        <v>-2.419257</v>
      </c>
      <c r="N4051" s="195">
        <v>-2.1168719999999999</v>
      </c>
    </row>
    <row r="4052" spans="1:14" hidden="1" x14ac:dyDescent="0.35">
      <c r="A4052" s="52" t="s">
        <v>670</v>
      </c>
      <c r="B4052" s="52" t="s">
        <v>37</v>
      </c>
      <c r="C4052" s="52" t="s">
        <v>35</v>
      </c>
      <c r="D4052" s="52" t="s">
        <v>267</v>
      </c>
      <c r="E4052" s="52" t="s">
        <v>589</v>
      </c>
      <c r="F4052" s="52" t="s">
        <v>26</v>
      </c>
      <c r="G4052" s="195" t="s">
        <v>279</v>
      </c>
      <c r="H4052" s="195">
        <v>33.555</v>
      </c>
      <c r="I4052" s="195">
        <v>26.75243</v>
      </c>
      <c r="J4052" s="195">
        <v>21.15484</v>
      </c>
      <c r="K4052" s="195">
        <v>18.487369999999999</v>
      </c>
      <c r="L4052" s="195">
        <v>17.583960000000001</v>
      </c>
      <c r="M4052" s="195">
        <v>14.88442</v>
      </c>
      <c r="N4052" s="195">
        <v>13.028409999999999</v>
      </c>
    </row>
    <row r="4053" spans="1:14" hidden="1" x14ac:dyDescent="0.35">
      <c r="A4053" s="52" t="s">
        <v>670</v>
      </c>
      <c r="B4053" s="52" t="s">
        <v>37</v>
      </c>
      <c r="C4053" s="52" t="s">
        <v>35</v>
      </c>
      <c r="D4053" s="52" t="s">
        <v>267</v>
      </c>
      <c r="E4053" s="52" t="s">
        <v>588</v>
      </c>
      <c r="F4053" s="52" t="s">
        <v>581</v>
      </c>
      <c r="G4053" s="195" t="s">
        <v>275</v>
      </c>
      <c r="H4053" s="195">
        <v>7.2817400000000001</v>
      </c>
      <c r="I4053" s="195">
        <v>1.8856329999999999</v>
      </c>
      <c r="J4053" s="195">
        <v>1.351548</v>
      </c>
      <c r="K4053" s="195">
        <v>1.3004469999999999</v>
      </c>
      <c r="L4053" s="195">
        <v>-0.14338600000000001</v>
      </c>
      <c r="M4053" s="195">
        <v>0.88934270000000004</v>
      </c>
      <c r="N4053" s="195">
        <v>0.91797189999999995</v>
      </c>
    </row>
    <row r="4054" spans="1:14" hidden="1" x14ac:dyDescent="0.35">
      <c r="A4054" s="52" t="s">
        <v>670</v>
      </c>
      <c r="B4054" s="52" t="s">
        <v>37</v>
      </c>
      <c r="C4054" s="52" t="s">
        <v>35</v>
      </c>
      <c r="D4054" s="52" t="s">
        <v>267</v>
      </c>
      <c r="E4054" s="52" t="s">
        <v>588</v>
      </c>
      <c r="F4054" s="52" t="s">
        <v>581</v>
      </c>
      <c r="G4054" s="195" t="s">
        <v>276</v>
      </c>
      <c r="H4054" s="195">
        <v>-4.6954999999999997E-2</v>
      </c>
      <c r="I4054" s="195">
        <v>-9.231019E-2</v>
      </c>
      <c r="J4054" s="195">
        <v>-0.55510139999999997</v>
      </c>
      <c r="K4054" s="195">
        <v>0.1187174</v>
      </c>
      <c r="L4054" s="195">
        <v>0.28266780000000002</v>
      </c>
      <c r="M4054" s="195">
        <v>0.2550366</v>
      </c>
      <c r="N4054" s="195">
        <v>0.1543148</v>
      </c>
    </row>
    <row r="4055" spans="1:14" hidden="1" x14ac:dyDescent="0.35">
      <c r="A4055" s="52" t="s">
        <v>670</v>
      </c>
      <c r="B4055" s="52" t="s">
        <v>37</v>
      </c>
      <c r="C4055" s="52" t="s">
        <v>35</v>
      </c>
      <c r="D4055" s="52" t="s">
        <v>267</v>
      </c>
      <c r="E4055" s="52" t="s">
        <v>588</v>
      </c>
      <c r="F4055" s="52" t="s">
        <v>581</v>
      </c>
      <c r="G4055" s="195" t="s">
        <v>277</v>
      </c>
      <c r="H4055" s="195">
        <v>0</v>
      </c>
      <c r="I4055" s="195">
        <v>0</v>
      </c>
      <c r="J4055" s="195">
        <v>1.2624310000000001</v>
      </c>
      <c r="K4055" s="195">
        <v>0.19739799999999999</v>
      </c>
      <c r="L4055" s="195">
        <v>0.4603044</v>
      </c>
      <c r="M4055" s="195">
        <v>0.35341319999999998</v>
      </c>
      <c r="N4055" s="195">
        <v>0.6569064</v>
      </c>
    </row>
    <row r="4056" spans="1:14" hidden="1" x14ac:dyDescent="0.35">
      <c r="A4056" s="52" t="s">
        <v>670</v>
      </c>
      <c r="B4056" s="52" t="s">
        <v>37</v>
      </c>
      <c r="C4056" s="52" t="s">
        <v>35</v>
      </c>
      <c r="D4056" s="52" t="s">
        <v>267</v>
      </c>
      <c r="E4056" s="52" t="s">
        <v>588</v>
      </c>
      <c r="F4056" s="52" t="s">
        <v>581</v>
      </c>
      <c r="G4056" s="195" t="s">
        <v>278</v>
      </c>
      <c r="H4056" s="195"/>
      <c r="I4056" s="195"/>
      <c r="J4056" s="195">
        <v>0</v>
      </c>
      <c r="K4056" s="195">
        <v>0.3049056</v>
      </c>
      <c r="L4056" s="195">
        <v>1.3505860000000001</v>
      </c>
      <c r="M4056" s="195">
        <v>0.33832400000000001</v>
      </c>
      <c r="N4056" s="195">
        <v>6.0028999999999999E-2</v>
      </c>
    </row>
    <row r="4057" spans="1:14" hidden="1" x14ac:dyDescent="0.35">
      <c r="A4057" s="52" t="s">
        <v>670</v>
      </c>
      <c r="B4057" s="52" t="s">
        <v>37</v>
      </c>
      <c r="C4057" s="52" t="s">
        <v>35</v>
      </c>
      <c r="D4057" s="52" t="s">
        <v>267</v>
      </c>
      <c r="E4057" s="52" t="s">
        <v>588</v>
      </c>
      <c r="F4057" s="52" t="s">
        <v>581</v>
      </c>
      <c r="G4057" s="195" t="s">
        <v>279</v>
      </c>
      <c r="H4057" s="195">
        <v>1.6957139999999999</v>
      </c>
      <c r="I4057" s="195">
        <v>0.87836440000000005</v>
      </c>
      <c r="J4057" s="195">
        <v>1.1153949999999999</v>
      </c>
      <c r="K4057" s="195">
        <v>1.0540309999999999</v>
      </c>
      <c r="L4057" s="195">
        <v>1.248337</v>
      </c>
      <c r="M4057" s="195">
        <v>1.1196809999999999</v>
      </c>
      <c r="N4057" s="195">
        <v>1.048683</v>
      </c>
    </row>
    <row r="4058" spans="1:14" hidden="1" x14ac:dyDescent="0.35">
      <c r="A4058" s="52" t="s">
        <v>670</v>
      </c>
      <c r="B4058" s="52" t="s">
        <v>37</v>
      </c>
      <c r="C4058" s="52" t="s">
        <v>35</v>
      </c>
      <c r="D4058" s="52" t="s">
        <v>267</v>
      </c>
      <c r="E4058" s="52" t="s">
        <v>588</v>
      </c>
      <c r="F4058" s="52" t="s">
        <v>26</v>
      </c>
      <c r="G4058" s="195" t="s">
        <v>275</v>
      </c>
      <c r="H4058" s="195">
        <v>2.47E-3</v>
      </c>
      <c r="I4058" s="195">
        <v>9.6262200000000006E-2</v>
      </c>
      <c r="J4058" s="195">
        <v>0.13997019999999999</v>
      </c>
      <c r="K4058" s="195">
        <v>0.1287886</v>
      </c>
      <c r="L4058" s="195">
        <v>0.1230178</v>
      </c>
      <c r="M4058" s="195">
        <v>0.113778</v>
      </c>
      <c r="N4058" s="195">
        <v>0.1078876</v>
      </c>
    </row>
    <row r="4059" spans="1:14" hidden="1" x14ac:dyDescent="0.35">
      <c r="A4059" s="52" t="s">
        <v>670</v>
      </c>
      <c r="B4059" s="52" t="s">
        <v>37</v>
      </c>
      <c r="C4059" s="52" t="s">
        <v>35</v>
      </c>
      <c r="D4059" s="52" t="s">
        <v>267</v>
      </c>
      <c r="E4059" s="52" t="s">
        <v>588</v>
      </c>
      <c r="F4059" s="52" t="s">
        <v>26</v>
      </c>
      <c r="G4059" s="195" t="s">
        <v>276</v>
      </c>
      <c r="H4059" s="195">
        <v>6.5600000000000001E-4</v>
      </c>
      <c r="I4059" s="195">
        <v>2.5589000000000001E-2</v>
      </c>
      <c r="J4059" s="195">
        <v>3.7207200000000003E-2</v>
      </c>
      <c r="K4059" s="195">
        <v>3.4234199999999999E-2</v>
      </c>
      <c r="L4059" s="195">
        <v>3.2700800000000002E-2</v>
      </c>
      <c r="M4059" s="195">
        <v>3.0244E-2</v>
      </c>
      <c r="N4059" s="195">
        <v>2.86778E-2</v>
      </c>
    </row>
    <row r="4060" spans="1:14" hidden="1" x14ac:dyDescent="0.35">
      <c r="A4060" s="52" t="s">
        <v>670</v>
      </c>
      <c r="B4060" s="52" t="s">
        <v>37</v>
      </c>
      <c r="C4060" s="52" t="s">
        <v>35</v>
      </c>
      <c r="D4060" s="52" t="s">
        <v>267</v>
      </c>
      <c r="E4060" s="52" t="s">
        <v>588</v>
      </c>
      <c r="F4060" s="52" t="s">
        <v>26</v>
      </c>
      <c r="G4060" s="195" t="s">
        <v>279</v>
      </c>
      <c r="H4060" s="195">
        <v>0.16404099999999999</v>
      </c>
      <c r="I4060" s="195">
        <v>0.13287160000000001</v>
      </c>
      <c r="J4060" s="195">
        <v>0.17527580000000001</v>
      </c>
      <c r="K4060" s="195">
        <v>0.1660952</v>
      </c>
      <c r="L4060" s="195">
        <v>0.19612379999999999</v>
      </c>
      <c r="M4060" s="195">
        <v>0.1753072</v>
      </c>
      <c r="N4060" s="195">
        <v>0.163358</v>
      </c>
    </row>
    <row r="4061" spans="1:14" hidden="1" x14ac:dyDescent="0.35">
      <c r="A4061" s="52" t="s">
        <v>670</v>
      </c>
      <c r="B4061" s="52" t="s">
        <v>37</v>
      </c>
      <c r="C4061" s="52" t="s">
        <v>35</v>
      </c>
      <c r="D4061" s="52" t="s">
        <v>163</v>
      </c>
      <c r="E4061" s="52" t="s">
        <v>580</v>
      </c>
      <c r="F4061" s="52" t="s">
        <v>581</v>
      </c>
      <c r="G4061" s="195" t="s">
        <v>275</v>
      </c>
      <c r="H4061" s="195">
        <v>156.20050000000001</v>
      </c>
      <c r="I4061" s="195">
        <v>47.933239999999998</v>
      </c>
      <c r="J4061" s="195">
        <v>76.016559999999998</v>
      </c>
      <c r="K4061" s="195">
        <v>87.037329999999997</v>
      </c>
      <c r="L4061" s="195">
        <v>39.557079999999999</v>
      </c>
      <c r="M4061" s="195">
        <v>29.827950000000001</v>
      </c>
      <c r="N4061" s="195">
        <v>22.222529999999999</v>
      </c>
    </row>
    <row r="4062" spans="1:14" hidden="1" x14ac:dyDescent="0.35">
      <c r="A4062" s="52" t="s">
        <v>670</v>
      </c>
      <c r="B4062" s="52" t="s">
        <v>37</v>
      </c>
      <c r="C4062" s="52" t="s">
        <v>35</v>
      </c>
      <c r="D4062" s="52" t="s">
        <v>163</v>
      </c>
      <c r="E4062" s="52" t="s">
        <v>580</v>
      </c>
      <c r="F4062" s="52" t="s">
        <v>581</v>
      </c>
      <c r="G4062" s="195" t="s">
        <v>276</v>
      </c>
      <c r="H4062" s="195">
        <v>30.143840000000001</v>
      </c>
      <c r="I4062" s="195">
        <v>-24.203690000000002</v>
      </c>
      <c r="J4062" s="195">
        <v>-37.656280000000002</v>
      </c>
      <c r="K4062" s="195">
        <v>-48.121519999999997</v>
      </c>
      <c r="L4062" s="195">
        <v>-9.5832189999999997</v>
      </c>
      <c r="M4062" s="195">
        <v>6.3233940000000002E-2</v>
      </c>
      <c r="N4062" s="195">
        <v>3.526481</v>
      </c>
    </row>
    <row r="4063" spans="1:14" hidden="1" x14ac:dyDescent="0.35">
      <c r="A4063" s="52" t="s">
        <v>670</v>
      </c>
      <c r="B4063" s="52" t="s">
        <v>37</v>
      </c>
      <c r="C4063" s="52" t="s">
        <v>35</v>
      </c>
      <c r="D4063" s="52" t="s">
        <v>163</v>
      </c>
      <c r="E4063" s="52" t="s">
        <v>580</v>
      </c>
      <c r="F4063" s="52" t="s">
        <v>581</v>
      </c>
      <c r="G4063" s="195" t="s">
        <v>277</v>
      </c>
      <c r="H4063" s="195">
        <v>150.7921</v>
      </c>
      <c r="I4063" s="195">
        <v>45.95252</v>
      </c>
      <c r="J4063" s="195">
        <v>6.1359009999999996</v>
      </c>
      <c r="K4063" s="195">
        <v>1.631721</v>
      </c>
      <c r="L4063" s="195">
        <v>1.386431</v>
      </c>
      <c r="M4063" s="195">
        <v>0</v>
      </c>
      <c r="N4063" s="195">
        <v>0</v>
      </c>
    </row>
    <row r="4064" spans="1:14" hidden="1" x14ac:dyDescent="0.35">
      <c r="A4064" s="52" t="s">
        <v>670</v>
      </c>
      <c r="B4064" s="52" t="s">
        <v>37</v>
      </c>
      <c r="C4064" s="52" t="s">
        <v>35</v>
      </c>
      <c r="D4064" s="52" t="s">
        <v>163</v>
      </c>
      <c r="E4064" s="52" t="s">
        <v>580</v>
      </c>
      <c r="F4064" s="52" t="s">
        <v>581</v>
      </c>
      <c r="G4064" s="195" t="s">
        <v>278</v>
      </c>
      <c r="H4064" s="195">
        <v>19.64837</v>
      </c>
      <c r="I4064" s="195">
        <v>16.987780000000001</v>
      </c>
      <c r="J4064" s="195">
        <v>11.895300000000001</v>
      </c>
      <c r="K4064" s="195">
        <v>6.9425179999999997</v>
      </c>
      <c r="L4064" s="195">
        <v>4.0250120000000003</v>
      </c>
      <c r="M4064" s="195">
        <v>0</v>
      </c>
      <c r="N4064" s="195">
        <v>0</v>
      </c>
    </row>
    <row r="4065" spans="1:14" hidden="1" x14ac:dyDescent="0.35">
      <c r="A4065" s="52" t="s">
        <v>670</v>
      </c>
      <c r="B4065" s="52" t="s">
        <v>37</v>
      </c>
      <c r="C4065" s="52" t="s">
        <v>35</v>
      </c>
      <c r="D4065" s="52" t="s">
        <v>163</v>
      </c>
      <c r="E4065" s="52" t="s">
        <v>580</v>
      </c>
      <c r="F4065" s="52" t="s">
        <v>581</v>
      </c>
      <c r="G4065" s="195" t="s">
        <v>279</v>
      </c>
      <c r="H4065" s="195">
        <v>125.706</v>
      </c>
      <c r="I4065" s="195">
        <v>80.807010000000005</v>
      </c>
      <c r="J4065" s="195">
        <v>60.975960000000001</v>
      </c>
      <c r="K4065" s="195">
        <v>52.979340000000001</v>
      </c>
      <c r="L4065" s="195">
        <v>49.51361</v>
      </c>
      <c r="M4065" s="195">
        <v>40.768459999999997</v>
      </c>
      <c r="N4065" s="195">
        <v>35.131329999999998</v>
      </c>
    </row>
    <row r="4066" spans="1:14" hidden="1" x14ac:dyDescent="0.35">
      <c r="A4066" s="52" t="s">
        <v>670</v>
      </c>
      <c r="B4066" s="52" t="s">
        <v>37</v>
      </c>
      <c r="C4066" s="52" t="s">
        <v>35</v>
      </c>
      <c r="D4066" s="52" t="s">
        <v>163</v>
      </c>
      <c r="E4066" s="52" t="s">
        <v>580</v>
      </c>
      <c r="F4066" s="52" t="s">
        <v>26</v>
      </c>
      <c r="G4066" s="195" t="s">
        <v>275</v>
      </c>
      <c r="H4066" s="195">
        <v>-15.250529999999999</v>
      </c>
      <c r="I4066" s="195">
        <v>-13.275130000000001</v>
      </c>
      <c r="J4066" s="195">
        <v>-10.114179999999999</v>
      </c>
      <c r="K4066" s="195">
        <v>-9.0445829999999994</v>
      </c>
      <c r="L4066" s="195">
        <v>-8.7451690000000006</v>
      </c>
      <c r="M4066" s="195">
        <v>-7.1959220000000004</v>
      </c>
      <c r="N4066" s="195">
        <v>-6.2000140000000004</v>
      </c>
    </row>
    <row r="4067" spans="1:14" hidden="1" x14ac:dyDescent="0.35">
      <c r="A4067" s="52" t="s">
        <v>670</v>
      </c>
      <c r="B4067" s="52" t="s">
        <v>37</v>
      </c>
      <c r="C4067" s="52" t="s">
        <v>35</v>
      </c>
      <c r="D4067" s="52" t="s">
        <v>163</v>
      </c>
      <c r="E4067" s="52" t="s">
        <v>580</v>
      </c>
      <c r="F4067" s="52" t="s">
        <v>26</v>
      </c>
      <c r="G4067" s="195" t="s">
        <v>276</v>
      </c>
      <c r="H4067" s="195">
        <v>-4.0539399999999999</v>
      </c>
      <c r="I4067" s="195">
        <v>-3.528832</v>
      </c>
      <c r="J4067" s="195">
        <v>-2.6885819999999998</v>
      </c>
      <c r="K4067" s="195">
        <v>-2.4042569999999999</v>
      </c>
      <c r="L4067" s="195">
        <v>-2.3246630000000001</v>
      </c>
      <c r="M4067" s="195">
        <v>-1.9128400000000001</v>
      </c>
      <c r="N4067" s="195">
        <v>-1.6481049999999999</v>
      </c>
    </row>
    <row r="4068" spans="1:14" hidden="1" x14ac:dyDescent="0.35">
      <c r="A4068" s="52" t="s">
        <v>670</v>
      </c>
      <c r="B4068" s="52" t="s">
        <v>37</v>
      </c>
      <c r="C4068" s="52" t="s">
        <v>35</v>
      </c>
      <c r="D4068" s="52" t="s">
        <v>163</v>
      </c>
      <c r="E4068" s="52" t="s">
        <v>580</v>
      </c>
      <c r="F4068" s="52" t="s">
        <v>26</v>
      </c>
      <c r="G4068" s="195" t="s">
        <v>279</v>
      </c>
      <c r="H4068" s="195">
        <v>26.815370000000001</v>
      </c>
      <c r="I4068" s="195">
        <v>22.294060000000002</v>
      </c>
      <c r="J4068" s="195">
        <v>17.273319999999998</v>
      </c>
      <c r="K4068" s="195">
        <v>15.2563</v>
      </c>
      <c r="L4068" s="195">
        <v>14.27533</v>
      </c>
      <c r="M4068" s="195">
        <v>11.772930000000001</v>
      </c>
      <c r="N4068" s="195">
        <v>10.14615</v>
      </c>
    </row>
    <row r="4069" spans="1:14" hidden="1" x14ac:dyDescent="0.35">
      <c r="A4069" s="52" t="s">
        <v>670</v>
      </c>
      <c r="B4069" s="52" t="s">
        <v>37</v>
      </c>
      <c r="C4069" s="52" t="s">
        <v>35</v>
      </c>
      <c r="D4069" s="52" t="s">
        <v>163</v>
      </c>
      <c r="E4069" s="52" t="s">
        <v>583</v>
      </c>
      <c r="F4069" s="52" t="s">
        <v>581</v>
      </c>
      <c r="G4069" s="195" t="s">
        <v>275</v>
      </c>
      <c r="H4069" s="195">
        <v>3.3720590000000001</v>
      </c>
      <c r="I4069" s="195">
        <v>1.3545910000000001</v>
      </c>
      <c r="J4069" s="195">
        <v>2.512616</v>
      </c>
      <c r="K4069" s="195">
        <v>0.73848959999999997</v>
      </c>
      <c r="L4069" s="195">
        <v>5.1995390000000002E-2</v>
      </c>
      <c r="M4069" s="195">
        <v>0.22679820000000001</v>
      </c>
      <c r="N4069" s="195">
        <v>0.20054559999999999</v>
      </c>
    </row>
    <row r="4070" spans="1:14" hidden="1" x14ac:dyDescent="0.35">
      <c r="A4070" s="52" t="s">
        <v>670</v>
      </c>
      <c r="B4070" s="52" t="s">
        <v>37</v>
      </c>
      <c r="C4070" s="52" t="s">
        <v>35</v>
      </c>
      <c r="D4070" s="52" t="s">
        <v>163</v>
      </c>
      <c r="E4070" s="52" t="s">
        <v>583</v>
      </c>
      <c r="F4070" s="52" t="s">
        <v>581</v>
      </c>
      <c r="G4070" s="195" t="s">
        <v>276</v>
      </c>
      <c r="H4070" s="195">
        <v>-2.0248430000000002</v>
      </c>
      <c r="I4070" s="195">
        <v>-0.79086199999999995</v>
      </c>
      <c r="J4070" s="195">
        <v>-2.1282619999999999</v>
      </c>
      <c r="K4070" s="195">
        <v>-0.555392</v>
      </c>
      <c r="L4070" s="195">
        <v>-7.7126200000000006E-2</v>
      </c>
      <c r="M4070" s="195">
        <v>4.1507200000000001E-2</v>
      </c>
      <c r="N4070" s="195">
        <v>3.8285E-2</v>
      </c>
    </row>
    <row r="4071" spans="1:14" hidden="1" x14ac:dyDescent="0.35">
      <c r="A4071" s="52" t="s">
        <v>670</v>
      </c>
      <c r="B4071" s="52" t="s">
        <v>37</v>
      </c>
      <c r="C4071" s="52" t="s">
        <v>35</v>
      </c>
      <c r="D4071" s="52" t="s">
        <v>163</v>
      </c>
      <c r="E4071" s="52" t="s">
        <v>583</v>
      </c>
      <c r="F4071" s="52" t="s">
        <v>581</v>
      </c>
      <c r="G4071" s="195" t="s">
        <v>277</v>
      </c>
      <c r="H4071" s="195">
        <v>1.3860479999999999</v>
      </c>
      <c r="I4071" s="195">
        <v>0</v>
      </c>
      <c r="J4071" s="195">
        <v>0</v>
      </c>
      <c r="K4071" s="195">
        <v>0.14384759999999999</v>
      </c>
      <c r="L4071" s="195">
        <v>0.31390639999999997</v>
      </c>
      <c r="M4071" s="195">
        <v>0</v>
      </c>
      <c r="N4071" s="195">
        <v>0</v>
      </c>
    </row>
    <row r="4072" spans="1:14" hidden="1" x14ac:dyDescent="0.35">
      <c r="A4072" s="52" t="s">
        <v>670</v>
      </c>
      <c r="B4072" s="52" t="s">
        <v>37</v>
      </c>
      <c r="C4072" s="52" t="s">
        <v>35</v>
      </c>
      <c r="D4072" s="52" t="s">
        <v>163</v>
      </c>
      <c r="E4072" s="52" t="s">
        <v>583</v>
      </c>
      <c r="F4072" s="52" t="s">
        <v>581</v>
      </c>
      <c r="G4072" s="195" t="s">
        <v>278</v>
      </c>
      <c r="H4072" s="195">
        <v>0</v>
      </c>
      <c r="I4072" s="195"/>
      <c r="J4072" s="195">
        <v>0</v>
      </c>
      <c r="K4072" s="195">
        <v>1.5744000000000001E-2</v>
      </c>
      <c r="L4072" s="195">
        <v>0</v>
      </c>
      <c r="M4072" s="195"/>
      <c r="N4072" s="195"/>
    </row>
    <row r="4073" spans="1:14" hidden="1" x14ac:dyDescent="0.35">
      <c r="A4073" s="52" t="s">
        <v>670</v>
      </c>
      <c r="B4073" s="52" t="s">
        <v>37</v>
      </c>
      <c r="C4073" s="52" t="s">
        <v>35</v>
      </c>
      <c r="D4073" s="52" t="s">
        <v>163</v>
      </c>
      <c r="E4073" s="52" t="s">
        <v>583</v>
      </c>
      <c r="F4073" s="52" t="s">
        <v>581</v>
      </c>
      <c r="G4073" s="195" t="s">
        <v>279</v>
      </c>
      <c r="H4073" s="195">
        <v>0.92096599999999995</v>
      </c>
      <c r="I4073" s="195">
        <v>0.49561640000000001</v>
      </c>
      <c r="J4073" s="195">
        <v>0.39336660000000001</v>
      </c>
      <c r="K4073" s="195">
        <v>0.363983</v>
      </c>
      <c r="L4073" s="195">
        <v>0.38022020000000001</v>
      </c>
      <c r="M4073" s="195">
        <v>0.34285840000000001</v>
      </c>
      <c r="N4073" s="195">
        <v>0.30492999999999998</v>
      </c>
    </row>
    <row r="4074" spans="1:14" hidden="1" x14ac:dyDescent="0.35">
      <c r="A4074" s="52" t="s">
        <v>670</v>
      </c>
      <c r="B4074" s="52" t="s">
        <v>37</v>
      </c>
      <c r="C4074" s="52" t="s">
        <v>35</v>
      </c>
      <c r="D4074" s="52" t="s">
        <v>163</v>
      </c>
      <c r="E4074" s="52" t="s">
        <v>583</v>
      </c>
      <c r="F4074" s="52" t="s">
        <v>26</v>
      </c>
      <c r="G4074" s="195" t="s">
        <v>275</v>
      </c>
      <c r="H4074" s="195">
        <v>-7.6031989999999994E-2</v>
      </c>
      <c r="I4074" s="195">
        <v>-5.71488E-2</v>
      </c>
      <c r="J4074" s="195">
        <v>-4.5832600000000001E-2</v>
      </c>
      <c r="K4074" s="195">
        <v>-4.3769799999999998E-2</v>
      </c>
      <c r="L4074" s="195">
        <v>-4.7349000000000002E-2</v>
      </c>
      <c r="M4074" s="195">
        <v>-4.2641600000000002E-2</v>
      </c>
      <c r="N4074" s="195">
        <v>-3.7912399999999999E-2</v>
      </c>
    </row>
    <row r="4075" spans="1:14" hidden="1" x14ac:dyDescent="0.35">
      <c r="A4075" s="52" t="s">
        <v>670</v>
      </c>
      <c r="B4075" s="52" t="s">
        <v>37</v>
      </c>
      <c r="C4075" s="52" t="s">
        <v>35</v>
      </c>
      <c r="D4075" s="52" t="s">
        <v>163</v>
      </c>
      <c r="E4075" s="52" t="s">
        <v>583</v>
      </c>
      <c r="F4075" s="52" t="s">
        <v>26</v>
      </c>
      <c r="G4075" s="195" t="s">
        <v>276</v>
      </c>
      <c r="H4075" s="195">
        <v>-2.0211E-2</v>
      </c>
      <c r="I4075" s="195">
        <v>-1.51918E-2</v>
      </c>
      <c r="J4075" s="195">
        <v>-1.21826E-2</v>
      </c>
      <c r="K4075" s="195">
        <v>-1.16352E-2</v>
      </c>
      <c r="L4075" s="195">
        <v>-1.2586E-2</v>
      </c>
      <c r="M4075" s="195">
        <v>-1.1334800000000001E-2</v>
      </c>
      <c r="N4075" s="195">
        <v>-1.0078200000000001E-2</v>
      </c>
    </row>
    <row r="4076" spans="1:14" hidden="1" x14ac:dyDescent="0.35">
      <c r="A4076" s="52" t="s">
        <v>670</v>
      </c>
      <c r="B4076" s="52" t="s">
        <v>37</v>
      </c>
      <c r="C4076" s="52" t="s">
        <v>35</v>
      </c>
      <c r="D4076" s="52" t="s">
        <v>163</v>
      </c>
      <c r="E4076" s="52" t="s">
        <v>583</v>
      </c>
      <c r="F4076" s="52" t="s">
        <v>26</v>
      </c>
      <c r="G4076" s="195" t="s">
        <v>279</v>
      </c>
      <c r="H4076" s="195">
        <v>0.13636200000000001</v>
      </c>
      <c r="I4076" s="195">
        <v>9.7578209999999999E-2</v>
      </c>
      <c r="J4076" s="195">
        <v>7.9604999999999995E-2</v>
      </c>
      <c r="K4076" s="195">
        <v>7.4968400000000004E-2</v>
      </c>
      <c r="L4076" s="195">
        <v>7.8366000000000005E-2</v>
      </c>
      <c r="M4076" s="195">
        <v>7.0756200000000005E-2</v>
      </c>
      <c r="N4076" s="195">
        <v>6.2930600000000003E-2</v>
      </c>
    </row>
    <row r="4077" spans="1:14" hidden="1" x14ac:dyDescent="0.35">
      <c r="A4077" s="52" t="s">
        <v>670</v>
      </c>
      <c r="B4077" s="52" t="s">
        <v>37</v>
      </c>
      <c r="C4077" s="52" t="s">
        <v>35</v>
      </c>
      <c r="D4077" s="52" t="s">
        <v>39</v>
      </c>
      <c r="E4077" s="52" t="s">
        <v>582</v>
      </c>
      <c r="F4077" s="52" t="s">
        <v>581</v>
      </c>
      <c r="G4077" s="195" t="s">
        <v>275</v>
      </c>
      <c r="H4077" s="195">
        <v>20.006789999999999</v>
      </c>
      <c r="I4077" s="195">
        <v>5.8923220000000001</v>
      </c>
      <c r="J4077" s="195">
        <v>4.092015</v>
      </c>
      <c r="K4077" s="195">
        <v>3.860284</v>
      </c>
      <c r="L4077" s="195">
        <v>2.6996129999999998</v>
      </c>
      <c r="M4077" s="195">
        <v>2.8634149999999998</v>
      </c>
      <c r="N4077" s="195">
        <v>2.5923590000000001</v>
      </c>
    </row>
    <row r="4078" spans="1:14" hidden="1" x14ac:dyDescent="0.35">
      <c r="A4078" s="52" t="s">
        <v>670</v>
      </c>
      <c r="B4078" s="52" t="s">
        <v>37</v>
      </c>
      <c r="C4078" s="52" t="s">
        <v>35</v>
      </c>
      <c r="D4078" s="52" t="s">
        <v>39</v>
      </c>
      <c r="E4078" s="52" t="s">
        <v>582</v>
      </c>
      <c r="F4078" s="52" t="s">
        <v>581</v>
      </c>
      <c r="G4078" s="195" t="s">
        <v>276</v>
      </c>
      <c r="H4078" s="195">
        <v>3.4982519999999999</v>
      </c>
      <c r="I4078" s="195">
        <v>-0.396229</v>
      </c>
      <c r="J4078" s="195">
        <v>-1.9275119999999999</v>
      </c>
      <c r="K4078" s="195">
        <v>-0.42003760000000001</v>
      </c>
      <c r="L4078" s="195">
        <v>-0.2918248</v>
      </c>
      <c r="M4078" s="195">
        <v>0.44632840000000001</v>
      </c>
      <c r="N4078" s="195">
        <v>0.25499060000000001</v>
      </c>
    </row>
    <row r="4079" spans="1:14" hidden="1" x14ac:dyDescent="0.35">
      <c r="A4079" s="52" t="s">
        <v>670</v>
      </c>
      <c r="B4079" s="52" t="s">
        <v>37</v>
      </c>
      <c r="C4079" s="52" t="s">
        <v>35</v>
      </c>
      <c r="D4079" s="52" t="s">
        <v>39</v>
      </c>
      <c r="E4079" s="52" t="s">
        <v>582</v>
      </c>
      <c r="F4079" s="52" t="s">
        <v>581</v>
      </c>
      <c r="G4079" s="195" t="s">
        <v>277</v>
      </c>
      <c r="H4079" s="195">
        <v>10.20134</v>
      </c>
      <c r="I4079" s="195">
        <v>1.061016</v>
      </c>
      <c r="J4079" s="195">
        <v>3.1533250000000002</v>
      </c>
      <c r="K4079" s="195">
        <v>1.5513349999999999</v>
      </c>
      <c r="L4079" s="195">
        <v>1.4269069999999999</v>
      </c>
      <c r="M4079" s="195">
        <v>0</v>
      </c>
      <c r="N4079" s="195">
        <v>0</v>
      </c>
    </row>
    <row r="4080" spans="1:14" hidden="1" x14ac:dyDescent="0.35">
      <c r="A4080" s="52" t="s">
        <v>670</v>
      </c>
      <c r="B4080" s="52" t="s">
        <v>37</v>
      </c>
      <c r="C4080" s="52" t="s">
        <v>35</v>
      </c>
      <c r="D4080" s="52" t="s">
        <v>39</v>
      </c>
      <c r="E4080" s="52" t="s">
        <v>582</v>
      </c>
      <c r="F4080" s="52" t="s">
        <v>581</v>
      </c>
      <c r="G4080" s="195" t="s">
        <v>278</v>
      </c>
      <c r="H4080" s="195">
        <v>0</v>
      </c>
      <c r="I4080" s="195"/>
      <c r="J4080" s="195"/>
      <c r="K4080" s="195"/>
      <c r="L4080" s="195"/>
      <c r="M4080" s="195"/>
      <c r="N4080" s="195"/>
    </row>
    <row r="4081" spans="1:14" hidden="1" x14ac:dyDescent="0.35">
      <c r="A4081" s="52" t="s">
        <v>670</v>
      </c>
      <c r="B4081" s="52" t="s">
        <v>37</v>
      </c>
      <c r="C4081" s="52" t="s">
        <v>35</v>
      </c>
      <c r="D4081" s="52" t="s">
        <v>39</v>
      </c>
      <c r="E4081" s="52" t="s">
        <v>582</v>
      </c>
      <c r="F4081" s="52" t="s">
        <v>581</v>
      </c>
      <c r="G4081" s="195" t="s">
        <v>279</v>
      </c>
      <c r="H4081" s="195">
        <v>11.072329999999999</v>
      </c>
      <c r="I4081" s="195">
        <v>5.8455380000000003</v>
      </c>
      <c r="J4081" s="195">
        <v>5.5425310000000003</v>
      </c>
      <c r="K4081" s="195">
        <v>5.3995249999999997</v>
      </c>
      <c r="L4081" s="195">
        <v>5.193848</v>
      </c>
      <c r="M4081" s="195">
        <v>4.3524620000000001</v>
      </c>
      <c r="N4081" s="195">
        <v>3.745288</v>
      </c>
    </row>
    <row r="4082" spans="1:14" hidden="1" x14ac:dyDescent="0.35">
      <c r="A4082" s="52" t="s">
        <v>670</v>
      </c>
      <c r="B4082" s="52" t="s">
        <v>37</v>
      </c>
      <c r="C4082" s="52" t="s">
        <v>35</v>
      </c>
      <c r="D4082" s="52" t="s">
        <v>39</v>
      </c>
      <c r="E4082" s="52" t="s">
        <v>582</v>
      </c>
      <c r="F4082" s="52" t="s">
        <v>26</v>
      </c>
      <c r="G4082" s="195" t="s">
        <v>275</v>
      </c>
      <c r="H4082" s="195">
        <v>-0.63624199999999997</v>
      </c>
      <c r="I4082" s="195">
        <v>-0.4917242</v>
      </c>
      <c r="J4082" s="195">
        <v>-0.45379399999999998</v>
      </c>
      <c r="K4082" s="195">
        <v>-0.468005</v>
      </c>
      <c r="L4082" s="195">
        <v>-0.49660660000000001</v>
      </c>
      <c r="M4082" s="195">
        <v>-0.41384779999999999</v>
      </c>
      <c r="N4082" s="195">
        <v>-0.35585899999999998</v>
      </c>
    </row>
    <row r="4083" spans="1:14" hidden="1" x14ac:dyDescent="0.35">
      <c r="A4083" s="52" t="s">
        <v>670</v>
      </c>
      <c r="B4083" s="52" t="s">
        <v>37</v>
      </c>
      <c r="C4083" s="52" t="s">
        <v>35</v>
      </c>
      <c r="D4083" s="52" t="s">
        <v>39</v>
      </c>
      <c r="E4083" s="52" t="s">
        <v>582</v>
      </c>
      <c r="F4083" s="52" t="s">
        <v>26</v>
      </c>
      <c r="G4083" s="195" t="s">
        <v>276</v>
      </c>
      <c r="H4083" s="195">
        <v>-0.169126</v>
      </c>
      <c r="I4083" s="195">
        <v>-0.13071099999999999</v>
      </c>
      <c r="J4083" s="195">
        <v>-0.1206282</v>
      </c>
      <c r="K4083" s="195">
        <v>-0.1244068</v>
      </c>
      <c r="L4083" s="195">
        <v>-0.13200880000000001</v>
      </c>
      <c r="M4083" s="195">
        <v>-0.1100096</v>
      </c>
      <c r="N4083" s="195">
        <v>-9.4595399999999996E-2</v>
      </c>
    </row>
    <row r="4084" spans="1:14" hidden="1" x14ac:dyDescent="0.35">
      <c r="A4084" s="52" t="s">
        <v>670</v>
      </c>
      <c r="B4084" s="52" t="s">
        <v>37</v>
      </c>
      <c r="C4084" s="52" t="s">
        <v>35</v>
      </c>
      <c r="D4084" s="52" t="s">
        <v>39</v>
      </c>
      <c r="E4084" s="52" t="s">
        <v>582</v>
      </c>
      <c r="F4084" s="52" t="s">
        <v>26</v>
      </c>
      <c r="G4084" s="195" t="s">
        <v>279</v>
      </c>
      <c r="H4084" s="195">
        <v>1.8968069999999999</v>
      </c>
      <c r="I4084" s="195">
        <v>1.2599370000000001</v>
      </c>
      <c r="J4084" s="195">
        <v>1.2245900000000001</v>
      </c>
      <c r="K4084" s="195">
        <v>1.2128680000000001</v>
      </c>
      <c r="L4084" s="195">
        <v>1.1651389999999999</v>
      </c>
      <c r="M4084" s="195">
        <v>0.97797920000000005</v>
      </c>
      <c r="N4084" s="195">
        <v>0.84163639999999995</v>
      </c>
    </row>
    <row r="4085" spans="1:14" hidden="1" x14ac:dyDescent="0.35">
      <c r="A4085" s="52" t="s">
        <v>670</v>
      </c>
      <c r="B4085" s="52" t="s">
        <v>37</v>
      </c>
      <c r="C4085" s="52" t="s">
        <v>35</v>
      </c>
      <c r="D4085" s="52" t="s">
        <v>39</v>
      </c>
      <c r="E4085" s="52" t="s">
        <v>580</v>
      </c>
      <c r="F4085" s="52" t="s">
        <v>581</v>
      </c>
      <c r="G4085" s="195" t="s">
        <v>275</v>
      </c>
      <c r="H4085" s="195">
        <v>11.86481</v>
      </c>
      <c r="I4085" s="195">
        <v>2.4420860000000002</v>
      </c>
      <c r="J4085" s="195">
        <v>1.8785339999999999</v>
      </c>
      <c r="K4085" s="195">
        <v>2.394158</v>
      </c>
      <c r="L4085" s="195">
        <v>0.46511130000000001</v>
      </c>
      <c r="M4085" s="195">
        <v>0.99352090000000004</v>
      </c>
      <c r="N4085" s="195">
        <v>0.5124744</v>
      </c>
    </row>
    <row r="4086" spans="1:14" hidden="1" x14ac:dyDescent="0.35">
      <c r="A4086" s="52" t="s">
        <v>670</v>
      </c>
      <c r="B4086" s="52" t="s">
        <v>37</v>
      </c>
      <c r="C4086" s="52" t="s">
        <v>35</v>
      </c>
      <c r="D4086" s="52" t="s">
        <v>39</v>
      </c>
      <c r="E4086" s="52" t="s">
        <v>580</v>
      </c>
      <c r="F4086" s="52" t="s">
        <v>581</v>
      </c>
      <c r="G4086" s="195" t="s">
        <v>276</v>
      </c>
      <c r="H4086" s="195">
        <v>1.7983769999999999</v>
      </c>
      <c r="I4086" s="195">
        <v>-0.14784240000000001</v>
      </c>
      <c r="J4086" s="195">
        <v>-0.6429551</v>
      </c>
      <c r="K4086" s="195">
        <v>-1.0894429999999999</v>
      </c>
      <c r="L4086" s="195">
        <v>0.32072919999999999</v>
      </c>
      <c r="M4086" s="195">
        <v>0.3213182</v>
      </c>
      <c r="N4086" s="195">
        <v>0.26317699999999999</v>
      </c>
    </row>
    <row r="4087" spans="1:14" hidden="1" x14ac:dyDescent="0.35">
      <c r="A4087" s="52" t="s">
        <v>670</v>
      </c>
      <c r="B4087" s="52" t="s">
        <v>37</v>
      </c>
      <c r="C4087" s="52" t="s">
        <v>35</v>
      </c>
      <c r="D4087" s="52" t="s">
        <v>39</v>
      </c>
      <c r="E4087" s="52" t="s">
        <v>580</v>
      </c>
      <c r="F4087" s="52" t="s">
        <v>581</v>
      </c>
      <c r="G4087" s="195" t="s">
        <v>277</v>
      </c>
      <c r="H4087" s="195">
        <v>0</v>
      </c>
      <c r="I4087" s="195">
        <v>0</v>
      </c>
      <c r="J4087" s="195">
        <v>0.739255</v>
      </c>
      <c r="K4087" s="195">
        <v>0.19203500000000001</v>
      </c>
      <c r="L4087" s="195">
        <v>0.37232460000000001</v>
      </c>
      <c r="M4087" s="195">
        <v>0.1864488</v>
      </c>
      <c r="N4087" s="195">
        <v>0.33939439999999998</v>
      </c>
    </row>
    <row r="4088" spans="1:14" hidden="1" x14ac:dyDescent="0.35">
      <c r="A4088" s="52" t="s">
        <v>670</v>
      </c>
      <c r="B4088" s="52" t="s">
        <v>37</v>
      </c>
      <c r="C4088" s="52" t="s">
        <v>35</v>
      </c>
      <c r="D4088" s="52" t="s">
        <v>39</v>
      </c>
      <c r="E4088" s="52" t="s">
        <v>580</v>
      </c>
      <c r="F4088" s="52" t="s">
        <v>581</v>
      </c>
      <c r="G4088" s="195" t="s">
        <v>278</v>
      </c>
      <c r="H4088" s="195">
        <v>0</v>
      </c>
      <c r="I4088" s="195"/>
      <c r="J4088" s="195">
        <v>0</v>
      </c>
      <c r="K4088" s="195">
        <v>0.72058310000000003</v>
      </c>
      <c r="L4088" s="195">
        <v>0.85527710000000001</v>
      </c>
      <c r="M4088" s="195">
        <v>0.56877520000000004</v>
      </c>
      <c r="N4088" s="195">
        <v>1.100344</v>
      </c>
    </row>
    <row r="4089" spans="1:14" hidden="1" x14ac:dyDescent="0.35">
      <c r="A4089" s="52" t="s">
        <v>670</v>
      </c>
      <c r="B4089" s="52" t="s">
        <v>37</v>
      </c>
      <c r="C4089" s="52" t="s">
        <v>35</v>
      </c>
      <c r="D4089" s="52" t="s">
        <v>39</v>
      </c>
      <c r="E4089" s="52" t="s">
        <v>580</v>
      </c>
      <c r="F4089" s="52" t="s">
        <v>581</v>
      </c>
      <c r="G4089" s="195" t="s">
        <v>279</v>
      </c>
      <c r="H4089" s="195">
        <v>4.1146859999999998</v>
      </c>
      <c r="I4089" s="195">
        <v>1.7806569999999999</v>
      </c>
      <c r="J4089" s="195">
        <v>1.769587</v>
      </c>
      <c r="K4089" s="195">
        <v>2.0384660000000001</v>
      </c>
      <c r="L4089" s="195">
        <v>2.2750339999999998</v>
      </c>
      <c r="M4089" s="195">
        <v>2.118649</v>
      </c>
      <c r="N4089" s="195">
        <v>2.0809600000000001</v>
      </c>
    </row>
    <row r="4090" spans="1:14" hidden="1" x14ac:dyDescent="0.35">
      <c r="A4090" s="52" t="s">
        <v>670</v>
      </c>
      <c r="B4090" s="52" t="s">
        <v>37</v>
      </c>
      <c r="C4090" s="52" t="s">
        <v>35</v>
      </c>
      <c r="D4090" s="52" t="s">
        <v>39</v>
      </c>
      <c r="E4090" s="52" t="s">
        <v>580</v>
      </c>
      <c r="F4090" s="52" t="s">
        <v>26</v>
      </c>
      <c r="G4090" s="195" t="s">
        <v>275</v>
      </c>
      <c r="H4090" s="195">
        <v>-0.11329500000000001</v>
      </c>
      <c r="I4090" s="195">
        <v>-7.5474810000000003E-2</v>
      </c>
      <c r="J4090" s="195">
        <v>-7.2001800000000005E-2</v>
      </c>
      <c r="K4090" s="195">
        <v>-8.8740410000000006E-2</v>
      </c>
      <c r="L4090" s="195">
        <v>-0.1125256</v>
      </c>
      <c r="M4090" s="195">
        <v>-0.1020522</v>
      </c>
      <c r="N4090" s="195">
        <v>-9.7795999999999994E-2</v>
      </c>
    </row>
    <row r="4091" spans="1:14" hidden="1" x14ac:dyDescent="0.35">
      <c r="A4091" s="52" t="s">
        <v>670</v>
      </c>
      <c r="B4091" s="52" t="s">
        <v>37</v>
      </c>
      <c r="C4091" s="52" t="s">
        <v>35</v>
      </c>
      <c r="D4091" s="52" t="s">
        <v>39</v>
      </c>
      <c r="E4091" s="52" t="s">
        <v>580</v>
      </c>
      <c r="F4091" s="52" t="s">
        <v>26</v>
      </c>
      <c r="G4091" s="195" t="s">
        <v>276</v>
      </c>
      <c r="H4091" s="195">
        <v>-3.0116E-2</v>
      </c>
      <c r="I4091" s="195">
        <v>-2.0063000000000001E-2</v>
      </c>
      <c r="J4091" s="195">
        <v>-1.9140399999999998E-2</v>
      </c>
      <c r="K4091" s="195">
        <v>-2.3589800000000001E-2</v>
      </c>
      <c r="L4091" s="195">
        <v>-2.99122E-2</v>
      </c>
      <c r="M4091" s="195">
        <v>-2.7127399999999999E-2</v>
      </c>
      <c r="N4091" s="195">
        <v>-2.5997200000000002E-2</v>
      </c>
    </row>
    <row r="4092" spans="1:14" hidden="1" x14ac:dyDescent="0.35">
      <c r="A4092" s="52" t="s">
        <v>670</v>
      </c>
      <c r="B4092" s="52" t="s">
        <v>37</v>
      </c>
      <c r="C4092" s="52" t="s">
        <v>35</v>
      </c>
      <c r="D4092" s="52" t="s">
        <v>39</v>
      </c>
      <c r="E4092" s="52" t="s">
        <v>580</v>
      </c>
      <c r="F4092" s="52" t="s">
        <v>26</v>
      </c>
      <c r="G4092" s="195" t="s">
        <v>279</v>
      </c>
      <c r="H4092" s="195">
        <v>0.408833</v>
      </c>
      <c r="I4092" s="195">
        <v>0.22278039999999999</v>
      </c>
      <c r="J4092" s="195">
        <v>0.227298</v>
      </c>
      <c r="K4092" s="195">
        <v>0.26607740000000002</v>
      </c>
      <c r="L4092" s="195">
        <v>0.29691119999999999</v>
      </c>
      <c r="M4092" s="195">
        <v>0.2753504</v>
      </c>
      <c r="N4092" s="195">
        <v>0.26848680000000003</v>
      </c>
    </row>
    <row r="4093" spans="1:14" hidden="1" x14ac:dyDescent="0.35">
      <c r="A4093" s="52" t="s">
        <v>670</v>
      </c>
      <c r="B4093" s="52" t="s">
        <v>37</v>
      </c>
      <c r="C4093" s="52" t="s">
        <v>35</v>
      </c>
      <c r="D4093" s="52" t="s">
        <v>38</v>
      </c>
      <c r="E4093" s="52" t="s">
        <v>584</v>
      </c>
      <c r="F4093" s="52" t="s">
        <v>581</v>
      </c>
      <c r="G4093" s="195" t="s">
        <v>275</v>
      </c>
      <c r="H4093" s="195">
        <v>15.621029999999999</v>
      </c>
      <c r="I4093" s="195">
        <v>-3.24621</v>
      </c>
      <c r="J4093" s="195">
        <v>-3.5351889999999999</v>
      </c>
      <c r="K4093" s="195">
        <v>-1.714197</v>
      </c>
      <c r="L4093" s="195">
        <v>-0.61409040000000004</v>
      </c>
      <c r="M4093" s="195">
        <v>-0.79898769999999997</v>
      </c>
      <c r="N4093" s="195">
        <v>-0.56602540000000001</v>
      </c>
    </row>
    <row r="4094" spans="1:14" hidden="1" x14ac:dyDescent="0.35">
      <c r="A4094" s="52" t="s">
        <v>670</v>
      </c>
      <c r="B4094" s="52" t="s">
        <v>37</v>
      </c>
      <c r="C4094" s="52" t="s">
        <v>35</v>
      </c>
      <c r="D4094" s="52" t="s">
        <v>38</v>
      </c>
      <c r="E4094" s="52" t="s">
        <v>584</v>
      </c>
      <c r="F4094" s="52" t="s">
        <v>581</v>
      </c>
      <c r="G4094" s="195" t="s">
        <v>276</v>
      </c>
      <c r="H4094" s="195">
        <v>6.0296349999999999</v>
      </c>
      <c r="I4094" s="195">
        <v>-1.020006</v>
      </c>
      <c r="J4094" s="195">
        <v>-1.3339209999999999</v>
      </c>
      <c r="K4094" s="195">
        <v>-2.2464599999999999</v>
      </c>
      <c r="L4094" s="195">
        <v>-2.5813459999999999</v>
      </c>
      <c r="M4094" s="195">
        <v>-1.6513519999999999</v>
      </c>
      <c r="N4094" s="195">
        <v>-1.305431</v>
      </c>
    </row>
    <row r="4095" spans="1:14" hidden="1" x14ac:dyDescent="0.35">
      <c r="A4095" s="52" t="s">
        <v>670</v>
      </c>
      <c r="B4095" s="52" t="s">
        <v>37</v>
      </c>
      <c r="C4095" s="52" t="s">
        <v>35</v>
      </c>
      <c r="D4095" s="52" t="s">
        <v>38</v>
      </c>
      <c r="E4095" s="52" t="s">
        <v>584</v>
      </c>
      <c r="F4095" s="52" t="s">
        <v>581</v>
      </c>
      <c r="G4095" s="195" t="s">
        <v>277</v>
      </c>
      <c r="H4095" s="195">
        <v>26.69548</v>
      </c>
      <c r="I4095" s="195">
        <v>16.846900000000002</v>
      </c>
      <c r="J4095" s="195">
        <v>13.536239999999999</v>
      </c>
      <c r="K4095" s="195">
        <v>10.915609999999999</v>
      </c>
      <c r="L4095" s="195">
        <v>8.8025509999999993</v>
      </c>
      <c r="M4095" s="195">
        <v>7.0987119999999999</v>
      </c>
      <c r="N4095" s="195">
        <v>5.7248000000000001</v>
      </c>
    </row>
    <row r="4096" spans="1:14" hidden="1" x14ac:dyDescent="0.35">
      <c r="A4096" s="52" t="s">
        <v>670</v>
      </c>
      <c r="B4096" s="52" t="s">
        <v>37</v>
      </c>
      <c r="C4096" s="52" t="s">
        <v>35</v>
      </c>
      <c r="D4096" s="52" t="s">
        <v>38</v>
      </c>
      <c r="E4096" s="52" t="s">
        <v>584</v>
      </c>
      <c r="F4096" s="52" t="s">
        <v>581</v>
      </c>
      <c r="G4096" s="195" t="s">
        <v>279</v>
      </c>
      <c r="H4096" s="195">
        <v>10.53532</v>
      </c>
      <c r="I4096" s="195">
        <v>5.5023749999999998</v>
      </c>
      <c r="J4096" s="195">
        <v>4.2638340000000001</v>
      </c>
      <c r="K4096" s="195">
        <v>3.7591700000000001</v>
      </c>
      <c r="L4096" s="195">
        <v>3.2699569999999998</v>
      </c>
      <c r="M4096" s="195">
        <v>2.706385</v>
      </c>
      <c r="N4096" s="195">
        <v>2.2399269999999998</v>
      </c>
    </row>
    <row r="4097" spans="1:14" hidden="1" x14ac:dyDescent="0.35">
      <c r="A4097" s="52" t="s">
        <v>670</v>
      </c>
      <c r="B4097" s="52" t="s">
        <v>37</v>
      </c>
      <c r="C4097" s="52" t="s">
        <v>35</v>
      </c>
      <c r="D4097" s="52" t="s">
        <v>38</v>
      </c>
      <c r="E4097" s="52" t="s">
        <v>584</v>
      </c>
      <c r="F4097" s="52" t="s">
        <v>26</v>
      </c>
      <c r="G4097" s="195" t="s">
        <v>275</v>
      </c>
      <c r="H4097" s="195">
        <v>-6.9334000000000007E-2</v>
      </c>
      <c r="I4097" s="195">
        <v>0.1504538</v>
      </c>
      <c r="J4097" s="195">
        <v>0.12705839999999999</v>
      </c>
      <c r="K4097" s="195">
        <v>9.3816590000000005E-2</v>
      </c>
      <c r="L4097" s="195">
        <v>6.9742200000000004E-2</v>
      </c>
      <c r="M4097" s="195">
        <v>5.6059199999999997E-2</v>
      </c>
      <c r="N4097" s="195">
        <v>4.5368600000000002E-2</v>
      </c>
    </row>
    <row r="4098" spans="1:14" hidden="1" x14ac:dyDescent="0.35">
      <c r="A4098" s="52" t="s">
        <v>670</v>
      </c>
      <c r="B4098" s="52" t="s">
        <v>37</v>
      </c>
      <c r="C4098" s="52" t="s">
        <v>35</v>
      </c>
      <c r="D4098" s="52" t="s">
        <v>38</v>
      </c>
      <c r="E4098" s="52" t="s">
        <v>584</v>
      </c>
      <c r="F4098" s="52" t="s">
        <v>26</v>
      </c>
      <c r="G4098" s="195" t="s">
        <v>276</v>
      </c>
      <c r="H4098" s="195">
        <v>-1.8429999999999998E-2</v>
      </c>
      <c r="I4098" s="195">
        <v>3.9994000000000002E-2</v>
      </c>
      <c r="J4098" s="195">
        <v>3.3774400000000003E-2</v>
      </c>
      <c r="K4098" s="195">
        <v>2.4938399999999999E-2</v>
      </c>
      <c r="L4098" s="195">
        <v>1.8539400000000001E-2</v>
      </c>
      <c r="M4098" s="195">
        <v>1.49018E-2</v>
      </c>
      <c r="N4098" s="195">
        <v>1.2059800000000001E-2</v>
      </c>
    </row>
    <row r="4099" spans="1:14" hidden="1" x14ac:dyDescent="0.35">
      <c r="A4099" s="52" t="s">
        <v>670</v>
      </c>
      <c r="B4099" s="52" t="s">
        <v>37</v>
      </c>
      <c r="C4099" s="52" t="s">
        <v>35</v>
      </c>
      <c r="D4099" s="52" t="s">
        <v>38</v>
      </c>
      <c r="E4099" s="52" t="s">
        <v>584</v>
      </c>
      <c r="F4099" s="52" t="s">
        <v>26</v>
      </c>
      <c r="G4099" s="195" t="s">
        <v>279</v>
      </c>
      <c r="H4099" s="195">
        <v>0.31329699999999999</v>
      </c>
      <c r="I4099" s="195">
        <v>0.2483216</v>
      </c>
      <c r="J4099" s="195">
        <v>0.19520480000000001</v>
      </c>
      <c r="K4099" s="195">
        <v>0.1683114</v>
      </c>
      <c r="L4099" s="195">
        <v>0.14303959999999999</v>
      </c>
      <c r="M4099" s="195">
        <v>0.1153352</v>
      </c>
      <c r="N4099" s="195">
        <v>9.3047400000000002E-2</v>
      </c>
    </row>
    <row r="4100" spans="1:14" hidden="1" x14ac:dyDescent="0.35">
      <c r="A4100" s="52" t="s">
        <v>670</v>
      </c>
      <c r="B4100" s="52" t="s">
        <v>37</v>
      </c>
      <c r="C4100" s="52" t="s">
        <v>35</v>
      </c>
      <c r="D4100" s="52" t="s">
        <v>164</v>
      </c>
      <c r="E4100" s="52" t="s">
        <v>589</v>
      </c>
      <c r="F4100" s="52" t="s">
        <v>581</v>
      </c>
      <c r="G4100" s="195" t="s">
        <v>275</v>
      </c>
      <c r="H4100" s="195">
        <v>-1.3485799999999999</v>
      </c>
      <c r="I4100" s="195">
        <v>0.1714368</v>
      </c>
      <c r="J4100" s="195">
        <v>9.2458609999999997E-2</v>
      </c>
      <c r="K4100" s="195">
        <v>6.9616200000000003E-2</v>
      </c>
      <c r="L4100" s="195">
        <v>-0.10181800000000001</v>
      </c>
      <c r="M4100" s="195">
        <v>4.1114999999999999E-2</v>
      </c>
      <c r="N4100" s="195">
        <v>3.3504600000000002E-2</v>
      </c>
    </row>
    <row r="4101" spans="1:14" hidden="1" x14ac:dyDescent="0.35">
      <c r="A4101" s="52" t="s">
        <v>670</v>
      </c>
      <c r="B4101" s="52" t="s">
        <v>37</v>
      </c>
      <c r="C4101" s="52" t="s">
        <v>35</v>
      </c>
      <c r="D4101" s="52" t="s">
        <v>164</v>
      </c>
      <c r="E4101" s="52" t="s">
        <v>589</v>
      </c>
      <c r="F4101" s="52" t="s">
        <v>581</v>
      </c>
      <c r="G4101" s="195" t="s">
        <v>276</v>
      </c>
      <c r="H4101" s="195">
        <v>-5.9124000000000003E-2</v>
      </c>
      <c r="I4101" s="195">
        <v>-1.43004E-2</v>
      </c>
      <c r="J4101" s="195">
        <v>-2.3320199999999999E-2</v>
      </c>
      <c r="K4101" s="195">
        <v>-1.9812400000000001E-2</v>
      </c>
      <c r="L4101" s="195">
        <v>-0.1229248</v>
      </c>
      <c r="M4101" s="195">
        <v>-5.5340089999999999E-4</v>
      </c>
      <c r="N4101" s="195">
        <v>-2.7940039999999999E-4</v>
      </c>
    </row>
    <row r="4102" spans="1:14" hidden="1" x14ac:dyDescent="0.35">
      <c r="A4102" s="52" t="s">
        <v>670</v>
      </c>
      <c r="B4102" s="52" t="s">
        <v>37</v>
      </c>
      <c r="C4102" s="52" t="s">
        <v>35</v>
      </c>
      <c r="D4102" s="52" t="s">
        <v>164</v>
      </c>
      <c r="E4102" s="52" t="s">
        <v>589</v>
      </c>
      <c r="F4102" s="52" t="s">
        <v>581</v>
      </c>
      <c r="G4102" s="195" t="s">
        <v>277</v>
      </c>
      <c r="H4102" s="195">
        <v>0.356653</v>
      </c>
      <c r="I4102" s="195">
        <v>0</v>
      </c>
      <c r="J4102" s="195"/>
      <c r="K4102" s="195">
        <v>0</v>
      </c>
      <c r="L4102" s="195">
        <v>5.1157599999999998E-2</v>
      </c>
      <c r="M4102" s="195">
        <v>0</v>
      </c>
      <c r="N4102" s="195">
        <v>0</v>
      </c>
    </row>
    <row r="4103" spans="1:14" hidden="1" x14ac:dyDescent="0.35">
      <c r="A4103" s="52" t="s">
        <v>670</v>
      </c>
      <c r="B4103" s="52" t="s">
        <v>37</v>
      </c>
      <c r="C4103" s="52" t="s">
        <v>35</v>
      </c>
      <c r="D4103" s="52" t="s">
        <v>164</v>
      </c>
      <c r="E4103" s="52" t="s">
        <v>589</v>
      </c>
      <c r="F4103" s="52" t="s">
        <v>581</v>
      </c>
      <c r="G4103" s="195" t="s">
        <v>278</v>
      </c>
      <c r="H4103" s="195">
        <v>1.05105</v>
      </c>
      <c r="I4103" s="195">
        <v>0</v>
      </c>
      <c r="J4103" s="195"/>
      <c r="K4103" s="195">
        <v>0</v>
      </c>
      <c r="L4103" s="195">
        <v>0.21881419999999999</v>
      </c>
      <c r="M4103" s="195">
        <v>0</v>
      </c>
      <c r="N4103" s="195"/>
    </row>
    <row r="4104" spans="1:14" hidden="1" x14ac:dyDescent="0.35">
      <c r="A4104" s="52" t="s">
        <v>670</v>
      </c>
      <c r="B4104" s="52" t="s">
        <v>37</v>
      </c>
      <c r="C4104" s="52" t="s">
        <v>35</v>
      </c>
      <c r="D4104" s="52" t="s">
        <v>164</v>
      </c>
      <c r="E4104" s="52" t="s">
        <v>589</v>
      </c>
      <c r="F4104" s="52" t="s">
        <v>581</v>
      </c>
      <c r="G4104" s="195" t="s">
        <v>279</v>
      </c>
      <c r="H4104" s="195">
        <v>0</v>
      </c>
      <c r="I4104" s="195">
        <v>0.26748119999999997</v>
      </c>
      <c r="J4104" s="195">
        <v>0.14972740000000001</v>
      </c>
      <c r="K4104" s="195">
        <v>0.1150012</v>
      </c>
      <c r="L4104" s="195">
        <v>0.13857800000000001</v>
      </c>
      <c r="M4104" s="195">
        <v>0.1181806</v>
      </c>
      <c r="N4104" s="195">
        <v>9.8589599999999999E-2</v>
      </c>
    </row>
    <row r="4105" spans="1:14" hidden="1" x14ac:dyDescent="0.35">
      <c r="A4105" s="52" t="s">
        <v>670</v>
      </c>
      <c r="B4105" s="52" t="s">
        <v>37</v>
      </c>
      <c r="C4105" s="52" t="s">
        <v>35</v>
      </c>
      <c r="D4105" s="52" t="s">
        <v>164</v>
      </c>
      <c r="E4105" s="52" t="s">
        <v>589</v>
      </c>
      <c r="F4105" s="52" t="s">
        <v>26</v>
      </c>
      <c r="G4105" s="195" t="s">
        <v>275</v>
      </c>
      <c r="H4105" s="195">
        <v>0</v>
      </c>
      <c r="I4105" s="195">
        <v>1.09242E-2</v>
      </c>
      <c r="J4105" s="195">
        <v>9.3883990000000004E-3</v>
      </c>
      <c r="K4105" s="195">
        <v>5.3664000000000003E-3</v>
      </c>
      <c r="L4105" s="195">
        <v>9.1839999999999999E-4</v>
      </c>
      <c r="M4105" s="195">
        <v>1.16E-3</v>
      </c>
      <c r="N4105" s="195">
        <v>9.396001E-4</v>
      </c>
    </row>
    <row r="4106" spans="1:14" hidden="1" x14ac:dyDescent="0.35">
      <c r="A4106" s="52" t="s">
        <v>670</v>
      </c>
      <c r="B4106" s="52" t="s">
        <v>37</v>
      </c>
      <c r="C4106" s="52" t="s">
        <v>35</v>
      </c>
      <c r="D4106" s="52" t="s">
        <v>164</v>
      </c>
      <c r="E4106" s="52" t="s">
        <v>589</v>
      </c>
      <c r="F4106" s="52" t="s">
        <v>26</v>
      </c>
      <c r="G4106" s="195" t="s">
        <v>276</v>
      </c>
      <c r="H4106" s="195">
        <v>0</v>
      </c>
      <c r="I4106" s="195">
        <v>2.9042E-3</v>
      </c>
      <c r="J4106" s="195">
        <v>2.4954E-3</v>
      </c>
      <c r="K4106" s="195">
        <v>1.4266000000000001E-3</v>
      </c>
      <c r="L4106" s="195">
        <v>2.4479999999999999E-4</v>
      </c>
      <c r="M4106" s="195">
        <v>3.0880000000000002E-4</v>
      </c>
      <c r="N4106" s="195">
        <v>2.4939999999999999E-4</v>
      </c>
    </row>
    <row r="4107" spans="1:14" hidden="1" x14ac:dyDescent="0.35">
      <c r="A4107" s="52" t="s">
        <v>670</v>
      </c>
      <c r="B4107" s="52" t="s">
        <v>37</v>
      </c>
      <c r="C4107" s="52" t="s">
        <v>35</v>
      </c>
      <c r="D4107" s="52" t="s">
        <v>164</v>
      </c>
      <c r="E4107" s="52" t="s">
        <v>589</v>
      </c>
      <c r="F4107" s="52" t="s">
        <v>26</v>
      </c>
      <c r="G4107" s="195" t="s">
        <v>279</v>
      </c>
      <c r="H4107" s="195">
        <v>0</v>
      </c>
      <c r="I4107" s="195">
        <v>0.14107339999999999</v>
      </c>
      <c r="J4107" s="195">
        <v>8.1250210000000003E-2</v>
      </c>
      <c r="K4107" s="195">
        <v>6.3214199999999998E-2</v>
      </c>
      <c r="L4107" s="195">
        <v>7.4999399999999994E-2</v>
      </c>
      <c r="M4107" s="195">
        <v>6.4114599999999994E-2</v>
      </c>
      <c r="N4107" s="195">
        <v>5.3516000000000001E-2</v>
      </c>
    </row>
    <row r="4108" spans="1:14" hidden="1" x14ac:dyDescent="0.35">
      <c r="A4108" s="52" t="s">
        <v>231</v>
      </c>
      <c r="B4108" s="52" t="s">
        <v>37</v>
      </c>
      <c r="C4108" s="52" t="s">
        <v>35</v>
      </c>
      <c r="D4108" s="52" t="s">
        <v>39</v>
      </c>
      <c r="E4108" s="52" t="s">
        <v>580</v>
      </c>
      <c r="F4108" s="52" t="s">
        <v>581</v>
      </c>
      <c r="G4108" s="195" t="s">
        <v>275</v>
      </c>
      <c r="H4108" s="195">
        <v>-86.504249999999999</v>
      </c>
      <c r="I4108" s="195">
        <v>0.85554839999999999</v>
      </c>
      <c r="J4108" s="195">
        <v>28.976590000000002</v>
      </c>
      <c r="K4108" s="195">
        <v>41.732190000000003</v>
      </c>
      <c r="L4108" s="195">
        <v>45.681519999999999</v>
      </c>
      <c r="M4108" s="195">
        <v>26.718889999999998</v>
      </c>
      <c r="N4108" s="195">
        <v>18.626339999999999</v>
      </c>
    </row>
    <row r="4109" spans="1:14" hidden="1" x14ac:dyDescent="0.35">
      <c r="A4109" s="52" t="s">
        <v>231</v>
      </c>
      <c r="B4109" s="52" t="s">
        <v>37</v>
      </c>
      <c r="C4109" s="52" t="s">
        <v>35</v>
      </c>
      <c r="D4109" s="52" t="s">
        <v>39</v>
      </c>
      <c r="E4109" s="52" t="s">
        <v>580</v>
      </c>
      <c r="F4109" s="52" t="s">
        <v>581</v>
      </c>
      <c r="G4109" s="195" t="s">
        <v>276</v>
      </c>
      <c r="H4109" s="195">
        <v>35.767479999999999</v>
      </c>
      <c r="I4109" s="195">
        <v>-5.3281640000000001</v>
      </c>
      <c r="J4109" s="195">
        <v>-11.119160000000001</v>
      </c>
      <c r="K4109" s="195">
        <v>-18.30171</v>
      </c>
      <c r="L4109" s="195">
        <v>-26.64171</v>
      </c>
      <c r="M4109" s="195">
        <v>-3.5677319999999999</v>
      </c>
      <c r="N4109" s="195">
        <v>0.36212169999999999</v>
      </c>
    </row>
    <row r="4110" spans="1:14" hidden="1" x14ac:dyDescent="0.35">
      <c r="A4110" s="52" t="s">
        <v>231</v>
      </c>
      <c r="B4110" s="52" t="s">
        <v>37</v>
      </c>
      <c r="C4110" s="52" t="s">
        <v>35</v>
      </c>
      <c r="D4110" s="52" t="s">
        <v>39</v>
      </c>
      <c r="E4110" s="52" t="s">
        <v>580</v>
      </c>
      <c r="F4110" s="52" t="s">
        <v>581</v>
      </c>
      <c r="G4110" s="195" t="s">
        <v>277</v>
      </c>
      <c r="H4110" s="195">
        <v>227.9032</v>
      </c>
      <c r="I4110" s="195">
        <v>19.181049999999999</v>
      </c>
      <c r="J4110" s="195">
        <v>5.8697090000000003</v>
      </c>
      <c r="K4110" s="195">
        <v>3.379877</v>
      </c>
      <c r="L4110" s="195">
        <v>1.303563</v>
      </c>
      <c r="M4110" s="195">
        <v>0</v>
      </c>
      <c r="N4110" s="195">
        <v>0</v>
      </c>
    </row>
    <row r="4111" spans="1:14" hidden="1" x14ac:dyDescent="0.35">
      <c r="A4111" s="52" t="s">
        <v>231</v>
      </c>
      <c r="B4111" s="52" t="s">
        <v>37</v>
      </c>
      <c r="C4111" s="52" t="s">
        <v>35</v>
      </c>
      <c r="D4111" s="52" t="s">
        <v>39</v>
      </c>
      <c r="E4111" s="52" t="s">
        <v>580</v>
      </c>
      <c r="F4111" s="52" t="s">
        <v>581</v>
      </c>
      <c r="G4111" s="195" t="s">
        <v>278</v>
      </c>
      <c r="H4111" s="195">
        <v>110.1216</v>
      </c>
      <c r="I4111" s="195">
        <v>60.273919999999997</v>
      </c>
      <c r="J4111" s="195">
        <v>28.27215</v>
      </c>
      <c r="K4111" s="195">
        <v>15.921609999999999</v>
      </c>
      <c r="L4111" s="195">
        <v>8.8769439999999999</v>
      </c>
      <c r="M4111" s="195">
        <v>0</v>
      </c>
      <c r="N4111" s="195">
        <v>0</v>
      </c>
    </row>
    <row r="4112" spans="1:14" hidden="1" x14ac:dyDescent="0.35">
      <c r="A4112" s="52" t="s">
        <v>231</v>
      </c>
      <c r="B4112" s="52" t="s">
        <v>37</v>
      </c>
      <c r="C4112" s="52" t="s">
        <v>35</v>
      </c>
      <c r="D4112" s="52" t="s">
        <v>39</v>
      </c>
      <c r="E4112" s="52" t="s">
        <v>580</v>
      </c>
      <c r="F4112" s="52" t="s">
        <v>581</v>
      </c>
      <c r="G4112" s="195" t="s">
        <v>279</v>
      </c>
      <c r="H4112" s="195">
        <v>123.9508</v>
      </c>
      <c r="I4112" s="195">
        <v>113.991</v>
      </c>
      <c r="J4112" s="195">
        <v>96.060029999999998</v>
      </c>
      <c r="K4112" s="195">
        <v>84.056640000000002</v>
      </c>
      <c r="L4112" s="195">
        <v>79.316199999999995</v>
      </c>
      <c r="M4112" s="195">
        <v>60.985050000000001</v>
      </c>
      <c r="N4112" s="195">
        <v>50.165750000000003</v>
      </c>
    </row>
    <row r="4113" spans="1:14" hidden="1" x14ac:dyDescent="0.35">
      <c r="A4113" s="52" t="s">
        <v>231</v>
      </c>
      <c r="B4113" s="52" t="s">
        <v>37</v>
      </c>
      <c r="C4113" s="52" t="s">
        <v>35</v>
      </c>
      <c r="D4113" s="52" t="s">
        <v>39</v>
      </c>
      <c r="E4113" s="52" t="s">
        <v>580</v>
      </c>
      <c r="F4113" s="52" t="s">
        <v>26</v>
      </c>
      <c r="G4113" s="195" t="s">
        <v>275</v>
      </c>
      <c r="H4113" s="195">
        <v>-8.4711359999999996</v>
      </c>
      <c r="I4113" s="195">
        <v>-10.232849999999999</v>
      </c>
      <c r="J4113" s="195">
        <v>-8.1545210000000008</v>
      </c>
      <c r="K4113" s="195">
        <v>-7.4164339999999997</v>
      </c>
      <c r="L4113" s="195">
        <v>-7.9269179999999997</v>
      </c>
      <c r="M4113" s="195">
        <v>-6.0423359999999997</v>
      </c>
      <c r="N4113" s="195">
        <v>-4.968375</v>
      </c>
    </row>
    <row r="4114" spans="1:14" hidden="1" x14ac:dyDescent="0.35">
      <c r="A4114" s="52" t="s">
        <v>231</v>
      </c>
      <c r="B4114" s="52" t="s">
        <v>37</v>
      </c>
      <c r="C4114" s="52" t="s">
        <v>35</v>
      </c>
      <c r="D4114" s="52" t="s">
        <v>39</v>
      </c>
      <c r="E4114" s="52" t="s">
        <v>580</v>
      </c>
      <c r="F4114" s="52" t="s">
        <v>26</v>
      </c>
      <c r="G4114" s="195" t="s">
        <v>276</v>
      </c>
      <c r="H4114" s="195">
        <v>-2.2518150000000001</v>
      </c>
      <c r="I4114" s="195">
        <v>-2.7201270000000002</v>
      </c>
      <c r="J4114" s="195">
        <v>-2.167662</v>
      </c>
      <c r="K4114" s="195">
        <v>-1.9714609999999999</v>
      </c>
      <c r="L4114" s="195">
        <v>-2.1071550000000001</v>
      </c>
      <c r="M4114" s="195">
        <v>-1.6061909999999999</v>
      </c>
      <c r="N4114" s="195">
        <v>-1.320711</v>
      </c>
    </row>
    <row r="4115" spans="1:14" hidden="1" x14ac:dyDescent="0.35">
      <c r="A4115" s="52" t="s">
        <v>231</v>
      </c>
      <c r="B4115" s="52" t="s">
        <v>37</v>
      </c>
      <c r="C4115" s="52" t="s">
        <v>35</v>
      </c>
      <c r="D4115" s="52" t="s">
        <v>39</v>
      </c>
      <c r="E4115" s="52" t="s">
        <v>580</v>
      </c>
      <c r="F4115" s="52" t="s">
        <v>26</v>
      </c>
      <c r="G4115" s="195" t="s">
        <v>279</v>
      </c>
      <c r="H4115" s="195">
        <v>26.813569999999999</v>
      </c>
      <c r="I4115" s="195">
        <v>27.458359999999999</v>
      </c>
      <c r="J4115" s="195">
        <v>23.408149999999999</v>
      </c>
      <c r="K4115" s="195">
        <v>20.518470000000001</v>
      </c>
      <c r="L4115" s="195">
        <v>19.518599999999999</v>
      </c>
      <c r="M4115" s="195">
        <v>14.99751</v>
      </c>
      <c r="N4115" s="195">
        <v>12.338139999999999</v>
      </c>
    </row>
    <row r="4116" spans="1:14" hidden="1" x14ac:dyDescent="0.35">
      <c r="A4116" s="52" t="s">
        <v>231</v>
      </c>
      <c r="B4116" s="52" t="s">
        <v>37</v>
      </c>
      <c r="C4116" s="52" t="s">
        <v>35</v>
      </c>
      <c r="D4116" s="52" t="s">
        <v>39</v>
      </c>
      <c r="E4116" s="52" t="s">
        <v>582</v>
      </c>
      <c r="F4116" s="52" t="s">
        <v>581</v>
      </c>
      <c r="G4116" s="195" t="s">
        <v>275</v>
      </c>
      <c r="H4116" s="195">
        <v>-13.676450000000001</v>
      </c>
      <c r="I4116" s="195">
        <v>-76.217320000000001</v>
      </c>
      <c r="J4116" s="195">
        <v>54.70973</v>
      </c>
      <c r="K4116" s="195">
        <v>59.836930000000002</v>
      </c>
      <c r="L4116" s="195">
        <v>46.499920000000003</v>
      </c>
      <c r="M4116" s="195">
        <v>30.86683</v>
      </c>
      <c r="N4116" s="195">
        <v>16.518730000000001</v>
      </c>
    </row>
    <row r="4117" spans="1:14" hidden="1" x14ac:dyDescent="0.35">
      <c r="A4117" s="52" t="s">
        <v>231</v>
      </c>
      <c r="B4117" s="52" t="s">
        <v>37</v>
      </c>
      <c r="C4117" s="52" t="s">
        <v>35</v>
      </c>
      <c r="D4117" s="52" t="s">
        <v>39</v>
      </c>
      <c r="E4117" s="52" t="s">
        <v>582</v>
      </c>
      <c r="F4117" s="52" t="s">
        <v>581</v>
      </c>
      <c r="G4117" s="195" t="s">
        <v>276</v>
      </c>
      <c r="H4117" s="195">
        <v>31.082529999999998</v>
      </c>
      <c r="I4117" s="195">
        <v>-14.88022</v>
      </c>
      <c r="J4117" s="195">
        <v>-20.798919999999999</v>
      </c>
      <c r="K4117" s="195">
        <v>-24.637609999999999</v>
      </c>
      <c r="L4117" s="195">
        <v>-21.24342</v>
      </c>
      <c r="M4117" s="195">
        <v>-7.9252079999999996</v>
      </c>
      <c r="N4117" s="195">
        <v>3.862584</v>
      </c>
    </row>
    <row r="4118" spans="1:14" hidden="1" x14ac:dyDescent="0.35">
      <c r="A4118" s="52" t="s">
        <v>231</v>
      </c>
      <c r="B4118" s="52" t="s">
        <v>37</v>
      </c>
      <c r="C4118" s="52" t="s">
        <v>35</v>
      </c>
      <c r="D4118" s="52" t="s">
        <v>39</v>
      </c>
      <c r="E4118" s="52" t="s">
        <v>582</v>
      </c>
      <c r="F4118" s="52" t="s">
        <v>581</v>
      </c>
      <c r="G4118" s="195" t="s">
        <v>277</v>
      </c>
      <c r="H4118" s="195">
        <v>209.60499999999999</v>
      </c>
      <c r="I4118" s="195">
        <v>118.62260000000001</v>
      </c>
      <c r="J4118" s="195">
        <v>1.047283</v>
      </c>
      <c r="K4118" s="195">
        <v>0.96137459999999997</v>
      </c>
      <c r="L4118" s="195">
        <v>0.84668540000000003</v>
      </c>
      <c r="M4118" s="195">
        <v>0.74706740000000005</v>
      </c>
      <c r="N4118" s="195">
        <v>0.8834381</v>
      </c>
    </row>
    <row r="4119" spans="1:14" hidden="1" x14ac:dyDescent="0.35">
      <c r="A4119" s="52" t="s">
        <v>231</v>
      </c>
      <c r="B4119" s="52" t="s">
        <v>37</v>
      </c>
      <c r="C4119" s="52" t="s">
        <v>35</v>
      </c>
      <c r="D4119" s="52" t="s">
        <v>39</v>
      </c>
      <c r="E4119" s="52" t="s">
        <v>582</v>
      </c>
      <c r="F4119" s="52" t="s">
        <v>581</v>
      </c>
      <c r="G4119" s="195" t="s">
        <v>278</v>
      </c>
      <c r="H4119" s="195">
        <v>64.133690000000001</v>
      </c>
      <c r="I4119" s="195">
        <v>31.377410000000001</v>
      </c>
      <c r="J4119" s="195">
        <v>9.7313749999999999</v>
      </c>
      <c r="K4119" s="195">
        <v>5.2613370000000002</v>
      </c>
      <c r="L4119" s="195">
        <v>3.457122</v>
      </c>
      <c r="M4119" s="195">
        <v>3.4381240000000002</v>
      </c>
      <c r="N4119" s="195">
        <v>4.4723300000000004</v>
      </c>
    </row>
    <row r="4120" spans="1:14" hidden="1" x14ac:dyDescent="0.35">
      <c r="A4120" s="52" t="s">
        <v>231</v>
      </c>
      <c r="B4120" s="52" t="s">
        <v>37</v>
      </c>
      <c r="C4120" s="52" t="s">
        <v>35</v>
      </c>
      <c r="D4120" s="52" t="s">
        <v>39</v>
      </c>
      <c r="E4120" s="52" t="s">
        <v>582</v>
      </c>
      <c r="F4120" s="52" t="s">
        <v>581</v>
      </c>
      <c r="G4120" s="195" t="s">
        <v>279</v>
      </c>
      <c r="H4120" s="195">
        <v>108.2677</v>
      </c>
      <c r="I4120" s="195">
        <v>67.143929999999997</v>
      </c>
      <c r="J4120" s="195">
        <v>60.616210000000002</v>
      </c>
      <c r="K4120" s="195">
        <v>58.642069999999997</v>
      </c>
      <c r="L4120" s="195">
        <v>54.89969</v>
      </c>
      <c r="M4120" s="195">
        <v>47.020659999999999</v>
      </c>
      <c r="N4120" s="195">
        <v>42.769620000000003</v>
      </c>
    </row>
    <row r="4121" spans="1:14" hidden="1" x14ac:dyDescent="0.35">
      <c r="A4121" s="52" t="s">
        <v>231</v>
      </c>
      <c r="B4121" s="52" t="s">
        <v>37</v>
      </c>
      <c r="C4121" s="52" t="s">
        <v>35</v>
      </c>
      <c r="D4121" s="52" t="s">
        <v>39</v>
      </c>
      <c r="E4121" s="52" t="s">
        <v>582</v>
      </c>
      <c r="F4121" s="52" t="s">
        <v>26</v>
      </c>
      <c r="G4121" s="195" t="s">
        <v>275</v>
      </c>
      <c r="H4121" s="195">
        <v>-10.2515</v>
      </c>
      <c r="I4121" s="195">
        <v>-8.3232339999999994</v>
      </c>
      <c r="J4121" s="195">
        <v>-7.3091980000000003</v>
      </c>
      <c r="K4121" s="195">
        <v>-7.4678940000000003</v>
      </c>
      <c r="L4121" s="195">
        <v>-7.6556430000000004</v>
      </c>
      <c r="M4121" s="195">
        <v>-6.49444</v>
      </c>
      <c r="N4121" s="195">
        <v>-5.8679740000000002</v>
      </c>
    </row>
    <row r="4122" spans="1:14" hidden="1" x14ac:dyDescent="0.35">
      <c r="A4122" s="52" t="s">
        <v>231</v>
      </c>
      <c r="B4122" s="52" t="s">
        <v>37</v>
      </c>
      <c r="C4122" s="52" t="s">
        <v>35</v>
      </c>
      <c r="D4122" s="52" t="s">
        <v>39</v>
      </c>
      <c r="E4122" s="52" t="s">
        <v>582</v>
      </c>
      <c r="F4122" s="52" t="s">
        <v>26</v>
      </c>
      <c r="G4122" s="195" t="s">
        <v>276</v>
      </c>
      <c r="H4122" s="195">
        <v>-2.7250839999999998</v>
      </c>
      <c r="I4122" s="195">
        <v>-2.21251</v>
      </c>
      <c r="J4122" s="195">
        <v>-1.9429510000000001</v>
      </c>
      <c r="K4122" s="195">
        <v>-1.985139</v>
      </c>
      <c r="L4122" s="195">
        <v>-2.0350459999999999</v>
      </c>
      <c r="M4122" s="195">
        <v>-1.7263710000000001</v>
      </c>
      <c r="N4122" s="195">
        <v>-1.5598399999999999</v>
      </c>
    </row>
    <row r="4123" spans="1:14" hidden="1" x14ac:dyDescent="0.35">
      <c r="A4123" s="52" t="s">
        <v>231</v>
      </c>
      <c r="B4123" s="52" t="s">
        <v>37</v>
      </c>
      <c r="C4123" s="52" t="s">
        <v>35</v>
      </c>
      <c r="D4123" s="52" t="s">
        <v>39</v>
      </c>
      <c r="E4123" s="52" t="s">
        <v>582</v>
      </c>
      <c r="F4123" s="52" t="s">
        <v>26</v>
      </c>
      <c r="G4123" s="195" t="s">
        <v>279</v>
      </c>
      <c r="H4123" s="195">
        <v>29.417809999999999</v>
      </c>
      <c r="I4123" s="195">
        <v>20.715399999999999</v>
      </c>
      <c r="J4123" s="195">
        <v>19.127579999999998</v>
      </c>
      <c r="K4123" s="195">
        <v>18.806950000000001</v>
      </c>
      <c r="L4123" s="195">
        <v>17.549759999999999</v>
      </c>
      <c r="M4123" s="195">
        <v>15.03669</v>
      </c>
      <c r="N4123" s="195">
        <v>13.65122</v>
      </c>
    </row>
    <row r="4124" spans="1:14" hidden="1" x14ac:dyDescent="0.35">
      <c r="A4124" s="52" t="s">
        <v>231</v>
      </c>
      <c r="B4124" s="52" t="s">
        <v>37</v>
      </c>
      <c r="C4124" s="52" t="s">
        <v>35</v>
      </c>
      <c r="D4124" s="52" t="s">
        <v>39</v>
      </c>
      <c r="E4124" s="52" t="s">
        <v>585</v>
      </c>
      <c r="F4124" s="52" t="s">
        <v>581</v>
      </c>
      <c r="G4124" s="195" t="s">
        <v>275</v>
      </c>
      <c r="H4124" s="195">
        <v>15.34089</v>
      </c>
      <c r="I4124" s="195">
        <v>2.6387640000000001</v>
      </c>
      <c r="J4124" s="195">
        <v>3.6198190000000001</v>
      </c>
      <c r="K4124" s="195">
        <v>3.8616779999999999</v>
      </c>
      <c r="L4124" s="195">
        <v>0.95794420000000002</v>
      </c>
      <c r="M4124" s="195">
        <v>0.9845235</v>
      </c>
      <c r="N4124" s="195">
        <v>0.77497760000000004</v>
      </c>
    </row>
    <row r="4125" spans="1:14" hidden="1" x14ac:dyDescent="0.35">
      <c r="A4125" s="52" t="s">
        <v>231</v>
      </c>
      <c r="B4125" s="52" t="s">
        <v>37</v>
      </c>
      <c r="C4125" s="52" t="s">
        <v>35</v>
      </c>
      <c r="D4125" s="52" t="s">
        <v>39</v>
      </c>
      <c r="E4125" s="52" t="s">
        <v>585</v>
      </c>
      <c r="F4125" s="52" t="s">
        <v>581</v>
      </c>
      <c r="G4125" s="195" t="s">
        <v>276</v>
      </c>
      <c r="H4125" s="195">
        <v>0.566187</v>
      </c>
      <c r="I4125" s="195">
        <v>-1.424973</v>
      </c>
      <c r="J4125" s="195">
        <v>-1.8061879999999999</v>
      </c>
      <c r="K4125" s="195">
        <v>-2.2893750000000002</v>
      </c>
      <c r="L4125" s="195">
        <v>0.21506919999999999</v>
      </c>
      <c r="M4125" s="195">
        <v>0.10341359999999999</v>
      </c>
      <c r="N4125" s="195">
        <v>0.20600579999999999</v>
      </c>
    </row>
    <row r="4126" spans="1:14" hidden="1" x14ac:dyDescent="0.35">
      <c r="A4126" s="52" t="s">
        <v>231</v>
      </c>
      <c r="B4126" s="52" t="s">
        <v>37</v>
      </c>
      <c r="C4126" s="52" t="s">
        <v>35</v>
      </c>
      <c r="D4126" s="52" t="s">
        <v>39</v>
      </c>
      <c r="E4126" s="52" t="s">
        <v>585</v>
      </c>
      <c r="F4126" s="52" t="s">
        <v>581</v>
      </c>
      <c r="G4126" s="195" t="s">
        <v>277</v>
      </c>
      <c r="H4126" s="195">
        <v>0</v>
      </c>
      <c r="I4126" s="195">
        <v>1.453837</v>
      </c>
      <c r="J4126" s="195"/>
      <c r="K4126" s="195"/>
      <c r="L4126" s="195">
        <v>0</v>
      </c>
      <c r="M4126" s="195"/>
      <c r="N4126" s="195"/>
    </row>
    <row r="4127" spans="1:14" hidden="1" x14ac:dyDescent="0.35">
      <c r="A4127" s="52" t="s">
        <v>231</v>
      </c>
      <c r="B4127" s="52" t="s">
        <v>37</v>
      </c>
      <c r="C4127" s="52" t="s">
        <v>35</v>
      </c>
      <c r="D4127" s="52" t="s">
        <v>39</v>
      </c>
      <c r="E4127" s="52" t="s">
        <v>585</v>
      </c>
      <c r="F4127" s="52" t="s">
        <v>581</v>
      </c>
      <c r="G4127" s="195" t="s">
        <v>278</v>
      </c>
      <c r="H4127" s="195">
        <v>0</v>
      </c>
      <c r="I4127" s="195"/>
      <c r="J4127" s="195"/>
      <c r="K4127" s="195"/>
      <c r="L4127" s="195"/>
      <c r="M4127" s="195"/>
      <c r="N4127" s="195"/>
    </row>
    <row r="4128" spans="1:14" hidden="1" x14ac:dyDescent="0.35">
      <c r="A4128" s="52" t="s">
        <v>231</v>
      </c>
      <c r="B4128" s="52" t="s">
        <v>37</v>
      </c>
      <c r="C4128" s="52" t="s">
        <v>35</v>
      </c>
      <c r="D4128" s="52" t="s">
        <v>39</v>
      </c>
      <c r="E4128" s="52" t="s">
        <v>585</v>
      </c>
      <c r="F4128" s="52" t="s">
        <v>581</v>
      </c>
      <c r="G4128" s="195" t="s">
        <v>279</v>
      </c>
      <c r="H4128" s="195">
        <v>5.4479430000000004</v>
      </c>
      <c r="I4128" s="195">
        <v>3.0577559999999999</v>
      </c>
      <c r="J4128" s="195">
        <v>2.4932949999999998</v>
      </c>
      <c r="K4128" s="195">
        <v>2.2425299999999999</v>
      </c>
      <c r="L4128" s="195">
        <v>2.24919</v>
      </c>
      <c r="M4128" s="195">
        <v>2.0029020000000002</v>
      </c>
      <c r="N4128" s="195">
        <v>1.7999480000000001</v>
      </c>
    </row>
    <row r="4129" spans="1:14" hidden="1" x14ac:dyDescent="0.35">
      <c r="A4129" s="52" t="s">
        <v>231</v>
      </c>
      <c r="B4129" s="52" t="s">
        <v>37</v>
      </c>
      <c r="C4129" s="52" t="s">
        <v>35</v>
      </c>
      <c r="D4129" s="52" t="s">
        <v>39</v>
      </c>
      <c r="E4129" s="52" t="s">
        <v>585</v>
      </c>
      <c r="F4129" s="52" t="s">
        <v>26</v>
      </c>
      <c r="G4129" s="195" t="s">
        <v>275</v>
      </c>
      <c r="H4129" s="195">
        <v>-0.532972</v>
      </c>
      <c r="I4129" s="195">
        <v>-0.56054839999999995</v>
      </c>
      <c r="J4129" s="195">
        <v>-0.40755999999999998</v>
      </c>
      <c r="K4129" s="195">
        <v>-0.40000659999999999</v>
      </c>
      <c r="L4129" s="195">
        <v>-0.50991120000000001</v>
      </c>
      <c r="M4129" s="195">
        <v>-0.44615719999999998</v>
      </c>
      <c r="N4129" s="195">
        <v>-0.39989380000000002</v>
      </c>
    </row>
    <row r="4130" spans="1:14" hidden="1" x14ac:dyDescent="0.35">
      <c r="A4130" s="52" t="s">
        <v>231</v>
      </c>
      <c r="B4130" s="52" t="s">
        <v>37</v>
      </c>
      <c r="C4130" s="52" t="s">
        <v>35</v>
      </c>
      <c r="D4130" s="52" t="s">
        <v>39</v>
      </c>
      <c r="E4130" s="52" t="s">
        <v>585</v>
      </c>
      <c r="F4130" s="52" t="s">
        <v>26</v>
      </c>
      <c r="G4130" s="195" t="s">
        <v>276</v>
      </c>
      <c r="H4130" s="195">
        <v>-0.141676</v>
      </c>
      <c r="I4130" s="195">
        <v>-0.14900679999999999</v>
      </c>
      <c r="J4130" s="195">
        <v>-0.1083384</v>
      </c>
      <c r="K4130" s="195">
        <v>-0.10633040000000001</v>
      </c>
      <c r="L4130" s="195">
        <v>-0.13554640000000001</v>
      </c>
      <c r="M4130" s="195">
        <v>-0.118599</v>
      </c>
      <c r="N4130" s="195">
        <v>-0.1063004</v>
      </c>
    </row>
    <row r="4131" spans="1:14" hidden="1" x14ac:dyDescent="0.35">
      <c r="A4131" s="52" t="s">
        <v>231</v>
      </c>
      <c r="B4131" s="52" t="s">
        <v>37</v>
      </c>
      <c r="C4131" s="52" t="s">
        <v>35</v>
      </c>
      <c r="D4131" s="52" t="s">
        <v>39</v>
      </c>
      <c r="E4131" s="52" t="s">
        <v>585</v>
      </c>
      <c r="F4131" s="52" t="s">
        <v>26</v>
      </c>
      <c r="G4131" s="195" t="s">
        <v>279</v>
      </c>
      <c r="H4131" s="195">
        <v>3.2695949999999998</v>
      </c>
      <c r="I4131" s="195">
        <v>2.3620869999999998</v>
      </c>
      <c r="J4131" s="195">
        <v>1.966118</v>
      </c>
      <c r="K4131" s="195">
        <v>1.788664</v>
      </c>
      <c r="L4131" s="195">
        <v>1.793202</v>
      </c>
      <c r="M4131" s="195">
        <v>1.598484</v>
      </c>
      <c r="N4131" s="195">
        <v>1.436437</v>
      </c>
    </row>
    <row r="4132" spans="1:14" hidden="1" x14ac:dyDescent="0.35">
      <c r="A4132" s="52" t="s">
        <v>231</v>
      </c>
      <c r="B4132" s="52" t="s">
        <v>37</v>
      </c>
      <c r="C4132" s="52" t="s">
        <v>35</v>
      </c>
      <c r="D4132" s="52" t="s">
        <v>207</v>
      </c>
      <c r="E4132" s="52" t="s">
        <v>582</v>
      </c>
      <c r="F4132" s="52" t="s">
        <v>581</v>
      </c>
      <c r="G4132" s="195" t="s">
        <v>275</v>
      </c>
      <c r="H4132" s="195">
        <v>177.0838</v>
      </c>
      <c r="I4132" s="195">
        <v>60.355890000000002</v>
      </c>
      <c r="J4132" s="195">
        <v>64.458150000000003</v>
      </c>
      <c r="K4132" s="195">
        <v>67.119259999999997</v>
      </c>
      <c r="L4132" s="195">
        <v>51.342730000000003</v>
      </c>
      <c r="M4132" s="195">
        <v>32.50515</v>
      </c>
      <c r="N4132" s="195">
        <v>24.360009999999999</v>
      </c>
    </row>
    <row r="4133" spans="1:14" hidden="1" x14ac:dyDescent="0.35">
      <c r="A4133" s="52" t="s">
        <v>231</v>
      </c>
      <c r="B4133" s="52" t="s">
        <v>37</v>
      </c>
      <c r="C4133" s="52" t="s">
        <v>35</v>
      </c>
      <c r="D4133" s="52" t="s">
        <v>207</v>
      </c>
      <c r="E4133" s="52" t="s">
        <v>582</v>
      </c>
      <c r="F4133" s="52" t="s">
        <v>581</v>
      </c>
      <c r="G4133" s="195" t="s">
        <v>276</v>
      </c>
      <c r="H4133" s="195">
        <v>-16.549880000000002</v>
      </c>
      <c r="I4133" s="195">
        <v>-25.178750000000001</v>
      </c>
      <c r="J4133" s="195">
        <v>-13.26581</v>
      </c>
      <c r="K4133" s="195">
        <v>-20.590319999999998</v>
      </c>
      <c r="L4133" s="195">
        <v>-17.918469999999999</v>
      </c>
      <c r="M4133" s="195">
        <v>-3.4649850000000003E-2</v>
      </c>
      <c r="N4133" s="195">
        <v>4.2879290000000001</v>
      </c>
    </row>
    <row r="4134" spans="1:14" hidden="1" x14ac:dyDescent="0.35">
      <c r="A4134" s="52" t="s">
        <v>231</v>
      </c>
      <c r="B4134" s="52" t="s">
        <v>37</v>
      </c>
      <c r="C4134" s="52" t="s">
        <v>35</v>
      </c>
      <c r="D4134" s="52" t="s">
        <v>207</v>
      </c>
      <c r="E4134" s="52" t="s">
        <v>582</v>
      </c>
      <c r="F4134" s="52" t="s">
        <v>581</v>
      </c>
      <c r="G4134" s="195" t="s">
        <v>277</v>
      </c>
      <c r="H4134" s="195">
        <v>239.30090000000001</v>
      </c>
      <c r="I4134" s="195">
        <v>49.136200000000002</v>
      </c>
      <c r="J4134" s="195">
        <v>9.1642880000000009</v>
      </c>
      <c r="K4134" s="195">
        <v>2.4502799999999998</v>
      </c>
      <c r="L4134" s="195">
        <v>1.430555</v>
      </c>
      <c r="M4134" s="195">
        <v>1.7356750000000001</v>
      </c>
      <c r="N4134" s="195">
        <v>2.579215</v>
      </c>
    </row>
    <row r="4135" spans="1:14" hidden="1" x14ac:dyDescent="0.35">
      <c r="A4135" s="52" t="s">
        <v>231</v>
      </c>
      <c r="B4135" s="52" t="s">
        <v>37</v>
      </c>
      <c r="C4135" s="52" t="s">
        <v>35</v>
      </c>
      <c r="D4135" s="52" t="s">
        <v>207</v>
      </c>
      <c r="E4135" s="52" t="s">
        <v>582</v>
      </c>
      <c r="F4135" s="52" t="s">
        <v>581</v>
      </c>
      <c r="G4135" s="195" t="s">
        <v>278</v>
      </c>
      <c r="H4135" s="195">
        <v>34.425409999999999</v>
      </c>
      <c r="I4135" s="195">
        <v>28.423999999999999</v>
      </c>
      <c r="J4135" s="195">
        <v>16.069870000000002</v>
      </c>
      <c r="K4135" s="195">
        <v>12.6805</v>
      </c>
      <c r="L4135" s="195">
        <v>7.2707509999999997</v>
      </c>
      <c r="M4135" s="195">
        <v>4.5719289999999999</v>
      </c>
      <c r="N4135" s="195">
        <v>4.6445999999999996</v>
      </c>
    </row>
    <row r="4136" spans="1:14" hidden="1" x14ac:dyDescent="0.35">
      <c r="A4136" s="52" t="s">
        <v>231</v>
      </c>
      <c r="B4136" s="52" t="s">
        <v>37</v>
      </c>
      <c r="C4136" s="52" t="s">
        <v>35</v>
      </c>
      <c r="D4136" s="52" t="s">
        <v>207</v>
      </c>
      <c r="E4136" s="52" t="s">
        <v>582</v>
      </c>
      <c r="F4136" s="52" t="s">
        <v>581</v>
      </c>
      <c r="G4136" s="195" t="s">
        <v>279</v>
      </c>
      <c r="H4136" s="195">
        <v>185.16370000000001</v>
      </c>
      <c r="I4136" s="195">
        <v>171.13980000000001</v>
      </c>
      <c r="J4136" s="195">
        <v>144.25450000000001</v>
      </c>
      <c r="K4136" s="195">
        <v>124.83329999999999</v>
      </c>
      <c r="L4136" s="195">
        <v>119.02809999999999</v>
      </c>
      <c r="M4136" s="195">
        <v>101.6818</v>
      </c>
      <c r="N4136" s="195">
        <v>90.825199999999995</v>
      </c>
    </row>
    <row r="4137" spans="1:14" hidden="1" x14ac:dyDescent="0.35">
      <c r="A4137" s="52" t="s">
        <v>231</v>
      </c>
      <c r="B4137" s="52" t="s">
        <v>37</v>
      </c>
      <c r="C4137" s="52" t="s">
        <v>35</v>
      </c>
      <c r="D4137" s="52" t="s">
        <v>207</v>
      </c>
      <c r="E4137" s="52" t="s">
        <v>582</v>
      </c>
      <c r="F4137" s="52" t="s">
        <v>26</v>
      </c>
      <c r="G4137" s="195" t="s">
        <v>275</v>
      </c>
      <c r="H4137" s="195">
        <v>-12.86434</v>
      </c>
      <c r="I4137" s="195">
        <v>-15.36727</v>
      </c>
      <c r="J4137" s="195">
        <v>-12.29612</v>
      </c>
      <c r="K4137" s="195">
        <v>-11.066940000000001</v>
      </c>
      <c r="L4137" s="195">
        <v>-11.950200000000001</v>
      </c>
      <c r="M4137" s="195">
        <v>-10.06991</v>
      </c>
      <c r="N4137" s="195">
        <v>-8.9529239999999994</v>
      </c>
    </row>
    <row r="4138" spans="1:14" hidden="1" x14ac:dyDescent="0.35">
      <c r="A4138" s="52" t="s">
        <v>231</v>
      </c>
      <c r="B4138" s="52" t="s">
        <v>37</v>
      </c>
      <c r="C4138" s="52" t="s">
        <v>35</v>
      </c>
      <c r="D4138" s="52" t="s">
        <v>207</v>
      </c>
      <c r="E4138" s="52" t="s">
        <v>582</v>
      </c>
      <c r="F4138" s="52" t="s">
        <v>26</v>
      </c>
      <c r="G4138" s="195" t="s">
        <v>276</v>
      </c>
      <c r="H4138" s="195">
        <v>-3.419638</v>
      </c>
      <c r="I4138" s="195">
        <v>-4.0849729999999997</v>
      </c>
      <c r="J4138" s="195">
        <v>-3.2685879999999998</v>
      </c>
      <c r="K4138" s="195">
        <v>-2.9418440000000001</v>
      </c>
      <c r="L4138" s="195">
        <v>-3.1766329999999998</v>
      </c>
      <c r="M4138" s="195">
        <v>-2.6768100000000001</v>
      </c>
      <c r="N4138" s="195">
        <v>-2.3798910000000002</v>
      </c>
    </row>
    <row r="4139" spans="1:14" hidden="1" x14ac:dyDescent="0.35">
      <c r="A4139" s="52" t="s">
        <v>231</v>
      </c>
      <c r="B4139" s="52" t="s">
        <v>37</v>
      </c>
      <c r="C4139" s="52" t="s">
        <v>35</v>
      </c>
      <c r="D4139" s="52" t="s">
        <v>207</v>
      </c>
      <c r="E4139" s="52" t="s">
        <v>582</v>
      </c>
      <c r="F4139" s="52" t="s">
        <v>26</v>
      </c>
      <c r="G4139" s="195" t="s">
        <v>279</v>
      </c>
      <c r="H4139" s="195">
        <v>40.712670000000003</v>
      </c>
      <c r="I4139" s="195">
        <v>41.220759999999999</v>
      </c>
      <c r="J4139" s="195">
        <v>35.18289</v>
      </c>
      <c r="K4139" s="195">
        <v>30.505500000000001</v>
      </c>
      <c r="L4139" s="195">
        <v>29.32272</v>
      </c>
      <c r="M4139" s="195">
        <v>25.002369999999999</v>
      </c>
      <c r="N4139" s="195">
        <v>22.310500000000001</v>
      </c>
    </row>
    <row r="4140" spans="1:14" hidden="1" x14ac:dyDescent="0.35">
      <c r="A4140" s="52" t="s">
        <v>231</v>
      </c>
      <c r="B4140" s="52" t="s">
        <v>37</v>
      </c>
      <c r="C4140" s="52" t="s">
        <v>35</v>
      </c>
      <c r="D4140" s="52" t="s">
        <v>207</v>
      </c>
      <c r="E4140" s="52" t="s">
        <v>613</v>
      </c>
      <c r="F4140" s="52" t="s">
        <v>581</v>
      </c>
      <c r="G4140" s="195" t="s">
        <v>275</v>
      </c>
      <c r="H4140" s="195">
        <v>43.797780000000003</v>
      </c>
      <c r="I4140" s="195">
        <v>10.41896</v>
      </c>
      <c r="J4140" s="195">
        <v>6.2589009999999998</v>
      </c>
      <c r="K4140" s="195">
        <v>4.7431000000000001</v>
      </c>
      <c r="L4140" s="195">
        <v>2.7672110000000001</v>
      </c>
      <c r="M4140" s="195">
        <v>2.7021320000000002</v>
      </c>
      <c r="N4140" s="195">
        <v>2.393942</v>
      </c>
    </row>
    <row r="4141" spans="1:14" hidden="1" x14ac:dyDescent="0.35">
      <c r="A4141" s="52" t="s">
        <v>231</v>
      </c>
      <c r="B4141" s="52" t="s">
        <v>37</v>
      </c>
      <c r="C4141" s="52" t="s">
        <v>35</v>
      </c>
      <c r="D4141" s="52" t="s">
        <v>207</v>
      </c>
      <c r="E4141" s="52" t="s">
        <v>613</v>
      </c>
      <c r="F4141" s="52" t="s">
        <v>581</v>
      </c>
      <c r="G4141" s="195" t="s">
        <v>276</v>
      </c>
      <c r="H4141" s="195">
        <v>-10.329179999999999</v>
      </c>
      <c r="I4141" s="195">
        <v>-2.4154140000000002</v>
      </c>
      <c r="J4141" s="195">
        <v>-0.93252539999999995</v>
      </c>
      <c r="K4141" s="195">
        <v>-0.52661760000000002</v>
      </c>
      <c r="L4141" s="195">
        <v>-8.9539560000000004E-2</v>
      </c>
      <c r="M4141" s="195">
        <v>0.66071760000000002</v>
      </c>
      <c r="N4141" s="195">
        <v>0.59030939999999998</v>
      </c>
    </row>
    <row r="4142" spans="1:14" hidden="1" x14ac:dyDescent="0.35">
      <c r="A4142" s="52" t="s">
        <v>231</v>
      </c>
      <c r="B4142" s="52" t="s">
        <v>37</v>
      </c>
      <c r="C4142" s="52" t="s">
        <v>35</v>
      </c>
      <c r="D4142" s="52" t="s">
        <v>207</v>
      </c>
      <c r="E4142" s="52" t="s">
        <v>613</v>
      </c>
      <c r="F4142" s="52" t="s">
        <v>581</v>
      </c>
      <c r="G4142" s="195" t="s">
        <v>277</v>
      </c>
      <c r="H4142" s="195">
        <v>8.6025930000000006</v>
      </c>
      <c r="I4142" s="195">
        <v>0</v>
      </c>
      <c r="J4142" s="195">
        <v>0</v>
      </c>
      <c r="K4142" s="195">
        <v>0.16925219999999999</v>
      </c>
      <c r="L4142" s="195">
        <v>0.3808358</v>
      </c>
      <c r="M4142" s="195">
        <v>0</v>
      </c>
      <c r="N4142" s="195">
        <v>0</v>
      </c>
    </row>
    <row r="4143" spans="1:14" hidden="1" x14ac:dyDescent="0.35">
      <c r="A4143" s="52" t="s">
        <v>231</v>
      </c>
      <c r="B4143" s="52" t="s">
        <v>37</v>
      </c>
      <c r="C4143" s="52" t="s">
        <v>35</v>
      </c>
      <c r="D4143" s="52" t="s">
        <v>207</v>
      </c>
      <c r="E4143" s="52" t="s">
        <v>613</v>
      </c>
      <c r="F4143" s="52" t="s">
        <v>581</v>
      </c>
      <c r="G4143" s="195" t="s">
        <v>278</v>
      </c>
      <c r="H4143" s="195">
        <v>0.70816400000000002</v>
      </c>
      <c r="I4143" s="195">
        <v>0</v>
      </c>
      <c r="J4143" s="195">
        <v>0</v>
      </c>
      <c r="K4143" s="195">
        <v>0.29728939999999998</v>
      </c>
      <c r="L4143" s="195">
        <v>0.5995144</v>
      </c>
      <c r="M4143" s="195">
        <v>0</v>
      </c>
      <c r="N4143" s="195">
        <v>0</v>
      </c>
    </row>
    <row r="4144" spans="1:14" hidden="1" x14ac:dyDescent="0.35">
      <c r="A4144" s="52" t="s">
        <v>231</v>
      </c>
      <c r="B4144" s="52" t="s">
        <v>37</v>
      </c>
      <c r="C4144" s="52" t="s">
        <v>35</v>
      </c>
      <c r="D4144" s="52" t="s">
        <v>207</v>
      </c>
      <c r="E4144" s="52" t="s">
        <v>613</v>
      </c>
      <c r="F4144" s="52" t="s">
        <v>581</v>
      </c>
      <c r="G4144" s="195" t="s">
        <v>279</v>
      </c>
      <c r="H4144" s="195">
        <v>16.20682</v>
      </c>
      <c r="I4144" s="195">
        <v>9.4449000000000005</v>
      </c>
      <c r="J4144" s="195">
        <v>7.5841979999999998</v>
      </c>
      <c r="K4144" s="195">
        <v>6.979743</v>
      </c>
      <c r="L4144" s="195">
        <v>7.2839130000000001</v>
      </c>
      <c r="M4144" s="195">
        <v>6.448404</v>
      </c>
      <c r="N4144" s="195">
        <v>5.7077619999999998</v>
      </c>
    </row>
    <row r="4145" spans="1:14" hidden="1" x14ac:dyDescent="0.35">
      <c r="A4145" s="52" t="s">
        <v>231</v>
      </c>
      <c r="B4145" s="52" t="s">
        <v>37</v>
      </c>
      <c r="C4145" s="52" t="s">
        <v>35</v>
      </c>
      <c r="D4145" s="52" t="s">
        <v>207</v>
      </c>
      <c r="E4145" s="52" t="s">
        <v>613</v>
      </c>
      <c r="F4145" s="52" t="s">
        <v>26</v>
      </c>
      <c r="G4145" s="195" t="s">
        <v>275</v>
      </c>
      <c r="H4145" s="195">
        <v>-2.6688130000000001</v>
      </c>
      <c r="I4145" s="195">
        <v>-1.8919330000000001</v>
      </c>
      <c r="J4145" s="195">
        <v>-1.514005</v>
      </c>
      <c r="K4145" s="195">
        <v>-1.4459040000000001</v>
      </c>
      <c r="L4145" s="195">
        <v>-1.585277</v>
      </c>
      <c r="M4145" s="195">
        <v>-1.4007890000000001</v>
      </c>
      <c r="N4145" s="195">
        <v>-1.239133</v>
      </c>
    </row>
    <row r="4146" spans="1:14" hidden="1" x14ac:dyDescent="0.35">
      <c r="A4146" s="52" t="s">
        <v>231</v>
      </c>
      <c r="B4146" s="52" t="s">
        <v>37</v>
      </c>
      <c r="C4146" s="52" t="s">
        <v>35</v>
      </c>
      <c r="D4146" s="52" t="s">
        <v>207</v>
      </c>
      <c r="E4146" s="52" t="s">
        <v>613</v>
      </c>
      <c r="F4146" s="52" t="s">
        <v>26</v>
      </c>
      <c r="G4146" s="195" t="s">
        <v>276</v>
      </c>
      <c r="H4146" s="195">
        <v>-0.70943109999999998</v>
      </c>
      <c r="I4146" s="195">
        <v>-0.50291819999999998</v>
      </c>
      <c r="J4146" s="195">
        <v>-0.40245700000000001</v>
      </c>
      <c r="K4146" s="195">
        <v>-0.38435469999999999</v>
      </c>
      <c r="L4146" s="195">
        <v>-0.42140300000000003</v>
      </c>
      <c r="M4146" s="195">
        <v>-0.37236180000000002</v>
      </c>
      <c r="N4146" s="195">
        <v>-0.32939020000000002</v>
      </c>
    </row>
    <row r="4147" spans="1:14" hidden="1" x14ac:dyDescent="0.35">
      <c r="A4147" s="52" t="s">
        <v>231</v>
      </c>
      <c r="B4147" s="52" t="s">
        <v>37</v>
      </c>
      <c r="C4147" s="52" t="s">
        <v>35</v>
      </c>
      <c r="D4147" s="52" t="s">
        <v>207</v>
      </c>
      <c r="E4147" s="52" t="s">
        <v>613</v>
      </c>
      <c r="F4147" s="52" t="s">
        <v>26</v>
      </c>
      <c r="G4147" s="195" t="s">
        <v>279</v>
      </c>
      <c r="H4147" s="195">
        <v>5.5128979999999999</v>
      </c>
      <c r="I4147" s="195">
        <v>3.6286149999999999</v>
      </c>
      <c r="J4147" s="195">
        <v>2.979978</v>
      </c>
      <c r="K4147" s="195">
        <v>2.7884899999999999</v>
      </c>
      <c r="L4147" s="195">
        <v>2.9032719999999999</v>
      </c>
      <c r="M4147" s="195">
        <v>2.5750600000000001</v>
      </c>
      <c r="N4147" s="195">
        <v>2.2792319999999999</v>
      </c>
    </row>
    <row r="4148" spans="1:14" hidden="1" x14ac:dyDescent="0.35">
      <c r="A4148" s="52" t="s">
        <v>231</v>
      </c>
      <c r="B4148" s="52" t="s">
        <v>37</v>
      </c>
      <c r="C4148" s="52" t="s">
        <v>35</v>
      </c>
      <c r="D4148" s="52" t="s">
        <v>207</v>
      </c>
      <c r="E4148" s="52" t="s">
        <v>584</v>
      </c>
      <c r="F4148" s="52" t="s">
        <v>581</v>
      </c>
      <c r="G4148" s="195" t="s">
        <v>275</v>
      </c>
      <c r="H4148" s="195">
        <v>9.0770520000000001</v>
      </c>
      <c r="I4148" s="195">
        <v>-1.3485320000000001</v>
      </c>
      <c r="J4148" s="195">
        <v>-1.297858</v>
      </c>
      <c r="K4148" s="195">
        <v>-1.0270440000000001</v>
      </c>
      <c r="L4148" s="195">
        <v>-1.7626440000000001</v>
      </c>
      <c r="M4148" s="195">
        <v>1.1025069999999999</v>
      </c>
      <c r="N4148" s="195">
        <v>0.87249520000000003</v>
      </c>
    </row>
    <row r="4149" spans="1:14" hidden="1" x14ac:dyDescent="0.35">
      <c r="A4149" s="52" t="s">
        <v>231</v>
      </c>
      <c r="B4149" s="52" t="s">
        <v>37</v>
      </c>
      <c r="C4149" s="52" t="s">
        <v>35</v>
      </c>
      <c r="D4149" s="52" t="s">
        <v>207</v>
      </c>
      <c r="E4149" s="52" t="s">
        <v>584</v>
      </c>
      <c r="F4149" s="52" t="s">
        <v>581</v>
      </c>
      <c r="G4149" s="195" t="s">
        <v>276</v>
      </c>
      <c r="H4149" s="195">
        <v>-4.3073569999999997</v>
      </c>
      <c r="I4149" s="195">
        <v>-0.20083780000000001</v>
      </c>
      <c r="J4149" s="195">
        <v>-1.1051880000000001</v>
      </c>
      <c r="K4149" s="195">
        <v>-1.522448</v>
      </c>
      <c r="L4149" s="195">
        <v>-0.80078009999999999</v>
      </c>
      <c r="M4149" s="195">
        <v>-0.61123459999999996</v>
      </c>
      <c r="N4149" s="195">
        <v>-0.46351799999999999</v>
      </c>
    </row>
    <row r="4150" spans="1:14" hidden="1" x14ac:dyDescent="0.35">
      <c r="A4150" s="52" t="s">
        <v>231</v>
      </c>
      <c r="B4150" s="52" t="s">
        <v>37</v>
      </c>
      <c r="C4150" s="52" t="s">
        <v>35</v>
      </c>
      <c r="D4150" s="52" t="s">
        <v>207</v>
      </c>
      <c r="E4150" s="52" t="s">
        <v>584</v>
      </c>
      <c r="F4150" s="52" t="s">
        <v>581</v>
      </c>
      <c r="G4150" s="195" t="s">
        <v>277</v>
      </c>
      <c r="H4150" s="195">
        <v>6.0996930000000003</v>
      </c>
      <c r="I4150" s="195">
        <v>5.4978540000000002</v>
      </c>
      <c r="J4150" s="195">
        <v>4.9675130000000003</v>
      </c>
      <c r="K4150" s="195">
        <v>4.4585860000000004</v>
      </c>
      <c r="L4150" s="195">
        <v>3.9510160000000001</v>
      </c>
      <c r="M4150" s="195"/>
      <c r="N4150" s="195"/>
    </row>
    <row r="4151" spans="1:14" hidden="1" x14ac:dyDescent="0.35">
      <c r="A4151" s="52" t="s">
        <v>231</v>
      </c>
      <c r="B4151" s="52" t="s">
        <v>37</v>
      </c>
      <c r="C4151" s="52" t="s">
        <v>35</v>
      </c>
      <c r="D4151" s="52" t="s">
        <v>207</v>
      </c>
      <c r="E4151" s="52" t="s">
        <v>584</v>
      </c>
      <c r="F4151" s="52" t="s">
        <v>581</v>
      </c>
      <c r="G4151" s="195" t="s">
        <v>279</v>
      </c>
      <c r="H4151" s="195">
        <v>19.78219</v>
      </c>
      <c r="I4151" s="195">
        <v>6.4530919999999998</v>
      </c>
      <c r="J4151" s="195">
        <v>5.6744219999999999</v>
      </c>
      <c r="K4151" s="195">
        <v>5.6072550000000003</v>
      </c>
      <c r="L4151" s="195">
        <v>5.3803190000000001</v>
      </c>
      <c r="M4151" s="195">
        <v>4.7570350000000001</v>
      </c>
      <c r="N4151" s="195">
        <v>4.218934</v>
      </c>
    </row>
    <row r="4152" spans="1:14" hidden="1" x14ac:dyDescent="0.35">
      <c r="A4152" s="52" t="s">
        <v>231</v>
      </c>
      <c r="B4152" s="52" t="s">
        <v>37</v>
      </c>
      <c r="C4152" s="52" t="s">
        <v>35</v>
      </c>
      <c r="D4152" s="52" t="s">
        <v>207</v>
      </c>
      <c r="E4152" s="52" t="s">
        <v>584</v>
      </c>
      <c r="F4152" s="52" t="s">
        <v>26</v>
      </c>
      <c r="G4152" s="195" t="s">
        <v>275</v>
      </c>
      <c r="H4152" s="195">
        <v>-0.24813199999999999</v>
      </c>
      <c r="I4152" s="195">
        <v>-4.5031000000000002E-2</v>
      </c>
      <c r="J4152" s="195">
        <v>-3.9389199999999999E-2</v>
      </c>
      <c r="K4152" s="195">
        <v>-5.3359400000000001E-2</v>
      </c>
      <c r="L4152" s="195">
        <v>-6.4172400000000004E-2</v>
      </c>
      <c r="M4152" s="195">
        <v>-6.1909600000000002E-2</v>
      </c>
      <c r="N4152" s="195">
        <v>-5.9655399999999997E-2</v>
      </c>
    </row>
    <row r="4153" spans="1:14" hidden="1" x14ac:dyDescent="0.35">
      <c r="A4153" s="52" t="s">
        <v>231</v>
      </c>
      <c r="B4153" s="52" t="s">
        <v>37</v>
      </c>
      <c r="C4153" s="52" t="s">
        <v>35</v>
      </c>
      <c r="D4153" s="52" t="s">
        <v>207</v>
      </c>
      <c r="E4153" s="52" t="s">
        <v>584</v>
      </c>
      <c r="F4153" s="52" t="s">
        <v>26</v>
      </c>
      <c r="G4153" s="195" t="s">
        <v>276</v>
      </c>
      <c r="H4153" s="195">
        <v>-6.5960000000000005E-2</v>
      </c>
      <c r="I4153" s="195">
        <v>-1.1970400000000001E-2</v>
      </c>
      <c r="J4153" s="195">
        <v>-1.0470200000000001E-2</v>
      </c>
      <c r="K4153" s="195">
        <v>-1.4183400000000001E-2</v>
      </c>
      <c r="L4153" s="195">
        <v>-1.70586E-2</v>
      </c>
      <c r="M4153" s="195">
        <v>-1.64564E-2</v>
      </c>
      <c r="N4153" s="195">
        <v>-1.5857400000000001E-2</v>
      </c>
    </row>
    <row r="4154" spans="1:14" hidden="1" x14ac:dyDescent="0.35">
      <c r="A4154" s="52" t="s">
        <v>231</v>
      </c>
      <c r="B4154" s="52" t="s">
        <v>37</v>
      </c>
      <c r="C4154" s="52" t="s">
        <v>35</v>
      </c>
      <c r="D4154" s="52" t="s">
        <v>207</v>
      </c>
      <c r="E4154" s="52" t="s">
        <v>584</v>
      </c>
      <c r="F4154" s="52" t="s">
        <v>26</v>
      </c>
      <c r="G4154" s="195" t="s">
        <v>279</v>
      </c>
      <c r="H4154" s="195">
        <v>0.527976</v>
      </c>
      <c r="I4154" s="195">
        <v>0.22072240000000001</v>
      </c>
      <c r="J4154" s="195">
        <v>0.21533740000000001</v>
      </c>
      <c r="K4154" s="195">
        <v>0.23242560000000001</v>
      </c>
      <c r="L4154" s="195">
        <v>0.24344460000000001</v>
      </c>
      <c r="M4154" s="195">
        <v>0.23428840000000001</v>
      </c>
      <c r="N4154" s="195">
        <v>0.226464</v>
      </c>
    </row>
    <row r="4155" spans="1:14" hidden="1" x14ac:dyDescent="0.35">
      <c r="A4155" s="52" t="s">
        <v>231</v>
      </c>
      <c r="B4155" s="52" t="s">
        <v>37</v>
      </c>
      <c r="C4155" s="52" t="s">
        <v>35</v>
      </c>
      <c r="D4155" s="52" t="s">
        <v>36</v>
      </c>
      <c r="E4155" s="52" t="s">
        <v>584</v>
      </c>
      <c r="F4155" s="52" t="s">
        <v>581</v>
      </c>
      <c r="G4155" s="195" t="s">
        <v>275</v>
      </c>
      <c r="H4155" s="195">
        <v>22.112410000000001</v>
      </c>
      <c r="I4155" s="195">
        <v>6.0403209999999996</v>
      </c>
      <c r="J4155" s="195">
        <v>3.9954399999999999</v>
      </c>
      <c r="K4155" s="195">
        <v>2.0349309999999998</v>
      </c>
      <c r="L4155" s="195">
        <v>1.2004809999999999</v>
      </c>
      <c r="M4155" s="195">
        <v>0.70987060000000002</v>
      </c>
      <c r="N4155" s="195">
        <v>0.38450410000000002</v>
      </c>
    </row>
    <row r="4156" spans="1:14" hidden="1" x14ac:dyDescent="0.35">
      <c r="A4156" s="52" t="s">
        <v>231</v>
      </c>
      <c r="B4156" s="52" t="s">
        <v>37</v>
      </c>
      <c r="C4156" s="52" t="s">
        <v>35</v>
      </c>
      <c r="D4156" s="52" t="s">
        <v>36</v>
      </c>
      <c r="E4156" s="52" t="s">
        <v>584</v>
      </c>
      <c r="F4156" s="52" t="s">
        <v>581</v>
      </c>
      <c r="G4156" s="195" t="s">
        <v>276</v>
      </c>
      <c r="H4156" s="195">
        <v>-8.5398949999999996</v>
      </c>
      <c r="I4156" s="195">
        <v>-3.0056630000000002</v>
      </c>
      <c r="J4156" s="195">
        <v>-2.4739550000000001</v>
      </c>
      <c r="K4156" s="195">
        <v>-1.148539</v>
      </c>
      <c r="L4156" s="195">
        <v>-0.45246520000000001</v>
      </c>
      <c r="M4156" s="195">
        <v>-0.24438940000000001</v>
      </c>
      <c r="N4156" s="195">
        <v>-0.1446286</v>
      </c>
    </row>
    <row r="4157" spans="1:14" hidden="1" x14ac:dyDescent="0.35">
      <c r="A4157" s="52" t="s">
        <v>231</v>
      </c>
      <c r="B4157" s="52" t="s">
        <v>37</v>
      </c>
      <c r="C4157" s="52" t="s">
        <v>35</v>
      </c>
      <c r="D4157" s="52" t="s">
        <v>36</v>
      </c>
      <c r="E4157" s="52" t="s">
        <v>584</v>
      </c>
      <c r="F4157" s="52" t="s">
        <v>581</v>
      </c>
      <c r="G4157" s="195" t="s">
        <v>277</v>
      </c>
      <c r="H4157" s="195">
        <v>6.099691</v>
      </c>
      <c r="I4157" s="195">
        <v>3.7254990000000001</v>
      </c>
      <c r="J4157" s="195">
        <v>2.3732700000000002</v>
      </c>
      <c r="K4157" s="195">
        <v>1.5869580000000001</v>
      </c>
      <c r="L4157" s="195">
        <v>0.66875560000000001</v>
      </c>
      <c r="M4157" s="195"/>
      <c r="N4157" s="195"/>
    </row>
    <row r="4158" spans="1:14" hidden="1" x14ac:dyDescent="0.35">
      <c r="A4158" s="52" t="s">
        <v>231</v>
      </c>
      <c r="B4158" s="52" t="s">
        <v>37</v>
      </c>
      <c r="C4158" s="52" t="s">
        <v>35</v>
      </c>
      <c r="D4158" s="52" t="s">
        <v>36</v>
      </c>
      <c r="E4158" s="52" t="s">
        <v>584</v>
      </c>
      <c r="F4158" s="52" t="s">
        <v>581</v>
      </c>
      <c r="G4158" s="195" t="s">
        <v>279</v>
      </c>
      <c r="H4158" s="195">
        <v>42.422530000000002</v>
      </c>
      <c r="I4158" s="195">
        <v>13.18342</v>
      </c>
      <c r="J4158" s="195">
        <v>11.050269999999999</v>
      </c>
      <c r="K4158" s="195">
        <v>10.43083</v>
      </c>
      <c r="L4158" s="195">
        <v>9.5805679999999995</v>
      </c>
      <c r="M4158" s="195">
        <v>8.1378889999999995</v>
      </c>
      <c r="N4158" s="195">
        <v>6.9663579999999996</v>
      </c>
    </row>
    <row r="4159" spans="1:14" hidden="1" x14ac:dyDescent="0.35">
      <c r="A4159" s="52" t="s">
        <v>231</v>
      </c>
      <c r="B4159" s="52" t="s">
        <v>37</v>
      </c>
      <c r="C4159" s="52" t="s">
        <v>35</v>
      </c>
      <c r="D4159" s="52" t="s">
        <v>36</v>
      </c>
      <c r="E4159" s="52" t="s">
        <v>584</v>
      </c>
      <c r="F4159" s="52" t="s">
        <v>26</v>
      </c>
      <c r="G4159" s="195" t="s">
        <v>275</v>
      </c>
      <c r="H4159" s="195">
        <v>-0.237508</v>
      </c>
      <c r="I4159" s="195">
        <v>-5.2643599999999999E-2</v>
      </c>
      <c r="J4159" s="195">
        <v>-4.7758599999999998E-2</v>
      </c>
      <c r="K4159" s="195">
        <v>-6.0128599999999997E-2</v>
      </c>
      <c r="L4159" s="195">
        <v>-6.9533399999999995E-2</v>
      </c>
      <c r="M4159" s="195">
        <v>-6.7036810000000002E-2</v>
      </c>
      <c r="N4159" s="195">
        <v>-6.4650009999999994E-2</v>
      </c>
    </row>
    <row r="4160" spans="1:14" hidden="1" x14ac:dyDescent="0.35">
      <c r="A4160" s="52" t="s">
        <v>231</v>
      </c>
      <c r="B4160" s="52" t="s">
        <v>37</v>
      </c>
      <c r="C4160" s="52" t="s">
        <v>35</v>
      </c>
      <c r="D4160" s="52" t="s">
        <v>36</v>
      </c>
      <c r="E4160" s="52" t="s">
        <v>584</v>
      </c>
      <c r="F4160" s="52" t="s">
        <v>26</v>
      </c>
      <c r="G4160" s="195" t="s">
        <v>276</v>
      </c>
      <c r="H4160" s="195">
        <v>-6.3133999999999996E-2</v>
      </c>
      <c r="I4160" s="195">
        <v>-1.3994400000000001E-2</v>
      </c>
      <c r="J4160" s="195">
        <v>-1.26958E-2</v>
      </c>
      <c r="K4160" s="195">
        <v>-1.5983199999999999E-2</v>
      </c>
      <c r="L4160" s="195">
        <v>-1.8483200000000002E-2</v>
      </c>
      <c r="M4160" s="195">
        <v>-1.7820200000000001E-2</v>
      </c>
      <c r="N4160" s="195">
        <v>-1.7185200000000001E-2</v>
      </c>
    </row>
    <row r="4161" spans="1:14" hidden="1" x14ac:dyDescent="0.35">
      <c r="A4161" s="52" t="s">
        <v>231</v>
      </c>
      <c r="B4161" s="52" t="s">
        <v>37</v>
      </c>
      <c r="C4161" s="52" t="s">
        <v>35</v>
      </c>
      <c r="D4161" s="52" t="s">
        <v>36</v>
      </c>
      <c r="E4161" s="52" t="s">
        <v>584</v>
      </c>
      <c r="F4161" s="52" t="s">
        <v>26</v>
      </c>
      <c r="G4161" s="195" t="s">
        <v>279</v>
      </c>
      <c r="H4161" s="195">
        <v>0.47871599999999997</v>
      </c>
      <c r="I4161" s="195">
        <v>0.20294699999999999</v>
      </c>
      <c r="J4161" s="195">
        <v>0.1982244</v>
      </c>
      <c r="K4161" s="195">
        <v>0.2133874</v>
      </c>
      <c r="L4161" s="195">
        <v>0.22307160000000001</v>
      </c>
      <c r="M4161" s="195">
        <v>0.214674</v>
      </c>
      <c r="N4161" s="195">
        <v>0.20751420000000001</v>
      </c>
    </row>
    <row r="4162" spans="1:14" hidden="1" x14ac:dyDescent="0.35">
      <c r="A4162" s="52" t="s">
        <v>231</v>
      </c>
      <c r="B4162" s="52" t="s">
        <v>37</v>
      </c>
      <c r="C4162" s="52" t="s">
        <v>35</v>
      </c>
      <c r="D4162" s="52" t="s">
        <v>129</v>
      </c>
      <c r="E4162" s="52" t="s">
        <v>580</v>
      </c>
      <c r="F4162" s="52" t="s">
        <v>581</v>
      </c>
      <c r="G4162" s="195" t="s">
        <v>275</v>
      </c>
      <c r="H4162" s="195">
        <v>5.4818530000000001</v>
      </c>
      <c r="I4162" s="195">
        <v>2.2087479999999999</v>
      </c>
      <c r="J4162" s="195">
        <v>1.0966750000000001</v>
      </c>
      <c r="K4162" s="195">
        <v>1.4214709999999999</v>
      </c>
      <c r="L4162" s="195">
        <v>-0.6275558</v>
      </c>
      <c r="M4162" s="195">
        <v>0.61377280000000001</v>
      </c>
      <c r="N4162" s="195">
        <v>0.53159979999999996</v>
      </c>
    </row>
    <row r="4163" spans="1:14" hidden="1" x14ac:dyDescent="0.35">
      <c r="A4163" s="52" t="s">
        <v>231</v>
      </c>
      <c r="B4163" s="52" t="s">
        <v>37</v>
      </c>
      <c r="C4163" s="52" t="s">
        <v>35</v>
      </c>
      <c r="D4163" s="52" t="s">
        <v>129</v>
      </c>
      <c r="E4163" s="52" t="s">
        <v>580</v>
      </c>
      <c r="F4163" s="52" t="s">
        <v>581</v>
      </c>
      <c r="G4163" s="195" t="s">
        <v>276</v>
      </c>
      <c r="H4163" s="195">
        <v>0.59765500000000005</v>
      </c>
      <c r="I4163" s="195">
        <v>-0.80952760000000001</v>
      </c>
      <c r="J4163" s="195">
        <v>-0.11678280000000001</v>
      </c>
      <c r="K4163" s="195">
        <v>-1.1261220000000001</v>
      </c>
      <c r="L4163" s="195">
        <v>8.8199379999999994E-2</v>
      </c>
      <c r="M4163" s="195">
        <v>8.630401E-2</v>
      </c>
      <c r="N4163" s="195">
        <v>7.982939E-2</v>
      </c>
    </row>
    <row r="4164" spans="1:14" hidden="1" x14ac:dyDescent="0.35">
      <c r="A4164" s="52" t="s">
        <v>231</v>
      </c>
      <c r="B4164" s="52" t="s">
        <v>37</v>
      </c>
      <c r="C4164" s="52" t="s">
        <v>35</v>
      </c>
      <c r="D4164" s="52" t="s">
        <v>129</v>
      </c>
      <c r="E4164" s="52" t="s">
        <v>580</v>
      </c>
      <c r="F4164" s="52" t="s">
        <v>581</v>
      </c>
      <c r="G4164" s="195" t="s">
        <v>277</v>
      </c>
      <c r="H4164" s="195">
        <v>0</v>
      </c>
      <c r="I4164" s="195"/>
      <c r="J4164" s="195">
        <v>0</v>
      </c>
      <c r="K4164" s="195">
        <v>0.60770659999999999</v>
      </c>
      <c r="L4164" s="195">
        <v>1.32074</v>
      </c>
      <c r="M4164" s="195">
        <v>0</v>
      </c>
      <c r="N4164" s="195">
        <v>0</v>
      </c>
    </row>
    <row r="4165" spans="1:14" hidden="1" x14ac:dyDescent="0.35">
      <c r="A4165" s="52" t="s">
        <v>231</v>
      </c>
      <c r="B4165" s="52" t="s">
        <v>37</v>
      </c>
      <c r="C4165" s="52" t="s">
        <v>35</v>
      </c>
      <c r="D4165" s="52" t="s">
        <v>129</v>
      </c>
      <c r="E4165" s="52" t="s">
        <v>580</v>
      </c>
      <c r="F4165" s="52" t="s">
        <v>581</v>
      </c>
      <c r="G4165" s="195" t="s">
        <v>279</v>
      </c>
      <c r="H4165" s="195">
        <v>2.251455</v>
      </c>
      <c r="I4165" s="195">
        <v>1.4922839999999999</v>
      </c>
      <c r="J4165" s="195">
        <v>1.25268</v>
      </c>
      <c r="K4165" s="195">
        <v>1.220612</v>
      </c>
      <c r="L4165" s="195">
        <v>1.349183</v>
      </c>
      <c r="M4165" s="195">
        <v>1.1750529999999999</v>
      </c>
      <c r="N4165" s="195">
        <v>1.024192</v>
      </c>
    </row>
    <row r="4166" spans="1:14" hidden="1" x14ac:dyDescent="0.35">
      <c r="A4166" s="52" t="s">
        <v>231</v>
      </c>
      <c r="B4166" s="52" t="s">
        <v>37</v>
      </c>
      <c r="C4166" s="52" t="s">
        <v>35</v>
      </c>
      <c r="D4166" s="52" t="s">
        <v>129</v>
      </c>
      <c r="E4166" s="52" t="s">
        <v>580</v>
      </c>
      <c r="F4166" s="52" t="s">
        <v>26</v>
      </c>
      <c r="G4166" s="195" t="s">
        <v>275</v>
      </c>
      <c r="H4166" s="195">
        <v>-0.26461790000000002</v>
      </c>
      <c r="I4166" s="195">
        <v>-0.21939040000000001</v>
      </c>
      <c r="J4166" s="195">
        <v>-0.18193500000000001</v>
      </c>
      <c r="K4166" s="195">
        <v>-0.18104880000000001</v>
      </c>
      <c r="L4166" s="195">
        <v>-0.2146768</v>
      </c>
      <c r="M4166" s="195">
        <v>-0.18586859999999999</v>
      </c>
      <c r="N4166" s="195">
        <v>-0.16189100000000001</v>
      </c>
    </row>
    <row r="4167" spans="1:14" hidden="1" x14ac:dyDescent="0.35">
      <c r="A4167" s="52" t="s">
        <v>231</v>
      </c>
      <c r="B4167" s="52" t="s">
        <v>37</v>
      </c>
      <c r="C4167" s="52" t="s">
        <v>35</v>
      </c>
      <c r="D4167" s="52" t="s">
        <v>129</v>
      </c>
      <c r="E4167" s="52" t="s">
        <v>580</v>
      </c>
      <c r="F4167" s="52" t="s">
        <v>26</v>
      </c>
      <c r="G4167" s="195" t="s">
        <v>276</v>
      </c>
      <c r="H4167" s="195">
        <v>-7.0341000000000001E-2</v>
      </c>
      <c r="I4167" s="195">
        <v>-5.8318990000000001E-2</v>
      </c>
      <c r="J4167" s="195">
        <v>-4.8362799999999997E-2</v>
      </c>
      <c r="K4167" s="195">
        <v>-4.8127200000000002E-2</v>
      </c>
      <c r="L4167" s="195">
        <v>-5.7066199999999997E-2</v>
      </c>
      <c r="M4167" s="195">
        <v>-4.9407800000000002E-2</v>
      </c>
      <c r="N4167" s="195">
        <v>-4.3034799999999998E-2</v>
      </c>
    </row>
    <row r="4168" spans="1:14" hidden="1" x14ac:dyDescent="0.35">
      <c r="A4168" s="52" t="s">
        <v>231</v>
      </c>
      <c r="B4168" s="52" t="s">
        <v>37</v>
      </c>
      <c r="C4168" s="52" t="s">
        <v>35</v>
      </c>
      <c r="D4168" s="52" t="s">
        <v>129</v>
      </c>
      <c r="E4168" s="52" t="s">
        <v>580</v>
      </c>
      <c r="F4168" s="52" t="s">
        <v>26</v>
      </c>
      <c r="G4168" s="195" t="s">
        <v>279</v>
      </c>
      <c r="H4168" s="195">
        <v>0.566164</v>
      </c>
      <c r="I4168" s="195">
        <v>0.43381259999999999</v>
      </c>
      <c r="J4168" s="195">
        <v>0.37068780000000001</v>
      </c>
      <c r="K4168" s="195">
        <v>0.36223080000000002</v>
      </c>
      <c r="L4168" s="195">
        <v>0.40490520000000002</v>
      </c>
      <c r="M4168" s="195">
        <v>0.3522054</v>
      </c>
      <c r="N4168" s="195">
        <v>0.30696499999999999</v>
      </c>
    </row>
    <row r="4169" spans="1:14" hidden="1" x14ac:dyDescent="0.35">
      <c r="A4169" s="52" t="s">
        <v>231</v>
      </c>
      <c r="B4169" s="52" t="s">
        <v>37</v>
      </c>
      <c r="C4169" s="52" t="s">
        <v>105</v>
      </c>
      <c r="D4169" s="52" t="s">
        <v>105</v>
      </c>
      <c r="E4169" s="52" t="s">
        <v>632</v>
      </c>
      <c r="F4169" s="52" t="s">
        <v>581</v>
      </c>
      <c r="G4169" s="195" t="s">
        <v>275</v>
      </c>
      <c r="H4169" s="195">
        <v>109.7004</v>
      </c>
      <c r="I4169" s="195">
        <v>96.798439999999999</v>
      </c>
      <c r="J4169" s="195">
        <v>92.023210000000006</v>
      </c>
      <c r="K4169" s="195">
        <v>76.057879999999997</v>
      </c>
      <c r="L4169" s="195">
        <v>15.056380000000001</v>
      </c>
      <c r="M4169" s="195">
        <v>-3.3302749999999999</v>
      </c>
      <c r="N4169" s="195">
        <v>-2.3463240000000001</v>
      </c>
    </row>
    <row r="4170" spans="1:14" hidden="1" x14ac:dyDescent="0.35">
      <c r="A4170" s="52" t="s">
        <v>231</v>
      </c>
      <c r="B4170" s="52" t="s">
        <v>37</v>
      </c>
      <c r="C4170" s="52" t="s">
        <v>105</v>
      </c>
      <c r="D4170" s="52" t="s">
        <v>105</v>
      </c>
      <c r="E4170" s="52" t="s">
        <v>632</v>
      </c>
      <c r="F4170" s="52" t="s">
        <v>581</v>
      </c>
      <c r="G4170" s="195" t="s">
        <v>276</v>
      </c>
      <c r="H4170" s="195">
        <v>-1.6056729999999999</v>
      </c>
      <c r="I4170" s="195">
        <v>-97.244739999999993</v>
      </c>
      <c r="J4170" s="195">
        <v>-93.768249999999995</v>
      </c>
      <c r="K4170" s="195">
        <v>-93.567980000000006</v>
      </c>
      <c r="L4170" s="195">
        <v>-34.002110000000002</v>
      </c>
      <c r="M4170" s="195">
        <v>-5.0370910000000002</v>
      </c>
      <c r="N4170" s="195">
        <v>-2.879235</v>
      </c>
    </row>
    <row r="4171" spans="1:14" hidden="1" x14ac:dyDescent="0.35">
      <c r="A4171" s="52" t="s">
        <v>231</v>
      </c>
      <c r="B4171" s="52" t="s">
        <v>37</v>
      </c>
      <c r="C4171" s="52" t="s">
        <v>105</v>
      </c>
      <c r="D4171" s="52" t="s">
        <v>105</v>
      </c>
      <c r="E4171" s="52" t="s">
        <v>632</v>
      </c>
      <c r="F4171" s="52" t="s">
        <v>581</v>
      </c>
      <c r="G4171" s="195" t="s">
        <v>277</v>
      </c>
      <c r="H4171" s="195">
        <v>265.64569999999998</v>
      </c>
      <c r="I4171" s="195">
        <v>20.24718</v>
      </c>
      <c r="J4171" s="195">
        <v>5.8035170000000003</v>
      </c>
      <c r="K4171" s="195">
        <v>17.40887</v>
      </c>
      <c r="L4171" s="195">
        <v>11.219670000000001</v>
      </c>
      <c r="M4171" s="195">
        <v>2.1432530000000001</v>
      </c>
      <c r="N4171" s="195">
        <v>0</v>
      </c>
    </row>
    <row r="4172" spans="1:14" hidden="1" x14ac:dyDescent="0.35">
      <c r="A4172" s="52" t="s">
        <v>231</v>
      </c>
      <c r="B4172" s="52" t="s">
        <v>37</v>
      </c>
      <c r="C4172" s="52" t="s">
        <v>105</v>
      </c>
      <c r="D4172" s="52" t="s">
        <v>105</v>
      </c>
      <c r="E4172" s="52" t="s">
        <v>632</v>
      </c>
      <c r="F4172" s="52" t="s">
        <v>581</v>
      </c>
      <c r="G4172" s="195" t="s">
        <v>278</v>
      </c>
      <c r="H4172" s="195">
        <v>18.827030000000001</v>
      </c>
      <c r="I4172" s="195">
        <v>0</v>
      </c>
      <c r="J4172" s="195">
        <v>5.2368999999999999E-2</v>
      </c>
      <c r="K4172" s="195">
        <v>0</v>
      </c>
      <c r="L4172" s="195"/>
      <c r="M4172" s="195"/>
      <c r="N4172" s="195"/>
    </row>
    <row r="4173" spans="1:14" hidden="1" x14ac:dyDescent="0.35">
      <c r="A4173" s="52" t="s">
        <v>231</v>
      </c>
      <c r="B4173" s="52" t="s">
        <v>37</v>
      </c>
      <c r="C4173" s="52" t="s">
        <v>105</v>
      </c>
      <c r="D4173" s="52" t="s">
        <v>105</v>
      </c>
      <c r="E4173" s="52" t="s">
        <v>632</v>
      </c>
      <c r="F4173" s="52" t="s">
        <v>581</v>
      </c>
      <c r="G4173" s="195" t="s">
        <v>279</v>
      </c>
      <c r="H4173" s="195">
        <v>239.886</v>
      </c>
      <c r="I4173" s="195">
        <v>119.4723</v>
      </c>
      <c r="J4173" s="195">
        <v>90.904660000000007</v>
      </c>
      <c r="K4173" s="195">
        <v>87.52834</v>
      </c>
      <c r="L4173" s="195">
        <v>90.923450000000003</v>
      </c>
      <c r="M4173" s="195">
        <v>79.668379999999999</v>
      </c>
      <c r="N4173" s="195">
        <v>66.752939999999995</v>
      </c>
    </row>
    <row r="4174" spans="1:14" hidden="1" x14ac:dyDescent="0.35">
      <c r="A4174" s="52" t="s">
        <v>231</v>
      </c>
      <c r="B4174" s="52" t="s">
        <v>37</v>
      </c>
      <c r="C4174" s="52" t="s">
        <v>105</v>
      </c>
      <c r="D4174" s="52" t="s">
        <v>105</v>
      </c>
      <c r="E4174" s="52" t="s">
        <v>632</v>
      </c>
      <c r="F4174" s="52" t="s">
        <v>26</v>
      </c>
      <c r="G4174" s="195" t="s">
        <v>275</v>
      </c>
      <c r="H4174" s="195">
        <v>-5.9863929999999996</v>
      </c>
      <c r="I4174" s="195">
        <v>-9.7451070000000009</v>
      </c>
      <c r="J4174" s="195">
        <v>-5.988226</v>
      </c>
      <c r="K4174" s="195">
        <v>-7.5076280000000004</v>
      </c>
      <c r="L4174" s="195">
        <v>-11.025729999999999</v>
      </c>
      <c r="M4174" s="195">
        <v>-9.5022669999999998</v>
      </c>
      <c r="N4174" s="195">
        <v>-7.940385</v>
      </c>
    </row>
    <row r="4175" spans="1:14" hidden="1" x14ac:dyDescent="0.35">
      <c r="A4175" s="52" t="s">
        <v>231</v>
      </c>
      <c r="B4175" s="52" t="s">
        <v>37</v>
      </c>
      <c r="C4175" s="52" t="s">
        <v>105</v>
      </c>
      <c r="D4175" s="52" t="s">
        <v>105</v>
      </c>
      <c r="E4175" s="52" t="s">
        <v>632</v>
      </c>
      <c r="F4175" s="52" t="s">
        <v>26</v>
      </c>
      <c r="G4175" s="195" t="s">
        <v>276</v>
      </c>
      <c r="H4175" s="195">
        <v>-2.0750039999999998</v>
      </c>
      <c r="I4175" s="195">
        <v>-3.3778459999999999</v>
      </c>
      <c r="J4175" s="195">
        <v>-2.0756399999999999</v>
      </c>
      <c r="K4175" s="195">
        <v>-2.602293</v>
      </c>
      <c r="L4175" s="195">
        <v>-3.8217379999999999</v>
      </c>
      <c r="M4175" s="195">
        <v>-3.2936740000000002</v>
      </c>
      <c r="N4175" s="195">
        <v>-2.7522959999999999</v>
      </c>
    </row>
    <row r="4176" spans="1:14" hidden="1" x14ac:dyDescent="0.35">
      <c r="A4176" s="52" t="s">
        <v>231</v>
      </c>
      <c r="B4176" s="52" t="s">
        <v>37</v>
      </c>
      <c r="C4176" s="52" t="s">
        <v>105</v>
      </c>
      <c r="D4176" s="52" t="s">
        <v>105</v>
      </c>
      <c r="E4176" s="52" t="s">
        <v>632</v>
      </c>
      <c r="F4176" s="52" t="s">
        <v>26</v>
      </c>
      <c r="G4176" s="195" t="s">
        <v>279</v>
      </c>
      <c r="H4176" s="195">
        <v>143.30869999999999</v>
      </c>
      <c r="I4176" s="195">
        <v>78.049610000000001</v>
      </c>
      <c r="J4176" s="195">
        <v>59.83652</v>
      </c>
      <c r="K4176" s="195">
        <v>57.639719999999997</v>
      </c>
      <c r="L4176" s="195">
        <v>59.92765</v>
      </c>
      <c r="M4176" s="195">
        <v>52.498779999999996</v>
      </c>
      <c r="N4176" s="195">
        <v>43.990490000000001</v>
      </c>
    </row>
    <row r="4177" spans="1:14" hidden="1" x14ac:dyDescent="0.35">
      <c r="A4177" s="52" t="s">
        <v>231</v>
      </c>
      <c r="B4177" s="52" t="s">
        <v>37</v>
      </c>
      <c r="C4177" s="52" t="s">
        <v>105</v>
      </c>
      <c r="D4177" s="52" t="s">
        <v>105</v>
      </c>
      <c r="E4177" s="52" t="s">
        <v>633</v>
      </c>
      <c r="F4177" s="52" t="s">
        <v>581</v>
      </c>
      <c r="G4177" s="195" t="s">
        <v>275</v>
      </c>
      <c r="H4177" s="195">
        <v>89.855069999999998</v>
      </c>
      <c r="I4177" s="195">
        <v>26.11741</v>
      </c>
      <c r="J4177" s="195">
        <v>17.773299999999999</v>
      </c>
      <c r="K4177" s="195">
        <v>0.36553000000000002</v>
      </c>
      <c r="L4177" s="195">
        <v>-2.0296210000000001</v>
      </c>
      <c r="M4177" s="195">
        <v>-1.3312299999999999</v>
      </c>
      <c r="N4177" s="195">
        <v>-1.2111590000000001</v>
      </c>
    </row>
    <row r="4178" spans="1:14" hidden="1" x14ac:dyDescent="0.35">
      <c r="A4178" s="52" t="s">
        <v>231</v>
      </c>
      <c r="B4178" s="52" t="s">
        <v>37</v>
      </c>
      <c r="C4178" s="52" t="s">
        <v>105</v>
      </c>
      <c r="D4178" s="52" t="s">
        <v>105</v>
      </c>
      <c r="E4178" s="52" t="s">
        <v>633</v>
      </c>
      <c r="F4178" s="52" t="s">
        <v>581</v>
      </c>
      <c r="G4178" s="195" t="s">
        <v>276</v>
      </c>
      <c r="H4178" s="195">
        <v>-24.585629999999998</v>
      </c>
      <c r="I4178" s="195">
        <v>-18.586130000000001</v>
      </c>
      <c r="J4178" s="195">
        <v>-15.748570000000001</v>
      </c>
      <c r="K4178" s="195">
        <v>-5.1909900000000002</v>
      </c>
      <c r="L4178" s="195">
        <v>-3.0236700000000001</v>
      </c>
      <c r="M4178" s="195">
        <v>-0.8167719</v>
      </c>
      <c r="N4178" s="195">
        <v>-0.70408340000000003</v>
      </c>
    </row>
    <row r="4179" spans="1:14" hidden="1" x14ac:dyDescent="0.35">
      <c r="A4179" s="52" t="s">
        <v>231</v>
      </c>
      <c r="B4179" s="52" t="s">
        <v>37</v>
      </c>
      <c r="C4179" s="52" t="s">
        <v>105</v>
      </c>
      <c r="D4179" s="52" t="s">
        <v>105</v>
      </c>
      <c r="E4179" s="52" t="s">
        <v>633</v>
      </c>
      <c r="F4179" s="52" t="s">
        <v>581</v>
      </c>
      <c r="G4179" s="195" t="s">
        <v>277</v>
      </c>
      <c r="H4179" s="195">
        <v>19.902450000000002</v>
      </c>
      <c r="I4179" s="195">
        <v>0</v>
      </c>
      <c r="J4179" s="195">
        <v>0</v>
      </c>
      <c r="K4179" s="195">
        <v>5.0928139999999997</v>
      </c>
      <c r="L4179" s="195">
        <v>2.3329430000000002</v>
      </c>
      <c r="M4179" s="195">
        <v>0</v>
      </c>
      <c r="N4179" s="195">
        <v>0</v>
      </c>
    </row>
    <row r="4180" spans="1:14" hidden="1" x14ac:dyDescent="0.35">
      <c r="A4180" s="52" t="s">
        <v>231</v>
      </c>
      <c r="B4180" s="52" t="s">
        <v>37</v>
      </c>
      <c r="C4180" s="52" t="s">
        <v>105</v>
      </c>
      <c r="D4180" s="52" t="s">
        <v>105</v>
      </c>
      <c r="E4180" s="52" t="s">
        <v>633</v>
      </c>
      <c r="F4180" s="52" t="s">
        <v>581</v>
      </c>
      <c r="G4180" s="195" t="s">
        <v>278</v>
      </c>
      <c r="H4180" s="195">
        <v>0</v>
      </c>
      <c r="I4180" s="195"/>
      <c r="J4180" s="195">
        <v>0</v>
      </c>
      <c r="K4180" s="195">
        <v>0</v>
      </c>
      <c r="L4180" s="195"/>
      <c r="M4180" s="195">
        <v>0</v>
      </c>
      <c r="N4180" s="195"/>
    </row>
    <row r="4181" spans="1:14" hidden="1" x14ac:dyDescent="0.35">
      <c r="A4181" s="52" t="s">
        <v>231</v>
      </c>
      <c r="B4181" s="52" t="s">
        <v>37</v>
      </c>
      <c r="C4181" s="52" t="s">
        <v>105</v>
      </c>
      <c r="D4181" s="52" t="s">
        <v>105</v>
      </c>
      <c r="E4181" s="52" t="s">
        <v>633</v>
      </c>
      <c r="F4181" s="52" t="s">
        <v>581</v>
      </c>
      <c r="G4181" s="195" t="s">
        <v>279</v>
      </c>
      <c r="H4181" s="195">
        <v>57.889060000000001</v>
      </c>
      <c r="I4181" s="195">
        <v>43.457099999999997</v>
      </c>
      <c r="J4181" s="195">
        <v>36.539239999999999</v>
      </c>
      <c r="K4181" s="195">
        <v>36.690579999999997</v>
      </c>
      <c r="L4181" s="195">
        <v>37.872079999999997</v>
      </c>
      <c r="M4181" s="195">
        <v>33.888599999999997</v>
      </c>
      <c r="N4181" s="195">
        <v>30.175319999999999</v>
      </c>
    </row>
    <row r="4182" spans="1:14" hidden="1" x14ac:dyDescent="0.35">
      <c r="A4182" s="52" t="s">
        <v>231</v>
      </c>
      <c r="B4182" s="52" t="s">
        <v>37</v>
      </c>
      <c r="C4182" s="52" t="s">
        <v>105</v>
      </c>
      <c r="D4182" s="52" t="s">
        <v>105</v>
      </c>
      <c r="E4182" s="52" t="s">
        <v>633</v>
      </c>
      <c r="F4182" s="52" t="s">
        <v>26</v>
      </c>
      <c r="G4182" s="195" t="s">
        <v>275</v>
      </c>
      <c r="H4182" s="195">
        <v>16.255230000000001</v>
      </c>
      <c r="I4182" s="195">
        <v>7.7942559999999999</v>
      </c>
      <c r="J4182" s="195">
        <v>8.0764610000000001</v>
      </c>
      <c r="K4182" s="195">
        <v>3.7613850000000002</v>
      </c>
      <c r="L4182" s="195">
        <v>-0.3594755</v>
      </c>
      <c r="M4182" s="195">
        <v>2.1208309999999999</v>
      </c>
      <c r="N4182" s="195">
        <v>1.900404</v>
      </c>
    </row>
    <row r="4183" spans="1:14" hidden="1" x14ac:dyDescent="0.35">
      <c r="A4183" s="52" t="s">
        <v>231</v>
      </c>
      <c r="B4183" s="52" t="s">
        <v>37</v>
      </c>
      <c r="C4183" s="52" t="s">
        <v>105</v>
      </c>
      <c r="D4183" s="52" t="s">
        <v>105</v>
      </c>
      <c r="E4183" s="52" t="s">
        <v>633</v>
      </c>
      <c r="F4183" s="52" t="s">
        <v>26</v>
      </c>
      <c r="G4183" s="195" t="s">
        <v>276</v>
      </c>
      <c r="H4183" s="195">
        <v>5.6343880000000004</v>
      </c>
      <c r="I4183" s="195">
        <v>0.57979550000000002</v>
      </c>
      <c r="J4183" s="195">
        <v>0.89998449999999997</v>
      </c>
      <c r="K4183" s="195">
        <v>1.248235</v>
      </c>
      <c r="L4183" s="195">
        <v>0.37920860000000001</v>
      </c>
      <c r="M4183" s="195">
        <v>0.51853459999999996</v>
      </c>
      <c r="N4183" s="195">
        <v>0.48544959999999998</v>
      </c>
    </row>
    <row r="4184" spans="1:14" hidden="1" x14ac:dyDescent="0.35">
      <c r="A4184" s="52" t="s">
        <v>231</v>
      </c>
      <c r="B4184" s="52" t="s">
        <v>37</v>
      </c>
      <c r="C4184" s="52" t="s">
        <v>105</v>
      </c>
      <c r="D4184" s="52" t="s">
        <v>105</v>
      </c>
      <c r="E4184" s="52" t="s">
        <v>633</v>
      </c>
      <c r="F4184" s="52" t="s">
        <v>26</v>
      </c>
      <c r="G4184" s="195" t="s">
        <v>277</v>
      </c>
      <c r="H4184" s="195"/>
      <c r="I4184" s="195">
        <v>0</v>
      </c>
      <c r="J4184" s="195">
        <v>0</v>
      </c>
      <c r="K4184" s="195">
        <v>0.45025759999999998</v>
      </c>
      <c r="L4184" s="195">
        <v>0.9087982</v>
      </c>
      <c r="M4184" s="195">
        <v>0</v>
      </c>
      <c r="N4184" s="195">
        <v>0</v>
      </c>
    </row>
    <row r="4185" spans="1:14" hidden="1" x14ac:dyDescent="0.35">
      <c r="A4185" s="52" t="s">
        <v>231</v>
      </c>
      <c r="B4185" s="52" t="s">
        <v>37</v>
      </c>
      <c r="C4185" s="52" t="s">
        <v>105</v>
      </c>
      <c r="D4185" s="52" t="s">
        <v>105</v>
      </c>
      <c r="E4185" s="52" t="s">
        <v>633</v>
      </c>
      <c r="F4185" s="52" t="s">
        <v>26</v>
      </c>
      <c r="G4185" s="195" t="s">
        <v>278</v>
      </c>
      <c r="H4185" s="195"/>
      <c r="I4185" s="195"/>
      <c r="J4185" s="195">
        <v>0</v>
      </c>
      <c r="K4185" s="195">
        <v>1.129626</v>
      </c>
      <c r="L4185" s="195">
        <v>1.7326330000000001</v>
      </c>
      <c r="M4185" s="195">
        <v>0</v>
      </c>
      <c r="N4185" s="195"/>
    </row>
    <row r="4186" spans="1:14" hidden="1" x14ac:dyDescent="0.35">
      <c r="A4186" s="52" t="s">
        <v>231</v>
      </c>
      <c r="B4186" s="52" t="s">
        <v>37</v>
      </c>
      <c r="C4186" s="52" t="s">
        <v>105</v>
      </c>
      <c r="D4186" s="52" t="s">
        <v>105</v>
      </c>
      <c r="E4186" s="52" t="s">
        <v>633</v>
      </c>
      <c r="F4186" s="52" t="s">
        <v>26</v>
      </c>
      <c r="G4186" s="195" t="s">
        <v>279</v>
      </c>
      <c r="H4186" s="195">
        <v>67.855419999999995</v>
      </c>
      <c r="I4186" s="195">
        <v>49.399369999999998</v>
      </c>
      <c r="J4186" s="195">
        <v>41.678719999999998</v>
      </c>
      <c r="K4186" s="195">
        <v>41.85989</v>
      </c>
      <c r="L4186" s="195">
        <v>43.309080000000002</v>
      </c>
      <c r="M4186" s="195">
        <v>38.751480000000001</v>
      </c>
      <c r="N4186" s="195">
        <v>34.470019999999998</v>
      </c>
    </row>
    <row r="4187" spans="1:14" hidden="1" x14ac:dyDescent="0.35">
      <c r="A4187" s="52" t="s">
        <v>231</v>
      </c>
      <c r="B4187" s="52" t="s">
        <v>37</v>
      </c>
      <c r="C4187" s="52" t="s">
        <v>105</v>
      </c>
      <c r="D4187" s="52" t="s">
        <v>105</v>
      </c>
      <c r="E4187" s="52" t="s">
        <v>584</v>
      </c>
      <c r="F4187" s="52" t="s">
        <v>581</v>
      </c>
      <c r="G4187" s="195" t="s">
        <v>275</v>
      </c>
      <c r="H4187" s="195">
        <v>-4.2590089999999998</v>
      </c>
      <c r="I4187" s="195">
        <v>-0.34584419999999999</v>
      </c>
      <c r="J4187" s="195">
        <v>-0.1307912</v>
      </c>
      <c r="K4187" s="195">
        <v>9.1303430000000005E-2</v>
      </c>
      <c r="L4187" s="195">
        <v>0.59770760000000001</v>
      </c>
      <c r="M4187" s="195">
        <v>-7.3574619999999999</v>
      </c>
      <c r="N4187" s="195">
        <v>-7.3236040000000001E-3</v>
      </c>
    </row>
    <row r="4188" spans="1:14" hidden="1" x14ac:dyDescent="0.35">
      <c r="A4188" s="52" t="s">
        <v>231</v>
      </c>
      <c r="B4188" s="52" t="s">
        <v>37</v>
      </c>
      <c r="C4188" s="52" t="s">
        <v>105</v>
      </c>
      <c r="D4188" s="52" t="s">
        <v>105</v>
      </c>
      <c r="E4188" s="52" t="s">
        <v>584</v>
      </c>
      <c r="F4188" s="52" t="s">
        <v>581</v>
      </c>
      <c r="G4188" s="195" t="s">
        <v>276</v>
      </c>
      <c r="H4188" s="195">
        <v>-0.48427900000000002</v>
      </c>
      <c r="I4188" s="195">
        <v>-0.76142410000000005</v>
      </c>
      <c r="J4188" s="195">
        <v>-0.58294500000000005</v>
      </c>
      <c r="K4188" s="195">
        <v>-0.24909800000000001</v>
      </c>
      <c r="L4188" s="195">
        <v>-0.77607119999999996</v>
      </c>
      <c r="M4188" s="195">
        <v>-2.7447189999999999</v>
      </c>
      <c r="N4188" s="195">
        <v>-0.1050656</v>
      </c>
    </row>
    <row r="4189" spans="1:14" hidden="1" x14ac:dyDescent="0.35">
      <c r="A4189" s="52" t="s">
        <v>231</v>
      </c>
      <c r="B4189" s="52" t="s">
        <v>37</v>
      </c>
      <c r="C4189" s="52" t="s">
        <v>105</v>
      </c>
      <c r="D4189" s="52" t="s">
        <v>105</v>
      </c>
      <c r="E4189" s="52" t="s">
        <v>584</v>
      </c>
      <c r="F4189" s="52" t="s">
        <v>581</v>
      </c>
      <c r="G4189" s="195" t="s">
        <v>277</v>
      </c>
      <c r="H4189" s="195">
        <v>6.6248430000000003</v>
      </c>
      <c r="I4189" s="195">
        <v>1.349926</v>
      </c>
      <c r="J4189" s="195">
        <v>0.83306309999999995</v>
      </c>
      <c r="K4189" s="195"/>
      <c r="L4189" s="195"/>
      <c r="M4189" s="195"/>
      <c r="N4189" s="195"/>
    </row>
    <row r="4190" spans="1:14" hidden="1" x14ac:dyDescent="0.35">
      <c r="A4190" s="52" t="s">
        <v>231</v>
      </c>
      <c r="B4190" s="52" t="s">
        <v>37</v>
      </c>
      <c r="C4190" s="52" t="s">
        <v>105</v>
      </c>
      <c r="D4190" s="52" t="s">
        <v>105</v>
      </c>
      <c r="E4190" s="52" t="s">
        <v>584</v>
      </c>
      <c r="F4190" s="52" t="s">
        <v>581</v>
      </c>
      <c r="G4190" s="195" t="s">
        <v>279</v>
      </c>
      <c r="H4190" s="195">
        <v>1.0822179999999999</v>
      </c>
      <c r="I4190" s="195">
        <v>0.77354199999999995</v>
      </c>
      <c r="J4190" s="195">
        <v>0.68980980000000003</v>
      </c>
      <c r="K4190" s="195">
        <v>0.68899060000000001</v>
      </c>
      <c r="L4190" s="195">
        <v>0.66713840000000002</v>
      </c>
      <c r="M4190" s="195">
        <v>10.09634</v>
      </c>
      <c r="N4190" s="195">
        <v>0.111683</v>
      </c>
    </row>
    <row r="4191" spans="1:14" hidden="1" x14ac:dyDescent="0.35">
      <c r="A4191" s="52" t="s">
        <v>231</v>
      </c>
      <c r="B4191" s="52" t="s">
        <v>37</v>
      </c>
      <c r="C4191" s="52" t="s">
        <v>105</v>
      </c>
      <c r="D4191" s="52" t="s">
        <v>105</v>
      </c>
      <c r="E4191" s="52" t="s">
        <v>584</v>
      </c>
      <c r="F4191" s="52" t="s">
        <v>26</v>
      </c>
      <c r="G4191" s="195" t="s">
        <v>275</v>
      </c>
      <c r="H4191" s="195">
        <v>1.0165E-2</v>
      </c>
      <c r="I4191" s="195">
        <v>1.5148999999999999E-2</v>
      </c>
      <c r="J4191" s="195">
        <v>5.77E-3</v>
      </c>
      <c r="K4191" s="195">
        <v>1.1023E-2</v>
      </c>
      <c r="L4191" s="195">
        <v>0</v>
      </c>
      <c r="M4191" s="195"/>
      <c r="N4191" s="195">
        <v>0</v>
      </c>
    </row>
    <row r="4192" spans="1:14" hidden="1" x14ac:dyDescent="0.35">
      <c r="A4192" s="52" t="s">
        <v>231</v>
      </c>
      <c r="B4192" s="52" t="s">
        <v>37</v>
      </c>
      <c r="C4192" s="52" t="s">
        <v>105</v>
      </c>
      <c r="D4192" s="52" t="s">
        <v>105</v>
      </c>
      <c r="E4192" s="52" t="s">
        <v>584</v>
      </c>
      <c r="F4192" s="52" t="s">
        <v>26</v>
      </c>
      <c r="G4192" s="195" t="s">
        <v>276</v>
      </c>
      <c r="H4192" s="195">
        <v>-1.0165E-2</v>
      </c>
      <c r="I4192" s="195">
        <v>-1.5148999999999999E-2</v>
      </c>
      <c r="J4192" s="195">
        <v>-5.77E-3</v>
      </c>
      <c r="K4192" s="195">
        <v>-1.1023E-2</v>
      </c>
      <c r="L4192" s="195">
        <v>0</v>
      </c>
      <c r="M4192" s="195"/>
      <c r="N4192" s="195">
        <v>0</v>
      </c>
    </row>
    <row r="4193" spans="1:14" hidden="1" x14ac:dyDescent="0.35">
      <c r="A4193" s="52" t="s">
        <v>231</v>
      </c>
      <c r="B4193" s="52" t="s">
        <v>37</v>
      </c>
      <c r="C4193" s="52" t="s">
        <v>105</v>
      </c>
      <c r="D4193" s="52" t="s">
        <v>105</v>
      </c>
      <c r="E4193" s="52" t="s">
        <v>584</v>
      </c>
      <c r="F4193" s="52" t="s">
        <v>26</v>
      </c>
      <c r="G4193" s="195" t="s">
        <v>278</v>
      </c>
      <c r="H4193" s="195">
        <v>0</v>
      </c>
      <c r="I4193" s="195"/>
      <c r="J4193" s="195"/>
      <c r="K4193" s="195"/>
      <c r="L4193" s="195"/>
      <c r="M4193" s="195"/>
      <c r="N4193" s="195"/>
    </row>
    <row r="4194" spans="1:14" hidden="1" x14ac:dyDescent="0.35">
      <c r="A4194" s="52" t="s">
        <v>231</v>
      </c>
      <c r="B4194" s="52" t="s">
        <v>37</v>
      </c>
      <c r="C4194" s="52" t="s">
        <v>105</v>
      </c>
      <c r="D4194" s="52" t="s">
        <v>105</v>
      </c>
      <c r="E4194" s="52" t="s">
        <v>584</v>
      </c>
      <c r="F4194" s="52" t="s">
        <v>26</v>
      </c>
      <c r="G4194" s="195" t="s">
        <v>279</v>
      </c>
      <c r="H4194" s="195"/>
      <c r="I4194" s="195"/>
      <c r="J4194" s="195"/>
      <c r="K4194" s="195"/>
      <c r="L4194" s="195">
        <v>0</v>
      </c>
      <c r="M4194" s="195"/>
      <c r="N4194" s="195">
        <v>0</v>
      </c>
    </row>
    <row r="4195" spans="1:14" hidden="1" x14ac:dyDescent="0.35">
      <c r="A4195" s="52" t="s">
        <v>231</v>
      </c>
      <c r="B4195" s="52" t="s">
        <v>37</v>
      </c>
      <c r="C4195" s="52" t="s">
        <v>79</v>
      </c>
      <c r="D4195" s="52" t="s">
        <v>79</v>
      </c>
      <c r="E4195" s="52" t="s">
        <v>600</v>
      </c>
      <c r="F4195" s="52" t="s">
        <v>581</v>
      </c>
      <c r="G4195" s="195" t="s">
        <v>275</v>
      </c>
      <c r="H4195" s="195">
        <v>132.3579</v>
      </c>
      <c r="I4195" s="195">
        <v>49.65531</v>
      </c>
      <c r="J4195" s="195">
        <v>44.426319999999997</v>
      </c>
      <c r="K4195" s="195">
        <v>49.60915</v>
      </c>
      <c r="L4195" s="195">
        <v>38.614089999999997</v>
      </c>
      <c r="M4195" s="195">
        <v>18.778110000000002</v>
      </c>
      <c r="N4195" s="195">
        <v>13.62107</v>
      </c>
    </row>
    <row r="4196" spans="1:14" hidden="1" x14ac:dyDescent="0.35">
      <c r="A4196" s="52" t="s">
        <v>231</v>
      </c>
      <c r="B4196" s="52" t="s">
        <v>37</v>
      </c>
      <c r="C4196" s="52" t="s">
        <v>79</v>
      </c>
      <c r="D4196" s="52" t="s">
        <v>79</v>
      </c>
      <c r="E4196" s="52" t="s">
        <v>600</v>
      </c>
      <c r="F4196" s="52" t="s">
        <v>581</v>
      </c>
      <c r="G4196" s="195" t="s">
        <v>276</v>
      </c>
      <c r="H4196" s="195">
        <v>-25.37584</v>
      </c>
      <c r="I4196" s="195">
        <v>-19.605709999999998</v>
      </c>
      <c r="J4196" s="195">
        <v>-17.50705</v>
      </c>
      <c r="K4196" s="195">
        <v>-18.39066</v>
      </c>
      <c r="L4196" s="195">
        <v>-21.150919999999999</v>
      </c>
      <c r="M4196" s="195">
        <v>-1.8827560000000001</v>
      </c>
      <c r="N4196" s="195">
        <v>0.1015214</v>
      </c>
    </row>
    <row r="4197" spans="1:14" hidden="1" x14ac:dyDescent="0.35">
      <c r="A4197" s="52" t="s">
        <v>231</v>
      </c>
      <c r="B4197" s="52" t="s">
        <v>37</v>
      </c>
      <c r="C4197" s="52" t="s">
        <v>79</v>
      </c>
      <c r="D4197" s="52" t="s">
        <v>79</v>
      </c>
      <c r="E4197" s="52" t="s">
        <v>600</v>
      </c>
      <c r="F4197" s="52" t="s">
        <v>581</v>
      </c>
      <c r="G4197" s="195" t="s">
        <v>277</v>
      </c>
      <c r="H4197" s="195">
        <v>240.28569999999999</v>
      </c>
      <c r="I4197" s="195">
        <v>42.831180000000003</v>
      </c>
      <c r="J4197" s="195">
        <v>20.757930000000002</v>
      </c>
      <c r="K4197" s="195">
        <v>3.9545309999999998</v>
      </c>
      <c r="L4197" s="195">
        <v>2.2183389999999998</v>
      </c>
      <c r="M4197" s="195">
        <v>0</v>
      </c>
      <c r="N4197" s="195">
        <v>0</v>
      </c>
    </row>
    <row r="4198" spans="1:14" hidden="1" x14ac:dyDescent="0.35">
      <c r="A4198" s="52" t="s">
        <v>231</v>
      </c>
      <c r="B4198" s="52" t="s">
        <v>37</v>
      </c>
      <c r="C4198" s="52" t="s">
        <v>79</v>
      </c>
      <c r="D4198" s="52" t="s">
        <v>79</v>
      </c>
      <c r="E4198" s="52" t="s">
        <v>600</v>
      </c>
      <c r="F4198" s="52" t="s">
        <v>581</v>
      </c>
      <c r="G4198" s="195" t="s">
        <v>278</v>
      </c>
      <c r="H4198" s="195">
        <v>15.71429</v>
      </c>
      <c r="I4198" s="195">
        <v>7.1071869999999997</v>
      </c>
      <c r="J4198" s="195">
        <v>7.978612</v>
      </c>
      <c r="K4198" s="195">
        <v>5.1752560000000001</v>
      </c>
      <c r="L4198" s="195">
        <v>2.1995580000000001</v>
      </c>
      <c r="M4198" s="195">
        <v>0</v>
      </c>
      <c r="N4198" s="195">
        <v>0</v>
      </c>
    </row>
    <row r="4199" spans="1:14" hidden="1" x14ac:dyDescent="0.35">
      <c r="A4199" s="52" t="s">
        <v>231</v>
      </c>
      <c r="B4199" s="52" t="s">
        <v>37</v>
      </c>
      <c r="C4199" s="52" t="s">
        <v>79</v>
      </c>
      <c r="D4199" s="52" t="s">
        <v>79</v>
      </c>
      <c r="E4199" s="52" t="s">
        <v>600</v>
      </c>
      <c r="F4199" s="52" t="s">
        <v>581</v>
      </c>
      <c r="G4199" s="195" t="s">
        <v>279</v>
      </c>
      <c r="H4199" s="195">
        <v>187.12119999999999</v>
      </c>
      <c r="I4199" s="195">
        <v>152.42840000000001</v>
      </c>
      <c r="J4199" s="195">
        <v>138.52930000000001</v>
      </c>
      <c r="K4199" s="195">
        <v>112.9453</v>
      </c>
      <c r="L4199" s="195">
        <v>90.203249999999997</v>
      </c>
      <c r="M4199" s="195">
        <v>68.459299999999999</v>
      </c>
      <c r="N4199" s="195">
        <v>56.353149999999999</v>
      </c>
    </row>
    <row r="4200" spans="1:14" hidden="1" x14ac:dyDescent="0.35">
      <c r="A4200" s="52" t="s">
        <v>231</v>
      </c>
      <c r="B4200" s="52" t="s">
        <v>37</v>
      </c>
      <c r="C4200" s="52" t="s">
        <v>79</v>
      </c>
      <c r="D4200" s="52" t="s">
        <v>79</v>
      </c>
      <c r="E4200" s="52" t="s">
        <v>600</v>
      </c>
      <c r="F4200" s="52" t="s">
        <v>26</v>
      </c>
      <c r="G4200" s="195" t="s">
        <v>275</v>
      </c>
      <c r="H4200" s="195">
        <v>-16.41236</v>
      </c>
      <c r="I4200" s="195">
        <v>-20.40522</v>
      </c>
      <c r="J4200" s="195">
        <v>-17.557659999999998</v>
      </c>
      <c r="K4200" s="195">
        <v>-16.514589999999998</v>
      </c>
      <c r="L4200" s="195">
        <v>-15.18369</v>
      </c>
      <c r="M4200" s="195">
        <v>-11.529680000000001</v>
      </c>
      <c r="N4200" s="195">
        <v>-9.490907</v>
      </c>
    </row>
    <row r="4201" spans="1:14" hidden="1" x14ac:dyDescent="0.35">
      <c r="A4201" s="52" t="s">
        <v>231</v>
      </c>
      <c r="B4201" s="52" t="s">
        <v>37</v>
      </c>
      <c r="C4201" s="52" t="s">
        <v>79</v>
      </c>
      <c r="D4201" s="52" t="s">
        <v>79</v>
      </c>
      <c r="E4201" s="52" t="s">
        <v>600</v>
      </c>
      <c r="F4201" s="52" t="s">
        <v>26</v>
      </c>
      <c r="G4201" s="195" t="s">
        <v>276</v>
      </c>
      <c r="H4201" s="195">
        <v>-4.7577800000000003</v>
      </c>
      <c r="I4201" s="195">
        <v>-5.9152670000000001</v>
      </c>
      <c r="J4201" s="195">
        <v>-5.0897899999999998</v>
      </c>
      <c r="K4201" s="195">
        <v>-4.7874140000000001</v>
      </c>
      <c r="L4201" s="195">
        <v>-4.401599</v>
      </c>
      <c r="M4201" s="195">
        <v>-3.3423379999999998</v>
      </c>
      <c r="N4201" s="195">
        <v>-2.7513179999999999</v>
      </c>
    </row>
    <row r="4202" spans="1:14" hidden="1" x14ac:dyDescent="0.35">
      <c r="A4202" s="52" t="s">
        <v>231</v>
      </c>
      <c r="B4202" s="52" t="s">
        <v>37</v>
      </c>
      <c r="C4202" s="52" t="s">
        <v>79</v>
      </c>
      <c r="D4202" s="52" t="s">
        <v>79</v>
      </c>
      <c r="E4202" s="52" t="s">
        <v>600</v>
      </c>
      <c r="F4202" s="52" t="s">
        <v>26</v>
      </c>
      <c r="G4202" s="195" t="s">
        <v>279</v>
      </c>
      <c r="H4202" s="195">
        <v>98.197360000000003</v>
      </c>
      <c r="I4202" s="195">
        <v>86.160979999999995</v>
      </c>
      <c r="J4202" s="195">
        <v>80.847729999999999</v>
      </c>
      <c r="K4202" s="195">
        <v>67.15437</v>
      </c>
      <c r="L4202" s="195">
        <v>52.903739999999999</v>
      </c>
      <c r="M4202" s="195">
        <v>40.31232</v>
      </c>
      <c r="N4202" s="195">
        <v>33.198329999999999</v>
      </c>
    </row>
    <row r="4203" spans="1:14" hidden="1" x14ac:dyDescent="0.35">
      <c r="A4203" s="52" t="s">
        <v>231</v>
      </c>
      <c r="B4203" s="52" t="s">
        <v>37</v>
      </c>
      <c r="C4203" s="52" t="s">
        <v>70</v>
      </c>
      <c r="D4203" s="52" t="s">
        <v>70</v>
      </c>
      <c r="E4203" s="52" t="s">
        <v>652</v>
      </c>
      <c r="F4203" s="52" t="s">
        <v>581</v>
      </c>
      <c r="G4203" s="195" t="s">
        <v>275</v>
      </c>
      <c r="H4203" s="195">
        <v>33.339410000000001</v>
      </c>
      <c r="I4203" s="195">
        <v>-17.414390000000001</v>
      </c>
      <c r="J4203" s="195">
        <v>-16.394629999999999</v>
      </c>
      <c r="K4203" s="195">
        <v>-14.923500000000001</v>
      </c>
      <c r="L4203" s="195">
        <v>-17.78181</v>
      </c>
      <c r="M4203" s="195">
        <v>-15.677619999999999</v>
      </c>
      <c r="N4203" s="195">
        <v>-14.29867</v>
      </c>
    </row>
    <row r="4204" spans="1:14" hidden="1" x14ac:dyDescent="0.35">
      <c r="A4204" s="52" t="s">
        <v>231</v>
      </c>
      <c r="B4204" s="52" t="s">
        <v>37</v>
      </c>
      <c r="C4204" s="52" t="s">
        <v>70</v>
      </c>
      <c r="D4204" s="52" t="s">
        <v>70</v>
      </c>
      <c r="E4204" s="52" t="s">
        <v>652</v>
      </c>
      <c r="F4204" s="52" t="s">
        <v>581</v>
      </c>
      <c r="G4204" s="195" t="s">
        <v>276</v>
      </c>
      <c r="H4204" s="195">
        <v>9.085286</v>
      </c>
      <c r="I4204" s="195">
        <v>-4.6110069999999999</v>
      </c>
      <c r="J4204" s="195">
        <v>-4.5874160000000002</v>
      </c>
      <c r="K4204" s="195">
        <v>-4.5214650000000001</v>
      </c>
      <c r="L4204" s="195">
        <v>-4.9649000000000001</v>
      </c>
      <c r="M4204" s="195">
        <v>-4.2923249999999999</v>
      </c>
      <c r="N4204" s="195">
        <v>-3.8009110000000002</v>
      </c>
    </row>
    <row r="4205" spans="1:14" hidden="1" x14ac:dyDescent="0.35">
      <c r="A4205" s="52" t="s">
        <v>231</v>
      </c>
      <c r="B4205" s="52" t="s">
        <v>37</v>
      </c>
      <c r="C4205" s="52" t="s">
        <v>70</v>
      </c>
      <c r="D4205" s="52" t="s">
        <v>70</v>
      </c>
      <c r="E4205" s="52" t="s">
        <v>652</v>
      </c>
      <c r="F4205" s="52" t="s">
        <v>581</v>
      </c>
      <c r="G4205" s="195" t="s">
        <v>277</v>
      </c>
      <c r="H4205" s="195">
        <v>1.9000079999999999</v>
      </c>
      <c r="I4205" s="195">
        <v>1.1467080000000001</v>
      </c>
      <c r="J4205" s="195">
        <v>0</v>
      </c>
      <c r="K4205" s="195"/>
      <c r="L4205" s="195">
        <v>0</v>
      </c>
      <c r="M4205" s="195">
        <v>0</v>
      </c>
      <c r="N4205" s="195">
        <v>0</v>
      </c>
    </row>
    <row r="4206" spans="1:14" hidden="1" x14ac:dyDescent="0.35">
      <c r="A4206" s="52" t="s">
        <v>231</v>
      </c>
      <c r="B4206" s="52" t="s">
        <v>37</v>
      </c>
      <c r="C4206" s="52" t="s">
        <v>70</v>
      </c>
      <c r="D4206" s="52" t="s">
        <v>70</v>
      </c>
      <c r="E4206" s="52" t="s">
        <v>652</v>
      </c>
      <c r="F4206" s="52" t="s">
        <v>581</v>
      </c>
      <c r="G4206" s="195" t="s">
        <v>279</v>
      </c>
      <c r="H4206" s="195">
        <v>87.586579999999998</v>
      </c>
      <c r="I4206" s="195">
        <v>69.06223</v>
      </c>
      <c r="J4206" s="195">
        <v>57.267409999999998</v>
      </c>
      <c r="K4206" s="195">
        <v>50.675249999999998</v>
      </c>
      <c r="L4206" s="195">
        <v>50.560890000000001</v>
      </c>
      <c r="M4206" s="195">
        <v>45.033470000000001</v>
      </c>
      <c r="N4206" s="195">
        <v>40.843919999999997</v>
      </c>
    </row>
    <row r="4207" spans="1:14" hidden="1" x14ac:dyDescent="0.35">
      <c r="A4207" s="52" t="s">
        <v>231</v>
      </c>
      <c r="B4207" s="52" t="s">
        <v>37</v>
      </c>
      <c r="C4207" s="52" t="s">
        <v>70</v>
      </c>
      <c r="D4207" s="52" t="s">
        <v>70</v>
      </c>
      <c r="E4207" s="52" t="s">
        <v>652</v>
      </c>
      <c r="F4207" s="52" t="s">
        <v>26</v>
      </c>
      <c r="G4207" s="195" t="s">
        <v>275</v>
      </c>
      <c r="H4207" s="195">
        <v>5.815639</v>
      </c>
      <c r="I4207" s="195">
        <v>-20.543520000000001</v>
      </c>
      <c r="J4207" s="195">
        <v>13.62731</v>
      </c>
      <c r="K4207" s="195">
        <v>6.5857000000000001</v>
      </c>
      <c r="L4207" s="195">
        <v>-3.948178</v>
      </c>
      <c r="M4207" s="195">
        <v>-1.9444980000000001</v>
      </c>
      <c r="N4207" s="195">
        <v>-3.4515419999999999</v>
      </c>
    </row>
    <row r="4208" spans="1:14" hidden="1" x14ac:dyDescent="0.35">
      <c r="A4208" s="52" t="s">
        <v>231</v>
      </c>
      <c r="B4208" s="52" t="s">
        <v>37</v>
      </c>
      <c r="C4208" s="52" t="s">
        <v>70</v>
      </c>
      <c r="D4208" s="52" t="s">
        <v>70</v>
      </c>
      <c r="E4208" s="52" t="s">
        <v>652</v>
      </c>
      <c r="F4208" s="52" t="s">
        <v>26</v>
      </c>
      <c r="G4208" s="195" t="s">
        <v>276</v>
      </c>
      <c r="H4208" s="195">
        <v>-6.8076509999999999</v>
      </c>
      <c r="I4208" s="195">
        <v>-7.380458</v>
      </c>
      <c r="J4208" s="195">
        <v>-6.4392639999999997</v>
      </c>
      <c r="K4208" s="195">
        <v>-3.9485229999999998</v>
      </c>
      <c r="L4208" s="195">
        <v>-5.2178599999999999</v>
      </c>
      <c r="M4208" s="195">
        <v>-3.7240760000000002</v>
      </c>
      <c r="N4208" s="195">
        <v>-1.22881</v>
      </c>
    </row>
    <row r="4209" spans="1:14" hidden="1" x14ac:dyDescent="0.35">
      <c r="A4209" s="52" t="s">
        <v>231</v>
      </c>
      <c r="B4209" s="52" t="s">
        <v>37</v>
      </c>
      <c r="C4209" s="52" t="s">
        <v>70</v>
      </c>
      <c r="D4209" s="52" t="s">
        <v>70</v>
      </c>
      <c r="E4209" s="52" t="s">
        <v>652</v>
      </c>
      <c r="F4209" s="52" t="s">
        <v>26</v>
      </c>
      <c r="G4209" s="195" t="s">
        <v>277</v>
      </c>
      <c r="H4209" s="195">
        <v>27.76717</v>
      </c>
      <c r="I4209" s="195">
        <v>22.136420000000001</v>
      </c>
      <c r="J4209" s="195">
        <v>1.3832880000000001</v>
      </c>
      <c r="K4209" s="195">
        <v>1.7204809999999999</v>
      </c>
      <c r="L4209" s="195">
        <v>1.0917779999999999</v>
      </c>
      <c r="M4209" s="195">
        <v>0</v>
      </c>
      <c r="N4209" s="195">
        <v>0</v>
      </c>
    </row>
    <row r="4210" spans="1:14" hidden="1" x14ac:dyDescent="0.35">
      <c r="A4210" s="52" t="s">
        <v>231</v>
      </c>
      <c r="B4210" s="52" t="s">
        <v>37</v>
      </c>
      <c r="C4210" s="52" t="s">
        <v>70</v>
      </c>
      <c r="D4210" s="52" t="s">
        <v>70</v>
      </c>
      <c r="E4210" s="52" t="s">
        <v>652</v>
      </c>
      <c r="F4210" s="52" t="s">
        <v>26</v>
      </c>
      <c r="G4210" s="195" t="s">
        <v>278</v>
      </c>
      <c r="H4210" s="195">
        <v>4.3386529999999999</v>
      </c>
      <c r="I4210" s="195">
        <v>5.7444639999999998</v>
      </c>
      <c r="J4210" s="195">
        <v>0.61570539999999996</v>
      </c>
      <c r="K4210" s="195">
        <v>0.3064828</v>
      </c>
      <c r="L4210" s="195"/>
      <c r="M4210" s="195">
        <v>0</v>
      </c>
      <c r="N4210" s="195">
        <v>0</v>
      </c>
    </row>
    <row r="4211" spans="1:14" hidden="1" x14ac:dyDescent="0.35">
      <c r="A4211" s="52" t="s">
        <v>231</v>
      </c>
      <c r="B4211" s="52" t="s">
        <v>37</v>
      </c>
      <c r="C4211" s="52" t="s">
        <v>70</v>
      </c>
      <c r="D4211" s="52" t="s">
        <v>70</v>
      </c>
      <c r="E4211" s="52" t="s">
        <v>652</v>
      </c>
      <c r="F4211" s="52" t="s">
        <v>26</v>
      </c>
      <c r="G4211" s="195" t="s">
        <v>279</v>
      </c>
      <c r="H4211" s="195">
        <v>225.03479999999999</v>
      </c>
      <c r="I4211" s="195">
        <v>201.40309999999999</v>
      </c>
      <c r="J4211" s="195">
        <v>170.7773</v>
      </c>
      <c r="K4211" s="195">
        <v>153.60659999999999</v>
      </c>
      <c r="L4211" s="195">
        <v>150.51730000000001</v>
      </c>
      <c r="M4211" s="195">
        <v>134.64429999999999</v>
      </c>
      <c r="N4211" s="195">
        <v>122.1713</v>
      </c>
    </row>
    <row r="4212" spans="1:14" hidden="1" x14ac:dyDescent="0.35">
      <c r="A4212" s="52" t="s">
        <v>231</v>
      </c>
      <c r="B4212" s="52" t="s">
        <v>37</v>
      </c>
      <c r="C4212" s="52" t="s">
        <v>70</v>
      </c>
      <c r="D4212" s="52" t="s">
        <v>70</v>
      </c>
      <c r="E4212" s="52" t="s">
        <v>653</v>
      </c>
      <c r="F4212" s="52" t="s">
        <v>26</v>
      </c>
      <c r="G4212" s="195" t="s">
        <v>275</v>
      </c>
      <c r="H4212" s="195">
        <v>-10.13752</v>
      </c>
      <c r="I4212" s="195">
        <v>-17.070799999999998</v>
      </c>
      <c r="J4212" s="195">
        <v>-7.7830700000000004</v>
      </c>
      <c r="K4212" s="195">
        <v>-6.9612569999999998</v>
      </c>
      <c r="L4212" s="195">
        <v>-8.2055509999999998</v>
      </c>
      <c r="M4212" s="195">
        <v>-6.811032</v>
      </c>
      <c r="N4212" s="195">
        <v>-6.7627480000000002</v>
      </c>
    </row>
    <row r="4213" spans="1:14" hidden="1" x14ac:dyDescent="0.35">
      <c r="A4213" s="52" t="s">
        <v>231</v>
      </c>
      <c r="B4213" s="52" t="s">
        <v>37</v>
      </c>
      <c r="C4213" s="52" t="s">
        <v>70</v>
      </c>
      <c r="D4213" s="52" t="s">
        <v>70</v>
      </c>
      <c r="E4213" s="52" t="s">
        <v>653</v>
      </c>
      <c r="F4213" s="52" t="s">
        <v>26</v>
      </c>
      <c r="G4213" s="195" t="s">
        <v>276</v>
      </c>
      <c r="H4213" s="195">
        <v>-3.3329070000000001</v>
      </c>
      <c r="I4213" s="195">
        <v>-3.2625160000000002</v>
      </c>
      <c r="J4213" s="195">
        <v>-4.0278330000000002</v>
      </c>
      <c r="K4213" s="195">
        <v>-2.6478269999999999</v>
      </c>
      <c r="L4213" s="195">
        <v>-3.1929159999999999</v>
      </c>
      <c r="M4213" s="195">
        <v>-3.0484659999999999</v>
      </c>
      <c r="N4213" s="195">
        <v>-2.2274940000000001</v>
      </c>
    </row>
    <row r="4214" spans="1:14" hidden="1" x14ac:dyDescent="0.35">
      <c r="A4214" s="52" t="s">
        <v>231</v>
      </c>
      <c r="B4214" s="52" t="s">
        <v>37</v>
      </c>
      <c r="C4214" s="52" t="s">
        <v>70</v>
      </c>
      <c r="D4214" s="52" t="s">
        <v>70</v>
      </c>
      <c r="E4214" s="52" t="s">
        <v>653</v>
      </c>
      <c r="F4214" s="52" t="s">
        <v>26</v>
      </c>
      <c r="G4214" s="195" t="s">
        <v>277</v>
      </c>
      <c r="H4214" s="195">
        <v>5.994167</v>
      </c>
      <c r="I4214" s="195">
        <v>10.04716</v>
      </c>
      <c r="J4214" s="195">
        <v>3.6118220000000001</v>
      </c>
      <c r="K4214" s="195">
        <v>0.89843079999999997</v>
      </c>
      <c r="L4214" s="195"/>
      <c r="M4214" s="195">
        <v>0</v>
      </c>
      <c r="N4214" s="195"/>
    </row>
    <row r="4215" spans="1:14" hidden="1" x14ac:dyDescent="0.35">
      <c r="A4215" s="52" t="s">
        <v>231</v>
      </c>
      <c r="B4215" s="52" t="s">
        <v>37</v>
      </c>
      <c r="C4215" s="52" t="s">
        <v>70</v>
      </c>
      <c r="D4215" s="52" t="s">
        <v>70</v>
      </c>
      <c r="E4215" s="52" t="s">
        <v>653</v>
      </c>
      <c r="F4215" s="52" t="s">
        <v>26</v>
      </c>
      <c r="G4215" s="195" t="s">
        <v>278</v>
      </c>
      <c r="H4215" s="195">
        <v>0</v>
      </c>
      <c r="I4215" s="195"/>
      <c r="J4215" s="195"/>
      <c r="K4215" s="195"/>
      <c r="L4215" s="195"/>
      <c r="M4215" s="195"/>
      <c r="N4215" s="195"/>
    </row>
    <row r="4216" spans="1:14" hidden="1" x14ac:dyDescent="0.35">
      <c r="A4216" s="52" t="s">
        <v>231</v>
      </c>
      <c r="B4216" s="52" t="s">
        <v>37</v>
      </c>
      <c r="C4216" s="52" t="s">
        <v>70</v>
      </c>
      <c r="D4216" s="52" t="s">
        <v>70</v>
      </c>
      <c r="E4216" s="52" t="s">
        <v>653</v>
      </c>
      <c r="F4216" s="52" t="s">
        <v>26</v>
      </c>
      <c r="G4216" s="195" t="s">
        <v>279</v>
      </c>
      <c r="H4216" s="195">
        <v>46.908000000000001</v>
      </c>
      <c r="I4216" s="195">
        <v>39.997920000000001</v>
      </c>
      <c r="J4216" s="195">
        <v>36.567340000000002</v>
      </c>
      <c r="K4216" s="195">
        <v>34.153399999999998</v>
      </c>
      <c r="L4216" s="195">
        <v>34.101129999999998</v>
      </c>
      <c r="M4216" s="195">
        <v>30.87623</v>
      </c>
      <c r="N4216" s="195">
        <v>28.221160000000001</v>
      </c>
    </row>
    <row r="4217" spans="1:14" hidden="1" x14ac:dyDescent="0.35">
      <c r="A4217" s="52" t="s">
        <v>231</v>
      </c>
      <c r="B4217" s="52" t="s">
        <v>37</v>
      </c>
      <c r="C4217" s="52" t="s">
        <v>115</v>
      </c>
      <c r="D4217" s="52" t="s">
        <v>115</v>
      </c>
      <c r="E4217" s="52" t="s">
        <v>597</v>
      </c>
      <c r="F4217" s="52" t="s">
        <v>581</v>
      </c>
      <c r="G4217" s="195" t="s">
        <v>275</v>
      </c>
      <c r="H4217" s="195">
        <v>-60.571559999999998</v>
      </c>
      <c r="I4217" s="195">
        <v>8.9049800000000001</v>
      </c>
      <c r="J4217" s="195">
        <v>21.214089999999999</v>
      </c>
      <c r="K4217" s="195">
        <v>22.910039999999999</v>
      </c>
      <c r="L4217" s="195">
        <v>23.491530000000001</v>
      </c>
      <c r="M4217" s="195">
        <v>12.557130000000001</v>
      </c>
      <c r="N4217" s="195">
        <v>8.6213370000000005</v>
      </c>
    </row>
    <row r="4218" spans="1:14" hidden="1" x14ac:dyDescent="0.35">
      <c r="A4218" s="52" t="s">
        <v>231</v>
      </c>
      <c r="B4218" s="52" t="s">
        <v>37</v>
      </c>
      <c r="C4218" s="52" t="s">
        <v>115</v>
      </c>
      <c r="D4218" s="52" t="s">
        <v>115</v>
      </c>
      <c r="E4218" s="52" t="s">
        <v>597</v>
      </c>
      <c r="F4218" s="52" t="s">
        <v>581</v>
      </c>
      <c r="G4218" s="195" t="s">
        <v>276</v>
      </c>
      <c r="H4218" s="195">
        <v>2.9595769999999999</v>
      </c>
      <c r="I4218" s="195">
        <v>-15.11828</v>
      </c>
      <c r="J4218" s="195">
        <v>-16.8918</v>
      </c>
      <c r="K4218" s="195">
        <v>-14.90436</v>
      </c>
      <c r="L4218" s="195">
        <v>-20.6309</v>
      </c>
      <c r="M4218" s="195">
        <v>-2.6820919999999999</v>
      </c>
      <c r="N4218" s="195">
        <v>-0.4166762</v>
      </c>
    </row>
    <row r="4219" spans="1:14" hidden="1" x14ac:dyDescent="0.35">
      <c r="A4219" s="52" t="s">
        <v>231</v>
      </c>
      <c r="B4219" s="52" t="s">
        <v>37</v>
      </c>
      <c r="C4219" s="52" t="s">
        <v>115</v>
      </c>
      <c r="D4219" s="52" t="s">
        <v>115</v>
      </c>
      <c r="E4219" s="52" t="s">
        <v>597</v>
      </c>
      <c r="F4219" s="52" t="s">
        <v>581</v>
      </c>
      <c r="G4219" s="195" t="s">
        <v>277</v>
      </c>
      <c r="H4219" s="195">
        <v>205.73419999999999</v>
      </c>
      <c r="I4219" s="195">
        <v>27.303149999999999</v>
      </c>
      <c r="J4219" s="195">
        <v>8.0670929999999998</v>
      </c>
      <c r="K4219" s="195">
        <v>2.3943319999999999</v>
      </c>
      <c r="L4219" s="195">
        <v>1.6871080000000001</v>
      </c>
      <c r="M4219" s="195">
        <v>0</v>
      </c>
      <c r="N4219" s="195">
        <v>0</v>
      </c>
    </row>
    <row r="4220" spans="1:14" hidden="1" x14ac:dyDescent="0.35">
      <c r="A4220" s="52" t="s">
        <v>231</v>
      </c>
      <c r="B4220" s="52" t="s">
        <v>37</v>
      </c>
      <c r="C4220" s="52" t="s">
        <v>115</v>
      </c>
      <c r="D4220" s="52" t="s">
        <v>115</v>
      </c>
      <c r="E4220" s="52" t="s">
        <v>597</v>
      </c>
      <c r="F4220" s="52" t="s">
        <v>581</v>
      </c>
      <c r="G4220" s="195" t="s">
        <v>278</v>
      </c>
      <c r="H4220" s="195">
        <v>36.600230000000003</v>
      </c>
      <c r="I4220" s="195">
        <v>16.332229999999999</v>
      </c>
      <c r="J4220" s="195">
        <v>11.371880000000001</v>
      </c>
      <c r="K4220" s="195">
        <v>8.6092619999999993</v>
      </c>
      <c r="L4220" s="195">
        <v>6.9056499999999996</v>
      </c>
      <c r="M4220" s="195">
        <v>0</v>
      </c>
      <c r="N4220" s="195">
        <v>0</v>
      </c>
    </row>
    <row r="4221" spans="1:14" hidden="1" x14ac:dyDescent="0.35">
      <c r="A4221" s="52" t="s">
        <v>231</v>
      </c>
      <c r="B4221" s="52" t="s">
        <v>37</v>
      </c>
      <c r="C4221" s="52" t="s">
        <v>115</v>
      </c>
      <c r="D4221" s="52" t="s">
        <v>115</v>
      </c>
      <c r="E4221" s="52" t="s">
        <v>597</v>
      </c>
      <c r="F4221" s="52" t="s">
        <v>581</v>
      </c>
      <c r="G4221" s="195" t="s">
        <v>279</v>
      </c>
      <c r="H4221" s="195">
        <v>87.728949999999998</v>
      </c>
      <c r="I4221" s="195">
        <v>72.74436</v>
      </c>
      <c r="J4221" s="195">
        <v>62.353119999999997</v>
      </c>
      <c r="K4221" s="195">
        <v>53.734529999999999</v>
      </c>
      <c r="L4221" s="195">
        <v>51.395980000000002</v>
      </c>
      <c r="M4221" s="195">
        <v>41.641190000000002</v>
      </c>
      <c r="N4221" s="195">
        <v>34.669310000000003</v>
      </c>
    </row>
    <row r="4222" spans="1:14" hidden="1" x14ac:dyDescent="0.35">
      <c r="A4222" s="52" t="s">
        <v>231</v>
      </c>
      <c r="B4222" s="52" t="s">
        <v>37</v>
      </c>
      <c r="C4222" s="52" t="s">
        <v>115</v>
      </c>
      <c r="D4222" s="52" t="s">
        <v>115</v>
      </c>
      <c r="E4222" s="52" t="s">
        <v>597</v>
      </c>
      <c r="F4222" s="52" t="s">
        <v>26</v>
      </c>
      <c r="G4222" s="195" t="s">
        <v>275</v>
      </c>
      <c r="H4222" s="195">
        <v>1.4683120000000001</v>
      </c>
      <c r="I4222" s="195">
        <v>-0.19446179999999999</v>
      </c>
      <c r="J4222" s="195">
        <v>0.2988286</v>
      </c>
      <c r="K4222" s="195">
        <v>1.9888590000000001E-2</v>
      </c>
      <c r="L4222" s="195">
        <v>-0.86864319999999995</v>
      </c>
      <c r="M4222" s="195">
        <v>-0.62967119999999999</v>
      </c>
      <c r="N4222" s="195">
        <v>-0.52422000000000002</v>
      </c>
    </row>
    <row r="4223" spans="1:14" hidden="1" x14ac:dyDescent="0.35">
      <c r="A4223" s="52" t="s">
        <v>231</v>
      </c>
      <c r="B4223" s="52" t="s">
        <v>37</v>
      </c>
      <c r="C4223" s="52" t="s">
        <v>115</v>
      </c>
      <c r="D4223" s="52" t="s">
        <v>115</v>
      </c>
      <c r="E4223" s="52" t="s">
        <v>597</v>
      </c>
      <c r="F4223" s="52" t="s">
        <v>26</v>
      </c>
      <c r="G4223" s="195" t="s">
        <v>276</v>
      </c>
      <c r="H4223" s="195">
        <v>0.39030999999999999</v>
      </c>
      <c r="I4223" s="195">
        <v>-5.1692809999999999E-2</v>
      </c>
      <c r="J4223" s="195">
        <v>7.9436389999999996E-2</v>
      </c>
      <c r="K4223" s="195">
        <v>5.2862059999999999E-3</v>
      </c>
      <c r="L4223" s="195">
        <v>-0.23090440000000001</v>
      </c>
      <c r="M4223" s="195">
        <v>-0.1673798</v>
      </c>
      <c r="N4223" s="195">
        <v>-0.13934920000000001</v>
      </c>
    </row>
    <row r="4224" spans="1:14" hidden="1" x14ac:dyDescent="0.35">
      <c r="A4224" s="52" t="s">
        <v>231</v>
      </c>
      <c r="B4224" s="52" t="s">
        <v>37</v>
      </c>
      <c r="C4224" s="52" t="s">
        <v>115</v>
      </c>
      <c r="D4224" s="52" t="s">
        <v>115</v>
      </c>
      <c r="E4224" s="52" t="s">
        <v>597</v>
      </c>
      <c r="F4224" s="52" t="s">
        <v>26</v>
      </c>
      <c r="G4224" s="195" t="s">
        <v>279</v>
      </c>
      <c r="H4224" s="195">
        <v>16.386050000000001</v>
      </c>
      <c r="I4224" s="195">
        <v>15.20317</v>
      </c>
      <c r="J4224" s="195">
        <v>13.22124</v>
      </c>
      <c r="K4224" s="195">
        <v>11.408390000000001</v>
      </c>
      <c r="L4224" s="195">
        <v>10.952680000000001</v>
      </c>
      <c r="M4224" s="195">
        <v>8.8706289999999992</v>
      </c>
      <c r="N4224" s="195">
        <v>7.3857650000000001</v>
      </c>
    </row>
    <row r="4225" spans="1:14" hidden="1" x14ac:dyDescent="0.35">
      <c r="A4225" s="52" t="s">
        <v>231</v>
      </c>
      <c r="B4225" s="52" t="s">
        <v>37</v>
      </c>
      <c r="C4225" s="52" t="s">
        <v>115</v>
      </c>
      <c r="D4225" s="52" t="s">
        <v>115</v>
      </c>
      <c r="E4225" s="52" t="s">
        <v>596</v>
      </c>
      <c r="F4225" s="52" t="s">
        <v>581</v>
      </c>
      <c r="G4225" s="195" t="s">
        <v>275</v>
      </c>
      <c r="H4225" s="195">
        <v>-23.65831</v>
      </c>
      <c r="I4225" s="195">
        <v>-4.8840060000000003</v>
      </c>
      <c r="J4225" s="195">
        <v>3.1732969999999998</v>
      </c>
      <c r="K4225" s="195">
        <v>4.7045269999999997</v>
      </c>
      <c r="L4225" s="195">
        <v>6.1880160000000002</v>
      </c>
      <c r="M4225" s="195">
        <v>2.7793260000000002</v>
      </c>
      <c r="N4225" s="195">
        <v>1.492543</v>
      </c>
    </row>
    <row r="4226" spans="1:14" hidden="1" x14ac:dyDescent="0.35">
      <c r="A4226" s="52" t="s">
        <v>231</v>
      </c>
      <c r="B4226" s="52" t="s">
        <v>37</v>
      </c>
      <c r="C4226" s="52" t="s">
        <v>115</v>
      </c>
      <c r="D4226" s="52" t="s">
        <v>115</v>
      </c>
      <c r="E4226" s="52" t="s">
        <v>596</v>
      </c>
      <c r="F4226" s="52" t="s">
        <v>581</v>
      </c>
      <c r="G4226" s="195" t="s">
        <v>276</v>
      </c>
      <c r="H4226" s="195">
        <v>6.04392</v>
      </c>
      <c r="I4226" s="195">
        <v>-1.7900180000000001</v>
      </c>
      <c r="J4226" s="195">
        <v>-2.1587830000000001</v>
      </c>
      <c r="K4226" s="195">
        <v>-3.6796359999999999</v>
      </c>
      <c r="L4226" s="195">
        <v>-5.7086430000000004</v>
      </c>
      <c r="M4226" s="195">
        <v>-1.20642</v>
      </c>
      <c r="N4226" s="195">
        <v>-0.17761540000000001</v>
      </c>
    </row>
    <row r="4227" spans="1:14" hidden="1" x14ac:dyDescent="0.35">
      <c r="A4227" s="52" t="s">
        <v>231</v>
      </c>
      <c r="B4227" s="52" t="s">
        <v>37</v>
      </c>
      <c r="C4227" s="52" t="s">
        <v>115</v>
      </c>
      <c r="D4227" s="52" t="s">
        <v>115</v>
      </c>
      <c r="E4227" s="52" t="s">
        <v>596</v>
      </c>
      <c r="F4227" s="52" t="s">
        <v>581</v>
      </c>
      <c r="G4227" s="195" t="s">
        <v>277</v>
      </c>
      <c r="H4227" s="195">
        <v>49.365079999999999</v>
      </c>
      <c r="I4227" s="195">
        <v>6.094957</v>
      </c>
      <c r="J4227" s="195">
        <v>0.92465390000000003</v>
      </c>
      <c r="K4227" s="195">
        <v>0.60598200000000002</v>
      </c>
      <c r="L4227" s="195">
        <v>0.33801599999999998</v>
      </c>
      <c r="M4227" s="195">
        <v>0</v>
      </c>
      <c r="N4227" s="195">
        <v>0</v>
      </c>
    </row>
    <row r="4228" spans="1:14" hidden="1" x14ac:dyDescent="0.35">
      <c r="A4228" s="52" t="s">
        <v>231</v>
      </c>
      <c r="B4228" s="52" t="s">
        <v>37</v>
      </c>
      <c r="C4228" s="52" t="s">
        <v>115</v>
      </c>
      <c r="D4228" s="52" t="s">
        <v>115</v>
      </c>
      <c r="E4228" s="52" t="s">
        <v>596</v>
      </c>
      <c r="F4228" s="52" t="s">
        <v>581</v>
      </c>
      <c r="G4228" s="195" t="s">
        <v>278</v>
      </c>
      <c r="H4228" s="195">
        <v>14.717890000000001</v>
      </c>
      <c r="I4228" s="195">
        <v>9.2807099999999991</v>
      </c>
      <c r="J4228" s="195">
        <v>3.1793420000000001</v>
      </c>
      <c r="K4228" s="195">
        <v>2.285838</v>
      </c>
      <c r="L4228" s="195">
        <v>1.096328</v>
      </c>
      <c r="M4228" s="195">
        <v>0</v>
      </c>
      <c r="N4228" s="195">
        <v>0</v>
      </c>
    </row>
    <row r="4229" spans="1:14" hidden="1" x14ac:dyDescent="0.35">
      <c r="A4229" s="52" t="s">
        <v>231</v>
      </c>
      <c r="B4229" s="52" t="s">
        <v>37</v>
      </c>
      <c r="C4229" s="52" t="s">
        <v>115</v>
      </c>
      <c r="D4229" s="52" t="s">
        <v>115</v>
      </c>
      <c r="E4229" s="52" t="s">
        <v>596</v>
      </c>
      <c r="F4229" s="52" t="s">
        <v>581</v>
      </c>
      <c r="G4229" s="195" t="s">
        <v>279</v>
      </c>
      <c r="H4229" s="195">
        <v>24.191050000000001</v>
      </c>
      <c r="I4229" s="195">
        <v>21.26445</v>
      </c>
      <c r="J4229" s="195">
        <v>17.384820000000001</v>
      </c>
      <c r="K4229" s="195">
        <v>14.27488</v>
      </c>
      <c r="L4229" s="195">
        <v>12.84937</v>
      </c>
      <c r="M4229" s="195">
        <v>9.9373959999999997</v>
      </c>
      <c r="N4229" s="195">
        <v>8.3214279999999992</v>
      </c>
    </row>
    <row r="4230" spans="1:14" hidden="1" x14ac:dyDescent="0.35">
      <c r="A4230" s="52" t="s">
        <v>231</v>
      </c>
      <c r="B4230" s="52" t="s">
        <v>37</v>
      </c>
      <c r="C4230" s="52" t="s">
        <v>115</v>
      </c>
      <c r="D4230" s="52" t="s">
        <v>115</v>
      </c>
      <c r="E4230" s="52" t="s">
        <v>596</v>
      </c>
      <c r="F4230" s="52" t="s">
        <v>26</v>
      </c>
      <c r="G4230" s="195" t="s">
        <v>275</v>
      </c>
      <c r="H4230" s="195">
        <v>0.33573599999999998</v>
      </c>
      <c r="I4230" s="195">
        <v>9.3502210000000002E-2</v>
      </c>
      <c r="J4230" s="195">
        <v>0.16838639999999999</v>
      </c>
      <c r="K4230" s="195">
        <v>0.1069654</v>
      </c>
      <c r="L4230" s="195">
        <v>-3.0628599999999999E-2</v>
      </c>
      <c r="M4230" s="195">
        <v>-1.6312199999999999E-2</v>
      </c>
      <c r="N4230" s="195">
        <v>-1.31612E-2</v>
      </c>
    </row>
    <row r="4231" spans="1:14" hidden="1" x14ac:dyDescent="0.35">
      <c r="A4231" s="52" t="s">
        <v>231</v>
      </c>
      <c r="B4231" s="52" t="s">
        <v>37</v>
      </c>
      <c r="C4231" s="52" t="s">
        <v>115</v>
      </c>
      <c r="D4231" s="52" t="s">
        <v>115</v>
      </c>
      <c r="E4231" s="52" t="s">
        <v>596</v>
      </c>
      <c r="F4231" s="52" t="s">
        <v>26</v>
      </c>
      <c r="G4231" s="195" t="s">
        <v>276</v>
      </c>
      <c r="H4231" s="195">
        <v>8.9247000000000007E-2</v>
      </c>
      <c r="I4231" s="195">
        <v>2.4855599999999999E-2</v>
      </c>
      <c r="J4231" s="195">
        <v>4.4760599999999998E-2</v>
      </c>
      <c r="K4231" s="195">
        <v>2.8433799999999999E-2</v>
      </c>
      <c r="L4231" s="195">
        <v>-8.1412010000000007E-3</v>
      </c>
      <c r="M4231" s="195">
        <v>-4.3369999999999997E-3</v>
      </c>
      <c r="N4231" s="195">
        <v>-3.4989999999999999E-3</v>
      </c>
    </row>
    <row r="4232" spans="1:14" hidden="1" x14ac:dyDescent="0.35">
      <c r="A4232" s="52" t="s">
        <v>231</v>
      </c>
      <c r="B4232" s="52" t="s">
        <v>37</v>
      </c>
      <c r="C4232" s="52" t="s">
        <v>115</v>
      </c>
      <c r="D4232" s="52" t="s">
        <v>115</v>
      </c>
      <c r="E4232" s="52" t="s">
        <v>596</v>
      </c>
      <c r="F4232" s="52" t="s">
        <v>26</v>
      </c>
      <c r="G4232" s="195" t="s">
        <v>279</v>
      </c>
      <c r="H4232" s="195">
        <v>2.2473139999999998</v>
      </c>
      <c r="I4232" s="195">
        <v>2.2797700000000001</v>
      </c>
      <c r="J4232" s="195">
        <v>1.889575</v>
      </c>
      <c r="K4232" s="195">
        <v>1.552646</v>
      </c>
      <c r="L4232" s="195">
        <v>1.4009579999999999</v>
      </c>
      <c r="M4232" s="195">
        <v>1.083386</v>
      </c>
      <c r="N4232" s="195">
        <v>0.90727380000000002</v>
      </c>
    </row>
    <row r="4233" spans="1:14" hidden="1" x14ac:dyDescent="0.35">
      <c r="A4233" s="52" t="s">
        <v>231</v>
      </c>
      <c r="B4233" s="52" t="s">
        <v>37</v>
      </c>
      <c r="C4233" s="52" t="s">
        <v>115</v>
      </c>
      <c r="D4233" s="52" t="s">
        <v>115</v>
      </c>
      <c r="E4233" s="52" t="s">
        <v>584</v>
      </c>
      <c r="F4233" s="52" t="s">
        <v>581</v>
      </c>
      <c r="G4233" s="195" t="s">
        <v>275</v>
      </c>
      <c r="H4233" s="195">
        <v>-6.0176730000000003</v>
      </c>
      <c r="I4233" s="195">
        <v>0.15849820000000001</v>
      </c>
      <c r="J4233" s="195">
        <v>0.1066068</v>
      </c>
      <c r="K4233" s="195">
        <v>6.7793400000000004E-2</v>
      </c>
      <c r="L4233" s="195">
        <v>0.1387766</v>
      </c>
      <c r="M4233" s="195">
        <v>2.2275799999999998E-2</v>
      </c>
      <c r="N4233" s="195">
        <v>1.9994600000000001E-2</v>
      </c>
    </row>
    <row r="4234" spans="1:14" hidden="1" x14ac:dyDescent="0.35">
      <c r="A4234" s="52" t="s">
        <v>231</v>
      </c>
      <c r="B4234" s="52" t="s">
        <v>37</v>
      </c>
      <c r="C4234" s="52" t="s">
        <v>115</v>
      </c>
      <c r="D4234" s="52" t="s">
        <v>115</v>
      </c>
      <c r="E4234" s="52" t="s">
        <v>584</v>
      </c>
      <c r="F4234" s="52" t="s">
        <v>581</v>
      </c>
      <c r="G4234" s="195" t="s">
        <v>276</v>
      </c>
      <c r="H4234" s="195">
        <v>-0.22073200000000001</v>
      </c>
      <c r="I4234" s="195">
        <v>-1.7210400000000001E-2</v>
      </c>
      <c r="J4234" s="195">
        <v>-2.9854800000000001E-2</v>
      </c>
      <c r="K4234" s="195">
        <v>-1.78152E-2</v>
      </c>
      <c r="L4234" s="195">
        <v>-0.1064528</v>
      </c>
      <c r="M4234" s="195">
        <v>5.9214000000000003E-3</v>
      </c>
      <c r="N4234" s="195">
        <v>5.3152E-3</v>
      </c>
    </row>
    <row r="4235" spans="1:14" hidden="1" x14ac:dyDescent="0.35">
      <c r="A4235" s="52" t="s">
        <v>231</v>
      </c>
      <c r="B4235" s="52" t="s">
        <v>37</v>
      </c>
      <c r="C4235" s="52" t="s">
        <v>115</v>
      </c>
      <c r="D4235" s="52" t="s">
        <v>115</v>
      </c>
      <c r="E4235" s="52" t="s">
        <v>584</v>
      </c>
      <c r="F4235" s="52" t="s">
        <v>581</v>
      </c>
      <c r="G4235" s="195" t="s">
        <v>277</v>
      </c>
      <c r="H4235" s="195">
        <v>6.5825699999999996</v>
      </c>
      <c r="I4235" s="195"/>
      <c r="J4235" s="195"/>
      <c r="K4235" s="195"/>
      <c r="L4235" s="195"/>
      <c r="M4235" s="195"/>
      <c r="N4235" s="195"/>
    </row>
    <row r="4236" spans="1:14" hidden="1" x14ac:dyDescent="0.35">
      <c r="A4236" s="52" t="s">
        <v>231</v>
      </c>
      <c r="B4236" s="52" t="s">
        <v>37</v>
      </c>
      <c r="C4236" s="52" t="s">
        <v>115</v>
      </c>
      <c r="D4236" s="52" t="s">
        <v>115</v>
      </c>
      <c r="E4236" s="52" t="s">
        <v>584</v>
      </c>
      <c r="F4236" s="52" t="s">
        <v>581</v>
      </c>
      <c r="G4236" s="195" t="s">
        <v>279</v>
      </c>
      <c r="H4236" s="195">
        <v>1.0909580000000001</v>
      </c>
      <c r="I4236" s="195">
        <v>0.28018799999999999</v>
      </c>
      <c r="J4236" s="195">
        <v>0.22140779999999999</v>
      </c>
      <c r="K4236" s="195">
        <v>0.20455039999999999</v>
      </c>
      <c r="L4236" s="195">
        <v>0.19021360000000001</v>
      </c>
      <c r="M4236" s="195">
        <v>0.16822119999999999</v>
      </c>
      <c r="N4236" s="195">
        <v>0.15233820000000001</v>
      </c>
    </row>
    <row r="4237" spans="1:14" hidden="1" x14ac:dyDescent="0.35">
      <c r="A4237" s="52" t="s">
        <v>231</v>
      </c>
      <c r="B4237" s="52" t="s">
        <v>37</v>
      </c>
      <c r="C4237" s="52" t="s">
        <v>115</v>
      </c>
      <c r="D4237" s="52" t="s">
        <v>115</v>
      </c>
      <c r="E4237" s="52" t="s">
        <v>584</v>
      </c>
      <c r="F4237" s="52" t="s">
        <v>26</v>
      </c>
      <c r="G4237" s="195" t="s">
        <v>275</v>
      </c>
      <c r="H4237" s="195">
        <v>-1.8994E-2</v>
      </c>
      <c r="I4237" s="195">
        <v>0.19504879999999999</v>
      </c>
      <c r="J4237" s="195">
        <v>0.20046220000000001</v>
      </c>
      <c r="K4237" s="195">
        <v>0.1175788</v>
      </c>
      <c r="L4237" s="195">
        <v>0.45617560000000001</v>
      </c>
      <c r="M4237" s="195">
        <v>3.258E-3</v>
      </c>
      <c r="N4237" s="195">
        <v>3.375E-3</v>
      </c>
    </row>
    <row r="4238" spans="1:14" hidden="1" x14ac:dyDescent="0.35">
      <c r="A4238" s="52" t="s">
        <v>231</v>
      </c>
      <c r="B4238" s="52" t="s">
        <v>37</v>
      </c>
      <c r="C4238" s="52" t="s">
        <v>115</v>
      </c>
      <c r="D4238" s="52" t="s">
        <v>115</v>
      </c>
      <c r="E4238" s="52" t="s">
        <v>584</v>
      </c>
      <c r="F4238" s="52" t="s">
        <v>26</v>
      </c>
      <c r="G4238" s="195" t="s">
        <v>276</v>
      </c>
      <c r="H4238" s="195">
        <v>-5.0489999999999997E-3</v>
      </c>
      <c r="I4238" s="195">
        <v>-0.18898799999999999</v>
      </c>
      <c r="J4238" s="195">
        <v>-0.19334280000000001</v>
      </c>
      <c r="K4238" s="195">
        <v>-0.1120884</v>
      </c>
      <c r="L4238" s="195">
        <v>-0.45211099999999999</v>
      </c>
      <c r="M4238" s="195">
        <v>8.6540010000000004E-4</v>
      </c>
      <c r="N4238" s="195">
        <v>8.9720000000000002E-4</v>
      </c>
    </row>
    <row r="4239" spans="1:14" hidden="1" x14ac:dyDescent="0.35">
      <c r="A4239" s="52" t="s">
        <v>231</v>
      </c>
      <c r="B4239" s="52" t="s">
        <v>37</v>
      </c>
      <c r="C4239" s="52" t="s">
        <v>115</v>
      </c>
      <c r="D4239" s="52" t="s">
        <v>115</v>
      </c>
      <c r="E4239" s="52" t="s">
        <v>584</v>
      </c>
      <c r="F4239" s="52" t="s">
        <v>26</v>
      </c>
      <c r="G4239" s="195" t="s">
        <v>277</v>
      </c>
      <c r="H4239" s="195"/>
      <c r="I4239" s="195">
        <v>0</v>
      </c>
      <c r="J4239" s="195"/>
      <c r="K4239" s="195"/>
      <c r="L4239" s="195"/>
      <c r="M4239" s="195"/>
      <c r="N4239" s="195"/>
    </row>
    <row r="4240" spans="1:14" hidden="1" x14ac:dyDescent="0.35">
      <c r="A4240" s="52" t="s">
        <v>231</v>
      </c>
      <c r="B4240" s="52" t="s">
        <v>37</v>
      </c>
      <c r="C4240" s="52" t="s">
        <v>115</v>
      </c>
      <c r="D4240" s="52" t="s">
        <v>115</v>
      </c>
      <c r="E4240" s="52" t="s">
        <v>584</v>
      </c>
      <c r="F4240" s="52" t="s">
        <v>26</v>
      </c>
      <c r="G4240" s="195" t="s">
        <v>279</v>
      </c>
      <c r="H4240" s="195">
        <v>5.9965999999999998E-2</v>
      </c>
      <c r="I4240" s="195">
        <v>2.1954399999999999E-2</v>
      </c>
      <c r="J4240" s="195">
        <v>2.18964E-2</v>
      </c>
      <c r="K4240" s="195">
        <v>2.4241800000000001E-2</v>
      </c>
      <c r="L4240" s="195">
        <v>2.6384600000000001E-2</v>
      </c>
      <c r="M4240" s="195">
        <v>2.7042199999999999E-2</v>
      </c>
      <c r="N4240" s="195">
        <v>2.77214E-2</v>
      </c>
    </row>
    <row r="4241" spans="1:14" hidden="1" x14ac:dyDescent="0.35">
      <c r="A4241" s="52" t="s">
        <v>231</v>
      </c>
      <c r="B4241" s="52" t="s">
        <v>37</v>
      </c>
      <c r="C4241" s="52" t="s">
        <v>205</v>
      </c>
      <c r="D4241" s="52" t="s">
        <v>205</v>
      </c>
      <c r="E4241" s="52" t="s">
        <v>654</v>
      </c>
      <c r="F4241" s="52" t="s">
        <v>26</v>
      </c>
      <c r="G4241" s="195" t="s">
        <v>275</v>
      </c>
      <c r="H4241" s="195">
        <v>0.10446900000000001</v>
      </c>
      <c r="I4241" s="195">
        <v>-11.39237</v>
      </c>
      <c r="J4241" s="195">
        <v>-5.7592670000000004</v>
      </c>
      <c r="K4241" s="195">
        <v>-4.0738329999999996</v>
      </c>
      <c r="L4241" s="195">
        <v>-4.1869480000000001</v>
      </c>
      <c r="M4241" s="195">
        <v>-3.0201959999999999</v>
      </c>
      <c r="N4241" s="195">
        <v>-3.2787199999999999</v>
      </c>
    </row>
    <row r="4242" spans="1:14" hidden="1" x14ac:dyDescent="0.35">
      <c r="A4242" s="52" t="s">
        <v>231</v>
      </c>
      <c r="B4242" s="52" t="s">
        <v>37</v>
      </c>
      <c r="C4242" s="52" t="s">
        <v>205</v>
      </c>
      <c r="D4242" s="52" t="s">
        <v>205</v>
      </c>
      <c r="E4242" s="52" t="s">
        <v>654</v>
      </c>
      <c r="F4242" s="52" t="s">
        <v>26</v>
      </c>
      <c r="G4242" s="195" t="s">
        <v>276</v>
      </c>
      <c r="H4242" s="195">
        <v>-0.123735</v>
      </c>
      <c r="I4242" s="195">
        <v>-1.220834</v>
      </c>
      <c r="J4242" s="195">
        <v>-1.7553589999999999</v>
      </c>
      <c r="K4242" s="195">
        <v>-1.4001980000000001</v>
      </c>
      <c r="L4242" s="195">
        <v>-1.449271</v>
      </c>
      <c r="M4242" s="195">
        <v>-1.8999509999999999</v>
      </c>
      <c r="N4242" s="195">
        <v>-1.2239089999999999</v>
      </c>
    </row>
    <row r="4243" spans="1:14" hidden="1" x14ac:dyDescent="0.35">
      <c r="A4243" s="52" t="s">
        <v>231</v>
      </c>
      <c r="B4243" s="52" t="s">
        <v>37</v>
      </c>
      <c r="C4243" s="52" t="s">
        <v>205</v>
      </c>
      <c r="D4243" s="52" t="s">
        <v>205</v>
      </c>
      <c r="E4243" s="52" t="s">
        <v>654</v>
      </c>
      <c r="F4243" s="52" t="s">
        <v>26</v>
      </c>
      <c r="G4243" s="195" t="s">
        <v>277</v>
      </c>
      <c r="H4243" s="195">
        <v>0</v>
      </c>
      <c r="I4243" s="195">
        <v>7.4129360000000002</v>
      </c>
      <c r="J4243" s="195">
        <v>1.92981</v>
      </c>
      <c r="K4243" s="195">
        <v>0.2348758</v>
      </c>
      <c r="L4243" s="195"/>
      <c r="M4243" s="195">
        <v>0</v>
      </c>
      <c r="N4243" s="195">
        <v>0</v>
      </c>
    </row>
    <row r="4244" spans="1:14" hidden="1" x14ac:dyDescent="0.35">
      <c r="A4244" s="52" t="s">
        <v>231</v>
      </c>
      <c r="B4244" s="52" t="s">
        <v>37</v>
      </c>
      <c r="C4244" s="52" t="s">
        <v>205</v>
      </c>
      <c r="D4244" s="52" t="s">
        <v>205</v>
      </c>
      <c r="E4244" s="52" t="s">
        <v>654</v>
      </c>
      <c r="F4244" s="52" t="s">
        <v>26</v>
      </c>
      <c r="G4244" s="195" t="s">
        <v>278</v>
      </c>
      <c r="H4244" s="195">
        <v>0</v>
      </c>
      <c r="I4244" s="195">
        <v>1.6566380000000001</v>
      </c>
      <c r="J4244" s="195">
        <v>1.1086279999999999</v>
      </c>
      <c r="K4244" s="195">
        <v>0.33197159999999998</v>
      </c>
      <c r="L4244" s="195"/>
      <c r="M4244" s="195">
        <v>0</v>
      </c>
      <c r="N4244" s="195"/>
    </row>
    <row r="4245" spans="1:14" hidden="1" x14ac:dyDescent="0.35">
      <c r="A4245" s="52" t="s">
        <v>231</v>
      </c>
      <c r="B4245" s="52" t="s">
        <v>37</v>
      </c>
      <c r="C4245" s="52" t="s">
        <v>205</v>
      </c>
      <c r="D4245" s="52" t="s">
        <v>205</v>
      </c>
      <c r="E4245" s="52" t="s">
        <v>654</v>
      </c>
      <c r="F4245" s="52" t="s">
        <v>26</v>
      </c>
      <c r="G4245" s="195" t="s">
        <v>279</v>
      </c>
      <c r="H4245" s="195">
        <v>4.4297999999999997E-2</v>
      </c>
      <c r="I4245" s="195">
        <v>7.2479019999999998</v>
      </c>
      <c r="J4245" s="195">
        <v>9.6425669999999997</v>
      </c>
      <c r="K4245" s="195">
        <v>10.11115</v>
      </c>
      <c r="L4245" s="195">
        <v>10.223190000000001</v>
      </c>
      <c r="M4245" s="195">
        <v>9.2747879999999991</v>
      </c>
      <c r="N4245" s="195">
        <v>8.4945050000000002</v>
      </c>
    </row>
    <row r="4246" spans="1:14" hidden="1" x14ac:dyDescent="0.35">
      <c r="A4246" s="52" t="s">
        <v>231</v>
      </c>
      <c r="B4246" s="52" t="s">
        <v>37</v>
      </c>
      <c r="C4246" s="52" t="s">
        <v>63</v>
      </c>
      <c r="D4246" s="52" t="s">
        <v>63</v>
      </c>
      <c r="E4246" s="52" t="s">
        <v>655</v>
      </c>
      <c r="F4246" s="52" t="s">
        <v>581</v>
      </c>
      <c r="G4246" s="195" t="s">
        <v>275</v>
      </c>
      <c r="H4246" s="195">
        <v>9.8937999999999998E-2</v>
      </c>
      <c r="I4246" s="195">
        <v>1.33682E-2</v>
      </c>
      <c r="J4246" s="195">
        <v>-0.55867100000000003</v>
      </c>
      <c r="K4246" s="195">
        <v>-0.69608800000000004</v>
      </c>
      <c r="L4246" s="195">
        <v>-0.77405270000000004</v>
      </c>
      <c r="M4246" s="195">
        <v>0.1536476</v>
      </c>
      <c r="N4246" s="195">
        <v>0.11383</v>
      </c>
    </row>
    <row r="4247" spans="1:14" hidden="1" x14ac:dyDescent="0.35">
      <c r="A4247" s="52" t="s">
        <v>231</v>
      </c>
      <c r="B4247" s="52" t="s">
        <v>37</v>
      </c>
      <c r="C4247" s="52" t="s">
        <v>63</v>
      </c>
      <c r="D4247" s="52" t="s">
        <v>63</v>
      </c>
      <c r="E4247" s="52" t="s">
        <v>655</v>
      </c>
      <c r="F4247" s="52" t="s">
        <v>581</v>
      </c>
      <c r="G4247" s="195" t="s">
        <v>276</v>
      </c>
      <c r="H4247" s="195">
        <v>2.63E-2</v>
      </c>
      <c r="I4247" s="195">
        <v>3.5539999999999999E-3</v>
      </c>
      <c r="J4247" s="195">
        <v>0</v>
      </c>
      <c r="K4247" s="195">
        <v>0</v>
      </c>
      <c r="L4247" s="195">
        <v>0</v>
      </c>
      <c r="M4247" s="195">
        <v>0</v>
      </c>
      <c r="N4247" s="195">
        <v>0</v>
      </c>
    </row>
    <row r="4248" spans="1:14" hidden="1" x14ac:dyDescent="0.35">
      <c r="A4248" s="52" t="s">
        <v>231</v>
      </c>
      <c r="B4248" s="52" t="s">
        <v>37</v>
      </c>
      <c r="C4248" s="52" t="s">
        <v>63</v>
      </c>
      <c r="D4248" s="52" t="s">
        <v>63</v>
      </c>
      <c r="E4248" s="52" t="s">
        <v>655</v>
      </c>
      <c r="F4248" s="52" t="s">
        <v>581</v>
      </c>
      <c r="G4248" s="195" t="s">
        <v>277</v>
      </c>
      <c r="H4248" s="195"/>
      <c r="I4248" s="195">
        <v>0</v>
      </c>
      <c r="J4248" s="195">
        <v>0.31536439999999999</v>
      </c>
      <c r="K4248" s="195">
        <v>0.2950412</v>
      </c>
      <c r="L4248" s="195">
        <v>0.46108840000000001</v>
      </c>
      <c r="M4248" s="195">
        <v>0</v>
      </c>
      <c r="N4248" s="195">
        <v>0</v>
      </c>
    </row>
    <row r="4249" spans="1:14" hidden="1" x14ac:dyDescent="0.35">
      <c r="A4249" s="52" t="s">
        <v>231</v>
      </c>
      <c r="B4249" s="52" t="s">
        <v>37</v>
      </c>
      <c r="C4249" s="52" t="s">
        <v>63</v>
      </c>
      <c r="D4249" s="52" t="s">
        <v>63</v>
      </c>
      <c r="E4249" s="52" t="s">
        <v>655</v>
      </c>
      <c r="F4249" s="52" t="s">
        <v>581</v>
      </c>
      <c r="G4249" s="195" t="s">
        <v>278</v>
      </c>
      <c r="H4249" s="195"/>
      <c r="I4249" s="195">
        <v>0</v>
      </c>
      <c r="J4249" s="195">
        <v>0.30707479999999998</v>
      </c>
      <c r="K4249" s="195">
        <v>0.53395610000000004</v>
      </c>
      <c r="L4249" s="195">
        <v>0.48292760000000001</v>
      </c>
      <c r="M4249" s="195">
        <v>0</v>
      </c>
      <c r="N4249" s="195"/>
    </row>
    <row r="4250" spans="1:14" hidden="1" x14ac:dyDescent="0.35">
      <c r="A4250" s="52" t="s">
        <v>231</v>
      </c>
      <c r="B4250" s="52" t="s">
        <v>37</v>
      </c>
      <c r="C4250" s="52" t="s">
        <v>63</v>
      </c>
      <c r="D4250" s="52" t="s">
        <v>63</v>
      </c>
      <c r="E4250" s="52" t="s">
        <v>655</v>
      </c>
      <c r="F4250" s="52" t="s">
        <v>581</v>
      </c>
      <c r="G4250" s="195" t="s">
        <v>279</v>
      </c>
      <c r="H4250" s="195">
        <v>8.1028000000000003E-2</v>
      </c>
      <c r="I4250" s="195">
        <v>1.94942E-2</v>
      </c>
      <c r="J4250" s="195">
        <v>8.7448999999999999E-2</v>
      </c>
      <c r="K4250" s="195">
        <v>0.20026740000000001</v>
      </c>
      <c r="L4250" s="195">
        <v>0.32677600000000001</v>
      </c>
      <c r="M4250" s="195">
        <v>0.28642319999999999</v>
      </c>
      <c r="N4250" s="195">
        <v>0.21175079999999999</v>
      </c>
    </row>
    <row r="4251" spans="1:14" hidden="1" x14ac:dyDescent="0.35">
      <c r="A4251" s="52" t="s">
        <v>231</v>
      </c>
      <c r="B4251" s="52" t="s">
        <v>37</v>
      </c>
      <c r="C4251" s="52" t="s">
        <v>63</v>
      </c>
      <c r="D4251" s="52" t="s">
        <v>63</v>
      </c>
      <c r="E4251" s="52" t="s">
        <v>655</v>
      </c>
      <c r="F4251" s="52" t="s">
        <v>26</v>
      </c>
      <c r="G4251" s="195" t="s">
        <v>275</v>
      </c>
      <c r="H4251" s="195">
        <v>0</v>
      </c>
      <c r="I4251" s="195">
        <v>-1.176E-4</v>
      </c>
      <c r="J4251" s="195">
        <v>1.2120000000000001E-4</v>
      </c>
      <c r="K4251" s="195">
        <v>-9.1799990000000005E-4</v>
      </c>
      <c r="L4251" s="195">
        <v>-6.1916000000000002E-3</v>
      </c>
      <c r="M4251" s="195">
        <v>-5.1246E-3</v>
      </c>
      <c r="N4251" s="195">
        <v>-3.777E-3</v>
      </c>
    </row>
    <row r="4252" spans="1:14" hidden="1" x14ac:dyDescent="0.35">
      <c r="A4252" s="52" t="s">
        <v>231</v>
      </c>
      <c r="B4252" s="52" t="s">
        <v>37</v>
      </c>
      <c r="C4252" s="52" t="s">
        <v>63</v>
      </c>
      <c r="D4252" s="52" t="s">
        <v>63</v>
      </c>
      <c r="E4252" s="52" t="s">
        <v>655</v>
      </c>
      <c r="F4252" s="52" t="s">
        <v>26</v>
      </c>
      <c r="G4252" s="195" t="s">
        <v>276</v>
      </c>
      <c r="H4252" s="195">
        <v>0</v>
      </c>
      <c r="I4252" s="195">
        <v>-3.1000000000000001E-5</v>
      </c>
      <c r="J4252" s="195"/>
      <c r="K4252" s="195">
        <v>0</v>
      </c>
      <c r="L4252" s="195"/>
      <c r="M4252" s="195"/>
      <c r="N4252" s="195">
        <v>0</v>
      </c>
    </row>
    <row r="4253" spans="1:14" hidden="1" x14ac:dyDescent="0.35">
      <c r="A4253" s="52" t="s">
        <v>231</v>
      </c>
      <c r="B4253" s="52" t="s">
        <v>37</v>
      </c>
      <c r="C4253" s="52" t="s">
        <v>63</v>
      </c>
      <c r="D4253" s="52" t="s">
        <v>63</v>
      </c>
      <c r="E4253" s="52" t="s">
        <v>655</v>
      </c>
      <c r="F4253" s="52" t="s">
        <v>26</v>
      </c>
      <c r="G4253" s="195" t="s">
        <v>279</v>
      </c>
      <c r="H4253" s="195">
        <v>0</v>
      </c>
      <c r="I4253" s="195">
        <v>2.9581999999999998E-3</v>
      </c>
      <c r="J4253" s="195">
        <v>1.3221399999999999E-2</v>
      </c>
      <c r="K4253" s="195">
        <v>3.00974E-2</v>
      </c>
      <c r="L4253" s="195">
        <v>4.9389200000000001E-2</v>
      </c>
      <c r="M4253" s="195">
        <v>4.3234399999999999E-2</v>
      </c>
      <c r="N4253" s="195">
        <v>3.1962400000000002E-2</v>
      </c>
    </row>
    <row r="4254" spans="1:14" hidden="1" x14ac:dyDescent="0.35">
      <c r="A4254" s="52" t="s">
        <v>231</v>
      </c>
      <c r="B4254" s="52" t="s">
        <v>37</v>
      </c>
      <c r="C4254" s="52" t="s">
        <v>318</v>
      </c>
      <c r="D4254" s="52" t="s">
        <v>318</v>
      </c>
      <c r="E4254" s="52" t="s">
        <v>584</v>
      </c>
      <c r="F4254" s="52" t="s">
        <v>581</v>
      </c>
      <c r="G4254" s="195" t="s">
        <v>275</v>
      </c>
      <c r="H4254" s="195">
        <v>0</v>
      </c>
      <c r="I4254" s="195"/>
      <c r="J4254" s="195"/>
      <c r="K4254" s="195"/>
      <c r="L4254" s="195"/>
      <c r="M4254" s="195"/>
      <c r="N4254" s="195"/>
    </row>
    <row r="4255" spans="1:14" hidden="1" x14ac:dyDescent="0.35">
      <c r="A4255" s="52" t="s">
        <v>231</v>
      </c>
      <c r="B4255" s="52" t="s">
        <v>37</v>
      </c>
      <c r="C4255" s="52" t="s">
        <v>61</v>
      </c>
      <c r="D4255" s="52" t="s">
        <v>62</v>
      </c>
      <c r="E4255" s="52" t="s">
        <v>584</v>
      </c>
      <c r="F4255" s="52" t="s">
        <v>581</v>
      </c>
      <c r="G4255" s="195" t="s">
        <v>275</v>
      </c>
      <c r="H4255" s="195">
        <v>0</v>
      </c>
      <c r="I4255" s="195"/>
      <c r="J4255" s="195">
        <v>0</v>
      </c>
      <c r="K4255" s="195">
        <v>0</v>
      </c>
      <c r="L4255" s="195">
        <v>0</v>
      </c>
      <c r="M4255" s="195">
        <v>0</v>
      </c>
      <c r="N4255" s="195">
        <v>0</v>
      </c>
    </row>
    <row r="4256" spans="1:14" hidden="1" x14ac:dyDescent="0.35">
      <c r="A4256" s="52" t="s">
        <v>231</v>
      </c>
      <c r="B4256" s="52" t="s">
        <v>37</v>
      </c>
      <c r="C4256" s="52" t="s">
        <v>109</v>
      </c>
      <c r="D4256" s="52" t="s">
        <v>109</v>
      </c>
      <c r="E4256" s="52" t="s">
        <v>584</v>
      </c>
      <c r="F4256" s="52" t="s">
        <v>581</v>
      </c>
      <c r="G4256" s="195" t="s">
        <v>275</v>
      </c>
      <c r="H4256" s="195">
        <v>0</v>
      </c>
      <c r="I4256" s="195"/>
      <c r="J4256" s="195">
        <v>0</v>
      </c>
      <c r="K4256" s="195">
        <v>0</v>
      </c>
      <c r="L4256" s="195">
        <v>0</v>
      </c>
      <c r="M4256" s="195">
        <v>0</v>
      </c>
      <c r="N4256" s="195">
        <v>0</v>
      </c>
    </row>
    <row r="4257" spans="1:14" hidden="1" x14ac:dyDescent="0.35">
      <c r="A4257" s="52" t="s">
        <v>231</v>
      </c>
      <c r="B4257" s="52" t="s">
        <v>37</v>
      </c>
      <c r="C4257" s="52" t="s">
        <v>109</v>
      </c>
      <c r="D4257" s="52" t="s">
        <v>109</v>
      </c>
      <c r="E4257" s="52" t="s">
        <v>584</v>
      </c>
      <c r="F4257" s="52" t="s">
        <v>581</v>
      </c>
      <c r="G4257" s="195" t="s">
        <v>276</v>
      </c>
      <c r="H4257" s="195"/>
      <c r="I4257" s="195"/>
      <c r="J4257" s="195">
        <v>0</v>
      </c>
      <c r="K4257" s="195">
        <v>0</v>
      </c>
      <c r="L4257" s="195">
        <v>0</v>
      </c>
      <c r="M4257" s="195">
        <v>0</v>
      </c>
      <c r="N4257" s="195">
        <v>0</v>
      </c>
    </row>
    <row r="4258" spans="1:14" hidden="1" x14ac:dyDescent="0.35">
      <c r="A4258" s="52" t="s">
        <v>231</v>
      </c>
      <c r="B4258" s="52" t="s">
        <v>37</v>
      </c>
      <c r="C4258" s="52" t="s">
        <v>318</v>
      </c>
      <c r="D4258" s="52" t="s">
        <v>318</v>
      </c>
      <c r="E4258" s="52" t="s">
        <v>584</v>
      </c>
      <c r="F4258" s="52" t="s">
        <v>581</v>
      </c>
      <c r="G4258" s="195" t="s">
        <v>276</v>
      </c>
      <c r="H4258" s="195">
        <v>0</v>
      </c>
      <c r="I4258" s="195"/>
      <c r="J4258" s="195"/>
      <c r="K4258" s="195"/>
      <c r="L4258" s="195"/>
      <c r="M4258" s="195"/>
      <c r="N4258" s="195"/>
    </row>
    <row r="4259" spans="1:14" hidden="1" x14ac:dyDescent="0.35">
      <c r="A4259" s="52" t="s">
        <v>231</v>
      </c>
      <c r="B4259" s="52" t="s">
        <v>37</v>
      </c>
      <c r="C4259" s="52" t="s">
        <v>61</v>
      </c>
      <c r="D4259" s="52" t="s">
        <v>62</v>
      </c>
      <c r="E4259" s="52" t="s">
        <v>584</v>
      </c>
      <c r="F4259" s="52" t="s">
        <v>581</v>
      </c>
      <c r="G4259" s="195" t="s">
        <v>276</v>
      </c>
      <c r="H4259" s="195"/>
      <c r="I4259" s="195"/>
      <c r="J4259" s="195">
        <v>0</v>
      </c>
      <c r="K4259" s="195">
        <v>0</v>
      </c>
      <c r="L4259" s="195">
        <v>0</v>
      </c>
      <c r="M4259" s="195">
        <v>0</v>
      </c>
      <c r="N4259" s="195">
        <v>0</v>
      </c>
    </row>
    <row r="4260" spans="1:14" hidden="1" x14ac:dyDescent="0.35">
      <c r="A4260" s="52" t="s">
        <v>231</v>
      </c>
      <c r="B4260" s="52" t="s">
        <v>37</v>
      </c>
      <c r="C4260" s="52" t="s">
        <v>318</v>
      </c>
      <c r="D4260" s="52" t="s">
        <v>318</v>
      </c>
      <c r="E4260" s="52" t="s">
        <v>584</v>
      </c>
      <c r="F4260" s="52" t="s">
        <v>581</v>
      </c>
      <c r="G4260" s="195" t="s">
        <v>278</v>
      </c>
      <c r="H4260" s="195">
        <v>0</v>
      </c>
      <c r="I4260" s="195"/>
      <c r="J4260" s="195"/>
      <c r="K4260" s="195"/>
      <c r="L4260" s="195"/>
      <c r="M4260" s="195"/>
      <c r="N4260" s="195"/>
    </row>
    <row r="4261" spans="1:14" hidden="1" x14ac:dyDescent="0.35">
      <c r="A4261" s="52" t="s">
        <v>231</v>
      </c>
      <c r="B4261" s="52" t="s">
        <v>37</v>
      </c>
      <c r="C4261" s="52" t="s">
        <v>109</v>
      </c>
      <c r="D4261" s="52" t="s">
        <v>109</v>
      </c>
      <c r="E4261" s="52" t="s">
        <v>584</v>
      </c>
      <c r="F4261" s="52" t="s">
        <v>581</v>
      </c>
      <c r="G4261" s="195" t="s">
        <v>278</v>
      </c>
      <c r="H4261" s="195"/>
      <c r="I4261" s="195"/>
      <c r="J4261" s="195">
        <v>0</v>
      </c>
      <c r="K4261" s="195">
        <v>0</v>
      </c>
      <c r="L4261" s="195">
        <v>0</v>
      </c>
      <c r="M4261" s="195">
        <v>0</v>
      </c>
      <c r="N4261" s="195">
        <v>0</v>
      </c>
    </row>
    <row r="4262" spans="1:14" hidden="1" x14ac:dyDescent="0.35">
      <c r="A4262" s="52" t="s">
        <v>231</v>
      </c>
      <c r="B4262" s="52" t="s">
        <v>37</v>
      </c>
      <c r="C4262" s="52" t="s">
        <v>61</v>
      </c>
      <c r="D4262" s="52" t="s">
        <v>62</v>
      </c>
      <c r="E4262" s="52" t="s">
        <v>584</v>
      </c>
      <c r="F4262" s="52" t="s">
        <v>581</v>
      </c>
      <c r="G4262" s="195" t="s">
        <v>278</v>
      </c>
      <c r="H4262" s="195"/>
      <c r="I4262" s="195"/>
      <c r="J4262" s="195">
        <v>0</v>
      </c>
      <c r="K4262" s="195">
        <v>0</v>
      </c>
      <c r="L4262" s="195">
        <v>0</v>
      </c>
      <c r="M4262" s="195">
        <v>0</v>
      </c>
      <c r="N4262" s="195">
        <v>0</v>
      </c>
    </row>
    <row r="4263" spans="1:14" hidden="1" x14ac:dyDescent="0.35">
      <c r="A4263" s="52" t="s">
        <v>231</v>
      </c>
      <c r="B4263" s="52" t="s">
        <v>37</v>
      </c>
      <c r="C4263" s="52" t="s">
        <v>318</v>
      </c>
      <c r="D4263" s="52" t="s">
        <v>318</v>
      </c>
      <c r="E4263" s="52" t="s">
        <v>584</v>
      </c>
      <c r="F4263" s="52" t="s">
        <v>26</v>
      </c>
      <c r="G4263" s="195" t="s">
        <v>275</v>
      </c>
      <c r="H4263" s="195">
        <v>0</v>
      </c>
      <c r="I4263" s="195"/>
      <c r="J4263" s="195"/>
      <c r="K4263" s="195"/>
      <c r="L4263" s="195"/>
      <c r="M4263" s="195"/>
      <c r="N4263" s="195"/>
    </row>
    <row r="4264" spans="1:14" hidden="1" x14ac:dyDescent="0.35">
      <c r="A4264" s="52" t="s">
        <v>231</v>
      </c>
      <c r="B4264" s="52" t="s">
        <v>37</v>
      </c>
      <c r="C4264" s="52" t="s">
        <v>318</v>
      </c>
      <c r="D4264" s="52" t="s">
        <v>318</v>
      </c>
      <c r="E4264" s="52" t="s">
        <v>584</v>
      </c>
      <c r="F4264" s="52" t="s">
        <v>26</v>
      </c>
      <c r="G4264" s="195" t="s">
        <v>276</v>
      </c>
      <c r="H4264" s="195">
        <v>0</v>
      </c>
      <c r="I4264" s="195"/>
      <c r="J4264" s="195"/>
      <c r="K4264" s="195"/>
      <c r="L4264" s="195"/>
      <c r="M4264" s="195"/>
      <c r="N4264" s="195"/>
    </row>
    <row r="4265" spans="1:14" hidden="1" x14ac:dyDescent="0.35">
      <c r="A4265" s="52" t="s">
        <v>231</v>
      </c>
      <c r="B4265" s="52" t="s">
        <v>37</v>
      </c>
      <c r="C4265" s="52" t="s">
        <v>318</v>
      </c>
      <c r="D4265" s="52" t="s">
        <v>318</v>
      </c>
      <c r="E4265" s="52" t="s">
        <v>584</v>
      </c>
      <c r="F4265" s="52" t="s">
        <v>26</v>
      </c>
      <c r="G4265" s="195" t="s">
        <v>278</v>
      </c>
      <c r="H4265" s="195">
        <v>0</v>
      </c>
      <c r="I4265" s="195"/>
      <c r="J4265" s="195"/>
      <c r="K4265" s="195"/>
      <c r="L4265" s="195"/>
      <c r="M4265" s="195"/>
      <c r="N4265" s="195"/>
    </row>
    <row r="4266" spans="1:14" hidden="1" x14ac:dyDescent="0.35">
      <c r="A4266" s="52" t="s">
        <v>231</v>
      </c>
      <c r="B4266" s="52" t="s">
        <v>34</v>
      </c>
      <c r="C4266" s="52" t="s">
        <v>33</v>
      </c>
      <c r="D4266" s="52" t="s">
        <v>33</v>
      </c>
      <c r="E4266" s="52" t="s">
        <v>622</v>
      </c>
      <c r="F4266" s="52" t="s">
        <v>26</v>
      </c>
      <c r="G4266" s="195" t="s">
        <v>275</v>
      </c>
      <c r="H4266" s="195">
        <v>-0.199684</v>
      </c>
      <c r="I4266" s="195">
        <v>-2.5622780000000001</v>
      </c>
      <c r="J4266" s="195">
        <v>-2.2844250000000001</v>
      </c>
      <c r="K4266" s="195">
        <v>-2.1378409999999999</v>
      </c>
      <c r="L4266" s="195">
        <v>-2.1909879999999999</v>
      </c>
      <c r="M4266" s="195">
        <v>-1.7693000000000001</v>
      </c>
      <c r="N4266" s="195">
        <v>-1.6274709999999999</v>
      </c>
    </row>
    <row r="4267" spans="1:14" hidden="1" x14ac:dyDescent="0.35">
      <c r="A4267" s="52" t="s">
        <v>231</v>
      </c>
      <c r="B4267" s="52" t="s">
        <v>34</v>
      </c>
      <c r="C4267" s="52" t="s">
        <v>33</v>
      </c>
      <c r="D4267" s="52" t="s">
        <v>33</v>
      </c>
      <c r="E4267" s="52" t="s">
        <v>622</v>
      </c>
      <c r="F4267" s="52" t="s">
        <v>26</v>
      </c>
      <c r="G4267" s="195" t="s">
        <v>276</v>
      </c>
      <c r="H4267" s="195">
        <v>-6.6560999999999995E-2</v>
      </c>
      <c r="I4267" s="195">
        <v>-0.85409239999999997</v>
      </c>
      <c r="J4267" s="195">
        <v>-0.76147540000000002</v>
      </c>
      <c r="K4267" s="195">
        <v>-0.71261379999999996</v>
      </c>
      <c r="L4267" s="195">
        <v>-0.73032940000000002</v>
      </c>
      <c r="M4267" s="195">
        <v>-0.58976729999999999</v>
      </c>
      <c r="N4267" s="195">
        <v>-0.54249020000000003</v>
      </c>
    </row>
    <row r="4268" spans="1:14" hidden="1" x14ac:dyDescent="0.35">
      <c r="A4268" s="52" t="s">
        <v>231</v>
      </c>
      <c r="B4268" s="52" t="s">
        <v>34</v>
      </c>
      <c r="C4268" s="52" t="s">
        <v>33</v>
      </c>
      <c r="D4268" s="52" t="s">
        <v>33</v>
      </c>
      <c r="E4268" s="52" t="s">
        <v>622</v>
      </c>
      <c r="F4268" s="52" t="s">
        <v>26</v>
      </c>
      <c r="G4268" s="195" t="s">
        <v>277</v>
      </c>
      <c r="H4268" s="195"/>
      <c r="I4268" s="195"/>
      <c r="J4268" s="195"/>
      <c r="K4268" s="195">
        <v>0</v>
      </c>
      <c r="L4268" s="195"/>
      <c r="M4268" s="195">
        <v>0</v>
      </c>
      <c r="N4268" s="195">
        <v>0</v>
      </c>
    </row>
    <row r="4269" spans="1:14" hidden="1" x14ac:dyDescent="0.35">
      <c r="A4269" s="52" t="s">
        <v>231</v>
      </c>
      <c r="B4269" s="52" t="s">
        <v>34</v>
      </c>
      <c r="C4269" s="52" t="s">
        <v>33</v>
      </c>
      <c r="D4269" s="52" t="s">
        <v>33</v>
      </c>
      <c r="E4269" s="52" t="s">
        <v>622</v>
      </c>
      <c r="F4269" s="52" t="s">
        <v>26</v>
      </c>
      <c r="G4269" s="195" t="s">
        <v>279</v>
      </c>
      <c r="H4269" s="195">
        <v>0.29392800000000002</v>
      </c>
      <c r="I4269" s="195">
        <v>3.722051</v>
      </c>
      <c r="J4269" s="195">
        <v>3.297634</v>
      </c>
      <c r="K4269" s="195">
        <v>3.0833059999999999</v>
      </c>
      <c r="L4269" s="195">
        <v>3.1365419999999999</v>
      </c>
      <c r="M4269" s="195">
        <v>2.5583800000000001</v>
      </c>
      <c r="N4269" s="195">
        <v>2.3534109999999999</v>
      </c>
    </row>
    <row r="4270" spans="1:14" hidden="1" x14ac:dyDescent="0.35">
      <c r="A4270" s="52" t="s">
        <v>231</v>
      </c>
      <c r="B4270" s="52" t="s">
        <v>34</v>
      </c>
      <c r="C4270" s="52" t="s">
        <v>33</v>
      </c>
      <c r="D4270" s="52" t="s">
        <v>33</v>
      </c>
      <c r="E4270" s="52" t="s">
        <v>584</v>
      </c>
      <c r="F4270" s="52" t="s">
        <v>581</v>
      </c>
      <c r="G4270" s="195" t="s">
        <v>275</v>
      </c>
      <c r="H4270" s="195">
        <v>-1.3340579999999999E-3</v>
      </c>
      <c r="I4270" s="195">
        <v>-1.333997E-3</v>
      </c>
      <c r="J4270" s="195">
        <v>-1.067246E-3</v>
      </c>
      <c r="K4270" s="195">
        <v>-1.067246E-3</v>
      </c>
      <c r="L4270" s="195">
        <v>-1.067246E-3</v>
      </c>
      <c r="M4270" s="195">
        <v>-1.067246E-3</v>
      </c>
      <c r="N4270" s="195">
        <v>-1.067246E-3</v>
      </c>
    </row>
    <row r="4271" spans="1:14" hidden="1" x14ac:dyDescent="0.35">
      <c r="A4271" s="52" t="s">
        <v>231</v>
      </c>
      <c r="B4271" s="52" t="s">
        <v>34</v>
      </c>
      <c r="C4271" s="52" t="s">
        <v>33</v>
      </c>
      <c r="D4271" s="52" t="s">
        <v>33</v>
      </c>
      <c r="E4271" s="52" t="s">
        <v>584</v>
      </c>
      <c r="F4271" s="52" t="s">
        <v>581</v>
      </c>
      <c r="G4271" s="195" t="s">
        <v>276</v>
      </c>
      <c r="H4271" s="195">
        <v>-4.9341450000000002E-4</v>
      </c>
      <c r="I4271" s="195">
        <v>-4.9341450000000002E-4</v>
      </c>
      <c r="J4271" s="195">
        <v>-7.6028759999999999E-4</v>
      </c>
      <c r="K4271" s="195">
        <v>-7.6022609999999995E-4</v>
      </c>
      <c r="L4271" s="195">
        <v>-7.6022600000000002E-4</v>
      </c>
      <c r="M4271" s="195">
        <v>-7.6022600000000002E-4</v>
      </c>
      <c r="N4271" s="195">
        <v>-7.6022600000000002E-4</v>
      </c>
    </row>
    <row r="4272" spans="1:14" hidden="1" x14ac:dyDescent="0.35">
      <c r="A4272" s="52" t="s">
        <v>231</v>
      </c>
      <c r="B4272" s="52" t="s">
        <v>34</v>
      </c>
      <c r="C4272" s="52" t="s">
        <v>33</v>
      </c>
      <c r="D4272" s="52" t="s">
        <v>33</v>
      </c>
      <c r="E4272" s="52" t="s">
        <v>584</v>
      </c>
      <c r="F4272" s="52" t="s">
        <v>581</v>
      </c>
      <c r="G4272" s="195" t="s">
        <v>278</v>
      </c>
      <c r="H4272" s="195">
        <v>1.827473E-3</v>
      </c>
      <c r="I4272" s="195">
        <v>1.8274719999999999E-3</v>
      </c>
      <c r="J4272" s="195">
        <v>1.827473E-3</v>
      </c>
      <c r="K4272" s="195">
        <v>1.8274719999999999E-3</v>
      </c>
      <c r="L4272" s="195">
        <v>1.8274719999999999E-3</v>
      </c>
      <c r="M4272" s="195">
        <v>1.827473E-3</v>
      </c>
      <c r="N4272" s="195">
        <v>1.8274719999999999E-3</v>
      </c>
    </row>
    <row r="4273" spans="1:14" hidden="1" x14ac:dyDescent="0.35">
      <c r="A4273" s="52" t="s">
        <v>231</v>
      </c>
      <c r="B4273" s="52" t="s">
        <v>34</v>
      </c>
      <c r="C4273" s="52" t="s">
        <v>263</v>
      </c>
      <c r="D4273" s="52" t="s">
        <v>263</v>
      </c>
      <c r="E4273" s="52" t="s">
        <v>584</v>
      </c>
      <c r="F4273" s="52" t="s">
        <v>581</v>
      </c>
      <c r="G4273" s="195" t="s">
        <v>275</v>
      </c>
      <c r="H4273" s="195">
        <v>-0.29459259999999998</v>
      </c>
      <c r="I4273" s="195">
        <v>-0.33142890000000003</v>
      </c>
      <c r="J4273" s="195">
        <v>4.3602000000000002E-2</v>
      </c>
      <c r="K4273" s="195">
        <v>2.1801000000000001E-2</v>
      </c>
      <c r="L4273" s="195">
        <v>0</v>
      </c>
      <c r="M4273" s="195">
        <v>0</v>
      </c>
      <c r="N4273" s="195">
        <v>0</v>
      </c>
    </row>
    <row r="4274" spans="1:14" hidden="1" x14ac:dyDescent="0.35">
      <c r="A4274" s="52" t="s">
        <v>231</v>
      </c>
      <c r="B4274" s="52" t="s">
        <v>34</v>
      </c>
      <c r="C4274" s="52" t="s">
        <v>263</v>
      </c>
      <c r="D4274" s="52" t="s">
        <v>263</v>
      </c>
      <c r="E4274" s="52" t="s">
        <v>584</v>
      </c>
      <c r="F4274" s="52" t="s">
        <v>581</v>
      </c>
      <c r="G4274" s="195" t="s">
        <v>276</v>
      </c>
      <c r="H4274" s="195">
        <v>-0.17183100000000001</v>
      </c>
      <c r="I4274" s="195">
        <v>-0.1744975</v>
      </c>
      <c r="J4274" s="195">
        <v>-0.45686959999999999</v>
      </c>
      <c r="K4274" s="195">
        <v>-11.53631</v>
      </c>
      <c r="L4274" s="195">
        <v>-12.14029</v>
      </c>
      <c r="M4274" s="195">
        <v>-12.28082</v>
      </c>
      <c r="N4274" s="195">
        <v>-0.20763519999999999</v>
      </c>
    </row>
    <row r="4275" spans="1:14" hidden="1" x14ac:dyDescent="0.35">
      <c r="A4275" s="52" t="s">
        <v>231</v>
      </c>
      <c r="B4275" s="52" t="s">
        <v>34</v>
      </c>
      <c r="C4275" s="52" t="s">
        <v>263</v>
      </c>
      <c r="D4275" s="52" t="s">
        <v>263</v>
      </c>
      <c r="E4275" s="52" t="s">
        <v>584</v>
      </c>
      <c r="F4275" s="52" t="s">
        <v>581</v>
      </c>
      <c r="G4275" s="195" t="s">
        <v>277</v>
      </c>
      <c r="H4275" s="195"/>
      <c r="I4275" s="195"/>
      <c r="J4275" s="195"/>
      <c r="K4275" s="195"/>
      <c r="L4275" s="195"/>
      <c r="M4275" s="195">
        <v>0</v>
      </c>
      <c r="N4275" s="195">
        <v>6.163319E-4</v>
      </c>
    </row>
    <row r="4276" spans="1:14" hidden="1" x14ac:dyDescent="0.35">
      <c r="A4276" s="52" t="s">
        <v>231</v>
      </c>
      <c r="B4276" s="52" t="s">
        <v>34</v>
      </c>
      <c r="C4276" s="52" t="s">
        <v>263</v>
      </c>
      <c r="D4276" s="52" t="s">
        <v>263</v>
      </c>
      <c r="E4276" s="52" t="s">
        <v>584</v>
      </c>
      <c r="F4276" s="52" t="s">
        <v>581</v>
      </c>
      <c r="G4276" s="195" t="s">
        <v>278</v>
      </c>
      <c r="H4276" s="195">
        <v>0.46642420000000001</v>
      </c>
      <c r="I4276" s="195">
        <v>0.50592570000000003</v>
      </c>
      <c r="J4276" s="195">
        <v>0.45686959999999999</v>
      </c>
      <c r="K4276" s="195">
        <v>11.536300000000001</v>
      </c>
      <c r="L4276" s="195">
        <v>12.14029</v>
      </c>
      <c r="M4276" s="195">
        <v>12.28082</v>
      </c>
      <c r="N4276" s="195">
        <v>0.20701849999999999</v>
      </c>
    </row>
    <row r="4277" spans="1:14" hidden="1" x14ac:dyDescent="0.35">
      <c r="A4277" s="52" t="s">
        <v>231</v>
      </c>
      <c r="B4277" s="52" t="s">
        <v>34</v>
      </c>
      <c r="C4277" s="52" t="s">
        <v>302</v>
      </c>
      <c r="D4277" s="52" t="s">
        <v>302</v>
      </c>
      <c r="E4277" s="52" t="s">
        <v>584</v>
      </c>
      <c r="F4277" s="52" t="s">
        <v>581</v>
      </c>
      <c r="G4277" s="195" t="s">
        <v>275</v>
      </c>
      <c r="H4277" s="195">
        <v>-3.560658E-3</v>
      </c>
      <c r="I4277" s="195">
        <v>-3.560658E-3</v>
      </c>
      <c r="J4277" s="195">
        <v>1.124931E-3</v>
      </c>
      <c r="K4277" s="195">
        <v>5.6249160000000002E-4</v>
      </c>
      <c r="L4277" s="195">
        <v>0</v>
      </c>
      <c r="M4277" s="195">
        <v>0</v>
      </c>
      <c r="N4277" s="195">
        <v>0</v>
      </c>
    </row>
    <row r="4278" spans="1:14" hidden="1" x14ac:dyDescent="0.35">
      <c r="A4278" s="52" t="s">
        <v>231</v>
      </c>
      <c r="B4278" s="52" t="s">
        <v>34</v>
      </c>
      <c r="C4278" s="52" t="s">
        <v>302</v>
      </c>
      <c r="D4278" s="52" t="s">
        <v>302</v>
      </c>
      <c r="E4278" s="52" t="s">
        <v>584</v>
      </c>
      <c r="F4278" s="52" t="s">
        <v>581</v>
      </c>
      <c r="G4278" s="195" t="s">
        <v>276</v>
      </c>
      <c r="H4278" s="195">
        <v>-2.9391360000000002E-3</v>
      </c>
      <c r="I4278" s="195">
        <v>-2.9390330000000002E-3</v>
      </c>
      <c r="J4278" s="195">
        <v>-2.5526519999999999E-3</v>
      </c>
      <c r="K4278" s="195">
        <v>-3.7378210000000002E-2</v>
      </c>
      <c r="L4278" s="195">
        <v>-2.5525999999999999E-3</v>
      </c>
      <c r="M4278" s="195">
        <v>-2.5525999999999999E-3</v>
      </c>
      <c r="N4278" s="195">
        <v>-2.5526519999999999E-3</v>
      </c>
    </row>
    <row r="4279" spans="1:14" hidden="1" x14ac:dyDescent="0.35">
      <c r="A4279" s="52" t="s">
        <v>231</v>
      </c>
      <c r="B4279" s="52" t="s">
        <v>34</v>
      </c>
      <c r="C4279" s="52" t="s">
        <v>302</v>
      </c>
      <c r="D4279" s="52" t="s">
        <v>302</v>
      </c>
      <c r="E4279" s="52" t="s">
        <v>584</v>
      </c>
      <c r="F4279" s="52" t="s">
        <v>581</v>
      </c>
      <c r="G4279" s="195" t="s">
        <v>278</v>
      </c>
      <c r="H4279" s="195">
        <v>6.4997429999999997E-3</v>
      </c>
      <c r="I4279" s="195">
        <v>6.4997420000000002E-3</v>
      </c>
      <c r="J4279" s="195">
        <v>2.5526009999999998E-3</v>
      </c>
      <c r="K4279" s="195">
        <v>3.7378109999999999E-2</v>
      </c>
      <c r="L4279" s="195">
        <v>2.5525999999999999E-3</v>
      </c>
      <c r="M4279" s="195">
        <v>2.5526009999999998E-3</v>
      </c>
      <c r="N4279" s="195">
        <v>2.5526009999999998E-3</v>
      </c>
    </row>
    <row r="4280" spans="1:14" hidden="1" x14ac:dyDescent="0.35">
      <c r="A4280" s="52" t="s">
        <v>231</v>
      </c>
      <c r="B4280" s="52" t="s">
        <v>34</v>
      </c>
      <c r="C4280" s="52" t="s">
        <v>289</v>
      </c>
      <c r="D4280" s="52" t="s">
        <v>289</v>
      </c>
      <c r="E4280" s="52" t="s">
        <v>584</v>
      </c>
      <c r="F4280" s="52" t="s">
        <v>581</v>
      </c>
      <c r="G4280" s="195" t="s">
        <v>275</v>
      </c>
      <c r="H4280" s="195">
        <v>-9.9135000000000001E-2</v>
      </c>
      <c r="I4280" s="195">
        <v>-9.9135000000000001E-2</v>
      </c>
      <c r="J4280" s="195">
        <v>0</v>
      </c>
      <c r="K4280" s="195">
        <v>0</v>
      </c>
      <c r="L4280" s="195">
        <v>0</v>
      </c>
      <c r="M4280" s="195">
        <v>0</v>
      </c>
      <c r="N4280" s="195">
        <v>0</v>
      </c>
    </row>
    <row r="4281" spans="1:14" hidden="1" x14ac:dyDescent="0.35">
      <c r="A4281" s="52" t="s">
        <v>231</v>
      </c>
      <c r="B4281" s="52" t="s">
        <v>34</v>
      </c>
      <c r="C4281" s="52" t="s">
        <v>289</v>
      </c>
      <c r="D4281" s="52" t="s">
        <v>289</v>
      </c>
      <c r="E4281" s="52" t="s">
        <v>584</v>
      </c>
      <c r="F4281" s="52" t="s">
        <v>581</v>
      </c>
      <c r="G4281" s="195" t="s">
        <v>276</v>
      </c>
      <c r="H4281" s="195">
        <v>-4.2486000000000003E-2</v>
      </c>
      <c r="I4281" s="195">
        <v>-4.2486000000000003E-2</v>
      </c>
      <c r="J4281" s="195">
        <v>-0.141623</v>
      </c>
      <c r="K4281" s="195">
        <v>-0.141622</v>
      </c>
      <c r="L4281" s="195">
        <v>-0.141622</v>
      </c>
      <c r="M4281" s="195">
        <v>-2.46455</v>
      </c>
      <c r="N4281" s="195">
        <v>-0.141622</v>
      </c>
    </row>
    <row r="4282" spans="1:14" hidden="1" x14ac:dyDescent="0.35">
      <c r="A4282" s="52" t="s">
        <v>231</v>
      </c>
      <c r="B4282" s="52" t="s">
        <v>34</v>
      </c>
      <c r="C4282" s="52" t="s">
        <v>289</v>
      </c>
      <c r="D4282" s="52" t="s">
        <v>289</v>
      </c>
      <c r="E4282" s="52" t="s">
        <v>584</v>
      </c>
      <c r="F4282" s="52" t="s">
        <v>581</v>
      </c>
      <c r="G4282" s="195" t="s">
        <v>278</v>
      </c>
      <c r="H4282" s="195">
        <v>0.141622</v>
      </c>
      <c r="I4282" s="195">
        <v>0.141622</v>
      </c>
      <c r="J4282" s="195">
        <v>0.141622</v>
      </c>
      <c r="K4282" s="195">
        <v>0.141622</v>
      </c>
      <c r="L4282" s="195">
        <v>0.141622</v>
      </c>
      <c r="M4282" s="195">
        <v>2.4645510000000002</v>
      </c>
      <c r="N4282" s="195">
        <v>0.141622</v>
      </c>
    </row>
    <row r="4283" spans="1:14" hidden="1" x14ac:dyDescent="0.35">
      <c r="A4283" s="52" t="s">
        <v>231</v>
      </c>
      <c r="B4283" s="52" t="s">
        <v>34</v>
      </c>
      <c r="C4283" s="52" t="s">
        <v>384</v>
      </c>
      <c r="D4283" s="52" t="s">
        <v>384</v>
      </c>
      <c r="E4283" s="52" t="s">
        <v>584</v>
      </c>
      <c r="F4283" s="52" t="s">
        <v>581</v>
      </c>
      <c r="G4283" s="195" t="s">
        <v>275</v>
      </c>
      <c r="H4283" s="195">
        <v>-0.18811600000000001</v>
      </c>
      <c r="I4283" s="195">
        <v>-0.18811800000000001</v>
      </c>
      <c r="J4283" s="195">
        <v>0</v>
      </c>
      <c r="K4283" s="195">
        <v>0</v>
      </c>
      <c r="L4283" s="195">
        <v>0</v>
      </c>
      <c r="M4283" s="195">
        <v>0</v>
      </c>
      <c r="N4283" s="195">
        <v>0</v>
      </c>
    </row>
    <row r="4284" spans="1:14" hidden="1" x14ac:dyDescent="0.35">
      <c r="A4284" s="52" t="s">
        <v>231</v>
      </c>
      <c r="B4284" s="52" t="s">
        <v>34</v>
      </c>
      <c r="C4284" s="52" t="s">
        <v>384</v>
      </c>
      <c r="D4284" s="52" t="s">
        <v>384</v>
      </c>
      <c r="E4284" s="52" t="s">
        <v>584</v>
      </c>
      <c r="F4284" s="52" t="s">
        <v>581</v>
      </c>
      <c r="G4284" s="195" t="s">
        <v>276</v>
      </c>
      <c r="H4284" s="195">
        <v>-8.0621010000000007E-2</v>
      </c>
      <c r="I4284" s="195">
        <v>-8.0620999999999998E-2</v>
      </c>
      <c r="J4284" s="195">
        <v>-1.303795</v>
      </c>
      <c r="K4284" s="195">
        <v>-0.48457899999999998</v>
      </c>
      <c r="L4284" s="195">
        <v>-0.26873799999999998</v>
      </c>
      <c r="M4284" s="195">
        <v>-0.26873799999999998</v>
      </c>
      <c r="N4284" s="195">
        <v>-0.26873900000000001</v>
      </c>
    </row>
    <row r="4285" spans="1:14" hidden="1" x14ac:dyDescent="0.35">
      <c r="A4285" s="52" t="s">
        <v>231</v>
      </c>
      <c r="B4285" s="52" t="s">
        <v>34</v>
      </c>
      <c r="C4285" s="52" t="s">
        <v>384</v>
      </c>
      <c r="D4285" s="52" t="s">
        <v>384</v>
      </c>
      <c r="E4285" s="52" t="s">
        <v>584</v>
      </c>
      <c r="F4285" s="52" t="s">
        <v>581</v>
      </c>
      <c r="G4285" s="195" t="s">
        <v>278</v>
      </c>
      <c r="H4285" s="195">
        <v>0.26873799999999998</v>
      </c>
      <c r="I4285" s="195">
        <v>0.26873799999999998</v>
      </c>
      <c r="J4285" s="195">
        <v>1.303796</v>
      </c>
      <c r="K4285" s="195">
        <v>0.48458000000000001</v>
      </c>
      <c r="L4285" s="195">
        <v>0.26873799999999998</v>
      </c>
      <c r="M4285" s="195">
        <v>0.26873799999999998</v>
      </c>
      <c r="N4285" s="195">
        <v>0.26873799999999998</v>
      </c>
    </row>
    <row r="4286" spans="1:14" hidden="1" x14ac:dyDescent="0.35">
      <c r="A4286" s="52" t="s">
        <v>231</v>
      </c>
      <c r="B4286" s="52" t="s">
        <v>34</v>
      </c>
      <c r="C4286" s="52" t="s">
        <v>313</v>
      </c>
      <c r="D4286" s="52" t="s">
        <v>313</v>
      </c>
      <c r="E4286" s="52" t="s">
        <v>584</v>
      </c>
      <c r="F4286" s="52" t="s">
        <v>581</v>
      </c>
      <c r="G4286" s="195" t="s">
        <v>275</v>
      </c>
      <c r="H4286" s="195">
        <v>-9.5166000000000001E-2</v>
      </c>
      <c r="I4286" s="195">
        <v>-9.5166000000000001E-2</v>
      </c>
      <c r="J4286" s="195">
        <v>0</v>
      </c>
      <c r="K4286" s="195">
        <v>0</v>
      </c>
      <c r="L4286" s="195">
        <v>0</v>
      </c>
      <c r="M4286" s="195">
        <v>0</v>
      </c>
      <c r="N4286" s="195">
        <v>0</v>
      </c>
    </row>
    <row r="4287" spans="1:14" hidden="1" x14ac:dyDescent="0.35">
      <c r="A4287" s="52" t="s">
        <v>231</v>
      </c>
      <c r="B4287" s="52" t="s">
        <v>34</v>
      </c>
      <c r="C4287" s="52" t="s">
        <v>313</v>
      </c>
      <c r="D4287" s="52" t="s">
        <v>313</v>
      </c>
      <c r="E4287" s="52" t="s">
        <v>584</v>
      </c>
      <c r="F4287" s="52" t="s">
        <v>581</v>
      </c>
      <c r="G4287" s="195" t="s">
        <v>276</v>
      </c>
      <c r="H4287" s="195">
        <v>-4.0786000000000003E-2</v>
      </c>
      <c r="I4287" s="195">
        <v>-4.0785000000000002E-2</v>
      </c>
      <c r="J4287" s="195">
        <v>-0.58319699999999997</v>
      </c>
      <c r="K4287" s="195">
        <v>-0.229217</v>
      </c>
      <c r="L4287" s="195">
        <v>-0.13595099999999999</v>
      </c>
      <c r="M4287" s="195">
        <v>-0.13594999999999999</v>
      </c>
      <c r="N4287" s="195">
        <v>-0.13595099999999999</v>
      </c>
    </row>
    <row r="4288" spans="1:14" hidden="1" x14ac:dyDescent="0.35">
      <c r="A4288" s="52" t="s">
        <v>231</v>
      </c>
      <c r="B4288" s="52" t="s">
        <v>34</v>
      </c>
      <c r="C4288" s="52" t="s">
        <v>313</v>
      </c>
      <c r="D4288" s="52" t="s">
        <v>313</v>
      </c>
      <c r="E4288" s="52" t="s">
        <v>584</v>
      </c>
      <c r="F4288" s="52" t="s">
        <v>581</v>
      </c>
      <c r="G4288" s="195" t="s">
        <v>278</v>
      </c>
      <c r="H4288" s="195">
        <v>0.13595099999999999</v>
      </c>
      <c r="I4288" s="195">
        <v>0.13595099999999999</v>
      </c>
      <c r="J4288" s="195">
        <v>0.58319900000000002</v>
      </c>
      <c r="K4288" s="195">
        <v>0.229216</v>
      </c>
      <c r="L4288" s="195">
        <v>0.13595099999999999</v>
      </c>
      <c r="M4288" s="195">
        <v>0.13595099999999999</v>
      </c>
      <c r="N4288" s="195">
        <v>0.13595099999999999</v>
      </c>
    </row>
    <row r="4289" spans="1:14" hidden="1" x14ac:dyDescent="0.35">
      <c r="A4289" s="52" t="s">
        <v>231</v>
      </c>
      <c r="B4289" s="52" t="s">
        <v>34</v>
      </c>
      <c r="C4289" s="52" t="s">
        <v>341</v>
      </c>
      <c r="D4289" s="52" t="s">
        <v>341</v>
      </c>
      <c r="E4289" s="52" t="s">
        <v>584</v>
      </c>
      <c r="F4289" s="52" t="s">
        <v>581</v>
      </c>
      <c r="G4289" s="195" t="s">
        <v>275</v>
      </c>
      <c r="H4289" s="195">
        <v>-2.442041E-2</v>
      </c>
      <c r="I4289" s="195">
        <v>-6.5560579999999993E-2</v>
      </c>
      <c r="J4289" s="195">
        <v>-1.8227370000000001E-3</v>
      </c>
      <c r="K4289" s="195">
        <v>-1.822798E-3</v>
      </c>
      <c r="L4289" s="195">
        <v>-1.8227989999999999E-3</v>
      </c>
      <c r="M4289" s="195">
        <v>-4.2730199999999998E-3</v>
      </c>
      <c r="N4289" s="195">
        <v>-4.2730820000000001E-3</v>
      </c>
    </row>
    <row r="4290" spans="1:14" hidden="1" x14ac:dyDescent="0.35">
      <c r="A4290" s="52" t="s">
        <v>231</v>
      </c>
      <c r="B4290" s="52" t="s">
        <v>34</v>
      </c>
      <c r="C4290" s="52" t="s">
        <v>341</v>
      </c>
      <c r="D4290" s="52" t="s">
        <v>341</v>
      </c>
      <c r="E4290" s="52" t="s">
        <v>584</v>
      </c>
      <c r="F4290" s="52" t="s">
        <v>581</v>
      </c>
      <c r="G4290" s="195" t="s">
        <v>276</v>
      </c>
      <c r="H4290" s="195">
        <v>-9.0323839999999992E-3</v>
      </c>
      <c r="I4290" s="195">
        <v>-1.2010089999999999E-2</v>
      </c>
      <c r="J4290" s="195">
        <v>-3.1630610000000003E-2</v>
      </c>
      <c r="K4290" s="195">
        <v>-4.9430969999999998E-2</v>
      </c>
      <c r="L4290" s="195">
        <v>-3.632933E-2</v>
      </c>
      <c r="M4290" s="195">
        <v>-2.9179409999999999E-2</v>
      </c>
      <c r="N4290" s="195">
        <v>-2.9179710000000001E-2</v>
      </c>
    </row>
    <row r="4291" spans="1:14" hidden="1" x14ac:dyDescent="0.35">
      <c r="A4291" s="52" t="s">
        <v>231</v>
      </c>
      <c r="B4291" s="52" t="s">
        <v>34</v>
      </c>
      <c r="C4291" s="52" t="s">
        <v>341</v>
      </c>
      <c r="D4291" s="52" t="s">
        <v>341</v>
      </c>
      <c r="E4291" s="52" t="s">
        <v>584</v>
      </c>
      <c r="F4291" s="52" t="s">
        <v>581</v>
      </c>
      <c r="G4291" s="195" t="s">
        <v>278</v>
      </c>
      <c r="H4291" s="195">
        <v>3.3452849999999999E-2</v>
      </c>
      <c r="I4291" s="195">
        <v>7.7571200000000007E-2</v>
      </c>
      <c r="J4291" s="195">
        <v>3.3452849999999999E-2</v>
      </c>
      <c r="K4291" s="195">
        <v>5.1253769999999997E-2</v>
      </c>
      <c r="L4291" s="195">
        <v>3.8152190000000002E-2</v>
      </c>
      <c r="M4291" s="195">
        <v>3.3452849999999999E-2</v>
      </c>
      <c r="N4291" s="195">
        <v>3.3452849999999999E-2</v>
      </c>
    </row>
    <row r="4292" spans="1:14" hidden="1" x14ac:dyDescent="0.35">
      <c r="A4292" s="52" t="s">
        <v>231</v>
      </c>
      <c r="B4292" s="52" t="s">
        <v>34</v>
      </c>
      <c r="C4292" s="52" t="s">
        <v>308</v>
      </c>
      <c r="D4292" s="52" t="s">
        <v>308</v>
      </c>
      <c r="E4292" s="52" t="s">
        <v>584</v>
      </c>
      <c r="F4292" s="52" t="s">
        <v>581</v>
      </c>
      <c r="G4292" s="195" t="s">
        <v>275</v>
      </c>
      <c r="H4292" s="195">
        <v>-1.28355E-2</v>
      </c>
      <c r="I4292" s="195">
        <v>-1.28355E-2</v>
      </c>
      <c r="J4292" s="195">
        <v>0</v>
      </c>
      <c r="K4292" s="195">
        <v>0</v>
      </c>
      <c r="L4292" s="195">
        <v>0</v>
      </c>
      <c r="M4292" s="195">
        <v>0</v>
      </c>
      <c r="N4292" s="195">
        <v>0</v>
      </c>
    </row>
    <row r="4293" spans="1:14" hidden="1" x14ac:dyDescent="0.35">
      <c r="A4293" s="52" t="s">
        <v>231</v>
      </c>
      <c r="B4293" s="52" t="s">
        <v>34</v>
      </c>
      <c r="C4293" s="52" t="s">
        <v>308</v>
      </c>
      <c r="D4293" s="52" t="s">
        <v>308</v>
      </c>
      <c r="E4293" s="52" t="s">
        <v>584</v>
      </c>
      <c r="F4293" s="52" t="s">
        <v>581</v>
      </c>
      <c r="G4293" s="195" t="s">
        <v>276</v>
      </c>
      <c r="H4293" s="195">
        <v>-4.7472299999999999E-3</v>
      </c>
      <c r="I4293" s="195">
        <v>-4.7474120000000003E-3</v>
      </c>
      <c r="J4293" s="195">
        <v>-1.758291E-2</v>
      </c>
      <c r="K4293" s="195">
        <v>-1.758291E-2</v>
      </c>
      <c r="L4293" s="195">
        <v>-1.758291E-2</v>
      </c>
      <c r="M4293" s="195">
        <v>-1.758291E-2</v>
      </c>
      <c r="N4293" s="195">
        <v>-2.480712</v>
      </c>
    </row>
    <row r="4294" spans="1:14" hidden="1" x14ac:dyDescent="0.35">
      <c r="A4294" s="52" t="s">
        <v>231</v>
      </c>
      <c r="B4294" s="52" t="s">
        <v>34</v>
      </c>
      <c r="C4294" s="52" t="s">
        <v>308</v>
      </c>
      <c r="D4294" s="52" t="s">
        <v>308</v>
      </c>
      <c r="E4294" s="52" t="s">
        <v>584</v>
      </c>
      <c r="F4294" s="52" t="s">
        <v>581</v>
      </c>
      <c r="G4294" s="195" t="s">
        <v>278</v>
      </c>
      <c r="H4294" s="195">
        <v>1.758291E-2</v>
      </c>
      <c r="I4294" s="195">
        <v>1.758291E-2</v>
      </c>
      <c r="J4294" s="195">
        <v>1.758291E-2</v>
      </c>
      <c r="K4294" s="195">
        <v>1.758291E-2</v>
      </c>
      <c r="L4294" s="195">
        <v>1.758291E-2</v>
      </c>
      <c r="M4294" s="195">
        <v>1.758291E-2</v>
      </c>
      <c r="N4294" s="195">
        <v>2.480712</v>
      </c>
    </row>
    <row r="4295" spans="1:14" hidden="1" x14ac:dyDescent="0.35">
      <c r="A4295" s="52" t="s">
        <v>231</v>
      </c>
      <c r="B4295" s="52" t="s">
        <v>34</v>
      </c>
      <c r="C4295" s="52" t="s">
        <v>296</v>
      </c>
      <c r="D4295" s="52" t="s">
        <v>296</v>
      </c>
      <c r="E4295" s="52" t="s">
        <v>584</v>
      </c>
      <c r="F4295" s="52" t="s">
        <v>581</v>
      </c>
      <c r="G4295" s="195" t="s">
        <v>275</v>
      </c>
      <c r="H4295" s="195">
        <v>-5.6940059999999997E-3</v>
      </c>
      <c r="I4295" s="195">
        <v>-5.6939010000000003E-3</v>
      </c>
      <c r="J4295" s="195">
        <v>0</v>
      </c>
      <c r="K4295" s="195">
        <v>0</v>
      </c>
      <c r="L4295" s="195">
        <v>0</v>
      </c>
      <c r="M4295" s="195">
        <v>0</v>
      </c>
      <c r="N4295" s="195">
        <v>0</v>
      </c>
    </row>
    <row r="4296" spans="1:14" hidden="1" x14ac:dyDescent="0.35">
      <c r="A4296" s="52" t="s">
        <v>231</v>
      </c>
      <c r="B4296" s="52" t="s">
        <v>34</v>
      </c>
      <c r="C4296" s="52" t="s">
        <v>296</v>
      </c>
      <c r="D4296" s="52" t="s">
        <v>296</v>
      </c>
      <c r="E4296" s="52" t="s">
        <v>584</v>
      </c>
      <c r="F4296" s="52" t="s">
        <v>581</v>
      </c>
      <c r="G4296" s="195" t="s">
        <v>276</v>
      </c>
      <c r="H4296" s="195">
        <v>-2.1060160000000001E-3</v>
      </c>
      <c r="I4296" s="195">
        <v>-2.1060160000000001E-3</v>
      </c>
      <c r="J4296" s="195">
        <v>-8.2190500000000003E-3</v>
      </c>
      <c r="K4296" s="195">
        <v>-7.8000220000000002E-3</v>
      </c>
      <c r="L4296" s="195">
        <v>-7.8000220000000002E-3</v>
      </c>
      <c r="M4296" s="195">
        <v>-7.799917E-3</v>
      </c>
      <c r="N4296" s="195">
        <v>-7.8000220000000002E-3</v>
      </c>
    </row>
    <row r="4297" spans="1:14" hidden="1" x14ac:dyDescent="0.35">
      <c r="A4297" s="52" t="s">
        <v>231</v>
      </c>
      <c r="B4297" s="52" t="s">
        <v>34</v>
      </c>
      <c r="C4297" s="52" t="s">
        <v>296</v>
      </c>
      <c r="D4297" s="52" t="s">
        <v>296</v>
      </c>
      <c r="E4297" s="52" t="s">
        <v>584</v>
      </c>
      <c r="F4297" s="52" t="s">
        <v>581</v>
      </c>
      <c r="G4297" s="195" t="s">
        <v>278</v>
      </c>
      <c r="H4297" s="195">
        <v>7.8000220000000002E-3</v>
      </c>
      <c r="I4297" s="195">
        <v>7.8000220000000002E-3</v>
      </c>
      <c r="J4297" s="195">
        <v>8.2190490000000008E-3</v>
      </c>
      <c r="K4297" s="195">
        <v>7.8000220000000002E-3</v>
      </c>
      <c r="L4297" s="195">
        <v>7.8000220000000002E-3</v>
      </c>
      <c r="M4297" s="195">
        <v>7.8000220000000002E-3</v>
      </c>
      <c r="N4297" s="195">
        <v>7.8000220000000002E-3</v>
      </c>
    </row>
    <row r="4298" spans="1:14" hidden="1" x14ac:dyDescent="0.35">
      <c r="A4298" s="52" t="s">
        <v>231</v>
      </c>
      <c r="B4298" s="52" t="s">
        <v>34</v>
      </c>
      <c r="C4298" s="52" t="s">
        <v>292</v>
      </c>
      <c r="D4298" s="52" t="s">
        <v>292</v>
      </c>
      <c r="E4298" s="52" t="s">
        <v>584</v>
      </c>
      <c r="F4298" s="52" t="s">
        <v>581</v>
      </c>
      <c r="G4298" s="195" t="s">
        <v>275</v>
      </c>
      <c r="H4298" s="195">
        <v>-1.7511569999999999E-3</v>
      </c>
      <c r="I4298" s="195">
        <v>-1.751105E-3</v>
      </c>
      <c r="J4298" s="195">
        <v>0</v>
      </c>
      <c r="K4298" s="195">
        <v>0</v>
      </c>
      <c r="L4298" s="195">
        <v>0</v>
      </c>
      <c r="M4298" s="195">
        <v>0</v>
      </c>
      <c r="N4298" s="195">
        <v>0</v>
      </c>
    </row>
    <row r="4299" spans="1:14" hidden="1" x14ac:dyDescent="0.35">
      <c r="A4299" s="52" t="s">
        <v>231</v>
      </c>
      <c r="B4299" s="52" t="s">
        <v>34</v>
      </c>
      <c r="C4299" s="52" t="s">
        <v>292</v>
      </c>
      <c r="D4299" s="52" t="s">
        <v>292</v>
      </c>
      <c r="E4299" s="52" t="s">
        <v>584</v>
      </c>
      <c r="F4299" s="52" t="s">
        <v>581</v>
      </c>
      <c r="G4299" s="195" t="s">
        <v>276</v>
      </c>
      <c r="H4299" s="195">
        <v>-6.4764909999999996E-4</v>
      </c>
      <c r="I4299" s="195">
        <v>-6.4764909999999996E-4</v>
      </c>
      <c r="J4299" s="195">
        <v>-6.3657980000000003E-2</v>
      </c>
      <c r="K4299" s="195">
        <v>-2.3988049999999999E-3</v>
      </c>
      <c r="L4299" s="195">
        <v>-2.3988049999999999E-3</v>
      </c>
      <c r="M4299" s="195">
        <v>-2.3988049999999999E-3</v>
      </c>
      <c r="N4299" s="195">
        <v>-2.3988059999999999E-3</v>
      </c>
    </row>
    <row r="4300" spans="1:14" hidden="1" x14ac:dyDescent="0.35">
      <c r="A4300" s="52" t="s">
        <v>231</v>
      </c>
      <c r="B4300" s="52" t="s">
        <v>34</v>
      </c>
      <c r="C4300" s="52" t="s">
        <v>292</v>
      </c>
      <c r="D4300" s="52" t="s">
        <v>292</v>
      </c>
      <c r="E4300" s="52" t="s">
        <v>584</v>
      </c>
      <c r="F4300" s="52" t="s">
        <v>581</v>
      </c>
      <c r="G4300" s="195" t="s">
        <v>278</v>
      </c>
      <c r="H4300" s="195">
        <v>2.3988049999999999E-3</v>
      </c>
      <c r="I4300" s="195">
        <v>2.3988049999999999E-3</v>
      </c>
      <c r="J4300" s="195">
        <v>6.3657980000000003E-2</v>
      </c>
      <c r="K4300" s="195">
        <v>2.3988049999999999E-3</v>
      </c>
      <c r="L4300" s="195">
        <v>2.3988049999999999E-3</v>
      </c>
      <c r="M4300" s="195">
        <v>2.3988049999999999E-3</v>
      </c>
      <c r="N4300" s="195">
        <v>2.3988049999999999E-3</v>
      </c>
    </row>
    <row r="4301" spans="1:14" hidden="1" x14ac:dyDescent="0.35">
      <c r="A4301" s="52" t="s">
        <v>231</v>
      </c>
      <c r="B4301" s="52" t="s">
        <v>34</v>
      </c>
      <c r="C4301" s="52" t="s">
        <v>66</v>
      </c>
      <c r="D4301" s="52" t="s">
        <v>66</v>
      </c>
      <c r="E4301" s="52" t="s">
        <v>584</v>
      </c>
      <c r="F4301" s="52" t="s">
        <v>581</v>
      </c>
      <c r="G4301" s="195" t="s">
        <v>275</v>
      </c>
      <c r="H4301" s="195">
        <v>-4.2470249999999998E-3</v>
      </c>
      <c r="I4301" s="195">
        <v>-4.2470249999999998E-3</v>
      </c>
      <c r="J4301" s="195">
        <v>0</v>
      </c>
      <c r="K4301" s="195">
        <v>0</v>
      </c>
      <c r="L4301" s="195">
        <v>0</v>
      </c>
      <c r="M4301" s="195">
        <v>0</v>
      </c>
      <c r="N4301" s="195">
        <v>0</v>
      </c>
    </row>
    <row r="4302" spans="1:14" hidden="1" x14ac:dyDescent="0.35">
      <c r="A4302" s="52" t="s">
        <v>231</v>
      </c>
      <c r="B4302" s="52" t="s">
        <v>34</v>
      </c>
      <c r="C4302" s="52" t="s">
        <v>318</v>
      </c>
      <c r="D4302" s="52" t="s">
        <v>318</v>
      </c>
      <c r="E4302" s="52" t="s">
        <v>584</v>
      </c>
      <c r="F4302" s="52" t="s">
        <v>581</v>
      </c>
      <c r="G4302" s="195" t="s">
        <v>275</v>
      </c>
      <c r="H4302" s="195">
        <v>0</v>
      </c>
      <c r="I4302" s="195"/>
      <c r="J4302" s="195"/>
      <c r="K4302" s="195"/>
      <c r="L4302" s="195"/>
      <c r="M4302" s="195"/>
      <c r="N4302" s="195"/>
    </row>
    <row r="4303" spans="1:14" hidden="1" x14ac:dyDescent="0.35">
      <c r="A4303" s="52" t="s">
        <v>231</v>
      </c>
      <c r="B4303" s="52" t="s">
        <v>34</v>
      </c>
      <c r="C4303" s="52" t="s">
        <v>66</v>
      </c>
      <c r="D4303" s="52" t="s">
        <v>66</v>
      </c>
      <c r="E4303" s="52" t="s">
        <v>584</v>
      </c>
      <c r="F4303" s="52" t="s">
        <v>581</v>
      </c>
      <c r="G4303" s="195" t="s">
        <v>276</v>
      </c>
      <c r="H4303" s="195"/>
      <c r="I4303" s="195"/>
      <c r="J4303" s="195">
        <v>-4.2470249999999998E-3</v>
      </c>
      <c r="K4303" s="195">
        <v>-0.50041340000000001</v>
      </c>
      <c r="L4303" s="195">
        <v>-4.2470249999999998E-3</v>
      </c>
      <c r="M4303" s="195">
        <v>-4.2470249999999998E-3</v>
      </c>
      <c r="N4303" s="195">
        <v>-4.2470249999999998E-3</v>
      </c>
    </row>
    <row r="4304" spans="1:14" hidden="1" x14ac:dyDescent="0.35">
      <c r="A4304" s="52" t="s">
        <v>231</v>
      </c>
      <c r="B4304" s="52" t="s">
        <v>34</v>
      </c>
      <c r="C4304" s="52" t="s">
        <v>318</v>
      </c>
      <c r="D4304" s="52" t="s">
        <v>318</v>
      </c>
      <c r="E4304" s="52" t="s">
        <v>584</v>
      </c>
      <c r="F4304" s="52" t="s">
        <v>581</v>
      </c>
      <c r="G4304" s="195" t="s">
        <v>276</v>
      </c>
      <c r="H4304" s="195">
        <v>0</v>
      </c>
      <c r="I4304" s="195"/>
      <c r="J4304" s="195"/>
      <c r="K4304" s="195"/>
      <c r="L4304" s="195"/>
      <c r="M4304" s="195"/>
      <c r="N4304" s="195"/>
    </row>
    <row r="4305" spans="1:14" hidden="1" x14ac:dyDescent="0.35">
      <c r="A4305" s="52" t="s">
        <v>231</v>
      </c>
      <c r="B4305" s="52" t="s">
        <v>34</v>
      </c>
      <c r="C4305" s="52" t="s">
        <v>66</v>
      </c>
      <c r="D4305" s="52" t="s">
        <v>66</v>
      </c>
      <c r="E4305" s="52" t="s">
        <v>584</v>
      </c>
      <c r="F4305" s="52" t="s">
        <v>581</v>
      </c>
      <c r="G4305" s="195" t="s">
        <v>277</v>
      </c>
      <c r="H4305" s="195"/>
      <c r="I4305" s="195"/>
      <c r="J4305" s="195"/>
      <c r="K4305" s="195"/>
      <c r="L4305" s="195"/>
      <c r="M4305" s="195"/>
      <c r="N4305" s="195">
        <v>0</v>
      </c>
    </row>
    <row r="4306" spans="1:14" hidden="1" x14ac:dyDescent="0.35">
      <c r="A4306" s="52" t="s">
        <v>231</v>
      </c>
      <c r="B4306" s="52" t="s">
        <v>34</v>
      </c>
      <c r="C4306" s="52" t="s">
        <v>66</v>
      </c>
      <c r="D4306" s="52" t="s">
        <v>66</v>
      </c>
      <c r="E4306" s="52" t="s">
        <v>584</v>
      </c>
      <c r="F4306" s="52" t="s">
        <v>581</v>
      </c>
      <c r="G4306" s="195" t="s">
        <v>278</v>
      </c>
      <c r="H4306" s="195">
        <v>4.2470249999999998E-3</v>
      </c>
      <c r="I4306" s="195">
        <v>4.2470249999999998E-3</v>
      </c>
      <c r="J4306" s="195">
        <v>4.2470249999999998E-3</v>
      </c>
      <c r="K4306" s="195">
        <v>0.50041340000000001</v>
      </c>
      <c r="L4306" s="195">
        <v>4.2470249999999998E-3</v>
      </c>
      <c r="M4306" s="195">
        <v>4.2470249999999998E-3</v>
      </c>
      <c r="N4306" s="195">
        <v>4.2470249999999998E-3</v>
      </c>
    </row>
    <row r="4307" spans="1:14" hidden="1" x14ac:dyDescent="0.35">
      <c r="A4307" s="52" t="s">
        <v>231</v>
      </c>
      <c r="B4307" s="52" t="s">
        <v>34</v>
      </c>
      <c r="C4307" s="52" t="s">
        <v>318</v>
      </c>
      <c r="D4307" s="52" t="s">
        <v>318</v>
      </c>
      <c r="E4307" s="52" t="s">
        <v>584</v>
      </c>
      <c r="F4307" s="52" t="s">
        <v>581</v>
      </c>
      <c r="G4307" s="195" t="s">
        <v>278</v>
      </c>
      <c r="H4307" s="195">
        <v>0</v>
      </c>
      <c r="I4307" s="195"/>
      <c r="J4307" s="195"/>
      <c r="K4307" s="195"/>
      <c r="L4307" s="195"/>
      <c r="M4307" s="195"/>
      <c r="N4307" s="195"/>
    </row>
    <row r="4308" spans="1:14" hidden="1" x14ac:dyDescent="0.35">
      <c r="A4308" s="52" t="s">
        <v>231</v>
      </c>
      <c r="B4308" s="52" t="s">
        <v>34</v>
      </c>
      <c r="C4308" s="52" t="s">
        <v>318</v>
      </c>
      <c r="D4308" s="52" t="s">
        <v>318</v>
      </c>
      <c r="E4308" s="52" t="s">
        <v>584</v>
      </c>
      <c r="F4308" s="52" t="s">
        <v>26</v>
      </c>
      <c r="G4308" s="195" t="s">
        <v>275</v>
      </c>
      <c r="H4308" s="195">
        <v>-4.7126249999999998E-3</v>
      </c>
      <c r="I4308" s="195">
        <v>-4.7126249999999998E-3</v>
      </c>
      <c r="J4308" s="195">
        <v>0</v>
      </c>
      <c r="K4308" s="195">
        <v>0</v>
      </c>
      <c r="L4308" s="195">
        <v>0</v>
      </c>
      <c r="M4308" s="195">
        <v>0</v>
      </c>
      <c r="N4308" s="195">
        <v>0</v>
      </c>
    </row>
    <row r="4309" spans="1:14" hidden="1" x14ac:dyDescent="0.35">
      <c r="A4309" s="52" t="s">
        <v>231</v>
      </c>
      <c r="B4309" s="52" t="s">
        <v>34</v>
      </c>
      <c r="C4309" s="52" t="s">
        <v>318</v>
      </c>
      <c r="D4309" s="52" t="s">
        <v>318</v>
      </c>
      <c r="E4309" s="52" t="s">
        <v>584</v>
      </c>
      <c r="F4309" s="52" t="s">
        <v>26</v>
      </c>
      <c r="G4309" s="195" t="s">
        <v>276</v>
      </c>
      <c r="H4309" s="195">
        <v>0</v>
      </c>
      <c r="I4309" s="195"/>
      <c r="J4309" s="195"/>
      <c r="K4309" s="195"/>
      <c r="L4309" s="195"/>
      <c r="M4309" s="195"/>
      <c r="N4309" s="195"/>
    </row>
    <row r="4310" spans="1:14" hidden="1" x14ac:dyDescent="0.35">
      <c r="A4310" s="52" t="s">
        <v>231</v>
      </c>
      <c r="B4310" s="52" t="s">
        <v>34</v>
      </c>
      <c r="C4310" s="52" t="s">
        <v>318</v>
      </c>
      <c r="D4310" s="52" t="s">
        <v>318</v>
      </c>
      <c r="E4310" s="52" t="s">
        <v>584</v>
      </c>
      <c r="F4310" s="52" t="s">
        <v>26</v>
      </c>
      <c r="G4310" s="195" t="s">
        <v>277</v>
      </c>
      <c r="H4310" s="195"/>
      <c r="I4310" s="195"/>
      <c r="J4310" s="195"/>
      <c r="K4310" s="195"/>
      <c r="L4310" s="195"/>
      <c r="M4310" s="195">
        <v>0</v>
      </c>
      <c r="N4310" s="195">
        <v>0</v>
      </c>
    </row>
    <row r="4311" spans="1:14" hidden="1" x14ac:dyDescent="0.35">
      <c r="A4311" s="52" t="s">
        <v>231</v>
      </c>
      <c r="B4311" s="52" t="s">
        <v>34</v>
      </c>
      <c r="C4311" s="52" t="s">
        <v>318</v>
      </c>
      <c r="D4311" s="52" t="s">
        <v>318</v>
      </c>
      <c r="E4311" s="52" t="s">
        <v>584</v>
      </c>
      <c r="F4311" s="52" t="s">
        <v>26</v>
      </c>
      <c r="G4311" s="195" t="s">
        <v>278</v>
      </c>
      <c r="H4311" s="195">
        <v>4.7126249999999998E-3</v>
      </c>
      <c r="I4311" s="195">
        <v>4.7126249999999998E-3</v>
      </c>
      <c r="J4311" s="195">
        <v>0</v>
      </c>
      <c r="K4311" s="195">
        <v>0</v>
      </c>
      <c r="L4311" s="195">
        <v>0</v>
      </c>
      <c r="M4311" s="195">
        <v>0</v>
      </c>
      <c r="N4311" s="195">
        <v>0</v>
      </c>
    </row>
    <row r="4312" spans="1:14" hidden="1" x14ac:dyDescent="0.35">
      <c r="A4312" s="52" t="s">
        <v>231</v>
      </c>
      <c r="B4312" s="52" t="s">
        <v>34</v>
      </c>
      <c r="C4312" s="52" t="s">
        <v>57</v>
      </c>
      <c r="D4312" s="52" t="s">
        <v>57</v>
      </c>
      <c r="E4312" s="52" t="s">
        <v>584</v>
      </c>
      <c r="F4312" s="52" t="s">
        <v>581</v>
      </c>
      <c r="G4312" s="195" t="s">
        <v>275</v>
      </c>
      <c r="H4312" s="195">
        <v>-5.0309899999999999E-3</v>
      </c>
      <c r="I4312" s="195">
        <v>-5.0309899999999999E-3</v>
      </c>
      <c r="J4312" s="195">
        <v>0</v>
      </c>
      <c r="K4312" s="195">
        <v>0</v>
      </c>
      <c r="L4312" s="195">
        <v>0</v>
      </c>
      <c r="M4312" s="195">
        <v>0</v>
      </c>
      <c r="N4312" s="195">
        <v>0</v>
      </c>
    </row>
    <row r="4313" spans="1:14" hidden="1" x14ac:dyDescent="0.35">
      <c r="A4313" s="52" t="s">
        <v>231</v>
      </c>
      <c r="B4313" s="52" t="s">
        <v>34</v>
      </c>
      <c r="C4313" s="52" t="s">
        <v>57</v>
      </c>
      <c r="D4313" s="52" t="s">
        <v>57</v>
      </c>
      <c r="E4313" s="52" t="s">
        <v>584</v>
      </c>
      <c r="F4313" s="52" t="s">
        <v>581</v>
      </c>
      <c r="G4313" s="195" t="s">
        <v>276</v>
      </c>
      <c r="H4313" s="195">
        <v>-1.8607999999999999E-3</v>
      </c>
      <c r="I4313" s="195">
        <v>-1.8607999999999999E-3</v>
      </c>
      <c r="J4313" s="195">
        <v>-1.1978630000000001E-2</v>
      </c>
      <c r="K4313" s="195">
        <v>-6.8917900000000001E-3</v>
      </c>
      <c r="L4313" s="195">
        <v>-6.8917090000000002E-3</v>
      </c>
      <c r="M4313" s="195">
        <v>-6.8917910000000004E-3</v>
      </c>
      <c r="N4313" s="195">
        <v>-6.8917090000000002E-3</v>
      </c>
    </row>
    <row r="4314" spans="1:14" hidden="1" x14ac:dyDescent="0.35">
      <c r="A4314" s="52" t="s">
        <v>231</v>
      </c>
      <c r="B4314" s="52" t="s">
        <v>34</v>
      </c>
      <c r="C4314" s="52" t="s">
        <v>57</v>
      </c>
      <c r="D4314" s="52" t="s">
        <v>57</v>
      </c>
      <c r="E4314" s="52" t="s">
        <v>584</v>
      </c>
      <c r="F4314" s="52" t="s">
        <v>581</v>
      </c>
      <c r="G4314" s="195" t="s">
        <v>278</v>
      </c>
      <c r="H4314" s="195">
        <v>6.8917090000000002E-3</v>
      </c>
      <c r="I4314" s="195">
        <v>6.8917090000000002E-3</v>
      </c>
      <c r="J4314" s="195">
        <v>1.197871E-2</v>
      </c>
      <c r="K4314" s="195">
        <v>6.8917090000000002E-3</v>
      </c>
      <c r="L4314" s="195">
        <v>6.8917090000000002E-3</v>
      </c>
      <c r="M4314" s="195">
        <v>6.8917090000000002E-3</v>
      </c>
      <c r="N4314" s="195">
        <v>6.8917090000000002E-3</v>
      </c>
    </row>
    <row r="4315" spans="1:14" hidden="1" x14ac:dyDescent="0.35">
      <c r="A4315" s="52" t="s">
        <v>231</v>
      </c>
      <c r="B4315" s="52" t="s">
        <v>34</v>
      </c>
      <c r="C4315" s="52" t="s">
        <v>381</v>
      </c>
      <c r="D4315" s="52" t="s">
        <v>381</v>
      </c>
      <c r="E4315" s="52" t="s">
        <v>584</v>
      </c>
      <c r="F4315" s="52" t="s">
        <v>581</v>
      </c>
      <c r="G4315" s="195" t="s">
        <v>275</v>
      </c>
      <c r="H4315" s="195">
        <v>-5.7695999999999997E-2</v>
      </c>
      <c r="I4315" s="195">
        <v>-5.7695999999999997E-2</v>
      </c>
      <c r="J4315" s="195">
        <v>0</v>
      </c>
      <c r="K4315" s="195">
        <v>0</v>
      </c>
      <c r="L4315" s="195">
        <v>0</v>
      </c>
      <c r="M4315" s="195">
        <v>0</v>
      </c>
      <c r="N4315" s="195">
        <v>0</v>
      </c>
    </row>
    <row r="4316" spans="1:14" hidden="1" x14ac:dyDescent="0.35">
      <c r="A4316" s="52" t="s">
        <v>231</v>
      </c>
      <c r="B4316" s="52" t="s">
        <v>34</v>
      </c>
      <c r="C4316" s="52" t="s">
        <v>381</v>
      </c>
      <c r="D4316" s="52" t="s">
        <v>381</v>
      </c>
      <c r="E4316" s="52" t="s">
        <v>584</v>
      </c>
      <c r="F4316" s="52" t="s">
        <v>581</v>
      </c>
      <c r="G4316" s="195" t="s">
        <v>276</v>
      </c>
      <c r="H4316" s="195">
        <v>-2.1339500000000001E-2</v>
      </c>
      <c r="I4316" s="195">
        <v>-2.1339500000000001E-2</v>
      </c>
      <c r="J4316" s="195">
        <v>-0.45440449999999999</v>
      </c>
      <c r="K4316" s="195">
        <v>-8.1112500000000004E-2</v>
      </c>
      <c r="L4316" s="195">
        <v>-7.903549E-2</v>
      </c>
      <c r="M4316" s="195">
        <v>-7.9035010000000003E-2</v>
      </c>
      <c r="N4316" s="195">
        <v>-7.9035499999999995E-2</v>
      </c>
    </row>
    <row r="4317" spans="1:14" hidden="1" x14ac:dyDescent="0.35">
      <c r="A4317" s="52" t="s">
        <v>231</v>
      </c>
      <c r="B4317" s="52" t="s">
        <v>34</v>
      </c>
      <c r="C4317" s="52" t="s">
        <v>381</v>
      </c>
      <c r="D4317" s="52" t="s">
        <v>381</v>
      </c>
      <c r="E4317" s="52" t="s">
        <v>584</v>
      </c>
      <c r="F4317" s="52" t="s">
        <v>581</v>
      </c>
      <c r="G4317" s="195" t="s">
        <v>278</v>
      </c>
      <c r="H4317" s="195">
        <v>7.9035499999999995E-2</v>
      </c>
      <c r="I4317" s="195">
        <v>7.9035499999999995E-2</v>
      </c>
      <c r="J4317" s="195">
        <v>0.45440399999999997</v>
      </c>
      <c r="K4317" s="195">
        <v>8.1112000000000004E-2</v>
      </c>
      <c r="L4317" s="195">
        <v>7.9035499999999995E-2</v>
      </c>
      <c r="M4317" s="195">
        <v>7.9035499999999995E-2</v>
      </c>
      <c r="N4317" s="195">
        <v>7.9035510000000003E-2</v>
      </c>
    </row>
    <row r="4318" spans="1:14" hidden="1" x14ac:dyDescent="0.35">
      <c r="A4318" s="52" t="s">
        <v>680</v>
      </c>
      <c r="B4318" s="52" t="s">
        <v>73</v>
      </c>
      <c r="C4318" s="52" t="s">
        <v>97</v>
      </c>
      <c r="D4318" s="52" t="s">
        <v>98</v>
      </c>
      <c r="E4318" s="52" t="s">
        <v>584</v>
      </c>
      <c r="F4318" s="52" t="s">
        <v>581</v>
      </c>
      <c r="G4318" s="195" t="s">
        <v>275</v>
      </c>
      <c r="H4318" s="195">
        <v>124.6748</v>
      </c>
      <c r="I4318" s="195">
        <v>215.8159</v>
      </c>
      <c r="J4318" s="195">
        <v>468.29500000000002</v>
      </c>
      <c r="K4318" s="195">
        <v>561.13890000000004</v>
      </c>
      <c r="L4318" s="195">
        <v>516.59770000000003</v>
      </c>
      <c r="M4318" s="195">
        <v>435.5915</v>
      </c>
      <c r="N4318" s="195">
        <v>337.88150000000002</v>
      </c>
    </row>
    <row r="4319" spans="1:14" hidden="1" x14ac:dyDescent="0.35">
      <c r="A4319" s="52" t="s">
        <v>680</v>
      </c>
      <c r="B4319" s="52" t="s">
        <v>73</v>
      </c>
      <c r="C4319" s="52" t="s">
        <v>97</v>
      </c>
      <c r="D4319" s="52" t="s">
        <v>98</v>
      </c>
      <c r="E4319" s="52" t="s">
        <v>584</v>
      </c>
      <c r="F4319" s="52" t="s">
        <v>581</v>
      </c>
      <c r="G4319" s="195" t="s">
        <v>276</v>
      </c>
      <c r="H4319" s="195">
        <v>405.47089999999997</v>
      </c>
      <c r="I4319" s="195">
        <v>156.71629999999999</v>
      </c>
      <c r="J4319" s="195">
        <v>220.3272</v>
      </c>
      <c r="K4319" s="195">
        <v>226.5712</v>
      </c>
      <c r="L4319" s="195">
        <v>536.15890000000002</v>
      </c>
      <c r="M4319" s="195">
        <v>609.5172</v>
      </c>
      <c r="N4319" s="195">
        <v>712.09079999999994</v>
      </c>
    </row>
    <row r="4320" spans="1:14" hidden="1" x14ac:dyDescent="0.35">
      <c r="A4320" s="52" t="s">
        <v>680</v>
      </c>
      <c r="B4320" s="52" t="s">
        <v>73</v>
      </c>
      <c r="C4320" s="52" t="s">
        <v>97</v>
      </c>
      <c r="D4320" s="52" t="s">
        <v>98</v>
      </c>
      <c r="E4320" s="52" t="s">
        <v>584</v>
      </c>
      <c r="F4320" s="52" t="s">
        <v>581</v>
      </c>
      <c r="G4320" s="195" t="s">
        <v>277</v>
      </c>
      <c r="H4320" s="195">
        <v>846.54960000000005</v>
      </c>
      <c r="I4320" s="195">
        <v>672.26940000000002</v>
      </c>
      <c r="J4320" s="195">
        <v>355.69450000000001</v>
      </c>
      <c r="K4320" s="195">
        <v>138.99529999999999</v>
      </c>
      <c r="L4320" s="195">
        <v>134.91120000000001</v>
      </c>
      <c r="M4320" s="195">
        <v>148.19980000000001</v>
      </c>
      <c r="N4320" s="195">
        <v>153.1651</v>
      </c>
    </row>
    <row r="4321" spans="1:14" hidden="1" x14ac:dyDescent="0.35">
      <c r="A4321" s="52" t="s">
        <v>680</v>
      </c>
      <c r="B4321" s="52" t="s">
        <v>73</v>
      </c>
      <c r="C4321" s="52" t="s">
        <v>97</v>
      </c>
      <c r="D4321" s="52" t="s">
        <v>98</v>
      </c>
      <c r="E4321" s="52" t="s">
        <v>584</v>
      </c>
      <c r="F4321" s="52" t="s">
        <v>581</v>
      </c>
      <c r="G4321" s="195" t="s">
        <v>278</v>
      </c>
      <c r="H4321" s="195">
        <v>142.35329999999999</v>
      </c>
      <c r="I4321" s="195">
        <v>61.308950000000003</v>
      </c>
      <c r="J4321" s="195">
        <v>5.8510200000000001</v>
      </c>
      <c r="K4321" s="195">
        <v>0.60615580000000002</v>
      </c>
      <c r="L4321" s="195">
        <v>0.54381650000000004</v>
      </c>
      <c r="M4321" s="195">
        <v>0.88975610000000005</v>
      </c>
      <c r="N4321" s="195">
        <v>0.88975610000000005</v>
      </c>
    </row>
    <row r="4322" spans="1:14" hidden="1" x14ac:dyDescent="0.35">
      <c r="A4322" s="52" t="s">
        <v>680</v>
      </c>
      <c r="B4322" s="52" t="s">
        <v>73</v>
      </c>
      <c r="C4322" s="52" t="s">
        <v>97</v>
      </c>
      <c r="D4322" s="52" t="s">
        <v>98</v>
      </c>
      <c r="E4322" s="52" t="s">
        <v>584</v>
      </c>
      <c r="F4322" s="52" t="s">
        <v>581</v>
      </c>
      <c r="G4322" s="195" t="s">
        <v>279</v>
      </c>
      <c r="H4322" s="195">
        <v>107.3912</v>
      </c>
      <c r="I4322" s="195">
        <v>181.49520000000001</v>
      </c>
      <c r="J4322" s="195">
        <v>195.68559999999999</v>
      </c>
      <c r="K4322" s="195">
        <v>256.67399999999998</v>
      </c>
      <c r="L4322" s="195">
        <v>319.53289999999998</v>
      </c>
      <c r="M4322" s="195">
        <v>321.93310000000002</v>
      </c>
      <c r="N4322" s="195">
        <v>325.0856</v>
      </c>
    </row>
    <row r="4323" spans="1:14" hidden="1" x14ac:dyDescent="0.35">
      <c r="A4323" s="52" t="s">
        <v>680</v>
      </c>
      <c r="B4323" s="52" t="s">
        <v>73</v>
      </c>
      <c r="C4323" s="52" t="s">
        <v>97</v>
      </c>
      <c r="D4323" s="52" t="s">
        <v>98</v>
      </c>
      <c r="E4323" s="52" t="s">
        <v>584</v>
      </c>
      <c r="F4323" s="52" t="s">
        <v>26</v>
      </c>
      <c r="G4323" s="195" t="s">
        <v>275</v>
      </c>
      <c r="H4323" s="195">
        <v>1.0893630000000001</v>
      </c>
      <c r="I4323" s="195">
        <v>0.25083080000000002</v>
      </c>
      <c r="J4323" s="195">
        <v>16.316870000000002</v>
      </c>
      <c r="K4323" s="195">
        <v>12.0252</v>
      </c>
      <c r="L4323" s="195">
        <v>10.73962</v>
      </c>
      <c r="M4323" s="195">
        <v>9.9769089999999991</v>
      </c>
      <c r="N4323" s="195">
        <v>7.8703260000000004</v>
      </c>
    </row>
    <row r="4324" spans="1:14" hidden="1" x14ac:dyDescent="0.35">
      <c r="A4324" s="52" t="s">
        <v>680</v>
      </c>
      <c r="B4324" s="52" t="s">
        <v>73</v>
      </c>
      <c r="C4324" s="52" t="s">
        <v>97</v>
      </c>
      <c r="D4324" s="52" t="s">
        <v>98</v>
      </c>
      <c r="E4324" s="52" t="s">
        <v>584</v>
      </c>
      <c r="F4324" s="52" t="s">
        <v>26</v>
      </c>
      <c r="G4324" s="195" t="s">
        <v>276</v>
      </c>
      <c r="H4324" s="195">
        <v>1.763925</v>
      </c>
      <c r="I4324" s="195">
        <v>9.1158560000000008</v>
      </c>
      <c r="J4324" s="195">
        <v>20.476900000000001</v>
      </c>
      <c r="K4324" s="195">
        <v>12.65917</v>
      </c>
      <c r="L4324" s="195">
        <v>14.76562</v>
      </c>
      <c r="M4324" s="195">
        <v>16.500019999999999</v>
      </c>
      <c r="N4324" s="195">
        <v>18.90485</v>
      </c>
    </row>
    <row r="4325" spans="1:14" hidden="1" x14ac:dyDescent="0.35">
      <c r="A4325" s="52" t="s">
        <v>680</v>
      </c>
      <c r="B4325" s="52" t="s">
        <v>73</v>
      </c>
      <c r="C4325" s="52" t="s">
        <v>97</v>
      </c>
      <c r="D4325" s="52" t="s">
        <v>98</v>
      </c>
      <c r="E4325" s="52" t="s">
        <v>584</v>
      </c>
      <c r="F4325" s="52" t="s">
        <v>26</v>
      </c>
      <c r="G4325" s="195" t="s">
        <v>277</v>
      </c>
      <c r="H4325" s="195">
        <v>13.821820000000001</v>
      </c>
      <c r="I4325" s="195">
        <v>17.23854</v>
      </c>
      <c r="J4325" s="195">
        <v>1.2870710000000001</v>
      </c>
      <c r="K4325" s="195">
        <v>3.1097199999999998E-2</v>
      </c>
      <c r="L4325" s="195">
        <v>2.9000000000000001E-2</v>
      </c>
      <c r="M4325" s="195">
        <v>2.9000000000000001E-2</v>
      </c>
      <c r="N4325" s="195">
        <v>0.57999999999999996</v>
      </c>
    </row>
    <row r="4326" spans="1:14" hidden="1" x14ac:dyDescent="0.35">
      <c r="A4326" s="52" t="s">
        <v>680</v>
      </c>
      <c r="B4326" s="52" t="s">
        <v>73</v>
      </c>
      <c r="C4326" s="52" t="s">
        <v>97</v>
      </c>
      <c r="D4326" s="52" t="s">
        <v>98</v>
      </c>
      <c r="E4326" s="52" t="s">
        <v>584</v>
      </c>
      <c r="F4326" s="52" t="s">
        <v>26</v>
      </c>
      <c r="G4326" s="195" t="s">
        <v>278</v>
      </c>
      <c r="H4326" s="195">
        <v>15.64256</v>
      </c>
      <c r="I4326" s="195">
        <v>1.0515979999999999E-2</v>
      </c>
      <c r="J4326" s="195">
        <v>8.2818000000000006E-3</v>
      </c>
      <c r="K4326" s="195">
        <v>6.9937990000000002E-3</v>
      </c>
      <c r="L4326" s="195">
        <v>6.2746E-3</v>
      </c>
      <c r="M4326" s="195">
        <v>1.289E-2</v>
      </c>
      <c r="N4326" s="195">
        <v>1.289E-2</v>
      </c>
    </row>
    <row r="4327" spans="1:14" hidden="1" x14ac:dyDescent="0.35">
      <c r="A4327" s="52" t="s">
        <v>680</v>
      </c>
      <c r="B4327" s="52" t="s">
        <v>73</v>
      </c>
      <c r="C4327" s="52" t="s">
        <v>97</v>
      </c>
      <c r="D4327" s="52" t="s">
        <v>98</v>
      </c>
      <c r="E4327" s="52" t="s">
        <v>584</v>
      </c>
      <c r="F4327" s="52" t="s">
        <v>26</v>
      </c>
      <c r="G4327" s="195" t="s">
        <v>279</v>
      </c>
      <c r="H4327" s="195">
        <v>29.159700000000001</v>
      </c>
      <c r="I4327" s="195">
        <v>40.45185</v>
      </c>
      <c r="J4327" s="195">
        <v>41.538420000000002</v>
      </c>
      <c r="K4327" s="195">
        <v>49.09216</v>
      </c>
      <c r="L4327" s="195">
        <v>47.331240000000001</v>
      </c>
      <c r="M4327" s="195">
        <v>49.168959999999998</v>
      </c>
      <c r="N4327" s="195">
        <v>50.612670000000001</v>
      </c>
    </row>
    <row r="4328" spans="1:14" hidden="1" x14ac:dyDescent="0.35">
      <c r="A4328" s="52" t="s">
        <v>680</v>
      </c>
      <c r="B4328" s="52" t="s">
        <v>73</v>
      </c>
      <c r="C4328" s="52" t="s">
        <v>97</v>
      </c>
      <c r="D4328" s="52" t="s">
        <v>171</v>
      </c>
      <c r="E4328" s="52" t="s">
        <v>584</v>
      </c>
      <c r="F4328" s="52" t="s">
        <v>581</v>
      </c>
      <c r="G4328" s="195" t="s">
        <v>275</v>
      </c>
      <c r="H4328" s="195">
        <v>-5.0699999999999999E-3</v>
      </c>
      <c r="I4328" s="195">
        <v>-1.5690000000000001E-3</v>
      </c>
      <c r="J4328" s="195">
        <v>0</v>
      </c>
      <c r="K4328" s="195">
        <v>0</v>
      </c>
      <c r="L4328" s="195">
        <v>0</v>
      </c>
      <c r="M4328" s="195">
        <v>0</v>
      </c>
      <c r="N4328" s="195">
        <v>0</v>
      </c>
    </row>
    <row r="4329" spans="1:14" hidden="1" x14ac:dyDescent="0.35">
      <c r="A4329" s="52" t="s">
        <v>680</v>
      </c>
      <c r="B4329" s="52" t="s">
        <v>73</v>
      </c>
      <c r="C4329" s="52" t="s">
        <v>97</v>
      </c>
      <c r="D4329" s="52" t="s">
        <v>171</v>
      </c>
      <c r="E4329" s="52" t="s">
        <v>584</v>
      </c>
      <c r="F4329" s="52" t="s">
        <v>581</v>
      </c>
      <c r="G4329" s="195" t="s">
        <v>276</v>
      </c>
      <c r="H4329" s="195">
        <v>-3.1664400000000002E-2</v>
      </c>
      <c r="I4329" s="195">
        <v>-2.2428150000000001E-2</v>
      </c>
      <c r="J4329" s="195">
        <v>-1.5260370000000001</v>
      </c>
      <c r="K4329" s="195">
        <v>-2.4344250000000001E-2</v>
      </c>
      <c r="L4329" s="195">
        <v>-2.6190439999999999E-2</v>
      </c>
      <c r="M4329" s="195">
        <v>-4.9217400000000001E-2</v>
      </c>
      <c r="N4329" s="195">
        <v>-8.8367699999999993E-2</v>
      </c>
    </row>
    <row r="4330" spans="1:14" hidden="1" x14ac:dyDescent="0.35">
      <c r="A4330" s="52" t="s">
        <v>680</v>
      </c>
      <c r="B4330" s="52" t="s">
        <v>73</v>
      </c>
      <c r="C4330" s="52" t="s">
        <v>97</v>
      </c>
      <c r="D4330" s="52" t="s">
        <v>171</v>
      </c>
      <c r="E4330" s="52" t="s">
        <v>584</v>
      </c>
      <c r="F4330" s="52" t="s">
        <v>581</v>
      </c>
      <c r="G4330" s="195" t="s">
        <v>277</v>
      </c>
      <c r="H4330" s="195"/>
      <c r="I4330" s="195"/>
      <c r="J4330" s="195"/>
      <c r="K4330" s="195">
        <v>0</v>
      </c>
      <c r="L4330" s="195">
        <v>4.3499999999999997E-3</v>
      </c>
      <c r="M4330" s="195">
        <v>4.3499999999999997E-3</v>
      </c>
      <c r="N4330" s="195">
        <v>4.3500009999999999E-2</v>
      </c>
    </row>
    <row r="4331" spans="1:14" hidden="1" x14ac:dyDescent="0.35">
      <c r="A4331" s="52" t="s">
        <v>680</v>
      </c>
      <c r="B4331" s="52" t="s">
        <v>73</v>
      </c>
      <c r="C4331" s="52" t="s">
        <v>97</v>
      </c>
      <c r="D4331" s="52" t="s">
        <v>171</v>
      </c>
      <c r="E4331" s="52" t="s">
        <v>584</v>
      </c>
      <c r="F4331" s="52" t="s">
        <v>581</v>
      </c>
      <c r="G4331" s="195" t="s">
        <v>278</v>
      </c>
      <c r="H4331" s="195">
        <v>3.6734549999999998E-2</v>
      </c>
      <c r="I4331" s="195">
        <v>2.3997149999999998E-2</v>
      </c>
      <c r="J4331" s="195">
        <v>1.5260370000000001</v>
      </c>
      <c r="K4331" s="195">
        <v>2.43441E-2</v>
      </c>
      <c r="L4331" s="195">
        <v>2.1840450000000001E-2</v>
      </c>
      <c r="M4331" s="195">
        <v>4.4867400000000002E-2</v>
      </c>
      <c r="N4331" s="195">
        <v>4.4867400000000002E-2</v>
      </c>
    </row>
    <row r="4332" spans="1:14" hidden="1" x14ac:dyDescent="0.35">
      <c r="A4332" s="52" t="s">
        <v>680</v>
      </c>
      <c r="B4332" s="52" t="s">
        <v>73</v>
      </c>
      <c r="C4332" s="52" t="s">
        <v>97</v>
      </c>
      <c r="D4332" s="52" t="s">
        <v>171</v>
      </c>
      <c r="E4332" s="52" t="s">
        <v>584</v>
      </c>
      <c r="F4332" s="52" t="s">
        <v>581</v>
      </c>
      <c r="G4332" s="195" t="s">
        <v>279</v>
      </c>
      <c r="H4332" s="195"/>
      <c r="I4332" s="195"/>
      <c r="J4332" s="195"/>
      <c r="K4332" s="195"/>
      <c r="L4332" s="195"/>
      <c r="M4332" s="195"/>
      <c r="N4332" s="195">
        <v>0</v>
      </c>
    </row>
    <row r="4333" spans="1:14" hidden="1" x14ac:dyDescent="0.35">
      <c r="A4333" s="52" t="s">
        <v>680</v>
      </c>
      <c r="B4333" s="52" t="s">
        <v>73</v>
      </c>
      <c r="C4333" s="52" t="s">
        <v>97</v>
      </c>
      <c r="D4333" s="52" t="s">
        <v>171</v>
      </c>
      <c r="E4333" s="52" t="s">
        <v>584</v>
      </c>
      <c r="F4333" s="52" t="s">
        <v>26</v>
      </c>
      <c r="G4333" s="195" t="s">
        <v>275</v>
      </c>
      <c r="H4333" s="195"/>
      <c r="I4333" s="195"/>
      <c r="J4333" s="195"/>
      <c r="K4333" s="195"/>
      <c r="L4333" s="195"/>
      <c r="M4333" s="195"/>
      <c r="N4333" s="195">
        <v>0</v>
      </c>
    </row>
    <row r="4334" spans="1:14" hidden="1" x14ac:dyDescent="0.35">
      <c r="A4334" s="52" t="s">
        <v>680</v>
      </c>
      <c r="B4334" s="52" t="s">
        <v>73</v>
      </c>
      <c r="C4334" s="52" t="s">
        <v>97</v>
      </c>
      <c r="D4334" s="52" t="s">
        <v>171</v>
      </c>
      <c r="E4334" s="52" t="s">
        <v>584</v>
      </c>
      <c r="F4334" s="52" t="s">
        <v>26</v>
      </c>
      <c r="G4334" s="195" t="s">
        <v>276</v>
      </c>
      <c r="H4334" s="195"/>
      <c r="I4334" s="195"/>
      <c r="J4334" s="195"/>
      <c r="K4334" s="195"/>
      <c r="L4334" s="195"/>
      <c r="M4334" s="195"/>
      <c r="N4334" s="195">
        <v>0</v>
      </c>
    </row>
    <row r="4335" spans="1:14" hidden="1" x14ac:dyDescent="0.35">
      <c r="A4335" s="52" t="s">
        <v>680</v>
      </c>
      <c r="B4335" s="52" t="s">
        <v>73</v>
      </c>
      <c r="C4335" s="52" t="s">
        <v>97</v>
      </c>
      <c r="D4335" s="52" t="s">
        <v>171</v>
      </c>
      <c r="E4335" s="52" t="s">
        <v>584</v>
      </c>
      <c r="F4335" s="52" t="s">
        <v>26</v>
      </c>
      <c r="G4335" s="195" t="s">
        <v>279</v>
      </c>
      <c r="H4335" s="195"/>
      <c r="I4335" s="195"/>
      <c r="J4335" s="195"/>
      <c r="K4335" s="195"/>
      <c r="L4335" s="195"/>
      <c r="M4335" s="195"/>
      <c r="N4335" s="195">
        <v>0</v>
      </c>
    </row>
    <row r="4336" spans="1:14" hidden="1" x14ac:dyDescent="0.35">
      <c r="A4336" s="52" t="s">
        <v>680</v>
      </c>
      <c r="B4336" s="52" t="s">
        <v>73</v>
      </c>
      <c r="C4336" s="52" t="s">
        <v>71</v>
      </c>
      <c r="D4336" s="52" t="s">
        <v>140</v>
      </c>
      <c r="E4336" s="52" t="s">
        <v>584</v>
      </c>
      <c r="F4336" s="52" t="s">
        <v>581</v>
      </c>
      <c r="G4336" s="195" t="s">
        <v>275</v>
      </c>
      <c r="H4336" s="195">
        <v>38.449150000000003</v>
      </c>
      <c r="I4336" s="195">
        <v>14.61979</v>
      </c>
      <c r="J4336" s="195">
        <v>9.2296779999999998</v>
      </c>
      <c r="K4336" s="195">
        <v>5.9913020000000001</v>
      </c>
      <c r="L4336" s="195">
        <v>13.153689999999999</v>
      </c>
      <c r="M4336" s="195">
        <v>9.5802029999999991</v>
      </c>
      <c r="N4336" s="195">
        <v>7.9319129999999998</v>
      </c>
    </row>
    <row r="4337" spans="1:14" hidden="1" x14ac:dyDescent="0.35">
      <c r="A4337" s="52" t="s">
        <v>680</v>
      </c>
      <c r="B4337" s="52" t="s">
        <v>73</v>
      </c>
      <c r="C4337" s="52" t="s">
        <v>71</v>
      </c>
      <c r="D4337" s="52" t="s">
        <v>140</v>
      </c>
      <c r="E4337" s="52" t="s">
        <v>584</v>
      </c>
      <c r="F4337" s="52" t="s">
        <v>581</v>
      </c>
      <c r="G4337" s="195" t="s">
        <v>276</v>
      </c>
      <c r="H4337" s="195">
        <v>99.717359999999999</v>
      </c>
      <c r="I4337" s="195">
        <v>8.8965440000000005</v>
      </c>
      <c r="J4337" s="195">
        <v>4.4691479999999997</v>
      </c>
      <c r="K4337" s="195">
        <v>0.50139979999999995</v>
      </c>
      <c r="L4337" s="195">
        <v>-1.1332310000000001</v>
      </c>
      <c r="M4337" s="195">
        <v>-2.405548</v>
      </c>
      <c r="N4337" s="195">
        <v>-3.2372269999999999</v>
      </c>
    </row>
    <row r="4338" spans="1:14" hidden="1" x14ac:dyDescent="0.35">
      <c r="A4338" s="52" t="s">
        <v>680</v>
      </c>
      <c r="B4338" s="52" t="s">
        <v>73</v>
      </c>
      <c r="C4338" s="52" t="s">
        <v>71</v>
      </c>
      <c r="D4338" s="52" t="s">
        <v>140</v>
      </c>
      <c r="E4338" s="52" t="s">
        <v>584</v>
      </c>
      <c r="F4338" s="52" t="s">
        <v>581</v>
      </c>
      <c r="G4338" s="195" t="s">
        <v>277</v>
      </c>
      <c r="H4338" s="195">
        <v>16.965440000000001</v>
      </c>
      <c r="I4338" s="195">
        <v>16.41384</v>
      </c>
      <c r="J4338" s="195">
        <v>15.22245</v>
      </c>
      <c r="K4338" s="195">
        <v>13.384980000000001</v>
      </c>
      <c r="L4338" s="195"/>
      <c r="M4338" s="195">
        <v>1.975814</v>
      </c>
      <c r="N4338" s="195">
        <v>0</v>
      </c>
    </row>
    <row r="4339" spans="1:14" hidden="1" x14ac:dyDescent="0.35">
      <c r="A4339" s="52" t="s">
        <v>680</v>
      </c>
      <c r="B4339" s="52" t="s">
        <v>73</v>
      </c>
      <c r="C4339" s="52" t="s">
        <v>71</v>
      </c>
      <c r="D4339" s="52" t="s">
        <v>140</v>
      </c>
      <c r="E4339" s="52" t="s">
        <v>584</v>
      </c>
      <c r="F4339" s="52" t="s">
        <v>581</v>
      </c>
      <c r="G4339" s="195" t="s">
        <v>278</v>
      </c>
      <c r="H4339" s="195">
        <v>1.016775E-2</v>
      </c>
      <c r="I4339" s="195">
        <v>0</v>
      </c>
      <c r="J4339" s="195"/>
      <c r="K4339" s="195">
        <v>0</v>
      </c>
      <c r="L4339" s="195"/>
      <c r="M4339" s="195"/>
      <c r="N4339" s="195"/>
    </row>
    <row r="4340" spans="1:14" hidden="1" x14ac:dyDescent="0.35">
      <c r="A4340" s="52" t="s">
        <v>680</v>
      </c>
      <c r="B4340" s="52" t="s">
        <v>73</v>
      </c>
      <c r="C4340" s="52" t="s">
        <v>71</v>
      </c>
      <c r="D4340" s="52" t="s">
        <v>140</v>
      </c>
      <c r="E4340" s="52" t="s">
        <v>584</v>
      </c>
      <c r="F4340" s="52" t="s">
        <v>581</v>
      </c>
      <c r="G4340" s="195" t="s">
        <v>279</v>
      </c>
      <c r="H4340" s="195">
        <v>23.378129999999999</v>
      </c>
      <c r="I4340" s="195">
        <v>21.797339999999998</v>
      </c>
      <c r="J4340" s="195">
        <v>21.210609999999999</v>
      </c>
      <c r="K4340" s="195">
        <v>24.74145</v>
      </c>
      <c r="L4340" s="195">
        <v>24.52394</v>
      </c>
      <c r="M4340" s="195">
        <v>24.358160000000002</v>
      </c>
      <c r="N4340" s="195">
        <v>24.309270000000001</v>
      </c>
    </row>
    <row r="4341" spans="1:14" hidden="1" x14ac:dyDescent="0.35">
      <c r="A4341" s="52" t="s">
        <v>680</v>
      </c>
      <c r="B4341" s="52" t="s">
        <v>73</v>
      </c>
      <c r="C4341" s="52" t="s">
        <v>71</v>
      </c>
      <c r="D4341" s="52" t="s">
        <v>140</v>
      </c>
      <c r="E4341" s="52" t="s">
        <v>584</v>
      </c>
      <c r="F4341" s="52" t="s">
        <v>26</v>
      </c>
      <c r="G4341" s="195" t="s">
        <v>275</v>
      </c>
      <c r="H4341" s="195">
        <v>3.3402080000000001</v>
      </c>
      <c r="I4341" s="195">
        <v>1.8214360000000001</v>
      </c>
      <c r="J4341" s="195">
        <v>1.953732</v>
      </c>
      <c r="K4341" s="195">
        <v>1.886592</v>
      </c>
      <c r="L4341" s="195">
        <v>1.7429250000000001</v>
      </c>
      <c r="M4341" s="195">
        <v>1.4997689999999999</v>
      </c>
      <c r="N4341" s="195">
        <v>1.2953520000000001</v>
      </c>
    </row>
    <row r="4342" spans="1:14" hidden="1" x14ac:dyDescent="0.35">
      <c r="A4342" s="52" t="s">
        <v>680</v>
      </c>
      <c r="B4342" s="52" t="s">
        <v>73</v>
      </c>
      <c r="C4342" s="52" t="s">
        <v>71</v>
      </c>
      <c r="D4342" s="52" t="s">
        <v>140</v>
      </c>
      <c r="E4342" s="52" t="s">
        <v>584</v>
      </c>
      <c r="F4342" s="52" t="s">
        <v>26</v>
      </c>
      <c r="G4342" s="195" t="s">
        <v>276</v>
      </c>
      <c r="H4342" s="195">
        <v>11.93638</v>
      </c>
      <c r="I4342" s="195">
        <v>6.506672</v>
      </c>
      <c r="J4342" s="195">
        <v>6.9227860000000003</v>
      </c>
      <c r="K4342" s="195">
        <v>6.7341480000000002</v>
      </c>
      <c r="L4342" s="195">
        <v>6.2176530000000003</v>
      </c>
      <c r="M4342" s="195">
        <v>5.342943</v>
      </c>
      <c r="N4342" s="195">
        <v>4.5922729999999996</v>
      </c>
    </row>
    <row r="4343" spans="1:14" hidden="1" x14ac:dyDescent="0.35">
      <c r="A4343" s="52" t="s">
        <v>680</v>
      </c>
      <c r="B4343" s="52" t="s">
        <v>73</v>
      </c>
      <c r="C4343" s="52" t="s">
        <v>71</v>
      </c>
      <c r="D4343" s="52" t="s">
        <v>140</v>
      </c>
      <c r="E4343" s="52" t="s">
        <v>584</v>
      </c>
      <c r="F4343" s="52" t="s">
        <v>26</v>
      </c>
      <c r="G4343" s="195" t="s">
        <v>277</v>
      </c>
      <c r="H4343" s="195"/>
      <c r="I4343" s="195"/>
      <c r="J4343" s="195"/>
      <c r="K4343" s="195">
        <v>0</v>
      </c>
      <c r="L4343" s="195">
        <v>1.0874999999999999E-3</v>
      </c>
      <c r="M4343" s="195">
        <v>1.0874999999999999E-3</v>
      </c>
      <c r="N4343" s="195">
        <v>2.1749999999999999E-2</v>
      </c>
    </row>
    <row r="4344" spans="1:14" hidden="1" x14ac:dyDescent="0.35">
      <c r="A4344" s="52" t="s">
        <v>680</v>
      </c>
      <c r="B4344" s="52" t="s">
        <v>73</v>
      </c>
      <c r="C4344" s="52" t="s">
        <v>71</v>
      </c>
      <c r="D4344" s="52" t="s">
        <v>140</v>
      </c>
      <c r="E4344" s="52" t="s">
        <v>584</v>
      </c>
      <c r="F4344" s="52" t="s">
        <v>26</v>
      </c>
      <c r="G4344" s="195" t="s">
        <v>278</v>
      </c>
      <c r="H4344" s="195"/>
      <c r="I4344" s="195">
        <v>6.6421500000000003E-3</v>
      </c>
      <c r="J4344" s="195">
        <v>5.8709699999999997E-2</v>
      </c>
      <c r="K4344" s="195">
        <v>6.73815E-3</v>
      </c>
      <c r="L4344" s="195">
        <v>6.04515E-3</v>
      </c>
      <c r="M4344" s="195">
        <v>1.2418800000000001E-2</v>
      </c>
      <c r="N4344" s="195">
        <v>1.2418800000000001E-2</v>
      </c>
    </row>
    <row r="4345" spans="1:14" hidden="1" x14ac:dyDescent="0.35">
      <c r="A4345" s="52" t="s">
        <v>680</v>
      </c>
      <c r="B4345" s="52" t="s">
        <v>73</v>
      </c>
      <c r="C4345" s="52" t="s">
        <v>71</v>
      </c>
      <c r="D4345" s="52" t="s">
        <v>140</v>
      </c>
      <c r="E4345" s="52" t="s">
        <v>584</v>
      </c>
      <c r="F4345" s="52" t="s">
        <v>26</v>
      </c>
      <c r="G4345" s="195" t="s">
        <v>279</v>
      </c>
      <c r="H4345" s="195">
        <v>3.4910809999999999</v>
      </c>
      <c r="I4345" s="195">
        <v>2.8027419999999998</v>
      </c>
      <c r="J4345" s="195">
        <v>1.9891319999999999</v>
      </c>
      <c r="K4345" s="195">
        <v>1.784707</v>
      </c>
      <c r="L4345" s="195">
        <v>1.099146</v>
      </c>
      <c r="M4345" s="195">
        <v>0.9609801</v>
      </c>
      <c r="N4345" s="195">
        <v>0.84544889999999995</v>
      </c>
    </row>
    <row r="4346" spans="1:14" hidden="1" x14ac:dyDescent="0.35">
      <c r="A4346" s="52" t="s">
        <v>680</v>
      </c>
      <c r="B4346" s="52" t="s">
        <v>73</v>
      </c>
      <c r="C4346" s="52" t="s">
        <v>71</v>
      </c>
      <c r="D4346" s="52" t="s">
        <v>139</v>
      </c>
      <c r="E4346" s="52" t="s">
        <v>584</v>
      </c>
      <c r="F4346" s="52" t="s">
        <v>581</v>
      </c>
      <c r="G4346" s="195" t="s">
        <v>275</v>
      </c>
      <c r="H4346" s="195">
        <v>27.78717</v>
      </c>
      <c r="I4346" s="195">
        <v>17.842310000000001</v>
      </c>
      <c r="J4346" s="195">
        <v>14.239879999999999</v>
      </c>
      <c r="K4346" s="195">
        <v>8.6520770000000002</v>
      </c>
      <c r="L4346" s="195">
        <v>0.45450400000000002</v>
      </c>
      <c r="M4346" s="195">
        <v>-0.59755000000000003</v>
      </c>
      <c r="N4346" s="195">
        <v>-6.320951</v>
      </c>
    </row>
    <row r="4347" spans="1:14" hidden="1" x14ac:dyDescent="0.35">
      <c r="A4347" s="52" t="s">
        <v>680</v>
      </c>
      <c r="B4347" s="52" t="s">
        <v>73</v>
      </c>
      <c r="C4347" s="52" t="s">
        <v>71</v>
      </c>
      <c r="D4347" s="52" t="s">
        <v>139</v>
      </c>
      <c r="E4347" s="52" t="s">
        <v>584</v>
      </c>
      <c r="F4347" s="52" t="s">
        <v>581</v>
      </c>
      <c r="G4347" s="195" t="s">
        <v>276</v>
      </c>
      <c r="H4347" s="195">
        <v>20.940989999999999</v>
      </c>
      <c r="I4347" s="195">
        <v>11.1045</v>
      </c>
      <c r="J4347" s="195">
        <v>11.113799999999999</v>
      </c>
      <c r="K4347" s="195">
        <v>5.8479700000000001</v>
      </c>
      <c r="L4347" s="195">
        <v>5.5286229999999996</v>
      </c>
      <c r="M4347" s="195">
        <v>0.69091309999999995</v>
      </c>
      <c r="N4347" s="195">
        <v>-11.85749</v>
      </c>
    </row>
    <row r="4348" spans="1:14" hidden="1" x14ac:dyDescent="0.35">
      <c r="A4348" s="52" t="s">
        <v>680</v>
      </c>
      <c r="B4348" s="52" t="s">
        <v>73</v>
      </c>
      <c r="C4348" s="52" t="s">
        <v>71</v>
      </c>
      <c r="D4348" s="52" t="s">
        <v>139</v>
      </c>
      <c r="E4348" s="52" t="s">
        <v>584</v>
      </c>
      <c r="F4348" s="52" t="s">
        <v>581</v>
      </c>
      <c r="G4348" s="195" t="s">
        <v>277</v>
      </c>
      <c r="H4348" s="195">
        <v>9.9713200000000004</v>
      </c>
      <c r="I4348" s="195">
        <v>3.2439420000000001</v>
      </c>
      <c r="J4348" s="195">
        <v>3.8126280000000001</v>
      </c>
      <c r="K4348" s="195">
        <v>5.0997779999999997</v>
      </c>
      <c r="L4348" s="195">
        <v>6.7145250000000001</v>
      </c>
      <c r="M4348" s="195">
        <v>7.7692600000000001</v>
      </c>
      <c r="N4348" s="195">
        <v>10.22805</v>
      </c>
    </row>
    <row r="4349" spans="1:14" hidden="1" x14ac:dyDescent="0.35">
      <c r="A4349" s="52" t="s">
        <v>680</v>
      </c>
      <c r="B4349" s="52" t="s">
        <v>73</v>
      </c>
      <c r="C4349" s="52" t="s">
        <v>71</v>
      </c>
      <c r="D4349" s="52" t="s">
        <v>139</v>
      </c>
      <c r="E4349" s="52" t="s">
        <v>584</v>
      </c>
      <c r="F4349" s="52" t="s">
        <v>581</v>
      </c>
      <c r="G4349" s="195" t="s">
        <v>278</v>
      </c>
      <c r="H4349" s="195">
        <v>30.50985</v>
      </c>
      <c r="I4349" s="195">
        <v>9.7609349999999998E-2</v>
      </c>
      <c r="J4349" s="195">
        <v>0.33882420000000002</v>
      </c>
      <c r="K4349" s="195">
        <v>6.2863989999999995E-2</v>
      </c>
      <c r="L4349" s="195">
        <v>4.7099189999999999E-2</v>
      </c>
      <c r="M4349" s="195">
        <v>9.6757079999999995E-2</v>
      </c>
      <c r="N4349" s="195">
        <v>8.3918649999999997E-2</v>
      </c>
    </row>
    <row r="4350" spans="1:14" hidden="1" x14ac:dyDescent="0.35">
      <c r="A4350" s="52" t="s">
        <v>680</v>
      </c>
      <c r="B4350" s="52" t="s">
        <v>73</v>
      </c>
      <c r="C4350" s="52" t="s">
        <v>71</v>
      </c>
      <c r="D4350" s="52" t="s">
        <v>139</v>
      </c>
      <c r="E4350" s="52" t="s">
        <v>584</v>
      </c>
      <c r="F4350" s="52" t="s">
        <v>581</v>
      </c>
      <c r="G4350" s="195" t="s">
        <v>279</v>
      </c>
      <c r="H4350" s="195">
        <v>9.7493079999999992</v>
      </c>
      <c r="I4350" s="195">
        <v>8.8896909999999991</v>
      </c>
      <c r="J4350" s="195">
        <v>9.0790150000000001</v>
      </c>
      <c r="K4350" s="195">
        <v>9.6154069999999994</v>
      </c>
      <c r="L4350" s="195">
        <v>7.4680470000000003</v>
      </c>
      <c r="M4350" s="195">
        <v>5.6128590000000003</v>
      </c>
      <c r="N4350" s="195">
        <v>20.28668</v>
      </c>
    </row>
    <row r="4351" spans="1:14" hidden="1" x14ac:dyDescent="0.35">
      <c r="A4351" s="52" t="s">
        <v>680</v>
      </c>
      <c r="B4351" s="52" t="s">
        <v>73</v>
      </c>
      <c r="C4351" s="52" t="s">
        <v>71</v>
      </c>
      <c r="D4351" s="52" t="s">
        <v>139</v>
      </c>
      <c r="E4351" s="52" t="s">
        <v>584</v>
      </c>
      <c r="F4351" s="52" t="s">
        <v>26</v>
      </c>
      <c r="G4351" s="195" t="s">
        <v>275</v>
      </c>
      <c r="H4351" s="195">
        <v>1.9783980000000001</v>
      </c>
      <c r="I4351" s="195">
        <v>2.4117470000000001</v>
      </c>
      <c r="J4351" s="195">
        <v>2.2034069999999999</v>
      </c>
      <c r="K4351" s="195">
        <v>0.39147890000000002</v>
      </c>
      <c r="L4351" s="195">
        <v>-7.7549960000000002</v>
      </c>
      <c r="M4351" s="195">
        <v>-19.246780000000001</v>
      </c>
      <c r="N4351" s="195">
        <v>-3.9360520000000001</v>
      </c>
    </row>
    <row r="4352" spans="1:14" hidden="1" x14ac:dyDescent="0.35">
      <c r="A4352" s="52" t="s">
        <v>680</v>
      </c>
      <c r="B4352" s="52" t="s">
        <v>73</v>
      </c>
      <c r="C4352" s="52" t="s">
        <v>71</v>
      </c>
      <c r="D4352" s="52" t="s">
        <v>139</v>
      </c>
      <c r="E4352" s="52" t="s">
        <v>584</v>
      </c>
      <c r="F4352" s="52" t="s">
        <v>26</v>
      </c>
      <c r="G4352" s="195" t="s">
        <v>276</v>
      </c>
      <c r="H4352" s="195">
        <v>0.12551590000000001</v>
      </c>
      <c r="I4352" s="195">
        <v>1.467069</v>
      </c>
      <c r="J4352" s="195">
        <v>1.400163</v>
      </c>
      <c r="K4352" s="195">
        <v>1.7415</v>
      </c>
      <c r="L4352" s="195">
        <v>-6.6509600000000002E-2</v>
      </c>
      <c r="M4352" s="195">
        <v>-4.5027549999999996</v>
      </c>
      <c r="N4352" s="195">
        <v>-0.87449960000000004</v>
      </c>
    </row>
    <row r="4353" spans="1:14" hidden="1" x14ac:dyDescent="0.35">
      <c r="A4353" s="52" t="s">
        <v>680</v>
      </c>
      <c r="B4353" s="52" t="s">
        <v>73</v>
      </c>
      <c r="C4353" s="52" t="s">
        <v>71</v>
      </c>
      <c r="D4353" s="52" t="s">
        <v>139</v>
      </c>
      <c r="E4353" s="52" t="s">
        <v>584</v>
      </c>
      <c r="F4353" s="52" t="s">
        <v>26</v>
      </c>
      <c r="G4353" s="195" t="s">
        <v>277</v>
      </c>
      <c r="H4353" s="195"/>
      <c r="I4353" s="195">
        <v>0</v>
      </c>
      <c r="J4353" s="195">
        <v>7.4999999999999997E-2</v>
      </c>
      <c r="K4353" s="195">
        <v>0.82499990000000001</v>
      </c>
      <c r="L4353" s="195">
        <v>9.9470419999999997</v>
      </c>
      <c r="M4353" s="195">
        <v>25.362629999999999</v>
      </c>
      <c r="N4353" s="195">
        <v>13.89119</v>
      </c>
    </row>
    <row r="4354" spans="1:14" hidden="1" x14ac:dyDescent="0.35">
      <c r="A4354" s="52" t="s">
        <v>680</v>
      </c>
      <c r="B4354" s="52" t="s">
        <v>73</v>
      </c>
      <c r="C4354" s="52" t="s">
        <v>71</v>
      </c>
      <c r="D4354" s="52" t="s">
        <v>139</v>
      </c>
      <c r="E4354" s="52" t="s">
        <v>584</v>
      </c>
      <c r="F4354" s="52" t="s">
        <v>26</v>
      </c>
      <c r="G4354" s="195" t="s">
        <v>278</v>
      </c>
      <c r="H4354" s="195">
        <v>6.7776959999999997</v>
      </c>
      <c r="I4354" s="195">
        <v>1.6511100000000001E-2</v>
      </c>
      <c r="J4354" s="195">
        <v>1.158585E-2</v>
      </c>
      <c r="K4354" s="195">
        <v>9.7838990000000004E-3</v>
      </c>
      <c r="L4354" s="195">
        <v>8.7776999999999994E-3</v>
      </c>
      <c r="M4354" s="195">
        <v>1.8032400000000001E-2</v>
      </c>
      <c r="N4354" s="195">
        <v>1.8032400000000001E-2</v>
      </c>
    </row>
    <row r="4355" spans="1:14" hidden="1" x14ac:dyDescent="0.35">
      <c r="A4355" s="52" t="s">
        <v>680</v>
      </c>
      <c r="B4355" s="52" t="s">
        <v>73</v>
      </c>
      <c r="C4355" s="52" t="s">
        <v>71</v>
      </c>
      <c r="D4355" s="52" t="s">
        <v>139</v>
      </c>
      <c r="E4355" s="52" t="s">
        <v>584</v>
      </c>
      <c r="F4355" s="52" t="s">
        <v>26</v>
      </c>
      <c r="G4355" s="195" t="s">
        <v>279</v>
      </c>
      <c r="H4355" s="195">
        <v>1.795399</v>
      </c>
      <c r="I4355" s="195">
        <v>1.1604190000000001</v>
      </c>
      <c r="J4355" s="195">
        <v>0.65312380000000003</v>
      </c>
      <c r="K4355" s="195">
        <v>0.47464830000000002</v>
      </c>
      <c r="L4355" s="195">
        <v>0.33087879999999997</v>
      </c>
      <c r="M4355" s="195">
        <v>0.29083379999999998</v>
      </c>
      <c r="N4355" s="195">
        <v>3.6795969999999998</v>
      </c>
    </row>
    <row r="4356" spans="1:14" hidden="1" x14ac:dyDescent="0.35">
      <c r="A4356" s="52" t="s">
        <v>680</v>
      </c>
      <c r="B4356" s="52" t="s">
        <v>73</v>
      </c>
      <c r="C4356" s="52" t="s">
        <v>71</v>
      </c>
      <c r="D4356" s="52" t="s">
        <v>142</v>
      </c>
      <c r="E4356" s="52" t="s">
        <v>584</v>
      </c>
      <c r="F4356" s="52" t="s">
        <v>581</v>
      </c>
      <c r="G4356" s="195" t="s">
        <v>275</v>
      </c>
      <c r="H4356" s="195">
        <v>7.3701080000000001</v>
      </c>
      <c r="I4356" s="195">
        <v>3.9216790000000001</v>
      </c>
      <c r="J4356" s="195">
        <v>2.4707970000000001</v>
      </c>
      <c r="K4356" s="195">
        <v>2.053248</v>
      </c>
      <c r="L4356" s="195">
        <v>1.4694100000000001</v>
      </c>
      <c r="M4356" s="195">
        <v>1.0135270000000001</v>
      </c>
      <c r="N4356" s="195">
        <v>0.64280090000000001</v>
      </c>
    </row>
    <row r="4357" spans="1:14" hidden="1" x14ac:dyDescent="0.35">
      <c r="A4357" s="52" t="s">
        <v>680</v>
      </c>
      <c r="B4357" s="52" t="s">
        <v>73</v>
      </c>
      <c r="C4357" s="52" t="s">
        <v>71</v>
      </c>
      <c r="D4357" s="52" t="s">
        <v>142</v>
      </c>
      <c r="E4357" s="52" t="s">
        <v>584</v>
      </c>
      <c r="F4357" s="52" t="s">
        <v>581</v>
      </c>
      <c r="G4357" s="195" t="s">
        <v>276</v>
      </c>
      <c r="H4357" s="195">
        <v>6.0471779999999997</v>
      </c>
      <c r="I4357" s="195">
        <v>-0.66351260000000001</v>
      </c>
      <c r="J4357" s="195">
        <v>-0.1832416</v>
      </c>
      <c r="K4357" s="195">
        <v>1.0728249999999999</v>
      </c>
      <c r="L4357" s="195">
        <v>1.7379800000000001</v>
      </c>
      <c r="M4357" s="195">
        <v>1.4402999999999999</v>
      </c>
      <c r="N4357" s="195">
        <v>1.2533339999999999</v>
      </c>
    </row>
    <row r="4358" spans="1:14" hidden="1" x14ac:dyDescent="0.35">
      <c r="A4358" s="52" t="s">
        <v>680</v>
      </c>
      <c r="B4358" s="52" t="s">
        <v>73</v>
      </c>
      <c r="C4358" s="52" t="s">
        <v>71</v>
      </c>
      <c r="D4358" s="52" t="s">
        <v>142</v>
      </c>
      <c r="E4358" s="52" t="s">
        <v>584</v>
      </c>
      <c r="F4358" s="52" t="s">
        <v>581</v>
      </c>
      <c r="G4358" s="195" t="s">
        <v>277</v>
      </c>
      <c r="H4358" s="195">
        <v>2.6088719999999999</v>
      </c>
      <c r="I4358" s="195">
        <v>2.2929200000000001</v>
      </c>
      <c r="J4358" s="195">
        <v>1.6775420000000001</v>
      </c>
      <c r="K4358" s="195">
        <v>0.84177970000000002</v>
      </c>
      <c r="L4358" s="195">
        <v>0.98892619999999998</v>
      </c>
      <c r="M4358" s="195">
        <v>1.1870780000000001</v>
      </c>
      <c r="N4358" s="195">
        <v>1.262248</v>
      </c>
    </row>
    <row r="4359" spans="1:14" hidden="1" x14ac:dyDescent="0.35">
      <c r="A4359" s="52" t="s">
        <v>680</v>
      </c>
      <c r="B4359" s="52" t="s">
        <v>73</v>
      </c>
      <c r="C4359" s="52" t="s">
        <v>71</v>
      </c>
      <c r="D4359" s="52" t="s">
        <v>142</v>
      </c>
      <c r="E4359" s="52" t="s">
        <v>584</v>
      </c>
      <c r="F4359" s="52" t="s">
        <v>581</v>
      </c>
      <c r="G4359" s="195" t="s">
        <v>278</v>
      </c>
      <c r="H4359" s="195">
        <v>7.8240599999999993E-2</v>
      </c>
      <c r="I4359" s="195">
        <v>5.1111799999999999E-2</v>
      </c>
      <c r="J4359" s="195">
        <v>0.41182350000000001</v>
      </c>
      <c r="K4359" s="195">
        <v>1.4118500000000001E-2</v>
      </c>
      <c r="L4359" s="195">
        <v>1.2666500000000001E-2</v>
      </c>
      <c r="M4359" s="195">
        <v>2.6021499999999999E-2</v>
      </c>
      <c r="N4359" s="195">
        <v>2.6021499999999999E-2</v>
      </c>
    </row>
    <row r="4360" spans="1:14" hidden="1" x14ac:dyDescent="0.35">
      <c r="A4360" s="52" t="s">
        <v>680</v>
      </c>
      <c r="B4360" s="52" t="s">
        <v>73</v>
      </c>
      <c r="C4360" s="52" t="s">
        <v>71</v>
      </c>
      <c r="D4360" s="52" t="s">
        <v>142</v>
      </c>
      <c r="E4360" s="52" t="s">
        <v>584</v>
      </c>
      <c r="F4360" s="52" t="s">
        <v>581</v>
      </c>
      <c r="G4360" s="195" t="s">
        <v>279</v>
      </c>
      <c r="H4360" s="195">
        <v>1.5146459999999999</v>
      </c>
      <c r="I4360" s="195">
        <v>1.324398</v>
      </c>
      <c r="J4360" s="195">
        <v>1.234602</v>
      </c>
      <c r="K4360" s="195">
        <v>1.57345</v>
      </c>
      <c r="L4360" s="195">
        <v>1.637775</v>
      </c>
      <c r="M4360" s="195">
        <v>1.5265880000000001</v>
      </c>
      <c r="N4360" s="195">
        <v>1.429854</v>
      </c>
    </row>
    <row r="4361" spans="1:14" hidden="1" x14ac:dyDescent="0.35">
      <c r="A4361" s="52" t="s">
        <v>680</v>
      </c>
      <c r="B4361" s="52" t="s">
        <v>73</v>
      </c>
      <c r="C4361" s="52" t="s">
        <v>71</v>
      </c>
      <c r="D4361" s="52" t="s">
        <v>142</v>
      </c>
      <c r="E4361" s="52" t="s">
        <v>584</v>
      </c>
      <c r="F4361" s="52" t="s">
        <v>26</v>
      </c>
      <c r="G4361" s="195" t="s">
        <v>275</v>
      </c>
      <c r="H4361" s="195">
        <v>0.29495300000000002</v>
      </c>
      <c r="I4361" s="195">
        <v>0.17439840000000001</v>
      </c>
      <c r="J4361" s="195">
        <v>0.1094455</v>
      </c>
      <c r="K4361" s="195">
        <v>3.2901529999999998E-2</v>
      </c>
      <c r="L4361" s="195">
        <v>2.6981620000000001E-2</v>
      </c>
      <c r="M4361" s="195">
        <v>2.1027859999999999E-2</v>
      </c>
      <c r="N4361" s="195">
        <v>1.623165E-2</v>
      </c>
    </row>
    <row r="4362" spans="1:14" hidden="1" x14ac:dyDescent="0.35">
      <c r="A4362" s="52" t="s">
        <v>680</v>
      </c>
      <c r="B4362" s="52" t="s">
        <v>73</v>
      </c>
      <c r="C4362" s="52" t="s">
        <v>71</v>
      </c>
      <c r="D4362" s="52" t="s">
        <v>142</v>
      </c>
      <c r="E4362" s="52" t="s">
        <v>584</v>
      </c>
      <c r="F4362" s="52" t="s">
        <v>26</v>
      </c>
      <c r="G4362" s="195" t="s">
        <v>276</v>
      </c>
      <c r="H4362" s="195">
        <v>0.2052253</v>
      </c>
      <c r="I4362" s="195">
        <v>0.1169162</v>
      </c>
      <c r="J4362" s="195">
        <v>0.2407078</v>
      </c>
      <c r="K4362" s="195">
        <v>0.120653</v>
      </c>
      <c r="L4362" s="195">
        <v>9.8979339999999999E-2</v>
      </c>
      <c r="M4362" s="195">
        <v>7.7169139999999997E-2</v>
      </c>
      <c r="N4362" s="195">
        <v>5.9608639999999997E-2</v>
      </c>
    </row>
    <row r="4363" spans="1:14" hidden="1" x14ac:dyDescent="0.35">
      <c r="A4363" s="52" t="s">
        <v>680</v>
      </c>
      <c r="B4363" s="52" t="s">
        <v>73</v>
      </c>
      <c r="C4363" s="52" t="s">
        <v>71</v>
      </c>
      <c r="D4363" s="52" t="s">
        <v>142</v>
      </c>
      <c r="E4363" s="52" t="s">
        <v>584</v>
      </c>
      <c r="F4363" s="52" t="s">
        <v>26</v>
      </c>
      <c r="G4363" s="195" t="s">
        <v>279</v>
      </c>
      <c r="H4363" s="195">
        <v>0.51999470000000003</v>
      </c>
      <c r="I4363" s="195">
        <v>0.49135679999999998</v>
      </c>
      <c r="J4363" s="195">
        <v>0.51640989999999998</v>
      </c>
      <c r="K4363" s="195">
        <v>0.64695409999999998</v>
      </c>
      <c r="L4363" s="195">
        <v>0.53772929999999997</v>
      </c>
      <c r="M4363" s="195">
        <v>0.42479309999999998</v>
      </c>
      <c r="N4363" s="195">
        <v>0.33601690000000001</v>
      </c>
    </row>
    <row r="4364" spans="1:14" hidden="1" x14ac:dyDescent="0.35">
      <c r="A4364" s="52" t="s">
        <v>680</v>
      </c>
      <c r="B4364" s="52" t="s">
        <v>73</v>
      </c>
      <c r="C4364" s="52" t="s">
        <v>71</v>
      </c>
      <c r="D4364" s="52" t="s">
        <v>143</v>
      </c>
      <c r="E4364" s="52" t="s">
        <v>584</v>
      </c>
      <c r="F4364" s="52" t="s">
        <v>581</v>
      </c>
      <c r="G4364" s="195" t="s">
        <v>275</v>
      </c>
      <c r="H4364" s="195">
        <v>-6.2607980000000003</v>
      </c>
      <c r="I4364" s="195">
        <v>-4.6023440000000004</v>
      </c>
      <c r="J4364" s="195">
        <v>1.4138820000000001</v>
      </c>
      <c r="K4364" s="195">
        <v>1.4138820000000001</v>
      </c>
      <c r="L4364" s="195">
        <v>0</v>
      </c>
      <c r="M4364" s="195">
        <v>0</v>
      </c>
      <c r="N4364" s="195">
        <v>0</v>
      </c>
    </row>
    <row r="4365" spans="1:14" hidden="1" x14ac:dyDescent="0.35">
      <c r="A4365" s="52" t="s">
        <v>680</v>
      </c>
      <c r="B4365" s="52" t="s">
        <v>73</v>
      </c>
      <c r="C4365" s="52" t="s">
        <v>71</v>
      </c>
      <c r="D4365" s="52" t="s">
        <v>143</v>
      </c>
      <c r="E4365" s="52" t="s">
        <v>584</v>
      </c>
      <c r="F4365" s="52" t="s">
        <v>581</v>
      </c>
      <c r="G4365" s="195" t="s">
        <v>276</v>
      </c>
      <c r="H4365" s="195">
        <v>-28.66348</v>
      </c>
      <c r="I4365" s="195">
        <v>-26.953040000000001</v>
      </c>
      <c r="J4365" s="195">
        <v>-5.1204199999999998E-2</v>
      </c>
      <c r="K4365" s="195">
        <v>-4.3241210000000002E-2</v>
      </c>
      <c r="L4365" s="195">
        <v>-3.879382E-2</v>
      </c>
      <c r="M4365" s="195">
        <v>-7.9695799999999997E-2</v>
      </c>
      <c r="N4365" s="195">
        <v>-0.1086964</v>
      </c>
    </row>
    <row r="4366" spans="1:14" hidden="1" x14ac:dyDescent="0.35">
      <c r="A4366" s="52" t="s">
        <v>680</v>
      </c>
      <c r="B4366" s="52" t="s">
        <v>73</v>
      </c>
      <c r="C4366" s="52" t="s">
        <v>71</v>
      </c>
      <c r="D4366" s="52" t="s">
        <v>143</v>
      </c>
      <c r="E4366" s="52" t="s">
        <v>584</v>
      </c>
      <c r="F4366" s="52" t="s">
        <v>581</v>
      </c>
      <c r="G4366" s="195" t="s">
        <v>277</v>
      </c>
      <c r="H4366" s="195"/>
      <c r="I4366" s="195">
        <v>0</v>
      </c>
      <c r="J4366" s="195">
        <v>0</v>
      </c>
      <c r="K4366" s="195">
        <v>0</v>
      </c>
      <c r="L4366" s="195">
        <v>0</v>
      </c>
      <c r="M4366" s="195">
        <v>0</v>
      </c>
      <c r="N4366" s="195">
        <v>2.9000000000000001E-2</v>
      </c>
    </row>
    <row r="4367" spans="1:14" hidden="1" x14ac:dyDescent="0.35">
      <c r="A4367" s="52" t="s">
        <v>680</v>
      </c>
      <c r="B4367" s="52" t="s">
        <v>73</v>
      </c>
      <c r="C4367" s="52" t="s">
        <v>71</v>
      </c>
      <c r="D4367" s="52" t="s">
        <v>143</v>
      </c>
      <c r="E4367" s="52" t="s">
        <v>584</v>
      </c>
      <c r="F4367" s="52" t="s">
        <v>581</v>
      </c>
      <c r="G4367" s="195" t="s">
        <v>278</v>
      </c>
      <c r="H4367" s="195">
        <v>34.924280000000003</v>
      </c>
      <c r="I4367" s="195">
        <v>31.55538</v>
      </c>
      <c r="J4367" s="195">
        <v>5.1204199999999998E-2</v>
      </c>
      <c r="K4367" s="195">
        <v>4.32412E-2</v>
      </c>
      <c r="L4367" s="195">
        <v>3.8794000000000002E-2</v>
      </c>
      <c r="M4367" s="195">
        <v>7.9695600000000005E-2</v>
      </c>
      <c r="N4367" s="195">
        <v>7.9695600000000005E-2</v>
      </c>
    </row>
    <row r="4368" spans="1:14" hidden="1" x14ac:dyDescent="0.35">
      <c r="A4368" s="52" t="s">
        <v>680</v>
      </c>
      <c r="B4368" s="52" t="s">
        <v>73</v>
      </c>
      <c r="C4368" s="52" t="s">
        <v>71</v>
      </c>
      <c r="D4368" s="52" t="s">
        <v>143</v>
      </c>
      <c r="E4368" s="52" t="s">
        <v>584</v>
      </c>
      <c r="F4368" s="52" t="s">
        <v>581</v>
      </c>
      <c r="G4368" s="195" t="s">
        <v>279</v>
      </c>
      <c r="H4368" s="195"/>
      <c r="I4368" s="195"/>
      <c r="J4368" s="195"/>
      <c r="K4368" s="195"/>
      <c r="L4368" s="195">
        <v>0</v>
      </c>
      <c r="M4368" s="195">
        <v>0</v>
      </c>
      <c r="N4368" s="195">
        <v>0</v>
      </c>
    </row>
    <row r="4369" spans="1:14" hidden="1" x14ac:dyDescent="0.35">
      <c r="A4369" s="52" t="s">
        <v>680</v>
      </c>
      <c r="B4369" s="52" t="s">
        <v>73</v>
      </c>
      <c r="C4369" s="52" t="s">
        <v>71</v>
      </c>
      <c r="D4369" s="52" t="s">
        <v>143</v>
      </c>
      <c r="E4369" s="52" t="s">
        <v>584</v>
      </c>
      <c r="F4369" s="52" t="s">
        <v>26</v>
      </c>
      <c r="G4369" s="195" t="s">
        <v>275</v>
      </c>
      <c r="H4369" s="195"/>
      <c r="I4369" s="195"/>
      <c r="J4369" s="195"/>
      <c r="K4369" s="195"/>
      <c r="L4369" s="195">
        <v>0</v>
      </c>
      <c r="M4369" s="195">
        <v>0</v>
      </c>
      <c r="N4369" s="195">
        <v>0</v>
      </c>
    </row>
    <row r="4370" spans="1:14" hidden="1" x14ac:dyDescent="0.35">
      <c r="A4370" s="52" t="s">
        <v>680</v>
      </c>
      <c r="B4370" s="52" t="s">
        <v>73</v>
      </c>
      <c r="C4370" s="52" t="s">
        <v>71</v>
      </c>
      <c r="D4370" s="52" t="s">
        <v>143</v>
      </c>
      <c r="E4370" s="52" t="s">
        <v>584</v>
      </c>
      <c r="F4370" s="52" t="s">
        <v>26</v>
      </c>
      <c r="G4370" s="195" t="s">
        <v>276</v>
      </c>
      <c r="H4370" s="195"/>
      <c r="I4370" s="195"/>
      <c r="J4370" s="195"/>
      <c r="K4370" s="195"/>
      <c r="L4370" s="195">
        <v>0</v>
      </c>
      <c r="M4370" s="195">
        <v>0</v>
      </c>
      <c r="N4370" s="195">
        <v>0</v>
      </c>
    </row>
    <row r="4371" spans="1:14" hidden="1" x14ac:dyDescent="0.35">
      <c r="A4371" s="52" t="s">
        <v>680</v>
      </c>
      <c r="B4371" s="52" t="s">
        <v>73</v>
      </c>
      <c r="C4371" s="52" t="s">
        <v>71</v>
      </c>
      <c r="D4371" s="52" t="s">
        <v>143</v>
      </c>
      <c r="E4371" s="52" t="s">
        <v>584</v>
      </c>
      <c r="F4371" s="52" t="s">
        <v>26</v>
      </c>
      <c r="G4371" s="195" t="s">
        <v>277</v>
      </c>
      <c r="H4371" s="195"/>
      <c r="I4371" s="195"/>
      <c r="J4371" s="195"/>
      <c r="K4371" s="195"/>
      <c r="L4371" s="195">
        <v>0</v>
      </c>
      <c r="M4371" s="195">
        <v>0</v>
      </c>
      <c r="N4371" s="195">
        <v>0</v>
      </c>
    </row>
    <row r="4372" spans="1:14" hidden="1" x14ac:dyDescent="0.35">
      <c r="A4372" s="52" t="s">
        <v>680</v>
      </c>
      <c r="B4372" s="52" t="s">
        <v>73</v>
      </c>
      <c r="C4372" s="52" t="s">
        <v>71</v>
      </c>
      <c r="D4372" s="52" t="s">
        <v>143</v>
      </c>
      <c r="E4372" s="52" t="s">
        <v>584</v>
      </c>
      <c r="F4372" s="52" t="s">
        <v>26</v>
      </c>
      <c r="G4372" s="195" t="s">
        <v>279</v>
      </c>
      <c r="H4372" s="195"/>
      <c r="I4372" s="195"/>
      <c r="J4372" s="195"/>
      <c r="K4372" s="195"/>
      <c r="L4372" s="195">
        <v>0</v>
      </c>
      <c r="M4372" s="195">
        <v>0</v>
      </c>
      <c r="N4372" s="195">
        <v>0</v>
      </c>
    </row>
    <row r="4373" spans="1:14" hidden="1" x14ac:dyDescent="0.35">
      <c r="A4373" s="52" t="s">
        <v>680</v>
      </c>
      <c r="B4373" s="52" t="s">
        <v>73</v>
      </c>
      <c r="C4373" s="52" t="s">
        <v>71</v>
      </c>
      <c r="D4373" s="52" t="s">
        <v>335</v>
      </c>
      <c r="E4373" s="52" t="s">
        <v>584</v>
      </c>
      <c r="F4373" s="52" t="s">
        <v>581</v>
      </c>
      <c r="G4373" s="195" t="s">
        <v>275</v>
      </c>
      <c r="H4373" s="195">
        <v>-1.31556E-2</v>
      </c>
      <c r="I4373" s="195">
        <v>-6.1684000000000001E-3</v>
      </c>
      <c r="J4373" s="195">
        <v>0</v>
      </c>
      <c r="K4373" s="195">
        <v>0</v>
      </c>
      <c r="L4373" s="195">
        <v>0</v>
      </c>
      <c r="M4373" s="195">
        <v>0</v>
      </c>
      <c r="N4373" s="195">
        <v>0</v>
      </c>
    </row>
    <row r="4374" spans="1:14" hidden="1" x14ac:dyDescent="0.35">
      <c r="A4374" s="52" t="s">
        <v>680</v>
      </c>
      <c r="B4374" s="52" t="s">
        <v>73</v>
      </c>
      <c r="C4374" s="52" t="s">
        <v>71</v>
      </c>
      <c r="D4374" s="52" t="s">
        <v>335</v>
      </c>
      <c r="E4374" s="52" t="s">
        <v>584</v>
      </c>
      <c r="F4374" s="52" t="s">
        <v>581</v>
      </c>
      <c r="G4374" s="195" t="s">
        <v>276</v>
      </c>
      <c r="H4374" s="195">
        <v>-6.0159600000000001E-2</v>
      </c>
      <c r="I4374" s="195">
        <v>-4.1725999999999999E-2</v>
      </c>
      <c r="J4374" s="195">
        <v>-5.7534000000000002E-2</v>
      </c>
      <c r="K4374" s="195">
        <v>-2.8592970000000002</v>
      </c>
      <c r="L4374" s="195">
        <v>-4.3588799999999997E-2</v>
      </c>
      <c r="M4374" s="195">
        <v>-0.1011464</v>
      </c>
      <c r="N4374" s="195">
        <v>-0.1011464</v>
      </c>
    </row>
    <row r="4375" spans="1:14" hidden="1" x14ac:dyDescent="0.35">
      <c r="A4375" s="52" t="s">
        <v>680</v>
      </c>
      <c r="B4375" s="52" t="s">
        <v>73</v>
      </c>
      <c r="C4375" s="52" t="s">
        <v>71</v>
      </c>
      <c r="D4375" s="52" t="s">
        <v>335</v>
      </c>
      <c r="E4375" s="52" t="s">
        <v>584</v>
      </c>
      <c r="F4375" s="52" t="s">
        <v>581</v>
      </c>
      <c r="G4375" s="195" t="s">
        <v>277</v>
      </c>
      <c r="H4375" s="195"/>
      <c r="I4375" s="195"/>
      <c r="J4375" s="195"/>
      <c r="K4375" s="195"/>
      <c r="L4375" s="195">
        <v>0</v>
      </c>
      <c r="M4375" s="195">
        <v>1.1599999999999999E-2</v>
      </c>
      <c r="N4375" s="195">
        <v>1.1599999999999999E-2</v>
      </c>
    </row>
    <row r="4376" spans="1:14" hidden="1" x14ac:dyDescent="0.35">
      <c r="A4376" s="52" t="s">
        <v>680</v>
      </c>
      <c r="B4376" s="52" t="s">
        <v>73</v>
      </c>
      <c r="C4376" s="52" t="s">
        <v>71</v>
      </c>
      <c r="D4376" s="52" t="s">
        <v>335</v>
      </c>
      <c r="E4376" s="52" t="s">
        <v>584</v>
      </c>
      <c r="F4376" s="52" t="s">
        <v>581</v>
      </c>
      <c r="G4376" s="195" t="s">
        <v>278</v>
      </c>
      <c r="H4376" s="195">
        <v>7.3315199999999997E-2</v>
      </c>
      <c r="I4376" s="195">
        <v>4.7893999999999999E-2</v>
      </c>
      <c r="J4376" s="195">
        <v>5.7534000000000002E-2</v>
      </c>
      <c r="K4376" s="195">
        <v>2.8592970000000002</v>
      </c>
      <c r="L4376" s="195">
        <v>4.3589200000000002E-2</v>
      </c>
      <c r="M4376" s="195">
        <v>8.9546810000000004E-2</v>
      </c>
      <c r="N4376" s="195">
        <v>8.9546810000000004E-2</v>
      </c>
    </row>
    <row r="4377" spans="1:14" hidden="1" x14ac:dyDescent="0.35">
      <c r="A4377" s="52" t="s">
        <v>680</v>
      </c>
      <c r="B4377" s="52" t="s">
        <v>73</v>
      </c>
      <c r="C4377" s="52" t="s">
        <v>71</v>
      </c>
      <c r="D4377" s="52" t="s">
        <v>334</v>
      </c>
      <c r="E4377" s="52" t="s">
        <v>584</v>
      </c>
      <c r="F4377" s="52" t="s">
        <v>581</v>
      </c>
      <c r="G4377" s="195" t="s">
        <v>275</v>
      </c>
      <c r="H4377" s="195">
        <v>-8.9033989999999993E-3</v>
      </c>
      <c r="I4377" s="195">
        <v>-4.1744E-3</v>
      </c>
      <c r="J4377" s="195">
        <v>0</v>
      </c>
      <c r="K4377" s="195">
        <v>0</v>
      </c>
      <c r="L4377" s="195">
        <v>0</v>
      </c>
      <c r="M4377" s="195">
        <v>0</v>
      </c>
      <c r="N4377" s="195">
        <v>0</v>
      </c>
    </row>
    <row r="4378" spans="1:14" hidden="1" x14ac:dyDescent="0.35">
      <c r="A4378" s="52" t="s">
        <v>680</v>
      </c>
      <c r="B4378" s="52" t="s">
        <v>73</v>
      </c>
      <c r="C4378" s="52" t="s">
        <v>71</v>
      </c>
      <c r="D4378" s="52" t="s">
        <v>334</v>
      </c>
      <c r="E4378" s="52" t="s">
        <v>584</v>
      </c>
      <c r="F4378" s="52" t="s">
        <v>581</v>
      </c>
      <c r="G4378" s="195" t="s">
        <v>276</v>
      </c>
      <c r="H4378" s="195">
        <v>-4.0714800000000002E-2</v>
      </c>
      <c r="I4378" s="195">
        <v>-2.8239199999999999E-2</v>
      </c>
      <c r="J4378" s="195">
        <v>-3.8937600000000003E-2</v>
      </c>
      <c r="K4378" s="195">
        <v>-1.467516</v>
      </c>
      <c r="L4378" s="195">
        <v>-2.95004E-2</v>
      </c>
      <c r="M4378" s="195">
        <v>-6.6403390000000007E-2</v>
      </c>
      <c r="N4378" s="195">
        <v>-6.6403400000000001E-2</v>
      </c>
    </row>
    <row r="4379" spans="1:14" hidden="1" x14ac:dyDescent="0.35">
      <c r="A4379" s="52" t="s">
        <v>680</v>
      </c>
      <c r="B4379" s="52" t="s">
        <v>73</v>
      </c>
      <c r="C4379" s="52" t="s">
        <v>71</v>
      </c>
      <c r="D4379" s="52" t="s">
        <v>334</v>
      </c>
      <c r="E4379" s="52" t="s">
        <v>584</v>
      </c>
      <c r="F4379" s="52" t="s">
        <v>581</v>
      </c>
      <c r="G4379" s="195" t="s">
        <v>277</v>
      </c>
      <c r="H4379" s="195"/>
      <c r="I4379" s="195"/>
      <c r="J4379" s="195"/>
      <c r="K4379" s="195"/>
      <c r="L4379" s="195">
        <v>0</v>
      </c>
      <c r="M4379" s="195">
        <v>5.7999999999999996E-3</v>
      </c>
      <c r="N4379" s="195">
        <v>5.7999999999999996E-3</v>
      </c>
    </row>
    <row r="4380" spans="1:14" hidden="1" x14ac:dyDescent="0.35">
      <c r="A4380" s="52" t="s">
        <v>680</v>
      </c>
      <c r="B4380" s="52" t="s">
        <v>73</v>
      </c>
      <c r="C4380" s="52" t="s">
        <v>71</v>
      </c>
      <c r="D4380" s="52" t="s">
        <v>334</v>
      </c>
      <c r="E4380" s="52" t="s">
        <v>584</v>
      </c>
      <c r="F4380" s="52" t="s">
        <v>581</v>
      </c>
      <c r="G4380" s="195" t="s">
        <v>278</v>
      </c>
      <c r="H4380" s="195">
        <v>4.96184E-2</v>
      </c>
      <c r="I4380" s="195">
        <v>3.2413600000000001E-2</v>
      </c>
      <c r="J4380" s="195">
        <v>3.8937800000000002E-2</v>
      </c>
      <c r="K4380" s="195">
        <v>1.467516</v>
      </c>
      <c r="L4380" s="195">
        <v>2.95004E-2</v>
      </c>
      <c r="M4380" s="195">
        <v>6.0603600000000001E-2</v>
      </c>
      <c r="N4380" s="195">
        <v>6.0603600000000001E-2</v>
      </c>
    </row>
    <row r="4381" spans="1:14" hidden="1" x14ac:dyDescent="0.35">
      <c r="A4381" s="52" t="s">
        <v>680</v>
      </c>
      <c r="B4381" s="52" t="s">
        <v>73</v>
      </c>
      <c r="C4381" s="52" t="s">
        <v>71</v>
      </c>
      <c r="D4381" s="52" t="s">
        <v>336</v>
      </c>
      <c r="E4381" s="52" t="s">
        <v>584</v>
      </c>
      <c r="F4381" s="52" t="s">
        <v>581</v>
      </c>
      <c r="G4381" s="195" t="s">
        <v>275</v>
      </c>
      <c r="H4381" s="195">
        <v>-3.1199999999999999E-3</v>
      </c>
      <c r="I4381" s="195">
        <v>-8.5875000000000003E-4</v>
      </c>
      <c r="J4381" s="195">
        <v>0</v>
      </c>
      <c r="K4381" s="195">
        <v>0</v>
      </c>
      <c r="L4381" s="195">
        <v>0</v>
      </c>
      <c r="M4381" s="195">
        <v>0</v>
      </c>
      <c r="N4381" s="195">
        <v>0</v>
      </c>
    </row>
    <row r="4382" spans="1:14" hidden="1" x14ac:dyDescent="0.35">
      <c r="A4382" s="52" t="s">
        <v>680</v>
      </c>
      <c r="B4382" s="52" t="s">
        <v>73</v>
      </c>
      <c r="C4382" s="52" t="s">
        <v>71</v>
      </c>
      <c r="D4382" s="52" t="s">
        <v>336</v>
      </c>
      <c r="E4382" s="52" t="s">
        <v>584</v>
      </c>
      <c r="F4382" s="52" t="s">
        <v>581</v>
      </c>
      <c r="G4382" s="195" t="s">
        <v>276</v>
      </c>
      <c r="H4382" s="195">
        <v>-2.4244499999999999E-2</v>
      </c>
      <c r="I4382" s="195">
        <v>-1.2275400000000001E-2</v>
      </c>
      <c r="J4382" s="195">
        <v>-0.95454309999999998</v>
      </c>
      <c r="K4382" s="195">
        <v>-1.33239E-2</v>
      </c>
      <c r="L4382" s="195">
        <v>-1.63038E-2</v>
      </c>
      <c r="M4382" s="195">
        <v>-2.89068E-2</v>
      </c>
      <c r="N4382" s="195">
        <v>-0.1115568</v>
      </c>
    </row>
    <row r="4383" spans="1:14" hidden="1" x14ac:dyDescent="0.35">
      <c r="A4383" s="52" t="s">
        <v>680</v>
      </c>
      <c r="B4383" s="52" t="s">
        <v>73</v>
      </c>
      <c r="C4383" s="52" t="s">
        <v>71</v>
      </c>
      <c r="D4383" s="52" t="s">
        <v>336</v>
      </c>
      <c r="E4383" s="52" t="s">
        <v>584</v>
      </c>
      <c r="F4383" s="52" t="s">
        <v>581</v>
      </c>
      <c r="G4383" s="195" t="s">
        <v>277</v>
      </c>
      <c r="H4383" s="195"/>
      <c r="I4383" s="195"/>
      <c r="J4383" s="195"/>
      <c r="K4383" s="195">
        <v>0</v>
      </c>
      <c r="L4383" s="195">
        <v>4.3499999999999997E-3</v>
      </c>
      <c r="M4383" s="195">
        <v>4.3499999999999997E-3</v>
      </c>
      <c r="N4383" s="195">
        <v>8.6999999999999994E-2</v>
      </c>
    </row>
    <row r="4384" spans="1:14" hidden="1" x14ac:dyDescent="0.35">
      <c r="A4384" s="52" t="s">
        <v>680</v>
      </c>
      <c r="B4384" s="52" t="s">
        <v>73</v>
      </c>
      <c r="C4384" s="52" t="s">
        <v>71</v>
      </c>
      <c r="D4384" s="52" t="s">
        <v>336</v>
      </c>
      <c r="E4384" s="52" t="s">
        <v>584</v>
      </c>
      <c r="F4384" s="52" t="s">
        <v>581</v>
      </c>
      <c r="G4384" s="195" t="s">
        <v>278</v>
      </c>
      <c r="H4384" s="195">
        <v>2.73645E-2</v>
      </c>
      <c r="I4384" s="195">
        <v>1.3134150000000001E-2</v>
      </c>
      <c r="J4384" s="195">
        <v>0.95454349999999999</v>
      </c>
      <c r="K4384" s="195">
        <v>1.332405E-2</v>
      </c>
      <c r="L4384" s="195">
        <v>1.1953800000000001E-2</v>
      </c>
      <c r="M4384" s="195">
        <v>2.4556950000000001E-2</v>
      </c>
      <c r="N4384" s="195">
        <v>2.4556950000000001E-2</v>
      </c>
    </row>
    <row r="4385" spans="1:14" hidden="1" x14ac:dyDescent="0.35">
      <c r="A4385" s="52" t="s">
        <v>680</v>
      </c>
      <c r="B4385" s="52" t="s">
        <v>73</v>
      </c>
      <c r="C4385" s="52" t="s">
        <v>71</v>
      </c>
      <c r="D4385" s="52" t="s">
        <v>336</v>
      </c>
      <c r="E4385" s="52" t="s">
        <v>584</v>
      </c>
      <c r="F4385" s="52" t="s">
        <v>581</v>
      </c>
      <c r="G4385" s="195" t="s">
        <v>279</v>
      </c>
      <c r="H4385" s="195"/>
      <c r="I4385" s="195"/>
      <c r="J4385" s="195"/>
      <c r="K4385" s="195"/>
      <c r="L4385" s="195"/>
      <c r="M4385" s="195"/>
      <c r="N4385" s="195">
        <v>0</v>
      </c>
    </row>
    <row r="4386" spans="1:14" hidden="1" x14ac:dyDescent="0.35">
      <c r="A4386" s="52" t="s">
        <v>680</v>
      </c>
      <c r="B4386" s="52" t="s">
        <v>73</v>
      </c>
      <c r="C4386" s="52" t="s">
        <v>71</v>
      </c>
      <c r="D4386" s="52" t="s">
        <v>336</v>
      </c>
      <c r="E4386" s="52" t="s">
        <v>584</v>
      </c>
      <c r="F4386" s="52" t="s">
        <v>26</v>
      </c>
      <c r="G4386" s="195" t="s">
        <v>275</v>
      </c>
      <c r="H4386" s="195">
        <v>0</v>
      </c>
      <c r="I4386" s="195">
        <v>2.9999879999999999E-5</v>
      </c>
      <c r="J4386" s="195">
        <v>0</v>
      </c>
      <c r="K4386" s="195">
        <v>0</v>
      </c>
      <c r="L4386" s="195">
        <v>0</v>
      </c>
      <c r="M4386" s="195">
        <v>0</v>
      </c>
      <c r="N4386" s="195">
        <v>0</v>
      </c>
    </row>
    <row r="4387" spans="1:14" hidden="1" x14ac:dyDescent="0.35">
      <c r="A4387" s="52" t="s">
        <v>680</v>
      </c>
      <c r="B4387" s="52" t="s">
        <v>73</v>
      </c>
      <c r="C4387" s="52" t="s">
        <v>71</v>
      </c>
      <c r="D4387" s="52" t="s">
        <v>336</v>
      </c>
      <c r="E4387" s="52" t="s">
        <v>584</v>
      </c>
      <c r="F4387" s="52" t="s">
        <v>26</v>
      </c>
      <c r="G4387" s="195" t="s">
        <v>276</v>
      </c>
      <c r="H4387" s="195"/>
      <c r="I4387" s="195">
        <v>-4.7720999999999996E-3</v>
      </c>
      <c r="J4387" s="195">
        <v>-9.5546989999999998E-3</v>
      </c>
      <c r="K4387" s="195">
        <v>-4.8104999999999997E-3</v>
      </c>
      <c r="L4387" s="195">
        <v>-5.4032999999999998E-3</v>
      </c>
      <c r="M4387" s="195">
        <v>-9.9533999999999994E-3</v>
      </c>
      <c r="N4387" s="195">
        <v>-3.0615900000000001E-2</v>
      </c>
    </row>
    <row r="4388" spans="1:14" hidden="1" x14ac:dyDescent="0.35">
      <c r="A4388" s="52" t="s">
        <v>680</v>
      </c>
      <c r="B4388" s="52" t="s">
        <v>73</v>
      </c>
      <c r="C4388" s="52" t="s">
        <v>71</v>
      </c>
      <c r="D4388" s="52" t="s">
        <v>336</v>
      </c>
      <c r="E4388" s="52" t="s">
        <v>584</v>
      </c>
      <c r="F4388" s="52" t="s">
        <v>26</v>
      </c>
      <c r="G4388" s="195" t="s">
        <v>277</v>
      </c>
      <c r="H4388" s="195"/>
      <c r="I4388" s="195"/>
      <c r="J4388" s="195"/>
      <c r="K4388" s="195">
        <v>0</v>
      </c>
      <c r="L4388" s="195">
        <v>1.0874999999999999E-3</v>
      </c>
      <c r="M4388" s="195">
        <v>1.0874999999999999E-3</v>
      </c>
      <c r="N4388" s="195">
        <v>2.1749999999999999E-2</v>
      </c>
    </row>
    <row r="4389" spans="1:14" hidden="1" x14ac:dyDescent="0.35">
      <c r="A4389" s="52" t="s">
        <v>680</v>
      </c>
      <c r="B4389" s="52" t="s">
        <v>73</v>
      </c>
      <c r="C4389" s="52" t="s">
        <v>71</v>
      </c>
      <c r="D4389" s="52" t="s">
        <v>336</v>
      </c>
      <c r="E4389" s="52" t="s">
        <v>584</v>
      </c>
      <c r="F4389" s="52" t="s">
        <v>26</v>
      </c>
      <c r="G4389" s="195" t="s">
        <v>278</v>
      </c>
      <c r="H4389" s="195"/>
      <c r="I4389" s="195">
        <v>4.74195E-3</v>
      </c>
      <c r="J4389" s="195">
        <v>9.5546999999999993E-3</v>
      </c>
      <c r="K4389" s="195">
        <v>4.8104999999999997E-3</v>
      </c>
      <c r="L4389" s="195">
        <v>4.3157999999999998E-3</v>
      </c>
      <c r="M4389" s="195">
        <v>8.865899E-3</v>
      </c>
      <c r="N4389" s="195">
        <v>8.865899E-3</v>
      </c>
    </row>
    <row r="4390" spans="1:14" hidden="1" x14ac:dyDescent="0.35">
      <c r="A4390" s="52" t="s">
        <v>680</v>
      </c>
      <c r="B4390" s="52" t="s">
        <v>73</v>
      </c>
      <c r="C4390" s="52" t="s">
        <v>71</v>
      </c>
      <c r="D4390" s="52" t="s">
        <v>336</v>
      </c>
      <c r="E4390" s="52" t="s">
        <v>584</v>
      </c>
      <c r="F4390" s="52" t="s">
        <v>26</v>
      </c>
      <c r="G4390" s="195" t="s">
        <v>279</v>
      </c>
      <c r="H4390" s="195"/>
      <c r="I4390" s="195"/>
      <c r="J4390" s="195"/>
      <c r="K4390" s="195"/>
      <c r="L4390" s="195"/>
      <c r="M4390" s="195"/>
      <c r="N4390" s="195">
        <v>0</v>
      </c>
    </row>
    <row r="4391" spans="1:14" hidden="1" x14ac:dyDescent="0.35">
      <c r="A4391" s="52" t="s">
        <v>680</v>
      </c>
      <c r="B4391" s="52" t="s">
        <v>73</v>
      </c>
      <c r="C4391" s="52" t="s">
        <v>71</v>
      </c>
      <c r="D4391" s="52" t="s">
        <v>72</v>
      </c>
      <c r="E4391" s="52" t="s">
        <v>584</v>
      </c>
      <c r="F4391" s="52" t="s">
        <v>581</v>
      </c>
      <c r="G4391" s="195" t="s">
        <v>275</v>
      </c>
      <c r="H4391" s="195">
        <v>-1.8398000000000001E-2</v>
      </c>
      <c r="I4391" s="195">
        <v>-8.3098000000000009E-3</v>
      </c>
      <c r="J4391" s="195">
        <v>0</v>
      </c>
      <c r="K4391" s="195">
        <v>0</v>
      </c>
      <c r="L4391" s="195">
        <v>0</v>
      </c>
      <c r="M4391" s="195">
        <v>0</v>
      </c>
      <c r="N4391" s="195">
        <v>0</v>
      </c>
    </row>
    <row r="4392" spans="1:14" hidden="1" x14ac:dyDescent="0.35">
      <c r="A4392" s="52" t="s">
        <v>680</v>
      </c>
      <c r="B4392" s="52" t="s">
        <v>73</v>
      </c>
      <c r="C4392" s="52" t="s">
        <v>71</v>
      </c>
      <c r="D4392" s="52" t="s">
        <v>72</v>
      </c>
      <c r="E4392" s="52" t="s">
        <v>584</v>
      </c>
      <c r="F4392" s="52" t="s">
        <v>581</v>
      </c>
      <c r="G4392" s="195" t="s">
        <v>276</v>
      </c>
      <c r="H4392" s="195">
        <v>-8.7446410000000002E-2</v>
      </c>
      <c r="I4392" s="195">
        <v>-6.0833400000000003E-2</v>
      </c>
      <c r="J4392" s="195">
        <v>-8.3061099999999999E-2</v>
      </c>
      <c r="K4392" s="195">
        <v>-4.2117870000000002</v>
      </c>
      <c r="L4392" s="195">
        <v>-0.85506190000000004</v>
      </c>
      <c r="M4392" s="195">
        <v>-0.14087769999999999</v>
      </c>
      <c r="N4392" s="195">
        <v>-0.1437785</v>
      </c>
    </row>
    <row r="4393" spans="1:14" hidden="1" x14ac:dyDescent="0.35">
      <c r="A4393" s="52" t="s">
        <v>680</v>
      </c>
      <c r="B4393" s="52" t="s">
        <v>73</v>
      </c>
      <c r="C4393" s="52" t="s">
        <v>71</v>
      </c>
      <c r="D4393" s="52" t="s">
        <v>72</v>
      </c>
      <c r="E4393" s="52" t="s">
        <v>584</v>
      </c>
      <c r="F4393" s="52" t="s">
        <v>581</v>
      </c>
      <c r="G4393" s="195" t="s">
        <v>277</v>
      </c>
      <c r="H4393" s="195"/>
      <c r="I4393" s="195"/>
      <c r="J4393" s="195"/>
      <c r="K4393" s="195"/>
      <c r="L4393" s="195">
        <v>0</v>
      </c>
      <c r="M4393" s="195">
        <v>1.1599999999999999E-2</v>
      </c>
      <c r="N4393" s="195">
        <v>1.4500000000000001E-2</v>
      </c>
    </row>
    <row r="4394" spans="1:14" hidden="1" x14ac:dyDescent="0.35">
      <c r="A4394" s="52" t="s">
        <v>680</v>
      </c>
      <c r="B4394" s="52" t="s">
        <v>73</v>
      </c>
      <c r="C4394" s="52" t="s">
        <v>71</v>
      </c>
      <c r="D4394" s="52" t="s">
        <v>72</v>
      </c>
      <c r="E4394" s="52" t="s">
        <v>584</v>
      </c>
      <c r="F4394" s="52" t="s">
        <v>581</v>
      </c>
      <c r="G4394" s="195" t="s">
        <v>278</v>
      </c>
      <c r="H4394" s="195">
        <v>0.10584449999999999</v>
      </c>
      <c r="I4394" s="195">
        <v>6.9143789999999997E-2</v>
      </c>
      <c r="J4394" s="195">
        <v>8.3060700000000001E-2</v>
      </c>
      <c r="K4394" s="195">
        <v>4.2117870000000002</v>
      </c>
      <c r="L4394" s="195">
        <v>0.85506150000000003</v>
      </c>
      <c r="M4394" s="195">
        <v>0.12927810000000001</v>
      </c>
      <c r="N4394" s="195">
        <v>0.12927810000000001</v>
      </c>
    </row>
    <row r="4395" spans="1:14" hidden="1" x14ac:dyDescent="0.35">
      <c r="A4395" s="52" t="s">
        <v>680</v>
      </c>
      <c r="B4395" s="52" t="s">
        <v>73</v>
      </c>
      <c r="C4395" s="52" t="s">
        <v>71</v>
      </c>
      <c r="D4395" s="52" t="s">
        <v>141</v>
      </c>
      <c r="E4395" s="52" t="s">
        <v>584</v>
      </c>
      <c r="F4395" s="52" t="s">
        <v>581</v>
      </c>
      <c r="G4395" s="195" t="s">
        <v>275</v>
      </c>
      <c r="H4395" s="195">
        <v>0</v>
      </c>
      <c r="I4395" s="195"/>
      <c r="J4395" s="195">
        <v>0</v>
      </c>
      <c r="K4395" s="195">
        <v>0</v>
      </c>
      <c r="L4395" s="195">
        <v>0</v>
      </c>
      <c r="M4395" s="195">
        <v>0</v>
      </c>
      <c r="N4395" s="195">
        <v>0</v>
      </c>
    </row>
    <row r="4396" spans="1:14" hidden="1" x14ac:dyDescent="0.35">
      <c r="A4396" s="52" t="s">
        <v>680</v>
      </c>
      <c r="B4396" s="52" t="s">
        <v>73</v>
      </c>
      <c r="C4396" s="52" t="s">
        <v>71</v>
      </c>
      <c r="D4396" s="52" t="s">
        <v>141</v>
      </c>
      <c r="E4396" s="52" t="s">
        <v>584</v>
      </c>
      <c r="F4396" s="52" t="s">
        <v>581</v>
      </c>
      <c r="G4396" s="195" t="s">
        <v>276</v>
      </c>
      <c r="H4396" s="195"/>
      <c r="I4396" s="195"/>
      <c r="J4396" s="195">
        <v>0</v>
      </c>
      <c r="K4396" s="195">
        <v>0</v>
      </c>
      <c r="L4396" s="195">
        <v>0</v>
      </c>
      <c r="M4396" s="195">
        <v>0</v>
      </c>
      <c r="N4396" s="195">
        <v>0</v>
      </c>
    </row>
    <row r="4397" spans="1:14" hidden="1" x14ac:dyDescent="0.35">
      <c r="A4397" s="52" t="s">
        <v>680</v>
      </c>
      <c r="B4397" s="52" t="s">
        <v>73</v>
      </c>
      <c r="C4397" s="52" t="s">
        <v>71</v>
      </c>
      <c r="D4397" s="52" t="s">
        <v>141</v>
      </c>
      <c r="E4397" s="52" t="s">
        <v>584</v>
      </c>
      <c r="F4397" s="52" t="s">
        <v>581</v>
      </c>
      <c r="G4397" s="195" t="s">
        <v>277</v>
      </c>
      <c r="H4397" s="195"/>
      <c r="I4397" s="195"/>
      <c r="J4397" s="195"/>
      <c r="K4397" s="195"/>
      <c r="L4397" s="195"/>
      <c r="M4397" s="195"/>
      <c r="N4397" s="195">
        <v>0</v>
      </c>
    </row>
    <row r="4398" spans="1:14" hidden="1" x14ac:dyDescent="0.35">
      <c r="A4398" s="52" t="s">
        <v>680</v>
      </c>
      <c r="B4398" s="52" t="s">
        <v>73</v>
      </c>
      <c r="C4398" s="52" t="s">
        <v>71</v>
      </c>
      <c r="D4398" s="52" t="s">
        <v>141</v>
      </c>
      <c r="E4398" s="52" t="s">
        <v>584</v>
      </c>
      <c r="F4398" s="52" t="s">
        <v>581</v>
      </c>
      <c r="G4398" s="195" t="s">
        <v>278</v>
      </c>
      <c r="H4398" s="195"/>
      <c r="I4398" s="195"/>
      <c r="J4398" s="195">
        <v>0</v>
      </c>
      <c r="K4398" s="195">
        <v>0</v>
      </c>
      <c r="L4398" s="195">
        <v>0</v>
      </c>
      <c r="M4398" s="195">
        <v>0</v>
      </c>
      <c r="N4398" s="195">
        <v>0</v>
      </c>
    </row>
    <row r="4399" spans="1:14" hidden="1" x14ac:dyDescent="0.35">
      <c r="A4399" s="52" t="s">
        <v>680</v>
      </c>
      <c r="B4399" s="52" t="s">
        <v>73</v>
      </c>
      <c r="C4399" s="52" t="s">
        <v>71</v>
      </c>
      <c r="D4399" s="52" t="s">
        <v>137</v>
      </c>
      <c r="E4399" s="52" t="s">
        <v>584</v>
      </c>
      <c r="F4399" s="52" t="s">
        <v>581</v>
      </c>
      <c r="G4399" s="195" t="s">
        <v>275</v>
      </c>
      <c r="H4399" s="195">
        <v>-1.8128E-3</v>
      </c>
      <c r="I4399" s="195">
        <v>-4.1153630000000003</v>
      </c>
      <c r="J4399" s="195">
        <v>0</v>
      </c>
      <c r="K4399" s="195">
        <v>0</v>
      </c>
      <c r="L4399" s="195">
        <v>0</v>
      </c>
      <c r="M4399" s="195">
        <v>0</v>
      </c>
      <c r="N4399" s="195">
        <v>0</v>
      </c>
    </row>
    <row r="4400" spans="1:14" hidden="1" x14ac:dyDescent="0.35">
      <c r="A4400" s="52" t="s">
        <v>680</v>
      </c>
      <c r="B4400" s="52" t="s">
        <v>73</v>
      </c>
      <c r="C4400" s="52" t="s">
        <v>71</v>
      </c>
      <c r="D4400" s="52" t="s">
        <v>137</v>
      </c>
      <c r="E4400" s="52" t="s">
        <v>584</v>
      </c>
      <c r="F4400" s="52" t="s">
        <v>581</v>
      </c>
      <c r="G4400" s="195" t="s">
        <v>276</v>
      </c>
      <c r="H4400" s="195">
        <v>-3.6331200000000001E-2</v>
      </c>
      <c r="I4400" s="195">
        <v>-14.61647</v>
      </c>
      <c r="J4400" s="195">
        <v>-5.0053599999999997E-2</v>
      </c>
      <c r="K4400" s="195">
        <v>-2.8177600000000001E-2</v>
      </c>
      <c r="L4400" s="195">
        <v>-2.5578E-2</v>
      </c>
      <c r="M4400" s="195">
        <v>-0.1045888</v>
      </c>
      <c r="N4400" s="195">
        <v>-4.7486800000000003E-2</v>
      </c>
    </row>
    <row r="4401" spans="1:14" hidden="1" x14ac:dyDescent="0.35">
      <c r="A4401" s="52" t="s">
        <v>680</v>
      </c>
      <c r="B4401" s="52" t="s">
        <v>73</v>
      </c>
      <c r="C4401" s="52" t="s">
        <v>71</v>
      </c>
      <c r="D4401" s="52" t="s">
        <v>137</v>
      </c>
      <c r="E4401" s="52" t="s">
        <v>584</v>
      </c>
      <c r="F4401" s="52" t="s">
        <v>581</v>
      </c>
      <c r="G4401" s="195" t="s">
        <v>277</v>
      </c>
      <c r="H4401" s="195"/>
      <c r="I4401" s="195"/>
      <c r="J4401" s="195">
        <v>0</v>
      </c>
      <c r="K4401" s="195">
        <v>2.8999999999999998E-3</v>
      </c>
      <c r="L4401" s="195">
        <v>2.8999999999999998E-3</v>
      </c>
      <c r="M4401" s="195">
        <v>5.8000000000000003E-2</v>
      </c>
      <c r="N4401" s="195">
        <v>0</v>
      </c>
    </row>
    <row r="4402" spans="1:14" hidden="1" x14ac:dyDescent="0.35">
      <c r="A4402" s="52" t="s">
        <v>680</v>
      </c>
      <c r="B4402" s="52" t="s">
        <v>73</v>
      </c>
      <c r="C4402" s="52" t="s">
        <v>71</v>
      </c>
      <c r="D4402" s="52" t="s">
        <v>137</v>
      </c>
      <c r="E4402" s="52" t="s">
        <v>584</v>
      </c>
      <c r="F4402" s="52" t="s">
        <v>581</v>
      </c>
      <c r="G4402" s="195" t="s">
        <v>278</v>
      </c>
      <c r="H4402" s="195">
        <v>3.8143999999999997E-2</v>
      </c>
      <c r="I4402" s="195">
        <v>2.4917999999999999E-2</v>
      </c>
      <c r="J4402" s="195">
        <v>5.0053199999999999E-2</v>
      </c>
      <c r="K4402" s="195">
        <v>2.5277999999999998E-2</v>
      </c>
      <c r="L4402" s="195">
        <v>2.2678400000000001E-2</v>
      </c>
      <c r="M4402" s="195">
        <v>4.6589199999999997E-2</v>
      </c>
      <c r="N4402" s="195">
        <v>4.6589199999999997E-2</v>
      </c>
    </row>
    <row r="4403" spans="1:14" hidden="1" x14ac:dyDescent="0.35">
      <c r="A4403" s="52" t="s">
        <v>680</v>
      </c>
      <c r="B4403" s="52" t="s">
        <v>73</v>
      </c>
      <c r="C4403" s="52" t="s">
        <v>71</v>
      </c>
      <c r="D4403" s="52" t="s">
        <v>137</v>
      </c>
      <c r="E4403" s="52" t="s">
        <v>584</v>
      </c>
      <c r="F4403" s="52" t="s">
        <v>581</v>
      </c>
      <c r="G4403" s="195" t="s">
        <v>279</v>
      </c>
      <c r="H4403" s="195">
        <v>0</v>
      </c>
      <c r="I4403" s="195">
        <v>18.706910000000001</v>
      </c>
      <c r="J4403" s="195">
        <v>0</v>
      </c>
      <c r="K4403" s="195"/>
      <c r="L4403" s="195"/>
      <c r="M4403" s="195">
        <v>0</v>
      </c>
      <c r="N4403" s="195">
        <v>8.9760000000000003E-4</v>
      </c>
    </row>
    <row r="4404" spans="1:14" hidden="1" x14ac:dyDescent="0.35">
      <c r="A4404" s="52" t="s">
        <v>680</v>
      </c>
      <c r="B4404" s="52" t="s">
        <v>73</v>
      </c>
      <c r="C4404" s="52" t="s">
        <v>71</v>
      </c>
      <c r="D4404" s="52" t="s">
        <v>137</v>
      </c>
      <c r="E4404" s="52" t="s">
        <v>584</v>
      </c>
      <c r="F4404" s="52" t="s">
        <v>26</v>
      </c>
      <c r="G4404" s="195" t="s">
        <v>275</v>
      </c>
      <c r="H4404" s="195">
        <v>0</v>
      </c>
      <c r="I4404" s="195"/>
      <c r="J4404" s="195"/>
      <c r="K4404" s="195"/>
      <c r="L4404" s="195"/>
      <c r="M4404" s="195">
        <v>0</v>
      </c>
      <c r="N4404" s="195">
        <v>0</v>
      </c>
    </row>
    <row r="4405" spans="1:14" hidden="1" x14ac:dyDescent="0.35">
      <c r="A4405" s="52" t="s">
        <v>680</v>
      </c>
      <c r="B4405" s="52" t="s">
        <v>73</v>
      </c>
      <c r="C4405" s="52" t="s">
        <v>71</v>
      </c>
      <c r="D4405" s="52" t="s">
        <v>137</v>
      </c>
      <c r="E4405" s="52" t="s">
        <v>584</v>
      </c>
      <c r="F4405" s="52" t="s">
        <v>26</v>
      </c>
      <c r="G4405" s="195" t="s">
        <v>276</v>
      </c>
      <c r="H4405" s="195">
        <v>0</v>
      </c>
      <c r="I4405" s="195"/>
      <c r="J4405" s="195"/>
      <c r="K4405" s="195"/>
      <c r="L4405" s="195"/>
      <c r="M4405" s="195">
        <v>0</v>
      </c>
      <c r="N4405" s="195">
        <v>-7.0400000000000004E-5</v>
      </c>
    </row>
    <row r="4406" spans="1:14" hidden="1" x14ac:dyDescent="0.35">
      <c r="A4406" s="52" t="s">
        <v>680</v>
      </c>
      <c r="B4406" s="52" t="s">
        <v>73</v>
      </c>
      <c r="C4406" s="52" t="s">
        <v>71</v>
      </c>
      <c r="D4406" s="52" t="s">
        <v>137</v>
      </c>
      <c r="E4406" s="52" t="s">
        <v>584</v>
      </c>
      <c r="F4406" s="52" t="s">
        <v>26</v>
      </c>
      <c r="G4406" s="195" t="s">
        <v>277</v>
      </c>
      <c r="H4406" s="195"/>
      <c r="I4406" s="195"/>
      <c r="J4406" s="195"/>
      <c r="K4406" s="195"/>
      <c r="L4406" s="195"/>
      <c r="M4406" s="195"/>
      <c r="N4406" s="195">
        <v>0</v>
      </c>
    </row>
    <row r="4407" spans="1:14" hidden="1" x14ac:dyDescent="0.35">
      <c r="A4407" s="52" t="s">
        <v>680</v>
      </c>
      <c r="B4407" s="52" t="s">
        <v>73</v>
      </c>
      <c r="C4407" s="52" t="s">
        <v>71</v>
      </c>
      <c r="D4407" s="52" t="s">
        <v>137</v>
      </c>
      <c r="E4407" s="52" t="s">
        <v>584</v>
      </c>
      <c r="F4407" s="52" t="s">
        <v>26</v>
      </c>
      <c r="G4407" s="195" t="s">
        <v>279</v>
      </c>
      <c r="H4407" s="195"/>
      <c r="I4407" s="195"/>
      <c r="J4407" s="195"/>
      <c r="K4407" s="195"/>
      <c r="L4407" s="195"/>
      <c r="M4407" s="195">
        <v>0</v>
      </c>
      <c r="N4407" s="195">
        <v>6.9599999999999998E-5</v>
      </c>
    </row>
    <row r="4408" spans="1:14" hidden="1" x14ac:dyDescent="0.35">
      <c r="A4408" s="52" t="s">
        <v>680</v>
      </c>
      <c r="B4408" s="52" t="s">
        <v>73</v>
      </c>
      <c r="C4408" s="52" t="s">
        <v>184</v>
      </c>
      <c r="D4408" s="52" t="s">
        <v>379</v>
      </c>
      <c r="E4408" s="52" t="s">
        <v>584</v>
      </c>
      <c r="F4408" s="52" t="s">
        <v>581</v>
      </c>
      <c r="G4408" s="195" t="s">
        <v>275</v>
      </c>
      <c r="H4408" s="195">
        <v>-1.779469</v>
      </c>
      <c r="I4408" s="195">
        <v>0.402225</v>
      </c>
      <c r="J4408" s="195">
        <v>0.402225</v>
      </c>
      <c r="K4408" s="195">
        <v>0.40222530000000001</v>
      </c>
      <c r="L4408" s="195">
        <v>0</v>
      </c>
      <c r="M4408" s="195">
        <v>0</v>
      </c>
      <c r="N4408" s="195">
        <v>0</v>
      </c>
    </row>
    <row r="4409" spans="1:14" hidden="1" x14ac:dyDescent="0.35">
      <c r="A4409" s="52" t="s">
        <v>680</v>
      </c>
      <c r="B4409" s="52" t="s">
        <v>73</v>
      </c>
      <c r="C4409" s="52" t="s">
        <v>184</v>
      </c>
      <c r="D4409" s="52" t="s">
        <v>379</v>
      </c>
      <c r="E4409" s="52" t="s">
        <v>584</v>
      </c>
      <c r="F4409" s="52" t="s">
        <v>581</v>
      </c>
      <c r="G4409" s="195" t="s">
        <v>276</v>
      </c>
      <c r="H4409" s="195">
        <v>-8.1373239999999996</v>
      </c>
      <c r="I4409" s="195">
        <v>-0.402225</v>
      </c>
      <c r="J4409" s="195">
        <v>0</v>
      </c>
      <c r="K4409" s="195">
        <v>0</v>
      </c>
      <c r="L4409" s="195">
        <v>0</v>
      </c>
      <c r="M4409" s="195">
        <v>0</v>
      </c>
      <c r="N4409" s="195">
        <v>0</v>
      </c>
    </row>
    <row r="4410" spans="1:14" hidden="1" x14ac:dyDescent="0.35">
      <c r="A4410" s="52" t="s">
        <v>680</v>
      </c>
      <c r="B4410" s="52" t="s">
        <v>73</v>
      </c>
      <c r="C4410" s="52" t="s">
        <v>184</v>
      </c>
      <c r="D4410" s="52" t="s">
        <v>379</v>
      </c>
      <c r="E4410" s="52" t="s">
        <v>584</v>
      </c>
      <c r="F4410" s="52" t="s">
        <v>581</v>
      </c>
      <c r="G4410" s="195" t="s">
        <v>277</v>
      </c>
      <c r="H4410" s="195"/>
      <c r="I4410" s="195"/>
      <c r="J4410" s="195"/>
      <c r="K4410" s="195">
        <v>0</v>
      </c>
      <c r="L4410" s="195">
        <v>0</v>
      </c>
      <c r="M4410" s="195">
        <v>0</v>
      </c>
      <c r="N4410" s="195">
        <v>0</v>
      </c>
    </row>
    <row r="4411" spans="1:14" hidden="1" x14ac:dyDescent="0.35">
      <c r="A4411" s="52" t="s">
        <v>680</v>
      </c>
      <c r="B4411" s="52" t="s">
        <v>73</v>
      </c>
      <c r="C4411" s="52" t="s">
        <v>184</v>
      </c>
      <c r="D4411" s="52" t="s">
        <v>379</v>
      </c>
      <c r="E4411" s="52" t="s">
        <v>584</v>
      </c>
      <c r="F4411" s="52" t="s">
        <v>581</v>
      </c>
      <c r="G4411" s="195" t="s">
        <v>278</v>
      </c>
      <c r="H4411" s="195">
        <v>9.9167939999999994</v>
      </c>
      <c r="I4411" s="195">
        <v>0</v>
      </c>
      <c r="J4411" s="195"/>
      <c r="K4411" s="195"/>
      <c r="L4411" s="195"/>
      <c r="M4411" s="195"/>
      <c r="N4411" s="195"/>
    </row>
    <row r="4412" spans="1:14" hidden="1" x14ac:dyDescent="0.35">
      <c r="A4412" s="52" t="s">
        <v>680</v>
      </c>
      <c r="B4412" s="52" t="s">
        <v>73</v>
      </c>
      <c r="C4412" s="52" t="s">
        <v>184</v>
      </c>
      <c r="D4412" s="52" t="s">
        <v>378</v>
      </c>
      <c r="E4412" s="52" t="s">
        <v>584</v>
      </c>
      <c r="F4412" s="52" t="s">
        <v>581</v>
      </c>
      <c r="G4412" s="195" t="s">
        <v>275</v>
      </c>
      <c r="H4412" s="195">
        <v>-3.5630700000000001E-2</v>
      </c>
      <c r="I4412" s="195"/>
      <c r="J4412" s="195"/>
      <c r="K4412" s="195"/>
      <c r="L4412" s="195">
        <v>0</v>
      </c>
      <c r="M4412" s="195"/>
      <c r="N4412" s="195">
        <v>0</v>
      </c>
    </row>
    <row r="4413" spans="1:14" hidden="1" x14ac:dyDescent="0.35">
      <c r="A4413" s="52" t="s">
        <v>680</v>
      </c>
      <c r="B4413" s="52" t="s">
        <v>73</v>
      </c>
      <c r="C4413" s="52" t="s">
        <v>184</v>
      </c>
      <c r="D4413" s="52" t="s">
        <v>378</v>
      </c>
      <c r="E4413" s="52" t="s">
        <v>584</v>
      </c>
      <c r="F4413" s="52" t="s">
        <v>581</v>
      </c>
      <c r="G4413" s="195" t="s">
        <v>276</v>
      </c>
      <c r="H4413" s="195">
        <v>-0.23183870000000001</v>
      </c>
      <c r="I4413" s="195"/>
      <c r="J4413" s="195"/>
      <c r="K4413" s="195"/>
      <c r="L4413" s="195">
        <v>0</v>
      </c>
      <c r="M4413" s="195"/>
      <c r="N4413" s="195">
        <v>0</v>
      </c>
    </row>
    <row r="4414" spans="1:14" hidden="1" x14ac:dyDescent="0.35">
      <c r="A4414" s="52" t="s">
        <v>680</v>
      </c>
      <c r="B4414" s="52" t="s">
        <v>73</v>
      </c>
      <c r="C4414" s="52" t="s">
        <v>184</v>
      </c>
      <c r="D4414" s="52" t="s">
        <v>378</v>
      </c>
      <c r="E4414" s="52" t="s">
        <v>584</v>
      </c>
      <c r="F4414" s="52" t="s">
        <v>581</v>
      </c>
      <c r="G4414" s="195" t="s">
        <v>277</v>
      </c>
      <c r="H4414" s="195"/>
      <c r="I4414" s="195"/>
      <c r="J4414" s="195"/>
      <c r="K4414" s="195">
        <v>0</v>
      </c>
      <c r="L4414" s="195">
        <v>0</v>
      </c>
      <c r="M4414" s="195">
        <v>0</v>
      </c>
      <c r="N4414" s="195">
        <v>0</v>
      </c>
    </row>
    <row r="4415" spans="1:14" hidden="1" x14ac:dyDescent="0.35">
      <c r="A4415" s="52" t="s">
        <v>680</v>
      </c>
      <c r="B4415" s="52" t="s">
        <v>73</v>
      </c>
      <c r="C4415" s="52" t="s">
        <v>184</v>
      </c>
      <c r="D4415" s="52" t="s">
        <v>378</v>
      </c>
      <c r="E4415" s="52" t="s">
        <v>584</v>
      </c>
      <c r="F4415" s="52" t="s">
        <v>581</v>
      </c>
      <c r="G4415" s="195" t="s">
        <v>278</v>
      </c>
      <c r="H4415" s="195">
        <v>0.2674704</v>
      </c>
      <c r="I4415" s="195">
        <v>0</v>
      </c>
      <c r="J4415" s="195">
        <v>0</v>
      </c>
      <c r="K4415" s="195">
        <v>0</v>
      </c>
      <c r="L4415" s="195">
        <v>0</v>
      </c>
      <c r="M4415" s="195"/>
      <c r="N4415" s="195"/>
    </row>
    <row r="4416" spans="1:14" hidden="1" x14ac:dyDescent="0.35">
      <c r="A4416" s="52" t="s">
        <v>680</v>
      </c>
      <c r="B4416" s="52" t="s">
        <v>73</v>
      </c>
      <c r="C4416" s="52" t="s">
        <v>184</v>
      </c>
      <c r="D4416" s="52" t="s">
        <v>378</v>
      </c>
      <c r="E4416" s="52" t="s">
        <v>584</v>
      </c>
      <c r="F4416" s="52" t="s">
        <v>581</v>
      </c>
      <c r="G4416" s="195" t="s">
        <v>279</v>
      </c>
      <c r="H4416" s="195"/>
      <c r="I4416" s="195"/>
      <c r="J4416" s="195"/>
      <c r="K4416" s="195"/>
      <c r="L4416" s="195"/>
      <c r="M4416" s="195"/>
      <c r="N4416" s="195">
        <v>0</v>
      </c>
    </row>
    <row r="4417" spans="1:14" hidden="1" x14ac:dyDescent="0.35">
      <c r="A4417" s="52" t="s">
        <v>680</v>
      </c>
      <c r="B4417" s="52" t="s">
        <v>73</v>
      </c>
      <c r="C4417" s="52" t="s">
        <v>184</v>
      </c>
      <c r="D4417" s="52" t="s">
        <v>378</v>
      </c>
      <c r="E4417" s="52" t="s">
        <v>584</v>
      </c>
      <c r="F4417" s="52" t="s">
        <v>26</v>
      </c>
      <c r="G4417" s="195" t="s">
        <v>275</v>
      </c>
      <c r="H4417" s="195">
        <v>0</v>
      </c>
      <c r="I4417" s="195">
        <v>-5.2601360000000001</v>
      </c>
      <c r="J4417" s="195">
        <v>0</v>
      </c>
      <c r="K4417" s="195">
        <v>0</v>
      </c>
      <c r="L4417" s="195">
        <v>0</v>
      </c>
      <c r="M4417" s="195">
        <v>0</v>
      </c>
      <c r="N4417" s="195">
        <v>0</v>
      </c>
    </row>
    <row r="4418" spans="1:14" hidden="1" x14ac:dyDescent="0.35">
      <c r="A4418" s="52" t="s">
        <v>680</v>
      </c>
      <c r="B4418" s="52" t="s">
        <v>73</v>
      </c>
      <c r="C4418" s="52" t="s">
        <v>184</v>
      </c>
      <c r="D4418" s="52" t="s">
        <v>378</v>
      </c>
      <c r="E4418" s="52" t="s">
        <v>584</v>
      </c>
      <c r="F4418" s="52" t="s">
        <v>26</v>
      </c>
      <c r="G4418" s="195" t="s">
        <v>276</v>
      </c>
      <c r="H4418" s="195"/>
      <c r="I4418" s="195">
        <v>-22.418759999999999</v>
      </c>
      <c r="J4418" s="195">
        <v>-10.40828</v>
      </c>
      <c r="K4418" s="195">
        <v>-3.5229249999999999</v>
      </c>
      <c r="L4418" s="195">
        <v>-0.27502330000000003</v>
      </c>
      <c r="M4418" s="195">
        <v>-0.45138709999999999</v>
      </c>
      <c r="N4418" s="195">
        <v>-0.88638649999999997</v>
      </c>
    </row>
    <row r="4419" spans="1:14" hidden="1" x14ac:dyDescent="0.35">
      <c r="A4419" s="52" t="s">
        <v>680</v>
      </c>
      <c r="B4419" s="52" t="s">
        <v>73</v>
      </c>
      <c r="C4419" s="52" t="s">
        <v>184</v>
      </c>
      <c r="D4419" s="52" t="s">
        <v>378</v>
      </c>
      <c r="E4419" s="52" t="s">
        <v>584</v>
      </c>
      <c r="F4419" s="52" t="s">
        <v>26</v>
      </c>
      <c r="G4419" s="195" t="s">
        <v>277</v>
      </c>
      <c r="H4419" s="195"/>
      <c r="I4419" s="195"/>
      <c r="J4419" s="195"/>
      <c r="K4419" s="195">
        <v>0</v>
      </c>
      <c r="L4419" s="195">
        <v>0.11600000000000001</v>
      </c>
      <c r="M4419" s="195">
        <v>0.12470000000000001</v>
      </c>
      <c r="N4419" s="195">
        <v>0.55969999999999998</v>
      </c>
    </row>
    <row r="4420" spans="1:14" hidden="1" x14ac:dyDescent="0.35">
      <c r="A4420" s="52" t="s">
        <v>680</v>
      </c>
      <c r="B4420" s="52" t="s">
        <v>73</v>
      </c>
      <c r="C4420" s="52" t="s">
        <v>184</v>
      </c>
      <c r="D4420" s="52" t="s">
        <v>378</v>
      </c>
      <c r="E4420" s="52" t="s">
        <v>584</v>
      </c>
      <c r="F4420" s="52" t="s">
        <v>26</v>
      </c>
      <c r="G4420" s="195" t="s">
        <v>278</v>
      </c>
      <c r="H4420" s="195">
        <v>0</v>
      </c>
      <c r="I4420" s="195">
        <v>27.678899999999999</v>
      </c>
      <c r="J4420" s="195">
        <v>10.40828</v>
      </c>
      <c r="K4420" s="195">
        <v>3.5229249999999999</v>
      </c>
      <c r="L4420" s="195">
        <v>0.15902379999999999</v>
      </c>
      <c r="M4420" s="195">
        <v>0.32668710000000001</v>
      </c>
      <c r="N4420" s="195">
        <v>0.32668710000000001</v>
      </c>
    </row>
    <row r="4421" spans="1:14" hidden="1" x14ac:dyDescent="0.35">
      <c r="A4421" s="52" t="s">
        <v>680</v>
      </c>
      <c r="B4421" s="52" t="s">
        <v>73</v>
      </c>
      <c r="C4421" s="52" t="s">
        <v>184</v>
      </c>
      <c r="D4421" s="52" t="s">
        <v>378</v>
      </c>
      <c r="E4421" s="52" t="s">
        <v>584</v>
      </c>
      <c r="F4421" s="52" t="s">
        <v>26</v>
      </c>
      <c r="G4421" s="195" t="s">
        <v>279</v>
      </c>
      <c r="H4421" s="195"/>
      <c r="I4421" s="195"/>
      <c r="J4421" s="195"/>
      <c r="K4421" s="195"/>
      <c r="L4421" s="195"/>
      <c r="M4421" s="195"/>
      <c r="N4421" s="195">
        <v>0</v>
      </c>
    </row>
    <row r="4422" spans="1:14" hidden="1" x14ac:dyDescent="0.35">
      <c r="A4422" s="52" t="s">
        <v>680</v>
      </c>
      <c r="B4422" s="52" t="s">
        <v>73</v>
      </c>
      <c r="C4422" s="52" t="s">
        <v>184</v>
      </c>
      <c r="D4422" s="52" t="s">
        <v>184</v>
      </c>
      <c r="E4422" s="52" t="s">
        <v>584</v>
      </c>
      <c r="F4422" s="52" t="s">
        <v>581</v>
      </c>
      <c r="G4422" s="195" t="s">
        <v>275</v>
      </c>
      <c r="H4422" s="195">
        <v>-2.1412400000000002E-2</v>
      </c>
      <c r="I4422" s="195"/>
      <c r="J4422" s="195"/>
      <c r="K4422" s="195"/>
      <c r="L4422" s="195">
        <v>0</v>
      </c>
      <c r="M4422" s="195"/>
      <c r="N4422" s="195">
        <v>0</v>
      </c>
    </row>
    <row r="4423" spans="1:14" hidden="1" x14ac:dyDescent="0.35">
      <c r="A4423" s="52" t="s">
        <v>680</v>
      </c>
      <c r="B4423" s="52" t="s">
        <v>73</v>
      </c>
      <c r="C4423" s="52" t="s">
        <v>184</v>
      </c>
      <c r="D4423" s="52" t="s">
        <v>184</v>
      </c>
      <c r="E4423" s="52" t="s">
        <v>584</v>
      </c>
      <c r="F4423" s="52" t="s">
        <v>581</v>
      </c>
      <c r="G4423" s="195" t="s">
        <v>276</v>
      </c>
      <c r="H4423" s="195">
        <v>-9.7917199999999996E-2</v>
      </c>
      <c r="I4423" s="195"/>
      <c r="J4423" s="195"/>
      <c r="K4423" s="195"/>
      <c r="L4423" s="195">
        <v>0</v>
      </c>
      <c r="M4423" s="195"/>
      <c r="N4423" s="195">
        <v>0</v>
      </c>
    </row>
    <row r="4424" spans="1:14" hidden="1" x14ac:dyDescent="0.35">
      <c r="A4424" s="52" t="s">
        <v>680</v>
      </c>
      <c r="B4424" s="52" t="s">
        <v>73</v>
      </c>
      <c r="C4424" s="52" t="s">
        <v>184</v>
      </c>
      <c r="D4424" s="52" t="s">
        <v>184</v>
      </c>
      <c r="E4424" s="52" t="s">
        <v>584</v>
      </c>
      <c r="F4424" s="52" t="s">
        <v>581</v>
      </c>
      <c r="G4424" s="195" t="s">
        <v>277</v>
      </c>
      <c r="H4424" s="195"/>
      <c r="I4424" s="195"/>
      <c r="J4424" s="195"/>
      <c r="K4424" s="195"/>
      <c r="L4424" s="195">
        <v>0</v>
      </c>
      <c r="M4424" s="195">
        <v>0</v>
      </c>
      <c r="N4424" s="195"/>
    </row>
    <row r="4425" spans="1:14" hidden="1" x14ac:dyDescent="0.35">
      <c r="A4425" s="52" t="s">
        <v>680</v>
      </c>
      <c r="B4425" s="52" t="s">
        <v>73</v>
      </c>
      <c r="C4425" s="52" t="s">
        <v>184</v>
      </c>
      <c r="D4425" s="52" t="s">
        <v>184</v>
      </c>
      <c r="E4425" s="52" t="s">
        <v>584</v>
      </c>
      <c r="F4425" s="52" t="s">
        <v>581</v>
      </c>
      <c r="G4425" s="195" t="s">
        <v>278</v>
      </c>
      <c r="H4425" s="195">
        <v>0.11932959999999999</v>
      </c>
      <c r="I4425" s="195"/>
      <c r="J4425" s="195"/>
      <c r="K4425" s="195">
        <v>0</v>
      </c>
      <c r="L4425" s="195"/>
      <c r="M4425" s="195">
        <v>0</v>
      </c>
      <c r="N4425" s="195"/>
    </row>
    <row r="4426" spans="1:14" hidden="1" x14ac:dyDescent="0.35">
      <c r="A4426" s="52" t="s">
        <v>680</v>
      </c>
      <c r="B4426" s="52" t="s">
        <v>73</v>
      </c>
      <c r="C4426" s="52" t="s">
        <v>184</v>
      </c>
      <c r="D4426" s="52" t="s">
        <v>184</v>
      </c>
      <c r="E4426" s="52" t="s">
        <v>584</v>
      </c>
      <c r="F4426" s="52" t="s">
        <v>581</v>
      </c>
      <c r="G4426" s="195" t="s">
        <v>279</v>
      </c>
      <c r="H4426" s="195"/>
      <c r="I4426" s="195"/>
      <c r="J4426" s="195"/>
      <c r="K4426" s="195"/>
      <c r="L4426" s="195"/>
      <c r="M4426" s="195"/>
      <c r="N4426" s="195">
        <v>0</v>
      </c>
    </row>
    <row r="4427" spans="1:14" hidden="1" x14ac:dyDescent="0.35">
      <c r="A4427" s="52" t="s">
        <v>680</v>
      </c>
      <c r="B4427" s="52" t="s">
        <v>73</v>
      </c>
      <c r="C4427" s="52" t="s">
        <v>184</v>
      </c>
      <c r="D4427" s="52" t="s">
        <v>184</v>
      </c>
      <c r="E4427" s="52" t="s">
        <v>584</v>
      </c>
      <c r="F4427" s="52" t="s">
        <v>26</v>
      </c>
      <c r="G4427" s="195" t="s">
        <v>275</v>
      </c>
      <c r="H4427" s="195">
        <v>0</v>
      </c>
      <c r="I4427" s="195">
        <v>-1.0039599999999999E-2</v>
      </c>
      <c r="J4427" s="195">
        <v>0</v>
      </c>
      <c r="K4427" s="195">
        <v>0</v>
      </c>
      <c r="L4427" s="195">
        <v>0</v>
      </c>
      <c r="M4427" s="195">
        <v>0</v>
      </c>
      <c r="N4427" s="195">
        <v>0</v>
      </c>
    </row>
    <row r="4428" spans="1:14" hidden="1" x14ac:dyDescent="0.35">
      <c r="A4428" s="52" t="s">
        <v>680</v>
      </c>
      <c r="B4428" s="52" t="s">
        <v>73</v>
      </c>
      <c r="C4428" s="52" t="s">
        <v>184</v>
      </c>
      <c r="D4428" s="52" t="s">
        <v>184</v>
      </c>
      <c r="E4428" s="52" t="s">
        <v>584</v>
      </c>
      <c r="F4428" s="52" t="s">
        <v>26</v>
      </c>
      <c r="G4428" s="195" t="s">
        <v>276</v>
      </c>
      <c r="H4428" s="195"/>
      <c r="I4428" s="195">
        <v>-6.7913200000000007E-2</v>
      </c>
      <c r="J4428" s="195">
        <v>-9.3642799999999998E-2</v>
      </c>
      <c r="K4428" s="195">
        <v>-7.9080010000000006E-2</v>
      </c>
      <c r="L4428" s="195">
        <v>-3.0414430000000001</v>
      </c>
      <c r="M4428" s="195">
        <v>-0.15734880000000001</v>
      </c>
      <c r="N4428" s="195">
        <v>-0.2733488</v>
      </c>
    </row>
    <row r="4429" spans="1:14" hidden="1" x14ac:dyDescent="0.35">
      <c r="A4429" s="52" t="s">
        <v>680</v>
      </c>
      <c r="B4429" s="52" t="s">
        <v>73</v>
      </c>
      <c r="C4429" s="52" t="s">
        <v>184</v>
      </c>
      <c r="D4429" s="52" t="s">
        <v>184</v>
      </c>
      <c r="E4429" s="52" t="s">
        <v>584</v>
      </c>
      <c r="F4429" s="52" t="s">
        <v>26</v>
      </c>
      <c r="G4429" s="195" t="s">
        <v>277</v>
      </c>
      <c r="H4429" s="195"/>
      <c r="I4429" s="195"/>
      <c r="J4429" s="195"/>
      <c r="K4429" s="195"/>
      <c r="L4429" s="195">
        <v>0</v>
      </c>
      <c r="M4429" s="195">
        <v>1.1599999999999999E-2</v>
      </c>
      <c r="N4429" s="195">
        <v>0.12759999999999999</v>
      </c>
    </row>
    <row r="4430" spans="1:14" hidden="1" x14ac:dyDescent="0.35">
      <c r="A4430" s="52" t="s">
        <v>680</v>
      </c>
      <c r="B4430" s="52" t="s">
        <v>73</v>
      </c>
      <c r="C4430" s="52" t="s">
        <v>184</v>
      </c>
      <c r="D4430" s="52" t="s">
        <v>184</v>
      </c>
      <c r="E4430" s="52" t="s">
        <v>584</v>
      </c>
      <c r="F4430" s="52" t="s">
        <v>26</v>
      </c>
      <c r="G4430" s="195" t="s">
        <v>278</v>
      </c>
      <c r="H4430" s="195"/>
      <c r="I4430" s="195">
        <v>7.79532E-2</v>
      </c>
      <c r="J4430" s="195">
        <v>9.3643210000000005E-2</v>
      </c>
      <c r="K4430" s="195">
        <v>7.9080010000000006E-2</v>
      </c>
      <c r="L4430" s="195">
        <v>3.0414430000000001</v>
      </c>
      <c r="M4430" s="195">
        <v>0.14574880000000001</v>
      </c>
      <c r="N4430" s="195">
        <v>0.14574880000000001</v>
      </c>
    </row>
    <row r="4431" spans="1:14" hidden="1" x14ac:dyDescent="0.35">
      <c r="A4431" s="52" t="s">
        <v>680</v>
      </c>
      <c r="B4431" s="52" t="s">
        <v>73</v>
      </c>
      <c r="C4431" s="52" t="s">
        <v>184</v>
      </c>
      <c r="D4431" s="52" t="s">
        <v>184</v>
      </c>
      <c r="E4431" s="52" t="s">
        <v>584</v>
      </c>
      <c r="F4431" s="52" t="s">
        <v>26</v>
      </c>
      <c r="G4431" s="195" t="s">
        <v>279</v>
      </c>
      <c r="H4431" s="195"/>
      <c r="I4431" s="195"/>
      <c r="J4431" s="195"/>
      <c r="K4431" s="195"/>
      <c r="L4431" s="195"/>
      <c r="M4431" s="195"/>
      <c r="N4431" s="195">
        <v>0</v>
      </c>
    </row>
    <row r="4432" spans="1:14" hidden="1" x14ac:dyDescent="0.35">
      <c r="A4432" s="52" t="s">
        <v>680</v>
      </c>
      <c r="B4432" s="52" t="s">
        <v>73</v>
      </c>
      <c r="C4432" s="52" t="s">
        <v>184</v>
      </c>
      <c r="D4432" s="52" t="s">
        <v>185</v>
      </c>
      <c r="E4432" s="52" t="s">
        <v>584</v>
      </c>
      <c r="F4432" s="52" t="s">
        <v>581</v>
      </c>
      <c r="G4432" s="195" t="s">
        <v>275</v>
      </c>
      <c r="H4432" s="195">
        <v>1.525657</v>
      </c>
      <c r="I4432" s="195">
        <v>1.5433399999999999</v>
      </c>
      <c r="J4432" s="195">
        <v>1.392817</v>
      </c>
      <c r="K4432" s="195">
        <v>1.8508400000000001E-2</v>
      </c>
      <c r="L4432" s="195">
        <v>1.5973999999999999E-2</v>
      </c>
      <c r="M4432" s="195">
        <v>5.9504010000000001E-3</v>
      </c>
      <c r="N4432" s="195">
        <v>-3.13504E-2</v>
      </c>
    </row>
    <row r="4433" spans="1:14" hidden="1" x14ac:dyDescent="0.35">
      <c r="A4433" s="52" t="s">
        <v>680</v>
      </c>
      <c r="B4433" s="52" t="s">
        <v>73</v>
      </c>
      <c r="C4433" s="52" t="s">
        <v>184</v>
      </c>
      <c r="D4433" s="52" t="s">
        <v>185</v>
      </c>
      <c r="E4433" s="52" t="s">
        <v>584</v>
      </c>
      <c r="F4433" s="52" t="s">
        <v>581</v>
      </c>
      <c r="G4433" s="195" t="s">
        <v>276</v>
      </c>
      <c r="H4433" s="195">
        <v>-1.7072400000000001</v>
      </c>
      <c r="I4433" s="195">
        <v>-1.599159</v>
      </c>
      <c r="J4433" s="195">
        <v>-2.2247490000000001</v>
      </c>
      <c r="K4433" s="195">
        <v>-7.5133599999999995E-2</v>
      </c>
      <c r="L4433" s="195">
        <v>-6.8950789999999998E-2</v>
      </c>
      <c r="M4433" s="195">
        <v>-0.1124892</v>
      </c>
      <c r="N4433" s="195">
        <v>-9.4762810000000003E-2</v>
      </c>
    </row>
    <row r="4434" spans="1:14" hidden="1" x14ac:dyDescent="0.35">
      <c r="A4434" s="52" t="s">
        <v>680</v>
      </c>
      <c r="B4434" s="52" t="s">
        <v>73</v>
      </c>
      <c r="C4434" s="52" t="s">
        <v>184</v>
      </c>
      <c r="D4434" s="52" t="s">
        <v>185</v>
      </c>
      <c r="E4434" s="52" t="s">
        <v>584</v>
      </c>
      <c r="F4434" s="52" t="s">
        <v>581</v>
      </c>
      <c r="G4434" s="195" t="s">
        <v>277</v>
      </c>
      <c r="H4434" s="195"/>
      <c r="I4434" s="195"/>
      <c r="J4434" s="195"/>
      <c r="K4434" s="195">
        <v>0</v>
      </c>
      <c r="L4434" s="195">
        <v>2.1748000000000002E-3</v>
      </c>
      <c r="M4434" s="195">
        <v>2.1752E-3</v>
      </c>
      <c r="N4434" s="195">
        <v>2.1749999999999999E-2</v>
      </c>
    </row>
    <row r="4435" spans="1:14" hidden="1" x14ac:dyDescent="0.35">
      <c r="A4435" s="52" t="s">
        <v>680</v>
      </c>
      <c r="B4435" s="52" t="s">
        <v>73</v>
      </c>
      <c r="C4435" s="52" t="s">
        <v>184</v>
      </c>
      <c r="D4435" s="52" t="s">
        <v>185</v>
      </c>
      <c r="E4435" s="52" t="s">
        <v>584</v>
      </c>
      <c r="F4435" s="52" t="s">
        <v>581</v>
      </c>
      <c r="G4435" s="195" t="s">
        <v>278</v>
      </c>
      <c r="H4435" s="195">
        <v>0.1815824</v>
      </c>
      <c r="I4435" s="195">
        <v>5.5818409999999999E-2</v>
      </c>
      <c r="J4435" s="195">
        <v>0.83193209999999995</v>
      </c>
      <c r="K4435" s="195">
        <v>5.6625200000000001E-2</v>
      </c>
      <c r="L4435" s="195">
        <v>5.0801600000000002E-2</v>
      </c>
      <c r="M4435" s="195">
        <v>0.1043636</v>
      </c>
      <c r="N4435" s="195">
        <v>0.1043636</v>
      </c>
    </row>
    <row r="4436" spans="1:14" hidden="1" x14ac:dyDescent="0.35">
      <c r="A4436" s="52" t="s">
        <v>680</v>
      </c>
      <c r="B4436" s="52" t="s">
        <v>73</v>
      </c>
      <c r="C4436" s="52" t="s">
        <v>184</v>
      </c>
      <c r="D4436" s="52" t="s">
        <v>185</v>
      </c>
      <c r="E4436" s="52" t="s">
        <v>584</v>
      </c>
      <c r="F4436" s="52" t="s">
        <v>581</v>
      </c>
      <c r="G4436" s="195" t="s">
        <v>279</v>
      </c>
      <c r="H4436" s="195"/>
      <c r="I4436" s="195"/>
      <c r="J4436" s="195"/>
      <c r="K4436" s="195"/>
      <c r="L4436" s="195"/>
      <c r="M4436" s="195"/>
      <c r="N4436" s="195">
        <v>0</v>
      </c>
    </row>
    <row r="4437" spans="1:14" hidden="1" x14ac:dyDescent="0.35">
      <c r="A4437" s="52" t="s">
        <v>680</v>
      </c>
      <c r="B4437" s="52" t="s">
        <v>73</v>
      </c>
      <c r="C4437" s="52" t="s">
        <v>184</v>
      </c>
      <c r="D4437" s="52" t="s">
        <v>185</v>
      </c>
      <c r="E4437" s="52" t="s">
        <v>584</v>
      </c>
      <c r="F4437" s="52" t="s">
        <v>26</v>
      </c>
      <c r="G4437" s="195" t="s">
        <v>275</v>
      </c>
      <c r="H4437" s="195">
        <v>0</v>
      </c>
      <c r="I4437" s="195">
        <v>-4.1060009999999997E-3</v>
      </c>
      <c r="J4437" s="195">
        <v>0</v>
      </c>
      <c r="K4437" s="195">
        <v>0</v>
      </c>
      <c r="L4437" s="195">
        <v>0</v>
      </c>
      <c r="M4437" s="195">
        <v>0</v>
      </c>
      <c r="N4437" s="195">
        <v>0</v>
      </c>
    </row>
    <row r="4438" spans="1:14" hidden="1" x14ac:dyDescent="0.35">
      <c r="A4438" s="52" t="s">
        <v>680</v>
      </c>
      <c r="B4438" s="52" t="s">
        <v>73</v>
      </c>
      <c r="C4438" s="52" t="s">
        <v>184</v>
      </c>
      <c r="D4438" s="52" t="s">
        <v>185</v>
      </c>
      <c r="E4438" s="52" t="s">
        <v>584</v>
      </c>
      <c r="F4438" s="52" t="s">
        <v>26</v>
      </c>
      <c r="G4438" s="195" t="s">
        <v>276</v>
      </c>
      <c r="H4438" s="195"/>
      <c r="I4438" s="195">
        <v>-5.8695600000000001E-2</v>
      </c>
      <c r="J4438" s="195">
        <v>-7.5442400000000007E-2</v>
      </c>
      <c r="K4438" s="195">
        <v>-3.3079969999999999</v>
      </c>
      <c r="L4438" s="195">
        <v>-5.7157180000000002E-2</v>
      </c>
      <c r="M4438" s="195">
        <v>-0.12902079999999999</v>
      </c>
      <c r="N4438" s="195">
        <v>-0.12902040000000001</v>
      </c>
    </row>
    <row r="4439" spans="1:14" hidden="1" x14ac:dyDescent="0.35">
      <c r="A4439" s="52" t="s">
        <v>680</v>
      </c>
      <c r="B4439" s="52" t="s">
        <v>73</v>
      </c>
      <c r="C4439" s="52" t="s">
        <v>184</v>
      </c>
      <c r="D4439" s="52" t="s">
        <v>185</v>
      </c>
      <c r="E4439" s="52" t="s">
        <v>584</v>
      </c>
      <c r="F4439" s="52" t="s">
        <v>26</v>
      </c>
      <c r="G4439" s="195" t="s">
        <v>277</v>
      </c>
      <c r="H4439" s="195"/>
      <c r="I4439" s="195"/>
      <c r="J4439" s="195"/>
      <c r="K4439" s="195"/>
      <c r="L4439" s="195">
        <v>0</v>
      </c>
      <c r="M4439" s="195">
        <v>1.1599999999999999E-2</v>
      </c>
      <c r="N4439" s="195">
        <v>1.1599999999999999E-2</v>
      </c>
    </row>
    <row r="4440" spans="1:14" hidden="1" x14ac:dyDescent="0.35">
      <c r="A4440" s="52" t="s">
        <v>680</v>
      </c>
      <c r="B4440" s="52" t="s">
        <v>73</v>
      </c>
      <c r="C4440" s="52" t="s">
        <v>184</v>
      </c>
      <c r="D4440" s="52" t="s">
        <v>185</v>
      </c>
      <c r="E4440" s="52" t="s">
        <v>584</v>
      </c>
      <c r="F4440" s="52" t="s">
        <v>26</v>
      </c>
      <c r="G4440" s="195" t="s">
        <v>278</v>
      </c>
      <c r="H4440" s="195"/>
      <c r="I4440" s="195">
        <v>6.2801999999999997E-2</v>
      </c>
      <c r="J4440" s="195">
        <v>7.5442400000000007E-2</v>
      </c>
      <c r="K4440" s="195">
        <v>3.3079969999999999</v>
      </c>
      <c r="L4440" s="195">
        <v>5.7157600000000003E-2</v>
      </c>
      <c r="M4440" s="195">
        <v>0.11742039999999999</v>
      </c>
      <c r="N4440" s="195">
        <v>0.11742039999999999</v>
      </c>
    </row>
    <row r="4441" spans="1:14" hidden="1" x14ac:dyDescent="0.35">
      <c r="A4441" s="52" t="s">
        <v>680</v>
      </c>
      <c r="B4441" s="52" t="s">
        <v>73</v>
      </c>
      <c r="C4441" s="52" t="s">
        <v>184</v>
      </c>
      <c r="D4441" s="52" t="s">
        <v>185</v>
      </c>
      <c r="E4441" s="52" t="s">
        <v>584</v>
      </c>
      <c r="F4441" s="52" t="s">
        <v>26</v>
      </c>
      <c r="G4441" s="195" t="s">
        <v>279</v>
      </c>
      <c r="H4441" s="195"/>
      <c r="I4441" s="195"/>
      <c r="J4441" s="195"/>
      <c r="K4441" s="195"/>
      <c r="L4441" s="195"/>
      <c r="M4441" s="195"/>
      <c r="N4441" s="195">
        <v>0</v>
      </c>
    </row>
    <row r="4442" spans="1:14" hidden="1" x14ac:dyDescent="0.35">
      <c r="A4442" s="52" t="s">
        <v>680</v>
      </c>
      <c r="B4442" s="52" t="s">
        <v>73</v>
      </c>
      <c r="C4442" s="52" t="s">
        <v>80</v>
      </c>
      <c r="D4442" s="52" t="s">
        <v>390</v>
      </c>
      <c r="E4442" s="52" t="s">
        <v>584</v>
      </c>
      <c r="F4442" s="52" t="s">
        <v>581</v>
      </c>
      <c r="G4442" s="195" t="s">
        <v>275</v>
      </c>
      <c r="H4442" s="195">
        <v>-1.2137999999999999E-3</v>
      </c>
      <c r="I4442" s="195">
        <v>-1.6568590000000001</v>
      </c>
      <c r="J4442" s="195">
        <v>0</v>
      </c>
      <c r="K4442" s="195">
        <v>0</v>
      </c>
      <c r="L4442" s="195">
        <v>0</v>
      </c>
      <c r="M4442" s="195">
        <v>0</v>
      </c>
      <c r="N4442" s="195">
        <v>0</v>
      </c>
    </row>
    <row r="4443" spans="1:14" hidden="1" x14ac:dyDescent="0.35">
      <c r="A4443" s="52" t="s">
        <v>680</v>
      </c>
      <c r="B4443" s="52" t="s">
        <v>73</v>
      </c>
      <c r="C4443" s="52" t="s">
        <v>80</v>
      </c>
      <c r="D4443" s="52" t="s">
        <v>390</v>
      </c>
      <c r="E4443" s="52" t="s">
        <v>584</v>
      </c>
      <c r="F4443" s="52" t="s">
        <v>581</v>
      </c>
      <c r="G4443" s="195" t="s">
        <v>276</v>
      </c>
      <c r="H4443" s="195">
        <v>-1.2102E-2</v>
      </c>
      <c r="I4443" s="195">
        <v>-7.0322339999999999</v>
      </c>
      <c r="J4443" s="195">
        <v>-1.0449699999999999E-2</v>
      </c>
      <c r="K4443" s="195">
        <v>-8.8243829999999999E-3</v>
      </c>
      <c r="L4443" s="195">
        <v>-7.9170089999999992E-3</v>
      </c>
      <c r="M4443" s="195">
        <v>-1.6264000000000001E-2</v>
      </c>
      <c r="N4443" s="195">
        <v>-1.6264000000000001E-2</v>
      </c>
    </row>
    <row r="4444" spans="1:14" hidden="1" x14ac:dyDescent="0.35">
      <c r="A4444" s="52" t="s">
        <v>680</v>
      </c>
      <c r="B4444" s="52" t="s">
        <v>73</v>
      </c>
      <c r="C4444" s="52" t="s">
        <v>80</v>
      </c>
      <c r="D4444" s="52" t="s">
        <v>390</v>
      </c>
      <c r="E4444" s="52" t="s">
        <v>584</v>
      </c>
      <c r="F4444" s="52" t="s">
        <v>581</v>
      </c>
      <c r="G4444" s="195" t="s">
        <v>278</v>
      </c>
      <c r="H4444" s="195">
        <v>1.33159E-2</v>
      </c>
      <c r="I4444" s="195">
        <v>8.6890940000000008</v>
      </c>
      <c r="J4444" s="195">
        <v>1.04496E-2</v>
      </c>
      <c r="K4444" s="195">
        <v>8.8244989999999995E-3</v>
      </c>
      <c r="L4444" s="195">
        <v>7.9168999999999993E-3</v>
      </c>
      <c r="M4444" s="195">
        <v>1.6264000000000001E-2</v>
      </c>
      <c r="N4444" s="195">
        <v>1.6264000000000001E-2</v>
      </c>
    </row>
    <row r="4445" spans="1:14" hidden="1" x14ac:dyDescent="0.35">
      <c r="A4445" s="52" t="s">
        <v>680</v>
      </c>
      <c r="B4445" s="52" t="s">
        <v>73</v>
      </c>
      <c r="C4445" s="52" t="s">
        <v>80</v>
      </c>
      <c r="D4445" s="52" t="s">
        <v>390</v>
      </c>
      <c r="E4445" s="52" t="s">
        <v>584</v>
      </c>
      <c r="F4445" s="52" t="s">
        <v>26</v>
      </c>
      <c r="G4445" s="195" t="s">
        <v>275</v>
      </c>
      <c r="H4445" s="195">
        <v>0.38446900000000001</v>
      </c>
      <c r="I4445" s="195">
        <v>0.3858047</v>
      </c>
      <c r="J4445" s="195">
        <v>0.3868955</v>
      </c>
      <c r="K4445" s="195">
        <v>5.6840000000000005E-4</v>
      </c>
      <c r="L4445" s="195">
        <v>0</v>
      </c>
      <c r="M4445" s="195">
        <v>0</v>
      </c>
      <c r="N4445" s="195">
        <v>0</v>
      </c>
    </row>
    <row r="4446" spans="1:14" hidden="1" x14ac:dyDescent="0.35">
      <c r="A4446" s="52" t="s">
        <v>680</v>
      </c>
      <c r="B4446" s="52" t="s">
        <v>73</v>
      </c>
      <c r="C4446" s="52" t="s">
        <v>80</v>
      </c>
      <c r="D4446" s="52" t="s">
        <v>390</v>
      </c>
      <c r="E4446" s="52" t="s">
        <v>584</v>
      </c>
      <c r="F4446" s="52" t="s">
        <v>26</v>
      </c>
      <c r="G4446" s="195" t="s">
        <v>276</v>
      </c>
      <c r="H4446" s="195">
        <v>-0.398484</v>
      </c>
      <c r="I4446" s="195">
        <v>-0.39496009999999998</v>
      </c>
      <c r="J4446" s="195">
        <v>0</v>
      </c>
      <c r="K4446" s="195">
        <v>0</v>
      </c>
      <c r="L4446" s="195">
        <v>0</v>
      </c>
      <c r="M4446" s="195">
        <v>0</v>
      </c>
      <c r="N4446" s="195">
        <v>0</v>
      </c>
    </row>
    <row r="4447" spans="1:14" hidden="1" x14ac:dyDescent="0.35">
      <c r="A4447" s="52" t="s">
        <v>680</v>
      </c>
      <c r="B4447" s="52" t="s">
        <v>73</v>
      </c>
      <c r="C4447" s="52" t="s">
        <v>80</v>
      </c>
      <c r="D4447" s="52" t="s">
        <v>390</v>
      </c>
      <c r="E4447" s="52" t="s">
        <v>584</v>
      </c>
      <c r="F4447" s="52" t="s">
        <v>26</v>
      </c>
      <c r="G4447" s="195" t="s">
        <v>277</v>
      </c>
      <c r="H4447" s="195"/>
      <c r="I4447" s="195"/>
      <c r="J4447" s="195"/>
      <c r="K4447" s="195"/>
      <c r="L4447" s="195"/>
      <c r="M4447" s="195">
        <v>0</v>
      </c>
      <c r="N4447" s="195">
        <v>0</v>
      </c>
    </row>
    <row r="4448" spans="1:14" hidden="1" x14ac:dyDescent="0.35">
      <c r="A4448" s="52" t="s">
        <v>680</v>
      </c>
      <c r="B4448" s="52" t="s">
        <v>73</v>
      </c>
      <c r="C4448" s="52" t="s">
        <v>80</v>
      </c>
      <c r="D4448" s="52" t="s">
        <v>390</v>
      </c>
      <c r="E4448" s="52" t="s">
        <v>584</v>
      </c>
      <c r="F4448" s="52" t="s">
        <v>26</v>
      </c>
      <c r="G4448" s="195" t="s">
        <v>278</v>
      </c>
      <c r="H4448" s="195">
        <v>1.4015E-2</v>
      </c>
      <c r="I4448" s="195">
        <v>9.1555000000000004E-3</v>
      </c>
      <c r="J4448" s="195">
        <v>0</v>
      </c>
      <c r="K4448" s="195">
        <v>0</v>
      </c>
      <c r="L4448" s="195">
        <v>0</v>
      </c>
      <c r="M4448" s="195">
        <v>0</v>
      </c>
      <c r="N4448" s="195">
        <v>0</v>
      </c>
    </row>
    <row r="4449" spans="1:14" hidden="1" x14ac:dyDescent="0.35">
      <c r="A4449" s="52" t="s">
        <v>680</v>
      </c>
      <c r="B4449" s="52" t="s">
        <v>73</v>
      </c>
      <c r="C4449" s="52" t="s">
        <v>80</v>
      </c>
      <c r="D4449" s="52" t="s">
        <v>81</v>
      </c>
      <c r="E4449" s="52" t="s">
        <v>584</v>
      </c>
      <c r="F4449" s="52" t="s">
        <v>581</v>
      </c>
      <c r="G4449" s="195" t="s">
        <v>275</v>
      </c>
      <c r="H4449" s="195">
        <v>-9.6582000000000005E-3</v>
      </c>
      <c r="I4449" s="195"/>
      <c r="J4449" s="195"/>
      <c r="K4449" s="195"/>
      <c r="L4449" s="195">
        <v>0</v>
      </c>
      <c r="M4449" s="195"/>
      <c r="N4449" s="195">
        <v>0</v>
      </c>
    </row>
    <row r="4450" spans="1:14" hidden="1" x14ac:dyDescent="0.35">
      <c r="A4450" s="52" t="s">
        <v>680</v>
      </c>
      <c r="B4450" s="52" t="s">
        <v>73</v>
      </c>
      <c r="C4450" s="52" t="s">
        <v>80</v>
      </c>
      <c r="D4450" s="52" t="s">
        <v>81</v>
      </c>
      <c r="E4450" s="52" t="s">
        <v>584</v>
      </c>
      <c r="F4450" s="52" t="s">
        <v>581</v>
      </c>
      <c r="G4450" s="195" t="s">
        <v>276</v>
      </c>
      <c r="H4450" s="195">
        <v>-6.03198E-2</v>
      </c>
      <c r="I4450" s="195"/>
      <c r="J4450" s="195"/>
      <c r="K4450" s="195"/>
      <c r="L4450" s="195">
        <v>0</v>
      </c>
      <c r="M4450" s="195"/>
      <c r="N4450" s="195">
        <v>0</v>
      </c>
    </row>
    <row r="4451" spans="1:14" hidden="1" x14ac:dyDescent="0.35">
      <c r="A4451" s="52" t="s">
        <v>680</v>
      </c>
      <c r="B4451" s="52" t="s">
        <v>73</v>
      </c>
      <c r="C4451" s="52" t="s">
        <v>80</v>
      </c>
      <c r="D4451" s="52" t="s">
        <v>81</v>
      </c>
      <c r="E4451" s="52" t="s">
        <v>584</v>
      </c>
      <c r="F4451" s="52" t="s">
        <v>581</v>
      </c>
      <c r="G4451" s="195" t="s">
        <v>277</v>
      </c>
      <c r="H4451" s="195"/>
      <c r="I4451" s="195"/>
      <c r="J4451" s="195"/>
      <c r="K4451" s="195">
        <v>0</v>
      </c>
      <c r="L4451" s="195"/>
      <c r="M4451" s="195">
        <v>0</v>
      </c>
      <c r="N4451" s="195">
        <v>0</v>
      </c>
    </row>
    <row r="4452" spans="1:14" hidden="1" x14ac:dyDescent="0.35">
      <c r="A4452" s="52" t="s">
        <v>680</v>
      </c>
      <c r="B4452" s="52" t="s">
        <v>73</v>
      </c>
      <c r="C4452" s="52" t="s">
        <v>80</v>
      </c>
      <c r="D4452" s="52" t="s">
        <v>81</v>
      </c>
      <c r="E4452" s="52" t="s">
        <v>584</v>
      </c>
      <c r="F4452" s="52" t="s">
        <v>581</v>
      </c>
      <c r="G4452" s="195" t="s">
        <v>278</v>
      </c>
      <c r="H4452" s="195">
        <v>6.9977999999999999E-2</v>
      </c>
      <c r="I4452" s="195">
        <v>0</v>
      </c>
      <c r="J4452" s="195"/>
      <c r="K4452" s="195">
        <v>0</v>
      </c>
      <c r="L4452" s="195"/>
      <c r="M4452" s="195"/>
      <c r="N4452" s="195"/>
    </row>
    <row r="4453" spans="1:14" hidden="1" x14ac:dyDescent="0.35">
      <c r="A4453" s="52" t="s">
        <v>680</v>
      </c>
      <c r="B4453" s="52" t="s">
        <v>73</v>
      </c>
      <c r="C4453" s="52" t="s">
        <v>80</v>
      </c>
      <c r="D4453" s="52" t="s">
        <v>81</v>
      </c>
      <c r="E4453" s="52" t="s">
        <v>584</v>
      </c>
      <c r="F4453" s="52" t="s">
        <v>581</v>
      </c>
      <c r="G4453" s="195" t="s">
        <v>279</v>
      </c>
      <c r="H4453" s="195"/>
      <c r="I4453" s="195"/>
      <c r="J4453" s="195"/>
      <c r="K4453" s="195"/>
      <c r="L4453" s="195"/>
      <c r="M4453" s="195"/>
      <c r="N4453" s="195">
        <v>0</v>
      </c>
    </row>
    <row r="4454" spans="1:14" hidden="1" x14ac:dyDescent="0.35">
      <c r="A4454" s="52" t="s">
        <v>680</v>
      </c>
      <c r="B4454" s="52" t="s">
        <v>73</v>
      </c>
      <c r="C4454" s="52" t="s">
        <v>80</v>
      </c>
      <c r="D4454" s="52" t="s">
        <v>81</v>
      </c>
      <c r="E4454" s="52" t="s">
        <v>584</v>
      </c>
      <c r="F4454" s="52" t="s">
        <v>26</v>
      </c>
      <c r="G4454" s="195" t="s">
        <v>275</v>
      </c>
      <c r="H4454" s="195">
        <v>0</v>
      </c>
      <c r="I4454" s="195">
        <v>-2.988901E-3</v>
      </c>
      <c r="J4454" s="195">
        <v>0</v>
      </c>
      <c r="K4454" s="195">
        <v>0</v>
      </c>
      <c r="L4454" s="195">
        <v>0</v>
      </c>
      <c r="M4454" s="195">
        <v>0</v>
      </c>
      <c r="N4454" s="195">
        <v>0</v>
      </c>
    </row>
    <row r="4455" spans="1:14" hidden="1" x14ac:dyDescent="0.35">
      <c r="A4455" s="52" t="s">
        <v>680</v>
      </c>
      <c r="B4455" s="52" t="s">
        <v>73</v>
      </c>
      <c r="C4455" s="52" t="s">
        <v>80</v>
      </c>
      <c r="D4455" s="52" t="s">
        <v>81</v>
      </c>
      <c r="E4455" s="52" t="s">
        <v>584</v>
      </c>
      <c r="F4455" s="52" t="s">
        <v>26</v>
      </c>
      <c r="G4455" s="195" t="s">
        <v>276</v>
      </c>
      <c r="H4455" s="195"/>
      <c r="I4455" s="195">
        <v>-4.27248E-2</v>
      </c>
      <c r="J4455" s="195">
        <v>-10.470280000000001</v>
      </c>
      <c r="K4455" s="195">
        <v>-4.6374029999999997E-2</v>
      </c>
      <c r="L4455" s="195">
        <v>-8.5105520000000004E-2</v>
      </c>
      <c r="M4455" s="195">
        <v>-0.1289709</v>
      </c>
      <c r="N4455" s="195">
        <v>-0.52047089999999996</v>
      </c>
    </row>
    <row r="4456" spans="1:14" hidden="1" x14ac:dyDescent="0.35">
      <c r="A4456" s="52" t="s">
        <v>680</v>
      </c>
      <c r="B4456" s="52" t="s">
        <v>73</v>
      </c>
      <c r="C4456" s="52" t="s">
        <v>80</v>
      </c>
      <c r="D4456" s="52" t="s">
        <v>81</v>
      </c>
      <c r="E4456" s="52" t="s">
        <v>584</v>
      </c>
      <c r="F4456" s="52" t="s">
        <v>26</v>
      </c>
      <c r="G4456" s="195" t="s">
        <v>277</v>
      </c>
      <c r="H4456" s="195"/>
      <c r="I4456" s="195"/>
      <c r="J4456" s="195"/>
      <c r="K4456" s="195">
        <v>0</v>
      </c>
      <c r="L4456" s="195">
        <v>4.3500009999999999E-2</v>
      </c>
      <c r="M4456" s="195">
        <v>4.3499999999999997E-2</v>
      </c>
      <c r="N4456" s="195">
        <v>0.435</v>
      </c>
    </row>
    <row r="4457" spans="1:14" hidden="1" x14ac:dyDescent="0.35">
      <c r="A4457" s="52" t="s">
        <v>680</v>
      </c>
      <c r="B4457" s="52" t="s">
        <v>73</v>
      </c>
      <c r="C4457" s="52" t="s">
        <v>80</v>
      </c>
      <c r="D4457" s="52" t="s">
        <v>81</v>
      </c>
      <c r="E4457" s="52" t="s">
        <v>584</v>
      </c>
      <c r="F4457" s="52" t="s">
        <v>26</v>
      </c>
      <c r="G4457" s="195" t="s">
        <v>278</v>
      </c>
      <c r="H4457" s="195"/>
      <c r="I4457" s="195">
        <v>4.5713999999999998E-2</v>
      </c>
      <c r="J4457" s="195">
        <v>10.470280000000001</v>
      </c>
      <c r="K4457" s="195">
        <v>4.6374600000000002E-2</v>
      </c>
      <c r="L4457" s="195">
        <v>4.1605200000000002E-2</v>
      </c>
      <c r="M4457" s="195">
        <v>8.5470889999999994E-2</v>
      </c>
      <c r="N4457" s="195">
        <v>8.5470889999999994E-2</v>
      </c>
    </row>
    <row r="4458" spans="1:14" hidden="1" x14ac:dyDescent="0.35">
      <c r="A4458" s="52" t="s">
        <v>680</v>
      </c>
      <c r="B4458" s="52" t="s">
        <v>73</v>
      </c>
      <c r="C4458" s="52" t="s">
        <v>80</v>
      </c>
      <c r="D4458" s="52" t="s">
        <v>81</v>
      </c>
      <c r="E4458" s="52" t="s">
        <v>584</v>
      </c>
      <c r="F4458" s="52" t="s">
        <v>26</v>
      </c>
      <c r="G4458" s="195" t="s">
        <v>279</v>
      </c>
      <c r="H4458" s="195"/>
      <c r="I4458" s="195"/>
      <c r="J4458" s="195"/>
      <c r="K4458" s="195"/>
      <c r="L4458" s="195"/>
      <c r="M4458" s="195"/>
      <c r="N4458" s="195">
        <v>0</v>
      </c>
    </row>
    <row r="4459" spans="1:14" hidden="1" x14ac:dyDescent="0.35">
      <c r="A4459" s="52" t="s">
        <v>680</v>
      </c>
      <c r="B4459" s="52" t="s">
        <v>73</v>
      </c>
      <c r="C4459" s="52" t="s">
        <v>324</v>
      </c>
      <c r="D4459" s="52" t="s">
        <v>324</v>
      </c>
      <c r="E4459" s="52" t="s">
        <v>584</v>
      </c>
      <c r="F4459" s="52" t="s">
        <v>581</v>
      </c>
      <c r="G4459" s="195" t="s">
        <v>275</v>
      </c>
      <c r="H4459" s="195">
        <v>-2.2496599999999999E-2</v>
      </c>
      <c r="I4459" s="195">
        <v>-1.136361</v>
      </c>
      <c r="J4459" s="195">
        <v>0</v>
      </c>
      <c r="K4459" s="195">
        <v>0</v>
      </c>
      <c r="L4459" s="195">
        <v>0</v>
      </c>
      <c r="M4459" s="195">
        <v>0</v>
      </c>
      <c r="N4459" s="195">
        <v>0</v>
      </c>
    </row>
    <row r="4460" spans="1:14" hidden="1" x14ac:dyDescent="0.35">
      <c r="A4460" s="52" t="s">
        <v>680</v>
      </c>
      <c r="B4460" s="52" t="s">
        <v>73</v>
      </c>
      <c r="C4460" s="52" t="s">
        <v>324</v>
      </c>
      <c r="D4460" s="52" t="s">
        <v>324</v>
      </c>
      <c r="E4460" s="52" t="s">
        <v>584</v>
      </c>
      <c r="F4460" s="52" t="s">
        <v>581</v>
      </c>
      <c r="G4460" s="195" t="s">
        <v>276</v>
      </c>
      <c r="H4460" s="195">
        <v>-0.15798139999999999</v>
      </c>
      <c r="I4460" s="195">
        <v>-4.8620190000000001</v>
      </c>
      <c r="J4460" s="195">
        <v>-7.045324E-2</v>
      </c>
      <c r="K4460" s="195">
        <v>-1.762748</v>
      </c>
      <c r="L4460" s="195">
        <v>-5.3377760000000003E-2</v>
      </c>
      <c r="M4460" s="195">
        <v>-0.1446558</v>
      </c>
      <c r="N4460" s="195">
        <v>-0.15585540000000001</v>
      </c>
    </row>
    <row r="4461" spans="1:14" hidden="1" x14ac:dyDescent="0.35">
      <c r="A4461" s="52" t="s">
        <v>680</v>
      </c>
      <c r="B4461" s="52" t="s">
        <v>73</v>
      </c>
      <c r="C4461" s="52" t="s">
        <v>324</v>
      </c>
      <c r="D4461" s="52" t="s">
        <v>324</v>
      </c>
      <c r="E4461" s="52" t="s">
        <v>584</v>
      </c>
      <c r="F4461" s="52" t="s">
        <v>581</v>
      </c>
      <c r="G4461" s="195" t="s">
        <v>277</v>
      </c>
      <c r="H4461" s="195"/>
      <c r="I4461" s="195"/>
      <c r="J4461" s="195"/>
      <c r="K4461" s="195"/>
      <c r="L4461" s="195">
        <v>0</v>
      </c>
      <c r="M4461" s="195">
        <v>3.5000000000000003E-2</v>
      </c>
      <c r="N4461" s="195">
        <v>4.6199999999999998E-2</v>
      </c>
    </row>
    <row r="4462" spans="1:14" hidden="1" x14ac:dyDescent="0.35">
      <c r="A4462" s="52" t="s">
        <v>680</v>
      </c>
      <c r="B4462" s="52" t="s">
        <v>73</v>
      </c>
      <c r="C4462" s="52" t="s">
        <v>324</v>
      </c>
      <c r="D4462" s="52" t="s">
        <v>324</v>
      </c>
      <c r="E4462" s="52" t="s">
        <v>584</v>
      </c>
      <c r="F4462" s="52" t="s">
        <v>581</v>
      </c>
      <c r="G4462" s="195" t="s">
        <v>278</v>
      </c>
      <c r="H4462" s="195">
        <v>0.180478</v>
      </c>
      <c r="I4462" s="195">
        <v>5.99838</v>
      </c>
      <c r="J4462" s="195">
        <v>7.0453559999999998E-2</v>
      </c>
      <c r="K4462" s="195">
        <v>1.762748</v>
      </c>
      <c r="L4462" s="195">
        <v>5.3377760000000003E-2</v>
      </c>
      <c r="M4462" s="195">
        <v>0.10965569999999999</v>
      </c>
      <c r="N4462" s="195">
        <v>0.10965569999999999</v>
      </c>
    </row>
    <row r="4463" spans="1:14" hidden="1" x14ac:dyDescent="0.35">
      <c r="A4463" s="52" t="s">
        <v>680</v>
      </c>
      <c r="B4463" s="52" t="s">
        <v>73</v>
      </c>
      <c r="C4463" s="52" t="s">
        <v>324</v>
      </c>
      <c r="D4463" s="52" t="s">
        <v>324</v>
      </c>
      <c r="E4463" s="52" t="s">
        <v>584</v>
      </c>
      <c r="F4463" s="52" t="s">
        <v>26</v>
      </c>
      <c r="G4463" s="195" t="s">
        <v>275</v>
      </c>
      <c r="H4463" s="195">
        <v>0</v>
      </c>
      <c r="I4463" s="195"/>
      <c r="J4463" s="195"/>
      <c r="K4463" s="195"/>
      <c r="L4463" s="195">
        <v>0</v>
      </c>
      <c r="M4463" s="195"/>
      <c r="N4463" s="195"/>
    </row>
    <row r="4464" spans="1:14" hidden="1" x14ac:dyDescent="0.35">
      <c r="A4464" s="52" t="s">
        <v>680</v>
      </c>
      <c r="B4464" s="52" t="s">
        <v>73</v>
      </c>
      <c r="C4464" s="52" t="s">
        <v>324</v>
      </c>
      <c r="D4464" s="52" t="s">
        <v>324</v>
      </c>
      <c r="E4464" s="52" t="s">
        <v>584</v>
      </c>
      <c r="F4464" s="52" t="s">
        <v>26</v>
      </c>
      <c r="G4464" s="195" t="s">
        <v>276</v>
      </c>
      <c r="H4464" s="195"/>
      <c r="I4464" s="195"/>
      <c r="J4464" s="195"/>
      <c r="K4464" s="195"/>
      <c r="L4464" s="195">
        <v>-5.3924649999999998E-2</v>
      </c>
      <c r="M4464" s="195"/>
      <c r="N4464" s="195"/>
    </row>
    <row r="4465" spans="1:14" hidden="1" x14ac:dyDescent="0.35">
      <c r="A4465" s="52" t="s">
        <v>680</v>
      </c>
      <c r="B4465" s="52" t="s">
        <v>73</v>
      </c>
      <c r="C4465" s="52" t="s">
        <v>324</v>
      </c>
      <c r="D4465" s="52" t="s">
        <v>324</v>
      </c>
      <c r="E4465" s="52" t="s">
        <v>584</v>
      </c>
      <c r="F4465" s="52" t="s">
        <v>26</v>
      </c>
      <c r="G4465" s="195" t="s">
        <v>277</v>
      </c>
      <c r="H4465" s="195"/>
      <c r="I4465" s="195"/>
      <c r="J4465" s="195"/>
      <c r="K4465" s="195"/>
      <c r="L4465" s="195">
        <v>0</v>
      </c>
      <c r="M4465" s="195">
        <v>0</v>
      </c>
      <c r="N4465" s="195"/>
    </row>
    <row r="4466" spans="1:14" hidden="1" x14ac:dyDescent="0.35">
      <c r="A4466" s="52" t="s">
        <v>680</v>
      </c>
      <c r="B4466" s="52" t="s">
        <v>73</v>
      </c>
      <c r="C4466" s="52" t="s">
        <v>324</v>
      </c>
      <c r="D4466" s="52" t="s">
        <v>324</v>
      </c>
      <c r="E4466" s="52" t="s">
        <v>584</v>
      </c>
      <c r="F4466" s="52" t="s">
        <v>26</v>
      </c>
      <c r="G4466" s="195" t="s">
        <v>278</v>
      </c>
      <c r="H4466" s="195">
        <v>0</v>
      </c>
      <c r="I4466" s="195"/>
      <c r="J4466" s="195">
        <v>7.1175840000000004E-2</v>
      </c>
      <c r="K4466" s="195"/>
      <c r="L4466" s="195">
        <v>5.3924640000000003E-2</v>
      </c>
      <c r="M4466" s="195"/>
      <c r="N4466" s="195"/>
    </row>
    <row r="4467" spans="1:14" hidden="1" x14ac:dyDescent="0.35">
      <c r="A4467" s="52" t="s">
        <v>680</v>
      </c>
      <c r="B4467" s="52" t="s">
        <v>73</v>
      </c>
      <c r="C4467" s="52" t="s">
        <v>324</v>
      </c>
      <c r="D4467" s="52" t="s">
        <v>370</v>
      </c>
      <c r="E4467" s="52" t="s">
        <v>584</v>
      </c>
      <c r="F4467" s="52" t="s">
        <v>581</v>
      </c>
      <c r="G4467" s="195" t="s">
        <v>275</v>
      </c>
      <c r="H4467" s="195">
        <v>-1.4036230000000001</v>
      </c>
      <c r="I4467" s="195"/>
      <c r="J4467" s="195"/>
      <c r="K4467" s="195"/>
      <c r="L4467" s="195">
        <v>0</v>
      </c>
      <c r="M4467" s="195">
        <v>-2.5461899999999998E-3</v>
      </c>
      <c r="N4467" s="195">
        <v>-2.5461899999999998E-3</v>
      </c>
    </row>
    <row r="4468" spans="1:14" hidden="1" x14ac:dyDescent="0.35">
      <c r="A4468" s="52" t="s">
        <v>680</v>
      </c>
      <c r="B4468" s="52" t="s">
        <v>73</v>
      </c>
      <c r="C4468" s="52" t="s">
        <v>324</v>
      </c>
      <c r="D4468" s="52" t="s">
        <v>370</v>
      </c>
      <c r="E4468" s="52" t="s">
        <v>584</v>
      </c>
      <c r="F4468" s="52" t="s">
        <v>581</v>
      </c>
      <c r="G4468" s="195" t="s">
        <v>276</v>
      </c>
      <c r="H4468" s="195">
        <v>-6.4540579999999999</v>
      </c>
      <c r="I4468" s="195"/>
      <c r="J4468" s="195"/>
      <c r="K4468" s="195"/>
      <c r="L4468" s="195">
        <v>0</v>
      </c>
      <c r="M4468" s="195">
        <v>-1.035726E-2</v>
      </c>
      <c r="N4468" s="195">
        <v>-1.0357409999999999E-2</v>
      </c>
    </row>
    <row r="4469" spans="1:14" hidden="1" x14ac:dyDescent="0.35">
      <c r="A4469" s="52" t="s">
        <v>680</v>
      </c>
      <c r="B4469" s="52" t="s">
        <v>73</v>
      </c>
      <c r="C4469" s="52" t="s">
        <v>324</v>
      </c>
      <c r="D4469" s="52" t="s">
        <v>370</v>
      </c>
      <c r="E4469" s="52" t="s">
        <v>584</v>
      </c>
      <c r="F4469" s="52" t="s">
        <v>581</v>
      </c>
      <c r="G4469" s="195" t="s">
        <v>277</v>
      </c>
      <c r="H4469" s="195"/>
      <c r="I4469" s="195"/>
      <c r="J4469" s="195">
        <v>0</v>
      </c>
      <c r="K4469" s="195">
        <v>0</v>
      </c>
      <c r="L4469" s="195"/>
      <c r="M4469" s="195">
        <v>0</v>
      </c>
      <c r="N4469" s="195"/>
    </row>
    <row r="4470" spans="1:14" hidden="1" x14ac:dyDescent="0.35">
      <c r="A4470" s="52" t="s">
        <v>680</v>
      </c>
      <c r="B4470" s="52" t="s">
        <v>73</v>
      </c>
      <c r="C4470" s="52" t="s">
        <v>324</v>
      </c>
      <c r="D4470" s="52" t="s">
        <v>370</v>
      </c>
      <c r="E4470" s="52" t="s">
        <v>584</v>
      </c>
      <c r="F4470" s="52" t="s">
        <v>581</v>
      </c>
      <c r="G4470" s="195" t="s">
        <v>278</v>
      </c>
      <c r="H4470" s="195">
        <v>7.8576810000000004</v>
      </c>
      <c r="I4470" s="195">
        <v>0</v>
      </c>
      <c r="J4470" s="195"/>
      <c r="K4470" s="195"/>
      <c r="L4470" s="195"/>
      <c r="M4470" s="195"/>
      <c r="N4470" s="195">
        <v>0</v>
      </c>
    </row>
    <row r="4471" spans="1:14" hidden="1" x14ac:dyDescent="0.35">
      <c r="A4471" s="52" t="s">
        <v>680</v>
      </c>
      <c r="B4471" s="52" t="s">
        <v>73</v>
      </c>
      <c r="C4471" s="52" t="s">
        <v>324</v>
      </c>
      <c r="D4471" s="52" t="s">
        <v>370</v>
      </c>
      <c r="E4471" s="52" t="s">
        <v>584</v>
      </c>
      <c r="F4471" s="52" t="s">
        <v>581</v>
      </c>
      <c r="G4471" s="195" t="s">
        <v>279</v>
      </c>
      <c r="H4471" s="195"/>
      <c r="I4471" s="195"/>
      <c r="J4471" s="195"/>
      <c r="K4471" s="195"/>
      <c r="L4471" s="195">
        <v>0</v>
      </c>
      <c r="M4471" s="195">
        <v>1.290375E-2</v>
      </c>
      <c r="N4471" s="195">
        <v>1.290375E-2</v>
      </c>
    </row>
    <row r="4472" spans="1:14" hidden="1" x14ac:dyDescent="0.35">
      <c r="A4472" s="52" t="s">
        <v>680</v>
      </c>
      <c r="B4472" s="52" t="s">
        <v>73</v>
      </c>
      <c r="C4472" s="52" t="s">
        <v>324</v>
      </c>
      <c r="D4472" s="52" t="s">
        <v>370</v>
      </c>
      <c r="E4472" s="52" t="s">
        <v>584</v>
      </c>
      <c r="F4472" s="52" t="s">
        <v>26</v>
      </c>
      <c r="G4472" s="195" t="s">
        <v>275</v>
      </c>
      <c r="H4472" s="195">
        <v>0.24182680000000001</v>
      </c>
      <c r="I4472" s="195">
        <v>0.5598651</v>
      </c>
      <c r="J4472" s="195">
        <v>6.4603610000000006E-2</v>
      </c>
      <c r="K4472" s="195">
        <v>6.3147599999999998E-2</v>
      </c>
      <c r="L4472" s="195">
        <v>-7.3222799999999996E-3</v>
      </c>
      <c r="M4472" s="195">
        <v>-5.1396000000000005E-4</v>
      </c>
      <c r="N4472" s="195">
        <v>1.85637E-3</v>
      </c>
    </row>
    <row r="4473" spans="1:14" hidden="1" x14ac:dyDescent="0.35">
      <c r="A4473" s="52" t="s">
        <v>680</v>
      </c>
      <c r="B4473" s="52" t="s">
        <v>73</v>
      </c>
      <c r="C4473" s="52" t="s">
        <v>324</v>
      </c>
      <c r="D4473" s="52" t="s">
        <v>370</v>
      </c>
      <c r="E4473" s="52" t="s">
        <v>584</v>
      </c>
      <c r="F4473" s="52" t="s">
        <v>26</v>
      </c>
      <c r="G4473" s="195" t="s">
        <v>276</v>
      </c>
      <c r="H4473" s="195">
        <v>-0.26284950000000001</v>
      </c>
      <c r="I4473" s="195">
        <v>-0.60508919999999999</v>
      </c>
      <c r="J4473" s="195">
        <v>-0.1007091</v>
      </c>
      <c r="K4473" s="195">
        <v>-9.7990969999999997E-2</v>
      </c>
      <c r="L4473" s="195">
        <v>-6.258822E-2</v>
      </c>
      <c r="M4473" s="195">
        <v>-6.4536679999999999E-2</v>
      </c>
      <c r="N4473" s="195">
        <v>-8.0287199999999996E-3</v>
      </c>
    </row>
    <row r="4474" spans="1:14" hidden="1" x14ac:dyDescent="0.35">
      <c r="A4474" s="52" t="s">
        <v>680</v>
      </c>
      <c r="B4474" s="52" t="s">
        <v>73</v>
      </c>
      <c r="C4474" s="52" t="s">
        <v>324</v>
      </c>
      <c r="D4474" s="52" t="s">
        <v>370</v>
      </c>
      <c r="E4474" s="52" t="s">
        <v>584</v>
      </c>
      <c r="F4474" s="52" t="s">
        <v>26</v>
      </c>
      <c r="G4474" s="195" t="s">
        <v>277</v>
      </c>
      <c r="H4474" s="195"/>
      <c r="I4474" s="195"/>
      <c r="J4474" s="195">
        <v>0</v>
      </c>
      <c r="K4474" s="195">
        <v>3.7499999999999999E-3</v>
      </c>
      <c r="L4474" s="195">
        <v>4.1250000000000002E-2</v>
      </c>
      <c r="M4474" s="195">
        <v>0</v>
      </c>
      <c r="N4474" s="195">
        <v>0</v>
      </c>
    </row>
    <row r="4475" spans="1:14" hidden="1" x14ac:dyDescent="0.35">
      <c r="A4475" s="52" t="s">
        <v>680</v>
      </c>
      <c r="B4475" s="52" t="s">
        <v>73</v>
      </c>
      <c r="C4475" s="52" t="s">
        <v>324</v>
      </c>
      <c r="D4475" s="52" t="s">
        <v>370</v>
      </c>
      <c r="E4475" s="52" t="s">
        <v>584</v>
      </c>
      <c r="F4475" s="52" t="s">
        <v>26</v>
      </c>
      <c r="G4475" s="195" t="s">
        <v>278</v>
      </c>
      <c r="H4475" s="195">
        <v>2.10225E-2</v>
      </c>
      <c r="I4475" s="195">
        <v>4.5223949999999999E-2</v>
      </c>
      <c r="J4475" s="195">
        <v>3.7829099999999997E-2</v>
      </c>
      <c r="K4475" s="195">
        <v>3.1945950000000001E-2</v>
      </c>
      <c r="L4475" s="195">
        <v>2.8660499999999998E-2</v>
      </c>
      <c r="M4475" s="195">
        <v>5.8878E-2</v>
      </c>
      <c r="N4475" s="195">
        <v>0</v>
      </c>
    </row>
    <row r="4476" spans="1:14" hidden="1" x14ac:dyDescent="0.35">
      <c r="A4476" s="52" t="s">
        <v>680</v>
      </c>
      <c r="B4476" s="52" t="s">
        <v>73</v>
      </c>
      <c r="C4476" s="52" t="s">
        <v>324</v>
      </c>
      <c r="D4476" s="52" t="s">
        <v>370</v>
      </c>
      <c r="E4476" s="52" t="s">
        <v>584</v>
      </c>
      <c r="F4476" s="52" t="s">
        <v>26</v>
      </c>
      <c r="G4476" s="195" t="s">
        <v>279</v>
      </c>
      <c r="H4476" s="195"/>
      <c r="I4476" s="195"/>
      <c r="J4476" s="195"/>
      <c r="K4476" s="195"/>
      <c r="L4476" s="195">
        <v>0</v>
      </c>
      <c r="M4476" s="195">
        <v>6.1725E-3</v>
      </c>
      <c r="N4476" s="195">
        <v>6.1725E-3</v>
      </c>
    </row>
    <row r="4477" spans="1:14" hidden="1" x14ac:dyDescent="0.35">
      <c r="A4477" s="52" t="s">
        <v>680</v>
      </c>
      <c r="B4477" s="52" t="s">
        <v>73</v>
      </c>
      <c r="C4477" s="52" t="s">
        <v>324</v>
      </c>
      <c r="D4477" s="52" t="s">
        <v>827</v>
      </c>
      <c r="E4477" s="52" t="s">
        <v>584</v>
      </c>
      <c r="F4477" s="52" t="s">
        <v>581</v>
      </c>
      <c r="G4477" s="195" t="s">
        <v>275</v>
      </c>
      <c r="H4477" s="195">
        <v>0</v>
      </c>
      <c r="I4477" s="195">
        <v>0</v>
      </c>
      <c r="J4477" s="195">
        <v>0</v>
      </c>
      <c r="K4477" s="195"/>
      <c r="L4477" s="195"/>
      <c r="M4477" s="195"/>
      <c r="N4477" s="195"/>
    </row>
    <row r="4478" spans="1:14" hidden="1" x14ac:dyDescent="0.35">
      <c r="A4478" s="52" t="s">
        <v>680</v>
      </c>
      <c r="B4478" s="52" t="s">
        <v>73</v>
      </c>
      <c r="C4478" s="52" t="s">
        <v>324</v>
      </c>
      <c r="D4478" s="52" t="s">
        <v>827</v>
      </c>
      <c r="E4478" s="52" t="s">
        <v>584</v>
      </c>
      <c r="F4478" s="52" t="s">
        <v>581</v>
      </c>
      <c r="G4478" s="195" t="s">
        <v>276</v>
      </c>
      <c r="H4478" s="195"/>
      <c r="I4478" s="195"/>
      <c r="J4478" s="195">
        <v>0</v>
      </c>
      <c r="K4478" s="195"/>
      <c r="L4478" s="195"/>
      <c r="M4478" s="195"/>
      <c r="N4478" s="195"/>
    </row>
    <row r="4479" spans="1:14" hidden="1" x14ac:dyDescent="0.35">
      <c r="A4479" s="52" t="s">
        <v>680</v>
      </c>
      <c r="B4479" s="52" t="s">
        <v>73</v>
      </c>
      <c r="C4479" s="52" t="s">
        <v>324</v>
      </c>
      <c r="D4479" s="52" t="s">
        <v>828</v>
      </c>
      <c r="E4479" s="52" t="s">
        <v>584</v>
      </c>
      <c r="F4479" s="52" t="s">
        <v>581</v>
      </c>
      <c r="G4479" s="195" t="s">
        <v>275</v>
      </c>
      <c r="H4479" s="195">
        <v>-2.8601499999999998E-2</v>
      </c>
      <c r="I4479" s="195">
        <v>-1.3410500000000001E-2</v>
      </c>
      <c r="J4479" s="195">
        <v>0</v>
      </c>
      <c r="K4479" s="195">
        <v>0</v>
      </c>
      <c r="L4479" s="195">
        <v>0</v>
      </c>
      <c r="M4479" s="195">
        <v>0</v>
      </c>
      <c r="N4479" s="195">
        <v>0</v>
      </c>
    </row>
    <row r="4480" spans="1:14" hidden="1" x14ac:dyDescent="0.35">
      <c r="A4480" s="52" t="s">
        <v>680</v>
      </c>
      <c r="B4480" s="52" t="s">
        <v>73</v>
      </c>
      <c r="C4480" s="52" t="s">
        <v>324</v>
      </c>
      <c r="D4480" s="52" t="s">
        <v>828</v>
      </c>
      <c r="E4480" s="52" t="s">
        <v>584</v>
      </c>
      <c r="F4480" s="52" t="s">
        <v>581</v>
      </c>
      <c r="G4480" s="195" t="s">
        <v>276</v>
      </c>
      <c r="H4480" s="195">
        <v>-0.13079199999999999</v>
      </c>
      <c r="I4480" s="195">
        <v>-9.0714500000000003E-2</v>
      </c>
      <c r="J4480" s="195">
        <v>-0.125083</v>
      </c>
      <c r="K4480" s="195">
        <v>-3.0047820000000001</v>
      </c>
      <c r="L4480" s="195">
        <v>-0.11226700000000001</v>
      </c>
      <c r="M4480" s="195">
        <v>-0.2121825</v>
      </c>
      <c r="N4480" s="195">
        <v>-0.36968200000000001</v>
      </c>
    </row>
    <row r="4481" spans="1:14" hidden="1" x14ac:dyDescent="0.35">
      <c r="A4481" s="52" t="s">
        <v>680</v>
      </c>
      <c r="B4481" s="52" t="s">
        <v>73</v>
      </c>
      <c r="C4481" s="52" t="s">
        <v>324</v>
      </c>
      <c r="D4481" s="52" t="s">
        <v>828</v>
      </c>
      <c r="E4481" s="52" t="s">
        <v>584</v>
      </c>
      <c r="F4481" s="52" t="s">
        <v>581</v>
      </c>
      <c r="G4481" s="195" t="s">
        <v>277</v>
      </c>
      <c r="H4481" s="195"/>
      <c r="I4481" s="195"/>
      <c r="J4481" s="195"/>
      <c r="K4481" s="195">
        <v>0</v>
      </c>
      <c r="L4481" s="195">
        <v>1.7500000000000002E-2</v>
      </c>
      <c r="M4481" s="195">
        <v>1.7500000000000002E-2</v>
      </c>
      <c r="N4481" s="195">
        <v>0.17499999999999999</v>
      </c>
    </row>
    <row r="4482" spans="1:14" hidden="1" x14ac:dyDescent="0.35">
      <c r="A4482" s="52" t="s">
        <v>680</v>
      </c>
      <c r="B4482" s="52" t="s">
        <v>73</v>
      </c>
      <c r="C4482" s="52" t="s">
        <v>324</v>
      </c>
      <c r="D4482" s="52" t="s">
        <v>828</v>
      </c>
      <c r="E4482" s="52" t="s">
        <v>584</v>
      </c>
      <c r="F4482" s="52" t="s">
        <v>581</v>
      </c>
      <c r="G4482" s="195" t="s">
        <v>278</v>
      </c>
      <c r="H4482" s="195">
        <v>0.15939349999999999</v>
      </c>
      <c r="I4482" s="195">
        <v>0.104125</v>
      </c>
      <c r="J4482" s="195">
        <v>0.125083</v>
      </c>
      <c r="K4482" s="195">
        <v>3.0047809999999999</v>
      </c>
      <c r="L4482" s="195">
        <v>9.4767000000000004E-2</v>
      </c>
      <c r="M4482" s="195">
        <v>0.19468250000000001</v>
      </c>
      <c r="N4482" s="195">
        <v>0.19468250000000001</v>
      </c>
    </row>
    <row r="4483" spans="1:14" hidden="1" x14ac:dyDescent="0.35">
      <c r="A4483" s="52" t="s">
        <v>680</v>
      </c>
      <c r="B4483" s="52" t="s">
        <v>73</v>
      </c>
      <c r="C4483" s="52" t="s">
        <v>324</v>
      </c>
      <c r="D4483" s="52" t="s">
        <v>828</v>
      </c>
      <c r="E4483" s="52" t="s">
        <v>584</v>
      </c>
      <c r="F4483" s="52" t="s">
        <v>581</v>
      </c>
      <c r="G4483" s="195" t="s">
        <v>279</v>
      </c>
      <c r="H4483" s="195"/>
      <c r="I4483" s="195"/>
      <c r="J4483" s="195"/>
      <c r="K4483" s="195"/>
      <c r="L4483" s="195"/>
      <c r="M4483" s="195"/>
      <c r="N4483" s="195">
        <v>0</v>
      </c>
    </row>
    <row r="4484" spans="1:14" hidden="1" x14ac:dyDescent="0.35">
      <c r="A4484" s="52" t="s">
        <v>680</v>
      </c>
      <c r="B4484" s="52" t="s">
        <v>73</v>
      </c>
      <c r="C4484" s="52" t="s">
        <v>324</v>
      </c>
      <c r="D4484" s="52" t="s">
        <v>828</v>
      </c>
      <c r="E4484" s="52" t="s">
        <v>584</v>
      </c>
      <c r="F4484" s="52" t="s">
        <v>26</v>
      </c>
      <c r="G4484" s="195" t="s">
        <v>275</v>
      </c>
      <c r="H4484" s="195"/>
      <c r="I4484" s="195"/>
      <c r="J4484" s="195"/>
      <c r="K4484" s="195"/>
      <c r="L4484" s="195"/>
      <c r="M4484" s="195"/>
      <c r="N4484" s="195">
        <v>0</v>
      </c>
    </row>
    <row r="4485" spans="1:14" hidden="1" x14ac:dyDescent="0.35">
      <c r="A4485" s="52" t="s">
        <v>680</v>
      </c>
      <c r="B4485" s="52" t="s">
        <v>73</v>
      </c>
      <c r="C4485" s="52" t="s">
        <v>324</v>
      </c>
      <c r="D4485" s="52" t="s">
        <v>828</v>
      </c>
      <c r="E4485" s="52" t="s">
        <v>584</v>
      </c>
      <c r="F4485" s="52" t="s">
        <v>26</v>
      </c>
      <c r="G4485" s="195" t="s">
        <v>276</v>
      </c>
      <c r="H4485" s="195"/>
      <c r="I4485" s="195"/>
      <c r="J4485" s="195"/>
      <c r="K4485" s="195"/>
      <c r="L4485" s="195"/>
      <c r="M4485" s="195"/>
      <c r="N4485" s="195">
        <v>0</v>
      </c>
    </row>
    <row r="4486" spans="1:14" hidden="1" x14ac:dyDescent="0.35">
      <c r="A4486" s="52" t="s">
        <v>680</v>
      </c>
      <c r="B4486" s="52" t="s">
        <v>73</v>
      </c>
      <c r="C4486" s="52" t="s">
        <v>324</v>
      </c>
      <c r="D4486" s="52" t="s">
        <v>828</v>
      </c>
      <c r="E4486" s="52" t="s">
        <v>584</v>
      </c>
      <c r="F4486" s="52" t="s">
        <v>26</v>
      </c>
      <c r="G4486" s="195" t="s">
        <v>279</v>
      </c>
      <c r="H4486" s="195"/>
      <c r="I4486" s="195"/>
      <c r="J4486" s="195"/>
      <c r="K4486" s="195"/>
      <c r="L4486" s="195"/>
      <c r="M4486" s="195"/>
      <c r="N4486" s="195">
        <v>0</v>
      </c>
    </row>
    <row r="4487" spans="1:14" hidden="1" x14ac:dyDescent="0.35">
      <c r="A4487" s="52" t="s">
        <v>680</v>
      </c>
      <c r="B4487" s="52" t="s">
        <v>73</v>
      </c>
      <c r="C4487" s="52" t="s">
        <v>327</v>
      </c>
      <c r="D4487" s="52" t="s">
        <v>327</v>
      </c>
      <c r="E4487" s="52" t="s">
        <v>584</v>
      </c>
      <c r="F4487" s="52" t="s">
        <v>581</v>
      </c>
      <c r="G4487" s="195" t="s">
        <v>275</v>
      </c>
      <c r="H4487" s="195">
        <v>1.594382</v>
      </c>
      <c r="I4487" s="195">
        <v>-0.82172389999999995</v>
      </c>
      <c r="J4487" s="195">
        <v>2.8724000000000002E-3</v>
      </c>
      <c r="K4487" s="195">
        <v>1.4212000000000001E-3</v>
      </c>
      <c r="L4487" s="195">
        <v>0</v>
      </c>
      <c r="M4487" s="195">
        <v>0</v>
      </c>
      <c r="N4487" s="195">
        <v>0</v>
      </c>
    </row>
    <row r="4488" spans="1:14" hidden="1" x14ac:dyDescent="0.35">
      <c r="A4488" s="52" t="s">
        <v>680</v>
      </c>
      <c r="B4488" s="52" t="s">
        <v>73</v>
      </c>
      <c r="C4488" s="52" t="s">
        <v>327</v>
      </c>
      <c r="D4488" s="52" t="s">
        <v>327</v>
      </c>
      <c r="E4488" s="52" t="s">
        <v>584</v>
      </c>
      <c r="F4488" s="52" t="s">
        <v>581</v>
      </c>
      <c r="G4488" s="195" t="s">
        <v>276</v>
      </c>
      <c r="H4488" s="195">
        <v>-1.692569</v>
      </c>
      <c r="I4488" s="195">
        <v>-11.94115</v>
      </c>
      <c r="J4488" s="195">
        <v>-4.9555559999999998E-2</v>
      </c>
      <c r="K4488" s="195">
        <v>-4.184881E-2</v>
      </c>
      <c r="L4488" s="195">
        <v>-3.7544809999999998E-2</v>
      </c>
      <c r="M4488" s="195">
        <v>-0.14712919999999999</v>
      </c>
      <c r="N4488" s="195">
        <v>-0.14713000000000001</v>
      </c>
    </row>
    <row r="4489" spans="1:14" hidden="1" x14ac:dyDescent="0.35">
      <c r="A4489" s="52" t="s">
        <v>680</v>
      </c>
      <c r="B4489" s="52" t="s">
        <v>73</v>
      </c>
      <c r="C4489" s="52" t="s">
        <v>327</v>
      </c>
      <c r="D4489" s="52" t="s">
        <v>327</v>
      </c>
      <c r="E4489" s="52" t="s">
        <v>584</v>
      </c>
      <c r="F4489" s="52" t="s">
        <v>581</v>
      </c>
      <c r="G4489" s="195" t="s">
        <v>277</v>
      </c>
      <c r="H4489" s="195"/>
      <c r="I4489" s="195"/>
      <c r="J4489" s="195"/>
      <c r="K4489" s="195"/>
      <c r="L4489" s="195">
        <v>0</v>
      </c>
      <c r="M4489" s="195">
        <v>7.0000000000000007E-2</v>
      </c>
      <c r="N4489" s="195">
        <v>7.0000000000000007E-2</v>
      </c>
    </row>
    <row r="4490" spans="1:14" hidden="1" x14ac:dyDescent="0.35">
      <c r="A4490" s="52" t="s">
        <v>680</v>
      </c>
      <c r="B4490" s="52" t="s">
        <v>73</v>
      </c>
      <c r="C4490" s="52" t="s">
        <v>327</v>
      </c>
      <c r="D4490" s="52" t="s">
        <v>327</v>
      </c>
      <c r="E4490" s="52" t="s">
        <v>584</v>
      </c>
      <c r="F4490" s="52" t="s">
        <v>581</v>
      </c>
      <c r="G4490" s="195" t="s">
        <v>278</v>
      </c>
      <c r="H4490" s="195">
        <v>9.8186399999999993E-2</v>
      </c>
      <c r="I4490" s="195">
        <v>12.762879999999999</v>
      </c>
      <c r="J4490" s="195">
        <v>4.9555599999999998E-2</v>
      </c>
      <c r="K4490" s="195">
        <v>4.1848799999999999E-2</v>
      </c>
      <c r="L4490" s="195">
        <v>3.7544800000000003E-2</v>
      </c>
      <c r="M4490" s="195">
        <v>7.7129600000000006E-2</v>
      </c>
      <c r="N4490" s="195">
        <v>7.7129600000000006E-2</v>
      </c>
    </row>
    <row r="4491" spans="1:14" hidden="1" x14ac:dyDescent="0.35">
      <c r="A4491" s="52" t="s">
        <v>680</v>
      </c>
      <c r="B4491" s="52" t="s">
        <v>73</v>
      </c>
      <c r="C4491" s="52" t="s">
        <v>327</v>
      </c>
      <c r="D4491" s="52" t="s">
        <v>327</v>
      </c>
      <c r="E4491" s="52" t="s">
        <v>584</v>
      </c>
      <c r="F4491" s="52" t="s">
        <v>26</v>
      </c>
      <c r="G4491" s="195" t="s">
        <v>275</v>
      </c>
      <c r="H4491" s="195">
        <v>0</v>
      </c>
      <c r="I4491" s="195"/>
      <c r="J4491" s="195"/>
      <c r="K4491" s="195"/>
      <c r="L4491" s="195">
        <v>0</v>
      </c>
      <c r="M4491" s="195"/>
      <c r="N4491" s="195"/>
    </row>
    <row r="4492" spans="1:14" hidden="1" x14ac:dyDescent="0.35">
      <c r="A4492" s="52" t="s">
        <v>680</v>
      </c>
      <c r="B4492" s="52" t="s">
        <v>73</v>
      </c>
      <c r="C4492" s="52" t="s">
        <v>327</v>
      </c>
      <c r="D4492" s="52" t="s">
        <v>327</v>
      </c>
      <c r="E4492" s="52" t="s">
        <v>584</v>
      </c>
      <c r="F4492" s="52" t="s">
        <v>26</v>
      </c>
      <c r="G4492" s="195" t="s">
        <v>276</v>
      </c>
      <c r="H4492" s="195"/>
      <c r="I4492" s="195"/>
      <c r="J4492" s="195"/>
      <c r="K4492" s="195"/>
      <c r="L4492" s="195">
        <v>0</v>
      </c>
      <c r="M4492" s="195"/>
      <c r="N4492" s="195"/>
    </row>
    <row r="4493" spans="1:14" hidden="1" x14ac:dyDescent="0.35">
      <c r="A4493" s="52" t="s">
        <v>680</v>
      </c>
      <c r="B4493" s="52" t="s">
        <v>73</v>
      </c>
      <c r="C4493" s="52" t="s">
        <v>327</v>
      </c>
      <c r="D4493" s="52" t="s">
        <v>327</v>
      </c>
      <c r="E4493" s="52" t="s">
        <v>584</v>
      </c>
      <c r="F4493" s="52" t="s">
        <v>26</v>
      </c>
      <c r="G4493" s="195" t="s">
        <v>277</v>
      </c>
      <c r="H4493" s="195"/>
      <c r="I4493" s="195"/>
      <c r="J4493" s="195"/>
      <c r="K4493" s="195"/>
      <c r="L4493" s="195">
        <v>0</v>
      </c>
      <c r="M4493" s="195"/>
      <c r="N4493" s="195">
        <v>0</v>
      </c>
    </row>
    <row r="4494" spans="1:14" hidden="1" x14ac:dyDescent="0.35">
      <c r="A4494" s="52" t="s">
        <v>680</v>
      </c>
      <c r="B4494" s="52" t="s">
        <v>73</v>
      </c>
      <c r="C4494" s="52" t="s">
        <v>327</v>
      </c>
      <c r="D4494" s="52" t="s">
        <v>327</v>
      </c>
      <c r="E4494" s="52" t="s">
        <v>584</v>
      </c>
      <c r="F4494" s="52" t="s">
        <v>26</v>
      </c>
      <c r="G4494" s="195" t="s">
        <v>278</v>
      </c>
      <c r="H4494" s="195">
        <v>0</v>
      </c>
      <c r="I4494" s="195"/>
      <c r="J4494" s="195">
        <v>0</v>
      </c>
      <c r="K4494" s="195"/>
      <c r="L4494" s="195"/>
      <c r="M4494" s="195"/>
      <c r="N4494" s="195"/>
    </row>
    <row r="4495" spans="1:14" hidden="1" x14ac:dyDescent="0.35">
      <c r="A4495" s="52" t="s">
        <v>680</v>
      </c>
      <c r="B4495" s="52" t="s">
        <v>73</v>
      </c>
      <c r="C4495" s="52" t="s">
        <v>831</v>
      </c>
      <c r="D4495" s="52" t="s">
        <v>831</v>
      </c>
      <c r="E4495" s="52" t="s">
        <v>584</v>
      </c>
      <c r="F4495" s="52" t="s">
        <v>581</v>
      </c>
      <c r="G4495" s="195" t="s">
        <v>275</v>
      </c>
      <c r="H4495" s="195">
        <v>-8.3249989999999998E-4</v>
      </c>
      <c r="I4495" s="195">
        <v>7.2600089999999996E-5</v>
      </c>
      <c r="J4495" s="195">
        <v>1.4361000000000001E-3</v>
      </c>
      <c r="K4495" s="195">
        <v>7.1069989999999995E-4</v>
      </c>
      <c r="L4495" s="195">
        <v>0</v>
      </c>
      <c r="M4495" s="195">
        <v>0</v>
      </c>
      <c r="N4495" s="195">
        <v>0</v>
      </c>
    </row>
    <row r="4496" spans="1:14" hidden="1" x14ac:dyDescent="0.35">
      <c r="A4496" s="52" t="s">
        <v>680</v>
      </c>
      <c r="B4496" s="52" t="s">
        <v>73</v>
      </c>
      <c r="C4496" s="52" t="s">
        <v>831</v>
      </c>
      <c r="D4496" s="52" t="s">
        <v>831</v>
      </c>
      <c r="E4496" s="52" t="s">
        <v>584</v>
      </c>
      <c r="F4496" s="52" t="s">
        <v>581</v>
      </c>
      <c r="G4496" s="195" t="s">
        <v>276</v>
      </c>
      <c r="H4496" s="195">
        <v>-1.6686300000000001E-2</v>
      </c>
      <c r="I4496" s="195">
        <v>-1.15167E-2</v>
      </c>
      <c r="J4496" s="195">
        <v>0</v>
      </c>
      <c r="K4496" s="195">
        <v>0</v>
      </c>
      <c r="L4496" s="195">
        <v>0</v>
      </c>
      <c r="M4496" s="195">
        <v>0</v>
      </c>
      <c r="N4496" s="195">
        <v>0</v>
      </c>
    </row>
    <row r="4497" spans="1:14" hidden="1" x14ac:dyDescent="0.35">
      <c r="A4497" s="52" t="s">
        <v>680</v>
      </c>
      <c r="B4497" s="52" t="s">
        <v>73</v>
      </c>
      <c r="C4497" s="52" t="s">
        <v>831</v>
      </c>
      <c r="D4497" s="52" t="s">
        <v>831</v>
      </c>
      <c r="E4497" s="52" t="s">
        <v>584</v>
      </c>
      <c r="F4497" s="52" t="s">
        <v>581</v>
      </c>
      <c r="G4497" s="195" t="s">
        <v>278</v>
      </c>
      <c r="H4497" s="195">
        <v>1.7518800000000001E-2</v>
      </c>
      <c r="I4497" s="195">
        <v>1.14444E-2</v>
      </c>
      <c r="J4497" s="195">
        <v>0</v>
      </c>
      <c r="K4497" s="195">
        <v>0</v>
      </c>
      <c r="L4497" s="195">
        <v>0</v>
      </c>
      <c r="M4497" s="195">
        <v>0</v>
      </c>
      <c r="N4497" s="195"/>
    </row>
    <row r="4498" spans="1:14" hidden="1" x14ac:dyDescent="0.35">
      <c r="A4498" s="52" t="s">
        <v>680</v>
      </c>
      <c r="B4498" s="52" t="s">
        <v>73</v>
      </c>
      <c r="C4498" s="52" t="s">
        <v>325</v>
      </c>
      <c r="D4498" s="52" t="s">
        <v>325</v>
      </c>
      <c r="E4498" s="52" t="s">
        <v>584</v>
      </c>
      <c r="F4498" s="52" t="s">
        <v>581</v>
      </c>
      <c r="G4498" s="195" t="s">
        <v>275</v>
      </c>
      <c r="H4498" s="195">
        <v>13.157019999999999</v>
      </c>
      <c r="I4498" s="195">
        <v>7.5825990000000001</v>
      </c>
      <c r="J4498" s="195">
        <v>4.6001529999999997</v>
      </c>
      <c r="K4498" s="195">
        <v>0.3227411</v>
      </c>
      <c r="L4498" s="195">
        <v>0.32567819999999997</v>
      </c>
      <c r="M4498" s="195">
        <v>7.4347199999999997E-3</v>
      </c>
      <c r="N4498" s="195">
        <v>-1.0445469999999999</v>
      </c>
    </row>
    <row r="4499" spans="1:14" hidden="1" x14ac:dyDescent="0.35">
      <c r="A4499" s="52" t="s">
        <v>680</v>
      </c>
      <c r="B4499" s="52" t="s">
        <v>73</v>
      </c>
      <c r="C4499" s="52" t="s">
        <v>325</v>
      </c>
      <c r="D4499" s="52" t="s">
        <v>325</v>
      </c>
      <c r="E4499" s="52" t="s">
        <v>584</v>
      </c>
      <c r="F4499" s="52" t="s">
        <v>581</v>
      </c>
      <c r="G4499" s="195" t="s">
        <v>276</v>
      </c>
      <c r="H4499" s="195">
        <v>-14.16361</v>
      </c>
      <c r="I4499" s="195">
        <v>-20.829049999999999</v>
      </c>
      <c r="J4499" s="195">
        <v>-31.857500000000002</v>
      </c>
      <c r="K4499" s="195">
        <v>-3.5975799999999998</v>
      </c>
      <c r="L4499" s="195">
        <v>-2.753587</v>
      </c>
      <c r="M4499" s="195">
        <v>-5.0757620000000001</v>
      </c>
      <c r="N4499" s="195">
        <v>-0.89492570000000005</v>
      </c>
    </row>
    <row r="4500" spans="1:14" hidden="1" x14ac:dyDescent="0.35">
      <c r="A4500" s="52" t="s">
        <v>680</v>
      </c>
      <c r="B4500" s="52" t="s">
        <v>73</v>
      </c>
      <c r="C4500" s="52" t="s">
        <v>325</v>
      </c>
      <c r="D4500" s="52" t="s">
        <v>325</v>
      </c>
      <c r="E4500" s="52" t="s">
        <v>584</v>
      </c>
      <c r="F4500" s="52" t="s">
        <v>581</v>
      </c>
      <c r="G4500" s="195" t="s">
        <v>277</v>
      </c>
      <c r="H4500" s="195"/>
      <c r="I4500" s="195"/>
      <c r="J4500" s="195">
        <v>0</v>
      </c>
      <c r="K4500" s="195">
        <v>5.9602639999999998E-2</v>
      </c>
      <c r="L4500" s="195">
        <v>5.9602639999999998E-2</v>
      </c>
      <c r="M4500" s="195">
        <v>7.3499999999999996E-2</v>
      </c>
      <c r="N4500" s="195">
        <v>1.345852</v>
      </c>
    </row>
    <row r="4501" spans="1:14" hidden="1" x14ac:dyDescent="0.35">
      <c r="A4501" s="52" t="s">
        <v>680</v>
      </c>
      <c r="B4501" s="52" t="s">
        <v>73</v>
      </c>
      <c r="C4501" s="52" t="s">
        <v>325</v>
      </c>
      <c r="D4501" s="52" t="s">
        <v>325</v>
      </c>
      <c r="E4501" s="52" t="s">
        <v>584</v>
      </c>
      <c r="F4501" s="52" t="s">
        <v>581</v>
      </c>
      <c r="G4501" s="195" t="s">
        <v>278</v>
      </c>
      <c r="H4501" s="195">
        <v>1.006588</v>
      </c>
      <c r="I4501" s="195">
        <v>13.246449999999999</v>
      </c>
      <c r="J4501" s="195">
        <v>27.269480000000001</v>
      </c>
      <c r="K4501" s="195">
        <v>3.2212339999999999</v>
      </c>
      <c r="L4501" s="195">
        <v>2.368306</v>
      </c>
      <c r="M4501" s="195">
        <v>4.994828</v>
      </c>
      <c r="N4501" s="195">
        <v>0.59361900000000001</v>
      </c>
    </row>
    <row r="4502" spans="1:14" hidden="1" x14ac:dyDescent="0.35">
      <c r="A4502" s="52" t="s">
        <v>680</v>
      </c>
      <c r="B4502" s="52" t="s">
        <v>73</v>
      </c>
      <c r="C4502" s="52" t="s">
        <v>325</v>
      </c>
      <c r="D4502" s="52" t="s">
        <v>325</v>
      </c>
      <c r="E4502" s="52" t="s">
        <v>584</v>
      </c>
      <c r="F4502" s="52" t="s">
        <v>581</v>
      </c>
      <c r="G4502" s="195" t="s">
        <v>279</v>
      </c>
      <c r="H4502" s="195"/>
      <c r="I4502" s="195"/>
      <c r="J4502" s="195"/>
      <c r="K4502" s="195"/>
      <c r="L4502" s="195"/>
      <c r="M4502" s="195"/>
      <c r="N4502" s="195">
        <v>0</v>
      </c>
    </row>
    <row r="4503" spans="1:14" hidden="1" x14ac:dyDescent="0.35">
      <c r="A4503" s="52" t="s">
        <v>680</v>
      </c>
      <c r="B4503" s="52" t="s">
        <v>73</v>
      </c>
      <c r="C4503" s="52" t="s">
        <v>325</v>
      </c>
      <c r="D4503" s="52" t="s">
        <v>325</v>
      </c>
      <c r="E4503" s="52" t="s">
        <v>584</v>
      </c>
      <c r="F4503" s="52" t="s">
        <v>26</v>
      </c>
      <c r="G4503" s="195" t="s">
        <v>275</v>
      </c>
      <c r="H4503" s="195">
        <v>-1.7376E-3</v>
      </c>
      <c r="I4503" s="195">
        <v>8.4887920000000004E-4</v>
      </c>
      <c r="J4503" s="195">
        <v>2.9972000000000002E-3</v>
      </c>
      <c r="K4503" s="195">
        <v>1.4828E-3</v>
      </c>
      <c r="L4503" s="195">
        <v>0</v>
      </c>
      <c r="M4503" s="195">
        <v>0</v>
      </c>
      <c r="N4503" s="195">
        <v>0</v>
      </c>
    </row>
    <row r="4504" spans="1:14" hidden="1" x14ac:dyDescent="0.35">
      <c r="A4504" s="52" t="s">
        <v>680</v>
      </c>
      <c r="B4504" s="52" t="s">
        <v>73</v>
      </c>
      <c r="C4504" s="52" t="s">
        <v>325</v>
      </c>
      <c r="D4504" s="52" t="s">
        <v>325</v>
      </c>
      <c r="E4504" s="52" t="s">
        <v>584</v>
      </c>
      <c r="F4504" s="52" t="s">
        <v>26</v>
      </c>
      <c r="G4504" s="195" t="s">
        <v>276</v>
      </c>
      <c r="H4504" s="195">
        <v>-3.4823199999999999E-2</v>
      </c>
      <c r="I4504" s="195">
        <v>-0.13458239999999999</v>
      </c>
      <c r="J4504" s="195">
        <v>-6.9488190000000003</v>
      </c>
      <c r="K4504" s="195">
        <v>-2.7206730000000001</v>
      </c>
      <c r="L4504" s="195">
        <v>-9.9976400000000007E-2</v>
      </c>
      <c r="M4504" s="195">
        <v>-0.2053846</v>
      </c>
      <c r="N4504" s="195">
        <v>-0.2165849</v>
      </c>
    </row>
    <row r="4505" spans="1:14" hidden="1" x14ac:dyDescent="0.35">
      <c r="A4505" s="52" t="s">
        <v>680</v>
      </c>
      <c r="B4505" s="52" t="s">
        <v>73</v>
      </c>
      <c r="C4505" s="52" t="s">
        <v>325</v>
      </c>
      <c r="D4505" s="52" t="s">
        <v>325</v>
      </c>
      <c r="E4505" s="52" t="s">
        <v>584</v>
      </c>
      <c r="F4505" s="52" t="s">
        <v>26</v>
      </c>
      <c r="G4505" s="195" t="s">
        <v>277</v>
      </c>
      <c r="H4505" s="195"/>
      <c r="I4505" s="195"/>
      <c r="J4505" s="195"/>
      <c r="K4505" s="195"/>
      <c r="L4505" s="195"/>
      <c r="M4505" s="195">
        <v>0</v>
      </c>
      <c r="N4505" s="195">
        <v>1.12E-2</v>
      </c>
    </row>
    <row r="4506" spans="1:14" hidden="1" x14ac:dyDescent="0.35">
      <c r="A4506" s="52" t="s">
        <v>680</v>
      </c>
      <c r="B4506" s="52" t="s">
        <v>73</v>
      </c>
      <c r="C4506" s="52" t="s">
        <v>325</v>
      </c>
      <c r="D4506" s="52" t="s">
        <v>325</v>
      </c>
      <c r="E4506" s="52" t="s">
        <v>584</v>
      </c>
      <c r="F4506" s="52" t="s">
        <v>26</v>
      </c>
      <c r="G4506" s="195" t="s">
        <v>278</v>
      </c>
      <c r="H4506" s="195">
        <v>3.6560799999999997E-2</v>
      </c>
      <c r="I4506" s="195">
        <v>0.1337334</v>
      </c>
      <c r="J4506" s="195">
        <v>6.9488180000000002</v>
      </c>
      <c r="K4506" s="195">
        <v>2.720672</v>
      </c>
      <c r="L4506" s="195">
        <v>9.9976400000000007E-2</v>
      </c>
      <c r="M4506" s="195">
        <v>0.2053846</v>
      </c>
      <c r="N4506" s="195">
        <v>0.20538509999999999</v>
      </c>
    </row>
    <row r="4507" spans="1:14" hidden="1" x14ac:dyDescent="0.35">
      <c r="A4507" s="52" t="s">
        <v>680</v>
      </c>
      <c r="B4507" s="52" t="s">
        <v>73</v>
      </c>
      <c r="C4507" s="52" t="s">
        <v>325</v>
      </c>
      <c r="D4507" s="52" t="s">
        <v>325</v>
      </c>
      <c r="E4507" s="52" t="s">
        <v>584</v>
      </c>
      <c r="F4507" s="52" t="s">
        <v>26</v>
      </c>
      <c r="G4507" s="195" t="s">
        <v>279</v>
      </c>
      <c r="H4507" s="195"/>
      <c r="I4507" s="195"/>
      <c r="J4507" s="195"/>
      <c r="K4507" s="195"/>
      <c r="L4507" s="195"/>
      <c r="M4507" s="195"/>
      <c r="N4507" s="195">
        <v>0</v>
      </c>
    </row>
    <row r="4508" spans="1:14" hidden="1" x14ac:dyDescent="0.35">
      <c r="A4508" s="52" t="s">
        <v>680</v>
      </c>
      <c r="B4508" s="52" t="s">
        <v>73</v>
      </c>
      <c r="C4508" s="52" t="s">
        <v>325</v>
      </c>
      <c r="D4508" s="52" t="s">
        <v>326</v>
      </c>
      <c r="E4508" s="52" t="s">
        <v>584</v>
      </c>
      <c r="F4508" s="52" t="s">
        <v>581</v>
      </c>
      <c r="G4508" s="195" t="s">
        <v>275</v>
      </c>
      <c r="H4508" s="195">
        <v>2.6173820000000001</v>
      </c>
      <c r="I4508" s="195"/>
      <c r="J4508" s="195"/>
      <c r="K4508" s="195"/>
      <c r="L4508" s="195">
        <v>-4.5760000000000001E-4</v>
      </c>
      <c r="M4508" s="195"/>
      <c r="N4508" s="195"/>
    </row>
    <row r="4509" spans="1:14" hidden="1" x14ac:dyDescent="0.35">
      <c r="A4509" s="52" t="s">
        <v>680</v>
      </c>
      <c r="B4509" s="52" t="s">
        <v>73</v>
      </c>
      <c r="C4509" s="52" t="s">
        <v>325</v>
      </c>
      <c r="D4509" s="52" t="s">
        <v>326</v>
      </c>
      <c r="E4509" s="52" t="s">
        <v>584</v>
      </c>
      <c r="F4509" s="52" t="s">
        <v>581</v>
      </c>
      <c r="G4509" s="195" t="s">
        <v>276</v>
      </c>
      <c r="H4509" s="195">
        <v>-2.6611159999999998</v>
      </c>
      <c r="I4509" s="195"/>
      <c r="J4509" s="195"/>
      <c r="K4509" s="195"/>
      <c r="L4509" s="195"/>
      <c r="M4509" s="195"/>
      <c r="N4509" s="195"/>
    </row>
    <row r="4510" spans="1:14" hidden="1" x14ac:dyDescent="0.35">
      <c r="A4510" s="52" t="s">
        <v>680</v>
      </c>
      <c r="B4510" s="52" t="s">
        <v>73</v>
      </c>
      <c r="C4510" s="52" t="s">
        <v>325</v>
      </c>
      <c r="D4510" s="52" t="s">
        <v>326</v>
      </c>
      <c r="E4510" s="52" t="s">
        <v>584</v>
      </c>
      <c r="F4510" s="52" t="s">
        <v>581</v>
      </c>
      <c r="G4510" s="195" t="s">
        <v>277</v>
      </c>
      <c r="H4510" s="195"/>
      <c r="I4510" s="195"/>
      <c r="J4510" s="195"/>
      <c r="K4510" s="195"/>
      <c r="L4510" s="195"/>
      <c r="M4510" s="195">
        <v>0</v>
      </c>
      <c r="N4510" s="195"/>
    </row>
    <row r="4511" spans="1:14" hidden="1" x14ac:dyDescent="0.35">
      <c r="A4511" s="52" t="s">
        <v>680</v>
      </c>
      <c r="B4511" s="52" t="s">
        <v>73</v>
      </c>
      <c r="C4511" s="52" t="s">
        <v>325</v>
      </c>
      <c r="D4511" s="52" t="s">
        <v>326</v>
      </c>
      <c r="E4511" s="52" t="s">
        <v>584</v>
      </c>
      <c r="F4511" s="52" t="s">
        <v>581</v>
      </c>
      <c r="G4511" s="195" t="s">
        <v>278</v>
      </c>
      <c r="H4511" s="195">
        <v>4.3735200000000002E-2</v>
      </c>
      <c r="I4511" s="195"/>
      <c r="J4511" s="195"/>
      <c r="K4511" s="195"/>
      <c r="L4511" s="195"/>
      <c r="M4511" s="195"/>
      <c r="N4511" s="195"/>
    </row>
    <row r="4512" spans="1:14" hidden="1" x14ac:dyDescent="0.35">
      <c r="A4512" s="52" t="s">
        <v>680</v>
      </c>
      <c r="B4512" s="52" t="s">
        <v>73</v>
      </c>
      <c r="C4512" s="52" t="s">
        <v>325</v>
      </c>
      <c r="D4512" s="52" t="s">
        <v>326</v>
      </c>
      <c r="E4512" s="52" t="s">
        <v>584</v>
      </c>
      <c r="F4512" s="52" t="s">
        <v>26</v>
      </c>
      <c r="G4512" s="195" t="s">
        <v>275</v>
      </c>
      <c r="H4512" s="195">
        <v>0</v>
      </c>
      <c r="I4512" s="195"/>
      <c r="J4512" s="195"/>
      <c r="K4512" s="195"/>
      <c r="L4512" s="195">
        <v>-1.8304E-3</v>
      </c>
      <c r="M4512" s="195"/>
      <c r="N4512" s="195"/>
    </row>
    <row r="4513" spans="1:14" hidden="1" x14ac:dyDescent="0.35">
      <c r="A4513" s="52" t="s">
        <v>680</v>
      </c>
      <c r="B4513" s="52" t="s">
        <v>73</v>
      </c>
      <c r="C4513" s="52" t="s">
        <v>325</v>
      </c>
      <c r="D4513" s="52" t="s">
        <v>326</v>
      </c>
      <c r="E4513" s="52" t="s">
        <v>584</v>
      </c>
      <c r="F4513" s="52" t="s">
        <v>26</v>
      </c>
      <c r="G4513" s="195" t="s">
        <v>276</v>
      </c>
      <c r="H4513" s="195"/>
      <c r="I4513" s="195"/>
      <c r="J4513" s="195"/>
      <c r="K4513" s="195"/>
      <c r="L4513" s="195">
        <v>-1.897184E-2</v>
      </c>
      <c r="M4513" s="195"/>
      <c r="N4513" s="195"/>
    </row>
    <row r="4514" spans="1:14" hidden="1" x14ac:dyDescent="0.35">
      <c r="A4514" s="52" t="s">
        <v>680</v>
      </c>
      <c r="B4514" s="52" t="s">
        <v>73</v>
      </c>
      <c r="C4514" s="52" t="s">
        <v>325</v>
      </c>
      <c r="D4514" s="52" t="s">
        <v>326</v>
      </c>
      <c r="E4514" s="52" t="s">
        <v>584</v>
      </c>
      <c r="F4514" s="52" t="s">
        <v>26</v>
      </c>
      <c r="G4514" s="195" t="s">
        <v>277</v>
      </c>
      <c r="H4514" s="195"/>
      <c r="I4514" s="195"/>
      <c r="J4514" s="195"/>
      <c r="K4514" s="195"/>
      <c r="L4514" s="195"/>
      <c r="M4514" s="195">
        <v>0</v>
      </c>
      <c r="N4514" s="195"/>
    </row>
    <row r="4515" spans="1:14" hidden="1" x14ac:dyDescent="0.35">
      <c r="A4515" s="52" t="s">
        <v>680</v>
      </c>
      <c r="B4515" s="52" t="s">
        <v>73</v>
      </c>
      <c r="C4515" s="52" t="s">
        <v>325</v>
      </c>
      <c r="D4515" s="52" t="s">
        <v>326</v>
      </c>
      <c r="E4515" s="52" t="s">
        <v>584</v>
      </c>
      <c r="F4515" s="52" t="s">
        <v>26</v>
      </c>
      <c r="G4515" s="195" t="s">
        <v>278</v>
      </c>
      <c r="H4515" s="195">
        <v>0</v>
      </c>
      <c r="I4515" s="195"/>
      <c r="J4515" s="195"/>
      <c r="K4515" s="195"/>
      <c r="L4515" s="195"/>
      <c r="M4515" s="195"/>
      <c r="N4515" s="195"/>
    </row>
    <row r="4516" spans="1:14" hidden="1" x14ac:dyDescent="0.35">
      <c r="A4516" s="52" t="s">
        <v>680</v>
      </c>
      <c r="B4516" s="52" t="s">
        <v>73</v>
      </c>
      <c r="C4516" s="52" t="s">
        <v>339</v>
      </c>
      <c r="D4516" s="52" t="s">
        <v>339</v>
      </c>
      <c r="E4516" s="52" t="s">
        <v>584</v>
      </c>
      <c r="F4516" s="52" t="s">
        <v>581</v>
      </c>
      <c r="G4516" s="195" t="s">
        <v>275</v>
      </c>
      <c r="H4516" s="195">
        <v>-1.8864000000000001E-3</v>
      </c>
      <c r="I4516" s="195">
        <v>1.6479989999999999E-4</v>
      </c>
      <c r="J4516" s="195">
        <v>0</v>
      </c>
      <c r="K4516" s="195">
        <v>0</v>
      </c>
      <c r="L4516" s="195">
        <v>0</v>
      </c>
      <c r="M4516" s="195">
        <v>0</v>
      </c>
      <c r="N4516" s="195">
        <v>0</v>
      </c>
    </row>
    <row r="4517" spans="1:14" hidden="1" x14ac:dyDescent="0.35">
      <c r="A4517" s="52" t="s">
        <v>680</v>
      </c>
      <c r="B4517" s="52" t="s">
        <v>73</v>
      </c>
      <c r="C4517" s="52" t="s">
        <v>339</v>
      </c>
      <c r="D4517" s="52" t="s">
        <v>339</v>
      </c>
      <c r="E4517" s="52" t="s">
        <v>584</v>
      </c>
      <c r="F4517" s="52" t="s">
        <v>581</v>
      </c>
      <c r="G4517" s="195" t="s">
        <v>276</v>
      </c>
      <c r="H4517" s="195">
        <v>-3.7811999999999998E-2</v>
      </c>
      <c r="I4517" s="195">
        <v>-2.6098400000000001E-2</v>
      </c>
      <c r="J4517" s="195">
        <v>-3.0385909999999998</v>
      </c>
      <c r="K4517" s="195">
        <v>-2.6308000000000002E-2</v>
      </c>
      <c r="L4517" s="195">
        <v>-2.360199E-2</v>
      </c>
      <c r="M4517" s="195">
        <v>-4.8487599999999999E-2</v>
      </c>
      <c r="N4517" s="195">
        <v>-4.8488000000000003E-2</v>
      </c>
    </row>
    <row r="4518" spans="1:14" hidden="1" x14ac:dyDescent="0.35">
      <c r="A4518" s="52" t="s">
        <v>680</v>
      </c>
      <c r="B4518" s="52" t="s">
        <v>73</v>
      </c>
      <c r="C4518" s="52" t="s">
        <v>339</v>
      </c>
      <c r="D4518" s="52" t="s">
        <v>339</v>
      </c>
      <c r="E4518" s="52" t="s">
        <v>584</v>
      </c>
      <c r="F4518" s="52" t="s">
        <v>581</v>
      </c>
      <c r="G4518" s="195" t="s">
        <v>278</v>
      </c>
      <c r="H4518" s="195">
        <v>3.9698799999999999E-2</v>
      </c>
      <c r="I4518" s="195">
        <v>2.5933600000000001E-2</v>
      </c>
      <c r="J4518" s="195">
        <v>3.038592</v>
      </c>
      <c r="K4518" s="195">
        <v>2.6308399999999999E-2</v>
      </c>
      <c r="L4518" s="195">
        <v>2.36028E-2</v>
      </c>
      <c r="M4518" s="195">
        <v>4.8488000000000003E-2</v>
      </c>
      <c r="N4518" s="195">
        <v>4.8488000000000003E-2</v>
      </c>
    </row>
    <row r="4519" spans="1:14" hidden="1" x14ac:dyDescent="0.35">
      <c r="A4519" s="52" t="s">
        <v>680</v>
      </c>
      <c r="B4519" s="52" t="s">
        <v>73</v>
      </c>
      <c r="C4519" s="52" t="s">
        <v>339</v>
      </c>
      <c r="D4519" s="52" t="s">
        <v>829</v>
      </c>
      <c r="E4519" s="52" t="s">
        <v>584</v>
      </c>
      <c r="F4519" s="52" t="s">
        <v>581</v>
      </c>
      <c r="G4519" s="195" t="s">
        <v>275</v>
      </c>
      <c r="H4519" s="195">
        <v>-1.16712E-2</v>
      </c>
      <c r="I4519" s="195">
        <v>1.017602E-3</v>
      </c>
      <c r="J4519" s="195">
        <v>0</v>
      </c>
      <c r="K4519" s="195">
        <v>0</v>
      </c>
      <c r="L4519" s="195">
        <v>0</v>
      </c>
      <c r="M4519" s="195">
        <v>0</v>
      </c>
      <c r="N4519" s="195">
        <v>0</v>
      </c>
    </row>
    <row r="4520" spans="1:14" hidden="1" x14ac:dyDescent="0.35">
      <c r="A4520" s="52" t="s">
        <v>680</v>
      </c>
      <c r="B4520" s="52" t="s">
        <v>73</v>
      </c>
      <c r="C4520" s="52" t="s">
        <v>339</v>
      </c>
      <c r="D4520" s="52" t="s">
        <v>829</v>
      </c>
      <c r="E4520" s="52" t="s">
        <v>584</v>
      </c>
      <c r="F4520" s="52" t="s">
        <v>581</v>
      </c>
      <c r="G4520" s="195" t="s">
        <v>276</v>
      </c>
      <c r="H4520" s="195">
        <v>-0.2339088</v>
      </c>
      <c r="I4520" s="195">
        <v>-0.1614448</v>
      </c>
      <c r="J4520" s="195">
        <v>-4.476038</v>
      </c>
      <c r="K4520" s="195">
        <v>-4.0088810000000002E-2</v>
      </c>
      <c r="L4520" s="195">
        <v>-3.5966400000000003E-2</v>
      </c>
      <c r="M4520" s="195">
        <v>-8.7886800000000001E-2</v>
      </c>
      <c r="N4520" s="195">
        <v>-8.7886800000000001E-2</v>
      </c>
    </row>
    <row r="4521" spans="1:14" hidden="1" x14ac:dyDescent="0.35">
      <c r="A4521" s="52" t="s">
        <v>680</v>
      </c>
      <c r="B4521" s="52" t="s">
        <v>73</v>
      </c>
      <c r="C4521" s="52" t="s">
        <v>339</v>
      </c>
      <c r="D4521" s="52" t="s">
        <v>829</v>
      </c>
      <c r="E4521" s="52" t="s">
        <v>584</v>
      </c>
      <c r="F4521" s="52" t="s">
        <v>581</v>
      </c>
      <c r="G4521" s="195" t="s">
        <v>277</v>
      </c>
      <c r="H4521" s="195"/>
      <c r="I4521" s="195"/>
      <c r="J4521" s="195"/>
      <c r="K4521" s="195"/>
      <c r="L4521" s="195">
        <v>0</v>
      </c>
      <c r="M4521" s="195">
        <v>1.4E-2</v>
      </c>
      <c r="N4521" s="195">
        <v>1.4E-2</v>
      </c>
    </row>
    <row r="4522" spans="1:14" hidden="1" x14ac:dyDescent="0.35">
      <c r="A4522" s="52" t="s">
        <v>680</v>
      </c>
      <c r="B4522" s="52" t="s">
        <v>73</v>
      </c>
      <c r="C4522" s="52" t="s">
        <v>339</v>
      </c>
      <c r="D4522" s="52" t="s">
        <v>829</v>
      </c>
      <c r="E4522" s="52" t="s">
        <v>584</v>
      </c>
      <c r="F4522" s="52" t="s">
        <v>581</v>
      </c>
      <c r="G4522" s="195" t="s">
        <v>278</v>
      </c>
      <c r="H4522" s="195">
        <v>0.2455804</v>
      </c>
      <c r="I4522" s="195">
        <v>0.16042719999999999</v>
      </c>
      <c r="J4522" s="195">
        <v>4.476038</v>
      </c>
      <c r="K4522" s="195">
        <v>4.0089199999999998E-2</v>
      </c>
      <c r="L4522" s="195">
        <v>3.5966400000000003E-2</v>
      </c>
      <c r="M4522" s="195">
        <v>7.3886800000000002E-2</v>
      </c>
      <c r="N4522" s="195">
        <v>7.3886800000000002E-2</v>
      </c>
    </row>
    <row r="4523" spans="1:14" hidden="1" x14ac:dyDescent="0.35">
      <c r="A4523" s="52" t="s">
        <v>680</v>
      </c>
      <c r="B4523" s="52" t="s">
        <v>73</v>
      </c>
      <c r="C4523" s="52" t="s">
        <v>339</v>
      </c>
      <c r="D4523" s="52" t="s">
        <v>382</v>
      </c>
      <c r="E4523" s="52" t="s">
        <v>584</v>
      </c>
      <c r="F4523" s="52" t="s">
        <v>581</v>
      </c>
      <c r="G4523" s="195" t="s">
        <v>275</v>
      </c>
      <c r="H4523" s="195">
        <v>-2.1995999999999999E-3</v>
      </c>
      <c r="I4523" s="195">
        <v>-0.60998090000000005</v>
      </c>
      <c r="J4523" s="195">
        <v>0</v>
      </c>
      <c r="K4523" s="195">
        <v>0</v>
      </c>
      <c r="L4523" s="195">
        <v>0</v>
      </c>
      <c r="M4523" s="195">
        <v>0</v>
      </c>
      <c r="N4523" s="195">
        <v>0</v>
      </c>
    </row>
    <row r="4524" spans="1:14" hidden="1" x14ac:dyDescent="0.35">
      <c r="A4524" s="52" t="s">
        <v>680</v>
      </c>
      <c r="B4524" s="52" t="s">
        <v>73</v>
      </c>
      <c r="C4524" s="52" t="s">
        <v>339</v>
      </c>
      <c r="D4524" s="52" t="s">
        <v>382</v>
      </c>
      <c r="E4524" s="52" t="s">
        <v>584</v>
      </c>
      <c r="F4524" s="52" t="s">
        <v>581</v>
      </c>
      <c r="G4524" s="195" t="s">
        <v>276</v>
      </c>
      <c r="H4524" s="195">
        <v>-4.4086199999999999E-2</v>
      </c>
      <c r="I4524" s="195">
        <v>-2.6168849999999999</v>
      </c>
      <c r="J4524" s="195">
        <v>-3.6323099999999997E-2</v>
      </c>
      <c r="K4524" s="195">
        <v>-3.0673800000000001E-2</v>
      </c>
      <c r="L4524" s="195">
        <v>-2.7518999999999998E-2</v>
      </c>
      <c r="M4524" s="195">
        <v>-5.6533199999999999E-2</v>
      </c>
      <c r="N4524" s="195">
        <v>-5.65335E-2</v>
      </c>
    </row>
    <row r="4525" spans="1:14" hidden="1" x14ac:dyDescent="0.35">
      <c r="A4525" s="52" t="s">
        <v>680</v>
      </c>
      <c r="B4525" s="52" t="s">
        <v>73</v>
      </c>
      <c r="C4525" s="52" t="s">
        <v>339</v>
      </c>
      <c r="D4525" s="52" t="s">
        <v>382</v>
      </c>
      <c r="E4525" s="52" t="s">
        <v>584</v>
      </c>
      <c r="F4525" s="52" t="s">
        <v>581</v>
      </c>
      <c r="G4525" s="195" t="s">
        <v>277</v>
      </c>
      <c r="H4525" s="195"/>
      <c r="I4525" s="195"/>
      <c r="J4525" s="195"/>
      <c r="K4525" s="195"/>
      <c r="L4525" s="195"/>
      <c r="M4525" s="195"/>
      <c r="N4525" s="195">
        <v>0</v>
      </c>
    </row>
    <row r="4526" spans="1:14" hidden="1" x14ac:dyDescent="0.35">
      <c r="A4526" s="52" t="s">
        <v>680</v>
      </c>
      <c r="B4526" s="52" t="s">
        <v>73</v>
      </c>
      <c r="C4526" s="52" t="s">
        <v>339</v>
      </c>
      <c r="D4526" s="52" t="s">
        <v>382</v>
      </c>
      <c r="E4526" s="52" t="s">
        <v>584</v>
      </c>
      <c r="F4526" s="52" t="s">
        <v>581</v>
      </c>
      <c r="G4526" s="195" t="s">
        <v>278</v>
      </c>
      <c r="H4526" s="195">
        <v>4.6286099999999997E-2</v>
      </c>
      <c r="I4526" s="195">
        <v>3.2268659999999998</v>
      </c>
      <c r="J4526" s="195">
        <v>3.6322800000000002E-2</v>
      </c>
      <c r="K4526" s="195">
        <v>3.0673800000000001E-2</v>
      </c>
      <c r="L4526" s="195">
        <v>2.75193E-2</v>
      </c>
      <c r="M4526" s="195">
        <v>5.65335E-2</v>
      </c>
      <c r="N4526" s="195">
        <v>5.65335E-2</v>
      </c>
    </row>
    <row r="4527" spans="1:14" hidden="1" x14ac:dyDescent="0.35">
      <c r="A4527" s="52" t="s">
        <v>680</v>
      </c>
      <c r="B4527" s="52" t="s">
        <v>73</v>
      </c>
      <c r="C4527" s="52" t="s">
        <v>339</v>
      </c>
      <c r="D4527" s="52" t="s">
        <v>340</v>
      </c>
      <c r="E4527" s="52" t="s">
        <v>584</v>
      </c>
      <c r="F4527" s="52" t="s">
        <v>581</v>
      </c>
      <c r="G4527" s="195" t="s">
        <v>275</v>
      </c>
      <c r="H4527" s="195">
        <v>-7.3625020000000001</v>
      </c>
      <c r="I4527" s="195">
        <v>1.663921</v>
      </c>
      <c r="J4527" s="195">
        <v>1.661729</v>
      </c>
      <c r="K4527" s="195">
        <v>1.661924</v>
      </c>
      <c r="L4527" s="195">
        <v>-2.1670000000000001E-3</v>
      </c>
      <c r="M4527" s="195">
        <v>-3.6624999999999998E-2</v>
      </c>
      <c r="N4527" s="195">
        <v>-3.0529199999999999E-2</v>
      </c>
    </row>
    <row r="4528" spans="1:14" hidden="1" x14ac:dyDescent="0.35">
      <c r="A4528" s="52" t="s">
        <v>680</v>
      </c>
      <c r="B4528" s="52" t="s">
        <v>73</v>
      </c>
      <c r="C4528" s="52" t="s">
        <v>339</v>
      </c>
      <c r="D4528" s="52" t="s">
        <v>340</v>
      </c>
      <c r="E4528" s="52" t="s">
        <v>584</v>
      </c>
      <c r="F4528" s="52" t="s">
        <v>581</v>
      </c>
      <c r="G4528" s="195" t="s">
        <v>276</v>
      </c>
      <c r="H4528" s="195">
        <v>-33.698390000000003</v>
      </c>
      <c r="I4528" s="195">
        <v>-1.6909810000000001</v>
      </c>
      <c r="J4528" s="195">
        <v>-1.6942349999999999</v>
      </c>
      <c r="K4528" s="195">
        <v>-1.689376</v>
      </c>
      <c r="L4528" s="195">
        <v>-2.2461600000000002E-2</v>
      </c>
      <c r="M4528" s="195">
        <v>-4.8969400000000003E-2</v>
      </c>
      <c r="N4528" s="195">
        <v>-5.5065410000000002E-2</v>
      </c>
    </row>
    <row r="4529" spans="1:14" hidden="1" x14ac:dyDescent="0.35">
      <c r="A4529" s="52" t="s">
        <v>680</v>
      </c>
      <c r="B4529" s="52" t="s">
        <v>73</v>
      </c>
      <c r="C4529" s="52" t="s">
        <v>339</v>
      </c>
      <c r="D4529" s="52" t="s">
        <v>340</v>
      </c>
      <c r="E4529" s="52" t="s">
        <v>584</v>
      </c>
      <c r="F4529" s="52" t="s">
        <v>581</v>
      </c>
      <c r="G4529" s="195" t="s">
        <v>277</v>
      </c>
      <c r="H4529" s="195"/>
      <c r="I4529" s="195"/>
      <c r="J4529" s="195"/>
      <c r="K4529" s="195"/>
      <c r="L4529" s="195">
        <v>0</v>
      </c>
      <c r="M4529" s="195">
        <v>3.5000000000000003E-2</v>
      </c>
      <c r="N4529" s="195">
        <v>3.5000000000000003E-2</v>
      </c>
    </row>
    <row r="4530" spans="1:14" hidden="1" x14ac:dyDescent="0.35">
      <c r="A4530" s="52" t="s">
        <v>680</v>
      </c>
      <c r="B4530" s="52" t="s">
        <v>73</v>
      </c>
      <c r="C4530" s="52" t="s">
        <v>339</v>
      </c>
      <c r="D4530" s="52" t="s">
        <v>340</v>
      </c>
      <c r="E4530" s="52" t="s">
        <v>584</v>
      </c>
      <c r="F4530" s="52" t="s">
        <v>581</v>
      </c>
      <c r="G4530" s="195" t="s">
        <v>278</v>
      </c>
      <c r="H4530" s="195">
        <v>41.060890000000001</v>
      </c>
      <c r="I4530" s="195">
        <v>2.7060399999999998E-2</v>
      </c>
      <c r="J4530" s="195">
        <v>3.2507000000000001E-2</v>
      </c>
      <c r="K4530" s="195">
        <v>2.74516E-2</v>
      </c>
      <c r="L4530" s="195">
        <v>2.4628400000000002E-2</v>
      </c>
      <c r="M4530" s="195">
        <v>5.0594600000000003E-2</v>
      </c>
      <c r="N4530" s="195">
        <v>5.0594600000000003E-2</v>
      </c>
    </row>
    <row r="4531" spans="1:14" hidden="1" x14ac:dyDescent="0.35">
      <c r="A4531" s="52" t="s">
        <v>680</v>
      </c>
      <c r="B4531" s="52" t="s">
        <v>73</v>
      </c>
      <c r="C4531" s="52" t="s">
        <v>182</v>
      </c>
      <c r="D4531" s="52" t="s">
        <v>183</v>
      </c>
      <c r="E4531" s="52" t="s">
        <v>584</v>
      </c>
      <c r="F4531" s="52" t="s">
        <v>581</v>
      </c>
      <c r="G4531" s="195" t="s">
        <v>275</v>
      </c>
      <c r="H4531" s="195">
        <v>-1.3585E-2</v>
      </c>
      <c r="I4531" s="195">
        <v>-5.8777009999999999E-3</v>
      </c>
      <c r="J4531" s="195">
        <v>0</v>
      </c>
      <c r="K4531" s="195">
        <v>0</v>
      </c>
      <c r="L4531" s="195">
        <v>0</v>
      </c>
      <c r="M4531" s="195">
        <v>0</v>
      </c>
      <c r="N4531" s="195">
        <v>0</v>
      </c>
    </row>
    <row r="4532" spans="1:14" hidden="1" x14ac:dyDescent="0.35">
      <c r="A4532" s="52" t="s">
        <v>680</v>
      </c>
      <c r="B4532" s="52" t="s">
        <v>73</v>
      </c>
      <c r="C4532" s="52" t="s">
        <v>182</v>
      </c>
      <c r="D4532" s="52" t="s">
        <v>183</v>
      </c>
      <c r="E4532" s="52" t="s">
        <v>584</v>
      </c>
      <c r="F4532" s="52" t="s">
        <v>581</v>
      </c>
      <c r="G4532" s="195" t="s">
        <v>276</v>
      </c>
      <c r="H4532" s="195">
        <v>-6.7280690000000004E-2</v>
      </c>
      <c r="I4532" s="195">
        <v>-4.6948200000000002E-2</v>
      </c>
      <c r="J4532" s="195">
        <v>-1.061598</v>
      </c>
      <c r="K4532" s="195">
        <v>-0.93368819999999997</v>
      </c>
      <c r="L4532" s="195">
        <v>-5.09779E-2</v>
      </c>
      <c r="M4532" s="195">
        <v>-0.11036890000000001</v>
      </c>
      <c r="N4532" s="195">
        <v>-0.13646849999999999</v>
      </c>
    </row>
    <row r="4533" spans="1:14" hidden="1" x14ac:dyDescent="0.35">
      <c r="A4533" s="52" t="s">
        <v>680</v>
      </c>
      <c r="B4533" s="52" t="s">
        <v>73</v>
      </c>
      <c r="C4533" s="52" t="s">
        <v>182</v>
      </c>
      <c r="D4533" s="52" t="s">
        <v>183</v>
      </c>
      <c r="E4533" s="52" t="s">
        <v>584</v>
      </c>
      <c r="F4533" s="52" t="s">
        <v>581</v>
      </c>
      <c r="G4533" s="195" t="s">
        <v>277</v>
      </c>
      <c r="H4533" s="195"/>
      <c r="I4533" s="195"/>
      <c r="J4533" s="195"/>
      <c r="K4533" s="195">
        <v>0</v>
      </c>
      <c r="L4533" s="195">
        <v>2.8999999999999998E-3</v>
      </c>
      <c r="M4533" s="195">
        <v>1.1599999999999999E-2</v>
      </c>
      <c r="N4533" s="195">
        <v>3.7699999999999997E-2</v>
      </c>
    </row>
    <row r="4534" spans="1:14" hidden="1" x14ac:dyDescent="0.35">
      <c r="A4534" s="52" t="s">
        <v>680</v>
      </c>
      <c r="B4534" s="52" t="s">
        <v>73</v>
      </c>
      <c r="C4534" s="52" t="s">
        <v>182</v>
      </c>
      <c r="D4534" s="52" t="s">
        <v>183</v>
      </c>
      <c r="E4534" s="52" t="s">
        <v>584</v>
      </c>
      <c r="F4534" s="52" t="s">
        <v>581</v>
      </c>
      <c r="G4534" s="195" t="s">
        <v>278</v>
      </c>
      <c r="H4534" s="195">
        <v>8.0865290000000006E-2</v>
      </c>
      <c r="I4534" s="195">
        <v>5.2825990000000003E-2</v>
      </c>
      <c r="J4534" s="195">
        <v>1.061598</v>
      </c>
      <c r="K4534" s="195">
        <v>0.93368879999999999</v>
      </c>
      <c r="L4534" s="195">
        <v>4.8078200000000001E-2</v>
      </c>
      <c r="M4534" s="195">
        <v>9.8768800000000004E-2</v>
      </c>
      <c r="N4534" s="195">
        <v>9.8768800000000004E-2</v>
      </c>
    </row>
    <row r="4535" spans="1:14" hidden="1" x14ac:dyDescent="0.35">
      <c r="A4535" s="52" t="s">
        <v>680</v>
      </c>
      <c r="B4535" s="52" t="s">
        <v>73</v>
      </c>
      <c r="C4535" s="52" t="s">
        <v>182</v>
      </c>
      <c r="D4535" s="52" t="s">
        <v>183</v>
      </c>
      <c r="E4535" s="52" t="s">
        <v>584</v>
      </c>
      <c r="F4535" s="52" t="s">
        <v>581</v>
      </c>
      <c r="G4535" s="195" t="s">
        <v>279</v>
      </c>
      <c r="H4535" s="195"/>
      <c r="I4535" s="195"/>
      <c r="J4535" s="195"/>
      <c r="K4535" s="195"/>
      <c r="L4535" s="195"/>
      <c r="M4535" s="195"/>
      <c r="N4535" s="195">
        <v>0</v>
      </c>
    </row>
    <row r="4536" spans="1:14" hidden="1" x14ac:dyDescent="0.35">
      <c r="A4536" s="52" t="s">
        <v>680</v>
      </c>
      <c r="B4536" s="52" t="s">
        <v>73</v>
      </c>
      <c r="C4536" s="52" t="s">
        <v>182</v>
      </c>
      <c r="D4536" s="52" t="s">
        <v>183</v>
      </c>
      <c r="E4536" s="52" t="s">
        <v>584</v>
      </c>
      <c r="F4536" s="52" t="s">
        <v>26</v>
      </c>
      <c r="G4536" s="195" t="s">
        <v>275</v>
      </c>
      <c r="H4536" s="195"/>
      <c r="I4536" s="195"/>
      <c r="J4536" s="195"/>
      <c r="K4536" s="195"/>
      <c r="L4536" s="195"/>
      <c r="M4536" s="195"/>
      <c r="N4536" s="195">
        <v>0</v>
      </c>
    </row>
    <row r="4537" spans="1:14" hidden="1" x14ac:dyDescent="0.35">
      <c r="A4537" s="52" t="s">
        <v>680</v>
      </c>
      <c r="B4537" s="52" t="s">
        <v>73</v>
      </c>
      <c r="C4537" s="52" t="s">
        <v>182</v>
      </c>
      <c r="D4537" s="52" t="s">
        <v>183</v>
      </c>
      <c r="E4537" s="52" t="s">
        <v>584</v>
      </c>
      <c r="F4537" s="52" t="s">
        <v>26</v>
      </c>
      <c r="G4537" s="195" t="s">
        <v>276</v>
      </c>
      <c r="H4537" s="195"/>
      <c r="I4537" s="195"/>
      <c r="J4537" s="195"/>
      <c r="K4537" s="195"/>
      <c r="L4537" s="195"/>
      <c r="M4537" s="195"/>
      <c r="N4537" s="195">
        <v>0</v>
      </c>
    </row>
    <row r="4538" spans="1:14" hidden="1" x14ac:dyDescent="0.35">
      <c r="A4538" s="52" t="s">
        <v>680</v>
      </c>
      <c r="B4538" s="52" t="s">
        <v>73</v>
      </c>
      <c r="C4538" s="52" t="s">
        <v>182</v>
      </c>
      <c r="D4538" s="52" t="s">
        <v>183</v>
      </c>
      <c r="E4538" s="52" t="s">
        <v>584</v>
      </c>
      <c r="F4538" s="52" t="s">
        <v>26</v>
      </c>
      <c r="G4538" s="195" t="s">
        <v>279</v>
      </c>
      <c r="H4538" s="195"/>
      <c r="I4538" s="195"/>
      <c r="J4538" s="195"/>
      <c r="K4538" s="195"/>
      <c r="L4538" s="195"/>
      <c r="M4538" s="195"/>
      <c r="N4538" s="195">
        <v>0</v>
      </c>
    </row>
    <row r="4539" spans="1:14" hidden="1" x14ac:dyDescent="0.35">
      <c r="A4539" s="52" t="s">
        <v>680</v>
      </c>
      <c r="B4539" s="52" t="s">
        <v>73</v>
      </c>
      <c r="C4539" s="52" t="s">
        <v>318</v>
      </c>
      <c r="D4539" s="52" t="s">
        <v>318</v>
      </c>
      <c r="E4539" s="52" t="s">
        <v>584</v>
      </c>
      <c r="F4539" s="52" t="s">
        <v>581</v>
      </c>
      <c r="G4539" s="195" t="s">
        <v>275</v>
      </c>
      <c r="H4539" s="195">
        <v>92.269130000000004</v>
      </c>
      <c r="I4539" s="195">
        <v>0</v>
      </c>
      <c r="J4539" s="195"/>
      <c r="K4539" s="195"/>
      <c r="L4539" s="195"/>
      <c r="M4539" s="195"/>
      <c r="N4539" s="195"/>
    </row>
    <row r="4540" spans="1:14" hidden="1" x14ac:dyDescent="0.35">
      <c r="A4540" s="52" t="s">
        <v>680</v>
      </c>
      <c r="B4540" s="52" t="s">
        <v>73</v>
      </c>
      <c r="C4540" s="52" t="s">
        <v>318</v>
      </c>
      <c r="D4540" s="52" t="s">
        <v>318</v>
      </c>
      <c r="E4540" s="52" t="s">
        <v>584</v>
      </c>
      <c r="F4540" s="52" t="s">
        <v>581</v>
      </c>
      <c r="G4540" s="195" t="s">
        <v>278</v>
      </c>
      <c r="H4540" s="195">
        <v>-92.269130000000004</v>
      </c>
      <c r="I4540" s="195">
        <v>0</v>
      </c>
      <c r="J4540" s="195"/>
      <c r="K4540" s="195"/>
      <c r="L4540" s="195"/>
      <c r="M4540" s="195"/>
      <c r="N4540" s="195"/>
    </row>
    <row r="4541" spans="1:14" hidden="1" x14ac:dyDescent="0.35">
      <c r="A4541" s="52" t="s">
        <v>680</v>
      </c>
      <c r="B4541" s="52" t="s">
        <v>73</v>
      </c>
      <c r="C4541" s="52" t="s">
        <v>318</v>
      </c>
      <c r="D4541" s="52" t="s">
        <v>318</v>
      </c>
      <c r="E4541" s="52" t="s">
        <v>584</v>
      </c>
      <c r="F4541" s="52" t="s">
        <v>26</v>
      </c>
      <c r="G4541" s="195" t="s">
        <v>275</v>
      </c>
      <c r="H4541" s="195">
        <v>61.512749999999997</v>
      </c>
      <c r="I4541" s="195">
        <v>0</v>
      </c>
      <c r="J4541" s="195"/>
      <c r="K4541" s="195"/>
      <c r="L4541" s="195"/>
      <c r="M4541" s="195"/>
      <c r="N4541" s="195"/>
    </row>
    <row r="4542" spans="1:14" hidden="1" x14ac:dyDescent="0.35">
      <c r="A4542" s="52" t="s">
        <v>680</v>
      </c>
      <c r="B4542" s="52" t="s">
        <v>73</v>
      </c>
      <c r="C4542" s="52" t="s">
        <v>318</v>
      </c>
      <c r="D4542" s="52" t="s">
        <v>318</v>
      </c>
      <c r="E4542" s="52" t="s">
        <v>584</v>
      </c>
      <c r="F4542" s="52" t="s">
        <v>26</v>
      </c>
      <c r="G4542" s="195" t="s">
        <v>278</v>
      </c>
      <c r="H4542" s="195">
        <v>-61.512749999999997</v>
      </c>
      <c r="I4542" s="195">
        <v>0</v>
      </c>
      <c r="J4542" s="195"/>
      <c r="K4542" s="195"/>
      <c r="L4542" s="195"/>
      <c r="M4542" s="195"/>
      <c r="N4542" s="195"/>
    </row>
    <row r="4543" spans="1:14" hidden="1" x14ac:dyDescent="0.35">
      <c r="A4543" s="52" t="s">
        <v>680</v>
      </c>
      <c r="B4543" s="52" t="s">
        <v>73</v>
      </c>
      <c r="C4543" s="52" t="s">
        <v>832</v>
      </c>
      <c r="D4543" s="52" t="s">
        <v>832</v>
      </c>
      <c r="E4543" s="52" t="s">
        <v>584</v>
      </c>
      <c r="F4543" s="52" t="s">
        <v>581</v>
      </c>
      <c r="G4543" s="195" t="s">
        <v>275</v>
      </c>
      <c r="H4543" s="195"/>
      <c r="I4543" s="195"/>
      <c r="J4543" s="195"/>
      <c r="K4543" s="195"/>
      <c r="L4543" s="195"/>
      <c r="M4543" s="195"/>
      <c r="N4543" s="195">
        <v>0</v>
      </c>
    </row>
    <row r="4544" spans="1:14" hidden="1" x14ac:dyDescent="0.35">
      <c r="A4544" s="52" t="s">
        <v>680</v>
      </c>
      <c r="B4544" s="52" t="s">
        <v>73</v>
      </c>
      <c r="C4544" s="52" t="s">
        <v>832</v>
      </c>
      <c r="D4544" s="52" t="s">
        <v>832</v>
      </c>
      <c r="E4544" s="52" t="s">
        <v>584</v>
      </c>
      <c r="F4544" s="52" t="s">
        <v>581</v>
      </c>
      <c r="G4544" s="195" t="s">
        <v>276</v>
      </c>
      <c r="H4544" s="195"/>
      <c r="I4544" s="195"/>
      <c r="J4544" s="195"/>
      <c r="K4544" s="195"/>
      <c r="L4544" s="195"/>
      <c r="M4544" s="195"/>
      <c r="N4544" s="195">
        <v>0</v>
      </c>
    </row>
    <row r="4545" spans="1:14" hidden="1" x14ac:dyDescent="0.35">
      <c r="A4545" s="52" t="s">
        <v>680</v>
      </c>
      <c r="B4545" s="52" t="s">
        <v>73</v>
      </c>
      <c r="C4545" s="52" t="s">
        <v>832</v>
      </c>
      <c r="D4545" s="52" t="s">
        <v>832</v>
      </c>
      <c r="E4545" s="52" t="s">
        <v>584</v>
      </c>
      <c r="F4545" s="52" t="s">
        <v>581</v>
      </c>
      <c r="G4545" s="195" t="s">
        <v>279</v>
      </c>
      <c r="H4545" s="195"/>
      <c r="I4545" s="195"/>
      <c r="J4545" s="195"/>
      <c r="K4545" s="195"/>
      <c r="L4545" s="195"/>
      <c r="M4545" s="195"/>
      <c r="N4545" s="195">
        <v>0</v>
      </c>
    </row>
    <row r="4546" spans="1:14" hidden="1" x14ac:dyDescent="0.35">
      <c r="A4546" s="52" t="s">
        <v>680</v>
      </c>
      <c r="B4546" s="52" t="s">
        <v>73</v>
      </c>
      <c r="C4546" s="52" t="s">
        <v>832</v>
      </c>
      <c r="D4546" s="52" t="s">
        <v>832</v>
      </c>
      <c r="E4546" s="52" t="s">
        <v>584</v>
      </c>
      <c r="F4546" s="52" t="s">
        <v>26</v>
      </c>
      <c r="G4546" s="195" t="s">
        <v>275</v>
      </c>
      <c r="H4546" s="195">
        <v>-6.8493E-3</v>
      </c>
      <c r="I4546" s="195">
        <v>-9.3937199999999998E-2</v>
      </c>
      <c r="J4546" s="195">
        <v>0</v>
      </c>
      <c r="K4546" s="195">
        <v>0</v>
      </c>
      <c r="L4546" s="195">
        <v>0</v>
      </c>
      <c r="M4546" s="195">
        <v>0</v>
      </c>
      <c r="N4546" s="195">
        <v>0</v>
      </c>
    </row>
    <row r="4547" spans="1:14" hidden="1" x14ac:dyDescent="0.35">
      <c r="A4547" s="52" t="s">
        <v>680</v>
      </c>
      <c r="B4547" s="52" t="s">
        <v>73</v>
      </c>
      <c r="C4547" s="52" t="s">
        <v>832</v>
      </c>
      <c r="D4547" s="52" t="s">
        <v>832</v>
      </c>
      <c r="E4547" s="52" t="s">
        <v>584</v>
      </c>
      <c r="F4547" s="52" t="s">
        <v>26</v>
      </c>
      <c r="G4547" s="195" t="s">
        <v>276</v>
      </c>
      <c r="H4547" s="195">
        <v>-6.8284499999999998E-2</v>
      </c>
      <c r="I4547" s="195">
        <v>-0.44890289999999999</v>
      </c>
      <c r="J4547" s="195">
        <v>-5.8960800000000001E-2</v>
      </c>
      <c r="K4547" s="195">
        <v>-4.9791299999999997E-2</v>
      </c>
      <c r="L4547" s="195">
        <v>-4.4670599999999998E-2</v>
      </c>
      <c r="M4547" s="195">
        <v>-9.3399300000000005E-2</v>
      </c>
      <c r="N4547" s="195">
        <v>-0.14233680000000001</v>
      </c>
    </row>
    <row r="4548" spans="1:14" hidden="1" x14ac:dyDescent="0.35">
      <c r="A4548" s="52" t="s">
        <v>680</v>
      </c>
      <c r="B4548" s="52" t="s">
        <v>73</v>
      </c>
      <c r="C4548" s="52" t="s">
        <v>832</v>
      </c>
      <c r="D4548" s="52" t="s">
        <v>832</v>
      </c>
      <c r="E4548" s="52" t="s">
        <v>584</v>
      </c>
      <c r="F4548" s="52" t="s">
        <v>26</v>
      </c>
      <c r="G4548" s="195" t="s">
        <v>277</v>
      </c>
      <c r="H4548" s="195"/>
      <c r="I4548" s="195"/>
      <c r="J4548" s="195"/>
      <c r="K4548" s="195"/>
      <c r="L4548" s="195">
        <v>0</v>
      </c>
      <c r="M4548" s="195">
        <v>1.6314000000000001E-3</v>
      </c>
      <c r="N4548" s="195">
        <v>5.05689E-2</v>
      </c>
    </row>
    <row r="4549" spans="1:14" hidden="1" x14ac:dyDescent="0.35">
      <c r="A4549" s="52" t="s">
        <v>680</v>
      </c>
      <c r="B4549" s="52" t="s">
        <v>73</v>
      </c>
      <c r="C4549" s="52" t="s">
        <v>832</v>
      </c>
      <c r="D4549" s="52" t="s">
        <v>832</v>
      </c>
      <c r="E4549" s="52" t="s">
        <v>584</v>
      </c>
      <c r="F4549" s="52" t="s">
        <v>26</v>
      </c>
      <c r="G4549" s="195" t="s">
        <v>278</v>
      </c>
      <c r="H4549" s="195">
        <v>7.5133790000000006E-2</v>
      </c>
      <c r="I4549" s="195">
        <v>0.54284010000000005</v>
      </c>
      <c r="J4549" s="195">
        <v>5.8960800000000001E-2</v>
      </c>
      <c r="K4549" s="195">
        <v>4.9791299999999997E-2</v>
      </c>
      <c r="L4549" s="195">
        <v>4.4670599999999998E-2</v>
      </c>
      <c r="M4549" s="195">
        <v>9.1767899999999999E-2</v>
      </c>
      <c r="N4549" s="195">
        <v>9.1767899999999999E-2</v>
      </c>
    </row>
    <row r="4550" spans="1:14" hidden="1" x14ac:dyDescent="0.35">
      <c r="A4550" s="52" t="s">
        <v>680</v>
      </c>
      <c r="B4550" s="52" t="s">
        <v>73</v>
      </c>
      <c r="C4550" s="52" t="s">
        <v>832</v>
      </c>
      <c r="D4550" s="52" t="s">
        <v>832</v>
      </c>
      <c r="E4550" s="52" t="s">
        <v>584</v>
      </c>
      <c r="F4550" s="52" t="s">
        <v>26</v>
      </c>
      <c r="G4550" s="195" t="s">
        <v>279</v>
      </c>
      <c r="H4550" s="195"/>
      <c r="I4550" s="195"/>
      <c r="J4550" s="195"/>
      <c r="K4550" s="195"/>
      <c r="L4550" s="195"/>
      <c r="M4550" s="195"/>
      <c r="N4550" s="195">
        <v>0</v>
      </c>
    </row>
    <row r="4551" spans="1:14" hidden="1" x14ac:dyDescent="0.35">
      <c r="A4551" s="52" t="s">
        <v>680</v>
      </c>
      <c r="B4551" s="52" t="s">
        <v>73</v>
      </c>
      <c r="C4551" s="52" t="s">
        <v>830</v>
      </c>
      <c r="D4551" s="52" t="s">
        <v>830</v>
      </c>
      <c r="E4551" s="52" t="s">
        <v>584</v>
      </c>
      <c r="F4551" s="52" t="s">
        <v>581</v>
      </c>
      <c r="G4551" s="195" t="s">
        <v>275</v>
      </c>
      <c r="H4551" s="195">
        <v>-8.9455990000000003E-3</v>
      </c>
      <c r="I4551" s="195">
        <v>-1.801172</v>
      </c>
      <c r="J4551" s="195">
        <v>0</v>
      </c>
      <c r="K4551" s="195">
        <v>0</v>
      </c>
      <c r="L4551" s="195">
        <v>0</v>
      </c>
      <c r="M4551" s="195">
        <v>0</v>
      </c>
      <c r="N4551" s="195">
        <v>0</v>
      </c>
    </row>
    <row r="4552" spans="1:14" hidden="1" x14ac:dyDescent="0.35">
      <c r="A4552" s="52" t="s">
        <v>680</v>
      </c>
      <c r="B4552" s="52" t="s">
        <v>73</v>
      </c>
      <c r="C4552" s="52" t="s">
        <v>830</v>
      </c>
      <c r="D4552" s="52" t="s">
        <v>830</v>
      </c>
      <c r="E4552" s="52" t="s">
        <v>584</v>
      </c>
      <c r="F4552" s="52" t="s">
        <v>581</v>
      </c>
      <c r="G4552" s="195" t="s">
        <v>276</v>
      </c>
      <c r="H4552" s="195">
        <v>-5.5868800000000003E-2</v>
      </c>
      <c r="I4552" s="195">
        <v>-7.6628109999999996</v>
      </c>
      <c r="J4552" s="195">
        <v>-5.0862820000000003E-2</v>
      </c>
      <c r="K4552" s="195">
        <v>-4.2952810000000001E-2</v>
      </c>
      <c r="L4552" s="195">
        <v>-3.8535380000000001E-2</v>
      </c>
      <c r="M4552" s="195">
        <v>-7.9164209999999999E-2</v>
      </c>
      <c r="N4552" s="195">
        <v>-3.5000000000000003E-2</v>
      </c>
    </row>
    <row r="4553" spans="1:14" hidden="1" x14ac:dyDescent="0.35">
      <c r="A4553" s="52" t="s">
        <v>680</v>
      </c>
      <c r="B4553" s="52" t="s">
        <v>73</v>
      </c>
      <c r="C4553" s="52" t="s">
        <v>830</v>
      </c>
      <c r="D4553" s="52" t="s">
        <v>830</v>
      </c>
      <c r="E4553" s="52" t="s">
        <v>584</v>
      </c>
      <c r="F4553" s="52" t="s">
        <v>581</v>
      </c>
      <c r="G4553" s="195" t="s">
        <v>277</v>
      </c>
      <c r="H4553" s="195"/>
      <c r="I4553" s="195"/>
      <c r="J4553" s="195"/>
      <c r="K4553" s="195"/>
      <c r="L4553" s="195"/>
      <c r="M4553" s="195">
        <v>0</v>
      </c>
      <c r="N4553" s="195">
        <v>3.5000000000000003E-2</v>
      </c>
    </row>
    <row r="4554" spans="1:14" hidden="1" x14ac:dyDescent="0.35">
      <c r="A4554" s="52" t="s">
        <v>680</v>
      </c>
      <c r="B4554" s="52" t="s">
        <v>73</v>
      </c>
      <c r="C4554" s="52" t="s">
        <v>830</v>
      </c>
      <c r="D4554" s="52" t="s">
        <v>830</v>
      </c>
      <c r="E4554" s="52" t="s">
        <v>584</v>
      </c>
      <c r="F4554" s="52" t="s">
        <v>581</v>
      </c>
      <c r="G4554" s="195" t="s">
        <v>278</v>
      </c>
      <c r="H4554" s="195">
        <v>6.4814399999999994E-2</v>
      </c>
      <c r="I4554" s="195">
        <v>9.4639830000000007</v>
      </c>
      <c r="J4554" s="195">
        <v>5.08628E-2</v>
      </c>
      <c r="K4554" s="195">
        <v>4.2952600000000001E-2</v>
      </c>
      <c r="L4554" s="195">
        <v>3.8535199999999999E-2</v>
      </c>
      <c r="M4554" s="195">
        <v>7.9163999999999998E-2</v>
      </c>
      <c r="N4554" s="195">
        <v>0</v>
      </c>
    </row>
    <row r="4555" spans="1:14" hidden="1" x14ac:dyDescent="0.35">
      <c r="A4555" s="52" t="s">
        <v>680</v>
      </c>
      <c r="B4555" s="52" t="s">
        <v>73</v>
      </c>
      <c r="C4555" s="52" t="s">
        <v>830</v>
      </c>
      <c r="D4555" s="52" t="s">
        <v>830</v>
      </c>
      <c r="E4555" s="52" t="s">
        <v>584</v>
      </c>
      <c r="F4555" s="52" t="s">
        <v>26</v>
      </c>
      <c r="G4555" s="195" t="s">
        <v>275</v>
      </c>
      <c r="H4555" s="195">
        <v>0</v>
      </c>
      <c r="I4555" s="195"/>
      <c r="J4555" s="195"/>
      <c r="K4555" s="195"/>
      <c r="L4555" s="195">
        <v>0</v>
      </c>
      <c r="M4555" s="195"/>
      <c r="N4555" s="195"/>
    </row>
    <row r="4556" spans="1:14" hidden="1" x14ac:dyDescent="0.35">
      <c r="A4556" s="52" t="s">
        <v>680</v>
      </c>
      <c r="B4556" s="52" t="s">
        <v>73</v>
      </c>
      <c r="C4556" s="52" t="s">
        <v>830</v>
      </c>
      <c r="D4556" s="52" t="s">
        <v>830</v>
      </c>
      <c r="E4556" s="52" t="s">
        <v>584</v>
      </c>
      <c r="F4556" s="52" t="s">
        <v>26</v>
      </c>
      <c r="G4556" s="195" t="s">
        <v>276</v>
      </c>
      <c r="H4556" s="195"/>
      <c r="I4556" s="195"/>
      <c r="J4556" s="195"/>
      <c r="K4556" s="195"/>
      <c r="L4556" s="195">
        <v>0</v>
      </c>
      <c r="M4556" s="195"/>
      <c r="N4556" s="195"/>
    </row>
    <row r="4557" spans="1:14" hidden="1" x14ac:dyDescent="0.35">
      <c r="A4557" s="52" t="s">
        <v>680</v>
      </c>
      <c r="B4557" s="52" t="s">
        <v>73</v>
      </c>
      <c r="C4557" s="52" t="s">
        <v>830</v>
      </c>
      <c r="D4557" s="52" t="s">
        <v>830</v>
      </c>
      <c r="E4557" s="52" t="s">
        <v>584</v>
      </c>
      <c r="F4557" s="52" t="s">
        <v>26</v>
      </c>
      <c r="G4557" s="195" t="s">
        <v>277</v>
      </c>
      <c r="H4557" s="195"/>
      <c r="I4557" s="195"/>
      <c r="J4557" s="195"/>
      <c r="K4557" s="195"/>
      <c r="L4557" s="195"/>
      <c r="M4557" s="195">
        <v>0</v>
      </c>
      <c r="N4557" s="195"/>
    </row>
    <row r="4558" spans="1:14" hidden="1" x14ac:dyDescent="0.35">
      <c r="A4558" s="52" t="s">
        <v>680</v>
      </c>
      <c r="B4558" s="52" t="s">
        <v>73</v>
      </c>
      <c r="C4558" s="52" t="s">
        <v>830</v>
      </c>
      <c r="D4558" s="52" t="s">
        <v>830</v>
      </c>
      <c r="E4558" s="52" t="s">
        <v>584</v>
      </c>
      <c r="F4558" s="52" t="s">
        <v>26</v>
      </c>
      <c r="G4558" s="195" t="s">
        <v>278</v>
      </c>
      <c r="H4558" s="195">
        <v>0</v>
      </c>
      <c r="I4558" s="195"/>
      <c r="J4558" s="195">
        <v>0</v>
      </c>
      <c r="K4558" s="195"/>
      <c r="L4558" s="195"/>
      <c r="M4558" s="195"/>
      <c r="N4558" s="195">
        <v>0</v>
      </c>
    </row>
    <row r="4559" spans="1:14" hidden="1" x14ac:dyDescent="0.35">
      <c r="A4559" s="52" t="s">
        <v>680</v>
      </c>
      <c r="B4559" s="52" t="s">
        <v>73</v>
      </c>
      <c r="C4559" s="52" t="s">
        <v>344</v>
      </c>
      <c r="D4559" s="52" t="s">
        <v>344</v>
      </c>
      <c r="E4559" s="52" t="s">
        <v>584</v>
      </c>
      <c r="F4559" s="52" t="s">
        <v>581</v>
      </c>
      <c r="G4559" s="195" t="s">
        <v>275</v>
      </c>
      <c r="H4559" s="195">
        <v>-2.28481E-2</v>
      </c>
      <c r="I4559" s="195">
        <v>-7.5786999999999998E-3</v>
      </c>
      <c r="J4559" s="195">
        <v>0</v>
      </c>
      <c r="K4559" s="195">
        <v>0</v>
      </c>
      <c r="L4559" s="195">
        <v>0</v>
      </c>
      <c r="M4559" s="195">
        <v>0</v>
      </c>
      <c r="N4559" s="195">
        <v>0</v>
      </c>
    </row>
    <row r="4560" spans="1:14" hidden="1" x14ac:dyDescent="0.35">
      <c r="A4560" s="52" t="s">
        <v>680</v>
      </c>
      <c r="B4560" s="52" t="s">
        <v>73</v>
      </c>
      <c r="C4560" s="52" t="s">
        <v>344</v>
      </c>
      <c r="D4560" s="52" t="s">
        <v>344</v>
      </c>
      <c r="E4560" s="52" t="s">
        <v>584</v>
      </c>
      <c r="F4560" s="52" t="s">
        <v>581</v>
      </c>
      <c r="G4560" s="195" t="s">
        <v>276</v>
      </c>
      <c r="H4560" s="195">
        <v>-0.13736699999999999</v>
      </c>
      <c r="I4560" s="195">
        <v>-9.70834E-2</v>
      </c>
      <c r="J4560" s="195">
        <v>-2.950898</v>
      </c>
      <c r="K4560" s="195">
        <v>-3.3360110000000001</v>
      </c>
      <c r="L4560" s="195">
        <v>-9.5255290000000006E-2</v>
      </c>
      <c r="M4560" s="195">
        <v>-0.19568720000000001</v>
      </c>
      <c r="N4560" s="195">
        <v>-0.22718579999999999</v>
      </c>
    </row>
    <row r="4561" spans="1:14" hidden="1" x14ac:dyDescent="0.35">
      <c r="A4561" s="52" t="s">
        <v>680</v>
      </c>
      <c r="B4561" s="52" t="s">
        <v>73</v>
      </c>
      <c r="C4561" s="52" t="s">
        <v>344</v>
      </c>
      <c r="D4561" s="52" t="s">
        <v>344</v>
      </c>
      <c r="E4561" s="52" t="s">
        <v>584</v>
      </c>
      <c r="F4561" s="52" t="s">
        <v>581</v>
      </c>
      <c r="G4561" s="195" t="s">
        <v>277</v>
      </c>
      <c r="H4561" s="195"/>
      <c r="I4561" s="195"/>
      <c r="J4561" s="195"/>
      <c r="K4561" s="195"/>
      <c r="L4561" s="195"/>
      <c r="M4561" s="195">
        <v>0</v>
      </c>
      <c r="N4561" s="195">
        <v>3.15E-2</v>
      </c>
    </row>
    <row r="4562" spans="1:14" hidden="1" x14ac:dyDescent="0.35">
      <c r="A4562" s="52" t="s">
        <v>680</v>
      </c>
      <c r="B4562" s="52" t="s">
        <v>73</v>
      </c>
      <c r="C4562" s="52" t="s">
        <v>344</v>
      </c>
      <c r="D4562" s="52" t="s">
        <v>344</v>
      </c>
      <c r="E4562" s="52" t="s">
        <v>584</v>
      </c>
      <c r="F4562" s="52" t="s">
        <v>581</v>
      </c>
      <c r="G4562" s="195" t="s">
        <v>278</v>
      </c>
      <c r="H4562" s="195">
        <v>0.1602151</v>
      </c>
      <c r="I4562" s="195">
        <v>0.10466209999999999</v>
      </c>
      <c r="J4562" s="195">
        <v>2.9508960000000002</v>
      </c>
      <c r="K4562" s="195">
        <v>3.3360099999999999</v>
      </c>
      <c r="L4562" s="195">
        <v>9.5255300000000001E-2</v>
      </c>
      <c r="M4562" s="195">
        <v>0.19568669999999999</v>
      </c>
      <c r="N4562" s="195">
        <v>0.19568669999999999</v>
      </c>
    </row>
    <row r="4563" spans="1:14" hidden="1" x14ac:dyDescent="0.35">
      <c r="A4563" s="52" t="s">
        <v>680</v>
      </c>
      <c r="B4563" s="52" t="s">
        <v>73</v>
      </c>
      <c r="C4563" s="52" t="s">
        <v>87</v>
      </c>
      <c r="D4563" s="52" t="s">
        <v>833</v>
      </c>
      <c r="E4563" s="52" t="s">
        <v>584</v>
      </c>
      <c r="F4563" s="52" t="s">
        <v>581</v>
      </c>
      <c r="G4563" s="195" t="s">
        <v>275</v>
      </c>
      <c r="H4563" s="195">
        <v>-6.0502719999999997</v>
      </c>
      <c r="I4563" s="195">
        <v>1.2473190000000001</v>
      </c>
      <c r="J4563" s="195">
        <v>1.379076</v>
      </c>
      <c r="K4563" s="195">
        <v>1.379413</v>
      </c>
      <c r="L4563" s="195">
        <v>1.39816E-2</v>
      </c>
      <c r="M4563" s="195">
        <v>-1.42016E-2</v>
      </c>
      <c r="N4563" s="195">
        <v>-1.2949199999999999E-2</v>
      </c>
    </row>
    <row r="4564" spans="1:14" hidden="1" x14ac:dyDescent="0.35">
      <c r="A4564" s="52" t="s">
        <v>680</v>
      </c>
      <c r="B4564" s="52" t="s">
        <v>73</v>
      </c>
      <c r="C4564" s="52" t="s">
        <v>87</v>
      </c>
      <c r="D4564" s="52" t="s">
        <v>833</v>
      </c>
      <c r="E4564" s="52" t="s">
        <v>584</v>
      </c>
      <c r="F4564" s="52" t="s">
        <v>581</v>
      </c>
      <c r="G4564" s="195" t="s">
        <v>276</v>
      </c>
      <c r="H4564" s="195">
        <v>-27.71171</v>
      </c>
      <c r="I4564" s="195">
        <v>-1.9286049999999999</v>
      </c>
      <c r="J4564" s="195">
        <v>-3.2708689999999998</v>
      </c>
      <c r="K4564" s="195">
        <v>-1.453635</v>
      </c>
      <c r="L4564" s="195">
        <v>-8.63704E-2</v>
      </c>
      <c r="M4564" s="195">
        <v>-0.13056799999999999</v>
      </c>
      <c r="N4564" s="195">
        <v>-0.2420204</v>
      </c>
    </row>
    <row r="4565" spans="1:14" hidden="1" x14ac:dyDescent="0.35">
      <c r="A4565" s="52" t="s">
        <v>680</v>
      </c>
      <c r="B4565" s="52" t="s">
        <v>73</v>
      </c>
      <c r="C4565" s="52" t="s">
        <v>87</v>
      </c>
      <c r="D4565" s="52" t="s">
        <v>833</v>
      </c>
      <c r="E4565" s="52" t="s">
        <v>584</v>
      </c>
      <c r="F4565" s="52" t="s">
        <v>581</v>
      </c>
      <c r="G4565" s="195" t="s">
        <v>277</v>
      </c>
      <c r="H4565" s="195"/>
      <c r="I4565" s="195"/>
      <c r="J4565" s="195"/>
      <c r="K4565" s="195">
        <v>0</v>
      </c>
      <c r="L4565" s="195">
        <v>5.7999999999999996E-3</v>
      </c>
      <c r="M4565" s="195">
        <v>7.9752E-3</v>
      </c>
      <c r="N4565" s="195">
        <v>0.11817519999999999</v>
      </c>
    </row>
    <row r="4566" spans="1:14" hidden="1" x14ac:dyDescent="0.35">
      <c r="A4566" s="52" t="s">
        <v>680</v>
      </c>
      <c r="B4566" s="52" t="s">
        <v>73</v>
      </c>
      <c r="C4566" s="52" t="s">
        <v>87</v>
      </c>
      <c r="D4566" s="52" t="s">
        <v>833</v>
      </c>
      <c r="E4566" s="52" t="s">
        <v>584</v>
      </c>
      <c r="F4566" s="52" t="s">
        <v>581</v>
      </c>
      <c r="G4566" s="195" t="s">
        <v>278</v>
      </c>
      <c r="H4566" s="195">
        <v>33.761980000000001</v>
      </c>
      <c r="I4566" s="195">
        <v>0.68128599999999995</v>
      </c>
      <c r="J4566" s="195">
        <v>1.8917930000000001</v>
      </c>
      <c r="K4566" s="195">
        <v>7.4221999999999996E-2</v>
      </c>
      <c r="L4566" s="195">
        <v>6.6588800000000004E-2</v>
      </c>
      <c r="M4566" s="195">
        <v>0.136795</v>
      </c>
      <c r="N4566" s="195">
        <v>0.136795</v>
      </c>
    </row>
    <row r="4567" spans="1:14" hidden="1" x14ac:dyDescent="0.35">
      <c r="A4567" s="52" t="s">
        <v>680</v>
      </c>
      <c r="B4567" s="52" t="s">
        <v>73</v>
      </c>
      <c r="C4567" s="52" t="s">
        <v>87</v>
      </c>
      <c r="D4567" s="52" t="s">
        <v>833</v>
      </c>
      <c r="E4567" s="52" t="s">
        <v>584</v>
      </c>
      <c r="F4567" s="52" t="s">
        <v>581</v>
      </c>
      <c r="G4567" s="195" t="s">
        <v>279</v>
      </c>
      <c r="H4567" s="195"/>
      <c r="I4567" s="195"/>
      <c r="J4567" s="195"/>
      <c r="K4567" s="195"/>
      <c r="L4567" s="195"/>
      <c r="M4567" s="195"/>
      <c r="N4567" s="195">
        <v>0</v>
      </c>
    </row>
    <row r="4568" spans="1:14" hidden="1" x14ac:dyDescent="0.35">
      <c r="A4568" s="52" t="s">
        <v>680</v>
      </c>
      <c r="B4568" s="52" t="s">
        <v>73</v>
      </c>
      <c r="C4568" s="52" t="s">
        <v>87</v>
      </c>
      <c r="D4568" s="52" t="s">
        <v>833</v>
      </c>
      <c r="E4568" s="52" t="s">
        <v>584</v>
      </c>
      <c r="F4568" s="52" t="s">
        <v>26</v>
      </c>
      <c r="G4568" s="195" t="s">
        <v>275</v>
      </c>
      <c r="H4568" s="195"/>
      <c r="I4568" s="195"/>
      <c r="J4568" s="195"/>
      <c r="K4568" s="195"/>
      <c r="L4568" s="195"/>
      <c r="M4568" s="195"/>
      <c r="N4568" s="195">
        <v>0</v>
      </c>
    </row>
    <row r="4569" spans="1:14" hidden="1" x14ac:dyDescent="0.35">
      <c r="A4569" s="52" t="s">
        <v>680</v>
      </c>
      <c r="B4569" s="52" t="s">
        <v>73</v>
      </c>
      <c r="C4569" s="52" t="s">
        <v>87</v>
      </c>
      <c r="D4569" s="52" t="s">
        <v>833</v>
      </c>
      <c r="E4569" s="52" t="s">
        <v>584</v>
      </c>
      <c r="F4569" s="52" t="s">
        <v>26</v>
      </c>
      <c r="G4569" s="195" t="s">
        <v>276</v>
      </c>
      <c r="H4569" s="195"/>
      <c r="I4569" s="195"/>
      <c r="J4569" s="195"/>
      <c r="K4569" s="195"/>
      <c r="L4569" s="195"/>
      <c r="M4569" s="195"/>
      <c r="N4569" s="195">
        <v>0</v>
      </c>
    </row>
    <row r="4570" spans="1:14" hidden="1" x14ac:dyDescent="0.35">
      <c r="A4570" s="52" t="s">
        <v>680</v>
      </c>
      <c r="B4570" s="52" t="s">
        <v>73</v>
      </c>
      <c r="C4570" s="52" t="s">
        <v>87</v>
      </c>
      <c r="D4570" s="52" t="s">
        <v>833</v>
      </c>
      <c r="E4570" s="52" t="s">
        <v>584</v>
      </c>
      <c r="F4570" s="52" t="s">
        <v>26</v>
      </c>
      <c r="G4570" s="195" t="s">
        <v>279</v>
      </c>
      <c r="H4570" s="195"/>
      <c r="I4570" s="195"/>
      <c r="J4570" s="195"/>
      <c r="K4570" s="195"/>
      <c r="L4570" s="195"/>
      <c r="M4570" s="195"/>
      <c r="N4570" s="195">
        <v>0</v>
      </c>
    </row>
    <row r="4571" spans="1:14" hidden="1" x14ac:dyDescent="0.35">
      <c r="A4571" s="52" t="s">
        <v>680</v>
      </c>
      <c r="B4571" s="52" t="s">
        <v>73</v>
      </c>
      <c r="C4571" s="52" t="s">
        <v>262</v>
      </c>
      <c r="D4571" s="52" t="s">
        <v>389</v>
      </c>
      <c r="E4571" s="52" t="s">
        <v>584</v>
      </c>
      <c r="F4571" s="52" t="s">
        <v>581</v>
      </c>
      <c r="G4571" s="195" t="s">
        <v>275</v>
      </c>
      <c r="H4571" s="195">
        <v>-3.7823000000000002E-2</v>
      </c>
      <c r="I4571" s="195">
        <v>-3.8080430000000001</v>
      </c>
      <c r="J4571" s="195">
        <v>0</v>
      </c>
      <c r="K4571" s="195">
        <v>0</v>
      </c>
      <c r="L4571" s="195">
        <v>0</v>
      </c>
      <c r="M4571" s="195">
        <v>0</v>
      </c>
      <c r="N4571" s="195">
        <v>0</v>
      </c>
    </row>
    <row r="4572" spans="1:14" hidden="1" x14ac:dyDescent="0.35">
      <c r="A4572" s="52" t="s">
        <v>680</v>
      </c>
      <c r="B4572" s="52" t="s">
        <v>73</v>
      </c>
      <c r="C4572" s="52" t="s">
        <v>262</v>
      </c>
      <c r="D4572" s="52" t="s">
        <v>389</v>
      </c>
      <c r="E4572" s="52" t="s">
        <v>584</v>
      </c>
      <c r="F4572" s="52" t="s">
        <v>581</v>
      </c>
      <c r="G4572" s="195" t="s">
        <v>276</v>
      </c>
      <c r="H4572" s="195">
        <v>-0.17296</v>
      </c>
      <c r="I4572" s="195">
        <v>-16.186679999999999</v>
      </c>
      <c r="J4572" s="195">
        <v>-0.16541049999999999</v>
      </c>
      <c r="K4572" s="195">
        <v>-0.2121865</v>
      </c>
      <c r="L4572" s="195">
        <v>-1.6478200000000001</v>
      </c>
      <c r="M4572" s="195">
        <v>-0.37147609999999998</v>
      </c>
      <c r="N4572" s="195">
        <v>-0.1140275</v>
      </c>
    </row>
    <row r="4573" spans="1:14" hidden="1" x14ac:dyDescent="0.35">
      <c r="A4573" s="52" t="s">
        <v>680</v>
      </c>
      <c r="B4573" s="52" t="s">
        <v>73</v>
      </c>
      <c r="C4573" s="52" t="s">
        <v>262</v>
      </c>
      <c r="D4573" s="52" t="s">
        <v>389</v>
      </c>
      <c r="E4573" s="52" t="s">
        <v>584</v>
      </c>
      <c r="F4573" s="52" t="s">
        <v>581</v>
      </c>
      <c r="G4573" s="195" t="s">
        <v>277</v>
      </c>
      <c r="H4573" s="195"/>
      <c r="I4573" s="195"/>
      <c r="J4573" s="195">
        <v>0</v>
      </c>
      <c r="K4573" s="195">
        <v>7.2500010000000004E-2</v>
      </c>
      <c r="L4573" s="195">
        <v>1.5225</v>
      </c>
      <c r="M4573" s="195">
        <v>0</v>
      </c>
      <c r="N4573" s="195">
        <v>0</v>
      </c>
    </row>
    <row r="4574" spans="1:14" hidden="1" x14ac:dyDescent="0.35">
      <c r="A4574" s="52" t="s">
        <v>680</v>
      </c>
      <c r="B4574" s="52" t="s">
        <v>73</v>
      </c>
      <c r="C4574" s="52" t="s">
        <v>262</v>
      </c>
      <c r="D4574" s="52" t="s">
        <v>389</v>
      </c>
      <c r="E4574" s="52" t="s">
        <v>584</v>
      </c>
      <c r="F4574" s="52" t="s">
        <v>581</v>
      </c>
      <c r="G4574" s="195" t="s">
        <v>278</v>
      </c>
      <c r="H4574" s="195">
        <v>0.210783</v>
      </c>
      <c r="I4574" s="195">
        <v>19.994720000000001</v>
      </c>
      <c r="J4574" s="195">
        <v>0.165411</v>
      </c>
      <c r="K4574" s="195">
        <v>0.13968649999999999</v>
      </c>
      <c r="L4574" s="195">
        <v>0.1253205</v>
      </c>
      <c r="M4574" s="195">
        <v>0.2574495</v>
      </c>
      <c r="N4574" s="195">
        <v>0</v>
      </c>
    </row>
    <row r="4575" spans="1:14" hidden="1" x14ac:dyDescent="0.35">
      <c r="A4575" s="52" t="s">
        <v>680</v>
      </c>
      <c r="B4575" s="52" t="s">
        <v>73</v>
      </c>
      <c r="C4575" s="52" t="s">
        <v>262</v>
      </c>
      <c r="D4575" s="52" t="s">
        <v>389</v>
      </c>
      <c r="E4575" s="52" t="s">
        <v>584</v>
      </c>
      <c r="F4575" s="52" t="s">
        <v>581</v>
      </c>
      <c r="G4575" s="195" t="s">
        <v>279</v>
      </c>
      <c r="H4575" s="195"/>
      <c r="I4575" s="195"/>
      <c r="J4575" s="195"/>
      <c r="K4575" s="195"/>
      <c r="L4575" s="195">
        <v>0</v>
      </c>
      <c r="M4575" s="195">
        <v>0.114028</v>
      </c>
      <c r="N4575" s="195">
        <v>0.1140275</v>
      </c>
    </row>
    <row r="4576" spans="1:14" hidden="1" x14ac:dyDescent="0.35">
      <c r="A4576" s="52" t="s">
        <v>680</v>
      </c>
      <c r="B4576" s="52" t="s">
        <v>73</v>
      </c>
      <c r="C4576" s="52" t="s">
        <v>262</v>
      </c>
      <c r="D4576" s="52" t="s">
        <v>389</v>
      </c>
      <c r="E4576" s="52" t="s">
        <v>584</v>
      </c>
      <c r="F4576" s="52" t="s">
        <v>26</v>
      </c>
      <c r="G4576" s="195" t="s">
        <v>275</v>
      </c>
      <c r="H4576" s="195"/>
      <c r="I4576" s="195"/>
      <c r="J4576" s="195"/>
      <c r="K4576" s="195"/>
      <c r="L4576" s="195">
        <v>0</v>
      </c>
      <c r="M4576" s="195">
        <v>0</v>
      </c>
      <c r="N4576" s="195">
        <v>0</v>
      </c>
    </row>
    <row r="4577" spans="1:14" hidden="1" x14ac:dyDescent="0.35">
      <c r="A4577" s="52" t="s">
        <v>680</v>
      </c>
      <c r="B4577" s="52" t="s">
        <v>73</v>
      </c>
      <c r="C4577" s="52" t="s">
        <v>262</v>
      </c>
      <c r="D4577" s="52" t="s">
        <v>389</v>
      </c>
      <c r="E4577" s="52" t="s">
        <v>584</v>
      </c>
      <c r="F4577" s="52" t="s">
        <v>26</v>
      </c>
      <c r="G4577" s="195" t="s">
        <v>276</v>
      </c>
      <c r="H4577" s="195"/>
      <c r="I4577" s="195"/>
      <c r="J4577" s="195"/>
      <c r="K4577" s="195"/>
      <c r="L4577" s="195">
        <v>0</v>
      </c>
      <c r="M4577" s="195">
        <v>-8.6405000000000006E-3</v>
      </c>
      <c r="N4577" s="195">
        <v>-8.6405000000000006E-3</v>
      </c>
    </row>
    <row r="4578" spans="1:14" hidden="1" x14ac:dyDescent="0.35">
      <c r="A4578" s="52" t="s">
        <v>680</v>
      </c>
      <c r="B4578" s="52" t="s">
        <v>73</v>
      </c>
      <c r="C4578" s="52" t="s">
        <v>262</v>
      </c>
      <c r="D4578" s="52" t="s">
        <v>389</v>
      </c>
      <c r="E4578" s="52" t="s">
        <v>584</v>
      </c>
      <c r="F4578" s="52" t="s">
        <v>26</v>
      </c>
      <c r="G4578" s="195" t="s">
        <v>277</v>
      </c>
      <c r="H4578" s="195"/>
      <c r="I4578" s="195"/>
      <c r="J4578" s="195"/>
      <c r="K4578" s="195"/>
      <c r="L4578" s="195"/>
      <c r="M4578" s="195"/>
      <c r="N4578" s="195">
        <v>0</v>
      </c>
    </row>
    <row r="4579" spans="1:14" hidden="1" x14ac:dyDescent="0.35">
      <c r="A4579" s="52" t="s">
        <v>680</v>
      </c>
      <c r="B4579" s="52" t="s">
        <v>73</v>
      </c>
      <c r="C4579" s="52" t="s">
        <v>262</v>
      </c>
      <c r="D4579" s="52" t="s">
        <v>389</v>
      </c>
      <c r="E4579" s="52" t="s">
        <v>584</v>
      </c>
      <c r="F4579" s="52" t="s">
        <v>26</v>
      </c>
      <c r="G4579" s="195" t="s">
        <v>279</v>
      </c>
      <c r="H4579" s="195"/>
      <c r="I4579" s="195"/>
      <c r="J4579" s="195"/>
      <c r="K4579" s="195"/>
      <c r="L4579" s="195">
        <v>0</v>
      </c>
      <c r="M4579" s="195">
        <v>8.6405000000000006E-3</v>
      </c>
      <c r="N4579" s="195">
        <v>8.6405000000000006E-3</v>
      </c>
    </row>
    <row r="4580" spans="1:14" hidden="1" x14ac:dyDescent="0.35">
      <c r="A4580" s="52" t="s">
        <v>680</v>
      </c>
      <c r="B4580" s="52" t="s">
        <v>73</v>
      </c>
      <c r="C4580" s="52" t="s">
        <v>155</v>
      </c>
      <c r="D4580" s="52" t="s">
        <v>358</v>
      </c>
      <c r="E4580" s="52" t="s">
        <v>584</v>
      </c>
      <c r="F4580" s="52" t="s">
        <v>581</v>
      </c>
      <c r="G4580" s="195" t="s">
        <v>275</v>
      </c>
      <c r="H4580" s="195">
        <v>19.561199999999999</v>
      </c>
      <c r="I4580" s="195">
        <v>-1.71488</v>
      </c>
      <c r="J4580" s="195">
        <v>0</v>
      </c>
      <c r="K4580" s="195">
        <v>0</v>
      </c>
      <c r="L4580" s="195">
        <v>0</v>
      </c>
      <c r="M4580" s="195">
        <v>0</v>
      </c>
      <c r="N4580" s="195">
        <v>0</v>
      </c>
    </row>
    <row r="4581" spans="1:14" hidden="1" x14ac:dyDescent="0.35">
      <c r="A4581" s="52" t="s">
        <v>680</v>
      </c>
      <c r="B4581" s="52" t="s">
        <v>73</v>
      </c>
      <c r="C4581" s="52" t="s">
        <v>155</v>
      </c>
      <c r="D4581" s="52" t="s">
        <v>358</v>
      </c>
      <c r="E4581" s="52" t="s">
        <v>584</v>
      </c>
      <c r="F4581" s="52" t="s">
        <v>581</v>
      </c>
      <c r="G4581" s="195" t="s">
        <v>276</v>
      </c>
      <c r="H4581" s="195">
        <v>-72.896990000000002</v>
      </c>
      <c r="I4581" s="195">
        <v>-42.86036</v>
      </c>
      <c r="J4581" s="195">
        <v>-2.4222960000000002E-2</v>
      </c>
      <c r="K4581" s="195">
        <v>-2.5632599999999998E-2</v>
      </c>
      <c r="L4581" s="195">
        <v>-0.12705830000000001</v>
      </c>
      <c r="M4581" s="195">
        <v>-0.1188187</v>
      </c>
      <c r="N4581" s="195">
        <v>-0.33201649999999999</v>
      </c>
    </row>
    <row r="4582" spans="1:14" hidden="1" x14ac:dyDescent="0.35">
      <c r="A4582" s="52" t="s">
        <v>680</v>
      </c>
      <c r="B4582" s="52" t="s">
        <v>73</v>
      </c>
      <c r="C4582" s="52" t="s">
        <v>155</v>
      </c>
      <c r="D4582" s="52" t="s">
        <v>358</v>
      </c>
      <c r="E4582" s="52" t="s">
        <v>584</v>
      </c>
      <c r="F4582" s="52" t="s">
        <v>581</v>
      </c>
      <c r="G4582" s="195" t="s">
        <v>277</v>
      </c>
      <c r="H4582" s="195">
        <v>0.61494930000000003</v>
      </c>
      <c r="I4582" s="195">
        <v>0.35700009999999999</v>
      </c>
      <c r="J4582" s="195">
        <v>0</v>
      </c>
      <c r="K4582" s="195">
        <v>5.1764999999999997E-3</v>
      </c>
      <c r="L4582" s="195">
        <v>0.1087065</v>
      </c>
      <c r="M4582" s="195">
        <v>8.0748500000000001E-2</v>
      </c>
      <c r="N4582" s="195"/>
    </row>
    <row r="4583" spans="1:14" hidden="1" x14ac:dyDescent="0.35">
      <c r="A4583" s="52" t="s">
        <v>680</v>
      </c>
      <c r="B4583" s="52" t="s">
        <v>73</v>
      </c>
      <c r="C4583" s="52" t="s">
        <v>155</v>
      </c>
      <c r="D4583" s="52" t="s">
        <v>358</v>
      </c>
      <c r="E4583" s="52" t="s">
        <v>584</v>
      </c>
      <c r="F4583" s="52" t="s">
        <v>581</v>
      </c>
      <c r="G4583" s="195" t="s">
        <v>278</v>
      </c>
      <c r="H4583" s="195">
        <v>3.0866729999999998E-2</v>
      </c>
      <c r="I4583" s="195">
        <v>2.016387E-2</v>
      </c>
      <c r="J4583" s="195">
        <v>2.422245E-2</v>
      </c>
      <c r="K4583" s="195">
        <v>2.0455589999999999E-2</v>
      </c>
      <c r="L4583" s="195">
        <v>1.8351840000000001E-2</v>
      </c>
      <c r="M4583" s="195">
        <v>3.7700730000000002E-2</v>
      </c>
      <c r="N4583" s="195">
        <v>0</v>
      </c>
    </row>
    <row r="4584" spans="1:14" hidden="1" x14ac:dyDescent="0.35">
      <c r="A4584" s="52" t="s">
        <v>680</v>
      </c>
      <c r="B4584" s="52" t="s">
        <v>73</v>
      </c>
      <c r="C4584" s="52" t="s">
        <v>155</v>
      </c>
      <c r="D4584" s="52" t="s">
        <v>358</v>
      </c>
      <c r="E4584" s="52" t="s">
        <v>584</v>
      </c>
      <c r="F4584" s="52" t="s">
        <v>581</v>
      </c>
      <c r="G4584" s="195" t="s">
        <v>279</v>
      </c>
      <c r="H4584" s="195">
        <v>52.689979999999998</v>
      </c>
      <c r="I4584" s="195">
        <v>44.198070000000001</v>
      </c>
      <c r="J4584" s="195">
        <v>0</v>
      </c>
      <c r="K4584" s="195"/>
      <c r="L4584" s="195">
        <v>0</v>
      </c>
      <c r="M4584" s="195">
        <v>3.6975000000000002E-4</v>
      </c>
      <c r="N4584" s="195">
        <v>3.6924000000000001E-4</v>
      </c>
    </row>
    <row r="4585" spans="1:14" hidden="1" x14ac:dyDescent="0.35">
      <c r="A4585" s="52" t="s">
        <v>680</v>
      </c>
      <c r="B4585" s="52" t="s">
        <v>73</v>
      </c>
      <c r="C4585" s="52" t="s">
        <v>155</v>
      </c>
      <c r="D4585" s="52" t="s">
        <v>358</v>
      </c>
      <c r="E4585" s="52" t="s">
        <v>584</v>
      </c>
      <c r="F4585" s="52" t="s">
        <v>26</v>
      </c>
      <c r="G4585" s="195" t="s">
        <v>275</v>
      </c>
      <c r="H4585" s="195"/>
      <c r="I4585" s="195"/>
      <c r="J4585" s="195"/>
      <c r="K4585" s="195"/>
      <c r="L4585" s="195">
        <v>0</v>
      </c>
      <c r="M4585" s="195">
        <v>0</v>
      </c>
      <c r="N4585" s="195">
        <v>0</v>
      </c>
    </row>
    <row r="4586" spans="1:14" hidden="1" x14ac:dyDescent="0.35">
      <c r="A4586" s="52" t="s">
        <v>680</v>
      </c>
      <c r="B4586" s="52" t="s">
        <v>73</v>
      </c>
      <c r="C4586" s="52" t="s">
        <v>155</v>
      </c>
      <c r="D4586" s="52" t="s">
        <v>358</v>
      </c>
      <c r="E4586" s="52" t="s">
        <v>584</v>
      </c>
      <c r="F4586" s="52" t="s">
        <v>26</v>
      </c>
      <c r="G4586" s="195" t="s">
        <v>276</v>
      </c>
      <c r="H4586" s="195"/>
      <c r="I4586" s="195"/>
      <c r="J4586" s="195"/>
      <c r="K4586" s="195"/>
      <c r="L4586" s="195">
        <v>0</v>
      </c>
      <c r="M4586" s="195">
        <v>-2.2205909999999999E-2</v>
      </c>
      <c r="N4586" s="195">
        <v>-9.804475E-2</v>
      </c>
    </row>
    <row r="4587" spans="1:14" hidden="1" x14ac:dyDescent="0.35">
      <c r="A4587" s="52" t="s">
        <v>680</v>
      </c>
      <c r="B4587" s="52" t="s">
        <v>73</v>
      </c>
      <c r="C4587" s="52" t="s">
        <v>155</v>
      </c>
      <c r="D4587" s="52" t="s">
        <v>358</v>
      </c>
      <c r="E4587" s="52" t="s">
        <v>584</v>
      </c>
      <c r="F4587" s="52" t="s">
        <v>26</v>
      </c>
      <c r="G4587" s="195" t="s">
        <v>277</v>
      </c>
      <c r="H4587" s="195"/>
      <c r="I4587" s="195"/>
      <c r="J4587" s="195"/>
      <c r="K4587" s="195"/>
      <c r="L4587" s="195">
        <v>0</v>
      </c>
      <c r="M4587" s="195"/>
      <c r="N4587" s="195"/>
    </row>
    <row r="4588" spans="1:14" hidden="1" x14ac:dyDescent="0.35">
      <c r="A4588" s="52" t="s">
        <v>680</v>
      </c>
      <c r="B4588" s="52" t="s">
        <v>73</v>
      </c>
      <c r="C4588" s="52" t="s">
        <v>155</v>
      </c>
      <c r="D4588" s="52" t="s">
        <v>358</v>
      </c>
      <c r="E4588" s="52" t="s">
        <v>584</v>
      </c>
      <c r="F4588" s="52" t="s">
        <v>26</v>
      </c>
      <c r="G4588" s="195" t="s">
        <v>279</v>
      </c>
      <c r="H4588" s="195"/>
      <c r="I4588" s="195"/>
      <c r="J4588" s="195"/>
      <c r="K4588" s="195"/>
      <c r="L4588" s="195">
        <v>0</v>
      </c>
      <c r="M4588" s="195">
        <v>1.6982999999999999E-4</v>
      </c>
      <c r="N4588" s="195">
        <v>1.7034E-4</v>
      </c>
    </row>
    <row r="4589" spans="1:14" hidden="1" x14ac:dyDescent="0.35">
      <c r="A4589" s="52" t="s">
        <v>680</v>
      </c>
      <c r="B4589" s="52" t="s">
        <v>280</v>
      </c>
      <c r="C4589" s="52" t="s">
        <v>716</v>
      </c>
      <c r="D4589" s="52" t="s">
        <v>716</v>
      </c>
      <c r="E4589" s="52" t="s">
        <v>584</v>
      </c>
      <c r="F4589" s="52" t="s">
        <v>26</v>
      </c>
      <c r="G4589" s="195" t="s">
        <v>275</v>
      </c>
      <c r="H4589" s="195">
        <v>-5.5193989999999998E-2</v>
      </c>
      <c r="I4589" s="195">
        <v>-5.5194010000000002E-2</v>
      </c>
      <c r="J4589" s="195">
        <v>0</v>
      </c>
      <c r="K4589" s="195">
        <v>0</v>
      </c>
      <c r="L4589" s="195">
        <v>0</v>
      </c>
      <c r="M4589" s="195">
        <v>0</v>
      </c>
      <c r="N4589" s="195">
        <v>0</v>
      </c>
    </row>
    <row r="4590" spans="1:14" hidden="1" x14ac:dyDescent="0.35">
      <c r="A4590" s="52" t="s">
        <v>680</v>
      </c>
      <c r="B4590" s="52" t="s">
        <v>280</v>
      </c>
      <c r="C4590" s="52" t="s">
        <v>716</v>
      </c>
      <c r="D4590" s="52" t="s">
        <v>716</v>
      </c>
      <c r="E4590" s="52" t="s">
        <v>584</v>
      </c>
      <c r="F4590" s="52" t="s">
        <v>26</v>
      </c>
      <c r="G4590" s="195" t="s">
        <v>276</v>
      </c>
      <c r="H4590" s="195"/>
      <c r="I4590" s="195"/>
      <c r="J4590" s="195">
        <v>-5.5193989999999998E-2</v>
      </c>
      <c r="K4590" s="195">
        <v>-5.5193989999999998E-2</v>
      </c>
      <c r="L4590" s="195">
        <v>-0.776173</v>
      </c>
      <c r="M4590" s="195">
        <v>-5.5194010000000002E-2</v>
      </c>
      <c r="N4590" s="195">
        <v>-5.5193989999999998E-2</v>
      </c>
    </row>
    <row r="4591" spans="1:14" hidden="1" x14ac:dyDescent="0.35">
      <c r="A4591" s="52" t="s">
        <v>680</v>
      </c>
      <c r="B4591" s="52" t="s">
        <v>280</v>
      </c>
      <c r="C4591" s="52" t="s">
        <v>716</v>
      </c>
      <c r="D4591" s="52" t="s">
        <v>716</v>
      </c>
      <c r="E4591" s="52" t="s">
        <v>584</v>
      </c>
      <c r="F4591" s="52" t="s">
        <v>26</v>
      </c>
      <c r="G4591" s="195" t="s">
        <v>277</v>
      </c>
      <c r="H4591" s="195"/>
      <c r="I4591" s="195"/>
      <c r="J4591" s="195"/>
      <c r="K4591" s="195"/>
      <c r="L4591" s="195"/>
      <c r="M4591" s="195"/>
      <c r="N4591" s="195">
        <v>0</v>
      </c>
    </row>
    <row r="4592" spans="1:14" hidden="1" x14ac:dyDescent="0.35">
      <c r="A4592" s="52" t="s">
        <v>680</v>
      </c>
      <c r="B4592" s="52" t="s">
        <v>280</v>
      </c>
      <c r="C4592" s="52" t="s">
        <v>716</v>
      </c>
      <c r="D4592" s="52" t="s">
        <v>716</v>
      </c>
      <c r="E4592" s="52" t="s">
        <v>584</v>
      </c>
      <c r="F4592" s="52" t="s">
        <v>26</v>
      </c>
      <c r="G4592" s="195" t="s">
        <v>278</v>
      </c>
      <c r="H4592" s="195">
        <v>5.5193989999999998E-2</v>
      </c>
      <c r="I4592" s="195">
        <v>5.5194010000000002E-2</v>
      </c>
      <c r="J4592" s="195">
        <v>5.5193989999999998E-2</v>
      </c>
      <c r="K4592" s="195">
        <v>5.5193989999999998E-2</v>
      </c>
      <c r="L4592" s="195">
        <v>0.776173</v>
      </c>
      <c r="M4592" s="195">
        <v>5.5194010000000002E-2</v>
      </c>
      <c r="N4592" s="195">
        <v>5.5193989999999998E-2</v>
      </c>
    </row>
    <row r="4593" spans="1:14" hidden="1" x14ac:dyDescent="0.35">
      <c r="A4593" s="52" t="s">
        <v>645</v>
      </c>
      <c r="B4593" s="52" t="s">
        <v>37</v>
      </c>
      <c r="C4593" s="52" t="s">
        <v>63</v>
      </c>
      <c r="D4593" s="52" t="s">
        <v>63</v>
      </c>
      <c r="E4593" s="52" t="s">
        <v>621</v>
      </c>
      <c r="F4593" s="52" t="s">
        <v>26</v>
      </c>
      <c r="G4593" s="195" t="s">
        <v>275</v>
      </c>
      <c r="H4593" s="195">
        <v>188.14410000000001</v>
      </c>
      <c r="I4593" s="195">
        <v>440.46600000000001</v>
      </c>
      <c r="J4593" s="195">
        <v>507.21460000000002</v>
      </c>
      <c r="K4593" s="195">
        <v>527.601</v>
      </c>
      <c r="L4593" s="195">
        <v>460.96319999999997</v>
      </c>
      <c r="M4593" s="195">
        <v>436.54239999999999</v>
      </c>
      <c r="N4593" s="195">
        <v>402.8141</v>
      </c>
    </row>
    <row r="4594" spans="1:14" hidden="1" x14ac:dyDescent="0.35">
      <c r="A4594" s="52" t="s">
        <v>645</v>
      </c>
      <c r="B4594" s="52" t="s">
        <v>37</v>
      </c>
      <c r="C4594" s="52" t="s">
        <v>63</v>
      </c>
      <c r="D4594" s="52" t="s">
        <v>63</v>
      </c>
      <c r="E4594" s="52" t="s">
        <v>621</v>
      </c>
      <c r="F4594" s="52" t="s">
        <v>26</v>
      </c>
      <c r="G4594" s="195" t="s">
        <v>276</v>
      </c>
      <c r="H4594" s="195">
        <v>128.38380000000001</v>
      </c>
      <c r="I4594" s="195">
        <v>42.41525</v>
      </c>
      <c r="J4594" s="195">
        <v>85.997410000000002</v>
      </c>
      <c r="K4594" s="195">
        <v>95.740920000000003</v>
      </c>
      <c r="L4594" s="195">
        <v>76.275549999999996</v>
      </c>
      <c r="M4594" s="195">
        <v>81.576710000000006</v>
      </c>
      <c r="N4594" s="195">
        <v>117.1704</v>
      </c>
    </row>
    <row r="4595" spans="1:14" hidden="1" x14ac:dyDescent="0.35">
      <c r="A4595" s="52" t="s">
        <v>645</v>
      </c>
      <c r="B4595" s="52" t="s">
        <v>37</v>
      </c>
      <c r="C4595" s="52" t="s">
        <v>63</v>
      </c>
      <c r="D4595" s="52" t="s">
        <v>63</v>
      </c>
      <c r="E4595" s="52" t="s">
        <v>621</v>
      </c>
      <c r="F4595" s="52" t="s">
        <v>26</v>
      </c>
      <c r="G4595" s="195" t="s">
        <v>277</v>
      </c>
      <c r="H4595" s="195">
        <v>761.32600000000002</v>
      </c>
      <c r="I4595" s="195">
        <v>182.74590000000001</v>
      </c>
      <c r="J4595" s="195">
        <v>115.9079</v>
      </c>
      <c r="K4595" s="195">
        <v>71.466130000000007</v>
      </c>
      <c r="L4595" s="195">
        <v>69.550319999999999</v>
      </c>
      <c r="M4595" s="195">
        <v>71.672929999999994</v>
      </c>
      <c r="N4595" s="195">
        <v>92.200360000000003</v>
      </c>
    </row>
    <row r="4596" spans="1:14" hidden="1" x14ac:dyDescent="0.35">
      <c r="A4596" s="52" t="s">
        <v>645</v>
      </c>
      <c r="B4596" s="52" t="s">
        <v>37</v>
      </c>
      <c r="C4596" s="52" t="s">
        <v>63</v>
      </c>
      <c r="D4596" s="52" t="s">
        <v>63</v>
      </c>
      <c r="E4596" s="52" t="s">
        <v>621</v>
      </c>
      <c r="F4596" s="52" t="s">
        <v>26</v>
      </c>
      <c r="G4596" s="195" t="s">
        <v>278</v>
      </c>
      <c r="H4596" s="195">
        <v>20.27</v>
      </c>
      <c r="I4596" s="195">
        <v>51.07199</v>
      </c>
      <c r="J4596" s="195">
        <v>44.08</v>
      </c>
      <c r="K4596" s="195">
        <v>43.733919999999998</v>
      </c>
      <c r="L4596" s="195">
        <v>39.516219999999997</v>
      </c>
      <c r="M4596" s="195">
        <v>31.353059999999999</v>
      </c>
      <c r="N4596" s="195">
        <v>25.90305</v>
      </c>
    </row>
    <row r="4597" spans="1:14" hidden="1" x14ac:dyDescent="0.35">
      <c r="A4597" s="52" t="s">
        <v>645</v>
      </c>
      <c r="B4597" s="52" t="s">
        <v>37</v>
      </c>
      <c r="C4597" s="52" t="s">
        <v>63</v>
      </c>
      <c r="D4597" s="52" t="s">
        <v>63</v>
      </c>
      <c r="E4597" s="52" t="s">
        <v>621</v>
      </c>
      <c r="F4597" s="52" t="s">
        <v>26</v>
      </c>
      <c r="G4597" s="195" t="s">
        <v>279</v>
      </c>
      <c r="H4597" s="195">
        <v>888.60969999999998</v>
      </c>
      <c r="I4597" s="195">
        <v>720.05330000000004</v>
      </c>
      <c r="J4597" s="195">
        <v>717.83720000000005</v>
      </c>
      <c r="K4597" s="195">
        <v>790.90300000000002</v>
      </c>
      <c r="L4597" s="195">
        <v>803.34590000000003</v>
      </c>
      <c r="M4597" s="195">
        <v>768.64070000000004</v>
      </c>
      <c r="N4597" s="195">
        <v>787.43050000000005</v>
      </c>
    </row>
    <row r="4598" spans="1:14" hidden="1" x14ac:dyDescent="0.35">
      <c r="A4598" s="52" t="s">
        <v>645</v>
      </c>
      <c r="B4598" s="52" t="s">
        <v>37</v>
      </c>
      <c r="C4598" s="52" t="s">
        <v>63</v>
      </c>
      <c r="D4598" s="52" t="s">
        <v>63</v>
      </c>
      <c r="E4598" s="52" t="s">
        <v>612</v>
      </c>
      <c r="F4598" s="52" t="s">
        <v>581</v>
      </c>
      <c r="G4598" s="195" t="s">
        <v>275</v>
      </c>
      <c r="H4598" s="195"/>
      <c r="I4598" s="195">
        <v>0</v>
      </c>
      <c r="J4598" s="195">
        <v>-0.30090539999999999</v>
      </c>
      <c r="K4598" s="195">
        <v>-2.3527269999999998</v>
      </c>
      <c r="L4598" s="195">
        <v>-2.2386050000000002</v>
      </c>
      <c r="M4598" s="195">
        <v>5.9437750000000005E-4</v>
      </c>
      <c r="N4598" s="195">
        <v>-1.024342E-2</v>
      </c>
    </row>
    <row r="4599" spans="1:14" hidden="1" x14ac:dyDescent="0.35">
      <c r="A4599" s="52" t="s">
        <v>645</v>
      </c>
      <c r="B4599" s="52" t="s">
        <v>37</v>
      </c>
      <c r="C4599" s="52" t="s">
        <v>63</v>
      </c>
      <c r="D4599" s="52" t="s">
        <v>63</v>
      </c>
      <c r="E4599" s="52" t="s">
        <v>612</v>
      </c>
      <c r="F4599" s="52" t="s">
        <v>581</v>
      </c>
      <c r="G4599" s="195" t="s">
        <v>276</v>
      </c>
      <c r="H4599" s="195"/>
      <c r="I4599" s="195">
        <v>0</v>
      </c>
      <c r="J4599" s="195">
        <v>-4.3172000000000002E-3</v>
      </c>
      <c r="K4599" s="195">
        <v>-2.70764E-2</v>
      </c>
      <c r="L4599" s="195">
        <v>-1.482803E-3</v>
      </c>
      <c r="M4599" s="195">
        <v>3.8408200000000003E-2</v>
      </c>
      <c r="N4599" s="195">
        <v>-4.4097999999999998E-2</v>
      </c>
    </row>
    <row r="4600" spans="1:14" hidden="1" x14ac:dyDescent="0.35">
      <c r="A4600" s="52" t="s">
        <v>645</v>
      </c>
      <c r="B4600" s="52" t="s">
        <v>37</v>
      </c>
      <c r="C4600" s="52" t="s">
        <v>63</v>
      </c>
      <c r="D4600" s="52" t="s">
        <v>63</v>
      </c>
      <c r="E4600" s="52" t="s">
        <v>612</v>
      </c>
      <c r="F4600" s="52" t="s">
        <v>581</v>
      </c>
      <c r="G4600" s="195" t="s">
        <v>277</v>
      </c>
      <c r="H4600" s="195"/>
      <c r="I4600" s="195">
        <v>0</v>
      </c>
      <c r="J4600" s="195">
        <v>0.15340500000000001</v>
      </c>
      <c r="K4600" s="195">
        <v>0.7439616</v>
      </c>
      <c r="L4600" s="195">
        <v>0.67351139999999998</v>
      </c>
      <c r="M4600" s="195">
        <v>0.1572238</v>
      </c>
      <c r="N4600" s="195">
        <v>0.27298260000000002</v>
      </c>
    </row>
    <row r="4601" spans="1:14" hidden="1" x14ac:dyDescent="0.35">
      <c r="A4601" s="52" t="s">
        <v>645</v>
      </c>
      <c r="B4601" s="52" t="s">
        <v>37</v>
      </c>
      <c r="C4601" s="52" t="s">
        <v>63</v>
      </c>
      <c r="D4601" s="52" t="s">
        <v>63</v>
      </c>
      <c r="E4601" s="52" t="s">
        <v>612</v>
      </c>
      <c r="F4601" s="52" t="s">
        <v>581</v>
      </c>
      <c r="G4601" s="195" t="s">
        <v>278</v>
      </c>
      <c r="H4601" s="195"/>
      <c r="I4601" s="195">
        <v>0</v>
      </c>
      <c r="J4601" s="195">
        <v>0.1518178</v>
      </c>
      <c r="K4601" s="195">
        <v>1.8089360000000001</v>
      </c>
      <c r="L4601" s="195">
        <v>2.4170859999999998</v>
      </c>
      <c r="M4601" s="195">
        <v>0.94420210000000004</v>
      </c>
      <c r="N4601" s="195">
        <v>0.79581800000000003</v>
      </c>
    </row>
    <row r="4602" spans="1:14" hidden="1" x14ac:dyDescent="0.35">
      <c r="A4602" s="52" t="s">
        <v>645</v>
      </c>
      <c r="B4602" s="52" t="s">
        <v>37</v>
      </c>
      <c r="C4602" s="52" t="s">
        <v>63</v>
      </c>
      <c r="D4602" s="52" t="s">
        <v>63</v>
      </c>
      <c r="E4602" s="52" t="s">
        <v>612</v>
      </c>
      <c r="F4602" s="52" t="s">
        <v>581</v>
      </c>
      <c r="G4602" s="195" t="s">
        <v>279</v>
      </c>
      <c r="H4602" s="195"/>
      <c r="I4602" s="195">
        <v>0</v>
      </c>
      <c r="J4602" s="195">
        <v>0</v>
      </c>
      <c r="K4602" s="195">
        <v>0.1362062</v>
      </c>
      <c r="L4602" s="195">
        <v>0.48396299999999998</v>
      </c>
      <c r="M4602" s="195">
        <v>0.56396999999999997</v>
      </c>
      <c r="N4602" s="195">
        <v>0.46776859999999998</v>
      </c>
    </row>
    <row r="4603" spans="1:14" hidden="1" x14ac:dyDescent="0.35">
      <c r="A4603" s="52" t="s">
        <v>645</v>
      </c>
      <c r="B4603" s="52" t="s">
        <v>37</v>
      </c>
      <c r="C4603" s="52" t="s">
        <v>63</v>
      </c>
      <c r="D4603" s="52" t="s">
        <v>63</v>
      </c>
      <c r="E4603" s="52" t="s">
        <v>612</v>
      </c>
      <c r="F4603" s="52" t="s">
        <v>26</v>
      </c>
      <c r="G4603" s="195" t="s">
        <v>275</v>
      </c>
      <c r="H4603" s="195"/>
      <c r="I4603" s="195">
        <v>0</v>
      </c>
      <c r="J4603" s="195">
        <v>0</v>
      </c>
      <c r="K4603" s="195">
        <v>1.4257000000000001E-2</v>
      </c>
      <c r="L4603" s="195">
        <v>0.13858380000000001</v>
      </c>
      <c r="M4603" s="195">
        <v>0.19239500000000001</v>
      </c>
      <c r="N4603" s="195">
        <v>0.1677256</v>
      </c>
    </row>
    <row r="4604" spans="1:14" hidden="1" x14ac:dyDescent="0.35">
      <c r="A4604" s="52" t="s">
        <v>645</v>
      </c>
      <c r="B4604" s="52" t="s">
        <v>37</v>
      </c>
      <c r="C4604" s="52" t="s">
        <v>63</v>
      </c>
      <c r="D4604" s="52" t="s">
        <v>63</v>
      </c>
      <c r="E4604" s="52" t="s">
        <v>612</v>
      </c>
      <c r="F4604" s="52" t="s">
        <v>26</v>
      </c>
      <c r="G4604" s="195" t="s">
        <v>276</v>
      </c>
      <c r="H4604" s="195"/>
      <c r="I4604" s="195">
        <v>0</v>
      </c>
      <c r="J4604" s="195">
        <v>0</v>
      </c>
      <c r="K4604" s="195">
        <v>5.7730000000000004E-3</v>
      </c>
      <c r="L4604" s="195">
        <v>5.6114200000000003E-2</v>
      </c>
      <c r="M4604" s="195">
        <v>7.7901799999999993E-2</v>
      </c>
      <c r="N4604" s="195">
        <v>6.7913799999999996E-2</v>
      </c>
    </row>
    <row r="4605" spans="1:14" hidden="1" x14ac:dyDescent="0.35">
      <c r="A4605" s="52" t="s">
        <v>645</v>
      </c>
      <c r="B4605" s="52" t="s">
        <v>37</v>
      </c>
      <c r="C4605" s="52" t="s">
        <v>63</v>
      </c>
      <c r="D4605" s="52" t="s">
        <v>63</v>
      </c>
      <c r="E4605" s="52" t="s">
        <v>612</v>
      </c>
      <c r="F4605" s="52" t="s">
        <v>26</v>
      </c>
      <c r="G4605" s="195" t="s">
        <v>279</v>
      </c>
      <c r="H4605" s="195"/>
      <c r="I4605" s="195">
        <v>0</v>
      </c>
      <c r="J4605" s="195">
        <v>0</v>
      </c>
      <c r="K4605" s="195">
        <v>0.13378100000000001</v>
      </c>
      <c r="L4605" s="195">
        <v>0.46718599999999999</v>
      </c>
      <c r="M4605" s="195">
        <v>0.54486040000000002</v>
      </c>
      <c r="N4605" s="195">
        <v>0.45160440000000002</v>
      </c>
    </row>
    <row r="4606" spans="1:14" hidden="1" x14ac:dyDescent="0.35">
      <c r="A4606" s="52" t="s">
        <v>645</v>
      </c>
      <c r="B4606" s="52" t="s">
        <v>37</v>
      </c>
      <c r="C4606" s="52" t="s">
        <v>46</v>
      </c>
      <c r="D4606" s="52" t="s">
        <v>46</v>
      </c>
      <c r="E4606" s="52" t="s">
        <v>646</v>
      </c>
      <c r="F4606" s="52" t="s">
        <v>581</v>
      </c>
      <c r="G4606" s="195" t="s">
        <v>275</v>
      </c>
      <c r="H4606" s="195"/>
      <c r="I4606" s="195"/>
      <c r="J4606" s="195"/>
      <c r="K4606" s="195">
        <v>0</v>
      </c>
      <c r="L4606" s="195">
        <v>0</v>
      </c>
      <c r="M4606" s="195">
        <v>0</v>
      </c>
      <c r="N4606" s="195">
        <v>0</v>
      </c>
    </row>
    <row r="4607" spans="1:14" hidden="1" x14ac:dyDescent="0.35">
      <c r="A4607" s="52" t="s">
        <v>645</v>
      </c>
      <c r="B4607" s="52" t="s">
        <v>37</v>
      </c>
      <c r="C4607" s="52" t="s">
        <v>46</v>
      </c>
      <c r="D4607" s="52" t="s">
        <v>46</v>
      </c>
      <c r="E4607" s="52" t="s">
        <v>646</v>
      </c>
      <c r="F4607" s="52" t="s">
        <v>581</v>
      </c>
      <c r="G4607" s="195" t="s">
        <v>276</v>
      </c>
      <c r="H4607" s="195"/>
      <c r="I4607" s="195"/>
      <c r="J4607" s="195"/>
      <c r="K4607" s="195">
        <v>0</v>
      </c>
      <c r="L4607" s="195">
        <v>0</v>
      </c>
      <c r="M4607" s="195">
        <v>0</v>
      </c>
      <c r="N4607" s="195">
        <v>0</v>
      </c>
    </row>
    <row r="4608" spans="1:14" hidden="1" x14ac:dyDescent="0.35">
      <c r="A4608" s="52" t="s">
        <v>645</v>
      </c>
      <c r="B4608" s="52" t="s">
        <v>37</v>
      </c>
      <c r="C4608" s="52" t="s">
        <v>46</v>
      </c>
      <c r="D4608" s="52" t="s">
        <v>46</v>
      </c>
      <c r="E4608" s="52" t="s">
        <v>646</v>
      </c>
      <c r="F4608" s="52" t="s">
        <v>581</v>
      </c>
      <c r="G4608" s="195" t="s">
        <v>277</v>
      </c>
      <c r="H4608" s="195"/>
      <c r="I4608" s="195"/>
      <c r="J4608" s="195"/>
      <c r="K4608" s="195">
        <v>0</v>
      </c>
      <c r="L4608" s="195">
        <v>0</v>
      </c>
      <c r="M4608" s="195">
        <v>0</v>
      </c>
      <c r="N4608" s="195">
        <v>0</v>
      </c>
    </row>
    <row r="4609" spans="1:14" hidden="1" x14ac:dyDescent="0.35">
      <c r="A4609" s="52" t="s">
        <v>645</v>
      </c>
      <c r="B4609" s="52" t="s">
        <v>37</v>
      </c>
      <c r="C4609" s="52" t="s">
        <v>46</v>
      </c>
      <c r="D4609" s="52" t="s">
        <v>46</v>
      </c>
      <c r="E4609" s="52" t="s">
        <v>646</v>
      </c>
      <c r="F4609" s="52" t="s">
        <v>581</v>
      </c>
      <c r="G4609" s="195" t="s">
        <v>279</v>
      </c>
      <c r="H4609" s="195"/>
      <c r="I4609" s="195"/>
      <c r="J4609" s="195"/>
      <c r="K4609" s="195">
        <v>0</v>
      </c>
      <c r="L4609" s="195">
        <v>0</v>
      </c>
      <c r="M4609" s="195">
        <v>0</v>
      </c>
      <c r="N4609" s="195">
        <v>0</v>
      </c>
    </row>
    <row r="4610" spans="1:14" hidden="1" x14ac:dyDescent="0.35">
      <c r="A4610" s="52" t="s">
        <v>645</v>
      </c>
      <c r="B4610" s="52" t="s">
        <v>37</v>
      </c>
      <c r="C4610" s="52" t="s">
        <v>46</v>
      </c>
      <c r="D4610" s="52" t="s">
        <v>46</v>
      </c>
      <c r="E4610" s="52" t="s">
        <v>646</v>
      </c>
      <c r="F4610" s="52" t="s">
        <v>26</v>
      </c>
      <c r="G4610" s="195" t="s">
        <v>275</v>
      </c>
      <c r="H4610" s="195"/>
      <c r="I4610" s="195"/>
      <c r="J4610" s="195"/>
      <c r="K4610" s="195">
        <v>0</v>
      </c>
      <c r="L4610" s="195">
        <v>0</v>
      </c>
      <c r="M4610" s="195">
        <v>0</v>
      </c>
      <c r="N4610" s="195">
        <v>0</v>
      </c>
    </row>
    <row r="4611" spans="1:14" hidden="1" x14ac:dyDescent="0.35">
      <c r="A4611" s="52" t="s">
        <v>645</v>
      </c>
      <c r="B4611" s="52" t="s">
        <v>37</v>
      </c>
      <c r="C4611" s="52" t="s">
        <v>46</v>
      </c>
      <c r="D4611" s="52" t="s">
        <v>46</v>
      </c>
      <c r="E4611" s="52" t="s">
        <v>646</v>
      </c>
      <c r="F4611" s="52" t="s">
        <v>26</v>
      </c>
      <c r="G4611" s="195" t="s">
        <v>276</v>
      </c>
      <c r="H4611" s="195"/>
      <c r="I4611" s="195"/>
      <c r="J4611" s="195"/>
      <c r="K4611" s="195">
        <v>0</v>
      </c>
      <c r="L4611" s="195">
        <v>0</v>
      </c>
      <c r="M4611" s="195">
        <v>0</v>
      </c>
      <c r="N4611" s="195">
        <v>0</v>
      </c>
    </row>
    <row r="4612" spans="1:14" hidden="1" x14ac:dyDescent="0.35">
      <c r="A4612" s="52" t="s">
        <v>645</v>
      </c>
      <c r="B4612" s="52" t="s">
        <v>37</v>
      </c>
      <c r="C4612" s="52" t="s">
        <v>46</v>
      </c>
      <c r="D4612" s="52" t="s">
        <v>46</v>
      </c>
      <c r="E4612" s="52" t="s">
        <v>646</v>
      </c>
      <c r="F4612" s="52" t="s">
        <v>26</v>
      </c>
      <c r="G4612" s="195" t="s">
        <v>279</v>
      </c>
      <c r="H4612" s="195"/>
      <c r="I4612" s="195"/>
      <c r="J4612" s="195"/>
      <c r="K4612" s="195">
        <v>0</v>
      </c>
      <c r="L4612" s="195">
        <v>0</v>
      </c>
      <c r="M4612" s="195">
        <v>0</v>
      </c>
      <c r="N4612" s="195">
        <v>0</v>
      </c>
    </row>
    <row r="4613" spans="1:14" hidden="1" x14ac:dyDescent="0.35">
      <c r="A4613" s="52" t="s">
        <v>648</v>
      </c>
      <c r="B4613" s="52" t="s">
        <v>37</v>
      </c>
      <c r="C4613" s="52" t="s">
        <v>63</v>
      </c>
      <c r="D4613" s="52" t="s">
        <v>63</v>
      </c>
      <c r="E4613" s="52" t="s">
        <v>610</v>
      </c>
      <c r="F4613" s="52" t="s">
        <v>581</v>
      </c>
      <c r="G4613" s="195" t="s">
        <v>275</v>
      </c>
      <c r="H4613" s="195">
        <v>248.54300000000001</v>
      </c>
      <c r="I4613" s="195">
        <v>100.3048</v>
      </c>
      <c r="J4613" s="195">
        <v>83.611019999999996</v>
      </c>
      <c r="K4613" s="195">
        <v>69.930269999999993</v>
      </c>
      <c r="L4613" s="195">
        <v>43.54674</v>
      </c>
      <c r="M4613" s="195">
        <v>38.085479999999997</v>
      </c>
      <c r="N4613" s="195">
        <v>31.062329999999999</v>
      </c>
    </row>
    <row r="4614" spans="1:14" hidden="1" x14ac:dyDescent="0.35">
      <c r="A4614" s="52" t="s">
        <v>648</v>
      </c>
      <c r="B4614" s="52" t="s">
        <v>37</v>
      </c>
      <c r="C4614" s="52" t="s">
        <v>63</v>
      </c>
      <c r="D4614" s="52" t="s">
        <v>63</v>
      </c>
      <c r="E4614" s="52" t="s">
        <v>610</v>
      </c>
      <c r="F4614" s="52" t="s">
        <v>581</v>
      </c>
      <c r="G4614" s="195" t="s">
        <v>276</v>
      </c>
      <c r="H4614" s="195">
        <v>58.709009999999999</v>
      </c>
      <c r="I4614" s="195">
        <v>-6.3129929999999996</v>
      </c>
      <c r="J4614" s="195">
        <v>-5.6354360000000003</v>
      </c>
      <c r="K4614" s="195">
        <v>-2.4500259999999998</v>
      </c>
      <c r="L4614" s="195">
        <v>-3.927387</v>
      </c>
      <c r="M4614" s="195">
        <v>-2.073814</v>
      </c>
      <c r="N4614" s="195">
        <v>1.301215</v>
      </c>
    </row>
    <row r="4615" spans="1:14" hidden="1" x14ac:dyDescent="0.35">
      <c r="A4615" s="52" t="s">
        <v>648</v>
      </c>
      <c r="B4615" s="52" t="s">
        <v>37</v>
      </c>
      <c r="C4615" s="52" t="s">
        <v>63</v>
      </c>
      <c r="D4615" s="52" t="s">
        <v>63</v>
      </c>
      <c r="E4615" s="52" t="s">
        <v>610</v>
      </c>
      <c r="F4615" s="52" t="s">
        <v>581</v>
      </c>
      <c r="G4615" s="195" t="s">
        <v>277</v>
      </c>
      <c r="H4615" s="195">
        <v>184.5334</v>
      </c>
      <c r="I4615" s="195">
        <v>17.245529999999999</v>
      </c>
      <c r="J4615" s="195">
        <v>6.0324720000000003</v>
      </c>
      <c r="K4615" s="195">
        <v>2.0675859999999999</v>
      </c>
      <c r="L4615" s="195"/>
      <c r="M4615" s="195">
        <v>3.6939069999999998</v>
      </c>
      <c r="N4615" s="195">
        <v>4.240005</v>
      </c>
    </row>
    <row r="4616" spans="1:14" hidden="1" x14ac:dyDescent="0.35">
      <c r="A4616" s="52" t="s">
        <v>648</v>
      </c>
      <c r="B4616" s="52" t="s">
        <v>37</v>
      </c>
      <c r="C4616" s="52" t="s">
        <v>63</v>
      </c>
      <c r="D4616" s="52" t="s">
        <v>63</v>
      </c>
      <c r="E4616" s="52" t="s">
        <v>610</v>
      </c>
      <c r="F4616" s="52" t="s">
        <v>581</v>
      </c>
      <c r="G4616" s="195" t="s">
        <v>278</v>
      </c>
      <c r="H4616" s="195">
        <v>21.421949999999999</v>
      </c>
      <c r="I4616" s="195">
        <v>6.0189389999999996</v>
      </c>
      <c r="J4616" s="195">
        <v>7.2012179999999999</v>
      </c>
      <c r="K4616" s="195">
        <v>5.0792840000000004</v>
      </c>
      <c r="L4616" s="195">
        <v>4.1311450000000001</v>
      </c>
      <c r="M4616" s="195">
        <v>1.6094489999999999</v>
      </c>
      <c r="N4616" s="195">
        <v>1.0328790000000001</v>
      </c>
    </row>
    <row r="4617" spans="1:14" hidden="1" x14ac:dyDescent="0.35">
      <c r="A4617" s="52" t="s">
        <v>648</v>
      </c>
      <c r="B4617" s="52" t="s">
        <v>37</v>
      </c>
      <c r="C4617" s="52" t="s">
        <v>63</v>
      </c>
      <c r="D4617" s="52" t="s">
        <v>63</v>
      </c>
      <c r="E4617" s="52" t="s">
        <v>610</v>
      </c>
      <c r="F4617" s="52" t="s">
        <v>581</v>
      </c>
      <c r="G4617" s="195" t="s">
        <v>279</v>
      </c>
      <c r="H4617" s="195">
        <v>249.38</v>
      </c>
      <c r="I4617" s="195">
        <v>213.3895</v>
      </c>
      <c r="J4617" s="195">
        <v>236.9855</v>
      </c>
      <c r="K4617" s="195">
        <v>237.84729999999999</v>
      </c>
      <c r="L4617" s="195">
        <v>215.82079999999999</v>
      </c>
      <c r="M4617" s="195">
        <v>186.6986</v>
      </c>
      <c r="N4617" s="195">
        <v>166.5446</v>
      </c>
    </row>
    <row r="4618" spans="1:14" hidden="1" x14ac:dyDescent="0.35">
      <c r="A4618" s="52" t="s">
        <v>648</v>
      </c>
      <c r="B4618" s="52" t="s">
        <v>37</v>
      </c>
      <c r="C4618" s="52" t="s">
        <v>63</v>
      </c>
      <c r="D4618" s="52" t="s">
        <v>63</v>
      </c>
      <c r="E4618" s="52" t="s">
        <v>610</v>
      </c>
      <c r="F4618" s="52" t="s">
        <v>26</v>
      </c>
      <c r="G4618" s="195" t="s">
        <v>275</v>
      </c>
      <c r="H4618" s="195">
        <v>-82.466539999999995</v>
      </c>
      <c r="I4618" s="195">
        <v>51.779229999999998</v>
      </c>
      <c r="J4618" s="195">
        <v>86.757429999999999</v>
      </c>
      <c r="K4618" s="195">
        <v>72.799210000000002</v>
      </c>
      <c r="L4618" s="195">
        <v>42.109050000000003</v>
      </c>
      <c r="M4618" s="195">
        <v>38.533790000000003</v>
      </c>
      <c r="N4618" s="195">
        <v>30.471699999999998</v>
      </c>
    </row>
    <row r="4619" spans="1:14" hidden="1" x14ac:dyDescent="0.35">
      <c r="A4619" s="52" t="s">
        <v>648</v>
      </c>
      <c r="B4619" s="52" t="s">
        <v>37</v>
      </c>
      <c r="C4619" s="52" t="s">
        <v>63</v>
      </c>
      <c r="D4619" s="52" t="s">
        <v>63</v>
      </c>
      <c r="E4619" s="52" t="s">
        <v>610</v>
      </c>
      <c r="F4619" s="52" t="s">
        <v>26</v>
      </c>
      <c r="G4619" s="195" t="s">
        <v>276</v>
      </c>
      <c r="H4619" s="195">
        <v>0.37390800000000002</v>
      </c>
      <c r="I4619" s="195">
        <v>-13.718109999999999</v>
      </c>
      <c r="J4619" s="195">
        <v>-5.8809269999999998</v>
      </c>
      <c r="K4619" s="195">
        <v>-6.1008889999999996</v>
      </c>
      <c r="L4619" s="195">
        <v>-10.53468</v>
      </c>
      <c r="M4619" s="195">
        <v>-6.6317339999999998</v>
      </c>
      <c r="N4619" s="195">
        <v>-1.495973</v>
      </c>
    </row>
    <row r="4620" spans="1:14" hidden="1" x14ac:dyDescent="0.35">
      <c r="A4620" s="52" t="s">
        <v>648</v>
      </c>
      <c r="B4620" s="52" t="s">
        <v>37</v>
      </c>
      <c r="C4620" s="52" t="s">
        <v>63</v>
      </c>
      <c r="D4620" s="52" t="s">
        <v>63</v>
      </c>
      <c r="E4620" s="52" t="s">
        <v>610</v>
      </c>
      <c r="F4620" s="52" t="s">
        <v>26</v>
      </c>
      <c r="G4620" s="195" t="s">
        <v>277</v>
      </c>
      <c r="H4620" s="195">
        <v>222.51410000000001</v>
      </c>
      <c r="I4620" s="195">
        <v>41.123620000000003</v>
      </c>
      <c r="J4620" s="195">
        <v>20.485289999999999</v>
      </c>
      <c r="K4620" s="195">
        <v>5.9041189999999997</v>
      </c>
      <c r="L4620" s="195">
        <v>1.2006520000000001</v>
      </c>
      <c r="M4620" s="195">
        <v>0</v>
      </c>
      <c r="N4620" s="195">
        <v>0</v>
      </c>
    </row>
    <row r="4621" spans="1:14" hidden="1" x14ac:dyDescent="0.35">
      <c r="A4621" s="52" t="s">
        <v>648</v>
      </c>
      <c r="B4621" s="52" t="s">
        <v>37</v>
      </c>
      <c r="C4621" s="52" t="s">
        <v>63</v>
      </c>
      <c r="D4621" s="52" t="s">
        <v>63</v>
      </c>
      <c r="E4621" s="52" t="s">
        <v>610</v>
      </c>
      <c r="F4621" s="52" t="s">
        <v>26</v>
      </c>
      <c r="G4621" s="195" t="s">
        <v>278</v>
      </c>
      <c r="H4621" s="195">
        <v>37.038980000000002</v>
      </c>
      <c r="I4621" s="195">
        <v>10.93826</v>
      </c>
      <c r="J4621" s="195">
        <v>18.72973</v>
      </c>
      <c r="K4621" s="195">
        <v>10.19467</v>
      </c>
      <c r="L4621" s="195">
        <v>3.1364269999999999</v>
      </c>
      <c r="M4621" s="195">
        <v>0</v>
      </c>
      <c r="N4621" s="195">
        <v>0</v>
      </c>
    </row>
    <row r="4622" spans="1:14" hidden="1" x14ac:dyDescent="0.35">
      <c r="A4622" s="52" t="s">
        <v>648</v>
      </c>
      <c r="B4622" s="52" t="s">
        <v>37</v>
      </c>
      <c r="C4622" s="52" t="s">
        <v>63</v>
      </c>
      <c r="D4622" s="52" t="s">
        <v>63</v>
      </c>
      <c r="E4622" s="52" t="s">
        <v>610</v>
      </c>
      <c r="F4622" s="52" t="s">
        <v>26</v>
      </c>
      <c r="G4622" s="195" t="s">
        <v>279</v>
      </c>
      <c r="H4622" s="195">
        <v>501.71480000000003</v>
      </c>
      <c r="I4622" s="195">
        <v>456.3494</v>
      </c>
      <c r="J4622" s="195">
        <v>520.09249999999997</v>
      </c>
      <c r="K4622" s="195">
        <v>529.25369999999998</v>
      </c>
      <c r="L4622" s="195">
        <v>474.39049999999997</v>
      </c>
      <c r="M4622" s="195">
        <v>410.85230000000001</v>
      </c>
      <c r="N4622" s="195">
        <v>366.0838</v>
      </c>
    </row>
    <row r="4623" spans="1:14" hidden="1" x14ac:dyDescent="0.35">
      <c r="A4623" s="52" t="s">
        <v>648</v>
      </c>
      <c r="B4623" s="52" t="s">
        <v>37</v>
      </c>
      <c r="C4623" s="52" t="s">
        <v>63</v>
      </c>
      <c r="D4623" s="52" t="s">
        <v>63</v>
      </c>
      <c r="E4623" s="52" t="s">
        <v>608</v>
      </c>
      <c r="F4623" s="52" t="s">
        <v>26</v>
      </c>
      <c r="G4623" s="195" t="s">
        <v>275</v>
      </c>
      <c r="H4623" s="195">
        <v>-40.878450000000001</v>
      </c>
      <c r="I4623" s="195">
        <v>6.5231490000000001</v>
      </c>
      <c r="J4623" s="195">
        <v>65.167429999999996</v>
      </c>
      <c r="K4623" s="195">
        <v>45.995040000000003</v>
      </c>
      <c r="L4623" s="195">
        <v>21.154389999999999</v>
      </c>
      <c r="M4623" s="195">
        <v>21.271270000000001</v>
      </c>
      <c r="N4623" s="195">
        <v>18.622720000000001</v>
      </c>
    </row>
    <row r="4624" spans="1:14" hidden="1" x14ac:dyDescent="0.35">
      <c r="A4624" s="52" t="s">
        <v>648</v>
      </c>
      <c r="B4624" s="52" t="s">
        <v>37</v>
      </c>
      <c r="C4624" s="52" t="s">
        <v>63</v>
      </c>
      <c r="D4624" s="52" t="s">
        <v>63</v>
      </c>
      <c r="E4624" s="52" t="s">
        <v>608</v>
      </c>
      <c r="F4624" s="52" t="s">
        <v>26</v>
      </c>
      <c r="G4624" s="195" t="s">
        <v>276</v>
      </c>
      <c r="H4624" s="195">
        <v>-4.0443319999999998</v>
      </c>
      <c r="I4624" s="195">
        <v>-9.821536</v>
      </c>
      <c r="J4624" s="195">
        <v>-8.7220119999999994</v>
      </c>
      <c r="K4624" s="195">
        <v>-10.03003</v>
      </c>
      <c r="L4624" s="195">
        <v>-9.784694</v>
      </c>
      <c r="M4624" s="195">
        <v>-5.1854180000000003</v>
      </c>
      <c r="N4624" s="195">
        <v>-2.497525</v>
      </c>
    </row>
    <row r="4625" spans="1:14" hidden="1" x14ac:dyDescent="0.35">
      <c r="A4625" s="52" t="s">
        <v>648</v>
      </c>
      <c r="B4625" s="52" t="s">
        <v>37</v>
      </c>
      <c r="C4625" s="52" t="s">
        <v>63</v>
      </c>
      <c r="D4625" s="52" t="s">
        <v>63</v>
      </c>
      <c r="E4625" s="52" t="s">
        <v>608</v>
      </c>
      <c r="F4625" s="52" t="s">
        <v>26</v>
      </c>
      <c r="G4625" s="195" t="s">
        <v>277</v>
      </c>
      <c r="H4625" s="195">
        <v>157.87870000000001</v>
      </c>
      <c r="I4625" s="195">
        <v>67.889409999999998</v>
      </c>
      <c r="J4625" s="195">
        <v>16.045680000000001</v>
      </c>
      <c r="K4625" s="195">
        <v>7.9576570000000002</v>
      </c>
      <c r="L4625" s="195">
        <v>9.0819510000000001</v>
      </c>
      <c r="M4625" s="195">
        <v>2.4602970000000002</v>
      </c>
      <c r="N4625" s="195">
        <v>0</v>
      </c>
    </row>
    <row r="4626" spans="1:14" hidden="1" x14ac:dyDescent="0.35">
      <c r="A4626" s="52" t="s">
        <v>648</v>
      </c>
      <c r="B4626" s="52" t="s">
        <v>37</v>
      </c>
      <c r="C4626" s="52" t="s">
        <v>63</v>
      </c>
      <c r="D4626" s="52" t="s">
        <v>63</v>
      </c>
      <c r="E4626" s="52" t="s">
        <v>608</v>
      </c>
      <c r="F4626" s="52" t="s">
        <v>26</v>
      </c>
      <c r="G4626" s="195" t="s">
        <v>278</v>
      </c>
      <c r="H4626" s="195">
        <v>14.30294</v>
      </c>
      <c r="I4626" s="195">
        <v>10.059839999999999</v>
      </c>
      <c r="J4626" s="195">
        <v>2.9716269999999998</v>
      </c>
      <c r="K4626" s="195">
        <v>0.82088799999999995</v>
      </c>
      <c r="L4626" s="195">
        <v>0</v>
      </c>
      <c r="M4626" s="195"/>
      <c r="N4626" s="195"/>
    </row>
    <row r="4627" spans="1:14" hidden="1" x14ac:dyDescent="0.35">
      <c r="A4627" s="52" t="s">
        <v>648</v>
      </c>
      <c r="B4627" s="52" t="s">
        <v>37</v>
      </c>
      <c r="C4627" s="52" t="s">
        <v>63</v>
      </c>
      <c r="D4627" s="52" t="s">
        <v>63</v>
      </c>
      <c r="E4627" s="52" t="s">
        <v>608</v>
      </c>
      <c r="F4627" s="52" t="s">
        <v>26</v>
      </c>
      <c r="G4627" s="195" t="s">
        <v>279</v>
      </c>
      <c r="H4627" s="195">
        <v>359.78519999999997</v>
      </c>
      <c r="I4627" s="195">
        <v>377.70179999999999</v>
      </c>
      <c r="J4627" s="195">
        <v>325.21370000000002</v>
      </c>
      <c r="K4627" s="195">
        <v>284.17939999999999</v>
      </c>
      <c r="L4627" s="195">
        <v>269.51859999999999</v>
      </c>
      <c r="M4627" s="195">
        <v>241.61420000000001</v>
      </c>
      <c r="N4627" s="195">
        <v>208.33510000000001</v>
      </c>
    </row>
    <row r="4628" spans="1:14" hidden="1" x14ac:dyDescent="0.35">
      <c r="A4628" s="52" t="s">
        <v>648</v>
      </c>
      <c r="B4628" s="52" t="s">
        <v>37</v>
      </c>
      <c r="C4628" s="52" t="s">
        <v>63</v>
      </c>
      <c r="D4628" s="52" t="s">
        <v>63</v>
      </c>
      <c r="E4628" s="52" t="s">
        <v>621</v>
      </c>
      <c r="F4628" s="52" t="s">
        <v>581</v>
      </c>
      <c r="G4628" s="195" t="s">
        <v>275</v>
      </c>
      <c r="H4628" s="195"/>
      <c r="I4628" s="195"/>
      <c r="J4628" s="195"/>
      <c r="K4628" s="195"/>
      <c r="L4628" s="195"/>
      <c r="M4628" s="195">
        <v>0</v>
      </c>
      <c r="N4628" s="195">
        <v>0</v>
      </c>
    </row>
    <row r="4629" spans="1:14" hidden="1" x14ac:dyDescent="0.35">
      <c r="A4629" s="52" t="s">
        <v>648</v>
      </c>
      <c r="B4629" s="52" t="s">
        <v>37</v>
      </c>
      <c r="C4629" s="52" t="s">
        <v>63</v>
      </c>
      <c r="D4629" s="52" t="s">
        <v>63</v>
      </c>
      <c r="E4629" s="52" t="s">
        <v>621</v>
      </c>
      <c r="F4629" s="52" t="s">
        <v>581</v>
      </c>
      <c r="G4629" s="195" t="s">
        <v>276</v>
      </c>
      <c r="H4629" s="195"/>
      <c r="I4629" s="195"/>
      <c r="J4629" s="195"/>
      <c r="K4629" s="195"/>
      <c r="L4629" s="195"/>
      <c r="M4629" s="195">
        <v>0</v>
      </c>
      <c r="N4629" s="195">
        <v>0</v>
      </c>
    </row>
    <row r="4630" spans="1:14" hidden="1" x14ac:dyDescent="0.35">
      <c r="A4630" s="52" t="s">
        <v>648</v>
      </c>
      <c r="B4630" s="52" t="s">
        <v>37</v>
      </c>
      <c r="C4630" s="52" t="s">
        <v>63</v>
      </c>
      <c r="D4630" s="52" t="s">
        <v>63</v>
      </c>
      <c r="E4630" s="52" t="s">
        <v>621</v>
      </c>
      <c r="F4630" s="52" t="s">
        <v>581</v>
      </c>
      <c r="G4630" s="195" t="s">
        <v>279</v>
      </c>
      <c r="H4630" s="195"/>
      <c r="I4630" s="195"/>
      <c r="J4630" s="195"/>
      <c r="K4630" s="195"/>
      <c r="L4630" s="195"/>
      <c r="M4630" s="195">
        <v>0</v>
      </c>
      <c r="N4630" s="195">
        <v>0</v>
      </c>
    </row>
    <row r="4631" spans="1:14" hidden="1" x14ac:dyDescent="0.35">
      <c r="A4631" s="52" t="s">
        <v>648</v>
      </c>
      <c r="B4631" s="52" t="s">
        <v>37</v>
      </c>
      <c r="C4631" s="52" t="s">
        <v>63</v>
      </c>
      <c r="D4631" s="52" t="s">
        <v>63</v>
      </c>
      <c r="E4631" s="52" t="s">
        <v>621</v>
      </c>
      <c r="F4631" s="52" t="s">
        <v>26</v>
      </c>
      <c r="G4631" s="195" t="s">
        <v>275</v>
      </c>
      <c r="H4631" s="195">
        <v>23.008859999999999</v>
      </c>
      <c r="I4631" s="195">
        <v>12.122680000000001</v>
      </c>
      <c r="J4631" s="195">
        <v>10.45839</v>
      </c>
      <c r="K4631" s="195">
        <v>5.7152810000000001</v>
      </c>
      <c r="L4631" s="195">
        <v>2.2887369999999998</v>
      </c>
      <c r="M4631" s="195">
        <v>1.868916</v>
      </c>
      <c r="N4631" s="195">
        <v>1.690679</v>
      </c>
    </row>
    <row r="4632" spans="1:14" hidden="1" x14ac:dyDescent="0.35">
      <c r="A4632" s="52" t="s">
        <v>648</v>
      </c>
      <c r="B4632" s="52" t="s">
        <v>37</v>
      </c>
      <c r="C4632" s="52" t="s">
        <v>63</v>
      </c>
      <c r="D4632" s="52" t="s">
        <v>63</v>
      </c>
      <c r="E4632" s="52" t="s">
        <v>621</v>
      </c>
      <c r="F4632" s="52" t="s">
        <v>26</v>
      </c>
      <c r="G4632" s="195" t="s">
        <v>276</v>
      </c>
      <c r="H4632" s="195">
        <v>-3.9970469999999998</v>
      </c>
      <c r="I4632" s="195">
        <v>-3.2027770000000002</v>
      </c>
      <c r="J4632" s="195">
        <v>-0.82252159999999996</v>
      </c>
      <c r="K4632" s="195">
        <v>0.42898219999999998</v>
      </c>
      <c r="L4632" s="195">
        <v>0.69766640000000002</v>
      </c>
      <c r="M4632" s="195">
        <v>0.75673999999999997</v>
      </c>
      <c r="N4632" s="195">
        <v>0.68457080000000003</v>
      </c>
    </row>
    <row r="4633" spans="1:14" hidden="1" x14ac:dyDescent="0.35">
      <c r="A4633" s="52" t="s">
        <v>648</v>
      </c>
      <c r="B4633" s="52" t="s">
        <v>37</v>
      </c>
      <c r="C4633" s="52" t="s">
        <v>63</v>
      </c>
      <c r="D4633" s="52" t="s">
        <v>63</v>
      </c>
      <c r="E4633" s="52" t="s">
        <v>621</v>
      </c>
      <c r="F4633" s="52" t="s">
        <v>26</v>
      </c>
      <c r="G4633" s="195" t="s">
        <v>277</v>
      </c>
      <c r="H4633" s="195"/>
      <c r="I4633" s="195"/>
      <c r="J4633" s="195"/>
      <c r="K4633" s="195"/>
      <c r="L4633" s="195"/>
      <c r="M4633" s="195">
        <v>0</v>
      </c>
      <c r="N4633" s="195">
        <v>0</v>
      </c>
    </row>
    <row r="4634" spans="1:14" hidden="1" x14ac:dyDescent="0.35">
      <c r="A4634" s="52" t="s">
        <v>648</v>
      </c>
      <c r="B4634" s="52" t="s">
        <v>37</v>
      </c>
      <c r="C4634" s="52" t="s">
        <v>63</v>
      </c>
      <c r="D4634" s="52" t="s">
        <v>63</v>
      </c>
      <c r="E4634" s="52" t="s">
        <v>621</v>
      </c>
      <c r="F4634" s="52" t="s">
        <v>26</v>
      </c>
      <c r="G4634" s="195" t="s">
        <v>279</v>
      </c>
      <c r="H4634" s="195">
        <v>53.750039999999998</v>
      </c>
      <c r="I4634" s="195">
        <v>45.206910000000001</v>
      </c>
      <c r="J4634" s="195">
        <v>41.875219999999999</v>
      </c>
      <c r="K4634" s="195">
        <v>39.709530000000001</v>
      </c>
      <c r="L4634" s="195">
        <v>40.567419999999998</v>
      </c>
      <c r="M4634" s="195">
        <v>34.910110000000003</v>
      </c>
      <c r="N4634" s="195">
        <v>31.065069999999999</v>
      </c>
    </row>
    <row r="4635" spans="1:14" hidden="1" x14ac:dyDescent="0.35">
      <c r="A4635" s="52" t="s">
        <v>648</v>
      </c>
      <c r="B4635" s="52" t="s">
        <v>37</v>
      </c>
      <c r="C4635" s="52" t="s">
        <v>63</v>
      </c>
      <c r="D4635" s="52" t="s">
        <v>63</v>
      </c>
      <c r="E4635" s="52" t="s">
        <v>584</v>
      </c>
      <c r="F4635" s="52" t="s">
        <v>581</v>
      </c>
      <c r="G4635" s="195" t="s">
        <v>275</v>
      </c>
      <c r="H4635" s="195">
        <v>0.92649499999999996</v>
      </c>
      <c r="I4635" s="195">
        <v>-1.4155600000000001E-2</v>
      </c>
      <c r="J4635" s="195">
        <v>-6.5163600000000002E-2</v>
      </c>
      <c r="K4635" s="195">
        <v>-9.2220189999999994E-2</v>
      </c>
      <c r="L4635" s="195">
        <v>-0.10428560000000001</v>
      </c>
      <c r="M4635" s="195">
        <v>-3.5002800000000001</v>
      </c>
      <c r="N4635" s="195"/>
    </row>
    <row r="4636" spans="1:14" hidden="1" x14ac:dyDescent="0.35">
      <c r="A4636" s="52" t="s">
        <v>648</v>
      </c>
      <c r="B4636" s="52" t="s">
        <v>37</v>
      </c>
      <c r="C4636" s="52" t="s">
        <v>63</v>
      </c>
      <c r="D4636" s="52" t="s">
        <v>63</v>
      </c>
      <c r="E4636" s="52" t="s">
        <v>584</v>
      </c>
      <c r="F4636" s="52" t="s">
        <v>581</v>
      </c>
      <c r="G4636" s="195" t="s">
        <v>276</v>
      </c>
      <c r="H4636" s="195">
        <v>0.101801</v>
      </c>
      <c r="I4636" s="195">
        <v>-1.5554E-3</v>
      </c>
      <c r="J4636" s="195">
        <v>-7.1597989999999997E-3</v>
      </c>
      <c r="K4636" s="195">
        <v>-1.0132800000000001E-2</v>
      </c>
      <c r="L4636" s="195">
        <v>-1.14588E-2</v>
      </c>
      <c r="M4636" s="195">
        <v>-0.38474839999999999</v>
      </c>
      <c r="N4636" s="195"/>
    </row>
    <row r="4637" spans="1:14" hidden="1" x14ac:dyDescent="0.35">
      <c r="A4637" s="52" t="s">
        <v>648</v>
      </c>
      <c r="B4637" s="52" t="s">
        <v>37</v>
      </c>
      <c r="C4637" s="52" t="s">
        <v>63</v>
      </c>
      <c r="D4637" s="52" t="s">
        <v>63</v>
      </c>
      <c r="E4637" s="52" t="s">
        <v>584</v>
      </c>
      <c r="F4637" s="52" t="s">
        <v>581</v>
      </c>
      <c r="G4637" s="195" t="s">
        <v>279</v>
      </c>
      <c r="H4637" s="195">
        <v>0.81048500000000001</v>
      </c>
      <c r="I4637" s="195">
        <v>0.61450700000000003</v>
      </c>
      <c r="J4637" s="195">
        <v>0.52519519999999997</v>
      </c>
      <c r="K4637" s="195">
        <v>0.49910739999999998</v>
      </c>
      <c r="L4637" s="195">
        <v>0.45741660000000001</v>
      </c>
      <c r="M4637" s="195">
        <v>3.963101</v>
      </c>
      <c r="N4637" s="195">
        <v>6.6649E-2</v>
      </c>
    </row>
    <row r="4638" spans="1:14" hidden="1" x14ac:dyDescent="0.35">
      <c r="A4638" s="52" t="s">
        <v>648</v>
      </c>
      <c r="B4638" s="52" t="s">
        <v>37</v>
      </c>
      <c r="C4638" s="52" t="s">
        <v>63</v>
      </c>
      <c r="D4638" s="52" t="s">
        <v>63</v>
      </c>
      <c r="E4638" s="52" t="s">
        <v>584</v>
      </c>
      <c r="F4638" s="52" t="s">
        <v>26</v>
      </c>
      <c r="G4638" s="195" t="s">
        <v>275</v>
      </c>
      <c r="H4638" s="195">
        <v>5.1175879999999996</v>
      </c>
      <c r="I4638" s="195">
        <v>2.7561840000000002</v>
      </c>
      <c r="J4638" s="195">
        <v>2.4678110000000002</v>
      </c>
      <c r="K4638" s="195">
        <v>1.3845959999999999</v>
      </c>
      <c r="L4638" s="195">
        <v>0.52492099999999997</v>
      </c>
      <c r="M4638" s="195">
        <v>-33.185540000000003</v>
      </c>
      <c r="N4638" s="195"/>
    </row>
    <row r="4639" spans="1:14" hidden="1" x14ac:dyDescent="0.35">
      <c r="A4639" s="52" t="s">
        <v>648</v>
      </c>
      <c r="B4639" s="52" t="s">
        <v>37</v>
      </c>
      <c r="C4639" s="52" t="s">
        <v>63</v>
      </c>
      <c r="D4639" s="52" t="s">
        <v>63</v>
      </c>
      <c r="E4639" s="52" t="s">
        <v>584</v>
      </c>
      <c r="F4639" s="52" t="s">
        <v>26</v>
      </c>
      <c r="G4639" s="195" t="s">
        <v>276</v>
      </c>
      <c r="H4639" s="195">
        <v>-1.575661</v>
      </c>
      <c r="I4639" s="195">
        <v>-1.314211</v>
      </c>
      <c r="J4639" s="195">
        <v>-0.85764459999999998</v>
      </c>
      <c r="K4639" s="195">
        <v>-0.55697439999999998</v>
      </c>
      <c r="L4639" s="195">
        <v>-0.26873819999999998</v>
      </c>
      <c r="M4639" s="195">
        <v>-3.6061809999999999</v>
      </c>
      <c r="N4639" s="195"/>
    </row>
    <row r="4640" spans="1:14" hidden="1" x14ac:dyDescent="0.35">
      <c r="A4640" s="52" t="s">
        <v>648</v>
      </c>
      <c r="B4640" s="52" t="s">
        <v>37</v>
      </c>
      <c r="C4640" s="52" t="s">
        <v>63</v>
      </c>
      <c r="D4640" s="52" t="s">
        <v>63</v>
      </c>
      <c r="E4640" s="52" t="s">
        <v>584</v>
      </c>
      <c r="F4640" s="52" t="s">
        <v>26</v>
      </c>
      <c r="G4640" s="195" t="s">
        <v>277</v>
      </c>
      <c r="H4640" s="195"/>
      <c r="I4640" s="195"/>
      <c r="J4640" s="195"/>
      <c r="K4640" s="195"/>
      <c r="L4640" s="195"/>
      <c r="M4640" s="195"/>
      <c r="N4640" s="195"/>
    </row>
    <row r="4641" spans="1:14" hidden="1" x14ac:dyDescent="0.35">
      <c r="A4641" s="52" t="s">
        <v>648</v>
      </c>
      <c r="B4641" s="52" t="s">
        <v>37</v>
      </c>
      <c r="C4641" s="52" t="s">
        <v>63</v>
      </c>
      <c r="D4641" s="52" t="s">
        <v>63</v>
      </c>
      <c r="E4641" s="52" t="s">
        <v>584</v>
      </c>
      <c r="F4641" s="52" t="s">
        <v>26</v>
      </c>
      <c r="G4641" s="195" t="s">
        <v>279</v>
      </c>
      <c r="H4641" s="195">
        <v>11.270250000000001</v>
      </c>
      <c r="I4641" s="195">
        <v>8.9941849999999999</v>
      </c>
      <c r="J4641" s="195">
        <v>8.0928979999999999</v>
      </c>
      <c r="K4641" s="195">
        <v>8.0521480000000007</v>
      </c>
      <c r="L4641" s="195">
        <v>7.7403649999999997</v>
      </c>
      <c r="M4641" s="195">
        <v>38.379249999999999</v>
      </c>
      <c r="N4641" s="195">
        <v>1.2413890000000001</v>
      </c>
    </row>
    <row r="4642" spans="1:14" hidden="1" x14ac:dyDescent="0.35">
      <c r="A4642" s="52" t="s">
        <v>648</v>
      </c>
      <c r="B4642" s="52" t="s">
        <v>37</v>
      </c>
      <c r="C4642" s="52" t="s">
        <v>63</v>
      </c>
      <c r="D4642" s="52" t="s">
        <v>63</v>
      </c>
      <c r="E4642" s="52" t="s">
        <v>612</v>
      </c>
      <c r="F4642" s="52" t="s">
        <v>581</v>
      </c>
      <c r="G4642" s="195" t="s">
        <v>275</v>
      </c>
      <c r="H4642" s="195">
        <v>1.465365</v>
      </c>
      <c r="I4642" s="195">
        <v>0.16368559999999999</v>
      </c>
      <c r="J4642" s="195">
        <v>7.7194799999999994E-2</v>
      </c>
      <c r="K4642" s="195">
        <v>4.94384E-2</v>
      </c>
      <c r="L4642" s="195">
        <v>1.26838E-2</v>
      </c>
      <c r="M4642" s="195">
        <v>1.53528E-2</v>
      </c>
      <c r="N4642" s="195">
        <v>1.5655200000000001E-2</v>
      </c>
    </row>
    <row r="4643" spans="1:14" hidden="1" x14ac:dyDescent="0.35">
      <c r="A4643" s="52" t="s">
        <v>648</v>
      </c>
      <c r="B4643" s="52" t="s">
        <v>37</v>
      </c>
      <c r="C4643" s="52" t="s">
        <v>63</v>
      </c>
      <c r="D4643" s="52" t="s">
        <v>63</v>
      </c>
      <c r="E4643" s="52" t="s">
        <v>612</v>
      </c>
      <c r="F4643" s="52" t="s">
        <v>581</v>
      </c>
      <c r="G4643" s="195" t="s">
        <v>276</v>
      </c>
      <c r="H4643" s="195">
        <v>0.16101099999999999</v>
      </c>
      <c r="I4643" s="195">
        <v>1.7985000000000001E-2</v>
      </c>
      <c r="J4643" s="195">
        <v>8.4814000000000001E-3</v>
      </c>
      <c r="K4643" s="195">
        <v>8.8891999999999999E-3</v>
      </c>
      <c r="L4643" s="195">
        <v>5.1359999999999999E-3</v>
      </c>
      <c r="M4643" s="195">
        <v>3.6159999999999999E-3</v>
      </c>
      <c r="N4643" s="195">
        <v>1.72E-3</v>
      </c>
    </row>
    <row r="4644" spans="1:14" hidden="1" x14ac:dyDescent="0.35">
      <c r="A4644" s="52" t="s">
        <v>648</v>
      </c>
      <c r="B4644" s="52" t="s">
        <v>37</v>
      </c>
      <c r="C4644" s="52" t="s">
        <v>63</v>
      </c>
      <c r="D4644" s="52" t="s">
        <v>63</v>
      </c>
      <c r="E4644" s="52" t="s">
        <v>612</v>
      </c>
      <c r="F4644" s="52" t="s">
        <v>581</v>
      </c>
      <c r="G4644" s="195" t="s">
        <v>277</v>
      </c>
      <c r="H4644" s="195"/>
      <c r="I4644" s="195"/>
      <c r="J4644" s="195"/>
      <c r="K4644" s="195"/>
      <c r="L4644" s="195">
        <v>0</v>
      </c>
      <c r="M4644" s="195"/>
      <c r="N4644" s="195"/>
    </row>
    <row r="4645" spans="1:14" hidden="1" x14ac:dyDescent="0.35">
      <c r="A4645" s="52" t="s">
        <v>648</v>
      </c>
      <c r="B4645" s="52" t="s">
        <v>37</v>
      </c>
      <c r="C4645" s="52" t="s">
        <v>63</v>
      </c>
      <c r="D4645" s="52" t="s">
        <v>63</v>
      </c>
      <c r="E4645" s="52" t="s">
        <v>612</v>
      </c>
      <c r="F4645" s="52" t="s">
        <v>581</v>
      </c>
      <c r="G4645" s="195" t="s">
        <v>279</v>
      </c>
      <c r="H4645" s="195">
        <v>0.92198199999999997</v>
      </c>
      <c r="I4645" s="195">
        <v>0.55710000000000004</v>
      </c>
      <c r="J4645" s="195">
        <v>0.43374580000000001</v>
      </c>
      <c r="K4645" s="195">
        <v>0.38332319999999998</v>
      </c>
      <c r="L4645" s="195">
        <v>0.36697580000000002</v>
      </c>
      <c r="M4645" s="195">
        <v>0.32374380000000003</v>
      </c>
      <c r="N4645" s="195">
        <v>0.290744</v>
      </c>
    </row>
    <row r="4646" spans="1:14" hidden="1" x14ac:dyDescent="0.35">
      <c r="A4646" s="52" t="s">
        <v>648</v>
      </c>
      <c r="B4646" s="52" t="s">
        <v>37</v>
      </c>
      <c r="C4646" s="52" t="s">
        <v>63</v>
      </c>
      <c r="D4646" s="52" t="s">
        <v>63</v>
      </c>
      <c r="E4646" s="52" t="s">
        <v>612</v>
      </c>
      <c r="F4646" s="52" t="s">
        <v>26</v>
      </c>
      <c r="G4646" s="195" t="s">
        <v>275</v>
      </c>
      <c r="H4646" s="195">
        <v>0.93005499999999997</v>
      </c>
      <c r="I4646" s="195">
        <v>0.53846039999999995</v>
      </c>
      <c r="J4646" s="195">
        <v>0.4025688</v>
      </c>
      <c r="K4646" s="195">
        <v>0.20862559999999999</v>
      </c>
      <c r="L4646" s="195">
        <v>7.3129E-2</v>
      </c>
      <c r="M4646" s="195">
        <v>6.6461800000000001E-2</v>
      </c>
      <c r="N4646" s="195">
        <v>6.0310000000000002E-2</v>
      </c>
    </row>
    <row r="4647" spans="1:14" hidden="1" x14ac:dyDescent="0.35">
      <c r="A4647" s="52" t="s">
        <v>648</v>
      </c>
      <c r="B4647" s="52" t="s">
        <v>37</v>
      </c>
      <c r="C4647" s="52" t="s">
        <v>63</v>
      </c>
      <c r="D4647" s="52" t="s">
        <v>63</v>
      </c>
      <c r="E4647" s="52" t="s">
        <v>612</v>
      </c>
      <c r="F4647" s="52" t="s">
        <v>26</v>
      </c>
      <c r="G4647" s="195" t="s">
        <v>276</v>
      </c>
      <c r="H4647" s="195">
        <v>-0.19391</v>
      </c>
      <c r="I4647" s="195">
        <v>-0.23693739999999999</v>
      </c>
      <c r="J4647" s="195">
        <v>-0.12403599999999999</v>
      </c>
      <c r="K4647" s="195">
        <v>-1.9771400000000001E-2</v>
      </c>
      <c r="L4647" s="195">
        <v>2.96108E-2</v>
      </c>
      <c r="M4647" s="195">
        <v>2.6910799999999999E-2</v>
      </c>
      <c r="N4647" s="195">
        <v>2.44202E-2</v>
      </c>
    </row>
    <row r="4648" spans="1:14" hidden="1" x14ac:dyDescent="0.35">
      <c r="A4648" s="52" t="s">
        <v>648</v>
      </c>
      <c r="B4648" s="52" t="s">
        <v>37</v>
      </c>
      <c r="C4648" s="52" t="s">
        <v>63</v>
      </c>
      <c r="D4648" s="52" t="s">
        <v>63</v>
      </c>
      <c r="E4648" s="52" t="s">
        <v>612</v>
      </c>
      <c r="F4648" s="52" t="s">
        <v>26</v>
      </c>
      <c r="G4648" s="195" t="s">
        <v>277</v>
      </c>
      <c r="H4648" s="195"/>
      <c r="I4648" s="195"/>
      <c r="J4648" s="195"/>
      <c r="K4648" s="195"/>
      <c r="L4648" s="195">
        <v>0</v>
      </c>
      <c r="M4648" s="195">
        <v>0</v>
      </c>
      <c r="N4648" s="195">
        <v>0</v>
      </c>
    </row>
    <row r="4649" spans="1:14" hidden="1" x14ac:dyDescent="0.35">
      <c r="A4649" s="52" t="s">
        <v>648</v>
      </c>
      <c r="B4649" s="52" t="s">
        <v>37</v>
      </c>
      <c r="C4649" s="52" t="s">
        <v>63</v>
      </c>
      <c r="D4649" s="52" t="s">
        <v>63</v>
      </c>
      <c r="E4649" s="52" t="s">
        <v>612</v>
      </c>
      <c r="F4649" s="52" t="s">
        <v>26</v>
      </c>
      <c r="G4649" s="195" t="s">
        <v>279</v>
      </c>
      <c r="H4649" s="195">
        <v>1.7881739999999999</v>
      </c>
      <c r="I4649" s="195">
        <v>1.2054499999999999</v>
      </c>
      <c r="J4649" s="195">
        <v>0.96208199999999999</v>
      </c>
      <c r="K4649" s="195">
        <v>0.86420240000000004</v>
      </c>
      <c r="L4649" s="195">
        <v>0.8126816</v>
      </c>
      <c r="M4649" s="195">
        <v>0.7196671</v>
      </c>
      <c r="N4649" s="195">
        <v>0.64637370000000005</v>
      </c>
    </row>
    <row r="4650" spans="1:14" hidden="1" x14ac:dyDescent="0.35">
      <c r="A4650" s="52" t="s">
        <v>648</v>
      </c>
      <c r="B4650" s="52" t="s">
        <v>37</v>
      </c>
      <c r="C4650" s="52" t="s">
        <v>63</v>
      </c>
      <c r="D4650" s="52" t="s">
        <v>63</v>
      </c>
      <c r="E4650" s="52" t="s">
        <v>611</v>
      </c>
      <c r="F4650" s="52" t="s">
        <v>581</v>
      </c>
      <c r="G4650" s="195" t="s">
        <v>275</v>
      </c>
      <c r="H4650" s="195">
        <v>0.265181</v>
      </c>
      <c r="I4650" s="195">
        <v>5.2660600000000002E-2</v>
      </c>
      <c r="J4650" s="195">
        <v>3.6911399999999997E-2</v>
      </c>
      <c r="K4650" s="195">
        <v>3.48942E-2</v>
      </c>
      <c r="L4650" s="195">
        <v>2.99776E-2</v>
      </c>
      <c r="M4650" s="195">
        <v>3.0045200000000001E-2</v>
      </c>
      <c r="N4650" s="195">
        <v>2.7659400000000001E-2</v>
      </c>
    </row>
    <row r="4651" spans="1:14" hidden="1" x14ac:dyDescent="0.35">
      <c r="A4651" s="52" t="s">
        <v>648</v>
      </c>
      <c r="B4651" s="52" t="s">
        <v>37</v>
      </c>
      <c r="C4651" s="52" t="s">
        <v>63</v>
      </c>
      <c r="D4651" s="52" t="s">
        <v>63</v>
      </c>
      <c r="E4651" s="52" t="s">
        <v>611</v>
      </c>
      <c r="F4651" s="52" t="s">
        <v>581</v>
      </c>
      <c r="G4651" s="195" t="s">
        <v>276</v>
      </c>
      <c r="H4651" s="195">
        <v>2.9137E-2</v>
      </c>
      <c r="I4651" s="195">
        <v>1.73566E-2</v>
      </c>
      <c r="J4651" s="195">
        <v>1.31012E-2</v>
      </c>
      <c r="K4651" s="195">
        <v>9.5080000000000008E-3</v>
      </c>
      <c r="L4651" s="195">
        <v>5.4552000000000003E-3</v>
      </c>
      <c r="M4651" s="195">
        <v>3.3005999999999999E-3</v>
      </c>
      <c r="N4651" s="195">
        <v>3.0387999999999999E-3</v>
      </c>
    </row>
    <row r="4652" spans="1:14" hidden="1" x14ac:dyDescent="0.35">
      <c r="A4652" s="52" t="s">
        <v>648</v>
      </c>
      <c r="B4652" s="52" t="s">
        <v>37</v>
      </c>
      <c r="C4652" s="52" t="s">
        <v>63</v>
      </c>
      <c r="D4652" s="52" t="s">
        <v>63</v>
      </c>
      <c r="E4652" s="52" t="s">
        <v>611</v>
      </c>
      <c r="F4652" s="52" t="s">
        <v>581</v>
      </c>
      <c r="G4652" s="195" t="s">
        <v>279</v>
      </c>
      <c r="H4652" s="195">
        <v>8.4268999999999997E-2</v>
      </c>
      <c r="I4652" s="195">
        <v>6.3713800000000001E-2</v>
      </c>
      <c r="J4652" s="195">
        <v>5.5756600000000003E-2</v>
      </c>
      <c r="K4652" s="195">
        <v>5.3286199999999999E-2</v>
      </c>
      <c r="L4652" s="195">
        <v>5.4654399999999999E-2</v>
      </c>
      <c r="M4652" s="195">
        <v>5.0075399999999999E-2</v>
      </c>
      <c r="N4652" s="195">
        <v>4.60676E-2</v>
      </c>
    </row>
    <row r="4653" spans="1:14" hidden="1" x14ac:dyDescent="0.35">
      <c r="A4653" s="52" t="s">
        <v>648</v>
      </c>
      <c r="B4653" s="52" t="s">
        <v>37</v>
      </c>
      <c r="C4653" s="52" t="s">
        <v>63</v>
      </c>
      <c r="D4653" s="52" t="s">
        <v>63</v>
      </c>
      <c r="E4653" s="52" t="s">
        <v>611</v>
      </c>
      <c r="F4653" s="52" t="s">
        <v>26</v>
      </c>
      <c r="G4653" s="195" t="s">
        <v>275</v>
      </c>
      <c r="H4653" s="195">
        <v>7.7531000000000003E-2</v>
      </c>
      <c r="I4653" s="195">
        <v>-1.2604199999999999E-2</v>
      </c>
      <c r="J4653" s="195">
        <v>-2.859E-3</v>
      </c>
      <c r="K4653" s="195">
        <v>-1.4635199999999999E-2</v>
      </c>
      <c r="L4653" s="195">
        <v>-3.42108E-2</v>
      </c>
      <c r="M4653" s="195">
        <v>-3.0561600000000001E-2</v>
      </c>
      <c r="N4653" s="195">
        <v>-2.7888799999999998E-2</v>
      </c>
    </row>
    <row r="4654" spans="1:14" hidden="1" x14ac:dyDescent="0.35">
      <c r="A4654" s="52" t="s">
        <v>648</v>
      </c>
      <c r="B4654" s="52" t="s">
        <v>37</v>
      </c>
      <c r="C4654" s="52" t="s">
        <v>63</v>
      </c>
      <c r="D4654" s="52" t="s">
        <v>63</v>
      </c>
      <c r="E4654" s="52" t="s">
        <v>611</v>
      </c>
      <c r="F4654" s="52" t="s">
        <v>26</v>
      </c>
      <c r="G4654" s="195" t="s">
        <v>276</v>
      </c>
      <c r="H4654" s="195">
        <v>-4.3804000000000003E-2</v>
      </c>
      <c r="I4654" s="195">
        <v>-1.1372000000000001E-3</v>
      </c>
      <c r="J4654" s="195">
        <v>6.8779989999999999E-4</v>
      </c>
      <c r="K4654" s="195">
        <v>-1.3045999999999999E-3</v>
      </c>
      <c r="L4654" s="195">
        <v>-3.7591999999999999E-3</v>
      </c>
      <c r="M4654" s="195">
        <v>-3.3582E-3</v>
      </c>
      <c r="N4654" s="195">
        <v>-3.0642E-3</v>
      </c>
    </row>
    <row r="4655" spans="1:14" hidden="1" x14ac:dyDescent="0.35">
      <c r="A4655" s="52" t="s">
        <v>648</v>
      </c>
      <c r="B4655" s="52" t="s">
        <v>37</v>
      </c>
      <c r="C4655" s="52" t="s">
        <v>63</v>
      </c>
      <c r="D4655" s="52" t="s">
        <v>63</v>
      </c>
      <c r="E4655" s="52" t="s">
        <v>611</v>
      </c>
      <c r="F4655" s="52" t="s">
        <v>26</v>
      </c>
      <c r="G4655" s="195" t="s">
        <v>277</v>
      </c>
      <c r="H4655" s="195"/>
      <c r="I4655" s="195"/>
      <c r="J4655" s="195"/>
      <c r="K4655" s="195"/>
      <c r="L4655" s="195">
        <v>0</v>
      </c>
      <c r="M4655" s="195">
        <v>0</v>
      </c>
      <c r="N4655" s="195">
        <v>0</v>
      </c>
    </row>
    <row r="4656" spans="1:14" hidden="1" x14ac:dyDescent="0.35">
      <c r="A4656" s="52" t="s">
        <v>648</v>
      </c>
      <c r="B4656" s="52" t="s">
        <v>37</v>
      </c>
      <c r="C4656" s="52" t="s">
        <v>63</v>
      </c>
      <c r="D4656" s="52" t="s">
        <v>63</v>
      </c>
      <c r="E4656" s="52" t="s">
        <v>611</v>
      </c>
      <c r="F4656" s="52" t="s">
        <v>26</v>
      </c>
      <c r="G4656" s="195" t="s">
        <v>279</v>
      </c>
      <c r="H4656" s="195">
        <v>0.403229</v>
      </c>
      <c r="I4656" s="195">
        <v>0.32128580000000001</v>
      </c>
      <c r="J4656" s="195">
        <v>0.28680020000000001</v>
      </c>
      <c r="K4656" s="195">
        <v>0.27863860000000001</v>
      </c>
      <c r="L4656" s="195">
        <v>0.27991880000000002</v>
      </c>
      <c r="M4656" s="195">
        <v>0.25755040000000001</v>
      </c>
      <c r="N4656" s="195">
        <v>0.23697199999999999</v>
      </c>
    </row>
    <row r="4657" spans="1:14" hidden="1" x14ac:dyDescent="0.35">
      <c r="A4657" s="52" t="s">
        <v>648</v>
      </c>
      <c r="B4657" s="52" t="s">
        <v>37</v>
      </c>
      <c r="C4657" s="52" t="s">
        <v>46</v>
      </c>
      <c r="D4657" s="52" t="s">
        <v>46</v>
      </c>
      <c r="E4657" s="52" t="s">
        <v>584</v>
      </c>
      <c r="F4657" s="52" t="s">
        <v>581</v>
      </c>
      <c r="G4657" s="195" t="s">
        <v>275</v>
      </c>
      <c r="H4657" s="195">
        <v>36.92351</v>
      </c>
      <c r="I4657" s="195">
        <v>6.1545810000000003</v>
      </c>
      <c r="J4657" s="195">
        <v>4.6636470000000001</v>
      </c>
      <c r="K4657" s="195">
        <v>4.3391830000000002</v>
      </c>
      <c r="L4657" s="195">
        <v>3.0883790000000002</v>
      </c>
      <c r="M4657" s="195">
        <v>2.576076</v>
      </c>
      <c r="N4657" s="195">
        <v>2.1172490000000002</v>
      </c>
    </row>
    <row r="4658" spans="1:14" hidden="1" x14ac:dyDescent="0.35">
      <c r="A4658" s="52" t="s">
        <v>648</v>
      </c>
      <c r="B4658" s="52" t="s">
        <v>37</v>
      </c>
      <c r="C4658" s="52" t="s">
        <v>46</v>
      </c>
      <c r="D4658" s="52" t="s">
        <v>46</v>
      </c>
      <c r="E4658" s="52" t="s">
        <v>584</v>
      </c>
      <c r="F4658" s="52" t="s">
        <v>581</v>
      </c>
      <c r="G4658" s="195" t="s">
        <v>276</v>
      </c>
      <c r="H4658" s="195">
        <v>10.696999999999999</v>
      </c>
      <c r="I4658" s="195">
        <v>1.7830029999999999</v>
      </c>
      <c r="J4658" s="195">
        <v>1.3511869999999999</v>
      </c>
      <c r="K4658" s="195">
        <v>1.2572950000000001</v>
      </c>
      <c r="L4658" s="195">
        <v>0.89482680000000003</v>
      </c>
      <c r="M4658" s="195">
        <v>0.74626820000000005</v>
      </c>
      <c r="N4658" s="195">
        <v>0.61321460000000005</v>
      </c>
    </row>
    <row r="4659" spans="1:14" hidden="1" x14ac:dyDescent="0.35">
      <c r="A4659" s="52" t="s">
        <v>648</v>
      </c>
      <c r="B4659" s="52" t="s">
        <v>37</v>
      </c>
      <c r="C4659" s="52" t="s">
        <v>46</v>
      </c>
      <c r="D4659" s="52" t="s">
        <v>46</v>
      </c>
      <c r="E4659" s="52" t="s">
        <v>584</v>
      </c>
      <c r="F4659" s="52" t="s">
        <v>581</v>
      </c>
      <c r="G4659" s="195" t="s">
        <v>279</v>
      </c>
      <c r="H4659" s="195">
        <v>27.70289</v>
      </c>
      <c r="I4659" s="195">
        <v>11.34327</v>
      </c>
      <c r="J4659" s="195">
        <v>10.81203</v>
      </c>
      <c r="K4659" s="195">
        <v>10.965059999999999</v>
      </c>
      <c r="L4659" s="195">
        <v>10.511520000000001</v>
      </c>
      <c r="M4659" s="195">
        <v>8.5077490000000004</v>
      </c>
      <c r="N4659" s="195">
        <v>6.9952639999999997</v>
      </c>
    </row>
    <row r="4660" spans="1:14" hidden="1" x14ac:dyDescent="0.35">
      <c r="A4660" s="52" t="s">
        <v>648</v>
      </c>
      <c r="B4660" s="52" t="s">
        <v>37</v>
      </c>
      <c r="C4660" s="52" t="s">
        <v>46</v>
      </c>
      <c r="D4660" s="52" t="s">
        <v>46</v>
      </c>
      <c r="E4660" s="52" t="s">
        <v>584</v>
      </c>
      <c r="F4660" s="52" t="s">
        <v>26</v>
      </c>
      <c r="G4660" s="195" t="s">
        <v>275</v>
      </c>
      <c r="H4660" s="195">
        <v>32.614519999999999</v>
      </c>
      <c r="I4660" s="195">
        <v>55.441760000000002</v>
      </c>
      <c r="J4660" s="195">
        <v>39.076259999999998</v>
      </c>
      <c r="K4660" s="195">
        <v>11.50535</v>
      </c>
      <c r="L4660" s="195">
        <v>12.654960000000001</v>
      </c>
      <c r="M4660" s="195">
        <v>9.5400609999999997</v>
      </c>
      <c r="N4660" s="195">
        <v>11.47907</v>
      </c>
    </row>
    <row r="4661" spans="1:14" hidden="1" x14ac:dyDescent="0.35">
      <c r="A4661" s="52" t="s">
        <v>648</v>
      </c>
      <c r="B4661" s="52" t="s">
        <v>37</v>
      </c>
      <c r="C4661" s="52" t="s">
        <v>46</v>
      </c>
      <c r="D4661" s="52" t="s">
        <v>46</v>
      </c>
      <c r="E4661" s="52" t="s">
        <v>584</v>
      </c>
      <c r="F4661" s="52" t="s">
        <v>26</v>
      </c>
      <c r="G4661" s="195" t="s">
        <v>276</v>
      </c>
      <c r="H4661" s="195">
        <v>-66.219059999999999</v>
      </c>
      <c r="I4661" s="195">
        <v>-40.050829999999998</v>
      </c>
      <c r="J4661" s="195">
        <v>-43.635120000000001</v>
      </c>
      <c r="K4661" s="195">
        <v>-11.916309999999999</v>
      </c>
      <c r="L4661" s="195">
        <v>-5.3409380000000004</v>
      </c>
      <c r="M4661" s="195">
        <v>1.2584230000000001</v>
      </c>
      <c r="N4661" s="195">
        <v>-4.9244900000000001E-2</v>
      </c>
    </row>
    <row r="4662" spans="1:14" hidden="1" x14ac:dyDescent="0.35">
      <c r="A4662" s="52" t="s">
        <v>648</v>
      </c>
      <c r="B4662" s="52" t="s">
        <v>37</v>
      </c>
      <c r="C4662" s="52" t="s">
        <v>46</v>
      </c>
      <c r="D4662" s="52" t="s">
        <v>46</v>
      </c>
      <c r="E4662" s="52" t="s">
        <v>584</v>
      </c>
      <c r="F4662" s="52" t="s">
        <v>26</v>
      </c>
      <c r="G4662" s="195" t="s">
        <v>277</v>
      </c>
      <c r="H4662" s="195">
        <v>68.604290000000006</v>
      </c>
      <c r="I4662" s="195">
        <v>1.9131640000000001</v>
      </c>
      <c r="J4662" s="195">
        <v>24.385090000000002</v>
      </c>
      <c r="K4662" s="195">
        <v>17.356639999999999</v>
      </c>
      <c r="L4662" s="195">
        <v>4.9254040000000003</v>
      </c>
      <c r="M4662" s="195">
        <v>2.4095499999999999</v>
      </c>
      <c r="N4662" s="195">
        <v>2.487063</v>
      </c>
    </row>
    <row r="4663" spans="1:14" hidden="1" x14ac:dyDescent="0.35">
      <c r="A4663" s="52" t="s">
        <v>648</v>
      </c>
      <c r="B4663" s="52" t="s">
        <v>37</v>
      </c>
      <c r="C4663" s="52" t="s">
        <v>46</v>
      </c>
      <c r="D4663" s="52" t="s">
        <v>46</v>
      </c>
      <c r="E4663" s="52" t="s">
        <v>584</v>
      </c>
      <c r="F4663" s="52" t="s">
        <v>26</v>
      </c>
      <c r="G4663" s="195" t="s">
        <v>278</v>
      </c>
      <c r="H4663" s="195">
        <v>6.8856000000000001E-2</v>
      </c>
      <c r="I4663" s="195">
        <v>0</v>
      </c>
      <c r="J4663" s="195"/>
      <c r="K4663" s="195"/>
      <c r="L4663" s="195"/>
      <c r="M4663" s="195"/>
      <c r="N4663" s="195"/>
    </row>
    <row r="4664" spans="1:14" hidden="1" x14ac:dyDescent="0.35">
      <c r="A4664" s="52" t="s">
        <v>648</v>
      </c>
      <c r="B4664" s="52" t="s">
        <v>37</v>
      </c>
      <c r="C4664" s="52" t="s">
        <v>46</v>
      </c>
      <c r="D4664" s="52" t="s">
        <v>46</v>
      </c>
      <c r="E4664" s="52" t="s">
        <v>584</v>
      </c>
      <c r="F4664" s="52" t="s">
        <v>26</v>
      </c>
      <c r="G4664" s="195" t="s">
        <v>279</v>
      </c>
      <c r="H4664" s="195">
        <v>117.2413</v>
      </c>
      <c r="I4664" s="195">
        <v>64.741889999999998</v>
      </c>
      <c r="J4664" s="195">
        <v>63.960129999999999</v>
      </c>
      <c r="K4664" s="195">
        <v>65.97363</v>
      </c>
      <c r="L4664" s="195">
        <v>62.464239999999997</v>
      </c>
      <c r="M4664" s="195">
        <v>50.954239999999999</v>
      </c>
      <c r="N4664" s="195">
        <v>42.131599999999999</v>
      </c>
    </row>
    <row r="4665" spans="1:14" hidden="1" x14ac:dyDescent="0.35">
      <c r="A4665" s="52" t="s">
        <v>648</v>
      </c>
      <c r="B4665" s="52" t="s">
        <v>37</v>
      </c>
      <c r="C4665" s="52" t="s">
        <v>105</v>
      </c>
      <c r="D4665" s="52" t="s">
        <v>105</v>
      </c>
      <c r="E4665" s="52" t="s">
        <v>620</v>
      </c>
      <c r="F4665" s="52" t="s">
        <v>581</v>
      </c>
      <c r="G4665" s="195" t="s">
        <v>275</v>
      </c>
      <c r="H4665" s="195">
        <v>-0.62824000000000002</v>
      </c>
      <c r="I4665" s="195">
        <v>-0.6120276</v>
      </c>
      <c r="J4665" s="195">
        <v>0.18722720000000001</v>
      </c>
      <c r="K4665" s="195">
        <v>0.15877920000000001</v>
      </c>
      <c r="L4665" s="195">
        <v>0.2613702</v>
      </c>
      <c r="M4665" s="195">
        <v>0.11195620000000001</v>
      </c>
      <c r="N4665" s="195">
        <v>2.1824409999999999E-2</v>
      </c>
    </row>
    <row r="4666" spans="1:14" hidden="1" x14ac:dyDescent="0.35">
      <c r="A4666" s="52" t="s">
        <v>648</v>
      </c>
      <c r="B4666" s="52" t="s">
        <v>37</v>
      </c>
      <c r="C4666" s="52" t="s">
        <v>105</v>
      </c>
      <c r="D4666" s="52" t="s">
        <v>105</v>
      </c>
      <c r="E4666" s="52" t="s">
        <v>620</v>
      </c>
      <c r="F4666" s="52" t="s">
        <v>581</v>
      </c>
      <c r="G4666" s="195" t="s">
        <v>276</v>
      </c>
      <c r="H4666" s="195">
        <v>0.34681400000000001</v>
      </c>
      <c r="I4666" s="195">
        <v>-0.17403940000000001</v>
      </c>
      <c r="J4666" s="195">
        <v>-7.4682609999999996E-2</v>
      </c>
      <c r="K4666" s="195">
        <v>-6.4165600000000003E-2</v>
      </c>
      <c r="L4666" s="195">
        <v>-0.24013760000000001</v>
      </c>
      <c r="M4666" s="195">
        <v>-8.6602810000000002E-2</v>
      </c>
      <c r="N4666" s="195">
        <v>1.6532000000000001E-3</v>
      </c>
    </row>
    <row r="4667" spans="1:14" hidden="1" x14ac:dyDescent="0.35">
      <c r="A4667" s="52" t="s">
        <v>648</v>
      </c>
      <c r="B4667" s="52" t="s">
        <v>37</v>
      </c>
      <c r="C4667" s="52" t="s">
        <v>105</v>
      </c>
      <c r="D4667" s="52" t="s">
        <v>105</v>
      </c>
      <c r="E4667" s="52" t="s">
        <v>620</v>
      </c>
      <c r="F4667" s="52" t="s">
        <v>581</v>
      </c>
      <c r="G4667" s="195" t="s">
        <v>277</v>
      </c>
      <c r="H4667" s="195">
        <v>2.44529</v>
      </c>
      <c r="I4667" s="195">
        <v>1.007895</v>
      </c>
      <c r="J4667" s="195">
        <v>2.7292799999999999E-2</v>
      </c>
      <c r="K4667" s="195">
        <v>1.6735999999999999E-3</v>
      </c>
      <c r="L4667" s="195"/>
      <c r="M4667" s="195">
        <v>0</v>
      </c>
      <c r="N4667" s="195">
        <v>0</v>
      </c>
    </row>
    <row r="4668" spans="1:14" hidden="1" x14ac:dyDescent="0.35">
      <c r="A4668" s="52" t="s">
        <v>648</v>
      </c>
      <c r="B4668" s="52" t="s">
        <v>37</v>
      </c>
      <c r="C4668" s="52" t="s">
        <v>105</v>
      </c>
      <c r="D4668" s="52" t="s">
        <v>105</v>
      </c>
      <c r="E4668" s="52" t="s">
        <v>620</v>
      </c>
      <c r="F4668" s="52" t="s">
        <v>581</v>
      </c>
      <c r="G4668" s="195" t="s">
        <v>278</v>
      </c>
      <c r="H4668" s="195">
        <v>0.120407</v>
      </c>
      <c r="I4668" s="195">
        <v>5.0078999999999999E-2</v>
      </c>
      <c r="J4668" s="195">
        <v>9.5906010000000007E-3</v>
      </c>
      <c r="K4668" s="195"/>
      <c r="L4668" s="195">
        <v>0</v>
      </c>
      <c r="M4668" s="195"/>
      <c r="N4668" s="195"/>
    </row>
    <row r="4669" spans="1:14" hidden="1" x14ac:dyDescent="0.35">
      <c r="A4669" s="52" t="s">
        <v>648</v>
      </c>
      <c r="B4669" s="52" t="s">
        <v>37</v>
      </c>
      <c r="C4669" s="52" t="s">
        <v>105</v>
      </c>
      <c r="D4669" s="52" t="s">
        <v>105</v>
      </c>
      <c r="E4669" s="52" t="s">
        <v>620</v>
      </c>
      <c r="F4669" s="52" t="s">
        <v>581</v>
      </c>
      <c r="G4669" s="195" t="s">
        <v>279</v>
      </c>
      <c r="H4669" s="195">
        <v>1.336066</v>
      </c>
      <c r="I4669" s="195">
        <v>0.94054720000000003</v>
      </c>
      <c r="J4669" s="195">
        <v>0.85386660000000003</v>
      </c>
      <c r="K4669" s="195">
        <v>0.71857119999999997</v>
      </c>
      <c r="L4669" s="195">
        <v>0.68879239999999997</v>
      </c>
      <c r="M4669" s="195">
        <v>0.61049399999999998</v>
      </c>
      <c r="N4669" s="195">
        <v>0.55196080000000003</v>
      </c>
    </row>
    <row r="4670" spans="1:14" hidden="1" x14ac:dyDescent="0.35">
      <c r="A4670" s="52" t="s">
        <v>648</v>
      </c>
      <c r="B4670" s="52" t="s">
        <v>37</v>
      </c>
      <c r="C4670" s="52" t="s">
        <v>105</v>
      </c>
      <c r="D4670" s="52" t="s">
        <v>105</v>
      </c>
      <c r="E4670" s="52" t="s">
        <v>620</v>
      </c>
      <c r="F4670" s="52" t="s">
        <v>26</v>
      </c>
      <c r="G4670" s="195" t="s">
        <v>275</v>
      </c>
      <c r="H4670" s="195">
        <v>-0.33551799999999998</v>
      </c>
      <c r="I4670" s="195">
        <v>-0.3336382</v>
      </c>
      <c r="J4670" s="195">
        <v>-0.29394680000000001</v>
      </c>
      <c r="K4670" s="195">
        <v>-0.2719374</v>
      </c>
      <c r="L4670" s="195">
        <v>-0.28642620000000002</v>
      </c>
      <c r="M4670" s="195">
        <v>-0.25352960000000002</v>
      </c>
      <c r="N4670" s="195">
        <v>-0.22894120000000001</v>
      </c>
    </row>
    <row r="4671" spans="1:14" hidden="1" x14ac:dyDescent="0.35">
      <c r="A4671" s="52" t="s">
        <v>648</v>
      </c>
      <c r="B4671" s="52" t="s">
        <v>37</v>
      </c>
      <c r="C4671" s="52" t="s">
        <v>105</v>
      </c>
      <c r="D4671" s="52" t="s">
        <v>105</v>
      </c>
      <c r="E4671" s="52" t="s">
        <v>620</v>
      </c>
      <c r="F4671" s="52" t="s">
        <v>26</v>
      </c>
      <c r="G4671" s="195" t="s">
        <v>276</v>
      </c>
      <c r="H4671" s="195">
        <v>-8.9189000000000004E-2</v>
      </c>
      <c r="I4671" s="195">
        <v>-8.8688400000000001E-2</v>
      </c>
      <c r="J4671" s="195">
        <v>-7.8138399999999997E-2</v>
      </c>
      <c r="K4671" s="195">
        <v>-7.2288000000000005E-2</v>
      </c>
      <c r="L4671" s="195">
        <v>-7.6138800000000006E-2</v>
      </c>
      <c r="M4671" s="195">
        <v>-6.7394200000000001E-2</v>
      </c>
      <c r="N4671" s="195">
        <v>-6.08572E-2</v>
      </c>
    </row>
    <row r="4672" spans="1:14" hidden="1" x14ac:dyDescent="0.35">
      <c r="A4672" s="52" t="s">
        <v>648</v>
      </c>
      <c r="B4672" s="52" t="s">
        <v>37</v>
      </c>
      <c r="C4672" s="52" t="s">
        <v>105</v>
      </c>
      <c r="D4672" s="52" t="s">
        <v>105</v>
      </c>
      <c r="E4672" s="52" t="s">
        <v>620</v>
      </c>
      <c r="F4672" s="52" t="s">
        <v>26</v>
      </c>
      <c r="G4672" s="195" t="s">
        <v>279</v>
      </c>
      <c r="H4672" s="195">
        <v>1.25762</v>
      </c>
      <c r="I4672" s="195">
        <v>1.0167710000000001</v>
      </c>
      <c r="J4672" s="195">
        <v>0.94763240000000004</v>
      </c>
      <c r="K4672" s="195">
        <v>0.81273899999999999</v>
      </c>
      <c r="L4672" s="195">
        <v>0.76853020000000005</v>
      </c>
      <c r="M4672" s="195">
        <v>0.68357219999999996</v>
      </c>
      <c r="N4672" s="195">
        <v>0.61806939999999999</v>
      </c>
    </row>
    <row r="4673" spans="1:14" hidden="1" x14ac:dyDescent="0.35">
      <c r="A4673" s="52" t="s">
        <v>648</v>
      </c>
      <c r="B4673" s="52" t="s">
        <v>37</v>
      </c>
      <c r="C4673" s="52" t="s">
        <v>318</v>
      </c>
      <c r="D4673" s="52" t="s">
        <v>318</v>
      </c>
      <c r="E4673" s="52" t="s">
        <v>584</v>
      </c>
      <c r="F4673" s="52" t="s">
        <v>581</v>
      </c>
      <c r="G4673" s="195" t="s">
        <v>275</v>
      </c>
      <c r="H4673" s="195">
        <v>21.74306</v>
      </c>
      <c r="I4673" s="195">
        <v>0</v>
      </c>
      <c r="J4673" s="195"/>
      <c r="K4673" s="195"/>
      <c r="L4673" s="195"/>
      <c r="M4673" s="195"/>
      <c r="N4673" s="195"/>
    </row>
    <row r="4674" spans="1:14" hidden="1" x14ac:dyDescent="0.35">
      <c r="A4674" s="52" t="s">
        <v>648</v>
      </c>
      <c r="B4674" s="52" t="s">
        <v>37</v>
      </c>
      <c r="C4674" s="52" t="s">
        <v>318</v>
      </c>
      <c r="D4674" s="52" t="s">
        <v>318</v>
      </c>
      <c r="E4674" s="52" t="s">
        <v>584</v>
      </c>
      <c r="F4674" s="52" t="s">
        <v>581</v>
      </c>
      <c r="G4674" s="195" t="s">
        <v>276</v>
      </c>
      <c r="H4674" s="195">
        <v>-5.3226000000000002E-2</v>
      </c>
      <c r="I4674" s="195">
        <v>0</v>
      </c>
      <c r="J4674" s="195"/>
      <c r="K4674" s="195"/>
      <c r="L4674" s="195"/>
      <c r="M4674" s="195"/>
      <c r="N4674" s="195"/>
    </row>
    <row r="4675" spans="1:14" hidden="1" x14ac:dyDescent="0.35">
      <c r="A4675" s="52" t="s">
        <v>648</v>
      </c>
      <c r="B4675" s="52" t="s">
        <v>37</v>
      </c>
      <c r="C4675" s="52" t="s">
        <v>318</v>
      </c>
      <c r="D4675" s="52" t="s">
        <v>318</v>
      </c>
      <c r="E4675" s="52" t="s">
        <v>584</v>
      </c>
      <c r="F4675" s="52" t="s">
        <v>581</v>
      </c>
      <c r="G4675" s="195" t="s">
        <v>278</v>
      </c>
      <c r="H4675" s="195">
        <v>-21.68984</v>
      </c>
      <c r="I4675" s="195">
        <v>0</v>
      </c>
      <c r="J4675" s="195"/>
      <c r="K4675" s="195"/>
      <c r="L4675" s="195"/>
      <c r="M4675" s="195"/>
      <c r="N4675" s="195"/>
    </row>
    <row r="4676" spans="1:14" hidden="1" x14ac:dyDescent="0.35">
      <c r="A4676" s="52" t="s">
        <v>648</v>
      </c>
      <c r="B4676" s="52" t="s">
        <v>37</v>
      </c>
      <c r="C4676" s="52" t="s">
        <v>318</v>
      </c>
      <c r="D4676" s="52" t="s">
        <v>318</v>
      </c>
      <c r="E4676" s="52" t="s">
        <v>584</v>
      </c>
      <c r="F4676" s="52" t="s">
        <v>26</v>
      </c>
      <c r="G4676" s="195" t="s">
        <v>275</v>
      </c>
      <c r="H4676" s="195">
        <v>14.495369999999999</v>
      </c>
      <c r="I4676" s="195">
        <v>0</v>
      </c>
      <c r="J4676" s="195"/>
      <c r="K4676" s="195"/>
      <c r="L4676" s="195"/>
      <c r="M4676" s="195"/>
      <c r="N4676" s="195"/>
    </row>
    <row r="4677" spans="1:14" hidden="1" x14ac:dyDescent="0.35">
      <c r="A4677" s="52" t="s">
        <v>648</v>
      </c>
      <c r="B4677" s="52" t="s">
        <v>37</v>
      </c>
      <c r="C4677" s="52" t="s">
        <v>318</v>
      </c>
      <c r="D4677" s="52" t="s">
        <v>318</v>
      </c>
      <c r="E4677" s="52" t="s">
        <v>584</v>
      </c>
      <c r="F4677" s="52" t="s">
        <v>26</v>
      </c>
      <c r="G4677" s="195" t="s">
        <v>276</v>
      </c>
      <c r="H4677" s="195">
        <v>-3.5484000000000002E-2</v>
      </c>
      <c r="I4677" s="195">
        <v>0</v>
      </c>
      <c r="J4677" s="195"/>
      <c r="K4677" s="195"/>
      <c r="L4677" s="195"/>
      <c r="M4677" s="195"/>
      <c r="N4677" s="195"/>
    </row>
    <row r="4678" spans="1:14" hidden="1" x14ac:dyDescent="0.35">
      <c r="A4678" s="52" t="s">
        <v>648</v>
      </c>
      <c r="B4678" s="52" t="s">
        <v>37</v>
      </c>
      <c r="C4678" s="52" t="s">
        <v>318</v>
      </c>
      <c r="D4678" s="52" t="s">
        <v>318</v>
      </c>
      <c r="E4678" s="52" t="s">
        <v>584</v>
      </c>
      <c r="F4678" s="52" t="s">
        <v>26</v>
      </c>
      <c r="G4678" s="195" t="s">
        <v>278</v>
      </c>
      <c r="H4678" s="195">
        <v>-14.45989</v>
      </c>
      <c r="I4678" s="195">
        <v>0</v>
      </c>
      <c r="J4678" s="195"/>
      <c r="K4678" s="195"/>
      <c r="L4678" s="195"/>
      <c r="M4678" s="195"/>
      <c r="N4678" s="195"/>
    </row>
    <row r="4679" spans="1:14" hidden="1" x14ac:dyDescent="0.35">
      <c r="A4679" s="52" t="s">
        <v>648</v>
      </c>
      <c r="B4679" s="52" t="s">
        <v>649</v>
      </c>
      <c r="C4679" s="52" t="s">
        <v>650</v>
      </c>
      <c r="D4679" s="52" t="s">
        <v>650</v>
      </c>
      <c r="E4679" s="52" t="s">
        <v>584</v>
      </c>
      <c r="F4679" s="52" t="s">
        <v>581</v>
      </c>
      <c r="G4679" s="195" t="s">
        <v>275</v>
      </c>
      <c r="H4679" s="195">
        <v>0.57096610000000003</v>
      </c>
      <c r="I4679" s="195">
        <v>0.1042534</v>
      </c>
      <c r="J4679" s="195">
        <v>6.349523E-2</v>
      </c>
      <c r="K4679" s="195">
        <v>1.8809889999999999E-2</v>
      </c>
      <c r="L4679" s="195">
        <v>-5.9507790000000004E-4</v>
      </c>
      <c r="M4679" s="195">
        <v>-1.012249E-2</v>
      </c>
      <c r="N4679" s="195">
        <v>-1.9022239999999999E-2</v>
      </c>
    </row>
    <row r="4680" spans="1:14" hidden="1" x14ac:dyDescent="0.35">
      <c r="A4680" s="52" t="s">
        <v>648</v>
      </c>
      <c r="B4680" s="52" t="s">
        <v>649</v>
      </c>
      <c r="C4680" s="52" t="s">
        <v>650</v>
      </c>
      <c r="D4680" s="52" t="s">
        <v>650</v>
      </c>
      <c r="E4680" s="52" t="s">
        <v>584</v>
      </c>
      <c r="F4680" s="52" t="s">
        <v>581</v>
      </c>
      <c r="G4680" s="195" t="s">
        <v>277</v>
      </c>
      <c r="H4680" s="195">
        <v>0.16831189999999999</v>
      </c>
      <c r="I4680" s="195">
        <v>0.12973789999999999</v>
      </c>
      <c r="J4680" s="195">
        <v>0.1202868</v>
      </c>
      <c r="K4680" s="195">
        <v>0.1553437</v>
      </c>
      <c r="L4680" s="195">
        <v>0.1710325</v>
      </c>
      <c r="M4680" s="195">
        <v>0.1781201</v>
      </c>
      <c r="N4680" s="195">
        <v>0.1843978</v>
      </c>
    </row>
    <row r="4681" spans="1:14" hidden="1" x14ac:dyDescent="0.35">
      <c r="A4681" s="52" t="s">
        <v>648</v>
      </c>
      <c r="B4681" s="52" t="s">
        <v>649</v>
      </c>
      <c r="C4681" s="52" t="s">
        <v>650</v>
      </c>
      <c r="D4681" s="52" t="s">
        <v>650</v>
      </c>
      <c r="E4681" s="52" t="s">
        <v>584</v>
      </c>
      <c r="F4681" s="52" t="s">
        <v>581</v>
      </c>
      <c r="G4681" s="195" t="s">
        <v>279</v>
      </c>
      <c r="H4681" s="195">
        <v>8.8442850000000003E-2</v>
      </c>
      <c r="I4681" s="195">
        <v>7.6462370000000002E-2</v>
      </c>
      <c r="J4681" s="195">
        <v>7.4570689999999995E-2</v>
      </c>
      <c r="K4681" s="195">
        <v>7.7476219999999998E-2</v>
      </c>
      <c r="L4681" s="195">
        <v>7.5828000000000007E-2</v>
      </c>
      <c r="M4681" s="195">
        <v>7.4747229999999998E-2</v>
      </c>
      <c r="N4681" s="195">
        <v>7.3585750000000005E-2</v>
      </c>
    </row>
    <row r="4682" spans="1:14" hidden="1" x14ac:dyDescent="0.35">
      <c r="A4682" s="52" t="s">
        <v>681</v>
      </c>
      <c r="B4682" s="52" t="s">
        <v>37</v>
      </c>
      <c r="C4682" s="52" t="s">
        <v>35</v>
      </c>
      <c r="D4682" s="52" t="s">
        <v>129</v>
      </c>
      <c r="E4682" s="52" t="s">
        <v>580</v>
      </c>
      <c r="F4682" s="52" t="s">
        <v>581</v>
      </c>
      <c r="G4682" s="195" t="s">
        <v>275</v>
      </c>
      <c r="H4682" s="195">
        <v>-43.610210000000002</v>
      </c>
      <c r="I4682" s="195">
        <v>60.243589999999998</v>
      </c>
      <c r="J4682" s="195">
        <v>212.4211</v>
      </c>
      <c r="K4682" s="195">
        <v>241.58500000000001</v>
      </c>
      <c r="L4682" s="195">
        <v>167.2054</v>
      </c>
      <c r="M4682" s="195">
        <v>104.9041</v>
      </c>
      <c r="N4682" s="195">
        <v>76.461160000000007</v>
      </c>
    </row>
    <row r="4683" spans="1:14" hidden="1" x14ac:dyDescent="0.35">
      <c r="A4683" s="52" t="s">
        <v>681</v>
      </c>
      <c r="B4683" s="52" t="s">
        <v>37</v>
      </c>
      <c r="C4683" s="52" t="s">
        <v>35</v>
      </c>
      <c r="D4683" s="52" t="s">
        <v>129</v>
      </c>
      <c r="E4683" s="52" t="s">
        <v>580</v>
      </c>
      <c r="F4683" s="52" t="s">
        <v>581</v>
      </c>
      <c r="G4683" s="195" t="s">
        <v>276</v>
      </c>
      <c r="H4683" s="195">
        <v>126.1647</v>
      </c>
      <c r="I4683" s="195">
        <v>-59.860030000000002</v>
      </c>
      <c r="J4683" s="195">
        <v>-93.443600000000004</v>
      </c>
      <c r="K4683" s="195">
        <v>-118.1215</v>
      </c>
      <c r="L4683" s="195">
        <v>-83.592250000000007</v>
      </c>
      <c r="M4683" s="195">
        <v>-5.3597200000000003</v>
      </c>
      <c r="N4683" s="195">
        <v>10.92834</v>
      </c>
    </row>
    <row r="4684" spans="1:14" hidden="1" x14ac:dyDescent="0.35">
      <c r="A4684" s="52" t="s">
        <v>681</v>
      </c>
      <c r="B4684" s="52" t="s">
        <v>37</v>
      </c>
      <c r="C4684" s="52" t="s">
        <v>35</v>
      </c>
      <c r="D4684" s="52" t="s">
        <v>129</v>
      </c>
      <c r="E4684" s="52" t="s">
        <v>580</v>
      </c>
      <c r="F4684" s="52" t="s">
        <v>581</v>
      </c>
      <c r="G4684" s="195" t="s">
        <v>277</v>
      </c>
      <c r="H4684" s="195">
        <v>1141.7919999999999</v>
      </c>
      <c r="I4684" s="195">
        <v>281.68639999999999</v>
      </c>
      <c r="J4684" s="195">
        <v>22.805499999999999</v>
      </c>
      <c r="K4684" s="195">
        <v>7.9897039999999997</v>
      </c>
      <c r="L4684" s="195">
        <v>4.9022880000000004</v>
      </c>
      <c r="M4684" s="195">
        <v>2.8303029999999998</v>
      </c>
      <c r="N4684" s="195">
        <v>10.33663</v>
      </c>
    </row>
    <row r="4685" spans="1:14" hidden="1" x14ac:dyDescent="0.35">
      <c r="A4685" s="52" t="s">
        <v>681</v>
      </c>
      <c r="B4685" s="52" t="s">
        <v>37</v>
      </c>
      <c r="C4685" s="52" t="s">
        <v>35</v>
      </c>
      <c r="D4685" s="52" t="s">
        <v>129</v>
      </c>
      <c r="E4685" s="52" t="s">
        <v>580</v>
      </c>
      <c r="F4685" s="52" t="s">
        <v>581</v>
      </c>
      <c r="G4685" s="195" t="s">
        <v>278</v>
      </c>
      <c r="H4685" s="195">
        <v>3.5040230000000001</v>
      </c>
      <c r="I4685" s="195">
        <v>3.4580410000000001</v>
      </c>
      <c r="J4685" s="195">
        <v>68.622789999999995</v>
      </c>
      <c r="K4685" s="195">
        <v>45.265900000000002</v>
      </c>
      <c r="L4685" s="195">
        <v>41.178069999999998</v>
      </c>
      <c r="M4685" s="195">
        <v>16.269870000000001</v>
      </c>
      <c r="N4685" s="195">
        <v>10.29697</v>
      </c>
    </row>
    <row r="4686" spans="1:14" hidden="1" x14ac:dyDescent="0.35">
      <c r="A4686" s="52" t="s">
        <v>681</v>
      </c>
      <c r="B4686" s="52" t="s">
        <v>37</v>
      </c>
      <c r="C4686" s="52" t="s">
        <v>35</v>
      </c>
      <c r="D4686" s="52" t="s">
        <v>129</v>
      </c>
      <c r="E4686" s="52" t="s">
        <v>580</v>
      </c>
      <c r="F4686" s="52" t="s">
        <v>581</v>
      </c>
      <c r="G4686" s="195" t="s">
        <v>279</v>
      </c>
      <c r="H4686" s="195">
        <v>514.7242</v>
      </c>
      <c r="I4686" s="195">
        <v>398.04680000000002</v>
      </c>
      <c r="J4686" s="195">
        <v>351.3458</v>
      </c>
      <c r="K4686" s="195">
        <v>309.8372</v>
      </c>
      <c r="L4686" s="195">
        <v>304.41180000000003</v>
      </c>
      <c r="M4686" s="195">
        <v>262.69889999999998</v>
      </c>
      <c r="N4686" s="195">
        <v>230.74940000000001</v>
      </c>
    </row>
    <row r="4687" spans="1:14" hidden="1" x14ac:dyDescent="0.35">
      <c r="A4687" s="52" t="s">
        <v>681</v>
      </c>
      <c r="B4687" s="52" t="s">
        <v>37</v>
      </c>
      <c r="C4687" s="52" t="s">
        <v>35</v>
      </c>
      <c r="D4687" s="52" t="s">
        <v>129</v>
      </c>
      <c r="E4687" s="52" t="s">
        <v>580</v>
      </c>
      <c r="F4687" s="52" t="s">
        <v>26</v>
      </c>
      <c r="G4687" s="195" t="s">
        <v>275</v>
      </c>
      <c r="H4687" s="195">
        <v>-40.375399999999999</v>
      </c>
      <c r="I4687" s="195">
        <v>-28.565619999999999</v>
      </c>
      <c r="J4687" s="195">
        <v>-21.055499999999999</v>
      </c>
      <c r="K4687" s="195">
        <v>-21.200399999999998</v>
      </c>
      <c r="L4687" s="195">
        <v>-26.84375</v>
      </c>
      <c r="M4687" s="195">
        <v>-22.41742</v>
      </c>
      <c r="N4687" s="195">
        <v>-19.166640000000001</v>
      </c>
    </row>
    <row r="4688" spans="1:14" hidden="1" x14ac:dyDescent="0.35">
      <c r="A4688" s="52" t="s">
        <v>681</v>
      </c>
      <c r="B4688" s="52" t="s">
        <v>37</v>
      </c>
      <c r="C4688" s="52" t="s">
        <v>35</v>
      </c>
      <c r="D4688" s="52" t="s">
        <v>129</v>
      </c>
      <c r="E4688" s="52" t="s">
        <v>580</v>
      </c>
      <c r="F4688" s="52" t="s">
        <v>26</v>
      </c>
      <c r="G4688" s="195" t="s">
        <v>276</v>
      </c>
      <c r="H4688" s="195">
        <v>-10.73269</v>
      </c>
      <c r="I4688" s="195">
        <v>-7.5933970000000004</v>
      </c>
      <c r="J4688" s="195">
        <v>-5.5970360000000001</v>
      </c>
      <c r="K4688" s="195">
        <v>-5.6355490000000001</v>
      </c>
      <c r="L4688" s="195">
        <v>-7.1356640000000002</v>
      </c>
      <c r="M4688" s="195">
        <v>-5.9590529999999999</v>
      </c>
      <c r="N4688" s="195">
        <v>-5.0949260000000001</v>
      </c>
    </row>
    <row r="4689" spans="1:14" hidden="1" x14ac:dyDescent="0.35">
      <c r="A4689" s="52" t="s">
        <v>681</v>
      </c>
      <c r="B4689" s="52" t="s">
        <v>37</v>
      </c>
      <c r="C4689" s="52" t="s">
        <v>35</v>
      </c>
      <c r="D4689" s="52" t="s">
        <v>129</v>
      </c>
      <c r="E4689" s="52" t="s">
        <v>580</v>
      </c>
      <c r="F4689" s="52" t="s">
        <v>26</v>
      </c>
      <c r="G4689" s="195" t="s">
        <v>279</v>
      </c>
      <c r="H4689" s="195">
        <v>185.65880000000001</v>
      </c>
      <c r="I4689" s="195">
        <v>150.5128</v>
      </c>
      <c r="J4689" s="195">
        <v>134.60759999999999</v>
      </c>
      <c r="K4689" s="195">
        <v>119.496</v>
      </c>
      <c r="L4689" s="195">
        <v>115.9538</v>
      </c>
      <c r="M4689" s="195">
        <v>99.642700000000005</v>
      </c>
      <c r="N4689" s="195">
        <v>86.891239999999996</v>
      </c>
    </row>
    <row r="4690" spans="1:14" hidden="1" x14ac:dyDescent="0.35">
      <c r="A4690" s="52" t="s">
        <v>681</v>
      </c>
      <c r="B4690" s="52" t="s">
        <v>37</v>
      </c>
      <c r="C4690" s="52" t="s">
        <v>35</v>
      </c>
      <c r="D4690" s="52" t="s">
        <v>129</v>
      </c>
      <c r="E4690" s="52" t="s">
        <v>582</v>
      </c>
      <c r="F4690" s="52" t="s">
        <v>581</v>
      </c>
      <c r="G4690" s="195" t="s">
        <v>275</v>
      </c>
      <c r="H4690" s="195">
        <v>-53.232430000000001</v>
      </c>
      <c r="I4690" s="195">
        <v>-2.2964769999999999</v>
      </c>
      <c r="J4690" s="195">
        <v>9.0750510000000002</v>
      </c>
      <c r="K4690" s="195">
        <v>10.79909</v>
      </c>
      <c r="L4690" s="195">
        <v>11.14059</v>
      </c>
      <c r="M4690" s="195">
        <v>6.9634229999999997</v>
      </c>
      <c r="N4690" s="195">
        <v>5.2450669999999997</v>
      </c>
    </row>
    <row r="4691" spans="1:14" hidden="1" x14ac:dyDescent="0.35">
      <c r="A4691" s="52" t="s">
        <v>681</v>
      </c>
      <c r="B4691" s="52" t="s">
        <v>37</v>
      </c>
      <c r="C4691" s="52" t="s">
        <v>35</v>
      </c>
      <c r="D4691" s="52" t="s">
        <v>129</v>
      </c>
      <c r="E4691" s="52" t="s">
        <v>582</v>
      </c>
      <c r="F4691" s="52" t="s">
        <v>581</v>
      </c>
      <c r="G4691" s="195" t="s">
        <v>276</v>
      </c>
      <c r="H4691" s="195">
        <v>-1.116736</v>
      </c>
      <c r="I4691" s="195">
        <v>-6.0562750000000003</v>
      </c>
      <c r="J4691" s="195">
        <v>-11.439590000000001</v>
      </c>
      <c r="K4691" s="195">
        <v>-5.1115779999999997</v>
      </c>
      <c r="L4691" s="195">
        <v>-7.8256509999999997</v>
      </c>
      <c r="M4691" s="195">
        <v>-1.2539910000000001</v>
      </c>
      <c r="N4691" s="195">
        <v>-0.34422900000000001</v>
      </c>
    </row>
    <row r="4692" spans="1:14" hidden="1" x14ac:dyDescent="0.35">
      <c r="A4692" s="52" t="s">
        <v>681</v>
      </c>
      <c r="B4692" s="52" t="s">
        <v>37</v>
      </c>
      <c r="C4692" s="52" t="s">
        <v>35</v>
      </c>
      <c r="D4692" s="52" t="s">
        <v>129</v>
      </c>
      <c r="E4692" s="52" t="s">
        <v>582</v>
      </c>
      <c r="F4692" s="52" t="s">
        <v>581</v>
      </c>
      <c r="G4692" s="195" t="s">
        <v>277</v>
      </c>
      <c r="H4692" s="195">
        <v>98.090159999999997</v>
      </c>
      <c r="I4692" s="195">
        <v>22.13156</v>
      </c>
      <c r="J4692" s="195">
        <v>1.5796300000000001</v>
      </c>
      <c r="K4692" s="195">
        <v>0.38998739999999998</v>
      </c>
      <c r="L4692" s="195">
        <v>0.46621620000000003</v>
      </c>
      <c r="M4692" s="195">
        <v>0</v>
      </c>
      <c r="N4692" s="195">
        <v>0</v>
      </c>
    </row>
    <row r="4693" spans="1:14" hidden="1" x14ac:dyDescent="0.35">
      <c r="A4693" s="52" t="s">
        <v>681</v>
      </c>
      <c r="B4693" s="52" t="s">
        <v>37</v>
      </c>
      <c r="C4693" s="52" t="s">
        <v>35</v>
      </c>
      <c r="D4693" s="52" t="s">
        <v>129</v>
      </c>
      <c r="E4693" s="52" t="s">
        <v>582</v>
      </c>
      <c r="F4693" s="52" t="s">
        <v>581</v>
      </c>
      <c r="G4693" s="195" t="s">
        <v>278</v>
      </c>
      <c r="H4693" s="195">
        <v>0.28837299999999999</v>
      </c>
      <c r="I4693" s="195">
        <v>0.2575518</v>
      </c>
      <c r="J4693" s="195">
        <v>11.924429999999999</v>
      </c>
      <c r="K4693" s="195">
        <v>4.9186420000000002</v>
      </c>
      <c r="L4693" s="195">
        <v>3.0009229999999998</v>
      </c>
      <c r="M4693" s="195">
        <v>0.13353599999999999</v>
      </c>
      <c r="N4693" s="195">
        <v>0</v>
      </c>
    </row>
    <row r="4694" spans="1:14" hidden="1" x14ac:dyDescent="0.35">
      <c r="A4694" s="52" t="s">
        <v>681</v>
      </c>
      <c r="B4694" s="52" t="s">
        <v>37</v>
      </c>
      <c r="C4694" s="52" t="s">
        <v>35</v>
      </c>
      <c r="D4694" s="52" t="s">
        <v>129</v>
      </c>
      <c r="E4694" s="52" t="s">
        <v>582</v>
      </c>
      <c r="F4694" s="52" t="s">
        <v>581</v>
      </c>
      <c r="G4694" s="195" t="s">
        <v>279</v>
      </c>
      <c r="H4694" s="195">
        <v>21.765440000000002</v>
      </c>
      <c r="I4694" s="195">
        <v>27.171589999999998</v>
      </c>
      <c r="J4694" s="195">
        <v>28.052119999999999</v>
      </c>
      <c r="K4694" s="195">
        <v>29.298749999999998</v>
      </c>
      <c r="L4694" s="195">
        <v>28.202220000000001</v>
      </c>
      <c r="M4694" s="195">
        <v>23.11016</v>
      </c>
      <c r="N4694" s="195">
        <v>19.35238</v>
      </c>
    </row>
    <row r="4695" spans="1:14" hidden="1" x14ac:dyDescent="0.35">
      <c r="A4695" s="52" t="s">
        <v>681</v>
      </c>
      <c r="B4695" s="52" t="s">
        <v>37</v>
      </c>
      <c r="C4695" s="52" t="s">
        <v>35</v>
      </c>
      <c r="D4695" s="52" t="s">
        <v>129</v>
      </c>
      <c r="E4695" s="52" t="s">
        <v>582</v>
      </c>
      <c r="F4695" s="52" t="s">
        <v>26</v>
      </c>
      <c r="G4695" s="195" t="s">
        <v>275</v>
      </c>
      <c r="H4695" s="195">
        <v>-3.0152130000000001</v>
      </c>
      <c r="I4695" s="195">
        <v>-3.9116339999999998</v>
      </c>
      <c r="J4695" s="195">
        <v>-3.7776010000000002</v>
      </c>
      <c r="K4695" s="195">
        <v>-4.3139339999999997</v>
      </c>
      <c r="L4695" s="195">
        <v>-4.8831069999999999</v>
      </c>
      <c r="M4695" s="195">
        <v>-3.971714</v>
      </c>
      <c r="N4695" s="195">
        <v>-3.3216809999999999</v>
      </c>
    </row>
    <row r="4696" spans="1:14" hidden="1" x14ac:dyDescent="0.35">
      <c r="A4696" s="52" t="s">
        <v>681</v>
      </c>
      <c r="B4696" s="52" t="s">
        <v>37</v>
      </c>
      <c r="C4696" s="52" t="s">
        <v>35</v>
      </c>
      <c r="D4696" s="52" t="s">
        <v>129</v>
      </c>
      <c r="E4696" s="52" t="s">
        <v>582</v>
      </c>
      <c r="F4696" s="52" t="s">
        <v>26</v>
      </c>
      <c r="G4696" s="195" t="s">
        <v>276</v>
      </c>
      <c r="H4696" s="195">
        <v>-0.80151099999999997</v>
      </c>
      <c r="I4696" s="195">
        <v>-1.039803</v>
      </c>
      <c r="J4696" s="195">
        <v>-1.0041709999999999</v>
      </c>
      <c r="K4696" s="195">
        <v>-1.1467419999999999</v>
      </c>
      <c r="L4696" s="195">
        <v>-1.2980419999999999</v>
      </c>
      <c r="M4696" s="195">
        <v>-1.0557719999999999</v>
      </c>
      <c r="N4696" s="195">
        <v>-0.88297879999999995</v>
      </c>
    </row>
    <row r="4697" spans="1:14" hidden="1" x14ac:dyDescent="0.35">
      <c r="A4697" s="52" t="s">
        <v>681</v>
      </c>
      <c r="B4697" s="52" t="s">
        <v>37</v>
      </c>
      <c r="C4697" s="52" t="s">
        <v>35</v>
      </c>
      <c r="D4697" s="52" t="s">
        <v>129</v>
      </c>
      <c r="E4697" s="52" t="s">
        <v>582</v>
      </c>
      <c r="F4697" s="52" t="s">
        <v>26</v>
      </c>
      <c r="G4697" s="195" t="s">
        <v>279</v>
      </c>
      <c r="H4697" s="195">
        <v>9.8632069999999992</v>
      </c>
      <c r="I4697" s="195">
        <v>14.5016</v>
      </c>
      <c r="J4697" s="195">
        <v>15.37872</v>
      </c>
      <c r="K4697" s="195">
        <v>16.295490000000001</v>
      </c>
      <c r="L4697" s="195">
        <v>15.538349999999999</v>
      </c>
      <c r="M4697" s="195">
        <v>12.767899999999999</v>
      </c>
      <c r="N4697" s="195">
        <v>10.69322</v>
      </c>
    </row>
    <row r="4698" spans="1:14" hidden="1" x14ac:dyDescent="0.35">
      <c r="A4698" s="52" t="s">
        <v>681</v>
      </c>
      <c r="B4698" s="52" t="s">
        <v>37</v>
      </c>
      <c r="C4698" s="52" t="s">
        <v>35</v>
      </c>
      <c r="D4698" s="52" t="s">
        <v>129</v>
      </c>
      <c r="E4698" s="52" t="s">
        <v>584</v>
      </c>
      <c r="F4698" s="52" t="s">
        <v>581</v>
      </c>
      <c r="G4698" s="195" t="s">
        <v>275</v>
      </c>
      <c r="H4698" s="195">
        <v>0.68935599999999997</v>
      </c>
      <c r="I4698" s="195">
        <v>0.202128</v>
      </c>
      <c r="J4698" s="195">
        <v>1.058773</v>
      </c>
      <c r="K4698" s="195">
        <v>1.5969070000000001</v>
      </c>
      <c r="L4698" s="195">
        <v>1.3264579999999999</v>
      </c>
      <c r="M4698" s="195">
        <v>1.083674</v>
      </c>
      <c r="N4698" s="195">
        <v>0.83747090000000002</v>
      </c>
    </row>
    <row r="4699" spans="1:14" hidden="1" x14ac:dyDescent="0.35">
      <c r="A4699" s="52" t="s">
        <v>681</v>
      </c>
      <c r="B4699" s="52" t="s">
        <v>37</v>
      </c>
      <c r="C4699" s="52" t="s">
        <v>35</v>
      </c>
      <c r="D4699" s="52" t="s">
        <v>129</v>
      </c>
      <c r="E4699" s="52" t="s">
        <v>584</v>
      </c>
      <c r="F4699" s="52" t="s">
        <v>581</v>
      </c>
      <c r="G4699" s="195" t="s">
        <v>276</v>
      </c>
      <c r="H4699" s="195">
        <v>0.64458199999999999</v>
      </c>
      <c r="I4699" s="195">
        <v>-0.6328608</v>
      </c>
      <c r="J4699" s="195">
        <v>-8.4473999999999994E-2</v>
      </c>
      <c r="K4699" s="195">
        <v>-0.47114600000000001</v>
      </c>
      <c r="L4699" s="195">
        <v>-0.36699080000000001</v>
      </c>
      <c r="M4699" s="195">
        <v>-8.4791950000000001E-3</v>
      </c>
      <c r="N4699" s="195">
        <v>0.1509778</v>
      </c>
    </row>
    <row r="4700" spans="1:14" hidden="1" x14ac:dyDescent="0.35">
      <c r="A4700" s="52" t="s">
        <v>681</v>
      </c>
      <c r="B4700" s="52" t="s">
        <v>37</v>
      </c>
      <c r="C4700" s="52" t="s">
        <v>35</v>
      </c>
      <c r="D4700" s="52" t="s">
        <v>129</v>
      </c>
      <c r="E4700" s="52" t="s">
        <v>584</v>
      </c>
      <c r="F4700" s="52" t="s">
        <v>581</v>
      </c>
      <c r="G4700" s="195" t="s">
        <v>277</v>
      </c>
      <c r="H4700" s="195">
        <v>6.1157950000000003</v>
      </c>
      <c r="I4700" s="195">
        <v>2.4390540000000001</v>
      </c>
      <c r="J4700" s="195">
        <v>0.53796299999999997</v>
      </c>
      <c r="K4700" s="195">
        <v>0.2383074</v>
      </c>
      <c r="L4700" s="195">
        <v>0.19341620000000001</v>
      </c>
      <c r="M4700" s="195">
        <v>0</v>
      </c>
      <c r="N4700" s="195">
        <v>0</v>
      </c>
    </row>
    <row r="4701" spans="1:14" hidden="1" x14ac:dyDescent="0.35">
      <c r="A4701" s="52" t="s">
        <v>681</v>
      </c>
      <c r="B4701" s="52" t="s">
        <v>37</v>
      </c>
      <c r="C4701" s="52" t="s">
        <v>35</v>
      </c>
      <c r="D4701" s="52" t="s">
        <v>129</v>
      </c>
      <c r="E4701" s="52" t="s">
        <v>584</v>
      </c>
      <c r="F4701" s="52" t="s">
        <v>581</v>
      </c>
      <c r="G4701" s="195" t="s">
        <v>279</v>
      </c>
      <c r="H4701" s="195">
        <v>2.079644</v>
      </c>
      <c r="I4701" s="195">
        <v>1.332945</v>
      </c>
      <c r="J4701" s="195">
        <v>1.139227</v>
      </c>
      <c r="K4701" s="195">
        <v>1.0608519999999999</v>
      </c>
      <c r="L4701" s="195">
        <v>1.0778490000000001</v>
      </c>
      <c r="M4701" s="195">
        <v>0.98208759999999995</v>
      </c>
      <c r="N4701" s="195">
        <v>0.90116580000000002</v>
      </c>
    </row>
    <row r="4702" spans="1:14" hidden="1" x14ac:dyDescent="0.35">
      <c r="A4702" s="52" t="s">
        <v>681</v>
      </c>
      <c r="B4702" s="52" t="s">
        <v>37</v>
      </c>
      <c r="C4702" s="52" t="s">
        <v>35</v>
      </c>
      <c r="D4702" s="52" t="s">
        <v>129</v>
      </c>
      <c r="E4702" s="52" t="s">
        <v>584</v>
      </c>
      <c r="F4702" s="52" t="s">
        <v>26</v>
      </c>
      <c r="G4702" s="195" t="s">
        <v>275</v>
      </c>
      <c r="H4702" s="195">
        <v>4.463E-3</v>
      </c>
      <c r="I4702" s="195">
        <v>2.0646600000000001E-2</v>
      </c>
      <c r="J4702" s="195">
        <v>2.7660000000000001E-2</v>
      </c>
      <c r="K4702" s="195">
        <v>1.9174799999999999E-2</v>
      </c>
      <c r="L4702" s="195">
        <v>6.3160020000000002E-4</v>
      </c>
      <c r="M4702" s="195">
        <v>1.8694E-3</v>
      </c>
      <c r="N4702" s="195">
        <v>1.8994000000000001E-3</v>
      </c>
    </row>
    <row r="4703" spans="1:14" hidden="1" x14ac:dyDescent="0.35">
      <c r="A4703" s="52" t="s">
        <v>681</v>
      </c>
      <c r="B4703" s="52" t="s">
        <v>37</v>
      </c>
      <c r="C4703" s="52" t="s">
        <v>35</v>
      </c>
      <c r="D4703" s="52" t="s">
        <v>129</v>
      </c>
      <c r="E4703" s="52" t="s">
        <v>584</v>
      </c>
      <c r="F4703" s="52" t="s">
        <v>26</v>
      </c>
      <c r="G4703" s="195" t="s">
        <v>276</v>
      </c>
      <c r="H4703" s="195">
        <v>1.1869999999999999E-3</v>
      </c>
      <c r="I4703" s="195">
        <v>5.4887989999999999E-3</v>
      </c>
      <c r="J4703" s="195">
        <v>7.3525999999999999E-3</v>
      </c>
      <c r="K4703" s="195">
        <v>5.0973989999999999E-3</v>
      </c>
      <c r="L4703" s="195">
        <v>1.6799999999999999E-4</v>
      </c>
      <c r="M4703" s="195">
        <v>4.9719979999999998E-4</v>
      </c>
      <c r="N4703" s="195">
        <v>5.0420010000000004E-4</v>
      </c>
    </row>
    <row r="4704" spans="1:14" hidden="1" x14ac:dyDescent="0.35">
      <c r="A4704" s="52" t="s">
        <v>681</v>
      </c>
      <c r="B4704" s="52" t="s">
        <v>37</v>
      </c>
      <c r="C4704" s="52" t="s">
        <v>35</v>
      </c>
      <c r="D4704" s="52" t="s">
        <v>129</v>
      </c>
      <c r="E4704" s="52" t="s">
        <v>584</v>
      </c>
      <c r="F4704" s="52" t="s">
        <v>26</v>
      </c>
      <c r="G4704" s="195" t="s">
        <v>279</v>
      </c>
      <c r="H4704" s="195">
        <v>0.33307999999999999</v>
      </c>
      <c r="I4704" s="195">
        <v>0.2765474</v>
      </c>
      <c r="J4704" s="195">
        <v>0.2445746</v>
      </c>
      <c r="K4704" s="195">
        <v>0.23099459999999999</v>
      </c>
      <c r="L4704" s="195">
        <v>0.23349439999999999</v>
      </c>
      <c r="M4704" s="195">
        <v>0.21312700000000001</v>
      </c>
      <c r="N4704" s="195">
        <v>0.19557340000000001</v>
      </c>
    </row>
    <row r="4705" spans="1:14" hidden="1" x14ac:dyDescent="0.35">
      <c r="A4705" s="52" t="s">
        <v>681</v>
      </c>
      <c r="B4705" s="52" t="s">
        <v>37</v>
      </c>
      <c r="C4705" s="52" t="s">
        <v>35</v>
      </c>
      <c r="D4705" s="52" t="s">
        <v>39</v>
      </c>
      <c r="E4705" s="52" t="s">
        <v>580</v>
      </c>
      <c r="F4705" s="52" t="s">
        <v>581</v>
      </c>
      <c r="G4705" s="195" t="s">
        <v>275</v>
      </c>
      <c r="H4705" s="195">
        <v>41.094709999999999</v>
      </c>
      <c r="I4705" s="195">
        <v>15.74691</v>
      </c>
      <c r="J4705" s="195">
        <v>21.910309999999999</v>
      </c>
      <c r="K4705" s="195">
        <v>13.750590000000001</v>
      </c>
      <c r="L4705" s="195">
        <v>6.6311280000000004</v>
      </c>
      <c r="M4705" s="195">
        <v>7.9910449999999997</v>
      </c>
      <c r="N4705" s="195">
        <v>-0.56515789999999999</v>
      </c>
    </row>
    <row r="4706" spans="1:14" hidden="1" x14ac:dyDescent="0.35">
      <c r="A4706" s="52" t="s">
        <v>681</v>
      </c>
      <c r="B4706" s="52" t="s">
        <v>37</v>
      </c>
      <c r="C4706" s="52" t="s">
        <v>35</v>
      </c>
      <c r="D4706" s="52" t="s">
        <v>39</v>
      </c>
      <c r="E4706" s="52" t="s">
        <v>580</v>
      </c>
      <c r="F4706" s="52" t="s">
        <v>581</v>
      </c>
      <c r="G4706" s="195" t="s">
        <v>276</v>
      </c>
      <c r="H4706" s="195">
        <v>13.24094</v>
      </c>
      <c r="I4706" s="195">
        <v>-3.0438130000000001</v>
      </c>
      <c r="J4706" s="195">
        <v>-7.8064640000000001</v>
      </c>
      <c r="K4706" s="195">
        <v>-3.0637620000000001</v>
      </c>
      <c r="L4706" s="195">
        <v>-2.4754100000000001</v>
      </c>
      <c r="M4706" s="195">
        <v>1.1239840000000001</v>
      </c>
      <c r="N4706" s="195">
        <v>1.5174799999999999</v>
      </c>
    </row>
    <row r="4707" spans="1:14" hidden="1" x14ac:dyDescent="0.35">
      <c r="A4707" s="52" t="s">
        <v>681</v>
      </c>
      <c r="B4707" s="52" t="s">
        <v>37</v>
      </c>
      <c r="C4707" s="52" t="s">
        <v>35</v>
      </c>
      <c r="D4707" s="52" t="s">
        <v>39</v>
      </c>
      <c r="E4707" s="52" t="s">
        <v>580</v>
      </c>
      <c r="F4707" s="52" t="s">
        <v>581</v>
      </c>
      <c r="G4707" s="195" t="s">
        <v>277</v>
      </c>
      <c r="H4707" s="195">
        <v>49.934069999999998</v>
      </c>
      <c r="I4707" s="195">
        <v>11.63532</v>
      </c>
      <c r="J4707" s="195">
        <v>0.65144820000000003</v>
      </c>
      <c r="K4707" s="195">
        <v>0.88043819999999995</v>
      </c>
      <c r="L4707" s="195">
        <v>1.590028</v>
      </c>
      <c r="M4707" s="195">
        <v>0.79705559999999998</v>
      </c>
      <c r="N4707" s="195">
        <v>3.9462229999999998</v>
      </c>
    </row>
    <row r="4708" spans="1:14" hidden="1" x14ac:dyDescent="0.35">
      <c r="A4708" s="52" t="s">
        <v>681</v>
      </c>
      <c r="B4708" s="52" t="s">
        <v>37</v>
      </c>
      <c r="C4708" s="52" t="s">
        <v>35</v>
      </c>
      <c r="D4708" s="52" t="s">
        <v>39</v>
      </c>
      <c r="E4708" s="52" t="s">
        <v>580</v>
      </c>
      <c r="F4708" s="52" t="s">
        <v>581</v>
      </c>
      <c r="G4708" s="195" t="s">
        <v>278</v>
      </c>
      <c r="H4708" s="195">
        <v>0.15894</v>
      </c>
      <c r="I4708" s="195">
        <v>0.17649280000000001</v>
      </c>
      <c r="J4708" s="195">
        <v>2.9289329999999998</v>
      </c>
      <c r="K4708" s="195">
        <v>3.4119760000000001</v>
      </c>
      <c r="L4708" s="195">
        <v>7.0716219999999996</v>
      </c>
      <c r="M4708" s="195">
        <v>3.4245969999999999</v>
      </c>
      <c r="N4708" s="195">
        <v>8.5087709999999994</v>
      </c>
    </row>
    <row r="4709" spans="1:14" hidden="1" x14ac:dyDescent="0.35">
      <c r="A4709" s="52" t="s">
        <v>681</v>
      </c>
      <c r="B4709" s="52" t="s">
        <v>37</v>
      </c>
      <c r="C4709" s="52" t="s">
        <v>35</v>
      </c>
      <c r="D4709" s="52" t="s">
        <v>39</v>
      </c>
      <c r="E4709" s="52" t="s">
        <v>580</v>
      </c>
      <c r="F4709" s="52" t="s">
        <v>581</v>
      </c>
      <c r="G4709" s="195" t="s">
        <v>279</v>
      </c>
      <c r="H4709" s="195">
        <v>35.34064</v>
      </c>
      <c r="I4709" s="195">
        <v>23.914950000000001</v>
      </c>
      <c r="J4709" s="195">
        <v>20.09459</v>
      </c>
      <c r="K4709" s="195">
        <v>17.599920000000001</v>
      </c>
      <c r="L4709" s="195">
        <v>19.011330000000001</v>
      </c>
      <c r="M4709" s="195">
        <v>18.38072</v>
      </c>
      <c r="N4709" s="195">
        <v>17.251740000000002</v>
      </c>
    </row>
    <row r="4710" spans="1:14" hidden="1" x14ac:dyDescent="0.35">
      <c r="A4710" s="52" t="s">
        <v>681</v>
      </c>
      <c r="B4710" s="52" t="s">
        <v>37</v>
      </c>
      <c r="C4710" s="52" t="s">
        <v>35</v>
      </c>
      <c r="D4710" s="52" t="s">
        <v>39</v>
      </c>
      <c r="E4710" s="52" t="s">
        <v>580</v>
      </c>
      <c r="F4710" s="52" t="s">
        <v>26</v>
      </c>
      <c r="G4710" s="195" t="s">
        <v>275</v>
      </c>
      <c r="H4710" s="195">
        <v>0.25571199999999999</v>
      </c>
      <c r="I4710" s="195">
        <v>-0.99382280000000001</v>
      </c>
      <c r="J4710" s="195">
        <v>-0.45195299999999999</v>
      </c>
      <c r="K4710" s="195">
        <v>-0.63625100000000001</v>
      </c>
      <c r="L4710" s="195">
        <v>-1.432383</v>
      </c>
      <c r="M4710" s="195">
        <v>-1.2895939999999999</v>
      </c>
      <c r="N4710" s="195">
        <v>-1.143648</v>
      </c>
    </row>
    <row r="4711" spans="1:14" hidden="1" x14ac:dyDescent="0.35">
      <c r="A4711" s="52" t="s">
        <v>681</v>
      </c>
      <c r="B4711" s="52" t="s">
        <v>37</v>
      </c>
      <c r="C4711" s="52" t="s">
        <v>35</v>
      </c>
      <c r="D4711" s="52" t="s">
        <v>39</v>
      </c>
      <c r="E4711" s="52" t="s">
        <v>580</v>
      </c>
      <c r="F4711" s="52" t="s">
        <v>26</v>
      </c>
      <c r="G4711" s="195" t="s">
        <v>276</v>
      </c>
      <c r="H4711" s="195">
        <v>6.7972000000000005E-2</v>
      </c>
      <c r="I4711" s="195">
        <v>-0.26418259999999999</v>
      </c>
      <c r="J4711" s="195">
        <v>-0.1201416</v>
      </c>
      <c r="K4711" s="195">
        <v>-0.16913139999999999</v>
      </c>
      <c r="L4711" s="195">
        <v>-0.38076080000000001</v>
      </c>
      <c r="M4711" s="195">
        <v>-0.34280359999999999</v>
      </c>
      <c r="N4711" s="195">
        <v>-0.3040062</v>
      </c>
    </row>
    <row r="4712" spans="1:14" hidden="1" x14ac:dyDescent="0.35">
      <c r="A4712" s="52" t="s">
        <v>681</v>
      </c>
      <c r="B4712" s="52" t="s">
        <v>37</v>
      </c>
      <c r="C4712" s="52" t="s">
        <v>35</v>
      </c>
      <c r="D4712" s="52" t="s">
        <v>39</v>
      </c>
      <c r="E4712" s="52" t="s">
        <v>580</v>
      </c>
      <c r="F4712" s="52" t="s">
        <v>26</v>
      </c>
      <c r="G4712" s="195" t="s">
        <v>279</v>
      </c>
      <c r="H4712" s="195">
        <v>15.699299999999999</v>
      </c>
      <c r="I4712" s="195">
        <v>12.70269</v>
      </c>
      <c r="J4712" s="195">
        <v>10.88959</v>
      </c>
      <c r="K4712" s="195">
        <v>9.6676219999999997</v>
      </c>
      <c r="L4712" s="195">
        <v>10.409219999999999</v>
      </c>
      <c r="M4712" s="195">
        <v>10.0566</v>
      </c>
      <c r="N4712" s="195">
        <v>9.4028949999999991</v>
      </c>
    </row>
    <row r="4713" spans="1:14" hidden="1" x14ac:dyDescent="0.35">
      <c r="A4713" s="52" t="s">
        <v>681</v>
      </c>
      <c r="B4713" s="52" t="s">
        <v>37</v>
      </c>
      <c r="C4713" s="52" t="s">
        <v>35</v>
      </c>
      <c r="D4713" s="52" t="s">
        <v>39</v>
      </c>
      <c r="E4713" s="52" t="s">
        <v>582</v>
      </c>
      <c r="F4713" s="52" t="s">
        <v>581</v>
      </c>
      <c r="G4713" s="195" t="s">
        <v>275</v>
      </c>
      <c r="H4713" s="195">
        <v>9.6644360000000002</v>
      </c>
      <c r="I4713" s="195">
        <v>3.5002740000000001</v>
      </c>
      <c r="J4713" s="195">
        <v>13.86913</v>
      </c>
      <c r="K4713" s="195">
        <v>2.302918</v>
      </c>
      <c r="L4713" s="195">
        <v>0.40820260000000003</v>
      </c>
      <c r="M4713" s="195">
        <v>1.279882</v>
      </c>
      <c r="N4713" s="195">
        <v>0.71340139999999996</v>
      </c>
    </row>
    <row r="4714" spans="1:14" hidden="1" x14ac:dyDescent="0.35">
      <c r="A4714" s="52" t="s">
        <v>681</v>
      </c>
      <c r="B4714" s="52" t="s">
        <v>37</v>
      </c>
      <c r="C4714" s="52" t="s">
        <v>35</v>
      </c>
      <c r="D4714" s="52" t="s">
        <v>39</v>
      </c>
      <c r="E4714" s="52" t="s">
        <v>582</v>
      </c>
      <c r="F4714" s="52" t="s">
        <v>581</v>
      </c>
      <c r="G4714" s="195" t="s">
        <v>276</v>
      </c>
      <c r="H4714" s="195">
        <v>-6.6811179999999997</v>
      </c>
      <c r="I4714" s="195">
        <v>-7.7123520000000001</v>
      </c>
      <c r="J4714" s="195">
        <v>-14.46214</v>
      </c>
      <c r="K4714" s="195">
        <v>-2.1447660000000002</v>
      </c>
      <c r="L4714" s="195">
        <v>-1.8251200000000001</v>
      </c>
      <c r="M4714" s="195">
        <v>-0.67864939999999996</v>
      </c>
      <c r="N4714" s="195">
        <v>-0.1980962</v>
      </c>
    </row>
    <row r="4715" spans="1:14" hidden="1" x14ac:dyDescent="0.35">
      <c r="A4715" s="52" t="s">
        <v>681</v>
      </c>
      <c r="B4715" s="52" t="s">
        <v>37</v>
      </c>
      <c r="C4715" s="52" t="s">
        <v>35</v>
      </c>
      <c r="D4715" s="52" t="s">
        <v>39</v>
      </c>
      <c r="E4715" s="52" t="s">
        <v>582</v>
      </c>
      <c r="F4715" s="52" t="s">
        <v>581</v>
      </c>
      <c r="G4715" s="195" t="s">
        <v>277</v>
      </c>
      <c r="H4715" s="195">
        <v>18.563269999999999</v>
      </c>
      <c r="I4715" s="195">
        <v>7.4852930000000004</v>
      </c>
      <c r="J4715" s="195">
        <v>2.578964</v>
      </c>
      <c r="K4715" s="195">
        <v>1.360263</v>
      </c>
      <c r="L4715" s="195">
        <v>2.0545369999999998</v>
      </c>
      <c r="M4715" s="195">
        <v>0</v>
      </c>
      <c r="N4715" s="195">
        <v>0</v>
      </c>
    </row>
    <row r="4716" spans="1:14" hidden="1" x14ac:dyDescent="0.35">
      <c r="A4716" s="52" t="s">
        <v>681</v>
      </c>
      <c r="B4716" s="52" t="s">
        <v>37</v>
      </c>
      <c r="C4716" s="52" t="s">
        <v>35</v>
      </c>
      <c r="D4716" s="52" t="s">
        <v>39</v>
      </c>
      <c r="E4716" s="52" t="s">
        <v>582</v>
      </c>
      <c r="F4716" s="52" t="s">
        <v>581</v>
      </c>
      <c r="G4716" s="195" t="s">
        <v>278</v>
      </c>
      <c r="H4716" s="195">
        <v>0</v>
      </c>
      <c r="I4716" s="195"/>
      <c r="J4716" s="195"/>
      <c r="K4716" s="195"/>
      <c r="L4716" s="195"/>
      <c r="M4716" s="195"/>
      <c r="N4716" s="195"/>
    </row>
    <row r="4717" spans="1:14" hidden="1" x14ac:dyDescent="0.35">
      <c r="A4717" s="52" t="s">
        <v>681</v>
      </c>
      <c r="B4717" s="52" t="s">
        <v>37</v>
      </c>
      <c r="C4717" s="52" t="s">
        <v>35</v>
      </c>
      <c r="D4717" s="52" t="s">
        <v>39</v>
      </c>
      <c r="E4717" s="52" t="s">
        <v>582</v>
      </c>
      <c r="F4717" s="52" t="s">
        <v>581</v>
      </c>
      <c r="G4717" s="195" t="s">
        <v>279</v>
      </c>
      <c r="H4717" s="195">
        <v>12.0806</v>
      </c>
      <c r="I4717" s="195">
        <v>9.4916029999999996</v>
      </c>
      <c r="J4717" s="195">
        <v>8.2387870000000003</v>
      </c>
      <c r="K4717" s="195">
        <v>7.0992449999999998</v>
      </c>
      <c r="L4717" s="195">
        <v>6.9721120000000001</v>
      </c>
      <c r="M4717" s="195">
        <v>5.8224780000000003</v>
      </c>
      <c r="N4717" s="195">
        <v>4.9731589999999999</v>
      </c>
    </row>
    <row r="4718" spans="1:14" hidden="1" x14ac:dyDescent="0.35">
      <c r="A4718" s="52" t="s">
        <v>681</v>
      </c>
      <c r="B4718" s="52" t="s">
        <v>37</v>
      </c>
      <c r="C4718" s="52" t="s">
        <v>35</v>
      </c>
      <c r="D4718" s="52" t="s">
        <v>39</v>
      </c>
      <c r="E4718" s="52" t="s">
        <v>582</v>
      </c>
      <c r="F4718" s="52" t="s">
        <v>26</v>
      </c>
      <c r="G4718" s="195" t="s">
        <v>275</v>
      </c>
      <c r="H4718" s="195">
        <v>-1.2923199999999999</v>
      </c>
      <c r="I4718" s="195">
        <v>-0.94862679999999999</v>
      </c>
      <c r="J4718" s="195">
        <v>-0.70849620000000002</v>
      </c>
      <c r="K4718" s="195">
        <v>-0.70444039999999997</v>
      </c>
      <c r="L4718" s="195">
        <v>-0.9059258</v>
      </c>
      <c r="M4718" s="195">
        <v>-0.74571279999999995</v>
      </c>
      <c r="N4718" s="195">
        <v>-0.63558760000000003</v>
      </c>
    </row>
    <row r="4719" spans="1:14" hidden="1" x14ac:dyDescent="0.35">
      <c r="A4719" s="52" t="s">
        <v>681</v>
      </c>
      <c r="B4719" s="52" t="s">
        <v>37</v>
      </c>
      <c r="C4719" s="52" t="s">
        <v>35</v>
      </c>
      <c r="D4719" s="52" t="s">
        <v>39</v>
      </c>
      <c r="E4719" s="52" t="s">
        <v>582</v>
      </c>
      <c r="F4719" s="52" t="s">
        <v>26</v>
      </c>
      <c r="G4719" s="195" t="s">
        <v>276</v>
      </c>
      <c r="H4719" s="195">
        <v>-0.34352700000000003</v>
      </c>
      <c r="I4719" s="195">
        <v>-0.2521658</v>
      </c>
      <c r="J4719" s="195">
        <v>-0.188337</v>
      </c>
      <c r="K4719" s="195">
        <v>-0.1872566</v>
      </c>
      <c r="L4719" s="195">
        <v>-0.240816</v>
      </c>
      <c r="M4719" s="195">
        <v>-0.19822780000000001</v>
      </c>
      <c r="N4719" s="195">
        <v>-0.16895360000000001</v>
      </c>
    </row>
    <row r="4720" spans="1:14" hidden="1" x14ac:dyDescent="0.35">
      <c r="A4720" s="52" t="s">
        <v>681</v>
      </c>
      <c r="B4720" s="52" t="s">
        <v>37</v>
      </c>
      <c r="C4720" s="52" t="s">
        <v>35</v>
      </c>
      <c r="D4720" s="52" t="s">
        <v>39</v>
      </c>
      <c r="E4720" s="52" t="s">
        <v>582</v>
      </c>
      <c r="F4720" s="52" t="s">
        <v>26</v>
      </c>
      <c r="G4720" s="195" t="s">
        <v>279</v>
      </c>
      <c r="H4720" s="195">
        <v>5.4701599999999999</v>
      </c>
      <c r="I4720" s="195">
        <v>4.8870950000000004</v>
      </c>
      <c r="J4720" s="195">
        <v>4.3236790000000003</v>
      </c>
      <c r="K4720" s="195">
        <v>3.77766</v>
      </c>
      <c r="L4720" s="195">
        <v>3.6811449999999999</v>
      </c>
      <c r="M4720" s="195">
        <v>3.0815730000000001</v>
      </c>
      <c r="N4720" s="195">
        <v>2.632349</v>
      </c>
    </row>
    <row r="4721" spans="1:14" hidden="1" x14ac:dyDescent="0.35">
      <c r="A4721" s="52" t="s">
        <v>681</v>
      </c>
      <c r="B4721" s="52" t="s">
        <v>37</v>
      </c>
      <c r="C4721" s="52" t="s">
        <v>35</v>
      </c>
      <c r="D4721" s="52" t="s">
        <v>207</v>
      </c>
      <c r="E4721" s="52" t="s">
        <v>585</v>
      </c>
      <c r="F4721" s="52" t="s">
        <v>581</v>
      </c>
      <c r="G4721" s="195" t="s">
        <v>275</v>
      </c>
      <c r="H4721" s="195">
        <v>11.527559999999999</v>
      </c>
      <c r="I4721" s="195">
        <v>3.13835</v>
      </c>
      <c r="J4721" s="195">
        <v>2.045337</v>
      </c>
      <c r="K4721" s="195">
        <v>1.5462769999999999</v>
      </c>
      <c r="L4721" s="195">
        <v>1.0280929999999999</v>
      </c>
      <c r="M4721" s="195">
        <v>1.439101</v>
      </c>
      <c r="N4721" s="195">
        <v>1.2834179999999999</v>
      </c>
    </row>
    <row r="4722" spans="1:14" hidden="1" x14ac:dyDescent="0.35">
      <c r="A4722" s="52" t="s">
        <v>681</v>
      </c>
      <c r="B4722" s="52" t="s">
        <v>37</v>
      </c>
      <c r="C4722" s="52" t="s">
        <v>35</v>
      </c>
      <c r="D4722" s="52" t="s">
        <v>207</v>
      </c>
      <c r="E4722" s="52" t="s">
        <v>585</v>
      </c>
      <c r="F4722" s="52" t="s">
        <v>581</v>
      </c>
      <c r="G4722" s="195" t="s">
        <v>276</v>
      </c>
      <c r="H4722" s="195">
        <v>2.9595530000000001</v>
      </c>
      <c r="I4722" s="195">
        <v>0.41530080000000003</v>
      </c>
      <c r="J4722" s="195">
        <v>0.5436974</v>
      </c>
      <c r="K4722" s="195">
        <v>0.47722520000000002</v>
      </c>
      <c r="L4722" s="195">
        <v>0.37601560000000001</v>
      </c>
      <c r="M4722" s="195">
        <v>0.34876259999999998</v>
      </c>
      <c r="N4722" s="195">
        <v>0.31413600000000003</v>
      </c>
    </row>
    <row r="4723" spans="1:14" hidden="1" x14ac:dyDescent="0.35">
      <c r="A4723" s="52" t="s">
        <v>681</v>
      </c>
      <c r="B4723" s="52" t="s">
        <v>37</v>
      </c>
      <c r="C4723" s="52" t="s">
        <v>35</v>
      </c>
      <c r="D4723" s="52" t="s">
        <v>207</v>
      </c>
      <c r="E4723" s="52" t="s">
        <v>585</v>
      </c>
      <c r="F4723" s="52" t="s">
        <v>581</v>
      </c>
      <c r="G4723" s="195" t="s">
        <v>277</v>
      </c>
      <c r="H4723" s="195"/>
      <c r="I4723" s="195"/>
      <c r="J4723" s="195">
        <v>0</v>
      </c>
      <c r="K4723" s="195">
        <v>0.31125259999999999</v>
      </c>
      <c r="L4723" s="195">
        <v>0.54530679999999998</v>
      </c>
      <c r="M4723" s="195">
        <v>0</v>
      </c>
      <c r="N4723" s="195">
        <v>0</v>
      </c>
    </row>
    <row r="4724" spans="1:14" hidden="1" x14ac:dyDescent="0.35">
      <c r="A4724" s="52" t="s">
        <v>681</v>
      </c>
      <c r="B4724" s="52" t="s">
        <v>37</v>
      </c>
      <c r="C4724" s="52" t="s">
        <v>35</v>
      </c>
      <c r="D4724" s="52" t="s">
        <v>207</v>
      </c>
      <c r="E4724" s="52" t="s">
        <v>585</v>
      </c>
      <c r="F4724" s="52" t="s">
        <v>581</v>
      </c>
      <c r="G4724" s="195" t="s">
        <v>279</v>
      </c>
      <c r="H4724" s="195">
        <v>4.2893230000000004</v>
      </c>
      <c r="I4724" s="195">
        <v>2.734003</v>
      </c>
      <c r="J4724" s="195">
        <v>2.294152</v>
      </c>
      <c r="K4724" s="195">
        <v>2.1375869999999999</v>
      </c>
      <c r="L4724" s="195">
        <v>2.2000479999999998</v>
      </c>
      <c r="M4724" s="195">
        <v>1.963554</v>
      </c>
      <c r="N4724" s="195">
        <v>1.7515559999999999</v>
      </c>
    </row>
    <row r="4725" spans="1:14" hidden="1" x14ac:dyDescent="0.35">
      <c r="A4725" s="52" t="s">
        <v>681</v>
      </c>
      <c r="B4725" s="52" t="s">
        <v>37</v>
      </c>
      <c r="C4725" s="52" t="s">
        <v>35</v>
      </c>
      <c r="D4725" s="52" t="s">
        <v>207</v>
      </c>
      <c r="E4725" s="52" t="s">
        <v>585</v>
      </c>
      <c r="F4725" s="52" t="s">
        <v>26</v>
      </c>
      <c r="G4725" s="195" t="s">
        <v>275</v>
      </c>
      <c r="H4725" s="195">
        <v>3.2698999999999999E-2</v>
      </c>
      <c r="I4725" s="195">
        <v>5.6703200000000002E-2</v>
      </c>
      <c r="J4725" s="195">
        <v>6.7808599999999997E-2</v>
      </c>
      <c r="K4725" s="195">
        <v>5.1733000000000001E-2</v>
      </c>
      <c r="L4725" s="195">
        <v>1.53756E-2</v>
      </c>
      <c r="M4725" s="195">
        <v>1.6427400000000002E-2</v>
      </c>
      <c r="N4725" s="195">
        <v>1.49824E-2</v>
      </c>
    </row>
    <row r="4726" spans="1:14" hidden="1" x14ac:dyDescent="0.35">
      <c r="A4726" s="52" t="s">
        <v>681</v>
      </c>
      <c r="B4726" s="52" t="s">
        <v>37</v>
      </c>
      <c r="C4726" s="52" t="s">
        <v>35</v>
      </c>
      <c r="D4726" s="52" t="s">
        <v>207</v>
      </c>
      <c r="E4726" s="52" t="s">
        <v>585</v>
      </c>
      <c r="F4726" s="52" t="s">
        <v>26</v>
      </c>
      <c r="G4726" s="195" t="s">
        <v>276</v>
      </c>
      <c r="H4726" s="195">
        <v>8.6920000000000001E-3</v>
      </c>
      <c r="I4726" s="195">
        <v>1.5072800000000001E-2</v>
      </c>
      <c r="J4726" s="195">
        <v>1.8024600000000002E-2</v>
      </c>
      <c r="K4726" s="195">
        <v>1.37514E-2</v>
      </c>
      <c r="L4726" s="195">
        <v>4.0861999999999999E-3</v>
      </c>
      <c r="M4726" s="195">
        <v>4.3660000000000001E-3</v>
      </c>
      <c r="N4726" s="195">
        <v>3.9820000000000003E-3</v>
      </c>
    </row>
    <row r="4727" spans="1:14" hidden="1" x14ac:dyDescent="0.35">
      <c r="A4727" s="52" t="s">
        <v>681</v>
      </c>
      <c r="B4727" s="52" t="s">
        <v>37</v>
      </c>
      <c r="C4727" s="52" t="s">
        <v>35</v>
      </c>
      <c r="D4727" s="52" t="s">
        <v>207</v>
      </c>
      <c r="E4727" s="52" t="s">
        <v>585</v>
      </c>
      <c r="F4727" s="52" t="s">
        <v>26</v>
      </c>
      <c r="G4727" s="195" t="s">
        <v>279</v>
      </c>
      <c r="H4727" s="195">
        <v>0.62471699999999997</v>
      </c>
      <c r="I4727" s="195">
        <v>0.49281340000000001</v>
      </c>
      <c r="J4727" s="195">
        <v>0.42475499999999999</v>
      </c>
      <c r="K4727" s="195">
        <v>0.40119300000000002</v>
      </c>
      <c r="L4727" s="195">
        <v>0.41223799999999999</v>
      </c>
      <c r="M4727" s="195">
        <v>0.36842540000000001</v>
      </c>
      <c r="N4727" s="195">
        <v>0.32865939999999999</v>
      </c>
    </row>
    <row r="4728" spans="1:14" hidden="1" x14ac:dyDescent="0.35">
      <c r="A4728" s="52" t="s">
        <v>681</v>
      </c>
      <c r="B4728" s="52" t="s">
        <v>37</v>
      </c>
      <c r="C4728" s="52" t="s">
        <v>51</v>
      </c>
      <c r="D4728" s="52" t="s">
        <v>51</v>
      </c>
      <c r="E4728" s="52" t="s">
        <v>602</v>
      </c>
      <c r="F4728" s="52" t="s">
        <v>581</v>
      </c>
      <c r="G4728" s="195" t="s">
        <v>275</v>
      </c>
      <c r="H4728" s="195">
        <v>354.97430000000003</v>
      </c>
      <c r="I4728" s="195">
        <v>83.399469999999994</v>
      </c>
      <c r="J4728" s="195">
        <v>103.7428</v>
      </c>
      <c r="K4728" s="195">
        <v>92.550290000000004</v>
      </c>
      <c r="L4728" s="195">
        <v>57.266089999999998</v>
      </c>
      <c r="M4728" s="195">
        <v>32.633130000000001</v>
      </c>
      <c r="N4728" s="195">
        <v>38.699260000000002</v>
      </c>
    </row>
    <row r="4729" spans="1:14" hidden="1" x14ac:dyDescent="0.35">
      <c r="A4729" s="52" t="s">
        <v>681</v>
      </c>
      <c r="B4729" s="52" t="s">
        <v>37</v>
      </c>
      <c r="C4729" s="52" t="s">
        <v>51</v>
      </c>
      <c r="D4729" s="52" t="s">
        <v>51</v>
      </c>
      <c r="E4729" s="52" t="s">
        <v>602</v>
      </c>
      <c r="F4729" s="52" t="s">
        <v>581</v>
      </c>
      <c r="G4729" s="195" t="s">
        <v>276</v>
      </c>
      <c r="H4729" s="195">
        <v>121.568</v>
      </c>
      <c r="I4729" s="195">
        <v>-10.725110000000001</v>
      </c>
      <c r="J4729" s="195">
        <v>-20.21031</v>
      </c>
      <c r="K4729" s="195">
        <v>-27.39574</v>
      </c>
      <c r="L4729" s="195">
        <v>-22.125330000000002</v>
      </c>
      <c r="M4729" s="195">
        <v>4.6944109999999997</v>
      </c>
      <c r="N4729" s="195">
        <v>10.81274</v>
      </c>
    </row>
    <row r="4730" spans="1:14" hidden="1" x14ac:dyDescent="0.35">
      <c r="A4730" s="52" t="s">
        <v>681</v>
      </c>
      <c r="B4730" s="52" t="s">
        <v>37</v>
      </c>
      <c r="C4730" s="52" t="s">
        <v>51</v>
      </c>
      <c r="D4730" s="52" t="s">
        <v>51</v>
      </c>
      <c r="E4730" s="52" t="s">
        <v>602</v>
      </c>
      <c r="F4730" s="52" t="s">
        <v>581</v>
      </c>
      <c r="G4730" s="195" t="s">
        <v>277</v>
      </c>
      <c r="H4730" s="195">
        <v>380.27249999999998</v>
      </c>
      <c r="I4730" s="195">
        <v>102.69750000000001</v>
      </c>
      <c r="J4730" s="195">
        <v>23.614159999999998</v>
      </c>
      <c r="K4730" s="195">
        <v>33.544730000000001</v>
      </c>
      <c r="L4730" s="195">
        <v>41.717829999999999</v>
      </c>
      <c r="M4730" s="195">
        <v>52.487369999999999</v>
      </c>
      <c r="N4730" s="195">
        <v>45.012309999999999</v>
      </c>
    </row>
    <row r="4731" spans="1:14" hidden="1" x14ac:dyDescent="0.35">
      <c r="A4731" s="52" t="s">
        <v>681</v>
      </c>
      <c r="B4731" s="52" t="s">
        <v>37</v>
      </c>
      <c r="C4731" s="52" t="s">
        <v>51</v>
      </c>
      <c r="D4731" s="52" t="s">
        <v>51</v>
      </c>
      <c r="E4731" s="52" t="s">
        <v>602</v>
      </c>
      <c r="F4731" s="52" t="s">
        <v>581</v>
      </c>
      <c r="G4731" s="195" t="s">
        <v>278</v>
      </c>
      <c r="H4731" s="195">
        <v>0.54866199999999998</v>
      </c>
      <c r="I4731" s="195">
        <v>0.60791720000000005</v>
      </c>
      <c r="J4731" s="195">
        <v>14.767160000000001</v>
      </c>
      <c r="K4731" s="195">
        <v>6.8604500000000002</v>
      </c>
      <c r="L4731" s="195">
        <v>5.0833979999999999</v>
      </c>
      <c r="M4731" s="195">
        <v>2.4263379999999999</v>
      </c>
      <c r="N4731" s="195">
        <v>0.75337480000000001</v>
      </c>
    </row>
    <row r="4732" spans="1:14" hidden="1" x14ac:dyDescent="0.35">
      <c r="A4732" s="52" t="s">
        <v>681</v>
      </c>
      <c r="B4732" s="52" t="s">
        <v>37</v>
      </c>
      <c r="C4732" s="52" t="s">
        <v>51</v>
      </c>
      <c r="D4732" s="52" t="s">
        <v>51</v>
      </c>
      <c r="E4732" s="52" t="s">
        <v>602</v>
      </c>
      <c r="F4732" s="52" t="s">
        <v>581</v>
      </c>
      <c r="G4732" s="195" t="s">
        <v>279</v>
      </c>
      <c r="H4732" s="195">
        <v>351.95549999999997</v>
      </c>
      <c r="I4732" s="195">
        <v>279.20589999999999</v>
      </c>
      <c r="J4732" s="195">
        <v>245.71440000000001</v>
      </c>
      <c r="K4732" s="195">
        <v>218.64940000000001</v>
      </c>
      <c r="L4732" s="195">
        <v>223.11429999999999</v>
      </c>
      <c r="M4732" s="195">
        <v>212.89840000000001</v>
      </c>
      <c r="N4732" s="195">
        <v>203.49100000000001</v>
      </c>
    </row>
    <row r="4733" spans="1:14" hidden="1" x14ac:dyDescent="0.35">
      <c r="A4733" s="52" t="s">
        <v>681</v>
      </c>
      <c r="B4733" s="52" t="s">
        <v>37</v>
      </c>
      <c r="C4733" s="52" t="s">
        <v>51</v>
      </c>
      <c r="D4733" s="52" t="s">
        <v>51</v>
      </c>
      <c r="E4733" s="52" t="s">
        <v>602</v>
      </c>
      <c r="F4733" s="52" t="s">
        <v>26</v>
      </c>
      <c r="G4733" s="195" t="s">
        <v>275</v>
      </c>
      <c r="H4733" s="195">
        <v>-5.7372040000000002</v>
      </c>
      <c r="I4733" s="195">
        <v>-3.9203220000000001</v>
      </c>
      <c r="J4733" s="195">
        <v>-2.6891720000000001</v>
      </c>
      <c r="K4733" s="195">
        <v>-2.9789910000000002</v>
      </c>
      <c r="L4733" s="195">
        <v>-4.4399850000000001</v>
      </c>
      <c r="M4733" s="195">
        <v>-3.9566110000000001</v>
      </c>
      <c r="N4733" s="195">
        <v>-3.6663579999999998</v>
      </c>
    </row>
    <row r="4734" spans="1:14" hidden="1" x14ac:dyDescent="0.35">
      <c r="A4734" s="52" t="s">
        <v>681</v>
      </c>
      <c r="B4734" s="52" t="s">
        <v>37</v>
      </c>
      <c r="C4734" s="52" t="s">
        <v>51</v>
      </c>
      <c r="D4734" s="52" t="s">
        <v>51</v>
      </c>
      <c r="E4734" s="52" t="s">
        <v>602</v>
      </c>
      <c r="F4734" s="52" t="s">
        <v>26</v>
      </c>
      <c r="G4734" s="195" t="s">
        <v>276</v>
      </c>
      <c r="H4734" s="195">
        <v>-1.5250779999999999</v>
      </c>
      <c r="I4734" s="195">
        <v>-1.0421069999999999</v>
      </c>
      <c r="J4734" s="195">
        <v>-0.71484979999999998</v>
      </c>
      <c r="K4734" s="195">
        <v>-0.79188409999999998</v>
      </c>
      <c r="L4734" s="195">
        <v>-1.1802520000000001</v>
      </c>
      <c r="M4734" s="195">
        <v>-1.0517430000000001</v>
      </c>
      <c r="N4734" s="195">
        <v>-0.9746108</v>
      </c>
    </row>
    <row r="4735" spans="1:14" hidden="1" x14ac:dyDescent="0.35">
      <c r="A4735" s="52" t="s">
        <v>681</v>
      </c>
      <c r="B4735" s="52" t="s">
        <v>37</v>
      </c>
      <c r="C4735" s="52" t="s">
        <v>51</v>
      </c>
      <c r="D4735" s="52" t="s">
        <v>51</v>
      </c>
      <c r="E4735" s="52" t="s">
        <v>602</v>
      </c>
      <c r="F4735" s="52" t="s">
        <v>26</v>
      </c>
      <c r="G4735" s="195" t="s">
        <v>279</v>
      </c>
      <c r="H4735" s="195">
        <v>31.124079999999999</v>
      </c>
      <c r="I4735" s="195">
        <v>29.299230000000001</v>
      </c>
      <c r="J4735" s="195">
        <v>26.38513</v>
      </c>
      <c r="K4735" s="195">
        <v>23.794840000000001</v>
      </c>
      <c r="L4735" s="195">
        <v>24.07526</v>
      </c>
      <c r="M4735" s="195">
        <v>22.934930000000001</v>
      </c>
      <c r="N4735" s="195">
        <v>21.866340000000001</v>
      </c>
    </row>
    <row r="4736" spans="1:14" hidden="1" x14ac:dyDescent="0.35">
      <c r="A4736" s="52" t="s">
        <v>681</v>
      </c>
      <c r="B4736" s="52" t="s">
        <v>37</v>
      </c>
      <c r="C4736" s="52" t="s">
        <v>318</v>
      </c>
      <c r="D4736" s="52" t="s">
        <v>318</v>
      </c>
      <c r="E4736" s="52" t="s">
        <v>584</v>
      </c>
      <c r="F4736" s="52" t="s">
        <v>581</v>
      </c>
      <c r="G4736" s="195" t="s">
        <v>275</v>
      </c>
      <c r="H4736" s="195">
        <v>0</v>
      </c>
      <c r="I4736" s="195"/>
      <c r="J4736" s="195"/>
      <c r="K4736" s="195"/>
      <c r="L4736" s="195"/>
      <c r="M4736" s="195"/>
      <c r="N4736" s="195"/>
    </row>
    <row r="4737" spans="1:14" hidden="1" x14ac:dyDescent="0.35">
      <c r="A4737" s="52" t="s">
        <v>681</v>
      </c>
      <c r="B4737" s="52" t="s">
        <v>37</v>
      </c>
      <c r="C4737" s="52" t="s">
        <v>318</v>
      </c>
      <c r="D4737" s="52" t="s">
        <v>318</v>
      </c>
      <c r="E4737" s="52" t="s">
        <v>584</v>
      </c>
      <c r="F4737" s="52" t="s">
        <v>581</v>
      </c>
      <c r="G4737" s="195" t="s">
        <v>276</v>
      </c>
      <c r="H4737" s="195">
        <v>0</v>
      </c>
      <c r="I4737" s="195"/>
      <c r="J4737" s="195"/>
      <c r="K4737" s="195"/>
      <c r="L4737" s="195"/>
      <c r="M4737" s="195"/>
      <c r="N4737" s="195"/>
    </row>
    <row r="4738" spans="1:14" hidden="1" x14ac:dyDescent="0.35">
      <c r="A4738" s="52" t="s">
        <v>681</v>
      </c>
      <c r="B4738" s="52" t="s">
        <v>37</v>
      </c>
      <c r="C4738" s="52" t="s">
        <v>318</v>
      </c>
      <c r="D4738" s="52" t="s">
        <v>318</v>
      </c>
      <c r="E4738" s="52" t="s">
        <v>584</v>
      </c>
      <c r="F4738" s="52" t="s">
        <v>581</v>
      </c>
      <c r="G4738" s="195" t="s">
        <v>278</v>
      </c>
      <c r="H4738" s="195">
        <v>0</v>
      </c>
      <c r="I4738" s="195"/>
      <c r="J4738" s="195"/>
      <c r="K4738" s="195"/>
      <c r="L4738" s="195"/>
      <c r="M4738" s="195"/>
      <c r="N4738" s="195"/>
    </row>
    <row r="4739" spans="1:14" hidden="1" x14ac:dyDescent="0.35">
      <c r="A4739" s="52" t="s">
        <v>681</v>
      </c>
      <c r="B4739" s="52" t="s">
        <v>37</v>
      </c>
      <c r="C4739" s="52" t="s">
        <v>318</v>
      </c>
      <c r="D4739" s="52" t="s">
        <v>318</v>
      </c>
      <c r="E4739" s="52" t="s">
        <v>584</v>
      </c>
      <c r="F4739" s="52" t="s">
        <v>26</v>
      </c>
      <c r="G4739" s="195" t="s">
        <v>275</v>
      </c>
      <c r="H4739" s="195">
        <v>0</v>
      </c>
      <c r="I4739" s="195"/>
      <c r="J4739" s="195"/>
      <c r="K4739" s="195"/>
      <c r="L4739" s="195"/>
      <c r="M4739" s="195"/>
      <c r="N4739" s="195"/>
    </row>
    <row r="4740" spans="1:14" hidden="1" x14ac:dyDescent="0.35">
      <c r="A4740" s="52" t="s">
        <v>681</v>
      </c>
      <c r="B4740" s="52" t="s">
        <v>37</v>
      </c>
      <c r="C4740" s="52" t="s">
        <v>318</v>
      </c>
      <c r="D4740" s="52" t="s">
        <v>318</v>
      </c>
      <c r="E4740" s="52" t="s">
        <v>584</v>
      </c>
      <c r="F4740" s="52" t="s">
        <v>26</v>
      </c>
      <c r="G4740" s="195" t="s">
        <v>276</v>
      </c>
      <c r="H4740" s="195">
        <v>0</v>
      </c>
      <c r="I4740" s="195"/>
      <c r="J4740" s="195"/>
      <c r="K4740" s="195"/>
      <c r="L4740" s="195"/>
      <c r="M4740" s="195"/>
      <c r="N4740" s="195"/>
    </row>
    <row r="4741" spans="1:14" hidden="1" x14ac:dyDescent="0.35">
      <c r="A4741" s="52" t="s">
        <v>681</v>
      </c>
      <c r="B4741" s="52" t="s">
        <v>37</v>
      </c>
      <c r="C4741" s="52" t="s">
        <v>318</v>
      </c>
      <c r="D4741" s="52" t="s">
        <v>318</v>
      </c>
      <c r="E4741" s="52" t="s">
        <v>584</v>
      </c>
      <c r="F4741" s="52" t="s">
        <v>26</v>
      </c>
      <c r="G4741" s="195" t="s">
        <v>278</v>
      </c>
      <c r="H4741" s="195">
        <v>0</v>
      </c>
      <c r="I4741" s="195"/>
      <c r="J4741" s="195"/>
      <c r="K4741" s="195"/>
      <c r="L4741" s="195"/>
      <c r="M4741" s="195"/>
      <c r="N4741" s="195"/>
    </row>
    <row r="4742" spans="1:14" hidden="1" x14ac:dyDescent="0.35">
      <c r="A4742" s="52" t="s">
        <v>682</v>
      </c>
      <c r="B4742" s="52" t="s">
        <v>37</v>
      </c>
      <c r="C4742" s="52" t="s">
        <v>61</v>
      </c>
      <c r="D4742" s="52" t="s">
        <v>62</v>
      </c>
      <c r="E4742" s="52" t="s">
        <v>584</v>
      </c>
      <c r="F4742" s="52" t="s">
        <v>581</v>
      </c>
      <c r="G4742" s="195" t="s">
        <v>275</v>
      </c>
      <c r="H4742" s="195">
        <v>352.05680000000001</v>
      </c>
      <c r="I4742" s="195">
        <v>-21.128219999999999</v>
      </c>
      <c r="J4742" s="195">
        <v>-257.1508</v>
      </c>
      <c r="K4742" s="195">
        <v>44.916519999999998</v>
      </c>
      <c r="L4742" s="195">
        <v>16.438110000000002</v>
      </c>
      <c r="M4742" s="195">
        <v>77.978260000000006</v>
      </c>
      <c r="N4742" s="195">
        <v>24.702110000000001</v>
      </c>
    </row>
    <row r="4743" spans="1:14" hidden="1" x14ac:dyDescent="0.35">
      <c r="A4743" s="52" t="s">
        <v>682</v>
      </c>
      <c r="B4743" s="52" t="s">
        <v>37</v>
      </c>
      <c r="C4743" s="52" t="s">
        <v>61</v>
      </c>
      <c r="D4743" s="52" t="s">
        <v>62</v>
      </c>
      <c r="E4743" s="52" t="s">
        <v>584</v>
      </c>
      <c r="F4743" s="52" t="s">
        <v>581</v>
      </c>
      <c r="G4743" s="195" t="s">
        <v>276</v>
      </c>
      <c r="H4743" s="195">
        <v>10.684150000000001</v>
      </c>
      <c r="I4743" s="195">
        <v>-107.9158</v>
      </c>
      <c r="J4743" s="195">
        <v>-114.0853</v>
      </c>
      <c r="K4743" s="195">
        <v>-126.0047</v>
      </c>
      <c r="L4743" s="195">
        <v>-74.79289</v>
      </c>
      <c r="M4743" s="195">
        <v>-50.06277</v>
      </c>
      <c r="N4743" s="195">
        <v>-113.7187</v>
      </c>
    </row>
    <row r="4744" spans="1:14" hidden="1" x14ac:dyDescent="0.35">
      <c r="A4744" s="52" t="s">
        <v>682</v>
      </c>
      <c r="B4744" s="52" t="s">
        <v>37</v>
      </c>
      <c r="C4744" s="52" t="s">
        <v>61</v>
      </c>
      <c r="D4744" s="52" t="s">
        <v>62</v>
      </c>
      <c r="E4744" s="52" t="s">
        <v>584</v>
      </c>
      <c r="F4744" s="52" t="s">
        <v>581</v>
      </c>
      <c r="G4744" s="195" t="s">
        <v>277</v>
      </c>
      <c r="H4744" s="195">
        <v>341.54660000000001</v>
      </c>
      <c r="I4744" s="195">
        <v>305.42349999999999</v>
      </c>
      <c r="J4744" s="195">
        <v>497.0881</v>
      </c>
      <c r="K4744" s="195">
        <v>123.1728</v>
      </c>
      <c r="L4744" s="195">
        <v>174.4675</v>
      </c>
      <c r="M4744" s="195">
        <v>119.1833</v>
      </c>
      <c r="N4744" s="195">
        <v>89.49924</v>
      </c>
    </row>
    <row r="4745" spans="1:14" hidden="1" x14ac:dyDescent="0.35">
      <c r="A4745" s="52" t="s">
        <v>682</v>
      </c>
      <c r="B4745" s="52" t="s">
        <v>37</v>
      </c>
      <c r="C4745" s="52" t="s">
        <v>61</v>
      </c>
      <c r="D4745" s="52" t="s">
        <v>62</v>
      </c>
      <c r="E4745" s="52" t="s">
        <v>584</v>
      </c>
      <c r="F4745" s="52" t="s">
        <v>581</v>
      </c>
      <c r="G4745" s="195" t="s">
        <v>278</v>
      </c>
      <c r="H4745" s="195">
        <v>266.3784</v>
      </c>
      <c r="I4745" s="195">
        <v>19.309010000000001</v>
      </c>
      <c r="J4745" s="195">
        <v>29.707229999999999</v>
      </c>
      <c r="K4745" s="195">
        <v>58.113579999999999</v>
      </c>
      <c r="L4745" s="195">
        <v>21.711939999999998</v>
      </c>
      <c r="M4745" s="195">
        <v>37.046210000000002</v>
      </c>
      <c r="N4745" s="195">
        <v>70.516319999999993</v>
      </c>
    </row>
    <row r="4746" spans="1:14" hidden="1" x14ac:dyDescent="0.35">
      <c r="A4746" s="52" t="s">
        <v>682</v>
      </c>
      <c r="B4746" s="52" t="s">
        <v>37</v>
      </c>
      <c r="C4746" s="52" t="s">
        <v>61</v>
      </c>
      <c r="D4746" s="52" t="s">
        <v>62</v>
      </c>
      <c r="E4746" s="52" t="s">
        <v>584</v>
      </c>
      <c r="F4746" s="52" t="s">
        <v>581</v>
      </c>
      <c r="G4746" s="195" t="s">
        <v>279</v>
      </c>
      <c r="H4746" s="195">
        <v>345.15589999999997</v>
      </c>
      <c r="I4746" s="195">
        <v>316.1035</v>
      </c>
      <c r="J4746" s="195">
        <v>283.81950000000001</v>
      </c>
      <c r="K4746" s="195">
        <v>322.22070000000002</v>
      </c>
      <c r="L4746" s="195">
        <v>341.2919</v>
      </c>
      <c r="M4746" s="195">
        <v>306.88220000000001</v>
      </c>
      <c r="N4746" s="195">
        <v>383.1028</v>
      </c>
    </row>
    <row r="4747" spans="1:14" hidden="1" x14ac:dyDescent="0.35">
      <c r="A4747" s="52" t="s">
        <v>682</v>
      </c>
      <c r="B4747" s="52" t="s">
        <v>37</v>
      </c>
      <c r="C4747" s="52" t="s">
        <v>61</v>
      </c>
      <c r="D4747" s="52" t="s">
        <v>62</v>
      </c>
      <c r="E4747" s="52" t="s">
        <v>584</v>
      </c>
      <c r="F4747" s="52" t="s">
        <v>26</v>
      </c>
      <c r="G4747" s="195" t="s">
        <v>275</v>
      </c>
      <c r="H4747" s="195">
        <v>-34.339640000000003</v>
      </c>
      <c r="I4747" s="195">
        <v>11.31987</v>
      </c>
      <c r="J4747" s="195">
        <v>-0.24656539999999999</v>
      </c>
      <c r="K4747" s="195">
        <v>8.8600820000000002</v>
      </c>
      <c r="L4747" s="195">
        <v>10.667490000000001</v>
      </c>
      <c r="M4747" s="195">
        <v>7.3584449999999997</v>
      </c>
      <c r="N4747" s="195">
        <v>-14.13284</v>
      </c>
    </row>
    <row r="4748" spans="1:14" hidden="1" x14ac:dyDescent="0.35">
      <c r="A4748" s="52" t="s">
        <v>682</v>
      </c>
      <c r="B4748" s="52" t="s">
        <v>37</v>
      </c>
      <c r="C4748" s="52" t="s">
        <v>61</v>
      </c>
      <c r="D4748" s="52" t="s">
        <v>62</v>
      </c>
      <c r="E4748" s="52" t="s">
        <v>584</v>
      </c>
      <c r="F4748" s="52" t="s">
        <v>26</v>
      </c>
      <c r="G4748" s="195" t="s">
        <v>276</v>
      </c>
      <c r="H4748" s="195">
        <v>-23.049990000000001</v>
      </c>
      <c r="I4748" s="195">
        <v>-1.581035</v>
      </c>
      <c r="J4748" s="195">
        <v>1.6444190000000001</v>
      </c>
      <c r="K4748" s="195">
        <v>1.1415299999999999</v>
      </c>
      <c r="L4748" s="195">
        <v>1.4494419999999999</v>
      </c>
      <c r="M4748" s="195">
        <v>1.2962880000000001</v>
      </c>
      <c r="N4748" s="195">
        <v>-4.6978910000000003</v>
      </c>
    </row>
    <row r="4749" spans="1:14" hidden="1" x14ac:dyDescent="0.35">
      <c r="A4749" s="52" t="s">
        <v>682</v>
      </c>
      <c r="B4749" s="52" t="s">
        <v>37</v>
      </c>
      <c r="C4749" s="52" t="s">
        <v>61</v>
      </c>
      <c r="D4749" s="52" t="s">
        <v>62</v>
      </c>
      <c r="E4749" s="52" t="s">
        <v>584</v>
      </c>
      <c r="F4749" s="52" t="s">
        <v>26</v>
      </c>
      <c r="G4749" s="195" t="s">
        <v>277</v>
      </c>
      <c r="H4749" s="195">
        <v>6.2995950000000001</v>
      </c>
      <c r="I4749" s="195">
        <v>6.5256319999999999</v>
      </c>
      <c r="J4749" s="195">
        <v>14.218640000000001</v>
      </c>
      <c r="K4749" s="195">
        <v>1.5995550000000001</v>
      </c>
      <c r="L4749" s="195">
        <v>0.13702880000000001</v>
      </c>
      <c r="M4749" s="195">
        <v>2.342022</v>
      </c>
      <c r="N4749" s="195">
        <v>3.5497969999999999</v>
      </c>
    </row>
    <row r="4750" spans="1:14" hidden="1" x14ac:dyDescent="0.35">
      <c r="A4750" s="52" t="s">
        <v>682</v>
      </c>
      <c r="B4750" s="52" t="s">
        <v>37</v>
      </c>
      <c r="C4750" s="52" t="s">
        <v>61</v>
      </c>
      <c r="D4750" s="52" t="s">
        <v>62</v>
      </c>
      <c r="E4750" s="52" t="s">
        <v>584</v>
      </c>
      <c r="F4750" s="52" t="s">
        <v>26</v>
      </c>
      <c r="G4750" s="195" t="s">
        <v>279</v>
      </c>
      <c r="H4750" s="195">
        <v>110.69889999999999</v>
      </c>
      <c r="I4750" s="195">
        <v>41.669809999999998</v>
      </c>
      <c r="J4750" s="195">
        <v>41.217869999999998</v>
      </c>
      <c r="K4750" s="195">
        <v>39.011789999999998</v>
      </c>
      <c r="L4750" s="195">
        <v>37.781390000000002</v>
      </c>
      <c r="M4750" s="195">
        <v>34.383450000000003</v>
      </c>
      <c r="N4750" s="195">
        <v>54.799759999999999</v>
      </c>
    </row>
    <row r="4751" spans="1:14" hidden="1" x14ac:dyDescent="0.35">
      <c r="A4751" s="52" t="s">
        <v>682</v>
      </c>
      <c r="B4751" s="52" t="s">
        <v>37</v>
      </c>
      <c r="C4751" s="52" t="s">
        <v>79</v>
      </c>
      <c r="D4751" s="52" t="s">
        <v>79</v>
      </c>
      <c r="E4751" s="52" t="s">
        <v>600</v>
      </c>
      <c r="F4751" s="52" t="s">
        <v>581</v>
      </c>
      <c r="G4751" s="195" t="s">
        <v>275</v>
      </c>
      <c r="H4751" s="195">
        <v>-14.6995</v>
      </c>
      <c r="I4751" s="195">
        <v>0.63024990000000003</v>
      </c>
      <c r="J4751" s="195">
        <v>27.671029999999998</v>
      </c>
      <c r="K4751" s="195">
        <v>29.577649999999998</v>
      </c>
      <c r="L4751" s="195">
        <v>18.534310000000001</v>
      </c>
      <c r="M4751" s="195">
        <v>6.5259429999999998</v>
      </c>
      <c r="N4751" s="195">
        <v>3.0032969999999999</v>
      </c>
    </row>
    <row r="4752" spans="1:14" hidden="1" x14ac:dyDescent="0.35">
      <c r="A4752" s="52" t="s">
        <v>682</v>
      </c>
      <c r="B4752" s="52" t="s">
        <v>37</v>
      </c>
      <c r="C4752" s="52" t="s">
        <v>79</v>
      </c>
      <c r="D4752" s="52" t="s">
        <v>79</v>
      </c>
      <c r="E4752" s="52" t="s">
        <v>600</v>
      </c>
      <c r="F4752" s="52" t="s">
        <v>581</v>
      </c>
      <c r="G4752" s="195" t="s">
        <v>276</v>
      </c>
      <c r="H4752" s="195">
        <v>3.0714429999999999</v>
      </c>
      <c r="I4752" s="195">
        <v>-16.44068</v>
      </c>
      <c r="J4752" s="195">
        <v>-21.521419999999999</v>
      </c>
      <c r="K4752" s="195">
        <v>-22.652999999999999</v>
      </c>
      <c r="L4752" s="195">
        <v>-16.060500000000001</v>
      </c>
      <c r="M4752" s="195">
        <v>-3.063701</v>
      </c>
      <c r="N4752" s="195">
        <v>-6.9502430000000004E-2</v>
      </c>
    </row>
    <row r="4753" spans="1:14" hidden="1" x14ac:dyDescent="0.35">
      <c r="A4753" s="52" t="s">
        <v>682</v>
      </c>
      <c r="B4753" s="52" t="s">
        <v>37</v>
      </c>
      <c r="C4753" s="52" t="s">
        <v>79</v>
      </c>
      <c r="D4753" s="52" t="s">
        <v>79</v>
      </c>
      <c r="E4753" s="52" t="s">
        <v>600</v>
      </c>
      <c r="F4753" s="52" t="s">
        <v>581</v>
      </c>
      <c r="G4753" s="195" t="s">
        <v>277</v>
      </c>
      <c r="H4753" s="195">
        <v>170</v>
      </c>
      <c r="I4753" s="195">
        <v>30.69126</v>
      </c>
      <c r="J4753" s="195">
        <v>4.8400829999999999</v>
      </c>
      <c r="K4753" s="195">
        <v>2.2074560000000001</v>
      </c>
      <c r="L4753" s="195"/>
      <c r="M4753" s="195">
        <v>0</v>
      </c>
      <c r="N4753" s="195">
        <v>0</v>
      </c>
    </row>
    <row r="4754" spans="1:14" hidden="1" x14ac:dyDescent="0.35">
      <c r="A4754" s="52" t="s">
        <v>682</v>
      </c>
      <c r="B4754" s="52" t="s">
        <v>37</v>
      </c>
      <c r="C4754" s="52" t="s">
        <v>79</v>
      </c>
      <c r="D4754" s="52" t="s">
        <v>79</v>
      </c>
      <c r="E4754" s="52" t="s">
        <v>600</v>
      </c>
      <c r="F4754" s="52" t="s">
        <v>581</v>
      </c>
      <c r="G4754" s="195" t="s">
        <v>278</v>
      </c>
      <c r="H4754" s="195">
        <v>0</v>
      </c>
      <c r="I4754" s="195">
        <v>7.9688460000000001</v>
      </c>
      <c r="J4754" s="195">
        <v>1.982531</v>
      </c>
      <c r="K4754" s="195">
        <v>0.63687559999999999</v>
      </c>
      <c r="L4754" s="195">
        <v>0</v>
      </c>
      <c r="M4754" s="195"/>
      <c r="N4754" s="195"/>
    </row>
    <row r="4755" spans="1:14" hidden="1" x14ac:dyDescent="0.35">
      <c r="A4755" s="52" t="s">
        <v>682</v>
      </c>
      <c r="B4755" s="52" t="s">
        <v>37</v>
      </c>
      <c r="C4755" s="52" t="s">
        <v>79</v>
      </c>
      <c r="D4755" s="52" t="s">
        <v>79</v>
      </c>
      <c r="E4755" s="52" t="s">
        <v>600</v>
      </c>
      <c r="F4755" s="52" t="s">
        <v>581</v>
      </c>
      <c r="G4755" s="195" t="s">
        <v>279</v>
      </c>
      <c r="H4755" s="195">
        <v>89.176060000000007</v>
      </c>
      <c r="I4755" s="195">
        <v>71.652529999999999</v>
      </c>
      <c r="J4755" s="195">
        <v>58.088540000000002</v>
      </c>
      <c r="K4755" s="195">
        <v>46.923650000000002</v>
      </c>
      <c r="L4755" s="195">
        <v>43.336860000000001</v>
      </c>
      <c r="M4755" s="195">
        <v>36.202440000000003</v>
      </c>
      <c r="N4755" s="195">
        <v>31.37998</v>
      </c>
    </row>
    <row r="4756" spans="1:14" hidden="1" x14ac:dyDescent="0.35">
      <c r="A4756" s="52" t="s">
        <v>682</v>
      </c>
      <c r="B4756" s="52" t="s">
        <v>37</v>
      </c>
      <c r="C4756" s="52" t="s">
        <v>79</v>
      </c>
      <c r="D4756" s="52" t="s">
        <v>79</v>
      </c>
      <c r="E4756" s="52" t="s">
        <v>600</v>
      </c>
      <c r="F4756" s="52" t="s">
        <v>26</v>
      </c>
      <c r="G4756" s="195" t="s">
        <v>275</v>
      </c>
      <c r="H4756" s="195">
        <v>-2.9696129999999998</v>
      </c>
      <c r="I4756" s="195">
        <v>-5.8172499999999996</v>
      </c>
      <c r="J4756" s="195">
        <v>-4.390326</v>
      </c>
      <c r="K4756" s="195">
        <v>-3.8033739999999998</v>
      </c>
      <c r="L4756" s="195">
        <v>-4.1384160000000003</v>
      </c>
      <c r="M4756" s="195">
        <v>-3.4252530000000001</v>
      </c>
      <c r="N4756" s="195">
        <v>-2.9673919999999998</v>
      </c>
    </row>
    <row r="4757" spans="1:14" hidden="1" x14ac:dyDescent="0.35">
      <c r="A4757" s="52" t="s">
        <v>682</v>
      </c>
      <c r="B4757" s="52" t="s">
        <v>37</v>
      </c>
      <c r="C4757" s="52" t="s">
        <v>79</v>
      </c>
      <c r="D4757" s="52" t="s">
        <v>79</v>
      </c>
      <c r="E4757" s="52" t="s">
        <v>600</v>
      </c>
      <c r="F4757" s="52" t="s">
        <v>26</v>
      </c>
      <c r="G4757" s="195" t="s">
        <v>276</v>
      </c>
      <c r="H4757" s="195">
        <v>-0.86085999999999996</v>
      </c>
      <c r="I4757" s="195">
        <v>-1.6863619999999999</v>
      </c>
      <c r="J4757" s="195">
        <v>-1.2727109999999999</v>
      </c>
      <c r="K4757" s="195">
        <v>-1.1025590000000001</v>
      </c>
      <c r="L4757" s="195">
        <v>-1.1996849999999999</v>
      </c>
      <c r="M4757" s="195">
        <v>-0.99294530000000003</v>
      </c>
      <c r="N4757" s="195">
        <v>-0.86021579999999997</v>
      </c>
    </row>
    <row r="4758" spans="1:14" hidden="1" x14ac:dyDescent="0.35">
      <c r="A4758" s="52" t="s">
        <v>682</v>
      </c>
      <c r="B4758" s="52" t="s">
        <v>37</v>
      </c>
      <c r="C4758" s="52" t="s">
        <v>79</v>
      </c>
      <c r="D4758" s="52" t="s">
        <v>79</v>
      </c>
      <c r="E4758" s="52" t="s">
        <v>600</v>
      </c>
      <c r="F4758" s="52" t="s">
        <v>26</v>
      </c>
      <c r="G4758" s="195" t="s">
        <v>279</v>
      </c>
      <c r="H4758" s="195">
        <v>13.91708</v>
      </c>
      <c r="I4758" s="195">
        <v>20.999690000000001</v>
      </c>
      <c r="J4758" s="195">
        <v>17.49015</v>
      </c>
      <c r="K4758" s="195">
        <v>14.287890000000001</v>
      </c>
      <c r="L4758" s="195">
        <v>13.088100000000001</v>
      </c>
      <c r="M4758" s="195">
        <v>10.958259999999999</v>
      </c>
      <c r="N4758" s="195">
        <v>9.5010530000000006</v>
      </c>
    </row>
    <row r="4759" spans="1:14" hidden="1" x14ac:dyDescent="0.35">
      <c r="A4759" s="52" t="s">
        <v>682</v>
      </c>
      <c r="B4759" s="52" t="s">
        <v>37</v>
      </c>
      <c r="C4759" s="52" t="s">
        <v>79</v>
      </c>
      <c r="D4759" s="52" t="s">
        <v>79</v>
      </c>
      <c r="E4759" s="52" t="s">
        <v>614</v>
      </c>
      <c r="F4759" s="52" t="s">
        <v>581</v>
      </c>
      <c r="G4759" s="195" t="s">
        <v>275</v>
      </c>
      <c r="H4759" s="195">
        <v>-70.851299999999995</v>
      </c>
      <c r="I4759" s="195">
        <v>9.1583229999999993</v>
      </c>
      <c r="J4759" s="195">
        <v>37.963909999999998</v>
      </c>
      <c r="K4759" s="195">
        <v>40.68562</v>
      </c>
      <c r="L4759" s="195">
        <v>28.235939999999999</v>
      </c>
      <c r="M4759" s="195">
        <v>15.17357</v>
      </c>
      <c r="N4759" s="195">
        <v>7.6580060000000003</v>
      </c>
    </row>
    <row r="4760" spans="1:14" hidden="1" x14ac:dyDescent="0.35">
      <c r="A4760" s="52" t="s">
        <v>682</v>
      </c>
      <c r="B4760" s="52" t="s">
        <v>37</v>
      </c>
      <c r="C4760" s="52" t="s">
        <v>79</v>
      </c>
      <c r="D4760" s="52" t="s">
        <v>79</v>
      </c>
      <c r="E4760" s="52" t="s">
        <v>614</v>
      </c>
      <c r="F4760" s="52" t="s">
        <v>581</v>
      </c>
      <c r="G4760" s="195" t="s">
        <v>276</v>
      </c>
      <c r="H4760" s="195">
        <v>-14.606960000000001</v>
      </c>
      <c r="I4760" s="195">
        <v>-25.182690000000001</v>
      </c>
      <c r="J4760" s="195">
        <v>-23.098610000000001</v>
      </c>
      <c r="K4760" s="195">
        <v>-27.769469999999998</v>
      </c>
      <c r="L4760" s="195">
        <v>-19.356449999999999</v>
      </c>
      <c r="M4760" s="195">
        <v>-2.9082560000000002</v>
      </c>
      <c r="N4760" s="195">
        <v>-0.33745599999999998</v>
      </c>
    </row>
    <row r="4761" spans="1:14" hidden="1" x14ac:dyDescent="0.35">
      <c r="A4761" s="52" t="s">
        <v>682</v>
      </c>
      <c r="B4761" s="52" t="s">
        <v>37</v>
      </c>
      <c r="C4761" s="52" t="s">
        <v>79</v>
      </c>
      <c r="D4761" s="52" t="s">
        <v>79</v>
      </c>
      <c r="E4761" s="52" t="s">
        <v>614</v>
      </c>
      <c r="F4761" s="52" t="s">
        <v>581</v>
      </c>
      <c r="G4761" s="195" t="s">
        <v>277</v>
      </c>
      <c r="H4761" s="195">
        <v>230</v>
      </c>
      <c r="I4761" s="195">
        <v>37.434759999999997</v>
      </c>
      <c r="J4761" s="195">
        <v>9.5074880000000004</v>
      </c>
      <c r="K4761" s="195">
        <v>3.9359069999999998</v>
      </c>
      <c r="L4761" s="195">
        <v>4.7351590000000003</v>
      </c>
      <c r="M4761" s="195">
        <v>0</v>
      </c>
      <c r="N4761" s="195">
        <v>0</v>
      </c>
    </row>
    <row r="4762" spans="1:14" hidden="1" x14ac:dyDescent="0.35">
      <c r="A4762" s="52" t="s">
        <v>682</v>
      </c>
      <c r="B4762" s="52" t="s">
        <v>37</v>
      </c>
      <c r="C4762" s="52" t="s">
        <v>79</v>
      </c>
      <c r="D4762" s="52" t="s">
        <v>79</v>
      </c>
      <c r="E4762" s="52" t="s">
        <v>614</v>
      </c>
      <c r="F4762" s="52" t="s">
        <v>581</v>
      </c>
      <c r="G4762" s="195" t="s">
        <v>278</v>
      </c>
      <c r="H4762" s="195">
        <v>0</v>
      </c>
      <c r="I4762" s="195">
        <v>12.826969999999999</v>
      </c>
      <c r="J4762" s="195">
        <v>6.1393740000000001</v>
      </c>
      <c r="K4762" s="195">
        <v>6.9792500000000004</v>
      </c>
      <c r="L4762" s="195">
        <v>5.385262</v>
      </c>
      <c r="M4762" s="195">
        <v>0</v>
      </c>
      <c r="N4762" s="195">
        <v>0</v>
      </c>
    </row>
    <row r="4763" spans="1:14" hidden="1" x14ac:dyDescent="0.35">
      <c r="A4763" s="52" t="s">
        <v>682</v>
      </c>
      <c r="B4763" s="52" t="s">
        <v>37</v>
      </c>
      <c r="C4763" s="52" t="s">
        <v>79</v>
      </c>
      <c r="D4763" s="52" t="s">
        <v>79</v>
      </c>
      <c r="E4763" s="52" t="s">
        <v>614</v>
      </c>
      <c r="F4763" s="52" t="s">
        <v>581</v>
      </c>
      <c r="G4763" s="195" t="s">
        <v>279</v>
      </c>
      <c r="H4763" s="195">
        <v>65.468279999999993</v>
      </c>
      <c r="I4763" s="195">
        <v>55.248249999999999</v>
      </c>
      <c r="J4763" s="195">
        <v>60.188200000000002</v>
      </c>
      <c r="K4763" s="195">
        <v>46.956389999999999</v>
      </c>
      <c r="L4763" s="195">
        <v>53.788110000000003</v>
      </c>
      <c r="M4763" s="195">
        <v>35.147390000000001</v>
      </c>
      <c r="N4763" s="195">
        <v>21.11074</v>
      </c>
    </row>
    <row r="4764" spans="1:14" hidden="1" x14ac:dyDescent="0.35">
      <c r="A4764" s="52" t="s">
        <v>682</v>
      </c>
      <c r="B4764" s="52" t="s">
        <v>37</v>
      </c>
      <c r="C4764" s="52" t="s">
        <v>79</v>
      </c>
      <c r="D4764" s="52" t="s">
        <v>79</v>
      </c>
      <c r="E4764" s="52" t="s">
        <v>614</v>
      </c>
      <c r="F4764" s="52" t="s">
        <v>26</v>
      </c>
      <c r="G4764" s="195" t="s">
        <v>275</v>
      </c>
      <c r="H4764" s="195">
        <v>-1.0040979999999999</v>
      </c>
      <c r="I4764" s="195">
        <v>-2.0262250000000002</v>
      </c>
      <c r="J4764" s="195">
        <v>-2.0578349999999999</v>
      </c>
      <c r="K4764" s="195">
        <v>-1.6994309999999999</v>
      </c>
      <c r="L4764" s="195">
        <v>-2.284735</v>
      </c>
      <c r="M4764" s="195">
        <v>-1.489371</v>
      </c>
      <c r="N4764" s="195">
        <v>-0.89394839999999998</v>
      </c>
    </row>
    <row r="4765" spans="1:14" hidden="1" x14ac:dyDescent="0.35">
      <c r="A4765" s="52" t="s">
        <v>682</v>
      </c>
      <c r="B4765" s="52" t="s">
        <v>37</v>
      </c>
      <c r="C4765" s="52" t="s">
        <v>79</v>
      </c>
      <c r="D4765" s="52" t="s">
        <v>79</v>
      </c>
      <c r="E4765" s="52" t="s">
        <v>614</v>
      </c>
      <c r="F4765" s="52" t="s">
        <v>26</v>
      </c>
      <c r="G4765" s="195" t="s">
        <v>276</v>
      </c>
      <c r="H4765" s="195">
        <v>-0.29107499999999997</v>
      </c>
      <c r="I4765" s="195">
        <v>-0.58738080000000004</v>
      </c>
      <c r="J4765" s="195">
        <v>-0.59654280000000004</v>
      </c>
      <c r="K4765" s="195">
        <v>-0.49265340000000002</v>
      </c>
      <c r="L4765" s="195">
        <v>-0.66231839999999997</v>
      </c>
      <c r="M4765" s="195">
        <v>-0.43175180000000002</v>
      </c>
      <c r="N4765" s="195">
        <v>-0.25914579999999998</v>
      </c>
    </row>
    <row r="4766" spans="1:14" hidden="1" x14ac:dyDescent="0.35">
      <c r="A4766" s="52" t="s">
        <v>682</v>
      </c>
      <c r="B4766" s="52" t="s">
        <v>37</v>
      </c>
      <c r="C4766" s="52" t="s">
        <v>79</v>
      </c>
      <c r="D4766" s="52" t="s">
        <v>79</v>
      </c>
      <c r="E4766" s="52" t="s">
        <v>614</v>
      </c>
      <c r="F4766" s="52" t="s">
        <v>26</v>
      </c>
      <c r="G4766" s="195" t="s">
        <v>279</v>
      </c>
      <c r="H4766" s="195">
        <v>4.4193420000000003</v>
      </c>
      <c r="I4766" s="195">
        <v>6.9996520000000002</v>
      </c>
      <c r="J4766" s="195">
        <v>7.7933669999999999</v>
      </c>
      <c r="K4766" s="195">
        <v>6.1391850000000003</v>
      </c>
      <c r="L4766" s="195">
        <v>6.9994820000000004</v>
      </c>
      <c r="M4766" s="195">
        <v>4.589283</v>
      </c>
      <c r="N4766" s="195">
        <v>2.75726</v>
      </c>
    </row>
    <row r="4767" spans="1:14" hidden="1" x14ac:dyDescent="0.35">
      <c r="A4767" s="52" t="s">
        <v>682</v>
      </c>
      <c r="B4767" s="52" t="s">
        <v>37</v>
      </c>
      <c r="C4767" s="52" t="s">
        <v>79</v>
      </c>
      <c r="D4767" s="52" t="s">
        <v>79</v>
      </c>
      <c r="E4767" s="52" t="s">
        <v>615</v>
      </c>
      <c r="F4767" s="52" t="s">
        <v>581</v>
      </c>
      <c r="G4767" s="195" t="s">
        <v>275</v>
      </c>
      <c r="H4767" s="195">
        <v>54.577730000000003</v>
      </c>
      <c r="I4767" s="195">
        <v>-8.4190909999999999</v>
      </c>
      <c r="J4767" s="195">
        <v>19.9358</v>
      </c>
      <c r="K4767" s="195">
        <v>21.639990000000001</v>
      </c>
      <c r="L4767" s="195">
        <v>16.300920000000001</v>
      </c>
      <c r="M4767" s="195">
        <v>10.337160000000001</v>
      </c>
      <c r="N4767" s="195">
        <v>5.8941470000000002</v>
      </c>
    </row>
    <row r="4768" spans="1:14" hidden="1" x14ac:dyDescent="0.35">
      <c r="A4768" s="52" t="s">
        <v>682</v>
      </c>
      <c r="B4768" s="52" t="s">
        <v>37</v>
      </c>
      <c r="C4768" s="52" t="s">
        <v>79</v>
      </c>
      <c r="D4768" s="52" t="s">
        <v>79</v>
      </c>
      <c r="E4768" s="52" t="s">
        <v>615</v>
      </c>
      <c r="F4768" s="52" t="s">
        <v>581</v>
      </c>
      <c r="G4768" s="195" t="s">
        <v>276</v>
      </c>
      <c r="H4768" s="195">
        <v>-22.193100000000001</v>
      </c>
      <c r="I4768" s="195">
        <v>-10.248760000000001</v>
      </c>
      <c r="J4768" s="195">
        <v>-13.876300000000001</v>
      </c>
      <c r="K4768" s="195">
        <v>-15.41639</v>
      </c>
      <c r="L4768" s="195">
        <v>-11.747299999999999</v>
      </c>
      <c r="M4768" s="195">
        <v>-3.1680980000000001</v>
      </c>
      <c r="N4768" s="195">
        <v>7.8244739999999993E-2</v>
      </c>
    </row>
    <row r="4769" spans="1:14" hidden="1" x14ac:dyDescent="0.35">
      <c r="A4769" s="52" t="s">
        <v>682</v>
      </c>
      <c r="B4769" s="52" t="s">
        <v>37</v>
      </c>
      <c r="C4769" s="52" t="s">
        <v>79</v>
      </c>
      <c r="D4769" s="52" t="s">
        <v>79</v>
      </c>
      <c r="E4769" s="52" t="s">
        <v>615</v>
      </c>
      <c r="F4769" s="52" t="s">
        <v>581</v>
      </c>
      <c r="G4769" s="195" t="s">
        <v>277</v>
      </c>
      <c r="H4769" s="195">
        <v>130</v>
      </c>
      <c r="I4769" s="195">
        <v>45.23507</v>
      </c>
      <c r="J4769" s="195">
        <v>10.480420000000001</v>
      </c>
      <c r="K4769" s="195">
        <v>7.405303</v>
      </c>
      <c r="L4769" s="195">
        <v>4.4777170000000002</v>
      </c>
      <c r="M4769" s="195">
        <v>0</v>
      </c>
      <c r="N4769" s="195">
        <v>0</v>
      </c>
    </row>
    <row r="4770" spans="1:14" hidden="1" x14ac:dyDescent="0.35">
      <c r="A4770" s="52" t="s">
        <v>682</v>
      </c>
      <c r="B4770" s="52" t="s">
        <v>37</v>
      </c>
      <c r="C4770" s="52" t="s">
        <v>79</v>
      </c>
      <c r="D4770" s="52" t="s">
        <v>79</v>
      </c>
      <c r="E4770" s="52" t="s">
        <v>615</v>
      </c>
      <c r="F4770" s="52" t="s">
        <v>581</v>
      </c>
      <c r="G4770" s="195" t="s">
        <v>279</v>
      </c>
      <c r="H4770" s="195">
        <v>73.358969999999999</v>
      </c>
      <c r="I4770" s="195">
        <v>42.974170000000001</v>
      </c>
      <c r="J4770" s="195">
        <v>33.085450000000002</v>
      </c>
      <c r="K4770" s="195">
        <v>28.59009</v>
      </c>
      <c r="L4770" s="195">
        <v>27.01313</v>
      </c>
      <c r="M4770" s="195">
        <v>20.83277</v>
      </c>
      <c r="N4770" s="195">
        <v>17.498010000000001</v>
      </c>
    </row>
    <row r="4771" spans="1:14" hidden="1" x14ac:dyDescent="0.35">
      <c r="A4771" s="52" t="s">
        <v>682</v>
      </c>
      <c r="B4771" s="52" t="s">
        <v>37</v>
      </c>
      <c r="C4771" s="52" t="s">
        <v>79</v>
      </c>
      <c r="D4771" s="52" t="s">
        <v>79</v>
      </c>
      <c r="E4771" s="52" t="s">
        <v>615</v>
      </c>
      <c r="F4771" s="52" t="s">
        <v>26</v>
      </c>
      <c r="G4771" s="195" t="s">
        <v>275</v>
      </c>
      <c r="H4771" s="195">
        <v>-1.4453860000000001</v>
      </c>
      <c r="I4771" s="195">
        <v>-2.0262989999999999</v>
      </c>
      <c r="J4771" s="195">
        <v>-1.462391</v>
      </c>
      <c r="K4771" s="195">
        <v>-1.358474</v>
      </c>
      <c r="L4771" s="195">
        <v>-1.511665</v>
      </c>
      <c r="M4771" s="195">
        <v>-1.1559900000000001</v>
      </c>
      <c r="N4771" s="195">
        <v>-0.97045219999999999</v>
      </c>
    </row>
    <row r="4772" spans="1:14" hidden="1" x14ac:dyDescent="0.35">
      <c r="A4772" s="52" t="s">
        <v>682</v>
      </c>
      <c r="B4772" s="52" t="s">
        <v>37</v>
      </c>
      <c r="C4772" s="52" t="s">
        <v>79</v>
      </c>
      <c r="D4772" s="52" t="s">
        <v>79</v>
      </c>
      <c r="E4772" s="52" t="s">
        <v>615</v>
      </c>
      <c r="F4772" s="52" t="s">
        <v>26</v>
      </c>
      <c r="G4772" s="195" t="s">
        <v>276</v>
      </c>
      <c r="H4772" s="195">
        <v>-0.41900399999999999</v>
      </c>
      <c r="I4772" s="195">
        <v>-0.58740479999999995</v>
      </c>
      <c r="J4772" s="195">
        <v>-0.423931</v>
      </c>
      <c r="K4772" s="195">
        <v>-0.39380979999999999</v>
      </c>
      <c r="L4772" s="195">
        <v>-0.43821599999999999</v>
      </c>
      <c r="M4772" s="195">
        <v>-0.33511039999999997</v>
      </c>
      <c r="N4772" s="195">
        <v>-0.28132620000000003</v>
      </c>
    </row>
    <row r="4773" spans="1:14" hidden="1" x14ac:dyDescent="0.35">
      <c r="A4773" s="52" t="s">
        <v>682</v>
      </c>
      <c r="B4773" s="52" t="s">
        <v>37</v>
      </c>
      <c r="C4773" s="52" t="s">
        <v>79</v>
      </c>
      <c r="D4773" s="52" t="s">
        <v>79</v>
      </c>
      <c r="E4773" s="52" t="s">
        <v>615</v>
      </c>
      <c r="F4773" s="52" t="s">
        <v>26</v>
      </c>
      <c r="G4773" s="195" t="s">
        <v>279</v>
      </c>
      <c r="H4773" s="195">
        <v>6.7737999999999996</v>
      </c>
      <c r="I4773" s="195">
        <v>7.3142589999999998</v>
      </c>
      <c r="J4773" s="195">
        <v>5.8118410000000003</v>
      </c>
      <c r="K4773" s="195">
        <v>5.0828660000000001</v>
      </c>
      <c r="L4773" s="195">
        <v>4.7724710000000004</v>
      </c>
      <c r="M4773" s="195">
        <v>3.689063</v>
      </c>
      <c r="N4773" s="195">
        <v>3.0995879999999998</v>
      </c>
    </row>
    <row r="4774" spans="1:14" hidden="1" x14ac:dyDescent="0.35">
      <c r="A4774" s="52" t="s">
        <v>682</v>
      </c>
      <c r="B4774" s="52" t="s">
        <v>37</v>
      </c>
      <c r="C4774" s="52" t="s">
        <v>79</v>
      </c>
      <c r="D4774" s="52" t="s">
        <v>79</v>
      </c>
      <c r="E4774" s="52" t="s">
        <v>601</v>
      </c>
      <c r="F4774" s="52" t="s">
        <v>581</v>
      </c>
      <c r="G4774" s="195" t="s">
        <v>275</v>
      </c>
      <c r="H4774" s="195">
        <v>12.82765</v>
      </c>
      <c r="I4774" s="195">
        <v>-16.692589999999999</v>
      </c>
      <c r="J4774" s="195">
        <v>6.030735</v>
      </c>
      <c r="K4774" s="195">
        <v>6.8581750000000001</v>
      </c>
      <c r="L4774" s="195">
        <v>2.6667360000000002</v>
      </c>
      <c r="M4774" s="195">
        <v>4.4759719999999996</v>
      </c>
      <c r="N4774" s="195">
        <v>2.305463</v>
      </c>
    </row>
    <row r="4775" spans="1:14" hidden="1" x14ac:dyDescent="0.35">
      <c r="A4775" s="52" t="s">
        <v>682</v>
      </c>
      <c r="B4775" s="52" t="s">
        <v>37</v>
      </c>
      <c r="C4775" s="52" t="s">
        <v>79</v>
      </c>
      <c r="D4775" s="52" t="s">
        <v>79</v>
      </c>
      <c r="E4775" s="52" t="s">
        <v>601</v>
      </c>
      <c r="F4775" s="52" t="s">
        <v>581</v>
      </c>
      <c r="G4775" s="195" t="s">
        <v>276</v>
      </c>
      <c r="H4775" s="195">
        <v>3.3197359999999998</v>
      </c>
      <c r="I4775" s="195">
        <v>-2.740443</v>
      </c>
      <c r="J4775" s="195">
        <v>-3.7629630000000001</v>
      </c>
      <c r="K4775" s="195">
        <v>-4.3963089999999996</v>
      </c>
      <c r="L4775" s="195">
        <v>-1.302789</v>
      </c>
      <c r="M4775" s="195">
        <v>-1.60398</v>
      </c>
      <c r="N4775" s="195">
        <v>0.49817499999999998</v>
      </c>
    </row>
    <row r="4776" spans="1:14" hidden="1" x14ac:dyDescent="0.35">
      <c r="A4776" s="52" t="s">
        <v>682</v>
      </c>
      <c r="B4776" s="52" t="s">
        <v>37</v>
      </c>
      <c r="C4776" s="52" t="s">
        <v>79</v>
      </c>
      <c r="D4776" s="52" t="s">
        <v>79</v>
      </c>
      <c r="E4776" s="52" t="s">
        <v>601</v>
      </c>
      <c r="F4776" s="52" t="s">
        <v>581</v>
      </c>
      <c r="G4776" s="195" t="s">
        <v>277</v>
      </c>
      <c r="H4776" s="195">
        <v>18.100000000000001</v>
      </c>
      <c r="I4776" s="195">
        <v>19.42625</v>
      </c>
      <c r="J4776" s="195">
        <v>2.0142769999999999</v>
      </c>
      <c r="K4776" s="195">
        <v>1.4137519999999999</v>
      </c>
      <c r="L4776" s="195">
        <v>1.5929120000000001</v>
      </c>
      <c r="M4776" s="195">
        <v>1.177994</v>
      </c>
      <c r="N4776" s="195">
        <v>1.736594</v>
      </c>
    </row>
    <row r="4777" spans="1:14" hidden="1" x14ac:dyDescent="0.35">
      <c r="A4777" s="52" t="s">
        <v>682</v>
      </c>
      <c r="B4777" s="52" t="s">
        <v>37</v>
      </c>
      <c r="C4777" s="52" t="s">
        <v>79</v>
      </c>
      <c r="D4777" s="52" t="s">
        <v>79</v>
      </c>
      <c r="E4777" s="52" t="s">
        <v>601</v>
      </c>
      <c r="F4777" s="52" t="s">
        <v>581</v>
      </c>
      <c r="G4777" s="195" t="s">
        <v>278</v>
      </c>
      <c r="H4777" s="195">
        <v>0</v>
      </c>
      <c r="I4777" s="195">
        <v>9.1737540000000006</v>
      </c>
      <c r="J4777" s="195">
        <v>3.5226519999999999</v>
      </c>
      <c r="K4777" s="195">
        <v>3.7597990000000001</v>
      </c>
      <c r="L4777" s="195">
        <v>3.7960759999999998</v>
      </c>
      <c r="M4777" s="195">
        <v>2.9420060000000001</v>
      </c>
      <c r="N4777" s="195">
        <v>2.9075479999999998</v>
      </c>
    </row>
    <row r="4778" spans="1:14" hidden="1" x14ac:dyDescent="0.35">
      <c r="A4778" s="52" t="s">
        <v>682</v>
      </c>
      <c r="B4778" s="52" t="s">
        <v>37</v>
      </c>
      <c r="C4778" s="52" t="s">
        <v>79</v>
      </c>
      <c r="D4778" s="52" t="s">
        <v>79</v>
      </c>
      <c r="E4778" s="52" t="s">
        <v>601</v>
      </c>
      <c r="F4778" s="52" t="s">
        <v>581</v>
      </c>
      <c r="G4778" s="195" t="s">
        <v>279</v>
      </c>
      <c r="H4778" s="195">
        <v>11.75201</v>
      </c>
      <c r="I4778" s="195">
        <v>9.7669669999999993</v>
      </c>
      <c r="J4778" s="195">
        <v>9.5957430000000006</v>
      </c>
      <c r="K4778" s="195">
        <v>9.5847029999999993</v>
      </c>
      <c r="L4778" s="195">
        <v>10.310930000000001</v>
      </c>
      <c r="M4778" s="195">
        <v>9.0288679999999992</v>
      </c>
      <c r="N4778" s="195">
        <v>8.4951170000000005</v>
      </c>
    </row>
    <row r="4779" spans="1:14" hidden="1" x14ac:dyDescent="0.35">
      <c r="A4779" s="52" t="s">
        <v>682</v>
      </c>
      <c r="B4779" s="52" t="s">
        <v>37</v>
      </c>
      <c r="C4779" s="52" t="s">
        <v>79</v>
      </c>
      <c r="D4779" s="52" t="s">
        <v>79</v>
      </c>
      <c r="E4779" s="52" t="s">
        <v>601</v>
      </c>
      <c r="F4779" s="52" t="s">
        <v>26</v>
      </c>
      <c r="G4779" s="195" t="s">
        <v>275</v>
      </c>
      <c r="H4779" s="195">
        <v>-0.21912899999999999</v>
      </c>
      <c r="I4779" s="195">
        <v>-0.37408239999999998</v>
      </c>
      <c r="J4779" s="195">
        <v>-0.3135966</v>
      </c>
      <c r="K4779" s="195">
        <v>-0.35116180000000002</v>
      </c>
      <c r="L4779" s="195">
        <v>-0.45462239999999998</v>
      </c>
      <c r="M4779" s="195">
        <v>-0.3480278</v>
      </c>
      <c r="N4779" s="195">
        <v>-0.29342800000000002</v>
      </c>
    </row>
    <row r="4780" spans="1:14" hidden="1" x14ac:dyDescent="0.35">
      <c r="A4780" s="52" t="s">
        <v>682</v>
      </c>
      <c r="B4780" s="52" t="s">
        <v>37</v>
      </c>
      <c r="C4780" s="52" t="s">
        <v>79</v>
      </c>
      <c r="D4780" s="52" t="s">
        <v>79</v>
      </c>
      <c r="E4780" s="52" t="s">
        <v>601</v>
      </c>
      <c r="F4780" s="52" t="s">
        <v>26</v>
      </c>
      <c r="G4780" s="195" t="s">
        <v>276</v>
      </c>
      <c r="H4780" s="195">
        <v>-5.8249000000000002E-2</v>
      </c>
      <c r="I4780" s="195">
        <v>-9.9439600000000003E-2</v>
      </c>
      <c r="J4780" s="195">
        <v>-8.3359799999999998E-2</v>
      </c>
      <c r="K4780" s="195">
        <v>-9.3347399999999997E-2</v>
      </c>
      <c r="L4780" s="195">
        <v>-0.120847</v>
      </c>
      <c r="M4780" s="195">
        <v>-9.2511999999999997E-2</v>
      </c>
      <c r="N4780" s="195">
        <v>-7.8000200000000006E-2</v>
      </c>
    </row>
    <row r="4781" spans="1:14" hidden="1" x14ac:dyDescent="0.35">
      <c r="A4781" s="52" t="s">
        <v>682</v>
      </c>
      <c r="B4781" s="52" t="s">
        <v>37</v>
      </c>
      <c r="C4781" s="52" t="s">
        <v>79</v>
      </c>
      <c r="D4781" s="52" t="s">
        <v>79</v>
      </c>
      <c r="E4781" s="52" t="s">
        <v>601</v>
      </c>
      <c r="F4781" s="52" t="s">
        <v>26</v>
      </c>
      <c r="G4781" s="195" t="s">
        <v>279</v>
      </c>
      <c r="H4781" s="195">
        <v>1.059124</v>
      </c>
      <c r="I4781" s="195">
        <v>1.6087260000000001</v>
      </c>
      <c r="J4781" s="195">
        <v>1.5841499999999999</v>
      </c>
      <c r="K4781" s="195">
        <v>1.589159</v>
      </c>
      <c r="L4781" s="195">
        <v>1.701592</v>
      </c>
      <c r="M4781" s="195">
        <v>1.4485509999999999</v>
      </c>
      <c r="N4781" s="195">
        <v>1.3365739999999999</v>
      </c>
    </row>
    <row r="4782" spans="1:14" hidden="1" x14ac:dyDescent="0.35">
      <c r="A4782" s="52" t="s">
        <v>682</v>
      </c>
      <c r="B4782" s="52" t="s">
        <v>37</v>
      </c>
      <c r="C4782" s="52" t="s">
        <v>79</v>
      </c>
      <c r="D4782" s="52" t="s">
        <v>79</v>
      </c>
      <c r="E4782" s="52" t="s">
        <v>617</v>
      </c>
      <c r="F4782" s="52" t="s">
        <v>581</v>
      </c>
      <c r="G4782" s="195" t="s">
        <v>275</v>
      </c>
      <c r="H4782" s="195">
        <v>9.9969989999999995E-2</v>
      </c>
      <c r="I4782" s="195">
        <v>2.4412000000000001E-3</v>
      </c>
      <c r="J4782" s="195">
        <v>-6.4288000000000001E-3</v>
      </c>
      <c r="K4782" s="195">
        <v>-8.2006000000000006E-3</v>
      </c>
      <c r="L4782" s="195">
        <v>-1.1819E-2</v>
      </c>
      <c r="M4782" s="195">
        <v>-1.0442999999999999E-2</v>
      </c>
      <c r="N4782" s="195">
        <v>-7.8688000000000004E-3</v>
      </c>
    </row>
    <row r="4783" spans="1:14" hidden="1" x14ac:dyDescent="0.35">
      <c r="A4783" s="52" t="s">
        <v>682</v>
      </c>
      <c r="B4783" s="52" t="s">
        <v>37</v>
      </c>
      <c r="C4783" s="52" t="s">
        <v>79</v>
      </c>
      <c r="D4783" s="52" t="s">
        <v>79</v>
      </c>
      <c r="E4783" s="52" t="s">
        <v>617</v>
      </c>
      <c r="F4783" s="52" t="s">
        <v>581</v>
      </c>
      <c r="G4783" s="195" t="s">
        <v>276</v>
      </c>
      <c r="H4783" s="195">
        <v>2.8979999999999999E-2</v>
      </c>
      <c r="I4783" s="195">
        <v>7.0759999999999996E-4</v>
      </c>
      <c r="J4783" s="195">
        <v>-1.8630000000000001E-3</v>
      </c>
      <c r="K4783" s="195">
        <v>-2.3771999999999999E-3</v>
      </c>
      <c r="L4783" s="195">
        <v>-3.4269999999999999E-3</v>
      </c>
      <c r="M4783" s="195">
        <v>-3.0274E-3</v>
      </c>
      <c r="N4783" s="195">
        <v>-2.2813999999999998E-3</v>
      </c>
    </row>
    <row r="4784" spans="1:14" hidden="1" x14ac:dyDescent="0.35">
      <c r="A4784" s="52" t="s">
        <v>682</v>
      </c>
      <c r="B4784" s="52" t="s">
        <v>37</v>
      </c>
      <c r="C4784" s="52" t="s">
        <v>79</v>
      </c>
      <c r="D4784" s="52" t="s">
        <v>79</v>
      </c>
      <c r="E4784" s="52" t="s">
        <v>617</v>
      </c>
      <c r="F4784" s="52" t="s">
        <v>581</v>
      </c>
      <c r="G4784" s="195" t="s">
        <v>279</v>
      </c>
      <c r="H4784" s="195">
        <v>0.119075</v>
      </c>
      <c r="I4784" s="195">
        <v>9.6824599999999997E-2</v>
      </c>
      <c r="J4784" s="195">
        <v>7.2359400000000004E-2</v>
      </c>
      <c r="K4784" s="195">
        <v>7.6219599999999998E-2</v>
      </c>
      <c r="L4784" s="195">
        <v>8.3793199999999998E-2</v>
      </c>
      <c r="M4784" s="195">
        <v>7.0786600000000005E-2</v>
      </c>
      <c r="N4784" s="195">
        <v>5.9700400000000001E-2</v>
      </c>
    </row>
    <row r="4785" spans="1:14" hidden="1" x14ac:dyDescent="0.35">
      <c r="A4785" s="52" t="s">
        <v>682</v>
      </c>
      <c r="B4785" s="52" t="s">
        <v>37</v>
      </c>
      <c r="C4785" s="52" t="s">
        <v>79</v>
      </c>
      <c r="D4785" s="52" t="s">
        <v>79</v>
      </c>
      <c r="E4785" s="52" t="s">
        <v>617</v>
      </c>
      <c r="F4785" s="52" t="s">
        <v>26</v>
      </c>
      <c r="G4785" s="195" t="s">
        <v>275</v>
      </c>
      <c r="H4785" s="195">
        <v>-10.37121</v>
      </c>
      <c r="I4785" s="195">
        <v>1.231773</v>
      </c>
      <c r="J4785" s="195">
        <v>1.607742</v>
      </c>
      <c r="K4785" s="195">
        <v>0.51529000000000003</v>
      </c>
      <c r="L4785" s="195">
        <v>0.66641890000000004</v>
      </c>
      <c r="M4785" s="195">
        <v>7.0674989999999993E-2</v>
      </c>
      <c r="N4785" s="195">
        <v>6.3564999999999997E-2</v>
      </c>
    </row>
    <row r="4786" spans="1:14" hidden="1" x14ac:dyDescent="0.35">
      <c r="A4786" s="52" t="s">
        <v>682</v>
      </c>
      <c r="B4786" s="52" t="s">
        <v>37</v>
      </c>
      <c r="C4786" s="52" t="s">
        <v>79</v>
      </c>
      <c r="D4786" s="52" t="s">
        <v>79</v>
      </c>
      <c r="E4786" s="52" t="s">
        <v>617</v>
      </c>
      <c r="F4786" s="52" t="s">
        <v>26</v>
      </c>
      <c r="G4786" s="195" t="s">
        <v>276</v>
      </c>
      <c r="H4786" s="195">
        <v>-2.5454680000000001</v>
      </c>
      <c r="I4786" s="195">
        <v>-0.94203619999999999</v>
      </c>
      <c r="J4786" s="195">
        <v>-1.3493010000000001</v>
      </c>
      <c r="K4786" s="195">
        <v>-1.387964</v>
      </c>
      <c r="L4786" s="195">
        <v>-1.303844</v>
      </c>
      <c r="M4786" s="195">
        <v>-4.8854799999999997E-2</v>
      </c>
      <c r="N4786" s="195">
        <v>-3.7047400000000001E-2</v>
      </c>
    </row>
    <row r="4787" spans="1:14" hidden="1" x14ac:dyDescent="0.35">
      <c r="A4787" s="52" t="s">
        <v>682</v>
      </c>
      <c r="B4787" s="52" t="s">
        <v>37</v>
      </c>
      <c r="C4787" s="52" t="s">
        <v>79</v>
      </c>
      <c r="D4787" s="52" t="s">
        <v>79</v>
      </c>
      <c r="E4787" s="52" t="s">
        <v>617</v>
      </c>
      <c r="F4787" s="52" t="s">
        <v>26</v>
      </c>
      <c r="G4787" s="195" t="s">
        <v>277</v>
      </c>
      <c r="H4787" s="195">
        <v>13.5</v>
      </c>
      <c r="I4787" s="195">
        <v>0</v>
      </c>
      <c r="J4787" s="195">
        <v>0</v>
      </c>
      <c r="K4787" s="195">
        <v>1.0382119999999999</v>
      </c>
      <c r="L4787" s="195">
        <v>0.66446559999999999</v>
      </c>
      <c r="M4787" s="195">
        <v>0</v>
      </c>
      <c r="N4787" s="195">
        <v>0</v>
      </c>
    </row>
    <row r="4788" spans="1:14" hidden="1" x14ac:dyDescent="0.35">
      <c r="A4788" s="52" t="s">
        <v>682</v>
      </c>
      <c r="B4788" s="52" t="s">
        <v>37</v>
      </c>
      <c r="C4788" s="52" t="s">
        <v>79</v>
      </c>
      <c r="D4788" s="52" t="s">
        <v>79</v>
      </c>
      <c r="E4788" s="52" t="s">
        <v>617</v>
      </c>
      <c r="F4788" s="52" t="s">
        <v>26</v>
      </c>
      <c r="G4788" s="195" t="s">
        <v>279</v>
      </c>
      <c r="H4788" s="195">
        <v>2.362323</v>
      </c>
      <c r="I4788" s="195">
        <v>2.5392079999999999</v>
      </c>
      <c r="J4788" s="195">
        <v>1.8722970000000001</v>
      </c>
      <c r="K4788" s="195">
        <v>2.0078589999999998</v>
      </c>
      <c r="L4788" s="195">
        <v>2.2115089999999999</v>
      </c>
      <c r="M4788" s="195">
        <v>1.8463000000000001</v>
      </c>
      <c r="N4788" s="195">
        <v>1.5927469999999999</v>
      </c>
    </row>
    <row r="4789" spans="1:14" hidden="1" x14ac:dyDescent="0.35">
      <c r="A4789" s="52" t="s">
        <v>682</v>
      </c>
      <c r="B4789" s="52" t="s">
        <v>37</v>
      </c>
      <c r="C4789" s="52" t="s">
        <v>35</v>
      </c>
      <c r="D4789" s="52" t="s">
        <v>36</v>
      </c>
      <c r="E4789" s="52" t="s">
        <v>589</v>
      </c>
      <c r="F4789" s="52" t="s">
        <v>581</v>
      </c>
      <c r="G4789" s="195" t="s">
        <v>275</v>
      </c>
      <c r="H4789" s="195">
        <v>15.242599999999999</v>
      </c>
      <c r="I4789" s="195">
        <v>4.2218400000000003</v>
      </c>
      <c r="J4789" s="195">
        <v>3.8006449999999998</v>
      </c>
      <c r="K4789" s="195">
        <v>5.6515919999999999</v>
      </c>
      <c r="L4789" s="195">
        <v>2.1265969999999999E-2</v>
      </c>
      <c r="M4789" s="195">
        <v>0.49398229999999999</v>
      </c>
      <c r="N4789" s="195">
        <v>5.3268490000000002E-2</v>
      </c>
    </row>
    <row r="4790" spans="1:14" hidden="1" x14ac:dyDescent="0.35">
      <c r="A4790" s="52" t="s">
        <v>682</v>
      </c>
      <c r="B4790" s="52" t="s">
        <v>37</v>
      </c>
      <c r="C4790" s="52" t="s">
        <v>35</v>
      </c>
      <c r="D4790" s="52" t="s">
        <v>36</v>
      </c>
      <c r="E4790" s="52" t="s">
        <v>589</v>
      </c>
      <c r="F4790" s="52" t="s">
        <v>581</v>
      </c>
      <c r="G4790" s="195" t="s">
        <v>276</v>
      </c>
      <c r="H4790" s="195">
        <v>2.0607000000000002</v>
      </c>
      <c r="I4790" s="195">
        <v>-1.2872509999999999</v>
      </c>
      <c r="J4790" s="195">
        <v>-2.0077829999999999</v>
      </c>
      <c r="K4790" s="195">
        <v>-4.5687870000000004</v>
      </c>
      <c r="L4790" s="195">
        <v>-7.7324599999999993E-2</v>
      </c>
      <c r="M4790" s="195">
        <v>0.27633099999999999</v>
      </c>
      <c r="N4790" s="195">
        <v>0.28767140000000002</v>
      </c>
    </row>
    <row r="4791" spans="1:14" hidden="1" x14ac:dyDescent="0.35">
      <c r="A4791" s="52" t="s">
        <v>682</v>
      </c>
      <c r="B4791" s="52" t="s">
        <v>37</v>
      </c>
      <c r="C4791" s="52" t="s">
        <v>35</v>
      </c>
      <c r="D4791" s="52" t="s">
        <v>36</v>
      </c>
      <c r="E4791" s="52" t="s">
        <v>589</v>
      </c>
      <c r="F4791" s="52" t="s">
        <v>581</v>
      </c>
      <c r="G4791" s="195" t="s">
        <v>277</v>
      </c>
      <c r="H4791" s="195">
        <v>3.8400020000000001</v>
      </c>
      <c r="I4791" s="195">
        <v>0</v>
      </c>
      <c r="J4791" s="195">
        <v>0</v>
      </c>
      <c r="K4791" s="195">
        <v>0.14986440000000001</v>
      </c>
      <c r="L4791" s="195">
        <v>0.41170780000000001</v>
      </c>
      <c r="M4791" s="195">
        <v>0.228246</v>
      </c>
      <c r="N4791" s="195">
        <v>0.43716569999999999</v>
      </c>
    </row>
    <row r="4792" spans="1:14" hidden="1" x14ac:dyDescent="0.35">
      <c r="A4792" s="52" t="s">
        <v>682</v>
      </c>
      <c r="B4792" s="52" t="s">
        <v>37</v>
      </c>
      <c r="C4792" s="52" t="s">
        <v>35</v>
      </c>
      <c r="D4792" s="52" t="s">
        <v>36</v>
      </c>
      <c r="E4792" s="52" t="s">
        <v>589</v>
      </c>
      <c r="F4792" s="52" t="s">
        <v>581</v>
      </c>
      <c r="G4792" s="195" t="s">
        <v>278</v>
      </c>
      <c r="H4792" s="195"/>
      <c r="I4792" s="195"/>
      <c r="J4792" s="195">
        <v>0</v>
      </c>
      <c r="K4792" s="195">
        <v>0.46498980000000001</v>
      </c>
      <c r="L4792" s="195">
        <v>1.28715</v>
      </c>
      <c r="M4792" s="195">
        <v>0.89184229999999998</v>
      </c>
      <c r="N4792" s="195">
        <v>1.423524</v>
      </c>
    </row>
    <row r="4793" spans="1:14" hidden="1" x14ac:dyDescent="0.35">
      <c r="A4793" s="52" t="s">
        <v>682</v>
      </c>
      <c r="B4793" s="52" t="s">
        <v>37</v>
      </c>
      <c r="C4793" s="52" t="s">
        <v>35</v>
      </c>
      <c r="D4793" s="52" t="s">
        <v>36</v>
      </c>
      <c r="E4793" s="52" t="s">
        <v>589</v>
      </c>
      <c r="F4793" s="52" t="s">
        <v>581</v>
      </c>
      <c r="G4793" s="195" t="s">
        <v>279</v>
      </c>
      <c r="H4793" s="195">
        <v>7.1806200000000002</v>
      </c>
      <c r="I4793" s="195">
        <v>3.1084139999999998</v>
      </c>
      <c r="J4793" s="195">
        <v>2.2478919999999998</v>
      </c>
      <c r="K4793" s="195">
        <v>2.192666</v>
      </c>
      <c r="L4793" s="195">
        <v>2.7513169999999998</v>
      </c>
      <c r="M4793" s="195">
        <v>2.76851</v>
      </c>
      <c r="N4793" s="195">
        <v>2.89839</v>
      </c>
    </row>
    <row r="4794" spans="1:14" hidden="1" x14ac:dyDescent="0.35">
      <c r="A4794" s="52" t="s">
        <v>682</v>
      </c>
      <c r="B4794" s="52" t="s">
        <v>37</v>
      </c>
      <c r="C4794" s="52" t="s">
        <v>35</v>
      </c>
      <c r="D4794" s="52" t="s">
        <v>36</v>
      </c>
      <c r="E4794" s="52" t="s">
        <v>589</v>
      </c>
      <c r="F4794" s="52" t="s">
        <v>26</v>
      </c>
      <c r="G4794" s="195" t="s">
        <v>275</v>
      </c>
      <c r="H4794" s="195">
        <v>4.2958999999999997E-2</v>
      </c>
      <c r="I4794" s="195">
        <v>-6.1640030000000001E-4</v>
      </c>
      <c r="J4794" s="195">
        <v>1.07872E-2</v>
      </c>
      <c r="K4794" s="195">
        <v>2.9543999999999998E-3</v>
      </c>
      <c r="L4794" s="195">
        <v>-2.4983600000000002E-2</v>
      </c>
      <c r="M4794" s="195">
        <v>-1.9373000000000001E-2</v>
      </c>
      <c r="N4794" s="195">
        <v>-1.5939600000000002E-2</v>
      </c>
    </row>
    <row r="4795" spans="1:14" hidden="1" x14ac:dyDescent="0.35">
      <c r="A4795" s="52" t="s">
        <v>682</v>
      </c>
      <c r="B4795" s="52" t="s">
        <v>37</v>
      </c>
      <c r="C4795" s="52" t="s">
        <v>35</v>
      </c>
      <c r="D4795" s="52" t="s">
        <v>36</v>
      </c>
      <c r="E4795" s="52" t="s">
        <v>589</v>
      </c>
      <c r="F4795" s="52" t="s">
        <v>26</v>
      </c>
      <c r="G4795" s="195" t="s">
        <v>276</v>
      </c>
      <c r="H4795" s="195">
        <v>1.1419E-2</v>
      </c>
      <c r="I4795" s="195">
        <v>-1.6359999999999999E-4</v>
      </c>
      <c r="J4795" s="195">
        <v>2.8678000000000002E-3</v>
      </c>
      <c r="K4795" s="195">
        <v>7.8459999999999999E-4</v>
      </c>
      <c r="L4795" s="195">
        <v>-6.6411999999999999E-3</v>
      </c>
      <c r="M4795" s="195">
        <v>-5.149799E-3</v>
      </c>
      <c r="N4795" s="195">
        <v>-4.2366000000000001E-3</v>
      </c>
    </row>
    <row r="4796" spans="1:14" hidden="1" x14ac:dyDescent="0.35">
      <c r="A4796" s="52" t="s">
        <v>682</v>
      </c>
      <c r="B4796" s="52" t="s">
        <v>37</v>
      </c>
      <c r="C4796" s="52" t="s">
        <v>35</v>
      </c>
      <c r="D4796" s="52" t="s">
        <v>36</v>
      </c>
      <c r="E4796" s="52" t="s">
        <v>589</v>
      </c>
      <c r="F4796" s="52" t="s">
        <v>26</v>
      </c>
      <c r="G4796" s="195" t="s">
        <v>279</v>
      </c>
      <c r="H4796" s="195">
        <v>0.446741</v>
      </c>
      <c r="I4796" s="195">
        <v>0.41580539999999999</v>
      </c>
      <c r="J4796" s="195">
        <v>0.30951060000000002</v>
      </c>
      <c r="K4796" s="195">
        <v>0.30556739999999999</v>
      </c>
      <c r="L4796" s="195">
        <v>0.38024380000000002</v>
      </c>
      <c r="M4796" s="195">
        <v>0.3814746</v>
      </c>
      <c r="N4796" s="195">
        <v>0.39701160000000002</v>
      </c>
    </row>
    <row r="4797" spans="1:14" hidden="1" x14ac:dyDescent="0.35">
      <c r="A4797" s="52" t="s">
        <v>682</v>
      </c>
      <c r="B4797" s="52" t="s">
        <v>37</v>
      </c>
      <c r="C4797" s="52" t="s">
        <v>109</v>
      </c>
      <c r="D4797" s="52" t="s">
        <v>109</v>
      </c>
      <c r="E4797" s="52" t="s">
        <v>584</v>
      </c>
      <c r="F4797" s="52" t="s">
        <v>581</v>
      </c>
      <c r="G4797" s="195" t="s">
        <v>275</v>
      </c>
      <c r="H4797" s="195">
        <v>5.8229829999999998</v>
      </c>
      <c r="I4797" s="195">
        <v>0.8325709</v>
      </c>
      <c r="J4797" s="195">
        <v>0.2671481</v>
      </c>
      <c r="K4797" s="195">
        <v>2.2111990000000002E-2</v>
      </c>
      <c r="L4797" s="195">
        <v>-7.4144230000000005E-2</v>
      </c>
      <c r="M4797" s="195">
        <v>3.314503E-4</v>
      </c>
      <c r="N4797" s="195">
        <v>6.9543510000000001E-3</v>
      </c>
    </row>
    <row r="4798" spans="1:14" hidden="1" x14ac:dyDescent="0.35">
      <c r="A4798" s="52" t="s">
        <v>682</v>
      </c>
      <c r="B4798" s="52" t="s">
        <v>37</v>
      </c>
      <c r="C4798" s="52" t="s">
        <v>109</v>
      </c>
      <c r="D4798" s="52" t="s">
        <v>109</v>
      </c>
      <c r="E4798" s="52" t="s">
        <v>584</v>
      </c>
      <c r="F4798" s="52" t="s">
        <v>581</v>
      </c>
      <c r="G4798" s="195" t="s">
        <v>276</v>
      </c>
      <c r="H4798" s="195">
        <v>0.9683967</v>
      </c>
      <c r="I4798" s="195">
        <v>0.2163139</v>
      </c>
      <c r="J4798" s="195">
        <v>6.0088179999999998E-2</v>
      </c>
      <c r="K4798" s="195">
        <v>-6.5017829999999997E-3</v>
      </c>
      <c r="L4798" s="195">
        <v>-3.99061E-2</v>
      </c>
      <c r="M4798" s="195">
        <v>-1.37622E-2</v>
      </c>
      <c r="N4798" s="195">
        <v>-6.9543510000000001E-3</v>
      </c>
    </row>
    <row r="4799" spans="1:14" hidden="1" x14ac:dyDescent="0.35">
      <c r="A4799" s="52" t="s">
        <v>682</v>
      </c>
      <c r="B4799" s="52" t="s">
        <v>37</v>
      </c>
      <c r="C4799" s="52" t="s">
        <v>109</v>
      </c>
      <c r="D4799" s="52" t="s">
        <v>109</v>
      </c>
      <c r="E4799" s="52" t="s">
        <v>584</v>
      </c>
      <c r="F4799" s="52" t="s">
        <v>581</v>
      </c>
      <c r="G4799" s="195" t="s">
        <v>277</v>
      </c>
      <c r="H4799" s="195">
        <v>0.117769</v>
      </c>
      <c r="I4799" s="195">
        <v>9.5255259999999994E-2</v>
      </c>
      <c r="J4799" s="195">
        <v>6.9114599999999998E-2</v>
      </c>
      <c r="K4799" s="195">
        <v>4.6946450000000001E-2</v>
      </c>
      <c r="L4799" s="195"/>
      <c r="M4799" s="195"/>
      <c r="N4799" s="195">
        <v>0</v>
      </c>
    </row>
    <row r="4800" spans="1:14" hidden="1" x14ac:dyDescent="0.35">
      <c r="A4800" s="52" t="s">
        <v>682</v>
      </c>
      <c r="B4800" s="52" t="s">
        <v>37</v>
      </c>
      <c r="C4800" s="52" t="s">
        <v>109</v>
      </c>
      <c r="D4800" s="52" t="s">
        <v>109</v>
      </c>
      <c r="E4800" s="52" t="s">
        <v>584</v>
      </c>
      <c r="F4800" s="52" t="s">
        <v>581</v>
      </c>
      <c r="G4800" s="195" t="s">
        <v>278</v>
      </c>
      <c r="H4800" s="195">
        <v>1.8911250000000001E-2</v>
      </c>
      <c r="I4800" s="195">
        <v>1.8911250000000001E-2</v>
      </c>
      <c r="J4800" s="195">
        <v>0</v>
      </c>
      <c r="K4800" s="195">
        <v>0</v>
      </c>
      <c r="L4800" s="195">
        <v>0</v>
      </c>
      <c r="M4800" s="195">
        <v>0</v>
      </c>
      <c r="N4800" s="195">
        <v>0</v>
      </c>
    </row>
    <row r="4801" spans="1:14" hidden="1" x14ac:dyDescent="0.35">
      <c r="A4801" s="52" t="s">
        <v>682</v>
      </c>
      <c r="B4801" s="52" t="s">
        <v>37</v>
      </c>
      <c r="C4801" s="52" t="s">
        <v>109</v>
      </c>
      <c r="D4801" s="52" t="s">
        <v>109</v>
      </c>
      <c r="E4801" s="52" t="s">
        <v>584</v>
      </c>
      <c r="F4801" s="52" t="s">
        <v>581</v>
      </c>
      <c r="G4801" s="195" t="s">
        <v>279</v>
      </c>
      <c r="H4801" s="195">
        <v>2.5608230000000001</v>
      </c>
      <c r="I4801" s="195">
        <v>1.4713989999999999</v>
      </c>
      <c r="J4801" s="195">
        <v>1.2638199999999999</v>
      </c>
      <c r="K4801" s="195">
        <v>1.173319</v>
      </c>
      <c r="L4801" s="195">
        <v>1.052049</v>
      </c>
      <c r="M4801" s="195">
        <v>0.59744470000000005</v>
      </c>
      <c r="N4801" s="195">
        <v>0</v>
      </c>
    </row>
    <row r="4802" spans="1:14" hidden="1" x14ac:dyDescent="0.35">
      <c r="A4802" s="52" t="s">
        <v>682</v>
      </c>
      <c r="B4802" s="52" t="s">
        <v>37</v>
      </c>
      <c r="C4802" s="52" t="s">
        <v>109</v>
      </c>
      <c r="D4802" s="52" t="s">
        <v>109</v>
      </c>
      <c r="E4802" s="52" t="s">
        <v>584</v>
      </c>
      <c r="F4802" s="52" t="s">
        <v>26</v>
      </c>
      <c r="G4802" s="195" t="s">
        <v>275</v>
      </c>
      <c r="H4802" s="195">
        <v>0.59624580000000005</v>
      </c>
      <c r="I4802" s="195">
        <v>-0.97535769999999999</v>
      </c>
      <c r="J4802" s="195">
        <v>-1.1940770000000001</v>
      </c>
      <c r="K4802" s="195">
        <v>-1.4893130000000001</v>
      </c>
      <c r="L4802" s="195">
        <v>-1.4877</v>
      </c>
      <c r="M4802" s="195">
        <v>-1.621769</v>
      </c>
      <c r="N4802" s="195">
        <v>7.5253990000000007E-2</v>
      </c>
    </row>
    <row r="4803" spans="1:14" hidden="1" x14ac:dyDescent="0.35">
      <c r="A4803" s="52" t="s">
        <v>682</v>
      </c>
      <c r="B4803" s="52" t="s">
        <v>37</v>
      </c>
      <c r="C4803" s="52" t="s">
        <v>109</v>
      </c>
      <c r="D4803" s="52" t="s">
        <v>109</v>
      </c>
      <c r="E4803" s="52" t="s">
        <v>584</v>
      </c>
      <c r="F4803" s="52" t="s">
        <v>26</v>
      </c>
      <c r="G4803" s="195" t="s">
        <v>276</v>
      </c>
      <c r="H4803" s="195">
        <v>-2.9267530000000002</v>
      </c>
      <c r="I4803" s="195">
        <v>-0.32098159999999998</v>
      </c>
      <c r="J4803" s="195">
        <v>-0.49282009999999998</v>
      </c>
      <c r="K4803" s="195">
        <v>-0.74185690000000004</v>
      </c>
      <c r="L4803" s="195">
        <v>-0.61780630000000003</v>
      </c>
      <c r="M4803" s="195">
        <v>-0.60007180000000004</v>
      </c>
      <c r="N4803" s="195">
        <v>-7.982773E-2</v>
      </c>
    </row>
    <row r="4804" spans="1:14" hidden="1" x14ac:dyDescent="0.35">
      <c r="A4804" s="52" t="s">
        <v>682</v>
      </c>
      <c r="B4804" s="52" t="s">
        <v>37</v>
      </c>
      <c r="C4804" s="52" t="s">
        <v>109</v>
      </c>
      <c r="D4804" s="52" t="s">
        <v>109</v>
      </c>
      <c r="E4804" s="52" t="s">
        <v>584</v>
      </c>
      <c r="F4804" s="52" t="s">
        <v>26</v>
      </c>
      <c r="G4804" s="195" t="s">
        <v>277</v>
      </c>
      <c r="H4804" s="195">
        <v>1.4998860000000001</v>
      </c>
      <c r="I4804" s="195">
        <v>1.1823980000000001</v>
      </c>
      <c r="J4804" s="195">
        <v>0.77638169999999995</v>
      </c>
      <c r="K4804" s="195">
        <v>0.49143550000000003</v>
      </c>
      <c r="L4804" s="195">
        <v>8.1184880000000001E-2</v>
      </c>
      <c r="M4804" s="195"/>
      <c r="N4804" s="195">
        <v>4.9662079999999997E-3</v>
      </c>
    </row>
    <row r="4805" spans="1:14" hidden="1" x14ac:dyDescent="0.35">
      <c r="A4805" s="52" t="s">
        <v>682</v>
      </c>
      <c r="B4805" s="52" t="s">
        <v>37</v>
      </c>
      <c r="C4805" s="52" t="s">
        <v>109</v>
      </c>
      <c r="D4805" s="52" t="s">
        <v>109</v>
      </c>
      <c r="E4805" s="52" t="s">
        <v>584</v>
      </c>
      <c r="F4805" s="52" t="s">
        <v>26</v>
      </c>
      <c r="G4805" s="195" t="s">
        <v>279</v>
      </c>
      <c r="H4805" s="195">
        <v>14.38358</v>
      </c>
      <c r="I4805" s="195">
        <v>7.4657030000000004</v>
      </c>
      <c r="J4805" s="195">
        <v>6.2382330000000001</v>
      </c>
      <c r="K4805" s="195">
        <v>5.6254109999999997</v>
      </c>
      <c r="L4805" s="195">
        <v>4.8636920000000003</v>
      </c>
      <c r="M4805" s="195">
        <v>4.3265719999999996</v>
      </c>
      <c r="N4805" s="195">
        <v>1.0464090000000001E-2</v>
      </c>
    </row>
    <row r="4806" spans="1:14" hidden="1" x14ac:dyDescent="0.35">
      <c r="A4806" s="52" t="s">
        <v>682</v>
      </c>
      <c r="B4806" s="52" t="s">
        <v>37</v>
      </c>
      <c r="C4806" s="52" t="s">
        <v>57</v>
      </c>
      <c r="D4806" s="52" t="s">
        <v>57</v>
      </c>
      <c r="E4806" s="52" t="s">
        <v>584</v>
      </c>
      <c r="F4806" s="52" t="s">
        <v>581</v>
      </c>
      <c r="G4806" s="195" t="s">
        <v>275</v>
      </c>
      <c r="H4806" s="195">
        <v>5.1718630000000002E-2</v>
      </c>
      <c r="I4806" s="195">
        <v>1.254635E-2</v>
      </c>
      <c r="J4806" s="195">
        <v>6.36763E-3</v>
      </c>
      <c r="K4806" s="195">
        <v>8.9599429999999997E-3</v>
      </c>
      <c r="L4806" s="195">
        <v>1.4517769999999999E-2</v>
      </c>
      <c r="M4806" s="195">
        <v>-7.2454630000000006E-2</v>
      </c>
      <c r="N4806" s="195">
        <v>-0.140737</v>
      </c>
    </row>
    <row r="4807" spans="1:14" hidden="1" x14ac:dyDescent="0.35">
      <c r="A4807" s="52" t="s">
        <v>682</v>
      </c>
      <c r="B4807" s="52" t="s">
        <v>37</v>
      </c>
      <c r="C4807" s="52" t="s">
        <v>57</v>
      </c>
      <c r="D4807" s="52" t="s">
        <v>57</v>
      </c>
      <c r="E4807" s="52" t="s">
        <v>584</v>
      </c>
      <c r="F4807" s="52" t="s">
        <v>581</v>
      </c>
      <c r="G4807" s="195" t="s">
        <v>276</v>
      </c>
      <c r="H4807" s="195">
        <v>1.7664119999999998E-2</v>
      </c>
      <c r="I4807" s="195">
        <v>-2.3624719999999998E-2</v>
      </c>
      <c r="J4807" s="195">
        <v>-2.0966499999999999E-2</v>
      </c>
      <c r="K4807" s="195">
        <v>-1.7735859999999999E-2</v>
      </c>
      <c r="L4807" s="195">
        <v>-1.0329390000000001E-2</v>
      </c>
      <c r="M4807" s="195">
        <v>-4.323478E-2</v>
      </c>
      <c r="N4807" s="195">
        <v>-6.8111400000000002E-2</v>
      </c>
    </row>
    <row r="4808" spans="1:14" hidden="1" x14ac:dyDescent="0.35">
      <c r="A4808" s="52" t="s">
        <v>682</v>
      </c>
      <c r="B4808" s="52" t="s">
        <v>37</v>
      </c>
      <c r="C4808" s="52" t="s">
        <v>57</v>
      </c>
      <c r="D4808" s="52" t="s">
        <v>57</v>
      </c>
      <c r="E4808" s="52" t="s">
        <v>584</v>
      </c>
      <c r="F4808" s="52" t="s">
        <v>581</v>
      </c>
      <c r="G4808" s="195" t="s">
        <v>277</v>
      </c>
      <c r="H4808" s="195">
        <v>7.8195210000000001E-2</v>
      </c>
      <c r="I4808" s="195"/>
      <c r="J4808" s="195"/>
      <c r="K4808" s="195"/>
      <c r="L4808" s="195"/>
      <c r="M4808" s="195"/>
      <c r="N4808" s="195"/>
    </row>
    <row r="4809" spans="1:14" hidden="1" x14ac:dyDescent="0.35">
      <c r="A4809" s="52" t="s">
        <v>682</v>
      </c>
      <c r="B4809" s="52" t="s">
        <v>37</v>
      </c>
      <c r="C4809" s="52" t="s">
        <v>57</v>
      </c>
      <c r="D4809" s="52" t="s">
        <v>57</v>
      </c>
      <c r="E4809" s="52" t="s">
        <v>584</v>
      </c>
      <c r="F4809" s="52" t="s">
        <v>581</v>
      </c>
      <c r="G4809" s="195" t="s">
        <v>278</v>
      </c>
      <c r="H4809" s="195">
        <v>8.8521999999999993E-3</v>
      </c>
      <c r="I4809" s="195">
        <v>8.8521999999999993E-3</v>
      </c>
      <c r="J4809" s="195">
        <v>0</v>
      </c>
      <c r="K4809" s="195">
        <v>0</v>
      </c>
      <c r="L4809" s="195">
        <v>0</v>
      </c>
      <c r="M4809" s="195">
        <v>0</v>
      </c>
      <c r="N4809" s="195">
        <v>0</v>
      </c>
    </row>
    <row r="4810" spans="1:14" hidden="1" x14ac:dyDescent="0.35">
      <c r="A4810" s="52" t="s">
        <v>682</v>
      </c>
      <c r="B4810" s="52" t="s">
        <v>37</v>
      </c>
      <c r="C4810" s="52" t="s">
        <v>57</v>
      </c>
      <c r="D4810" s="52" t="s">
        <v>57</v>
      </c>
      <c r="E4810" s="52" t="s">
        <v>584</v>
      </c>
      <c r="F4810" s="52" t="s">
        <v>581</v>
      </c>
      <c r="G4810" s="195" t="s">
        <v>279</v>
      </c>
      <c r="H4810" s="195">
        <v>0.1112171</v>
      </c>
      <c r="I4810" s="195">
        <v>8.9766289999999999E-2</v>
      </c>
      <c r="J4810" s="195">
        <v>8.9121069999999997E-2</v>
      </c>
      <c r="K4810" s="195">
        <v>9.2729210000000006E-2</v>
      </c>
      <c r="L4810" s="195">
        <v>1.8791120000000001E-2</v>
      </c>
      <c r="M4810" s="195">
        <v>0.1371338</v>
      </c>
      <c r="N4810" s="195">
        <v>0.22891500000000001</v>
      </c>
    </row>
    <row r="4811" spans="1:14" hidden="1" x14ac:dyDescent="0.35">
      <c r="A4811" s="52" t="s">
        <v>682</v>
      </c>
      <c r="B4811" s="52" t="s">
        <v>34</v>
      </c>
      <c r="C4811" s="52" t="s">
        <v>33</v>
      </c>
      <c r="D4811" s="52" t="s">
        <v>33</v>
      </c>
      <c r="E4811" s="52" t="s">
        <v>605</v>
      </c>
      <c r="F4811" s="52" t="s">
        <v>581</v>
      </c>
      <c r="G4811" s="195" t="s">
        <v>275</v>
      </c>
      <c r="H4811" s="195"/>
      <c r="I4811" s="195"/>
      <c r="J4811" s="195"/>
      <c r="K4811" s="195"/>
      <c r="L4811" s="195"/>
      <c r="M4811" s="195">
        <v>0</v>
      </c>
      <c r="N4811" s="195">
        <v>0</v>
      </c>
    </row>
    <row r="4812" spans="1:14" hidden="1" x14ac:dyDescent="0.35">
      <c r="A4812" s="52" t="s">
        <v>682</v>
      </c>
      <c r="B4812" s="52" t="s">
        <v>34</v>
      </c>
      <c r="C4812" s="52" t="s">
        <v>33</v>
      </c>
      <c r="D4812" s="52" t="s">
        <v>33</v>
      </c>
      <c r="E4812" s="52" t="s">
        <v>605</v>
      </c>
      <c r="F4812" s="52" t="s">
        <v>581</v>
      </c>
      <c r="G4812" s="195" t="s">
        <v>276</v>
      </c>
      <c r="H4812" s="195"/>
      <c r="I4812" s="195"/>
      <c r="J4812" s="195"/>
      <c r="K4812" s="195"/>
      <c r="L4812" s="195"/>
      <c r="M4812" s="195">
        <v>0</v>
      </c>
      <c r="N4812" s="195">
        <v>0</v>
      </c>
    </row>
    <row r="4813" spans="1:14" hidden="1" x14ac:dyDescent="0.35">
      <c r="A4813" s="52" t="s">
        <v>682</v>
      </c>
      <c r="B4813" s="52" t="s">
        <v>34</v>
      </c>
      <c r="C4813" s="52" t="s">
        <v>33</v>
      </c>
      <c r="D4813" s="52" t="s">
        <v>33</v>
      </c>
      <c r="E4813" s="52" t="s">
        <v>605</v>
      </c>
      <c r="F4813" s="52" t="s">
        <v>581</v>
      </c>
      <c r="G4813" s="195" t="s">
        <v>279</v>
      </c>
      <c r="H4813" s="195"/>
      <c r="I4813" s="195"/>
      <c r="J4813" s="195"/>
      <c r="K4813" s="195"/>
      <c r="L4813" s="195"/>
      <c r="M4813" s="195">
        <v>0</v>
      </c>
      <c r="N4813" s="195">
        <v>0</v>
      </c>
    </row>
    <row r="4814" spans="1:14" hidden="1" x14ac:dyDescent="0.35">
      <c r="A4814" s="52" t="s">
        <v>682</v>
      </c>
      <c r="B4814" s="52" t="s">
        <v>34</v>
      </c>
      <c r="C4814" s="52" t="s">
        <v>33</v>
      </c>
      <c r="D4814" s="52" t="s">
        <v>33</v>
      </c>
      <c r="E4814" s="52" t="s">
        <v>605</v>
      </c>
      <c r="F4814" s="52" t="s">
        <v>26</v>
      </c>
      <c r="G4814" s="195" t="s">
        <v>275</v>
      </c>
      <c r="H4814" s="195">
        <v>-54.969540000000002</v>
      </c>
      <c r="I4814" s="195">
        <v>-4.5164059999999999</v>
      </c>
      <c r="J4814" s="195">
        <v>-4.877783</v>
      </c>
      <c r="K4814" s="195">
        <v>-6.0106909999999996</v>
      </c>
      <c r="L4814" s="195">
        <v>-17.799990000000001</v>
      </c>
      <c r="M4814" s="195">
        <v>-6.0755309999999998</v>
      </c>
      <c r="N4814" s="195">
        <v>-5.8579059999999998</v>
      </c>
    </row>
    <row r="4815" spans="1:14" hidden="1" x14ac:dyDescent="0.35">
      <c r="A4815" s="52" t="s">
        <v>682</v>
      </c>
      <c r="B4815" s="52" t="s">
        <v>34</v>
      </c>
      <c r="C4815" s="52" t="s">
        <v>33</v>
      </c>
      <c r="D4815" s="52" t="s">
        <v>33</v>
      </c>
      <c r="E4815" s="52" t="s">
        <v>605</v>
      </c>
      <c r="F4815" s="52" t="s">
        <v>26</v>
      </c>
      <c r="G4815" s="195" t="s">
        <v>276</v>
      </c>
      <c r="H4815" s="195">
        <v>-9.4923739999999999</v>
      </c>
      <c r="I4815" s="195">
        <v>-13.74714</v>
      </c>
      <c r="J4815" s="195">
        <v>-13.686820000000001</v>
      </c>
      <c r="K4815" s="195">
        <v>-9.5081469999999992</v>
      </c>
      <c r="L4815" s="195">
        <v>-7.4930130000000004</v>
      </c>
      <c r="M4815" s="195">
        <v>-2.5418530000000001</v>
      </c>
      <c r="N4815" s="195">
        <v>-1.9957199999999999</v>
      </c>
    </row>
    <row r="4816" spans="1:14" hidden="1" x14ac:dyDescent="0.35">
      <c r="A4816" s="52" t="s">
        <v>682</v>
      </c>
      <c r="B4816" s="52" t="s">
        <v>34</v>
      </c>
      <c r="C4816" s="52" t="s">
        <v>33</v>
      </c>
      <c r="D4816" s="52" t="s">
        <v>33</v>
      </c>
      <c r="E4816" s="52" t="s">
        <v>605</v>
      </c>
      <c r="F4816" s="52" t="s">
        <v>26</v>
      </c>
      <c r="G4816" s="195" t="s">
        <v>277</v>
      </c>
      <c r="H4816" s="195">
        <v>56.834829999999997</v>
      </c>
      <c r="I4816" s="195">
        <v>12.086930000000001</v>
      </c>
      <c r="J4816" s="195">
        <v>1.172007</v>
      </c>
      <c r="K4816" s="195">
        <v>0.99319599999999997</v>
      </c>
      <c r="L4816" s="195">
        <v>1.2778400000000001E-2</v>
      </c>
      <c r="M4816" s="195">
        <v>0</v>
      </c>
      <c r="N4816" s="195">
        <v>0</v>
      </c>
    </row>
    <row r="4817" spans="1:14" hidden="1" x14ac:dyDescent="0.35">
      <c r="A4817" s="52" t="s">
        <v>682</v>
      </c>
      <c r="B4817" s="52" t="s">
        <v>34</v>
      </c>
      <c r="C4817" s="52" t="s">
        <v>33</v>
      </c>
      <c r="D4817" s="52" t="s">
        <v>33</v>
      </c>
      <c r="E4817" s="52" t="s">
        <v>605</v>
      </c>
      <c r="F4817" s="52" t="s">
        <v>26</v>
      </c>
      <c r="G4817" s="195" t="s">
        <v>278</v>
      </c>
      <c r="H4817" s="195">
        <v>21.565180000000002</v>
      </c>
      <c r="I4817" s="195">
        <v>2.913065</v>
      </c>
      <c r="J4817" s="195">
        <v>4.7139790000000001</v>
      </c>
      <c r="K4817" s="195">
        <v>0.66390439999999995</v>
      </c>
      <c r="L4817" s="195">
        <v>3.55322E-2</v>
      </c>
      <c r="M4817" s="195">
        <v>0</v>
      </c>
      <c r="N4817" s="195">
        <v>0</v>
      </c>
    </row>
    <row r="4818" spans="1:14" hidden="1" x14ac:dyDescent="0.35">
      <c r="A4818" s="52" t="s">
        <v>682</v>
      </c>
      <c r="B4818" s="52" t="s">
        <v>34</v>
      </c>
      <c r="C4818" s="52" t="s">
        <v>33</v>
      </c>
      <c r="D4818" s="52" t="s">
        <v>33</v>
      </c>
      <c r="E4818" s="52" t="s">
        <v>605</v>
      </c>
      <c r="F4818" s="52" t="s">
        <v>26</v>
      </c>
      <c r="G4818" s="195" t="s">
        <v>279</v>
      </c>
      <c r="H4818" s="195">
        <v>126.7658</v>
      </c>
      <c r="I4818" s="195">
        <v>124.4162</v>
      </c>
      <c r="J4818" s="195">
        <v>138.679</v>
      </c>
      <c r="K4818" s="195">
        <v>137.2021</v>
      </c>
      <c r="L4818" s="195">
        <v>138.47020000000001</v>
      </c>
      <c r="M4818" s="195">
        <v>112.11969999999999</v>
      </c>
      <c r="N4818" s="195">
        <v>102.768</v>
      </c>
    </row>
    <row r="4819" spans="1:14" hidden="1" x14ac:dyDescent="0.35">
      <c r="A4819" s="52" t="s">
        <v>682</v>
      </c>
      <c r="B4819" s="52" t="s">
        <v>34</v>
      </c>
      <c r="C4819" s="52" t="s">
        <v>33</v>
      </c>
      <c r="D4819" s="52" t="s">
        <v>33</v>
      </c>
      <c r="E4819" s="52" t="s">
        <v>636</v>
      </c>
      <c r="F4819" s="52" t="s">
        <v>581</v>
      </c>
      <c r="G4819" s="195" t="s">
        <v>275</v>
      </c>
      <c r="H4819" s="195">
        <v>-73.884739999999994</v>
      </c>
      <c r="I4819" s="195">
        <v>-54.747390000000003</v>
      </c>
      <c r="J4819" s="195">
        <v>39.217309999999998</v>
      </c>
      <c r="K4819" s="195">
        <v>22.137080000000001</v>
      </c>
      <c r="L4819" s="195">
        <v>9.7025869999999994</v>
      </c>
      <c r="M4819" s="195">
        <v>4.5782309999999997</v>
      </c>
      <c r="N4819" s="195">
        <v>3.907</v>
      </c>
    </row>
    <row r="4820" spans="1:14" hidden="1" x14ac:dyDescent="0.35">
      <c r="A4820" s="52" t="s">
        <v>682</v>
      </c>
      <c r="B4820" s="52" t="s">
        <v>34</v>
      </c>
      <c r="C4820" s="52" t="s">
        <v>33</v>
      </c>
      <c r="D4820" s="52" t="s">
        <v>33</v>
      </c>
      <c r="E4820" s="52" t="s">
        <v>636</v>
      </c>
      <c r="F4820" s="52" t="s">
        <v>581</v>
      </c>
      <c r="G4820" s="195" t="s">
        <v>276</v>
      </c>
      <c r="H4820" s="195">
        <v>-19.21144</v>
      </c>
      <c r="I4820" s="195">
        <v>-42.043599999999998</v>
      </c>
      <c r="J4820" s="195">
        <v>-30.99615</v>
      </c>
      <c r="K4820" s="195">
        <v>-15.330679999999999</v>
      </c>
      <c r="L4820" s="195">
        <v>-5.1761759999999999</v>
      </c>
      <c r="M4820" s="195">
        <v>1.3086720000000001</v>
      </c>
      <c r="N4820" s="195">
        <v>1.227352</v>
      </c>
    </row>
    <row r="4821" spans="1:14" hidden="1" x14ac:dyDescent="0.35">
      <c r="A4821" s="52" t="s">
        <v>682</v>
      </c>
      <c r="B4821" s="52" t="s">
        <v>34</v>
      </c>
      <c r="C4821" s="52" t="s">
        <v>33</v>
      </c>
      <c r="D4821" s="52" t="s">
        <v>33</v>
      </c>
      <c r="E4821" s="52" t="s">
        <v>636</v>
      </c>
      <c r="F4821" s="52" t="s">
        <v>581</v>
      </c>
      <c r="G4821" s="195" t="s">
        <v>277</v>
      </c>
      <c r="H4821" s="195">
        <v>150.4187</v>
      </c>
      <c r="I4821" s="195">
        <v>93.937089999999998</v>
      </c>
      <c r="J4821" s="195">
        <v>0.1149186</v>
      </c>
      <c r="K4821" s="195">
        <v>5.5836799999999999E-2</v>
      </c>
      <c r="L4821" s="195">
        <v>0.30529719999999999</v>
      </c>
      <c r="M4821" s="195">
        <v>6.3641000000000003E-2</v>
      </c>
      <c r="N4821" s="195">
        <v>0.1494316</v>
      </c>
    </row>
    <row r="4822" spans="1:14" hidden="1" x14ac:dyDescent="0.35">
      <c r="A4822" s="52" t="s">
        <v>682</v>
      </c>
      <c r="B4822" s="52" t="s">
        <v>34</v>
      </c>
      <c r="C4822" s="52" t="s">
        <v>33</v>
      </c>
      <c r="D4822" s="52" t="s">
        <v>33</v>
      </c>
      <c r="E4822" s="52" t="s">
        <v>636</v>
      </c>
      <c r="F4822" s="52" t="s">
        <v>581</v>
      </c>
      <c r="G4822" s="195" t="s">
        <v>278</v>
      </c>
      <c r="H4822" s="195">
        <v>33.714869999999998</v>
      </c>
      <c r="I4822" s="195">
        <v>16.062919999999998</v>
      </c>
      <c r="J4822" s="195">
        <v>0.46718140000000002</v>
      </c>
      <c r="K4822" s="195">
        <v>0.2340014</v>
      </c>
      <c r="L4822" s="195">
        <v>0.60999020000000004</v>
      </c>
      <c r="M4822" s="195">
        <v>0.26939180000000001</v>
      </c>
      <c r="N4822" s="195">
        <v>0.63256400000000002</v>
      </c>
    </row>
    <row r="4823" spans="1:14" hidden="1" x14ac:dyDescent="0.35">
      <c r="A4823" s="52" t="s">
        <v>682</v>
      </c>
      <c r="B4823" s="52" t="s">
        <v>34</v>
      </c>
      <c r="C4823" s="52" t="s">
        <v>33</v>
      </c>
      <c r="D4823" s="52" t="s">
        <v>33</v>
      </c>
      <c r="E4823" s="52" t="s">
        <v>636</v>
      </c>
      <c r="F4823" s="52" t="s">
        <v>581</v>
      </c>
      <c r="G4823" s="195" t="s">
        <v>279</v>
      </c>
      <c r="H4823" s="195">
        <v>21.626380000000001</v>
      </c>
      <c r="I4823" s="195">
        <v>13.87867</v>
      </c>
      <c r="J4823" s="195">
        <v>11.73024</v>
      </c>
      <c r="K4823" s="195">
        <v>9.4278449999999996</v>
      </c>
      <c r="L4823" s="195">
        <v>9.3063939999999992</v>
      </c>
      <c r="M4823" s="195">
        <v>7.672663</v>
      </c>
      <c r="N4823" s="195">
        <v>7.163532</v>
      </c>
    </row>
    <row r="4824" spans="1:14" hidden="1" x14ac:dyDescent="0.35">
      <c r="A4824" s="52" t="s">
        <v>682</v>
      </c>
      <c r="B4824" s="52" t="s">
        <v>34</v>
      </c>
      <c r="C4824" s="52" t="s">
        <v>33</v>
      </c>
      <c r="D4824" s="52" t="s">
        <v>33</v>
      </c>
      <c r="E4824" s="52" t="s">
        <v>636</v>
      </c>
      <c r="F4824" s="52" t="s">
        <v>26</v>
      </c>
      <c r="G4824" s="195" t="s">
        <v>275</v>
      </c>
      <c r="H4824" s="195">
        <v>-4.2073049999999999</v>
      </c>
      <c r="I4824" s="195">
        <v>-4.362215</v>
      </c>
      <c r="J4824" s="195">
        <v>-4.3010809999999999</v>
      </c>
      <c r="K4824" s="195">
        <v>-3.627192</v>
      </c>
      <c r="L4824" s="195">
        <v>-3.8542130000000001</v>
      </c>
      <c r="M4824" s="195">
        <v>-2.746731</v>
      </c>
      <c r="N4824" s="195">
        <v>-2.5327380000000002</v>
      </c>
    </row>
    <row r="4825" spans="1:14" hidden="1" x14ac:dyDescent="0.35">
      <c r="A4825" s="52" t="s">
        <v>682</v>
      </c>
      <c r="B4825" s="52" t="s">
        <v>34</v>
      </c>
      <c r="C4825" s="52" t="s">
        <v>33</v>
      </c>
      <c r="D4825" s="52" t="s">
        <v>33</v>
      </c>
      <c r="E4825" s="52" t="s">
        <v>636</v>
      </c>
      <c r="F4825" s="52" t="s">
        <v>26</v>
      </c>
      <c r="G4825" s="195" t="s">
        <v>276</v>
      </c>
      <c r="H4825" s="195">
        <v>-1.516918</v>
      </c>
      <c r="I4825" s="195">
        <v>-1.4540709999999999</v>
      </c>
      <c r="J4825" s="195">
        <v>-1.3582339999999999</v>
      </c>
      <c r="K4825" s="195">
        <v>-1.083448</v>
      </c>
      <c r="L4825" s="195">
        <v>-1.151259</v>
      </c>
      <c r="M4825" s="195">
        <v>-0.82045159999999995</v>
      </c>
      <c r="N4825" s="195">
        <v>-0.7565326</v>
      </c>
    </row>
    <row r="4826" spans="1:14" hidden="1" x14ac:dyDescent="0.35">
      <c r="A4826" s="52" t="s">
        <v>682</v>
      </c>
      <c r="B4826" s="52" t="s">
        <v>34</v>
      </c>
      <c r="C4826" s="52" t="s">
        <v>33</v>
      </c>
      <c r="D4826" s="52" t="s">
        <v>33</v>
      </c>
      <c r="E4826" s="52" t="s">
        <v>636</v>
      </c>
      <c r="F4826" s="52" t="s">
        <v>26</v>
      </c>
      <c r="G4826" s="195" t="s">
        <v>279</v>
      </c>
      <c r="H4826" s="195">
        <v>18.301850000000002</v>
      </c>
      <c r="I4826" s="195">
        <v>14.5528</v>
      </c>
      <c r="J4826" s="195">
        <v>12.694850000000001</v>
      </c>
      <c r="K4826" s="195">
        <v>10.32827</v>
      </c>
      <c r="L4826" s="195">
        <v>10.002129999999999</v>
      </c>
      <c r="M4826" s="195">
        <v>8.2323170000000001</v>
      </c>
      <c r="N4826" s="195">
        <v>7.6084560000000003</v>
      </c>
    </row>
    <row r="4827" spans="1:14" hidden="1" x14ac:dyDescent="0.35">
      <c r="A4827" s="52" t="s">
        <v>682</v>
      </c>
      <c r="B4827" s="52" t="s">
        <v>34</v>
      </c>
      <c r="C4827" s="52" t="s">
        <v>33</v>
      </c>
      <c r="D4827" s="52" t="s">
        <v>33</v>
      </c>
      <c r="E4827" s="52" t="s">
        <v>604</v>
      </c>
      <c r="F4827" s="52" t="s">
        <v>581</v>
      </c>
      <c r="G4827" s="195" t="s">
        <v>275</v>
      </c>
      <c r="H4827" s="195">
        <v>8.9306780000000003</v>
      </c>
      <c r="I4827" s="195">
        <v>-7.1721440000000003</v>
      </c>
      <c r="J4827" s="195">
        <v>4.0134220000000003</v>
      </c>
      <c r="K4827" s="195">
        <v>2.7891089999999998</v>
      </c>
      <c r="L4827" s="195">
        <v>1.9693369999999999</v>
      </c>
      <c r="M4827" s="195">
        <v>1.2387220000000001</v>
      </c>
      <c r="N4827" s="195">
        <v>1.0638460000000001</v>
      </c>
    </row>
    <row r="4828" spans="1:14" hidden="1" x14ac:dyDescent="0.35">
      <c r="A4828" s="52" t="s">
        <v>682</v>
      </c>
      <c r="B4828" s="52" t="s">
        <v>34</v>
      </c>
      <c r="C4828" s="52" t="s">
        <v>33</v>
      </c>
      <c r="D4828" s="52" t="s">
        <v>33</v>
      </c>
      <c r="E4828" s="52" t="s">
        <v>604</v>
      </c>
      <c r="F4828" s="52" t="s">
        <v>581</v>
      </c>
      <c r="G4828" s="195" t="s">
        <v>276</v>
      </c>
      <c r="H4828" s="195">
        <v>-3.8203010000000002</v>
      </c>
      <c r="I4828" s="195">
        <v>-5.0634030000000001</v>
      </c>
      <c r="J4828" s="195">
        <v>-2.455889</v>
      </c>
      <c r="K4828" s="195">
        <v>-0.88811079999999998</v>
      </c>
      <c r="L4828" s="195">
        <v>-0.59814599999999996</v>
      </c>
      <c r="M4828" s="195">
        <v>0.2860704</v>
      </c>
      <c r="N4828" s="195">
        <v>0.30379519999999999</v>
      </c>
    </row>
    <row r="4829" spans="1:14" hidden="1" x14ac:dyDescent="0.35">
      <c r="A4829" s="52" t="s">
        <v>682</v>
      </c>
      <c r="B4829" s="52" t="s">
        <v>34</v>
      </c>
      <c r="C4829" s="52" t="s">
        <v>33</v>
      </c>
      <c r="D4829" s="52" t="s">
        <v>33</v>
      </c>
      <c r="E4829" s="52" t="s">
        <v>604</v>
      </c>
      <c r="F4829" s="52" t="s">
        <v>581</v>
      </c>
      <c r="G4829" s="195" t="s">
        <v>277</v>
      </c>
      <c r="H4829" s="195">
        <v>5.4585129999999999</v>
      </c>
      <c r="I4829" s="195">
        <v>14.5</v>
      </c>
      <c r="J4829" s="195"/>
      <c r="K4829" s="195">
        <v>2.51422E-2</v>
      </c>
      <c r="L4829" s="195"/>
      <c r="M4829" s="195">
        <v>0</v>
      </c>
      <c r="N4829" s="195">
        <v>0</v>
      </c>
    </row>
    <row r="4830" spans="1:14" hidden="1" x14ac:dyDescent="0.35">
      <c r="A4830" s="52" t="s">
        <v>682</v>
      </c>
      <c r="B4830" s="52" t="s">
        <v>34</v>
      </c>
      <c r="C4830" s="52" t="s">
        <v>33</v>
      </c>
      <c r="D4830" s="52" t="s">
        <v>33</v>
      </c>
      <c r="E4830" s="52" t="s">
        <v>604</v>
      </c>
      <c r="F4830" s="52" t="s">
        <v>581</v>
      </c>
      <c r="G4830" s="195" t="s">
        <v>278</v>
      </c>
      <c r="H4830" s="195">
        <v>2.0379459999999998</v>
      </c>
      <c r="I4830" s="195">
        <v>0.5</v>
      </c>
      <c r="J4830" s="195">
        <v>0.88881980000000005</v>
      </c>
      <c r="K4830" s="195">
        <v>0.102838</v>
      </c>
      <c r="L4830" s="195"/>
      <c r="M4830" s="195">
        <v>0</v>
      </c>
      <c r="N4830" s="195">
        <v>0</v>
      </c>
    </row>
    <row r="4831" spans="1:14" hidden="1" x14ac:dyDescent="0.35">
      <c r="A4831" s="52" t="s">
        <v>682</v>
      </c>
      <c r="B4831" s="52" t="s">
        <v>34</v>
      </c>
      <c r="C4831" s="52" t="s">
        <v>33</v>
      </c>
      <c r="D4831" s="52" t="s">
        <v>33</v>
      </c>
      <c r="E4831" s="52" t="s">
        <v>604</v>
      </c>
      <c r="F4831" s="52" t="s">
        <v>581</v>
      </c>
      <c r="G4831" s="195" t="s">
        <v>279</v>
      </c>
      <c r="H4831" s="195">
        <v>3.3862019999999999</v>
      </c>
      <c r="I4831" s="195">
        <v>2.979978</v>
      </c>
      <c r="J4831" s="195">
        <v>3.4018120000000001</v>
      </c>
      <c r="K4831" s="195">
        <v>2.752294</v>
      </c>
      <c r="L4831" s="195">
        <v>2.5383879999999999</v>
      </c>
      <c r="M4831" s="195">
        <v>1.9582850000000001</v>
      </c>
      <c r="N4831" s="195">
        <v>1.7534099999999999</v>
      </c>
    </row>
    <row r="4832" spans="1:14" hidden="1" x14ac:dyDescent="0.35">
      <c r="A4832" s="52" t="s">
        <v>682</v>
      </c>
      <c r="B4832" s="52" t="s">
        <v>34</v>
      </c>
      <c r="C4832" s="52" t="s">
        <v>33</v>
      </c>
      <c r="D4832" s="52" t="s">
        <v>33</v>
      </c>
      <c r="E4832" s="52" t="s">
        <v>604</v>
      </c>
      <c r="F4832" s="52" t="s">
        <v>26</v>
      </c>
      <c r="G4832" s="195" t="s">
        <v>275</v>
      </c>
      <c r="H4832" s="195">
        <v>-1.5673349999999999</v>
      </c>
      <c r="I4832" s="195">
        <v>-1.942445</v>
      </c>
      <c r="J4832" s="195">
        <v>-2.549099</v>
      </c>
      <c r="K4832" s="195">
        <v>-2.1816230000000001</v>
      </c>
      <c r="L4832" s="195">
        <v>-2.1776260000000001</v>
      </c>
      <c r="M4832" s="195">
        <v>-1.460879</v>
      </c>
      <c r="N4832" s="195">
        <v>-1.308063</v>
      </c>
    </row>
    <row r="4833" spans="1:14" hidden="1" x14ac:dyDescent="0.35">
      <c r="A4833" s="52" t="s">
        <v>682</v>
      </c>
      <c r="B4833" s="52" t="s">
        <v>34</v>
      </c>
      <c r="C4833" s="52" t="s">
        <v>33</v>
      </c>
      <c r="D4833" s="52" t="s">
        <v>33</v>
      </c>
      <c r="E4833" s="52" t="s">
        <v>604</v>
      </c>
      <c r="F4833" s="52" t="s">
        <v>26</v>
      </c>
      <c r="G4833" s="195" t="s">
        <v>276</v>
      </c>
      <c r="H4833" s="195">
        <v>-0.56509399999999999</v>
      </c>
      <c r="I4833" s="195">
        <v>-0.6474818</v>
      </c>
      <c r="J4833" s="195">
        <v>-0.80497879999999999</v>
      </c>
      <c r="K4833" s="195">
        <v>-0.65165379999999995</v>
      </c>
      <c r="L4833" s="195">
        <v>-0.65046000000000004</v>
      </c>
      <c r="M4833" s="195">
        <v>-0.4363668</v>
      </c>
      <c r="N4833" s="195">
        <v>-0.39072000000000001</v>
      </c>
    </row>
    <row r="4834" spans="1:14" hidden="1" x14ac:dyDescent="0.35">
      <c r="A4834" s="52" t="s">
        <v>682</v>
      </c>
      <c r="B4834" s="52" t="s">
        <v>34</v>
      </c>
      <c r="C4834" s="52" t="s">
        <v>33</v>
      </c>
      <c r="D4834" s="52" t="s">
        <v>33</v>
      </c>
      <c r="E4834" s="52" t="s">
        <v>604</v>
      </c>
      <c r="F4834" s="52" t="s">
        <v>26</v>
      </c>
      <c r="G4834" s="195" t="s">
        <v>279</v>
      </c>
      <c r="H4834" s="195">
        <v>6.7950530000000002</v>
      </c>
      <c r="I4834" s="195">
        <v>6.5480280000000004</v>
      </c>
      <c r="J4834" s="195">
        <v>7.5984949999999998</v>
      </c>
      <c r="K4834" s="195">
        <v>6.274616</v>
      </c>
      <c r="L4834" s="195">
        <v>5.6842129999999997</v>
      </c>
      <c r="M4834" s="195">
        <v>4.4034909999999998</v>
      </c>
      <c r="N4834" s="195">
        <v>3.9430909999999999</v>
      </c>
    </row>
    <row r="4835" spans="1:14" hidden="1" x14ac:dyDescent="0.35">
      <c r="A4835" s="52" t="s">
        <v>682</v>
      </c>
      <c r="B4835" s="52" t="s">
        <v>34</v>
      </c>
      <c r="C4835" s="52" t="s">
        <v>33</v>
      </c>
      <c r="D4835" s="52" t="s">
        <v>33</v>
      </c>
      <c r="E4835" s="52" t="s">
        <v>683</v>
      </c>
      <c r="F4835" s="52" t="s">
        <v>581</v>
      </c>
      <c r="G4835" s="195" t="s">
        <v>275</v>
      </c>
      <c r="H4835" s="195">
        <v>0.26500000000000001</v>
      </c>
      <c r="I4835" s="195">
        <v>0.25</v>
      </c>
      <c r="J4835" s="195">
        <v>0.24</v>
      </c>
      <c r="K4835" s="195">
        <v>0</v>
      </c>
      <c r="L4835" s="195"/>
      <c r="M4835" s="195"/>
      <c r="N4835" s="195"/>
    </row>
    <row r="4836" spans="1:14" hidden="1" x14ac:dyDescent="0.35">
      <c r="A4836" s="52" t="s">
        <v>682</v>
      </c>
      <c r="B4836" s="52" t="s">
        <v>34</v>
      </c>
      <c r="C4836" s="52" t="s">
        <v>33</v>
      </c>
      <c r="D4836" s="52" t="s">
        <v>33</v>
      </c>
      <c r="E4836" s="52" t="s">
        <v>683</v>
      </c>
      <c r="F4836" s="52" t="s">
        <v>581</v>
      </c>
      <c r="G4836" s="195" t="s">
        <v>276</v>
      </c>
      <c r="H4836" s="195">
        <v>-0.26500000000000001</v>
      </c>
      <c r="I4836" s="195">
        <v>-0.25</v>
      </c>
      <c r="J4836" s="195">
        <v>-0.24</v>
      </c>
      <c r="K4836" s="195">
        <v>0</v>
      </c>
      <c r="L4836" s="195"/>
      <c r="M4836" s="195"/>
      <c r="N4836" s="195"/>
    </row>
    <row r="4837" spans="1:14" hidden="1" x14ac:dyDescent="0.35">
      <c r="A4837" s="52" t="s">
        <v>682</v>
      </c>
      <c r="B4837" s="52" t="s">
        <v>34</v>
      </c>
      <c r="C4837" s="52" t="s">
        <v>33</v>
      </c>
      <c r="D4837" s="52" t="s">
        <v>33</v>
      </c>
      <c r="E4837" s="52" t="s">
        <v>683</v>
      </c>
      <c r="F4837" s="52" t="s">
        <v>581</v>
      </c>
      <c r="G4837" s="195" t="s">
        <v>277</v>
      </c>
      <c r="H4837" s="195">
        <v>0</v>
      </c>
      <c r="I4837" s="195"/>
      <c r="J4837" s="195"/>
      <c r="K4837" s="195"/>
      <c r="L4837" s="195"/>
      <c r="M4837" s="195"/>
      <c r="N4837" s="195"/>
    </row>
    <row r="4838" spans="1:14" hidden="1" x14ac:dyDescent="0.35">
      <c r="A4838" s="52" t="s">
        <v>682</v>
      </c>
      <c r="B4838" s="52" t="s">
        <v>34</v>
      </c>
      <c r="C4838" s="52" t="s">
        <v>66</v>
      </c>
      <c r="D4838" s="52" t="s">
        <v>66</v>
      </c>
      <c r="E4838" s="52" t="s">
        <v>584</v>
      </c>
      <c r="F4838" s="52" t="s">
        <v>581</v>
      </c>
      <c r="G4838" s="195" t="s">
        <v>275</v>
      </c>
      <c r="H4838" s="195">
        <v>71.692729999999997</v>
      </c>
      <c r="I4838" s="195">
        <v>-3.8718490000000001</v>
      </c>
      <c r="J4838" s="195">
        <v>14.817920000000001</v>
      </c>
      <c r="K4838" s="195">
        <v>10.343870000000001</v>
      </c>
      <c r="L4838" s="195">
        <v>4.873526</v>
      </c>
      <c r="M4838" s="195">
        <v>2.939587</v>
      </c>
      <c r="N4838" s="195">
        <v>0.62433890000000003</v>
      </c>
    </row>
    <row r="4839" spans="1:14" hidden="1" x14ac:dyDescent="0.35">
      <c r="A4839" s="52" t="s">
        <v>682</v>
      </c>
      <c r="B4839" s="52" t="s">
        <v>34</v>
      </c>
      <c r="C4839" s="52" t="s">
        <v>66</v>
      </c>
      <c r="D4839" s="52" t="s">
        <v>66</v>
      </c>
      <c r="E4839" s="52" t="s">
        <v>584</v>
      </c>
      <c r="F4839" s="52" t="s">
        <v>581</v>
      </c>
      <c r="G4839" s="195" t="s">
        <v>276</v>
      </c>
      <c r="H4839" s="195">
        <v>59.244070000000001</v>
      </c>
      <c r="I4839" s="195">
        <v>9.3403849999999995</v>
      </c>
      <c r="J4839" s="195">
        <v>4.9190469999999999</v>
      </c>
      <c r="K4839" s="195">
        <v>6.7106849999999998</v>
      </c>
      <c r="L4839" s="195">
        <v>7.8502720000000004</v>
      </c>
      <c r="M4839" s="195">
        <v>5.5019980000000004</v>
      </c>
      <c r="N4839" s="195">
        <v>4.5401290000000003</v>
      </c>
    </row>
    <row r="4840" spans="1:14" hidden="1" x14ac:dyDescent="0.35">
      <c r="A4840" s="52" t="s">
        <v>682</v>
      </c>
      <c r="B4840" s="52" t="s">
        <v>34</v>
      </c>
      <c r="C4840" s="52" t="s">
        <v>66</v>
      </c>
      <c r="D4840" s="52" t="s">
        <v>66</v>
      </c>
      <c r="E4840" s="52" t="s">
        <v>584</v>
      </c>
      <c r="F4840" s="52" t="s">
        <v>581</v>
      </c>
      <c r="G4840" s="195" t="s">
        <v>277</v>
      </c>
      <c r="H4840" s="195">
        <v>20.75028</v>
      </c>
      <c r="I4840" s="195">
        <v>25.494009999999999</v>
      </c>
      <c r="J4840" s="195">
        <v>8.9418749999999996</v>
      </c>
      <c r="K4840" s="195">
        <v>8.0572940000000006</v>
      </c>
      <c r="L4840" s="195">
        <v>7.7290080000000003</v>
      </c>
      <c r="M4840" s="195">
        <v>7.1785639999999997</v>
      </c>
      <c r="N4840" s="195">
        <v>4.5448110000000002</v>
      </c>
    </row>
    <row r="4841" spans="1:14" hidden="1" x14ac:dyDescent="0.35">
      <c r="A4841" s="52" t="s">
        <v>682</v>
      </c>
      <c r="B4841" s="52" t="s">
        <v>34</v>
      </c>
      <c r="C4841" s="52" t="s">
        <v>66</v>
      </c>
      <c r="D4841" s="52" t="s">
        <v>66</v>
      </c>
      <c r="E4841" s="52" t="s">
        <v>584</v>
      </c>
      <c r="F4841" s="52" t="s">
        <v>581</v>
      </c>
      <c r="G4841" s="195" t="s">
        <v>278</v>
      </c>
      <c r="H4841" s="195">
        <v>10.89208</v>
      </c>
      <c r="I4841" s="195">
        <v>1.51562E-2</v>
      </c>
      <c r="J4841" s="195">
        <v>0.1618578</v>
      </c>
      <c r="K4841" s="195">
        <v>1.51562E-2</v>
      </c>
      <c r="L4841" s="195">
        <v>1.51562E-2</v>
      </c>
      <c r="M4841" s="195">
        <v>0.76584839999999998</v>
      </c>
      <c r="N4841" s="195">
        <v>1.51562E-2</v>
      </c>
    </row>
    <row r="4842" spans="1:14" hidden="1" x14ac:dyDescent="0.35">
      <c r="A4842" s="52" t="s">
        <v>682</v>
      </c>
      <c r="B4842" s="52" t="s">
        <v>34</v>
      </c>
      <c r="C4842" s="52" t="s">
        <v>66</v>
      </c>
      <c r="D4842" s="52" t="s">
        <v>66</v>
      </c>
      <c r="E4842" s="52" t="s">
        <v>584</v>
      </c>
      <c r="F4842" s="52" t="s">
        <v>581</v>
      </c>
      <c r="G4842" s="195" t="s">
        <v>279</v>
      </c>
      <c r="H4842" s="195">
        <v>42.446750000000002</v>
      </c>
      <c r="I4842" s="195">
        <v>35.890979999999999</v>
      </c>
      <c r="J4842" s="195">
        <v>37.874679999999998</v>
      </c>
      <c r="K4842" s="195">
        <v>39.796489999999999</v>
      </c>
      <c r="L4842" s="195">
        <v>37.729109999999999</v>
      </c>
      <c r="M4842" s="195">
        <v>33.837119999999999</v>
      </c>
      <c r="N4842" s="195">
        <v>34.73312</v>
      </c>
    </row>
    <row r="4843" spans="1:14" hidden="1" x14ac:dyDescent="0.35">
      <c r="A4843" s="52" t="s">
        <v>682</v>
      </c>
      <c r="B4843" s="52" t="s">
        <v>34</v>
      </c>
      <c r="C4843" s="52" t="s">
        <v>300</v>
      </c>
      <c r="D4843" s="52" t="s">
        <v>300</v>
      </c>
      <c r="E4843" s="52" t="s">
        <v>584</v>
      </c>
      <c r="F4843" s="52" t="s">
        <v>581</v>
      </c>
      <c r="G4843" s="195" t="s">
        <v>275</v>
      </c>
      <c r="H4843" s="195">
        <v>-3.4090549999999997E-2</v>
      </c>
      <c r="I4843" s="195">
        <v>-3.4090549999999997E-2</v>
      </c>
      <c r="J4843" s="195">
        <v>0</v>
      </c>
      <c r="K4843" s="195">
        <v>0</v>
      </c>
      <c r="L4843" s="195">
        <v>0</v>
      </c>
      <c r="M4843" s="195">
        <v>0</v>
      </c>
      <c r="N4843" s="195">
        <v>0</v>
      </c>
    </row>
    <row r="4844" spans="1:14" hidden="1" x14ac:dyDescent="0.35">
      <c r="A4844" s="52" t="s">
        <v>682</v>
      </c>
      <c r="B4844" s="52" t="s">
        <v>34</v>
      </c>
      <c r="C4844" s="52" t="s">
        <v>300</v>
      </c>
      <c r="D4844" s="52" t="s">
        <v>300</v>
      </c>
      <c r="E4844" s="52" t="s">
        <v>584</v>
      </c>
      <c r="F4844" s="52" t="s">
        <v>581</v>
      </c>
      <c r="G4844" s="195" t="s">
        <v>276</v>
      </c>
      <c r="H4844" s="195"/>
      <c r="I4844" s="195"/>
      <c r="J4844" s="195">
        <v>-3.4090549999999997E-2</v>
      </c>
      <c r="K4844" s="195">
        <v>-3.4090549999999997E-2</v>
      </c>
      <c r="L4844" s="195">
        <v>-3.4090549999999997E-2</v>
      </c>
      <c r="M4844" s="195">
        <v>-3.4090549999999997E-2</v>
      </c>
      <c r="N4844" s="195">
        <v>-3.4090549999999997E-2</v>
      </c>
    </row>
    <row r="4845" spans="1:14" hidden="1" x14ac:dyDescent="0.35">
      <c r="A4845" s="52" t="s">
        <v>682</v>
      </c>
      <c r="B4845" s="52" t="s">
        <v>34</v>
      </c>
      <c r="C4845" s="52" t="s">
        <v>300</v>
      </c>
      <c r="D4845" s="52" t="s">
        <v>300</v>
      </c>
      <c r="E4845" s="52" t="s">
        <v>584</v>
      </c>
      <c r="F4845" s="52" t="s">
        <v>581</v>
      </c>
      <c r="G4845" s="195" t="s">
        <v>278</v>
      </c>
      <c r="H4845" s="195">
        <v>3.4090549999999997E-2</v>
      </c>
      <c r="I4845" s="195">
        <v>3.4090549999999997E-2</v>
      </c>
      <c r="J4845" s="195">
        <v>3.4090549999999997E-2</v>
      </c>
      <c r="K4845" s="195">
        <v>3.4090549999999997E-2</v>
      </c>
      <c r="L4845" s="195">
        <v>3.4090549999999997E-2</v>
      </c>
      <c r="M4845" s="195">
        <v>3.4090549999999997E-2</v>
      </c>
      <c r="N4845" s="195">
        <v>3.4090549999999997E-2</v>
      </c>
    </row>
    <row r="4846" spans="1:14" hidden="1" x14ac:dyDescent="0.35">
      <c r="A4846" s="52" t="s">
        <v>682</v>
      </c>
      <c r="B4846" s="52" t="s">
        <v>154</v>
      </c>
      <c r="C4846" s="52" t="s">
        <v>261</v>
      </c>
      <c r="D4846" s="52" t="s">
        <v>261</v>
      </c>
      <c r="E4846" s="52" t="s">
        <v>584</v>
      </c>
      <c r="F4846" s="52" t="s">
        <v>581</v>
      </c>
      <c r="G4846" s="195" t="s">
        <v>275</v>
      </c>
      <c r="H4846" s="195">
        <v>-22.461480000000002</v>
      </c>
      <c r="I4846" s="195">
        <v>-0.28786200000000001</v>
      </c>
      <c r="J4846" s="195">
        <v>-4.0878050000000004</v>
      </c>
      <c r="K4846" s="195">
        <v>-8.9962230000000005</v>
      </c>
      <c r="L4846" s="195">
        <v>-129.29509999999999</v>
      </c>
      <c r="M4846" s="195">
        <v>-40.086410000000001</v>
      </c>
      <c r="N4846" s="195">
        <v>17.857959999999999</v>
      </c>
    </row>
    <row r="4847" spans="1:14" hidden="1" x14ac:dyDescent="0.35">
      <c r="A4847" s="52" t="s">
        <v>682</v>
      </c>
      <c r="B4847" s="52" t="s">
        <v>154</v>
      </c>
      <c r="C4847" s="52" t="s">
        <v>261</v>
      </c>
      <c r="D4847" s="52" t="s">
        <v>261</v>
      </c>
      <c r="E4847" s="52" t="s">
        <v>584</v>
      </c>
      <c r="F4847" s="52" t="s">
        <v>581</v>
      </c>
      <c r="G4847" s="195" t="s">
        <v>276</v>
      </c>
      <c r="H4847" s="195"/>
      <c r="I4847" s="195"/>
      <c r="J4847" s="195">
        <v>-0.303894</v>
      </c>
      <c r="K4847" s="195">
        <v>-8.7651989999999999E-2</v>
      </c>
      <c r="L4847" s="195">
        <v>-6.2256800000000001E-2</v>
      </c>
      <c r="M4847" s="195">
        <v>4.5643459999999996</v>
      </c>
      <c r="N4847" s="195">
        <v>17.323630000000001</v>
      </c>
    </row>
    <row r="4848" spans="1:14" hidden="1" x14ac:dyDescent="0.35">
      <c r="A4848" s="52" t="s">
        <v>682</v>
      </c>
      <c r="B4848" s="52" t="s">
        <v>154</v>
      </c>
      <c r="C4848" s="52" t="s">
        <v>261</v>
      </c>
      <c r="D4848" s="52" t="s">
        <v>261</v>
      </c>
      <c r="E4848" s="52" t="s">
        <v>584</v>
      </c>
      <c r="F4848" s="52" t="s">
        <v>581</v>
      </c>
      <c r="G4848" s="195" t="s">
        <v>277</v>
      </c>
      <c r="H4848" s="195">
        <v>0.2</v>
      </c>
      <c r="I4848" s="195">
        <v>0</v>
      </c>
      <c r="J4848" s="195">
        <v>4</v>
      </c>
      <c r="K4848" s="195">
        <v>7.989382</v>
      </c>
      <c r="L4848" s="195">
        <v>128.37610000000001</v>
      </c>
      <c r="M4848" s="195">
        <v>38.484780000000001</v>
      </c>
      <c r="N4848" s="195">
        <v>8.6469000000000005</v>
      </c>
    </row>
    <row r="4849" spans="1:14" hidden="1" x14ac:dyDescent="0.35">
      <c r="A4849" s="52" t="s">
        <v>682</v>
      </c>
      <c r="B4849" s="52" t="s">
        <v>154</v>
      </c>
      <c r="C4849" s="52" t="s">
        <v>261</v>
      </c>
      <c r="D4849" s="52" t="s">
        <v>261</v>
      </c>
      <c r="E4849" s="52" t="s">
        <v>584</v>
      </c>
      <c r="F4849" s="52" t="s">
        <v>581</v>
      </c>
      <c r="G4849" s="195" t="s">
        <v>278</v>
      </c>
      <c r="H4849" s="195">
        <v>22.261479999999999</v>
      </c>
      <c r="I4849" s="195">
        <v>0.28786200000000001</v>
      </c>
      <c r="J4849" s="195">
        <v>0.39169920000000003</v>
      </c>
      <c r="K4849" s="195">
        <v>0.17545720000000001</v>
      </c>
      <c r="L4849" s="195">
        <v>6.2256800000000001E-2</v>
      </c>
      <c r="M4849" s="195">
        <v>6.2257199999999999E-2</v>
      </c>
      <c r="N4849" s="195">
        <v>6.2257199999999999E-2</v>
      </c>
    </row>
    <row r="4850" spans="1:14" hidden="1" x14ac:dyDescent="0.35">
      <c r="A4850" s="52" t="s">
        <v>682</v>
      </c>
      <c r="B4850" s="52" t="s">
        <v>154</v>
      </c>
      <c r="C4850" s="52" t="s">
        <v>261</v>
      </c>
      <c r="D4850" s="52" t="s">
        <v>261</v>
      </c>
      <c r="E4850" s="52" t="s">
        <v>584</v>
      </c>
      <c r="F4850" s="52" t="s">
        <v>581</v>
      </c>
      <c r="G4850" s="195" t="s">
        <v>279</v>
      </c>
      <c r="H4850" s="195"/>
      <c r="I4850" s="195"/>
      <c r="J4850" s="195">
        <v>0</v>
      </c>
      <c r="K4850" s="195">
        <v>0.91903919999999995</v>
      </c>
      <c r="L4850" s="195">
        <v>0.91903919999999995</v>
      </c>
      <c r="M4850" s="195">
        <v>15.968439999999999</v>
      </c>
      <c r="N4850" s="195">
        <v>28.693370000000002</v>
      </c>
    </row>
    <row r="4851" spans="1:14" hidden="1" x14ac:dyDescent="0.35">
      <c r="A4851" s="52" t="s">
        <v>682</v>
      </c>
      <c r="B4851" s="52" t="s">
        <v>154</v>
      </c>
      <c r="C4851" s="52" t="s">
        <v>383</v>
      </c>
      <c r="D4851" s="52" t="s">
        <v>383</v>
      </c>
      <c r="E4851" s="52" t="s">
        <v>584</v>
      </c>
      <c r="F4851" s="52" t="s">
        <v>581</v>
      </c>
      <c r="G4851" s="195" t="s">
        <v>275</v>
      </c>
      <c r="H4851" s="195">
        <v>-0.25686829999999999</v>
      </c>
      <c r="I4851" s="195">
        <v>-0.25686829999999999</v>
      </c>
      <c r="J4851" s="195">
        <v>0</v>
      </c>
      <c r="K4851" s="195">
        <v>0</v>
      </c>
      <c r="L4851" s="195">
        <v>0</v>
      </c>
      <c r="M4851" s="195">
        <v>0</v>
      </c>
      <c r="N4851" s="195">
        <v>0</v>
      </c>
    </row>
    <row r="4852" spans="1:14" hidden="1" x14ac:dyDescent="0.35">
      <c r="A4852" s="52" t="s">
        <v>682</v>
      </c>
      <c r="B4852" s="52" t="s">
        <v>154</v>
      </c>
      <c r="C4852" s="52" t="s">
        <v>383</v>
      </c>
      <c r="D4852" s="52" t="s">
        <v>383</v>
      </c>
      <c r="E4852" s="52" t="s">
        <v>584</v>
      </c>
      <c r="F4852" s="52" t="s">
        <v>581</v>
      </c>
      <c r="G4852" s="195" t="s">
        <v>276</v>
      </c>
      <c r="H4852" s="195"/>
      <c r="I4852" s="195"/>
      <c r="J4852" s="195">
        <v>-0.25686829999999999</v>
      </c>
      <c r="K4852" s="195">
        <v>-0.25686829999999999</v>
      </c>
      <c r="L4852" s="195">
        <v>-83.043319999999994</v>
      </c>
      <c r="M4852" s="195">
        <v>-0.25686829999999999</v>
      </c>
      <c r="N4852" s="195">
        <v>-0.5203354</v>
      </c>
    </row>
    <row r="4853" spans="1:14" hidden="1" x14ac:dyDescent="0.35">
      <c r="A4853" s="52" t="s">
        <v>682</v>
      </c>
      <c r="B4853" s="52" t="s">
        <v>154</v>
      </c>
      <c r="C4853" s="52" t="s">
        <v>383</v>
      </c>
      <c r="D4853" s="52" t="s">
        <v>383</v>
      </c>
      <c r="E4853" s="52" t="s">
        <v>584</v>
      </c>
      <c r="F4853" s="52" t="s">
        <v>581</v>
      </c>
      <c r="G4853" s="195" t="s">
        <v>277</v>
      </c>
      <c r="H4853" s="195"/>
      <c r="I4853" s="195"/>
      <c r="J4853" s="195"/>
      <c r="K4853" s="195"/>
      <c r="L4853" s="195"/>
      <c r="M4853" s="195">
        <v>0</v>
      </c>
      <c r="N4853" s="195">
        <v>0.26346710000000001</v>
      </c>
    </row>
    <row r="4854" spans="1:14" hidden="1" x14ac:dyDescent="0.35">
      <c r="A4854" s="52" t="s">
        <v>682</v>
      </c>
      <c r="B4854" s="52" t="s">
        <v>154</v>
      </c>
      <c r="C4854" s="52" t="s">
        <v>383</v>
      </c>
      <c r="D4854" s="52" t="s">
        <v>383</v>
      </c>
      <c r="E4854" s="52" t="s">
        <v>584</v>
      </c>
      <c r="F4854" s="52" t="s">
        <v>581</v>
      </c>
      <c r="G4854" s="195" t="s">
        <v>278</v>
      </c>
      <c r="H4854" s="195">
        <v>0.25686829999999999</v>
      </c>
      <c r="I4854" s="195">
        <v>0.25686829999999999</v>
      </c>
      <c r="J4854" s="195">
        <v>0.25686829999999999</v>
      </c>
      <c r="K4854" s="195">
        <v>0.25686829999999999</v>
      </c>
      <c r="L4854" s="195">
        <v>83.043319999999994</v>
      </c>
      <c r="M4854" s="195">
        <v>0.25686829999999999</v>
      </c>
      <c r="N4854" s="195">
        <v>0.25686829999999999</v>
      </c>
    </row>
    <row r="4855" spans="1:14" hidden="1" x14ac:dyDescent="0.35">
      <c r="A4855" s="52" t="s">
        <v>682</v>
      </c>
      <c r="B4855" s="52" t="s">
        <v>154</v>
      </c>
      <c r="C4855" s="52" t="s">
        <v>153</v>
      </c>
      <c r="D4855" s="52" t="s">
        <v>153</v>
      </c>
      <c r="E4855" s="52" t="s">
        <v>584</v>
      </c>
      <c r="F4855" s="52" t="s">
        <v>581</v>
      </c>
      <c r="G4855" s="195" t="s">
        <v>275</v>
      </c>
      <c r="H4855" s="195">
        <v>-0.36707820000000002</v>
      </c>
      <c r="I4855" s="195">
        <v>-0.36707820000000002</v>
      </c>
      <c r="J4855" s="195">
        <v>0</v>
      </c>
      <c r="K4855" s="195">
        <v>0</v>
      </c>
      <c r="L4855" s="195">
        <v>0</v>
      </c>
      <c r="M4855" s="195">
        <v>0</v>
      </c>
      <c r="N4855" s="195">
        <v>0</v>
      </c>
    </row>
    <row r="4856" spans="1:14" hidden="1" x14ac:dyDescent="0.35">
      <c r="A4856" s="52" t="s">
        <v>682</v>
      </c>
      <c r="B4856" s="52" t="s">
        <v>154</v>
      </c>
      <c r="C4856" s="52" t="s">
        <v>153</v>
      </c>
      <c r="D4856" s="52" t="s">
        <v>153</v>
      </c>
      <c r="E4856" s="52" t="s">
        <v>584</v>
      </c>
      <c r="F4856" s="52" t="s">
        <v>581</v>
      </c>
      <c r="G4856" s="195" t="s">
        <v>276</v>
      </c>
      <c r="H4856" s="195"/>
      <c r="I4856" s="195"/>
      <c r="J4856" s="195">
        <v>-0.14732999999999999</v>
      </c>
      <c r="K4856" s="195">
        <v>-0.14732999999999999</v>
      </c>
      <c r="L4856" s="195">
        <v>-0.23733000000000001</v>
      </c>
      <c r="M4856" s="195">
        <v>-0.23733000000000001</v>
      </c>
      <c r="N4856" s="195">
        <v>-1.9473309999999999</v>
      </c>
    </row>
    <row r="4857" spans="1:14" hidden="1" x14ac:dyDescent="0.35">
      <c r="A4857" s="52" t="s">
        <v>682</v>
      </c>
      <c r="B4857" s="52" t="s">
        <v>154</v>
      </c>
      <c r="C4857" s="52" t="s">
        <v>153</v>
      </c>
      <c r="D4857" s="52" t="s">
        <v>153</v>
      </c>
      <c r="E4857" s="52" t="s">
        <v>584</v>
      </c>
      <c r="F4857" s="52" t="s">
        <v>581</v>
      </c>
      <c r="G4857" s="195" t="s">
        <v>277</v>
      </c>
      <c r="H4857" s="195"/>
      <c r="I4857" s="195"/>
      <c r="J4857" s="195">
        <v>0</v>
      </c>
      <c r="K4857" s="195">
        <v>0</v>
      </c>
      <c r="L4857" s="195">
        <v>0.09</v>
      </c>
      <c r="M4857" s="195">
        <v>0.09</v>
      </c>
      <c r="N4857" s="195">
        <v>1.8</v>
      </c>
    </row>
    <row r="4858" spans="1:14" hidden="1" x14ac:dyDescent="0.35">
      <c r="A4858" s="52" t="s">
        <v>682</v>
      </c>
      <c r="B4858" s="52" t="s">
        <v>154</v>
      </c>
      <c r="C4858" s="52" t="s">
        <v>153</v>
      </c>
      <c r="D4858" s="52" t="s">
        <v>153</v>
      </c>
      <c r="E4858" s="52" t="s">
        <v>584</v>
      </c>
      <c r="F4858" s="52" t="s">
        <v>581</v>
      </c>
      <c r="G4858" s="195" t="s">
        <v>278</v>
      </c>
      <c r="H4858" s="195">
        <v>0.36707820000000002</v>
      </c>
      <c r="I4858" s="195">
        <v>0.36707820000000002</v>
      </c>
      <c r="J4858" s="195">
        <v>0.14732999999999999</v>
      </c>
      <c r="K4858" s="195">
        <v>0.14732999999999999</v>
      </c>
      <c r="L4858" s="195">
        <v>0.14732999999999999</v>
      </c>
      <c r="M4858" s="195">
        <v>0.14732999999999999</v>
      </c>
      <c r="N4858" s="195">
        <v>0.14732999999999999</v>
      </c>
    </row>
    <row r="4859" spans="1:14" hidden="1" x14ac:dyDescent="0.35">
      <c r="A4859" s="52" t="s">
        <v>682</v>
      </c>
      <c r="B4859" s="52" t="s">
        <v>154</v>
      </c>
      <c r="C4859" s="52" t="s">
        <v>153</v>
      </c>
      <c r="D4859" s="52" t="s">
        <v>153</v>
      </c>
      <c r="E4859" s="52" t="s">
        <v>584</v>
      </c>
      <c r="F4859" s="52" t="s">
        <v>581</v>
      </c>
      <c r="G4859" s="195" t="s">
        <v>279</v>
      </c>
      <c r="H4859" s="195"/>
      <c r="I4859" s="195"/>
      <c r="J4859" s="195"/>
      <c r="K4859" s="195"/>
      <c r="L4859" s="195">
        <v>0</v>
      </c>
      <c r="M4859" s="195">
        <v>0</v>
      </c>
      <c r="N4859" s="195">
        <v>0</v>
      </c>
    </row>
    <row r="4860" spans="1:14" hidden="1" x14ac:dyDescent="0.35">
      <c r="A4860" s="52" t="s">
        <v>682</v>
      </c>
      <c r="B4860" s="52" t="s">
        <v>154</v>
      </c>
      <c r="C4860" s="52" t="s">
        <v>153</v>
      </c>
      <c r="D4860" s="52" t="s">
        <v>153</v>
      </c>
      <c r="E4860" s="52" t="s">
        <v>584</v>
      </c>
      <c r="F4860" s="52" t="s">
        <v>26</v>
      </c>
      <c r="G4860" s="195" t="s">
        <v>275</v>
      </c>
      <c r="H4860" s="195"/>
      <c r="I4860" s="195"/>
      <c r="J4860" s="195"/>
      <c r="K4860" s="195"/>
      <c r="L4860" s="195"/>
      <c r="M4860" s="195"/>
      <c r="N4860" s="195">
        <v>0</v>
      </c>
    </row>
    <row r="4861" spans="1:14" hidden="1" x14ac:dyDescent="0.35">
      <c r="A4861" s="52" t="s">
        <v>682</v>
      </c>
      <c r="B4861" s="52" t="s">
        <v>154</v>
      </c>
      <c r="C4861" s="52" t="s">
        <v>153</v>
      </c>
      <c r="D4861" s="52" t="s">
        <v>153</v>
      </c>
      <c r="E4861" s="52" t="s">
        <v>584</v>
      </c>
      <c r="F4861" s="52" t="s">
        <v>26</v>
      </c>
      <c r="G4861" s="195" t="s">
        <v>276</v>
      </c>
      <c r="H4861" s="195"/>
      <c r="I4861" s="195"/>
      <c r="J4861" s="195"/>
      <c r="K4861" s="195"/>
      <c r="L4861" s="195"/>
      <c r="M4861" s="195"/>
      <c r="N4861" s="195">
        <v>0</v>
      </c>
    </row>
    <row r="4862" spans="1:14" hidden="1" x14ac:dyDescent="0.35">
      <c r="A4862" s="52" t="s">
        <v>682</v>
      </c>
      <c r="B4862" s="52" t="s">
        <v>154</v>
      </c>
      <c r="C4862" s="52" t="s">
        <v>153</v>
      </c>
      <c r="D4862" s="52" t="s">
        <v>153</v>
      </c>
      <c r="E4862" s="52" t="s">
        <v>584</v>
      </c>
      <c r="F4862" s="52" t="s">
        <v>26</v>
      </c>
      <c r="G4862" s="195" t="s">
        <v>279</v>
      </c>
      <c r="H4862" s="195"/>
      <c r="I4862" s="195"/>
      <c r="J4862" s="195"/>
      <c r="K4862" s="195"/>
      <c r="L4862" s="195"/>
      <c r="M4862" s="195"/>
      <c r="N4862" s="195">
        <v>0</v>
      </c>
    </row>
    <row r="4863" spans="1:14" hidden="1" x14ac:dyDescent="0.35">
      <c r="A4863" s="52" t="s">
        <v>682</v>
      </c>
      <c r="B4863" s="52" t="s">
        <v>150</v>
      </c>
      <c r="C4863" s="52" t="s">
        <v>329</v>
      </c>
      <c r="D4863" s="52" t="s">
        <v>329</v>
      </c>
      <c r="E4863" s="52" t="s">
        <v>584</v>
      </c>
      <c r="F4863" s="52" t="s">
        <v>581</v>
      </c>
      <c r="G4863" s="195" t="s">
        <v>275</v>
      </c>
      <c r="H4863" s="195">
        <v>-14.546530000000001</v>
      </c>
      <c r="I4863" s="195">
        <v>-0.15465680000000001</v>
      </c>
      <c r="J4863" s="195">
        <v>0</v>
      </c>
      <c r="K4863" s="195">
        <v>0</v>
      </c>
      <c r="L4863" s="195">
        <v>0</v>
      </c>
      <c r="M4863" s="195">
        <v>0</v>
      </c>
      <c r="N4863" s="195">
        <v>0</v>
      </c>
    </row>
    <row r="4864" spans="1:14" hidden="1" x14ac:dyDescent="0.35">
      <c r="A4864" s="52" t="s">
        <v>682</v>
      </c>
      <c r="B4864" s="52" t="s">
        <v>150</v>
      </c>
      <c r="C4864" s="52" t="s">
        <v>329</v>
      </c>
      <c r="D4864" s="52" t="s">
        <v>329</v>
      </c>
      <c r="E4864" s="52" t="s">
        <v>584</v>
      </c>
      <c r="F4864" s="52" t="s">
        <v>581</v>
      </c>
      <c r="G4864" s="195" t="s">
        <v>276</v>
      </c>
      <c r="H4864" s="195">
        <v>-6.234229</v>
      </c>
      <c r="I4864" s="195">
        <v>-6.6281199999999998E-2</v>
      </c>
      <c r="J4864" s="195">
        <v>-18.32131</v>
      </c>
      <c r="K4864" s="195">
        <v>-13.289249999999999</v>
      </c>
      <c r="L4864" s="195">
        <v>-8.8945240000000005</v>
      </c>
      <c r="M4864" s="195">
        <v>-0.105076</v>
      </c>
      <c r="N4864" s="195">
        <v>-0.105076</v>
      </c>
    </row>
    <row r="4865" spans="1:14" hidden="1" x14ac:dyDescent="0.35">
      <c r="A4865" s="52" t="s">
        <v>682</v>
      </c>
      <c r="B4865" s="52" t="s">
        <v>150</v>
      </c>
      <c r="C4865" s="52" t="s">
        <v>329</v>
      </c>
      <c r="D4865" s="52" t="s">
        <v>329</v>
      </c>
      <c r="E4865" s="52" t="s">
        <v>584</v>
      </c>
      <c r="F4865" s="52" t="s">
        <v>581</v>
      </c>
      <c r="G4865" s="195" t="s">
        <v>277</v>
      </c>
      <c r="H4865" s="195"/>
      <c r="I4865" s="195"/>
      <c r="J4865" s="195"/>
      <c r="K4865" s="195"/>
      <c r="L4865" s="195"/>
      <c r="M4865" s="195">
        <v>0</v>
      </c>
      <c r="N4865" s="195">
        <v>0</v>
      </c>
    </row>
    <row r="4866" spans="1:14" hidden="1" x14ac:dyDescent="0.35">
      <c r="A4866" s="52" t="s">
        <v>682</v>
      </c>
      <c r="B4866" s="52" t="s">
        <v>150</v>
      </c>
      <c r="C4866" s="52" t="s">
        <v>329</v>
      </c>
      <c r="D4866" s="52" t="s">
        <v>329</v>
      </c>
      <c r="E4866" s="52" t="s">
        <v>584</v>
      </c>
      <c r="F4866" s="52" t="s">
        <v>581</v>
      </c>
      <c r="G4866" s="195" t="s">
        <v>278</v>
      </c>
      <c r="H4866" s="195">
        <v>20.780760000000001</v>
      </c>
      <c r="I4866" s="195">
        <v>0.22093840000000001</v>
      </c>
      <c r="J4866" s="195">
        <v>18.32131</v>
      </c>
      <c r="K4866" s="195">
        <v>13.289249999999999</v>
      </c>
      <c r="L4866" s="195">
        <v>8.8945240000000005</v>
      </c>
      <c r="M4866" s="195">
        <v>0.105076</v>
      </c>
      <c r="N4866" s="195">
        <v>0.105076</v>
      </c>
    </row>
    <row r="4867" spans="1:14" hidden="1" x14ac:dyDescent="0.35">
      <c r="A4867" s="52" t="s">
        <v>682</v>
      </c>
      <c r="B4867" s="52" t="s">
        <v>53</v>
      </c>
      <c r="C4867" s="52" t="s">
        <v>175</v>
      </c>
      <c r="D4867" s="52" t="s">
        <v>175</v>
      </c>
      <c r="E4867" s="52" t="s">
        <v>584</v>
      </c>
      <c r="F4867" s="52" t="s">
        <v>26</v>
      </c>
      <c r="G4867" s="195" t="s">
        <v>275</v>
      </c>
      <c r="H4867" s="195">
        <v>-1.0179469999999999</v>
      </c>
      <c r="I4867" s="195">
        <v>-1.0179469999999999</v>
      </c>
      <c r="J4867" s="195">
        <v>0</v>
      </c>
      <c r="K4867" s="195">
        <v>0</v>
      </c>
      <c r="L4867" s="195">
        <v>0</v>
      </c>
      <c r="M4867" s="195">
        <v>0</v>
      </c>
      <c r="N4867" s="195">
        <v>0</v>
      </c>
    </row>
    <row r="4868" spans="1:14" hidden="1" x14ac:dyDescent="0.35">
      <c r="A4868" s="52" t="s">
        <v>682</v>
      </c>
      <c r="B4868" s="52" t="s">
        <v>53</v>
      </c>
      <c r="C4868" s="52" t="s">
        <v>175</v>
      </c>
      <c r="D4868" s="52" t="s">
        <v>175</v>
      </c>
      <c r="E4868" s="52" t="s">
        <v>584</v>
      </c>
      <c r="F4868" s="52" t="s">
        <v>26</v>
      </c>
      <c r="G4868" s="195" t="s">
        <v>276</v>
      </c>
      <c r="H4868" s="195">
        <v>-0.4362627</v>
      </c>
      <c r="I4868" s="195">
        <v>-0.4362627</v>
      </c>
      <c r="J4868" s="195">
        <v>-0.1592315</v>
      </c>
      <c r="K4868" s="195">
        <v>-0.1592315</v>
      </c>
      <c r="L4868" s="195">
        <v>-0.17659250000000001</v>
      </c>
      <c r="M4868" s="195">
        <v>-0.176593</v>
      </c>
      <c r="N4868" s="195">
        <v>-3.3182640000000001</v>
      </c>
    </row>
    <row r="4869" spans="1:14" hidden="1" x14ac:dyDescent="0.35">
      <c r="A4869" s="52" t="s">
        <v>682</v>
      </c>
      <c r="B4869" s="52" t="s">
        <v>53</v>
      </c>
      <c r="C4869" s="52" t="s">
        <v>175</v>
      </c>
      <c r="D4869" s="52" t="s">
        <v>175</v>
      </c>
      <c r="E4869" s="52" t="s">
        <v>584</v>
      </c>
      <c r="F4869" s="52" t="s">
        <v>26</v>
      </c>
      <c r="G4869" s="195" t="s">
        <v>277</v>
      </c>
      <c r="H4869" s="195"/>
      <c r="I4869" s="195"/>
      <c r="J4869" s="195"/>
      <c r="K4869" s="195">
        <v>0</v>
      </c>
      <c r="L4869" s="195">
        <v>1.7361499999999998E-2</v>
      </c>
      <c r="M4869" s="195">
        <v>1.7361000000000001E-2</v>
      </c>
      <c r="N4869" s="195">
        <v>0</v>
      </c>
    </row>
    <row r="4870" spans="1:14" hidden="1" x14ac:dyDescent="0.35">
      <c r="A4870" s="52" t="s">
        <v>682</v>
      </c>
      <c r="B4870" s="52" t="s">
        <v>53</v>
      </c>
      <c r="C4870" s="52" t="s">
        <v>175</v>
      </c>
      <c r="D4870" s="52" t="s">
        <v>175</v>
      </c>
      <c r="E4870" s="52" t="s">
        <v>584</v>
      </c>
      <c r="F4870" s="52" t="s">
        <v>26</v>
      </c>
      <c r="G4870" s="195" t="s">
        <v>278</v>
      </c>
      <c r="H4870" s="195">
        <v>1.4542090000000001</v>
      </c>
      <c r="I4870" s="195">
        <v>1.4542090000000001</v>
      </c>
      <c r="J4870" s="195">
        <v>0.15923200000000001</v>
      </c>
      <c r="K4870" s="195">
        <v>0.15923200000000001</v>
      </c>
      <c r="L4870" s="195">
        <v>0.15923200000000001</v>
      </c>
      <c r="M4870" s="195">
        <v>0.15923200000000001</v>
      </c>
      <c r="N4870" s="195">
        <v>3.3182649999999998</v>
      </c>
    </row>
    <row r="4871" spans="1:14" hidden="1" x14ac:dyDescent="0.35">
      <c r="A4871" s="52" t="s">
        <v>682</v>
      </c>
      <c r="B4871" s="52" t="s">
        <v>53</v>
      </c>
      <c r="C4871" s="52" t="s">
        <v>214</v>
      </c>
      <c r="D4871" s="52" t="s">
        <v>214</v>
      </c>
      <c r="E4871" s="52" t="s">
        <v>584</v>
      </c>
      <c r="F4871" s="52" t="s">
        <v>581</v>
      </c>
      <c r="G4871" s="195" t="s">
        <v>275</v>
      </c>
      <c r="H4871" s="195"/>
      <c r="I4871" s="195"/>
      <c r="J4871" s="195"/>
      <c r="K4871" s="195"/>
      <c r="L4871" s="195"/>
      <c r="M4871" s="195">
        <v>0</v>
      </c>
      <c r="N4871" s="195"/>
    </row>
    <row r="4872" spans="1:14" hidden="1" x14ac:dyDescent="0.35">
      <c r="A4872" s="52" t="s">
        <v>682</v>
      </c>
      <c r="B4872" s="52" t="s">
        <v>53</v>
      </c>
      <c r="C4872" s="52" t="s">
        <v>214</v>
      </c>
      <c r="D4872" s="52" t="s">
        <v>214</v>
      </c>
      <c r="E4872" s="52" t="s">
        <v>584</v>
      </c>
      <c r="F4872" s="52" t="s">
        <v>581</v>
      </c>
      <c r="G4872" s="195" t="s">
        <v>276</v>
      </c>
      <c r="H4872" s="195"/>
      <c r="I4872" s="195"/>
      <c r="J4872" s="195"/>
      <c r="K4872" s="195"/>
      <c r="L4872" s="195"/>
      <c r="M4872" s="195">
        <v>0</v>
      </c>
      <c r="N4872" s="195"/>
    </row>
    <row r="4873" spans="1:14" hidden="1" x14ac:dyDescent="0.35">
      <c r="A4873" s="52" t="s">
        <v>682</v>
      </c>
      <c r="B4873" s="52" t="s">
        <v>53</v>
      </c>
      <c r="C4873" s="52" t="s">
        <v>214</v>
      </c>
      <c r="D4873" s="52" t="s">
        <v>214</v>
      </c>
      <c r="E4873" s="52" t="s">
        <v>584</v>
      </c>
      <c r="F4873" s="52" t="s">
        <v>581</v>
      </c>
      <c r="G4873" s="195" t="s">
        <v>278</v>
      </c>
      <c r="H4873" s="195"/>
      <c r="I4873" s="195"/>
      <c r="J4873" s="195"/>
      <c r="K4873" s="195"/>
      <c r="L4873" s="195"/>
      <c r="M4873" s="195">
        <v>0</v>
      </c>
      <c r="N4873" s="195"/>
    </row>
    <row r="4874" spans="1:14" hidden="1" x14ac:dyDescent="0.35">
      <c r="A4874" s="52" t="s">
        <v>682</v>
      </c>
      <c r="B4874" s="52" t="s">
        <v>53</v>
      </c>
      <c r="C4874" s="52" t="s">
        <v>214</v>
      </c>
      <c r="D4874" s="52" t="s">
        <v>214</v>
      </c>
      <c r="E4874" s="52" t="s">
        <v>584</v>
      </c>
      <c r="F4874" s="52" t="s">
        <v>26</v>
      </c>
      <c r="G4874" s="195" t="s">
        <v>275</v>
      </c>
      <c r="H4874" s="195">
        <v>-0.42532880000000001</v>
      </c>
      <c r="I4874" s="195">
        <v>-0.42532880000000001</v>
      </c>
      <c r="J4874" s="195">
        <v>0</v>
      </c>
      <c r="K4874" s="195">
        <v>0</v>
      </c>
      <c r="L4874" s="195">
        <v>0</v>
      </c>
      <c r="M4874" s="195">
        <v>0</v>
      </c>
      <c r="N4874" s="195">
        <v>0</v>
      </c>
    </row>
    <row r="4875" spans="1:14" hidden="1" x14ac:dyDescent="0.35">
      <c r="A4875" s="52" t="s">
        <v>682</v>
      </c>
      <c r="B4875" s="52" t="s">
        <v>53</v>
      </c>
      <c r="C4875" s="52" t="s">
        <v>214</v>
      </c>
      <c r="D4875" s="52" t="s">
        <v>214</v>
      </c>
      <c r="E4875" s="52" t="s">
        <v>584</v>
      </c>
      <c r="F4875" s="52" t="s">
        <v>26</v>
      </c>
      <c r="G4875" s="195" t="s">
        <v>276</v>
      </c>
      <c r="H4875" s="195">
        <v>-0.182284</v>
      </c>
      <c r="I4875" s="195">
        <v>-0.182284</v>
      </c>
      <c r="J4875" s="195">
        <v>-0.5707508</v>
      </c>
      <c r="K4875" s="195">
        <v>-2.4757400000000001</v>
      </c>
      <c r="L4875" s="195">
        <v>-0.51638899999999999</v>
      </c>
      <c r="M4875" s="195">
        <v>-0.1152272</v>
      </c>
      <c r="N4875" s="195">
        <v>-0.1152276</v>
      </c>
    </row>
    <row r="4876" spans="1:14" hidden="1" x14ac:dyDescent="0.35">
      <c r="A4876" s="52" t="s">
        <v>682</v>
      </c>
      <c r="B4876" s="52" t="s">
        <v>53</v>
      </c>
      <c r="C4876" s="52" t="s">
        <v>214</v>
      </c>
      <c r="D4876" s="52" t="s">
        <v>214</v>
      </c>
      <c r="E4876" s="52" t="s">
        <v>584</v>
      </c>
      <c r="F4876" s="52" t="s">
        <v>26</v>
      </c>
      <c r="G4876" s="195" t="s">
        <v>278</v>
      </c>
      <c r="H4876" s="195">
        <v>0.60761319999999996</v>
      </c>
      <c r="I4876" s="195">
        <v>0.60761310000000002</v>
      </c>
      <c r="J4876" s="195">
        <v>0.5707508</v>
      </c>
      <c r="K4876" s="195">
        <v>2.4757400000000001</v>
      </c>
      <c r="L4876" s="195">
        <v>0.51638899999999999</v>
      </c>
      <c r="M4876" s="195">
        <v>0.1152272</v>
      </c>
      <c r="N4876" s="195">
        <v>0.1152272</v>
      </c>
    </row>
    <row r="4877" spans="1:14" hidden="1" x14ac:dyDescent="0.35">
      <c r="A4877" s="52" t="s">
        <v>682</v>
      </c>
      <c r="B4877" s="52" t="s">
        <v>53</v>
      </c>
      <c r="C4877" s="52" t="s">
        <v>372</v>
      </c>
      <c r="D4877" s="52" t="s">
        <v>372</v>
      </c>
      <c r="E4877" s="52" t="s">
        <v>584</v>
      </c>
      <c r="F4877" s="52" t="s">
        <v>26</v>
      </c>
      <c r="G4877" s="195" t="s">
        <v>275</v>
      </c>
      <c r="H4877" s="195">
        <v>-3.3350420000000001</v>
      </c>
      <c r="I4877" s="195">
        <v>-3.3350420000000001</v>
      </c>
      <c r="J4877" s="195">
        <v>0</v>
      </c>
      <c r="K4877" s="195">
        <v>0</v>
      </c>
      <c r="L4877" s="195">
        <v>0</v>
      </c>
      <c r="M4877" s="195">
        <v>0</v>
      </c>
      <c r="N4877" s="195">
        <v>0</v>
      </c>
    </row>
    <row r="4878" spans="1:14" hidden="1" x14ac:dyDescent="0.35">
      <c r="A4878" s="52" t="s">
        <v>682</v>
      </c>
      <c r="B4878" s="52" t="s">
        <v>53</v>
      </c>
      <c r="C4878" s="52" t="s">
        <v>372</v>
      </c>
      <c r="D4878" s="52" t="s">
        <v>372</v>
      </c>
      <c r="E4878" s="52" t="s">
        <v>584</v>
      </c>
      <c r="F4878" s="52" t="s">
        <v>26</v>
      </c>
      <c r="G4878" s="195" t="s">
        <v>276</v>
      </c>
      <c r="H4878" s="195">
        <v>-1.429303</v>
      </c>
      <c r="I4878" s="195">
        <v>-1.429303</v>
      </c>
      <c r="J4878" s="195">
        <v>-4.7643459999999997</v>
      </c>
      <c r="K4878" s="195">
        <v>-4.7643449999999996</v>
      </c>
      <c r="L4878" s="195">
        <v>-6.0551589999999997</v>
      </c>
      <c r="M4878" s="195">
        <v>-0.1171705</v>
      </c>
      <c r="N4878" s="195">
        <v>-0.1171705</v>
      </c>
    </row>
    <row r="4879" spans="1:14" hidden="1" x14ac:dyDescent="0.35">
      <c r="A4879" s="52" t="s">
        <v>682</v>
      </c>
      <c r="B4879" s="52" t="s">
        <v>53</v>
      </c>
      <c r="C4879" s="52" t="s">
        <v>372</v>
      </c>
      <c r="D4879" s="52" t="s">
        <v>372</v>
      </c>
      <c r="E4879" s="52" t="s">
        <v>584</v>
      </c>
      <c r="F4879" s="52" t="s">
        <v>26</v>
      </c>
      <c r="G4879" s="195" t="s">
        <v>277</v>
      </c>
      <c r="H4879" s="195"/>
      <c r="I4879" s="195"/>
      <c r="J4879" s="195"/>
      <c r="K4879" s="195"/>
      <c r="L4879" s="195"/>
      <c r="M4879" s="195"/>
      <c r="N4879" s="195">
        <v>0</v>
      </c>
    </row>
    <row r="4880" spans="1:14" hidden="1" x14ac:dyDescent="0.35">
      <c r="A4880" s="52" t="s">
        <v>682</v>
      </c>
      <c r="B4880" s="52" t="s">
        <v>53</v>
      </c>
      <c r="C4880" s="52" t="s">
        <v>372</v>
      </c>
      <c r="D4880" s="52" t="s">
        <v>372</v>
      </c>
      <c r="E4880" s="52" t="s">
        <v>584</v>
      </c>
      <c r="F4880" s="52" t="s">
        <v>26</v>
      </c>
      <c r="G4880" s="195" t="s">
        <v>278</v>
      </c>
      <c r="H4880" s="195">
        <v>4.7643440000000004</v>
      </c>
      <c r="I4880" s="195">
        <v>4.7643449999999996</v>
      </c>
      <c r="J4880" s="195">
        <v>4.7643449999999996</v>
      </c>
      <c r="K4880" s="195">
        <v>4.7643449999999996</v>
      </c>
      <c r="L4880" s="195">
        <v>6.0551599999999999</v>
      </c>
      <c r="M4880" s="195">
        <v>0.1171705</v>
      </c>
      <c r="N4880" s="195">
        <v>0.1171705</v>
      </c>
    </row>
    <row r="4881" spans="1:14" hidden="1" x14ac:dyDescent="0.35">
      <c r="A4881" s="52" t="s">
        <v>682</v>
      </c>
      <c r="B4881" s="52" t="s">
        <v>160</v>
      </c>
      <c r="C4881" s="52" t="s">
        <v>309</v>
      </c>
      <c r="D4881" s="52" t="s">
        <v>310</v>
      </c>
      <c r="E4881" s="52" t="s">
        <v>584</v>
      </c>
      <c r="F4881" s="52" t="s">
        <v>581</v>
      </c>
      <c r="G4881" s="195" t="s">
        <v>275</v>
      </c>
      <c r="H4881" s="195">
        <v>-0.35267280000000001</v>
      </c>
      <c r="I4881" s="195">
        <v>-6.9276000000000004E-2</v>
      </c>
      <c r="J4881" s="195">
        <v>0</v>
      </c>
      <c r="K4881" s="195">
        <v>0</v>
      </c>
      <c r="L4881" s="195">
        <v>0</v>
      </c>
      <c r="M4881" s="195">
        <v>0</v>
      </c>
      <c r="N4881" s="195">
        <v>0</v>
      </c>
    </row>
    <row r="4882" spans="1:14" hidden="1" x14ac:dyDescent="0.35">
      <c r="A4882" s="52" t="s">
        <v>682</v>
      </c>
      <c r="B4882" s="52" t="s">
        <v>160</v>
      </c>
      <c r="C4882" s="52" t="s">
        <v>309</v>
      </c>
      <c r="D4882" s="52" t="s">
        <v>310</v>
      </c>
      <c r="E4882" s="52" t="s">
        <v>584</v>
      </c>
      <c r="F4882" s="52" t="s">
        <v>581</v>
      </c>
      <c r="G4882" s="195" t="s">
        <v>276</v>
      </c>
      <c r="H4882" s="195">
        <v>-2.20926E-2</v>
      </c>
      <c r="I4882" s="195">
        <v>-2.5308600000000001E-2</v>
      </c>
      <c r="J4882" s="195">
        <v>-6.4260899999999996E-2</v>
      </c>
      <c r="K4882" s="195">
        <v>-6.3802659999999998</v>
      </c>
      <c r="L4882" s="195">
        <v>-5.9962509999999997E-2</v>
      </c>
      <c r="M4882" s="195">
        <v>-0.14990609999999999</v>
      </c>
      <c r="N4882" s="195">
        <v>-20.334720000000001</v>
      </c>
    </row>
    <row r="4883" spans="1:14" hidden="1" x14ac:dyDescent="0.35">
      <c r="A4883" s="52" t="s">
        <v>682</v>
      </c>
      <c r="B4883" s="52" t="s">
        <v>160</v>
      </c>
      <c r="C4883" s="52" t="s">
        <v>309</v>
      </c>
      <c r="D4883" s="52" t="s">
        <v>310</v>
      </c>
      <c r="E4883" s="52" t="s">
        <v>584</v>
      </c>
      <c r="F4883" s="52" t="s">
        <v>581</v>
      </c>
      <c r="G4883" s="195" t="s">
        <v>278</v>
      </c>
      <c r="H4883" s="195">
        <v>0.37476510000000002</v>
      </c>
      <c r="I4883" s="195">
        <v>9.4584600000000005E-2</v>
      </c>
      <c r="J4883" s="195">
        <v>6.4260600000000001E-2</v>
      </c>
      <c r="K4883" s="195">
        <v>6.3802669999999999</v>
      </c>
      <c r="L4883" s="195">
        <v>5.9962500000000002E-2</v>
      </c>
      <c r="M4883" s="195">
        <v>0.14990609999999999</v>
      </c>
      <c r="N4883" s="195">
        <v>20.334720000000001</v>
      </c>
    </row>
    <row r="4884" spans="1:14" hidden="1" x14ac:dyDescent="0.35">
      <c r="A4884" s="52" t="s">
        <v>682</v>
      </c>
      <c r="B4884" s="52" t="s">
        <v>160</v>
      </c>
      <c r="C4884" s="52" t="s">
        <v>298</v>
      </c>
      <c r="D4884" s="52" t="s">
        <v>299</v>
      </c>
      <c r="E4884" s="52" t="s">
        <v>584</v>
      </c>
      <c r="F4884" s="52" t="s">
        <v>581</v>
      </c>
      <c r="G4884" s="195" t="s">
        <v>275</v>
      </c>
      <c r="H4884" s="195">
        <v>-1.0769820000000001</v>
      </c>
      <c r="I4884" s="195">
        <v>-0.1358924</v>
      </c>
      <c r="J4884" s="195">
        <v>0</v>
      </c>
      <c r="K4884" s="195">
        <v>0</v>
      </c>
      <c r="L4884" s="195">
        <v>0</v>
      </c>
      <c r="M4884" s="195">
        <v>0</v>
      </c>
      <c r="N4884" s="195">
        <v>0</v>
      </c>
    </row>
    <row r="4885" spans="1:14" hidden="1" x14ac:dyDescent="0.35">
      <c r="A4885" s="52" t="s">
        <v>682</v>
      </c>
      <c r="B4885" s="52" t="s">
        <v>160</v>
      </c>
      <c r="C4885" s="52" t="s">
        <v>298</v>
      </c>
      <c r="D4885" s="52" t="s">
        <v>299</v>
      </c>
      <c r="E4885" s="52" t="s">
        <v>584</v>
      </c>
      <c r="F4885" s="52" t="s">
        <v>581</v>
      </c>
      <c r="G4885" s="195" t="s">
        <v>276</v>
      </c>
      <c r="H4885" s="195">
        <v>0.3310266</v>
      </c>
      <c r="I4885" s="195">
        <v>-5.23746E-2</v>
      </c>
      <c r="J4885" s="195">
        <v>-13.997780000000001</v>
      </c>
      <c r="K4885" s="195">
        <v>-0.13402500000000001</v>
      </c>
      <c r="L4885" s="195">
        <v>-8.2409929999999996</v>
      </c>
      <c r="M4885" s="195">
        <v>-31.565049999999999</v>
      </c>
      <c r="N4885" s="195">
        <v>-61.668770000000002</v>
      </c>
    </row>
    <row r="4886" spans="1:14" hidden="1" x14ac:dyDescent="0.35">
      <c r="A4886" s="52" t="s">
        <v>682</v>
      </c>
      <c r="B4886" s="52" t="s">
        <v>160</v>
      </c>
      <c r="C4886" s="52" t="s">
        <v>298</v>
      </c>
      <c r="D4886" s="52" t="s">
        <v>299</v>
      </c>
      <c r="E4886" s="52" t="s">
        <v>584</v>
      </c>
      <c r="F4886" s="52" t="s">
        <v>581</v>
      </c>
      <c r="G4886" s="195" t="s">
        <v>277</v>
      </c>
      <c r="H4886" s="195"/>
      <c r="I4886" s="195">
        <v>0</v>
      </c>
      <c r="J4886" s="195">
        <v>7.3267840000000001E-2</v>
      </c>
      <c r="K4886" s="195">
        <v>0</v>
      </c>
      <c r="L4886" s="195"/>
      <c r="M4886" s="195">
        <v>0</v>
      </c>
      <c r="N4886" s="195">
        <v>2.4392400000000002E-2</v>
      </c>
    </row>
    <row r="4887" spans="1:14" hidden="1" x14ac:dyDescent="0.35">
      <c r="A4887" s="52" t="s">
        <v>682</v>
      </c>
      <c r="B4887" s="52" t="s">
        <v>160</v>
      </c>
      <c r="C4887" s="52" t="s">
        <v>298</v>
      </c>
      <c r="D4887" s="52" t="s">
        <v>299</v>
      </c>
      <c r="E4887" s="52" t="s">
        <v>584</v>
      </c>
      <c r="F4887" s="52" t="s">
        <v>581</v>
      </c>
      <c r="G4887" s="195" t="s">
        <v>278</v>
      </c>
      <c r="H4887" s="195">
        <v>0.74595560000000005</v>
      </c>
      <c r="I4887" s="195">
        <v>0.18826660000000001</v>
      </c>
      <c r="J4887" s="195">
        <v>13.92451</v>
      </c>
      <c r="K4887" s="195">
        <v>0.13402520000000001</v>
      </c>
      <c r="L4887" s="195">
        <v>8.2409929999999996</v>
      </c>
      <c r="M4887" s="195">
        <v>31.565049999999999</v>
      </c>
      <c r="N4887" s="195">
        <v>61.644379999999998</v>
      </c>
    </row>
    <row r="4888" spans="1:14" hidden="1" x14ac:dyDescent="0.35">
      <c r="A4888" s="52" t="s">
        <v>682</v>
      </c>
      <c r="B4888" s="52" t="s">
        <v>162</v>
      </c>
      <c r="C4888" s="52" t="s">
        <v>161</v>
      </c>
      <c r="D4888" s="52" t="s">
        <v>161</v>
      </c>
      <c r="E4888" s="52" t="s">
        <v>584</v>
      </c>
      <c r="F4888" s="52" t="s">
        <v>581</v>
      </c>
      <c r="G4888" s="195" t="s">
        <v>275</v>
      </c>
      <c r="H4888" s="195">
        <v>-1.1755170000000001E-2</v>
      </c>
      <c r="I4888" s="195">
        <v>-1.1755170000000001E-2</v>
      </c>
      <c r="J4888" s="195">
        <v>-2.351035E-3</v>
      </c>
      <c r="K4888" s="195">
        <v>-1.257668E-2</v>
      </c>
      <c r="L4888" s="195">
        <v>-1.257668E-2</v>
      </c>
      <c r="M4888" s="195">
        <v>-0.20686399999999999</v>
      </c>
      <c r="N4888" s="195">
        <v>-0.43408760000000002</v>
      </c>
    </row>
    <row r="4889" spans="1:14" hidden="1" x14ac:dyDescent="0.35">
      <c r="A4889" s="52" t="s">
        <v>682</v>
      </c>
      <c r="B4889" s="52" t="s">
        <v>162</v>
      </c>
      <c r="C4889" s="52" t="s">
        <v>161</v>
      </c>
      <c r="D4889" s="52" t="s">
        <v>161</v>
      </c>
      <c r="E4889" s="52" t="s">
        <v>584</v>
      </c>
      <c r="F4889" s="52" t="s">
        <v>581</v>
      </c>
      <c r="G4889" s="195" t="s">
        <v>277</v>
      </c>
      <c r="H4889" s="195"/>
      <c r="I4889" s="195"/>
      <c r="J4889" s="195">
        <v>0</v>
      </c>
      <c r="K4889" s="195">
        <v>1.0225659999999999E-2</v>
      </c>
      <c r="L4889" s="195">
        <v>1.0225639999999999E-2</v>
      </c>
      <c r="M4889" s="195">
        <v>0.204513</v>
      </c>
      <c r="N4889" s="195">
        <v>0.38927309999999998</v>
      </c>
    </row>
    <row r="4890" spans="1:14" hidden="1" x14ac:dyDescent="0.35">
      <c r="A4890" s="52" t="s">
        <v>682</v>
      </c>
      <c r="B4890" s="52" t="s">
        <v>162</v>
      </c>
      <c r="C4890" s="52" t="s">
        <v>161</v>
      </c>
      <c r="D4890" s="52" t="s">
        <v>161</v>
      </c>
      <c r="E4890" s="52" t="s">
        <v>584</v>
      </c>
      <c r="F4890" s="52" t="s">
        <v>581</v>
      </c>
      <c r="G4890" s="195" t="s">
        <v>278</v>
      </c>
      <c r="H4890" s="195">
        <v>1.1755170000000001E-2</v>
      </c>
      <c r="I4890" s="195">
        <v>1.1755170000000001E-2</v>
      </c>
      <c r="J4890" s="195">
        <v>2.351035E-3</v>
      </c>
      <c r="K4890" s="195">
        <v>2.351035E-3</v>
      </c>
      <c r="L4890" s="195">
        <v>2.351035E-3</v>
      </c>
      <c r="M4890" s="195">
        <v>2.351035E-3</v>
      </c>
      <c r="N4890" s="195">
        <v>2.351035E-3</v>
      </c>
    </row>
    <row r="4891" spans="1:14" hidden="1" x14ac:dyDescent="0.35">
      <c r="A4891" s="52" t="s">
        <v>682</v>
      </c>
      <c r="B4891" s="52" t="s">
        <v>162</v>
      </c>
      <c r="C4891" s="52" t="s">
        <v>161</v>
      </c>
      <c r="D4891" s="52" t="s">
        <v>161</v>
      </c>
      <c r="E4891" s="52" t="s">
        <v>584</v>
      </c>
      <c r="F4891" s="52" t="s">
        <v>581</v>
      </c>
      <c r="G4891" s="195" t="s">
        <v>279</v>
      </c>
      <c r="H4891" s="195"/>
      <c r="I4891" s="195"/>
      <c r="J4891" s="195"/>
      <c r="K4891" s="195"/>
      <c r="L4891" s="195"/>
      <c r="M4891" s="195">
        <v>0</v>
      </c>
      <c r="N4891" s="195">
        <v>4.246345E-2</v>
      </c>
    </row>
    <row r="4892" spans="1:14" hidden="1" x14ac:dyDescent="0.35">
      <c r="A4892" s="52" t="s">
        <v>682</v>
      </c>
      <c r="B4892" s="52" t="s">
        <v>162</v>
      </c>
      <c r="C4892" s="52" t="s">
        <v>161</v>
      </c>
      <c r="D4892" s="52" t="s">
        <v>161</v>
      </c>
      <c r="E4892" s="52" t="s">
        <v>584</v>
      </c>
      <c r="F4892" s="52" t="s">
        <v>26</v>
      </c>
      <c r="G4892" s="195" t="s">
        <v>275</v>
      </c>
      <c r="H4892" s="195">
        <v>-0.12609419999999999</v>
      </c>
      <c r="I4892" s="195">
        <v>-0.12609419999999999</v>
      </c>
      <c r="J4892" s="195">
        <v>0</v>
      </c>
      <c r="K4892" s="195">
        <v>0</v>
      </c>
      <c r="L4892" s="195">
        <v>0</v>
      </c>
      <c r="M4892" s="195">
        <v>0</v>
      </c>
      <c r="N4892" s="195">
        <v>-1.177607E-2</v>
      </c>
    </row>
    <row r="4893" spans="1:14" hidden="1" x14ac:dyDescent="0.35">
      <c r="A4893" s="52" t="s">
        <v>682</v>
      </c>
      <c r="B4893" s="52" t="s">
        <v>162</v>
      </c>
      <c r="C4893" s="52" t="s">
        <v>161</v>
      </c>
      <c r="D4893" s="52" t="s">
        <v>161</v>
      </c>
      <c r="E4893" s="52" t="s">
        <v>584</v>
      </c>
      <c r="F4893" s="52" t="s">
        <v>26</v>
      </c>
      <c r="G4893" s="195" t="s">
        <v>276</v>
      </c>
      <c r="H4893" s="195"/>
      <c r="I4893" s="195"/>
      <c r="J4893" s="195"/>
      <c r="K4893" s="195"/>
      <c r="L4893" s="195"/>
      <c r="M4893" s="195"/>
      <c r="N4893" s="195">
        <v>0</v>
      </c>
    </row>
    <row r="4894" spans="1:14" hidden="1" x14ac:dyDescent="0.35">
      <c r="A4894" s="52" t="s">
        <v>682</v>
      </c>
      <c r="B4894" s="52" t="s">
        <v>162</v>
      </c>
      <c r="C4894" s="52" t="s">
        <v>161</v>
      </c>
      <c r="D4894" s="52" t="s">
        <v>161</v>
      </c>
      <c r="E4894" s="52" t="s">
        <v>584</v>
      </c>
      <c r="F4894" s="52" t="s">
        <v>26</v>
      </c>
      <c r="G4894" s="195" t="s">
        <v>277</v>
      </c>
      <c r="H4894" s="195"/>
      <c r="I4894" s="195">
        <v>0</v>
      </c>
      <c r="J4894" s="195">
        <v>0</v>
      </c>
      <c r="K4894" s="195">
        <v>0</v>
      </c>
      <c r="L4894" s="195">
        <v>0</v>
      </c>
      <c r="M4894" s="195">
        <v>0</v>
      </c>
      <c r="N4894" s="195">
        <v>9.6981410000000004E-3</v>
      </c>
    </row>
    <row r="4895" spans="1:14" hidden="1" x14ac:dyDescent="0.35">
      <c r="A4895" s="52" t="s">
        <v>682</v>
      </c>
      <c r="B4895" s="52" t="s">
        <v>162</v>
      </c>
      <c r="C4895" s="52" t="s">
        <v>161</v>
      </c>
      <c r="D4895" s="52" t="s">
        <v>161</v>
      </c>
      <c r="E4895" s="52" t="s">
        <v>584</v>
      </c>
      <c r="F4895" s="52" t="s">
        <v>26</v>
      </c>
      <c r="G4895" s="195" t="s">
        <v>278</v>
      </c>
      <c r="H4895" s="195">
        <v>0.12609419999999999</v>
      </c>
      <c r="I4895" s="195">
        <v>0.12609419999999999</v>
      </c>
      <c r="J4895" s="195">
        <v>0</v>
      </c>
      <c r="K4895" s="195">
        <v>0</v>
      </c>
      <c r="L4895" s="195">
        <v>0</v>
      </c>
      <c r="M4895" s="195">
        <v>0</v>
      </c>
      <c r="N4895" s="195">
        <v>0</v>
      </c>
    </row>
    <row r="4896" spans="1:14" hidden="1" x14ac:dyDescent="0.35">
      <c r="A4896" s="52" t="s">
        <v>682</v>
      </c>
      <c r="B4896" s="52" t="s">
        <v>162</v>
      </c>
      <c r="C4896" s="52" t="s">
        <v>161</v>
      </c>
      <c r="D4896" s="52" t="s">
        <v>161</v>
      </c>
      <c r="E4896" s="52" t="s">
        <v>584</v>
      </c>
      <c r="F4896" s="52" t="s">
        <v>26</v>
      </c>
      <c r="G4896" s="195" t="s">
        <v>279</v>
      </c>
      <c r="H4896" s="195"/>
      <c r="I4896" s="195"/>
      <c r="J4896" s="195"/>
      <c r="K4896" s="195"/>
      <c r="L4896" s="195">
        <v>0</v>
      </c>
      <c r="M4896" s="195">
        <v>0</v>
      </c>
      <c r="N4896" s="195">
        <v>2.07793E-3</v>
      </c>
    </row>
    <row r="4897" spans="1:14" hidden="1" x14ac:dyDescent="0.35">
      <c r="A4897" s="52" t="s">
        <v>682</v>
      </c>
      <c r="B4897" s="52" t="s">
        <v>162</v>
      </c>
      <c r="C4897" s="52" t="s">
        <v>301</v>
      </c>
      <c r="D4897" s="52" t="s">
        <v>301</v>
      </c>
      <c r="E4897" s="52" t="s">
        <v>584</v>
      </c>
      <c r="F4897" s="52" t="s">
        <v>581</v>
      </c>
      <c r="G4897" s="195" t="s">
        <v>275</v>
      </c>
      <c r="H4897" s="195">
        <v>-11.36795</v>
      </c>
      <c r="I4897" s="195">
        <v>-3.7831799999999999E-2</v>
      </c>
      <c r="J4897" s="195">
        <v>0</v>
      </c>
      <c r="K4897" s="195">
        <v>0</v>
      </c>
      <c r="L4897" s="195">
        <v>0</v>
      </c>
      <c r="M4897" s="195">
        <v>0</v>
      </c>
      <c r="N4897" s="195">
        <v>0</v>
      </c>
    </row>
    <row r="4898" spans="1:14" hidden="1" x14ac:dyDescent="0.35">
      <c r="A4898" s="52" t="s">
        <v>682</v>
      </c>
      <c r="B4898" s="52" t="s">
        <v>162</v>
      </c>
      <c r="C4898" s="52" t="s">
        <v>301</v>
      </c>
      <c r="D4898" s="52" t="s">
        <v>301</v>
      </c>
      <c r="E4898" s="52" t="s">
        <v>584</v>
      </c>
      <c r="F4898" s="52" t="s">
        <v>581</v>
      </c>
      <c r="G4898" s="195" t="s">
        <v>276</v>
      </c>
      <c r="H4898" s="195"/>
      <c r="I4898" s="195"/>
      <c r="J4898" s="195">
        <v>-3.7831799999999999E-2</v>
      </c>
      <c r="K4898" s="195">
        <v>-3.7831799999999999E-2</v>
      </c>
      <c r="L4898" s="195">
        <v>-3.7831799999999999E-2</v>
      </c>
      <c r="M4898" s="195">
        <v>-3.7831799999999999E-2</v>
      </c>
      <c r="N4898" s="195">
        <v>-3.7831799999999999E-2</v>
      </c>
    </row>
    <row r="4899" spans="1:14" hidden="1" x14ac:dyDescent="0.35">
      <c r="A4899" s="52" t="s">
        <v>682</v>
      </c>
      <c r="B4899" s="52" t="s">
        <v>162</v>
      </c>
      <c r="C4899" s="52" t="s">
        <v>301</v>
      </c>
      <c r="D4899" s="52" t="s">
        <v>301</v>
      </c>
      <c r="E4899" s="52" t="s">
        <v>584</v>
      </c>
      <c r="F4899" s="52" t="s">
        <v>581</v>
      </c>
      <c r="G4899" s="195" t="s">
        <v>277</v>
      </c>
      <c r="H4899" s="195"/>
      <c r="I4899" s="195"/>
      <c r="J4899" s="195"/>
      <c r="K4899" s="195"/>
      <c r="L4899" s="195"/>
      <c r="M4899" s="195">
        <v>0</v>
      </c>
      <c r="N4899" s="195"/>
    </row>
    <row r="4900" spans="1:14" hidden="1" x14ac:dyDescent="0.35">
      <c r="A4900" s="52" t="s">
        <v>682</v>
      </c>
      <c r="B4900" s="52" t="s">
        <v>162</v>
      </c>
      <c r="C4900" s="52" t="s">
        <v>301</v>
      </c>
      <c r="D4900" s="52" t="s">
        <v>301</v>
      </c>
      <c r="E4900" s="52" t="s">
        <v>584</v>
      </c>
      <c r="F4900" s="52" t="s">
        <v>581</v>
      </c>
      <c r="G4900" s="195" t="s">
        <v>278</v>
      </c>
      <c r="H4900" s="195">
        <v>11.36795</v>
      </c>
      <c r="I4900" s="195">
        <v>3.7831799999999999E-2</v>
      </c>
      <c r="J4900" s="195">
        <v>3.7831799999999999E-2</v>
      </c>
      <c r="K4900" s="195">
        <v>3.7831799999999999E-2</v>
      </c>
      <c r="L4900" s="195">
        <v>3.7831799999999999E-2</v>
      </c>
      <c r="M4900" s="195">
        <v>3.7831799999999999E-2</v>
      </c>
      <c r="N4900" s="195">
        <v>3.7831799999999999E-2</v>
      </c>
    </row>
    <row r="4901" spans="1:14" hidden="1" x14ac:dyDescent="0.35">
      <c r="A4901" s="52" t="s">
        <v>682</v>
      </c>
      <c r="B4901" s="52" t="s">
        <v>162</v>
      </c>
      <c r="C4901" s="52" t="s">
        <v>301</v>
      </c>
      <c r="D4901" s="52" t="s">
        <v>301</v>
      </c>
      <c r="E4901" s="52" t="s">
        <v>584</v>
      </c>
      <c r="F4901" s="52" t="s">
        <v>26</v>
      </c>
      <c r="G4901" s="195" t="s">
        <v>275</v>
      </c>
      <c r="H4901" s="195">
        <v>-1.045711E-2</v>
      </c>
      <c r="I4901" s="195">
        <v>-1.045711E-2</v>
      </c>
      <c r="J4901" s="195">
        <v>0</v>
      </c>
      <c r="K4901" s="195">
        <v>0</v>
      </c>
      <c r="L4901" s="195">
        <v>0</v>
      </c>
      <c r="M4901" s="195">
        <v>0</v>
      </c>
      <c r="N4901" s="195">
        <v>0</v>
      </c>
    </row>
    <row r="4902" spans="1:14" hidden="1" x14ac:dyDescent="0.35">
      <c r="A4902" s="52" t="s">
        <v>682</v>
      </c>
      <c r="B4902" s="52" t="s">
        <v>162</v>
      </c>
      <c r="C4902" s="52" t="s">
        <v>301</v>
      </c>
      <c r="D4902" s="52" t="s">
        <v>301</v>
      </c>
      <c r="E4902" s="52" t="s">
        <v>584</v>
      </c>
      <c r="F4902" s="52" t="s">
        <v>26</v>
      </c>
      <c r="G4902" s="195" t="s">
        <v>276</v>
      </c>
      <c r="H4902" s="195"/>
      <c r="I4902" s="195"/>
      <c r="J4902" s="195">
        <v>-1.045711E-2</v>
      </c>
      <c r="K4902" s="195">
        <v>-1.045711E-2</v>
      </c>
      <c r="L4902" s="195">
        <v>-1.045711E-2</v>
      </c>
      <c r="M4902" s="195">
        <v>-1.045711E-2</v>
      </c>
      <c r="N4902" s="195">
        <v>-2.4544610000000001E-2</v>
      </c>
    </row>
    <row r="4903" spans="1:14" hidden="1" x14ac:dyDescent="0.35">
      <c r="A4903" s="52" t="s">
        <v>682</v>
      </c>
      <c r="B4903" s="52" t="s">
        <v>162</v>
      </c>
      <c r="C4903" s="52" t="s">
        <v>301</v>
      </c>
      <c r="D4903" s="52" t="s">
        <v>301</v>
      </c>
      <c r="E4903" s="52" t="s">
        <v>584</v>
      </c>
      <c r="F4903" s="52" t="s">
        <v>26</v>
      </c>
      <c r="G4903" s="195" t="s">
        <v>277</v>
      </c>
      <c r="H4903" s="195"/>
      <c r="I4903" s="195"/>
      <c r="J4903" s="195"/>
      <c r="K4903" s="195"/>
      <c r="L4903" s="195"/>
      <c r="M4903" s="195">
        <v>0</v>
      </c>
      <c r="N4903" s="195">
        <v>1.4087499999999999E-2</v>
      </c>
    </row>
    <row r="4904" spans="1:14" hidden="1" x14ac:dyDescent="0.35">
      <c r="A4904" s="52" t="s">
        <v>682</v>
      </c>
      <c r="B4904" s="52" t="s">
        <v>162</v>
      </c>
      <c r="C4904" s="52" t="s">
        <v>301</v>
      </c>
      <c r="D4904" s="52" t="s">
        <v>301</v>
      </c>
      <c r="E4904" s="52" t="s">
        <v>584</v>
      </c>
      <c r="F4904" s="52" t="s">
        <v>26</v>
      </c>
      <c r="G4904" s="195" t="s">
        <v>278</v>
      </c>
      <c r="H4904" s="195">
        <v>1.045711E-2</v>
      </c>
      <c r="I4904" s="195">
        <v>1.045711E-2</v>
      </c>
      <c r="J4904" s="195">
        <v>1.045711E-2</v>
      </c>
      <c r="K4904" s="195">
        <v>1.045711E-2</v>
      </c>
      <c r="L4904" s="195">
        <v>1.045711E-2</v>
      </c>
      <c r="M4904" s="195">
        <v>1.045711E-2</v>
      </c>
      <c r="N4904" s="195">
        <v>1.045711E-2</v>
      </c>
    </row>
    <row r="4905" spans="1:14" hidden="1" x14ac:dyDescent="0.35">
      <c r="A4905" s="52" t="s">
        <v>666</v>
      </c>
      <c r="B4905" s="52" t="s">
        <v>37</v>
      </c>
      <c r="C4905" s="52" t="s">
        <v>63</v>
      </c>
      <c r="D4905" s="52" t="s">
        <v>63</v>
      </c>
      <c r="E4905" s="52" t="s">
        <v>608</v>
      </c>
      <c r="F4905" s="52" t="s">
        <v>581</v>
      </c>
      <c r="G4905" s="195" t="s">
        <v>275</v>
      </c>
      <c r="H4905" s="195">
        <v>36.263919999999999</v>
      </c>
      <c r="I4905" s="195">
        <v>9.4092310000000001</v>
      </c>
      <c r="J4905" s="195">
        <v>9.0553679999999996</v>
      </c>
      <c r="K4905" s="195">
        <v>8.9848330000000001</v>
      </c>
      <c r="L4905" s="195">
        <v>8.5817999999999994</v>
      </c>
      <c r="M4905" s="195">
        <v>7.9251240000000003</v>
      </c>
      <c r="N4905" s="195">
        <v>6.752872</v>
      </c>
    </row>
    <row r="4906" spans="1:14" hidden="1" x14ac:dyDescent="0.35">
      <c r="A4906" s="52" t="s">
        <v>666</v>
      </c>
      <c r="B4906" s="52" t="s">
        <v>37</v>
      </c>
      <c r="C4906" s="52" t="s">
        <v>63</v>
      </c>
      <c r="D4906" s="52" t="s">
        <v>63</v>
      </c>
      <c r="E4906" s="52" t="s">
        <v>608</v>
      </c>
      <c r="F4906" s="52" t="s">
        <v>581</v>
      </c>
      <c r="G4906" s="195" t="s">
        <v>276</v>
      </c>
      <c r="H4906" s="195">
        <v>0</v>
      </c>
      <c r="I4906" s="195">
        <v>0</v>
      </c>
      <c r="J4906" s="195"/>
      <c r="K4906" s="195">
        <v>0.69680379999999997</v>
      </c>
      <c r="L4906" s="195">
        <v>1.8834799999999999E-2</v>
      </c>
      <c r="M4906" s="195">
        <v>2.0065800000000002E-2</v>
      </c>
      <c r="N4906" s="195">
        <v>0.57769289999999995</v>
      </c>
    </row>
    <row r="4907" spans="1:14" hidden="1" x14ac:dyDescent="0.35">
      <c r="A4907" s="52" t="s">
        <v>666</v>
      </c>
      <c r="B4907" s="52" t="s">
        <v>37</v>
      </c>
      <c r="C4907" s="52" t="s">
        <v>63</v>
      </c>
      <c r="D4907" s="52" t="s">
        <v>63</v>
      </c>
      <c r="E4907" s="52" t="s">
        <v>608</v>
      </c>
      <c r="F4907" s="52" t="s">
        <v>581</v>
      </c>
      <c r="G4907" s="195" t="s">
        <v>279</v>
      </c>
      <c r="H4907" s="195">
        <v>7.0398129999999997</v>
      </c>
      <c r="I4907" s="195">
        <v>5.9387679999999996</v>
      </c>
      <c r="J4907" s="195">
        <v>6.7529820000000003</v>
      </c>
      <c r="K4907" s="195">
        <v>7.629975</v>
      </c>
      <c r="L4907" s="195">
        <v>8.0610280000000003</v>
      </c>
      <c r="M4907" s="195">
        <v>7.3885860000000001</v>
      </c>
      <c r="N4907" s="195">
        <v>6.8421580000000004</v>
      </c>
    </row>
    <row r="4908" spans="1:14" hidden="1" x14ac:dyDescent="0.35">
      <c r="A4908" s="52" t="s">
        <v>666</v>
      </c>
      <c r="B4908" s="52" t="s">
        <v>37</v>
      </c>
      <c r="C4908" s="52" t="s">
        <v>63</v>
      </c>
      <c r="D4908" s="52" t="s">
        <v>63</v>
      </c>
      <c r="E4908" s="52" t="s">
        <v>608</v>
      </c>
      <c r="F4908" s="52" t="s">
        <v>26</v>
      </c>
      <c r="G4908" s="195" t="s">
        <v>275</v>
      </c>
      <c r="H4908" s="195">
        <v>-224.37190000000001</v>
      </c>
      <c r="I4908" s="195">
        <v>51.368369999999999</v>
      </c>
      <c r="J4908" s="195">
        <v>114.556</v>
      </c>
      <c r="K4908" s="195">
        <v>97.034139999999994</v>
      </c>
      <c r="L4908" s="195">
        <v>84.475409999999997</v>
      </c>
      <c r="M4908" s="195">
        <v>77.311239999999998</v>
      </c>
      <c r="N4908" s="195">
        <v>68.837360000000004</v>
      </c>
    </row>
    <row r="4909" spans="1:14" hidden="1" x14ac:dyDescent="0.35">
      <c r="A4909" s="52" t="s">
        <v>666</v>
      </c>
      <c r="B4909" s="52" t="s">
        <v>37</v>
      </c>
      <c r="C4909" s="52" t="s">
        <v>63</v>
      </c>
      <c r="D4909" s="52" t="s">
        <v>63</v>
      </c>
      <c r="E4909" s="52" t="s">
        <v>608</v>
      </c>
      <c r="F4909" s="52" t="s">
        <v>26</v>
      </c>
      <c r="G4909" s="195" t="s">
        <v>276</v>
      </c>
      <c r="H4909" s="195">
        <v>0</v>
      </c>
      <c r="I4909" s="195">
        <v>0</v>
      </c>
      <c r="J4909" s="195"/>
      <c r="K4909" s="195">
        <v>1.2684</v>
      </c>
      <c r="L4909" s="195">
        <v>0.31772339999999999</v>
      </c>
      <c r="M4909" s="195">
        <v>0.35638360000000002</v>
      </c>
      <c r="N4909" s="195">
        <v>1.8187610000000001</v>
      </c>
    </row>
    <row r="4910" spans="1:14" hidden="1" x14ac:dyDescent="0.35">
      <c r="A4910" s="52" t="s">
        <v>666</v>
      </c>
      <c r="B4910" s="52" t="s">
        <v>37</v>
      </c>
      <c r="C4910" s="52" t="s">
        <v>63</v>
      </c>
      <c r="D4910" s="52" t="s">
        <v>63</v>
      </c>
      <c r="E4910" s="52" t="s">
        <v>608</v>
      </c>
      <c r="F4910" s="52" t="s">
        <v>26</v>
      </c>
      <c r="G4910" s="195" t="s">
        <v>277</v>
      </c>
      <c r="H4910" s="195">
        <v>427.63350000000003</v>
      </c>
      <c r="I4910" s="195">
        <v>59.697989999999997</v>
      </c>
      <c r="J4910" s="195">
        <v>36.204619999999998</v>
      </c>
      <c r="K4910" s="195">
        <v>29.39884</v>
      </c>
      <c r="L4910" s="195">
        <v>11.055529999999999</v>
      </c>
      <c r="M4910" s="195">
        <v>8.6589639999999992</v>
      </c>
      <c r="N4910" s="195">
        <v>12.971209999999999</v>
      </c>
    </row>
    <row r="4911" spans="1:14" hidden="1" x14ac:dyDescent="0.35">
      <c r="A4911" s="52" t="s">
        <v>666</v>
      </c>
      <c r="B4911" s="52" t="s">
        <v>37</v>
      </c>
      <c r="C4911" s="52" t="s">
        <v>63</v>
      </c>
      <c r="D4911" s="52" t="s">
        <v>63</v>
      </c>
      <c r="E4911" s="52" t="s">
        <v>608</v>
      </c>
      <c r="F4911" s="52" t="s">
        <v>26</v>
      </c>
      <c r="G4911" s="195" t="s">
        <v>278</v>
      </c>
      <c r="H4911" s="195">
        <v>37.840060000000001</v>
      </c>
      <c r="I4911" s="195">
        <v>17.783989999999999</v>
      </c>
      <c r="J4911" s="195">
        <v>17.054400000000001</v>
      </c>
      <c r="K4911" s="195">
        <v>23.729009999999999</v>
      </c>
      <c r="L4911" s="195">
        <v>14.425560000000001</v>
      </c>
      <c r="M4911" s="195">
        <v>14.890650000000001</v>
      </c>
      <c r="N4911" s="195">
        <v>9.9871219999999994</v>
      </c>
    </row>
    <row r="4912" spans="1:14" hidden="1" x14ac:dyDescent="0.35">
      <c r="A4912" s="52" t="s">
        <v>666</v>
      </c>
      <c r="B4912" s="52" t="s">
        <v>37</v>
      </c>
      <c r="C4912" s="52" t="s">
        <v>63</v>
      </c>
      <c r="D4912" s="52" t="s">
        <v>63</v>
      </c>
      <c r="E4912" s="52" t="s">
        <v>608</v>
      </c>
      <c r="F4912" s="52" t="s">
        <v>26</v>
      </c>
      <c r="G4912" s="195" t="s">
        <v>279</v>
      </c>
      <c r="H4912" s="195">
        <v>416.32440000000003</v>
      </c>
      <c r="I4912" s="195">
        <v>346.16879999999998</v>
      </c>
      <c r="J4912" s="195">
        <v>401.81319999999999</v>
      </c>
      <c r="K4912" s="195">
        <v>467.59500000000003</v>
      </c>
      <c r="L4912" s="195">
        <v>483.83949999999999</v>
      </c>
      <c r="M4912" s="195">
        <v>444.54430000000002</v>
      </c>
      <c r="N4912" s="195">
        <v>409.36439999999999</v>
      </c>
    </row>
    <row r="4913" spans="1:14" hidden="1" x14ac:dyDescent="0.35">
      <c r="A4913" s="52" t="s">
        <v>666</v>
      </c>
      <c r="B4913" s="52" t="s">
        <v>37</v>
      </c>
      <c r="C4913" s="52" t="s">
        <v>63</v>
      </c>
      <c r="D4913" s="52" t="s">
        <v>63</v>
      </c>
      <c r="E4913" s="52" t="s">
        <v>609</v>
      </c>
      <c r="F4913" s="52" t="s">
        <v>581</v>
      </c>
      <c r="G4913" s="195" t="s">
        <v>275</v>
      </c>
      <c r="H4913" s="195">
        <v>-0.28561199999999998</v>
      </c>
      <c r="I4913" s="195">
        <v>0.54978740000000004</v>
      </c>
      <c r="J4913" s="195">
        <v>0.34813319999999998</v>
      </c>
      <c r="K4913" s="195">
        <v>-0.25198379999999998</v>
      </c>
      <c r="L4913" s="195">
        <v>-0.22859019999999999</v>
      </c>
      <c r="M4913" s="195">
        <v>-4.3447E-2</v>
      </c>
      <c r="N4913" s="195">
        <v>0.1508034</v>
      </c>
    </row>
    <row r="4914" spans="1:14" hidden="1" x14ac:dyDescent="0.35">
      <c r="A4914" s="52" t="s">
        <v>666</v>
      </c>
      <c r="B4914" s="52" t="s">
        <v>37</v>
      </c>
      <c r="C4914" s="52" t="s">
        <v>63</v>
      </c>
      <c r="D4914" s="52" t="s">
        <v>63</v>
      </c>
      <c r="E4914" s="52" t="s">
        <v>609</v>
      </c>
      <c r="F4914" s="52" t="s">
        <v>581</v>
      </c>
      <c r="G4914" s="195" t="s">
        <v>276</v>
      </c>
      <c r="H4914" s="195">
        <v>-4.1213E-2</v>
      </c>
      <c r="I4914" s="195">
        <v>0.1431994</v>
      </c>
      <c r="J4914" s="195">
        <v>9.4709000000000002E-2</v>
      </c>
      <c r="K4914" s="195">
        <v>4.6865400000000002E-2</v>
      </c>
      <c r="L4914" s="195">
        <v>4.2046399999999998E-2</v>
      </c>
      <c r="M4914" s="195">
        <v>5.0298200000000001E-2</v>
      </c>
      <c r="N4914" s="195">
        <v>7.6915800000000006E-2</v>
      </c>
    </row>
    <row r="4915" spans="1:14" hidden="1" x14ac:dyDescent="0.35">
      <c r="A4915" s="52" t="s">
        <v>666</v>
      </c>
      <c r="B4915" s="52" t="s">
        <v>37</v>
      </c>
      <c r="C4915" s="52" t="s">
        <v>63</v>
      </c>
      <c r="D4915" s="52" t="s">
        <v>63</v>
      </c>
      <c r="E4915" s="52" t="s">
        <v>609</v>
      </c>
      <c r="F4915" s="52" t="s">
        <v>581</v>
      </c>
      <c r="G4915" s="195" t="s">
        <v>279</v>
      </c>
      <c r="H4915" s="195">
        <v>0.32682600000000001</v>
      </c>
      <c r="I4915" s="195">
        <v>0.86758420000000003</v>
      </c>
      <c r="J4915" s="195">
        <v>0.82937720000000004</v>
      </c>
      <c r="K4915" s="195">
        <v>1.513439</v>
      </c>
      <c r="L4915" s="195">
        <v>1.6389039999999999</v>
      </c>
      <c r="M4915" s="195">
        <v>1.464885</v>
      </c>
      <c r="N4915" s="195">
        <v>1.242067</v>
      </c>
    </row>
    <row r="4916" spans="1:14" hidden="1" x14ac:dyDescent="0.35">
      <c r="A4916" s="52" t="s">
        <v>666</v>
      </c>
      <c r="B4916" s="52" t="s">
        <v>37</v>
      </c>
      <c r="C4916" s="52" t="s">
        <v>63</v>
      </c>
      <c r="D4916" s="52" t="s">
        <v>63</v>
      </c>
      <c r="E4916" s="52" t="s">
        <v>609</v>
      </c>
      <c r="F4916" s="52" t="s">
        <v>26</v>
      </c>
      <c r="G4916" s="195" t="s">
        <v>275</v>
      </c>
      <c r="H4916" s="195">
        <v>-105.12860000000001</v>
      </c>
      <c r="I4916" s="195">
        <v>90.791849999999997</v>
      </c>
      <c r="J4916" s="195">
        <v>106.1589</v>
      </c>
      <c r="K4916" s="195">
        <v>81.82602</v>
      </c>
      <c r="L4916" s="195">
        <v>71.646050000000002</v>
      </c>
      <c r="M4916" s="195">
        <v>61.512560000000001</v>
      </c>
      <c r="N4916" s="195">
        <v>31.785689999999999</v>
      </c>
    </row>
    <row r="4917" spans="1:14" hidden="1" x14ac:dyDescent="0.35">
      <c r="A4917" s="52" t="s">
        <v>666</v>
      </c>
      <c r="B4917" s="52" t="s">
        <v>37</v>
      </c>
      <c r="C4917" s="52" t="s">
        <v>63</v>
      </c>
      <c r="D4917" s="52" t="s">
        <v>63</v>
      </c>
      <c r="E4917" s="52" t="s">
        <v>609</v>
      </c>
      <c r="F4917" s="52" t="s">
        <v>26</v>
      </c>
      <c r="G4917" s="195" t="s">
        <v>276</v>
      </c>
      <c r="H4917" s="195">
        <v>10.01061</v>
      </c>
      <c r="I4917" s="195">
        <v>1.3800760000000001</v>
      </c>
      <c r="J4917" s="195">
        <v>6.893879E-2</v>
      </c>
      <c r="K4917" s="195">
        <v>0.93422360000000004</v>
      </c>
      <c r="L4917" s="195">
        <v>-0.31157439999999997</v>
      </c>
      <c r="M4917" s="195">
        <v>7.1296670000000004</v>
      </c>
      <c r="N4917" s="195">
        <v>10.71607</v>
      </c>
    </row>
    <row r="4918" spans="1:14" hidden="1" x14ac:dyDescent="0.35">
      <c r="A4918" s="52" t="s">
        <v>666</v>
      </c>
      <c r="B4918" s="52" t="s">
        <v>37</v>
      </c>
      <c r="C4918" s="52" t="s">
        <v>63</v>
      </c>
      <c r="D4918" s="52" t="s">
        <v>63</v>
      </c>
      <c r="E4918" s="52" t="s">
        <v>609</v>
      </c>
      <c r="F4918" s="52" t="s">
        <v>26</v>
      </c>
      <c r="G4918" s="195" t="s">
        <v>277</v>
      </c>
      <c r="H4918" s="195">
        <v>234.6224</v>
      </c>
      <c r="I4918" s="195">
        <v>31.746279999999999</v>
      </c>
      <c r="J4918" s="195">
        <v>15.27164</v>
      </c>
      <c r="K4918" s="195">
        <v>21.071079999999998</v>
      </c>
      <c r="L4918" s="195">
        <v>35.217849999999999</v>
      </c>
      <c r="M4918" s="195">
        <v>51.800559999999997</v>
      </c>
      <c r="N4918" s="195">
        <v>85.512079999999997</v>
      </c>
    </row>
    <row r="4919" spans="1:14" hidden="1" x14ac:dyDescent="0.35">
      <c r="A4919" s="52" t="s">
        <v>666</v>
      </c>
      <c r="B4919" s="52" t="s">
        <v>37</v>
      </c>
      <c r="C4919" s="52" t="s">
        <v>63</v>
      </c>
      <c r="D4919" s="52" t="s">
        <v>63</v>
      </c>
      <c r="E4919" s="52" t="s">
        <v>609</v>
      </c>
      <c r="F4919" s="52" t="s">
        <v>26</v>
      </c>
      <c r="G4919" s="195" t="s">
        <v>278</v>
      </c>
      <c r="H4919" s="195">
        <v>29.765470000000001</v>
      </c>
      <c r="I4919" s="195">
        <v>13.87152</v>
      </c>
      <c r="J4919" s="195">
        <v>11.9016</v>
      </c>
      <c r="K4919" s="195">
        <v>17.617599999999999</v>
      </c>
      <c r="L4919" s="195">
        <v>11.240460000000001</v>
      </c>
      <c r="M4919" s="195">
        <v>0</v>
      </c>
      <c r="N4919" s="195"/>
    </row>
    <row r="4920" spans="1:14" hidden="1" x14ac:dyDescent="0.35">
      <c r="A4920" s="52" t="s">
        <v>666</v>
      </c>
      <c r="B4920" s="52" t="s">
        <v>37</v>
      </c>
      <c r="C4920" s="52" t="s">
        <v>63</v>
      </c>
      <c r="D4920" s="52" t="s">
        <v>63</v>
      </c>
      <c r="E4920" s="52" t="s">
        <v>609</v>
      </c>
      <c r="F4920" s="52" t="s">
        <v>26</v>
      </c>
      <c r="G4920" s="195" t="s">
        <v>279</v>
      </c>
      <c r="H4920" s="195">
        <v>94.844220000000007</v>
      </c>
      <c r="I4920" s="195">
        <v>98.730310000000003</v>
      </c>
      <c r="J4920" s="195">
        <v>94.143129999999999</v>
      </c>
      <c r="K4920" s="195">
        <v>101.8323</v>
      </c>
      <c r="L4920" s="195">
        <v>112.21</v>
      </c>
      <c r="M4920" s="195">
        <v>113.5406</v>
      </c>
      <c r="N4920" s="195">
        <v>118.9564</v>
      </c>
    </row>
    <row r="4921" spans="1:14" hidden="1" x14ac:dyDescent="0.35">
      <c r="A4921" s="52" t="s">
        <v>666</v>
      </c>
      <c r="B4921" s="52" t="s">
        <v>37</v>
      </c>
      <c r="C4921" s="52" t="s">
        <v>63</v>
      </c>
      <c r="D4921" s="52" t="s">
        <v>63</v>
      </c>
      <c r="E4921" s="52" t="s">
        <v>610</v>
      </c>
      <c r="F4921" s="52" t="s">
        <v>581</v>
      </c>
      <c r="G4921" s="195" t="s">
        <v>275</v>
      </c>
      <c r="H4921" s="195">
        <v>50.621040000000001</v>
      </c>
      <c r="I4921" s="195">
        <v>21.975670000000001</v>
      </c>
      <c r="J4921" s="195">
        <v>23.113150000000001</v>
      </c>
      <c r="K4921" s="195">
        <v>25.806920000000002</v>
      </c>
      <c r="L4921" s="195">
        <v>26.645320000000002</v>
      </c>
      <c r="M4921" s="195">
        <v>25.096789999999999</v>
      </c>
      <c r="N4921" s="195">
        <v>23.38813</v>
      </c>
    </row>
    <row r="4922" spans="1:14" hidden="1" x14ac:dyDescent="0.35">
      <c r="A4922" s="52" t="s">
        <v>666</v>
      </c>
      <c r="B4922" s="52" t="s">
        <v>37</v>
      </c>
      <c r="C4922" s="52" t="s">
        <v>63</v>
      </c>
      <c r="D4922" s="52" t="s">
        <v>63</v>
      </c>
      <c r="E4922" s="52" t="s">
        <v>610</v>
      </c>
      <c r="F4922" s="52" t="s">
        <v>581</v>
      </c>
      <c r="G4922" s="195" t="s">
        <v>276</v>
      </c>
      <c r="H4922" s="195">
        <v>8.1570999999999998</v>
      </c>
      <c r="I4922" s="195">
        <v>0</v>
      </c>
      <c r="J4922" s="195">
        <v>0.83221599999999996</v>
      </c>
      <c r="K4922" s="195">
        <v>3.0238589999999999</v>
      </c>
      <c r="L4922" s="195">
        <v>2.1620740000000001</v>
      </c>
      <c r="M4922" s="195">
        <v>2.4379230000000001</v>
      </c>
      <c r="N4922" s="195">
        <v>4.5176189999999998</v>
      </c>
    </row>
    <row r="4923" spans="1:14" hidden="1" x14ac:dyDescent="0.35">
      <c r="A4923" s="52" t="s">
        <v>666</v>
      </c>
      <c r="B4923" s="52" t="s">
        <v>37</v>
      </c>
      <c r="C4923" s="52" t="s">
        <v>63</v>
      </c>
      <c r="D4923" s="52" t="s">
        <v>63</v>
      </c>
      <c r="E4923" s="52" t="s">
        <v>610</v>
      </c>
      <c r="F4923" s="52" t="s">
        <v>581</v>
      </c>
      <c r="G4923" s="195" t="s">
        <v>279</v>
      </c>
      <c r="H4923" s="195">
        <v>10.330360000000001</v>
      </c>
      <c r="I4923" s="195">
        <v>10.27103</v>
      </c>
      <c r="J4923" s="195">
        <v>12.46716</v>
      </c>
      <c r="K4923" s="195">
        <v>15.193669999999999</v>
      </c>
      <c r="L4923" s="195">
        <v>17.356619999999999</v>
      </c>
      <c r="M4923" s="195">
        <v>16.482970000000002</v>
      </c>
      <c r="N4923" s="195">
        <v>16.60568</v>
      </c>
    </row>
    <row r="4924" spans="1:14" hidden="1" x14ac:dyDescent="0.35">
      <c r="A4924" s="52" t="s">
        <v>666</v>
      </c>
      <c r="B4924" s="52" t="s">
        <v>37</v>
      </c>
      <c r="C4924" s="52" t="s">
        <v>63</v>
      </c>
      <c r="D4924" s="52" t="s">
        <v>63</v>
      </c>
      <c r="E4924" s="52" t="s">
        <v>610</v>
      </c>
      <c r="F4924" s="52" t="s">
        <v>26</v>
      </c>
      <c r="G4924" s="195" t="s">
        <v>275</v>
      </c>
      <c r="H4924" s="195">
        <v>-32.286740000000002</v>
      </c>
      <c r="I4924" s="195">
        <v>-18.533480000000001</v>
      </c>
      <c r="J4924" s="195">
        <v>7.6252440000000004</v>
      </c>
      <c r="K4924" s="195">
        <v>11.816190000000001</v>
      </c>
      <c r="L4924" s="195">
        <v>13.78215</v>
      </c>
      <c r="M4924" s="195">
        <v>10.70299</v>
      </c>
      <c r="N4924" s="195">
        <v>12.545030000000001</v>
      </c>
    </row>
    <row r="4925" spans="1:14" hidden="1" x14ac:dyDescent="0.35">
      <c r="A4925" s="52" t="s">
        <v>666</v>
      </c>
      <c r="B4925" s="52" t="s">
        <v>37</v>
      </c>
      <c r="C4925" s="52" t="s">
        <v>63</v>
      </c>
      <c r="D4925" s="52" t="s">
        <v>63</v>
      </c>
      <c r="E4925" s="52" t="s">
        <v>610</v>
      </c>
      <c r="F4925" s="52" t="s">
        <v>26</v>
      </c>
      <c r="G4925" s="195" t="s">
        <v>276</v>
      </c>
      <c r="H4925" s="195">
        <v>0</v>
      </c>
      <c r="I4925" s="195">
        <v>0</v>
      </c>
      <c r="J4925" s="195">
        <v>0</v>
      </c>
      <c r="K4925" s="195">
        <v>0.2054126</v>
      </c>
      <c r="L4925" s="195">
        <v>1.976401E-3</v>
      </c>
      <c r="M4925" s="195">
        <v>2.4156E-3</v>
      </c>
      <c r="N4925" s="195">
        <v>0.3231733</v>
      </c>
    </row>
    <row r="4926" spans="1:14" hidden="1" x14ac:dyDescent="0.35">
      <c r="A4926" s="52" t="s">
        <v>666</v>
      </c>
      <c r="B4926" s="52" t="s">
        <v>37</v>
      </c>
      <c r="C4926" s="52" t="s">
        <v>63</v>
      </c>
      <c r="D4926" s="52" t="s">
        <v>63</v>
      </c>
      <c r="E4926" s="52" t="s">
        <v>610</v>
      </c>
      <c r="F4926" s="52" t="s">
        <v>26</v>
      </c>
      <c r="G4926" s="195" t="s">
        <v>277</v>
      </c>
      <c r="H4926" s="195">
        <v>77.61703</v>
      </c>
      <c r="I4926" s="195">
        <v>35.302210000000002</v>
      </c>
      <c r="J4926" s="195">
        <v>18.65231</v>
      </c>
      <c r="K4926" s="195">
        <v>8.6580359999999992</v>
      </c>
      <c r="L4926" s="195">
        <v>7.9491779999999999</v>
      </c>
      <c r="M4926" s="195">
        <v>7.4430100000000001</v>
      </c>
      <c r="N4926" s="195">
        <v>8.0308639999999993</v>
      </c>
    </row>
    <row r="4927" spans="1:14" hidden="1" x14ac:dyDescent="0.35">
      <c r="A4927" s="52" t="s">
        <v>666</v>
      </c>
      <c r="B4927" s="52" t="s">
        <v>37</v>
      </c>
      <c r="C4927" s="52" t="s">
        <v>63</v>
      </c>
      <c r="D4927" s="52" t="s">
        <v>63</v>
      </c>
      <c r="E4927" s="52" t="s">
        <v>610</v>
      </c>
      <c r="F4927" s="52" t="s">
        <v>26</v>
      </c>
      <c r="G4927" s="195" t="s">
        <v>278</v>
      </c>
      <c r="H4927" s="195">
        <v>12.249470000000001</v>
      </c>
      <c r="I4927" s="195">
        <v>18.341470000000001</v>
      </c>
      <c r="J4927" s="195">
        <v>22.997779999999999</v>
      </c>
      <c r="K4927" s="195">
        <v>27.94933</v>
      </c>
      <c r="L4927" s="195">
        <v>17.12791</v>
      </c>
      <c r="M4927" s="195">
        <v>19.144770000000001</v>
      </c>
      <c r="N4927" s="195">
        <v>17.265280000000001</v>
      </c>
    </row>
    <row r="4928" spans="1:14" hidden="1" x14ac:dyDescent="0.35">
      <c r="A4928" s="52" t="s">
        <v>666</v>
      </c>
      <c r="B4928" s="52" t="s">
        <v>37</v>
      </c>
      <c r="C4928" s="52" t="s">
        <v>63</v>
      </c>
      <c r="D4928" s="52" t="s">
        <v>63</v>
      </c>
      <c r="E4928" s="52" t="s">
        <v>610</v>
      </c>
      <c r="F4928" s="52" t="s">
        <v>26</v>
      </c>
      <c r="G4928" s="195" t="s">
        <v>279</v>
      </c>
      <c r="H4928" s="195">
        <v>99.895390000000006</v>
      </c>
      <c r="I4928" s="195">
        <v>93.828770000000006</v>
      </c>
      <c r="J4928" s="195">
        <v>116.9191</v>
      </c>
      <c r="K4928" s="195">
        <v>147.39920000000001</v>
      </c>
      <c r="L4928" s="195">
        <v>165.23070000000001</v>
      </c>
      <c r="M4928" s="195">
        <v>157.5052</v>
      </c>
      <c r="N4928" s="195">
        <v>158.77600000000001</v>
      </c>
    </row>
    <row r="4929" spans="1:14" hidden="1" x14ac:dyDescent="0.35">
      <c r="A4929" s="52" t="s">
        <v>666</v>
      </c>
      <c r="B4929" s="52" t="s">
        <v>37</v>
      </c>
      <c r="C4929" s="52" t="s">
        <v>63</v>
      </c>
      <c r="D4929" s="52" t="s">
        <v>63</v>
      </c>
      <c r="E4929" s="52" t="s">
        <v>584</v>
      </c>
      <c r="F4929" s="52" t="s">
        <v>581</v>
      </c>
      <c r="G4929" s="195" t="s">
        <v>275</v>
      </c>
      <c r="H4929" s="195">
        <v>1.3506000000000001E-2</v>
      </c>
      <c r="I4929" s="195">
        <v>-5.5599999999999996E-4</v>
      </c>
      <c r="J4929" s="195">
        <v>0</v>
      </c>
      <c r="K4929" s="195">
        <v>-32.554290000000002</v>
      </c>
      <c r="L4929" s="195"/>
      <c r="M4929" s="195">
        <v>0</v>
      </c>
      <c r="N4929" s="195"/>
    </row>
    <row r="4930" spans="1:14" hidden="1" x14ac:dyDescent="0.35">
      <c r="A4930" s="52" t="s">
        <v>666</v>
      </c>
      <c r="B4930" s="52" t="s">
        <v>37</v>
      </c>
      <c r="C4930" s="52" t="s">
        <v>63</v>
      </c>
      <c r="D4930" s="52" t="s">
        <v>63</v>
      </c>
      <c r="E4930" s="52" t="s">
        <v>584</v>
      </c>
      <c r="F4930" s="52" t="s">
        <v>581</v>
      </c>
      <c r="G4930" s="195" t="s">
        <v>276</v>
      </c>
      <c r="H4930" s="195">
        <v>0</v>
      </c>
      <c r="I4930" s="195"/>
      <c r="J4930" s="195"/>
      <c r="K4930" s="195"/>
      <c r="L4930" s="195"/>
      <c r="M4930" s="195"/>
      <c r="N4930" s="195"/>
    </row>
    <row r="4931" spans="1:14" hidden="1" x14ac:dyDescent="0.35">
      <c r="A4931" s="52" t="s">
        <v>666</v>
      </c>
      <c r="B4931" s="52" t="s">
        <v>37</v>
      </c>
      <c r="C4931" s="52" t="s">
        <v>63</v>
      </c>
      <c r="D4931" s="52" t="s">
        <v>63</v>
      </c>
      <c r="E4931" s="52" t="s">
        <v>584</v>
      </c>
      <c r="F4931" s="52" t="s">
        <v>581</v>
      </c>
      <c r="G4931" s="195" t="s">
        <v>278</v>
      </c>
      <c r="H4931" s="195">
        <v>0</v>
      </c>
      <c r="I4931" s="195">
        <v>5.5599999999999996E-4</v>
      </c>
      <c r="J4931" s="195">
        <v>0</v>
      </c>
      <c r="K4931" s="195"/>
      <c r="L4931" s="195"/>
      <c r="M4931" s="195"/>
      <c r="N4931" s="195"/>
    </row>
    <row r="4932" spans="1:14" hidden="1" x14ac:dyDescent="0.35">
      <c r="A4932" s="52" t="s">
        <v>666</v>
      </c>
      <c r="B4932" s="52" t="s">
        <v>37</v>
      </c>
      <c r="C4932" s="52" t="s">
        <v>63</v>
      </c>
      <c r="D4932" s="52" t="s">
        <v>63</v>
      </c>
      <c r="E4932" s="52" t="s">
        <v>584</v>
      </c>
      <c r="F4932" s="52" t="s">
        <v>581</v>
      </c>
      <c r="G4932" s="195" t="s">
        <v>279</v>
      </c>
      <c r="H4932" s="195">
        <v>3.4989999999999999E-3</v>
      </c>
      <c r="I4932" s="195">
        <v>0</v>
      </c>
      <c r="J4932" s="195">
        <v>0</v>
      </c>
      <c r="K4932" s="195">
        <v>32.554290000000002</v>
      </c>
      <c r="L4932" s="195"/>
      <c r="M4932" s="195">
        <v>0</v>
      </c>
      <c r="N4932" s="195"/>
    </row>
    <row r="4933" spans="1:14" hidden="1" x14ac:dyDescent="0.35">
      <c r="A4933" s="52" t="s">
        <v>666</v>
      </c>
      <c r="B4933" s="52" t="s">
        <v>37</v>
      </c>
      <c r="C4933" s="52" t="s">
        <v>63</v>
      </c>
      <c r="D4933" s="52" t="s">
        <v>63</v>
      </c>
      <c r="E4933" s="52" t="s">
        <v>584</v>
      </c>
      <c r="F4933" s="52" t="s">
        <v>26</v>
      </c>
      <c r="G4933" s="195" t="s">
        <v>275</v>
      </c>
      <c r="H4933" s="195">
        <v>46.062980000000003</v>
      </c>
      <c r="I4933" s="195">
        <v>29.608689999999999</v>
      </c>
      <c r="J4933" s="195">
        <v>-7.0734579999999996</v>
      </c>
      <c r="K4933" s="195">
        <v>-17.56317</v>
      </c>
      <c r="L4933" s="195">
        <v>-14.71658</v>
      </c>
      <c r="M4933" s="195">
        <v>-14.15218</v>
      </c>
      <c r="N4933" s="195">
        <v>-10.76858</v>
      </c>
    </row>
    <row r="4934" spans="1:14" hidden="1" x14ac:dyDescent="0.35">
      <c r="A4934" s="52" t="s">
        <v>666</v>
      </c>
      <c r="B4934" s="52" t="s">
        <v>37</v>
      </c>
      <c r="C4934" s="52" t="s">
        <v>63</v>
      </c>
      <c r="D4934" s="52" t="s">
        <v>63</v>
      </c>
      <c r="E4934" s="52" t="s">
        <v>584</v>
      </c>
      <c r="F4934" s="52" t="s">
        <v>26</v>
      </c>
      <c r="G4934" s="195" t="s">
        <v>276</v>
      </c>
      <c r="H4934" s="195">
        <v>9.2283460000000002</v>
      </c>
      <c r="I4934" s="195">
        <v>7.1380590000000002</v>
      </c>
      <c r="J4934" s="195">
        <v>4.705711</v>
      </c>
      <c r="K4934" s="195">
        <v>4.4607489999999999</v>
      </c>
      <c r="L4934" s="195">
        <v>2.655897</v>
      </c>
      <c r="M4934" s="195">
        <v>1.6654340000000001</v>
      </c>
      <c r="N4934" s="195">
        <v>-1.8850750000000001</v>
      </c>
    </row>
    <row r="4935" spans="1:14" hidden="1" x14ac:dyDescent="0.35">
      <c r="A4935" s="52" t="s">
        <v>666</v>
      </c>
      <c r="B4935" s="52" t="s">
        <v>37</v>
      </c>
      <c r="C4935" s="52" t="s">
        <v>63</v>
      </c>
      <c r="D4935" s="52" t="s">
        <v>63</v>
      </c>
      <c r="E4935" s="52" t="s">
        <v>584</v>
      </c>
      <c r="F4935" s="52" t="s">
        <v>26</v>
      </c>
      <c r="G4935" s="195" t="s">
        <v>277</v>
      </c>
      <c r="H4935" s="195"/>
      <c r="I4935" s="195">
        <v>0</v>
      </c>
      <c r="J4935" s="195">
        <v>42.544719999999998</v>
      </c>
      <c r="K4935" s="195">
        <v>45.806899999999999</v>
      </c>
      <c r="L4935" s="195">
        <v>46.972259999999999</v>
      </c>
      <c r="M4935" s="195">
        <v>48.166849999999997</v>
      </c>
      <c r="N4935" s="195">
        <v>49.391489999999997</v>
      </c>
    </row>
    <row r="4936" spans="1:14" hidden="1" x14ac:dyDescent="0.35">
      <c r="A4936" s="52" t="s">
        <v>666</v>
      </c>
      <c r="B4936" s="52" t="s">
        <v>37</v>
      </c>
      <c r="C4936" s="52" t="s">
        <v>63</v>
      </c>
      <c r="D4936" s="52" t="s">
        <v>63</v>
      </c>
      <c r="E4936" s="52" t="s">
        <v>584</v>
      </c>
      <c r="F4936" s="52" t="s">
        <v>26</v>
      </c>
      <c r="G4936" s="195" t="s">
        <v>278</v>
      </c>
      <c r="H4936" s="195">
        <v>0</v>
      </c>
      <c r="I4936" s="195">
        <v>0.929369</v>
      </c>
      <c r="J4936" s="195">
        <v>0</v>
      </c>
      <c r="K4936" s="195"/>
      <c r="L4936" s="195"/>
      <c r="M4936" s="195"/>
      <c r="N4936" s="195"/>
    </row>
    <row r="4937" spans="1:14" hidden="1" x14ac:dyDescent="0.35">
      <c r="A4937" s="52" t="s">
        <v>666</v>
      </c>
      <c r="B4937" s="52" t="s">
        <v>37</v>
      </c>
      <c r="C4937" s="52" t="s">
        <v>63</v>
      </c>
      <c r="D4937" s="52" t="s">
        <v>63</v>
      </c>
      <c r="E4937" s="52" t="s">
        <v>584</v>
      </c>
      <c r="F4937" s="52" t="s">
        <v>26</v>
      </c>
      <c r="G4937" s="195" t="s">
        <v>279</v>
      </c>
      <c r="H4937" s="195">
        <v>56.650579999999998</v>
      </c>
      <c r="I4937" s="195">
        <v>49.740670000000001</v>
      </c>
      <c r="J4937" s="195">
        <v>49.975470000000001</v>
      </c>
      <c r="K4937" s="195">
        <v>59.63955</v>
      </c>
      <c r="L4937" s="195">
        <v>59.661749999999998</v>
      </c>
      <c r="M4937" s="195">
        <v>61.122520000000002</v>
      </c>
      <c r="N4937" s="195">
        <v>62.637039999999999</v>
      </c>
    </row>
    <row r="4938" spans="1:14" hidden="1" x14ac:dyDescent="0.35">
      <c r="A4938" s="52" t="s">
        <v>666</v>
      </c>
      <c r="B4938" s="52" t="s">
        <v>37</v>
      </c>
      <c r="C4938" s="52" t="s">
        <v>63</v>
      </c>
      <c r="D4938" s="52" t="s">
        <v>63</v>
      </c>
      <c r="E4938" s="52" t="s">
        <v>611</v>
      </c>
      <c r="F4938" s="52" t="s">
        <v>581</v>
      </c>
      <c r="G4938" s="195" t="s">
        <v>275</v>
      </c>
      <c r="H4938" s="195">
        <v>0.434832</v>
      </c>
      <c r="I4938" s="195">
        <v>8.9376189999999994E-2</v>
      </c>
      <c r="J4938" s="195">
        <v>5.6330600000000002E-2</v>
      </c>
      <c r="K4938" s="195">
        <v>4.9016400000000002E-2</v>
      </c>
      <c r="L4938" s="195">
        <v>2.88372E-2</v>
      </c>
      <c r="M4938" s="195">
        <v>3.1006800000000001E-2</v>
      </c>
      <c r="N4938" s="195">
        <v>3.1346600000000002E-2</v>
      </c>
    </row>
    <row r="4939" spans="1:14" hidden="1" x14ac:dyDescent="0.35">
      <c r="A4939" s="52" t="s">
        <v>666</v>
      </c>
      <c r="B4939" s="52" t="s">
        <v>37</v>
      </c>
      <c r="C4939" s="52" t="s">
        <v>63</v>
      </c>
      <c r="D4939" s="52" t="s">
        <v>63</v>
      </c>
      <c r="E4939" s="52" t="s">
        <v>611</v>
      </c>
      <c r="F4939" s="52" t="s">
        <v>581</v>
      </c>
      <c r="G4939" s="195" t="s">
        <v>276</v>
      </c>
      <c r="H4939" s="195">
        <v>4.7779000000000002E-2</v>
      </c>
      <c r="I4939" s="195">
        <v>9.8208010000000005E-3</v>
      </c>
      <c r="J4939" s="195">
        <v>2.14472E-2</v>
      </c>
      <c r="K4939" s="195">
        <v>1.9846200000000001E-2</v>
      </c>
      <c r="L4939" s="195">
        <v>1.6187E-2</v>
      </c>
      <c r="M4939" s="195">
        <v>1.54094E-2</v>
      </c>
      <c r="N4939" s="195">
        <v>1.38738E-2</v>
      </c>
    </row>
    <row r="4940" spans="1:14" hidden="1" x14ac:dyDescent="0.35">
      <c r="A4940" s="52" t="s">
        <v>666</v>
      </c>
      <c r="B4940" s="52" t="s">
        <v>37</v>
      </c>
      <c r="C4940" s="52" t="s">
        <v>63</v>
      </c>
      <c r="D4940" s="52" t="s">
        <v>63</v>
      </c>
      <c r="E4940" s="52" t="s">
        <v>611</v>
      </c>
      <c r="F4940" s="52" t="s">
        <v>581</v>
      </c>
      <c r="G4940" s="195" t="s">
        <v>279</v>
      </c>
      <c r="H4940" s="195">
        <v>0.172121</v>
      </c>
      <c r="I4940" s="195">
        <v>0.1099762</v>
      </c>
      <c r="J4940" s="195">
        <v>0.1088602</v>
      </c>
      <c r="K4940" s="195">
        <v>0.10772180000000001</v>
      </c>
      <c r="L4940" s="195">
        <v>0.13420280000000001</v>
      </c>
      <c r="M4940" s="195">
        <v>0.1175784</v>
      </c>
      <c r="N4940" s="195">
        <v>9.7093399999999996E-2</v>
      </c>
    </row>
    <row r="4941" spans="1:14" hidden="1" x14ac:dyDescent="0.35">
      <c r="A4941" s="52" t="s">
        <v>666</v>
      </c>
      <c r="B4941" s="52" t="s">
        <v>37</v>
      </c>
      <c r="C4941" s="52" t="s">
        <v>63</v>
      </c>
      <c r="D4941" s="52" t="s">
        <v>63</v>
      </c>
      <c r="E4941" s="52" t="s">
        <v>611</v>
      </c>
      <c r="F4941" s="52" t="s">
        <v>26</v>
      </c>
      <c r="G4941" s="195" t="s">
        <v>275</v>
      </c>
      <c r="H4941" s="195">
        <v>4.4623809999999997</v>
      </c>
      <c r="I4941" s="195">
        <v>2.2639339999999999</v>
      </c>
      <c r="J4941" s="195">
        <v>1.767115</v>
      </c>
      <c r="K4941" s="195">
        <v>1.732809</v>
      </c>
      <c r="L4941" s="195">
        <v>-0.64491719999999997</v>
      </c>
      <c r="M4941" s="195">
        <v>1.193133</v>
      </c>
      <c r="N4941" s="195">
        <v>1.0748500000000001</v>
      </c>
    </row>
    <row r="4942" spans="1:14" hidden="1" x14ac:dyDescent="0.35">
      <c r="A4942" s="52" t="s">
        <v>666</v>
      </c>
      <c r="B4942" s="52" t="s">
        <v>37</v>
      </c>
      <c r="C4942" s="52" t="s">
        <v>63</v>
      </c>
      <c r="D4942" s="52" t="s">
        <v>63</v>
      </c>
      <c r="E4942" s="52" t="s">
        <v>611</v>
      </c>
      <c r="F4942" s="52" t="s">
        <v>26</v>
      </c>
      <c r="G4942" s="195" t="s">
        <v>276</v>
      </c>
      <c r="H4942" s="195">
        <v>-0.39790599999999998</v>
      </c>
      <c r="I4942" s="195">
        <v>-0.59412810000000005</v>
      </c>
      <c r="J4942" s="195">
        <v>3.9153800000000002E-2</v>
      </c>
      <c r="K4942" s="195">
        <v>0.25862760000000001</v>
      </c>
      <c r="L4942" s="195">
        <v>0.2216012</v>
      </c>
      <c r="M4942" s="195">
        <v>0.33383980000000002</v>
      </c>
      <c r="N4942" s="195">
        <v>0.28166859999999999</v>
      </c>
    </row>
    <row r="4943" spans="1:14" hidden="1" x14ac:dyDescent="0.35">
      <c r="A4943" s="52" t="s">
        <v>666</v>
      </c>
      <c r="B4943" s="52" t="s">
        <v>37</v>
      </c>
      <c r="C4943" s="52" t="s">
        <v>63</v>
      </c>
      <c r="D4943" s="52" t="s">
        <v>63</v>
      </c>
      <c r="E4943" s="52" t="s">
        <v>611</v>
      </c>
      <c r="F4943" s="52" t="s">
        <v>26</v>
      </c>
      <c r="G4943" s="195" t="s">
        <v>277</v>
      </c>
      <c r="H4943" s="195">
        <v>0</v>
      </c>
      <c r="I4943" s="195">
        <v>0.48140379999999999</v>
      </c>
      <c r="J4943" s="195">
        <v>0.56316060000000001</v>
      </c>
      <c r="K4943" s="195">
        <v>0</v>
      </c>
      <c r="L4943" s="195">
        <v>1.6422319999999999</v>
      </c>
      <c r="M4943" s="195">
        <v>0</v>
      </c>
      <c r="N4943" s="195">
        <v>0</v>
      </c>
    </row>
    <row r="4944" spans="1:14" hidden="1" x14ac:dyDescent="0.35">
      <c r="A4944" s="52" t="s">
        <v>666</v>
      </c>
      <c r="B4944" s="52" t="s">
        <v>37</v>
      </c>
      <c r="C4944" s="52" t="s">
        <v>63</v>
      </c>
      <c r="D4944" s="52" t="s">
        <v>63</v>
      </c>
      <c r="E4944" s="52" t="s">
        <v>611</v>
      </c>
      <c r="F4944" s="52" t="s">
        <v>26</v>
      </c>
      <c r="G4944" s="195" t="s">
        <v>278</v>
      </c>
      <c r="H4944" s="195"/>
      <c r="I4944" s="195"/>
      <c r="J4944" s="195"/>
      <c r="K4944" s="195">
        <v>0</v>
      </c>
      <c r="L4944" s="195">
        <v>0.42000280000000001</v>
      </c>
      <c r="M4944" s="195">
        <v>0</v>
      </c>
      <c r="N4944" s="195"/>
    </row>
    <row r="4945" spans="1:14" hidden="1" x14ac:dyDescent="0.35">
      <c r="A4945" s="52" t="s">
        <v>666</v>
      </c>
      <c r="B4945" s="52" t="s">
        <v>37</v>
      </c>
      <c r="C4945" s="52" t="s">
        <v>63</v>
      </c>
      <c r="D4945" s="52" t="s">
        <v>63</v>
      </c>
      <c r="E4945" s="52" t="s">
        <v>611</v>
      </c>
      <c r="F4945" s="52" t="s">
        <v>26</v>
      </c>
      <c r="G4945" s="195" t="s">
        <v>279</v>
      </c>
      <c r="H4945" s="195">
        <v>5.517048</v>
      </c>
      <c r="I4945" s="195">
        <v>4.0680259999999997</v>
      </c>
      <c r="J4945" s="195">
        <v>4.1526370000000004</v>
      </c>
      <c r="K4945" s="195">
        <v>4.1681689999999998</v>
      </c>
      <c r="L4945" s="195">
        <v>4.6266780000000001</v>
      </c>
      <c r="M4945" s="195">
        <v>4.1893149999999997</v>
      </c>
      <c r="N4945" s="195">
        <v>3.598217</v>
      </c>
    </row>
    <row r="4946" spans="1:14" hidden="1" x14ac:dyDescent="0.35">
      <c r="A4946" s="52" t="s">
        <v>666</v>
      </c>
      <c r="B4946" s="52" t="s">
        <v>37</v>
      </c>
      <c r="C4946" s="52" t="s">
        <v>63</v>
      </c>
      <c r="D4946" s="52" t="s">
        <v>63</v>
      </c>
      <c r="E4946" s="52" t="s">
        <v>667</v>
      </c>
      <c r="F4946" s="52" t="s">
        <v>26</v>
      </c>
      <c r="G4946" s="195" t="s">
        <v>275</v>
      </c>
      <c r="H4946" s="195">
        <v>4.3249999999999997E-2</v>
      </c>
      <c r="I4946" s="195">
        <v>-0.188276</v>
      </c>
      <c r="J4946" s="195">
        <v>-0.1499714</v>
      </c>
      <c r="K4946" s="195">
        <v>-0.1530686</v>
      </c>
      <c r="L4946" s="195">
        <v>-0.16911180000000001</v>
      </c>
      <c r="M4946" s="195">
        <v>-0.12002599999999999</v>
      </c>
      <c r="N4946" s="195">
        <v>-3.9954000000000003E-2</v>
      </c>
    </row>
    <row r="4947" spans="1:14" hidden="1" x14ac:dyDescent="0.35">
      <c r="A4947" s="52" t="s">
        <v>666</v>
      </c>
      <c r="B4947" s="52" t="s">
        <v>37</v>
      </c>
      <c r="C4947" s="52" t="s">
        <v>63</v>
      </c>
      <c r="D4947" s="52" t="s">
        <v>63</v>
      </c>
      <c r="E4947" s="52" t="s">
        <v>667</v>
      </c>
      <c r="F4947" s="52" t="s">
        <v>26</v>
      </c>
      <c r="G4947" s="195" t="s">
        <v>276</v>
      </c>
      <c r="H4947" s="195">
        <v>-8.619599E-2</v>
      </c>
      <c r="I4947" s="195">
        <v>-5.7609199999999999E-2</v>
      </c>
      <c r="J4947" s="195">
        <v>-4.58888E-2</v>
      </c>
      <c r="K4947" s="195">
        <v>-4.6836000000000003E-2</v>
      </c>
      <c r="L4947" s="195">
        <v>-5.1744999999999999E-2</v>
      </c>
      <c r="M4947" s="195">
        <v>-3.6725399999999998E-2</v>
      </c>
      <c r="N4947" s="195">
        <v>-1.22252E-2</v>
      </c>
    </row>
    <row r="4948" spans="1:14" hidden="1" x14ac:dyDescent="0.35">
      <c r="A4948" s="52" t="s">
        <v>666</v>
      </c>
      <c r="B4948" s="52" t="s">
        <v>37</v>
      </c>
      <c r="C4948" s="52" t="s">
        <v>63</v>
      </c>
      <c r="D4948" s="52" t="s">
        <v>63</v>
      </c>
      <c r="E4948" s="52" t="s">
        <v>667</v>
      </c>
      <c r="F4948" s="52" t="s">
        <v>26</v>
      </c>
      <c r="G4948" s="195" t="s">
        <v>277</v>
      </c>
      <c r="H4948" s="195"/>
      <c r="I4948" s="195"/>
      <c r="J4948" s="195"/>
      <c r="K4948" s="195"/>
      <c r="L4948" s="195">
        <v>0</v>
      </c>
      <c r="M4948" s="195">
        <v>0</v>
      </c>
      <c r="N4948" s="195">
        <v>0</v>
      </c>
    </row>
    <row r="4949" spans="1:14" hidden="1" x14ac:dyDescent="0.35">
      <c r="A4949" s="52" t="s">
        <v>666</v>
      </c>
      <c r="B4949" s="52" t="s">
        <v>37</v>
      </c>
      <c r="C4949" s="52" t="s">
        <v>63</v>
      </c>
      <c r="D4949" s="52" t="s">
        <v>63</v>
      </c>
      <c r="E4949" s="52" t="s">
        <v>667</v>
      </c>
      <c r="F4949" s="52" t="s">
        <v>26</v>
      </c>
      <c r="G4949" s="195" t="s">
        <v>279</v>
      </c>
      <c r="H4949" s="195">
        <v>0.44491399999999998</v>
      </c>
      <c r="I4949" s="195">
        <v>1.029196</v>
      </c>
      <c r="J4949" s="195">
        <v>0.91907879999999997</v>
      </c>
      <c r="K4949" s="195">
        <v>0.8666452</v>
      </c>
      <c r="L4949" s="195">
        <v>0.83539699999999995</v>
      </c>
      <c r="M4949" s="195">
        <v>0.72433639999999999</v>
      </c>
      <c r="N4949" s="195">
        <v>0.57506159999999995</v>
      </c>
    </row>
    <row r="4950" spans="1:14" hidden="1" x14ac:dyDescent="0.35">
      <c r="A4950" s="52" t="s">
        <v>666</v>
      </c>
      <c r="B4950" s="52" t="s">
        <v>37</v>
      </c>
      <c r="C4950" s="52" t="s">
        <v>63</v>
      </c>
      <c r="D4950" s="52" t="s">
        <v>63</v>
      </c>
      <c r="E4950" s="52" t="s">
        <v>668</v>
      </c>
      <c r="F4950" s="52" t="s">
        <v>581</v>
      </c>
      <c r="G4950" s="195" t="s">
        <v>275</v>
      </c>
      <c r="H4950" s="195">
        <v>0</v>
      </c>
      <c r="I4950" s="195">
        <v>-3.3975600000000002E-2</v>
      </c>
      <c r="J4950" s="195">
        <v>-3.4789399999999998E-2</v>
      </c>
      <c r="K4950" s="195">
        <v>-3.22852E-2</v>
      </c>
      <c r="L4950" s="195">
        <v>-3.2151399999999997E-2</v>
      </c>
      <c r="M4950" s="195">
        <v>-7.8505999999999992E-3</v>
      </c>
      <c r="N4950" s="195">
        <v>-2.1603999999999998E-3</v>
      </c>
    </row>
    <row r="4951" spans="1:14" hidden="1" x14ac:dyDescent="0.35">
      <c r="A4951" s="52" t="s">
        <v>666</v>
      </c>
      <c r="B4951" s="52" t="s">
        <v>37</v>
      </c>
      <c r="C4951" s="52" t="s">
        <v>63</v>
      </c>
      <c r="D4951" s="52" t="s">
        <v>63</v>
      </c>
      <c r="E4951" s="52" t="s">
        <v>668</v>
      </c>
      <c r="F4951" s="52" t="s">
        <v>581</v>
      </c>
      <c r="G4951" s="195" t="s">
        <v>276</v>
      </c>
      <c r="H4951" s="195">
        <v>0</v>
      </c>
      <c r="I4951" s="195">
        <v>-1.0394799999999999E-2</v>
      </c>
      <c r="J4951" s="195">
        <v>-1.0645399999999999E-2</v>
      </c>
      <c r="K4951" s="195">
        <v>-9.8784010000000002E-3</v>
      </c>
      <c r="L4951" s="195">
        <v>-9.8376000000000002E-3</v>
      </c>
      <c r="M4951" s="195">
        <v>-2.4015999999999998E-3</v>
      </c>
      <c r="N4951" s="195">
        <v>-6.613999E-4</v>
      </c>
    </row>
    <row r="4952" spans="1:14" hidden="1" x14ac:dyDescent="0.35">
      <c r="A4952" s="52" t="s">
        <v>666</v>
      </c>
      <c r="B4952" s="52" t="s">
        <v>37</v>
      </c>
      <c r="C4952" s="52" t="s">
        <v>63</v>
      </c>
      <c r="D4952" s="52" t="s">
        <v>63</v>
      </c>
      <c r="E4952" s="52" t="s">
        <v>668</v>
      </c>
      <c r="F4952" s="52" t="s">
        <v>581</v>
      </c>
      <c r="G4952" s="195" t="s">
        <v>279</v>
      </c>
      <c r="H4952" s="195">
        <v>0</v>
      </c>
      <c r="I4952" s="195">
        <v>0.1064384</v>
      </c>
      <c r="J4952" s="195">
        <v>9.4294000000000003E-2</v>
      </c>
      <c r="K4952" s="195">
        <v>8.7306599999999998E-2</v>
      </c>
      <c r="L4952" s="195">
        <v>8.3696190000000004E-2</v>
      </c>
      <c r="M4952" s="195">
        <v>4.8883799999999998E-2</v>
      </c>
      <c r="N4952" s="195">
        <v>3.8404800000000003E-2</v>
      </c>
    </row>
    <row r="4953" spans="1:14" hidden="1" x14ac:dyDescent="0.35">
      <c r="A4953" s="52" t="s">
        <v>666</v>
      </c>
      <c r="B4953" s="52" t="s">
        <v>37</v>
      </c>
      <c r="C4953" s="52" t="s">
        <v>63</v>
      </c>
      <c r="D4953" s="52" t="s">
        <v>63</v>
      </c>
      <c r="E4953" s="52" t="s">
        <v>668</v>
      </c>
      <c r="F4953" s="52" t="s">
        <v>26</v>
      </c>
      <c r="G4953" s="195" t="s">
        <v>275</v>
      </c>
      <c r="H4953" s="195">
        <v>4.8565999999999998E-2</v>
      </c>
      <c r="I4953" s="195">
        <v>6.7007200000000003E-2</v>
      </c>
      <c r="J4953" s="195">
        <v>7.0046999999999998E-2</v>
      </c>
      <c r="K4953" s="195">
        <v>5.2856800000000002E-2</v>
      </c>
      <c r="L4953" s="195">
        <v>3.01476E-2</v>
      </c>
      <c r="M4953" s="195">
        <v>3.0314799999999999E-2</v>
      </c>
      <c r="N4953" s="195">
        <v>2.8580399999999999E-2</v>
      </c>
    </row>
    <row r="4954" spans="1:14" hidden="1" x14ac:dyDescent="0.35">
      <c r="A4954" s="52" t="s">
        <v>666</v>
      </c>
      <c r="B4954" s="52" t="s">
        <v>37</v>
      </c>
      <c r="C4954" s="52" t="s">
        <v>63</v>
      </c>
      <c r="D4954" s="52" t="s">
        <v>63</v>
      </c>
      <c r="E4954" s="52" t="s">
        <v>668</v>
      </c>
      <c r="F4954" s="52" t="s">
        <v>26</v>
      </c>
      <c r="G4954" s="195" t="s">
        <v>276</v>
      </c>
      <c r="H4954" s="195">
        <v>1.486E-2</v>
      </c>
      <c r="I4954" s="195">
        <v>2.0502800000000002E-2</v>
      </c>
      <c r="J4954" s="195">
        <v>2.1433799999999999E-2</v>
      </c>
      <c r="K4954" s="195">
        <v>1.6173400000000001E-2</v>
      </c>
      <c r="L4954" s="195">
        <v>9.2250000000000006E-3</v>
      </c>
      <c r="M4954" s="195">
        <v>9.2759999999999995E-3</v>
      </c>
      <c r="N4954" s="195">
        <v>8.7466000000000002E-3</v>
      </c>
    </row>
    <row r="4955" spans="1:14" hidden="1" x14ac:dyDescent="0.35">
      <c r="A4955" s="52" t="s">
        <v>666</v>
      </c>
      <c r="B4955" s="52" t="s">
        <v>37</v>
      </c>
      <c r="C4955" s="52" t="s">
        <v>63</v>
      </c>
      <c r="D4955" s="52" t="s">
        <v>63</v>
      </c>
      <c r="E4955" s="52" t="s">
        <v>668</v>
      </c>
      <c r="F4955" s="52" t="s">
        <v>26</v>
      </c>
      <c r="G4955" s="195" t="s">
        <v>277</v>
      </c>
      <c r="H4955" s="195"/>
      <c r="I4955" s="195"/>
      <c r="J4955" s="195"/>
      <c r="K4955" s="195"/>
      <c r="L4955" s="195">
        <v>0</v>
      </c>
      <c r="M4955" s="195">
        <v>0</v>
      </c>
      <c r="N4955" s="195">
        <v>0</v>
      </c>
    </row>
    <row r="4956" spans="1:14" hidden="1" x14ac:dyDescent="0.35">
      <c r="A4956" s="52" t="s">
        <v>666</v>
      </c>
      <c r="B4956" s="52" t="s">
        <v>37</v>
      </c>
      <c r="C4956" s="52" t="s">
        <v>63</v>
      </c>
      <c r="D4956" s="52" t="s">
        <v>63</v>
      </c>
      <c r="E4956" s="52" t="s">
        <v>668</v>
      </c>
      <c r="F4956" s="52" t="s">
        <v>26</v>
      </c>
      <c r="G4956" s="195" t="s">
        <v>279</v>
      </c>
      <c r="H4956" s="195">
        <v>0.15583</v>
      </c>
      <c r="I4956" s="195">
        <v>0.34066180000000001</v>
      </c>
      <c r="J4956" s="195">
        <v>0.30467860000000002</v>
      </c>
      <c r="K4956" s="195">
        <v>0.29632740000000002</v>
      </c>
      <c r="L4956" s="195">
        <v>0.2973828</v>
      </c>
      <c r="M4956" s="195">
        <v>0.27143420000000001</v>
      </c>
      <c r="N4956" s="195">
        <v>0.24920419999999999</v>
      </c>
    </row>
    <row r="4957" spans="1:14" hidden="1" x14ac:dyDescent="0.35">
      <c r="A4957" s="52" t="s">
        <v>666</v>
      </c>
      <c r="B4957" s="52" t="s">
        <v>37</v>
      </c>
      <c r="C4957" s="52" t="s">
        <v>110</v>
      </c>
      <c r="D4957" s="52" t="s">
        <v>110</v>
      </c>
      <c r="E4957" s="52" t="s">
        <v>584</v>
      </c>
      <c r="F4957" s="52" t="s">
        <v>26</v>
      </c>
      <c r="G4957" s="195" t="s">
        <v>275</v>
      </c>
      <c r="H4957" s="195">
        <v>23.323360000000001</v>
      </c>
      <c r="I4957" s="195">
        <v>12.250999999999999</v>
      </c>
      <c r="J4957" s="195">
        <v>12.833220000000001</v>
      </c>
      <c r="K4957" s="195">
        <v>11.336729999999999</v>
      </c>
      <c r="L4957" s="195">
        <v>9.9421619999999997</v>
      </c>
      <c r="M4957" s="195">
        <v>9.3321559999999995</v>
      </c>
      <c r="N4957" s="195">
        <v>8.8177620000000001</v>
      </c>
    </row>
    <row r="4958" spans="1:14" hidden="1" x14ac:dyDescent="0.35">
      <c r="A4958" s="52" t="s">
        <v>666</v>
      </c>
      <c r="B4958" s="52" t="s">
        <v>37</v>
      </c>
      <c r="C4958" s="52" t="s">
        <v>110</v>
      </c>
      <c r="D4958" s="52" t="s">
        <v>110</v>
      </c>
      <c r="E4958" s="52" t="s">
        <v>584</v>
      </c>
      <c r="F4958" s="52" t="s">
        <v>26</v>
      </c>
      <c r="G4958" s="195" t="s">
        <v>276</v>
      </c>
      <c r="H4958" s="195">
        <v>0.96522300000000005</v>
      </c>
      <c r="I4958" s="195">
        <v>3.2857219999999998</v>
      </c>
      <c r="J4958" s="195">
        <v>3.3991769999999999</v>
      </c>
      <c r="K4958" s="195">
        <v>3.0038149999999999</v>
      </c>
      <c r="L4958" s="195">
        <v>2.6350539999999998</v>
      </c>
      <c r="M4958" s="195">
        <v>2.449506</v>
      </c>
      <c r="N4958" s="195">
        <v>2.3439619999999999</v>
      </c>
    </row>
    <row r="4959" spans="1:14" hidden="1" x14ac:dyDescent="0.35">
      <c r="A4959" s="52" t="s">
        <v>666</v>
      </c>
      <c r="B4959" s="52" t="s">
        <v>37</v>
      </c>
      <c r="C4959" s="52" t="s">
        <v>110</v>
      </c>
      <c r="D4959" s="52" t="s">
        <v>110</v>
      </c>
      <c r="E4959" s="52" t="s">
        <v>584</v>
      </c>
      <c r="F4959" s="52" t="s">
        <v>26</v>
      </c>
      <c r="G4959" s="195" t="s">
        <v>277</v>
      </c>
      <c r="H4959" s="195"/>
      <c r="I4959" s="195">
        <v>0</v>
      </c>
      <c r="J4959" s="195"/>
      <c r="K4959" s="195"/>
      <c r="L4959" s="195"/>
      <c r="M4959" s="195"/>
      <c r="N4959" s="195"/>
    </row>
    <row r="4960" spans="1:14" hidden="1" x14ac:dyDescent="0.35">
      <c r="A4960" s="52" t="s">
        <v>666</v>
      </c>
      <c r="B4960" s="52" t="s">
        <v>37</v>
      </c>
      <c r="C4960" s="52" t="s">
        <v>110</v>
      </c>
      <c r="D4960" s="52" t="s">
        <v>110</v>
      </c>
      <c r="E4960" s="52" t="s">
        <v>584</v>
      </c>
      <c r="F4960" s="52" t="s">
        <v>26</v>
      </c>
      <c r="G4960" s="195" t="s">
        <v>278</v>
      </c>
      <c r="H4960" s="195">
        <v>0</v>
      </c>
      <c r="I4960" s="195">
        <v>0.286497</v>
      </c>
      <c r="J4960" s="195">
        <v>0</v>
      </c>
      <c r="K4960" s="195"/>
      <c r="L4960" s="195"/>
      <c r="M4960" s="195"/>
      <c r="N4960" s="195"/>
    </row>
    <row r="4961" spans="1:14" hidden="1" x14ac:dyDescent="0.35">
      <c r="A4961" s="52" t="s">
        <v>666</v>
      </c>
      <c r="B4961" s="52" t="s">
        <v>37</v>
      </c>
      <c r="C4961" s="52" t="s">
        <v>110</v>
      </c>
      <c r="D4961" s="52" t="s">
        <v>110</v>
      </c>
      <c r="E4961" s="52" t="s">
        <v>584</v>
      </c>
      <c r="F4961" s="52" t="s">
        <v>26</v>
      </c>
      <c r="G4961" s="195" t="s">
        <v>279</v>
      </c>
      <c r="H4961" s="195">
        <v>25.438379999999999</v>
      </c>
      <c r="I4961" s="195">
        <v>21.575040000000001</v>
      </c>
      <c r="J4961" s="195">
        <v>20.901409999999998</v>
      </c>
      <c r="K4961" s="195">
        <v>21.995999999999999</v>
      </c>
      <c r="L4961" s="195">
        <v>22.504989999999999</v>
      </c>
      <c r="M4961" s="195">
        <v>21.288900000000002</v>
      </c>
      <c r="N4961" s="195">
        <v>20.215900000000001</v>
      </c>
    </row>
    <row r="4962" spans="1:14" hidden="1" x14ac:dyDescent="0.35">
      <c r="A4962" s="52" t="s">
        <v>666</v>
      </c>
      <c r="B4962" s="52" t="s">
        <v>37</v>
      </c>
      <c r="C4962" s="52" t="s">
        <v>115</v>
      </c>
      <c r="D4962" s="52" t="s">
        <v>115</v>
      </c>
      <c r="E4962" s="52" t="s">
        <v>584</v>
      </c>
      <c r="F4962" s="52" t="s">
        <v>26</v>
      </c>
      <c r="G4962" s="195" t="s">
        <v>275</v>
      </c>
      <c r="H4962" s="195">
        <v>0.72697400000000001</v>
      </c>
      <c r="I4962" s="195">
        <v>-0.74535300000000004</v>
      </c>
      <c r="J4962" s="195">
        <v>-0.60717080000000001</v>
      </c>
      <c r="K4962" s="195">
        <v>-0.54666599999999999</v>
      </c>
      <c r="L4962" s="195">
        <v>-0.4918227</v>
      </c>
      <c r="M4962" s="195">
        <v>-0.34295439999999999</v>
      </c>
      <c r="N4962" s="195">
        <v>-0.30793320000000002</v>
      </c>
    </row>
    <row r="4963" spans="1:14" hidden="1" x14ac:dyDescent="0.35">
      <c r="A4963" s="52" t="s">
        <v>666</v>
      </c>
      <c r="B4963" s="52" t="s">
        <v>37</v>
      </c>
      <c r="C4963" s="52" t="s">
        <v>115</v>
      </c>
      <c r="D4963" s="52" t="s">
        <v>115</v>
      </c>
      <c r="E4963" s="52" t="s">
        <v>584</v>
      </c>
      <c r="F4963" s="52" t="s">
        <v>26</v>
      </c>
      <c r="G4963" s="195" t="s">
        <v>276</v>
      </c>
      <c r="H4963" s="195">
        <v>-2.3605000000000001E-2</v>
      </c>
      <c r="I4963" s="195">
        <v>1.3405800000000001E-2</v>
      </c>
      <c r="J4963" s="195">
        <v>2.8806000000000001E-3</v>
      </c>
      <c r="K4963" s="195">
        <v>-3.51572E-2</v>
      </c>
      <c r="L4963" s="195">
        <v>-6.1751199999999999E-2</v>
      </c>
      <c r="M4963" s="195">
        <v>-0.15287719999999999</v>
      </c>
      <c r="N4963" s="195">
        <v>-0.13428680000000001</v>
      </c>
    </row>
    <row r="4964" spans="1:14" hidden="1" x14ac:dyDescent="0.35">
      <c r="A4964" s="52" t="s">
        <v>666</v>
      </c>
      <c r="B4964" s="52" t="s">
        <v>37</v>
      </c>
      <c r="C4964" s="52" t="s">
        <v>115</v>
      </c>
      <c r="D4964" s="52" t="s">
        <v>115</v>
      </c>
      <c r="E4964" s="52" t="s">
        <v>584</v>
      </c>
      <c r="F4964" s="52" t="s">
        <v>26</v>
      </c>
      <c r="G4964" s="195" t="s">
        <v>277</v>
      </c>
      <c r="H4964" s="195">
        <v>0</v>
      </c>
      <c r="I4964" s="195">
        <v>1.1405430000000001</v>
      </c>
      <c r="J4964" s="195">
        <v>1.0013590000000001</v>
      </c>
      <c r="K4964" s="195">
        <v>0.90136519999999998</v>
      </c>
      <c r="L4964" s="195">
        <v>0.81135590000000002</v>
      </c>
      <c r="M4964" s="195">
        <v>0.73033599999999999</v>
      </c>
      <c r="N4964" s="195">
        <v>0.65740679999999996</v>
      </c>
    </row>
    <row r="4965" spans="1:14" hidden="1" x14ac:dyDescent="0.35">
      <c r="A4965" s="52" t="s">
        <v>666</v>
      </c>
      <c r="B4965" s="52" t="s">
        <v>37</v>
      </c>
      <c r="C4965" s="52" t="s">
        <v>115</v>
      </c>
      <c r="D4965" s="52" t="s">
        <v>115</v>
      </c>
      <c r="E4965" s="52" t="s">
        <v>584</v>
      </c>
      <c r="F4965" s="52" t="s">
        <v>26</v>
      </c>
      <c r="G4965" s="195" t="s">
        <v>278</v>
      </c>
      <c r="H4965" s="195">
        <v>0</v>
      </c>
      <c r="I4965" s="195">
        <v>3.725E-3</v>
      </c>
      <c r="J4965" s="195">
        <v>0</v>
      </c>
      <c r="K4965" s="195"/>
      <c r="L4965" s="195"/>
      <c r="M4965" s="195"/>
      <c r="N4965" s="195"/>
    </row>
    <row r="4966" spans="1:14" hidden="1" x14ac:dyDescent="0.35">
      <c r="A4966" s="52" t="s">
        <v>666</v>
      </c>
      <c r="B4966" s="52" t="s">
        <v>37</v>
      </c>
      <c r="C4966" s="52" t="s">
        <v>115</v>
      </c>
      <c r="D4966" s="52" t="s">
        <v>115</v>
      </c>
      <c r="E4966" s="52" t="s">
        <v>584</v>
      </c>
      <c r="F4966" s="52" t="s">
        <v>26</v>
      </c>
      <c r="G4966" s="195" t="s">
        <v>279</v>
      </c>
      <c r="H4966" s="195">
        <v>1.051393</v>
      </c>
      <c r="I4966" s="195">
        <v>0.82116679999999997</v>
      </c>
      <c r="J4966" s="195">
        <v>0.74800120000000003</v>
      </c>
      <c r="K4966" s="195">
        <v>0.73668100000000003</v>
      </c>
      <c r="L4966" s="195">
        <v>0.71591879999999997</v>
      </c>
      <c r="M4966" s="195">
        <v>0.66262580000000004</v>
      </c>
      <c r="N4966" s="195">
        <v>0.61381680000000005</v>
      </c>
    </row>
    <row r="4967" spans="1:14" hidden="1" x14ac:dyDescent="0.35">
      <c r="A4967" s="52" t="s">
        <v>666</v>
      </c>
      <c r="B4967" s="52" t="s">
        <v>37</v>
      </c>
      <c r="C4967" s="52" t="s">
        <v>246</v>
      </c>
      <c r="D4967" s="52" t="s">
        <v>246</v>
      </c>
      <c r="E4967" s="52" t="s">
        <v>647</v>
      </c>
      <c r="F4967" s="52" t="s">
        <v>26</v>
      </c>
      <c r="G4967" s="195" t="s">
        <v>275</v>
      </c>
      <c r="H4967" s="195">
        <v>8.0940000000000005E-3</v>
      </c>
      <c r="I4967" s="195">
        <v>1.13022E-2</v>
      </c>
      <c r="J4967" s="195">
        <v>1.1816999999999999E-2</v>
      </c>
      <c r="K4967" s="195">
        <v>8.9183999999999999E-3</v>
      </c>
      <c r="L4967" s="195">
        <v>-2.5371429999999999</v>
      </c>
      <c r="M4967" s="195">
        <v>0.14498900000000001</v>
      </c>
      <c r="N4967" s="195">
        <v>0.114985</v>
      </c>
    </row>
    <row r="4968" spans="1:14" hidden="1" x14ac:dyDescent="0.35">
      <c r="A4968" s="52" t="s">
        <v>666</v>
      </c>
      <c r="B4968" s="52" t="s">
        <v>37</v>
      </c>
      <c r="C4968" s="52" t="s">
        <v>246</v>
      </c>
      <c r="D4968" s="52" t="s">
        <v>246</v>
      </c>
      <c r="E4968" s="52" t="s">
        <v>647</v>
      </c>
      <c r="F4968" s="52" t="s">
        <v>26</v>
      </c>
      <c r="G4968" s="195" t="s">
        <v>276</v>
      </c>
      <c r="H4968" s="195">
        <v>2.4780000000000002E-3</v>
      </c>
      <c r="I4968" s="195">
        <v>3.4580000000000001E-3</v>
      </c>
      <c r="J4968" s="195">
        <v>3.6167999999999999E-3</v>
      </c>
      <c r="K4968" s="195">
        <v>2.7293999999999999E-3</v>
      </c>
      <c r="L4968" s="195">
        <v>-0.11702419999999999</v>
      </c>
      <c r="M4968" s="195">
        <v>-8.7494589999999997E-2</v>
      </c>
      <c r="N4968" s="195">
        <v>-7.0305800000000002E-2</v>
      </c>
    </row>
    <row r="4969" spans="1:14" hidden="1" x14ac:dyDescent="0.35">
      <c r="A4969" s="52" t="s">
        <v>666</v>
      </c>
      <c r="B4969" s="52" t="s">
        <v>37</v>
      </c>
      <c r="C4969" s="52" t="s">
        <v>246</v>
      </c>
      <c r="D4969" s="52" t="s">
        <v>246</v>
      </c>
      <c r="E4969" s="52" t="s">
        <v>647</v>
      </c>
      <c r="F4969" s="52" t="s">
        <v>26</v>
      </c>
      <c r="G4969" s="195" t="s">
        <v>277</v>
      </c>
      <c r="H4969" s="195"/>
      <c r="I4969" s="195"/>
      <c r="J4969" s="195"/>
      <c r="K4969" s="195">
        <v>0</v>
      </c>
      <c r="L4969" s="195">
        <v>2.11816</v>
      </c>
      <c r="M4969" s="195">
        <v>0</v>
      </c>
      <c r="N4969" s="195">
        <v>0</v>
      </c>
    </row>
    <row r="4970" spans="1:14" hidden="1" x14ac:dyDescent="0.35">
      <c r="A4970" s="52" t="s">
        <v>666</v>
      </c>
      <c r="B4970" s="52" t="s">
        <v>37</v>
      </c>
      <c r="C4970" s="52" t="s">
        <v>246</v>
      </c>
      <c r="D4970" s="52" t="s">
        <v>246</v>
      </c>
      <c r="E4970" s="52" t="s">
        <v>647</v>
      </c>
      <c r="F4970" s="52" t="s">
        <v>26</v>
      </c>
      <c r="G4970" s="195" t="s">
        <v>278</v>
      </c>
      <c r="H4970" s="195"/>
      <c r="I4970" s="195"/>
      <c r="J4970" s="195"/>
      <c r="K4970" s="195">
        <v>0</v>
      </c>
      <c r="L4970" s="195">
        <v>0.57520280000000001</v>
      </c>
      <c r="M4970" s="195">
        <v>0</v>
      </c>
      <c r="N4970" s="195"/>
    </row>
    <row r="4971" spans="1:14" hidden="1" x14ac:dyDescent="0.35">
      <c r="A4971" s="52" t="s">
        <v>666</v>
      </c>
      <c r="B4971" s="52" t="s">
        <v>37</v>
      </c>
      <c r="C4971" s="52" t="s">
        <v>246</v>
      </c>
      <c r="D4971" s="52" t="s">
        <v>246</v>
      </c>
      <c r="E4971" s="52" t="s">
        <v>647</v>
      </c>
      <c r="F4971" s="52" t="s">
        <v>26</v>
      </c>
      <c r="G4971" s="195" t="s">
        <v>279</v>
      </c>
      <c r="H4971" s="195">
        <v>2.5971000000000001E-2</v>
      </c>
      <c r="I4971" s="195">
        <v>5.7424200000000002E-2</v>
      </c>
      <c r="J4971" s="195">
        <v>5.1370199999999998E-2</v>
      </c>
      <c r="K4971" s="195">
        <v>4.9963199999999999E-2</v>
      </c>
      <c r="L4971" s="195">
        <v>0.25379479999999999</v>
      </c>
      <c r="M4971" s="195">
        <v>0.34499039999999997</v>
      </c>
      <c r="N4971" s="195">
        <v>0.26763520000000002</v>
      </c>
    </row>
    <row r="4972" spans="1:14" hidden="1" x14ac:dyDescent="0.35">
      <c r="A4972" s="52" t="s">
        <v>666</v>
      </c>
      <c r="B4972" s="52" t="s">
        <v>37</v>
      </c>
      <c r="C4972" s="52" t="s">
        <v>109</v>
      </c>
      <c r="D4972" s="52" t="s">
        <v>109</v>
      </c>
      <c r="E4972" s="52" t="s">
        <v>584</v>
      </c>
      <c r="F4972" s="52" t="s">
        <v>581</v>
      </c>
      <c r="G4972" s="195" t="s">
        <v>275</v>
      </c>
      <c r="H4972" s="195">
        <v>0</v>
      </c>
      <c r="I4972" s="195"/>
      <c r="J4972" s="195">
        <v>0</v>
      </c>
      <c r="K4972" s="195">
        <v>0</v>
      </c>
      <c r="L4972" s="195">
        <v>0</v>
      </c>
      <c r="M4972" s="195">
        <v>0</v>
      </c>
      <c r="N4972" s="195">
        <v>0</v>
      </c>
    </row>
    <row r="4973" spans="1:14" hidden="1" x14ac:dyDescent="0.35">
      <c r="A4973" s="52" t="s">
        <v>666</v>
      </c>
      <c r="B4973" s="52" t="s">
        <v>37</v>
      </c>
      <c r="C4973" s="52" t="s">
        <v>109</v>
      </c>
      <c r="D4973" s="52" t="s">
        <v>109</v>
      </c>
      <c r="E4973" s="52" t="s">
        <v>584</v>
      </c>
      <c r="F4973" s="52" t="s">
        <v>581</v>
      </c>
      <c r="G4973" s="195" t="s">
        <v>276</v>
      </c>
      <c r="H4973" s="195"/>
      <c r="I4973" s="195"/>
      <c r="J4973" s="195">
        <v>0</v>
      </c>
      <c r="K4973" s="195">
        <v>0</v>
      </c>
      <c r="L4973" s="195">
        <v>0</v>
      </c>
      <c r="M4973" s="195">
        <v>0</v>
      </c>
      <c r="N4973" s="195">
        <v>0</v>
      </c>
    </row>
    <row r="4974" spans="1:14" hidden="1" x14ac:dyDescent="0.35">
      <c r="A4974" s="52" t="s">
        <v>666</v>
      </c>
      <c r="B4974" s="52" t="s">
        <v>37</v>
      </c>
      <c r="C4974" s="52" t="s">
        <v>109</v>
      </c>
      <c r="D4974" s="52" t="s">
        <v>109</v>
      </c>
      <c r="E4974" s="52" t="s">
        <v>584</v>
      </c>
      <c r="F4974" s="52" t="s">
        <v>581</v>
      </c>
      <c r="G4974" s="195" t="s">
        <v>278</v>
      </c>
      <c r="H4974" s="195"/>
      <c r="I4974" s="195"/>
      <c r="J4974" s="195">
        <v>0</v>
      </c>
      <c r="K4974" s="195">
        <v>0</v>
      </c>
      <c r="L4974" s="195">
        <v>0</v>
      </c>
      <c r="M4974" s="195">
        <v>0</v>
      </c>
      <c r="N4974" s="195">
        <v>0</v>
      </c>
    </row>
    <row r="4975" spans="1:14" hidden="1" x14ac:dyDescent="0.35">
      <c r="A4975" s="52" t="s">
        <v>671</v>
      </c>
      <c r="B4975" s="52" t="s">
        <v>37</v>
      </c>
      <c r="C4975" s="52" t="s">
        <v>35</v>
      </c>
      <c r="D4975" s="52" t="s">
        <v>163</v>
      </c>
      <c r="E4975" s="52" t="s">
        <v>580</v>
      </c>
      <c r="F4975" s="52" t="s">
        <v>581</v>
      </c>
      <c r="G4975" s="195" t="s">
        <v>275</v>
      </c>
      <c r="H4975" s="195">
        <v>74.75403</v>
      </c>
      <c r="I4975" s="195">
        <v>188.7456</v>
      </c>
      <c r="J4975" s="195">
        <v>224.1688</v>
      </c>
      <c r="K4975" s="195">
        <v>236.52510000000001</v>
      </c>
      <c r="L4975" s="195">
        <v>161.69710000000001</v>
      </c>
      <c r="M4975" s="195">
        <v>93.840509999999995</v>
      </c>
      <c r="N4975" s="195">
        <v>72.912450000000007</v>
      </c>
    </row>
    <row r="4976" spans="1:14" hidden="1" x14ac:dyDescent="0.35">
      <c r="A4976" s="52" t="s">
        <v>671</v>
      </c>
      <c r="B4976" s="52" t="s">
        <v>37</v>
      </c>
      <c r="C4976" s="52" t="s">
        <v>35</v>
      </c>
      <c r="D4976" s="52" t="s">
        <v>163</v>
      </c>
      <c r="E4976" s="52" t="s">
        <v>580</v>
      </c>
      <c r="F4976" s="52" t="s">
        <v>581</v>
      </c>
      <c r="G4976" s="195" t="s">
        <v>276</v>
      </c>
      <c r="H4976" s="195">
        <v>79.103200000000001</v>
      </c>
      <c r="I4976" s="195">
        <v>-40.818399999999997</v>
      </c>
      <c r="J4976" s="195">
        <v>-48.2087</v>
      </c>
      <c r="K4976" s="195">
        <v>-68.788359999999997</v>
      </c>
      <c r="L4976" s="195">
        <v>-38.2879</v>
      </c>
      <c r="M4976" s="195">
        <v>16.561920000000001</v>
      </c>
      <c r="N4976" s="195">
        <v>22.331250000000001</v>
      </c>
    </row>
    <row r="4977" spans="1:14" hidden="1" x14ac:dyDescent="0.35">
      <c r="A4977" s="52" t="s">
        <v>671</v>
      </c>
      <c r="B4977" s="52" t="s">
        <v>37</v>
      </c>
      <c r="C4977" s="52" t="s">
        <v>35</v>
      </c>
      <c r="D4977" s="52" t="s">
        <v>163</v>
      </c>
      <c r="E4977" s="52" t="s">
        <v>580</v>
      </c>
      <c r="F4977" s="52" t="s">
        <v>581</v>
      </c>
      <c r="G4977" s="195" t="s">
        <v>277</v>
      </c>
      <c r="H4977" s="195">
        <v>600.16560000000004</v>
      </c>
      <c r="I4977" s="195">
        <v>58.51164</v>
      </c>
      <c r="J4977" s="195">
        <v>9.1687259999999995</v>
      </c>
      <c r="K4977" s="195">
        <v>4.3241649999999998</v>
      </c>
      <c r="L4977" s="195">
        <v>4.6763240000000001</v>
      </c>
      <c r="M4977" s="195">
        <v>6.3343400000000001</v>
      </c>
      <c r="N4977" s="195">
        <v>9.9855839999999993</v>
      </c>
    </row>
    <row r="4978" spans="1:14" hidden="1" x14ac:dyDescent="0.35">
      <c r="A4978" s="52" t="s">
        <v>671</v>
      </c>
      <c r="B4978" s="52" t="s">
        <v>37</v>
      </c>
      <c r="C4978" s="52" t="s">
        <v>35</v>
      </c>
      <c r="D4978" s="52" t="s">
        <v>163</v>
      </c>
      <c r="E4978" s="52" t="s">
        <v>580</v>
      </c>
      <c r="F4978" s="52" t="s">
        <v>581</v>
      </c>
      <c r="G4978" s="195" t="s">
        <v>278</v>
      </c>
      <c r="H4978" s="195">
        <v>154.1223</v>
      </c>
      <c r="I4978" s="195">
        <v>64.676730000000006</v>
      </c>
      <c r="J4978" s="195">
        <v>37.90034</v>
      </c>
      <c r="K4978" s="195">
        <v>25.51266</v>
      </c>
      <c r="L4978" s="195">
        <v>28.619959999999999</v>
      </c>
      <c r="M4978" s="195">
        <v>34.775950000000002</v>
      </c>
      <c r="N4978" s="195">
        <v>45.351819999999996</v>
      </c>
    </row>
    <row r="4979" spans="1:14" hidden="1" x14ac:dyDescent="0.35">
      <c r="A4979" s="52" t="s">
        <v>671</v>
      </c>
      <c r="B4979" s="52" t="s">
        <v>37</v>
      </c>
      <c r="C4979" s="52" t="s">
        <v>35</v>
      </c>
      <c r="D4979" s="52" t="s">
        <v>163</v>
      </c>
      <c r="E4979" s="52" t="s">
        <v>580</v>
      </c>
      <c r="F4979" s="52" t="s">
        <v>581</v>
      </c>
      <c r="G4979" s="195" t="s">
        <v>279</v>
      </c>
      <c r="H4979" s="195">
        <v>280.62630000000001</v>
      </c>
      <c r="I4979" s="195">
        <v>211.6019</v>
      </c>
      <c r="J4979" s="195">
        <v>201.70689999999999</v>
      </c>
      <c r="K4979" s="195">
        <v>185.4521</v>
      </c>
      <c r="L4979" s="195">
        <v>174.5659</v>
      </c>
      <c r="M4979" s="195">
        <v>159.31569999999999</v>
      </c>
      <c r="N4979" s="195">
        <v>152.08359999999999</v>
      </c>
    </row>
    <row r="4980" spans="1:14" hidden="1" x14ac:dyDescent="0.35">
      <c r="A4980" s="52" t="s">
        <v>671</v>
      </c>
      <c r="B4980" s="52" t="s">
        <v>37</v>
      </c>
      <c r="C4980" s="52" t="s">
        <v>35</v>
      </c>
      <c r="D4980" s="52" t="s">
        <v>163</v>
      </c>
      <c r="E4980" s="52" t="s">
        <v>580</v>
      </c>
      <c r="F4980" s="52" t="s">
        <v>26</v>
      </c>
      <c r="G4980" s="195" t="s">
        <v>275</v>
      </c>
      <c r="H4980" s="195">
        <v>-67.900030000000001</v>
      </c>
      <c r="I4980" s="195">
        <v>-45.895899999999997</v>
      </c>
      <c r="J4980" s="195">
        <v>-22.9739</v>
      </c>
      <c r="K4980" s="195">
        <v>-6.5551959999999996</v>
      </c>
      <c r="L4980" s="195">
        <v>2.9443100000000002</v>
      </c>
      <c r="M4980" s="195">
        <v>19.39498</v>
      </c>
      <c r="N4980" s="195">
        <v>35.090690000000002</v>
      </c>
    </row>
    <row r="4981" spans="1:14" hidden="1" x14ac:dyDescent="0.35">
      <c r="A4981" s="52" t="s">
        <v>671</v>
      </c>
      <c r="B4981" s="52" t="s">
        <v>37</v>
      </c>
      <c r="C4981" s="52" t="s">
        <v>35</v>
      </c>
      <c r="D4981" s="52" t="s">
        <v>163</v>
      </c>
      <c r="E4981" s="52" t="s">
        <v>580</v>
      </c>
      <c r="F4981" s="52" t="s">
        <v>26</v>
      </c>
      <c r="G4981" s="195" t="s">
        <v>276</v>
      </c>
      <c r="H4981" s="195">
        <v>-18.049389999999999</v>
      </c>
      <c r="I4981" s="195">
        <v>-12.20016</v>
      </c>
      <c r="J4981" s="195">
        <v>-6.1069870000000002</v>
      </c>
      <c r="K4981" s="195">
        <v>-1.7425250000000001</v>
      </c>
      <c r="L4981" s="195">
        <v>0.78266930000000001</v>
      </c>
      <c r="M4981" s="195">
        <v>5.1556369999999996</v>
      </c>
      <c r="N4981" s="195">
        <v>9.3279040000000002</v>
      </c>
    </row>
    <row r="4982" spans="1:14" hidden="1" x14ac:dyDescent="0.35">
      <c r="A4982" s="52" t="s">
        <v>671</v>
      </c>
      <c r="B4982" s="52" t="s">
        <v>37</v>
      </c>
      <c r="C4982" s="52" t="s">
        <v>35</v>
      </c>
      <c r="D4982" s="52" t="s">
        <v>163</v>
      </c>
      <c r="E4982" s="52" t="s">
        <v>580</v>
      </c>
      <c r="F4982" s="52" t="s">
        <v>26</v>
      </c>
      <c r="G4982" s="195" t="s">
        <v>279</v>
      </c>
      <c r="H4982" s="195">
        <v>132.85059999999999</v>
      </c>
      <c r="I4982" s="195">
        <v>122.70050000000001</v>
      </c>
      <c r="J4982" s="195">
        <v>122.7165</v>
      </c>
      <c r="K4982" s="195">
        <v>117.4877</v>
      </c>
      <c r="L4982" s="195">
        <v>113.14230000000001</v>
      </c>
      <c r="M4982" s="195">
        <v>107.5763</v>
      </c>
      <c r="N4982" s="195">
        <v>106.3164</v>
      </c>
    </row>
    <row r="4983" spans="1:14" hidden="1" x14ac:dyDescent="0.35">
      <c r="A4983" s="52" t="s">
        <v>671</v>
      </c>
      <c r="B4983" s="52" t="s">
        <v>37</v>
      </c>
      <c r="C4983" s="52" t="s">
        <v>35</v>
      </c>
      <c r="D4983" s="52" t="s">
        <v>163</v>
      </c>
      <c r="E4983" s="52" t="s">
        <v>582</v>
      </c>
      <c r="F4983" s="52" t="s">
        <v>581</v>
      </c>
      <c r="G4983" s="195" t="s">
        <v>275</v>
      </c>
      <c r="H4983" s="195">
        <v>-13.151960000000001</v>
      </c>
      <c r="I4983" s="195">
        <v>9.5069119999999998</v>
      </c>
      <c r="J4983" s="195">
        <v>14.67531</v>
      </c>
      <c r="K4983" s="195">
        <v>12.061820000000001</v>
      </c>
      <c r="L4983" s="195">
        <v>8.4036019999999994</v>
      </c>
      <c r="M4983" s="195">
        <v>-0.80890530000000005</v>
      </c>
      <c r="N4983" s="195">
        <v>-2.8200810000000001</v>
      </c>
    </row>
    <row r="4984" spans="1:14" hidden="1" x14ac:dyDescent="0.35">
      <c r="A4984" s="52" t="s">
        <v>671</v>
      </c>
      <c r="B4984" s="52" t="s">
        <v>37</v>
      </c>
      <c r="C4984" s="52" t="s">
        <v>35</v>
      </c>
      <c r="D4984" s="52" t="s">
        <v>163</v>
      </c>
      <c r="E4984" s="52" t="s">
        <v>582</v>
      </c>
      <c r="F4984" s="52" t="s">
        <v>581</v>
      </c>
      <c r="G4984" s="195" t="s">
        <v>276</v>
      </c>
      <c r="H4984" s="195">
        <v>1.980691</v>
      </c>
      <c r="I4984" s="195">
        <v>-3.0997659999999998</v>
      </c>
      <c r="J4984" s="195">
        <v>-5.6336040000000001</v>
      </c>
      <c r="K4984" s="195">
        <v>-3.999377</v>
      </c>
      <c r="L4984" s="195">
        <v>-3.1402749999999999</v>
      </c>
      <c r="M4984" s="195">
        <v>1.2185870000000001</v>
      </c>
      <c r="N4984" s="195">
        <v>1.6407149999999999</v>
      </c>
    </row>
    <row r="4985" spans="1:14" hidden="1" x14ac:dyDescent="0.35">
      <c r="A4985" s="52" t="s">
        <v>671</v>
      </c>
      <c r="B4985" s="52" t="s">
        <v>37</v>
      </c>
      <c r="C4985" s="52" t="s">
        <v>35</v>
      </c>
      <c r="D4985" s="52" t="s">
        <v>163</v>
      </c>
      <c r="E4985" s="52" t="s">
        <v>582</v>
      </c>
      <c r="F4985" s="52" t="s">
        <v>581</v>
      </c>
      <c r="G4985" s="195" t="s">
        <v>277</v>
      </c>
      <c r="H4985" s="195">
        <v>42.163429999999998</v>
      </c>
      <c r="I4985" s="195">
        <v>2.47688</v>
      </c>
      <c r="J4985" s="195">
        <v>0.50819720000000002</v>
      </c>
      <c r="K4985" s="195">
        <v>0.5215438</v>
      </c>
      <c r="L4985" s="195">
        <v>0.93134380000000005</v>
      </c>
      <c r="M4985" s="195">
        <v>1.9545790000000001</v>
      </c>
      <c r="N4985" s="195">
        <v>2.7745410000000001</v>
      </c>
    </row>
    <row r="4986" spans="1:14" hidden="1" x14ac:dyDescent="0.35">
      <c r="A4986" s="52" t="s">
        <v>671</v>
      </c>
      <c r="B4986" s="52" t="s">
        <v>37</v>
      </c>
      <c r="C4986" s="52" t="s">
        <v>35</v>
      </c>
      <c r="D4986" s="52" t="s">
        <v>163</v>
      </c>
      <c r="E4986" s="52" t="s">
        <v>582</v>
      </c>
      <c r="F4986" s="52" t="s">
        <v>581</v>
      </c>
      <c r="G4986" s="195" t="s">
        <v>278</v>
      </c>
      <c r="H4986" s="195">
        <v>13.150169999999999</v>
      </c>
      <c r="I4986" s="195">
        <v>3.1579519999999999</v>
      </c>
      <c r="J4986" s="195">
        <v>2.437878</v>
      </c>
      <c r="K4986" s="195">
        <v>2.847753</v>
      </c>
      <c r="L4986" s="195">
        <v>3.984429</v>
      </c>
      <c r="M4986" s="195">
        <v>9.5711849999999998</v>
      </c>
      <c r="N4986" s="195">
        <v>13.497159999999999</v>
      </c>
    </row>
    <row r="4987" spans="1:14" hidden="1" x14ac:dyDescent="0.35">
      <c r="A4987" s="52" t="s">
        <v>671</v>
      </c>
      <c r="B4987" s="52" t="s">
        <v>37</v>
      </c>
      <c r="C4987" s="52" t="s">
        <v>35</v>
      </c>
      <c r="D4987" s="52" t="s">
        <v>163</v>
      </c>
      <c r="E4987" s="52" t="s">
        <v>582</v>
      </c>
      <c r="F4987" s="52" t="s">
        <v>581</v>
      </c>
      <c r="G4987" s="195" t="s">
        <v>279</v>
      </c>
      <c r="H4987" s="195">
        <v>10.77392</v>
      </c>
      <c r="I4987" s="195">
        <v>6.7688629999999996</v>
      </c>
      <c r="J4987" s="195">
        <v>7.6676270000000004</v>
      </c>
      <c r="K4987" s="195">
        <v>7.6266699999999998</v>
      </c>
      <c r="L4987" s="195">
        <v>7.8089829999999996</v>
      </c>
      <c r="M4987" s="195">
        <v>8.9772619999999996</v>
      </c>
      <c r="N4987" s="195">
        <v>11.204800000000001</v>
      </c>
    </row>
    <row r="4988" spans="1:14" hidden="1" x14ac:dyDescent="0.35">
      <c r="A4988" s="52" t="s">
        <v>671</v>
      </c>
      <c r="B4988" s="52" t="s">
        <v>37</v>
      </c>
      <c r="C4988" s="52" t="s">
        <v>35</v>
      </c>
      <c r="D4988" s="52" t="s">
        <v>163</v>
      </c>
      <c r="E4988" s="52" t="s">
        <v>582</v>
      </c>
      <c r="F4988" s="52" t="s">
        <v>26</v>
      </c>
      <c r="G4988" s="195" t="s">
        <v>275</v>
      </c>
      <c r="H4988" s="195">
        <v>-3.4492080000000001</v>
      </c>
      <c r="I4988" s="195">
        <v>-1.7246509999999999</v>
      </c>
      <c r="J4988" s="195">
        <v>-0.55096140000000005</v>
      </c>
      <c r="K4988" s="195">
        <v>0.49138520000000002</v>
      </c>
      <c r="L4988" s="195">
        <v>1.20347</v>
      </c>
      <c r="M4988" s="195">
        <v>2.8240120000000002</v>
      </c>
      <c r="N4988" s="195">
        <v>5.3033330000000003</v>
      </c>
    </row>
    <row r="4989" spans="1:14" hidden="1" x14ac:dyDescent="0.35">
      <c r="A4989" s="52" t="s">
        <v>671</v>
      </c>
      <c r="B4989" s="52" t="s">
        <v>37</v>
      </c>
      <c r="C4989" s="52" t="s">
        <v>35</v>
      </c>
      <c r="D4989" s="52" t="s">
        <v>163</v>
      </c>
      <c r="E4989" s="52" t="s">
        <v>582</v>
      </c>
      <c r="F4989" s="52" t="s">
        <v>26</v>
      </c>
      <c r="G4989" s="195" t="s">
        <v>276</v>
      </c>
      <c r="H4989" s="195">
        <v>-0.91687700000000005</v>
      </c>
      <c r="I4989" s="195">
        <v>-0.45845340000000001</v>
      </c>
      <c r="J4989" s="195">
        <v>-0.1464568</v>
      </c>
      <c r="K4989" s="195">
        <v>0.13062199999999999</v>
      </c>
      <c r="L4989" s="195">
        <v>0.31990980000000002</v>
      </c>
      <c r="M4989" s="195">
        <v>0.7506872</v>
      </c>
      <c r="N4989" s="195">
        <v>1.4097470000000001</v>
      </c>
    </row>
    <row r="4990" spans="1:14" hidden="1" x14ac:dyDescent="0.35">
      <c r="A4990" s="52" t="s">
        <v>671</v>
      </c>
      <c r="B4990" s="52" t="s">
        <v>37</v>
      </c>
      <c r="C4990" s="52" t="s">
        <v>35</v>
      </c>
      <c r="D4990" s="52" t="s">
        <v>163</v>
      </c>
      <c r="E4990" s="52" t="s">
        <v>582</v>
      </c>
      <c r="F4990" s="52" t="s">
        <v>26</v>
      </c>
      <c r="G4990" s="195" t="s">
        <v>279</v>
      </c>
      <c r="H4990" s="195">
        <v>7.4698399999999996</v>
      </c>
      <c r="I4990" s="195">
        <v>5.7112759999999998</v>
      </c>
      <c r="J4990" s="195">
        <v>6.7837639999999997</v>
      </c>
      <c r="K4990" s="195">
        <v>6.9833090000000002</v>
      </c>
      <c r="L4990" s="195">
        <v>7.2153739999999997</v>
      </c>
      <c r="M4990" s="195">
        <v>8.4201899999999998</v>
      </c>
      <c r="N4990" s="195">
        <v>10.634840000000001</v>
      </c>
    </row>
    <row r="4991" spans="1:14" hidden="1" x14ac:dyDescent="0.35">
      <c r="A4991" s="52" t="s">
        <v>671</v>
      </c>
      <c r="B4991" s="52" t="s">
        <v>37</v>
      </c>
      <c r="C4991" s="52" t="s">
        <v>35</v>
      </c>
      <c r="D4991" s="52" t="s">
        <v>39</v>
      </c>
      <c r="E4991" s="52" t="s">
        <v>582</v>
      </c>
      <c r="F4991" s="52" t="s">
        <v>581</v>
      </c>
      <c r="G4991" s="195" t="s">
        <v>275</v>
      </c>
      <c r="H4991" s="195">
        <v>88.724530000000001</v>
      </c>
      <c r="I4991" s="195">
        <v>20.666820000000001</v>
      </c>
      <c r="J4991" s="195">
        <v>42.684249999999999</v>
      </c>
      <c r="K4991" s="195">
        <v>34.311669999999999</v>
      </c>
      <c r="L4991" s="195">
        <v>18.597650000000002</v>
      </c>
      <c r="M4991" s="195">
        <v>15.79025</v>
      </c>
      <c r="N4991" s="195">
        <v>10.914440000000001</v>
      </c>
    </row>
    <row r="4992" spans="1:14" hidden="1" x14ac:dyDescent="0.35">
      <c r="A4992" s="52" t="s">
        <v>671</v>
      </c>
      <c r="B4992" s="52" t="s">
        <v>37</v>
      </c>
      <c r="C4992" s="52" t="s">
        <v>35</v>
      </c>
      <c r="D4992" s="52" t="s">
        <v>39</v>
      </c>
      <c r="E4992" s="52" t="s">
        <v>582</v>
      </c>
      <c r="F4992" s="52" t="s">
        <v>581</v>
      </c>
      <c r="G4992" s="195" t="s">
        <v>276</v>
      </c>
      <c r="H4992" s="195">
        <v>14.605549999999999</v>
      </c>
      <c r="I4992" s="195">
        <v>-5.3907290000000003</v>
      </c>
      <c r="J4992" s="195">
        <v>-14.621370000000001</v>
      </c>
      <c r="K4992" s="195">
        <v>-11.103490000000001</v>
      </c>
      <c r="L4992" s="195">
        <v>-2.144568</v>
      </c>
      <c r="M4992" s="195">
        <v>1.329869</v>
      </c>
      <c r="N4992" s="195">
        <v>3.2416109999999998</v>
      </c>
    </row>
    <row r="4993" spans="1:14" hidden="1" x14ac:dyDescent="0.35">
      <c r="A4993" s="52" t="s">
        <v>671</v>
      </c>
      <c r="B4993" s="52" t="s">
        <v>37</v>
      </c>
      <c r="C4993" s="52" t="s">
        <v>35</v>
      </c>
      <c r="D4993" s="52" t="s">
        <v>39</v>
      </c>
      <c r="E4993" s="52" t="s">
        <v>582</v>
      </c>
      <c r="F4993" s="52" t="s">
        <v>581</v>
      </c>
      <c r="G4993" s="195" t="s">
        <v>277</v>
      </c>
      <c r="H4993" s="195">
        <v>55.6691</v>
      </c>
      <c r="I4993" s="195">
        <v>18.94312</v>
      </c>
      <c r="J4993" s="195">
        <v>0.85329060000000001</v>
      </c>
      <c r="K4993" s="195">
        <v>0.54061360000000003</v>
      </c>
      <c r="L4993" s="195">
        <v>1.1321399999999999</v>
      </c>
      <c r="M4993" s="195">
        <v>0.76155539999999999</v>
      </c>
      <c r="N4993" s="195">
        <v>1.7839419999999999</v>
      </c>
    </row>
    <row r="4994" spans="1:14" hidden="1" x14ac:dyDescent="0.35">
      <c r="A4994" s="52" t="s">
        <v>671</v>
      </c>
      <c r="B4994" s="52" t="s">
        <v>37</v>
      </c>
      <c r="C4994" s="52" t="s">
        <v>35</v>
      </c>
      <c r="D4994" s="52" t="s">
        <v>39</v>
      </c>
      <c r="E4994" s="52" t="s">
        <v>582</v>
      </c>
      <c r="F4994" s="52" t="s">
        <v>581</v>
      </c>
      <c r="G4994" s="195" t="s">
        <v>278</v>
      </c>
      <c r="H4994" s="195">
        <v>8.5182959999999994</v>
      </c>
      <c r="I4994" s="195">
        <v>10.288930000000001</v>
      </c>
      <c r="J4994" s="195">
        <v>3.0469520000000001</v>
      </c>
      <c r="K4994" s="195">
        <v>2.367219</v>
      </c>
      <c r="L4994" s="195">
        <v>3.347483</v>
      </c>
      <c r="M4994" s="195">
        <v>2.5813929999999998</v>
      </c>
      <c r="N4994" s="195">
        <v>3.5707710000000001</v>
      </c>
    </row>
    <row r="4995" spans="1:14" hidden="1" x14ac:dyDescent="0.35">
      <c r="A4995" s="52" t="s">
        <v>671</v>
      </c>
      <c r="B4995" s="52" t="s">
        <v>37</v>
      </c>
      <c r="C4995" s="52" t="s">
        <v>35</v>
      </c>
      <c r="D4995" s="52" t="s">
        <v>39</v>
      </c>
      <c r="E4995" s="52" t="s">
        <v>582</v>
      </c>
      <c r="F4995" s="52" t="s">
        <v>581</v>
      </c>
      <c r="G4995" s="195" t="s">
        <v>279</v>
      </c>
      <c r="H4995" s="195">
        <v>60.51294</v>
      </c>
      <c r="I4995" s="195">
        <v>48.439700000000002</v>
      </c>
      <c r="J4995" s="195">
        <v>41.749339999999997</v>
      </c>
      <c r="K4995" s="195">
        <v>36.17595</v>
      </c>
      <c r="L4995" s="195">
        <v>37.001530000000002</v>
      </c>
      <c r="M4995" s="195">
        <v>34.461550000000003</v>
      </c>
      <c r="N4995" s="195">
        <v>31.511040000000001</v>
      </c>
    </row>
    <row r="4996" spans="1:14" hidden="1" x14ac:dyDescent="0.35">
      <c r="A4996" s="52" t="s">
        <v>671</v>
      </c>
      <c r="B4996" s="52" t="s">
        <v>37</v>
      </c>
      <c r="C4996" s="52" t="s">
        <v>35</v>
      </c>
      <c r="D4996" s="52" t="s">
        <v>39</v>
      </c>
      <c r="E4996" s="52" t="s">
        <v>582</v>
      </c>
      <c r="F4996" s="52" t="s">
        <v>26</v>
      </c>
      <c r="G4996" s="195" t="s">
        <v>275</v>
      </c>
      <c r="H4996" s="195">
        <v>-12.107329999999999</v>
      </c>
      <c r="I4996" s="195">
        <v>-8.3116649999999996</v>
      </c>
      <c r="J4996" s="195">
        <v>-4.0443059999999997</v>
      </c>
      <c r="K4996" s="195">
        <v>-1.468245</v>
      </c>
      <c r="L4996" s="195">
        <v>-0.25591960000000002</v>
      </c>
      <c r="M4996" s="195">
        <v>2.0399600000000002</v>
      </c>
      <c r="N4996" s="195">
        <v>3.932906</v>
      </c>
    </row>
    <row r="4997" spans="1:14" hidden="1" x14ac:dyDescent="0.35">
      <c r="A4997" s="52" t="s">
        <v>671</v>
      </c>
      <c r="B4997" s="52" t="s">
        <v>37</v>
      </c>
      <c r="C4997" s="52" t="s">
        <v>35</v>
      </c>
      <c r="D4997" s="52" t="s">
        <v>39</v>
      </c>
      <c r="E4997" s="52" t="s">
        <v>582</v>
      </c>
      <c r="F4997" s="52" t="s">
        <v>26</v>
      </c>
      <c r="G4997" s="195" t="s">
        <v>276</v>
      </c>
      <c r="H4997" s="195">
        <v>-3.218407</v>
      </c>
      <c r="I4997" s="195">
        <v>-2.2094330000000002</v>
      </c>
      <c r="J4997" s="195">
        <v>-1.07507</v>
      </c>
      <c r="K4997" s="195">
        <v>-0.3902928</v>
      </c>
      <c r="L4997" s="195">
        <v>-6.802938E-2</v>
      </c>
      <c r="M4997" s="195">
        <v>0.54226700000000005</v>
      </c>
      <c r="N4997" s="195">
        <v>1.045455</v>
      </c>
    </row>
    <row r="4998" spans="1:14" hidden="1" x14ac:dyDescent="0.35">
      <c r="A4998" s="52" t="s">
        <v>671</v>
      </c>
      <c r="B4998" s="52" t="s">
        <v>37</v>
      </c>
      <c r="C4998" s="52" t="s">
        <v>35</v>
      </c>
      <c r="D4998" s="52" t="s">
        <v>39</v>
      </c>
      <c r="E4998" s="52" t="s">
        <v>582</v>
      </c>
      <c r="F4998" s="52" t="s">
        <v>26</v>
      </c>
      <c r="G4998" s="195" t="s">
        <v>279</v>
      </c>
      <c r="H4998" s="195">
        <v>22.935189999999999</v>
      </c>
      <c r="I4998" s="195">
        <v>20.838560000000001</v>
      </c>
      <c r="J4998" s="195">
        <v>18.631530000000001</v>
      </c>
      <c r="K4998" s="195">
        <v>16.619540000000001</v>
      </c>
      <c r="L4998" s="195">
        <v>17.063700000000001</v>
      </c>
      <c r="M4998" s="195">
        <v>16.090029999999999</v>
      </c>
      <c r="N4998" s="195">
        <v>14.84581</v>
      </c>
    </row>
    <row r="4999" spans="1:14" hidden="1" x14ac:dyDescent="0.35">
      <c r="A4999" s="52" t="s">
        <v>671</v>
      </c>
      <c r="B4999" s="52" t="s">
        <v>37</v>
      </c>
      <c r="C4999" s="52" t="s">
        <v>35</v>
      </c>
      <c r="D4999" s="52" t="s">
        <v>39</v>
      </c>
      <c r="E4999" s="52" t="s">
        <v>580</v>
      </c>
      <c r="F4999" s="52" t="s">
        <v>581</v>
      </c>
      <c r="G4999" s="195" t="s">
        <v>275</v>
      </c>
      <c r="H4999" s="195">
        <v>-75.018410000000003</v>
      </c>
      <c r="I4999" s="195">
        <v>0.35017619999999999</v>
      </c>
      <c r="J4999" s="195">
        <v>18.571020000000001</v>
      </c>
      <c r="K4999" s="195">
        <v>19.686689999999999</v>
      </c>
      <c r="L4999" s="195">
        <v>20.416440000000001</v>
      </c>
      <c r="M4999" s="195">
        <v>9.9451420000000006</v>
      </c>
      <c r="N4999" s="195">
        <v>6.6412380000000004</v>
      </c>
    </row>
    <row r="5000" spans="1:14" hidden="1" x14ac:dyDescent="0.35">
      <c r="A5000" s="52" t="s">
        <v>671</v>
      </c>
      <c r="B5000" s="52" t="s">
        <v>37</v>
      </c>
      <c r="C5000" s="52" t="s">
        <v>35</v>
      </c>
      <c r="D5000" s="52" t="s">
        <v>39</v>
      </c>
      <c r="E5000" s="52" t="s">
        <v>580</v>
      </c>
      <c r="F5000" s="52" t="s">
        <v>581</v>
      </c>
      <c r="G5000" s="195" t="s">
        <v>276</v>
      </c>
      <c r="H5000" s="195">
        <v>9.5518509999999992</v>
      </c>
      <c r="I5000" s="195">
        <v>-3.9991500000000002</v>
      </c>
      <c r="J5000" s="195">
        <v>-4.0888210000000003</v>
      </c>
      <c r="K5000" s="195">
        <v>-8.6719860000000004</v>
      </c>
      <c r="L5000" s="195">
        <v>-12.568</v>
      </c>
      <c r="M5000" s="195">
        <v>-0.93753430000000004</v>
      </c>
      <c r="N5000" s="195">
        <v>1.2722789999999999</v>
      </c>
    </row>
    <row r="5001" spans="1:14" hidden="1" x14ac:dyDescent="0.35">
      <c r="A5001" s="52" t="s">
        <v>671</v>
      </c>
      <c r="B5001" s="52" t="s">
        <v>37</v>
      </c>
      <c r="C5001" s="52" t="s">
        <v>35</v>
      </c>
      <c r="D5001" s="52" t="s">
        <v>39</v>
      </c>
      <c r="E5001" s="52" t="s">
        <v>580</v>
      </c>
      <c r="F5001" s="52" t="s">
        <v>581</v>
      </c>
      <c r="G5001" s="195" t="s">
        <v>277</v>
      </c>
      <c r="H5001" s="195">
        <v>143.38900000000001</v>
      </c>
      <c r="I5001" s="195">
        <v>24.027989999999999</v>
      </c>
      <c r="J5001" s="195">
        <v>1.449071</v>
      </c>
      <c r="K5001" s="195">
        <v>1.6211390000000001</v>
      </c>
      <c r="L5001" s="195">
        <v>2.2035429999999998</v>
      </c>
      <c r="M5001" s="195">
        <v>0</v>
      </c>
      <c r="N5001" s="195">
        <v>0</v>
      </c>
    </row>
    <row r="5002" spans="1:14" hidden="1" x14ac:dyDescent="0.35">
      <c r="A5002" s="52" t="s">
        <v>671</v>
      </c>
      <c r="B5002" s="52" t="s">
        <v>37</v>
      </c>
      <c r="C5002" s="52" t="s">
        <v>35</v>
      </c>
      <c r="D5002" s="52" t="s">
        <v>39</v>
      </c>
      <c r="E5002" s="52" t="s">
        <v>580</v>
      </c>
      <c r="F5002" s="52" t="s">
        <v>581</v>
      </c>
      <c r="G5002" s="195" t="s">
        <v>278</v>
      </c>
      <c r="H5002" s="195">
        <v>16.78491</v>
      </c>
      <c r="I5002" s="195">
        <v>6.3787770000000004</v>
      </c>
      <c r="J5002" s="195">
        <v>1.7280850000000001</v>
      </c>
      <c r="K5002" s="195">
        <v>0.91513199999999995</v>
      </c>
      <c r="L5002" s="195">
        <v>9.3091409999999999E-2</v>
      </c>
      <c r="M5002" s="195">
        <v>0</v>
      </c>
      <c r="N5002" s="195"/>
    </row>
    <row r="5003" spans="1:14" hidden="1" x14ac:dyDescent="0.35">
      <c r="A5003" s="52" t="s">
        <v>671</v>
      </c>
      <c r="B5003" s="52" t="s">
        <v>37</v>
      </c>
      <c r="C5003" s="52" t="s">
        <v>35</v>
      </c>
      <c r="D5003" s="52" t="s">
        <v>39</v>
      </c>
      <c r="E5003" s="52" t="s">
        <v>580</v>
      </c>
      <c r="F5003" s="52" t="s">
        <v>581</v>
      </c>
      <c r="G5003" s="195" t="s">
        <v>279</v>
      </c>
      <c r="H5003" s="195">
        <v>33.931280000000001</v>
      </c>
      <c r="I5003" s="195">
        <v>28.71406</v>
      </c>
      <c r="J5003" s="195">
        <v>22.664639999999999</v>
      </c>
      <c r="K5003" s="195">
        <v>18.29862</v>
      </c>
      <c r="L5003" s="195">
        <v>17.659649999999999</v>
      </c>
      <c r="M5003" s="195">
        <v>15.23601</v>
      </c>
      <c r="N5003" s="195">
        <v>13.370329999999999</v>
      </c>
    </row>
    <row r="5004" spans="1:14" hidden="1" x14ac:dyDescent="0.35">
      <c r="A5004" s="52" t="s">
        <v>671</v>
      </c>
      <c r="B5004" s="52" t="s">
        <v>37</v>
      </c>
      <c r="C5004" s="52" t="s">
        <v>35</v>
      </c>
      <c r="D5004" s="52" t="s">
        <v>39</v>
      </c>
      <c r="E5004" s="52" t="s">
        <v>580</v>
      </c>
      <c r="F5004" s="52" t="s">
        <v>26</v>
      </c>
      <c r="G5004" s="195" t="s">
        <v>275</v>
      </c>
      <c r="H5004" s="195">
        <v>-11.32338</v>
      </c>
      <c r="I5004" s="195">
        <v>-8.2391810000000003</v>
      </c>
      <c r="J5004" s="195">
        <v>-3.679433</v>
      </c>
      <c r="K5004" s="195">
        <v>-1.245028</v>
      </c>
      <c r="L5004" s="195">
        <v>-0.22894490000000001</v>
      </c>
      <c r="M5004" s="195">
        <v>1.456407</v>
      </c>
      <c r="N5004" s="195">
        <v>2.6913640000000001</v>
      </c>
    </row>
    <row r="5005" spans="1:14" hidden="1" x14ac:dyDescent="0.35">
      <c r="A5005" s="52" t="s">
        <v>671</v>
      </c>
      <c r="B5005" s="52" t="s">
        <v>37</v>
      </c>
      <c r="C5005" s="52" t="s">
        <v>35</v>
      </c>
      <c r="D5005" s="52" t="s">
        <v>39</v>
      </c>
      <c r="E5005" s="52" t="s">
        <v>580</v>
      </c>
      <c r="F5005" s="52" t="s">
        <v>26</v>
      </c>
      <c r="G5005" s="195" t="s">
        <v>276</v>
      </c>
      <c r="H5005" s="195">
        <v>-3.0100120000000001</v>
      </c>
      <c r="I5005" s="195">
        <v>-2.1901609999999998</v>
      </c>
      <c r="J5005" s="195">
        <v>-0.97807929999999998</v>
      </c>
      <c r="K5005" s="195">
        <v>-0.33095999999999998</v>
      </c>
      <c r="L5005" s="195">
        <v>-6.0858000000000002E-2</v>
      </c>
      <c r="M5005" s="195">
        <v>0.38714480000000001</v>
      </c>
      <c r="N5005" s="195">
        <v>0.71542689999999998</v>
      </c>
    </row>
    <row r="5006" spans="1:14" hidden="1" x14ac:dyDescent="0.35">
      <c r="A5006" s="52" t="s">
        <v>671</v>
      </c>
      <c r="B5006" s="52" t="s">
        <v>37</v>
      </c>
      <c r="C5006" s="52" t="s">
        <v>35</v>
      </c>
      <c r="D5006" s="52" t="s">
        <v>39</v>
      </c>
      <c r="E5006" s="52" t="s">
        <v>580</v>
      </c>
      <c r="F5006" s="52" t="s">
        <v>26</v>
      </c>
      <c r="G5006" s="195" t="s">
        <v>279</v>
      </c>
      <c r="H5006" s="195">
        <v>21.43055</v>
      </c>
      <c r="I5006" s="195">
        <v>20.615849999999998</v>
      </c>
      <c r="J5006" s="195">
        <v>16.875050000000002</v>
      </c>
      <c r="K5006" s="195">
        <v>14.01948</v>
      </c>
      <c r="L5006" s="195">
        <v>13.591850000000001</v>
      </c>
      <c r="M5006" s="195">
        <v>11.88151</v>
      </c>
      <c r="N5006" s="195">
        <v>10.53848</v>
      </c>
    </row>
    <row r="5007" spans="1:14" hidden="1" x14ac:dyDescent="0.35">
      <c r="A5007" s="52" t="s">
        <v>671</v>
      </c>
      <c r="B5007" s="52" t="s">
        <v>37</v>
      </c>
      <c r="C5007" s="52" t="s">
        <v>35</v>
      </c>
      <c r="D5007" s="52" t="s">
        <v>38</v>
      </c>
      <c r="E5007" s="52" t="s">
        <v>582</v>
      </c>
      <c r="F5007" s="52" t="s">
        <v>581</v>
      </c>
      <c r="G5007" s="195" t="s">
        <v>275</v>
      </c>
      <c r="H5007" s="195">
        <v>44.080710000000003</v>
      </c>
      <c r="I5007" s="195">
        <v>10.09483</v>
      </c>
      <c r="J5007" s="195">
        <v>7.24878</v>
      </c>
      <c r="K5007" s="195">
        <v>6.5863990000000001</v>
      </c>
      <c r="L5007" s="195">
        <v>4.0003880000000001</v>
      </c>
      <c r="M5007" s="195">
        <v>4.2433990000000001</v>
      </c>
      <c r="N5007" s="195">
        <v>3.7056230000000001</v>
      </c>
    </row>
    <row r="5008" spans="1:14" hidden="1" x14ac:dyDescent="0.35">
      <c r="A5008" s="52" t="s">
        <v>671</v>
      </c>
      <c r="B5008" s="52" t="s">
        <v>37</v>
      </c>
      <c r="C5008" s="52" t="s">
        <v>35</v>
      </c>
      <c r="D5008" s="52" t="s">
        <v>38</v>
      </c>
      <c r="E5008" s="52" t="s">
        <v>582</v>
      </c>
      <c r="F5008" s="52" t="s">
        <v>581</v>
      </c>
      <c r="G5008" s="195" t="s">
        <v>276</v>
      </c>
      <c r="H5008" s="195">
        <v>6.32524</v>
      </c>
      <c r="I5008" s="195">
        <v>1.4867980000000001</v>
      </c>
      <c r="J5008" s="195">
        <v>0.13413739999999999</v>
      </c>
      <c r="K5008" s="195">
        <v>-0.27789799999999998</v>
      </c>
      <c r="L5008" s="195">
        <v>-0.2444538</v>
      </c>
      <c r="M5008" s="195">
        <v>0.99732359999999998</v>
      </c>
      <c r="N5008" s="195">
        <v>0.87479410000000002</v>
      </c>
    </row>
    <row r="5009" spans="1:14" hidden="1" x14ac:dyDescent="0.35">
      <c r="A5009" s="52" t="s">
        <v>671</v>
      </c>
      <c r="B5009" s="52" t="s">
        <v>37</v>
      </c>
      <c r="C5009" s="52" t="s">
        <v>35</v>
      </c>
      <c r="D5009" s="52" t="s">
        <v>38</v>
      </c>
      <c r="E5009" s="52" t="s">
        <v>582</v>
      </c>
      <c r="F5009" s="52" t="s">
        <v>581</v>
      </c>
      <c r="G5009" s="195" t="s">
        <v>277</v>
      </c>
      <c r="H5009" s="195">
        <v>13.318820000000001</v>
      </c>
      <c r="I5009" s="195">
        <v>2.015927</v>
      </c>
      <c r="J5009" s="195">
        <v>0.52260879999999998</v>
      </c>
      <c r="K5009" s="195">
        <v>0.49163479999999998</v>
      </c>
      <c r="L5009" s="195">
        <v>0.7027833</v>
      </c>
      <c r="M5009" s="195">
        <v>0.35603940000000001</v>
      </c>
      <c r="N5009" s="195">
        <v>0.40161520000000001</v>
      </c>
    </row>
    <row r="5010" spans="1:14" hidden="1" x14ac:dyDescent="0.35">
      <c r="A5010" s="52" t="s">
        <v>671</v>
      </c>
      <c r="B5010" s="52" t="s">
        <v>37</v>
      </c>
      <c r="C5010" s="52" t="s">
        <v>35</v>
      </c>
      <c r="D5010" s="52" t="s">
        <v>38</v>
      </c>
      <c r="E5010" s="52" t="s">
        <v>582</v>
      </c>
      <c r="F5010" s="52" t="s">
        <v>581</v>
      </c>
      <c r="G5010" s="195" t="s">
        <v>278</v>
      </c>
      <c r="H5010" s="195">
        <v>3.5295770000000002</v>
      </c>
      <c r="I5010" s="195">
        <v>0</v>
      </c>
      <c r="J5010" s="195">
        <v>2.0614659999999998</v>
      </c>
      <c r="K5010" s="195">
        <v>2.142379</v>
      </c>
      <c r="L5010" s="195">
        <v>2.9718960000000001</v>
      </c>
      <c r="M5010" s="195">
        <v>1.5487949999999999</v>
      </c>
      <c r="N5010" s="195">
        <v>1.709087</v>
      </c>
    </row>
    <row r="5011" spans="1:14" hidden="1" x14ac:dyDescent="0.35">
      <c r="A5011" s="52" t="s">
        <v>671</v>
      </c>
      <c r="B5011" s="52" t="s">
        <v>37</v>
      </c>
      <c r="C5011" s="52" t="s">
        <v>35</v>
      </c>
      <c r="D5011" s="52" t="s">
        <v>38</v>
      </c>
      <c r="E5011" s="52" t="s">
        <v>582</v>
      </c>
      <c r="F5011" s="52" t="s">
        <v>581</v>
      </c>
      <c r="G5011" s="195" t="s">
        <v>279</v>
      </c>
      <c r="H5011" s="195">
        <v>23.85736</v>
      </c>
      <c r="I5011" s="195">
        <v>14.34694</v>
      </c>
      <c r="J5011" s="195">
        <v>12.598599999999999</v>
      </c>
      <c r="K5011" s="195">
        <v>11.85623</v>
      </c>
      <c r="L5011" s="195">
        <v>12.47706</v>
      </c>
      <c r="M5011" s="195">
        <v>11.300560000000001</v>
      </c>
      <c r="N5011" s="195">
        <v>10.22509</v>
      </c>
    </row>
    <row r="5012" spans="1:14" hidden="1" x14ac:dyDescent="0.35">
      <c r="A5012" s="52" t="s">
        <v>671</v>
      </c>
      <c r="B5012" s="52" t="s">
        <v>37</v>
      </c>
      <c r="C5012" s="52" t="s">
        <v>35</v>
      </c>
      <c r="D5012" s="52" t="s">
        <v>38</v>
      </c>
      <c r="E5012" s="52" t="s">
        <v>582</v>
      </c>
      <c r="F5012" s="52" t="s">
        <v>26</v>
      </c>
      <c r="G5012" s="195" t="s">
        <v>275</v>
      </c>
      <c r="H5012" s="195">
        <v>-4.7475069999999997</v>
      </c>
      <c r="I5012" s="195">
        <v>-2.457265</v>
      </c>
      <c r="J5012" s="195">
        <v>-1.219824</v>
      </c>
      <c r="K5012" s="195">
        <v>-0.4771976</v>
      </c>
      <c r="L5012" s="195">
        <v>-8.2823389999999997E-2</v>
      </c>
      <c r="M5012" s="195">
        <v>0.67807200000000001</v>
      </c>
      <c r="N5012" s="195">
        <v>1.280238</v>
      </c>
    </row>
    <row r="5013" spans="1:14" hidden="1" x14ac:dyDescent="0.35">
      <c r="A5013" s="52" t="s">
        <v>671</v>
      </c>
      <c r="B5013" s="52" t="s">
        <v>37</v>
      </c>
      <c r="C5013" s="52" t="s">
        <v>35</v>
      </c>
      <c r="D5013" s="52" t="s">
        <v>38</v>
      </c>
      <c r="E5013" s="52" t="s">
        <v>582</v>
      </c>
      <c r="F5013" s="52" t="s">
        <v>26</v>
      </c>
      <c r="G5013" s="195" t="s">
        <v>276</v>
      </c>
      <c r="H5013" s="195">
        <v>-1.261995</v>
      </c>
      <c r="I5013" s="195">
        <v>-0.65319760000000004</v>
      </c>
      <c r="J5013" s="195">
        <v>-0.32425700000000002</v>
      </c>
      <c r="K5013" s="195">
        <v>-0.12684880000000001</v>
      </c>
      <c r="L5013" s="195">
        <v>-2.2015799999999999E-2</v>
      </c>
      <c r="M5013" s="195">
        <v>0.18024860000000001</v>
      </c>
      <c r="N5013" s="195">
        <v>0.34031620000000001</v>
      </c>
    </row>
    <row r="5014" spans="1:14" hidden="1" x14ac:dyDescent="0.35">
      <c r="A5014" s="52" t="s">
        <v>671</v>
      </c>
      <c r="B5014" s="52" t="s">
        <v>37</v>
      </c>
      <c r="C5014" s="52" t="s">
        <v>35</v>
      </c>
      <c r="D5014" s="52" t="s">
        <v>38</v>
      </c>
      <c r="E5014" s="52" t="s">
        <v>582</v>
      </c>
      <c r="F5014" s="52" t="s">
        <v>26</v>
      </c>
      <c r="G5014" s="195" t="s">
        <v>279</v>
      </c>
      <c r="H5014" s="195">
        <v>8.9933069999999997</v>
      </c>
      <c r="I5014" s="195">
        <v>6.1582299999999996</v>
      </c>
      <c r="J5014" s="195">
        <v>5.6097580000000002</v>
      </c>
      <c r="K5014" s="195">
        <v>5.4318559999999998</v>
      </c>
      <c r="L5014" s="195">
        <v>5.7397020000000003</v>
      </c>
      <c r="M5014" s="195">
        <v>5.2598450000000003</v>
      </c>
      <c r="N5014" s="195">
        <v>4.8035269999999999</v>
      </c>
    </row>
    <row r="5015" spans="1:14" hidden="1" x14ac:dyDescent="0.35">
      <c r="A5015" s="52" t="s">
        <v>671</v>
      </c>
      <c r="B5015" s="52" t="s">
        <v>37</v>
      </c>
      <c r="C5015" s="52" t="s">
        <v>35</v>
      </c>
      <c r="D5015" s="52" t="s">
        <v>38</v>
      </c>
      <c r="E5015" s="52" t="s">
        <v>584</v>
      </c>
      <c r="F5015" s="52" t="s">
        <v>581</v>
      </c>
      <c r="G5015" s="195" t="s">
        <v>275</v>
      </c>
      <c r="H5015" s="195">
        <v>30.25189</v>
      </c>
      <c r="I5015" s="195">
        <v>9.6643260000000009</v>
      </c>
      <c r="J5015" s="195">
        <v>4.7800440000000002</v>
      </c>
      <c r="K5015" s="195">
        <v>4.24796</v>
      </c>
      <c r="L5015" s="195">
        <v>3.7954530000000002</v>
      </c>
      <c r="M5015" s="195">
        <v>3.750489</v>
      </c>
      <c r="N5015" s="195">
        <v>3.7134339999999999</v>
      </c>
    </row>
    <row r="5016" spans="1:14" hidden="1" x14ac:dyDescent="0.35">
      <c r="A5016" s="52" t="s">
        <v>671</v>
      </c>
      <c r="B5016" s="52" t="s">
        <v>37</v>
      </c>
      <c r="C5016" s="52" t="s">
        <v>35</v>
      </c>
      <c r="D5016" s="52" t="s">
        <v>38</v>
      </c>
      <c r="E5016" s="52" t="s">
        <v>584</v>
      </c>
      <c r="F5016" s="52" t="s">
        <v>581</v>
      </c>
      <c r="G5016" s="195" t="s">
        <v>276</v>
      </c>
      <c r="H5016" s="195">
        <v>6.4432660000000004</v>
      </c>
      <c r="I5016" s="195">
        <v>-1.646879</v>
      </c>
      <c r="J5016" s="195">
        <v>1.2706440000000001</v>
      </c>
      <c r="K5016" s="195">
        <v>1.129205</v>
      </c>
      <c r="L5016" s="195">
        <v>1.008918</v>
      </c>
      <c r="M5016" s="195">
        <v>0.99696430000000003</v>
      </c>
      <c r="N5016" s="195">
        <v>0.98711439999999995</v>
      </c>
    </row>
    <row r="5017" spans="1:14" hidden="1" x14ac:dyDescent="0.35">
      <c r="A5017" s="52" t="s">
        <v>671</v>
      </c>
      <c r="B5017" s="52" t="s">
        <v>37</v>
      </c>
      <c r="C5017" s="52" t="s">
        <v>35</v>
      </c>
      <c r="D5017" s="52" t="s">
        <v>38</v>
      </c>
      <c r="E5017" s="52" t="s">
        <v>584</v>
      </c>
      <c r="F5017" s="52" t="s">
        <v>581</v>
      </c>
      <c r="G5017" s="195" t="s">
        <v>277</v>
      </c>
      <c r="H5017" s="195"/>
      <c r="I5017" s="195">
        <v>0</v>
      </c>
      <c r="J5017" s="195"/>
      <c r="K5017" s="195"/>
      <c r="L5017" s="195"/>
      <c r="M5017" s="195"/>
      <c r="N5017" s="195"/>
    </row>
    <row r="5018" spans="1:14" hidden="1" x14ac:dyDescent="0.35">
      <c r="A5018" s="52" t="s">
        <v>671</v>
      </c>
      <c r="B5018" s="52" t="s">
        <v>37</v>
      </c>
      <c r="C5018" s="52" t="s">
        <v>35</v>
      </c>
      <c r="D5018" s="52" t="s">
        <v>38</v>
      </c>
      <c r="E5018" s="52" t="s">
        <v>584</v>
      </c>
      <c r="F5018" s="52" t="s">
        <v>581</v>
      </c>
      <c r="G5018" s="195" t="s">
        <v>279</v>
      </c>
      <c r="H5018" s="195">
        <v>15.91873</v>
      </c>
      <c r="I5018" s="195">
        <v>11.249930000000001</v>
      </c>
      <c r="J5018" s="195">
        <v>10.427770000000001</v>
      </c>
      <c r="K5018" s="195">
        <v>10.891540000000001</v>
      </c>
      <c r="L5018" s="195">
        <v>11.092739999999999</v>
      </c>
      <c r="M5018" s="195">
        <v>10.45238</v>
      </c>
      <c r="N5018" s="195">
        <v>9.9022539999999992</v>
      </c>
    </row>
    <row r="5019" spans="1:14" hidden="1" x14ac:dyDescent="0.35">
      <c r="A5019" s="52" t="s">
        <v>671</v>
      </c>
      <c r="B5019" s="52" t="s">
        <v>37</v>
      </c>
      <c r="C5019" s="52" t="s">
        <v>35</v>
      </c>
      <c r="D5019" s="52" t="s">
        <v>38</v>
      </c>
      <c r="E5019" s="52" t="s">
        <v>584</v>
      </c>
      <c r="F5019" s="52" t="s">
        <v>26</v>
      </c>
      <c r="G5019" s="195" t="s">
        <v>275</v>
      </c>
      <c r="H5019" s="195">
        <v>-10.26038</v>
      </c>
      <c r="I5019" s="195">
        <v>-6.5959349999999999</v>
      </c>
      <c r="J5019" s="195">
        <v>-3.8687109999999998</v>
      </c>
      <c r="K5019" s="195">
        <v>-2.603504</v>
      </c>
      <c r="L5019" s="195">
        <v>-1.3337289999999999</v>
      </c>
      <c r="M5019" s="195">
        <v>0.35393780000000002</v>
      </c>
      <c r="N5019" s="195">
        <v>1.7513510000000001</v>
      </c>
    </row>
    <row r="5020" spans="1:14" hidden="1" x14ac:dyDescent="0.35">
      <c r="A5020" s="52" t="s">
        <v>671</v>
      </c>
      <c r="B5020" s="52" t="s">
        <v>37</v>
      </c>
      <c r="C5020" s="52" t="s">
        <v>35</v>
      </c>
      <c r="D5020" s="52" t="s">
        <v>38</v>
      </c>
      <c r="E5020" s="52" t="s">
        <v>584</v>
      </c>
      <c r="F5020" s="52" t="s">
        <v>26</v>
      </c>
      <c r="G5020" s="195" t="s">
        <v>276</v>
      </c>
      <c r="H5020" s="195">
        <v>-2.7274419999999999</v>
      </c>
      <c r="I5020" s="195">
        <v>-1.753349</v>
      </c>
      <c r="J5020" s="195">
        <v>-1.0283910000000001</v>
      </c>
      <c r="K5020" s="195">
        <v>-0.6920712</v>
      </c>
      <c r="L5020" s="195">
        <v>-0.35453600000000002</v>
      </c>
      <c r="M5020" s="195">
        <v>9.4084189999999998E-2</v>
      </c>
      <c r="N5020" s="195">
        <v>0.46554980000000001</v>
      </c>
    </row>
    <row r="5021" spans="1:14" hidden="1" x14ac:dyDescent="0.35">
      <c r="A5021" s="52" t="s">
        <v>671</v>
      </c>
      <c r="B5021" s="52" t="s">
        <v>37</v>
      </c>
      <c r="C5021" s="52" t="s">
        <v>35</v>
      </c>
      <c r="D5021" s="52" t="s">
        <v>38</v>
      </c>
      <c r="E5021" s="52" t="s">
        <v>584</v>
      </c>
      <c r="F5021" s="52" t="s">
        <v>26</v>
      </c>
      <c r="G5021" s="195" t="s">
        <v>279</v>
      </c>
      <c r="H5021" s="195">
        <v>18.577200000000001</v>
      </c>
      <c r="I5021" s="195">
        <v>15.263680000000001</v>
      </c>
      <c r="J5021" s="195">
        <v>14.209949999999999</v>
      </c>
      <c r="K5021" s="195">
        <v>14.57657</v>
      </c>
      <c r="L5021" s="195">
        <v>14.45547</v>
      </c>
      <c r="M5021" s="195">
        <v>13.16046</v>
      </c>
      <c r="N5021" s="195">
        <v>12.01214</v>
      </c>
    </row>
    <row r="5022" spans="1:14" hidden="1" x14ac:dyDescent="0.35">
      <c r="A5022" s="52" t="s">
        <v>671</v>
      </c>
      <c r="B5022" s="52" t="s">
        <v>37</v>
      </c>
      <c r="C5022" s="52" t="s">
        <v>105</v>
      </c>
      <c r="D5022" s="52" t="s">
        <v>105</v>
      </c>
      <c r="E5022" s="52" t="s">
        <v>633</v>
      </c>
      <c r="F5022" s="52" t="s">
        <v>581</v>
      </c>
      <c r="G5022" s="195" t="s">
        <v>275</v>
      </c>
      <c r="H5022" s="195">
        <v>110.51049999999999</v>
      </c>
      <c r="I5022" s="195">
        <v>25.410160000000001</v>
      </c>
      <c r="J5022" s="195">
        <v>17.775700000000001</v>
      </c>
      <c r="K5022" s="195">
        <v>15.675929999999999</v>
      </c>
      <c r="L5022" s="195">
        <v>12.863160000000001</v>
      </c>
      <c r="M5022" s="195">
        <v>12.058680000000001</v>
      </c>
      <c r="N5022" s="195">
        <v>11.0587</v>
      </c>
    </row>
    <row r="5023" spans="1:14" hidden="1" x14ac:dyDescent="0.35">
      <c r="A5023" s="52" t="s">
        <v>671</v>
      </c>
      <c r="B5023" s="52" t="s">
        <v>37</v>
      </c>
      <c r="C5023" s="52" t="s">
        <v>105</v>
      </c>
      <c r="D5023" s="52" t="s">
        <v>105</v>
      </c>
      <c r="E5023" s="52" t="s">
        <v>633</v>
      </c>
      <c r="F5023" s="52" t="s">
        <v>581</v>
      </c>
      <c r="G5023" s="195" t="s">
        <v>276</v>
      </c>
      <c r="H5023" s="195">
        <v>38.305129999999998</v>
      </c>
      <c r="I5023" s="195">
        <v>8.8076749999999997</v>
      </c>
      <c r="J5023" s="195">
        <v>6.1614180000000003</v>
      </c>
      <c r="K5023" s="195">
        <v>5.4335930000000001</v>
      </c>
      <c r="L5023" s="195">
        <v>4.4586290000000002</v>
      </c>
      <c r="M5023" s="195">
        <v>4.1797779999999998</v>
      </c>
      <c r="N5023" s="195">
        <v>3.8331680000000001</v>
      </c>
    </row>
    <row r="5024" spans="1:14" hidden="1" x14ac:dyDescent="0.35">
      <c r="A5024" s="52" t="s">
        <v>671</v>
      </c>
      <c r="B5024" s="52" t="s">
        <v>37</v>
      </c>
      <c r="C5024" s="52" t="s">
        <v>105</v>
      </c>
      <c r="D5024" s="52" t="s">
        <v>105</v>
      </c>
      <c r="E5024" s="52" t="s">
        <v>633</v>
      </c>
      <c r="F5024" s="52" t="s">
        <v>581</v>
      </c>
      <c r="G5024" s="195" t="s">
        <v>279</v>
      </c>
      <c r="H5024" s="195">
        <v>47.156480000000002</v>
      </c>
      <c r="I5024" s="195">
        <v>30.461839999999999</v>
      </c>
      <c r="J5024" s="195">
        <v>25.49634</v>
      </c>
      <c r="K5024" s="195">
        <v>23.873819999999998</v>
      </c>
      <c r="L5024" s="195">
        <v>24.40005</v>
      </c>
      <c r="M5024" s="195">
        <v>22.283159999999999</v>
      </c>
      <c r="N5024" s="195">
        <v>20.383959999999998</v>
      </c>
    </row>
    <row r="5025" spans="1:14" hidden="1" x14ac:dyDescent="0.35">
      <c r="A5025" s="52" t="s">
        <v>671</v>
      </c>
      <c r="B5025" s="52" t="s">
        <v>37</v>
      </c>
      <c r="C5025" s="52" t="s">
        <v>105</v>
      </c>
      <c r="D5025" s="52" t="s">
        <v>105</v>
      </c>
      <c r="E5025" s="52" t="s">
        <v>633</v>
      </c>
      <c r="F5025" s="52" t="s">
        <v>26</v>
      </c>
      <c r="G5025" s="195" t="s">
        <v>275</v>
      </c>
      <c r="H5025" s="195">
        <v>7.8681960000000002</v>
      </c>
      <c r="I5025" s="195">
        <v>31.422560000000001</v>
      </c>
      <c r="J5025" s="195">
        <v>33.400060000000003</v>
      </c>
      <c r="K5025" s="195">
        <v>21.726420000000001</v>
      </c>
      <c r="L5025" s="195">
        <v>6.673451</v>
      </c>
      <c r="M5025" s="195">
        <v>3.616771</v>
      </c>
      <c r="N5025" s="195">
        <v>3.2675329999999998</v>
      </c>
    </row>
    <row r="5026" spans="1:14" hidden="1" x14ac:dyDescent="0.35">
      <c r="A5026" s="52" t="s">
        <v>671</v>
      </c>
      <c r="B5026" s="52" t="s">
        <v>37</v>
      </c>
      <c r="C5026" s="52" t="s">
        <v>105</v>
      </c>
      <c r="D5026" s="52" t="s">
        <v>105</v>
      </c>
      <c r="E5026" s="52" t="s">
        <v>633</v>
      </c>
      <c r="F5026" s="52" t="s">
        <v>26</v>
      </c>
      <c r="G5026" s="195" t="s">
        <v>276</v>
      </c>
      <c r="H5026" s="195">
        <v>-33.249389999999998</v>
      </c>
      <c r="I5026" s="195">
        <v>-21.632719999999999</v>
      </c>
      <c r="J5026" s="195">
        <v>-22.5138</v>
      </c>
      <c r="K5026" s="195">
        <v>-14.59117</v>
      </c>
      <c r="L5026" s="195">
        <v>-4.9595649999999996</v>
      </c>
      <c r="M5026" s="195">
        <v>0.59594380000000002</v>
      </c>
      <c r="N5026" s="195">
        <v>0.64386580000000004</v>
      </c>
    </row>
    <row r="5027" spans="1:14" hidden="1" x14ac:dyDescent="0.35">
      <c r="A5027" s="52" t="s">
        <v>671</v>
      </c>
      <c r="B5027" s="52" t="s">
        <v>37</v>
      </c>
      <c r="C5027" s="52" t="s">
        <v>105</v>
      </c>
      <c r="D5027" s="52" t="s">
        <v>105</v>
      </c>
      <c r="E5027" s="52" t="s">
        <v>633</v>
      </c>
      <c r="F5027" s="52" t="s">
        <v>26</v>
      </c>
      <c r="G5027" s="195" t="s">
        <v>277</v>
      </c>
      <c r="H5027" s="195">
        <v>53.069710000000001</v>
      </c>
      <c r="I5027" s="195">
        <v>2.3895569999999999</v>
      </c>
      <c r="J5027" s="195">
        <v>2.0599720000000001</v>
      </c>
      <c r="K5027" s="195">
        <v>2.3047439999999999</v>
      </c>
      <c r="L5027" s="195">
        <v>2.5797750000000002</v>
      </c>
      <c r="M5027" s="195">
        <v>0</v>
      </c>
      <c r="N5027" s="195">
        <v>0</v>
      </c>
    </row>
    <row r="5028" spans="1:14" hidden="1" x14ac:dyDescent="0.35">
      <c r="A5028" s="52" t="s">
        <v>671</v>
      </c>
      <c r="B5028" s="52" t="s">
        <v>37</v>
      </c>
      <c r="C5028" s="52" t="s">
        <v>105</v>
      </c>
      <c r="D5028" s="52" t="s">
        <v>105</v>
      </c>
      <c r="E5028" s="52" t="s">
        <v>633</v>
      </c>
      <c r="F5028" s="52" t="s">
        <v>26</v>
      </c>
      <c r="G5028" s="195" t="s">
        <v>278</v>
      </c>
      <c r="H5028" s="195">
        <v>1.052632</v>
      </c>
      <c r="I5028" s="195">
        <v>0</v>
      </c>
      <c r="J5028" s="195"/>
      <c r="K5028" s="195"/>
      <c r="L5028" s="195"/>
      <c r="M5028" s="195"/>
      <c r="N5028" s="195"/>
    </row>
    <row r="5029" spans="1:14" hidden="1" x14ac:dyDescent="0.35">
      <c r="A5029" s="52" t="s">
        <v>671</v>
      </c>
      <c r="B5029" s="52" t="s">
        <v>37</v>
      </c>
      <c r="C5029" s="52" t="s">
        <v>105</v>
      </c>
      <c r="D5029" s="52" t="s">
        <v>105</v>
      </c>
      <c r="E5029" s="52" t="s">
        <v>633</v>
      </c>
      <c r="F5029" s="52" t="s">
        <v>26</v>
      </c>
      <c r="G5029" s="195" t="s">
        <v>279</v>
      </c>
      <c r="H5029" s="195">
        <v>81.847239999999999</v>
      </c>
      <c r="I5029" s="195">
        <v>62.425550000000001</v>
      </c>
      <c r="J5029" s="195">
        <v>53.439190000000004</v>
      </c>
      <c r="K5029" s="195">
        <v>50.848300000000002</v>
      </c>
      <c r="L5029" s="195">
        <v>51.467469999999999</v>
      </c>
      <c r="M5029" s="195">
        <v>47.126240000000003</v>
      </c>
      <c r="N5029" s="195">
        <v>43.110489999999999</v>
      </c>
    </row>
    <row r="5030" spans="1:14" hidden="1" x14ac:dyDescent="0.35">
      <c r="A5030" s="52" t="s">
        <v>671</v>
      </c>
      <c r="B5030" s="52" t="s">
        <v>37</v>
      </c>
      <c r="C5030" s="52" t="s">
        <v>105</v>
      </c>
      <c r="D5030" s="52" t="s">
        <v>105</v>
      </c>
      <c r="E5030" s="52" t="s">
        <v>632</v>
      </c>
      <c r="F5030" s="52" t="s">
        <v>581</v>
      </c>
      <c r="G5030" s="195" t="s">
        <v>275</v>
      </c>
      <c r="H5030" s="195">
        <v>30.122969999999999</v>
      </c>
      <c r="I5030" s="195">
        <v>56.006180000000001</v>
      </c>
      <c r="J5030" s="195">
        <v>48.725499999999997</v>
      </c>
      <c r="K5030" s="195">
        <v>46.064660000000003</v>
      </c>
      <c r="L5030" s="195">
        <v>22.015360000000001</v>
      </c>
      <c r="M5030" s="195">
        <v>9.5637609999999995</v>
      </c>
      <c r="N5030" s="195">
        <v>8.4240100000000009</v>
      </c>
    </row>
    <row r="5031" spans="1:14" hidden="1" x14ac:dyDescent="0.35">
      <c r="A5031" s="52" t="s">
        <v>671</v>
      </c>
      <c r="B5031" s="52" t="s">
        <v>37</v>
      </c>
      <c r="C5031" s="52" t="s">
        <v>105</v>
      </c>
      <c r="D5031" s="52" t="s">
        <v>105</v>
      </c>
      <c r="E5031" s="52" t="s">
        <v>632</v>
      </c>
      <c r="F5031" s="52" t="s">
        <v>581</v>
      </c>
      <c r="G5031" s="195" t="s">
        <v>276</v>
      </c>
      <c r="H5031" s="195">
        <v>4.7560739999999999</v>
      </c>
      <c r="I5031" s="195">
        <v>-25.170259999999999</v>
      </c>
      <c r="J5031" s="195">
        <v>-29.398129999999998</v>
      </c>
      <c r="K5031" s="195">
        <v>-31.4011</v>
      </c>
      <c r="L5031" s="195">
        <v>-11.05969</v>
      </c>
      <c r="M5031" s="195">
        <v>2.7548270000000001</v>
      </c>
      <c r="N5031" s="195">
        <v>2.598157</v>
      </c>
    </row>
    <row r="5032" spans="1:14" hidden="1" x14ac:dyDescent="0.35">
      <c r="A5032" s="52" t="s">
        <v>671</v>
      </c>
      <c r="B5032" s="52" t="s">
        <v>37</v>
      </c>
      <c r="C5032" s="52" t="s">
        <v>105</v>
      </c>
      <c r="D5032" s="52" t="s">
        <v>105</v>
      </c>
      <c r="E5032" s="52" t="s">
        <v>632</v>
      </c>
      <c r="F5032" s="52" t="s">
        <v>581</v>
      </c>
      <c r="G5032" s="195" t="s">
        <v>277</v>
      </c>
      <c r="H5032" s="195">
        <v>135.3058</v>
      </c>
      <c r="I5032" s="195">
        <v>2.015558</v>
      </c>
      <c r="J5032" s="195">
        <v>0.25745659999999998</v>
      </c>
      <c r="K5032" s="195">
        <v>0.41840179999999999</v>
      </c>
      <c r="L5032" s="195">
        <v>0.55966000000000005</v>
      </c>
      <c r="M5032" s="195">
        <v>0</v>
      </c>
      <c r="N5032" s="195">
        <v>0</v>
      </c>
    </row>
    <row r="5033" spans="1:14" hidden="1" x14ac:dyDescent="0.35">
      <c r="A5033" s="52" t="s">
        <v>671</v>
      </c>
      <c r="B5033" s="52" t="s">
        <v>37</v>
      </c>
      <c r="C5033" s="52" t="s">
        <v>105</v>
      </c>
      <c r="D5033" s="52" t="s">
        <v>105</v>
      </c>
      <c r="E5033" s="52" t="s">
        <v>632</v>
      </c>
      <c r="F5033" s="52" t="s">
        <v>581</v>
      </c>
      <c r="G5033" s="195" t="s">
        <v>278</v>
      </c>
      <c r="H5033" s="195">
        <v>0</v>
      </c>
      <c r="I5033" s="195">
        <v>0</v>
      </c>
      <c r="J5033" s="195">
        <v>0.64560459999999997</v>
      </c>
      <c r="K5033" s="195">
        <v>1.6685140000000001</v>
      </c>
      <c r="L5033" s="195">
        <v>2.1335139999999999</v>
      </c>
      <c r="M5033" s="195">
        <v>0</v>
      </c>
      <c r="N5033" s="195">
        <v>0</v>
      </c>
    </row>
    <row r="5034" spans="1:14" hidden="1" x14ac:dyDescent="0.35">
      <c r="A5034" s="52" t="s">
        <v>671</v>
      </c>
      <c r="B5034" s="52" t="s">
        <v>37</v>
      </c>
      <c r="C5034" s="52" t="s">
        <v>105</v>
      </c>
      <c r="D5034" s="52" t="s">
        <v>105</v>
      </c>
      <c r="E5034" s="52" t="s">
        <v>632</v>
      </c>
      <c r="F5034" s="52" t="s">
        <v>581</v>
      </c>
      <c r="G5034" s="195" t="s">
        <v>279</v>
      </c>
      <c r="H5034" s="195">
        <v>50.015479999999997</v>
      </c>
      <c r="I5034" s="195">
        <v>26.538049999999998</v>
      </c>
      <c r="J5034" s="195">
        <v>19.472709999999999</v>
      </c>
      <c r="K5034" s="195">
        <v>17.073630000000001</v>
      </c>
      <c r="L5034" s="195">
        <v>17.039680000000001</v>
      </c>
      <c r="M5034" s="195">
        <v>15.050039999999999</v>
      </c>
      <c r="N5034" s="195">
        <v>13.43042</v>
      </c>
    </row>
    <row r="5035" spans="1:14" hidden="1" x14ac:dyDescent="0.35">
      <c r="A5035" s="52" t="s">
        <v>671</v>
      </c>
      <c r="B5035" s="52" t="s">
        <v>37</v>
      </c>
      <c r="C5035" s="52" t="s">
        <v>105</v>
      </c>
      <c r="D5035" s="52" t="s">
        <v>105</v>
      </c>
      <c r="E5035" s="52" t="s">
        <v>632</v>
      </c>
      <c r="F5035" s="52" t="s">
        <v>26</v>
      </c>
      <c r="G5035" s="195" t="s">
        <v>275</v>
      </c>
      <c r="H5035" s="195">
        <v>12.307510000000001</v>
      </c>
      <c r="I5035" s="195">
        <v>4.9659339999999998</v>
      </c>
      <c r="J5035" s="195">
        <v>4.4505100000000004</v>
      </c>
      <c r="K5035" s="195">
        <v>3.251932</v>
      </c>
      <c r="L5035" s="195">
        <v>1.8721460000000001</v>
      </c>
      <c r="M5035" s="195">
        <v>1.727249</v>
      </c>
      <c r="N5035" s="195">
        <v>1.555642</v>
      </c>
    </row>
    <row r="5036" spans="1:14" hidden="1" x14ac:dyDescent="0.35">
      <c r="A5036" s="52" t="s">
        <v>671</v>
      </c>
      <c r="B5036" s="52" t="s">
        <v>37</v>
      </c>
      <c r="C5036" s="52" t="s">
        <v>105</v>
      </c>
      <c r="D5036" s="52" t="s">
        <v>105</v>
      </c>
      <c r="E5036" s="52" t="s">
        <v>632</v>
      </c>
      <c r="F5036" s="52" t="s">
        <v>26</v>
      </c>
      <c r="G5036" s="195" t="s">
        <v>276</v>
      </c>
      <c r="H5036" s="195">
        <v>4.2660239999999998</v>
      </c>
      <c r="I5036" s="195">
        <v>1.721285</v>
      </c>
      <c r="J5036" s="195">
        <v>1.542635</v>
      </c>
      <c r="K5036" s="195">
        <v>1.1271819999999999</v>
      </c>
      <c r="L5036" s="195">
        <v>0.64892399999999995</v>
      </c>
      <c r="M5036" s="195">
        <v>0.59869939999999999</v>
      </c>
      <c r="N5036" s="195">
        <v>0.53921819999999998</v>
      </c>
    </row>
    <row r="5037" spans="1:14" hidden="1" x14ac:dyDescent="0.35">
      <c r="A5037" s="52" t="s">
        <v>671</v>
      </c>
      <c r="B5037" s="52" t="s">
        <v>37</v>
      </c>
      <c r="C5037" s="52" t="s">
        <v>105</v>
      </c>
      <c r="D5037" s="52" t="s">
        <v>105</v>
      </c>
      <c r="E5037" s="52" t="s">
        <v>632</v>
      </c>
      <c r="F5037" s="52" t="s">
        <v>26</v>
      </c>
      <c r="G5037" s="195" t="s">
        <v>279</v>
      </c>
      <c r="H5037" s="195">
        <v>38.191809999999997</v>
      </c>
      <c r="I5037" s="195">
        <v>24.813510000000001</v>
      </c>
      <c r="J5037" s="195">
        <v>18.6632</v>
      </c>
      <c r="K5037" s="195">
        <v>16.57216</v>
      </c>
      <c r="L5037" s="195">
        <v>16.43526</v>
      </c>
      <c r="M5037" s="195">
        <v>14.544420000000001</v>
      </c>
      <c r="N5037" s="195">
        <v>12.97908</v>
      </c>
    </row>
    <row r="5038" spans="1:14" hidden="1" x14ac:dyDescent="0.35">
      <c r="A5038" s="52" t="s">
        <v>671</v>
      </c>
      <c r="B5038" s="52" t="s">
        <v>37</v>
      </c>
      <c r="C5038" s="52" t="s">
        <v>105</v>
      </c>
      <c r="D5038" s="52" t="s">
        <v>105</v>
      </c>
      <c r="E5038" s="52" t="s">
        <v>584</v>
      </c>
      <c r="F5038" s="52" t="s">
        <v>581</v>
      </c>
      <c r="G5038" s="195" t="s">
        <v>275</v>
      </c>
      <c r="H5038" s="195">
        <v>8.5580820000000006</v>
      </c>
      <c r="I5038" s="195">
        <v>0.48261759999999998</v>
      </c>
      <c r="J5038" s="195">
        <v>1.4712960000000001E-2</v>
      </c>
      <c r="K5038" s="195">
        <v>-0.30827559999999998</v>
      </c>
      <c r="L5038" s="195">
        <v>-0.36201179999999999</v>
      </c>
      <c r="M5038" s="195">
        <v>-4.0026510000000002</v>
      </c>
      <c r="N5038" s="195">
        <v>-50.44811</v>
      </c>
    </row>
    <row r="5039" spans="1:14" hidden="1" x14ac:dyDescent="0.35">
      <c r="A5039" s="52" t="s">
        <v>671</v>
      </c>
      <c r="B5039" s="52" t="s">
        <v>37</v>
      </c>
      <c r="C5039" s="52" t="s">
        <v>105</v>
      </c>
      <c r="D5039" s="52" t="s">
        <v>105</v>
      </c>
      <c r="E5039" s="52" t="s">
        <v>584</v>
      </c>
      <c r="F5039" s="52" t="s">
        <v>581</v>
      </c>
      <c r="G5039" s="195" t="s">
        <v>276</v>
      </c>
      <c r="H5039" s="195">
        <v>2.0029140000000001</v>
      </c>
      <c r="I5039" s="195">
        <v>-0.17903640000000001</v>
      </c>
      <c r="J5039" s="195">
        <v>-0.2251706</v>
      </c>
      <c r="K5039" s="195">
        <v>-0.1068146</v>
      </c>
      <c r="L5039" s="195">
        <v>-0.1244714</v>
      </c>
      <c r="M5039" s="195">
        <v>-1.082843</v>
      </c>
      <c r="N5039" s="195">
        <v>-17.486789999999999</v>
      </c>
    </row>
    <row r="5040" spans="1:14" hidden="1" x14ac:dyDescent="0.35">
      <c r="A5040" s="52" t="s">
        <v>671</v>
      </c>
      <c r="B5040" s="52" t="s">
        <v>37</v>
      </c>
      <c r="C5040" s="52" t="s">
        <v>105</v>
      </c>
      <c r="D5040" s="52" t="s">
        <v>105</v>
      </c>
      <c r="E5040" s="52" t="s">
        <v>584</v>
      </c>
      <c r="F5040" s="52" t="s">
        <v>581</v>
      </c>
      <c r="G5040" s="195" t="s">
        <v>277</v>
      </c>
      <c r="H5040" s="195"/>
      <c r="I5040" s="195">
        <v>0</v>
      </c>
      <c r="J5040" s="195"/>
      <c r="K5040" s="195"/>
      <c r="L5040" s="195"/>
      <c r="M5040" s="195"/>
      <c r="N5040" s="195"/>
    </row>
    <row r="5041" spans="1:14" hidden="1" x14ac:dyDescent="0.35">
      <c r="A5041" s="52" t="s">
        <v>671</v>
      </c>
      <c r="B5041" s="52" t="s">
        <v>37</v>
      </c>
      <c r="C5041" s="52" t="s">
        <v>105</v>
      </c>
      <c r="D5041" s="52" t="s">
        <v>105</v>
      </c>
      <c r="E5041" s="52" t="s">
        <v>584</v>
      </c>
      <c r="F5041" s="52" t="s">
        <v>581</v>
      </c>
      <c r="G5041" s="195" t="s">
        <v>279</v>
      </c>
      <c r="H5041" s="195">
        <v>8.7978559999999995</v>
      </c>
      <c r="I5041" s="195">
        <v>5.7301669999999998</v>
      </c>
      <c r="J5041" s="195">
        <v>4.6255420000000003</v>
      </c>
      <c r="K5041" s="195">
        <v>4.1928289999999997</v>
      </c>
      <c r="L5041" s="195">
        <v>3.6938240000000002</v>
      </c>
      <c r="M5041" s="195">
        <v>7.6195139999999997</v>
      </c>
      <c r="N5041" s="195">
        <v>69.080619999999996</v>
      </c>
    </row>
    <row r="5042" spans="1:14" hidden="1" x14ac:dyDescent="0.35">
      <c r="A5042" s="52" t="s">
        <v>671</v>
      </c>
      <c r="B5042" s="52" t="s">
        <v>37</v>
      </c>
      <c r="C5042" s="52" t="s">
        <v>105</v>
      </c>
      <c r="D5042" s="52" t="s">
        <v>105</v>
      </c>
      <c r="E5042" s="52" t="s">
        <v>584</v>
      </c>
      <c r="F5042" s="52" t="s">
        <v>26</v>
      </c>
      <c r="G5042" s="195" t="s">
        <v>275</v>
      </c>
      <c r="H5042" s="195">
        <v>8.8872280000000003</v>
      </c>
      <c r="I5042" s="195">
        <v>9.382638</v>
      </c>
      <c r="J5042" s="195">
        <v>-2.3350379999999999</v>
      </c>
      <c r="K5042" s="195">
        <v>-9.2343899999999994</v>
      </c>
      <c r="L5042" s="195">
        <v>0.76731000000000005</v>
      </c>
      <c r="M5042" s="195">
        <v>-100.97620000000001</v>
      </c>
      <c r="N5042" s="195">
        <v>-103.7163</v>
      </c>
    </row>
    <row r="5043" spans="1:14" hidden="1" x14ac:dyDescent="0.35">
      <c r="A5043" s="52" t="s">
        <v>671</v>
      </c>
      <c r="B5043" s="52" t="s">
        <v>37</v>
      </c>
      <c r="C5043" s="52" t="s">
        <v>105</v>
      </c>
      <c r="D5043" s="52" t="s">
        <v>105</v>
      </c>
      <c r="E5043" s="52" t="s">
        <v>584</v>
      </c>
      <c r="F5043" s="52" t="s">
        <v>26</v>
      </c>
      <c r="G5043" s="195" t="s">
        <v>276</v>
      </c>
      <c r="H5043" s="195">
        <v>-2.5060889999999998</v>
      </c>
      <c r="I5043" s="195">
        <v>-6.929551</v>
      </c>
      <c r="J5043" s="195">
        <v>-5.2529789999999998</v>
      </c>
      <c r="K5043" s="195">
        <v>-0.48926150000000002</v>
      </c>
      <c r="L5043" s="195">
        <v>-0.60302160000000005</v>
      </c>
      <c r="M5043" s="195">
        <v>-27.48648</v>
      </c>
      <c r="N5043" s="195">
        <v>-36.924909999999997</v>
      </c>
    </row>
    <row r="5044" spans="1:14" hidden="1" x14ac:dyDescent="0.35">
      <c r="A5044" s="52" t="s">
        <v>671</v>
      </c>
      <c r="B5044" s="52" t="s">
        <v>37</v>
      </c>
      <c r="C5044" s="52" t="s">
        <v>105</v>
      </c>
      <c r="D5044" s="52" t="s">
        <v>105</v>
      </c>
      <c r="E5044" s="52" t="s">
        <v>584</v>
      </c>
      <c r="F5044" s="52" t="s">
        <v>26</v>
      </c>
      <c r="G5044" s="195" t="s">
        <v>277</v>
      </c>
      <c r="H5044" s="195"/>
      <c r="I5044" s="195">
        <v>0</v>
      </c>
      <c r="J5044" s="195"/>
      <c r="K5044" s="195"/>
      <c r="L5044" s="195">
        <v>0</v>
      </c>
      <c r="M5044" s="195"/>
      <c r="N5044" s="195"/>
    </row>
    <row r="5045" spans="1:14" hidden="1" x14ac:dyDescent="0.35">
      <c r="A5045" s="52" t="s">
        <v>671</v>
      </c>
      <c r="B5045" s="52" t="s">
        <v>37</v>
      </c>
      <c r="C5045" s="52" t="s">
        <v>105</v>
      </c>
      <c r="D5045" s="52" t="s">
        <v>105</v>
      </c>
      <c r="E5045" s="52" t="s">
        <v>584</v>
      </c>
      <c r="F5045" s="52" t="s">
        <v>26</v>
      </c>
      <c r="G5045" s="195" t="s">
        <v>279</v>
      </c>
      <c r="H5045" s="195">
        <v>24.825099999999999</v>
      </c>
      <c r="I5045" s="195">
        <v>19.937750000000001</v>
      </c>
      <c r="J5045" s="195">
        <v>18.34271</v>
      </c>
      <c r="K5045" s="195">
        <v>18.469660000000001</v>
      </c>
      <c r="L5045" s="195">
        <v>18.032260000000001</v>
      </c>
      <c r="M5045" s="195">
        <v>140.1165</v>
      </c>
      <c r="N5045" s="195">
        <v>144.0137</v>
      </c>
    </row>
    <row r="5046" spans="1:14" hidden="1" x14ac:dyDescent="0.35">
      <c r="A5046" s="52" t="s">
        <v>671</v>
      </c>
      <c r="B5046" s="52" t="s">
        <v>37</v>
      </c>
      <c r="C5046" s="52" t="s">
        <v>105</v>
      </c>
      <c r="D5046" s="52" t="s">
        <v>105</v>
      </c>
      <c r="E5046" s="52" t="s">
        <v>643</v>
      </c>
      <c r="F5046" s="52" t="s">
        <v>581</v>
      </c>
      <c r="G5046" s="195" t="s">
        <v>275</v>
      </c>
      <c r="H5046" s="195">
        <v>1.853901</v>
      </c>
      <c r="I5046" s="195">
        <v>0.1088832</v>
      </c>
      <c r="J5046" s="195">
        <v>6.0434990000000001E-2</v>
      </c>
      <c r="K5046" s="195">
        <v>4.7685600000000002E-2</v>
      </c>
      <c r="L5046" s="195">
        <v>1.34042E-2</v>
      </c>
      <c r="M5046" s="195">
        <v>1.5914589999999999E-2</v>
      </c>
      <c r="N5046" s="195">
        <v>1.4985E-2</v>
      </c>
    </row>
    <row r="5047" spans="1:14" hidden="1" x14ac:dyDescent="0.35">
      <c r="A5047" s="52" t="s">
        <v>671</v>
      </c>
      <c r="B5047" s="52" t="s">
        <v>37</v>
      </c>
      <c r="C5047" s="52" t="s">
        <v>105</v>
      </c>
      <c r="D5047" s="52" t="s">
        <v>105</v>
      </c>
      <c r="E5047" s="52" t="s">
        <v>643</v>
      </c>
      <c r="F5047" s="52" t="s">
        <v>581</v>
      </c>
      <c r="G5047" s="195" t="s">
        <v>276</v>
      </c>
      <c r="H5047" s="195">
        <v>0.492809</v>
      </c>
      <c r="I5047" s="195">
        <v>2.8942800000000001E-2</v>
      </c>
      <c r="J5047" s="195">
        <v>1.6064800000000001E-2</v>
      </c>
      <c r="K5047" s="195">
        <v>1.26754E-2</v>
      </c>
      <c r="L5047" s="195">
        <v>3.5635979999999999E-3</v>
      </c>
      <c r="M5047" s="195">
        <v>4.2303990000000001E-3</v>
      </c>
      <c r="N5047" s="195">
        <v>3.9838E-3</v>
      </c>
    </row>
    <row r="5048" spans="1:14" hidden="1" x14ac:dyDescent="0.35">
      <c r="A5048" s="52" t="s">
        <v>671</v>
      </c>
      <c r="B5048" s="52" t="s">
        <v>37</v>
      </c>
      <c r="C5048" s="52" t="s">
        <v>105</v>
      </c>
      <c r="D5048" s="52" t="s">
        <v>105</v>
      </c>
      <c r="E5048" s="52" t="s">
        <v>643</v>
      </c>
      <c r="F5048" s="52" t="s">
        <v>581</v>
      </c>
      <c r="G5048" s="195" t="s">
        <v>279</v>
      </c>
      <c r="H5048" s="195">
        <v>1.578765</v>
      </c>
      <c r="I5048" s="195">
        <v>0.4586652</v>
      </c>
      <c r="J5048" s="195">
        <v>0.3985612</v>
      </c>
      <c r="K5048" s="195">
        <v>0.37539040000000001</v>
      </c>
      <c r="L5048" s="195">
        <v>0.38465539999999998</v>
      </c>
      <c r="M5048" s="195">
        <v>0.35162840000000001</v>
      </c>
      <c r="N5048" s="195">
        <v>0.32345760000000001</v>
      </c>
    </row>
    <row r="5049" spans="1:14" hidden="1" x14ac:dyDescent="0.35">
      <c r="A5049" s="52" t="s">
        <v>671</v>
      </c>
      <c r="B5049" s="52" t="s">
        <v>37</v>
      </c>
      <c r="C5049" s="52" t="s">
        <v>105</v>
      </c>
      <c r="D5049" s="52" t="s">
        <v>105</v>
      </c>
      <c r="E5049" s="52" t="s">
        <v>643</v>
      </c>
      <c r="F5049" s="52" t="s">
        <v>26</v>
      </c>
      <c r="G5049" s="195" t="s">
        <v>275</v>
      </c>
      <c r="H5049" s="195">
        <v>0.36510599999999999</v>
      </c>
      <c r="I5049" s="195">
        <v>0.11967659999999999</v>
      </c>
      <c r="J5049" s="195">
        <v>-6.4411200000000002E-2</v>
      </c>
      <c r="K5049" s="195">
        <v>-0.102849</v>
      </c>
      <c r="L5049" s="195">
        <v>-0.18920139999999999</v>
      </c>
      <c r="M5049" s="195">
        <v>-0.16833480000000001</v>
      </c>
      <c r="N5049" s="195">
        <v>-0.1539016</v>
      </c>
    </row>
    <row r="5050" spans="1:14" hidden="1" x14ac:dyDescent="0.35">
      <c r="A5050" s="52" t="s">
        <v>671</v>
      </c>
      <c r="B5050" s="52" t="s">
        <v>37</v>
      </c>
      <c r="C5050" s="52" t="s">
        <v>105</v>
      </c>
      <c r="D5050" s="52" t="s">
        <v>105</v>
      </c>
      <c r="E5050" s="52" t="s">
        <v>643</v>
      </c>
      <c r="F5050" s="52" t="s">
        <v>26</v>
      </c>
      <c r="G5050" s="195" t="s">
        <v>276</v>
      </c>
      <c r="H5050" s="195">
        <v>-0.25125500000000001</v>
      </c>
      <c r="I5050" s="195">
        <v>-0.27261099999999999</v>
      </c>
      <c r="J5050" s="195">
        <v>-1.7121999999999998E-2</v>
      </c>
      <c r="K5050" s="195">
        <v>-2.73394E-2</v>
      </c>
      <c r="L5050" s="195">
        <v>-5.0294199999999997E-2</v>
      </c>
      <c r="M5050" s="195">
        <v>-4.47474E-2</v>
      </c>
      <c r="N5050" s="195">
        <v>-4.09104E-2</v>
      </c>
    </row>
    <row r="5051" spans="1:14" hidden="1" x14ac:dyDescent="0.35">
      <c r="A5051" s="52" t="s">
        <v>671</v>
      </c>
      <c r="B5051" s="52" t="s">
        <v>37</v>
      </c>
      <c r="C5051" s="52" t="s">
        <v>105</v>
      </c>
      <c r="D5051" s="52" t="s">
        <v>105</v>
      </c>
      <c r="E5051" s="52" t="s">
        <v>643</v>
      </c>
      <c r="F5051" s="52" t="s">
        <v>26</v>
      </c>
      <c r="G5051" s="195" t="s">
        <v>277</v>
      </c>
      <c r="H5051" s="195"/>
      <c r="I5051" s="195"/>
      <c r="J5051" s="195"/>
      <c r="K5051" s="195"/>
      <c r="L5051" s="195"/>
      <c r="M5051" s="195">
        <v>0</v>
      </c>
      <c r="N5051" s="195">
        <v>0</v>
      </c>
    </row>
    <row r="5052" spans="1:14" hidden="1" x14ac:dyDescent="0.35">
      <c r="A5052" s="52" t="s">
        <v>671</v>
      </c>
      <c r="B5052" s="52" t="s">
        <v>37</v>
      </c>
      <c r="C5052" s="52" t="s">
        <v>105</v>
      </c>
      <c r="D5052" s="52" t="s">
        <v>105</v>
      </c>
      <c r="E5052" s="52" t="s">
        <v>643</v>
      </c>
      <c r="F5052" s="52" t="s">
        <v>26</v>
      </c>
      <c r="G5052" s="195" t="s">
        <v>279</v>
      </c>
      <c r="H5052" s="195">
        <v>5.3161199999999997</v>
      </c>
      <c r="I5052" s="195">
        <v>1.5354159999999999</v>
      </c>
      <c r="J5052" s="195">
        <v>1.342009</v>
      </c>
      <c r="K5052" s="195">
        <v>1.2842709999999999</v>
      </c>
      <c r="L5052" s="195">
        <v>1.300673</v>
      </c>
      <c r="M5052" s="195">
        <v>1.192564</v>
      </c>
      <c r="N5052" s="195">
        <v>1.0970470000000001</v>
      </c>
    </row>
    <row r="5053" spans="1:14" hidden="1" x14ac:dyDescent="0.35">
      <c r="A5053" s="52" t="s">
        <v>671</v>
      </c>
      <c r="B5053" s="52" t="s">
        <v>37</v>
      </c>
      <c r="C5053" s="52" t="s">
        <v>86</v>
      </c>
      <c r="D5053" s="52" t="s">
        <v>86</v>
      </c>
      <c r="E5053" s="52" t="s">
        <v>584</v>
      </c>
      <c r="F5053" s="52" t="s">
        <v>581</v>
      </c>
      <c r="G5053" s="195" t="s">
        <v>275</v>
      </c>
      <c r="H5053" s="195">
        <v>2.292761</v>
      </c>
      <c r="I5053" s="195">
        <v>1.043552</v>
      </c>
      <c r="J5053" s="195">
        <v>0.75817040000000002</v>
      </c>
      <c r="K5053" s="195">
        <v>0.44341580000000003</v>
      </c>
      <c r="L5053" s="195">
        <v>0.4224194</v>
      </c>
      <c r="M5053" s="195">
        <v>0.40789880000000001</v>
      </c>
      <c r="N5053" s="195">
        <v>0.39555400000000002</v>
      </c>
    </row>
    <row r="5054" spans="1:14" hidden="1" x14ac:dyDescent="0.35">
      <c r="A5054" s="52" t="s">
        <v>671</v>
      </c>
      <c r="B5054" s="52" t="s">
        <v>37</v>
      </c>
      <c r="C5054" s="52" t="s">
        <v>86</v>
      </c>
      <c r="D5054" s="52" t="s">
        <v>86</v>
      </c>
      <c r="E5054" s="52" t="s">
        <v>584</v>
      </c>
      <c r="F5054" s="52" t="s">
        <v>581</v>
      </c>
      <c r="G5054" s="195" t="s">
        <v>276</v>
      </c>
      <c r="H5054" s="195">
        <v>0.250892</v>
      </c>
      <c r="I5054" s="195">
        <v>-0.27979419999999999</v>
      </c>
      <c r="J5054" s="195">
        <v>-0.13518759999999999</v>
      </c>
      <c r="K5054" s="195">
        <v>0.153697</v>
      </c>
      <c r="L5054" s="195">
        <v>0.14641879999999999</v>
      </c>
      <c r="M5054" s="195">
        <v>0.1413856</v>
      </c>
      <c r="N5054" s="195">
        <v>0.13710739999999999</v>
      </c>
    </row>
    <row r="5055" spans="1:14" hidden="1" x14ac:dyDescent="0.35">
      <c r="A5055" s="52" t="s">
        <v>671</v>
      </c>
      <c r="B5055" s="52" t="s">
        <v>37</v>
      </c>
      <c r="C5055" s="52" t="s">
        <v>86</v>
      </c>
      <c r="D5055" s="52" t="s">
        <v>86</v>
      </c>
      <c r="E5055" s="52" t="s">
        <v>584</v>
      </c>
      <c r="F5055" s="52" t="s">
        <v>581</v>
      </c>
      <c r="G5055" s="195" t="s">
        <v>277</v>
      </c>
      <c r="H5055" s="195"/>
      <c r="I5055" s="195">
        <v>0</v>
      </c>
      <c r="J5055" s="195"/>
      <c r="K5055" s="195"/>
      <c r="L5055" s="195"/>
      <c r="M5055" s="195"/>
      <c r="N5055" s="195"/>
    </row>
    <row r="5056" spans="1:14" hidden="1" x14ac:dyDescent="0.35">
      <c r="A5056" s="52" t="s">
        <v>671</v>
      </c>
      <c r="B5056" s="52" t="s">
        <v>37</v>
      </c>
      <c r="C5056" s="52" t="s">
        <v>86</v>
      </c>
      <c r="D5056" s="52" t="s">
        <v>86</v>
      </c>
      <c r="E5056" s="52" t="s">
        <v>584</v>
      </c>
      <c r="F5056" s="52" t="s">
        <v>581</v>
      </c>
      <c r="G5056" s="195" t="s">
        <v>279</v>
      </c>
      <c r="H5056" s="195">
        <v>0.55875600000000003</v>
      </c>
      <c r="I5056" s="195">
        <v>0.37844260000000002</v>
      </c>
      <c r="J5056" s="195">
        <v>0.35928060000000001</v>
      </c>
      <c r="K5056" s="195">
        <v>0.3836774</v>
      </c>
      <c r="L5056" s="195">
        <v>0.39879140000000002</v>
      </c>
      <c r="M5056" s="195">
        <v>0.38392920000000003</v>
      </c>
      <c r="N5056" s="195">
        <v>0.371199</v>
      </c>
    </row>
    <row r="5057" spans="1:14" hidden="1" x14ac:dyDescent="0.35">
      <c r="A5057" s="52" t="s">
        <v>671</v>
      </c>
      <c r="B5057" s="52" t="s">
        <v>37</v>
      </c>
      <c r="C5057" s="52" t="s">
        <v>86</v>
      </c>
      <c r="D5057" s="52" t="s">
        <v>86</v>
      </c>
      <c r="E5057" s="52" t="s">
        <v>584</v>
      </c>
      <c r="F5057" s="52" t="s">
        <v>26</v>
      </c>
      <c r="G5057" s="195" t="s">
        <v>275</v>
      </c>
      <c r="H5057" s="195">
        <v>9.1164999999999996E-2</v>
      </c>
      <c r="I5057" s="195">
        <v>-9.7216990000000003E-2</v>
      </c>
      <c r="J5057" s="195">
        <v>-5.3506999999999999E-2</v>
      </c>
      <c r="K5057" s="195">
        <v>-0.15425920000000001</v>
      </c>
      <c r="L5057" s="195">
        <v>-0.2238028</v>
      </c>
      <c r="M5057" s="195">
        <v>-0.203545</v>
      </c>
      <c r="N5057" s="195">
        <v>-0.1829848</v>
      </c>
    </row>
    <row r="5058" spans="1:14" hidden="1" x14ac:dyDescent="0.35">
      <c r="A5058" s="52" t="s">
        <v>671</v>
      </c>
      <c r="B5058" s="52" t="s">
        <v>37</v>
      </c>
      <c r="C5058" s="52" t="s">
        <v>86</v>
      </c>
      <c r="D5058" s="52" t="s">
        <v>86</v>
      </c>
      <c r="E5058" s="52" t="s">
        <v>584</v>
      </c>
      <c r="F5058" s="52" t="s">
        <v>26</v>
      </c>
      <c r="G5058" s="195" t="s">
        <v>276</v>
      </c>
      <c r="H5058" s="195">
        <v>3.1600000000000003E-2</v>
      </c>
      <c r="I5058" s="195">
        <v>-3.3696999999999998E-2</v>
      </c>
      <c r="J5058" s="195">
        <v>-1.8547000000000001E-2</v>
      </c>
      <c r="K5058" s="195">
        <v>-5.3468990000000001E-2</v>
      </c>
      <c r="L5058" s="195">
        <v>-7.7575000000000005E-2</v>
      </c>
      <c r="M5058" s="195">
        <v>-7.0553210000000005E-2</v>
      </c>
      <c r="N5058" s="195">
        <v>-6.342681E-2</v>
      </c>
    </row>
    <row r="5059" spans="1:14" hidden="1" x14ac:dyDescent="0.35">
      <c r="A5059" s="52" t="s">
        <v>671</v>
      </c>
      <c r="B5059" s="52" t="s">
        <v>37</v>
      </c>
      <c r="C5059" s="52" t="s">
        <v>86</v>
      </c>
      <c r="D5059" s="52" t="s">
        <v>86</v>
      </c>
      <c r="E5059" s="52" t="s">
        <v>584</v>
      </c>
      <c r="F5059" s="52" t="s">
        <v>26</v>
      </c>
      <c r="G5059" s="195" t="s">
        <v>279</v>
      </c>
      <c r="H5059" s="195">
        <v>2.4137970000000002</v>
      </c>
      <c r="I5059" s="195">
        <v>1.96533</v>
      </c>
      <c r="J5059" s="195">
        <v>1.8230360000000001</v>
      </c>
      <c r="K5059" s="195">
        <v>1.8536239999999999</v>
      </c>
      <c r="L5059" s="195">
        <v>1.825415</v>
      </c>
      <c r="M5059" s="195">
        <v>1.6499239999999999</v>
      </c>
      <c r="N5059" s="195">
        <v>1.4947109999999999</v>
      </c>
    </row>
    <row r="5060" spans="1:14" hidden="1" x14ac:dyDescent="0.35">
      <c r="A5060" s="52" t="s">
        <v>671</v>
      </c>
      <c r="B5060" s="52" t="s">
        <v>37</v>
      </c>
      <c r="C5060" s="52" t="s">
        <v>95</v>
      </c>
      <c r="D5060" s="52" t="s">
        <v>95</v>
      </c>
      <c r="E5060" s="52" t="s">
        <v>584</v>
      </c>
      <c r="F5060" s="52" t="s">
        <v>26</v>
      </c>
      <c r="G5060" s="195" t="s">
        <v>275</v>
      </c>
      <c r="H5060" s="195">
        <v>0.57194599999999995</v>
      </c>
      <c r="I5060" s="195">
        <v>0.37521080000000001</v>
      </c>
      <c r="J5060" s="195">
        <v>0.31233680000000003</v>
      </c>
      <c r="K5060" s="195">
        <v>6.2110400000000003E-2</v>
      </c>
      <c r="L5060" s="195">
        <v>2.8474800000000001E-2</v>
      </c>
      <c r="M5060" s="195">
        <v>2.62942E-2</v>
      </c>
      <c r="N5060" s="195">
        <v>2.5599400000000001E-2</v>
      </c>
    </row>
    <row r="5061" spans="1:14" hidden="1" x14ac:dyDescent="0.35">
      <c r="A5061" s="52" t="s">
        <v>671</v>
      </c>
      <c r="B5061" s="52" t="s">
        <v>37</v>
      </c>
      <c r="C5061" s="52" t="s">
        <v>95</v>
      </c>
      <c r="D5061" s="52" t="s">
        <v>95</v>
      </c>
      <c r="E5061" s="52" t="s">
        <v>584</v>
      </c>
      <c r="F5061" s="52" t="s">
        <v>26</v>
      </c>
      <c r="G5061" s="195" t="s">
        <v>276</v>
      </c>
      <c r="H5061" s="195">
        <v>-0.28778399999999998</v>
      </c>
      <c r="I5061" s="195">
        <v>-0.2479992</v>
      </c>
      <c r="J5061" s="195">
        <v>-0.1701588</v>
      </c>
      <c r="K5061" s="195">
        <v>2.1529400000000001E-2</v>
      </c>
      <c r="L5061" s="195">
        <v>9.8699990000000008E-3</v>
      </c>
      <c r="M5061" s="195">
        <v>9.1143999999999999E-3</v>
      </c>
      <c r="N5061" s="195">
        <v>8.8738010000000006E-3</v>
      </c>
    </row>
    <row r="5062" spans="1:14" hidden="1" x14ac:dyDescent="0.35">
      <c r="A5062" s="52" t="s">
        <v>671</v>
      </c>
      <c r="B5062" s="52" t="s">
        <v>37</v>
      </c>
      <c r="C5062" s="52" t="s">
        <v>95</v>
      </c>
      <c r="D5062" s="52" t="s">
        <v>95</v>
      </c>
      <c r="E5062" s="52" t="s">
        <v>584</v>
      </c>
      <c r="F5062" s="52" t="s">
        <v>26</v>
      </c>
      <c r="G5062" s="195" t="s">
        <v>279</v>
      </c>
      <c r="H5062" s="195">
        <v>0.89519910000000003</v>
      </c>
      <c r="I5062" s="195">
        <v>0.72568220000000005</v>
      </c>
      <c r="J5062" s="195">
        <v>0.67238399999999998</v>
      </c>
      <c r="K5062" s="195">
        <v>0.68935999999999997</v>
      </c>
      <c r="L5062" s="195">
        <v>0.69478600000000001</v>
      </c>
      <c r="M5062" s="195">
        <v>0.65952560000000005</v>
      </c>
      <c r="N5062" s="195">
        <v>0.62618320000000005</v>
      </c>
    </row>
    <row r="5063" spans="1:14" hidden="1" x14ac:dyDescent="0.35">
      <c r="A5063" s="52" t="s">
        <v>671</v>
      </c>
      <c r="B5063" s="52" t="s">
        <v>37</v>
      </c>
      <c r="C5063" s="52" t="s">
        <v>70</v>
      </c>
      <c r="D5063" s="52" t="s">
        <v>70</v>
      </c>
      <c r="E5063" s="52" t="s">
        <v>584</v>
      </c>
      <c r="F5063" s="52" t="s">
        <v>581</v>
      </c>
      <c r="G5063" s="195" t="s">
        <v>275</v>
      </c>
      <c r="H5063" s="195">
        <v>0.96817900000000001</v>
      </c>
      <c r="I5063" s="195">
        <v>0.31402459999999999</v>
      </c>
      <c r="J5063" s="195">
        <v>0.20753079999999999</v>
      </c>
      <c r="K5063" s="195">
        <v>6.8666400000000002E-2</v>
      </c>
      <c r="L5063" s="195">
        <v>5.2921599999999999E-2</v>
      </c>
      <c r="M5063" s="195">
        <v>4.1610000000000001E-2</v>
      </c>
      <c r="N5063" s="195">
        <v>3.2611800000000003E-2</v>
      </c>
    </row>
    <row r="5064" spans="1:14" hidden="1" x14ac:dyDescent="0.35">
      <c r="A5064" s="52" t="s">
        <v>671</v>
      </c>
      <c r="B5064" s="52" t="s">
        <v>37</v>
      </c>
      <c r="C5064" s="52" t="s">
        <v>70</v>
      </c>
      <c r="D5064" s="52" t="s">
        <v>70</v>
      </c>
      <c r="E5064" s="52" t="s">
        <v>584</v>
      </c>
      <c r="F5064" s="52" t="s">
        <v>581</v>
      </c>
      <c r="G5064" s="195" t="s">
        <v>276</v>
      </c>
      <c r="H5064" s="195">
        <v>-0.274366</v>
      </c>
      <c r="I5064" s="195">
        <v>-0.14980940000000001</v>
      </c>
      <c r="J5064" s="195">
        <v>-9.63696E-2</v>
      </c>
      <c r="K5064" s="195">
        <v>1.8252999999999998E-2</v>
      </c>
      <c r="L5064" s="195">
        <v>1.40666E-2</v>
      </c>
      <c r="M5064" s="195">
        <v>1.1060800000000001E-2</v>
      </c>
      <c r="N5064" s="195">
        <v>8.6689999999999996E-3</v>
      </c>
    </row>
    <row r="5065" spans="1:14" hidden="1" x14ac:dyDescent="0.35">
      <c r="A5065" s="52" t="s">
        <v>671</v>
      </c>
      <c r="B5065" s="52" t="s">
        <v>37</v>
      </c>
      <c r="C5065" s="52" t="s">
        <v>70</v>
      </c>
      <c r="D5065" s="52" t="s">
        <v>70</v>
      </c>
      <c r="E5065" s="52" t="s">
        <v>584</v>
      </c>
      <c r="F5065" s="52" t="s">
        <v>581</v>
      </c>
      <c r="G5065" s="195" t="s">
        <v>279</v>
      </c>
      <c r="H5065" s="195">
        <v>0.192971</v>
      </c>
      <c r="I5065" s="195">
        <v>0.107727</v>
      </c>
      <c r="J5065" s="195">
        <v>8.6136799999999999E-2</v>
      </c>
      <c r="K5065" s="195">
        <v>7.7319609999999997E-2</v>
      </c>
      <c r="L5065" s="195">
        <v>6.7252800000000001E-2</v>
      </c>
      <c r="M5065" s="195">
        <v>5.4009000000000001E-2</v>
      </c>
      <c r="N5065" s="195">
        <v>4.3419600000000003E-2</v>
      </c>
    </row>
    <row r="5066" spans="1:14" hidden="1" x14ac:dyDescent="0.35">
      <c r="A5066" s="52" t="s">
        <v>671</v>
      </c>
      <c r="B5066" s="52" t="s">
        <v>37</v>
      </c>
      <c r="C5066" s="52" t="s">
        <v>70</v>
      </c>
      <c r="D5066" s="52" t="s">
        <v>70</v>
      </c>
      <c r="E5066" s="52" t="s">
        <v>584</v>
      </c>
      <c r="F5066" s="52" t="s">
        <v>26</v>
      </c>
      <c r="G5066" s="195" t="s">
        <v>275</v>
      </c>
      <c r="H5066" s="195">
        <v>5.0000000000000001E-3</v>
      </c>
      <c r="I5066" s="195">
        <v>3.59E-4</v>
      </c>
      <c r="J5066" s="195">
        <v>1.2467999999999999E-3</v>
      </c>
      <c r="K5066" s="195">
        <v>-9.5859999999999999E-4</v>
      </c>
      <c r="L5066" s="195">
        <v>-2.5493999999999998E-3</v>
      </c>
      <c r="M5066" s="195">
        <v>-2.3335999999999999E-3</v>
      </c>
      <c r="N5066" s="195">
        <v>-2.0828000000000001E-3</v>
      </c>
    </row>
    <row r="5067" spans="1:14" hidden="1" x14ac:dyDescent="0.35">
      <c r="A5067" s="52" t="s">
        <v>671</v>
      </c>
      <c r="B5067" s="52" t="s">
        <v>37</v>
      </c>
      <c r="C5067" s="52" t="s">
        <v>70</v>
      </c>
      <c r="D5067" s="52" t="s">
        <v>70</v>
      </c>
      <c r="E5067" s="52" t="s">
        <v>584</v>
      </c>
      <c r="F5067" s="52" t="s">
        <v>26</v>
      </c>
      <c r="G5067" s="195" t="s">
        <v>276</v>
      </c>
      <c r="H5067" s="195">
        <v>1.3290000000000001E-3</v>
      </c>
      <c r="I5067" s="195">
        <v>9.5000000000000005E-5</v>
      </c>
      <c r="J5067" s="195">
        <v>3.3199999999999999E-4</v>
      </c>
      <c r="K5067" s="195">
        <v>-2.5500000000000002E-4</v>
      </c>
      <c r="L5067" s="195">
        <v>-6.778E-4</v>
      </c>
      <c r="M5067" s="195">
        <v>-6.2080000000000002E-4</v>
      </c>
      <c r="N5067" s="195">
        <v>-5.5400000000000002E-4</v>
      </c>
    </row>
    <row r="5068" spans="1:14" hidden="1" x14ac:dyDescent="0.35">
      <c r="A5068" s="52" t="s">
        <v>671</v>
      </c>
      <c r="B5068" s="52" t="s">
        <v>37</v>
      </c>
      <c r="C5068" s="52" t="s">
        <v>70</v>
      </c>
      <c r="D5068" s="52" t="s">
        <v>70</v>
      </c>
      <c r="E5068" s="52" t="s">
        <v>584</v>
      </c>
      <c r="F5068" s="52" t="s">
        <v>26</v>
      </c>
      <c r="G5068" s="195" t="s">
        <v>279</v>
      </c>
      <c r="H5068" s="195">
        <v>4.9832000000000001E-2</v>
      </c>
      <c r="I5068" s="195">
        <v>4.0194000000000001E-2</v>
      </c>
      <c r="J5068" s="195">
        <v>3.7252800000000003E-2</v>
      </c>
      <c r="K5068" s="195">
        <v>3.7746399999999999E-2</v>
      </c>
      <c r="L5068" s="195">
        <v>3.7084600000000002E-2</v>
      </c>
      <c r="M5068" s="195">
        <v>3.3546199999999998E-2</v>
      </c>
      <c r="N5068" s="195">
        <v>3.04198E-2</v>
      </c>
    </row>
    <row r="5069" spans="1:14" hidden="1" x14ac:dyDescent="0.35">
      <c r="A5069" s="52" t="s">
        <v>671</v>
      </c>
      <c r="B5069" s="52" t="s">
        <v>37</v>
      </c>
      <c r="C5069" s="52" t="s">
        <v>205</v>
      </c>
      <c r="D5069" s="52" t="s">
        <v>205</v>
      </c>
      <c r="E5069" s="52" t="s">
        <v>584</v>
      </c>
      <c r="F5069" s="52" t="s">
        <v>581</v>
      </c>
      <c r="G5069" s="195" t="s">
        <v>275</v>
      </c>
      <c r="H5069" s="195">
        <v>0.29588199999999998</v>
      </c>
      <c r="I5069" s="195">
        <v>0.177343</v>
      </c>
      <c r="J5069" s="195">
        <v>0.15341679999999999</v>
      </c>
      <c r="K5069" s="195">
        <v>0.105</v>
      </c>
      <c r="L5069" s="195">
        <v>0.11481719999999999</v>
      </c>
      <c r="M5069" s="195">
        <v>9.0345400000000006E-2</v>
      </c>
      <c r="N5069" s="195">
        <v>8.9944410000000002E-2</v>
      </c>
    </row>
    <row r="5070" spans="1:14" hidden="1" x14ac:dyDescent="0.35">
      <c r="A5070" s="52" t="s">
        <v>671</v>
      </c>
      <c r="B5070" s="52" t="s">
        <v>37</v>
      </c>
      <c r="C5070" s="52" t="s">
        <v>205</v>
      </c>
      <c r="D5070" s="52" t="s">
        <v>205</v>
      </c>
      <c r="E5070" s="52" t="s">
        <v>584</v>
      </c>
      <c r="F5070" s="52" t="s">
        <v>581</v>
      </c>
      <c r="G5070" s="195" t="s">
        <v>276</v>
      </c>
      <c r="H5070" s="195">
        <v>7.9724009999999998E-2</v>
      </c>
      <c r="I5070" s="195">
        <v>-3.1232E-3</v>
      </c>
      <c r="J5070" s="195">
        <v>-1.7676600000000001E-2</v>
      </c>
      <c r="K5070" s="195">
        <v>2.1342E-2</v>
      </c>
      <c r="L5070" s="195">
        <v>4.2427999999999997E-3</v>
      </c>
      <c r="M5070" s="195">
        <v>2.40158E-2</v>
      </c>
      <c r="N5070" s="195">
        <v>2.3909E-2</v>
      </c>
    </row>
    <row r="5071" spans="1:14" hidden="1" x14ac:dyDescent="0.35">
      <c r="A5071" s="52" t="s">
        <v>671</v>
      </c>
      <c r="B5071" s="52" t="s">
        <v>37</v>
      </c>
      <c r="C5071" s="52" t="s">
        <v>205</v>
      </c>
      <c r="D5071" s="52" t="s">
        <v>205</v>
      </c>
      <c r="E5071" s="52" t="s">
        <v>584</v>
      </c>
      <c r="F5071" s="52" t="s">
        <v>581</v>
      </c>
      <c r="G5071" s="195" t="s">
        <v>277</v>
      </c>
      <c r="H5071" s="195">
        <v>0.24135000000000001</v>
      </c>
      <c r="I5071" s="195">
        <v>0</v>
      </c>
      <c r="J5071" s="195"/>
      <c r="K5071" s="195"/>
      <c r="L5071" s="195"/>
      <c r="M5071" s="195"/>
      <c r="N5071" s="195"/>
    </row>
    <row r="5072" spans="1:14" hidden="1" x14ac:dyDescent="0.35">
      <c r="A5072" s="52" t="s">
        <v>671</v>
      </c>
      <c r="B5072" s="52" t="s">
        <v>37</v>
      </c>
      <c r="C5072" s="52" t="s">
        <v>205</v>
      </c>
      <c r="D5072" s="52" t="s">
        <v>205</v>
      </c>
      <c r="E5072" s="52" t="s">
        <v>584</v>
      </c>
      <c r="F5072" s="52" t="s">
        <v>581</v>
      </c>
      <c r="G5072" s="195" t="s">
        <v>279</v>
      </c>
      <c r="H5072" s="195">
        <v>0.14788000000000001</v>
      </c>
      <c r="I5072" s="195">
        <v>9.4269199999999997E-2</v>
      </c>
      <c r="J5072" s="195">
        <v>8.5857799999999998E-2</v>
      </c>
      <c r="K5072" s="195">
        <v>8.9494790000000005E-2</v>
      </c>
      <c r="L5072" s="195">
        <v>9.2474399999999998E-2</v>
      </c>
      <c r="M5072" s="195">
        <v>8.8984190000000005E-2</v>
      </c>
      <c r="N5072" s="195">
        <v>8.8407609999999998E-2</v>
      </c>
    </row>
    <row r="5073" spans="1:14" hidden="1" x14ac:dyDescent="0.35">
      <c r="A5073" s="52" t="s">
        <v>671</v>
      </c>
      <c r="B5073" s="52" t="s">
        <v>37</v>
      </c>
      <c r="C5073" s="52" t="s">
        <v>205</v>
      </c>
      <c r="D5073" s="52" t="s">
        <v>205</v>
      </c>
      <c r="E5073" s="52" t="s">
        <v>584</v>
      </c>
      <c r="F5073" s="52" t="s">
        <v>26</v>
      </c>
      <c r="G5073" s="195" t="s">
        <v>275</v>
      </c>
      <c r="H5073" s="195">
        <v>0</v>
      </c>
      <c r="I5073" s="195"/>
      <c r="J5073" s="195"/>
      <c r="K5073" s="195"/>
      <c r="L5073" s="195"/>
      <c r="M5073" s="195"/>
      <c r="N5073" s="195"/>
    </row>
    <row r="5074" spans="1:14" hidden="1" x14ac:dyDescent="0.35">
      <c r="A5074" s="52" t="s">
        <v>671</v>
      </c>
      <c r="B5074" s="52" t="s">
        <v>37</v>
      </c>
      <c r="C5074" s="52" t="s">
        <v>205</v>
      </c>
      <c r="D5074" s="52" t="s">
        <v>205</v>
      </c>
      <c r="E5074" s="52" t="s">
        <v>584</v>
      </c>
      <c r="F5074" s="52" t="s">
        <v>26</v>
      </c>
      <c r="G5074" s="195" t="s">
        <v>276</v>
      </c>
      <c r="H5074" s="195">
        <v>0</v>
      </c>
      <c r="I5074" s="195"/>
      <c r="J5074" s="195"/>
      <c r="K5074" s="195"/>
      <c r="L5074" s="195"/>
      <c r="M5074" s="195"/>
      <c r="N5074" s="195"/>
    </row>
    <row r="5075" spans="1:14" hidden="1" x14ac:dyDescent="0.35">
      <c r="A5075" s="52" t="s">
        <v>671</v>
      </c>
      <c r="B5075" s="52" t="s">
        <v>37</v>
      </c>
      <c r="C5075" s="52" t="s">
        <v>109</v>
      </c>
      <c r="D5075" s="52" t="s">
        <v>109</v>
      </c>
      <c r="E5075" s="52" t="s">
        <v>584</v>
      </c>
      <c r="F5075" s="52" t="s">
        <v>581</v>
      </c>
      <c r="G5075" s="195" t="s">
        <v>275</v>
      </c>
      <c r="H5075" s="195">
        <v>2.5265699999999999E-2</v>
      </c>
      <c r="I5075" s="195">
        <v>1.448262E-2</v>
      </c>
      <c r="J5075" s="195">
        <v>1.308456E-2</v>
      </c>
      <c r="K5075" s="195">
        <v>-5.6647800000000003E-3</v>
      </c>
      <c r="L5075" s="195">
        <v>-3.2515199999999999E-3</v>
      </c>
      <c r="M5075" s="195">
        <v>-1.77732E-3</v>
      </c>
      <c r="N5075" s="195">
        <v>-6.4481969999999995E-4</v>
      </c>
    </row>
    <row r="5076" spans="1:14" hidden="1" x14ac:dyDescent="0.35">
      <c r="A5076" s="52" t="s">
        <v>671</v>
      </c>
      <c r="B5076" s="52" t="s">
        <v>37</v>
      </c>
      <c r="C5076" s="52" t="s">
        <v>109</v>
      </c>
      <c r="D5076" s="52" t="s">
        <v>109</v>
      </c>
      <c r="E5076" s="52" t="s">
        <v>584</v>
      </c>
      <c r="F5076" s="52" t="s">
        <v>581</v>
      </c>
      <c r="G5076" s="195" t="s">
        <v>276</v>
      </c>
      <c r="H5076" s="195">
        <v>4.0593000000000001E-3</v>
      </c>
      <c r="I5076" s="195">
        <v>1.13748E-3</v>
      </c>
      <c r="J5076" s="195">
        <v>-4.4383799999999996E-3</v>
      </c>
      <c r="K5076" s="195">
        <v>8.2355989999999995E-4</v>
      </c>
      <c r="L5076" s="195">
        <v>2.8014009999999999E-4</v>
      </c>
      <c r="M5076" s="195">
        <v>-4.422E-5</v>
      </c>
      <c r="N5076" s="195">
        <v>-1.5972E-4</v>
      </c>
    </row>
    <row r="5077" spans="1:14" hidden="1" x14ac:dyDescent="0.35">
      <c r="A5077" s="52" t="s">
        <v>671</v>
      </c>
      <c r="B5077" s="52" t="s">
        <v>37</v>
      </c>
      <c r="C5077" s="52" t="s">
        <v>109</v>
      </c>
      <c r="D5077" s="52" t="s">
        <v>109</v>
      </c>
      <c r="E5077" s="52" t="s">
        <v>584</v>
      </c>
      <c r="F5077" s="52" t="s">
        <v>581</v>
      </c>
      <c r="G5077" s="195" t="s">
        <v>277</v>
      </c>
      <c r="H5077" s="195"/>
      <c r="I5077" s="195"/>
      <c r="J5077" s="195">
        <v>0</v>
      </c>
      <c r="K5077" s="195">
        <v>1.095294E-2</v>
      </c>
      <c r="L5077" s="195">
        <v>7.5730800000000003E-3</v>
      </c>
      <c r="M5077" s="195">
        <v>5.2806600000000004E-3</v>
      </c>
      <c r="N5077" s="195">
        <v>3.72384E-3</v>
      </c>
    </row>
    <row r="5078" spans="1:14" hidden="1" x14ac:dyDescent="0.35">
      <c r="A5078" s="52" t="s">
        <v>671</v>
      </c>
      <c r="B5078" s="52" t="s">
        <v>37</v>
      </c>
      <c r="C5078" s="52" t="s">
        <v>109</v>
      </c>
      <c r="D5078" s="52" t="s">
        <v>109</v>
      </c>
      <c r="E5078" s="52" t="s">
        <v>584</v>
      </c>
      <c r="F5078" s="52" t="s">
        <v>581</v>
      </c>
      <c r="G5078" s="195" t="s">
        <v>279</v>
      </c>
      <c r="H5078" s="195">
        <v>1.1850899999999999E-2</v>
      </c>
      <c r="I5078" s="195">
        <v>1.31187E-2</v>
      </c>
      <c r="J5078" s="195">
        <v>1.0554600000000001E-2</v>
      </c>
      <c r="K5078" s="195">
        <v>8.9870999999999996E-3</v>
      </c>
      <c r="L5078" s="195">
        <v>7.4646000000000001E-3</v>
      </c>
      <c r="M5078" s="195">
        <v>6.3660000000000001E-3</v>
      </c>
      <c r="N5078" s="195">
        <v>5.2443000000000004E-3</v>
      </c>
    </row>
    <row r="5079" spans="1:14" hidden="1" x14ac:dyDescent="0.35">
      <c r="A5079" s="52" t="s">
        <v>671</v>
      </c>
      <c r="B5079" s="52" t="s">
        <v>37</v>
      </c>
      <c r="C5079" s="52" t="s">
        <v>109</v>
      </c>
      <c r="D5079" s="52" t="s">
        <v>109</v>
      </c>
      <c r="E5079" s="52" t="s">
        <v>584</v>
      </c>
      <c r="F5079" s="52" t="s">
        <v>26</v>
      </c>
      <c r="G5079" s="195" t="s">
        <v>275</v>
      </c>
      <c r="H5079" s="195">
        <v>1.8585600000000001E-2</v>
      </c>
      <c r="I5079" s="195">
        <v>3.915616E-4</v>
      </c>
      <c r="J5079" s="195">
        <v>2.685156E-2</v>
      </c>
      <c r="K5079" s="195">
        <v>1.8038399999999999E-3</v>
      </c>
      <c r="L5079" s="195">
        <v>1.9545000000000001E-3</v>
      </c>
      <c r="M5079" s="195">
        <v>-2.5925999999999998E-4</v>
      </c>
      <c r="N5079" s="195">
        <v>-8.2421999999999997E-4</v>
      </c>
    </row>
    <row r="5080" spans="1:14" hidden="1" x14ac:dyDescent="0.35">
      <c r="A5080" s="52" t="s">
        <v>671</v>
      </c>
      <c r="B5080" s="52" t="s">
        <v>37</v>
      </c>
      <c r="C5080" s="52" t="s">
        <v>109</v>
      </c>
      <c r="D5080" s="52" t="s">
        <v>109</v>
      </c>
      <c r="E5080" s="52" t="s">
        <v>584</v>
      </c>
      <c r="F5080" s="52" t="s">
        <v>26</v>
      </c>
      <c r="G5080" s="195" t="s">
        <v>276</v>
      </c>
      <c r="H5080" s="195">
        <v>-7.8882009999999992E-3</v>
      </c>
      <c r="I5080" s="195">
        <v>-1.1814359999999999E-2</v>
      </c>
      <c r="J5080" s="195">
        <v>-3.787194E-2</v>
      </c>
      <c r="K5080" s="195">
        <v>-1.7371800000000001E-3</v>
      </c>
      <c r="L5080" s="195">
        <v>-3.7916999999999998E-3</v>
      </c>
      <c r="M5080" s="195">
        <v>-2.8884000000000002E-3</v>
      </c>
      <c r="N5080" s="195">
        <v>-1.9545600000000002E-3</v>
      </c>
    </row>
    <row r="5081" spans="1:14" hidden="1" x14ac:dyDescent="0.35">
      <c r="A5081" s="52" t="s">
        <v>671</v>
      </c>
      <c r="B5081" s="52" t="s">
        <v>37</v>
      </c>
      <c r="C5081" s="52" t="s">
        <v>109</v>
      </c>
      <c r="D5081" s="52" t="s">
        <v>109</v>
      </c>
      <c r="E5081" s="52" t="s">
        <v>584</v>
      </c>
      <c r="F5081" s="52" t="s">
        <v>26</v>
      </c>
      <c r="G5081" s="195" t="s">
        <v>277</v>
      </c>
      <c r="H5081" s="195">
        <v>2.9138399999999998E-2</v>
      </c>
      <c r="I5081" s="195">
        <v>2.1910559999999999E-2</v>
      </c>
      <c r="J5081" s="195">
        <v>1.5939539999999999E-2</v>
      </c>
      <c r="K5081" s="195">
        <v>0</v>
      </c>
      <c r="L5081" s="195"/>
      <c r="M5081" s="195"/>
      <c r="N5081" s="195"/>
    </row>
    <row r="5082" spans="1:14" hidden="1" x14ac:dyDescent="0.35">
      <c r="A5082" s="52" t="s">
        <v>671</v>
      </c>
      <c r="B5082" s="52" t="s">
        <v>37</v>
      </c>
      <c r="C5082" s="52" t="s">
        <v>109</v>
      </c>
      <c r="D5082" s="52" t="s">
        <v>109</v>
      </c>
      <c r="E5082" s="52" t="s">
        <v>584</v>
      </c>
      <c r="F5082" s="52" t="s">
        <v>26</v>
      </c>
      <c r="G5082" s="195" t="s">
        <v>279</v>
      </c>
      <c r="H5082" s="195">
        <v>7.7055899999999997E-2</v>
      </c>
      <c r="I5082" s="195">
        <v>5.0701499999999997E-2</v>
      </c>
      <c r="J5082" s="195">
        <v>3.7380900000000002E-2</v>
      </c>
      <c r="K5082" s="195">
        <v>2.8989000000000001E-2</v>
      </c>
      <c r="L5082" s="195">
        <v>2.1783899999999998E-2</v>
      </c>
      <c r="M5082" s="195">
        <v>1.6833899999999999E-2</v>
      </c>
      <c r="N5082" s="195">
        <v>1.2196800000000001E-2</v>
      </c>
    </row>
    <row r="5083" spans="1:14" hidden="1" x14ac:dyDescent="0.35">
      <c r="A5083" s="52" t="s">
        <v>671</v>
      </c>
      <c r="B5083" s="52" t="s">
        <v>37</v>
      </c>
      <c r="C5083" s="52" t="s">
        <v>118</v>
      </c>
      <c r="D5083" s="52" t="s">
        <v>118</v>
      </c>
      <c r="E5083" s="52" t="s">
        <v>584</v>
      </c>
      <c r="F5083" s="52" t="s">
        <v>26</v>
      </c>
      <c r="G5083" s="195" t="s">
        <v>275</v>
      </c>
      <c r="H5083" s="195">
        <v>-7.5356000000000006E-2</v>
      </c>
      <c r="I5083" s="195">
        <v>2.5675199999999999E-2</v>
      </c>
      <c r="J5083" s="195">
        <v>-6.0731210000000001E-2</v>
      </c>
      <c r="K5083" s="195">
        <v>-6.2965400000000005E-2</v>
      </c>
      <c r="L5083" s="195">
        <v>-4.5908400000000002E-2</v>
      </c>
      <c r="M5083" s="195">
        <v>-4.6626399999999998E-2</v>
      </c>
      <c r="N5083" s="195">
        <v>1.34688E-2</v>
      </c>
    </row>
    <row r="5084" spans="1:14" hidden="1" x14ac:dyDescent="0.35">
      <c r="A5084" s="52" t="s">
        <v>671</v>
      </c>
      <c r="B5084" s="52" t="s">
        <v>37</v>
      </c>
      <c r="C5084" s="52" t="s">
        <v>118</v>
      </c>
      <c r="D5084" s="52" t="s">
        <v>118</v>
      </c>
      <c r="E5084" s="52" t="s">
        <v>584</v>
      </c>
      <c r="F5084" s="52" t="s">
        <v>26</v>
      </c>
      <c r="G5084" s="195" t="s">
        <v>276</v>
      </c>
      <c r="H5084" s="195">
        <v>-2.3439000000000002E-2</v>
      </c>
      <c r="I5084" s="195">
        <v>-1.94504E-2</v>
      </c>
      <c r="J5084" s="195">
        <v>-1.8304999999999998E-2</v>
      </c>
      <c r="K5084" s="195">
        <v>-7.6956000000000004E-3</v>
      </c>
      <c r="L5084" s="195">
        <v>-1.69844E-2</v>
      </c>
      <c r="M5084" s="195">
        <v>-8.0841999999999997E-3</v>
      </c>
      <c r="N5084" s="195">
        <v>-1.2327400000000001E-2</v>
      </c>
    </row>
    <row r="5085" spans="1:14" hidden="1" x14ac:dyDescent="0.35">
      <c r="A5085" s="52" t="s">
        <v>671</v>
      </c>
      <c r="B5085" s="52" t="s">
        <v>37</v>
      </c>
      <c r="C5085" s="52" t="s">
        <v>118</v>
      </c>
      <c r="D5085" s="52" t="s">
        <v>118</v>
      </c>
      <c r="E5085" s="52" t="s">
        <v>584</v>
      </c>
      <c r="F5085" s="52" t="s">
        <v>26</v>
      </c>
      <c r="G5085" s="195" t="s">
        <v>277</v>
      </c>
      <c r="H5085" s="195">
        <v>0.113839</v>
      </c>
      <c r="I5085" s="195">
        <v>0</v>
      </c>
      <c r="J5085" s="195">
        <v>8.5582000000000005E-2</v>
      </c>
      <c r="K5085" s="195">
        <v>7.4202989999999996E-2</v>
      </c>
      <c r="L5085" s="195">
        <v>6.4338000000000006E-2</v>
      </c>
      <c r="M5085" s="195">
        <v>5.5960000000000003E-2</v>
      </c>
      <c r="N5085" s="195">
        <v>0</v>
      </c>
    </row>
    <row r="5086" spans="1:14" hidden="1" x14ac:dyDescent="0.35">
      <c r="A5086" s="52" t="s">
        <v>671</v>
      </c>
      <c r="B5086" s="52" t="s">
        <v>37</v>
      </c>
      <c r="C5086" s="52" t="s">
        <v>118</v>
      </c>
      <c r="D5086" s="52" t="s">
        <v>118</v>
      </c>
      <c r="E5086" s="52" t="s">
        <v>584</v>
      </c>
      <c r="F5086" s="52" t="s">
        <v>26</v>
      </c>
      <c r="G5086" s="195" t="s">
        <v>279</v>
      </c>
      <c r="H5086" s="195">
        <v>5.4271E-2</v>
      </c>
      <c r="I5086" s="195">
        <v>4.0706800000000001E-2</v>
      </c>
      <c r="J5086" s="195">
        <v>3.5423000000000003E-2</v>
      </c>
      <c r="K5086" s="195">
        <v>3.3745799999999999E-2</v>
      </c>
      <c r="L5086" s="195">
        <v>3.1664999999999999E-2</v>
      </c>
      <c r="M5086" s="195">
        <v>2.8228799999999998E-2</v>
      </c>
      <c r="N5086" s="195">
        <v>2.5095200000000002E-2</v>
      </c>
    </row>
    <row r="5087" spans="1:14" hidden="1" x14ac:dyDescent="0.35">
      <c r="A5087" s="52" t="s">
        <v>671</v>
      </c>
      <c r="B5087" s="52" t="s">
        <v>291</v>
      </c>
      <c r="C5087" s="52" t="s">
        <v>102</v>
      </c>
      <c r="D5087" s="52" t="s">
        <v>102</v>
      </c>
      <c r="E5087" s="52" t="s">
        <v>584</v>
      </c>
      <c r="F5087" s="52" t="s">
        <v>581</v>
      </c>
      <c r="G5087" s="195" t="s">
        <v>275</v>
      </c>
      <c r="H5087" s="195">
        <v>-0.22724900000000001</v>
      </c>
      <c r="I5087" s="195">
        <v>-0.22724900000000001</v>
      </c>
      <c r="J5087" s="195">
        <v>0</v>
      </c>
      <c r="K5087" s="195">
        <v>0</v>
      </c>
      <c r="L5087" s="195">
        <v>0</v>
      </c>
      <c r="M5087" s="195">
        <v>0</v>
      </c>
      <c r="N5087" s="195">
        <v>0</v>
      </c>
    </row>
    <row r="5088" spans="1:14" hidden="1" x14ac:dyDescent="0.35">
      <c r="A5088" s="52" t="s">
        <v>671</v>
      </c>
      <c r="B5088" s="52" t="s">
        <v>291</v>
      </c>
      <c r="C5088" s="52" t="s">
        <v>102</v>
      </c>
      <c r="D5088" s="52" t="s">
        <v>102</v>
      </c>
      <c r="E5088" s="52" t="s">
        <v>584</v>
      </c>
      <c r="F5088" s="52" t="s">
        <v>581</v>
      </c>
      <c r="G5088" s="195" t="s">
        <v>276</v>
      </c>
      <c r="H5088" s="195"/>
      <c r="I5088" s="195"/>
      <c r="J5088" s="195">
        <v>-0.22724900000000001</v>
      </c>
      <c r="K5088" s="195">
        <v>-0.22724900000000001</v>
      </c>
      <c r="L5088" s="195">
        <v>-2.194312</v>
      </c>
      <c r="M5088" s="195">
        <v>-1.6741509999999999</v>
      </c>
      <c r="N5088" s="195">
        <v>-1.2871440000000001</v>
      </c>
    </row>
    <row r="5089" spans="1:14" hidden="1" x14ac:dyDescent="0.35">
      <c r="A5089" s="52" t="s">
        <v>671</v>
      </c>
      <c r="B5089" s="52" t="s">
        <v>291</v>
      </c>
      <c r="C5089" s="52" t="s">
        <v>102</v>
      </c>
      <c r="D5089" s="52" t="s">
        <v>102</v>
      </c>
      <c r="E5089" s="52" t="s">
        <v>584</v>
      </c>
      <c r="F5089" s="52" t="s">
        <v>581</v>
      </c>
      <c r="G5089" s="195" t="s">
        <v>278</v>
      </c>
      <c r="H5089" s="195">
        <v>0.22724900000000001</v>
      </c>
      <c r="I5089" s="195">
        <v>0.22724900000000001</v>
      </c>
      <c r="J5089" s="195">
        <v>0.22724900000000001</v>
      </c>
      <c r="K5089" s="195">
        <v>0.22724900000000001</v>
      </c>
      <c r="L5089" s="195">
        <v>2.1943109999999999</v>
      </c>
      <c r="M5089" s="195">
        <v>1.6741509999999999</v>
      </c>
      <c r="N5089" s="195">
        <v>1.2871440000000001</v>
      </c>
    </row>
    <row r="5090" spans="1:14" hidden="1" x14ac:dyDescent="0.35">
      <c r="A5090" s="52" t="s">
        <v>662</v>
      </c>
      <c r="B5090" s="52" t="s">
        <v>37</v>
      </c>
      <c r="C5090" s="52" t="s">
        <v>63</v>
      </c>
      <c r="D5090" s="52" t="s">
        <v>63</v>
      </c>
      <c r="E5090" s="52" t="s">
        <v>621</v>
      </c>
      <c r="F5090" s="52" t="s">
        <v>26</v>
      </c>
      <c r="G5090" s="195" t="s">
        <v>275</v>
      </c>
      <c r="H5090" s="195">
        <v>-184.6189</v>
      </c>
      <c r="I5090" s="195">
        <v>61.237029999999997</v>
      </c>
      <c r="J5090" s="195">
        <v>99.078540000000004</v>
      </c>
      <c r="K5090" s="195">
        <v>85.771230000000003</v>
      </c>
      <c r="L5090" s="195">
        <v>44.325159999999997</v>
      </c>
      <c r="M5090" s="195">
        <v>59.079329999999999</v>
      </c>
      <c r="N5090" s="195">
        <v>47.247669999999999</v>
      </c>
    </row>
    <row r="5091" spans="1:14" hidden="1" x14ac:dyDescent="0.35">
      <c r="A5091" s="52" t="s">
        <v>662</v>
      </c>
      <c r="B5091" s="52" t="s">
        <v>37</v>
      </c>
      <c r="C5091" s="52" t="s">
        <v>63</v>
      </c>
      <c r="D5091" s="52" t="s">
        <v>63</v>
      </c>
      <c r="E5091" s="52" t="s">
        <v>621</v>
      </c>
      <c r="F5091" s="52" t="s">
        <v>26</v>
      </c>
      <c r="G5091" s="195" t="s">
        <v>276</v>
      </c>
      <c r="H5091" s="195">
        <v>-33.345320000000001</v>
      </c>
      <c r="I5091" s="195">
        <v>-23.878219999999999</v>
      </c>
      <c r="J5091" s="195">
        <v>-14.95185</v>
      </c>
      <c r="K5091" s="195">
        <v>-11.00704</v>
      </c>
      <c r="L5091" s="195">
        <v>-14.75094</v>
      </c>
      <c r="M5091" s="195">
        <v>-9.0915879999999998</v>
      </c>
      <c r="N5091" s="195">
        <v>-3.76756</v>
      </c>
    </row>
    <row r="5092" spans="1:14" hidden="1" x14ac:dyDescent="0.35">
      <c r="A5092" s="52" t="s">
        <v>662</v>
      </c>
      <c r="B5092" s="52" t="s">
        <v>37</v>
      </c>
      <c r="C5092" s="52" t="s">
        <v>63</v>
      </c>
      <c r="D5092" s="52" t="s">
        <v>63</v>
      </c>
      <c r="E5092" s="52" t="s">
        <v>621</v>
      </c>
      <c r="F5092" s="52" t="s">
        <v>26</v>
      </c>
      <c r="G5092" s="195" t="s">
        <v>277</v>
      </c>
      <c r="H5092" s="195">
        <v>334.04939999999999</v>
      </c>
      <c r="I5092" s="195">
        <v>77.421520000000001</v>
      </c>
      <c r="J5092" s="195">
        <v>40.305210000000002</v>
      </c>
      <c r="K5092" s="195">
        <v>23.224329999999998</v>
      </c>
      <c r="L5092" s="195">
        <v>15.863</v>
      </c>
      <c r="M5092" s="195">
        <v>0</v>
      </c>
      <c r="N5092" s="195">
        <v>0</v>
      </c>
    </row>
    <row r="5093" spans="1:14" hidden="1" x14ac:dyDescent="0.35">
      <c r="A5093" s="52" t="s">
        <v>662</v>
      </c>
      <c r="B5093" s="52" t="s">
        <v>37</v>
      </c>
      <c r="C5093" s="52" t="s">
        <v>63</v>
      </c>
      <c r="D5093" s="52" t="s">
        <v>63</v>
      </c>
      <c r="E5093" s="52" t="s">
        <v>621</v>
      </c>
      <c r="F5093" s="52" t="s">
        <v>26</v>
      </c>
      <c r="G5093" s="195" t="s">
        <v>278</v>
      </c>
      <c r="H5093" s="195">
        <v>30.950610000000001</v>
      </c>
      <c r="I5093" s="195">
        <v>17.100000000000001</v>
      </c>
      <c r="J5093" s="195">
        <v>12.267049999999999</v>
      </c>
      <c r="K5093" s="195">
        <v>12.18721</v>
      </c>
      <c r="L5093" s="195">
        <v>7.3853330000000001</v>
      </c>
      <c r="M5093" s="195">
        <v>0</v>
      </c>
      <c r="N5093" s="195">
        <v>0</v>
      </c>
    </row>
    <row r="5094" spans="1:14" hidden="1" x14ac:dyDescent="0.35">
      <c r="A5094" s="52" t="s">
        <v>662</v>
      </c>
      <c r="B5094" s="52" t="s">
        <v>37</v>
      </c>
      <c r="C5094" s="52" t="s">
        <v>63</v>
      </c>
      <c r="D5094" s="52" t="s">
        <v>63</v>
      </c>
      <c r="E5094" s="52" t="s">
        <v>621</v>
      </c>
      <c r="F5094" s="52" t="s">
        <v>26</v>
      </c>
      <c r="G5094" s="195" t="s">
        <v>279</v>
      </c>
      <c r="H5094" s="195">
        <v>744.02049999999997</v>
      </c>
      <c r="I5094" s="195">
        <v>663.32230000000004</v>
      </c>
      <c r="J5094" s="195">
        <v>529.47059999999999</v>
      </c>
      <c r="K5094" s="195">
        <v>501.45159999999998</v>
      </c>
      <c r="L5094" s="195">
        <v>519.19039999999995</v>
      </c>
      <c r="M5094" s="195">
        <v>449.1003</v>
      </c>
      <c r="N5094" s="195">
        <v>387.24560000000002</v>
      </c>
    </row>
    <row r="5095" spans="1:14" hidden="1" x14ac:dyDescent="0.35">
      <c r="A5095" s="52" t="s">
        <v>662</v>
      </c>
      <c r="B5095" s="52" t="s">
        <v>37</v>
      </c>
      <c r="C5095" s="52" t="s">
        <v>63</v>
      </c>
      <c r="D5095" s="52" t="s">
        <v>63</v>
      </c>
      <c r="E5095" s="52" t="s">
        <v>610</v>
      </c>
      <c r="F5095" s="52" t="s">
        <v>581</v>
      </c>
      <c r="G5095" s="195" t="s">
        <v>275</v>
      </c>
      <c r="H5095" s="195">
        <v>-257.17309999999998</v>
      </c>
      <c r="I5095" s="195">
        <v>-386.38510000000002</v>
      </c>
      <c r="J5095" s="195">
        <v>-23.286339999999999</v>
      </c>
      <c r="K5095" s="195">
        <v>-17.452960000000001</v>
      </c>
      <c r="L5095" s="195">
        <v>-31.50113</v>
      </c>
      <c r="M5095" s="195">
        <v>-20.69153</v>
      </c>
      <c r="N5095" s="195">
        <v>-21.71358</v>
      </c>
    </row>
    <row r="5096" spans="1:14" hidden="1" x14ac:dyDescent="0.35">
      <c r="A5096" s="52" t="s">
        <v>662</v>
      </c>
      <c r="B5096" s="52" t="s">
        <v>37</v>
      </c>
      <c r="C5096" s="52" t="s">
        <v>63</v>
      </c>
      <c r="D5096" s="52" t="s">
        <v>63</v>
      </c>
      <c r="E5096" s="52" t="s">
        <v>610</v>
      </c>
      <c r="F5096" s="52" t="s">
        <v>581</v>
      </c>
      <c r="G5096" s="195" t="s">
        <v>276</v>
      </c>
      <c r="H5096" s="195">
        <v>-6.9773529999999999</v>
      </c>
      <c r="I5096" s="195">
        <v>-24.8249</v>
      </c>
      <c r="J5096" s="195">
        <v>-22.606449999999999</v>
      </c>
      <c r="K5096" s="195">
        <v>-19.142399999999999</v>
      </c>
      <c r="L5096" s="195">
        <v>-18.448319999999999</v>
      </c>
      <c r="M5096" s="195">
        <v>-15.582700000000001</v>
      </c>
      <c r="N5096" s="195">
        <v>-10.88519</v>
      </c>
    </row>
    <row r="5097" spans="1:14" hidden="1" x14ac:dyDescent="0.35">
      <c r="A5097" s="52" t="s">
        <v>662</v>
      </c>
      <c r="B5097" s="52" t="s">
        <v>37</v>
      </c>
      <c r="C5097" s="52" t="s">
        <v>63</v>
      </c>
      <c r="D5097" s="52" t="s">
        <v>63</v>
      </c>
      <c r="E5097" s="52" t="s">
        <v>610</v>
      </c>
      <c r="F5097" s="52" t="s">
        <v>581</v>
      </c>
      <c r="G5097" s="195" t="s">
        <v>277</v>
      </c>
      <c r="H5097" s="195">
        <v>422.64280000000002</v>
      </c>
      <c r="I5097" s="195">
        <v>346.60489999999999</v>
      </c>
      <c r="J5097" s="195">
        <v>12.09145</v>
      </c>
      <c r="K5097" s="195">
        <v>2.0423719999999999</v>
      </c>
      <c r="L5097" s="195">
        <v>1.300943</v>
      </c>
      <c r="M5097" s="195">
        <v>0</v>
      </c>
      <c r="N5097" s="195">
        <v>0</v>
      </c>
    </row>
    <row r="5098" spans="1:14" hidden="1" x14ac:dyDescent="0.35">
      <c r="A5098" s="52" t="s">
        <v>662</v>
      </c>
      <c r="B5098" s="52" t="s">
        <v>37</v>
      </c>
      <c r="C5098" s="52" t="s">
        <v>63</v>
      </c>
      <c r="D5098" s="52" t="s">
        <v>63</v>
      </c>
      <c r="E5098" s="52" t="s">
        <v>610</v>
      </c>
      <c r="F5098" s="52" t="s">
        <v>581</v>
      </c>
      <c r="G5098" s="195" t="s">
        <v>278</v>
      </c>
      <c r="H5098" s="195">
        <v>75.60275</v>
      </c>
      <c r="I5098" s="195">
        <v>54.733379999999997</v>
      </c>
      <c r="J5098" s="195">
        <v>8.3364510000000003</v>
      </c>
      <c r="K5098" s="195">
        <v>9.5197109999999991</v>
      </c>
      <c r="L5098" s="195">
        <v>5.0399919999999998</v>
      </c>
      <c r="M5098" s="195">
        <v>0</v>
      </c>
      <c r="N5098" s="195">
        <v>0</v>
      </c>
    </row>
    <row r="5099" spans="1:14" hidden="1" x14ac:dyDescent="0.35">
      <c r="A5099" s="52" t="s">
        <v>662</v>
      </c>
      <c r="B5099" s="52" t="s">
        <v>37</v>
      </c>
      <c r="C5099" s="52" t="s">
        <v>63</v>
      </c>
      <c r="D5099" s="52" t="s">
        <v>63</v>
      </c>
      <c r="E5099" s="52" t="s">
        <v>610</v>
      </c>
      <c r="F5099" s="52" t="s">
        <v>581</v>
      </c>
      <c r="G5099" s="195" t="s">
        <v>279</v>
      </c>
      <c r="H5099" s="195">
        <v>263.88310000000001</v>
      </c>
      <c r="I5099" s="195">
        <v>274.137</v>
      </c>
      <c r="J5099" s="195">
        <v>240.21440000000001</v>
      </c>
      <c r="K5099" s="195">
        <v>209.58240000000001</v>
      </c>
      <c r="L5099" s="195">
        <v>205.09129999999999</v>
      </c>
      <c r="M5099" s="195">
        <v>178.13939999999999</v>
      </c>
      <c r="N5099" s="195">
        <v>158.67619999999999</v>
      </c>
    </row>
    <row r="5100" spans="1:14" hidden="1" x14ac:dyDescent="0.35">
      <c r="A5100" s="52" t="s">
        <v>662</v>
      </c>
      <c r="B5100" s="52" t="s">
        <v>37</v>
      </c>
      <c r="C5100" s="52" t="s">
        <v>63</v>
      </c>
      <c r="D5100" s="52" t="s">
        <v>63</v>
      </c>
      <c r="E5100" s="52" t="s">
        <v>610</v>
      </c>
      <c r="F5100" s="52" t="s">
        <v>26</v>
      </c>
      <c r="G5100" s="195" t="s">
        <v>275</v>
      </c>
      <c r="H5100" s="195">
        <v>-182.6841</v>
      </c>
      <c r="I5100" s="195">
        <v>-54.976010000000002</v>
      </c>
      <c r="J5100" s="195">
        <v>19.314699999999998</v>
      </c>
      <c r="K5100" s="195">
        <v>14.916930000000001</v>
      </c>
      <c r="L5100" s="195">
        <v>-3.9405359999999998</v>
      </c>
      <c r="M5100" s="195">
        <v>-2.4602620000000002</v>
      </c>
      <c r="N5100" s="195">
        <v>-3.6450049999999998</v>
      </c>
    </row>
    <row r="5101" spans="1:14" hidden="1" x14ac:dyDescent="0.35">
      <c r="A5101" s="52" t="s">
        <v>662</v>
      </c>
      <c r="B5101" s="52" t="s">
        <v>37</v>
      </c>
      <c r="C5101" s="52" t="s">
        <v>63</v>
      </c>
      <c r="D5101" s="52" t="s">
        <v>63</v>
      </c>
      <c r="E5101" s="52" t="s">
        <v>610</v>
      </c>
      <c r="F5101" s="52" t="s">
        <v>26</v>
      </c>
      <c r="G5101" s="195" t="s">
        <v>276</v>
      </c>
      <c r="H5101" s="195">
        <v>-3.718512</v>
      </c>
      <c r="I5101" s="195">
        <v>-5.1788800000000004</v>
      </c>
      <c r="J5101" s="195">
        <v>-3.1399539999999999</v>
      </c>
      <c r="K5101" s="195">
        <v>-4.3371550000000001</v>
      </c>
      <c r="L5101" s="195">
        <v>-6.207389</v>
      </c>
      <c r="M5101" s="195">
        <v>-5.00434</v>
      </c>
      <c r="N5101" s="195">
        <v>-2.8495879999999998</v>
      </c>
    </row>
    <row r="5102" spans="1:14" hidden="1" x14ac:dyDescent="0.35">
      <c r="A5102" s="52" t="s">
        <v>662</v>
      </c>
      <c r="B5102" s="52" t="s">
        <v>37</v>
      </c>
      <c r="C5102" s="52" t="s">
        <v>63</v>
      </c>
      <c r="D5102" s="52" t="s">
        <v>63</v>
      </c>
      <c r="E5102" s="52" t="s">
        <v>610</v>
      </c>
      <c r="F5102" s="52" t="s">
        <v>26</v>
      </c>
      <c r="G5102" s="195" t="s">
        <v>277</v>
      </c>
      <c r="H5102" s="195">
        <v>188.40870000000001</v>
      </c>
      <c r="I5102" s="195">
        <v>63.348350000000003</v>
      </c>
      <c r="J5102" s="195">
        <v>2.1463839999999998</v>
      </c>
      <c r="K5102" s="195">
        <v>7.4635199999999999E-2</v>
      </c>
      <c r="L5102" s="195"/>
      <c r="M5102" s="195">
        <v>0</v>
      </c>
      <c r="N5102" s="195">
        <v>0</v>
      </c>
    </row>
    <row r="5103" spans="1:14" hidden="1" x14ac:dyDescent="0.35">
      <c r="A5103" s="52" t="s">
        <v>662</v>
      </c>
      <c r="B5103" s="52" t="s">
        <v>37</v>
      </c>
      <c r="C5103" s="52" t="s">
        <v>63</v>
      </c>
      <c r="D5103" s="52" t="s">
        <v>63</v>
      </c>
      <c r="E5103" s="52" t="s">
        <v>610</v>
      </c>
      <c r="F5103" s="52" t="s">
        <v>26</v>
      </c>
      <c r="G5103" s="195" t="s">
        <v>278</v>
      </c>
      <c r="H5103" s="195">
        <v>23.345749999999999</v>
      </c>
      <c r="I5103" s="195">
        <v>6.6516520000000003</v>
      </c>
      <c r="J5103" s="195">
        <v>2.9312130000000001</v>
      </c>
      <c r="K5103" s="195">
        <v>0.68760750000000004</v>
      </c>
      <c r="L5103" s="195"/>
      <c r="M5103" s="195">
        <v>0</v>
      </c>
      <c r="N5103" s="195"/>
    </row>
    <row r="5104" spans="1:14" hidden="1" x14ac:dyDescent="0.35">
      <c r="A5104" s="52" t="s">
        <v>662</v>
      </c>
      <c r="B5104" s="52" t="s">
        <v>37</v>
      </c>
      <c r="C5104" s="52" t="s">
        <v>63</v>
      </c>
      <c r="D5104" s="52" t="s">
        <v>63</v>
      </c>
      <c r="E5104" s="52" t="s">
        <v>610</v>
      </c>
      <c r="F5104" s="52" t="s">
        <v>26</v>
      </c>
      <c r="G5104" s="195" t="s">
        <v>279</v>
      </c>
      <c r="H5104" s="195">
        <v>285.55959999999999</v>
      </c>
      <c r="I5104" s="195">
        <v>273.83569999999997</v>
      </c>
      <c r="J5104" s="195">
        <v>241.25970000000001</v>
      </c>
      <c r="K5104" s="195">
        <v>214.4068</v>
      </c>
      <c r="L5104" s="195">
        <v>206.49080000000001</v>
      </c>
      <c r="M5104" s="195">
        <v>180.2199</v>
      </c>
      <c r="N5104" s="195">
        <v>160.92400000000001</v>
      </c>
    </row>
    <row r="5105" spans="1:14" hidden="1" x14ac:dyDescent="0.35">
      <c r="A5105" s="52" t="s">
        <v>662</v>
      </c>
      <c r="B5105" s="52" t="s">
        <v>37</v>
      </c>
      <c r="C5105" s="52" t="s">
        <v>63</v>
      </c>
      <c r="D5105" s="52" t="s">
        <v>63</v>
      </c>
      <c r="E5105" s="52" t="s">
        <v>609</v>
      </c>
      <c r="F5105" s="52" t="s">
        <v>581</v>
      </c>
      <c r="G5105" s="195" t="s">
        <v>275</v>
      </c>
      <c r="H5105" s="195">
        <v>-5.2180000000000004E-3</v>
      </c>
      <c r="I5105" s="195">
        <v>-5.0335199999999997E-2</v>
      </c>
      <c r="J5105" s="195">
        <v>-4.3356800000000001E-2</v>
      </c>
      <c r="K5105" s="195">
        <v>-6.3186800000000001E-2</v>
      </c>
      <c r="L5105" s="195">
        <v>-0.14512340000000001</v>
      </c>
      <c r="M5105" s="195">
        <v>-0.12896199999999999</v>
      </c>
      <c r="N5105" s="195">
        <v>-9.4010399999999994E-2</v>
      </c>
    </row>
    <row r="5106" spans="1:14" hidden="1" x14ac:dyDescent="0.35">
      <c r="A5106" s="52" t="s">
        <v>662</v>
      </c>
      <c r="B5106" s="52" t="s">
        <v>37</v>
      </c>
      <c r="C5106" s="52" t="s">
        <v>63</v>
      </c>
      <c r="D5106" s="52" t="s">
        <v>63</v>
      </c>
      <c r="E5106" s="52" t="s">
        <v>609</v>
      </c>
      <c r="F5106" s="52" t="s">
        <v>581</v>
      </c>
      <c r="G5106" s="195" t="s">
        <v>276</v>
      </c>
      <c r="H5106" s="195">
        <v>-3.6299999999999999E-4</v>
      </c>
      <c r="I5106" s="195">
        <v>-3.4989999999999999E-3</v>
      </c>
      <c r="J5106" s="195">
        <v>-3.0144E-3</v>
      </c>
      <c r="K5106" s="195">
        <v>-4.3930000000000002E-3</v>
      </c>
      <c r="L5106" s="195">
        <v>-1.0089000000000001E-2</v>
      </c>
      <c r="M5106" s="195">
        <v>-8.9658010000000007E-3</v>
      </c>
      <c r="N5106" s="195">
        <v>-6.5346010000000001E-3</v>
      </c>
    </row>
    <row r="5107" spans="1:14" hidden="1" x14ac:dyDescent="0.35">
      <c r="A5107" s="52" t="s">
        <v>662</v>
      </c>
      <c r="B5107" s="52" t="s">
        <v>37</v>
      </c>
      <c r="C5107" s="52" t="s">
        <v>63</v>
      </c>
      <c r="D5107" s="52" t="s">
        <v>63</v>
      </c>
      <c r="E5107" s="52" t="s">
        <v>609</v>
      </c>
      <c r="F5107" s="52" t="s">
        <v>581</v>
      </c>
      <c r="G5107" s="195" t="s">
        <v>279</v>
      </c>
      <c r="H5107" s="195">
        <v>0.129719</v>
      </c>
      <c r="I5107" s="195">
        <v>9.2697799999999997E-2</v>
      </c>
      <c r="J5107" s="195">
        <v>7.4744599999999994E-2</v>
      </c>
      <c r="K5107" s="195">
        <v>0.1081662</v>
      </c>
      <c r="L5107" s="195">
        <v>0.23121259999999999</v>
      </c>
      <c r="M5107" s="195">
        <v>0.20673900000000001</v>
      </c>
      <c r="N5107" s="195">
        <v>0.15092120000000001</v>
      </c>
    </row>
    <row r="5108" spans="1:14" hidden="1" x14ac:dyDescent="0.35">
      <c r="A5108" s="52" t="s">
        <v>662</v>
      </c>
      <c r="B5108" s="52" t="s">
        <v>37</v>
      </c>
      <c r="C5108" s="52" t="s">
        <v>63</v>
      </c>
      <c r="D5108" s="52" t="s">
        <v>63</v>
      </c>
      <c r="E5108" s="52" t="s">
        <v>609</v>
      </c>
      <c r="F5108" s="52" t="s">
        <v>26</v>
      </c>
      <c r="G5108" s="195" t="s">
        <v>275</v>
      </c>
      <c r="H5108" s="195">
        <v>0.54432899999999995</v>
      </c>
      <c r="I5108" s="195">
        <v>0.11840580000000001</v>
      </c>
      <c r="J5108" s="195">
        <v>0.154611</v>
      </c>
      <c r="K5108" s="195">
        <v>-0.85951659999999996</v>
      </c>
      <c r="L5108" s="195">
        <v>-2.7288359999999998</v>
      </c>
      <c r="M5108" s="195">
        <v>-0.44544319999999998</v>
      </c>
      <c r="N5108" s="195">
        <v>-0.31112319999999999</v>
      </c>
    </row>
    <row r="5109" spans="1:14" hidden="1" x14ac:dyDescent="0.35">
      <c r="A5109" s="52" t="s">
        <v>662</v>
      </c>
      <c r="B5109" s="52" t="s">
        <v>37</v>
      </c>
      <c r="C5109" s="52" t="s">
        <v>63</v>
      </c>
      <c r="D5109" s="52" t="s">
        <v>63</v>
      </c>
      <c r="E5109" s="52" t="s">
        <v>609</v>
      </c>
      <c r="F5109" s="52" t="s">
        <v>26</v>
      </c>
      <c r="G5109" s="195" t="s">
        <v>276</v>
      </c>
      <c r="H5109" s="195">
        <v>-0.13298599999999999</v>
      </c>
      <c r="I5109" s="195">
        <v>-0.1625952</v>
      </c>
      <c r="J5109" s="195">
        <v>-9.91784E-2</v>
      </c>
      <c r="K5109" s="195">
        <v>-6.2475000000000003E-2</v>
      </c>
      <c r="L5109" s="195">
        <v>-0.1225416</v>
      </c>
      <c r="M5109" s="195">
        <v>-6.2340800000000002E-2</v>
      </c>
      <c r="N5109" s="195">
        <v>-5.300241E-2</v>
      </c>
    </row>
    <row r="5110" spans="1:14" hidden="1" x14ac:dyDescent="0.35">
      <c r="A5110" s="52" t="s">
        <v>662</v>
      </c>
      <c r="B5110" s="52" t="s">
        <v>37</v>
      </c>
      <c r="C5110" s="52" t="s">
        <v>63</v>
      </c>
      <c r="D5110" s="52" t="s">
        <v>63</v>
      </c>
      <c r="E5110" s="52" t="s">
        <v>609</v>
      </c>
      <c r="F5110" s="52" t="s">
        <v>26</v>
      </c>
      <c r="G5110" s="195" t="s">
        <v>277</v>
      </c>
      <c r="H5110" s="195"/>
      <c r="I5110" s="195"/>
      <c r="J5110" s="195">
        <v>0</v>
      </c>
      <c r="K5110" s="195">
        <v>0.91676489999999999</v>
      </c>
      <c r="L5110" s="195">
        <v>2.2423760000000001</v>
      </c>
      <c r="M5110" s="195">
        <v>0</v>
      </c>
      <c r="N5110" s="195">
        <v>0</v>
      </c>
    </row>
    <row r="5111" spans="1:14" hidden="1" x14ac:dyDescent="0.35">
      <c r="A5111" s="52" t="s">
        <v>662</v>
      </c>
      <c r="B5111" s="52" t="s">
        <v>37</v>
      </c>
      <c r="C5111" s="52" t="s">
        <v>63</v>
      </c>
      <c r="D5111" s="52" t="s">
        <v>63</v>
      </c>
      <c r="E5111" s="52" t="s">
        <v>609</v>
      </c>
      <c r="F5111" s="52" t="s">
        <v>26</v>
      </c>
      <c r="G5111" s="195" t="s">
        <v>279</v>
      </c>
      <c r="H5111" s="195">
        <v>3.7213919999999998</v>
      </c>
      <c r="I5111" s="195">
        <v>2.294797</v>
      </c>
      <c r="J5111" s="195">
        <v>1.8757790000000001</v>
      </c>
      <c r="K5111" s="195">
        <v>2.7460650000000002</v>
      </c>
      <c r="L5111" s="195">
        <v>5.7732200000000002</v>
      </c>
      <c r="M5111" s="195">
        <v>5.1786510000000003</v>
      </c>
      <c r="N5111" s="195">
        <v>3.7806380000000002</v>
      </c>
    </row>
    <row r="5112" spans="1:14" hidden="1" x14ac:dyDescent="0.35">
      <c r="A5112" s="52" t="s">
        <v>662</v>
      </c>
      <c r="B5112" s="52" t="s">
        <v>37</v>
      </c>
      <c r="C5112" s="52" t="s">
        <v>118</v>
      </c>
      <c r="D5112" s="52" t="s">
        <v>118</v>
      </c>
      <c r="E5112" s="52" t="s">
        <v>663</v>
      </c>
      <c r="F5112" s="52" t="s">
        <v>581</v>
      </c>
      <c r="G5112" s="195" t="s">
        <v>275</v>
      </c>
      <c r="H5112" s="195">
        <v>6.1866849999999998</v>
      </c>
      <c r="I5112" s="195">
        <v>1.258499</v>
      </c>
      <c r="J5112" s="195">
        <v>0.83027600000000001</v>
      </c>
      <c r="K5112" s="195">
        <v>3.8689900000000002</v>
      </c>
      <c r="L5112" s="195">
        <v>-1.1511130000000001</v>
      </c>
      <c r="M5112" s="195">
        <v>-0.3645678</v>
      </c>
      <c r="N5112" s="195">
        <v>-0.35223539999999998</v>
      </c>
    </row>
    <row r="5113" spans="1:14" hidden="1" x14ac:dyDescent="0.35">
      <c r="A5113" s="52" t="s">
        <v>662</v>
      </c>
      <c r="B5113" s="52" t="s">
        <v>37</v>
      </c>
      <c r="C5113" s="52" t="s">
        <v>118</v>
      </c>
      <c r="D5113" s="52" t="s">
        <v>118</v>
      </c>
      <c r="E5113" s="52" t="s">
        <v>663</v>
      </c>
      <c r="F5113" s="52" t="s">
        <v>581</v>
      </c>
      <c r="G5113" s="195" t="s">
        <v>276</v>
      </c>
      <c r="H5113" s="195">
        <v>-2.1678829999999998</v>
      </c>
      <c r="I5113" s="195">
        <v>-1.4996659999999999</v>
      </c>
      <c r="J5113" s="195">
        <v>-1.2466550000000001</v>
      </c>
      <c r="K5113" s="195">
        <v>-4.7377479999999998</v>
      </c>
      <c r="L5113" s="195">
        <v>-0.1666598</v>
      </c>
      <c r="M5113" s="195">
        <v>-0.1454222</v>
      </c>
      <c r="N5113" s="195">
        <v>-0.13244139999999999</v>
      </c>
    </row>
    <row r="5114" spans="1:14" hidden="1" x14ac:dyDescent="0.35">
      <c r="A5114" s="52" t="s">
        <v>662</v>
      </c>
      <c r="B5114" s="52" t="s">
        <v>37</v>
      </c>
      <c r="C5114" s="52" t="s">
        <v>118</v>
      </c>
      <c r="D5114" s="52" t="s">
        <v>118</v>
      </c>
      <c r="E5114" s="52" t="s">
        <v>663</v>
      </c>
      <c r="F5114" s="52" t="s">
        <v>581</v>
      </c>
      <c r="G5114" s="195" t="s">
        <v>277</v>
      </c>
      <c r="H5114" s="195">
        <v>0</v>
      </c>
      <c r="I5114" s="195"/>
      <c r="J5114" s="195">
        <v>0</v>
      </c>
      <c r="K5114" s="195">
        <v>0.48544979999999999</v>
      </c>
      <c r="L5114" s="195">
        <v>0.75227529999999998</v>
      </c>
      <c r="M5114" s="195">
        <v>0</v>
      </c>
      <c r="N5114" s="195">
        <v>0</v>
      </c>
    </row>
    <row r="5115" spans="1:14" hidden="1" x14ac:dyDescent="0.35">
      <c r="A5115" s="52" t="s">
        <v>662</v>
      </c>
      <c r="B5115" s="52" t="s">
        <v>37</v>
      </c>
      <c r="C5115" s="52" t="s">
        <v>118</v>
      </c>
      <c r="D5115" s="52" t="s">
        <v>118</v>
      </c>
      <c r="E5115" s="52" t="s">
        <v>663</v>
      </c>
      <c r="F5115" s="52" t="s">
        <v>581</v>
      </c>
      <c r="G5115" s="195" t="s">
        <v>278</v>
      </c>
      <c r="H5115" s="195">
        <v>0</v>
      </c>
      <c r="I5115" s="195"/>
      <c r="J5115" s="195"/>
      <c r="K5115" s="195"/>
      <c r="L5115" s="195"/>
      <c r="M5115" s="195"/>
      <c r="N5115" s="195"/>
    </row>
    <row r="5116" spans="1:14" hidden="1" x14ac:dyDescent="0.35">
      <c r="A5116" s="52" t="s">
        <v>662</v>
      </c>
      <c r="B5116" s="52" t="s">
        <v>37</v>
      </c>
      <c r="C5116" s="52" t="s">
        <v>118</v>
      </c>
      <c r="D5116" s="52" t="s">
        <v>118</v>
      </c>
      <c r="E5116" s="52" t="s">
        <v>663</v>
      </c>
      <c r="F5116" s="52" t="s">
        <v>581</v>
      </c>
      <c r="G5116" s="195" t="s">
        <v>279</v>
      </c>
      <c r="H5116" s="195">
        <v>3.9268130000000001</v>
      </c>
      <c r="I5116" s="195">
        <v>2.744164</v>
      </c>
      <c r="J5116" s="195">
        <v>2.3175159999999999</v>
      </c>
      <c r="K5116" s="195">
        <v>2.2587429999999999</v>
      </c>
      <c r="L5116" s="195">
        <v>2.4984359999999999</v>
      </c>
      <c r="M5116" s="195">
        <v>2.212615</v>
      </c>
      <c r="N5116" s="195">
        <v>1.981077</v>
      </c>
    </row>
    <row r="5117" spans="1:14" hidden="1" x14ac:dyDescent="0.35">
      <c r="A5117" s="52" t="s">
        <v>662</v>
      </c>
      <c r="B5117" s="52" t="s">
        <v>37</v>
      </c>
      <c r="C5117" s="52" t="s">
        <v>118</v>
      </c>
      <c r="D5117" s="52" t="s">
        <v>118</v>
      </c>
      <c r="E5117" s="52" t="s">
        <v>663</v>
      </c>
      <c r="F5117" s="52" t="s">
        <v>26</v>
      </c>
      <c r="G5117" s="195" t="s">
        <v>275</v>
      </c>
      <c r="H5117" s="195">
        <v>-0.80110009999999998</v>
      </c>
      <c r="I5117" s="195">
        <v>-0.70395839999999998</v>
      </c>
      <c r="J5117" s="195">
        <v>-0.58459970000000006</v>
      </c>
      <c r="K5117" s="195">
        <v>-0.5723087</v>
      </c>
      <c r="L5117" s="195">
        <v>-0.65812780000000004</v>
      </c>
      <c r="M5117" s="195">
        <v>-0.59136999999999995</v>
      </c>
      <c r="N5117" s="195">
        <v>-0.53914090000000003</v>
      </c>
    </row>
    <row r="5118" spans="1:14" hidden="1" x14ac:dyDescent="0.35">
      <c r="A5118" s="52" t="s">
        <v>662</v>
      </c>
      <c r="B5118" s="52" t="s">
        <v>37</v>
      </c>
      <c r="C5118" s="52" t="s">
        <v>118</v>
      </c>
      <c r="D5118" s="52" t="s">
        <v>118</v>
      </c>
      <c r="E5118" s="52" t="s">
        <v>663</v>
      </c>
      <c r="F5118" s="52" t="s">
        <v>26</v>
      </c>
      <c r="G5118" s="195" t="s">
        <v>276</v>
      </c>
      <c r="H5118" s="195">
        <v>-0.212951</v>
      </c>
      <c r="I5118" s="195">
        <v>-0.18712799999999999</v>
      </c>
      <c r="J5118" s="195">
        <v>-0.15540019999999999</v>
      </c>
      <c r="K5118" s="195">
        <v>-0.1521324</v>
      </c>
      <c r="L5118" s="195">
        <v>-0.17494499999999999</v>
      </c>
      <c r="M5118" s="195">
        <v>-0.1572008</v>
      </c>
      <c r="N5118" s="195">
        <v>-0.14331579999999999</v>
      </c>
    </row>
    <row r="5119" spans="1:14" hidden="1" x14ac:dyDescent="0.35">
      <c r="A5119" s="52" t="s">
        <v>662</v>
      </c>
      <c r="B5119" s="52" t="s">
        <v>37</v>
      </c>
      <c r="C5119" s="52" t="s">
        <v>118</v>
      </c>
      <c r="D5119" s="52" t="s">
        <v>118</v>
      </c>
      <c r="E5119" s="52" t="s">
        <v>663</v>
      </c>
      <c r="F5119" s="52" t="s">
        <v>26</v>
      </c>
      <c r="G5119" s="195" t="s">
        <v>279</v>
      </c>
      <c r="H5119" s="195">
        <v>2.0486140000000002</v>
      </c>
      <c r="I5119" s="195">
        <v>1.5872230000000001</v>
      </c>
      <c r="J5119" s="195">
        <v>1.3719110000000001</v>
      </c>
      <c r="K5119" s="195">
        <v>1.3249329999999999</v>
      </c>
      <c r="L5119" s="195">
        <v>1.4153249999999999</v>
      </c>
      <c r="M5119" s="195">
        <v>1.2732600000000001</v>
      </c>
      <c r="N5119" s="195">
        <v>1.155241</v>
      </c>
    </row>
    <row r="5120" spans="1:14" hidden="1" x14ac:dyDescent="0.35">
      <c r="A5120" s="52" t="s">
        <v>662</v>
      </c>
      <c r="B5120" s="52" t="s">
        <v>37</v>
      </c>
      <c r="C5120" s="52" t="s">
        <v>46</v>
      </c>
      <c r="D5120" s="52" t="s">
        <v>46</v>
      </c>
      <c r="E5120" s="52" t="s">
        <v>646</v>
      </c>
      <c r="F5120" s="52" t="s">
        <v>581</v>
      </c>
      <c r="G5120" s="195" t="s">
        <v>275</v>
      </c>
      <c r="H5120" s="195">
        <v>4.452026</v>
      </c>
      <c r="I5120" s="195">
        <v>0.84368560000000004</v>
      </c>
      <c r="J5120" s="195">
        <v>0.55967180000000005</v>
      </c>
      <c r="K5120" s="195">
        <v>2.426828</v>
      </c>
      <c r="L5120" s="195">
        <v>-0.99389910000000004</v>
      </c>
      <c r="M5120" s="195">
        <v>-0.24761739999999999</v>
      </c>
      <c r="N5120" s="195">
        <v>-0.22748299999999999</v>
      </c>
    </row>
    <row r="5121" spans="1:14" hidden="1" x14ac:dyDescent="0.35">
      <c r="A5121" s="52" t="s">
        <v>662</v>
      </c>
      <c r="B5121" s="52" t="s">
        <v>37</v>
      </c>
      <c r="C5121" s="52" t="s">
        <v>46</v>
      </c>
      <c r="D5121" s="52" t="s">
        <v>46</v>
      </c>
      <c r="E5121" s="52" t="s">
        <v>646</v>
      </c>
      <c r="F5121" s="52" t="s">
        <v>581</v>
      </c>
      <c r="G5121" s="195" t="s">
        <v>276</v>
      </c>
      <c r="H5121" s="195">
        <v>-0.86400299999999997</v>
      </c>
      <c r="I5121" s="195">
        <v>-0.90915809999999997</v>
      </c>
      <c r="J5121" s="195">
        <v>-0.76074359999999996</v>
      </c>
      <c r="K5121" s="195">
        <v>-2.9227259999999999</v>
      </c>
      <c r="L5121" s="195">
        <v>-0.13735739999999999</v>
      </c>
      <c r="M5121" s="195">
        <v>-0.115077</v>
      </c>
      <c r="N5121" s="195">
        <v>-0.1005794</v>
      </c>
    </row>
    <row r="5122" spans="1:14" hidden="1" x14ac:dyDescent="0.35">
      <c r="A5122" s="52" t="s">
        <v>662</v>
      </c>
      <c r="B5122" s="52" t="s">
        <v>37</v>
      </c>
      <c r="C5122" s="52" t="s">
        <v>46</v>
      </c>
      <c r="D5122" s="52" t="s">
        <v>46</v>
      </c>
      <c r="E5122" s="52" t="s">
        <v>646</v>
      </c>
      <c r="F5122" s="52" t="s">
        <v>581</v>
      </c>
      <c r="G5122" s="195" t="s">
        <v>277</v>
      </c>
      <c r="H5122" s="195">
        <v>0</v>
      </c>
      <c r="I5122" s="195"/>
      <c r="J5122" s="195">
        <v>0</v>
      </c>
      <c r="K5122" s="195">
        <v>0.28334880000000001</v>
      </c>
      <c r="L5122" s="195">
        <v>0.70676079999999997</v>
      </c>
      <c r="M5122" s="195">
        <v>0</v>
      </c>
      <c r="N5122" s="195">
        <v>0</v>
      </c>
    </row>
    <row r="5123" spans="1:14" hidden="1" x14ac:dyDescent="0.35">
      <c r="A5123" s="52" t="s">
        <v>662</v>
      </c>
      <c r="B5123" s="52" t="s">
        <v>37</v>
      </c>
      <c r="C5123" s="52" t="s">
        <v>46</v>
      </c>
      <c r="D5123" s="52" t="s">
        <v>46</v>
      </c>
      <c r="E5123" s="52" t="s">
        <v>646</v>
      </c>
      <c r="F5123" s="52" t="s">
        <v>581</v>
      </c>
      <c r="G5123" s="195" t="s">
        <v>278</v>
      </c>
      <c r="H5123" s="195">
        <v>0</v>
      </c>
      <c r="I5123" s="195"/>
      <c r="J5123" s="195"/>
      <c r="K5123" s="195"/>
      <c r="L5123" s="195"/>
      <c r="M5123" s="195"/>
      <c r="N5123" s="195"/>
    </row>
    <row r="5124" spans="1:14" hidden="1" x14ac:dyDescent="0.35">
      <c r="A5124" s="52" t="s">
        <v>662</v>
      </c>
      <c r="B5124" s="52" t="s">
        <v>37</v>
      </c>
      <c r="C5124" s="52" t="s">
        <v>46</v>
      </c>
      <c r="D5124" s="52" t="s">
        <v>46</v>
      </c>
      <c r="E5124" s="52" t="s">
        <v>646</v>
      </c>
      <c r="F5124" s="52" t="s">
        <v>581</v>
      </c>
      <c r="G5124" s="195" t="s">
        <v>279</v>
      </c>
      <c r="H5124" s="195">
        <v>3.5179999999999998</v>
      </c>
      <c r="I5124" s="195">
        <v>2.269628</v>
      </c>
      <c r="J5124" s="195">
        <v>1.8935820000000001</v>
      </c>
      <c r="K5124" s="195">
        <v>1.8183689999999999</v>
      </c>
      <c r="L5124" s="195">
        <v>2.0529980000000001</v>
      </c>
      <c r="M5124" s="195">
        <v>1.847464</v>
      </c>
      <c r="N5124" s="195">
        <v>1.6506350000000001</v>
      </c>
    </row>
    <row r="5125" spans="1:14" hidden="1" x14ac:dyDescent="0.35">
      <c r="A5125" s="52" t="s">
        <v>662</v>
      </c>
      <c r="B5125" s="52" t="s">
        <v>37</v>
      </c>
      <c r="C5125" s="52" t="s">
        <v>46</v>
      </c>
      <c r="D5125" s="52" t="s">
        <v>46</v>
      </c>
      <c r="E5125" s="52" t="s">
        <v>646</v>
      </c>
      <c r="F5125" s="52" t="s">
        <v>26</v>
      </c>
      <c r="G5125" s="195" t="s">
        <v>275</v>
      </c>
      <c r="H5125" s="195">
        <v>-0.60665199999999997</v>
      </c>
      <c r="I5125" s="195">
        <v>-0.4782556</v>
      </c>
      <c r="J5125" s="195">
        <v>-0.38888</v>
      </c>
      <c r="K5125" s="195">
        <v>-0.38321359999999999</v>
      </c>
      <c r="L5125" s="195">
        <v>-0.46501520000000002</v>
      </c>
      <c r="M5125" s="195">
        <v>-0.41618959999999999</v>
      </c>
      <c r="N5125" s="195">
        <v>-0.371861</v>
      </c>
    </row>
    <row r="5126" spans="1:14" hidden="1" x14ac:dyDescent="0.35">
      <c r="A5126" s="52" t="s">
        <v>662</v>
      </c>
      <c r="B5126" s="52" t="s">
        <v>37</v>
      </c>
      <c r="C5126" s="52" t="s">
        <v>46</v>
      </c>
      <c r="D5126" s="52" t="s">
        <v>46</v>
      </c>
      <c r="E5126" s="52" t="s">
        <v>646</v>
      </c>
      <c r="F5126" s="52" t="s">
        <v>26</v>
      </c>
      <c r="G5126" s="195" t="s">
        <v>276</v>
      </c>
      <c r="H5126" s="195">
        <v>-0.17586199999999999</v>
      </c>
      <c r="I5126" s="195">
        <v>-0.13864180000000001</v>
      </c>
      <c r="J5126" s="195">
        <v>-0.112732</v>
      </c>
      <c r="K5126" s="195">
        <v>-0.1110902</v>
      </c>
      <c r="L5126" s="195">
        <v>-0.13480239999999999</v>
      </c>
      <c r="M5126" s="195">
        <v>-0.12064900000000001</v>
      </c>
      <c r="N5126" s="195">
        <v>-0.10779900000000001</v>
      </c>
    </row>
    <row r="5127" spans="1:14" hidden="1" x14ac:dyDescent="0.35">
      <c r="A5127" s="52" t="s">
        <v>662</v>
      </c>
      <c r="B5127" s="52" t="s">
        <v>37</v>
      </c>
      <c r="C5127" s="52" t="s">
        <v>46</v>
      </c>
      <c r="D5127" s="52" t="s">
        <v>46</v>
      </c>
      <c r="E5127" s="52" t="s">
        <v>646</v>
      </c>
      <c r="F5127" s="52" t="s">
        <v>26</v>
      </c>
      <c r="G5127" s="195" t="s">
        <v>279</v>
      </c>
      <c r="H5127" s="195">
        <v>1.487657</v>
      </c>
      <c r="I5127" s="195">
        <v>1.0612280000000001</v>
      </c>
      <c r="J5127" s="195">
        <v>0.89930900000000003</v>
      </c>
      <c r="K5127" s="195">
        <v>0.87037160000000002</v>
      </c>
      <c r="L5127" s="195">
        <v>0.97730919999999999</v>
      </c>
      <c r="M5127" s="195">
        <v>0.8806252</v>
      </c>
      <c r="N5127" s="195">
        <v>0.78700479999999995</v>
      </c>
    </row>
    <row r="5128" spans="1:14" hidden="1" x14ac:dyDescent="0.35">
      <c r="A5128" s="52" t="s">
        <v>662</v>
      </c>
      <c r="B5128" s="52" t="s">
        <v>74</v>
      </c>
      <c r="C5128" s="52" t="s">
        <v>834</v>
      </c>
      <c r="D5128" s="52" t="s">
        <v>834</v>
      </c>
      <c r="E5128" s="52" t="s">
        <v>584</v>
      </c>
      <c r="F5128" s="52" t="s">
        <v>26</v>
      </c>
      <c r="G5128" s="195" t="s">
        <v>275</v>
      </c>
      <c r="H5128" s="195">
        <v>-0.26643699999999998</v>
      </c>
      <c r="I5128" s="195">
        <v>-0.26643600000000001</v>
      </c>
      <c r="J5128" s="195">
        <v>0</v>
      </c>
      <c r="K5128" s="195">
        <v>0</v>
      </c>
      <c r="L5128" s="195">
        <v>0</v>
      </c>
      <c r="M5128" s="195">
        <v>0</v>
      </c>
      <c r="N5128" s="195">
        <v>0</v>
      </c>
    </row>
    <row r="5129" spans="1:14" hidden="1" x14ac:dyDescent="0.35">
      <c r="A5129" s="52" t="s">
        <v>662</v>
      </c>
      <c r="B5129" s="52" t="s">
        <v>74</v>
      </c>
      <c r="C5129" s="52" t="s">
        <v>834</v>
      </c>
      <c r="D5129" s="52" t="s">
        <v>834</v>
      </c>
      <c r="E5129" s="52" t="s">
        <v>584</v>
      </c>
      <c r="F5129" s="52" t="s">
        <v>26</v>
      </c>
      <c r="G5129" s="195" t="s">
        <v>276</v>
      </c>
      <c r="H5129" s="195">
        <v>-0.17762500000000001</v>
      </c>
      <c r="I5129" s="195">
        <v>-0.17762500000000001</v>
      </c>
      <c r="J5129" s="195">
        <v>-0.44406000000000001</v>
      </c>
      <c r="K5129" s="195">
        <v>-0.69439700000000004</v>
      </c>
      <c r="L5129" s="195">
        <v>-0.44405899999999998</v>
      </c>
      <c r="M5129" s="195">
        <v>-0.44405800000000001</v>
      </c>
      <c r="N5129" s="195">
        <v>0</v>
      </c>
    </row>
    <row r="5130" spans="1:14" hidden="1" x14ac:dyDescent="0.35">
      <c r="A5130" s="52" t="s">
        <v>662</v>
      </c>
      <c r="B5130" s="52" t="s">
        <v>74</v>
      </c>
      <c r="C5130" s="52" t="s">
        <v>834</v>
      </c>
      <c r="D5130" s="52" t="s">
        <v>834</v>
      </c>
      <c r="E5130" s="52" t="s">
        <v>584</v>
      </c>
      <c r="F5130" s="52" t="s">
        <v>26</v>
      </c>
      <c r="G5130" s="195" t="s">
        <v>278</v>
      </c>
      <c r="H5130" s="195">
        <v>0.44406000000000001</v>
      </c>
      <c r="I5130" s="195">
        <v>0.44406000000000001</v>
      </c>
      <c r="J5130" s="195">
        <v>0.44406000000000001</v>
      </c>
      <c r="K5130" s="195">
        <v>0.69439700000000004</v>
      </c>
      <c r="L5130" s="195">
        <v>0.44406000000000001</v>
      </c>
      <c r="M5130" s="195">
        <v>0.44406000000000001</v>
      </c>
      <c r="N5130" s="195">
        <v>0</v>
      </c>
    </row>
    <row r="5131" spans="1:14" hidden="1" x14ac:dyDescent="0.35">
      <c r="A5131" s="52" t="s">
        <v>662</v>
      </c>
      <c r="B5131" s="52" t="s">
        <v>74</v>
      </c>
      <c r="C5131" s="52" t="s">
        <v>835</v>
      </c>
      <c r="D5131" s="52" t="s">
        <v>835</v>
      </c>
      <c r="E5131" s="52" t="s">
        <v>836</v>
      </c>
      <c r="F5131" s="52" t="s">
        <v>26</v>
      </c>
      <c r="G5131" s="195" t="s">
        <v>275</v>
      </c>
      <c r="H5131" s="195">
        <v>-0.126836</v>
      </c>
      <c r="I5131" s="195">
        <v>-0.126836</v>
      </c>
      <c r="J5131" s="195">
        <v>0</v>
      </c>
      <c r="K5131" s="195">
        <v>0</v>
      </c>
      <c r="L5131" s="195">
        <v>0</v>
      </c>
      <c r="M5131" s="195">
        <v>0</v>
      </c>
      <c r="N5131" s="195">
        <v>0</v>
      </c>
    </row>
    <row r="5132" spans="1:14" hidden="1" x14ac:dyDescent="0.35">
      <c r="A5132" s="52" t="s">
        <v>662</v>
      </c>
      <c r="B5132" s="52" t="s">
        <v>74</v>
      </c>
      <c r="C5132" s="52" t="s">
        <v>835</v>
      </c>
      <c r="D5132" s="52" t="s">
        <v>835</v>
      </c>
      <c r="E5132" s="52" t="s">
        <v>836</v>
      </c>
      <c r="F5132" s="52" t="s">
        <v>26</v>
      </c>
      <c r="G5132" s="195" t="s">
        <v>276</v>
      </c>
      <c r="H5132" s="195">
        <v>-8.4558010000000003E-2</v>
      </c>
      <c r="I5132" s="195">
        <v>-8.4557999999999994E-2</v>
      </c>
      <c r="J5132" s="195">
        <v>-0.211393</v>
      </c>
      <c r="K5132" s="195">
        <v>-0.35203099999999998</v>
      </c>
      <c r="L5132" s="195">
        <v>-0.211393</v>
      </c>
      <c r="M5132" s="195">
        <v>-0.211394</v>
      </c>
      <c r="N5132" s="195">
        <v>0</v>
      </c>
    </row>
    <row r="5133" spans="1:14" hidden="1" x14ac:dyDescent="0.35">
      <c r="A5133" s="52" t="s">
        <v>662</v>
      </c>
      <c r="B5133" s="52" t="s">
        <v>74</v>
      </c>
      <c r="C5133" s="52" t="s">
        <v>835</v>
      </c>
      <c r="D5133" s="52" t="s">
        <v>835</v>
      </c>
      <c r="E5133" s="52" t="s">
        <v>836</v>
      </c>
      <c r="F5133" s="52" t="s">
        <v>26</v>
      </c>
      <c r="G5133" s="195" t="s">
        <v>278</v>
      </c>
      <c r="H5133" s="195">
        <v>0.211394</v>
      </c>
      <c r="I5133" s="195">
        <v>0.211394</v>
      </c>
      <c r="J5133" s="195">
        <v>0.211394</v>
      </c>
      <c r="K5133" s="195">
        <v>0.35203099999999998</v>
      </c>
      <c r="L5133" s="195">
        <v>0.211394</v>
      </c>
      <c r="M5133" s="195">
        <v>0.211394</v>
      </c>
      <c r="N5133" s="195">
        <v>0</v>
      </c>
    </row>
    <row r="5134" spans="1:14" hidden="1" x14ac:dyDescent="0.35">
      <c r="A5134" s="52" t="s">
        <v>662</v>
      </c>
      <c r="B5134" s="52" t="s">
        <v>74</v>
      </c>
      <c r="C5134" s="52" t="s">
        <v>835</v>
      </c>
      <c r="D5134" s="52" t="s">
        <v>835</v>
      </c>
      <c r="E5134" s="52" t="s">
        <v>837</v>
      </c>
      <c r="F5134" s="52" t="s">
        <v>26</v>
      </c>
      <c r="G5134" s="195" t="s">
        <v>275</v>
      </c>
      <c r="H5134" s="195">
        <v>-0.13336300000000001</v>
      </c>
      <c r="I5134" s="195">
        <v>-0.13336300000000001</v>
      </c>
      <c r="J5134" s="195">
        <v>0</v>
      </c>
      <c r="K5134" s="195">
        <v>0</v>
      </c>
      <c r="L5134" s="195">
        <v>0</v>
      </c>
      <c r="M5134" s="195">
        <v>0</v>
      </c>
      <c r="N5134" s="195">
        <v>0</v>
      </c>
    </row>
    <row r="5135" spans="1:14" hidden="1" x14ac:dyDescent="0.35">
      <c r="A5135" s="52" t="s">
        <v>662</v>
      </c>
      <c r="B5135" s="52" t="s">
        <v>74</v>
      </c>
      <c r="C5135" s="52" t="s">
        <v>835</v>
      </c>
      <c r="D5135" s="52" t="s">
        <v>835</v>
      </c>
      <c r="E5135" s="52" t="s">
        <v>837</v>
      </c>
      <c r="F5135" s="52" t="s">
        <v>26</v>
      </c>
      <c r="G5135" s="195" t="s">
        <v>276</v>
      </c>
      <c r="H5135" s="195">
        <v>-8.8908989999999993E-2</v>
      </c>
      <c r="I5135" s="195">
        <v>-8.8907990000000006E-2</v>
      </c>
      <c r="J5135" s="195">
        <v>-0.222273</v>
      </c>
      <c r="K5135" s="195">
        <v>-0.36290899999999998</v>
      </c>
      <c r="L5135" s="195">
        <v>-0.222271</v>
      </c>
      <c r="M5135" s="195">
        <v>-0.222272</v>
      </c>
      <c r="N5135" s="195">
        <v>0</v>
      </c>
    </row>
    <row r="5136" spans="1:14" hidden="1" x14ac:dyDescent="0.35">
      <c r="A5136" s="52" t="s">
        <v>662</v>
      </c>
      <c r="B5136" s="52" t="s">
        <v>74</v>
      </c>
      <c r="C5136" s="52" t="s">
        <v>835</v>
      </c>
      <c r="D5136" s="52" t="s">
        <v>835</v>
      </c>
      <c r="E5136" s="52" t="s">
        <v>837</v>
      </c>
      <c r="F5136" s="52" t="s">
        <v>26</v>
      </c>
      <c r="G5136" s="195" t="s">
        <v>278</v>
      </c>
      <c r="H5136" s="195">
        <v>0.222272</v>
      </c>
      <c r="I5136" s="195">
        <v>0.222272</v>
      </c>
      <c r="J5136" s="195">
        <v>0.222272</v>
      </c>
      <c r="K5136" s="195">
        <v>0.36290899999999998</v>
      </c>
      <c r="L5136" s="195">
        <v>0.222272</v>
      </c>
      <c r="M5136" s="195">
        <v>0.222272</v>
      </c>
      <c r="N5136" s="195">
        <v>0</v>
      </c>
    </row>
    <row r="5137" spans="1:14" hidden="1" x14ac:dyDescent="0.35">
      <c r="A5137" s="52" t="s">
        <v>662</v>
      </c>
      <c r="B5137" s="52" t="s">
        <v>74</v>
      </c>
      <c r="C5137" s="52" t="s">
        <v>835</v>
      </c>
      <c r="D5137" s="52" t="s">
        <v>835</v>
      </c>
      <c r="E5137" s="52" t="s">
        <v>838</v>
      </c>
      <c r="F5137" s="52" t="s">
        <v>26</v>
      </c>
      <c r="G5137" s="195" t="s">
        <v>275</v>
      </c>
      <c r="H5137" s="195">
        <v>-0.134433</v>
      </c>
      <c r="I5137" s="195">
        <v>-0.134433</v>
      </c>
      <c r="J5137" s="195">
        <v>0</v>
      </c>
      <c r="K5137" s="195">
        <v>0</v>
      </c>
      <c r="L5137" s="195">
        <v>0</v>
      </c>
      <c r="M5137" s="195">
        <v>0</v>
      </c>
      <c r="N5137" s="195">
        <v>0</v>
      </c>
    </row>
    <row r="5138" spans="1:14" hidden="1" x14ac:dyDescent="0.35">
      <c r="A5138" s="52" t="s">
        <v>662</v>
      </c>
      <c r="B5138" s="52" t="s">
        <v>74</v>
      </c>
      <c r="C5138" s="52" t="s">
        <v>835</v>
      </c>
      <c r="D5138" s="52" t="s">
        <v>835</v>
      </c>
      <c r="E5138" s="52" t="s">
        <v>838</v>
      </c>
      <c r="F5138" s="52" t="s">
        <v>26</v>
      </c>
      <c r="G5138" s="195" t="s">
        <v>276</v>
      </c>
      <c r="H5138" s="195">
        <v>-8.962299E-2</v>
      </c>
      <c r="I5138" s="195">
        <v>-8.9621989999999999E-2</v>
      </c>
      <c r="J5138" s="195">
        <v>-0.22405600000000001</v>
      </c>
      <c r="K5138" s="195">
        <v>-0.36469200000000002</v>
      </c>
      <c r="L5138" s="195">
        <v>-0.224055</v>
      </c>
      <c r="M5138" s="195">
        <v>-0.22405600000000001</v>
      </c>
      <c r="N5138" s="195">
        <v>0</v>
      </c>
    </row>
    <row r="5139" spans="1:14" hidden="1" x14ac:dyDescent="0.35">
      <c r="A5139" s="52" t="s">
        <v>662</v>
      </c>
      <c r="B5139" s="52" t="s">
        <v>74</v>
      </c>
      <c r="C5139" s="52" t="s">
        <v>835</v>
      </c>
      <c r="D5139" s="52" t="s">
        <v>835</v>
      </c>
      <c r="E5139" s="52" t="s">
        <v>838</v>
      </c>
      <c r="F5139" s="52" t="s">
        <v>26</v>
      </c>
      <c r="G5139" s="195" t="s">
        <v>278</v>
      </c>
      <c r="H5139" s="195">
        <v>0.224055</v>
      </c>
      <c r="I5139" s="195">
        <v>0.224055</v>
      </c>
      <c r="J5139" s="195">
        <v>0.224055</v>
      </c>
      <c r="K5139" s="195">
        <v>0.36469200000000002</v>
      </c>
      <c r="L5139" s="195">
        <v>0.224055</v>
      </c>
      <c r="M5139" s="195">
        <v>0.224055</v>
      </c>
      <c r="N5139" s="195">
        <v>0</v>
      </c>
    </row>
    <row r="5140" spans="1:14" hidden="1" x14ac:dyDescent="0.35">
      <c r="A5140" s="52" t="s">
        <v>662</v>
      </c>
      <c r="B5140" s="52" t="s">
        <v>74</v>
      </c>
      <c r="C5140" s="52" t="s">
        <v>839</v>
      </c>
      <c r="D5140" s="52" t="s">
        <v>839</v>
      </c>
      <c r="E5140" s="52" t="s">
        <v>584</v>
      </c>
      <c r="F5140" s="52" t="s">
        <v>26</v>
      </c>
      <c r="G5140" s="195" t="s">
        <v>275</v>
      </c>
      <c r="H5140" s="195">
        <v>-0.13806199999999999</v>
      </c>
      <c r="I5140" s="195">
        <v>-0.13806099999999999</v>
      </c>
      <c r="J5140" s="195">
        <v>0</v>
      </c>
      <c r="K5140" s="195">
        <v>0</v>
      </c>
      <c r="L5140" s="195">
        <v>0</v>
      </c>
      <c r="M5140" s="195">
        <v>0</v>
      </c>
      <c r="N5140" s="195">
        <v>0</v>
      </c>
    </row>
    <row r="5141" spans="1:14" hidden="1" x14ac:dyDescent="0.35">
      <c r="A5141" s="52" t="s">
        <v>662</v>
      </c>
      <c r="B5141" s="52" t="s">
        <v>74</v>
      </c>
      <c r="C5141" s="52" t="s">
        <v>839</v>
      </c>
      <c r="D5141" s="52" t="s">
        <v>839</v>
      </c>
      <c r="E5141" s="52" t="s">
        <v>584</v>
      </c>
      <c r="F5141" s="52" t="s">
        <v>26</v>
      </c>
      <c r="G5141" s="195" t="s">
        <v>276</v>
      </c>
      <c r="H5141" s="195">
        <v>-9.2040999999999998E-2</v>
      </c>
      <c r="I5141" s="195">
        <v>-9.2040999999999998E-2</v>
      </c>
      <c r="J5141" s="195">
        <v>-0.230103</v>
      </c>
      <c r="K5141" s="195">
        <v>-0.37074000000000001</v>
      </c>
      <c r="L5141" s="195">
        <v>-0.230104</v>
      </c>
      <c r="M5141" s="195">
        <v>-0.230104</v>
      </c>
      <c r="N5141" s="195">
        <v>0</v>
      </c>
    </row>
    <row r="5142" spans="1:14" hidden="1" x14ac:dyDescent="0.35">
      <c r="A5142" s="52" t="s">
        <v>662</v>
      </c>
      <c r="B5142" s="52" t="s">
        <v>74</v>
      </c>
      <c r="C5142" s="52" t="s">
        <v>839</v>
      </c>
      <c r="D5142" s="52" t="s">
        <v>839</v>
      </c>
      <c r="E5142" s="52" t="s">
        <v>584</v>
      </c>
      <c r="F5142" s="52" t="s">
        <v>26</v>
      </c>
      <c r="G5142" s="195" t="s">
        <v>278</v>
      </c>
      <c r="H5142" s="195">
        <v>0.230103</v>
      </c>
      <c r="I5142" s="195">
        <v>0.230103</v>
      </c>
      <c r="J5142" s="195">
        <v>0.230103</v>
      </c>
      <c r="K5142" s="195">
        <v>0.37074000000000001</v>
      </c>
      <c r="L5142" s="195">
        <v>0.230103</v>
      </c>
      <c r="M5142" s="195">
        <v>0.230103</v>
      </c>
      <c r="N5142" s="195">
        <v>0</v>
      </c>
    </row>
    <row r="5143" spans="1:14" hidden="1" x14ac:dyDescent="0.35">
      <c r="A5143" s="52" t="s">
        <v>662</v>
      </c>
      <c r="B5143" s="52" t="s">
        <v>74</v>
      </c>
      <c r="C5143" s="52" t="s">
        <v>224</v>
      </c>
      <c r="D5143" s="52" t="s">
        <v>224</v>
      </c>
      <c r="E5143" s="52" t="s">
        <v>584</v>
      </c>
      <c r="F5143" s="52" t="s">
        <v>26</v>
      </c>
      <c r="G5143" s="195" t="s">
        <v>275</v>
      </c>
      <c r="H5143" s="195">
        <v>-0.13806199999999999</v>
      </c>
      <c r="I5143" s="195">
        <v>-0.13806099999999999</v>
      </c>
      <c r="J5143" s="195">
        <v>0</v>
      </c>
      <c r="K5143" s="195">
        <v>0</v>
      </c>
      <c r="L5143" s="195">
        <v>0</v>
      </c>
      <c r="M5143" s="195">
        <v>0</v>
      </c>
      <c r="N5143" s="195">
        <v>0</v>
      </c>
    </row>
    <row r="5144" spans="1:14" hidden="1" x14ac:dyDescent="0.35">
      <c r="A5144" s="52" t="s">
        <v>662</v>
      </c>
      <c r="B5144" s="52" t="s">
        <v>74</v>
      </c>
      <c r="C5144" s="52" t="s">
        <v>224</v>
      </c>
      <c r="D5144" s="52" t="s">
        <v>224</v>
      </c>
      <c r="E5144" s="52" t="s">
        <v>584</v>
      </c>
      <c r="F5144" s="52" t="s">
        <v>26</v>
      </c>
      <c r="G5144" s="195" t="s">
        <v>276</v>
      </c>
      <c r="H5144" s="195">
        <v>-9.2040999999999998E-2</v>
      </c>
      <c r="I5144" s="195">
        <v>-9.2040999999999998E-2</v>
      </c>
      <c r="J5144" s="195">
        <v>-0.230103</v>
      </c>
      <c r="K5144" s="195">
        <v>-0.33980199999999999</v>
      </c>
      <c r="L5144" s="195">
        <v>-0.230104</v>
      </c>
      <c r="M5144" s="195">
        <v>-0.230104</v>
      </c>
      <c r="N5144" s="195">
        <v>0</v>
      </c>
    </row>
    <row r="5145" spans="1:14" hidden="1" x14ac:dyDescent="0.35">
      <c r="A5145" s="52" t="s">
        <v>662</v>
      </c>
      <c r="B5145" s="52" t="s">
        <v>74</v>
      </c>
      <c r="C5145" s="52" t="s">
        <v>224</v>
      </c>
      <c r="D5145" s="52" t="s">
        <v>224</v>
      </c>
      <c r="E5145" s="52" t="s">
        <v>584</v>
      </c>
      <c r="F5145" s="52" t="s">
        <v>26</v>
      </c>
      <c r="G5145" s="195" t="s">
        <v>278</v>
      </c>
      <c r="H5145" s="195">
        <v>0.230103</v>
      </c>
      <c r="I5145" s="195">
        <v>0.230103</v>
      </c>
      <c r="J5145" s="195">
        <v>0.230103</v>
      </c>
      <c r="K5145" s="195">
        <v>0.33980300000000002</v>
      </c>
      <c r="L5145" s="195">
        <v>0.230103</v>
      </c>
      <c r="M5145" s="195">
        <v>0.230103</v>
      </c>
      <c r="N5145" s="195">
        <v>0</v>
      </c>
    </row>
    <row r="5146" spans="1:14" hidden="1" x14ac:dyDescent="0.35">
      <c r="A5146" s="52" t="s">
        <v>662</v>
      </c>
      <c r="B5146" s="52" t="s">
        <v>74</v>
      </c>
      <c r="C5146" s="52" t="s">
        <v>224</v>
      </c>
      <c r="D5146" s="52" t="s">
        <v>224</v>
      </c>
      <c r="E5146" s="52" t="s">
        <v>840</v>
      </c>
      <c r="F5146" s="52" t="s">
        <v>26</v>
      </c>
      <c r="G5146" s="195" t="s">
        <v>275</v>
      </c>
      <c r="H5146" s="195">
        <v>-9.4577999999999995E-2</v>
      </c>
      <c r="I5146" s="195">
        <v>-9.4577999999999995E-2</v>
      </c>
      <c r="J5146" s="195">
        <v>0</v>
      </c>
      <c r="K5146" s="195">
        <v>0</v>
      </c>
      <c r="L5146" s="195">
        <v>0</v>
      </c>
      <c r="M5146" s="195">
        <v>0</v>
      </c>
      <c r="N5146" s="195">
        <v>0</v>
      </c>
    </row>
    <row r="5147" spans="1:14" hidden="1" x14ac:dyDescent="0.35">
      <c r="A5147" s="52" t="s">
        <v>662</v>
      </c>
      <c r="B5147" s="52" t="s">
        <v>74</v>
      </c>
      <c r="C5147" s="52" t="s">
        <v>224</v>
      </c>
      <c r="D5147" s="52" t="s">
        <v>224</v>
      </c>
      <c r="E5147" s="52" t="s">
        <v>840</v>
      </c>
      <c r="F5147" s="52" t="s">
        <v>26</v>
      </c>
      <c r="G5147" s="195" t="s">
        <v>276</v>
      </c>
      <c r="H5147" s="195">
        <v>-6.3051999999999997E-2</v>
      </c>
      <c r="I5147" s="195">
        <v>-6.3051999999999997E-2</v>
      </c>
      <c r="J5147" s="195">
        <v>-0.15762999999999999</v>
      </c>
      <c r="K5147" s="195">
        <v>-0.276063</v>
      </c>
      <c r="L5147" s="195">
        <v>-0.180924</v>
      </c>
      <c r="M5147" s="195">
        <v>-0.15762999999999999</v>
      </c>
      <c r="N5147" s="195">
        <v>-0.15762999999999999</v>
      </c>
    </row>
    <row r="5148" spans="1:14" hidden="1" x14ac:dyDescent="0.35">
      <c r="A5148" s="52" t="s">
        <v>662</v>
      </c>
      <c r="B5148" s="52" t="s">
        <v>74</v>
      </c>
      <c r="C5148" s="52" t="s">
        <v>224</v>
      </c>
      <c r="D5148" s="52" t="s">
        <v>224</v>
      </c>
      <c r="E5148" s="52" t="s">
        <v>840</v>
      </c>
      <c r="F5148" s="52" t="s">
        <v>26</v>
      </c>
      <c r="G5148" s="195" t="s">
        <v>278</v>
      </c>
      <c r="H5148" s="195">
        <v>0.15762999999999999</v>
      </c>
      <c r="I5148" s="195">
        <v>0.15762999999999999</v>
      </c>
      <c r="J5148" s="195">
        <v>0.15762999999999999</v>
      </c>
      <c r="K5148" s="195">
        <v>0.27606199999999997</v>
      </c>
      <c r="L5148" s="195">
        <v>0.180924</v>
      </c>
      <c r="M5148" s="195">
        <v>0.15762999999999999</v>
      </c>
      <c r="N5148" s="195">
        <v>0.15762999999999999</v>
      </c>
    </row>
    <row r="5149" spans="1:14" hidden="1" x14ac:dyDescent="0.35">
      <c r="A5149" s="52" t="s">
        <v>662</v>
      </c>
      <c r="B5149" s="52" t="s">
        <v>74</v>
      </c>
      <c r="C5149" s="52" t="s">
        <v>224</v>
      </c>
      <c r="D5149" s="52" t="s">
        <v>224</v>
      </c>
      <c r="E5149" s="52" t="s">
        <v>841</v>
      </c>
      <c r="F5149" s="52" t="s">
        <v>26</v>
      </c>
      <c r="G5149" s="195" t="s">
        <v>275</v>
      </c>
      <c r="H5149" s="195">
        <v>-9.7758999999999999E-2</v>
      </c>
      <c r="I5149" s="195">
        <v>-9.7757999999999998E-2</v>
      </c>
      <c r="J5149" s="195">
        <v>0</v>
      </c>
      <c r="K5149" s="195">
        <v>0</v>
      </c>
      <c r="L5149" s="195">
        <v>0</v>
      </c>
      <c r="M5149" s="195">
        <v>0</v>
      </c>
      <c r="N5149" s="195">
        <v>0</v>
      </c>
    </row>
    <row r="5150" spans="1:14" hidden="1" x14ac:dyDescent="0.35">
      <c r="A5150" s="52" t="s">
        <v>662</v>
      </c>
      <c r="B5150" s="52" t="s">
        <v>74</v>
      </c>
      <c r="C5150" s="52" t="s">
        <v>224</v>
      </c>
      <c r="D5150" s="52" t="s">
        <v>224</v>
      </c>
      <c r="E5150" s="52" t="s">
        <v>841</v>
      </c>
      <c r="F5150" s="52" t="s">
        <v>26</v>
      </c>
      <c r="G5150" s="195" t="s">
        <v>276</v>
      </c>
      <c r="H5150" s="195">
        <v>-6.5171999999999994E-2</v>
      </c>
      <c r="I5150" s="195">
        <v>-6.5173999999999996E-2</v>
      </c>
      <c r="J5150" s="195">
        <v>-0.16293099999999999</v>
      </c>
      <c r="K5150" s="195">
        <v>-0.28136299999999997</v>
      </c>
      <c r="L5150" s="195">
        <v>-0.186226</v>
      </c>
      <c r="M5150" s="195">
        <v>-0.16292999999999999</v>
      </c>
      <c r="N5150" s="195">
        <v>-0.16293199999999999</v>
      </c>
    </row>
    <row r="5151" spans="1:14" hidden="1" x14ac:dyDescent="0.35">
      <c r="A5151" s="52" t="s">
        <v>662</v>
      </c>
      <c r="B5151" s="52" t="s">
        <v>74</v>
      </c>
      <c r="C5151" s="52" t="s">
        <v>224</v>
      </c>
      <c r="D5151" s="52" t="s">
        <v>224</v>
      </c>
      <c r="E5151" s="52" t="s">
        <v>841</v>
      </c>
      <c r="F5151" s="52" t="s">
        <v>26</v>
      </c>
      <c r="G5151" s="195" t="s">
        <v>278</v>
      </c>
      <c r="H5151" s="195">
        <v>0.16293099999999999</v>
      </c>
      <c r="I5151" s="195">
        <v>0.16293099999999999</v>
      </c>
      <c r="J5151" s="195">
        <v>0.16293099999999999</v>
      </c>
      <c r="K5151" s="195">
        <v>0.28136299999999997</v>
      </c>
      <c r="L5151" s="195">
        <v>0.186225</v>
      </c>
      <c r="M5151" s="195">
        <v>0.16293099999999999</v>
      </c>
      <c r="N5151" s="195">
        <v>0.16293099999999999</v>
      </c>
    </row>
    <row r="5152" spans="1:14" hidden="1" x14ac:dyDescent="0.35">
      <c r="A5152" s="52" t="s">
        <v>685</v>
      </c>
      <c r="B5152" s="52" t="s">
        <v>37</v>
      </c>
      <c r="C5152" s="52" t="s">
        <v>35</v>
      </c>
      <c r="D5152" s="52" t="s">
        <v>36</v>
      </c>
      <c r="E5152" s="52" t="s">
        <v>589</v>
      </c>
      <c r="F5152" s="52" t="s">
        <v>581</v>
      </c>
      <c r="G5152" s="195" t="s">
        <v>275</v>
      </c>
      <c r="H5152" s="195">
        <v>-235.6104</v>
      </c>
      <c r="I5152" s="195">
        <v>50.43927</v>
      </c>
      <c r="J5152" s="195">
        <v>37.87735</v>
      </c>
      <c r="K5152" s="195">
        <v>131.1643</v>
      </c>
      <c r="L5152" s="195">
        <v>112.7777</v>
      </c>
      <c r="M5152" s="195">
        <v>76.043059999999997</v>
      </c>
      <c r="N5152" s="195">
        <v>58.58287</v>
      </c>
    </row>
    <row r="5153" spans="1:14" hidden="1" x14ac:dyDescent="0.35">
      <c r="A5153" s="52" t="s">
        <v>685</v>
      </c>
      <c r="B5153" s="52" t="s">
        <v>37</v>
      </c>
      <c r="C5153" s="52" t="s">
        <v>35</v>
      </c>
      <c r="D5153" s="52" t="s">
        <v>36</v>
      </c>
      <c r="E5153" s="52" t="s">
        <v>589</v>
      </c>
      <c r="F5153" s="52" t="s">
        <v>581</v>
      </c>
      <c r="G5153" s="195" t="s">
        <v>276</v>
      </c>
      <c r="H5153" s="195">
        <v>34.992040000000003</v>
      </c>
      <c r="I5153" s="195">
        <v>-19.97532</v>
      </c>
      <c r="J5153" s="195">
        <v>-22.055070000000001</v>
      </c>
      <c r="K5153" s="195">
        <v>-44.64237</v>
      </c>
      <c r="L5153" s="195">
        <v>-37.548920000000003</v>
      </c>
      <c r="M5153" s="195">
        <v>7.1121999999999996</v>
      </c>
      <c r="N5153" s="195">
        <v>6.3392910000000002</v>
      </c>
    </row>
    <row r="5154" spans="1:14" hidden="1" x14ac:dyDescent="0.35">
      <c r="A5154" s="52" t="s">
        <v>685</v>
      </c>
      <c r="B5154" s="52" t="s">
        <v>37</v>
      </c>
      <c r="C5154" s="52" t="s">
        <v>35</v>
      </c>
      <c r="D5154" s="52" t="s">
        <v>36</v>
      </c>
      <c r="E5154" s="52" t="s">
        <v>589</v>
      </c>
      <c r="F5154" s="52" t="s">
        <v>581</v>
      </c>
      <c r="G5154" s="195" t="s">
        <v>277</v>
      </c>
      <c r="H5154" s="195">
        <v>616.62570000000005</v>
      </c>
      <c r="I5154" s="195">
        <v>100.30800000000001</v>
      </c>
      <c r="J5154" s="195">
        <v>21.818950000000001</v>
      </c>
      <c r="K5154" s="195">
        <v>7.2302860000000004</v>
      </c>
      <c r="L5154" s="195">
        <v>4.2910389999999996</v>
      </c>
      <c r="M5154" s="195">
        <v>3.3347190000000002</v>
      </c>
      <c r="N5154" s="195">
        <v>15.07748</v>
      </c>
    </row>
    <row r="5155" spans="1:14" hidden="1" x14ac:dyDescent="0.35">
      <c r="A5155" s="52" t="s">
        <v>685</v>
      </c>
      <c r="B5155" s="52" t="s">
        <v>37</v>
      </c>
      <c r="C5155" s="52" t="s">
        <v>35</v>
      </c>
      <c r="D5155" s="52" t="s">
        <v>36</v>
      </c>
      <c r="E5155" s="52" t="s">
        <v>589</v>
      </c>
      <c r="F5155" s="52" t="s">
        <v>581</v>
      </c>
      <c r="G5155" s="195" t="s">
        <v>278</v>
      </c>
      <c r="H5155" s="195">
        <v>0.37437500000000001</v>
      </c>
      <c r="I5155" s="195">
        <v>0.282113</v>
      </c>
      <c r="J5155" s="195">
        <v>88.442679999999996</v>
      </c>
      <c r="K5155" s="195">
        <v>39.975729999999999</v>
      </c>
      <c r="L5155" s="195">
        <v>34.03002</v>
      </c>
      <c r="M5155" s="195">
        <v>15.888529999999999</v>
      </c>
      <c r="N5155" s="195">
        <v>13.97607</v>
      </c>
    </row>
    <row r="5156" spans="1:14" hidden="1" x14ac:dyDescent="0.35">
      <c r="A5156" s="52" t="s">
        <v>685</v>
      </c>
      <c r="B5156" s="52" t="s">
        <v>37</v>
      </c>
      <c r="C5156" s="52" t="s">
        <v>35</v>
      </c>
      <c r="D5156" s="52" t="s">
        <v>36</v>
      </c>
      <c r="E5156" s="52" t="s">
        <v>589</v>
      </c>
      <c r="F5156" s="52" t="s">
        <v>581</v>
      </c>
      <c r="G5156" s="195" t="s">
        <v>279</v>
      </c>
      <c r="H5156" s="195">
        <v>136.714</v>
      </c>
      <c r="I5156" s="195">
        <v>108.92449999999999</v>
      </c>
      <c r="J5156" s="195">
        <v>119.1045</v>
      </c>
      <c r="K5156" s="195">
        <v>129.61840000000001</v>
      </c>
      <c r="L5156" s="195">
        <v>136.61600000000001</v>
      </c>
      <c r="M5156" s="195">
        <v>116.59610000000001</v>
      </c>
      <c r="N5156" s="195">
        <v>102.9632</v>
      </c>
    </row>
    <row r="5157" spans="1:14" hidden="1" x14ac:dyDescent="0.35">
      <c r="A5157" s="52" t="s">
        <v>685</v>
      </c>
      <c r="B5157" s="52" t="s">
        <v>37</v>
      </c>
      <c r="C5157" s="52" t="s">
        <v>35</v>
      </c>
      <c r="D5157" s="52" t="s">
        <v>36</v>
      </c>
      <c r="E5157" s="52" t="s">
        <v>589</v>
      </c>
      <c r="F5157" s="52" t="s">
        <v>26</v>
      </c>
      <c r="G5157" s="195" t="s">
        <v>275</v>
      </c>
      <c r="H5157" s="195">
        <v>-7.7972770000000002</v>
      </c>
      <c r="I5157" s="195">
        <v>-6.6495920000000002</v>
      </c>
      <c r="J5157" s="195">
        <v>-7.1464869999999996</v>
      </c>
      <c r="K5157" s="195">
        <v>-8.0452010000000005</v>
      </c>
      <c r="L5157" s="195">
        <v>-9.2464890000000004</v>
      </c>
      <c r="M5157" s="195">
        <v>-7.8023480000000003</v>
      </c>
      <c r="N5157" s="195">
        <v>-6.836875</v>
      </c>
    </row>
    <row r="5158" spans="1:14" hidden="1" x14ac:dyDescent="0.35">
      <c r="A5158" s="52" t="s">
        <v>685</v>
      </c>
      <c r="B5158" s="52" t="s">
        <v>37</v>
      </c>
      <c r="C5158" s="52" t="s">
        <v>35</v>
      </c>
      <c r="D5158" s="52" t="s">
        <v>36</v>
      </c>
      <c r="E5158" s="52" t="s">
        <v>589</v>
      </c>
      <c r="F5158" s="52" t="s">
        <v>26</v>
      </c>
      <c r="G5158" s="195" t="s">
        <v>276</v>
      </c>
      <c r="H5158" s="195">
        <v>-2.0726930000000001</v>
      </c>
      <c r="I5158" s="195">
        <v>-1.767617</v>
      </c>
      <c r="J5158" s="195">
        <v>-1.8997010000000001</v>
      </c>
      <c r="K5158" s="195">
        <v>-2.1385909999999999</v>
      </c>
      <c r="L5158" s="195">
        <v>-2.4579309999999999</v>
      </c>
      <c r="M5158" s="195">
        <v>-2.0740460000000001</v>
      </c>
      <c r="N5158" s="195">
        <v>-1.817402</v>
      </c>
    </row>
    <row r="5159" spans="1:14" hidden="1" x14ac:dyDescent="0.35">
      <c r="A5159" s="52" t="s">
        <v>685</v>
      </c>
      <c r="B5159" s="52" t="s">
        <v>37</v>
      </c>
      <c r="C5159" s="52" t="s">
        <v>35</v>
      </c>
      <c r="D5159" s="52" t="s">
        <v>36</v>
      </c>
      <c r="E5159" s="52" t="s">
        <v>589</v>
      </c>
      <c r="F5159" s="52" t="s">
        <v>26</v>
      </c>
      <c r="G5159" s="195" t="s">
        <v>279</v>
      </c>
      <c r="H5159" s="195">
        <v>19.302250000000001</v>
      </c>
      <c r="I5159" s="195">
        <v>14.81278</v>
      </c>
      <c r="J5159" s="195">
        <v>16.636620000000001</v>
      </c>
      <c r="K5159" s="195">
        <v>18.312390000000001</v>
      </c>
      <c r="L5159" s="195">
        <v>19.401540000000001</v>
      </c>
      <c r="M5159" s="195">
        <v>16.52711</v>
      </c>
      <c r="N5159" s="195">
        <v>14.54796</v>
      </c>
    </row>
    <row r="5160" spans="1:14" hidden="1" x14ac:dyDescent="0.35">
      <c r="A5160" s="52" t="s">
        <v>685</v>
      </c>
      <c r="B5160" s="52" t="s">
        <v>37</v>
      </c>
      <c r="C5160" s="52" t="s">
        <v>35</v>
      </c>
      <c r="D5160" s="52" t="s">
        <v>36</v>
      </c>
      <c r="E5160" s="52" t="s">
        <v>590</v>
      </c>
      <c r="F5160" s="52" t="s">
        <v>581</v>
      </c>
      <c r="G5160" s="195" t="s">
        <v>275</v>
      </c>
      <c r="H5160" s="195">
        <v>274.23480000000001</v>
      </c>
      <c r="I5160" s="195">
        <v>163.50380000000001</v>
      </c>
      <c r="J5160" s="195">
        <v>140.9211</v>
      </c>
      <c r="K5160" s="195">
        <v>117.8317</v>
      </c>
      <c r="L5160" s="195">
        <v>79.744519999999994</v>
      </c>
      <c r="M5160" s="195">
        <v>56.794589999999999</v>
      </c>
      <c r="N5160" s="195">
        <v>45.204430000000002</v>
      </c>
    </row>
    <row r="5161" spans="1:14" hidden="1" x14ac:dyDescent="0.35">
      <c r="A5161" s="52" t="s">
        <v>685</v>
      </c>
      <c r="B5161" s="52" t="s">
        <v>37</v>
      </c>
      <c r="C5161" s="52" t="s">
        <v>35</v>
      </c>
      <c r="D5161" s="52" t="s">
        <v>36</v>
      </c>
      <c r="E5161" s="52" t="s">
        <v>590</v>
      </c>
      <c r="F5161" s="52" t="s">
        <v>581</v>
      </c>
      <c r="G5161" s="195" t="s">
        <v>276</v>
      </c>
      <c r="H5161" s="195">
        <v>55.504330000000003</v>
      </c>
      <c r="I5161" s="195">
        <v>-32.839410000000001</v>
      </c>
      <c r="J5161" s="195">
        <v>-38.85727</v>
      </c>
      <c r="K5161" s="195">
        <v>-26.11063</v>
      </c>
      <c r="L5161" s="195">
        <v>-6.3661570000000003</v>
      </c>
      <c r="M5161" s="195">
        <v>12.063879999999999</v>
      </c>
      <c r="N5161" s="195">
        <v>12.515750000000001</v>
      </c>
    </row>
    <row r="5162" spans="1:14" hidden="1" x14ac:dyDescent="0.35">
      <c r="A5162" s="52" t="s">
        <v>685</v>
      </c>
      <c r="B5162" s="52" t="s">
        <v>37</v>
      </c>
      <c r="C5162" s="52" t="s">
        <v>35</v>
      </c>
      <c r="D5162" s="52" t="s">
        <v>36</v>
      </c>
      <c r="E5162" s="52" t="s">
        <v>590</v>
      </c>
      <c r="F5162" s="52" t="s">
        <v>581</v>
      </c>
      <c r="G5162" s="195" t="s">
        <v>277</v>
      </c>
      <c r="H5162" s="195">
        <v>249.91120000000001</v>
      </c>
      <c r="I5162" s="195">
        <v>28.540970000000002</v>
      </c>
      <c r="J5162" s="195">
        <v>3.0306299999999999</v>
      </c>
      <c r="K5162" s="195">
        <v>1.0193099999999999</v>
      </c>
      <c r="L5162" s="195">
        <v>1.2378549999999999</v>
      </c>
      <c r="M5162" s="195">
        <v>0.96109739999999999</v>
      </c>
      <c r="N5162" s="195">
        <v>3.7099440000000001</v>
      </c>
    </row>
    <row r="5163" spans="1:14" hidden="1" x14ac:dyDescent="0.35">
      <c r="A5163" s="52" t="s">
        <v>685</v>
      </c>
      <c r="B5163" s="52" t="s">
        <v>37</v>
      </c>
      <c r="C5163" s="52" t="s">
        <v>35</v>
      </c>
      <c r="D5163" s="52" t="s">
        <v>36</v>
      </c>
      <c r="E5163" s="52" t="s">
        <v>590</v>
      </c>
      <c r="F5163" s="52" t="s">
        <v>581</v>
      </c>
      <c r="G5163" s="195" t="s">
        <v>278</v>
      </c>
      <c r="H5163" s="195">
        <v>8.8805999999999996E-2</v>
      </c>
      <c r="I5163" s="195">
        <v>7.2104600000000005E-2</v>
      </c>
      <c r="J5163" s="195">
        <v>6.2022360000000001</v>
      </c>
      <c r="K5163" s="195">
        <v>3.8196059999999998</v>
      </c>
      <c r="L5163" s="195">
        <v>3.2529029999999999</v>
      </c>
      <c r="M5163" s="195">
        <v>2.2787169999999999</v>
      </c>
      <c r="N5163" s="195">
        <v>5.3513979999999997</v>
      </c>
    </row>
    <row r="5164" spans="1:14" hidden="1" x14ac:dyDescent="0.35">
      <c r="A5164" s="52" t="s">
        <v>685</v>
      </c>
      <c r="B5164" s="52" t="s">
        <v>37</v>
      </c>
      <c r="C5164" s="52" t="s">
        <v>35</v>
      </c>
      <c r="D5164" s="52" t="s">
        <v>36</v>
      </c>
      <c r="E5164" s="52" t="s">
        <v>590</v>
      </c>
      <c r="F5164" s="52" t="s">
        <v>581</v>
      </c>
      <c r="G5164" s="195" t="s">
        <v>279</v>
      </c>
      <c r="H5164" s="195">
        <v>185.51009999999999</v>
      </c>
      <c r="I5164" s="195">
        <v>127.97750000000001</v>
      </c>
      <c r="J5164" s="195">
        <v>102.5557</v>
      </c>
      <c r="K5164" s="195">
        <v>91.343119999999999</v>
      </c>
      <c r="L5164" s="195">
        <v>91.276719999999997</v>
      </c>
      <c r="M5164" s="195">
        <v>81.636319999999998</v>
      </c>
      <c r="N5164" s="195">
        <v>74.612729999999999</v>
      </c>
    </row>
    <row r="5165" spans="1:14" hidden="1" x14ac:dyDescent="0.35">
      <c r="A5165" s="52" t="s">
        <v>685</v>
      </c>
      <c r="B5165" s="52" t="s">
        <v>37</v>
      </c>
      <c r="C5165" s="52" t="s">
        <v>35</v>
      </c>
      <c r="D5165" s="52" t="s">
        <v>36</v>
      </c>
      <c r="E5165" s="52" t="s">
        <v>590</v>
      </c>
      <c r="F5165" s="52" t="s">
        <v>26</v>
      </c>
      <c r="G5165" s="195" t="s">
        <v>275</v>
      </c>
      <c r="H5165" s="195">
        <v>-12.56917</v>
      </c>
      <c r="I5165" s="195">
        <v>-9.3238109999999992</v>
      </c>
      <c r="J5165" s="195">
        <v>-7.3507179999999996</v>
      </c>
      <c r="K5165" s="195">
        <v>-6.7727180000000002</v>
      </c>
      <c r="L5165" s="195">
        <v>-7.38063</v>
      </c>
      <c r="M5165" s="195">
        <v>-6.5505789999999999</v>
      </c>
      <c r="N5165" s="195">
        <v>-5.9688559999999997</v>
      </c>
    </row>
    <row r="5166" spans="1:14" hidden="1" x14ac:dyDescent="0.35">
      <c r="A5166" s="52" t="s">
        <v>685</v>
      </c>
      <c r="B5166" s="52" t="s">
        <v>37</v>
      </c>
      <c r="C5166" s="52" t="s">
        <v>35</v>
      </c>
      <c r="D5166" s="52" t="s">
        <v>36</v>
      </c>
      <c r="E5166" s="52" t="s">
        <v>590</v>
      </c>
      <c r="F5166" s="52" t="s">
        <v>26</v>
      </c>
      <c r="G5166" s="195" t="s">
        <v>276</v>
      </c>
      <c r="H5166" s="195">
        <v>-3.3411710000000001</v>
      </c>
      <c r="I5166" s="195">
        <v>-2.4784790000000001</v>
      </c>
      <c r="J5166" s="195">
        <v>-1.9539850000000001</v>
      </c>
      <c r="K5166" s="195">
        <v>-1.8003389999999999</v>
      </c>
      <c r="L5166" s="195">
        <v>-1.961937</v>
      </c>
      <c r="M5166" s="195">
        <v>-1.7412879999999999</v>
      </c>
      <c r="N5166" s="195">
        <v>-1.586659</v>
      </c>
    </row>
    <row r="5167" spans="1:14" hidden="1" x14ac:dyDescent="0.35">
      <c r="A5167" s="52" t="s">
        <v>685</v>
      </c>
      <c r="B5167" s="52" t="s">
        <v>37</v>
      </c>
      <c r="C5167" s="52" t="s">
        <v>35</v>
      </c>
      <c r="D5167" s="52" t="s">
        <v>36</v>
      </c>
      <c r="E5167" s="52" t="s">
        <v>590</v>
      </c>
      <c r="F5167" s="52" t="s">
        <v>26</v>
      </c>
      <c r="G5167" s="195" t="s">
        <v>279</v>
      </c>
      <c r="H5167" s="195">
        <v>31.115120000000001</v>
      </c>
      <c r="I5167" s="195">
        <v>20.7532</v>
      </c>
      <c r="J5167" s="195">
        <v>17.066269999999999</v>
      </c>
      <c r="K5167" s="195">
        <v>15.37721</v>
      </c>
      <c r="L5167" s="195">
        <v>15.44956</v>
      </c>
      <c r="M5167" s="195">
        <v>13.814209999999999</v>
      </c>
      <c r="N5167" s="195">
        <v>12.612640000000001</v>
      </c>
    </row>
    <row r="5168" spans="1:14" hidden="1" x14ac:dyDescent="0.35">
      <c r="A5168" s="52" t="s">
        <v>685</v>
      </c>
      <c r="B5168" s="52" t="s">
        <v>37</v>
      </c>
      <c r="C5168" s="52" t="s">
        <v>35</v>
      </c>
      <c r="D5168" s="52" t="s">
        <v>36</v>
      </c>
      <c r="E5168" s="52" t="s">
        <v>588</v>
      </c>
      <c r="F5168" s="52" t="s">
        <v>581</v>
      </c>
      <c r="G5168" s="195" t="s">
        <v>275</v>
      </c>
      <c r="H5168" s="195">
        <v>-14.430350000000001</v>
      </c>
      <c r="I5168" s="195">
        <v>31.38993</v>
      </c>
      <c r="J5168" s="195">
        <v>45.451790000000003</v>
      </c>
      <c r="K5168" s="195">
        <v>32.613460000000003</v>
      </c>
      <c r="L5168" s="195">
        <v>23.117290000000001</v>
      </c>
      <c r="M5168" s="195">
        <v>12.862909999999999</v>
      </c>
      <c r="N5168" s="195">
        <v>0.77668910000000002</v>
      </c>
    </row>
    <row r="5169" spans="1:14" hidden="1" x14ac:dyDescent="0.35">
      <c r="A5169" s="52" t="s">
        <v>685</v>
      </c>
      <c r="B5169" s="52" t="s">
        <v>37</v>
      </c>
      <c r="C5169" s="52" t="s">
        <v>35</v>
      </c>
      <c r="D5169" s="52" t="s">
        <v>36</v>
      </c>
      <c r="E5169" s="52" t="s">
        <v>588</v>
      </c>
      <c r="F5169" s="52" t="s">
        <v>581</v>
      </c>
      <c r="G5169" s="195" t="s">
        <v>276</v>
      </c>
      <c r="H5169" s="195">
        <v>3.849513</v>
      </c>
      <c r="I5169" s="195">
        <v>-7.4775369999999999</v>
      </c>
      <c r="J5169" s="195">
        <v>-20.999690000000001</v>
      </c>
      <c r="K5169" s="195">
        <v>-11.347239999999999</v>
      </c>
      <c r="L5169" s="195">
        <v>-6.9443429999999999</v>
      </c>
      <c r="M5169" s="195">
        <v>2.2119580000000001</v>
      </c>
      <c r="N5169" s="195">
        <v>2.7567789999999999</v>
      </c>
    </row>
    <row r="5170" spans="1:14" hidden="1" x14ac:dyDescent="0.35">
      <c r="A5170" s="52" t="s">
        <v>685</v>
      </c>
      <c r="B5170" s="52" t="s">
        <v>37</v>
      </c>
      <c r="C5170" s="52" t="s">
        <v>35</v>
      </c>
      <c r="D5170" s="52" t="s">
        <v>36</v>
      </c>
      <c r="E5170" s="52" t="s">
        <v>588</v>
      </c>
      <c r="F5170" s="52" t="s">
        <v>581</v>
      </c>
      <c r="G5170" s="195" t="s">
        <v>277</v>
      </c>
      <c r="H5170" s="195">
        <v>118.9449</v>
      </c>
      <c r="I5170" s="195">
        <v>11.028740000000001</v>
      </c>
      <c r="J5170" s="195">
        <v>0.4777708</v>
      </c>
      <c r="K5170" s="195">
        <v>0.1487076</v>
      </c>
      <c r="L5170" s="195">
        <v>0.21643699999999999</v>
      </c>
      <c r="M5170" s="195">
        <v>7.6255000000000003E-2</v>
      </c>
      <c r="N5170" s="195">
        <v>2.4318939999999998</v>
      </c>
    </row>
    <row r="5171" spans="1:14" hidden="1" x14ac:dyDescent="0.35">
      <c r="A5171" s="52" t="s">
        <v>685</v>
      </c>
      <c r="B5171" s="52" t="s">
        <v>37</v>
      </c>
      <c r="C5171" s="52" t="s">
        <v>35</v>
      </c>
      <c r="D5171" s="52" t="s">
        <v>36</v>
      </c>
      <c r="E5171" s="52" t="s">
        <v>588</v>
      </c>
      <c r="F5171" s="52" t="s">
        <v>581</v>
      </c>
      <c r="G5171" s="195" t="s">
        <v>278</v>
      </c>
      <c r="H5171" s="195">
        <v>5.5130999999999999E-2</v>
      </c>
      <c r="I5171" s="195">
        <v>4.0099799999999998E-2</v>
      </c>
      <c r="J5171" s="195">
        <v>0.64812700000000001</v>
      </c>
      <c r="K5171" s="195">
        <v>0.62425600000000003</v>
      </c>
      <c r="L5171" s="195">
        <v>0.91154659999999998</v>
      </c>
      <c r="M5171" s="195">
        <v>0.40720719999999999</v>
      </c>
      <c r="N5171" s="195">
        <v>10.51324</v>
      </c>
    </row>
    <row r="5172" spans="1:14" hidden="1" x14ac:dyDescent="0.35">
      <c r="A5172" s="52" t="s">
        <v>685</v>
      </c>
      <c r="B5172" s="52" t="s">
        <v>37</v>
      </c>
      <c r="C5172" s="52" t="s">
        <v>35</v>
      </c>
      <c r="D5172" s="52" t="s">
        <v>36</v>
      </c>
      <c r="E5172" s="52" t="s">
        <v>588</v>
      </c>
      <c r="F5172" s="52" t="s">
        <v>581</v>
      </c>
      <c r="G5172" s="195" t="s">
        <v>279</v>
      </c>
      <c r="H5172" s="195">
        <v>31.759</v>
      </c>
      <c r="I5172" s="195">
        <v>24.727969999999999</v>
      </c>
      <c r="J5172" s="195">
        <v>20.512149999999998</v>
      </c>
      <c r="K5172" s="195">
        <v>18.125150000000001</v>
      </c>
      <c r="L5172" s="195">
        <v>17.33305</v>
      </c>
      <c r="M5172" s="195">
        <v>15.117100000000001</v>
      </c>
      <c r="N5172" s="195">
        <v>15.100199999999999</v>
      </c>
    </row>
    <row r="5173" spans="1:14" hidden="1" x14ac:dyDescent="0.35">
      <c r="A5173" s="52" t="s">
        <v>685</v>
      </c>
      <c r="B5173" s="52" t="s">
        <v>37</v>
      </c>
      <c r="C5173" s="52" t="s">
        <v>35</v>
      </c>
      <c r="D5173" s="52" t="s">
        <v>36</v>
      </c>
      <c r="E5173" s="52" t="s">
        <v>588</v>
      </c>
      <c r="F5173" s="52" t="s">
        <v>26</v>
      </c>
      <c r="G5173" s="195" t="s">
        <v>275</v>
      </c>
      <c r="H5173" s="195">
        <v>-2.8704550000000002</v>
      </c>
      <c r="I5173" s="195">
        <v>-2.4000189999999999</v>
      </c>
      <c r="J5173" s="195">
        <v>-1.9593130000000001</v>
      </c>
      <c r="K5173" s="195">
        <v>-1.791679</v>
      </c>
      <c r="L5173" s="195">
        <v>-1.870736</v>
      </c>
      <c r="M5173" s="195">
        <v>-1.6191500000000001</v>
      </c>
      <c r="N5173" s="195">
        <v>-1.596387</v>
      </c>
    </row>
    <row r="5174" spans="1:14" hidden="1" x14ac:dyDescent="0.35">
      <c r="A5174" s="52" t="s">
        <v>685</v>
      </c>
      <c r="B5174" s="52" t="s">
        <v>37</v>
      </c>
      <c r="C5174" s="52" t="s">
        <v>35</v>
      </c>
      <c r="D5174" s="52" t="s">
        <v>36</v>
      </c>
      <c r="E5174" s="52" t="s">
        <v>588</v>
      </c>
      <c r="F5174" s="52" t="s">
        <v>26</v>
      </c>
      <c r="G5174" s="195" t="s">
        <v>276</v>
      </c>
      <c r="H5174" s="195">
        <v>-0.76303509999999997</v>
      </c>
      <c r="I5174" s="195">
        <v>-0.63797979999999999</v>
      </c>
      <c r="J5174" s="195">
        <v>-0.52083000000000002</v>
      </c>
      <c r="K5174" s="195">
        <v>-0.47627059999999999</v>
      </c>
      <c r="L5174" s="195">
        <v>-0.49728319999999998</v>
      </c>
      <c r="M5174" s="195">
        <v>-0.43040620000000002</v>
      </c>
      <c r="N5174" s="195">
        <v>-0.4243576</v>
      </c>
    </row>
    <row r="5175" spans="1:14" hidden="1" x14ac:dyDescent="0.35">
      <c r="A5175" s="52" t="s">
        <v>685</v>
      </c>
      <c r="B5175" s="52" t="s">
        <v>37</v>
      </c>
      <c r="C5175" s="52" t="s">
        <v>35</v>
      </c>
      <c r="D5175" s="52" t="s">
        <v>36</v>
      </c>
      <c r="E5175" s="52" t="s">
        <v>588</v>
      </c>
      <c r="F5175" s="52" t="s">
        <v>26</v>
      </c>
      <c r="G5175" s="195" t="s">
        <v>279</v>
      </c>
      <c r="H5175" s="195">
        <v>7.1058500000000002</v>
      </c>
      <c r="I5175" s="195">
        <v>5.3416689999999996</v>
      </c>
      <c r="J5175" s="195">
        <v>4.5490789999999999</v>
      </c>
      <c r="K5175" s="195">
        <v>4.0675290000000004</v>
      </c>
      <c r="L5175" s="195">
        <v>3.9154399999999998</v>
      </c>
      <c r="M5175" s="195">
        <v>3.4137420000000001</v>
      </c>
      <c r="N5175" s="195">
        <v>3.3903850000000002</v>
      </c>
    </row>
    <row r="5176" spans="1:14" hidden="1" x14ac:dyDescent="0.35">
      <c r="A5176" s="52" t="s">
        <v>685</v>
      </c>
      <c r="B5176" s="52" t="s">
        <v>37</v>
      </c>
      <c r="C5176" s="52" t="s">
        <v>35</v>
      </c>
      <c r="D5176" s="52" t="s">
        <v>36</v>
      </c>
      <c r="E5176" s="52" t="s">
        <v>587</v>
      </c>
      <c r="F5176" s="52" t="s">
        <v>581</v>
      </c>
      <c r="G5176" s="195" t="s">
        <v>275</v>
      </c>
      <c r="H5176" s="195">
        <v>45.377780000000001</v>
      </c>
      <c r="I5176" s="195">
        <v>12.19656</v>
      </c>
      <c r="J5176" s="195">
        <v>8.9087779999999999</v>
      </c>
      <c r="K5176" s="195">
        <v>6.5387709999999997</v>
      </c>
      <c r="L5176" s="195">
        <v>5.1643350000000003</v>
      </c>
      <c r="M5176" s="195">
        <v>4.765784</v>
      </c>
      <c r="N5176" s="195">
        <v>4.2984989999999996</v>
      </c>
    </row>
    <row r="5177" spans="1:14" hidden="1" x14ac:dyDescent="0.35">
      <c r="A5177" s="52" t="s">
        <v>685</v>
      </c>
      <c r="B5177" s="52" t="s">
        <v>37</v>
      </c>
      <c r="C5177" s="52" t="s">
        <v>35</v>
      </c>
      <c r="D5177" s="52" t="s">
        <v>36</v>
      </c>
      <c r="E5177" s="52" t="s">
        <v>587</v>
      </c>
      <c r="F5177" s="52" t="s">
        <v>581</v>
      </c>
      <c r="G5177" s="195" t="s">
        <v>276</v>
      </c>
      <c r="H5177" s="195">
        <v>4.9689069999999997</v>
      </c>
      <c r="I5177" s="195">
        <v>0.75975839999999994</v>
      </c>
      <c r="J5177" s="195">
        <v>0.40445219999999998</v>
      </c>
      <c r="K5177" s="195">
        <v>1.738154</v>
      </c>
      <c r="L5177" s="195">
        <v>1.372797</v>
      </c>
      <c r="M5177" s="195">
        <v>1.266853</v>
      </c>
      <c r="N5177" s="195">
        <v>1.142639</v>
      </c>
    </row>
    <row r="5178" spans="1:14" hidden="1" x14ac:dyDescent="0.35">
      <c r="A5178" s="52" t="s">
        <v>685</v>
      </c>
      <c r="B5178" s="52" t="s">
        <v>37</v>
      </c>
      <c r="C5178" s="52" t="s">
        <v>35</v>
      </c>
      <c r="D5178" s="52" t="s">
        <v>36</v>
      </c>
      <c r="E5178" s="52" t="s">
        <v>587</v>
      </c>
      <c r="F5178" s="52" t="s">
        <v>581</v>
      </c>
      <c r="G5178" s="195" t="s">
        <v>277</v>
      </c>
      <c r="H5178" s="195"/>
      <c r="I5178" s="195"/>
      <c r="J5178" s="195"/>
      <c r="K5178" s="195"/>
      <c r="L5178" s="195"/>
      <c r="M5178" s="195">
        <v>0</v>
      </c>
      <c r="N5178" s="195">
        <v>0</v>
      </c>
    </row>
    <row r="5179" spans="1:14" hidden="1" x14ac:dyDescent="0.35">
      <c r="A5179" s="52" t="s">
        <v>685</v>
      </c>
      <c r="B5179" s="52" t="s">
        <v>37</v>
      </c>
      <c r="C5179" s="52" t="s">
        <v>35</v>
      </c>
      <c r="D5179" s="52" t="s">
        <v>36</v>
      </c>
      <c r="E5179" s="52" t="s">
        <v>587</v>
      </c>
      <c r="F5179" s="52" t="s">
        <v>581</v>
      </c>
      <c r="G5179" s="195" t="s">
        <v>279</v>
      </c>
      <c r="H5179" s="195">
        <v>17.691130000000001</v>
      </c>
      <c r="I5179" s="195">
        <v>12.06474</v>
      </c>
      <c r="J5179" s="195">
        <v>10.0932</v>
      </c>
      <c r="K5179" s="195">
        <v>9.2492830000000001</v>
      </c>
      <c r="L5179" s="195">
        <v>9.2932089999999992</v>
      </c>
      <c r="M5179" s="195">
        <v>8.3026319999999991</v>
      </c>
      <c r="N5179" s="195">
        <v>7.4686830000000004</v>
      </c>
    </row>
    <row r="5180" spans="1:14" hidden="1" x14ac:dyDescent="0.35">
      <c r="A5180" s="52" t="s">
        <v>685</v>
      </c>
      <c r="B5180" s="52" t="s">
        <v>37</v>
      </c>
      <c r="C5180" s="52" t="s">
        <v>35</v>
      </c>
      <c r="D5180" s="52" t="s">
        <v>36</v>
      </c>
      <c r="E5180" s="52" t="s">
        <v>587</v>
      </c>
      <c r="F5180" s="52" t="s">
        <v>26</v>
      </c>
      <c r="G5180" s="195" t="s">
        <v>275</v>
      </c>
      <c r="H5180" s="195">
        <v>-3.3006229999999999</v>
      </c>
      <c r="I5180" s="195">
        <v>-2.4268689999999999</v>
      </c>
      <c r="J5180" s="195">
        <v>-1.992642</v>
      </c>
      <c r="K5180" s="195">
        <v>-1.8922300000000001</v>
      </c>
      <c r="L5180" s="195">
        <v>-2.0772140000000001</v>
      </c>
      <c r="M5180" s="195">
        <v>-1.8435950000000001</v>
      </c>
      <c r="N5180" s="195">
        <v>-1.6566559999999999</v>
      </c>
    </row>
    <row r="5181" spans="1:14" hidden="1" x14ac:dyDescent="0.35">
      <c r="A5181" s="52" t="s">
        <v>685</v>
      </c>
      <c r="B5181" s="52" t="s">
        <v>37</v>
      </c>
      <c r="C5181" s="52" t="s">
        <v>35</v>
      </c>
      <c r="D5181" s="52" t="s">
        <v>36</v>
      </c>
      <c r="E5181" s="52" t="s">
        <v>587</v>
      </c>
      <c r="F5181" s="52" t="s">
        <v>26</v>
      </c>
      <c r="G5181" s="195" t="s">
        <v>276</v>
      </c>
      <c r="H5181" s="195">
        <v>-0.87738099999999997</v>
      </c>
      <c r="I5181" s="195">
        <v>-0.64511779999999996</v>
      </c>
      <c r="J5181" s="195">
        <v>-0.52968999999999999</v>
      </c>
      <c r="K5181" s="195">
        <v>-0.50299859999999996</v>
      </c>
      <c r="L5181" s="195">
        <v>-0.55217119999999997</v>
      </c>
      <c r="M5181" s="195">
        <v>-0.4900698</v>
      </c>
      <c r="N5181" s="195">
        <v>-0.44037739999999997</v>
      </c>
    </row>
    <row r="5182" spans="1:14" hidden="1" x14ac:dyDescent="0.35">
      <c r="A5182" s="52" t="s">
        <v>685</v>
      </c>
      <c r="B5182" s="52" t="s">
        <v>37</v>
      </c>
      <c r="C5182" s="52" t="s">
        <v>35</v>
      </c>
      <c r="D5182" s="52" t="s">
        <v>36</v>
      </c>
      <c r="E5182" s="52" t="s">
        <v>587</v>
      </c>
      <c r="F5182" s="52" t="s">
        <v>26</v>
      </c>
      <c r="G5182" s="195" t="s">
        <v>279</v>
      </c>
      <c r="H5182" s="195">
        <v>8.3830019999999994</v>
      </c>
      <c r="I5182" s="195">
        <v>5.5123620000000004</v>
      </c>
      <c r="J5182" s="195">
        <v>4.7285389999999996</v>
      </c>
      <c r="K5182" s="195">
        <v>4.3842980000000003</v>
      </c>
      <c r="L5182" s="195">
        <v>4.4219429999999997</v>
      </c>
      <c r="M5182" s="195">
        <v>3.9524279999999998</v>
      </c>
      <c r="N5182" s="195">
        <v>3.5551089999999999</v>
      </c>
    </row>
    <row r="5183" spans="1:14" hidden="1" x14ac:dyDescent="0.35">
      <c r="A5183" s="52" t="s">
        <v>685</v>
      </c>
      <c r="B5183" s="52" t="s">
        <v>37</v>
      </c>
      <c r="C5183" s="52" t="s">
        <v>35</v>
      </c>
      <c r="D5183" s="52" t="s">
        <v>129</v>
      </c>
      <c r="E5183" s="52" t="s">
        <v>580</v>
      </c>
      <c r="F5183" s="52" t="s">
        <v>581</v>
      </c>
      <c r="G5183" s="195" t="s">
        <v>275</v>
      </c>
      <c r="H5183" s="195">
        <v>-152.286</v>
      </c>
      <c r="I5183" s="195">
        <v>137.37569999999999</v>
      </c>
      <c r="J5183" s="195">
        <v>190.4769</v>
      </c>
      <c r="K5183" s="195">
        <v>197.10730000000001</v>
      </c>
      <c r="L5183" s="195">
        <v>148.27850000000001</v>
      </c>
      <c r="M5183" s="195">
        <v>76.430760000000006</v>
      </c>
      <c r="N5183" s="195">
        <v>62.265949999999997</v>
      </c>
    </row>
    <row r="5184" spans="1:14" hidden="1" x14ac:dyDescent="0.35">
      <c r="A5184" s="52" t="s">
        <v>685</v>
      </c>
      <c r="B5184" s="52" t="s">
        <v>37</v>
      </c>
      <c r="C5184" s="52" t="s">
        <v>35</v>
      </c>
      <c r="D5184" s="52" t="s">
        <v>129</v>
      </c>
      <c r="E5184" s="52" t="s">
        <v>580</v>
      </c>
      <c r="F5184" s="52" t="s">
        <v>581</v>
      </c>
      <c r="G5184" s="195" t="s">
        <v>276</v>
      </c>
      <c r="H5184" s="195">
        <v>57.953319999999998</v>
      </c>
      <c r="I5184" s="195">
        <v>-70.36121</v>
      </c>
      <c r="J5184" s="195">
        <v>-108.76819999999999</v>
      </c>
      <c r="K5184" s="195">
        <v>-106.7099</v>
      </c>
      <c r="L5184" s="195">
        <v>-68.885409999999993</v>
      </c>
      <c r="M5184" s="195">
        <v>5.8044849999999997</v>
      </c>
      <c r="N5184" s="195">
        <v>10.00432</v>
      </c>
    </row>
    <row r="5185" spans="1:14" hidden="1" x14ac:dyDescent="0.35">
      <c r="A5185" s="52" t="s">
        <v>685</v>
      </c>
      <c r="B5185" s="52" t="s">
        <v>37</v>
      </c>
      <c r="C5185" s="52" t="s">
        <v>35</v>
      </c>
      <c r="D5185" s="52" t="s">
        <v>129</v>
      </c>
      <c r="E5185" s="52" t="s">
        <v>580</v>
      </c>
      <c r="F5185" s="52" t="s">
        <v>581</v>
      </c>
      <c r="G5185" s="195" t="s">
        <v>277</v>
      </c>
      <c r="H5185" s="195">
        <v>971.62720000000002</v>
      </c>
      <c r="I5185" s="195">
        <v>112.066</v>
      </c>
      <c r="J5185" s="195">
        <v>12.31094</v>
      </c>
      <c r="K5185" s="195">
        <v>4.8053679999999996</v>
      </c>
      <c r="L5185" s="195">
        <v>2.5889310000000001</v>
      </c>
      <c r="M5185" s="195">
        <v>3.1592980000000002</v>
      </c>
      <c r="N5185" s="195">
        <v>3.1871480000000001</v>
      </c>
    </row>
    <row r="5186" spans="1:14" hidden="1" x14ac:dyDescent="0.35">
      <c r="A5186" s="52" t="s">
        <v>685</v>
      </c>
      <c r="B5186" s="52" t="s">
        <v>37</v>
      </c>
      <c r="C5186" s="52" t="s">
        <v>35</v>
      </c>
      <c r="D5186" s="52" t="s">
        <v>129</v>
      </c>
      <c r="E5186" s="52" t="s">
        <v>580</v>
      </c>
      <c r="F5186" s="52" t="s">
        <v>581</v>
      </c>
      <c r="G5186" s="195" t="s">
        <v>278</v>
      </c>
      <c r="H5186" s="195">
        <v>0.46668799999999999</v>
      </c>
      <c r="I5186" s="195">
        <v>0.34443400000000002</v>
      </c>
      <c r="J5186" s="195">
        <v>41.834049999999998</v>
      </c>
      <c r="K5186" s="195">
        <v>27.437349999999999</v>
      </c>
      <c r="L5186" s="195">
        <v>15.34975</v>
      </c>
      <c r="M5186" s="195">
        <v>1.8284480000000001</v>
      </c>
      <c r="N5186" s="195">
        <v>1.741592</v>
      </c>
    </row>
    <row r="5187" spans="1:14" hidden="1" x14ac:dyDescent="0.35">
      <c r="A5187" s="52" t="s">
        <v>685</v>
      </c>
      <c r="B5187" s="52" t="s">
        <v>37</v>
      </c>
      <c r="C5187" s="52" t="s">
        <v>35</v>
      </c>
      <c r="D5187" s="52" t="s">
        <v>129</v>
      </c>
      <c r="E5187" s="52" t="s">
        <v>580</v>
      </c>
      <c r="F5187" s="52" t="s">
        <v>581</v>
      </c>
      <c r="G5187" s="195" t="s">
        <v>279</v>
      </c>
      <c r="H5187" s="195">
        <v>269.50310000000002</v>
      </c>
      <c r="I5187" s="195">
        <v>157.43520000000001</v>
      </c>
      <c r="J5187" s="195">
        <v>136.39830000000001</v>
      </c>
      <c r="K5187" s="195">
        <v>125.82</v>
      </c>
      <c r="L5187" s="195">
        <v>125.2234</v>
      </c>
      <c r="M5187" s="195">
        <v>107.9568</v>
      </c>
      <c r="N5187" s="195">
        <v>94.823790000000002</v>
      </c>
    </row>
    <row r="5188" spans="1:14" hidden="1" x14ac:dyDescent="0.35">
      <c r="A5188" s="52" t="s">
        <v>685</v>
      </c>
      <c r="B5188" s="52" t="s">
        <v>37</v>
      </c>
      <c r="C5188" s="52" t="s">
        <v>35</v>
      </c>
      <c r="D5188" s="52" t="s">
        <v>129</v>
      </c>
      <c r="E5188" s="52" t="s">
        <v>580</v>
      </c>
      <c r="F5188" s="52" t="s">
        <v>26</v>
      </c>
      <c r="G5188" s="195" t="s">
        <v>275</v>
      </c>
      <c r="H5188" s="195">
        <v>1.7289570000000001</v>
      </c>
      <c r="I5188" s="195">
        <v>-0.57195030000000002</v>
      </c>
      <c r="J5188" s="195">
        <v>-0.425539</v>
      </c>
      <c r="K5188" s="195">
        <v>-1.419786</v>
      </c>
      <c r="L5188" s="195">
        <v>-3.0478459999999998</v>
      </c>
      <c r="M5188" s="195">
        <v>-2.5449950000000001</v>
      </c>
      <c r="N5188" s="195">
        <v>-2.259026</v>
      </c>
    </row>
    <row r="5189" spans="1:14" hidden="1" x14ac:dyDescent="0.35">
      <c r="A5189" s="52" t="s">
        <v>685</v>
      </c>
      <c r="B5189" s="52" t="s">
        <v>37</v>
      </c>
      <c r="C5189" s="52" t="s">
        <v>35</v>
      </c>
      <c r="D5189" s="52" t="s">
        <v>129</v>
      </c>
      <c r="E5189" s="52" t="s">
        <v>580</v>
      </c>
      <c r="F5189" s="52" t="s">
        <v>26</v>
      </c>
      <c r="G5189" s="195" t="s">
        <v>276</v>
      </c>
      <c r="H5189" s="195">
        <v>0.45961289999999999</v>
      </c>
      <c r="I5189" s="195">
        <v>-0.15202830000000001</v>
      </c>
      <c r="J5189" s="195">
        <v>-0.11311649999999999</v>
      </c>
      <c r="K5189" s="195">
        <v>-0.37740020000000002</v>
      </c>
      <c r="L5189" s="195">
        <v>-0.81018760000000001</v>
      </c>
      <c r="M5189" s="195">
        <v>-0.67652140000000005</v>
      </c>
      <c r="N5189" s="195">
        <v>-0.60050680000000001</v>
      </c>
    </row>
    <row r="5190" spans="1:14" hidden="1" x14ac:dyDescent="0.35">
      <c r="A5190" s="52" t="s">
        <v>685</v>
      </c>
      <c r="B5190" s="52" t="s">
        <v>37</v>
      </c>
      <c r="C5190" s="52" t="s">
        <v>35</v>
      </c>
      <c r="D5190" s="52" t="s">
        <v>129</v>
      </c>
      <c r="E5190" s="52" t="s">
        <v>580</v>
      </c>
      <c r="F5190" s="52" t="s">
        <v>26</v>
      </c>
      <c r="G5190" s="195" t="s">
        <v>279</v>
      </c>
      <c r="H5190" s="195">
        <v>28.453710000000001</v>
      </c>
      <c r="I5190" s="195">
        <v>24.07536</v>
      </c>
      <c r="J5190" s="195">
        <v>21.98359</v>
      </c>
      <c r="K5190" s="195">
        <v>20.90945</v>
      </c>
      <c r="L5190" s="195">
        <v>20.861540000000002</v>
      </c>
      <c r="M5190" s="195">
        <v>18.019390000000001</v>
      </c>
      <c r="N5190" s="195">
        <v>15.85093</v>
      </c>
    </row>
    <row r="5191" spans="1:14" hidden="1" x14ac:dyDescent="0.35">
      <c r="A5191" s="52" t="s">
        <v>687</v>
      </c>
      <c r="B5191" s="52" t="s">
        <v>160</v>
      </c>
      <c r="C5191" s="52" t="s">
        <v>159</v>
      </c>
      <c r="D5191" s="52" t="s">
        <v>159</v>
      </c>
      <c r="E5191" s="52" t="s">
        <v>584</v>
      </c>
      <c r="F5191" s="52" t="s">
        <v>581</v>
      </c>
      <c r="G5191" s="195" t="s">
        <v>275</v>
      </c>
      <c r="H5191" s="195">
        <v>419.33960000000002</v>
      </c>
      <c r="I5191" s="195">
        <v>219.5658</v>
      </c>
      <c r="J5191" s="195">
        <v>218.35720000000001</v>
      </c>
      <c r="K5191" s="195">
        <v>117.4547</v>
      </c>
      <c r="L5191" s="195">
        <v>6.6850569999999996</v>
      </c>
      <c r="M5191" s="195">
        <v>-0.867178</v>
      </c>
      <c r="N5191" s="195">
        <v>-86.947400000000002</v>
      </c>
    </row>
    <row r="5192" spans="1:14" hidden="1" x14ac:dyDescent="0.35">
      <c r="A5192" s="52" t="s">
        <v>687</v>
      </c>
      <c r="B5192" s="52" t="s">
        <v>160</v>
      </c>
      <c r="C5192" s="52" t="s">
        <v>159</v>
      </c>
      <c r="D5192" s="52" t="s">
        <v>159</v>
      </c>
      <c r="E5192" s="52" t="s">
        <v>584</v>
      </c>
      <c r="F5192" s="52" t="s">
        <v>581</v>
      </c>
      <c r="G5192" s="195" t="s">
        <v>276</v>
      </c>
      <c r="H5192" s="195">
        <v>532.41700000000003</v>
      </c>
      <c r="I5192" s="195">
        <v>81.739649999999997</v>
      </c>
      <c r="J5192" s="195">
        <v>72.950980000000001</v>
      </c>
      <c r="K5192" s="195">
        <v>62.925020000000004</v>
      </c>
      <c r="L5192" s="195">
        <v>90.049099999999996</v>
      </c>
      <c r="M5192" s="195">
        <v>122.6186</v>
      </c>
      <c r="N5192" s="195">
        <v>124.0796</v>
      </c>
    </row>
    <row r="5193" spans="1:14" hidden="1" x14ac:dyDescent="0.35">
      <c r="A5193" s="52" t="s">
        <v>687</v>
      </c>
      <c r="B5193" s="52" t="s">
        <v>160</v>
      </c>
      <c r="C5193" s="52" t="s">
        <v>159</v>
      </c>
      <c r="D5193" s="52" t="s">
        <v>159</v>
      </c>
      <c r="E5193" s="52" t="s">
        <v>584</v>
      </c>
      <c r="F5193" s="52" t="s">
        <v>581</v>
      </c>
      <c r="G5193" s="195" t="s">
        <v>277</v>
      </c>
      <c r="H5193" s="195">
        <v>164.18799999999999</v>
      </c>
      <c r="I5193" s="195">
        <v>118.2869</v>
      </c>
      <c r="J5193" s="195">
        <v>115.20440000000001</v>
      </c>
      <c r="K5193" s="195">
        <v>199.81620000000001</v>
      </c>
      <c r="L5193" s="195">
        <v>316.27879999999999</v>
      </c>
      <c r="M5193" s="195">
        <v>317.10570000000001</v>
      </c>
      <c r="N5193" s="195">
        <v>358.4769</v>
      </c>
    </row>
    <row r="5194" spans="1:14" hidden="1" x14ac:dyDescent="0.35">
      <c r="A5194" s="52" t="s">
        <v>687</v>
      </c>
      <c r="B5194" s="52" t="s">
        <v>160</v>
      </c>
      <c r="C5194" s="52" t="s">
        <v>159</v>
      </c>
      <c r="D5194" s="52" t="s">
        <v>159</v>
      </c>
      <c r="E5194" s="52" t="s">
        <v>584</v>
      </c>
      <c r="F5194" s="52" t="s">
        <v>581</v>
      </c>
      <c r="G5194" s="195" t="s">
        <v>278</v>
      </c>
      <c r="H5194" s="195">
        <v>24.440290000000001</v>
      </c>
      <c r="I5194" s="195">
        <v>11.117050000000001</v>
      </c>
      <c r="J5194" s="195">
        <v>5.5099820000000001E-2</v>
      </c>
      <c r="K5194" s="195">
        <v>8.9008430000000001</v>
      </c>
      <c r="L5194" s="195">
        <v>0.49289240000000001</v>
      </c>
      <c r="M5194" s="195">
        <v>0.97709809999999997</v>
      </c>
      <c r="N5194" s="195">
        <v>7.7760869999999996E-2</v>
      </c>
    </row>
    <row r="5195" spans="1:14" hidden="1" x14ac:dyDescent="0.35">
      <c r="A5195" s="52" t="s">
        <v>687</v>
      </c>
      <c r="B5195" s="52" t="s">
        <v>160</v>
      </c>
      <c r="C5195" s="52" t="s">
        <v>159</v>
      </c>
      <c r="D5195" s="52" t="s">
        <v>159</v>
      </c>
      <c r="E5195" s="52" t="s">
        <v>584</v>
      </c>
      <c r="F5195" s="52" t="s">
        <v>581</v>
      </c>
      <c r="G5195" s="195" t="s">
        <v>279</v>
      </c>
      <c r="H5195" s="195">
        <v>348.31139999999999</v>
      </c>
      <c r="I5195" s="195">
        <v>254.2971</v>
      </c>
      <c r="J5195" s="195">
        <v>266.11869999999999</v>
      </c>
      <c r="K5195" s="195">
        <v>295.08859999999999</v>
      </c>
      <c r="L5195" s="195">
        <v>318.0641</v>
      </c>
      <c r="M5195" s="195">
        <v>343.70609999999999</v>
      </c>
      <c r="N5195" s="195">
        <v>386.49029999999999</v>
      </c>
    </row>
    <row r="5196" spans="1:14" hidden="1" x14ac:dyDescent="0.35">
      <c r="A5196" s="52" t="s">
        <v>687</v>
      </c>
      <c r="B5196" s="52" t="s">
        <v>160</v>
      </c>
      <c r="C5196" s="52" t="s">
        <v>159</v>
      </c>
      <c r="D5196" s="52" t="s">
        <v>159</v>
      </c>
      <c r="E5196" s="52" t="s">
        <v>584</v>
      </c>
      <c r="F5196" s="52" t="s">
        <v>26</v>
      </c>
      <c r="G5196" s="195" t="s">
        <v>275</v>
      </c>
      <c r="H5196" s="195">
        <v>31.997499999999999</v>
      </c>
      <c r="I5196" s="195">
        <v>21.322769999999998</v>
      </c>
      <c r="J5196" s="195">
        <v>13.642060000000001</v>
      </c>
      <c r="K5196" s="195">
        <v>11.514810000000001</v>
      </c>
      <c r="L5196" s="195">
        <v>11.16231</v>
      </c>
      <c r="M5196" s="195">
        <v>9.2212709999999998</v>
      </c>
      <c r="N5196" s="195">
        <v>6.9615809999999998</v>
      </c>
    </row>
    <row r="5197" spans="1:14" hidden="1" x14ac:dyDescent="0.35">
      <c r="A5197" s="52" t="s">
        <v>687</v>
      </c>
      <c r="B5197" s="52" t="s">
        <v>160</v>
      </c>
      <c r="C5197" s="52" t="s">
        <v>159</v>
      </c>
      <c r="D5197" s="52" t="s">
        <v>159</v>
      </c>
      <c r="E5197" s="52" t="s">
        <v>584</v>
      </c>
      <c r="F5197" s="52" t="s">
        <v>26</v>
      </c>
      <c r="G5197" s="195" t="s">
        <v>276</v>
      </c>
      <c r="H5197" s="195">
        <v>22.176729999999999</v>
      </c>
      <c r="I5197" s="195">
        <v>7.4628490000000003</v>
      </c>
      <c r="J5197" s="195">
        <v>-2.2121379999999999</v>
      </c>
      <c r="K5197" s="195">
        <v>-3.9715150000000001</v>
      </c>
      <c r="L5197" s="195">
        <v>-3.310101</v>
      </c>
      <c r="M5197" s="195">
        <v>-0.63134800000000002</v>
      </c>
      <c r="N5197" s="195">
        <v>1.6426000000000001</v>
      </c>
    </row>
    <row r="5198" spans="1:14" hidden="1" x14ac:dyDescent="0.35">
      <c r="A5198" s="52" t="s">
        <v>687</v>
      </c>
      <c r="B5198" s="52" t="s">
        <v>160</v>
      </c>
      <c r="C5198" s="52" t="s">
        <v>159</v>
      </c>
      <c r="D5198" s="52" t="s">
        <v>159</v>
      </c>
      <c r="E5198" s="52" t="s">
        <v>584</v>
      </c>
      <c r="F5198" s="52" t="s">
        <v>26</v>
      </c>
      <c r="G5198" s="195" t="s">
        <v>277</v>
      </c>
      <c r="H5198" s="195">
        <v>0.83976759999999995</v>
      </c>
      <c r="I5198" s="195">
        <v>1.136117</v>
      </c>
      <c r="J5198" s="195">
        <v>1.383575</v>
      </c>
      <c r="K5198" s="195">
        <v>1.415562</v>
      </c>
      <c r="L5198" s="195">
        <v>1.5833330000000001</v>
      </c>
      <c r="M5198" s="195">
        <v>1.695165</v>
      </c>
      <c r="N5198" s="195">
        <v>1.774748</v>
      </c>
    </row>
    <row r="5199" spans="1:14" hidden="1" x14ac:dyDescent="0.35">
      <c r="A5199" s="52" t="s">
        <v>687</v>
      </c>
      <c r="B5199" s="52" t="s">
        <v>160</v>
      </c>
      <c r="C5199" s="52" t="s">
        <v>159</v>
      </c>
      <c r="D5199" s="52" t="s">
        <v>159</v>
      </c>
      <c r="E5199" s="52" t="s">
        <v>584</v>
      </c>
      <c r="F5199" s="52" t="s">
        <v>26</v>
      </c>
      <c r="G5199" s="195" t="s">
        <v>279</v>
      </c>
      <c r="H5199" s="195">
        <v>24.03837</v>
      </c>
      <c r="I5199" s="195">
        <v>18.674949999999999</v>
      </c>
      <c r="J5199" s="195">
        <v>23.856280000000002</v>
      </c>
      <c r="K5199" s="195">
        <v>28.987380000000002</v>
      </c>
      <c r="L5199" s="195">
        <v>31.15842</v>
      </c>
      <c r="M5199" s="195">
        <v>35.073360000000001</v>
      </c>
      <c r="N5199" s="195">
        <v>34.909520000000001</v>
      </c>
    </row>
    <row r="5200" spans="1:14" hidden="1" x14ac:dyDescent="0.35">
      <c r="A5200" s="52" t="s">
        <v>687</v>
      </c>
      <c r="B5200" s="52" t="s">
        <v>160</v>
      </c>
      <c r="C5200" s="52" t="s">
        <v>309</v>
      </c>
      <c r="D5200" s="52" t="s">
        <v>689</v>
      </c>
      <c r="E5200" s="52" t="s">
        <v>584</v>
      </c>
      <c r="F5200" s="52" t="s">
        <v>581</v>
      </c>
      <c r="G5200" s="195" t="s">
        <v>275</v>
      </c>
      <c r="H5200" s="195">
        <v>0.48394569999999998</v>
      </c>
      <c r="I5200" s="195">
        <v>0.12895010000000001</v>
      </c>
      <c r="J5200" s="195">
        <v>0.1202063</v>
      </c>
      <c r="K5200" s="195">
        <v>-9.4768809999999995E-2</v>
      </c>
      <c r="L5200" s="195">
        <v>4.5476549999999998E-2</v>
      </c>
      <c r="M5200" s="195">
        <v>0</v>
      </c>
      <c r="N5200" s="195"/>
    </row>
    <row r="5201" spans="1:14" hidden="1" x14ac:dyDescent="0.35">
      <c r="A5201" s="52" t="s">
        <v>687</v>
      </c>
      <c r="B5201" s="52" t="s">
        <v>160</v>
      </c>
      <c r="C5201" s="52" t="s">
        <v>309</v>
      </c>
      <c r="D5201" s="52" t="s">
        <v>689</v>
      </c>
      <c r="E5201" s="52" t="s">
        <v>584</v>
      </c>
      <c r="F5201" s="52" t="s">
        <v>581</v>
      </c>
      <c r="G5201" s="195" t="s">
        <v>276</v>
      </c>
      <c r="H5201" s="195">
        <v>0.25390990000000002</v>
      </c>
      <c r="I5201" s="195">
        <v>2.891896E-2</v>
      </c>
      <c r="J5201" s="195">
        <v>-2.8973280000000001E-2</v>
      </c>
      <c r="K5201" s="195">
        <v>-0.1177242</v>
      </c>
      <c r="L5201" s="195">
        <v>-4.5476549999999998E-2</v>
      </c>
      <c r="M5201" s="195">
        <v>0</v>
      </c>
      <c r="N5201" s="195"/>
    </row>
    <row r="5202" spans="1:14" hidden="1" x14ac:dyDescent="0.35">
      <c r="A5202" s="52" t="s">
        <v>687</v>
      </c>
      <c r="B5202" s="52" t="s">
        <v>160</v>
      </c>
      <c r="C5202" s="52" t="s">
        <v>309</v>
      </c>
      <c r="D5202" s="52" t="s">
        <v>689</v>
      </c>
      <c r="E5202" s="52" t="s">
        <v>584</v>
      </c>
      <c r="F5202" s="52" t="s">
        <v>581</v>
      </c>
      <c r="G5202" s="195" t="s">
        <v>277</v>
      </c>
      <c r="H5202" s="195">
        <v>0.28328409999999998</v>
      </c>
      <c r="I5202" s="195">
        <v>0.19827990000000001</v>
      </c>
      <c r="J5202" s="195">
        <v>0</v>
      </c>
      <c r="K5202" s="195"/>
      <c r="L5202" s="195"/>
      <c r="M5202" s="195"/>
      <c r="N5202" s="195"/>
    </row>
    <row r="5203" spans="1:14" hidden="1" x14ac:dyDescent="0.35">
      <c r="A5203" s="52" t="s">
        <v>687</v>
      </c>
      <c r="B5203" s="52" t="s">
        <v>160</v>
      </c>
      <c r="C5203" s="52" t="s">
        <v>309</v>
      </c>
      <c r="D5203" s="52" t="s">
        <v>689</v>
      </c>
      <c r="E5203" s="52" t="s">
        <v>584</v>
      </c>
      <c r="F5203" s="52" t="s">
        <v>581</v>
      </c>
      <c r="G5203" s="195" t="s">
        <v>279</v>
      </c>
      <c r="H5203" s="195">
        <v>0.19581589999999999</v>
      </c>
      <c r="I5203" s="195">
        <v>0.1003923</v>
      </c>
      <c r="J5203" s="195">
        <v>2.8282939999999999E-2</v>
      </c>
      <c r="K5203" s="195">
        <v>0.21249309999999999</v>
      </c>
      <c r="L5203" s="195">
        <v>0</v>
      </c>
      <c r="M5203" s="195"/>
      <c r="N5203" s="195"/>
    </row>
    <row r="5204" spans="1:14" hidden="1" x14ac:dyDescent="0.35">
      <c r="A5204" s="52" t="s">
        <v>687</v>
      </c>
      <c r="B5204" s="52" t="s">
        <v>160</v>
      </c>
      <c r="C5204" s="52" t="s">
        <v>309</v>
      </c>
      <c r="D5204" s="52" t="s">
        <v>689</v>
      </c>
      <c r="E5204" s="52" t="s">
        <v>584</v>
      </c>
      <c r="F5204" s="52" t="s">
        <v>26</v>
      </c>
      <c r="G5204" s="195" t="s">
        <v>275</v>
      </c>
      <c r="H5204" s="195">
        <v>0.84386360000000005</v>
      </c>
      <c r="I5204" s="195">
        <v>0.39273740000000001</v>
      </c>
      <c r="J5204" s="195">
        <v>0.29530699999999999</v>
      </c>
      <c r="K5204" s="195">
        <v>-7.3748159999999993E-2</v>
      </c>
      <c r="L5204" s="195">
        <v>0.17939459999999999</v>
      </c>
      <c r="M5204" s="195">
        <v>0</v>
      </c>
      <c r="N5204" s="195"/>
    </row>
    <row r="5205" spans="1:14" hidden="1" x14ac:dyDescent="0.35">
      <c r="A5205" s="52" t="s">
        <v>687</v>
      </c>
      <c r="B5205" s="52" t="s">
        <v>160</v>
      </c>
      <c r="C5205" s="52" t="s">
        <v>309</v>
      </c>
      <c r="D5205" s="52" t="s">
        <v>689</v>
      </c>
      <c r="E5205" s="52" t="s">
        <v>584</v>
      </c>
      <c r="F5205" s="52" t="s">
        <v>26</v>
      </c>
      <c r="G5205" s="195" t="s">
        <v>276</v>
      </c>
      <c r="H5205" s="195">
        <v>-0.84386360000000005</v>
      </c>
      <c r="I5205" s="195">
        <v>-0.39273740000000001</v>
      </c>
      <c r="J5205" s="195">
        <v>-0.24026069999999999</v>
      </c>
      <c r="K5205" s="195">
        <v>-0.31952170000000002</v>
      </c>
      <c r="L5205" s="195">
        <v>-0.17939459999999999</v>
      </c>
      <c r="M5205" s="195">
        <v>0</v>
      </c>
      <c r="N5205" s="195"/>
    </row>
    <row r="5206" spans="1:14" hidden="1" x14ac:dyDescent="0.35">
      <c r="A5206" s="52" t="s">
        <v>687</v>
      </c>
      <c r="B5206" s="52" t="s">
        <v>160</v>
      </c>
      <c r="C5206" s="52" t="s">
        <v>309</v>
      </c>
      <c r="D5206" s="52" t="s">
        <v>689</v>
      </c>
      <c r="E5206" s="52" t="s">
        <v>584</v>
      </c>
      <c r="F5206" s="52" t="s">
        <v>26</v>
      </c>
      <c r="G5206" s="195" t="s">
        <v>279</v>
      </c>
      <c r="H5206" s="195"/>
      <c r="I5206" s="195">
        <v>0</v>
      </c>
      <c r="J5206" s="195">
        <v>6.2885200000000002E-2</v>
      </c>
      <c r="K5206" s="195">
        <v>0.3932698</v>
      </c>
      <c r="L5206" s="195">
        <v>0</v>
      </c>
      <c r="M5206" s="195"/>
      <c r="N5206" s="195"/>
    </row>
    <row r="5207" spans="1:14" hidden="1" x14ac:dyDescent="0.35">
      <c r="A5207" s="52" t="s">
        <v>687</v>
      </c>
      <c r="B5207" s="52" t="s">
        <v>160</v>
      </c>
      <c r="C5207" s="52" t="s">
        <v>309</v>
      </c>
      <c r="D5207" s="52" t="s">
        <v>310</v>
      </c>
      <c r="E5207" s="52" t="s">
        <v>584</v>
      </c>
      <c r="F5207" s="52" t="s">
        <v>581</v>
      </c>
      <c r="G5207" s="195" t="s">
        <v>275</v>
      </c>
      <c r="H5207" s="195">
        <v>1.784913</v>
      </c>
      <c r="I5207" s="195">
        <v>2.220653</v>
      </c>
      <c r="J5207" s="195">
        <v>1.555458</v>
      </c>
      <c r="K5207" s="195">
        <v>1.554494</v>
      </c>
      <c r="L5207" s="195">
        <v>0.56445520000000005</v>
      </c>
      <c r="M5207" s="195">
        <v>-8.4928199999999999E-3</v>
      </c>
      <c r="N5207" s="195">
        <v>-8.5138200000000001E-3</v>
      </c>
    </row>
    <row r="5208" spans="1:14" hidden="1" x14ac:dyDescent="0.35">
      <c r="A5208" s="52" t="s">
        <v>687</v>
      </c>
      <c r="B5208" s="52" t="s">
        <v>160</v>
      </c>
      <c r="C5208" s="52" t="s">
        <v>309</v>
      </c>
      <c r="D5208" s="52" t="s">
        <v>310</v>
      </c>
      <c r="E5208" s="52" t="s">
        <v>584</v>
      </c>
      <c r="F5208" s="52" t="s">
        <v>581</v>
      </c>
      <c r="G5208" s="195" t="s">
        <v>276</v>
      </c>
      <c r="H5208" s="195">
        <v>-2.3707799999999999</v>
      </c>
      <c r="I5208" s="195">
        <v>-2.3685160000000001</v>
      </c>
      <c r="J5208" s="195">
        <v>-1.0828420000000001</v>
      </c>
      <c r="K5208" s="195">
        <v>-1.086584</v>
      </c>
      <c r="L5208" s="195">
        <v>-6.8411719999999995E-2</v>
      </c>
      <c r="M5208" s="195">
        <v>-0.1620752</v>
      </c>
      <c r="N5208" s="195">
        <v>-0.18096970000000001</v>
      </c>
    </row>
    <row r="5209" spans="1:14" hidden="1" x14ac:dyDescent="0.35">
      <c r="A5209" s="52" t="s">
        <v>687</v>
      </c>
      <c r="B5209" s="52" t="s">
        <v>160</v>
      </c>
      <c r="C5209" s="52" t="s">
        <v>309</v>
      </c>
      <c r="D5209" s="52" t="s">
        <v>310</v>
      </c>
      <c r="E5209" s="52" t="s">
        <v>584</v>
      </c>
      <c r="F5209" s="52" t="s">
        <v>581</v>
      </c>
      <c r="G5209" s="195" t="s">
        <v>277</v>
      </c>
      <c r="H5209" s="195"/>
      <c r="I5209" s="195"/>
      <c r="J5209" s="195"/>
      <c r="K5209" s="195">
        <v>0</v>
      </c>
      <c r="L5209" s="195">
        <v>5.0903999999999999E-4</v>
      </c>
      <c r="M5209" s="195">
        <v>1.5271200000000001E-3</v>
      </c>
      <c r="N5209" s="195">
        <v>2.6472740000000002E-2</v>
      </c>
    </row>
    <row r="5210" spans="1:14" hidden="1" x14ac:dyDescent="0.35">
      <c r="A5210" s="52" t="s">
        <v>687</v>
      </c>
      <c r="B5210" s="52" t="s">
        <v>160</v>
      </c>
      <c r="C5210" s="52" t="s">
        <v>309</v>
      </c>
      <c r="D5210" s="52" t="s">
        <v>310</v>
      </c>
      <c r="E5210" s="52" t="s">
        <v>584</v>
      </c>
      <c r="F5210" s="52" t="s">
        <v>581</v>
      </c>
      <c r="G5210" s="195" t="s">
        <v>278</v>
      </c>
      <c r="H5210" s="195">
        <v>0.58586720000000003</v>
      </c>
      <c r="I5210" s="195">
        <v>0.14786299999999999</v>
      </c>
      <c r="J5210" s="195">
        <v>9.4062339999999994E-2</v>
      </c>
      <c r="K5210" s="195">
        <v>9.8260920000000002E-2</v>
      </c>
      <c r="L5210" s="195">
        <v>6.9110740000000004E-2</v>
      </c>
      <c r="M5210" s="195">
        <v>0.17277719999999999</v>
      </c>
      <c r="N5210" s="195">
        <v>0.1662399</v>
      </c>
    </row>
    <row r="5211" spans="1:14" hidden="1" x14ac:dyDescent="0.35">
      <c r="A5211" s="52" t="s">
        <v>687</v>
      </c>
      <c r="B5211" s="52" t="s">
        <v>160</v>
      </c>
      <c r="C5211" s="52" t="s">
        <v>309</v>
      </c>
      <c r="D5211" s="52" t="s">
        <v>310</v>
      </c>
      <c r="E5211" s="52" t="s">
        <v>584</v>
      </c>
      <c r="F5211" s="52" t="s">
        <v>581</v>
      </c>
      <c r="G5211" s="195" t="s">
        <v>279</v>
      </c>
      <c r="H5211" s="195"/>
      <c r="I5211" s="195"/>
      <c r="J5211" s="195"/>
      <c r="K5211" s="195"/>
      <c r="L5211" s="195"/>
      <c r="M5211" s="195"/>
      <c r="N5211" s="195">
        <v>0</v>
      </c>
    </row>
    <row r="5212" spans="1:14" hidden="1" x14ac:dyDescent="0.35">
      <c r="A5212" s="52" t="s">
        <v>687</v>
      </c>
      <c r="B5212" s="52" t="s">
        <v>160</v>
      </c>
      <c r="C5212" s="52" t="s">
        <v>309</v>
      </c>
      <c r="D5212" s="52" t="s">
        <v>310</v>
      </c>
      <c r="E5212" s="52" t="s">
        <v>584</v>
      </c>
      <c r="F5212" s="52" t="s">
        <v>26</v>
      </c>
      <c r="G5212" s="195" t="s">
        <v>275</v>
      </c>
      <c r="H5212" s="195"/>
      <c r="I5212" s="195"/>
      <c r="J5212" s="195"/>
      <c r="K5212" s="195"/>
      <c r="L5212" s="195"/>
      <c r="M5212" s="195"/>
      <c r="N5212" s="195">
        <v>0</v>
      </c>
    </row>
    <row r="5213" spans="1:14" hidden="1" x14ac:dyDescent="0.35">
      <c r="A5213" s="52" t="s">
        <v>687</v>
      </c>
      <c r="B5213" s="52" t="s">
        <v>160</v>
      </c>
      <c r="C5213" s="52" t="s">
        <v>309</v>
      </c>
      <c r="D5213" s="52" t="s">
        <v>310</v>
      </c>
      <c r="E5213" s="52" t="s">
        <v>584</v>
      </c>
      <c r="F5213" s="52" t="s">
        <v>26</v>
      </c>
      <c r="G5213" s="195" t="s">
        <v>276</v>
      </c>
      <c r="H5213" s="195"/>
      <c r="I5213" s="195"/>
      <c r="J5213" s="195"/>
      <c r="K5213" s="195"/>
      <c r="L5213" s="195"/>
      <c r="M5213" s="195"/>
      <c r="N5213" s="195">
        <v>0</v>
      </c>
    </row>
    <row r="5214" spans="1:14" hidden="1" x14ac:dyDescent="0.35">
      <c r="A5214" s="52" t="s">
        <v>687</v>
      </c>
      <c r="B5214" s="52" t="s">
        <v>160</v>
      </c>
      <c r="C5214" s="52" t="s">
        <v>309</v>
      </c>
      <c r="D5214" s="52" t="s">
        <v>310</v>
      </c>
      <c r="E5214" s="52" t="s">
        <v>584</v>
      </c>
      <c r="F5214" s="52" t="s">
        <v>26</v>
      </c>
      <c r="G5214" s="195" t="s">
        <v>279</v>
      </c>
      <c r="H5214" s="195"/>
      <c r="I5214" s="195"/>
      <c r="J5214" s="195"/>
      <c r="K5214" s="195"/>
      <c r="L5214" s="195"/>
      <c r="M5214" s="195"/>
      <c r="N5214" s="195">
        <v>0</v>
      </c>
    </row>
    <row r="5215" spans="1:14" hidden="1" x14ac:dyDescent="0.35">
      <c r="A5215" s="52" t="s">
        <v>687</v>
      </c>
      <c r="B5215" s="52" t="s">
        <v>160</v>
      </c>
      <c r="C5215" s="52" t="s">
        <v>298</v>
      </c>
      <c r="D5215" s="52" t="s">
        <v>688</v>
      </c>
      <c r="E5215" s="52" t="s">
        <v>584</v>
      </c>
      <c r="F5215" s="52" t="s">
        <v>581</v>
      </c>
      <c r="G5215" s="195" t="s">
        <v>275</v>
      </c>
      <c r="H5215" s="195">
        <v>1.6964170000000001</v>
      </c>
      <c r="I5215" s="195">
        <v>0.98457349999999999</v>
      </c>
      <c r="J5215" s="195">
        <v>0.90934919999999997</v>
      </c>
      <c r="K5215" s="195">
        <v>0.27942499999999998</v>
      </c>
      <c r="L5215" s="195">
        <v>0.19276199999999999</v>
      </c>
      <c r="M5215" s="195">
        <v>0.1683896</v>
      </c>
      <c r="N5215" s="195">
        <v>0.14168929999999999</v>
      </c>
    </row>
    <row r="5216" spans="1:14" hidden="1" x14ac:dyDescent="0.35">
      <c r="A5216" s="52" t="s">
        <v>687</v>
      </c>
      <c r="B5216" s="52" t="s">
        <v>160</v>
      </c>
      <c r="C5216" s="52" t="s">
        <v>298</v>
      </c>
      <c r="D5216" s="52" t="s">
        <v>688</v>
      </c>
      <c r="E5216" s="52" t="s">
        <v>584</v>
      </c>
      <c r="F5216" s="52" t="s">
        <v>581</v>
      </c>
      <c r="G5216" s="195" t="s">
        <v>276</v>
      </c>
      <c r="H5216" s="195">
        <v>-0.73309360000000001</v>
      </c>
      <c r="I5216" s="195">
        <v>-0.65266500000000005</v>
      </c>
      <c r="J5216" s="195">
        <v>-0.68998479999999995</v>
      </c>
      <c r="K5216" s="195">
        <v>-0.10279770000000001</v>
      </c>
      <c r="L5216" s="195">
        <v>-7.0195019999999997E-2</v>
      </c>
      <c r="M5216" s="195">
        <v>-7.9049110000000006E-2</v>
      </c>
      <c r="N5216" s="195">
        <v>-8.4349510000000003E-2</v>
      </c>
    </row>
    <row r="5217" spans="1:14" hidden="1" x14ac:dyDescent="0.35">
      <c r="A5217" s="52" t="s">
        <v>687</v>
      </c>
      <c r="B5217" s="52" t="s">
        <v>160</v>
      </c>
      <c r="C5217" s="52" t="s">
        <v>298</v>
      </c>
      <c r="D5217" s="52" t="s">
        <v>688</v>
      </c>
      <c r="E5217" s="52" t="s">
        <v>584</v>
      </c>
      <c r="F5217" s="52" t="s">
        <v>581</v>
      </c>
      <c r="G5217" s="195" t="s">
        <v>277</v>
      </c>
      <c r="H5217" s="195">
        <v>7.9592789999999997E-2</v>
      </c>
      <c r="I5217" s="195">
        <v>5.7919749999999999E-2</v>
      </c>
      <c r="J5217" s="195">
        <v>5.5357749999999997E-2</v>
      </c>
      <c r="K5217" s="195">
        <v>7.0777909999999999E-2</v>
      </c>
      <c r="L5217" s="195">
        <v>7.1648710000000004E-2</v>
      </c>
      <c r="M5217" s="195">
        <v>6.7868709999999999E-2</v>
      </c>
      <c r="N5217" s="195">
        <v>7.0852040000000005E-2</v>
      </c>
    </row>
    <row r="5218" spans="1:14" hidden="1" x14ac:dyDescent="0.35">
      <c r="A5218" s="52" t="s">
        <v>687</v>
      </c>
      <c r="B5218" s="52" t="s">
        <v>160</v>
      </c>
      <c r="C5218" s="52" t="s">
        <v>298</v>
      </c>
      <c r="D5218" s="52" t="s">
        <v>688</v>
      </c>
      <c r="E5218" s="52" t="s">
        <v>584</v>
      </c>
      <c r="F5218" s="52" t="s">
        <v>581</v>
      </c>
      <c r="G5218" s="195" t="s">
        <v>279</v>
      </c>
      <c r="H5218" s="195">
        <v>0.25021080000000001</v>
      </c>
      <c r="I5218" s="195">
        <v>0.15256330000000001</v>
      </c>
      <c r="J5218" s="195">
        <v>0.1206052</v>
      </c>
      <c r="K5218" s="195">
        <v>0.1318965</v>
      </c>
      <c r="L5218" s="195">
        <v>0.1035373</v>
      </c>
      <c r="M5218" s="195">
        <v>8.3807010000000001E-2</v>
      </c>
      <c r="N5218" s="195">
        <v>6.8336579999999994E-2</v>
      </c>
    </row>
    <row r="5219" spans="1:14" hidden="1" x14ac:dyDescent="0.35">
      <c r="A5219" s="52" t="s">
        <v>687</v>
      </c>
      <c r="B5219" s="52" t="s">
        <v>160</v>
      </c>
      <c r="C5219" s="52" t="s">
        <v>349</v>
      </c>
      <c r="D5219" s="52" t="s">
        <v>350</v>
      </c>
      <c r="E5219" s="52" t="s">
        <v>584</v>
      </c>
      <c r="F5219" s="52" t="s">
        <v>581</v>
      </c>
      <c r="G5219" s="195" t="s">
        <v>275</v>
      </c>
      <c r="H5219" s="195">
        <v>-7.4122800000000003E-2</v>
      </c>
      <c r="I5219" s="195">
        <v>-9.8895000000000007E-3</v>
      </c>
      <c r="J5219" s="195">
        <v>0</v>
      </c>
      <c r="K5219" s="195">
        <v>0</v>
      </c>
      <c r="L5219" s="195">
        <v>0</v>
      </c>
      <c r="M5219" s="195">
        <v>0</v>
      </c>
      <c r="N5219" s="195">
        <v>0</v>
      </c>
    </row>
    <row r="5220" spans="1:14" hidden="1" x14ac:dyDescent="0.35">
      <c r="A5220" s="52" t="s">
        <v>687</v>
      </c>
      <c r="B5220" s="52" t="s">
        <v>160</v>
      </c>
      <c r="C5220" s="52" t="s">
        <v>349</v>
      </c>
      <c r="D5220" s="52" t="s">
        <v>350</v>
      </c>
      <c r="E5220" s="52" t="s">
        <v>584</v>
      </c>
      <c r="F5220" s="52" t="s">
        <v>581</v>
      </c>
      <c r="G5220" s="195" t="s">
        <v>276</v>
      </c>
      <c r="H5220" s="195">
        <v>-1.0819499999999999E-2</v>
      </c>
      <c r="I5220" s="195">
        <v>-1.15484E-2</v>
      </c>
      <c r="J5220" s="195">
        <v>-1.4564799999999999E-2</v>
      </c>
      <c r="K5220" s="195">
        <v>-1.8363</v>
      </c>
      <c r="L5220" s="195">
        <v>-6.8626699999999999E-2</v>
      </c>
      <c r="M5220" s="195">
        <v>-6.0121099999999997E-2</v>
      </c>
      <c r="N5220" s="195">
        <v>-7.1085560000000001</v>
      </c>
    </row>
    <row r="5221" spans="1:14" hidden="1" x14ac:dyDescent="0.35">
      <c r="A5221" s="52" t="s">
        <v>687</v>
      </c>
      <c r="B5221" s="52" t="s">
        <v>160</v>
      </c>
      <c r="C5221" s="52" t="s">
        <v>349</v>
      </c>
      <c r="D5221" s="52" t="s">
        <v>350</v>
      </c>
      <c r="E5221" s="52" t="s">
        <v>584</v>
      </c>
      <c r="F5221" s="52" t="s">
        <v>581</v>
      </c>
      <c r="G5221" s="195" t="s">
        <v>278</v>
      </c>
      <c r="H5221" s="195">
        <v>8.4942299999999998E-2</v>
      </c>
      <c r="I5221" s="195">
        <v>2.1437999999999999E-2</v>
      </c>
      <c r="J5221" s="195">
        <v>1.4565E-2</v>
      </c>
      <c r="K5221" s="195">
        <v>1.8363</v>
      </c>
      <c r="L5221" s="195">
        <v>6.8626900000000005E-2</v>
      </c>
      <c r="M5221" s="195">
        <v>6.0121099999999997E-2</v>
      </c>
      <c r="N5221" s="195">
        <v>7.1085570000000002</v>
      </c>
    </row>
    <row r="5222" spans="1:14" hidden="1" x14ac:dyDescent="0.35">
      <c r="A5222" s="52" t="s">
        <v>687</v>
      </c>
      <c r="B5222" s="52" t="s">
        <v>160</v>
      </c>
      <c r="C5222" s="52" t="s">
        <v>846</v>
      </c>
      <c r="D5222" s="52" t="s">
        <v>847</v>
      </c>
      <c r="E5222" s="52" t="s">
        <v>584</v>
      </c>
      <c r="F5222" s="52" t="s">
        <v>581</v>
      </c>
      <c r="G5222" s="195" t="s">
        <v>275</v>
      </c>
      <c r="H5222" s="195">
        <v>-0.20057030000000001</v>
      </c>
      <c r="I5222" s="195">
        <v>-2.1514510000000001E-2</v>
      </c>
      <c r="J5222" s="195">
        <v>0</v>
      </c>
      <c r="K5222" s="195">
        <v>0</v>
      </c>
      <c r="L5222" s="195">
        <v>0</v>
      </c>
      <c r="M5222" s="195">
        <v>0</v>
      </c>
      <c r="N5222" s="195">
        <v>0</v>
      </c>
    </row>
    <row r="5223" spans="1:14" hidden="1" x14ac:dyDescent="0.35">
      <c r="A5223" s="52" t="s">
        <v>687</v>
      </c>
      <c r="B5223" s="52" t="s">
        <v>160</v>
      </c>
      <c r="C5223" s="52" t="s">
        <v>846</v>
      </c>
      <c r="D5223" s="52" t="s">
        <v>847</v>
      </c>
      <c r="E5223" s="52" t="s">
        <v>584</v>
      </c>
      <c r="F5223" s="52" t="s">
        <v>581</v>
      </c>
      <c r="G5223" s="195" t="s">
        <v>276</v>
      </c>
      <c r="H5223" s="195">
        <v>-4.055044E-2</v>
      </c>
      <c r="I5223" s="195">
        <v>-3.9340279999999998E-2</v>
      </c>
      <c r="J5223" s="195">
        <v>-4.1344520000000003E-2</v>
      </c>
      <c r="K5223" s="195">
        <v>-1.8076509999999999</v>
      </c>
      <c r="L5223" s="195">
        <v>-6.4547140000000003E-3</v>
      </c>
      <c r="M5223" s="195">
        <v>-1.6136810000000001E-2</v>
      </c>
      <c r="N5223" s="195">
        <v>-1.6136959999999999E-2</v>
      </c>
    </row>
    <row r="5224" spans="1:14" hidden="1" x14ac:dyDescent="0.35">
      <c r="A5224" s="52" t="s">
        <v>687</v>
      </c>
      <c r="B5224" s="52" t="s">
        <v>160</v>
      </c>
      <c r="C5224" s="52" t="s">
        <v>846</v>
      </c>
      <c r="D5224" s="52" t="s">
        <v>847</v>
      </c>
      <c r="E5224" s="52" t="s">
        <v>584</v>
      </c>
      <c r="F5224" s="52" t="s">
        <v>581</v>
      </c>
      <c r="G5224" s="195" t="s">
        <v>277</v>
      </c>
      <c r="H5224" s="195"/>
      <c r="I5224" s="195"/>
      <c r="J5224" s="195"/>
      <c r="K5224" s="195"/>
      <c r="L5224" s="195"/>
      <c r="M5224" s="195"/>
      <c r="N5224" s="195">
        <v>0</v>
      </c>
    </row>
    <row r="5225" spans="1:14" hidden="1" x14ac:dyDescent="0.35">
      <c r="A5225" s="52" t="s">
        <v>687</v>
      </c>
      <c r="B5225" s="52" t="s">
        <v>160</v>
      </c>
      <c r="C5225" s="52" t="s">
        <v>846</v>
      </c>
      <c r="D5225" s="52" t="s">
        <v>847</v>
      </c>
      <c r="E5225" s="52" t="s">
        <v>584</v>
      </c>
      <c r="F5225" s="52" t="s">
        <v>581</v>
      </c>
      <c r="G5225" s="195" t="s">
        <v>278</v>
      </c>
      <c r="H5225" s="195">
        <v>0.2411209</v>
      </c>
      <c r="I5225" s="195">
        <v>6.0854770000000002E-2</v>
      </c>
      <c r="J5225" s="195">
        <v>4.1344649999999997E-2</v>
      </c>
      <c r="K5225" s="195">
        <v>1.8076509999999999</v>
      </c>
      <c r="L5225" s="195">
        <v>6.4546999999999998E-3</v>
      </c>
      <c r="M5225" s="195">
        <v>1.613682E-2</v>
      </c>
      <c r="N5225" s="195">
        <v>1.613682E-2</v>
      </c>
    </row>
    <row r="5226" spans="1:14" hidden="1" x14ac:dyDescent="0.35">
      <c r="A5226" s="52" t="s">
        <v>687</v>
      </c>
      <c r="B5226" s="52" t="s">
        <v>160</v>
      </c>
      <c r="C5226" s="52" t="s">
        <v>176</v>
      </c>
      <c r="D5226" s="52" t="s">
        <v>177</v>
      </c>
      <c r="E5226" s="52" t="s">
        <v>584</v>
      </c>
      <c r="F5226" s="52" t="s">
        <v>581</v>
      </c>
      <c r="G5226" s="195" t="s">
        <v>275</v>
      </c>
      <c r="H5226" s="195">
        <v>-8.9264999999999997E-2</v>
      </c>
      <c r="I5226" s="195">
        <v>-1.7534399999999999E-2</v>
      </c>
      <c r="J5226" s="195">
        <v>0</v>
      </c>
      <c r="K5226" s="195">
        <v>0</v>
      </c>
      <c r="L5226" s="195">
        <v>0</v>
      </c>
      <c r="M5226" s="195">
        <v>0</v>
      </c>
      <c r="N5226" s="195">
        <v>0</v>
      </c>
    </row>
    <row r="5227" spans="1:14" hidden="1" x14ac:dyDescent="0.35">
      <c r="A5227" s="52" t="s">
        <v>687</v>
      </c>
      <c r="B5227" s="52" t="s">
        <v>160</v>
      </c>
      <c r="C5227" s="52" t="s">
        <v>176</v>
      </c>
      <c r="D5227" s="52" t="s">
        <v>177</v>
      </c>
      <c r="E5227" s="52" t="s">
        <v>584</v>
      </c>
      <c r="F5227" s="52" t="s">
        <v>581</v>
      </c>
      <c r="G5227" s="195" t="s">
        <v>276</v>
      </c>
      <c r="H5227" s="195">
        <v>-5.5918000000000001E-3</v>
      </c>
      <c r="I5227" s="195">
        <v>-6.4057999999999997E-3</v>
      </c>
      <c r="J5227" s="195">
        <v>-6.5777049999999999</v>
      </c>
      <c r="K5227" s="195">
        <v>-1.704278E-2</v>
      </c>
      <c r="L5227" s="195">
        <v>-1.5176790000000001E-2</v>
      </c>
      <c r="M5227" s="195">
        <v>-3.7943020000000001E-2</v>
      </c>
      <c r="N5227" s="195">
        <v>-3.7942789999999997E-2</v>
      </c>
    </row>
    <row r="5228" spans="1:14" hidden="1" x14ac:dyDescent="0.35">
      <c r="A5228" s="52" t="s">
        <v>687</v>
      </c>
      <c r="B5228" s="52" t="s">
        <v>160</v>
      </c>
      <c r="C5228" s="52" t="s">
        <v>176</v>
      </c>
      <c r="D5228" s="52" t="s">
        <v>177</v>
      </c>
      <c r="E5228" s="52" t="s">
        <v>584</v>
      </c>
      <c r="F5228" s="52" t="s">
        <v>581</v>
      </c>
      <c r="G5228" s="195" t="s">
        <v>277</v>
      </c>
      <c r="H5228" s="195"/>
      <c r="I5228" s="195"/>
      <c r="J5228" s="195"/>
      <c r="K5228" s="195"/>
      <c r="L5228" s="195"/>
      <c r="M5228" s="195"/>
      <c r="N5228" s="195">
        <v>0</v>
      </c>
    </row>
    <row r="5229" spans="1:14" hidden="1" x14ac:dyDescent="0.35">
      <c r="A5229" s="52" t="s">
        <v>687</v>
      </c>
      <c r="B5229" s="52" t="s">
        <v>160</v>
      </c>
      <c r="C5229" s="52" t="s">
        <v>176</v>
      </c>
      <c r="D5229" s="52" t="s">
        <v>177</v>
      </c>
      <c r="E5229" s="52" t="s">
        <v>584</v>
      </c>
      <c r="F5229" s="52" t="s">
        <v>581</v>
      </c>
      <c r="G5229" s="195" t="s">
        <v>278</v>
      </c>
      <c r="H5229" s="195">
        <v>9.4856800000000005E-2</v>
      </c>
      <c r="I5229" s="195">
        <v>2.3940199999999998E-2</v>
      </c>
      <c r="J5229" s="195">
        <v>6.5777039999999998</v>
      </c>
      <c r="K5229" s="195">
        <v>1.70428E-2</v>
      </c>
      <c r="L5229" s="195">
        <v>1.5177E-2</v>
      </c>
      <c r="M5229" s="195">
        <v>3.7942799999999999E-2</v>
      </c>
      <c r="N5229" s="195">
        <v>3.7942799999999999E-2</v>
      </c>
    </row>
    <row r="5230" spans="1:14" hidden="1" x14ac:dyDescent="0.35">
      <c r="A5230" s="52" t="s">
        <v>687</v>
      </c>
      <c r="B5230" s="52" t="s">
        <v>45</v>
      </c>
      <c r="C5230" s="52" t="s">
        <v>44</v>
      </c>
      <c r="D5230" s="52" t="s">
        <v>44</v>
      </c>
      <c r="E5230" s="52" t="s">
        <v>584</v>
      </c>
      <c r="F5230" s="52" t="s">
        <v>581</v>
      </c>
      <c r="G5230" s="195" t="s">
        <v>275</v>
      </c>
      <c r="H5230" s="195">
        <v>82.310550000000006</v>
      </c>
      <c r="I5230" s="195">
        <v>-3.7194600000000002</v>
      </c>
      <c r="J5230" s="195">
        <v>12.364509999999999</v>
      </c>
      <c r="K5230" s="195">
        <v>19.47748</v>
      </c>
      <c r="L5230" s="195">
        <v>16.405270000000002</v>
      </c>
      <c r="M5230" s="195">
        <v>5.8731400000000002</v>
      </c>
      <c r="N5230" s="195">
        <v>-2.3122189999999998</v>
      </c>
    </row>
    <row r="5231" spans="1:14" hidden="1" x14ac:dyDescent="0.35">
      <c r="A5231" s="52" t="s">
        <v>687</v>
      </c>
      <c r="B5231" s="52" t="s">
        <v>45</v>
      </c>
      <c r="C5231" s="52" t="s">
        <v>44</v>
      </c>
      <c r="D5231" s="52" t="s">
        <v>44</v>
      </c>
      <c r="E5231" s="52" t="s">
        <v>584</v>
      </c>
      <c r="F5231" s="52" t="s">
        <v>581</v>
      </c>
      <c r="G5231" s="195" t="s">
        <v>276</v>
      </c>
      <c r="H5231" s="195">
        <v>41.484639999999999</v>
      </c>
      <c r="I5231" s="195">
        <v>18.612919999999999</v>
      </c>
      <c r="J5231" s="195">
        <v>16.20655</v>
      </c>
      <c r="K5231" s="195">
        <v>15.755129999999999</v>
      </c>
      <c r="L5231" s="195">
        <v>14.42651</v>
      </c>
      <c r="M5231" s="195">
        <v>12.830870000000001</v>
      </c>
      <c r="N5231" s="195">
        <v>11.29983</v>
      </c>
    </row>
    <row r="5232" spans="1:14" hidden="1" x14ac:dyDescent="0.35">
      <c r="A5232" s="52" t="s">
        <v>687</v>
      </c>
      <c r="B5232" s="52" t="s">
        <v>45</v>
      </c>
      <c r="C5232" s="52" t="s">
        <v>44</v>
      </c>
      <c r="D5232" s="52" t="s">
        <v>44</v>
      </c>
      <c r="E5232" s="52" t="s">
        <v>584</v>
      </c>
      <c r="F5232" s="52" t="s">
        <v>581</v>
      </c>
      <c r="G5232" s="195" t="s">
        <v>277</v>
      </c>
      <c r="H5232" s="195">
        <v>79.710149999999999</v>
      </c>
      <c r="I5232" s="195">
        <v>45.815489999999997</v>
      </c>
      <c r="J5232" s="195">
        <v>21.624020000000002</v>
      </c>
      <c r="K5232" s="195">
        <v>9.5492399999999993</v>
      </c>
      <c r="L5232" s="195">
        <v>11.37162</v>
      </c>
      <c r="M5232" s="195">
        <v>12.11228</v>
      </c>
      <c r="N5232" s="195">
        <v>9.8044429999999991</v>
      </c>
    </row>
    <row r="5233" spans="1:14" hidden="1" x14ac:dyDescent="0.35">
      <c r="A5233" s="52" t="s">
        <v>687</v>
      </c>
      <c r="B5233" s="52" t="s">
        <v>45</v>
      </c>
      <c r="C5233" s="52" t="s">
        <v>44</v>
      </c>
      <c r="D5233" s="52" t="s">
        <v>44</v>
      </c>
      <c r="E5233" s="52" t="s">
        <v>584</v>
      </c>
      <c r="F5233" s="52" t="s">
        <v>581</v>
      </c>
      <c r="G5233" s="195" t="s">
        <v>278</v>
      </c>
      <c r="H5233" s="195">
        <v>0.143286</v>
      </c>
      <c r="I5233" s="195">
        <v>5.8242330000000004</v>
      </c>
      <c r="J5233" s="195">
        <v>0</v>
      </c>
      <c r="K5233" s="195">
        <v>0</v>
      </c>
      <c r="L5233" s="195">
        <v>0</v>
      </c>
      <c r="M5233" s="195">
        <v>0</v>
      </c>
      <c r="N5233" s="195">
        <v>0</v>
      </c>
    </row>
    <row r="5234" spans="1:14" hidden="1" x14ac:dyDescent="0.35">
      <c r="A5234" s="52" t="s">
        <v>687</v>
      </c>
      <c r="B5234" s="52" t="s">
        <v>45</v>
      </c>
      <c r="C5234" s="52" t="s">
        <v>44</v>
      </c>
      <c r="D5234" s="52" t="s">
        <v>44</v>
      </c>
      <c r="E5234" s="52" t="s">
        <v>584</v>
      </c>
      <c r="F5234" s="52" t="s">
        <v>581</v>
      </c>
      <c r="G5234" s="195" t="s">
        <v>279</v>
      </c>
      <c r="H5234" s="195">
        <v>41.509990000000002</v>
      </c>
      <c r="I5234" s="195">
        <v>40.932250000000003</v>
      </c>
      <c r="J5234" s="195">
        <v>42.01164</v>
      </c>
      <c r="K5234" s="195">
        <v>44.621549999999999</v>
      </c>
      <c r="L5234" s="195">
        <v>36.864730000000002</v>
      </c>
      <c r="M5234" s="195">
        <v>37.402769999999997</v>
      </c>
      <c r="N5234" s="195">
        <v>40.86589</v>
      </c>
    </row>
    <row r="5235" spans="1:14" hidden="1" x14ac:dyDescent="0.35">
      <c r="A5235" s="52" t="s">
        <v>687</v>
      </c>
      <c r="B5235" s="52" t="s">
        <v>45</v>
      </c>
      <c r="C5235" s="52" t="s">
        <v>44</v>
      </c>
      <c r="D5235" s="52" t="s">
        <v>44</v>
      </c>
      <c r="E5235" s="52" t="s">
        <v>584</v>
      </c>
      <c r="F5235" s="52" t="s">
        <v>26</v>
      </c>
      <c r="G5235" s="195" t="s">
        <v>275</v>
      </c>
      <c r="H5235" s="195"/>
      <c r="I5235" s="195"/>
      <c r="J5235" s="195">
        <v>0</v>
      </c>
      <c r="K5235" s="195">
        <v>0</v>
      </c>
      <c r="L5235" s="195">
        <v>0</v>
      </c>
      <c r="M5235" s="195">
        <v>0</v>
      </c>
      <c r="N5235" s="195">
        <v>0</v>
      </c>
    </row>
    <row r="5236" spans="1:14" hidden="1" x14ac:dyDescent="0.35">
      <c r="A5236" s="52" t="s">
        <v>687</v>
      </c>
      <c r="B5236" s="52" t="s">
        <v>45</v>
      </c>
      <c r="C5236" s="52" t="s">
        <v>44</v>
      </c>
      <c r="D5236" s="52" t="s">
        <v>44</v>
      </c>
      <c r="E5236" s="52" t="s">
        <v>584</v>
      </c>
      <c r="F5236" s="52" t="s">
        <v>26</v>
      </c>
      <c r="G5236" s="195" t="s">
        <v>277</v>
      </c>
      <c r="H5236" s="195"/>
      <c r="I5236" s="195"/>
      <c r="J5236" s="195"/>
      <c r="K5236" s="195"/>
      <c r="L5236" s="195"/>
      <c r="M5236" s="195"/>
      <c r="N5236" s="195">
        <v>0</v>
      </c>
    </row>
    <row r="5237" spans="1:14" hidden="1" x14ac:dyDescent="0.35">
      <c r="A5237" s="52" t="s">
        <v>687</v>
      </c>
      <c r="B5237" s="52" t="s">
        <v>45</v>
      </c>
      <c r="C5237" s="52" t="s">
        <v>44</v>
      </c>
      <c r="D5237" s="52" t="s">
        <v>44</v>
      </c>
      <c r="E5237" s="52" t="s">
        <v>584</v>
      </c>
      <c r="F5237" s="52" t="s">
        <v>26</v>
      </c>
      <c r="G5237" s="195" t="s">
        <v>278</v>
      </c>
      <c r="H5237" s="195"/>
      <c r="I5237" s="195"/>
      <c r="J5237" s="195">
        <v>0</v>
      </c>
      <c r="K5237" s="195">
        <v>0</v>
      </c>
      <c r="L5237" s="195">
        <v>0</v>
      </c>
      <c r="M5237" s="195">
        <v>0</v>
      </c>
      <c r="N5237" s="195">
        <v>0</v>
      </c>
    </row>
    <row r="5238" spans="1:14" hidden="1" x14ac:dyDescent="0.35">
      <c r="A5238" s="52" t="s">
        <v>687</v>
      </c>
      <c r="B5238" s="52" t="s">
        <v>295</v>
      </c>
      <c r="C5238" s="52" t="s">
        <v>294</v>
      </c>
      <c r="D5238" s="52" t="s">
        <v>294</v>
      </c>
      <c r="E5238" s="52" t="s">
        <v>584</v>
      </c>
      <c r="F5238" s="52" t="s">
        <v>581</v>
      </c>
      <c r="G5238" s="195" t="s">
        <v>275</v>
      </c>
      <c r="H5238" s="195">
        <v>-1.699138</v>
      </c>
      <c r="I5238" s="195">
        <v>-3.0915870000000001</v>
      </c>
      <c r="J5238" s="195">
        <v>-3.0915870000000001</v>
      </c>
      <c r="K5238" s="195">
        <v>-1.5937399999999999</v>
      </c>
      <c r="L5238" s="195">
        <v>0.62506209999999995</v>
      </c>
      <c r="M5238" s="195">
        <v>2.297968</v>
      </c>
      <c r="N5238" s="195">
        <v>2.2168649999999999</v>
      </c>
    </row>
    <row r="5239" spans="1:14" hidden="1" x14ac:dyDescent="0.35">
      <c r="A5239" s="52" t="s">
        <v>687</v>
      </c>
      <c r="B5239" s="52" t="s">
        <v>295</v>
      </c>
      <c r="C5239" s="52" t="s">
        <v>294</v>
      </c>
      <c r="D5239" s="52" t="s">
        <v>294</v>
      </c>
      <c r="E5239" s="52" t="s">
        <v>584</v>
      </c>
      <c r="F5239" s="52" t="s">
        <v>581</v>
      </c>
      <c r="G5239" s="195" t="s">
        <v>276</v>
      </c>
      <c r="H5239" s="195"/>
      <c r="I5239" s="195"/>
      <c r="J5239" s="195">
        <v>0</v>
      </c>
      <c r="K5239" s="195">
        <v>1.6868040000000001E-2</v>
      </c>
      <c r="L5239" s="195">
        <v>1.37982</v>
      </c>
      <c r="M5239" s="195">
        <v>0.40045960000000003</v>
      </c>
      <c r="N5239" s="195">
        <v>0.41047810000000001</v>
      </c>
    </row>
    <row r="5240" spans="1:14" hidden="1" x14ac:dyDescent="0.35">
      <c r="A5240" s="52" t="s">
        <v>687</v>
      </c>
      <c r="B5240" s="52" t="s">
        <v>295</v>
      </c>
      <c r="C5240" s="52" t="s">
        <v>294</v>
      </c>
      <c r="D5240" s="52" t="s">
        <v>294</v>
      </c>
      <c r="E5240" s="52" t="s">
        <v>584</v>
      </c>
      <c r="F5240" s="52" t="s">
        <v>581</v>
      </c>
      <c r="G5240" s="195" t="s">
        <v>277</v>
      </c>
      <c r="H5240" s="195">
        <v>1.6693880000000001</v>
      </c>
      <c r="I5240" s="195">
        <v>3.0618370000000001</v>
      </c>
      <c r="J5240" s="195">
        <v>3.0618370000000001</v>
      </c>
      <c r="K5240" s="195">
        <v>1.4993570000000001</v>
      </c>
      <c r="L5240" s="195">
        <v>0.35382419999999998</v>
      </c>
      <c r="M5240" s="195">
        <v>0.62844699999999998</v>
      </c>
      <c r="N5240" s="195">
        <v>0.7855588</v>
      </c>
    </row>
    <row r="5241" spans="1:14" hidden="1" x14ac:dyDescent="0.35">
      <c r="A5241" s="52" t="s">
        <v>687</v>
      </c>
      <c r="B5241" s="52" t="s">
        <v>295</v>
      </c>
      <c r="C5241" s="52" t="s">
        <v>294</v>
      </c>
      <c r="D5241" s="52" t="s">
        <v>294</v>
      </c>
      <c r="E5241" s="52" t="s">
        <v>584</v>
      </c>
      <c r="F5241" s="52" t="s">
        <v>581</v>
      </c>
      <c r="G5241" s="195" t="s">
        <v>279</v>
      </c>
      <c r="H5241" s="195">
        <v>2.9749999999999999E-2</v>
      </c>
      <c r="I5241" s="195">
        <v>2.9749999999999999E-2</v>
      </c>
      <c r="J5241" s="195">
        <v>2.9749999999999999E-2</v>
      </c>
      <c r="K5241" s="195">
        <v>0.1126709</v>
      </c>
      <c r="L5241" s="195">
        <v>0.51711669999999998</v>
      </c>
      <c r="M5241" s="195">
        <v>0.67772239999999995</v>
      </c>
      <c r="N5241" s="195">
        <v>0.69187670000000001</v>
      </c>
    </row>
    <row r="5242" spans="1:14" hidden="1" x14ac:dyDescent="0.35">
      <c r="A5242" s="52" t="s">
        <v>687</v>
      </c>
      <c r="B5242" s="52" t="s">
        <v>295</v>
      </c>
      <c r="C5242" s="52" t="s">
        <v>294</v>
      </c>
      <c r="D5242" s="52" t="s">
        <v>294</v>
      </c>
      <c r="E5242" s="52" t="s">
        <v>584</v>
      </c>
      <c r="F5242" s="52" t="s">
        <v>26</v>
      </c>
      <c r="G5242" s="195" t="s">
        <v>275</v>
      </c>
      <c r="H5242" s="195">
        <v>-162.63659999999999</v>
      </c>
      <c r="I5242" s="195">
        <v>-207.08869999999999</v>
      </c>
      <c r="J5242" s="195">
        <v>-174.05410000000001</v>
      </c>
      <c r="K5242" s="195">
        <v>-195.2107</v>
      </c>
      <c r="L5242" s="195">
        <v>-113.1645</v>
      </c>
      <c r="M5242" s="195">
        <v>-234.31909999999999</v>
      </c>
      <c r="N5242" s="195">
        <v>-363.66950000000003</v>
      </c>
    </row>
    <row r="5243" spans="1:14" hidden="1" x14ac:dyDescent="0.35">
      <c r="A5243" s="52" t="s">
        <v>687</v>
      </c>
      <c r="B5243" s="52" t="s">
        <v>295</v>
      </c>
      <c r="C5243" s="52" t="s">
        <v>294</v>
      </c>
      <c r="D5243" s="52" t="s">
        <v>294</v>
      </c>
      <c r="E5243" s="52" t="s">
        <v>584</v>
      </c>
      <c r="F5243" s="52" t="s">
        <v>26</v>
      </c>
      <c r="G5243" s="195" t="s">
        <v>276</v>
      </c>
      <c r="H5243" s="195">
        <v>-18.35811</v>
      </c>
      <c r="I5243" s="195">
        <v>-28.278700000000001</v>
      </c>
      <c r="J5243" s="195">
        <v>-39.071330000000003</v>
      </c>
      <c r="K5243" s="195">
        <v>-47.280740000000002</v>
      </c>
      <c r="L5243" s="195">
        <v>-36.31223</v>
      </c>
      <c r="M5243" s="195">
        <v>-43.475099999999998</v>
      </c>
      <c r="N5243" s="195">
        <v>-55.992069999999998</v>
      </c>
    </row>
    <row r="5244" spans="1:14" hidden="1" x14ac:dyDescent="0.35">
      <c r="A5244" s="52" t="s">
        <v>687</v>
      </c>
      <c r="B5244" s="52" t="s">
        <v>295</v>
      </c>
      <c r="C5244" s="52" t="s">
        <v>294</v>
      </c>
      <c r="D5244" s="52" t="s">
        <v>294</v>
      </c>
      <c r="E5244" s="52" t="s">
        <v>584</v>
      </c>
      <c r="F5244" s="52" t="s">
        <v>26</v>
      </c>
      <c r="G5244" s="195" t="s">
        <v>277</v>
      </c>
      <c r="H5244" s="195">
        <v>179.98259999999999</v>
      </c>
      <c r="I5244" s="195">
        <v>234.3553</v>
      </c>
      <c r="J5244" s="195">
        <v>212.14230000000001</v>
      </c>
      <c r="K5244" s="195">
        <v>235.9195</v>
      </c>
      <c r="L5244" s="195">
        <v>194.75649999999999</v>
      </c>
      <c r="M5244" s="195">
        <v>346.38409999999999</v>
      </c>
      <c r="N5244" s="195">
        <v>489.95240000000001</v>
      </c>
    </row>
    <row r="5245" spans="1:14" hidden="1" x14ac:dyDescent="0.35">
      <c r="A5245" s="52" t="s">
        <v>687</v>
      </c>
      <c r="B5245" s="52" t="s">
        <v>295</v>
      </c>
      <c r="C5245" s="52" t="s">
        <v>294</v>
      </c>
      <c r="D5245" s="52" t="s">
        <v>294</v>
      </c>
      <c r="E5245" s="52" t="s">
        <v>584</v>
      </c>
      <c r="F5245" s="52" t="s">
        <v>26</v>
      </c>
      <c r="G5245" s="195" t="s">
        <v>278</v>
      </c>
      <c r="H5245" s="195">
        <v>0.116731</v>
      </c>
      <c r="I5245" s="195">
        <v>0.116731</v>
      </c>
      <c r="J5245" s="195">
        <v>9.1820600000000002E-2</v>
      </c>
      <c r="K5245" s="195">
        <v>9.1820600000000002E-2</v>
      </c>
      <c r="L5245" s="195">
        <v>4.7491800000000001E-2</v>
      </c>
      <c r="M5245" s="195">
        <v>4.7491800000000001E-2</v>
      </c>
      <c r="N5245" s="195">
        <v>4.7491800000000001E-2</v>
      </c>
    </row>
    <row r="5246" spans="1:14" hidden="1" x14ac:dyDescent="0.35">
      <c r="A5246" s="52" t="s">
        <v>687</v>
      </c>
      <c r="B5246" s="52" t="s">
        <v>295</v>
      </c>
      <c r="C5246" s="52" t="s">
        <v>294</v>
      </c>
      <c r="D5246" s="52" t="s">
        <v>294</v>
      </c>
      <c r="E5246" s="52" t="s">
        <v>584</v>
      </c>
      <c r="F5246" s="52" t="s">
        <v>26</v>
      </c>
      <c r="G5246" s="195" t="s">
        <v>279</v>
      </c>
      <c r="H5246" s="195">
        <v>0.89537389999999994</v>
      </c>
      <c r="I5246" s="195">
        <v>0.89537389999999994</v>
      </c>
      <c r="J5246" s="195">
        <v>0.89537389999999994</v>
      </c>
      <c r="K5246" s="195">
        <v>6.9596920000000004</v>
      </c>
      <c r="L5246" s="195">
        <v>32.697040000000001</v>
      </c>
      <c r="M5246" s="195">
        <v>43.940779999999997</v>
      </c>
      <c r="N5246" s="195">
        <v>44.90784</v>
      </c>
    </row>
    <row r="5247" spans="1:14" hidden="1" x14ac:dyDescent="0.35">
      <c r="A5247" s="52" t="s">
        <v>687</v>
      </c>
      <c r="B5247" s="52" t="s">
        <v>192</v>
      </c>
      <c r="C5247" s="52" t="s">
        <v>44</v>
      </c>
      <c r="D5247" s="52" t="s">
        <v>44</v>
      </c>
      <c r="E5247" s="52" t="s">
        <v>584</v>
      </c>
      <c r="F5247" s="52" t="s">
        <v>581</v>
      </c>
      <c r="G5247" s="195" t="s">
        <v>275</v>
      </c>
      <c r="H5247" s="195">
        <v>11.736319999999999</v>
      </c>
      <c r="I5247" s="195">
        <v>3.139265</v>
      </c>
      <c r="J5247" s="195">
        <v>1.992753</v>
      </c>
      <c r="K5247" s="195">
        <v>1.1500280000000001</v>
      </c>
      <c r="L5247" s="195">
        <v>0.73702120000000004</v>
      </c>
      <c r="M5247" s="195">
        <v>0.441579</v>
      </c>
      <c r="N5247" s="195">
        <v>0.16610459999999999</v>
      </c>
    </row>
    <row r="5248" spans="1:14" hidden="1" x14ac:dyDescent="0.35">
      <c r="A5248" s="52" t="s">
        <v>687</v>
      </c>
      <c r="B5248" s="52" t="s">
        <v>192</v>
      </c>
      <c r="C5248" s="52" t="s">
        <v>44</v>
      </c>
      <c r="D5248" s="52" t="s">
        <v>44</v>
      </c>
      <c r="E5248" s="52" t="s">
        <v>584</v>
      </c>
      <c r="F5248" s="52" t="s">
        <v>581</v>
      </c>
      <c r="G5248" s="195" t="s">
        <v>276</v>
      </c>
      <c r="H5248" s="195">
        <v>3.3370410000000001</v>
      </c>
      <c r="I5248" s="195">
        <v>1.1219479999999999</v>
      </c>
      <c r="J5248" s="195">
        <v>0.83405810000000002</v>
      </c>
      <c r="K5248" s="195">
        <v>0.72423400000000004</v>
      </c>
      <c r="L5248" s="195">
        <v>0.63380639999999999</v>
      </c>
      <c r="M5248" s="195">
        <v>-4.5898220000000003E-2</v>
      </c>
      <c r="N5248" s="195">
        <v>0.4953478</v>
      </c>
    </row>
    <row r="5249" spans="1:14" hidden="1" x14ac:dyDescent="0.35">
      <c r="A5249" s="52" t="s">
        <v>687</v>
      </c>
      <c r="B5249" s="52" t="s">
        <v>192</v>
      </c>
      <c r="C5249" s="52" t="s">
        <v>44</v>
      </c>
      <c r="D5249" s="52" t="s">
        <v>44</v>
      </c>
      <c r="E5249" s="52" t="s">
        <v>584</v>
      </c>
      <c r="F5249" s="52" t="s">
        <v>581</v>
      </c>
      <c r="G5249" s="195" t="s">
        <v>277</v>
      </c>
      <c r="H5249" s="195">
        <v>0.4346488</v>
      </c>
      <c r="I5249" s="195">
        <v>0</v>
      </c>
      <c r="J5249" s="195">
        <v>0</v>
      </c>
      <c r="K5249" s="195">
        <v>0.3359762</v>
      </c>
      <c r="L5249" s="195">
        <v>0.40564879999999998</v>
      </c>
      <c r="M5249" s="195">
        <v>0.41578949999999998</v>
      </c>
      <c r="N5249" s="195">
        <v>0.43717800000000001</v>
      </c>
    </row>
    <row r="5250" spans="1:14" hidden="1" x14ac:dyDescent="0.35">
      <c r="A5250" s="52" t="s">
        <v>687</v>
      </c>
      <c r="B5250" s="52" t="s">
        <v>192</v>
      </c>
      <c r="C5250" s="52" t="s">
        <v>44</v>
      </c>
      <c r="D5250" s="52" t="s">
        <v>44</v>
      </c>
      <c r="E5250" s="52" t="s">
        <v>584</v>
      </c>
      <c r="F5250" s="52" t="s">
        <v>581</v>
      </c>
      <c r="G5250" s="195" t="s">
        <v>278</v>
      </c>
      <c r="H5250" s="195">
        <v>3.8071799999999999E-3</v>
      </c>
      <c r="I5250" s="195">
        <v>3.8071799999999999E-3</v>
      </c>
      <c r="J5250" s="195">
        <v>3.8071799999999999E-3</v>
      </c>
      <c r="K5250" s="195">
        <v>3.8071799999999999E-3</v>
      </c>
      <c r="L5250" s="195">
        <v>3.8071799999999999E-3</v>
      </c>
      <c r="M5250" s="195">
        <v>0.60975400000000002</v>
      </c>
      <c r="N5250" s="195">
        <v>3.8071799999999999E-3</v>
      </c>
    </row>
    <row r="5251" spans="1:14" hidden="1" x14ac:dyDescent="0.35">
      <c r="A5251" s="52" t="s">
        <v>687</v>
      </c>
      <c r="B5251" s="52" t="s">
        <v>192</v>
      </c>
      <c r="C5251" s="52" t="s">
        <v>44</v>
      </c>
      <c r="D5251" s="52" t="s">
        <v>44</v>
      </c>
      <c r="E5251" s="52" t="s">
        <v>584</v>
      </c>
      <c r="F5251" s="52" t="s">
        <v>581</v>
      </c>
      <c r="G5251" s="195" t="s">
        <v>279</v>
      </c>
      <c r="H5251" s="195">
        <v>1.7709360000000001</v>
      </c>
      <c r="I5251" s="195">
        <v>1.5456220000000001</v>
      </c>
      <c r="J5251" s="195">
        <v>1.5087390000000001</v>
      </c>
      <c r="K5251" s="195">
        <v>1.5565260000000001</v>
      </c>
      <c r="L5251" s="195">
        <v>1.521957</v>
      </c>
      <c r="M5251" s="195">
        <v>1.4990220000000001</v>
      </c>
      <c r="N5251" s="195">
        <v>1.482718</v>
      </c>
    </row>
    <row r="5252" spans="1:14" hidden="1" x14ac:dyDescent="0.35">
      <c r="A5252" s="52" t="s">
        <v>687</v>
      </c>
      <c r="B5252" s="52" t="s">
        <v>337</v>
      </c>
      <c r="C5252" s="52" t="s">
        <v>229</v>
      </c>
      <c r="D5252" s="52" t="s">
        <v>229</v>
      </c>
      <c r="E5252" s="52" t="s">
        <v>584</v>
      </c>
      <c r="F5252" s="52" t="s">
        <v>581</v>
      </c>
      <c r="G5252" s="195" t="s">
        <v>275</v>
      </c>
      <c r="H5252" s="195">
        <v>-0.30780659999999999</v>
      </c>
      <c r="I5252" s="195">
        <v>-0.30780659999999999</v>
      </c>
      <c r="J5252" s="195">
        <v>0</v>
      </c>
      <c r="K5252" s="195">
        <v>0</v>
      </c>
      <c r="L5252" s="195">
        <v>0</v>
      </c>
      <c r="M5252" s="195">
        <v>0</v>
      </c>
      <c r="N5252" s="195">
        <v>0</v>
      </c>
    </row>
    <row r="5253" spans="1:14" hidden="1" x14ac:dyDescent="0.35">
      <c r="A5253" s="52" t="s">
        <v>687</v>
      </c>
      <c r="B5253" s="52" t="s">
        <v>337</v>
      </c>
      <c r="C5253" s="52" t="s">
        <v>229</v>
      </c>
      <c r="D5253" s="52" t="s">
        <v>229</v>
      </c>
      <c r="E5253" s="52" t="s">
        <v>584</v>
      </c>
      <c r="F5253" s="52" t="s">
        <v>581</v>
      </c>
      <c r="G5253" s="195" t="s">
        <v>276</v>
      </c>
      <c r="H5253" s="195"/>
      <c r="I5253" s="195"/>
      <c r="J5253" s="195">
        <v>-30.372669999999999</v>
      </c>
      <c r="K5253" s="195">
        <v>-8.9809870000000007</v>
      </c>
      <c r="L5253" s="195">
        <v>-1.912954</v>
      </c>
      <c r="M5253" s="195">
        <v>-0.23072899999999999</v>
      </c>
      <c r="N5253" s="195">
        <v>-0.2307294</v>
      </c>
    </row>
    <row r="5254" spans="1:14" hidden="1" x14ac:dyDescent="0.35">
      <c r="A5254" s="52" t="s">
        <v>687</v>
      </c>
      <c r="B5254" s="52" t="s">
        <v>337</v>
      </c>
      <c r="C5254" s="52" t="s">
        <v>229</v>
      </c>
      <c r="D5254" s="52" t="s">
        <v>229</v>
      </c>
      <c r="E5254" s="52" t="s">
        <v>584</v>
      </c>
      <c r="F5254" s="52" t="s">
        <v>581</v>
      </c>
      <c r="G5254" s="195" t="s">
        <v>277</v>
      </c>
      <c r="H5254" s="195"/>
      <c r="I5254" s="195">
        <v>0</v>
      </c>
      <c r="J5254" s="195">
        <v>0.67500000000000004</v>
      </c>
      <c r="K5254" s="195">
        <v>0</v>
      </c>
      <c r="L5254" s="195">
        <v>0</v>
      </c>
      <c r="M5254" s="195">
        <v>3.125E-2</v>
      </c>
      <c r="N5254" s="195">
        <v>3.125E-2</v>
      </c>
    </row>
    <row r="5255" spans="1:14" hidden="1" x14ac:dyDescent="0.35">
      <c r="A5255" s="52" t="s">
        <v>687</v>
      </c>
      <c r="B5255" s="52" t="s">
        <v>337</v>
      </c>
      <c r="C5255" s="52" t="s">
        <v>229</v>
      </c>
      <c r="D5255" s="52" t="s">
        <v>229</v>
      </c>
      <c r="E5255" s="52" t="s">
        <v>584</v>
      </c>
      <c r="F5255" s="52" t="s">
        <v>581</v>
      </c>
      <c r="G5255" s="195" t="s">
        <v>278</v>
      </c>
      <c r="H5255" s="195">
        <v>0.30780659999999999</v>
      </c>
      <c r="I5255" s="195">
        <v>0.30780659999999999</v>
      </c>
      <c r="J5255" s="195">
        <v>29.697669999999999</v>
      </c>
      <c r="K5255" s="195">
        <v>8.8811289999999996</v>
      </c>
      <c r="L5255" s="195">
        <v>1.813097</v>
      </c>
      <c r="M5255" s="195">
        <v>9.9622600000000006E-2</v>
      </c>
      <c r="N5255" s="195">
        <v>9.9622600000000006E-2</v>
      </c>
    </row>
    <row r="5256" spans="1:14" hidden="1" x14ac:dyDescent="0.35">
      <c r="A5256" s="52" t="s">
        <v>687</v>
      </c>
      <c r="B5256" s="52" t="s">
        <v>337</v>
      </c>
      <c r="C5256" s="52" t="s">
        <v>229</v>
      </c>
      <c r="D5256" s="52" t="s">
        <v>229</v>
      </c>
      <c r="E5256" s="52" t="s">
        <v>584</v>
      </c>
      <c r="F5256" s="52" t="s">
        <v>581</v>
      </c>
      <c r="G5256" s="195" t="s">
        <v>279</v>
      </c>
      <c r="H5256" s="195"/>
      <c r="I5256" s="195"/>
      <c r="J5256" s="195">
        <v>0</v>
      </c>
      <c r="K5256" s="195">
        <v>9.9856810000000004E-2</v>
      </c>
      <c r="L5256" s="195">
        <v>9.9857260000000003E-2</v>
      </c>
      <c r="M5256" s="195">
        <v>9.9856790000000001E-2</v>
      </c>
      <c r="N5256" s="195">
        <v>9.9856810000000004E-2</v>
      </c>
    </row>
    <row r="5257" spans="1:14" hidden="1" x14ac:dyDescent="0.35">
      <c r="A5257" s="52" t="s">
        <v>687</v>
      </c>
      <c r="B5257" s="52" t="s">
        <v>337</v>
      </c>
      <c r="C5257" s="52" t="s">
        <v>229</v>
      </c>
      <c r="D5257" s="52" t="s">
        <v>229</v>
      </c>
      <c r="E5257" s="52" t="s">
        <v>584</v>
      </c>
      <c r="F5257" s="52" t="s">
        <v>26</v>
      </c>
      <c r="G5257" s="195" t="s">
        <v>275</v>
      </c>
      <c r="H5257" s="195"/>
      <c r="I5257" s="195"/>
      <c r="J5257" s="195">
        <v>0</v>
      </c>
      <c r="K5257" s="195">
        <v>0</v>
      </c>
      <c r="L5257" s="195">
        <v>0</v>
      </c>
      <c r="M5257" s="195">
        <v>0</v>
      </c>
      <c r="N5257" s="195">
        <v>0</v>
      </c>
    </row>
    <row r="5258" spans="1:14" hidden="1" x14ac:dyDescent="0.35">
      <c r="A5258" s="52" t="s">
        <v>687</v>
      </c>
      <c r="B5258" s="52" t="s">
        <v>337</v>
      </c>
      <c r="C5258" s="52" t="s">
        <v>229</v>
      </c>
      <c r="D5258" s="52" t="s">
        <v>229</v>
      </c>
      <c r="E5258" s="52" t="s">
        <v>584</v>
      </c>
      <c r="F5258" s="52" t="s">
        <v>26</v>
      </c>
      <c r="G5258" s="195" t="s">
        <v>276</v>
      </c>
      <c r="H5258" s="195"/>
      <c r="I5258" s="195"/>
      <c r="J5258" s="195">
        <v>0</v>
      </c>
      <c r="K5258" s="195">
        <v>-3.7451249999999998E-2</v>
      </c>
      <c r="L5258" s="195">
        <v>-3.7451249999999998E-2</v>
      </c>
      <c r="M5258" s="195">
        <v>-3.7451249999999998E-2</v>
      </c>
      <c r="N5258" s="195">
        <v>-3.7451249999999998E-2</v>
      </c>
    </row>
    <row r="5259" spans="1:14" hidden="1" x14ac:dyDescent="0.35">
      <c r="A5259" s="52" t="s">
        <v>687</v>
      </c>
      <c r="B5259" s="52" t="s">
        <v>337</v>
      </c>
      <c r="C5259" s="52" t="s">
        <v>229</v>
      </c>
      <c r="D5259" s="52" t="s">
        <v>229</v>
      </c>
      <c r="E5259" s="52" t="s">
        <v>584</v>
      </c>
      <c r="F5259" s="52" t="s">
        <v>26</v>
      </c>
      <c r="G5259" s="195" t="s">
        <v>279</v>
      </c>
      <c r="H5259" s="195"/>
      <c r="I5259" s="195"/>
      <c r="J5259" s="195">
        <v>0</v>
      </c>
      <c r="K5259" s="195">
        <v>3.7451249999999998E-2</v>
      </c>
      <c r="L5259" s="195">
        <v>3.7451249999999998E-2</v>
      </c>
      <c r="M5259" s="195">
        <v>3.7451249999999998E-2</v>
      </c>
      <c r="N5259" s="195">
        <v>3.7451249999999998E-2</v>
      </c>
    </row>
    <row r="5260" spans="1:14" hidden="1" x14ac:dyDescent="0.35">
      <c r="A5260" s="52" t="s">
        <v>687</v>
      </c>
      <c r="B5260" s="52" t="s">
        <v>282</v>
      </c>
      <c r="C5260" s="52" t="s">
        <v>281</v>
      </c>
      <c r="D5260" s="52" t="s">
        <v>281</v>
      </c>
      <c r="E5260" s="52" t="s">
        <v>584</v>
      </c>
      <c r="F5260" s="52" t="s">
        <v>581</v>
      </c>
      <c r="G5260" s="195" t="s">
        <v>275</v>
      </c>
      <c r="H5260" s="195"/>
      <c r="I5260" s="195"/>
      <c r="J5260" s="195"/>
      <c r="K5260" s="195">
        <v>0</v>
      </c>
      <c r="L5260" s="195">
        <v>0</v>
      </c>
      <c r="M5260" s="195">
        <v>0</v>
      </c>
      <c r="N5260" s="195">
        <v>0</v>
      </c>
    </row>
    <row r="5261" spans="1:14" hidden="1" x14ac:dyDescent="0.35">
      <c r="A5261" s="52" t="s">
        <v>687</v>
      </c>
      <c r="B5261" s="52" t="s">
        <v>282</v>
      </c>
      <c r="C5261" s="52" t="s">
        <v>281</v>
      </c>
      <c r="D5261" s="52" t="s">
        <v>281</v>
      </c>
      <c r="E5261" s="52" t="s">
        <v>584</v>
      </c>
      <c r="F5261" s="52" t="s">
        <v>581</v>
      </c>
      <c r="G5261" s="195" t="s">
        <v>276</v>
      </c>
      <c r="H5261" s="195"/>
      <c r="I5261" s="195"/>
      <c r="J5261" s="195"/>
      <c r="K5261" s="195">
        <v>0</v>
      </c>
      <c r="L5261" s="195">
        <v>-1.4084E-3</v>
      </c>
      <c r="M5261" s="195">
        <v>-1.4084E-3</v>
      </c>
      <c r="N5261" s="195">
        <v>-3.113672E-2</v>
      </c>
    </row>
    <row r="5262" spans="1:14" hidden="1" x14ac:dyDescent="0.35">
      <c r="A5262" s="52" t="s">
        <v>687</v>
      </c>
      <c r="B5262" s="52" t="s">
        <v>282</v>
      </c>
      <c r="C5262" s="52" t="s">
        <v>281</v>
      </c>
      <c r="D5262" s="52" t="s">
        <v>281</v>
      </c>
      <c r="E5262" s="52" t="s">
        <v>584</v>
      </c>
      <c r="F5262" s="52" t="s">
        <v>581</v>
      </c>
      <c r="G5262" s="195" t="s">
        <v>277</v>
      </c>
      <c r="H5262" s="195"/>
      <c r="I5262" s="195"/>
      <c r="J5262" s="195"/>
      <c r="K5262" s="195"/>
      <c r="L5262" s="195"/>
      <c r="M5262" s="195">
        <v>0</v>
      </c>
      <c r="N5262" s="195"/>
    </row>
    <row r="5263" spans="1:14" hidden="1" x14ac:dyDescent="0.35">
      <c r="A5263" s="52" t="s">
        <v>687</v>
      </c>
      <c r="B5263" s="52" t="s">
        <v>282</v>
      </c>
      <c r="C5263" s="52" t="s">
        <v>281</v>
      </c>
      <c r="D5263" s="52" t="s">
        <v>281</v>
      </c>
      <c r="E5263" s="52" t="s">
        <v>584</v>
      </c>
      <c r="F5263" s="52" t="s">
        <v>581</v>
      </c>
      <c r="G5263" s="195" t="s">
        <v>279</v>
      </c>
      <c r="H5263" s="195"/>
      <c r="I5263" s="195"/>
      <c r="J5263" s="195"/>
      <c r="K5263" s="195">
        <v>0</v>
      </c>
      <c r="L5263" s="195">
        <v>1.4084E-3</v>
      </c>
      <c r="M5263" s="195">
        <v>1.4084E-3</v>
      </c>
      <c r="N5263" s="195">
        <v>1.4084E-3</v>
      </c>
    </row>
    <row r="5264" spans="1:14" hidden="1" x14ac:dyDescent="0.35">
      <c r="A5264" s="52" t="s">
        <v>687</v>
      </c>
      <c r="B5264" s="52" t="s">
        <v>282</v>
      </c>
      <c r="C5264" s="52" t="s">
        <v>281</v>
      </c>
      <c r="D5264" s="52" t="s">
        <v>281</v>
      </c>
      <c r="E5264" s="52" t="s">
        <v>584</v>
      </c>
      <c r="F5264" s="52" t="s">
        <v>26</v>
      </c>
      <c r="G5264" s="195" t="s">
        <v>275</v>
      </c>
      <c r="H5264" s="195">
        <v>-0.12303600000000001</v>
      </c>
      <c r="I5264" s="195">
        <v>-0.12303600000000001</v>
      </c>
      <c r="J5264" s="195">
        <v>0</v>
      </c>
      <c r="K5264" s="195">
        <v>0</v>
      </c>
      <c r="L5264" s="195">
        <v>0</v>
      </c>
      <c r="M5264" s="195">
        <v>0</v>
      </c>
      <c r="N5264" s="195">
        <v>0</v>
      </c>
    </row>
    <row r="5265" spans="1:14" hidden="1" x14ac:dyDescent="0.35">
      <c r="A5265" s="52" t="s">
        <v>687</v>
      </c>
      <c r="B5265" s="52" t="s">
        <v>282</v>
      </c>
      <c r="C5265" s="52" t="s">
        <v>281</v>
      </c>
      <c r="D5265" s="52" t="s">
        <v>281</v>
      </c>
      <c r="E5265" s="52" t="s">
        <v>584</v>
      </c>
      <c r="F5265" s="52" t="s">
        <v>26</v>
      </c>
      <c r="G5265" s="195" t="s">
        <v>276</v>
      </c>
      <c r="H5265" s="195"/>
      <c r="I5265" s="195"/>
      <c r="J5265" s="195">
        <v>-1.148317</v>
      </c>
      <c r="K5265" s="195">
        <v>-0.197436</v>
      </c>
      <c r="L5265" s="195">
        <v>-0.12874240000000001</v>
      </c>
      <c r="M5265" s="195">
        <v>-0.13969219999999999</v>
      </c>
      <c r="N5265" s="195">
        <v>-0.59966090000000005</v>
      </c>
    </row>
    <row r="5266" spans="1:14" hidden="1" x14ac:dyDescent="0.35">
      <c r="A5266" s="52" t="s">
        <v>687</v>
      </c>
      <c r="B5266" s="52" t="s">
        <v>282</v>
      </c>
      <c r="C5266" s="52" t="s">
        <v>281</v>
      </c>
      <c r="D5266" s="52" t="s">
        <v>281</v>
      </c>
      <c r="E5266" s="52" t="s">
        <v>584</v>
      </c>
      <c r="F5266" s="52" t="s">
        <v>26</v>
      </c>
      <c r="G5266" s="195" t="s">
        <v>277</v>
      </c>
      <c r="H5266" s="195"/>
      <c r="I5266" s="195">
        <v>0</v>
      </c>
      <c r="J5266" s="195">
        <v>2.3999999999999998E-3</v>
      </c>
      <c r="K5266" s="195">
        <v>7.4400010000000003E-2</v>
      </c>
      <c r="L5266" s="195">
        <v>0</v>
      </c>
      <c r="M5266" s="195">
        <v>0.1184678</v>
      </c>
      <c r="N5266" s="195"/>
    </row>
    <row r="5267" spans="1:14" hidden="1" x14ac:dyDescent="0.35">
      <c r="A5267" s="52" t="s">
        <v>687</v>
      </c>
      <c r="B5267" s="52" t="s">
        <v>282</v>
      </c>
      <c r="C5267" s="52" t="s">
        <v>281</v>
      </c>
      <c r="D5267" s="52" t="s">
        <v>281</v>
      </c>
      <c r="E5267" s="52" t="s">
        <v>584</v>
      </c>
      <c r="F5267" s="52" t="s">
        <v>26</v>
      </c>
      <c r="G5267" s="195" t="s">
        <v>278</v>
      </c>
      <c r="H5267" s="195">
        <v>0.12303600000000001</v>
      </c>
      <c r="I5267" s="195">
        <v>0.12303600000000001</v>
      </c>
      <c r="J5267" s="195">
        <v>1.1459170000000001</v>
      </c>
      <c r="K5267" s="195">
        <v>0.12303600000000001</v>
      </c>
      <c r="L5267" s="195">
        <v>0.12303600000000001</v>
      </c>
      <c r="M5267" s="195">
        <v>1.5518000000000001E-2</v>
      </c>
      <c r="N5267" s="195">
        <v>1.5518000000000001E-2</v>
      </c>
    </row>
    <row r="5268" spans="1:14" hidden="1" x14ac:dyDescent="0.35">
      <c r="A5268" s="52" t="s">
        <v>687</v>
      </c>
      <c r="B5268" s="52" t="s">
        <v>282</v>
      </c>
      <c r="C5268" s="52" t="s">
        <v>281</v>
      </c>
      <c r="D5268" s="52" t="s">
        <v>281</v>
      </c>
      <c r="E5268" s="52" t="s">
        <v>584</v>
      </c>
      <c r="F5268" s="52" t="s">
        <v>26</v>
      </c>
      <c r="G5268" s="195" t="s">
        <v>279</v>
      </c>
      <c r="H5268" s="195"/>
      <c r="I5268" s="195"/>
      <c r="J5268" s="195"/>
      <c r="K5268" s="195">
        <v>0</v>
      </c>
      <c r="L5268" s="195">
        <v>5.7064000000000004E-3</v>
      </c>
      <c r="M5268" s="195">
        <v>5.7064000000000004E-3</v>
      </c>
      <c r="N5268" s="195">
        <v>5.7064000000000004E-3</v>
      </c>
    </row>
    <row r="5269" spans="1:14" hidden="1" x14ac:dyDescent="0.35">
      <c r="A5269" s="52" t="s">
        <v>687</v>
      </c>
      <c r="B5269" s="52" t="s">
        <v>282</v>
      </c>
      <c r="C5269" s="52" t="s">
        <v>365</v>
      </c>
      <c r="D5269" s="52" t="s">
        <v>365</v>
      </c>
      <c r="E5269" s="52" t="s">
        <v>584</v>
      </c>
      <c r="F5269" s="52" t="s">
        <v>581</v>
      </c>
      <c r="G5269" s="195" t="s">
        <v>275</v>
      </c>
      <c r="H5269" s="195"/>
      <c r="I5269" s="195"/>
      <c r="J5269" s="195"/>
      <c r="K5269" s="195">
        <v>0</v>
      </c>
      <c r="L5269" s="195">
        <v>0</v>
      </c>
      <c r="M5269" s="195">
        <v>0</v>
      </c>
      <c r="N5269" s="195">
        <v>0</v>
      </c>
    </row>
    <row r="5270" spans="1:14" hidden="1" x14ac:dyDescent="0.35">
      <c r="A5270" s="52" t="s">
        <v>687</v>
      </c>
      <c r="B5270" s="52" t="s">
        <v>282</v>
      </c>
      <c r="C5270" s="52" t="s">
        <v>365</v>
      </c>
      <c r="D5270" s="52" t="s">
        <v>365</v>
      </c>
      <c r="E5270" s="52" t="s">
        <v>584</v>
      </c>
      <c r="F5270" s="52" t="s">
        <v>581</v>
      </c>
      <c r="G5270" s="195" t="s">
        <v>276</v>
      </c>
      <c r="H5270" s="195"/>
      <c r="I5270" s="195"/>
      <c r="J5270" s="195"/>
      <c r="K5270" s="195">
        <v>0</v>
      </c>
      <c r="L5270" s="195">
        <v>-2.9312000000000001E-3</v>
      </c>
      <c r="M5270" s="195">
        <v>-2.9320000000000001E-3</v>
      </c>
      <c r="N5270" s="195">
        <v>-0.2434762</v>
      </c>
    </row>
    <row r="5271" spans="1:14" hidden="1" x14ac:dyDescent="0.35">
      <c r="A5271" s="52" t="s">
        <v>687</v>
      </c>
      <c r="B5271" s="52" t="s">
        <v>282</v>
      </c>
      <c r="C5271" s="52" t="s">
        <v>365</v>
      </c>
      <c r="D5271" s="52" t="s">
        <v>365</v>
      </c>
      <c r="E5271" s="52" t="s">
        <v>584</v>
      </c>
      <c r="F5271" s="52" t="s">
        <v>581</v>
      </c>
      <c r="G5271" s="195" t="s">
        <v>277</v>
      </c>
      <c r="H5271" s="195"/>
      <c r="I5271" s="195"/>
      <c r="J5271" s="195"/>
      <c r="K5271" s="195"/>
      <c r="L5271" s="195"/>
      <c r="M5271" s="195">
        <v>0</v>
      </c>
      <c r="N5271" s="195"/>
    </row>
    <row r="5272" spans="1:14" hidden="1" x14ac:dyDescent="0.35">
      <c r="A5272" s="52" t="s">
        <v>687</v>
      </c>
      <c r="B5272" s="52" t="s">
        <v>282</v>
      </c>
      <c r="C5272" s="52" t="s">
        <v>365</v>
      </c>
      <c r="D5272" s="52" t="s">
        <v>365</v>
      </c>
      <c r="E5272" s="52" t="s">
        <v>584</v>
      </c>
      <c r="F5272" s="52" t="s">
        <v>581</v>
      </c>
      <c r="G5272" s="195" t="s">
        <v>279</v>
      </c>
      <c r="H5272" s="195"/>
      <c r="I5272" s="195"/>
      <c r="J5272" s="195"/>
      <c r="K5272" s="195">
        <v>0</v>
      </c>
      <c r="L5272" s="195">
        <v>2.9328000000000002E-3</v>
      </c>
      <c r="M5272" s="195">
        <v>2.9312000000000001E-3</v>
      </c>
      <c r="N5272" s="195">
        <v>2.9328000000000002E-3</v>
      </c>
    </row>
    <row r="5273" spans="1:14" hidden="1" x14ac:dyDescent="0.35">
      <c r="A5273" s="52" t="s">
        <v>687</v>
      </c>
      <c r="B5273" s="52" t="s">
        <v>282</v>
      </c>
      <c r="C5273" s="52" t="s">
        <v>365</v>
      </c>
      <c r="D5273" s="52" t="s">
        <v>365</v>
      </c>
      <c r="E5273" s="52" t="s">
        <v>584</v>
      </c>
      <c r="F5273" s="52" t="s">
        <v>26</v>
      </c>
      <c r="G5273" s="195" t="s">
        <v>275</v>
      </c>
      <c r="H5273" s="195">
        <v>-0.23926239999999999</v>
      </c>
      <c r="I5273" s="195">
        <v>-0.23926239999999999</v>
      </c>
      <c r="J5273" s="195">
        <v>0</v>
      </c>
      <c r="K5273" s="195">
        <v>0</v>
      </c>
      <c r="L5273" s="195">
        <v>0</v>
      </c>
      <c r="M5273" s="195">
        <v>0</v>
      </c>
      <c r="N5273" s="195">
        <v>0</v>
      </c>
    </row>
    <row r="5274" spans="1:14" hidden="1" x14ac:dyDescent="0.35">
      <c r="A5274" s="52" t="s">
        <v>687</v>
      </c>
      <c r="B5274" s="52" t="s">
        <v>282</v>
      </c>
      <c r="C5274" s="52" t="s">
        <v>365</v>
      </c>
      <c r="D5274" s="52" t="s">
        <v>365</v>
      </c>
      <c r="E5274" s="52" t="s">
        <v>584</v>
      </c>
      <c r="F5274" s="52" t="s">
        <v>26</v>
      </c>
      <c r="G5274" s="195" t="s">
        <v>276</v>
      </c>
      <c r="H5274" s="195"/>
      <c r="I5274" s="195"/>
      <c r="J5274" s="195">
        <v>-2.9965890000000002</v>
      </c>
      <c r="K5274" s="195">
        <v>-0.30526239999999999</v>
      </c>
      <c r="L5274" s="195">
        <v>-0.25114239999999999</v>
      </c>
      <c r="M5274" s="195">
        <v>-1.53653</v>
      </c>
      <c r="N5274" s="195">
        <v>-4.0498659999999997</v>
      </c>
    </row>
    <row r="5275" spans="1:14" hidden="1" x14ac:dyDescent="0.35">
      <c r="A5275" s="52" t="s">
        <v>687</v>
      </c>
      <c r="B5275" s="52" t="s">
        <v>282</v>
      </c>
      <c r="C5275" s="52" t="s">
        <v>365</v>
      </c>
      <c r="D5275" s="52" t="s">
        <v>365</v>
      </c>
      <c r="E5275" s="52" t="s">
        <v>584</v>
      </c>
      <c r="F5275" s="52" t="s">
        <v>26</v>
      </c>
      <c r="G5275" s="195" t="s">
        <v>277</v>
      </c>
      <c r="H5275" s="195"/>
      <c r="I5275" s="195">
        <v>0</v>
      </c>
      <c r="J5275" s="195">
        <v>6.0000000000000001E-3</v>
      </c>
      <c r="K5275" s="195">
        <v>6.6000000000000003E-2</v>
      </c>
      <c r="L5275" s="195">
        <v>0</v>
      </c>
      <c r="M5275" s="195"/>
      <c r="N5275" s="195"/>
    </row>
    <row r="5276" spans="1:14" hidden="1" x14ac:dyDescent="0.35">
      <c r="A5276" s="52" t="s">
        <v>687</v>
      </c>
      <c r="B5276" s="52" t="s">
        <v>282</v>
      </c>
      <c r="C5276" s="52" t="s">
        <v>365</v>
      </c>
      <c r="D5276" s="52" t="s">
        <v>365</v>
      </c>
      <c r="E5276" s="52" t="s">
        <v>584</v>
      </c>
      <c r="F5276" s="52" t="s">
        <v>26</v>
      </c>
      <c r="G5276" s="195" t="s">
        <v>278</v>
      </c>
      <c r="H5276" s="195">
        <v>0.23926239999999999</v>
      </c>
      <c r="I5276" s="195">
        <v>0.23926239999999999</v>
      </c>
      <c r="J5276" s="195">
        <v>2.9905889999999999</v>
      </c>
      <c r="K5276" s="195">
        <v>0.23926239999999999</v>
      </c>
      <c r="L5276" s="195">
        <v>0.23926239999999999</v>
      </c>
      <c r="M5276" s="195">
        <v>3.0507200000000002E-2</v>
      </c>
      <c r="N5276" s="195">
        <v>3.0507200000000002E-2</v>
      </c>
    </row>
    <row r="5277" spans="1:14" hidden="1" x14ac:dyDescent="0.35">
      <c r="A5277" s="52" t="s">
        <v>687</v>
      </c>
      <c r="B5277" s="52" t="s">
        <v>282</v>
      </c>
      <c r="C5277" s="52" t="s">
        <v>365</v>
      </c>
      <c r="D5277" s="52" t="s">
        <v>365</v>
      </c>
      <c r="E5277" s="52" t="s">
        <v>584</v>
      </c>
      <c r="F5277" s="52" t="s">
        <v>26</v>
      </c>
      <c r="G5277" s="195" t="s">
        <v>279</v>
      </c>
      <c r="H5277" s="195"/>
      <c r="I5277" s="195"/>
      <c r="J5277" s="195"/>
      <c r="K5277" s="195">
        <v>0</v>
      </c>
      <c r="L5277" s="195">
        <v>1.188E-2</v>
      </c>
      <c r="M5277" s="195">
        <v>1.188E-2</v>
      </c>
      <c r="N5277" s="195">
        <v>1.188E-2</v>
      </c>
    </row>
    <row r="5278" spans="1:14" hidden="1" x14ac:dyDescent="0.35">
      <c r="A5278" s="52" t="s">
        <v>673</v>
      </c>
      <c r="B5278" s="52" t="s">
        <v>37</v>
      </c>
      <c r="C5278" s="52" t="s">
        <v>46</v>
      </c>
      <c r="D5278" s="52" t="s">
        <v>46</v>
      </c>
      <c r="E5278" s="52" t="s">
        <v>641</v>
      </c>
      <c r="F5278" s="52" t="s">
        <v>26</v>
      </c>
      <c r="G5278" s="195" t="s">
        <v>275</v>
      </c>
      <c r="H5278" s="195">
        <v>-148.44280000000001</v>
      </c>
      <c r="I5278" s="195">
        <v>334.50599999999997</v>
      </c>
      <c r="J5278" s="195">
        <v>400.74189999999999</v>
      </c>
      <c r="K5278" s="195">
        <v>403.93920000000003</v>
      </c>
      <c r="L5278" s="195">
        <v>372.76209999999998</v>
      </c>
      <c r="M5278" s="195">
        <v>329.67380000000003</v>
      </c>
      <c r="N5278" s="195">
        <v>330.15780000000001</v>
      </c>
    </row>
    <row r="5279" spans="1:14" hidden="1" x14ac:dyDescent="0.35">
      <c r="A5279" s="52" t="s">
        <v>673</v>
      </c>
      <c r="B5279" s="52" t="s">
        <v>37</v>
      </c>
      <c r="C5279" s="52" t="s">
        <v>46</v>
      </c>
      <c r="D5279" s="52" t="s">
        <v>46</v>
      </c>
      <c r="E5279" s="52" t="s">
        <v>641</v>
      </c>
      <c r="F5279" s="52" t="s">
        <v>26</v>
      </c>
      <c r="G5279" s="195" t="s">
        <v>276</v>
      </c>
      <c r="H5279" s="195">
        <v>72.985600000000005</v>
      </c>
      <c r="I5279" s="195">
        <v>59.167369999999998</v>
      </c>
      <c r="J5279" s="195">
        <v>55.076740000000001</v>
      </c>
      <c r="K5279" s="195">
        <v>32.906930000000003</v>
      </c>
      <c r="L5279" s="195">
        <v>34.696190000000001</v>
      </c>
      <c r="M5279" s="195">
        <v>96.567549999999997</v>
      </c>
      <c r="N5279" s="195">
        <v>110.229</v>
      </c>
    </row>
    <row r="5280" spans="1:14" hidden="1" x14ac:dyDescent="0.35">
      <c r="A5280" s="52" t="s">
        <v>673</v>
      </c>
      <c r="B5280" s="52" t="s">
        <v>37</v>
      </c>
      <c r="C5280" s="52" t="s">
        <v>46</v>
      </c>
      <c r="D5280" s="52" t="s">
        <v>46</v>
      </c>
      <c r="E5280" s="52" t="s">
        <v>641</v>
      </c>
      <c r="F5280" s="52" t="s">
        <v>26</v>
      </c>
      <c r="G5280" s="195" t="s">
        <v>277</v>
      </c>
      <c r="H5280" s="195">
        <v>588.11670000000004</v>
      </c>
      <c r="I5280" s="195">
        <v>90.954189999999997</v>
      </c>
      <c r="J5280" s="195">
        <v>54.265740000000001</v>
      </c>
      <c r="K5280" s="195">
        <v>37.206980000000001</v>
      </c>
      <c r="L5280" s="195">
        <v>53.165039999999998</v>
      </c>
      <c r="M5280" s="195">
        <v>63.786679999999997</v>
      </c>
      <c r="N5280" s="195">
        <v>78.201400000000007</v>
      </c>
    </row>
    <row r="5281" spans="1:14" hidden="1" x14ac:dyDescent="0.35">
      <c r="A5281" s="52" t="s">
        <v>673</v>
      </c>
      <c r="B5281" s="52" t="s">
        <v>37</v>
      </c>
      <c r="C5281" s="52" t="s">
        <v>46</v>
      </c>
      <c r="D5281" s="52" t="s">
        <v>46</v>
      </c>
      <c r="E5281" s="52" t="s">
        <v>641</v>
      </c>
      <c r="F5281" s="52" t="s">
        <v>26</v>
      </c>
      <c r="G5281" s="195" t="s">
        <v>278</v>
      </c>
      <c r="H5281" s="195">
        <v>151.73820000000001</v>
      </c>
      <c r="I5281" s="195">
        <v>70.989590000000007</v>
      </c>
      <c r="J5281" s="195">
        <v>56.125720000000001</v>
      </c>
      <c r="K5281" s="195">
        <v>64.344930000000005</v>
      </c>
      <c r="L5281" s="195">
        <v>67.999179999999996</v>
      </c>
      <c r="M5281" s="195">
        <v>78.045140000000004</v>
      </c>
      <c r="N5281" s="195">
        <v>101.67870000000001</v>
      </c>
    </row>
    <row r="5282" spans="1:14" hidden="1" x14ac:dyDescent="0.35">
      <c r="A5282" s="52" t="s">
        <v>673</v>
      </c>
      <c r="B5282" s="52" t="s">
        <v>37</v>
      </c>
      <c r="C5282" s="52" t="s">
        <v>46</v>
      </c>
      <c r="D5282" s="52" t="s">
        <v>46</v>
      </c>
      <c r="E5282" s="52" t="s">
        <v>641</v>
      </c>
      <c r="F5282" s="52" t="s">
        <v>26</v>
      </c>
      <c r="G5282" s="195" t="s">
        <v>279</v>
      </c>
      <c r="H5282" s="195">
        <v>323.78739999999999</v>
      </c>
      <c r="I5282" s="195">
        <v>307.66109999999998</v>
      </c>
      <c r="J5282" s="195">
        <v>300.18729999999999</v>
      </c>
      <c r="K5282" s="195">
        <v>299.23149999999998</v>
      </c>
      <c r="L5282" s="195">
        <v>325.74680000000001</v>
      </c>
      <c r="M5282" s="195">
        <v>347.59100000000001</v>
      </c>
      <c r="N5282" s="195">
        <v>378.93270000000001</v>
      </c>
    </row>
    <row r="5283" spans="1:14" hidden="1" x14ac:dyDescent="0.35">
      <c r="A5283" s="52" t="s">
        <v>673</v>
      </c>
      <c r="B5283" s="52" t="s">
        <v>37</v>
      </c>
      <c r="C5283" s="52" t="s">
        <v>46</v>
      </c>
      <c r="D5283" s="52" t="s">
        <v>46</v>
      </c>
      <c r="E5283" s="52" t="s">
        <v>584</v>
      </c>
      <c r="F5283" s="52" t="s">
        <v>581</v>
      </c>
      <c r="G5283" s="195" t="s">
        <v>275</v>
      </c>
      <c r="H5283" s="195">
        <v>2.565493</v>
      </c>
      <c r="I5283" s="195">
        <v>-1.07457</v>
      </c>
      <c r="J5283" s="195">
        <v>-1.0875680000000001</v>
      </c>
      <c r="K5283" s="195">
        <v>-1.02037</v>
      </c>
      <c r="L5283" s="195">
        <v>-1.2738020000000001</v>
      </c>
      <c r="M5283" s="195">
        <v>-1.1328009999999999</v>
      </c>
      <c r="N5283" s="195">
        <v>-1.0388489999999999</v>
      </c>
    </row>
    <row r="5284" spans="1:14" hidden="1" x14ac:dyDescent="0.35">
      <c r="A5284" s="52" t="s">
        <v>673</v>
      </c>
      <c r="B5284" s="52" t="s">
        <v>37</v>
      </c>
      <c r="C5284" s="52" t="s">
        <v>46</v>
      </c>
      <c r="D5284" s="52" t="s">
        <v>46</v>
      </c>
      <c r="E5284" s="52" t="s">
        <v>584</v>
      </c>
      <c r="F5284" s="52" t="s">
        <v>581</v>
      </c>
      <c r="G5284" s="195" t="s">
        <v>276</v>
      </c>
      <c r="H5284" s="195">
        <v>0.68196599999999996</v>
      </c>
      <c r="I5284" s="195">
        <v>-0.28564499999999998</v>
      </c>
      <c r="J5284" s="195">
        <v>-0.28910239999999998</v>
      </c>
      <c r="K5284" s="195">
        <v>-0.27123819999999998</v>
      </c>
      <c r="L5284" s="195">
        <v>-0.3386054</v>
      </c>
      <c r="M5284" s="195">
        <v>-0.3011258</v>
      </c>
      <c r="N5284" s="195">
        <v>-0.27615079999999997</v>
      </c>
    </row>
    <row r="5285" spans="1:14" hidden="1" x14ac:dyDescent="0.35">
      <c r="A5285" s="52" t="s">
        <v>673</v>
      </c>
      <c r="B5285" s="52" t="s">
        <v>37</v>
      </c>
      <c r="C5285" s="52" t="s">
        <v>46</v>
      </c>
      <c r="D5285" s="52" t="s">
        <v>46</v>
      </c>
      <c r="E5285" s="52" t="s">
        <v>584</v>
      </c>
      <c r="F5285" s="52" t="s">
        <v>581</v>
      </c>
      <c r="G5285" s="195" t="s">
        <v>279</v>
      </c>
      <c r="H5285" s="195">
        <v>5.678655</v>
      </c>
      <c r="I5285" s="195">
        <v>4.4329970000000003</v>
      </c>
      <c r="J5285" s="195">
        <v>3.7929930000000001</v>
      </c>
      <c r="K5285" s="195">
        <v>3.4986510000000002</v>
      </c>
      <c r="L5285" s="195">
        <v>3.636784</v>
      </c>
      <c r="M5285" s="195">
        <v>3.3019829999999999</v>
      </c>
      <c r="N5285" s="195">
        <v>3.0319790000000002</v>
      </c>
    </row>
    <row r="5286" spans="1:14" hidden="1" x14ac:dyDescent="0.35">
      <c r="A5286" s="52" t="s">
        <v>673</v>
      </c>
      <c r="B5286" s="52" t="s">
        <v>37</v>
      </c>
      <c r="C5286" s="52" t="s">
        <v>46</v>
      </c>
      <c r="D5286" s="52" t="s">
        <v>46</v>
      </c>
      <c r="E5286" s="52" t="s">
        <v>584</v>
      </c>
      <c r="F5286" s="52" t="s">
        <v>26</v>
      </c>
      <c r="G5286" s="195" t="s">
        <v>275</v>
      </c>
      <c r="H5286" s="195">
        <v>55.81823</v>
      </c>
      <c r="I5286" s="195">
        <v>31.877459999999999</v>
      </c>
      <c r="J5286" s="195">
        <v>29.340779999999999</v>
      </c>
      <c r="K5286" s="195">
        <v>25.18056</v>
      </c>
      <c r="L5286" s="195">
        <v>18.925000000000001</v>
      </c>
      <c r="M5286" s="195">
        <v>17.221879999999999</v>
      </c>
      <c r="N5286" s="195">
        <v>5.0845159999999998</v>
      </c>
    </row>
    <row r="5287" spans="1:14" hidden="1" x14ac:dyDescent="0.35">
      <c r="A5287" s="52" t="s">
        <v>673</v>
      </c>
      <c r="B5287" s="52" t="s">
        <v>37</v>
      </c>
      <c r="C5287" s="52" t="s">
        <v>46</v>
      </c>
      <c r="D5287" s="52" t="s">
        <v>46</v>
      </c>
      <c r="E5287" s="52" t="s">
        <v>584</v>
      </c>
      <c r="F5287" s="52" t="s">
        <v>26</v>
      </c>
      <c r="G5287" s="195" t="s">
        <v>276</v>
      </c>
      <c r="H5287" s="195">
        <v>3.2287499999999998</v>
      </c>
      <c r="I5287" s="195">
        <v>-0.73070469999999998</v>
      </c>
      <c r="J5287" s="195">
        <v>-0.69212200000000001</v>
      </c>
      <c r="K5287" s="195">
        <v>1.7425900000000001</v>
      </c>
      <c r="L5287" s="195">
        <v>4.8850889999999998</v>
      </c>
      <c r="M5287" s="195">
        <v>4.4614830000000003</v>
      </c>
      <c r="N5287" s="195">
        <v>3.9119250000000001</v>
      </c>
    </row>
    <row r="5288" spans="1:14" hidden="1" x14ac:dyDescent="0.35">
      <c r="A5288" s="52" t="s">
        <v>673</v>
      </c>
      <c r="B5288" s="52" t="s">
        <v>37</v>
      </c>
      <c r="C5288" s="52" t="s">
        <v>46</v>
      </c>
      <c r="D5288" s="52" t="s">
        <v>46</v>
      </c>
      <c r="E5288" s="52" t="s">
        <v>584</v>
      </c>
      <c r="F5288" s="52" t="s">
        <v>26</v>
      </c>
      <c r="G5288" s="195" t="s">
        <v>277</v>
      </c>
      <c r="H5288" s="195">
        <v>5.0000000000000004E-6</v>
      </c>
      <c r="I5288" s="195">
        <v>0</v>
      </c>
      <c r="J5288" s="195">
        <v>1.4777290000000001</v>
      </c>
      <c r="K5288" s="195">
        <v>2.2413439999999998</v>
      </c>
      <c r="L5288" s="195">
        <v>0</v>
      </c>
      <c r="M5288" s="195">
        <v>0</v>
      </c>
      <c r="N5288" s="195">
        <v>13.0832</v>
      </c>
    </row>
    <row r="5289" spans="1:14" hidden="1" x14ac:dyDescent="0.35">
      <c r="A5289" s="52" t="s">
        <v>673</v>
      </c>
      <c r="B5289" s="52" t="s">
        <v>37</v>
      </c>
      <c r="C5289" s="52" t="s">
        <v>46</v>
      </c>
      <c r="D5289" s="52" t="s">
        <v>46</v>
      </c>
      <c r="E5289" s="52" t="s">
        <v>584</v>
      </c>
      <c r="F5289" s="52" t="s">
        <v>26</v>
      </c>
      <c r="G5289" s="195" t="s">
        <v>279</v>
      </c>
      <c r="H5289" s="195">
        <v>50.500500000000002</v>
      </c>
      <c r="I5289" s="195">
        <v>36.849850000000004</v>
      </c>
      <c r="J5289" s="195">
        <v>32.362909999999999</v>
      </c>
      <c r="K5289" s="195">
        <v>31.423159999999999</v>
      </c>
      <c r="L5289" s="195">
        <v>31.642969999999998</v>
      </c>
      <c r="M5289" s="195">
        <v>28.597999999999999</v>
      </c>
      <c r="N5289" s="195">
        <v>27.464950000000002</v>
      </c>
    </row>
    <row r="5290" spans="1:14" hidden="1" x14ac:dyDescent="0.35">
      <c r="A5290" s="52" t="s">
        <v>673</v>
      </c>
      <c r="B5290" s="52" t="s">
        <v>37</v>
      </c>
      <c r="C5290" s="52" t="s">
        <v>51</v>
      </c>
      <c r="D5290" s="52" t="s">
        <v>51</v>
      </c>
      <c r="E5290" s="52" t="s">
        <v>602</v>
      </c>
      <c r="F5290" s="52" t="s">
        <v>581</v>
      </c>
      <c r="G5290" s="195" t="s">
        <v>275</v>
      </c>
      <c r="H5290" s="195">
        <v>100.14360000000001</v>
      </c>
      <c r="I5290" s="195">
        <v>33.22954</v>
      </c>
      <c r="J5290" s="195">
        <v>23.66067</v>
      </c>
      <c r="K5290" s="195">
        <v>26.573550000000001</v>
      </c>
      <c r="L5290" s="195">
        <v>15.423120000000001</v>
      </c>
      <c r="M5290" s="195">
        <v>13.02933</v>
      </c>
      <c r="N5290" s="195">
        <v>9.1379380000000001</v>
      </c>
    </row>
    <row r="5291" spans="1:14" hidden="1" x14ac:dyDescent="0.35">
      <c r="A5291" s="52" t="s">
        <v>673</v>
      </c>
      <c r="B5291" s="52" t="s">
        <v>37</v>
      </c>
      <c r="C5291" s="52" t="s">
        <v>51</v>
      </c>
      <c r="D5291" s="52" t="s">
        <v>51</v>
      </c>
      <c r="E5291" s="52" t="s">
        <v>602</v>
      </c>
      <c r="F5291" s="52" t="s">
        <v>581</v>
      </c>
      <c r="G5291" s="195" t="s">
        <v>276</v>
      </c>
      <c r="H5291" s="195">
        <v>9.9298830000000002</v>
      </c>
      <c r="I5291" s="195">
        <v>0.9841491</v>
      </c>
      <c r="J5291" s="195">
        <v>-0.60405580000000003</v>
      </c>
      <c r="K5291" s="195">
        <v>-4.9709479999999999</v>
      </c>
      <c r="L5291" s="195">
        <v>3.5541390000000002</v>
      </c>
      <c r="M5291" s="195">
        <v>3.6128040000000001</v>
      </c>
      <c r="N5291" s="195">
        <v>3.0241250000000002</v>
      </c>
    </row>
    <row r="5292" spans="1:14" hidden="1" x14ac:dyDescent="0.35">
      <c r="A5292" s="52" t="s">
        <v>673</v>
      </c>
      <c r="B5292" s="52" t="s">
        <v>37</v>
      </c>
      <c r="C5292" s="52" t="s">
        <v>51</v>
      </c>
      <c r="D5292" s="52" t="s">
        <v>51</v>
      </c>
      <c r="E5292" s="52" t="s">
        <v>602</v>
      </c>
      <c r="F5292" s="52" t="s">
        <v>581</v>
      </c>
      <c r="G5292" s="195" t="s">
        <v>277</v>
      </c>
      <c r="H5292" s="195">
        <v>4.9820479999999998</v>
      </c>
      <c r="I5292" s="195">
        <v>0.25154539999999997</v>
      </c>
      <c r="J5292" s="195">
        <v>2.6091989999999998</v>
      </c>
      <c r="K5292" s="195">
        <v>0.72875900000000005</v>
      </c>
      <c r="L5292" s="195">
        <v>0.2940934</v>
      </c>
      <c r="M5292" s="195">
        <v>0.42446919999999999</v>
      </c>
      <c r="N5292" s="195">
        <v>2.0049990000000002</v>
      </c>
    </row>
    <row r="5293" spans="1:14" hidden="1" x14ac:dyDescent="0.35">
      <c r="A5293" s="52" t="s">
        <v>673</v>
      </c>
      <c r="B5293" s="52" t="s">
        <v>37</v>
      </c>
      <c r="C5293" s="52" t="s">
        <v>51</v>
      </c>
      <c r="D5293" s="52" t="s">
        <v>51</v>
      </c>
      <c r="E5293" s="52" t="s">
        <v>602</v>
      </c>
      <c r="F5293" s="52" t="s">
        <v>581</v>
      </c>
      <c r="G5293" s="195" t="s">
        <v>278</v>
      </c>
      <c r="H5293" s="195">
        <v>0.51795199999999997</v>
      </c>
      <c r="I5293" s="195">
        <v>0</v>
      </c>
      <c r="J5293" s="195">
        <v>1.0722210000000001</v>
      </c>
      <c r="K5293" s="195">
        <v>1.1400189999999999</v>
      </c>
      <c r="L5293" s="195">
        <v>0.95089979999999996</v>
      </c>
      <c r="M5293" s="195">
        <v>1.425657</v>
      </c>
      <c r="N5293" s="195">
        <v>3.4864739999999999</v>
      </c>
    </row>
    <row r="5294" spans="1:14" hidden="1" x14ac:dyDescent="0.35">
      <c r="A5294" s="52" t="s">
        <v>673</v>
      </c>
      <c r="B5294" s="52" t="s">
        <v>37</v>
      </c>
      <c r="C5294" s="52" t="s">
        <v>51</v>
      </c>
      <c r="D5294" s="52" t="s">
        <v>51</v>
      </c>
      <c r="E5294" s="52" t="s">
        <v>602</v>
      </c>
      <c r="F5294" s="52" t="s">
        <v>581</v>
      </c>
      <c r="G5294" s="195" t="s">
        <v>279</v>
      </c>
      <c r="H5294" s="195">
        <v>27.008310000000002</v>
      </c>
      <c r="I5294" s="195">
        <v>18.497260000000001</v>
      </c>
      <c r="J5294" s="195">
        <v>16.208659999999998</v>
      </c>
      <c r="K5294" s="195">
        <v>14.524609999999999</v>
      </c>
      <c r="L5294" s="195">
        <v>14.84125</v>
      </c>
      <c r="M5294" s="195">
        <v>13.24957</v>
      </c>
      <c r="N5294" s="195">
        <v>12.611800000000001</v>
      </c>
    </row>
    <row r="5295" spans="1:14" hidden="1" x14ac:dyDescent="0.35">
      <c r="A5295" s="52" t="s">
        <v>673</v>
      </c>
      <c r="B5295" s="52" t="s">
        <v>37</v>
      </c>
      <c r="C5295" s="52" t="s">
        <v>51</v>
      </c>
      <c r="D5295" s="52" t="s">
        <v>51</v>
      </c>
      <c r="E5295" s="52" t="s">
        <v>602</v>
      </c>
      <c r="F5295" s="52" t="s">
        <v>26</v>
      </c>
      <c r="G5295" s="195" t="s">
        <v>275</v>
      </c>
      <c r="H5295" s="195">
        <v>5.2384130000000004</v>
      </c>
      <c r="I5295" s="195">
        <v>2.57117</v>
      </c>
      <c r="J5295" s="195">
        <v>2.5539619999999998</v>
      </c>
      <c r="K5295" s="195">
        <v>2.2131150000000002</v>
      </c>
      <c r="L5295" s="195">
        <v>1.849029</v>
      </c>
      <c r="M5295" s="195">
        <v>1.68458</v>
      </c>
      <c r="N5295" s="195">
        <v>1.607275</v>
      </c>
    </row>
    <row r="5296" spans="1:14" hidden="1" x14ac:dyDescent="0.35">
      <c r="A5296" s="52" t="s">
        <v>673</v>
      </c>
      <c r="B5296" s="52" t="s">
        <v>37</v>
      </c>
      <c r="C5296" s="52" t="s">
        <v>51</v>
      </c>
      <c r="D5296" s="52" t="s">
        <v>51</v>
      </c>
      <c r="E5296" s="52" t="s">
        <v>602</v>
      </c>
      <c r="F5296" s="52" t="s">
        <v>26</v>
      </c>
      <c r="G5296" s="195" t="s">
        <v>276</v>
      </c>
      <c r="H5296" s="195">
        <v>1.392487</v>
      </c>
      <c r="I5296" s="195">
        <v>0.68347340000000001</v>
      </c>
      <c r="J5296" s="195">
        <v>0.67890119999999998</v>
      </c>
      <c r="K5296" s="195">
        <v>0.58829620000000005</v>
      </c>
      <c r="L5296" s="195">
        <v>0.49151359999999999</v>
      </c>
      <c r="M5296" s="195">
        <v>0.447799</v>
      </c>
      <c r="N5296" s="195">
        <v>0.4272512</v>
      </c>
    </row>
    <row r="5297" spans="1:14" hidden="1" x14ac:dyDescent="0.35">
      <c r="A5297" s="52" t="s">
        <v>673</v>
      </c>
      <c r="B5297" s="52" t="s">
        <v>37</v>
      </c>
      <c r="C5297" s="52" t="s">
        <v>51</v>
      </c>
      <c r="D5297" s="52" t="s">
        <v>51</v>
      </c>
      <c r="E5297" s="52" t="s">
        <v>602</v>
      </c>
      <c r="F5297" s="52" t="s">
        <v>26</v>
      </c>
      <c r="G5297" s="195" t="s">
        <v>279</v>
      </c>
      <c r="H5297" s="195">
        <v>4.6448479999999996</v>
      </c>
      <c r="I5297" s="195">
        <v>2.790457</v>
      </c>
      <c r="J5297" s="195">
        <v>2.5309650000000001</v>
      </c>
      <c r="K5297" s="195">
        <v>2.2843529999999999</v>
      </c>
      <c r="L5297" s="195">
        <v>2.3357540000000001</v>
      </c>
      <c r="M5297" s="195">
        <v>2.0854219999999999</v>
      </c>
      <c r="N5297" s="195">
        <v>1.9847440000000001</v>
      </c>
    </row>
    <row r="5298" spans="1:14" hidden="1" x14ac:dyDescent="0.35">
      <c r="A5298" s="52" t="s">
        <v>673</v>
      </c>
      <c r="B5298" s="52" t="s">
        <v>37</v>
      </c>
      <c r="C5298" s="52" t="s">
        <v>79</v>
      </c>
      <c r="D5298" s="52" t="s">
        <v>79</v>
      </c>
      <c r="E5298" s="52" t="s">
        <v>615</v>
      </c>
      <c r="F5298" s="52" t="s">
        <v>581</v>
      </c>
      <c r="G5298" s="195" t="s">
        <v>275</v>
      </c>
      <c r="H5298" s="195">
        <v>-16.32583</v>
      </c>
      <c r="I5298" s="195">
        <v>1.6148910000000001</v>
      </c>
      <c r="J5298" s="195">
        <v>7.7684920000000005E-2</v>
      </c>
      <c r="K5298" s="195">
        <v>-1.9687369999999999E-2</v>
      </c>
      <c r="L5298" s="195">
        <v>0.94634410000000002</v>
      </c>
      <c r="M5298" s="195">
        <v>0.62089629999999996</v>
      </c>
      <c r="N5298" s="195">
        <v>0.54981230000000003</v>
      </c>
    </row>
    <row r="5299" spans="1:14" hidden="1" x14ac:dyDescent="0.35">
      <c r="A5299" s="52" t="s">
        <v>673</v>
      </c>
      <c r="B5299" s="52" t="s">
        <v>37</v>
      </c>
      <c r="C5299" s="52" t="s">
        <v>79</v>
      </c>
      <c r="D5299" s="52" t="s">
        <v>79</v>
      </c>
      <c r="E5299" s="52" t="s">
        <v>615</v>
      </c>
      <c r="F5299" s="52" t="s">
        <v>581</v>
      </c>
      <c r="G5299" s="195" t="s">
        <v>276</v>
      </c>
      <c r="H5299" s="195">
        <v>-0.187221</v>
      </c>
      <c r="I5299" s="195">
        <v>-0.44095499999999999</v>
      </c>
      <c r="J5299" s="195">
        <v>-0.44420880000000001</v>
      </c>
      <c r="K5299" s="195">
        <v>-0.3671624</v>
      </c>
      <c r="L5299" s="195">
        <v>-1.745358</v>
      </c>
      <c r="M5299" s="195">
        <v>2.2291999999999999E-2</v>
      </c>
      <c r="N5299" s="195">
        <v>-7.3494400000000001E-2</v>
      </c>
    </row>
    <row r="5300" spans="1:14" hidden="1" x14ac:dyDescent="0.35">
      <c r="A5300" s="52" t="s">
        <v>673</v>
      </c>
      <c r="B5300" s="52" t="s">
        <v>37</v>
      </c>
      <c r="C5300" s="52" t="s">
        <v>79</v>
      </c>
      <c r="D5300" s="52" t="s">
        <v>79</v>
      </c>
      <c r="E5300" s="52" t="s">
        <v>615</v>
      </c>
      <c r="F5300" s="52" t="s">
        <v>581</v>
      </c>
      <c r="G5300" s="195" t="s">
        <v>277</v>
      </c>
      <c r="H5300" s="195">
        <v>5.0124709999999997</v>
      </c>
      <c r="I5300" s="195">
        <v>0</v>
      </c>
      <c r="J5300" s="195">
        <v>0.46811360000000002</v>
      </c>
      <c r="K5300" s="195">
        <v>0.40900180000000003</v>
      </c>
      <c r="L5300" s="195">
        <v>1.246829</v>
      </c>
      <c r="M5300" s="195">
        <v>0</v>
      </c>
      <c r="N5300" s="195">
        <v>0</v>
      </c>
    </row>
    <row r="5301" spans="1:14" hidden="1" x14ac:dyDescent="0.35">
      <c r="A5301" s="52" t="s">
        <v>673</v>
      </c>
      <c r="B5301" s="52" t="s">
        <v>37</v>
      </c>
      <c r="C5301" s="52" t="s">
        <v>79</v>
      </c>
      <c r="D5301" s="52" t="s">
        <v>79</v>
      </c>
      <c r="E5301" s="52" t="s">
        <v>615</v>
      </c>
      <c r="F5301" s="52" t="s">
        <v>581</v>
      </c>
      <c r="G5301" s="195" t="s">
        <v>278</v>
      </c>
      <c r="H5301" s="195">
        <v>14.587529999999999</v>
      </c>
      <c r="I5301" s="195">
        <v>0</v>
      </c>
      <c r="J5301" s="195">
        <v>0.65535699999999997</v>
      </c>
      <c r="K5301" s="195">
        <v>0.76590760000000002</v>
      </c>
      <c r="L5301" s="195">
        <v>0.49421900000000002</v>
      </c>
      <c r="M5301" s="195">
        <v>0</v>
      </c>
      <c r="N5301" s="195"/>
    </row>
    <row r="5302" spans="1:14" hidden="1" x14ac:dyDescent="0.35">
      <c r="A5302" s="52" t="s">
        <v>673</v>
      </c>
      <c r="B5302" s="52" t="s">
        <v>37</v>
      </c>
      <c r="C5302" s="52" t="s">
        <v>79</v>
      </c>
      <c r="D5302" s="52" t="s">
        <v>79</v>
      </c>
      <c r="E5302" s="52" t="s">
        <v>615</v>
      </c>
      <c r="F5302" s="52" t="s">
        <v>581</v>
      </c>
      <c r="G5302" s="195" t="s">
        <v>279</v>
      </c>
      <c r="H5302" s="195">
        <v>0.45092700000000002</v>
      </c>
      <c r="I5302" s="195">
        <v>0.26413920000000002</v>
      </c>
      <c r="J5302" s="195">
        <v>0.18037</v>
      </c>
      <c r="K5302" s="195">
        <v>0.1910258</v>
      </c>
      <c r="L5302" s="195">
        <v>0.24626880000000001</v>
      </c>
      <c r="M5302" s="195">
        <v>0.1670442</v>
      </c>
      <c r="N5302" s="195">
        <v>0.1238764</v>
      </c>
    </row>
    <row r="5303" spans="1:14" hidden="1" x14ac:dyDescent="0.35">
      <c r="A5303" s="52" t="s">
        <v>673</v>
      </c>
      <c r="B5303" s="52" t="s">
        <v>37</v>
      </c>
      <c r="C5303" s="52" t="s">
        <v>79</v>
      </c>
      <c r="D5303" s="52" t="s">
        <v>79</v>
      </c>
      <c r="E5303" s="52" t="s">
        <v>615</v>
      </c>
      <c r="F5303" s="52" t="s">
        <v>26</v>
      </c>
      <c r="G5303" s="195" t="s">
        <v>275</v>
      </c>
      <c r="H5303" s="195">
        <v>3.8802000000000003E-2</v>
      </c>
      <c r="I5303" s="195">
        <v>3.2205999999999999E-2</v>
      </c>
      <c r="J5303" s="195">
        <v>2.4704799999999999E-2</v>
      </c>
      <c r="K5303" s="195">
        <v>2.5226200000000001E-2</v>
      </c>
      <c r="L5303" s="195">
        <v>2.9219800000000001E-2</v>
      </c>
      <c r="M5303" s="195">
        <v>1.9972799999999999E-2</v>
      </c>
      <c r="N5303" s="195">
        <v>1.48358E-2</v>
      </c>
    </row>
    <row r="5304" spans="1:14" hidden="1" x14ac:dyDescent="0.35">
      <c r="A5304" s="52" t="s">
        <v>673</v>
      </c>
      <c r="B5304" s="52" t="s">
        <v>37</v>
      </c>
      <c r="C5304" s="52" t="s">
        <v>79</v>
      </c>
      <c r="D5304" s="52" t="s">
        <v>79</v>
      </c>
      <c r="E5304" s="52" t="s">
        <v>615</v>
      </c>
      <c r="F5304" s="52" t="s">
        <v>26</v>
      </c>
      <c r="G5304" s="195" t="s">
        <v>276</v>
      </c>
      <c r="H5304" s="195">
        <v>1.1247999999999999E-2</v>
      </c>
      <c r="I5304" s="195">
        <v>9.3363999999999999E-3</v>
      </c>
      <c r="J5304" s="195">
        <v>7.1614000000000001E-3</v>
      </c>
      <c r="K5304" s="195">
        <v>7.3128000000000004E-3</v>
      </c>
      <c r="L5304" s="195">
        <v>8.4703999999999995E-3</v>
      </c>
      <c r="M5304" s="195">
        <v>5.7904000000000002E-3</v>
      </c>
      <c r="N5304" s="195">
        <v>4.3005999999999999E-3</v>
      </c>
    </row>
    <row r="5305" spans="1:14" hidden="1" x14ac:dyDescent="0.35">
      <c r="A5305" s="52" t="s">
        <v>673</v>
      </c>
      <c r="B5305" s="52" t="s">
        <v>37</v>
      </c>
      <c r="C5305" s="52" t="s">
        <v>79</v>
      </c>
      <c r="D5305" s="52" t="s">
        <v>79</v>
      </c>
      <c r="E5305" s="52" t="s">
        <v>615</v>
      </c>
      <c r="F5305" s="52" t="s">
        <v>26</v>
      </c>
      <c r="G5305" s="195" t="s">
        <v>279</v>
      </c>
      <c r="H5305" s="195">
        <v>2.5887E-2</v>
      </c>
      <c r="I5305" s="195">
        <v>2.45598E-2</v>
      </c>
      <c r="J5305" s="195">
        <v>1.7933600000000001E-2</v>
      </c>
      <c r="K5305" s="195">
        <v>1.91846E-2</v>
      </c>
      <c r="L5305" s="195">
        <v>2.4760999999999998E-2</v>
      </c>
      <c r="M5305" s="195">
        <v>1.6812199999999999E-2</v>
      </c>
      <c r="N5305" s="195">
        <v>1.2481799999999999E-2</v>
      </c>
    </row>
    <row r="5306" spans="1:14" hidden="1" x14ac:dyDescent="0.35">
      <c r="A5306" s="52" t="s">
        <v>673</v>
      </c>
      <c r="B5306" s="52" t="s">
        <v>37</v>
      </c>
      <c r="C5306" s="52" t="s">
        <v>110</v>
      </c>
      <c r="D5306" s="52" t="s">
        <v>110</v>
      </c>
      <c r="E5306" s="52" t="s">
        <v>584</v>
      </c>
      <c r="F5306" s="52" t="s">
        <v>26</v>
      </c>
      <c r="G5306" s="195" t="s">
        <v>275</v>
      </c>
      <c r="H5306" s="195">
        <v>0.449046</v>
      </c>
      <c r="I5306" s="195">
        <v>0.26828000000000002</v>
      </c>
      <c r="J5306" s="195">
        <v>0.22762940000000001</v>
      </c>
      <c r="K5306" s="195">
        <v>0.18417600000000001</v>
      </c>
      <c r="L5306" s="195">
        <v>0.14999080000000001</v>
      </c>
      <c r="M5306" s="195">
        <v>0.13020419999999999</v>
      </c>
      <c r="N5306" s="195">
        <v>0.11371779999999999</v>
      </c>
    </row>
    <row r="5307" spans="1:14" hidden="1" x14ac:dyDescent="0.35">
      <c r="A5307" s="52" t="s">
        <v>673</v>
      </c>
      <c r="B5307" s="52" t="s">
        <v>37</v>
      </c>
      <c r="C5307" s="52" t="s">
        <v>110</v>
      </c>
      <c r="D5307" s="52" t="s">
        <v>110</v>
      </c>
      <c r="E5307" s="52" t="s">
        <v>584</v>
      </c>
      <c r="F5307" s="52" t="s">
        <v>26</v>
      </c>
      <c r="G5307" s="195" t="s">
        <v>276</v>
      </c>
      <c r="H5307" s="195">
        <v>7.5817999999999997E-2</v>
      </c>
      <c r="I5307" s="195">
        <v>4.9538400000000003E-2</v>
      </c>
      <c r="J5307" s="195">
        <v>6.0509E-2</v>
      </c>
      <c r="K5307" s="195">
        <v>4.8957399999999998E-2</v>
      </c>
      <c r="L5307" s="195">
        <v>3.98692E-2</v>
      </c>
      <c r="M5307" s="195">
        <v>3.4610399999999999E-2</v>
      </c>
      <c r="N5307" s="195">
        <v>3.02282E-2</v>
      </c>
    </row>
    <row r="5308" spans="1:14" hidden="1" x14ac:dyDescent="0.35">
      <c r="A5308" s="52" t="s">
        <v>673</v>
      </c>
      <c r="B5308" s="52" t="s">
        <v>37</v>
      </c>
      <c r="C5308" s="52" t="s">
        <v>110</v>
      </c>
      <c r="D5308" s="52" t="s">
        <v>110</v>
      </c>
      <c r="E5308" s="52" t="s">
        <v>584</v>
      </c>
      <c r="F5308" s="52" t="s">
        <v>26</v>
      </c>
      <c r="G5308" s="195" t="s">
        <v>277</v>
      </c>
      <c r="H5308" s="195"/>
      <c r="I5308" s="195"/>
      <c r="J5308" s="195"/>
      <c r="K5308" s="195"/>
      <c r="L5308" s="195"/>
      <c r="M5308" s="195"/>
      <c r="N5308" s="195"/>
    </row>
    <row r="5309" spans="1:14" hidden="1" x14ac:dyDescent="0.35">
      <c r="A5309" s="52" t="s">
        <v>673</v>
      </c>
      <c r="B5309" s="52" t="s">
        <v>37</v>
      </c>
      <c r="C5309" s="52" t="s">
        <v>110</v>
      </c>
      <c r="D5309" s="52" t="s">
        <v>110</v>
      </c>
      <c r="E5309" s="52" t="s">
        <v>584</v>
      </c>
      <c r="F5309" s="52" t="s">
        <v>26</v>
      </c>
      <c r="G5309" s="195" t="s">
        <v>278</v>
      </c>
      <c r="H5309" s="195">
        <v>1.4E-5</v>
      </c>
      <c r="I5309" s="195">
        <v>0</v>
      </c>
      <c r="J5309" s="195"/>
      <c r="K5309" s="195"/>
      <c r="L5309" s="195"/>
      <c r="M5309" s="195"/>
      <c r="N5309" s="195"/>
    </row>
    <row r="5310" spans="1:14" hidden="1" x14ac:dyDescent="0.35">
      <c r="A5310" s="52" t="s">
        <v>673</v>
      </c>
      <c r="B5310" s="52" t="s">
        <v>37</v>
      </c>
      <c r="C5310" s="52" t="s">
        <v>110</v>
      </c>
      <c r="D5310" s="52" t="s">
        <v>110</v>
      </c>
      <c r="E5310" s="52" t="s">
        <v>584</v>
      </c>
      <c r="F5310" s="52" t="s">
        <v>26</v>
      </c>
      <c r="G5310" s="195" t="s">
        <v>279</v>
      </c>
      <c r="H5310" s="195">
        <v>0.42716399999999999</v>
      </c>
      <c r="I5310" s="195">
        <v>0.31372040000000001</v>
      </c>
      <c r="J5310" s="195">
        <v>0.26511800000000002</v>
      </c>
      <c r="K5310" s="195">
        <v>0.24846019999999999</v>
      </c>
      <c r="L5310" s="195">
        <v>0.2291086</v>
      </c>
      <c r="M5310" s="195">
        <v>0.19946839999999999</v>
      </c>
      <c r="N5310" s="195">
        <v>0.1737196</v>
      </c>
    </row>
    <row r="5311" spans="1:14" hidden="1" x14ac:dyDescent="0.35">
      <c r="A5311" s="52" t="s">
        <v>709</v>
      </c>
      <c r="B5311" s="52" t="s">
        <v>59</v>
      </c>
      <c r="C5311" s="52" t="s">
        <v>161</v>
      </c>
      <c r="D5311" s="52" t="s">
        <v>161</v>
      </c>
      <c r="E5311" s="52" t="s">
        <v>584</v>
      </c>
      <c r="F5311" s="52" t="s">
        <v>581</v>
      </c>
      <c r="G5311" s="195" t="s">
        <v>275</v>
      </c>
      <c r="H5311" s="195">
        <v>5.8738849999999996</v>
      </c>
      <c r="I5311" s="195">
        <v>14.02631</v>
      </c>
      <c r="J5311" s="195">
        <v>-0.63856400000000002</v>
      </c>
      <c r="K5311" s="195">
        <v>3.6632739999999999</v>
      </c>
      <c r="L5311" s="195">
        <v>0.38519619999999999</v>
      </c>
      <c r="M5311" s="195">
        <v>-3.7347169999999998</v>
      </c>
      <c r="N5311" s="195">
        <v>-8.4850209999999997</v>
      </c>
    </row>
    <row r="5312" spans="1:14" hidden="1" x14ac:dyDescent="0.35">
      <c r="A5312" s="52" t="s">
        <v>709</v>
      </c>
      <c r="B5312" s="52" t="s">
        <v>59</v>
      </c>
      <c r="C5312" s="52" t="s">
        <v>161</v>
      </c>
      <c r="D5312" s="52" t="s">
        <v>161</v>
      </c>
      <c r="E5312" s="52" t="s">
        <v>584</v>
      </c>
      <c r="F5312" s="52" t="s">
        <v>581</v>
      </c>
      <c r="G5312" s="195" t="s">
        <v>276</v>
      </c>
      <c r="H5312" s="195">
        <v>2.7158500000000001</v>
      </c>
      <c r="I5312" s="195">
        <v>8.80654</v>
      </c>
      <c r="J5312" s="195">
        <v>-8.8714150000000007</v>
      </c>
      <c r="K5312" s="195">
        <v>-10.355370000000001</v>
      </c>
      <c r="L5312" s="195">
        <v>-10.09132</v>
      </c>
      <c r="M5312" s="195">
        <v>-9.472118</v>
      </c>
      <c r="N5312" s="195">
        <v>-8.9450160000000007</v>
      </c>
    </row>
    <row r="5313" spans="1:14" hidden="1" x14ac:dyDescent="0.35">
      <c r="A5313" s="52" t="s">
        <v>709</v>
      </c>
      <c r="B5313" s="52" t="s">
        <v>59</v>
      </c>
      <c r="C5313" s="52" t="s">
        <v>161</v>
      </c>
      <c r="D5313" s="52" t="s">
        <v>161</v>
      </c>
      <c r="E5313" s="52" t="s">
        <v>584</v>
      </c>
      <c r="F5313" s="52" t="s">
        <v>581</v>
      </c>
      <c r="G5313" s="195" t="s">
        <v>277</v>
      </c>
      <c r="H5313" s="195">
        <v>14.762499999999999</v>
      </c>
      <c r="I5313" s="195">
        <v>8.8574999999999999</v>
      </c>
      <c r="J5313" s="195">
        <v>11.73973</v>
      </c>
      <c r="K5313" s="195">
        <v>7.518675</v>
      </c>
      <c r="L5313" s="195">
        <v>6.9635210000000001</v>
      </c>
      <c r="M5313" s="195">
        <v>5.03125</v>
      </c>
      <c r="N5313" s="195">
        <v>5.7722069999999999</v>
      </c>
    </row>
    <row r="5314" spans="1:14" hidden="1" x14ac:dyDescent="0.35">
      <c r="A5314" s="52" t="s">
        <v>709</v>
      </c>
      <c r="B5314" s="52" t="s">
        <v>59</v>
      </c>
      <c r="C5314" s="52" t="s">
        <v>161</v>
      </c>
      <c r="D5314" s="52" t="s">
        <v>161</v>
      </c>
      <c r="E5314" s="52" t="s">
        <v>584</v>
      </c>
      <c r="F5314" s="52" t="s">
        <v>581</v>
      </c>
      <c r="G5314" s="195" t="s">
        <v>279</v>
      </c>
      <c r="H5314" s="195">
        <v>37.50076</v>
      </c>
      <c r="I5314" s="195">
        <v>42.668230000000001</v>
      </c>
      <c r="J5314" s="195">
        <v>41.362969999999997</v>
      </c>
      <c r="K5314" s="195">
        <v>42.506920000000001</v>
      </c>
      <c r="L5314" s="195">
        <v>42.723039999999997</v>
      </c>
      <c r="M5314" s="195">
        <v>42.852930000000001</v>
      </c>
      <c r="N5314" s="195">
        <v>42.969410000000003</v>
      </c>
    </row>
    <row r="5315" spans="1:14" hidden="1" x14ac:dyDescent="0.35">
      <c r="A5315" s="52" t="s">
        <v>709</v>
      </c>
      <c r="B5315" s="52" t="s">
        <v>59</v>
      </c>
      <c r="C5315" s="52" t="s">
        <v>161</v>
      </c>
      <c r="D5315" s="52" t="s">
        <v>161</v>
      </c>
      <c r="E5315" s="52" t="s">
        <v>584</v>
      </c>
      <c r="F5315" s="52" t="s">
        <v>26</v>
      </c>
      <c r="G5315" s="195" t="s">
        <v>275</v>
      </c>
      <c r="H5315" s="195">
        <v>58.156300000000002</v>
      </c>
      <c r="I5315" s="195">
        <v>88.63297</v>
      </c>
      <c r="J5315" s="195">
        <v>60.502119999999998</v>
      </c>
      <c r="K5315" s="195">
        <v>70.711789999999993</v>
      </c>
      <c r="L5315" s="195">
        <v>69.490979999999993</v>
      </c>
      <c r="M5315" s="195">
        <v>60.115969999999997</v>
      </c>
      <c r="N5315" s="195">
        <v>51.983699999999999</v>
      </c>
    </row>
    <row r="5316" spans="1:14" hidden="1" x14ac:dyDescent="0.35">
      <c r="A5316" s="52" t="s">
        <v>709</v>
      </c>
      <c r="B5316" s="52" t="s">
        <v>59</v>
      </c>
      <c r="C5316" s="52" t="s">
        <v>161</v>
      </c>
      <c r="D5316" s="52" t="s">
        <v>161</v>
      </c>
      <c r="E5316" s="52" t="s">
        <v>584</v>
      </c>
      <c r="F5316" s="52" t="s">
        <v>26</v>
      </c>
      <c r="G5316" s="195" t="s">
        <v>276</v>
      </c>
      <c r="H5316" s="195">
        <v>30.704550000000001</v>
      </c>
      <c r="I5316" s="195">
        <v>17.560669999999998</v>
      </c>
      <c r="J5316" s="195">
        <v>32.622619999999998</v>
      </c>
      <c r="K5316" s="195">
        <v>33.58616</v>
      </c>
      <c r="L5316" s="195">
        <v>31.882709999999999</v>
      </c>
      <c r="M5316" s="195">
        <v>24.53106</v>
      </c>
      <c r="N5316" s="195">
        <v>23.151039999999998</v>
      </c>
    </row>
    <row r="5317" spans="1:14" hidden="1" x14ac:dyDescent="0.35">
      <c r="A5317" s="52" t="s">
        <v>709</v>
      </c>
      <c r="B5317" s="52" t="s">
        <v>59</v>
      </c>
      <c r="C5317" s="52" t="s">
        <v>161</v>
      </c>
      <c r="D5317" s="52" t="s">
        <v>161</v>
      </c>
      <c r="E5317" s="52" t="s">
        <v>584</v>
      </c>
      <c r="F5317" s="52" t="s">
        <v>26</v>
      </c>
      <c r="G5317" s="195" t="s">
        <v>277</v>
      </c>
      <c r="H5317" s="195">
        <v>24.915679999999998</v>
      </c>
      <c r="I5317" s="195">
        <v>26.372900000000001</v>
      </c>
      <c r="J5317" s="195">
        <v>26.61711</v>
      </c>
      <c r="K5317" s="195">
        <v>18.96621</v>
      </c>
      <c r="L5317" s="195">
        <v>17.51426</v>
      </c>
      <c r="M5317" s="195">
        <v>12.989890000000001</v>
      </c>
      <c r="N5317" s="195">
        <v>14.06809</v>
      </c>
    </row>
    <row r="5318" spans="1:14" hidden="1" x14ac:dyDescent="0.35">
      <c r="A5318" s="52" t="s">
        <v>709</v>
      </c>
      <c r="B5318" s="52" t="s">
        <v>59</v>
      </c>
      <c r="C5318" s="52" t="s">
        <v>161</v>
      </c>
      <c r="D5318" s="52" t="s">
        <v>161</v>
      </c>
      <c r="E5318" s="52" t="s">
        <v>584</v>
      </c>
      <c r="F5318" s="52" t="s">
        <v>26</v>
      </c>
      <c r="G5318" s="195" t="s">
        <v>278</v>
      </c>
      <c r="H5318" s="195">
        <v>8.0157010000000001E-3</v>
      </c>
      <c r="I5318" s="195">
        <v>8.0157000000000006E-3</v>
      </c>
      <c r="J5318" s="195">
        <v>8.0157010000000001E-3</v>
      </c>
      <c r="K5318" s="195">
        <v>8.0157010000000001E-3</v>
      </c>
      <c r="L5318" s="195">
        <v>8.0157010000000001E-3</v>
      </c>
      <c r="M5318" s="195">
        <v>8.0157010000000001E-3</v>
      </c>
      <c r="N5318" s="195">
        <v>8.0157010000000001E-3</v>
      </c>
    </row>
    <row r="5319" spans="1:14" hidden="1" x14ac:dyDescent="0.35">
      <c r="A5319" s="52" t="s">
        <v>709</v>
      </c>
      <c r="B5319" s="52" t="s">
        <v>59</v>
      </c>
      <c r="C5319" s="52" t="s">
        <v>161</v>
      </c>
      <c r="D5319" s="52" t="s">
        <v>161</v>
      </c>
      <c r="E5319" s="52" t="s">
        <v>584</v>
      </c>
      <c r="F5319" s="52" t="s">
        <v>26</v>
      </c>
      <c r="G5319" s="195" t="s">
        <v>279</v>
      </c>
      <c r="H5319" s="195">
        <v>46.277999999999999</v>
      </c>
      <c r="I5319" s="195">
        <v>44.209499999999998</v>
      </c>
      <c r="J5319" s="195">
        <v>42.103319999999997</v>
      </c>
      <c r="K5319" s="195">
        <v>45.114899999999999</v>
      </c>
      <c r="L5319" s="195">
        <v>43.911949999999997</v>
      </c>
      <c r="M5319" s="195">
        <v>42.476860000000002</v>
      </c>
      <c r="N5319" s="195">
        <v>40.953499999999998</v>
      </c>
    </row>
    <row r="5320" spans="1:14" hidden="1" x14ac:dyDescent="0.35">
      <c r="A5320" s="52" t="s">
        <v>709</v>
      </c>
      <c r="B5320" s="52" t="s">
        <v>59</v>
      </c>
      <c r="C5320" s="52" t="s">
        <v>165</v>
      </c>
      <c r="D5320" s="52" t="s">
        <v>165</v>
      </c>
      <c r="E5320" s="52" t="s">
        <v>584</v>
      </c>
      <c r="F5320" s="52" t="s">
        <v>581</v>
      </c>
      <c r="G5320" s="195" t="s">
        <v>275</v>
      </c>
      <c r="H5320" s="195">
        <v>4.9973789999999996</v>
      </c>
      <c r="I5320" s="195">
        <v>-0.42326750000000002</v>
      </c>
      <c r="J5320" s="195">
        <v>0.87661020000000001</v>
      </c>
      <c r="K5320" s="195">
        <v>1.2619959999999999</v>
      </c>
      <c r="L5320" s="195">
        <v>0.96494219999999997</v>
      </c>
      <c r="M5320" s="195">
        <v>0.82498539999999998</v>
      </c>
      <c r="N5320" s="195">
        <v>0.56442930000000002</v>
      </c>
    </row>
    <row r="5321" spans="1:14" hidden="1" x14ac:dyDescent="0.35">
      <c r="A5321" s="52" t="s">
        <v>709</v>
      </c>
      <c r="B5321" s="52" t="s">
        <v>59</v>
      </c>
      <c r="C5321" s="52" t="s">
        <v>165</v>
      </c>
      <c r="D5321" s="52" t="s">
        <v>165</v>
      </c>
      <c r="E5321" s="52" t="s">
        <v>584</v>
      </c>
      <c r="F5321" s="52" t="s">
        <v>581</v>
      </c>
      <c r="G5321" s="195" t="s">
        <v>276</v>
      </c>
      <c r="H5321" s="195">
        <v>3.0042300000000002</v>
      </c>
      <c r="I5321" s="195">
        <v>1.1872659999999999</v>
      </c>
      <c r="J5321" s="195">
        <v>1.022921</v>
      </c>
      <c r="K5321" s="195">
        <v>1.028856</v>
      </c>
      <c r="L5321" s="195">
        <v>0.85835870000000003</v>
      </c>
      <c r="M5321" s="195">
        <v>0.79398690000000005</v>
      </c>
      <c r="N5321" s="195">
        <v>0.65515509999999999</v>
      </c>
    </row>
    <row r="5322" spans="1:14" hidden="1" x14ac:dyDescent="0.35">
      <c r="A5322" s="52" t="s">
        <v>709</v>
      </c>
      <c r="B5322" s="52" t="s">
        <v>59</v>
      </c>
      <c r="C5322" s="52" t="s">
        <v>165</v>
      </c>
      <c r="D5322" s="52" t="s">
        <v>165</v>
      </c>
      <c r="E5322" s="52" t="s">
        <v>584</v>
      </c>
      <c r="F5322" s="52" t="s">
        <v>581</v>
      </c>
      <c r="G5322" s="195" t="s">
        <v>277</v>
      </c>
      <c r="H5322" s="195">
        <v>0.45313389999999998</v>
      </c>
      <c r="I5322" s="195">
        <v>0.51351040000000003</v>
      </c>
      <c r="J5322" s="195">
        <v>0.51351009999999997</v>
      </c>
      <c r="K5322" s="195"/>
      <c r="L5322" s="195"/>
      <c r="M5322" s="195"/>
      <c r="N5322" s="195"/>
    </row>
    <row r="5323" spans="1:14" hidden="1" x14ac:dyDescent="0.35">
      <c r="A5323" s="52" t="s">
        <v>709</v>
      </c>
      <c r="B5323" s="52" t="s">
        <v>59</v>
      </c>
      <c r="C5323" s="52" t="s">
        <v>165</v>
      </c>
      <c r="D5323" s="52" t="s">
        <v>165</v>
      </c>
      <c r="E5323" s="52" t="s">
        <v>584</v>
      </c>
      <c r="F5323" s="52" t="s">
        <v>581</v>
      </c>
      <c r="G5323" s="195" t="s">
        <v>279</v>
      </c>
      <c r="H5323" s="195">
        <v>1.475516</v>
      </c>
      <c r="I5323" s="195">
        <v>3.086859</v>
      </c>
      <c r="J5323" s="195">
        <v>1.4658089999999999</v>
      </c>
      <c r="K5323" s="195">
        <v>1.5817490000000001</v>
      </c>
      <c r="L5323" s="195">
        <v>1.5888659999999999</v>
      </c>
      <c r="M5323" s="195">
        <v>1.5734220000000001</v>
      </c>
      <c r="N5323" s="195">
        <v>1.4295880000000001</v>
      </c>
    </row>
    <row r="5324" spans="1:14" hidden="1" x14ac:dyDescent="0.35">
      <c r="A5324" s="52" t="s">
        <v>709</v>
      </c>
      <c r="B5324" s="52" t="s">
        <v>59</v>
      </c>
      <c r="C5324" s="52" t="s">
        <v>165</v>
      </c>
      <c r="D5324" s="52" t="s">
        <v>165</v>
      </c>
      <c r="E5324" s="52" t="s">
        <v>584</v>
      </c>
      <c r="F5324" s="52" t="s">
        <v>26</v>
      </c>
      <c r="G5324" s="195" t="s">
        <v>275</v>
      </c>
      <c r="H5324" s="195">
        <v>73.810379999999995</v>
      </c>
      <c r="I5324" s="195">
        <v>19.442990000000002</v>
      </c>
      <c r="J5324" s="195">
        <v>34.706960000000002</v>
      </c>
      <c r="K5324" s="195">
        <v>44.950629999999997</v>
      </c>
      <c r="L5324" s="195">
        <v>40.421979999999998</v>
      </c>
      <c r="M5324" s="195">
        <v>34.95872</v>
      </c>
      <c r="N5324" s="195">
        <v>29.713480000000001</v>
      </c>
    </row>
    <row r="5325" spans="1:14" hidden="1" x14ac:dyDescent="0.35">
      <c r="A5325" s="52" t="s">
        <v>709</v>
      </c>
      <c r="B5325" s="52" t="s">
        <v>59</v>
      </c>
      <c r="C5325" s="52" t="s">
        <v>165</v>
      </c>
      <c r="D5325" s="52" t="s">
        <v>165</v>
      </c>
      <c r="E5325" s="52" t="s">
        <v>584</v>
      </c>
      <c r="F5325" s="52" t="s">
        <v>26</v>
      </c>
      <c r="G5325" s="195" t="s">
        <v>276</v>
      </c>
      <c r="H5325" s="195">
        <v>22.814889999999998</v>
      </c>
      <c r="I5325" s="195">
        <v>13.59464</v>
      </c>
      <c r="J5325" s="195">
        <v>11.56439</v>
      </c>
      <c r="K5325" s="195">
        <v>11.4994</v>
      </c>
      <c r="L5325" s="195">
        <v>9.9844629999999999</v>
      </c>
      <c r="M5325" s="195">
        <v>10.493880000000001</v>
      </c>
      <c r="N5325" s="195">
        <v>9.6842520000000007</v>
      </c>
    </row>
    <row r="5326" spans="1:14" hidden="1" x14ac:dyDescent="0.35">
      <c r="A5326" s="52" t="s">
        <v>709</v>
      </c>
      <c r="B5326" s="52" t="s">
        <v>59</v>
      </c>
      <c r="C5326" s="52" t="s">
        <v>165</v>
      </c>
      <c r="D5326" s="52" t="s">
        <v>165</v>
      </c>
      <c r="E5326" s="52" t="s">
        <v>584</v>
      </c>
      <c r="F5326" s="52" t="s">
        <v>26</v>
      </c>
      <c r="G5326" s="195" t="s">
        <v>277</v>
      </c>
      <c r="H5326" s="195">
        <v>18.56363</v>
      </c>
      <c r="I5326" s="195">
        <v>16.822759999999999</v>
      </c>
      <c r="J5326" s="195">
        <v>17.352409999999999</v>
      </c>
      <c r="K5326" s="195">
        <v>5.9802299999999997</v>
      </c>
      <c r="L5326" s="195">
        <v>7.3396869999999996</v>
      </c>
      <c r="M5326" s="195">
        <v>8.4503389999999996</v>
      </c>
      <c r="N5326" s="195">
        <v>9.0466560000000005</v>
      </c>
    </row>
    <row r="5327" spans="1:14" hidden="1" x14ac:dyDescent="0.35">
      <c r="A5327" s="52" t="s">
        <v>709</v>
      </c>
      <c r="B5327" s="52" t="s">
        <v>59</v>
      </c>
      <c r="C5327" s="52" t="s">
        <v>165</v>
      </c>
      <c r="D5327" s="52" t="s">
        <v>165</v>
      </c>
      <c r="E5327" s="52" t="s">
        <v>584</v>
      </c>
      <c r="F5327" s="52" t="s">
        <v>26</v>
      </c>
      <c r="G5327" s="195" t="s">
        <v>278</v>
      </c>
      <c r="H5327" s="195">
        <v>2.753121E-2</v>
      </c>
      <c r="I5327" s="195">
        <v>2.753121E-2</v>
      </c>
      <c r="J5327" s="195">
        <v>0</v>
      </c>
      <c r="K5327" s="195">
        <v>0</v>
      </c>
      <c r="L5327" s="195">
        <v>0</v>
      </c>
      <c r="M5327" s="195">
        <v>0</v>
      </c>
      <c r="N5327" s="195">
        <v>0</v>
      </c>
    </row>
    <row r="5328" spans="1:14" hidden="1" x14ac:dyDescent="0.35">
      <c r="A5328" s="52" t="s">
        <v>709</v>
      </c>
      <c r="B5328" s="52" t="s">
        <v>59</v>
      </c>
      <c r="C5328" s="52" t="s">
        <v>165</v>
      </c>
      <c r="D5328" s="52" t="s">
        <v>165</v>
      </c>
      <c r="E5328" s="52" t="s">
        <v>584</v>
      </c>
      <c r="F5328" s="52" t="s">
        <v>26</v>
      </c>
      <c r="G5328" s="195" t="s">
        <v>279</v>
      </c>
      <c r="H5328" s="195">
        <v>55.741379999999999</v>
      </c>
      <c r="I5328" s="195">
        <v>71.665080000000003</v>
      </c>
      <c r="J5328" s="195">
        <v>52.976570000000002</v>
      </c>
      <c r="K5328" s="195">
        <v>56.45729</v>
      </c>
      <c r="L5328" s="195">
        <v>57.231589999999997</v>
      </c>
      <c r="M5328" s="195">
        <v>58.323569999999997</v>
      </c>
      <c r="N5328" s="195">
        <v>58.029969999999999</v>
      </c>
    </row>
    <row r="5329" spans="1:14" hidden="1" x14ac:dyDescent="0.35">
      <c r="A5329" s="52" t="s">
        <v>709</v>
      </c>
      <c r="B5329" s="52" t="s">
        <v>74</v>
      </c>
      <c r="C5329" s="52" t="s">
        <v>87</v>
      </c>
      <c r="D5329" s="52" t="s">
        <v>88</v>
      </c>
      <c r="E5329" s="52" t="s">
        <v>584</v>
      </c>
      <c r="F5329" s="52" t="s">
        <v>581</v>
      </c>
      <c r="G5329" s="195" t="s">
        <v>275</v>
      </c>
      <c r="H5329" s="195">
        <v>10.246829999999999</v>
      </c>
      <c r="I5329" s="195">
        <v>9.4702660000000005</v>
      </c>
      <c r="J5329" s="195">
        <v>8.7566179999999996</v>
      </c>
      <c r="K5329" s="195">
        <v>8.3275269999999999</v>
      </c>
      <c r="L5329" s="195">
        <v>7.0088860000000004</v>
      </c>
      <c r="M5329" s="195">
        <v>5.8823410000000003</v>
      </c>
      <c r="N5329" s="195">
        <v>4.6475020000000002</v>
      </c>
    </row>
    <row r="5330" spans="1:14" hidden="1" x14ac:dyDescent="0.35">
      <c r="A5330" s="52" t="s">
        <v>709</v>
      </c>
      <c r="B5330" s="52" t="s">
        <v>74</v>
      </c>
      <c r="C5330" s="52" t="s">
        <v>87</v>
      </c>
      <c r="D5330" s="52" t="s">
        <v>88</v>
      </c>
      <c r="E5330" s="52" t="s">
        <v>584</v>
      </c>
      <c r="F5330" s="52" t="s">
        <v>581</v>
      </c>
      <c r="G5330" s="195" t="s">
        <v>276</v>
      </c>
      <c r="H5330" s="195">
        <v>4.538341</v>
      </c>
      <c r="I5330" s="195">
        <v>6.3135130000000004</v>
      </c>
      <c r="J5330" s="195">
        <v>5.8377480000000004</v>
      </c>
      <c r="K5330" s="195">
        <v>5.5516819999999996</v>
      </c>
      <c r="L5330" s="195">
        <v>4.6725919999999999</v>
      </c>
      <c r="M5330" s="195">
        <v>3.9215589999999998</v>
      </c>
      <c r="N5330" s="195">
        <v>3.098338</v>
      </c>
    </row>
    <row r="5331" spans="1:14" hidden="1" x14ac:dyDescent="0.35">
      <c r="A5331" s="52" t="s">
        <v>709</v>
      </c>
      <c r="B5331" s="52" t="s">
        <v>74</v>
      </c>
      <c r="C5331" s="52" t="s">
        <v>87</v>
      </c>
      <c r="D5331" s="52" t="s">
        <v>88</v>
      </c>
      <c r="E5331" s="52" t="s">
        <v>584</v>
      </c>
      <c r="F5331" s="52" t="s">
        <v>581</v>
      </c>
      <c r="G5331" s="195" t="s">
        <v>277</v>
      </c>
      <c r="H5331" s="195">
        <v>1.859434</v>
      </c>
      <c r="I5331" s="195">
        <v>0</v>
      </c>
      <c r="J5331" s="195"/>
      <c r="K5331" s="195"/>
      <c r="L5331" s="195"/>
      <c r="M5331" s="195"/>
      <c r="N5331" s="195"/>
    </row>
    <row r="5332" spans="1:14" hidden="1" x14ac:dyDescent="0.35">
      <c r="A5332" s="52" t="s">
        <v>709</v>
      </c>
      <c r="B5332" s="52" t="s">
        <v>74</v>
      </c>
      <c r="C5332" s="52" t="s">
        <v>87</v>
      </c>
      <c r="D5332" s="52" t="s">
        <v>88</v>
      </c>
      <c r="E5332" s="52" t="s">
        <v>584</v>
      </c>
      <c r="F5332" s="52" t="s">
        <v>581</v>
      </c>
      <c r="G5332" s="195" t="s">
        <v>279</v>
      </c>
      <c r="H5332" s="195">
        <v>2.115259</v>
      </c>
      <c r="I5332" s="195">
        <v>5.0419349999999996</v>
      </c>
      <c r="J5332" s="195">
        <v>5.2361399999999998</v>
      </c>
      <c r="K5332" s="195">
        <v>4.4761579999999999</v>
      </c>
      <c r="L5332" s="195">
        <v>3.7780749999999999</v>
      </c>
      <c r="M5332" s="195">
        <v>3.2489859999999999</v>
      </c>
      <c r="N5332" s="195">
        <v>3.21468</v>
      </c>
    </row>
    <row r="5333" spans="1:14" hidden="1" x14ac:dyDescent="0.35">
      <c r="A5333" s="52" t="s">
        <v>709</v>
      </c>
      <c r="B5333" s="52" t="s">
        <v>74</v>
      </c>
      <c r="C5333" s="52" t="s">
        <v>87</v>
      </c>
      <c r="D5333" s="52" t="s">
        <v>88</v>
      </c>
      <c r="E5333" s="52" t="s">
        <v>584</v>
      </c>
      <c r="F5333" s="52" t="s">
        <v>26</v>
      </c>
      <c r="G5333" s="195" t="s">
        <v>275</v>
      </c>
      <c r="H5333" s="195">
        <v>8.4684600000000003</v>
      </c>
      <c r="I5333" s="195">
        <v>15.22819</v>
      </c>
      <c r="J5333" s="195">
        <v>22.796420000000001</v>
      </c>
      <c r="K5333" s="195">
        <v>40.3996</v>
      </c>
      <c r="L5333" s="195">
        <v>31.776810000000001</v>
      </c>
      <c r="M5333" s="195">
        <v>24.694279999999999</v>
      </c>
      <c r="N5333" s="195">
        <v>16.778659999999999</v>
      </c>
    </row>
    <row r="5334" spans="1:14" hidden="1" x14ac:dyDescent="0.35">
      <c r="A5334" s="52" t="s">
        <v>709</v>
      </c>
      <c r="B5334" s="52" t="s">
        <v>74</v>
      </c>
      <c r="C5334" s="52" t="s">
        <v>87</v>
      </c>
      <c r="D5334" s="52" t="s">
        <v>88</v>
      </c>
      <c r="E5334" s="52" t="s">
        <v>584</v>
      </c>
      <c r="F5334" s="52" t="s">
        <v>26</v>
      </c>
      <c r="G5334" s="195" t="s">
        <v>276</v>
      </c>
      <c r="H5334" s="195">
        <v>-50.063369999999999</v>
      </c>
      <c r="I5334" s="195">
        <v>4.821205</v>
      </c>
      <c r="J5334" s="195">
        <v>10.28703</v>
      </c>
      <c r="K5334" s="195">
        <v>26.35473</v>
      </c>
      <c r="L5334" s="195">
        <v>20.435510000000001</v>
      </c>
      <c r="M5334" s="195">
        <v>15.60923</v>
      </c>
      <c r="N5334" s="195">
        <v>10.20792</v>
      </c>
    </row>
    <row r="5335" spans="1:14" hidden="1" x14ac:dyDescent="0.35">
      <c r="A5335" s="52" t="s">
        <v>709</v>
      </c>
      <c r="B5335" s="52" t="s">
        <v>74</v>
      </c>
      <c r="C5335" s="52" t="s">
        <v>87</v>
      </c>
      <c r="D5335" s="52" t="s">
        <v>88</v>
      </c>
      <c r="E5335" s="52" t="s">
        <v>584</v>
      </c>
      <c r="F5335" s="52" t="s">
        <v>26</v>
      </c>
      <c r="G5335" s="195" t="s">
        <v>277</v>
      </c>
      <c r="H5335" s="195">
        <v>79.23057</v>
      </c>
      <c r="I5335" s="195">
        <v>51.17689</v>
      </c>
      <c r="J5335" s="195">
        <v>47.141620000000003</v>
      </c>
      <c r="K5335" s="195">
        <v>5.5520259999999997</v>
      </c>
      <c r="L5335" s="195">
        <v>7.1907160000000001</v>
      </c>
      <c r="M5335" s="195">
        <v>8.1947980000000005</v>
      </c>
      <c r="N5335" s="195">
        <v>9.3873689999999996</v>
      </c>
    </row>
    <row r="5336" spans="1:14" hidden="1" x14ac:dyDescent="0.35">
      <c r="A5336" s="52" t="s">
        <v>709</v>
      </c>
      <c r="B5336" s="52" t="s">
        <v>74</v>
      </c>
      <c r="C5336" s="52" t="s">
        <v>87</v>
      </c>
      <c r="D5336" s="52" t="s">
        <v>88</v>
      </c>
      <c r="E5336" s="52" t="s">
        <v>584</v>
      </c>
      <c r="F5336" s="52" t="s">
        <v>26</v>
      </c>
      <c r="G5336" s="195" t="s">
        <v>279</v>
      </c>
      <c r="H5336" s="195">
        <v>25.131150000000002</v>
      </c>
      <c r="I5336" s="195">
        <v>46.443019999999997</v>
      </c>
      <c r="J5336" s="195">
        <v>45.555120000000002</v>
      </c>
      <c r="K5336" s="195">
        <v>41.156509999999997</v>
      </c>
      <c r="L5336" s="195">
        <v>36.057940000000002</v>
      </c>
      <c r="M5336" s="195">
        <v>32.163469999999997</v>
      </c>
      <c r="N5336" s="195">
        <v>31.366910000000001</v>
      </c>
    </row>
    <row r="5337" spans="1:14" hidden="1" x14ac:dyDescent="0.35">
      <c r="A5337" s="52" t="s">
        <v>709</v>
      </c>
      <c r="B5337" s="52" t="s">
        <v>74</v>
      </c>
      <c r="C5337" s="52" t="s">
        <v>87</v>
      </c>
      <c r="D5337" s="52" t="s">
        <v>91</v>
      </c>
      <c r="E5337" s="52" t="s">
        <v>584</v>
      </c>
      <c r="F5337" s="52" t="s">
        <v>581</v>
      </c>
      <c r="G5337" s="195" t="s">
        <v>275</v>
      </c>
      <c r="H5337" s="195">
        <v>7.8024829999999996</v>
      </c>
      <c r="I5337" s="195">
        <v>0.98489789999999999</v>
      </c>
      <c r="J5337" s="195">
        <v>0.3502091</v>
      </c>
      <c r="K5337" s="195">
        <v>-2.0247129999999999E-2</v>
      </c>
      <c r="L5337" s="195">
        <v>-0.16284470000000001</v>
      </c>
      <c r="M5337" s="195"/>
      <c r="N5337" s="195">
        <v>-2.0104540000000002</v>
      </c>
    </row>
    <row r="5338" spans="1:14" hidden="1" x14ac:dyDescent="0.35">
      <c r="A5338" s="52" t="s">
        <v>709</v>
      </c>
      <c r="B5338" s="52" t="s">
        <v>74</v>
      </c>
      <c r="C5338" s="52" t="s">
        <v>87</v>
      </c>
      <c r="D5338" s="52" t="s">
        <v>91</v>
      </c>
      <c r="E5338" s="52" t="s">
        <v>584</v>
      </c>
      <c r="F5338" s="52" t="s">
        <v>581</v>
      </c>
      <c r="G5338" s="195" t="s">
        <v>276</v>
      </c>
      <c r="H5338" s="195">
        <v>5.1535979999999997</v>
      </c>
      <c r="I5338" s="195">
        <v>0.61905080000000001</v>
      </c>
      <c r="J5338" s="195">
        <v>0.19947290000000001</v>
      </c>
      <c r="K5338" s="195">
        <v>-2.1485779999999999E-2</v>
      </c>
      <c r="L5338" s="195">
        <v>-0.1179124</v>
      </c>
      <c r="M5338" s="195"/>
      <c r="N5338" s="195">
        <v>-1.349801</v>
      </c>
    </row>
    <row r="5339" spans="1:14" hidden="1" x14ac:dyDescent="0.35">
      <c r="A5339" s="52" t="s">
        <v>709</v>
      </c>
      <c r="B5339" s="52" t="s">
        <v>74</v>
      </c>
      <c r="C5339" s="52" t="s">
        <v>87</v>
      </c>
      <c r="D5339" s="52" t="s">
        <v>91</v>
      </c>
      <c r="E5339" s="52" t="s">
        <v>584</v>
      </c>
      <c r="F5339" s="52" t="s">
        <v>581</v>
      </c>
      <c r="G5339" s="195" t="s">
        <v>277</v>
      </c>
      <c r="H5339" s="195">
        <v>0.46136969999999999</v>
      </c>
      <c r="I5339" s="195">
        <v>0.36045729999999998</v>
      </c>
      <c r="J5339" s="195">
        <v>0.32639940000000001</v>
      </c>
      <c r="K5339" s="195"/>
      <c r="L5339" s="195"/>
      <c r="M5339" s="195"/>
      <c r="N5339" s="195"/>
    </row>
    <row r="5340" spans="1:14" hidden="1" x14ac:dyDescent="0.35">
      <c r="A5340" s="52" t="s">
        <v>709</v>
      </c>
      <c r="B5340" s="52" t="s">
        <v>74</v>
      </c>
      <c r="C5340" s="52" t="s">
        <v>87</v>
      </c>
      <c r="D5340" s="52" t="s">
        <v>91</v>
      </c>
      <c r="E5340" s="52" t="s">
        <v>584</v>
      </c>
      <c r="F5340" s="52" t="s">
        <v>581</v>
      </c>
      <c r="G5340" s="195" t="s">
        <v>279</v>
      </c>
      <c r="H5340" s="195">
        <v>4.9185270000000001</v>
      </c>
      <c r="I5340" s="195">
        <v>4.1489979999999997</v>
      </c>
      <c r="J5340" s="195">
        <v>3.9692409999999998</v>
      </c>
      <c r="K5340" s="195">
        <v>4.5003500000000001</v>
      </c>
      <c r="L5340" s="195">
        <v>4.5172480000000004</v>
      </c>
      <c r="M5340" s="195">
        <v>0.88744940000000005</v>
      </c>
      <c r="N5340" s="195">
        <v>4.1683459999999997</v>
      </c>
    </row>
    <row r="5341" spans="1:14" hidden="1" x14ac:dyDescent="0.35">
      <c r="A5341" s="52" t="s">
        <v>709</v>
      </c>
      <c r="B5341" s="52" t="s">
        <v>74</v>
      </c>
      <c r="C5341" s="52" t="s">
        <v>87</v>
      </c>
      <c r="D5341" s="52" t="s">
        <v>91</v>
      </c>
      <c r="E5341" s="52" t="s">
        <v>584</v>
      </c>
      <c r="F5341" s="52" t="s">
        <v>26</v>
      </c>
      <c r="G5341" s="195" t="s">
        <v>275</v>
      </c>
      <c r="H5341" s="195">
        <v>0.63930050000000005</v>
      </c>
      <c r="I5341" s="195">
        <v>0.28704930000000001</v>
      </c>
      <c r="J5341" s="195">
        <v>0.27764149999999999</v>
      </c>
      <c r="K5341" s="195">
        <v>0.25113940000000001</v>
      </c>
      <c r="L5341" s="195">
        <v>0.23916889999999999</v>
      </c>
      <c r="M5341" s="195"/>
      <c r="N5341" s="195">
        <v>-0.20478150000000001</v>
      </c>
    </row>
    <row r="5342" spans="1:14" hidden="1" x14ac:dyDescent="0.35">
      <c r="A5342" s="52" t="s">
        <v>709</v>
      </c>
      <c r="B5342" s="52" t="s">
        <v>74</v>
      </c>
      <c r="C5342" s="52" t="s">
        <v>87</v>
      </c>
      <c r="D5342" s="52" t="s">
        <v>91</v>
      </c>
      <c r="E5342" s="52" t="s">
        <v>584</v>
      </c>
      <c r="F5342" s="52" t="s">
        <v>26</v>
      </c>
      <c r="G5342" s="195" t="s">
        <v>276</v>
      </c>
      <c r="H5342" s="195">
        <v>0.42620059999999999</v>
      </c>
      <c r="I5342" s="195">
        <v>0.19136619999999999</v>
      </c>
      <c r="J5342" s="195">
        <v>0.18509419999999999</v>
      </c>
      <c r="K5342" s="195">
        <v>0.1674262</v>
      </c>
      <c r="L5342" s="195">
        <v>0.15944610000000001</v>
      </c>
      <c r="M5342" s="195"/>
      <c r="N5342" s="195">
        <v>-0.1365209</v>
      </c>
    </row>
    <row r="5343" spans="1:14" hidden="1" x14ac:dyDescent="0.35">
      <c r="A5343" s="52" t="s">
        <v>709</v>
      </c>
      <c r="B5343" s="52" t="s">
        <v>74</v>
      </c>
      <c r="C5343" s="52" t="s">
        <v>87</v>
      </c>
      <c r="D5343" s="52" t="s">
        <v>91</v>
      </c>
      <c r="E5343" s="52" t="s">
        <v>584</v>
      </c>
      <c r="F5343" s="52" t="s">
        <v>26</v>
      </c>
      <c r="G5343" s="195" t="s">
        <v>279</v>
      </c>
      <c r="H5343" s="195">
        <v>0.38563920000000002</v>
      </c>
      <c r="I5343" s="195">
        <v>0.2434781</v>
      </c>
      <c r="J5343" s="195">
        <v>0.22830049999999999</v>
      </c>
      <c r="K5343" s="195">
        <v>0.22793379999999999</v>
      </c>
      <c r="L5343" s="195">
        <v>0.2174208</v>
      </c>
      <c r="M5343" s="195">
        <v>3.802879E-2</v>
      </c>
      <c r="N5343" s="195">
        <v>0.45702009999999998</v>
      </c>
    </row>
    <row r="5344" spans="1:14" hidden="1" x14ac:dyDescent="0.35">
      <c r="A5344" s="52" t="s">
        <v>709</v>
      </c>
      <c r="B5344" s="52" t="s">
        <v>74</v>
      </c>
      <c r="C5344" s="52" t="s">
        <v>87</v>
      </c>
      <c r="D5344" s="52" t="s">
        <v>92</v>
      </c>
      <c r="E5344" s="52" t="s">
        <v>584</v>
      </c>
      <c r="F5344" s="52" t="s">
        <v>581</v>
      </c>
      <c r="G5344" s="195" t="s">
        <v>275</v>
      </c>
      <c r="H5344" s="195">
        <v>-0.5983849</v>
      </c>
      <c r="I5344" s="195">
        <v>-2.049849</v>
      </c>
      <c r="J5344" s="195"/>
      <c r="K5344" s="195"/>
      <c r="L5344" s="195"/>
      <c r="M5344" s="195">
        <v>0</v>
      </c>
      <c r="N5344" s="195">
        <v>0</v>
      </c>
    </row>
    <row r="5345" spans="1:14" hidden="1" x14ac:dyDescent="0.35">
      <c r="A5345" s="52" t="s">
        <v>709</v>
      </c>
      <c r="B5345" s="52" t="s">
        <v>74</v>
      </c>
      <c r="C5345" s="52" t="s">
        <v>87</v>
      </c>
      <c r="D5345" s="52" t="s">
        <v>92</v>
      </c>
      <c r="E5345" s="52" t="s">
        <v>584</v>
      </c>
      <c r="F5345" s="52" t="s">
        <v>581</v>
      </c>
      <c r="G5345" s="195" t="s">
        <v>276</v>
      </c>
      <c r="H5345" s="195">
        <v>-0.50328269999999997</v>
      </c>
      <c r="I5345" s="195">
        <v>-1.3780209999999999</v>
      </c>
      <c r="J5345" s="195"/>
      <c r="K5345" s="195"/>
      <c r="L5345" s="195"/>
      <c r="M5345" s="195">
        <v>0</v>
      </c>
      <c r="N5345" s="195">
        <v>0</v>
      </c>
    </row>
    <row r="5346" spans="1:14" hidden="1" x14ac:dyDescent="0.35">
      <c r="A5346" s="52" t="s">
        <v>709</v>
      </c>
      <c r="B5346" s="52" t="s">
        <v>74</v>
      </c>
      <c r="C5346" s="52" t="s">
        <v>87</v>
      </c>
      <c r="D5346" s="52" t="s">
        <v>92</v>
      </c>
      <c r="E5346" s="52" t="s">
        <v>584</v>
      </c>
      <c r="F5346" s="52" t="s">
        <v>581</v>
      </c>
      <c r="G5346" s="195" t="s">
        <v>277</v>
      </c>
      <c r="H5346" s="195">
        <v>1.001851</v>
      </c>
      <c r="I5346" s="195"/>
      <c r="J5346" s="195"/>
      <c r="K5346" s="195">
        <v>0</v>
      </c>
      <c r="L5346" s="195"/>
      <c r="M5346" s="195"/>
      <c r="N5346" s="195"/>
    </row>
    <row r="5347" spans="1:14" hidden="1" x14ac:dyDescent="0.35">
      <c r="A5347" s="52" t="s">
        <v>709</v>
      </c>
      <c r="B5347" s="52" t="s">
        <v>74</v>
      </c>
      <c r="C5347" s="52" t="s">
        <v>87</v>
      </c>
      <c r="D5347" s="52" t="s">
        <v>92</v>
      </c>
      <c r="E5347" s="52" t="s">
        <v>584</v>
      </c>
      <c r="F5347" s="52" t="s">
        <v>581</v>
      </c>
      <c r="G5347" s="195" t="s">
        <v>279</v>
      </c>
      <c r="H5347" s="195">
        <v>0.30865340000000002</v>
      </c>
      <c r="I5347" s="195">
        <v>3.4583699999999999</v>
      </c>
      <c r="J5347" s="195">
        <v>4.2317960000000002E-2</v>
      </c>
      <c r="K5347" s="195"/>
      <c r="L5347" s="195"/>
      <c r="M5347" s="195">
        <v>0</v>
      </c>
      <c r="N5347" s="195">
        <v>0</v>
      </c>
    </row>
    <row r="5348" spans="1:14" hidden="1" x14ac:dyDescent="0.35">
      <c r="A5348" s="52" t="s">
        <v>709</v>
      </c>
      <c r="B5348" s="52" t="s">
        <v>74</v>
      </c>
      <c r="C5348" s="52" t="s">
        <v>87</v>
      </c>
      <c r="D5348" s="52" t="s">
        <v>92</v>
      </c>
      <c r="E5348" s="52" t="s">
        <v>584</v>
      </c>
      <c r="F5348" s="52" t="s">
        <v>26</v>
      </c>
      <c r="G5348" s="195" t="s">
        <v>275</v>
      </c>
      <c r="H5348" s="195">
        <v>1.913581E-2</v>
      </c>
      <c r="I5348" s="195">
        <v>2.1351470000000001E-2</v>
      </c>
      <c r="J5348" s="195"/>
      <c r="K5348" s="195"/>
      <c r="L5348" s="195"/>
      <c r="M5348" s="195">
        <v>0</v>
      </c>
      <c r="N5348" s="195">
        <v>0</v>
      </c>
    </row>
    <row r="5349" spans="1:14" hidden="1" x14ac:dyDescent="0.35">
      <c r="A5349" s="52" t="s">
        <v>709</v>
      </c>
      <c r="B5349" s="52" t="s">
        <v>74</v>
      </c>
      <c r="C5349" s="52" t="s">
        <v>87</v>
      </c>
      <c r="D5349" s="52" t="s">
        <v>92</v>
      </c>
      <c r="E5349" s="52" t="s">
        <v>584</v>
      </c>
      <c r="F5349" s="52" t="s">
        <v>26</v>
      </c>
      <c r="G5349" s="195" t="s">
        <v>276</v>
      </c>
      <c r="H5349" s="195">
        <v>1.275721E-2</v>
      </c>
      <c r="I5349" s="195">
        <v>1.4234429999999999E-2</v>
      </c>
      <c r="J5349" s="195"/>
      <c r="K5349" s="195"/>
      <c r="L5349" s="195"/>
      <c r="M5349" s="195">
        <v>0</v>
      </c>
      <c r="N5349" s="195">
        <v>0</v>
      </c>
    </row>
    <row r="5350" spans="1:14" hidden="1" x14ac:dyDescent="0.35">
      <c r="A5350" s="52" t="s">
        <v>709</v>
      </c>
      <c r="B5350" s="52" t="s">
        <v>74</v>
      </c>
      <c r="C5350" s="52" t="s">
        <v>87</v>
      </c>
      <c r="D5350" s="52" t="s">
        <v>92</v>
      </c>
      <c r="E5350" s="52" t="s">
        <v>584</v>
      </c>
      <c r="F5350" s="52" t="s">
        <v>26</v>
      </c>
      <c r="G5350" s="195" t="s">
        <v>279</v>
      </c>
      <c r="H5350" s="195">
        <v>1.1543960000000001E-2</v>
      </c>
      <c r="I5350" s="195">
        <v>1.8112219999999998E-2</v>
      </c>
      <c r="J5350" s="195"/>
      <c r="K5350" s="195"/>
      <c r="L5350" s="195"/>
      <c r="M5350" s="195">
        <v>0</v>
      </c>
      <c r="N5350" s="195">
        <v>0</v>
      </c>
    </row>
    <row r="5351" spans="1:14" hidden="1" x14ac:dyDescent="0.35">
      <c r="A5351" s="52" t="s">
        <v>709</v>
      </c>
      <c r="B5351" s="52" t="s">
        <v>74</v>
      </c>
      <c r="C5351" s="52" t="s">
        <v>87</v>
      </c>
      <c r="D5351" s="52" t="s">
        <v>89</v>
      </c>
      <c r="E5351" s="52" t="s">
        <v>584</v>
      </c>
      <c r="F5351" s="52" t="s">
        <v>581</v>
      </c>
      <c r="G5351" s="195" t="s">
        <v>275</v>
      </c>
      <c r="H5351" s="195">
        <v>-4.0870000000000001E-4</v>
      </c>
      <c r="I5351" s="195">
        <v>-5.5820000000000002E-4</v>
      </c>
      <c r="J5351" s="195">
        <v>0</v>
      </c>
      <c r="K5351" s="195">
        <v>0</v>
      </c>
      <c r="L5351" s="195">
        <v>0</v>
      </c>
      <c r="M5351" s="195">
        <v>0</v>
      </c>
      <c r="N5351" s="195">
        <v>0</v>
      </c>
    </row>
    <row r="5352" spans="1:14" hidden="1" x14ac:dyDescent="0.35">
      <c r="A5352" s="52" t="s">
        <v>709</v>
      </c>
      <c r="B5352" s="52" t="s">
        <v>74</v>
      </c>
      <c r="C5352" s="52" t="s">
        <v>87</v>
      </c>
      <c r="D5352" s="52" t="s">
        <v>89</v>
      </c>
      <c r="E5352" s="52" t="s">
        <v>584</v>
      </c>
      <c r="F5352" s="52" t="s">
        <v>581</v>
      </c>
      <c r="G5352" s="195" t="s">
        <v>276</v>
      </c>
      <c r="H5352" s="195">
        <v>-2.7260000000000001E-4</v>
      </c>
      <c r="I5352" s="195">
        <v>-3.7219999999999999E-4</v>
      </c>
      <c r="J5352" s="195">
        <v>-9.3030000000000001E-4</v>
      </c>
      <c r="K5352" s="195">
        <v>-9.3039999999999996E-4</v>
      </c>
      <c r="L5352" s="195">
        <v>-9.3019999999999995E-4</v>
      </c>
      <c r="M5352" s="195">
        <v>-9.3030000000000001E-4</v>
      </c>
      <c r="N5352" s="195">
        <v>-9.3030000000000001E-4</v>
      </c>
    </row>
    <row r="5353" spans="1:14" hidden="1" x14ac:dyDescent="0.35">
      <c r="A5353" s="52" t="s">
        <v>709</v>
      </c>
      <c r="B5353" s="52" t="s">
        <v>74</v>
      </c>
      <c r="C5353" s="52" t="s">
        <v>87</v>
      </c>
      <c r="D5353" s="52" t="s">
        <v>89</v>
      </c>
      <c r="E5353" s="52" t="s">
        <v>584</v>
      </c>
      <c r="F5353" s="52" t="s">
        <v>581</v>
      </c>
      <c r="G5353" s="195" t="s">
        <v>278</v>
      </c>
      <c r="H5353" s="195">
        <v>6.8130000000000003E-4</v>
      </c>
      <c r="I5353" s="195">
        <v>9.3029989999999997E-4</v>
      </c>
      <c r="J5353" s="195">
        <v>9.3029989999999997E-4</v>
      </c>
      <c r="K5353" s="195">
        <v>9.3029989999999997E-4</v>
      </c>
      <c r="L5353" s="195">
        <v>9.3029989999999997E-4</v>
      </c>
      <c r="M5353" s="195">
        <v>9.3029989999999997E-4</v>
      </c>
      <c r="N5353" s="195">
        <v>9.3029989999999997E-4</v>
      </c>
    </row>
    <row r="5354" spans="1:14" hidden="1" x14ac:dyDescent="0.35">
      <c r="A5354" s="52" t="s">
        <v>709</v>
      </c>
      <c r="B5354" s="52" t="s">
        <v>74</v>
      </c>
      <c r="C5354" s="52" t="s">
        <v>87</v>
      </c>
      <c r="D5354" s="52" t="s">
        <v>130</v>
      </c>
      <c r="E5354" s="52" t="s">
        <v>584</v>
      </c>
      <c r="F5354" s="52" t="s">
        <v>581</v>
      </c>
      <c r="G5354" s="195" t="s">
        <v>275</v>
      </c>
      <c r="H5354" s="195">
        <v>-3.1030440000000001E-3</v>
      </c>
      <c r="I5354" s="195">
        <v>-4.2370430000000002E-3</v>
      </c>
      <c r="J5354" s="195">
        <v>0</v>
      </c>
      <c r="K5354" s="195">
        <v>0</v>
      </c>
      <c r="L5354" s="195">
        <v>0</v>
      </c>
      <c r="M5354" s="195">
        <v>0</v>
      </c>
      <c r="N5354" s="195">
        <v>0</v>
      </c>
    </row>
    <row r="5355" spans="1:14" hidden="1" x14ac:dyDescent="0.35">
      <c r="A5355" s="52" t="s">
        <v>709</v>
      </c>
      <c r="B5355" s="52" t="s">
        <v>74</v>
      </c>
      <c r="C5355" s="52" t="s">
        <v>87</v>
      </c>
      <c r="D5355" s="52" t="s">
        <v>130</v>
      </c>
      <c r="E5355" s="52" t="s">
        <v>584</v>
      </c>
      <c r="F5355" s="52" t="s">
        <v>581</v>
      </c>
      <c r="G5355" s="195" t="s">
        <v>276</v>
      </c>
      <c r="H5355" s="195">
        <v>-2.068336E-3</v>
      </c>
      <c r="I5355" s="195">
        <v>-2.8246349999999998E-3</v>
      </c>
      <c r="J5355" s="195">
        <v>-7.0618579999999999E-3</v>
      </c>
      <c r="K5355" s="195">
        <v>-7.0616780000000001E-3</v>
      </c>
      <c r="L5355" s="195">
        <v>-7.0618579999999999E-3</v>
      </c>
      <c r="M5355" s="195">
        <v>-7.0618579999999999E-3</v>
      </c>
      <c r="N5355" s="195">
        <v>-2.3778469999999999E-2</v>
      </c>
    </row>
    <row r="5356" spans="1:14" hidden="1" x14ac:dyDescent="0.35">
      <c r="A5356" s="52" t="s">
        <v>709</v>
      </c>
      <c r="B5356" s="52" t="s">
        <v>74</v>
      </c>
      <c r="C5356" s="52" t="s">
        <v>87</v>
      </c>
      <c r="D5356" s="52" t="s">
        <v>130</v>
      </c>
      <c r="E5356" s="52" t="s">
        <v>584</v>
      </c>
      <c r="F5356" s="52" t="s">
        <v>581</v>
      </c>
      <c r="G5356" s="195" t="s">
        <v>277</v>
      </c>
      <c r="H5356" s="195"/>
      <c r="I5356" s="195"/>
      <c r="J5356" s="195"/>
      <c r="K5356" s="195"/>
      <c r="L5356" s="195"/>
      <c r="M5356" s="195">
        <v>0</v>
      </c>
      <c r="N5356" s="195">
        <v>1.6716970000000001E-2</v>
      </c>
    </row>
    <row r="5357" spans="1:14" hidden="1" x14ac:dyDescent="0.35">
      <c r="A5357" s="52" t="s">
        <v>709</v>
      </c>
      <c r="B5357" s="52" t="s">
        <v>74</v>
      </c>
      <c r="C5357" s="52" t="s">
        <v>87</v>
      </c>
      <c r="D5357" s="52" t="s">
        <v>130</v>
      </c>
      <c r="E5357" s="52" t="s">
        <v>584</v>
      </c>
      <c r="F5357" s="52" t="s">
        <v>581</v>
      </c>
      <c r="G5357" s="195" t="s">
        <v>278</v>
      </c>
      <c r="H5357" s="195">
        <v>5.1715600000000004E-3</v>
      </c>
      <c r="I5357" s="195">
        <v>7.0616769999999997E-3</v>
      </c>
      <c r="J5357" s="195">
        <v>7.0616769999999997E-3</v>
      </c>
      <c r="K5357" s="195">
        <v>7.0616769999999997E-3</v>
      </c>
      <c r="L5357" s="195">
        <v>7.0616769999999997E-3</v>
      </c>
      <c r="M5357" s="195">
        <v>7.0616780000000001E-3</v>
      </c>
      <c r="N5357" s="195">
        <v>7.0616769999999997E-3</v>
      </c>
    </row>
    <row r="5358" spans="1:14" hidden="1" x14ac:dyDescent="0.35">
      <c r="A5358" s="52" t="s">
        <v>709</v>
      </c>
      <c r="B5358" s="52" t="s">
        <v>74</v>
      </c>
      <c r="C5358" s="52" t="s">
        <v>227</v>
      </c>
      <c r="D5358" s="52" t="s">
        <v>227</v>
      </c>
      <c r="E5358" s="52" t="s">
        <v>584</v>
      </c>
      <c r="F5358" s="52" t="s">
        <v>581</v>
      </c>
      <c r="G5358" s="195" t="s">
        <v>275</v>
      </c>
      <c r="H5358" s="195">
        <v>-27.89198</v>
      </c>
      <c r="I5358" s="195">
        <v>-12.06537</v>
      </c>
      <c r="J5358" s="195">
        <v>11.583310000000001</v>
      </c>
      <c r="K5358" s="195">
        <v>12.841609999999999</v>
      </c>
      <c r="L5358" s="195">
        <v>12.164849999999999</v>
      </c>
      <c r="M5358" s="195">
        <v>11.83248</v>
      </c>
      <c r="N5358" s="195">
        <v>3.40448</v>
      </c>
    </row>
    <row r="5359" spans="1:14" hidden="1" x14ac:dyDescent="0.35">
      <c r="A5359" s="52" t="s">
        <v>709</v>
      </c>
      <c r="B5359" s="52" t="s">
        <v>74</v>
      </c>
      <c r="C5359" s="52" t="s">
        <v>227</v>
      </c>
      <c r="D5359" s="52" t="s">
        <v>227</v>
      </c>
      <c r="E5359" s="52" t="s">
        <v>584</v>
      </c>
      <c r="F5359" s="52" t="s">
        <v>581</v>
      </c>
      <c r="G5359" s="195" t="s">
        <v>276</v>
      </c>
      <c r="H5359" s="195">
        <v>-148.446</v>
      </c>
      <c r="I5359" s="195">
        <v>-12.73119</v>
      </c>
      <c r="J5359" s="195">
        <v>6.4763739999999999</v>
      </c>
      <c r="K5359" s="195">
        <v>7.1570400000000003</v>
      </c>
      <c r="L5359" s="195">
        <v>7.304214</v>
      </c>
      <c r="M5359" s="195">
        <v>7.0069600000000003</v>
      </c>
      <c r="N5359" s="195">
        <v>1.2370680000000001</v>
      </c>
    </row>
    <row r="5360" spans="1:14" hidden="1" x14ac:dyDescent="0.35">
      <c r="A5360" s="52" t="s">
        <v>709</v>
      </c>
      <c r="B5360" s="52" t="s">
        <v>74</v>
      </c>
      <c r="C5360" s="52" t="s">
        <v>227</v>
      </c>
      <c r="D5360" s="52" t="s">
        <v>227</v>
      </c>
      <c r="E5360" s="52" t="s">
        <v>584</v>
      </c>
      <c r="F5360" s="52" t="s">
        <v>581</v>
      </c>
      <c r="G5360" s="195" t="s">
        <v>277</v>
      </c>
      <c r="H5360" s="195">
        <v>185.67240000000001</v>
      </c>
      <c r="I5360" s="195">
        <v>45.000950000000003</v>
      </c>
      <c r="J5360" s="195">
        <v>11.57376</v>
      </c>
      <c r="K5360" s="195">
        <v>5.4602680000000001</v>
      </c>
      <c r="L5360" s="195">
        <v>7.4483370000000004</v>
      </c>
      <c r="M5360" s="195">
        <v>8.7748059999999999</v>
      </c>
      <c r="N5360" s="195">
        <v>23.665189999999999</v>
      </c>
    </row>
    <row r="5361" spans="1:14" hidden="1" x14ac:dyDescent="0.35">
      <c r="A5361" s="52" t="s">
        <v>709</v>
      </c>
      <c r="B5361" s="52" t="s">
        <v>74</v>
      </c>
      <c r="C5361" s="52" t="s">
        <v>227</v>
      </c>
      <c r="D5361" s="52" t="s">
        <v>227</v>
      </c>
      <c r="E5361" s="52" t="s">
        <v>584</v>
      </c>
      <c r="F5361" s="52" t="s">
        <v>581</v>
      </c>
      <c r="G5361" s="195" t="s">
        <v>278</v>
      </c>
      <c r="H5361" s="195">
        <v>3.673539E-2</v>
      </c>
      <c r="I5361" s="195">
        <v>5.0161780000000003E-2</v>
      </c>
      <c r="J5361" s="195">
        <v>5.0161770000000001E-2</v>
      </c>
      <c r="K5361" s="195">
        <v>0.84517830000000005</v>
      </c>
      <c r="L5361" s="195">
        <v>5.0161770000000001E-2</v>
      </c>
      <c r="M5361" s="195">
        <v>4.0236769999999998E-2</v>
      </c>
      <c r="N5361" s="195">
        <v>4.0236769999999998E-2</v>
      </c>
    </row>
    <row r="5362" spans="1:14" hidden="1" x14ac:dyDescent="0.35">
      <c r="A5362" s="52" t="s">
        <v>709</v>
      </c>
      <c r="B5362" s="52" t="s">
        <v>74</v>
      </c>
      <c r="C5362" s="52" t="s">
        <v>227</v>
      </c>
      <c r="D5362" s="52" t="s">
        <v>227</v>
      </c>
      <c r="E5362" s="52" t="s">
        <v>584</v>
      </c>
      <c r="F5362" s="52" t="s">
        <v>581</v>
      </c>
      <c r="G5362" s="195" t="s">
        <v>279</v>
      </c>
      <c r="H5362" s="195">
        <v>19.988489999999999</v>
      </c>
      <c r="I5362" s="195">
        <v>34.844430000000003</v>
      </c>
      <c r="J5362" s="195">
        <v>48.869010000000003</v>
      </c>
      <c r="K5362" s="195">
        <v>55.490540000000003</v>
      </c>
      <c r="L5362" s="195">
        <v>56.882429999999999</v>
      </c>
      <c r="M5362" s="195">
        <v>58.322139999999997</v>
      </c>
      <c r="N5362" s="195">
        <v>59.775889999999997</v>
      </c>
    </row>
    <row r="5363" spans="1:14" hidden="1" x14ac:dyDescent="0.35">
      <c r="A5363" s="52" t="s">
        <v>709</v>
      </c>
      <c r="B5363" s="52" t="s">
        <v>74</v>
      </c>
      <c r="C5363" s="52" t="s">
        <v>227</v>
      </c>
      <c r="D5363" s="52" t="s">
        <v>228</v>
      </c>
      <c r="E5363" s="52" t="s">
        <v>584</v>
      </c>
      <c r="F5363" s="52" t="s">
        <v>581</v>
      </c>
      <c r="G5363" s="195" t="s">
        <v>275</v>
      </c>
      <c r="H5363" s="195">
        <v>-9.1087070000000006E-2</v>
      </c>
      <c r="I5363" s="195">
        <v>-4.3808199999999999</v>
      </c>
      <c r="J5363" s="195">
        <v>-3.7030439999999998</v>
      </c>
      <c r="K5363" s="195">
        <v>-4.4448119999999998</v>
      </c>
      <c r="L5363" s="195">
        <v>-4.5888039999999997</v>
      </c>
      <c r="M5363" s="195">
        <v>-11.34671</v>
      </c>
      <c r="N5363" s="195">
        <v>2.7279000000000001E-5</v>
      </c>
    </row>
    <row r="5364" spans="1:14" hidden="1" x14ac:dyDescent="0.35">
      <c r="A5364" s="52" t="s">
        <v>709</v>
      </c>
      <c r="B5364" s="52" t="s">
        <v>74</v>
      </c>
      <c r="C5364" s="52" t="s">
        <v>227</v>
      </c>
      <c r="D5364" s="52" t="s">
        <v>228</v>
      </c>
      <c r="E5364" s="52" t="s">
        <v>584</v>
      </c>
      <c r="F5364" s="52" t="s">
        <v>581</v>
      </c>
      <c r="G5364" s="195" t="s">
        <v>276</v>
      </c>
      <c r="H5364" s="195">
        <v>-0.14997489999999999</v>
      </c>
      <c r="I5364" s="195">
        <v>-3.1843599999999999</v>
      </c>
      <c r="J5364" s="195">
        <v>-2.5174949999999998</v>
      </c>
      <c r="K5364" s="195">
        <v>-2.975463</v>
      </c>
      <c r="L5364" s="195">
        <v>-3.0659290000000001</v>
      </c>
      <c r="M5364" s="195">
        <v>-7.5644770000000001</v>
      </c>
      <c r="N5364" s="195">
        <v>1.8181799999999999E-5</v>
      </c>
    </row>
    <row r="5365" spans="1:14" hidden="1" x14ac:dyDescent="0.35">
      <c r="A5365" s="52" t="s">
        <v>709</v>
      </c>
      <c r="B5365" s="52" t="s">
        <v>74</v>
      </c>
      <c r="C5365" s="52" t="s">
        <v>227</v>
      </c>
      <c r="D5365" s="52" t="s">
        <v>228</v>
      </c>
      <c r="E5365" s="52" t="s">
        <v>584</v>
      </c>
      <c r="F5365" s="52" t="s">
        <v>581</v>
      </c>
      <c r="G5365" s="195" t="s">
        <v>277</v>
      </c>
      <c r="H5365" s="195">
        <v>0.85680009999999995</v>
      </c>
      <c r="I5365" s="195">
        <v>2.5326</v>
      </c>
      <c r="J5365" s="195">
        <v>0.46846680000000002</v>
      </c>
      <c r="K5365" s="195">
        <v>0.1176466</v>
      </c>
      <c r="L5365" s="195">
        <v>6.4565800000000007E-2</v>
      </c>
      <c r="M5365" s="195">
        <v>0</v>
      </c>
      <c r="N5365" s="195"/>
    </row>
    <row r="5366" spans="1:14" hidden="1" x14ac:dyDescent="0.35">
      <c r="A5366" s="52" t="s">
        <v>709</v>
      </c>
      <c r="B5366" s="52" t="s">
        <v>74</v>
      </c>
      <c r="C5366" s="52" t="s">
        <v>227</v>
      </c>
      <c r="D5366" s="52" t="s">
        <v>228</v>
      </c>
      <c r="E5366" s="52" t="s">
        <v>584</v>
      </c>
      <c r="F5366" s="52" t="s">
        <v>581</v>
      </c>
      <c r="G5366" s="195" t="s">
        <v>279</v>
      </c>
      <c r="H5366" s="195">
        <v>10.5703</v>
      </c>
      <c r="I5366" s="195">
        <v>9.5526739999999997</v>
      </c>
      <c r="J5366" s="195">
        <v>8.6524549999999998</v>
      </c>
      <c r="K5366" s="195">
        <v>9.9774740000000008</v>
      </c>
      <c r="L5366" s="195">
        <v>9.9260859999999997</v>
      </c>
      <c r="M5366" s="195">
        <v>21.03482</v>
      </c>
      <c r="N5366" s="195">
        <v>1.05651E-4</v>
      </c>
    </row>
    <row r="5367" spans="1:14" hidden="1" x14ac:dyDescent="0.35">
      <c r="A5367" s="52" t="s">
        <v>709</v>
      </c>
      <c r="B5367" s="52" t="s">
        <v>74</v>
      </c>
      <c r="C5367" s="52" t="s">
        <v>227</v>
      </c>
      <c r="D5367" s="52" t="s">
        <v>228</v>
      </c>
      <c r="E5367" s="52" t="s">
        <v>584</v>
      </c>
      <c r="F5367" s="52" t="s">
        <v>26</v>
      </c>
      <c r="G5367" s="195" t="s">
        <v>275</v>
      </c>
      <c r="H5367" s="195">
        <v>0.1798631</v>
      </c>
      <c r="I5367" s="195">
        <v>0.1098835</v>
      </c>
      <c r="J5367" s="195">
        <v>8.9157609999999998E-2</v>
      </c>
      <c r="K5367" s="195">
        <v>7.4821810000000002E-2</v>
      </c>
      <c r="L5367" s="195">
        <v>6.5051209999999998E-2</v>
      </c>
      <c r="M5367" s="195">
        <v>5.6326380000000002E-2</v>
      </c>
      <c r="N5367" s="195"/>
    </row>
    <row r="5368" spans="1:14" hidden="1" x14ac:dyDescent="0.35">
      <c r="A5368" s="52" t="s">
        <v>709</v>
      </c>
      <c r="B5368" s="52" t="s">
        <v>74</v>
      </c>
      <c r="C5368" s="52" t="s">
        <v>227</v>
      </c>
      <c r="D5368" s="52" t="s">
        <v>228</v>
      </c>
      <c r="E5368" s="52" t="s">
        <v>584</v>
      </c>
      <c r="F5368" s="52" t="s">
        <v>26</v>
      </c>
      <c r="G5368" s="195" t="s">
        <v>276</v>
      </c>
      <c r="H5368" s="195">
        <v>0.119909</v>
      </c>
      <c r="I5368" s="195">
        <v>7.3255769999999998E-2</v>
      </c>
      <c r="J5368" s="195">
        <v>5.943855E-2</v>
      </c>
      <c r="K5368" s="195">
        <v>4.9881559999999998E-2</v>
      </c>
      <c r="L5368" s="195">
        <v>4.3367599999999999E-2</v>
      </c>
      <c r="M5368" s="195">
        <v>3.7550859999999998E-2</v>
      </c>
      <c r="N5368" s="195"/>
    </row>
    <row r="5369" spans="1:14" hidden="1" x14ac:dyDescent="0.35">
      <c r="A5369" s="52" t="s">
        <v>709</v>
      </c>
      <c r="B5369" s="52" t="s">
        <v>74</v>
      </c>
      <c r="C5369" s="52" t="s">
        <v>227</v>
      </c>
      <c r="D5369" s="52" t="s">
        <v>228</v>
      </c>
      <c r="E5369" s="52" t="s">
        <v>584</v>
      </c>
      <c r="F5369" s="52" t="s">
        <v>26</v>
      </c>
      <c r="G5369" s="195" t="s">
        <v>279</v>
      </c>
      <c r="H5369" s="195">
        <v>0.23291300000000001</v>
      </c>
      <c r="I5369" s="195">
        <v>0.22596369999999999</v>
      </c>
      <c r="J5369" s="195">
        <v>0.17259079999999999</v>
      </c>
      <c r="K5369" s="195">
        <v>0.16859550000000001</v>
      </c>
      <c r="L5369" s="195">
        <v>0.14703079999999999</v>
      </c>
      <c r="M5369" s="195">
        <v>0.13263910000000001</v>
      </c>
      <c r="N5369" s="195"/>
    </row>
    <row r="5370" spans="1:14" hidden="1" x14ac:dyDescent="0.35">
      <c r="A5370" s="52" t="s">
        <v>709</v>
      </c>
      <c r="B5370" s="52" t="s">
        <v>74</v>
      </c>
      <c r="C5370" s="52" t="s">
        <v>71</v>
      </c>
      <c r="D5370" s="52" t="s">
        <v>75</v>
      </c>
      <c r="E5370" s="52" t="s">
        <v>584</v>
      </c>
      <c r="F5370" s="52" t="s">
        <v>581</v>
      </c>
      <c r="G5370" s="195" t="s">
        <v>275</v>
      </c>
      <c r="H5370" s="195">
        <v>29.788049999999998</v>
      </c>
      <c r="I5370" s="195">
        <v>5.0585659999999999</v>
      </c>
      <c r="J5370" s="195">
        <v>-0.78426779999999996</v>
      </c>
      <c r="K5370" s="195">
        <v>0.28107260000000001</v>
      </c>
      <c r="L5370" s="195">
        <v>8.4476899999999994E-2</v>
      </c>
      <c r="M5370" s="195">
        <v>-0.45582339999999999</v>
      </c>
      <c r="N5370" s="195">
        <v>-5.773872E-2</v>
      </c>
    </row>
    <row r="5371" spans="1:14" hidden="1" x14ac:dyDescent="0.35">
      <c r="A5371" s="52" t="s">
        <v>709</v>
      </c>
      <c r="B5371" s="52" t="s">
        <v>74</v>
      </c>
      <c r="C5371" s="52" t="s">
        <v>71</v>
      </c>
      <c r="D5371" s="52" t="s">
        <v>75</v>
      </c>
      <c r="E5371" s="52" t="s">
        <v>584</v>
      </c>
      <c r="F5371" s="52" t="s">
        <v>581</v>
      </c>
      <c r="G5371" s="195" t="s">
        <v>276</v>
      </c>
      <c r="H5371" s="195">
        <v>19.25046</v>
      </c>
      <c r="I5371" s="195">
        <v>3.0717080000000001</v>
      </c>
      <c r="J5371" s="195">
        <v>-1.261374</v>
      </c>
      <c r="K5371" s="195">
        <v>-5.3025950000000002E-2</v>
      </c>
      <c r="L5371" s="195">
        <v>-0.2392214</v>
      </c>
      <c r="M5371" s="195">
        <v>-0.58148849999999996</v>
      </c>
      <c r="N5371" s="195">
        <v>-5.2066069999999999E-2</v>
      </c>
    </row>
    <row r="5372" spans="1:14" hidden="1" x14ac:dyDescent="0.35">
      <c r="A5372" s="52" t="s">
        <v>709</v>
      </c>
      <c r="B5372" s="52" t="s">
        <v>74</v>
      </c>
      <c r="C5372" s="52" t="s">
        <v>71</v>
      </c>
      <c r="D5372" s="52" t="s">
        <v>75</v>
      </c>
      <c r="E5372" s="52" t="s">
        <v>584</v>
      </c>
      <c r="F5372" s="52" t="s">
        <v>581</v>
      </c>
      <c r="G5372" s="195" t="s">
        <v>277</v>
      </c>
      <c r="H5372" s="195">
        <v>5.8390870000000001</v>
      </c>
      <c r="I5372" s="195">
        <v>2.8864209999999999</v>
      </c>
      <c r="J5372" s="195">
        <v>6.9595700000000003</v>
      </c>
      <c r="K5372" s="195">
        <v>2.177603</v>
      </c>
      <c r="L5372" s="195">
        <v>2.7068780000000001</v>
      </c>
      <c r="M5372" s="195">
        <v>2.4592619999999998</v>
      </c>
      <c r="N5372" s="195">
        <v>0</v>
      </c>
    </row>
    <row r="5373" spans="1:14" hidden="1" x14ac:dyDescent="0.35">
      <c r="A5373" s="52" t="s">
        <v>709</v>
      </c>
      <c r="B5373" s="52" t="s">
        <v>74</v>
      </c>
      <c r="C5373" s="52" t="s">
        <v>71</v>
      </c>
      <c r="D5373" s="52" t="s">
        <v>75</v>
      </c>
      <c r="E5373" s="52" t="s">
        <v>584</v>
      </c>
      <c r="F5373" s="52" t="s">
        <v>581</v>
      </c>
      <c r="G5373" s="195" t="s">
        <v>278</v>
      </c>
      <c r="H5373" s="195">
        <v>9.9404009999999998E-3</v>
      </c>
      <c r="I5373" s="195">
        <v>1.3573979999999999E-2</v>
      </c>
      <c r="J5373" s="195">
        <v>1.3573750000000001E-2</v>
      </c>
      <c r="K5373" s="195">
        <v>1.3573979999999999E-2</v>
      </c>
      <c r="L5373" s="195">
        <v>1.3573979999999999E-2</v>
      </c>
      <c r="M5373" s="195">
        <v>2.1433239999999999E-2</v>
      </c>
      <c r="N5373" s="195">
        <v>1.3573979999999999E-2</v>
      </c>
    </row>
    <row r="5374" spans="1:14" hidden="1" x14ac:dyDescent="0.35">
      <c r="A5374" s="52" t="s">
        <v>709</v>
      </c>
      <c r="B5374" s="52" t="s">
        <v>74</v>
      </c>
      <c r="C5374" s="52" t="s">
        <v>71</v>
      </c>
      <c r="D5374" s="52" t="s">
        <v>75</v>
      </c>
      <c r="E5374" s="52" t="s">
        <v>584</v>
      </c>
      <c r="F5374" s="52" t="s">
        <v>581</v>
      </c>
      <c r="G5374" s="195" t="s">
        <v>279</v>
      </c>
      <c r="H5374" s="195">
        <v>10.51524</v>
      </c>
      <c r="I5374" s="195">
        <v>8.1298580000000005</v>
      </c>
      <c r="J5374" s="195">
        <v>7.0091330000000003</v>
      </c>
      <c r="K5374" s="195">
        <v>7.5981800000000002</v>
      </c>
      <c r="L5374" s="195">
        <v>7.6198430000000004</v>
      </c>
      <c r="M5374" s="195">
        <v>7.4309599999999998</v>
      </c>
      <c r="N5374" s="195">
        <v>7.1129850000000001</v>
      </c>
    </row>
    <row r="5375" spans="1:14" hidden="1" x14ac:dyDescent="0.35">
      <c r="A5375" s="52" t="s">
        <v>709</v>
      </c>
      <c r="B5375" s="52" t="s">
        <v>74</v>
      </c>
      <c r="C5375" s="52" t="s">
        <v>71</v>
      </c>
      <c r="D5375" s="52" t="s">
        <v>75</v>
      </c>
      <c r="E5375" s="52" t="s">
        <v>584</v>
      </c>
      <c r="F5375" s="52" t="s">
        <v>26</v>
      </c>
      <c r="G5375" s="195" t="s">
        <v>275</v>
      </c>
      <c r="H5375" s="195">
        <v>0.74842089999999994</v>
      </c>
      <c r="I5375" s="195">
        <v>0.57855749999999995</v>
      </c>
      <c r="J5375" s="195">
        <v>0.43874839999999998</v>
      </c>
      <c r="K5375" s="195">
        <v>0.35822870000000001</v>
      </c>
      <c r="L5375" s="195">
        <v>0.36381780000000002</v>
      </c>
      <c r="M5375" s="195">
        <v>0.31733230000000001</v>
      </c>
      <c r="N5375" s="195">
        <v>0.25095669999999998</v>
      </c>
    </row>
    <row r="5376" spans="1:14" hidden="1" x14ac:dyDescent="0.35">
      <c r="A5376" s="52" t="s">
        <v>709</v>
      </c>
      <c r="B5376" s="52" t="s">
        <v>74</v>
      </c>
      <c r="C5376" s="52" t="s">
        <v>71</v>
      </c>
      <c r="D5376" s="52" t="s">
        <v>75</v>
      </c>
      <c r="E5376" s="52" t="s">
        <v>584</v>
      </c>
      <c r="F5376" s="52" t="s">
        <v>26</v>
      </c>
      <c r="G5376" s="195" t="s">
        <v>276</v>
      </c>
      <c r="H5376" s="195">
        <v>0.49894680000000002</v>
      </c>
      <c r="I5376" s="195">
        <v>0.38570460000000001</v>
      </c>
      <c r="J5376" s="195">
        <v>0.29249900000000001</v>
      </c>
      <c r="K5376" s="195">
        <v>0.23881939999999999</v>
      </c>
      <c r="L5376" s="195">
        <v>0.24254539999999999</v>
      </c>
      <c r="M5376" s="195">
        <v>0.21155470000000001</v>
      </c>
      <c r="N5376" s="195">
        <v>0.16730449999999999</v>
      </c>
    </row>
    <row r="5377" spans="1:14" hidden="1" x14ac:dyDescent="0.35">
      <c r="A5377" s="52" t="s">
        <v>709</v>
      </c>
      <c r="B5377" s="52" t="s">
        <v>74</v>
      </c>
      <c r="C5377" s="52" t="s">
        <v>71</v>
      </c>
      <c r="D5377" s="52" t="s">
        <v>75</v>
      </c>
      <c r="E5377" s="52" t="s">
        <v>584</v>
      </c>
      <c r="F5377" s="52" t="s">
        <v>26</v>
      </c>
      <c r="G5377" s="195" t="s">
        <v>279</v>
      </c>
      <c r="H5377" s="195">
        <v>0.36684509999999998</v>
      </c>
      <c r="I5377" s="195">
        <v>0.39040459999999999</v>
      </c>
      <c r="J5377" s="195">
        <v>0.28805750000000002</v>
      </c>
      <c r="K5377" s="195">
        <v>0.2579226</v>
      </c>
      <c r="L5377" s="195">
        <v>0.26186670000000001</v>
      </c>
      <c r="M5377" s="195">
        <v>0.2281514</v>
      </c>
      <c r="N5377" s="195">
        <v>0.18039050000000001</v>
      </c>
    </row>
    <row r="5378" spans="1:14" hidden="1" x14ac:dyDescent="0.35">
      <c r="A5378" s="52" t="s">
        <v>709</v>
      </c>
      <c r="B5378" s="52" t="s">
        <v>74</v>
      </c>
      <c r="C5378" s="52" t="s">
        <v>71</v>
      </c>
      <c r="D5378" s="52" t="s">
        <v>137</v>
      </c>
      <c r="E5378" s="52" t="s">
        <v>584</v>
      </c>
      <c r="F5378" s="52" t="s">
        <v>581</v>
      </c>
      <c r="G5378" s="195" t="s">
        <v>275</v>
      </c>
      <c r="H5378" s="195">
        <v>1.2102310000000001</v>
      </c>
      <c r="I5378" s="195">
        <v>-1.2465710000000001</v>
      </c>
      <c r="J5378" s="195">
        <v>-1.527822</v>
      </c>
      <c r="K5378" s="195">
        <v>-2.0111690000000002</v>
      </c>
      <c r="L5378" s="195">
        <v>-2.2771970000000001</v>
      </c>
      <c r="M5378" s="195">
        <v>-2.2736879999999999</v>
      </c>
      <c r="N5378" s="195">
        <v>-2.385329</v>
      </c>
    </row>
    <row r="5379" spans="1:14" hidden="1" x14ac:dyDescent="0.35">
      <c r="A5379" s="52" t="s">
        <v>709</v>
      </c>
      <c r="B5379" s="52" t="s">
        <v>74</v>
      </c>
      <c r="C5379" s="52" t="s">
        <v>71</v>
      </c>
      <c r="D5379" s="52" t="s">
        <v>137</v>
      </c>
      <c r="E5379" s="52" t="s">
        <v>584</v>
      </c>
      <c r="F5379" s="52" t="s">
        <v>581</v>
      </c>
      <c r="G5379" s="195" t="s">
        <v>276</v>
      </c>
      <c r="H5379" s="195">
        <v>0.71200529999999995</v>
      </c>
      <c r="I5379" s="195">
        <v>-0.83104730000000004</v>
      </c>
      <c r="J5379" s="195">
        <v>-1.021542</v>
      </c>
      <c r="K5379" s="195">
        <v>-1.343772</v>
      </c>
      <c r="L5379" s="195">
        <v>-1.545577</v>
      </c>
      <c r="M5379" s="195">
        <v>-1.518786</v>
      </c>
      <c r="N5379" s="195">
        <v>-1.593213</v>
      </c>
    </row>
    <row r="5380" spans="1:14" hidden="1" x14ac:dyDescent="0.35">
      <c r="A5380" s="52" t="s">
        <v>709</v>
      </c>
      <c r="B5380" s="52" t="s">
        <v>74</v>
      </c>
      <c r="C5380" s="52" t="s">
        <v>71</v>
      </c>
      <c r="D5380" s="52" t="s">
        <v>137</v>
      </c>
      <c r="E5380" s="52" t="s">
        <v>584</v>
      </c>
      <c r="F5380" s="52" t="s">
        <v>581</v>
      </c>
      <c r="G5380" s="195" t="s">
        <v>277</v>
      </c>
      <c r="H5380" s="195">
        <v>0.91022939999999997</v>
      </c>
      <c r="I5380" s="195">
        <v>0</v>
      </c>
      <c r="J5380" s="195"/>
      <c r="K5380" s="195">
        <v>0</v>
      </c>
      <c r="L5380" s="195">
        <v>0.23474159999999999</v>
      </c>
      <c r="M5380" s="195">
        <v>0</v>
      </c>
      <c r="N5380" s="195"/>
    </row>
    <row r="5381" spans="1:14" hidden="1" x14ac:dyDescent="0.35">
      <c r="A5381" s="52" t="s">
        <v>709</v>
      </c>
      <c r="B5381" s="52" t="s">
        <v>74</v>
      </c>
      <c r="C5381" s="52" t="s">
        <v>71</v>
      </c>
      <c r="D5381" s="52" t="s">
        <v>137</v>
      </c>
      <c r="E5381" s="52" t="s">
        <v>584</v>
      </c>
      <c r="F5381" s="52" t="s">
        <v>581</v>
      </c>
      <c r="G5381" s="195" t="s">
        <v>278</v>
      </c>
      <c r="H5381" s="195">
        <v>2.1924000000000002E-3</v>
      </c>
      <c r="I5381" s="195">
        <v>2.9937000000000002E-3</v>
      </c>
      <c r="J5381" s="195">
        <v>2.9937000000000002E-3</v>
      </c>
      <c r="K5381" s="195">
        <v>2.9937000000000002E-3</v>
      </c>
      <c r="L5381" s="195">
        <v>2.9937000000000002E-3</v>
      </c>
      <c r="M5381" s="195">
        <v>2.9937000000000002E-3</v>
      </c>
      <c r="N5381" s="195">
        <v>2.9937000000000002E-3</v>
      </c>
    </row>
    <row r="5382" spans="1:14" hidden="1" x14ac:dyDescent="0.35">
      <c r="A5382" s="52" t="s">
        <v>709</v>
      </c>
      <c r="B5382" s="52" t="s">
        <v>74</v>
      </c>
      <c r="C5382" s="52" t="s">
        <v>71</v>
      </c>
      <c r="D5382" s="52" t="s">
        <v>137</v>
      </c>
      <c r="E5382" s="52" t="s">
        <v>584</v>
      </c>
      <c r="F5382" s="52" t="s">
        <v>581</v>
      </c>
      <c r="G5382" s="195" t="s">
        <v>279</v>
      </c>
      <c r="H5382" s="195">
        <v>4.586443</v>
      </c>
      <c r="I5382" s="195">
        <v>3.8401580000000002</v>
      </c>
      <c r="J5382" s="195">
        <v>3.6093489999999999</v>
      </c>
      <c r="K5382" s="195">
        <v>4.2513430000000003</v>
      </c>
      <c r="L5382" s="195">
        <v>4.2916540000000003</v>
      </c>
      <c r="M5382" s="195">
        <v>4.3482029999999998</v>
      </c>
      <c r="N5382" s="195">
        <v>4.4165580000000002</v>
      </c>
    </row>
    <row r="5383" spans="1:14" hidden="1" x14ac:dyDescent="0.35">
      <c r="A5383" s="52" t="s">
        <v>709</v>
      </c>
      <c r="B5383" s="52" t="s">
        <v>74</v>
      </c>
      <c r="C5383" s="52" t="s">
        <v>71</v>
      </c>
      <c r="D5383" s="52" t="s">
        <v>137</v>
      </c>
      <c r="E5383" s="52" t="s">
        <v>584</v>
      </c>
      <c r="F5383" s="52" t="s">
        <v>26</v>
      </c>
      <c r="G5383" s="195" t="s">
        <v>275</v>
      </c>
      <c r="H5383" s="195">
        <v>0.10599690000000001</v>
      </c>
      <c r="I5383" s="195">
        <v>4.1914439999999997E-2</v>
      </c>
      <c r="J5383" s="195">
        <v>3.079026E-2</v>
      </c>
      <c r="K5383" s="195">
        <v>2.5192619999999999E-2</v>
      </c>
      <c r="L5383" s="195">
        <v>1.9760159999999999E-2</v>
      </c>
      <c r="M5383" s="195">
        <v>1.5642719999999999E-2</v>
      </c>
      <c r="N5383" s="195">
        <v>1.2349799999999999E-2</v>
      </c>
    </row>
    <row r="5384" spans="1:14" hidden="1" x14ac:dyDescent="0.35">
      <c r="A5384" s="52" t="s">
        <v>709</v>
      </c>
      <c r="B5384" s="52" t="s">
        <v>74</v>
      </c>
      <c r="C5384" s="52" t="s">
        <v>71</v>
      </c>
      <c r="D5384" s="52" t="s">
        <v>137</v>
      </c>
      <c r="E5384" s="52" t="s">
        <v>584</v>
      </c>
      <c r="F5384" s="52" t="s">
        <v>26</v>
      </c>
      <c r="G5384" s="195" t="s">
        <v>276</v>
      </c>
      <c r="H5384" s="195">
        <v>7.0664699999999997E-2</v>
      </c>
      <c r="I5384" s="195">
        <v>2.7942600000000001E-2</v>
      </c>
      <c r="J5384" s="195">
        <v>2.0526719999999998E-2</v>
      </c>
      <c r="K5384" s="195">
        <v>1.679514E-2</v>
      </c>
      <c r="L5384" s="195">
        <v>1.3173600000000001E-2</v>
      </c>
      <c r="M5384" s="195">
        <v>1.0428659999999999E-2</v>
      </c>
      <c r="N5384" s="195">
        <v>8.2330800000000003E-3</v>
      </c>
    </row>
    <row r="5385" spans="1:14" hidden="1" x14ac:dyDescent="0.35">
      <c r="A5385" s="52" t="s">
        <v>709</v>
      </c>
      <c r="B5385" s="52" t="s">
        <v>74</v>
      </c>
      <c r="C5385" s="52" t="s">
        <v>71</v>
      </c>
      <c r="D5385" s="52" t="s">
        <v>137</v>
      </c>
      <c r="E5385" s="52" t="s">
        <v>584</v>
      </c>
      <c r="F5385" s="52" t="s">
        <v>26</v>
      </c>
      <c r="G5385" s="195" t="s">
        <v>279</v>
      </c>
      <c r="H5385" s="195">
        <v>6.2812499999999993E-2</v>
      </c>
      <c r="I5385" s="195">
        <v>3.4859099999999997E-2</v>
      </c>
      <c r="J5385" s="195">
        <v>2.4830100000000001E-2</v>
      </c>
      <c r="K5385" s="195">
        <v>2.24088E-2</v>
      </c>
      <c r="L5385" s="195">
        <v>1.7604600000000001E-2</v>
      </c>
      <c r="M5385" s="195">
        <v>1.39197E-2</v>
      </c>
      <c r="N5385" s="195">
        <v>1.0986900000000001E-2</v>
      </c>
    </row>
    <row r="5386" spans="1:14" hidden="1" x14ac:dyDescent="0.35">
      <c r="A5386" s="52" t="s">
        <v>709</v>
      </c>
      <c r="B5386" s="52" t="s">
        <v>74</v>
      </c>
      <c r="C5386" s="52" t="s">
        <v>71</v>
      </c>
      <c r="D5386" s="52" t="s">
        <v>78</v>
      </c>
      <c r="E5386" s="52" t="s">
        <v>584</v>
      </c>
      <c r="F5386" s="52" t="s">
        <v>581</v>
      </c>
      <c r="G5386" s="195" t="s">
        <v>275</v>
      </c>
      <c r="H5386" s="195">
        <v>1.162561</v>
      </c>
      <c r="I5386" s="195">
        <v>0.2713235</v>
      </c>
      <c r="J5386" s="195">
        <v>0.1582238</v>
      </c>
      <c r="K5386" s="195">
        <v>6.0041749999999998E-2</v>
      </c>
      <c r="L5386" s="195">
        <v>3.02761E-2</v>
      </c>
      <c r="M5386" s="195">
        <v>0</v>
      </c>
      <c r="N5386" s="195">
        <v>0</v>
      </c>
    </row>
    <row r="5387" spans="1:14" hidden="1" x14ac:dyDescent="0.35">
      <c r="A5387" s="52" t="s">
        <v>709</v>
      </c>
      <c r="B5387" s="52" t="s">
        <v>74</v>
      </c>
      <c r="C5387" s="52" t="s">
        <v>71</v>
      </c>
      <c r="D5387" s="52" t="s">
        <v>78</v>
      </c>
      <c r="E5387" s="52" t="s">
        <v>584</v>
      </c>
      <c r="F5387" s="52" t="s">
        <v>581</v>
      </c>
      <c r="G5387" s="195" t="s">
        <v>276</v>
      </c>
      <c r="H5387" s="195">
        <v>0.77504070000000003</v>
      </c>
      <c r="I5387" s="195">
        <v>0.1808824</v>
      </c>
      <c r="J5387" s="195">
        <v>0.1040325</v>
      </c>
      <c r="K5387" s="195">
        <v>3.8577460000000001E-2</v>
      </c>
      <c r="L5387" s="195">
        <v>1.873375E-2</v>
      </c>
      <c r="M5387" s="195">
        <v>-1.4503700000000001E-3</v>
      </c>
      <c r="N5387" s="195">
        <v>-1.4504100000000001E-3</v>
      </c>
    </row>
    <row r="5388" spans="1:14" hidden="1" x14ac:dyDescent="0.35">
      <c r="A5388" s="52" t="s">
        <v>709</v>
      </c>
      <c r="B5388" s="52" t="s">
        <v>74</v>
      </c>
      <c r="C5388" s="52" t="s">
        <v>71</v>
      </c>
      <c r="D5388" s="52" t="s">
        <v>78</v>
      </c>
      <c r="E5388" s="52" t="s">
        <v>584</v>
      </c>
      <c r="F5388" s="52" t="s">
        <v>581</v>
      </c>
      <c r="G5388" s="195" t="s">
        <v>278</v>
      </c>
      <c r="H5388" s="195">
        <v>1.062101E-3</v>
      </c>
      <c r="I5388" s="195">
        <v>1.4503700000000001E-3</v>
      </c>
      <c r="J5388" s="195">
        <v>1.4503700000000001E-3</v>
      </c>
      <c r="K5388" s="195">
        <v>1.4503700000000001E-3</v>
      </c>
      <c r="L5388" s="195">
        <v>1.4503700000000001E-3</v>
      </c>
      <c r="M5388" s="195">
        <v>1.4503700000000001E-3</v>
      </c>
      <c r="N5388" s="195">
        <v>1.4503700000000001E-3</v>
      </c>
    </row>
    <row r="5389" spans="1:14" hidden="1" x14ac:dyDescent="0.35">
      <c r="A5389" s="52" t="s">
        <v>709</v>
      </c>
      <c r="B5389" s="52" t="s">
        <v>74</v>
      </c>
      <c r="C5389" s="52" t="s">
        <v>71</v>
      </c>
      <c r="D5389" s="52" t="s">
        <v>78</v>
      </c>
      <c r="E5389" s="52" t="s">
        <v>584</v>
      </c>
      <c r="F5389" s="52" t="s">
        <v>581</v>
      </c>
      <c r="G5389" s="195" t="s">
        <v>279</v>
      </c>
      <c r="H5389" s="195">
        <v>0.2802616</v>
      </c>
      <c r="I5389" s="195">
        <v>0.1834954</v>
      </c>
      <c r="J5389" s="195">
        <v>0.1338211</v>
      </c>
      <c r="K5389" s="195">
        <v>6.5713740000000007E-2</v>
      </c>
      <c r="L5389" s="195">
        <v>3.3135289999999998E-2</v>
      </c>
      <c r="M5389" s="195">
        <v>0</v>
      </c>
      <c r="N5389" s="195">
        <v>0</v>
      </c>
    </row>
    <row r="5390" spans="1:14" hidden="1" x14ac:dyDescent="0.35">
      <c r="A5390" s="52" t="s">
        <v>709</v>
      </c>
      <c r="B5390" s="52" t="s">
        <v>74</v>
      </c>
      <c r="C5390" s="52" t="s">
        <v>71</v>
      </c>
      <c r="D5390" s="52" t="s">
        <v>78</v>
      </c>
      <c r="E5390" s="52" t="s">
        <v>584</v>
      </c>
      <c r="F5390" s="52" t="s">
        <v>26</v>
      </c>
      <c r="G5390" s="195" t="s">
        <v>275</v>
      </c>
      <c r="H5390" s="195">
        <v>-8.2011109999999992</v>
      </c>
      <c r="I5390" s="195">
        <v>-5.7766479999999998</v>
      </c>
      <c r="J5390" s="195">
        <v>-16.879539999999999</v>
      </c>
      <c r="K5390" s="195">
        <v>-1.6691149999999999</v>
      </c>
      <c r="L5390" s="195">
        <v>-0.67396239999999996</v>
      </c>
      <c r="M5390" s="195">
        <v>0</v>
      </c>
      <c r="N5390" s="195"/>
    </row>
    <row r="5391" spans="1:14" hidden="1" x14ac:dyDescent="0.35">
      <c r="A5391" s="52" t="s">
        <v>709</v>
      </c>
      <c r="B5391" s="52" t="s">
        <v>74</v>
      </c>
      <c r="C5391" s="52" t="s">
        <v>71</v>
      </c>
      <c r="D5391" s="52" t="s">
        <v>78</v>
      </c>
      <c r="E5391" s="52" t="s">
        <v>584</v>
      </c>
      <c r="F5391" s="52" t="s">
        <v>26</v>
      </c>
      <c r="G5391" s="195" t="s">
        <v>276</v>
      </c>
      <c r="H5391" s="195">
        <v>-5.4778880000000001</v>
      </c>
      <c r="I5391" s="195">
        <v>-3.8563619999999998</v>
      </c>
      <c r="J5391" s="195">
        <v>-11.276899999999999</v>
      </c>
      <c r="K5391" s="195">
        <v>-1.112743</v>
      </c>
      <c r="L5391" s="195">
        <v>-0.44930819999999999</v>
      </c>
      <c r="M5391" s="195">
        <v>0</v>
      </c>
      <c r="N5391" s="195"/>
    </row>
    <row r="5392" spans="1:14" hidden="1" x14ac:dyDescent="0.35">
      <c r="A5392" s="52" t="s">
        <v>709</v>
      </c>
      <c r="B5392" s="52" t="s">
        <v>74</v>
      </c>
      <c r="C5392" s="52" t="s">
        <v>71</v>
      </c>
      <c r="D5392" s="52" t="s">
        <v>78</v>
      </c>
      <c r="E5392" s="52" t="s">
        <v>584</v>
      </c>
      <c r="F5392" s="52" t="s">
        <v>26</v>
      </c>
      <c r="G5392" s="195" t="s">
        <v>277</v>
      </c>
      <c r="H5392" s="195">
        <v>0.1006026</v>
      </c>
      <c r="I5392" s="195">
        <v>5.0526050000000003E-2</v>
      </c>
      <c r="J5392" s="195">
        <v>0.22915949999999999</v>
      </c>
      <c r="K5392" s="195">
        <v>0</v>
      </c>
      <c r="L5392" s="195">
        <v>0</v>
      </c>
      <c r="M5392" s="195"/>
      <c r="N5392" s="195"/>
    </row>
    <row r="5393" spans="1:14" hidden="1" x14ac:dyDescent="0.35">
      <c r="A5393" s="52" t="s">
        <v>709</v>
      </c>
      <c r="B5393" s="52" t="s">
        <v>74</v>
      </c>
      <c r="C5393" s="52" t="s">
        <v>71</v>
      </c>
      <c r="D5393" s="52" t="s">
        <v>78</v>
      </c>
      <c r="E5393" s="52" t="s">
        <v>584</v>
      </c>
      <c r="F5393" s="52" t="s">
        <v>26</v>
      </c>
      <c r="G5393" s="195" t="s">
        <v>279</v>
      </c>
      <c r="H5393" s="195">
        <v>17.661090000000002</v>
      </c>
      <c r="I5393" s="195">
        <v>11.6692</v>
      </c>
      <c r="J5393" s="195">
        <v>29.482759999999999</v>
      </c>
      <c r="K5393" s="195">
        <v>3.527374</v>
      </c>
      <c r="L5393" s="195">
        <v>1.498794</v>
      </c>
      <c r="M5393" s="195">
        <v>0</v>
      </c>
      <c r="N5393" s="195"/>
    </row>
    <row r="5394" spans="1:14" hidden="1" x14ac:dyDescent="0.35">
      <c r="A5394" s="52" t="s">
        <v>709</v>
      </c>
      <c r="B5394" s="52" t="s">
        <v>74</v>
      </c>
      <c r="C5394" s="52" t="s">
        <v>146</v>
      </c>
      <c r="D5394" s="52" t="s">
        <v>147</v>
      </c>
      <c r="E5394" s="52" t="s">
        <v>584</v>
      </c>
      <c r="F5394" s="52" t="s">
        <v>581</v>
      </c>
      <c r="G5394" s="195" t="s">
        <v>275</v>
      </c>
      <c r="H5394" s="195">
        <v>1.1348259999999999</v>
      </c>
      <c r="I5394" s="195">
        <v>-1.1836009999999999</v>
      </c>
      <c r="J5394" s="195">
        <v>-1.4228209999999999</v>
      </c>
      <c r="K5394" s="195">
        <v>-5.3855060000000003</v>
      </c>
      <c r="L5394" s="195">
        <v>-2.0339999999999998</v>
      </c>
      <c r="M5394" s="195">
        <v>-0.78834749999999998</v>
      </c>
      <c r="N5394" s="195">
        <v>0.40216449999999998</v>
      </c>
    </row>
    <row r="5395" spans="1:14" hidden="1" x14ac:dyDescent="0.35">
      <c r="A5395" s="52" t="s">
        <v>709</v>
      </c>
      <c r="B5395" s="52" t="s">
        <v>74</v>
      </c>
      <c r="C5395" s="52" t="s">
        <v>146</v>
      </c>
      <c r="D5395" s="52" t="s">
        <v>147</v>
      </c>
      <c r="E5395" s="52" t="s">
        <v>584</v>
      </c>
      <c r="F5395" s="52" t="s">
        <v>581</v>
      </c>
      <c r="G5395" s="195" t="s">
        <v>276</v>
      </c>
      <c r="H5395" s="195">
        <v>0.73305120000000001</v>
      </c>
      <c r="I5395" s="195">
        <v>-1.0424260000000001</v>
      </c>
      <c r="J5395" s="195">
        <v>-1.1150519999999999</v>
      </c>
      <c r="K5395" s="195">
        <v>-3.6090599999999999</v>
      </c>
      <c r="L5395" s="195">
        <v>-1.5128360000000001</v>
      </c>
      <c r="M5395" s="195">
        <v>-0.54428679999999996</v>
      </c>
      <c r="N5395" s="195">
        <v>0.15280750000000001</v>
      </c>
    </row>
    <row r="5396" spans="1:14" hidden="1" x14ac:dyDescent="0.35">
      <c r="A5396" s="52" t="s">
        <v>709</v>
      </c>
      <c r="B5396" s="52" t="s">
        <v>74</v>
      </c>
      <c r="C5396" s="52" t="s">
        <v>146</v>
      </c>
      <c r="D5396" s="52" t="s">
        <v>147</v>
      </c>
      <c r="E5396" s="52" t="s">
        <v>584</v>
      </c>
      <c r="F5396" s="52" t="s">
        <v>581</v>
      </c>
      <c r="G5396" s="195" t="s">
        <v>277</v>
      </c>
      <c r="H5396" s="195">
        <v>0.22559999999999999</v>
      </c>
      <c r="I5396" s="195">
        <v>2.4322319999999999</v>
      </c>
      <c r="J5396" s="195">
        <v>1.459033</v>
      </c>
      <c r="K5396" s="195">
        <v>1.020402</v>
      </c>
      <c r="L5396" s="195">
        <v>0.26518120000000001</v>
      </c>
      <c r="M5396" s="195">
        <v>0</v>
      </c>
      <c r="N5396" s="195">
        <v>0</v>
      </c>
    </row>
    <row r="5397" spans="1:14" hidden="1" x14ac:dyDescent="0.35">
      <c r="A5397" s="52" t="s">
        <v>709</v>
      </c>
      <c r="B5397" s="52" t="s">
        <v>74</v>
      </c>
      <c r="C5397" s="52" t="s">
        <v>146</v>
      </c>
      <c r="D5397" s="52" t="s">
        <v>147</v>
      </c>
      <c r="E5397" s="52" t="s">
        <v>584</v>
      </c>
      <c r="F5397" s="52" t="s">
        <v>581</v>
      </c>
      <c r="G5397" s="195" t="s">
        <v>278</v>
      </c>
      <c r="H5397" s="195">
        <v>1.3710409999999999E-2</v>
      </c>
      <c r="I5397" s="195">
        <v>1.8722010000000001E-2</v>
      </c>
      <c r="J5397" s="195">
        <v>1.8722010000000001E-2</v>
      </c>
      <c r="K5397" s="195">
        <v>1.8722010000000001E-2</v>
      </c>
      <c r="L5397" s="195">
        <v>1.8722010000000001E-2</v>
      </c>
      <c r="M5397" s="195">
        <v>1.8722010000000001E-2</v>
      </c>
      <c r="N5397" s="195">
        <v>0.1153019</v>
      </c>
    </row>
    <row r="5398" spans="1:14" hidden="1" x14ac:dyDescent="0.35">
      <c r="A5398" s="52" t="s">
        <v>709</v>
      </c>
      <c r="B5398" s="52" t="s">
        <v>74</v>
      </c>
      <c r="C5398" s="52" t="s">
        <v>146</v>
      </c>
      <c r="D5398" s="52" t="s">
        <v>147</v>
      </c>
      <c r="E5398" s="52" t="s">
        <v>584</v>
      </c>
      <c r="F5398" s="52" t="s">
        <v>581</v>
      </c>
      <c r="G5398" s="195" t="s">
        <v>279</v>
      </c>
      <c r="H5398" s="195">
        <v>7.0479510000000003</v>
      </c>
      <c r="I5398" s="195">
        <v>3.712167</v>
      </c>
      <c r="J5398" s="195">
        <v>3.4439199999999999</v>
      </c>
      <c r="K5398" s="195">
        <v>9.4838660000000008</v>
      </c>
      <c r="L5398" s="195">
        <v>4.4845490000000003</v>
      </c>
      <c r="M5398" s="195">
        <v>4.0949460000000002</v>
      </c>
      <c r="N5398" s="195">
        <v>4.7875880000000004</v>
      </c>
    </row>
    <row r="5399" spans="1:14" hidden="1" x14ac:dyDescent="0.35">
      <c r="A5399" s="52" t="s">
        <v>709</v>
      </c>
      <c r="B5399" s="52" t="s">
        <v>74</v>
      </c>
      <c r="C5399" s="52" t="s">
        <v>146</v>
      </c>
      <c r="D5399" s="52" t="s">
        <v>147</v>
      </c>
      <c r="E5399" s="52" t="s">
        <v>584</v>
      </c>
      <c r="F5399" s="52" t="s">
        <v>26</v>
      </c>
      <c r="G5399" s="195" t="s">
        <v>275</v>
      </c>
      <c r="H5399" s="195">
        <v>2.7118289999999998</v>
      </c>
      <c r="I5399" s="195">
        <v>0.79901460000000002</v>
      </c>
      <c r="J5399" s="195">
        <v>-0.24240539999999999</v>
      </c>
      <c r="K5399" s="195">
        <v>-14.94417</v>
      </c>
      <c r="L5399" s="195">
        <v>-0.79441580000000001</v>
      </c>
      <c r="M5399" s="195">
        <v>1.288028</v>
      </c>
      <c r="N5399" s="195">
        <v>1.881596</v>
      </c>
    </row>
    <row r="5400" spans="1:14" hidden="1" x14ac:dyDescent="0.35">
      <c r="A5400" s="52" t="s">
        <v>709</v>
      </c>
      <c r="B5400" s="52" t="s">
        <v>74</v>
      </c>
      <c r="C5400" s="52" t="s">
        <v>146</v>
      </c>
      <c r="D5400" s="52" t="s">
        <v>147</v>
      </c>
      <c r="E5400" s="52" t="s">
        <v>584</v>
      </c>
      <c r="F5400" s="52" t="s">
        <v>26</v>
      </c>
      <c r="G5400" s="195" t="s">
        <v>276</v>
      </c>
      <c r="H5400" s="195">
        <v>1.8078860000000001</v>
      </c>
      <c r="I5400" s="195">
        <v>0.53267600000000004</v>
      </c>
      <c r="J5400" s="195">
        <v>-0.16160450000000001</v>
      </c>
      <c r="K5400" s="195">
        <v>-9.9627829999999999</v>
      </c>
      <c r="L5400" s="195">
        <v>-4.5403229999999999</v>
      </c>
      <c r="M5400" s="195">
        <v>0.55318800000000001</v>
      </c>
      <c r="N5400" s="195">
        <v>0.91889529999999997</v>
      </c>
    </row>
    <row r="5401" spans="1:14" hidden="1" x14ac:dyDescent="0.35">
      <c r="A5401" s="52" t="s">
        <v>709</v>
      </c>
      <c r="B5401" s="52" t="s">
        <v>74</v>
      </c>
      <c r="C5401" s="52" t="s">
        <v>146</v>
      </c>
      <c r="D5401" s="52" t="s">
        <v>147</v>
      </c>
      <c r="E5401" s="52" t="s">
        <v>584</v>
      </c>
      <c r="F5401" s="52" t="s">
        <v>26</v>
      </c>
      <c r="G5401" s="195" t="s">
        <v>277</v>
      </c>
      <c r="H5401" s="195">
        <v>0.13694999999999999</v>
      </c>
      <c r="I5401" s="195">
        <v>2.1911999999999998</v>
      </c>
      <c r="J5401" s="195">
        <v>2.96319</v>
      </c>
      <c r="K5401" s="195">
        <v>26.25216</v>
      </c>
      <c r="L5401" s="195">
        <v>6.8223849999999997</v>
      </c>
      <c r="M5401" s="195">
        <v>2.9327749999999999</v>
      </c>
      <c r="N5401" s="195">
        <v>3.220818</v>
      </c>
    </row>
    <row r="5402" spans="1:14" hidden="1" x14ac:dyDescent="0.35">
      <c r="A5402" s="52" t="s">
        <v>709</v>
      </c>
      <c r="B5402" s="52" t="s">
        <v>74</v>
      </c>
      <c r="C5402" s="52" t="s">
        <v>146</v>
      </c>
      <c r="D5402" s="52" t="s">
        <v>147</v>
      </c>
      <c r="E5402" s="52" t="s">
        <v>584</v>
      </c>
      <c r="F5402" s="52" t="s">
        <v>26</v>
      </c>
      <c r="G5402" s="195" t="s">
        <v>279</v>
      </c>
      <c r="H5402" s="195">
        <v>1.0502750000000001</v>
      </c>
      <c r="I5402" s="195">
        <v>1.062729</v>
      </c>
      <c r="J5402" s="195">
        <v>0.76027670000000003</v>
      </c>
      <c r="K5402" s="195">
        <v>0.87904859999999996</v>
      </c>
      <c r="L5402" s="195">
        <v>3.1291340000000001</v>
      </c>
      <c r="M5402" s="195">
        <v>7.2136800000000001</v>
      </c>
      <c r="N5402" s="195">
        <v>7.1719499999999998</v>
      </c>
    </row>
    <row r="5403" spans="1:14" hidden="1" x14ac:dyDescent="0.35">
      <c r="A5403" s="52" t="s">
        <v>709</v>
      </c>
      <c r="B5403" s="52" t="s">
        <v>74</v>
      </c>
      <c r="C5403" s="52" t="s">
        <v>146</v>
      </c>
      <c r="D5403" s="52" t="s">
        <v>146</v>
      </c>
      <c r="E5403" s="52" t="s">
        <v>584</v>
      </c>
      <c r="F5403" s="52" t="s">
        <v>581</v>
      </c>
      <c r="G5403" s="195" t="s">
        <v>275</v>
      </c>
      <c r="H5403" s="195">
        <v>0.77776319999999999</v>
      </c>
      <c r="I5403" s="195">
        <v>-0.1056221</v>
      </c>
      <c r="J5403" s="195">
        <v>-0.3928528</v>
      </c>
      <c r="K5403" s="195">
        <v>-0.15784899999999999</v>
      </c>
      <c r="L5403" s="195">
        <v>-1.4467460000000001</v>
      </c>
      <c r="M5403" s="195">
        <v>-1.591418</v>
      </c>
      <c r="N5403" s="195">
        <v>0</v>
      </c>
    </row>
    <row r="5404" spans="1:14" hidden="1" x14ac:dyDescent="0.35">
      <c r="A5404" s="52" t="s">
        <v>709</v>
      </c>
      <c r="B5404" s="52" t="s">
        <v>74</v>
      </c>
      <c r="C5404" s="52" t="s">
        <v>146</v>
      </c>
      <c r="D5404" s="52" t="s">
        <v>146</v>
      </c>
      <c r="E5404" s="52" t="s">
        <v>584</v>
      </c>
      <c r="F5404" s="52" t="s">
        <v>581</v>
      </c>
      <c r="G5404" s="195" t="s">
        <v>276</v>
      </c>
      <c r="H5404" s="195">
        <v>0.45878540000000001</v>
      </c>
      <c r="I5404" s="195">
        <v>-7.0414889999999994E-2</v>
      </c>
      <c r="J5404" s="195">
        <v>-0.2670903</v>
      </c>
      <c r="K5404" s="195">
        <v>-0.1104213</v>
      </c>
      <c r="L5404" s="195">
        <v>-0.96968600000000005</v>
      </c>
      <c r="M5404" s="195">
        <v>-1.0661339999999999</v>
      </c>
      <c r="N5404" s="195">
        <v>-3.8068680000000001E-2</v>
      </c>
    </row>
    <row r="5405" spans="1:14" hidden="1" x14ac:dyDescent="0.35">
      <c r="A5405" s="52" t="s">
        <v>709</v>
      </c>
      <c r="B5405" s="52" t="s">
        <v>74</v>
      </c>
      <c r="C5405" s="52" t="s">
        <v>146</v>
      </c>
      <c r="D5405" s="52" t="s">
        <v>146</v>
      </c>
      <c r="E5405" s="52" t="s">
        <v>584</v>
      </c>
      <c r="F5405" s="52" t="s">
        <v>581</v>
      </c>
      <c r="G5405" s="195" t="s">
        <v>277</v>
      </c>
      <c r="H5405" s="195">
        <v>0.57334490000000005</v>
      </c>
      <c r="I5405" s="195"/>
      <c r="J5405" s="195">
        <v>0</v>
      </c>
      <c r="K5405" s="195"/>
      <c r="L5405" s="195"/>
      <c r="M5405" s="195">
        <v>0</v>
      </c>
      <c r="N5405" s="195">
        <v>3.288E-2</v>
      </c>
    </row>
    <row r="5406" spans="1:14" hidden="1" x14ac:dyDescent="0.35">
      <c r="A5406" s="52" t="s">
        <v>709</v>
      </c>
      <c r="B5406" s="52" t="s">
        <v>74</v>
      </c>
      <c r="C5406" s="52" t="s">
        <v>146</v>
      </c>
      <c r="D5406" s="52" t="s">
        <v>146</v>
      </c>
      <c r="E5406" s="52" t="s">
        <v>584</v>
      </c>
      <c r="F5406" s="52" t="s">
        <v>581</v>
      </c>
      <c r="G5406" s="195" t="s">
        <v>278</v>
      </c>
      <c r="H5406" s="195">
        <v>3.7998319999999999E-3</v>
      </c>
      <c r="I5406" s="195">
        <v>5.1886839999999998E-3</v>
      </c>
      <c r="J5406" s="195">
        <v>5.1886830000000004E-3</v>
      </c>
      <c r="K5406" s="195">
        <v>5.1886830000000004E-3</v>
      </c>
      <c r="L5406" s="195">
        <v>5.1886830000000004E-3</v>
      </c>
      <c r="M5406" s="195">
        <v>5.1886839999999998E-3</v>
      </c>
      <c r="N5406" s="195">
        <v>5.1886830000000004E-3</v>
      </c>
    </row>
    <row r="5407" spans="1:14" hidden="1" x14ac:dyDescent="0.35">
      <c r="A5407" s="52" t="s">
        <v>709</v>
      </c>
      <c r="B5407" s="52" t="s">
        <v>74</v>
      </c>
      <c r="C5407" s="52" t="s">
        <v>146</v>
      </c>
      <c r="D5407" s="52" t="s">
        <v>146</v>
      </c>
      <c r="E5407" s="52" t="s">
        <v>584</v>
      </c>
      <c r="F5407" s="52" t="s">
        <v>581</v>
      </c>
      <c r="G5407" s="195" t="s">
        <v>279</v>
      </c>
      <c r="H5407" s="195">
        <v>3.0239739999999999</v>
      </c>
      <c r="I5407" s="195">
        <v>1.2466159999999999</v>
      </c>
      <c r="J5407" s="195">
        <v>0.90609720000000005</v>
      </c>
      <c r="K5407" s="195">
        <v>0.26308189999999998</v>
      </c>
      <c r="L5407" s="195">
        <v>2.4112420000000001</v>
      </c>
      <c r="M5407" s="195">
        <v>2.6523629999999998</v>
      </c>
      <c r="N5407" s="195">
        <v>4.2963200000000002E-5</v>
      </c>
    </row>
    <row r="5408" spans="1:14" hidden="1" x14ac:dyDescent="0.35">
      <c r="A5408" s="52" t="s">
        <v>709</v>
      </c>
      <c r="B5408" s="52" t="s">
        <v>60</v>
      </c>
      <c r="C5408" s="52" t="s">
        <v>126</v>
      </c>
      <c r="D5408" s="52" t="s">
        <v>126</v>
      </c>
      <c r="E5408" s="52" t="s">
        <v>584</v>
      </c>
      <c r="F5408" s="52" t="s">
        <v>26</v>
      </c>
      <c r="G5408" s="195" t="s">
        <v>275</v>
      </c>
      <c r="H5408" s="195">
        <v>-15.656219999999999</v>
      </c>
      <c r="I5408" s="195">
        <v>-23.68018</v>
      </c>
      <c r="J5408" s="195">
        <v>-26.220479999999998</v>
      </c>
      <c r="K5408" s="195">
        <v>27.84742</v>
      </c>
      <c r="L5408" s="195">
        <v>59.18477</v>
      </c>
      <c r="M5408" s="195">
        <v>61.72786</v>
      </c>
      <c r="N5408" s="195">
        <v>66.708629999999999</v>
      </c>
    </row>
    <row r="5409" spans="1:14" hidden="1" x14ac:dyDescent="0.35">
      <c r="A5409" s="52" t="s">
        <v>709</v>
      </c>
      <c r="B5409" s="52" t="s">
        <v>60</v>
      </c>
      <c r="C5409" s="52" t="s">
        <v>126</v>
      </c>
      <c r="D5409" s="52" t="s">
        <v>126</v>
      </c>
      <c r="E5409" s="52" t="s">
        <v>584</v>
      </c>
      <c r="F5409" s="52" t="s">
        <v>26</v>
      </c>
      <c r="G5409" s="195" t="s">
        <v>276</v>
      </c>
      <c r="H5409" s="195">
        <v>106.273</v>
      </c>
      <c r="I5409" s="195">
        <v>57.502229999999997</v>
      </c>
      <c r="J5409" s="195">
        <v>52.784289999999999</v>
      </c>
      <c r="K5409" s="195">
        <v>54.070399999999999</v>
      </c>
      <c r="L5409" s="195">
        <v>57.291359999999997</v>
      </c>
      <c r="M5409" s="195">
        <v>58.897239999999996</v>
      </c>
      <c r="N5409" s="195">
        <v>60.030389999999997</v>
      </c>
    </row>
    <row r="5410" spans="1:14" hidden="1" x14ac:dyDescent="0.35">
      <c r="A5410" s="52" t="s">
        <v>709</v>
      </c>
      <c r="B5410" s="52" t="s">
        <v>60</v>
      </c>
      <c r="C5410" s="52" t="s">
        <v>126</v>
      </c>
      <c r="D5410" s="52" t="s">
        <v>126</v>
      </c>
      <c r="E5410" s="52" t="s">
        <v>584</v>
      </c>
      <c r="F5410" s="52" t="s">
        <v>26</v>
      </c>
      <c r="G5410" s="195" t="s">
        <v>277</v>
      </c>
      <c r="H5410" s="195">
        <v>86.199560000000005</v>
      </c>
      <c r="I5410" s="195">
        <v>61.657710000000002</v>
      </c>
      <c r="J5410" s="195">
        <v>61.160089999999997</v>
      </c>
      <c r="K5410" s="195">
        <v>24.34797</v>
      </c>
      <c r="L5410" s="195">
        <v>5.3390649999999997</v>
      </c>
      <c r="M5410" s="195">
        <v>6.0629840000000002</v>
      </c>
      <c r="N5410" s="195">
        <v>3.0999530000000002</v>
      </c>
    </row>
    <row r="5411" spans="1:14" hidden="1" x14ac:dyDescent="0.35">
      <c r="A5411" s="52" t="s">
        <v>709</v>
      </c>
      <c r="B5411" s="52" t="s">
        <v>60</v>
      </c>
      <c r="C5411" s="52" t="s">
        <v>126</v>
      </c>
      <c r="D5411" s="52" t="s">
        <v>126</v>
      </c>
      <c r="E5411" s="52" t="s">
        <v>584</v>
      </c>
      <c r="F5411" s="52" t="s">
        <v>26</v>
      </c>
      <c r="G5411" s="195" t="s">
        <v>278</v>
      </c>
      <c r="H5411" s="195">
        <v>6.56772E-3</v>
      </c>
      <c r="I5411" s="195">
        <v>4.275722E-3</v>
      </c>
      <c r="J5411" s="195">
        <v>4.0347450000000002E-3</v>
      </c>
      <c r="K5411" s="195">
        <v>1.4558099999999999E-2</v>
      </c>
      <c r="L5411" s="195">
        <v>9.7664650000000002E-3</v>
      </c>
      <c r="M5411" s="195">
        <v>9.7664650000000002E-3</v>
      </c>
      <c r="N5411" s="195">
        <v>9.7664650000000002E-3</v>
      </c>
    </row>
    <row r="5412" spans="1:14" hidden="1" x14ac:dyDescent="0.35">
      <c r="A5412" s="52" t="s">
        <v>709</v>
      </c>
      <c r="B5412" s="52" t="s">
        <v>60</v>
      </c>
      <c r="C5412" s="52" t="s">
        <v>126</v>
      </c>
      <c r="D5412" s="52" t="s">
        <v>126</v>
      </c>
      <c r="E5412" s="52" t="s">
        <v>584</v>
      </c>
      <c r="F5412" s="52" t="s">
        <v>26</v>
      </c>
      <c r="G5412" s="195" t="s">
        <v>279</v>
      </c>
      <c r="H5412" s="195">
        <v>20.895520000000001</v>
      </c>
      <c r="I5412" s="195">
        <v>19.361889999999999</v>
      </c>
      <c r="J5412" s="195">
        <v>20.095659999999999</v>
      </c>
      <c r="K5412" s="195">
        <v>29.200569999999999</v>
      </c>
      <c r="L5412" s="195">
        <v>35.105550000000001</v>
      </c>
      <c r="M5412" s="195">
        <v>36.34104</v>
      </c>
      <c r="N5412" s="195">
        <v>37.219949999999997</v>
      </c>
    </row>
    <row r="5413" spans="1:14" hidden="1" x14ac:dyDescent="0.35">
      <c r="A5413" s="52" t="s">
        <v>709</v>
      </c>
      <c r="B5413" s="52" t="s">
        <v>60</v>
      </c>
      <c r="C5413" s="52" t="s">
        <v>200</v>
      </c>
      <c r="D5413" s="52" t="s">
        <v>200</v>
      </c>
      <c r="E5413" s="52" t="s">
        <v>584</v>
      </c>
      <c r="F5413" s="52" t="s">
        <v>26</v>
      </c>
      <c r="G5413" s="195" t="s">
        <v>275</v>
      </c>
      <c r="H5413" s="195">
        <v>-5.8076929999999996E-4</v>
      </c>
      <c r="I5413" s="195">
        <v>-1.1328519999999999E-3</v>
      </c>
      <c r="J5413" s="195">
        <v>-1.0586390000000001E-3</v>
      </c>
      <c r="K5413" s="195">
        <v>-8.8624530000000002E-4</v>
      </c>
      <c r="L5413" s="195">
        <v>-8.8624530000000002E-4</v>
      </c>
      <c r="M5413" s="195">
        <v>-8.8624530000000002E-4</v>
      </c>
      <c r="N5413" s="195">
        <v>-8.8624530000000002E-4</v>
      </c>
    </row>
    <row r="5414" spans="1:14" hidden="1" x14ac:dyDescent="0.35">
      <c r="A5414" s="52" t="s">
        <v>709</v>
      </c>
      <c r="B5414" s="52" t="s">
        <v>60</v>
      </c>
      <c r="C5414" s="52" t="s">
        <v>200</v>
      </c>
      <c r="D5414" s="52" t="s">
        <v>200</v>
      </c>
      <c r="E5414" s="52" t="s">
        <v>584</v>
      </c>
      <c r="F5414" s="52" t="s">
        <v>26</v>
      </c>
      <c r="G5414" s="195" t="s">
        <v>278</v>
      </c>
      <c r="H5414" s="195">
        <v>5.8076929999999996E-4</v>
      </c>
      <c r="I5414" s="195">
        <v>1.1328519999999999E-3</v>
      </c>
      <c r="J5414" s="195">
        <v>1.0586390000000001E-3</v>
      </c>
      <c r="K5414" s="195">
        <v>8.8624530000000002E-4</v>
      </c>
      <c r="L5414" s="195">
        <v>8.8624530000000002E-4</v>
      </c>
      <c r="M5414" s="195">
        <v>8.8624530000000002E-4</v>
      </c>
      <c r="N5414" s="195">
        <v>8.8624530000000002E-4</v>
      </c>
    </row>
    <row r="5415" spans="1:14" hidden="1" x14ac:dyDescent="0.35">
      <c r="A5415" s="52" t="s">
        <v>709</v>
      </c>
      <c r="B5415" s="52" t="s">
        <v>32</v>
      </c>
      <c r="C5415" s="52" t="s">
        <v>30</v>
      </c>
      <c r="D5415" s="52" t="s">
        <v>30</v>
      </c>
      <c r="E5415" s="52" t="s">
        <v>584</v>
      </c>
      <c r="F5415" s="52" t="s">
        <v>581</v>
      </c>
      <c r="G5415" s="195" t="s">
        <v>275</v>
      </c>
      <c r="H5415" s="195">
        <v>112.3905</v>
      </c>
      <c r="I5415" s="195">
        <v>44.246639999999999</v>
      </c>
      <c r="J5415" s="195">
        <v>34.891800000000003</v>
      </c>
      <c r="K5415" s="195">
        <v>28.54128</v>
      </c>
      <c r="L5415" s="195">
        <v>20.990390000000001</v>
      </c>
      <c r="M5415" s="195">
        <v>15.8764</v>
      </c>
      <c r="N5415" s="195">
        <v>15.583270000000001</v>
      </c>
    </row>
    <row r="5416" spans="1:14" hidden="1" x14ac:dyDescent="0.35">
      <c r="A5416" s="52" t="s">
        <v>709</v>
      </c>
      <c r="B5416" s="52" t="s">
        <v>32</v>
      </c>
      <c r="C5416" s="52" t="s">
        <v>30</v>
      </c>
      <c r="D5416" s="52" t="s">
        <v>30</v>
      </c>
      <c r="E5416" s="52" t="s">
        <v>584</v>
      </c>
      <c r="F5416" s="52" t="s">
        <v>581</v>
      </c>
      <c r="G5416" s="195" t="s">
        <v>276</v>
      </c>
      <c r="H5416" s="195">
        <v>133.3261</v>
      </c>
      <c r="I5416" s="195">
        <v>22.81362</v>
      </c>
      <c r="J5416" s="195">
        <v>15.493740000000001</v>
      </c>
      <c r="K5416" s="195">
        <v>16.848469999999999</v>
      </c>
      <c r="L5416" s="195">
        <v>25.574159999999999</v>
      </c>
      <c r="M5416" s="195">
        <v>29.418810000000001</v>
      </c>
      <c r="N5416" s="195">
        <v>28.935590000000001</v>
      </c>
    </row>
    <row r="5417" spans="1:14" hidden="1" x14ac:dyDescent="0.35">
      <c r="A5417" s="52" t="s">
        <v>709</v>
      </c>
      <c r="B5417" s="52" t="s">
        <v>32</v>
      </c>
      <c r="C5417" s="52" t="s">
        <v>30</v>
      </c>
      <c r="D5417" s="52" t="s">
        <v>30</v>
      </c>
      <c r="E5417" s="52" t="s">
        <v>584</v>
      </c>
      <c r="F5417" s="52" t="s">
        <v>581</v>
      </c>
      <c r="G5417" s="195" t="s">
        <v>277</v>
      </c>
      <c r="H5417" s="195">
        <v>10.485519999999999</v>
      </c>
      <c r="I5417" s="195">
        <v>4.1260729999999999</v>
      </c>
      <c r="J5417" s="195">
        <v>2.6194519999999999</v>
      </c>
      <c r="K5417" s="195">
        <v>3.1258659999999998</v>
      </c>
      <c r="L5417" s="195">
        <v>3.5727519999999999</v>
      </c>
      <c r="M5417" s="195">
        <v>3.5557080000000001</v>
      </c>
      <c r="N5417" s="195">
        <v>3.5062570000000002</v>
      </c>
    </row>
    <row r="5418" spans="1:14" hidden="1" x14ac:dyDescent="0.35">
      <c r="A5418" s="52" t="s">
        <v>709</v>
      </c>
      <c r="B5418" s="52" t="s">
        <v>32</v>
      </c>
      <c r="C5418" s="52" t="s">
        <v>30</v>
      </c>
      <c r="D5418" s="52" t="s">
        <v>30</v>
      </c>
      <c r="E5418" s="52" t="s">
        <v>584</v>
      </c>
      <c r="F5418" s="52" t="s">
        <v>581</v>
      </c>
      <c r="G5418" s="195" t="s">
        <v>278</v>
      </c>
      <c r="H5418" s="195">
        <v>1.6957150000000001E-2</v>
      </c>
      <c r="I5418" s="195">
        <v>1.6957150000000001E-2</v>
      </c>
      <c r="J5418" s="195">
        <v>1.6957139999999999E-2</v>
      </c>
      <c r="K5418" s="195">
        <v>1.6957139999999999E-2</v>
      </c>
      <c r="L5418" s="195">
        <v>1.6957150000000001E-2</v>
      </c>
      <c r="M5418" s="195">
        <v>1.6957139999999999E-2</v>
      </c>
      <c r="N5418" s="195">
        <v>1.6957139999999999E-2</v>
      </c>
    </row>
    <row r="5419" spans="1:14" hidden="1" x14ac:dyDescent="0.35">
      <c r="A5419" s="52" t="s">
        <v>709</v>
      </c>
      <c r="B5419" s="52" t="s">
        <v>32</v>
      </c>
      <c r="C5419" s="52" t="s">
        <v>30</v>
      </c>
      <c r="D5419" s="52" t="s">
        <v>30</v>
      </c>
      <c r="E5419" s="52" t="s">
        <v>584</v>
      </c>
      <c r="F5419" s="52" t="s">
        <v>581</v>
      </c>
      <c r="G5419" s="195" t="s">
        <v>279</v>
      </c>
      <c r="H5419" s="195">
        <v>51.53613</v>
      </c>
      <c r="I5419" s="195">
        <v>47.52073</v>
      </c>
      <c r="J5419" s="195">
        <v>48.681609999999999</v>
      </c>
      <c r="K5419" s="195">
        <v>52.313009999999998</v>
      </c>
      <c r="L5419" s="195">
        <v>33.077330000000003</v>
      </c>
      <c r="M5419" s="195">
        <v>30.1372</v>
      </c>
      <c r="N5419" s="195">
        <v>30.36326</v>
      </c>
    </row>
    <row r="5420" spans="1:14" hidden="1" x14ac:dyDescent="0.35">
      <c r="A5420" s="52" t="s">
        <v>709</v>
      </c>
      <c r="B5420" s="52" t="s">
        <v>69</v>
      </c>
      <c r="C5420" s="52" t="s">
        <v>68</v>
      </c>
      <c r="D5420" s="52" t="s">
        <v>68</v>
      </c>
      <c r="E5420" s="52" t="s">
        <v>584</v>
      </c>
      <c r="F5420" s="52" t="s">
        <v>581</v>
      </c>
      <c r="G5420" s="195" t="s">
        <v>275</v>
      </c>
      <c r="H5420" s="195">
        <v>-14.1579</v>
      </c>
      <c r="I5420" s="195">
        <v>-4.4568950000000003</v>
      </c>
      <c r="J5420" s="195">
        <v>-4.6233529999999998</v>
      </c>
      <c r="K5420" s="195">
        <v>-0.74632889999999996</v>
      </c>
      <c r="L5420" s="195">
        <v>-0.69126509999999997</v>
      </c>
      <c r="M5420" s="195">
        <v>-6.4783690000000005E-2</v>
      </c>
      <c r="N5420" s="195">
        <v>-7.9537180000000003</v>
      </c>
    </row>
    <row r="5421" spans="1:14" hidden="1" x14ac:dyDescent="0.35">
      <c r="A5421" s="52" t="s">
        <v>709</v>
      </c>
      <c r="B5421" s="52" t="s">
        <v>69</v>
      </c>
      <c r="C5421" s="52" t="s">
        <v>68</v>
      </c>
      <c r="D5421" s="52" t="s">
        <v>68</v>
      </c>
      <c r="E5421" s="52" t="s">
        <v>584</v>
      </c>
      <c r="F5421" s="52" t="s">
        <v>581</v>
      </c>
      <c r="G5421" s="195" t="s">
        <v>276</v>
      </c>
      <c r="H5421" s="195">
        <v>7.5175270000000003</v>
      </c>
      <c r="I5421" s="195">
        <v>2.7947229999999998</v>
      </c>
      <c r="J5421" s="195">
        <v>2.275315</v>
      </c>
      <c r="K5421" s="195">
        <v>2.18424</v>
      </c>
      <c r="L5421" s="195">
        <v>2.2862580000000001</v>
      </c>
      <c r="M5421" s="195">
        <v>2.2883469999999999</v>
      </c>
      <c r="N5421" s="195">
        <v>2.237908</v>
      </c>
    </row>
    <row r="5422" spans="1:14" hidden="1" x14ac:dyDescent="0.35">
      <c r="A5422" s="52" t="s">
        <v>709</v>
      </c>
      <c r="B5422" s="52" t="s">
        <v>69</v>
      </c>
      <c r="C5422" s="52" t="s">
        <v>68</v>
      </c>
      <c r="D5422" s="52" t="s">
        <v>68</v>
      </c>
      <c r="E5422" s="52" t="s">
        <v>584</v>
      </c>
      <c r="F5422" s="52" t="s">
        <v>581</v>
      </c>
      <c r="G5422" s="195" t="s">
        <v>277</v>
      </c>
      <c r="H5422" s="195">
        <v>4.7408720000000004</v>
      </c>
      <c r="I5422" s="195">
        <v>3.829272</v>
      </c>
      <c r="J5422" s="195">
        <v>2.0161150000000001</v>
      </c>
      <c r="K5422" s="195">
        <v>1.1315949999999999</v>
      </c>
      <c r="L5422" s="195">
        <v>0.9254483</v>
      </c>
      <c r="M5422" s="195">
        <v>0.41083750000000002</v>
      </c>
      <c r="N5422" s="195">
        <v>0.46343000000000001</v>
      </c>
    </row>
    <row r="5423" spans="1:14" hidden="1" x14ac:dyDescent="0.35">
      <c r="A5423" s="52" t="s">
        <v>709</v>
      </c>
      <c r="B5423" s="52" t="s">
        <v>69</v>
      </c>
      <c r="C5423" s="52" t="s">
        <v>68</v>
      </c>
      <c r="D5423" s="52" t="s">
        <v>68</v>
      </c>
      <c r="E5423" s="52" t="s">
        <v>584</v>
      </c>
      <c r="F5423" s="52" t="s">
        <v>581</v>
      </c>
      <c r="G5423" s="195" t="s">
        <v>278</v>
      </c>
      <c r="H5423" s="195">
        <v>24.443380000000001</v>
      </c>
      <c r="I5423" s="195">
        <v>2.4146559999999999</v>
      </c>
      <c r="J5423" s="195">
        <v>1.8283359999999999E-2</v>
      </c>
      <c r="K5423" s="195">
        <v>1.8283359999999999E-2</v>
      </c>
      <c r="L5423" s="195">
        <v>1.8283359999999999E-2</v>
      </c>
      <c r="M5423" s="195">
        <v>1.8283359999999999E-2</v>
      </c>
      <c r="N5423" s="195">
        <v>1.8283359999999999E-2</v>
      </c>
    </row>
    <row r="5424" spans="1:14" hidden="1" x14ac:dyDescent="0.35">
      <c r="A5424" s="52" t="s">
        <v>709</v>
      </c>
      <c r="B5424" s="52" t="s">
        <v>69</v>
      </c>
      <c r="C5424" s="52" t="s">
        <v>68</v>
      </c>
      <c r="D5424" s="52" t="s">
        <v>68</v>
      </c>
      <c r="E5424" s="52" t="s">
        <v>584</v>
      </c>
      <c r="F5424" s="52" t="s">
        <v>581</v>
      </c>
      <c r="G5424" s="195" t="s">
        <v>279</v>
      </c>
      <c r="H5424" s="195">
        <v>13.251899999999999</v>
      </c>
      <c r="I5424" s="195">
        <v>9.7167790000000007</v>
      </c>
      <c r="J5424" s="195">
        <v>12.90042</v>
      </c>
      <c r="K5424" s="195">
        <v>9.4400770000000005</v>
      </c>
      <c r="L5424" s="195">
        <v>9.003978</v>
      </c>
      <c r="M5424" s="195">
        <v>8.5329429999999995</v>
      </c>
      <c r="N5424" s="195">
        <v>13.959059999999999</v>
      </c>
    </row>
    <row r="5425" spans="1:14" hidden="1" x14ac:dyDescent="0.35">
      <c r="A5425" s="52" t="s">
        <v>709</v>
      </c>
      <c r="B5425" s="52" t="s">
        <v>69</v>
      </c>
      <c r="C5425" s="52" t="s">
        <v>68</v>
      </c>
      <c r="D5425" s="52" t="s">
        <v>68</v>
      </c>
      <c r="E5425" s="52" t="s">
        <v>584</v>
      </c>
      <c r="F5425" s="52" t="s">
        <v>26</v>
      </c>
      <c r="G5425" s="195" t="s">
        <v>275</v>
      </c>
      <c r="H5425" s="195">
        <v>72.760890000000003</v>
      </c>
      <c r="I5425" s="195">
        <v>55.675060000000002</v>
      </c>
      <c r="J5425" s="195">
        <v>51.05256</v>
      </c>
      <c r="K5425" s="195">
        <v>41.587479999999999</v>
      </c>
      <c r="L5425" s="195">
        <v>16.333269999999999</v>
      </c>
      <c r="M5425" s="195">
        <v>0.468277</v>
      </c>
      <c r="N5425" s="195">
        <v>-2.4713530000000001</v>
      </c>
    </row>
    <row r="5426" spans="1:14" hidden="1" x14ac:dyDescent="0.35">
      <c r="A5426" s="52" t="s">
        <v>709</v>
      </c>
      <c r="B5426" s="52" t="s">
        <v>69</v>
      </c>
      <c r="C5426" s="52" t="s">
        <v>68</v>
      </c>
      <c r="D5426" s="52" t="s">
        <v>68</v>
      </c>
      <c r="E5426" s="52" t="s">
        <v>584</v>
      </c>
      <c r="F5426" s="52" t="s">
        <v>26</v>
      </c>
      <c r="G5426" s="195" t="s">
        <v>276</v>
      </c>
      <c r="H5426" s="195">
        <v>14.06277</v>
      </c>
      <c r="I5426" s="195">
        <v>19.848600000000001</v>
      </c>
      <c r="J5426" s="195">
        <v>21.969349999999999</v>
      </c>
      <c r="K5426" s="195">
        <v>21.92435</v>
      </c>
      <c r="L5426" s="195">
        <v>22.664809999999999</v>
      </c>
      <c r="M5426" s="195">
        <v>25.77122</v>
      </c>
      <c r="N5426" s="195">
        <v>24.98771</v>
      </c>
    </row>
    <row r="5427" spans="1:14" hidden="1" x14ac:dyDescent="0.35">
      <c r="A5427" s="52" t="s">
        <v>709</v>
      </c>
      <c r="B5427" s="52" t="s">
        <v>69</v>
      </c>
      <c r="C5427" s="52" t="s">
        <v>68</v>
      </c>
      <c r="D5427" s="52" t="s">
        <v>68</v>
      </c>
      <c r="E5427" s="52" t="s">
        <v>584</v>
      </c>
      <c r="F5427" s="52" t="s">
        <v>26</v>
      </c>
      <c r="G5427" s="195" t="s">
        <v>277</v>
      </c>
      <c r="H5427" s="195">
        <v>15.27525</v>
      </c>
      <c r="I5427" s="195">
        <v>2.798708</v>
      </c>
      <c r="J5427" s="195">
        <v>0.97540760000000004</v>
      </c>
      <c r="K5427" s="195">
        <v>2.5977290000000002</v>
      </c>
      <c r="L5427" s="195">
        <v>21.593430000000001</v>
      </c>
      <c r="M5427" s="195">
        <v>30.99164</v>
      </c>
      <c r="N5427" s="195">
        <v>32.454270000000001</v>
      </c>
    </row>
    <row r="5428" spans="1:14" hidden="1" x14ac:dyDescent="0.35">
      <c r="A5428" s="52" t="s">
        <v>709</v>
      </c>
      <c r="B5428" s="52" t="s">
        <v>69</v>
      </c>
      <c r="C5428" s="52" t="s">
        <v>68</v>
      </c>
      <c r="D5428" s="52" t="s">
        <v>68</v>
      </c>
      <c r="E5428" s="52" t="s">
        <v>584</v>
      </c>
      <c r="F5428" s="52" t="s">
        <v>26</v>
      </c>
      <c r="G5428" s="195" t="s">
        <v>278</v>
      </c>
      <c r="H5428" s="195">
        <v>0.71758509999999998</v>
      </c>
      <c r="I5428" s="195">
        <v>0.71758509999999998</v>
      </c>
      <c r="J5428" s="195">
        <v>0.65636559999999999</v>
      </c>
      <c r="K5428" s="195">
        <v>0.70396329999999996</v>
      </c>
      <c r="L5428" s="195">
        <v>0.84888520000000001</v>
      </c>
      <c r="M5428" s="195">
        <v>0.21854100000000001</v>
      </c>
      <c r="N5428" s="195">
        <v>5.4548279999999998E-2</v>
      </c>
    </row>
    <row r="5429" spans="1:14" hidden="1" x14ac:dyDescent="0.35">
      <c r="A5429" s="52" t="s">
        <v>709</v>
      </c>
      <c r="B5429" s="52" t="s">
        <v>69</v>
      </c>
      <c r="C5429" s="52" t="s">
        <v>68</v>
      </c>
      <c r="D5429" s="52" t="s">
        <v>68</v>
      </c>
      <c r="E5429" s="52" t="s">
        <v>584</v>
      </c>
      <c r="F5429" s="52" t="s">
        <v>26</v>
      </c>
      <c r="G5429" s="195" t="s">
        <v>279</v>
      </c>
      <c r="H5429" s="195">
        <v>35.402650000000001</v>
      </c>
      <c r="I5429" s="195">
        <v>31.05979</v>
      </c>
      <c r="J5429" s="195">
        <v>32.907299999999999</v>
      </c>
      <c r="K5429" s="195">
        <v>35.201230000000002</v>
      </c>
      <c r="L5429" s="195">
        <v>35.03069</v>
      </c>
      <c r="M5429" s="195">
        <v>35.123449999999998</v>
      </c>
      <c r="N5429" s="195">
        <v>35.677729999999997</v>
      </c>
    </row>
    <row r="5430" spans="1:14" hidden="1" x14ac:dyDescent="0.35">
      <c r="A5430" s="52" t="s">
        <v>709</v>
      </c>
      <c r="B5430" s="52" t="s">
        <v>154</v>
      </c>
      <c r="C5430" s="52" t="s">
        <v>261</v>
      </c>
      <c r="D5430" s="52" t="s">
        <v>261</v>
      </c>
      <c r="E5430" s="52" t="s">
        <v>584</v>
      </c>
      <c r="F5430" s="52" t="s">
        <v>581</v>
      </c>
      <c r="G5430" s="195" t="s">
        <v>275</v>
      </c>
      <c r="H5430" s="195">
        <v>27.88983</v>
      </c>
      <c r="I5430" s="195">
        <v>1.7105159999999999</v>
      </c>
      <c r="J5430" s="195">
        <v>-3.7765360000000001</v>
      </c>
      <c r="K5430" s="195">
        <v>-7.4933630000000004</v>
      </c>
      <c r="L5430" s="195">
        <v>-9.4041379999999997</v>
      </c>
      <c r="M5430" s="195">
        <v>-10.040100000000001</v>
      </c>
      <c r="N5430" s="195">
        <v>-2.628857</v>
      </c>
    </row>
    <row r="5431" spans="1:14" hidden="1" x14ac:dyDescent="0.35">
      <c r="A5431" s="52" t="s">
        <v>709</v>
      </c>
      <c r="B5431" s="52" t="s">
        <v>154</v>
      </c>
      <c r="C5431" s="52" t="s">
        <v>261</v>
      </c>
      <c r="D5431" s="52" t="s">
        <v>261</v>
      </c>
      <c r="E5431" s="52" t="s">
        <v>584</v>
      </c>
      <c r="F5431" s="52" t="s">
        <v>581</v>
      </c>
      <c r="G5431" s="195" t="s">
        <v>276</v>
      </c>
      <c r="H5431" s="195"/>
      <c r="I5431" s="195"/>
      <c r="J5431" s="195">
        <v>-4.334532E-2</v>
      </c>
      <c r="K5431" s="195">
        <v>-4.334532E-2</v>
      </c>
      <c r="L5431" s="195">
        <v>-4.3345309999999998E-2</v>
      </c>
      <c r="M5431" s="195">
        <v>-4.3345309999999998E-2</v>
      </c>
      <c r="N5431" s="195">
        <v>-0.17122029999999999</v>
      </c>
    </row>
    <row r="5432" spans="1:14" hidden="1" x14ac:dyDescent="0.35">
      <c r="A5432" s="52" t="s">
        <v>709</v>
      </c>
      <c r="B5432" s="52" t="s">
        <v>154</v>
      </c>
      <c r="C5432" s="52" t="s">
        <v>261</v>
      </c>
      <c r="D5432" s="52" t="s">
        <v>261</v>
      </c>
      <c r="E5432" s="52" t="s">
        <v>584</v>
      </c>
      <c r="F5432" s="52" t="s">
        <v>581</v>
      </c>
      <c r="G5432" s="195" t="s">
        <v>277</v>
      </c>
      <c r="H5432" s="195">
        <v>8.2804859999999998</v>
      </c>
      <c r="I5432" s="195">
        <v>8.0206300000000006</v>
      </c>
      <c r="J5432" s="195">
        <v>7.9074859999999996</v>
      </c>
      <c r="K5432" s="195">
        <v>3.8279619999999999</v>
      </c>
      <c r="L5432" s="195">
        <v>2.1008300000000002</v>
      </c>
      <c r="M5432" s="195">
        <v>1.15296</v>
      </c>
      <c r="N5432" s="195">
        <v>0.12787499999999999</v>
      </c>
    </row>
    <row r="5433" spans="1:14" hidden="1" x14ac:dyDescent="0.35">
      <c r="A5433" s="52" t="s">
        <v>709</v>
      </c>
      <c r="B5433" s="52" t="s">
        <v>154</v>
      </c>
      <c r="C5433" s="52" t="s">
        <v>261</v>
      </c>
      <c r="D5433" s="52" t="s">
        <v>261</v>
      </c>
      <c r="E5433" s="52" t="s">
        <v>584</v>
      </c>
      <c r="F5433" s="52" t="s">
        <v>581</v>
      </c>
      <c r="G5433" s="195" t="s">
        <v>278</v>
      </c>
      <c r="H5433" s="195">
        <v>5.2555089999999999E-2</v>
      </c>
      <c r="I5433" s="195">
        <v>4.3345309999999998E-2</v>
      </c>
      <c r="J5433" s="195">
        <v>4.334532E-2</v>
      </c>
      <c r="K5433" s="195">
        <v>4.334532E-2</v>
      </c>
      <c r="L5433" s="195">
        <v>4.3345309999999998E-2</v>
      </c>
      <c r="M5433" s="195">
        <v>4.3345309999999998E-2</v>
      </c>
      <c r="N5433" s="195">
        <v>4.3345309999999998E-2</v>
      </c>
    </row>
    <row r="5434" spans="1:14" hidden="1" x14ac:dyDescent="0.35">
      <c r="A5434" s="52" t="s">
        <v>709</v>
      </c>
      <c r="B5434" s="52" t="s">
        <v>154</v>
      </c>
      <c r="C5434" s="52" t="s">
        <v>261</v>
      </c>
      <c r="D5434" s="52" t="s">
        <v>261</v>
      </c>
      <c r="E5434" s="52" t="s">
        <v>584</v>
      </c>
      <c r="F5434" s="52" t="s">
        <v>581</v>
      </c>
      <c r="G5434" s="195" t="s">
        <v>279</v>
      </c>
      <c r="H5434" s="195">
        <v>27.181339999999999</v>
      </c>
      <c r="I5434" s="195">
        <v>26.123380000000001</v>
      </c>
      <c r="J5434" s="195">
        <v>25.998629999999999</v>
      </c>
      <c r="K5434" s="195">
        <v>21.521570000000001</v>
      </c>
      <c r="L5434" s="195">
        <v>16.118300000000001</v>
      </c>
      <c r="M5434" s="195">
        <v>14.84243</v>
      </c>
      <c r="N5434" s="195">
        <v>3.156755</v>
      </c>
    </row>
    <row r="5435" spans="1:14" hidden="1" x14ac:dyDescent="0.35">
      <c r="A5435" s="52" t="s">
        <v>709</v>
      </c>
      <c r="B5435" s="52" t="s">
        <v>154</v>
      </c>
      <c r="C5435" s="52" t="s">
        <v>261</v>
      </c>
      <c r="D5435" s="52" t="s">
        <v>261</v>
      </c>
      <c r="E5435" s="52" t="s">
        <v>584</v>
      </c>
      <c r="F5435" s="52" t="s">
        <v>26</v>
      </c>
      <c r="G5435" s="195" t="s">
        <v>275</v>
      </c>
      <c r="H5435" s="195"/>
      <c r="I5435" s="195">
        <v>-9.2097810000000002E-3</v>
      </c>
      <c r="J5435" s="195">
        <v>0</v>
      </c>
      <c r="K5435" s="195">
        <v>-0.27937230000000002</v>
      </c>
      <c r="L5435" s="195">
        <v>0</v>
      </c>
      <c r="M5435" s="195">
        <v>0</v>
      </c>
      <c r="N5435" s="195">
        <v>0</v>
      </c>
    </row>
    <row r="5436" spans="1:14" hidden="1" x14ac:dyDescent="0.35">
      <c r="A5436" s="52" t="s">
        <v>709</v>
      </c>
      <c r="B5436" s="52" t="s">
        <v>154</v>
      </c>
      <c r="C5436" s="52" t="s">
        <v>261</v>
      </c>
      <c r="D5436" s="52" t="s">
        <v>261</v>
      </c>
      <c r="E5436" s="52" t="s">
        <v>584</v>
      </c>
      <c r="F5436" s="52" t="s">
        <v>26</v>
      </c>
      <c r="G5436" s="195" t="s">
        <v>277</v>
      </c>
      <c r="H5436" s="195"/>
      <c r="I5436" s="195"/>
      <c r="J5436" s="195"/>
      <c r="K5436" s="195">
        <v>0</v>
      </c>
      <c r="L5436" s="195">
        <v>0</v>
      </c>
      <c r="M5436" s="195">
        <v>0</v>
      </c>
      <c r="N5436" s="195">
        <v>0</v>
      </c>
    </row>
    <row r="5437" spans="1:14" hidden="1" x14ac:dyDescent="0.35">
      <c r="A5437" s="52" t="s">
        <v>709</v>
      </c>
      <c r="B5437" s="52" t="s">
        <v>154</v>
      </c>
      <c r="C5437" s="52" t="s">
        <v>261</v>
      </c>
      <c r="D5437" s="52" t="s">
        <v>261</v>
      </c>
      <c r="E5437" s="52" t="s">
        <v>584</v>
      </c>
      <c r="F5437" s="52" t="s">
        <v>26</v>
      </c>
      <c r="G5437" s="195" t="s">
        <v>278</v>
      </c>
      <c r="H5437" s="195"/>
      <c r="I5437" s="195">
        <v>9.2097810000000002E-3</v>
      </c>
      <c r="J5437" s="195">
        <v>0</v>
      </c>
      <c r="K5437" s="195">
        <v>0</v>
      </c>
      <c r="L5437" s="195">
        <v>0</v>
      </c>
      <c r="M5437" s="195">
        <v>0</v>
      </c>
      <c r="N5437" s="195">
        <v>0</v>
      </c>
    </row>
    <row r="5438" spans="1:14" hidden="1" x14ac:dyDescent="0.35">
      <c r="A5438" s="52" t="s">
        <v>709</v>
      </c>
      <c r="B5438" s="52" t="s">
        <v>154</v>
      </c>
      <c r="C5438" s="52" t="s">
        <v>261</v>
      </c>
      <c r="D5438" s="52" t="s">
        <v>261</v>
      </c>
      <c r="E5438" s="52" t="s">
        <v>584</v>
      </c>
      <c r="F5438" s="52" t="s">
        <v>26</v>
      </c>
      <c r="G5438" s="195" t="s">
        <v>279</v>
      </c>
      <c r="H5438" s="195"/>
      <c r="I5438" s="195"/>
      <c r="J5438" s="195">
        <v>0</v>
      </c>
      <c r="K5438" s="195">
        <v>0.55251090000000003</v>
      </c>
      <c r="L5438" s="195">
        <v>0</v>
      </c>
      <c r="M5438" s="195"/>
      <c r="N5438" s="195">
        <v>0</v>
      </c>
    </row>
    <row r="5439" spans="1:14" hidden="1" x14ac:dyDescent="0.35">
      <c r="A5439" s="52" t="s">
        <v>709</v>
      </c>
      <c r="B5439" s="52" t="s">
        <v>37</v>
      </c>
      <c r="C5439" s="52" t="s">
        <v>61</v>
      </c>
      <c r="D5439" s="52" t="s">
        <v>62</v>
      </c>
      <c r="E5439" s="52" t="s">
        <v>584</v>
      </c>
      <c r="F5439" s="52" t="s">
        <v>581</v>
      </c>
      <c r="G5439" s="195" t="s">
        <v>275</v>
      </c>
      <c r="H5439" s="195">
        <v>15.33085</v>
      </c>
      <c r="I5439" s="195">
        <v>11.436210000000001</v>
      </c>
      <c r="J5439" s="195">
        <v>7.0907549999999997</v>
      </c>
      <c r="K5439" s="195">
        <v>6.4262699999999997</v>
      </c>
      <c r="L5439" s="195">
        <v>5.0693900000000003</v>
      </c>
      <c r="M5439" s="195">
        <v>2.4907840000000001</v>
      </c>
      <c r="N5439" s="195">
        <v>1.623882</v>
      </c>
    </row>
    <row r="5440" spans="1:14" hidden="1" x14ac:dyDescent="0.35">
      <c r="A5440" s="52" t="s">
        <v>709</v>
      </c>
      <c r="B5440" s="52" t="s">
        <v>37</v>
      </c>
      <c r="C5440" s="52" t="s">
        <v>61</v>
      </c>
      <c r="D5440" s="52" t="s">
        <v>62</v>
      </c>
      <c r="E5440" s="52" t="s">
        <v>584</v>
      </c>
      <c r="F5440" s="52" t="s">
        <v>581</v>
      </c>
      <c r="G5440" s="195" t="s">
        <v>276</v>
      </c>
      <c r="H5440" s="195">
        <v>1.1273850000000001</v>
      </c>
      <c r="I5440" s="195">
        <v>-1.219662</v>
      </c>
      <c r="J5440" s="195">
        <v>-1.412833E-2</v>
      </c>
      <c r="K5440" s="195">
        <v>-0.93110130000000002</v>
      </c>
      <c r="L5440" s="195">
        <v>-0.78059909999999999</v>
      </c>
      <c r="M5440" s="195">
        <v>0.67587399999999997</v>
      </c>
      <c r="N5440" s="195">
        <v>0.46346870000000001</v>
      </c>
    </row>
    <row r="5441" spans="1:14" hidden="1" x14ac:dyDescent="0.35">
      <c r="A5441" s="52" t="s">
        <v>709</v>
      </c>
      <c r="B5441" s="52" t="s">
        <v>37</v>
      </c>
      <c r="C5441" s="52" t="s">
        <v>61</v>
      </c>
      <c r="D5441" s="52" t="s">
        <v>62</v>
      </c>
      <c r="E5441" s="52" t="s">
        <v>584</v>
      </c>
      <c r="F5441" s="52" t="s">
        <v>581</v>
      </c>
      <c r="G5441" s="195" t="s">
        <v>277</v>
      </c>
      <c r="H5441" s="195">
        <v>0.98968299999999998</v>
      </c>
      <c r="I5441" s="195">
        <v>0.74251679999999998</v>
      </c>
      <c r="J5441" s="195">
        <v>0.64575130000000003</v>
      </c>
      <c r="K5441" s="195">
        <v>0.74559450000000005</v>
      </c>
      <c r="L5441" s="195">
        <v>0.86566330000000002</v>
      </c>
      <c r="M5441" s="195">
        <v>0.81999120000000003</v>
      </c>
      <c r="N5441" s="195">
        <v>0.87811819999999996</v>
      </c>
    </row>
    <row r="5442" spans="1:14" hidden="1" x14ac:dyDescent="0.35">
      <c r="A5442" s="52" t="s">
        <v>709</v>
      </c>
      <c r="B5442" s="52" t="s">
        <v>37</v>
      </c>
      <c r="C5442" s="52" t="s">
        <v>61</v>
      </c>
      <c r="D5442" s="52" t="s">
        <v>62</v>
      </c>
      <c r="E5442" s="52" t="s">
        <v>584</v>
      </c>
      <c r="F5442" s="52" t="s">
        <v>581</v>
      </c>
      <c r="G5442" s="195" t="s">
        <v>278</v>
      </c>
      <c r="H5442" s="195">
        <v>19.56812</v>
      </c>
      <c r="I5442" s="195">
        <v>0</v>
      </c>
      <c r="J5442" s="195"/>
      <c r="K5442" s="195"/>
      <c r="L5442" s="195"/>
      <c r="M5442" s="195"/>
      <c r="N5442" s="195"/>
    </row>
    <row r="5443" spans="1:14" hidden="1" x14ac:dyDescent="0.35">
      <c r="A5443" s="52" t="s">
        <v>709</v>
      </c>
      <c r="B5443" s="52" t="s">
        <v>37</v>
      </c>
      <c r="C5443" s="52" t="s">
        <v>61</v>
      </c>
      <c r="D5443" s="52" t="s">
        <v>62</v>
      </c>
      <c r="E5443" s="52" t="s">
        <v>584</v>
      </c>
      <c r="F5443" s="52" t="s">
        <v>581</v>
      </c>
      <c r="G5443" s="195" t="s">
        <v>279</v>
      </c>
      <c r="H5443" s="195">
        <v>6.9941149999999999</v>
      </c>
      <c r="I5443" s="195">
        <v>6.550211</v>
      </c>
      <c r="J5443" s="195">
        <v>6.528238</v>
      </c>
      <c r="K5443" s="195">
        <v>6.6536920000000004</v>
      </c>
      <c r="L5443" s="195">
        <v>6.3302909999999999</v>
      </c>
      <c r="M5443" s="195">
        <v>5.9783739999999996</v>
      </c>
      <c r="N5443" s="195">
        <v>5.6871780000000003</v>
      </c>
    </row>
    <row r="5444" spans="1:14" hidden="1" x14ac:dyDescent="0.35">
      <c r="A5444" s="52" t="s">
        <v>709</v>
      </c>
      <c r="B5444" s="52" t="s">
        <v>37</v>
      </c>
      <c r="C5444" s="52" t="s">
        <v>61</v>
      </c>
      <c r="D5444" s="52" t="s">
        <v>62</v>
      </c>
      <c r="E5444" s="52" t="s">
        <v>584</v>
      </c>
      <c r="F5444" s="52" t="s">
        <v>26</v>
      </c>
      <c r="G5444" s="195" t="s">
        <v>275</v>
      </c>
      <c r="H5444" s="195">
        <v>0.1702882</v>
      </c>
      <c r="I5444" s="195">
        <v>0.12822249999999999</v>
      </c>
      <c r="J5444" s="195">
        <v>0.1281245</v>
      </c>
      <c r="K5444" s="195">
        <v>0.1177962</v>
      </c>
      <c r="L5444" s="195">
        <v>0.1172725</v>
      </c>
      <c r="M5444" s="195">
        <v>0.11010109999999999</v>
      </c>
      <c r="N5444" s="195">
        <v>0.10458430000000001</v>
      </c>
    </row>
    <row r="5445" spans="1:14" hidden="1" x14ac:dyDescent="0.35">
      <c r="A5445" s="52" t="s">
        <v>709</v>
      </c>
      <c r="B5445" s="52" t="s">
        <v>37</v>
      </c>
      <c r="C5445" s="52" t="s">
        <v>61</v>
      </c>
      <c r="D5445" s="52" t="s">
        <v>62</v>
      </c>
      <c r="E5445" s="52" t="s">
        <v>584</v>
      </c>
      <c r="F5445" s="52" t="s">
        <v>26</v>
      </c>
      <c r="G5445" s="195" t="s">
        <v>276</v>
      </c>
      <c r="H5445" s="195">
        <v>4.5266800000000003E-2</v>
      </c>
      <c r="I5445" s="195">
        <v>3.408456E-2</v>
      </c>
      <c r="J5445" s="195">
        <v>3.4058650000000003E-2</v>
      </c>
      <c r="K5445" s="195">
        <v>3.1313059999999997E-2</v>
      </c>
      <c r="L5445" s="195">
        <v>3.117352E-2</v>
      </c>
      <c r="M5445" s="195">
        <v>2.926747E-2</v>
      </c>
      <c r="N5445" s="195">
        <v>2.7800740000000001E-2</v>
      </c>
    </row>
    <row r="5446" spans="1:14" hidden="1" x14ac:dyDescent="0.35">
      <c r="A5446" s="52" t="s">
        <v>709</v>
      </c>
      <c r="B5446" s="52" t="s">
        <v>37</v>
      </c>
      <c r="C5446" s="52" t="s">
        <v>61</v>
      </c>
      <c r="D5446" s="52" t="s">
        <v>62</v>
      </c>
      <c r="E5446" s="52" t="s">
        <v>584</v>
      </c>
      <c r="F5446" s="52" t="s">
        <v>26</v>
      </c>
      <c r="G5446" s="195" t="s">
        <v>279</v>
      </c>
      <c r="H5446" s="195">
        <v>0.20027890000000001</v>
      </c>
      <c r="I5446" s="195">
        <v>0.2266581</v>
      </c>
      <c r="J5446" s="195">
        <v>0.2389577</v>
      </c>
      <c r="K5446" s="195">
        <v>0.26030239999999999</v>
      </c>
      <c r="L5446" s="195">
        <v>0.26024380000000003</v>
      </c>
      <c r="M5446" s="195">
        <v>0.24513960000000001</v>
      </c>
      <c r="N5446" s="195">
        <v>0.2317274</v>
      </c>
    </row>
    <row r="5447" spans="1:14" hidden="1" x14ac:dyDescent="0.35">
      <c r="A5447" s="52" t="s">
        <v>709</v>
      </c>
      <c r="B5447" s="52" t="s">
        <v>37</v>
      </c>
      <c r="C5447" s="52" t="s">
        <v>79</v>
      </c>
      <c r="D5447" s="52" t="s">
        <v>79</v>
      </c>
      <c r="E5447" s="52" t="s">
        <v>584</v>
      </c>
      <c r="F5447" s="52" t="s">
        <v>581</v>
      </c>
      <c r="G5447" s="195" t="s">
        <v>275</v>
      </c>
      <c r="H5447" s="195">
        <v>0.434031</v>
      </c>
      <c r="I5447" s="195">
        <v>9.1387200000000002E-2</v>
      </c>
      <c r="J5447" s="195">
        <v>6.7970000000000003E-2</v>
      </c>
      <c r="K5447" s="195">
        <v>6.5098400000000001E-2</v>
      </c>
      <c r="L5447" s="195">
        <v>6.2170000000000003E-2</v>
      </c>
      <c r="M5447" s="195">
        <v>6.1203609999999999E-2</v>
      </c>
      <c r="N5447" s="195">
        <v>6.0452800000000001E-2</v>
      </c>
    </row>
    <row r="5448" spans="1:14" hidden="1" x14ac:dyDescent="0.35">
      <c r="A5448" s="52" t="s">
        <v>709</v>
      </c>
      <c r="B5448" s="52" t="s">
        <v>37</v>
      </c>
      <c r="C5448" s="52" t="s">
        <v>79</v>
      </c>
      <c r="D5448" s="52" t="s">
        <v>79</v>
      </c>
      <c r="E5448" s="52" t="s">
        <v>584</v>
      </c>
      <c r="F5448" s="52" t="s">
        <v>581</v>
      </c>
      <c r="G5448" s="195" t="s">
        <v>276</v>
      </c>
      <c r="H5448" s="195">
        <v>0.11537500000000001</v>
      </c>
      <c r="I5448" s="195">
        <v>2.4292999999999999E-2</v>
      </c>
      <c r="J5448" s="195">
        <v>1.8068600000000001E-2</v>
      </c>
      <c r="K5448" s="195">
        <v>1.7305000000000001E-2</v>
      </c>
      <c r="L5448" s="195">
        <v>1.6525999999999999E-2</v>
      </c>
      <c r="M5448" s="195">
        <v>1.6269599999999999E-2</v>
      </c>
      <c r="N5448" s="195">
        <v>1.6070000000000001E-2</v>
      </c>
    </row>
    <row r="5449" spans="1:14" hidden="1" x14ac:dyDescent="0.35">
      <c r="A5449" s="52" t="s">
        <v>709</v>
      </c>
      <c r="B5449" s="52" t="s">
        <v>37</v>
      </c>
      <c r="C5449" s="52" t="s">
        <v>79</v>
      </c>
      <c r="D5449" s="52" t="s">
        <v>79</v>
      </c>
      <c r="E5449" s="52" t="s">
        <v>584</v>
      </c>
      <c r="F5449" s="52" t="s">
        <v>581</v>
      </c>
      <c r="G5449" s="195" t="s">
        <v>277</v>
      </c>
      <c r="H5449" s="195"/>
      <c r="I5449" s="195"/>
      <c r="J5449" s="195">
        <v>0</v>
      </c>
      <c r="K5449" s="195"/>
      <c r="L5449" s="195"/>
      <c r="M5449" s="195"/>
      <c r="N5449" s="195"/>
    </row>
    <row r="5450" spans="1:14" hidden="1" x14ac:dyDescent="0.35">
      <c r="A5450" s="52" t="s">
        <v>709</v>
      </c>
      <c r="B5450" s="52" t="s">
        <v>37</v>
      </c>
      <c r="C5450" s="52" t="s">
        <v>79</v>
      </c>
      <c r="D5450" s="52" t="s">
        <v>79</v>
      </c>
      <c r="E5450" s="52" t="s">
        <v>584</v>
      </c>
      <c r="F5450" s="52" t="s">
        <v>581</v>
      </c>
      <c r="G5450" s="195" t="s">
        <v>279</v>
      </c>
      <c r="H5450" s="195">
        <v>0.20550099999999999</v>
      </c>
      <c r="I5450" s="195">
        <v>0.15401219999999999</v>
      </c>
      <c r="J5450" s="195">
        <v>0.14784820000000001</v>
      </c>
      <c r="K5450" s="195">
        <v>0.1508892</v>
      </c>
      <c r="L5450" s="195">
        <v>0.15123200000000001</v>
      </c>
      <c r="M5450" s="195">
        <v>0.1440584</v>
      </c>
      <c r="N5450" s="195">
        <v>0.1378278</v>
      </c>
    </row>
    <row r="5451" spans="1:14" hidden="1" x14ac:dyDescent="0.35">
      <c r="A5451" s="52" t="s">
        <v>709</v>
      </c>
      <c r="B5451" s="52" t="s">
        <v>37</v>
      </c>
      <c r="C5451" s="52" t="s">
        <v>79</v>
      </c>
      <c r="D5451" s="52" t="s">
        <v>79</v>
      </c>
      <c r="E5451" s="52" t="s">
        <v>584</v>
      </c>
      <c r="F5451" s="52" t="s">
        <v>26</v>
      </c>
      <c r="G5451" s="195" t="s">
        <v>275</v>
      </c>
      <c r="H5451" s="195">
        <v>-1.8256790000000001</v>
      </c>
      <c r="I5451" s="195">
        <v>0.27349580000000001</v>
      </c>
      <c r="J5451" s="195">
        <v>0.2066287</v>
      </c>
      <c r="K5451" s="195">
        <v>-0.20401459999999999</v>
      </c>
      <c r="L5451" s="195">
        <v>-0.27659620000000001</v>
      </c>
      <c r="M5451" s="195">
        <v>-0.26366240000000002</v>
      </c>
      <c r="N5451" s="195">
        <v>-0.25103259999999999</v>
      </c>
    </row>
    <row r="5452" spans="1:14" hidden="1" x14ac:dyDescent="0.35">
      <c r="A5452" s="52" t="s">
        <v>709</v>
      </c>
      <c r="B5452" s="52" t="s">
        <v>37</v>
      </c>
      <c r="C5452" s="52" t="s">
        <v>79</v>
      </c>
      <c r="D5452" s="52" t="s">
        <v>79</v>
      </c>
      <c r="E5452" s="52" t="s">
        <v>584</v>
      </c>
      <c r="F5452" s="52" t="s">
        <v>26</v>
      </c>
      <c r="G5452" s="195" t="s">
        <v>276</v>
      </c>
      <c r="H5452" s="195">
        <v>-0.81668700000000005</v>
      </c>
      <c r="I5452" s="195">
        <v>-0.52505939999999995</v>
      </c>
      <c r="J5452" s="195">
        <v>-0.38964320000000002</v>
      </c>
      <c r="K5452" s="195">
        <v>-0.1034754</v>
      </c>
      <c r="L5452" s="195">
        <v>-0.11456760000000001</v>
      </c>
      <c r="M5452" s="195">
        <v>-0.1099058</v>
      </c>
      <c r="N5452" s="195">
        <v>-0.1041914</v>
      </c>
    </row>
    <row r="5453" spans="1:14" hidden="1" x14ac:dyDescent="0.35">
      <c r="A5453" s="52" t="s">
        <v>709</v>
      </c>
      <c r="B5453" s="52" t="s">
        <v>37</v>
      </c>
      <c r="C5453" s="52" t="s">
        <v>79</v>
      </c>
      <c r="D5453" s="52" t="s">
        <v>79</v>
      </c>
      <c r="E5453" s="52" t="s">
        <v>584</v>
      </c>
      <c r="F5453" s="52" t="s">
        <v>26</v>
      </c>
      <c r="G5453" s="195" t="s">
        <v>277</v>
      </c>
      <c r="H5453" s="195">
        <v>3.6216149999999998</v>
      </c>
      <c r="I5453" s="195"/>
      <c r="J5453" s="195"/>
      <c r="K5453" s="195"/>
      <c r="L5453" s="195"/>
      <c r="M5453" s="195"/>
      <c r="N5453" s="195"/>
    </row>
    <row r="5454" spans="1:14" hidden="1" x14ac:dyDescent="0.35">
      <c r="A5454" s="52" t="s">
        <v>709</v>
      </c>
      <c r="B5454" s="52" t="s">
        <v>37</v>
      </c>
      <c r="C5454" s="52" t="s">
        <v>79</v>
      </c>
      <c r="D5454" s="52" t="s">
        <v>79</v>
      </c>
      <c r="E5454" s="52" t="s">
        <v>584</v>
      </c>
      <c r="F5454" s="52" t="s">
        <v>26</v>
      </c>
      <c r="G5454" s="195" t="s">
        <v>279</v>
      </c>
      <c r="H5454" s="195">
        <v>2.9450090000000002</v>
      </c>
      <c r="I5454" s="195">
        <v>2.3360159999999999</v>
      </c>
      <c r="J5454" s="195">
        <v>2.1137419999999998</v>
      </c>
      <c r="K5454" s="195">
        <v>2.0603690000000001</v>
      </c>
      <c r="L5454" s="195">
        <v>1.9543740000000001</v>
      </c>
      <c r="M5454" s="195">
        <v>1.7298100000000001</v>
      </c>
      <c r="N5454" s="195">
        <v>1.5365409999999999</v>
      </c>
    </row>
    <row r="5455" spans="1:14" hidden="1" x14ac:dyDescent="0.35">
      <c r="A5455" s="52" t="s">
        <v>709</v>
      </c>
      <c r="B5455" s="52" t="s">
        <v>37</v>
      </c>
      <c r="C5455" s="52" t="s">
        <v>109</v>
      </c>
      <c r="D5455" s="52" t="s">
        <v>109</v>
      </c>
      <c r="E5455" s="52" t="s">
        <v>584</v>
      </c>
      <c r="F5455" s="52" t="s">
        <v>581</v>
      </c>
      <c r="G5455" s="195" t="s">
        <v>275</v>
      </c>
      <c r="H5455" s="195">
        <v>0.91409560000000001</v>
      </c>
      <c r="I5455" s="195">
        <v>-5.4190139999999998E-2</v>
      </c>
      <c r="J5455" s="195">
        <v>-0.19397690000000001</v>
      </c>
      <c r="K5455" s="195">
        <v>-0.19804260000000001</v>
      </c>
      <c r="L5455" s="195">
        <v>-0.16928190000000001</v>
      </c>
      <c r="M5455" s="195">
        <v>-0.1637565</v>
      </c>
      <c r="N5455" s="195">
        <v>-0.15060480000000001</v>
      </c>
    </row>
    <row r="5456" spans="1:14" hidden="1" x14ac:dyDescent="0.35">
      <c r="A5456" s="52" t="s">
        <v>709</v>
      </c>
      <c r="B5456" s="52" t="s">
        <v>37</v>
      </c>
      <c r="C5456" s="52" t="s">
        <v>109</v>
      </c>
      <c r="D5456" s="52" t="s">
        <v>109</v>
      </c>
      <c r="E5456" s="52" t="s">
        <v>584</v>
      </c>
      <c r="F5456" s="52" t="s">
        <v>581</v>
      </c>
      <c r="G5456" s="195" t="s">
        <v>276</v>
      </c>
      <c r="H5456" s="195">
        <v>0.2240711</v>
      </c>
      <c r="I5456" s="195">
        <v>-8.7456809999999996E-2</v>
      </c>
      <c r="J5456" s="195">
        <v>-0.13856489999999999</v>
      </c>
      <c r="K5456" s="195">
        <v>-0.13343730000000001</v>
      </c>
      <c r="L5456" s="195">
        <v>-0.13373750000000001</v>
      </c>
      <c r="M5456" s="195">
        <v>-0.1127739</v>
      </c>
      <c r="N5456" s="195">
        <v>-0.1049698</v>
      </c>
    </row>
    <row r="5457" spans="1:14" hidden="1" x14ac:dyDescent="0.35">
      <c r="A5457" s="52" t="s">
        <v>709</v>
      </c>
      <c r="B5457" s="52" t="s">
        <v>37</v>
      </c>
      <c r="C5457" s="52" t="s">
        <v>109</v>
      </c>
      <c r="D5457" s="52" t="s">
        <v>109</v>
      </c>
      <c r="E5457" s="52" t="s">
        <v>584</v>
      </c>
      <c r="F5457" s="52" t="s">
        <v>581</v>
      </c>
      <c r="G5457" s="195" t="s">
        <v>277</v>
      </c>
      <c r="H5457" s="195">
        <v>1.457392</v>
      </c>
      <c r="I5457" s="195">
        <v>1.1647110000000001</v>
      </c>
      <c r="J5457" s="195">
        <v>1.0423990000000001</v>
      </c>
      <c r="K5457" s="195">
        <v>0.93819620000000004</v>
      </c>
      <c r="L5457" s="195">
        <v>0.83240780000000003</v>
      </c>
      <c r="M5457" s="195">
        <v>0.72074090000000002</v>
      </c>
      <c r="N5457" s="195">
        <v>0.62577870000000002</v>
      </c>
    </row>
    <row r="5458" spans="1:14" hidden="1" x14ac:dyDescent="0.35">
      <c r="A5458" s="52" t="s">
        <v>709</v>
      </c>
      <c r="B5458" s="52" t="s">
        <v>37</v>
      </c>
      <c r="C5458" s="52" t="s">
        <v>109</v>
      </c>
      <c r="D5458" s="52" t="s">
        <v>109</v>
      </c>
      <c r="E5458" s="52" t="s">
        <v>584</v>
      </c>
      <c r="F5458" s="52" t="s">
        <v>581</v>
      </c>
      <c r="G5458" s="195" t="s">
        <v>279</v>
      </c>
      <c r="H5458" s="195">
        <v>2.0524230000000001</v>
      </c>
      <c r="I5458" s="195">
        <v>0.64030500000000001</v>
      </c>
      <c r="J5458" s="195">
        <v>0.60971240000000004</v>
      </c>
      <c r="K5458" s="195">
        <v>0.59765970000000002</v>
      </c>
      <c r="L5458" s="195">
        <v>0.55303500000000005</v>
      </c>
      <c r="M5458" s="195">
        <v>0.50380860000000005</v>
      </c>
      <c r="N5458" s="195">
        <v>0.46104980000000001</v>
      </c>
    </row>
    <row r="5459" spans="1:14" hidden="1" x14ac:dyDescent="0.35">
      <c r="A5459" s="52" t="s">
        <v>709</v>
      </c>
      <c r="B5459" s="52" t="s">
        <v>37</v>
      </c>
      <c r="C5459" s="52" t="s">
        <v>109</v>
      </c>
      <c r="D5459" s="52" t="s">
        <v>109</v>
      </c>
      <c r="E5459" s="52" t="s">
        <v>584</v>
      </c>
      <c r="F5459" s="52" t="s">
        <v>26</v>
      </c>
      <c r="G5459" s="195" t="s">
        <v>275</v>
      </c>
      <c r="H5459" s="195">
        <v>-5.012238</v>
      </c>
      <c r="I5459" s="195">
        <v>-1.5296540000000001E-2</v>
      </c>
      <c r="J5459" s="195">
        <v>-1.496425E-2</v>
      </c>
      <c r="K5459" s="195">
        <v>-1.790334E-2</v>
      </c>
      <c r="L5459" s="195">
        <v>-1.658685E-2</v>
      </c>
      <c r="M5459" s="195">
        <v>-1.5037399999999999E-2</v>
      </c>
      <c r="N5459" s="195">
        <v>-1.3418019999999999E-2</v>
      </c>
    </row>
    <row r="5460" spans="1:14" hidden="1" x14ac:dyDescent="0.35">
      <c r="A5460" s="52" t="s">
        <v>709</v>
      </c>
      <c r="B5460" s="52" t="s">
        <v>37</v>
      </c>
      <c r="C5460" s="52" t="s">
        <v>109</v>
      </c>
      <c r="D5460" s="52" t="s">
        <v>109</v>
      </c>
      <c r="E5460" s="52" t="s">
        <v>584</v>
      </c>
      <c r="F5460" s="52" t="s">
        <v>26</v>
      </c>
      <c r="G5460" s="195" t="s">
        <v>276</v>
      </c>
      <c r="H5460" s="195">
        <v>-1.3323659999999999</v>
      </c>
      <c r="I5460" s="195">
        <v>-4.0662299999999997E-3</v>
      </c>
      <c r="J5460" s="195">
        <v>-3.9778900000000004E-3</v>
      </c>
      <c r="K5460" s="195">
        <v>-4.7591600000000001E-3</v>
      </c>
      <c r="L5460" s="195">
        <v>-4.4090900000000001E-3</v>
      </c>
      <c r="M5460" s="195">
        <v>-3.9972100000000002E-3</v>
      </c>
      <c r="N5460" s="195">
        <v>-3.5669199999999999E-3</v>
      </c>
    </row>
    <row r="5461" spans="1:14" hidden="1" x14ac:dyDescent="0.35">
      <c r="A5461" s="52" t="s">
        <v>709</v>
      </c>
      <c r="B5461" s="52" t="s">
        <v>37</v>
      </c>
      <c r="C5461" s="52" t="s">
        <v>109</v>
      </c>
      <c r="D5461" s="52" t="s">
        <v>109</v>
      </c>
      <c r="E5461" s="52" t="s">
        <v>584</v>
      </c>
      <c r="F5461" s="52" t="s">
        <v>26</v>
      </c>
      <c r="G5461" s="195" t="s">
        <v>279</v>
      </c>
      <c r="H5461" s="195">
        <v>6.4976399999999996</v>
      </c>
      <c r="I5461" s="195">
        <v>0.13638620000000001</v>
      </c>
      <c r="J5461" s="195">
        <v>0.13710230000000001</v>
      </c>
      <c r="K5461" s="195">
        <v>0.14027600000000001</v>
      </c>
      <c r="L5461" s="195">
        <v>0.13658410000000001</v>
      </c>
      <c r="M5461" s="195">
        <v>0.13001570000000001</v>
      </c>
      <c r="N5461" s="195">
        <v>0.1243046</v>
      </c>
    </row>
    <row r="5462" spans="1:14" hidden="1" x14ac:dyDescent="0.35">
      <c r="A5462" s="52" t="s">
        <v>709</v>
      </c>
      <c r="B5462" s="52" t="s">
        <v>31</v>
      </c>
      <c r="C5462" s="52" t="s">
        <v>30</v>
      </c>
      <c r="D5462" s="52" t="s">
        <v>30</v>
      </c>
      <c r="E5462" s="52" t="s">
        <v>584</v>
      </c>
      <c r="F5462" s="52" t="s">
        <v>581</v>
      </c>
      <c r="G5462" s="195" t="s">
        <v>275</v>
      </c>
      <c r="H5462" s="195">
        <v>38.56823</v>
      </c>
      <c r="I5462" s="195">
        <v>16.17445</v>
      </c>
      <c r="J5462" s="195">
        <v>7.5673279999999998</v>
      </c>
      <c r="K5462" s="195">
        <v>19.068570000000001</v>
      </c>
      <c r="L5462" s="195">
        <v>1.279714</v>
      </c>
      <c r="M5462" s="195">
        <v>0.82759519999999998</v>
      </c>
      <c r="N5462" s="195">
        <v>1.106549</v>
      </c>
    </row>
    <row r="5463" spans="1:14" hidden="1" x14ac:dyDescent="0.35">
      <c r="A5463" s="52" t="s">
        <v>709</v>
      </c>
      <c r="B5463" s="52" t="s">
        <v>31</v>
      </c>
      <c r="C5463" s="52" t="s">
        <v>30</v>
      </c>
      <c r="D5463" s="52" t="s">
        <v>30</v>
      </c>
      <c r="E5463" s="52" t="s">
        <v>584</v>
      </c>
      <c r="F5463" s="52" t="s">
        <v>581</v>
      </c>
      <c r="G5463" s="195" t="s">
        <v>276</v>
      </c>
      <c r="H5463" s="195">
        <v>-7.5643320000000003</v>
      </c>
      <c r="I5463" s="195">
        <v>-13.357189999999999</v>
      </c>
      <c r="J5463" s="195">
        <v>-7.5165230000000003</v>
      </c>
      <c r="K5463" s="195">
        <v>-18.434889999999999</v>
      </c>
      <c r="L5463" s="195">
        <v>-0.72107060000000001</v>
      </c>
      <c r="M5463" s="195">
        <v>-0.58879769999999998</v>
      </c>
      <c r="N5463" s="195">
        <v>-0.26189420000000002</v>
      </c>
    </row>
    <row r="5464" spans="1:14" hidden="1" x14ac:dyDescent="0.35">
      <c r="A5464" s="52" t="s">
        <v>709</v>
      </c>
      <c r="B5464" s="52" t="s">
        <v>31</v>
      </c>
      <c r="C5464" s="52" t="s">
        <v>30</v>
      </c>
      <c r="D5464" s="52" t="s">
        <v>30</v>
      </c>
      <c r="E5464" s="52" t="s">
        <v>584</v>
      </c>
      <c r="F5464" s="52" t="s">
        <v>581</v>
      </c>
      <c r="G5464" s="195" t="s">
        <v>277</v>
      </c>
      <c r="H5464" s="195">
        <v>3.3993340000000001</v>
      </c>
      <c r="I5464" s="195">
        <v>2.6824780000000001</v>
      </c>
      <c r="J5464" s="195">
        <v>2.394819</v>
      </c>
      <c r="K5464" s="195"/>
      <c r="L5464" s="195">
        <v>0.64352069999999995</v>
      </c>
      <c r="M5464" s="195">
        <v>0.63943890000000003</v>
      </c>
      <c r="N5464" s="195">
        <v>0</v>
      </c>
    </row>
    <row r="5465" spans="1:14" hidden="1" x14ac:dyDescent="0.35">
      <c r="A5465" s="52" t="s">
        <v>709</v>
      </c>
      <c r="B5465" s="52" t="s">
        <v>31</v>
      </c>
      <c r="C5465" s="52" t="s">
        <v>30</v>
      </c>
      <c r="D5465" s="52" t="s">
        <v>30</v>
      </c>
      <c r="E5465" s="52" t="s">
        <v>584</v>
      </c>
      <c r="F5465" s="52" t="s">
        <v>581</v>
      </c>
      <c r="G5465" s="195" t="s">
        <v>278</v>
      </c>
      <c r="H5465" s="195">
        <v>0.11891649999999999</v>
      </c>
      <c r="I5465" s="195">
        <v>0.11891649999999999</v>
      </c>
      <c r="J5465" s="195">
        <v>0.11891649999999999</v>
      </c>
      <c r="K5465" s="195">
        <v>0.11891649999999999</v>
      </c>
      <c r="L5465" s="195">
        <v>0.11891649999999999</v>
      </c>
      <c r="M5465" s="195">
        <v>0.25553350000000002</v>
      </c>
      <c r="N5465" s="195">
        <v>0.11891649999999999</v>
      </c>
    </row>
    <row r="5466" spans="1:14" hidden="1" x14ac:dyDescent="0.35">
      <c r="A5466" s="52" t="s">
        <v>709</v>
      </c>
      <c r="B5466" s="52" t="s">
        <v>31</v>
      </c>
      <c r="C5466" s="52" t="s">
        <v>30</v>
      </c>
      <c r="D5466" s="52" t="s">
        <v>30</v>
      </c>
      <c r="E5466" s="52" t="s">
        <v>584</v>
      </c>
      <c r="F5466" s="52" t="s">
        <v>581</v>
      </c>
      <c r="G5466" s="195" t="s">
        <v>279</v>
      </c>
      <c r="H5466" s="195">
        <v>14.281510000000001</v>
      </c>
      <c r="I5466" s="195">
        <v>13.196709999999999</v>
      </c>
      <c r="J5466" s="195">
        <v>13.52197</v>
      </c>
      <c r="K5466" s="195">
        <v>14.5181</v>
      </c>
      <c r="L5466" s="195">
        <v>2.9353530000000001</v>
      </c>
      <c r="M5466" s="195">
        <v>2.9431180000000001</v>
      </c>
      <c r="N5466" s="195">
        <v>2.9570829999999999</v>
      </c>
    </row>
    <row r="5467" spans="1:14" hidden="1" x14ac:dyDescent="0.35">
      <c r="A5467" s="52" t="s">
        <v>709</v>
      </c>
      <c r="B5467" s="52" t="s">
        <v>31</v>
      </c>
      <c r="C5467" s="52" t="s">
        <v>30</v>
      </c>
      <c r="D5467" s="52" t="s">
        <v>30</v>
      </c>
      <c r="E5467" s="52" t="s">
        <v>584</v>
      </c>
      <c r="F5467" s="52" t="s">
        <v>26</v>
      </c>
      <c r="G5467" s="195" t="s">
        <v>275</v>
      </c>
      <c r="H5467" s="195">
        <v>2.584673</v>
      </c>
      <c r="I5467" s="195">
        <v>2.584673</v>
      </c>
      <c r="J5467" s="195">
        <v>2.7499280000000002</v>
      </c>
      <c r="K5467" s="195">
        <v>4.1313990000000002E-2</v>
      </c>
      <c r="L5467" s="195">
        <v>2.0656999999999998E-2</v>
      </c>
      <c r="M5467" s="195">
        <v>0</v>
      </c>
      <c r="N5467" s="195">
        <v>0</v>
      </c>
    </row>
    <row r="5468" spans="1:14" hidden="1" x14ac:dyDescent="0.35">
      <c r="A5468" s="52" t="s">
        <v>709</v>
      </c>
      <c r="B5468" s="52" t="s">
        <v>31</v>
      </c>
      <c r="C5468" s="52" t="s">
        <v>30</v>
      </c>
      <c r="D5468" s="52" t="s">
        <v>30</v>
      </c>
      <c r="E5468" s="52" t="s">
        <v>584</v>
      </c>
      <c r="F5468" s="52" t="s">
        <v>26</v>
      </c>
      <c r="G5468" s="195" t="s">
        <v>276</v>
      </c>
      <c r="H5468" s="195">
        <v>-2.791242</v>
      </c>
      <c r="I5468" s="195">
        <v>-2.791242</v>
      </c>
      <c r="J5468" s="195">
        <v>0</v>
      </c>
      <c r="K5468" s="195">
        <v>0</v>
      </c>
      <c r="L5468" s="195">
        <v>0</v>
      </c>
      <c r="M5468" s="195">
        <v>0</v>
      </c>
      <c r="N5468" s="195">
        <v>0</v>
      </c>
    </row>
    <row r="5469" spans="1:14" hidden="1" x14ac:dyDescent="0.35">
      <c r="A5469" s="52" t="s">
        <v>709</v>
      </c>
      <c r="B5469" s="52" t="s">
        <v>31</v>
      </c>
      <c r="C5469" s="52" t="s">
        <v>30</v>
      </c>
      <c r="D5469" s="52" t="s">
        <v>30</v>
      </c>
      <c r="E5469" s="52" t="s">
        <v>584</v>
      </c>
      <c r="F5469" s="52" t="s">
        <v>26</v>
      </c>
      <c r="G5469" s="195" t="s">
        <v>277</v>
      </c>
      <c r="H5469" s="195"/>
      <c r="I5469" s="195"/>
      <c r="J5469" s="195">
        <v>0</v>
      </c>
      <c r="K5469" s="195">
        <v>0</v>
      </c>
      <c r="L5469" s="195">
        <v>0</v>
      </c>
      <c r="M5469" s="195">
        <v>0</v>
      </c>
      <c r="N5469" s="195">
        <v>0</v>
      </c>
    </row>
    <row r="5470" spans="1:14" hidden="1" x14ac:dyDescent="0.35">
      <c r="A5470" s="52" t="s">
        <v>709</v>
      </c>
      <c r="B5470" s="52" t="s">
        <v>31</v>
      </c>
      <c r="C5470" s="52" t="s">
        <v>30</v>
      </c>
      <c r="D5470" s="52" t="s">
        <v>30</v>
      </c>
      <c r="E5470" s="52" t="s">
        <v>584</v>
      </c>
      <c r="F5470" s="52" t="s">
        <v>26</v>
      </c>
      <c r="G5470" s="195" t="s">
        <v>278</v>
      </c>
      <c r="H5470" s="195">
        <v>0.206569</v>
      </c>
      <c r="I5470" s="195">
        <v>0.206569</v>
      </c>
      <c r="J5470" s="195">
        <v>0</v>
      </c>
      <c r="K5470" s="195">
        <v>0</v>
      </c>
      <c r="L5470" s="195">
        <v>0</v>
      </c>
      <c r="M5470" s="195">
        <v>0</v>
      </c>
      <c r="N5470" s="195">
        <v>0</v>
      </c>
    </row>
    <row r="5471" spans="1:14" hidden="1" x14ac:dyDescent="0.35">
      <c r="A5471" s="52" t="s">
        <v>709</v>
      </c>
      <c r="B5471" s="52" t="s">
        <v>31</v>
      </c>
      <c r="C5471" s="52" t="s">
        <v>30</v>
      </c>
      <c r="D5471" s="52" t="s">
        <v>30</v>
      </c>
      <c r="E5471" s="52" t="s">
        <v>584</v>
      </c>
      <c r="F5471" s="52" t="s">
        <v>26</v>
      </c>
      <c r="G5471" s="195" t="s">
        <v>279</v>
      </c>
      <c r="H5471" s="195"/>
      <c r="I5471" s="195"/>
      <c r="J5471" s="195"/>
      <c r="K5471" s="195"/>
      <c r="L5471" s="195">
        <v>0</v>
      </c>
      <c r="M5471" s="195">
        <v>0</v>
      </c>
      <c r="N5471" s="195">
        <v>0</v>
      </c>
    </row>
    <row r="5472" spans="1:14" hidden="1" x14ac:dyDescent="0.35">
      <c r="A5472" s="52" t="s">
        <v>709</v>
      </c>
      <c r="B5472" s="52" t="s">
        <v>195</v>
      </c>
      <c r="C5472" s="52" t="s">
        <v>710</v>
      </c>
      <c r="D5472" s="52" t="s">
        <v>710</v>
      </c>
      <c r="E5472" s="52" t="s">
        <v>584</v>
      </c>
      <c r="F5472" s="52" t="s">
        <v>581</v>
      </c>
      <c r="G5472" s="195" t="s">
        <v>275</v>
      </c>
      <c r="H5472" s="195">
        <v>2.8178809999999999</v>
      </c>
      <c r="I5472" s="195">
        <v>0.33021470000000003</v>
      </c>
      <c r="J5472" s="195">
        <v>0.19463859999999999</v>
      </c>
      <c r="K5472" s="195">
        <v>0.15745439999999999</v>
      </c>
      <c r="L5472" s="195">
        <v>0.1445941</v>
      </c>
      <c r="M5472" s="195">
        <v>0.11940480000000001</v>
      </c>
      <c r="N5472" s="195">
        <v>7.3644479999999998E-2</v>
      </c>
    </row>
    <row r="5473" spans="1:14" hidden="1" x14ac:dyDescent="0.35">
      <c r="A5473" s="52" t="s">
        <v>709</v>
      </c>
      <c r="B5473" s="52" t="s">
        <v>195</v>
      </c>
      <c r="C5473" s="52" t="s">
        <v>710</v>
      </c>
      <c r="D5473" s="52" t="s">
        <v>710</v>
      </c>
      <c r="E5473" s="52" t="s">
        <v>584</v>
      </c>
      <c r="F5473" s="52" t="s">
        <v>581</v>
      </c>
      <c r="G5473" s="195" t="s">
        <v>276</v>
      </c>
      <c r="H5473" s="195">
        <v>0.61881529999999996</v>
      </c>
      <c r="I5473" s="195">
        <v>0.38961079999999998</v>
      </c>
      <c r="J5473" s="195">
        <v>0.33304309999999998</v>
      </c>
      <c r="K5473" s="195">
        <v>0.3294878</v>
      </c>
      <c r="L5473" s="195">
        <v>0.30996829999999997</v>
      </c>
      <c r="M5473" s="195">
        <v>0.27174910000000002</v>
      </c>
      <c r="N5473" s="195">
        <v>0.20233799999999999</v>
      </c>
    </row>
    <row r="5474" spans="1:14" hidden="1" x14ac:dyDescent="0.35">
      <c r="A5474" s="52" t="s">
        <v>709</v>
      </c>
      <c r="B5474" s="52" t="s">
        <v>195</v>
      </c>
      <c r="C5474" s="52" t="s">
        <v>710</v>
      </c>
      <c r="D5474" s="52" t="s">
        <v>710</v>
      </c>
      <c r="E5474" s="52" t="s">
        <v>584</v>
      </c>
      <c r="F5474" s="52" t="s">
        <v>581</v>
      </c>
      <c r="G5474" s="195" t="s">
        <v>279</v>
      </c>
      <c r="H5474" s="195">
        <v>0.74441250000000003</v>
      </c>
      <c r="I5474" s="195">
        <v>0.57887659999999996</v>
      </c>
      <c r="J5474" s="195">
        <v>0.58246180000000003</v>
      </c>
      <c r="K5474" s="195">
        <v>0.61135050000000002</v>
      </c>
      <c r="L5474" s="195">
        <v>0.57866490000000004</v>
      </c>
      <c r="M5474" s="195">
        <v>0.51467629999999998</v>
      </c>
      <c r="N5474" s="195">
        <v>0.398478</v>
      </c>
    </row>
    <row r="5475" spans="1:14" hidden="1" x14ac:dyDescent="0.35">
      <c r="A5475" s="52" t="s">
        <v>709</v>
      </c>
      <c r="B5475" s="52" t="s">
        <v>195</v>
      </c>
      <c r="C5475" s="52" t="s">
        <v>710</v>
      </c>
      <c r="D5475" s="52" t="s">
        <v>710</v>
      </c>
      <c r="E5475" s="52" t="s">
        <v>584</v>
      </c>
      <c r="F5475" s="52" t="s">
        <v>26</v>
      </c>
      <c r="G5475" s="195" t="s">
        <v>275</v>
      </c>
      <c r="H5475" s="195">
        <v>-1.2690619999999999</v>
      </c>
      <c r="I5475" s="195">
        <v>-0.33334229999999998</v>
      </c>
      <c r="J5475" s="195">
        <v>0.2197934</v>
      </c>
      <c r="K5475" s="195">
        <v>0.99624749999999995</v>
      </c>
      <c r="L5475" s="195">
        <v>2.7211609999999999</v>
      </c>
      <c r="M5475" s="195">
        <v>2.1241210000000001</v>
      </c>
      <c r="N5475" s="195">
        <v>1.1962699999999999</v>
      </c>
    </row>
    <row r="5476" spans="1:14" hidden="1" x14ac:dyDescent="0.35">
      <c r="A5476" s="52" t="s">
        <v>709</v>
      </c>
      <c r="B5476" s="52" t="s">
        <v>195</v>
      </c>
      <c r="C5476" s="52" t="s">
        <v>710</v>
      </c>
      <c r="D5476" s="52" t="s">
        <v>710</v>
      </c>
      <c r="E5476" s="52" t="s">
        <v>584</v>
      </c>
      <c r="F5476" s="52" t="s">
        <v>26</v>
      </c>
      <c r="G5476" s="195" t="s">
        <v>276</v>
      </c>
      <c r="H5476" s="195">
        <v>0.1988212</v>
      </c>
      <c r="I5476" s="195">
        <v>0.27788499999999999</v>
      </c>
      <c r="J5476" s="195">
        <v>0.52165790000000001</v>
      </c>
      <c r="K5476" s="195">
        <v>0.49622699999999997</v>
      </c>
      <c r="L5476" s="195">
        <v>0.45852349999999997</v>
      </c>
      <c r="M5476" s="195">
        <v>4.3900880000000003E-2</v>
      </c>
      <c r="N5476" s="195">
        <v>0.3189015</v>
      </c>
    </row>
    <row r="5477" spans="1:14" hidden="1" x14ac:dyDescent="0.35">
      <c r="A5477" s="52" t="s">
        <v>709</v>
      </c>
      <c r="B5477" s="52" t="s">
        <v>195</v>
      </c>
      <c r="C5477" s="52" t="s">
        <v>710</v>
      </c>
      <c r="D5477" s="52" t="s">
        <v>710</v>
      </c>
      <c r="E5477" s="52" t="s">
        <v>584</v>
      </c>
      <c r="F5477" s="52" t="s">
        <v>26</v>
      </c>
      <c r="G5477" s="195" t="s">
        <v>277</v>
      </c>
      <c r="H5477" s="195">
        <v>6.4345350000000003</v>
      </c>
      <c r="I5477" s="195">
        <v>2.2144400000000002</v>
      </c>
      <c r="J5477" s="195">
        <v>1.996059</v>
      </c>
      <c r="K5477" s="195">
        <v>2.40713</v>
      </c>
      <c r="L5477" s="195">
        <v>0.27418680000000001</v>
      </c>
      <c r="M5477" s="195">
        <v>0.28987059999999998</v>
      </c>
      <c r="N5477" s="195">
        <v>0.31680720000000001</v>
      </c>
    </row>
    <row r="5478" spans="1:14" hidden="1" x14ac:dyDescent="0.35">
      <c r="A5478" s="52" t="s">
        <v>709</v>
      </c>
      <c r="B5478" s="52" t="s">
        <v>195</v>
      </c>
      <c r="C5478" s="52" t="s">
        <v>710</v>
      </c>
      <c r="D5478" s="52" t="s">
        <v>710</v>
      </c>
      <c r="E5478" s="52" t="s">
        <v>584</v>
      </c>
      <c r="F5478" s="52" t="s">
        <v>26</v>
      </c>
      <c r="G5478" s="195" t="s">
        <v>278</v>
      </c>
      <c r="H5478" s="195">
        <v>5.1064249999999999E-2</v>
      </c>
      <c r="I5478" s="195">
        <v>2.6465879999999999</v>
      </c>
      <c r="J5478" s="195">
        <v>1.844395</v>
      </c>
      <c r="K5478" s="195">
        <v>1.484108E-2</v>
      </c>
      <c r="L5478" s="195">
        <v>1.484108E-2</v>
      </c>
      <c r="M5478" s="195">
        <v>0.37571460000000001</v>
      </c>
      <c r="N5478" s="195">
        <v>1.484108E-2</v>
      </c>
    </row>
    <row r="5479" spans="1:14" hidden="1" x14ac:dyDescent="0.35">
      <c r="A5479" s="52" t="s">
        <v>709</v>
      </c>
      <c r="B5479" s="52" t="s">
        <v>195</v>
      </c>
      <c r="C5479" s="52" t="s">
        <v>710</v>
      </c>
      <c r="D5479" s="52" t="s">
        <v>710</v>
      </c>
      <c r="E5479" s="52" t="s">
        <v>584</v>
      </c>
      <c r="F5479" s="52" t="s">
        <v>26</v>
      </c>
      <c r="G5479" s="195" t="s">
        <v>279</v>
      </c>
      <c r="H5479" s="195">
        <v>7.0879810000000001</v>
      </c>
      <c r="I5479" s="195">
        <v>5.8867190000000003</v>
      </c>
      <c r="J5479" s="195">
        <v>5.963463</v>
      </c>
      <c r="K5479" s="195">
        <v>6.2215780000000001</v>
      </c>
      <c r="L5479" s="195">
        <v>5.9549859999999999</v>
      </c>
      <c r="M5479" s="195">
        <v>5.4977080000000003</v>
      </c>
      <c r="N5479" s="195">
        <v>4.7050429999999999</v>
      </c>
    </row>
    <row r="5480" spans="1:14" hidden="1" x14ac:dyDescent="0.35">
      <c r="A5480" s="52" t="s">
        <v>709</v>
      </c>
      <c r="B5480" s="52" t="s">
        <v>195</v>
      </c>
      <c r="C5480" s="52" t="s">
        <v>194</v>
      </c>
      <c r="D5480" s="52" t="s">
        <v>194</v>
      </c>
      <c r="E5480" s="52" t="s">
        <v>584</v>
      </c>
      <c r="F5480" s="52" t="s">
        <v>26</v>
      </c>
      <c r="G5480" s="195" t="s">
        <v>275</v>
      </c>
      <c r="H5480" s="195">
        <v>-7.9069780000000003E-3</v>
      </c>
      <c r="I5480" s="195">
        <v>-7.9069780000000003E-3</v>
      </c>
      <c r="J5480" s="195">
        <v>0</v>
      </c>
      <c r="K5480" s="195">
        <v>0</v>
      </c>
      <c r="L5480" s="195">
        <v>0</v>
      </c>
      <c r="M5480" s="195">
        <v>0</v>
      </c>
      <c r="N5480" s="195">
        <v>0</v>
      </c>
    </row>
    <row r="5481" spans="1:14" hidden="1" x14ac:dyDescent="0.35">
      <c r="A5481" s="52" t="s">
        <v>709</v>
      </c>
      <c r="B5481" s="52" t="s">
        <v>195</v>
      </c>
      <c r="C5481" s="52" t="s">
        <v>194</v>
      </c>
      <c r="D5481" s="52" t="s">
        <v>194</v>
      </c>
      <c r="E5481" s="52" t="s">
        <v>584</v>
      </c>
      <c r="F5481" s="52" t="s">
        <v>26</v>
      </c>
      <c r="G5481" s="195" t="s">
        <v>276</v>
      </c>
      <c r="H5481" s="195"/>
      <c r="I5481" s="195"/>
      <c r="J5481" s="195">
        <v>-7.9069780000000003E-3</v>
      </c>
      <c r="K5481" s="195">
        <v>-7.9069780000000003E-3</v>
      </c>
      <c r="L5481" s="195">
        <v>-7.9069780000000003E-3</v>
      </c>
      <c r="M5481" s="195">
        <v>-7.9069780000000003E-3</v>
      </c>
      <c r="N5481" s="195">
        <v>-7.9069780000000003E-3</v>
      </c>
    </row>
    <row r="5482" spans="1:14" hidden="1" x14ac:dyDescent="0.35">
      <c r="A5482" s="52" t="s">
        <v>709</v>
      </c>
      <c r="B5482" s="52" t="s">
        <v>195</v>
      </c>
      <c r="C5482" s="52" t="s">
        <v>194</v>
      </c>
      <c r="D5482" s="52" t="s">
        <v>194</v>
      </c>
      <c r="E5482" s="52" t="s">
        <v>584</v>
      </c>
      <c r="F5482" s="52" t="s">
        <v>26</v>
      </c>
      <c r="G5482" s="195" t="s">
        <v>277</v>
      </c>
      <c r="H5482" s="195"/>
      <c r="I5482" s="195"/>
      <c r="J5482" s="195"/>
      <c r="K5482" s="195"/>
      <c r="L5482" s="195"/>
      <c r="M5482" s="195"/>
      <c r="N5482" s="195">
        <v>0</v>
      </c>
    </row>
    <row r="5483" spans="1:14" hidden="1" x14ac:dyDescent="0.35">
      <c r="A5483" s="52" t="s">
        <v>709</v>
      </c>
      <c r="B5483" s="52" t="s">
        <v>195</v>
      </c>
      <c r="C5483" s="52" t="s">
        <v>194</v>
      </c>
      <c r="D5483" s="52" t="s">
        <v>194</v>
      </c>
      <c r="E5483" s="52" t="s">
        <v>584</v>
      </c>
      <c r="F5483" s="52" t="s">
        <v>26</v>
      </c>
      <c r="G5483" s="195" t="s">
        <v>278</v>
      </c>
      <c r="H5483" s="195">
        <v>7.9069780000000003E-3</v>
      </c>
      <c r="I5483" s="195">
        <v>7.9069780000000003E-3</v>
      </c>
      <c r="J5483" s="195">
        <v>7.9069780000000003E-3</v>
      </c>
      <c r="K5483" s="195">
        <v>7.9069780000000003E-3</v>
      </c>
      <c r="L5483" s="195">
        <v>7.9069780000000003E-3</v>
      </c>
      <c r="M5483" s="195">
        <v>7.9069780000000003E-3</v>
      </c>
      <c r="N5483" s="195">
        <v>7.9069780000000003E-3</v>
      </c>
    </row>
    <row r="5484" spans="1:14" hidden="1" x14ac:dyDescent="0.35">
      <c r="A5484" s="52" t="s">
        <v>709</v>
      </c>
      <c r="B5484" s="52" t="s">
        <v>625</v>
      </c>
      <c r="C5484" s="52" t="s">
        <v>626</v>
      </c>
      <c r="D5484" s="52" t="s">
        <v>626</v>
      </c>
      <c r="E5484" s="52" t="s">
        <v>584</v>
      </c>
      <c r="F5484" s="52" t="s">
        <v>581</v>
      </c>
      <c r="G5484" s="195" t="s">
        <v>275</v>
      </c>
      <c r="H5484" s="195">
        <v>1.9507E-2</v>
      </c>
      <c r="I5484" s="195">
        <v>4.7803000000000003E-3</v>
      </c>
      <c r="J5484" s="195">
        <v>3.4794000000000001E-3</v>
      </c>
      <c r="K5484" s="195">
        <v>2.9068000000000002E-3</v>
      </c>
      <c r="L5484" s="195">
        <v>2.8920999999999999E-3</v>
      </c>
      <c r="M5484" s="195">
        <v>2.8127E-3</v>
      </c>
      <c r="N5484" s="195">
        <v>2.7455000000000001E-3</v>
      </c>
    </row>
    <row r="5485" spans="1:14" hidden="1" x14ac:dyDescent="0.35">
      <c r="A5485" s="52" t="s">
        <v>709</v>
      </c>
      <c r="B5485" s="52" t="s">
        <v>625</v>
      </c>
      <c r="C5485" s="52" t="s">
        <v>626</v>
      </c>
      <c r="D5485" s="52" t="s">
        <v>626</v>
      </c>
      <c r="E5485" s="52" t="s">
        <v>584</v>
      </c>
      <c r="F5485" s="52" t="s">
        <v>581</v>
      </c>
      <c r="G5485" s="195" t="s">
        <v>276</v>
      </c>
      <c r="H5485" s="195">
        <v>1.9507E-2</v>
      </c>
      <c r="I5485" s="195">
        <v>4.7799000000000001E-3</v>
      </c>
      <c r="J5485" s="195">
        <v>3.4794000000000001E-3</v>
      </c>
      <c r="K5485" s="195">
        <v>2.9068000000000002E-3</v>
      </c>
      <c r="L5485" s="195">
        <v>-1.11319E-2</v>
      </c>
      <c r="M5485" s="195">
        <v>-1.1213300000000001E-2</v>
      </c>
      <c r="N5485" s="195">
        <v>-1.1282500000000001E-2</v>
      </c>
    </row>
    <row r="5486" spans="1:14" hidden="1" x14ac:dyDescent="0.35">
      <c r="A5486" s="52" t="s">
        <v>709</v>
      </c>
      <c r="B5486" s="52" t="s">
        <v>625</v>
      </c>
      <c r="C5486" s="52" t="s">
        <v>626</v>
      </c>
      <c r="D5486" s="52" t="s">
        <v>626</v>
      </c>
      <c r="E5486" s="52" t="s">
        <v>584</v>
      </c>
      <c r="F5486" s="52" t="s">
        <v>581</v>
      </c>
      <c r="G5486" s="195" t="s">
        <v>279</v>
      </c>
      <c r="H5486" s="195">
        <v>7.2934999999999996E-3</v>
      </c>
      <c r="I5486" s="195">
        <v>6.3435009999999997E-3</v>
      </c>
      <c r="J5486" s="195">
        <v>5.522E-3</v>
      </c>
      <c r="K5486" s="195">
        <v>3.8712E-3</v>
      </c>
      <c r="L5486" s="195">
        <v>1.7782800000000001E-2</v>
      </c>
      <c r="M5486" s="195">
        <v>1.7592099999999999E-2</v>
      </c>
      <c r="N5486" s="195">
        <v>1.7424200000000001E-2</v>
      </c>
    </row>
    <row r="5487" spans="1:14" hidden="1" x14ac:dyDescent="0.35">
      <c r="A5487" s="52" t="s">
        <v>709</v>
      </c>
      <c r="B5487" s="52" t="s">
        <v>625</v>
      </c>
      <c r="C5487" s="52" t="s">
        <v>626</v>
      </c>
      <c r="D5487" s="52" t="s">
        <v>626</v>
      </c>
      <c r="E5487" s="52" t="s">
        <v>584</v>
      </c>
      <c r="F5487" s="52" t="s">
        <v>26</v>
      </c>
      <c r="G5487" s="195" t="s">
        <v>275</v>
      </c>
      <c r="H5487" s="195">
        <v>0.35304550000000001</v>
      </c>
      <c r="I5487" s="195">
        <v>-2.6838979999999998E-2</v>
      </c>
      <c r="J5487" s="195">
        <v>-6.864191E-2</v>
      </c>
      <c r="K5487" s="195">
        <v>-9.0017219999999995E-2</v>
      </c>
      <c r="L5487" s="195">
        <v>0.63062050000000003</v>
      </c>
      <c r="M5487" s="195">
        <v>0.49966240000000001</v>
      </c>
      <c r="N5487" s="195">
        <v>0.37841560000000002</v>
      </c>
    </row>
    <row r="5488" spans="1:14" hidden="1" x14ac:dyDescent="0.35">
      <c r="A5488" s="52" t="s">
        <v>709</v>
      </c>
      <c r="B5488" s="52" t="s">
        <v>625</v>
      </c>
      <c r="C5488" s="52" t="s">
        <v>626</v>
      </c>
      <c r="D5488" s="52" t="s">
        <v>626</v>
      </c>
      <c r="E5488" s="52" t="s">
        <v>584</v>
      </c>
      <c r="F5488" s="52" t="s">
        <v>26</v>
      </c>
      <c r="G5488" s="195" t="s">
        <v>276</v>
      </c>
      <c r="H5488" s="195">
        <v>-9.0201500000000004E-2</v>
      </c>
      <c r="I5488" s="195">
        <v>-0.36626950000000003</v>
      </c>
      <c r="J5488" s="195">
        <v>-0.36314239999999998</v>
      </c>
      <c r="K5488" s="195">
        <v>-3.9</v>
      </c>
      <c r="L5488" s="195">
        <v>-0.22544719999999999</v>
      </c>
      <c r="M5488" s="195">
        <v>-0.14288339999999999</v>
      </c>
      <c r="N5488" s="195">
        <v>-6.5072980000000002E-2</v>
      </c>
    </row>
    <row r="5489" spans="1:14" hidden="1" x14ac:dyDescent="0.35">
      <c r="A5489" s="52" t="s">
        <v>709</v>
      </c>
      <c r="B5489" s="52" t="s">
        <v>625</v>
      </c>
      <c r="C5489" s="52" t="s">
        <v>626</v>
      </c>
      <c r="D5489" s="52" t="s">
        <v>626</v>
      </c>
      <c r="E5489" s="52" t="s">
        <v>584</v>
      </c>
      <c r="F5489" s="52" t="s">
        <v>26</v>
      </c>
      <c r="G5489" s="195" t="s">
        <v>277</v>
      </c>
      <c r="H5489" s="195">
        <v>1.067612</v>
      </c>
      <c r="I5489" s="195">
        <v>0.99528249999999996</v>
      </c>
      <c r="J5489" s="195">
        <v>0.92858419999999997</v>
      </c>
      <c r="K5489" s="195">
        <v>1.954569</v>
      </c>
      <c r="L5489" s="195">
        <v>0</v>
      </c>
      <c r="M5489" s="195"/>
      <c r="N5489" s="195"/>
    </row>
    <row r="5490" spans="1:14" hidden="1" x14ac:dyDescent="0.35">
      <c r="A5490" s="52" t="s">
        <v>709</v>
      </c>
      <c r="B5490" s="52" t="s">
        <v>625</v>
      </c>
      <c r="C5490" s="52" t="s">
        <v>626</v>
      </c>
      <c r="D5490" s="52" t="s">
        <v>626</v>
      </c>
      <c r="E5490" s="52" t="s">
        <v>584</v>
      </c>
      <c r="F5490" s="52" t="s">
        <v>26</v>
      </c>
      <c r="G5490" s="195" t="s">
        <v>278</v>
      </c>
      <c r="H5490" s="195">
        <v>7.4427999999999994E-2</v>
      </c>
      <c r="I5490" s="195">
        <v>7.4427999999999994E-2</v>
      </c>
      <c r="J5490" s="195">
        <v>7.4427999999999994E-2</v>
      </c>
      <c r="K5490" s="195">
        <v>2.5659299999999998</v>
      </c>
      <c r="L5490" s="195">
        <v>7.4427999999999994E-2</v>
      </c>
      <c r="M5490" s="195">
        <v>7.4427999999999994E-2</v>
      </c>
      <c r="N5490" s="195">
        <v>7.4427999999999994E-2</v>
      </c>
    </row>
    <row r="5491" spans="1:14" hidden="1" x14ac:dyDescent="0.35">
      <c r="A5491" s="52" t="s">
        <v>709</v>
      </c>
      <c r="B5491" s="52" t="s">
        <v>625</v>
      </c>
      <c r="C5491" s="52" t="s">
        <v>626</v>
      </c>
      <c r="D5491" s="52" t="s">
        <v>626</v>
      </c>
      <c r="E5491" s="52" t="s">
        <v>584</v>
      </c>
      <c r="F5491" s="52" t="s">
        <v>26</v>
      </c>
      <c r="G5491" s="195" t="s">
        <v>279</v>
      </c>
      <c r="H5491" s="195">
        <v>0.23718500000000001</v>
      </c>
      <c r="I5491" s="195">
        <v>0.2157985</v>
      </c>
      <c r="J5491" s="195">
        <v>0.21228830000000001</v>
      </c>
      <c r="K5491" s="195">
        <v>0.2140628</v>
      </c>
      <c r="L5491" s="195">
        <v>0.2179807</v>
      </c>
      <c r="M5491" s="195">
        <v>0.207153</v>
      </c>
      <c r="N5491" s="195">
        <v>0.19751920000000001</v>
      </c>
    </row>
    <row r="5492" spans="1:14" hidden="1" x14ac:dyDescent="0.35">
      <c r="A5492" s="52" t="s">
        <v>709</v>
      </c>
      <c r="B5492" s="52" t="s">
        <v>625</v>
      </c>
      <c r="C5492" s="52" t="s">
        <v>822</v>
      </c>
      <c r="D5492" s="52" t="s">
        <v>822</v>
      </c>
      <c r="E5492" s="52" t="s">
        <v>584</v>
      </c>
      <c r="F5492" s="52" t="s">
        <v>26</v>
      </c>
      <c r="G5492" s="195" t="s">
        <v>275</v>
      </c>
      <c r="H5492" s="195">
        <v>-3.2143999999999999E-2</v>
      </c>
      <c r="I5492" s="195">
        <v>-3.2739999999999998E-2</v>
      </c>
      <c r="J5492" s="195">
        <v>0</v>
      </c>
      <c r="K5492" s="195">
        <v>0</v>
      </c>
      <c r="L5492" s="195">
        <v>0</v>
      </c>
      <c r="M5492" s="195">
        <v>0</v>
      </c>
      <c r="N5492" s="195">
        <v>0</v>
      </c>
    </row>
    <row r="5493" spans="1:14" hidden="1" x14ac:dyDescent="0.35">
      <c r="A5493" s="52" t="s">
        <v>709</v>
      </c>
      <c r="B5493" s="52" t="s">
        <v>625</v>
      </c>
      <c r="C5493" s="52" t="s">
        <v>822</v>
      </c>
      <c r="D5493" s="52" t="s">
        <v>822</v>
      </c>
      <c r="E5493" s="52" t="s">
        <v>584</v>
      </c>
      <c r="F5493" s="52" t="s">
        <v>26</v>
      </c>
      <c r="G5493" s="195" t="s">
        <v>276</v>
      </c>
      <c r="H5493" s="195">
        <v>-3.9287000000000002E-2</v>
      </c>
      <c r="I5493" s="195">
        <v>-3.8691999999999997E-2</v>
      </c>
      <c r="J5493" s="195">
        <v>-7.1431990000000001E-2</v>
      </c>
      <c r="K5493" s="195">
        <v>-7.1431990000000001E-2</v>
      </c>
      <c r="L5493" s="195">
        <v>-9.1740270000000006</v>
      </c>
      <c r="M5493" s="195">
        <v>-7.143091E-2</v>
      </c>
      <c r="N5493" s="195">
        <v>-0.21643100000000001</v>
      </c>
    </row>
    <row r="5494" spans="1:14" hidden="1" x14ac:dyDescent="0.35">
      <c r="A5494" s="52" t="s">
        <v>709</v>
      </c>
      <c r="B5494" s="52" t="s">
        <v>625</v>
      </c>
      <c r="C5494" s="52" t="s">
        <v>822</v>
      </c>
      <c r="D5494" s="52" t="s">
        <v>822</v>
      </c>
      <c r="E5494" s="52" t="s">
        <v>584</v>
      </c>
      <c r="F5494" s="52" t="s">
        <v>26</v>
      </c>
      <c r="G5494" s="195" t="s">
        <v>277</v>
      </c>
      <c r="H5494" s="195"/>
      <c r="I5494" s="195"/>
      <c r="J5494" s="195"/>
      <c r="K5494" s="195"/>
      <c r="L5494" s="195"/>
      <c r="M5494" s="195">
        <v>0</v>
      </c>
      <c r="N5494" s="195">
        <v>0.14499999999999999</v>
      </c>
    </row>
    <row r="5495" spans="1:14" hidden="1" x14ac:dyDescent="0.35">
      <c r="A5495" s="52" t="s">
        <v>709</v>
      </c>
      <c r="B5495" s="52" t="s">
        <v>625</v>
      </c>
      <c r="C5495" s="52" t="s">
        <v>822</v>
      </c>
      <c r="D5495" s="52" t="s">
        <v>822</v>
      </c>
      <c r="E5495" s="52" t="s">
        <v>584</v>
      </c>
      <c r="F5495" s="52" t="s">
        <v>26</v>
      </c>
      <c r="G5495" s="195" t="s">
        <v>278</v>
      </c>
      <c r="H5495" s="195">
        <v>7.1431999999999995E-2</v>
      </c>
      <c r="I5495" s="195">
        <v>7.1431999999999995E-2</v>
      </c>
      <c r="J5495" s="195">
        <v>7.1431999999999995E-2</v>
      </c>
      <c r="K5495" s="195">
        <v>7.1431999999999995E-2</v>
      </c>
      <c r="L5495" s="195">
        <v>9.1740259999999996</v>
      </c>
      <c r="M5495" s="195">
        <v>7.1431999999999995E-2</v>
      </c>
      <c r="N5495" s="195">
        <v>7.1431990000000001E-2</v>
      </c>
    </row>
    <row r="5496" spans="1:14" hidden="1" x14ac:dyDescent="0.35">
      <c r="A5496" s="52" t="s">
        <v>709</v>
      </c>
      <c r="B5496" s="52" t="s">
        <v>625</v>
      </c>
      <c r="C5496" s="52" t="s">
        <v>848</v>
      </c>
      <c r="D5496" s="52" t="s">
        <v>848</v>
      </c>
      <c r="E5496" s="52" t="s">
        <v>584</v>
      </c>
      <c r="F5496" s="52" t="s">
        <v>26</v>
      </c>
      <c r="G5496" s="195" t="s">
        <v>275</v>
      </c>
      <c r="H5496" s="195">
        <v>-3.3128999999999999E-2</v>
      </c>
      <c r="I5496" s="195">
        <v>-3.3742000000000001E-2</v>
      </c>
      <c r="J5496" s="195">
        <v>0</v>
      </c>
      <c r="K5496" s="195">
        <v>0</v>
      </c>
      <c r="L5496" s="195">
        <v>0</v>
      </c>
      <c r="M5496" s="195">
        <v>0</v>
      </c>
      <c r="N5496" s="195">
        <v>0</v>
      </c>
    </row>
    <row r="5497" spans="1:14" hidden="1" x14ac:dyDescent="0.35">
      <c r="A5497" s="52" t="s">
        <v>709</v>
      </c>
      <c r="B5497" s="52" t="s">
        <v>625</v>
      </c>
      <c r="C5497" s="52" t="s">
        <v>848</v>
      </c>
      <c r="D5497" s="52" t="s">
        <v>848</v>
      </c>
      <c r="E5497" s="52" t="s">
        <v>584</v>
      </c>
      <c r="F5497" s="52" t="s">
        <v>26</v>
      </c>
      <c r="G5497" s="195" t="s">
        <v>276</v>
      </c>
      <c r="H5497" s="195">
        <v>-4.0490999999999999E-2</v>
      </c>
      <c r="I5497" s="195">
        <v>-3.9877000000000003E-2</v>
      </c>
      <c r="J5497" s="195">
        <v>-7.362001E-2</v>
      </c>
      <c r="K5497" s="195">
        <v>-7.3619000000000004E-2</v>
      </c>
      <c r="L5497" s="195">
        <v>-10.27191</v>
      </c>
      <c r="M5497" s="195">
        <v>-7.3620889999999994E-2</v>
      </c>
      <c r="N5497" s="195">
        <v>-7.3619959999999998E-2</v>
      </c>
    </row>
    <row r="5498" spans="1:14" hidden="1" x14ac:dyDescent="0.35">
      <c r="A5498" s="52" t="s">
        <v>709</v>
      </c>
      <c r="B5498" s="52" t="s">
        <v>625</v>
      </c>
      <c r="C5498" s="52" t="s">
        <v>848</v>
      </c>
      <c r="D5498" s="52" t="s">
        <v>848</v>
      </c>
      <c r="E5498" s="52" t="s">
        <v>584</v>
      </c>
      <c r="F5498" s="52" t="s">
        <v>26</v>
      </c>
      <c r="G5498" s="195" t="s">
        <v>277</v>
      </c>
      <c r="H5498" s="195"/>
      <c r="I5498" s="195"/>
      <c r="J5498" s="195"/>
      <c r="K5498" s="195"/>
      <c r="L5498" s="195"/>
      <c r="M5498" s="195"/>
      <c r="N5498" s="195">
        <v>0</v>
      </c>
    </row>
    <row r="5499" spans="1:14" hidden="1" x14ac:dyDescent="0.35">
      <c r="A5499" s="52" t="s">
        <v>709</v>
      </c>
      <c r="B5499" s="52" t="s">
        <v>625</v>
      </c>
      <c r="C5499" s="52" t="s">
        <v>848</v>
      </c>
      <c r="D5499" s="52" t="s">
        <v>848</v>
      </c>
      <c r="E5499" s="52" t="s">
        <v>584</v>
      </c>
      <c r="F5499" s="52" t="s">
        <v>26</v>
      </c>
      <c r="G5499" s="195" t="s">
        <v>278</v>
      </c>
      <c r="H5499" s="195">
        <v>7.3620000000000005E-2</v>
      </c>
      <c r="I5499" s="195">
        <v>7.3620000000000005E-2</v>
      </c>
      <c r="J5499" s="195">
        <v>7.3620000000000005E-2</v>
      </c>
      <c r="K5499" s="195">
        <v>7.3620000000000005E-2</v>
      </c>
      <c r="L5499" s="195">
        <v>10.27191</v>
      </c>
      <c r="M5499" s="195">
        <v>7.362001E-2</v>
      </c>
      <c r="N5499" s="195">
        <v>7.3620000000000005E-2</v>
      </c>
    </row>
    <row r="5500" spans="1:14" hidden="1" x14ac:dyDescent="0.35">
      <c r="A5500" s="52" t="s">
        <v>709</v>
      </c>
      <c r="B5500" s="52" t="s">
        <v>625</v>
      </c>
      <c r="C5500" s="52" t="s">
        <v>849</v>
      </c>
      <c r="D5500" s="52" t="s">
        <v>849</v>
      </c>
      <c r="E5500" s="52" t="s">
        <v>584</v>
      </c>
      <c r="F5500" s="52" t="s">
        <v>26</v>
      </c>
      <c r="G5500" s="195" t="s">
        <v>275</v>
      </c>
      <c r="H5500" s="195">
        <v>-2.496E-2</v>
      </c>
      <c r="I5500" s="195">
        <v>-2.5422E-2</v>
      </c>
      <c r="J5500" s="195">
        <v>0</v>
      </c>
      <c r="K5500" s="195">
        <v>0</v>
      </c>
      <c r="L5500" s="195">
        <v>0</v>
      </c>
      <c r="M5500" s="195">
        <v>0</v>
      </c>
      <c r="N5500" s="195">
        <v>0</v>
      </c>
    </row>
    <row r="5501" spans="1:14" hidden="1" x14ac:dyDescent="0.35">
      <c r="A5501" s="52" t="s">
        <v>709</v>
      </c>
      <c r="B5501" s="52" t="s">
        <v>625</v>
      </c>
      <c r="C5501" s="52" t="s">
        <v>849</v>
      </c>
      <c r="D5501" s="52" t="s">
        <v>849</v>
      </c>
      <c r="E5501" s="52" t="s">
        <v>584</v>
      </c>
      <c r="F5501" s="52" t="s">
        <v>26</v>
      </c>
      <c r="G5501" s="195" t="s">
        <v>276</v>
      </c>
      <c r="H5501" s="195">
        <v>-3.0506999999999999E-2</v>
      </c>
      <c r="I5501" s="195">
        <v>-3.0044000000000001E-2</v>
      </c>
      <c r="J5501" s="195">
        <v>-5.5466000000000001E-2</v>
      </c>
      <c r="K5501" s="195">
        <v>-10.13836</v>
      </c>
      <c r="L5501" s="195">
        <v>-5.5467049999999997E-2</v>
      </c>
      <c r="M5501" s="195">
        <v>-5.5466950000000001E-2</v>
      </c>
      <c r="N5501" s="195">
        <v>-5.5467009999999997E-2</v>
      </c>
    </row>
    <row r="5502" spans="1:14" hidden="1" x14ac:dyDescent="0.35">
      <c r="A5502" s="52" t="s">
        <v>709</v>
      </c>
      <c r="B5502" s="52" t="s">
        <v>625</v>
      </c>
      <c r="C5502" s="52" t="s">
        <v>849</v>
      </c>
      <c r="D5502" s="52" t="s">
        <v>849</v>
      </c>
      <c r="E5502" s="52" t="s">
        <v>584</v>
      </c>
      <c r="F5502" s="52" t="s">
        <v>26</v>
      </c>
      <c r="G5502" s="195" t="s">
        <v>278</v>
      </c>
      <c r="H5502" s="195">
        <v>5.5467000000000002E-2</v>
      </c>
      <c r="I5502" s="195">
        <v>5.5467000000000002E-2</v>
      </c>
      <c r="J5502" s="195">
        <v>5.5467000000000002E-2</v>
      </c>
      <c r="K5502" s="195">
        <v>10.13836</v>
      </c>
      <c r="L5502" s="195">
        <v>5.5467000000000002E-2</v>
      </c>
      <c r="M5502" s="195">
        <v>5.5467000000000002E-2</v>
      </c>
      <c r="N5502" s="195">
        <v>5.5467000000000002E-2</v>
      </c>
    </row>
    <row r="5503" spans="1:14" hidden="1" x14ac:dyDescent="0.35">
      <c r="A5503" s="52" t="s">
        <v>709</v>
      </c>
      <c r="B5503" s="52" t="s">
        <v>112</v>
      </c>
      <c r="C5503" s="52" t="s">
        <v>191</v>
      </c>
      <c r="D5503" s="52" t="s">
        <v>191</v>
      </c>
      <c r="E5503" s="52" t="s">
        <v>584</v>
      </c>
      <c r="F5503" s="52" t="s">
        <v>581</v>
      </c>
      <c r="G5503" s="195" t="s">
        <v>275</v>
      </c>
      <c r="H5503" s="195">
        <v>-1.6517199999999999E-2</v>
      </c>
      <c r="I5503" s="195">
        <v>-1.6517199999999999E-2</v>
      </c>
      <c r="J5503" s="195">
        <v>1.3213600000000001E-2</v>
      </c>
      <c r="K5503" s="195">
        <v>1.1561999999999999E-2</v>
      </c>
      <c r="L5503" s="195">
        <v>9.9100000000000004E-3</v>
      </c>
      <c r="M5503" s="195">
        <v>8.2584000000000008E-3</v>
      </c>
      <c r="N5503" s="195">
        <v>6.6068000000000003E-3</v>
      </c>
    </row>
    <row r="5504" spans="1:14" hidden="1" x14ac:dyDescent="0.35">
      <c r="A5504" s="52" t="s">
        <v>709</v>
      </c>
      <c r="B5504" s="52" t="s">
        <v>112</v>
      </c>
      <c r="C5504" s="52" t="s">
        <v>191</v>
      </c>
      <c r="D5504" s="52" t="s">
        <v>191</v>
      </c>
      <c r="E5504" s="52" t="s">
        <v>584</v>
      </c>
      <c r="F5504" s="52" t="s">
        <v>581</v>
      </c>
      <c r="G5504" s="195" t="s">
        <v>276</v>
      </c>
      <c r="H5504" s="195">
        <v>-1.6517199999999999E-2</v>
      </c>
      <c r="I5504" s="195">
        <v>-1.6516800000000002E-2</v>
      </c>
      <c r="J5504" s="195">
        <v>0</v>
      </c>
      <c r="K5504" s="195">
        <v>0</v>
      </c>
      <c r="L5504" s="195">
        <v>0</v>
      </c>
      <c r="M5504" s="195">
        <v>0</v>
      </c>
      <c r="N5504" s="195">
        <v>0</v>
      </c>
    </row>
    <row r="5505" spans="1:14" hidden="1" x14ac:dyDescent="0.35">
      <c r="A5505" s="52" t="s">
        <v>709</v>
      </c>
      <c r="B5505" s="52" t="s">
        <v>112</v>
      </c>
      <c r="C5505" s="52" t="s">
        <v>191</v>
      </c>
      <c r="D5505" s="52" t="s">
        <v>191</v>
      </c>
      <c r="E5505" s="52" t="s">
        <v>584</v>
      </c>
      <c r="F5505" s="52" t="s">
        <v>581</v>
      </c>
      <c r="G5505" s="195" t="s">
        <v>278</v>
      </c>
      <c r="H5505" s="195">
        <v>3.3034000000000001E-2</v>
      </c>
      <c r="I5505" s="195">
        <v>3.3034000000000001E-2</v>
      </c>
      <c r="J5505" s="195">
        <v>0</v>
      </c>
      <c r="K5505" s="195">
        <v>0</v>
      </c>
      <c r="L5505" s="195">
        <v>0</v>
      </c>
      <c r="M5505" s="195">
        <v>0</v>
      </c>
      <c r="N5505" s="195">
        <v>0</v>
      </c>
    </row>
    <row r="5506" spans="1:14" hidden="1" x14ac:dyDescent="0.35">
      <c r="A5506" s="52" t="s">
        <v>709</v>
      </c>
      <c r="B5506" s="52" t="s">
        <v>112</v>
      </c>
      <c r="C5506" s="52" t="s">
        <v>191</v>
      </c>
      <c r="D5506" s="52" t="s">
        <v>191</v>
      </c>
      <c r="E5506" s="52" t="s">
        <v>584</v>
      </c>
      <c r="F5506" s="52" t="s">
        <v>26</v>
      </c>
      <c r="G5506" s="195" t="s">
        <v>275</v>
      </c>
      <c r="H5506" s="195">
        <v>1.2054E-2</v>
      </c>
      <c r="I5506" s="195">
        <v>1.2053599999999999E-2</v>
      </c>
      <c r="J5506" s="195">
        <v>0</v>
      </c>
      <c r="K5506" s="195">
        <v>0</v>
      </c>
      <c r="L5506" s="195">
        <v>0</v>
      </c>
      <c r="M5506" s="195">
        <v>0</v>
      </c>
      <c r="N5506" s="195">
        <v>0</v>
      </c>
    </row>
    <row r="5507" spans="1:14" hidden="1" x14ac:dyDescent="0.35">
      <c r="A5507" s="52" t="s">
        <v>709</v>
      </c>
      <c r="B5507" s="52" t="s">
        <v>112</v>
      </c>
      <c r="C5507" s="52" t="s">
        <v>191</v>
      </c>
      <c r="D5507" s="52" t="s">
        <v>191</v>
      </c>
      <c r="E5507" s="52" t="s">
        <v>584</v>
      </c>
      <c r="F5507" s="52" t="s">
        <v>26</v>
      </c>
      <c r="G5507" s="195" t="s">
        <v>276</v>
      </c>
      <c r="H5507" s="195">
        <v>-1.49908E-2</v>
      </c>
      <c r="I5507" s="195">
        <v>-1.49908E-2</v>
      </c>
      <c r="J5507" s="195">
        <v>-2.9367999999999998E-3</v>
      </c>
      <c r="K5507" s="195">
        <v>-2.9372000000000001E-3</v>
      </c>
      <c r="L5507" s="195">
        <v>-1.34368E-2</v>
      </c>
      <c r="M5507" s="195">
        <v>-1.34368E-2</v>
      </c>
      <c r="N5507" s="195">
        <v>-2.9364E-3</v>
      </c>
    </row>
    <row r="5508" spans="1:14" hidden="1" x14ac:dyDescent="0.35">
      <c r="A5508" s="52" t="s">
        <v>709</v>
      </c>
      <c r="B5508" s="52" t="s">
        <v>112</v>
      </c>
      <c r="C5508" s="52" t="s">
        <v>191</v>
      </c>
      <c r="D5508" s="52" t="s">
        <v>191</v>
      </c>
      <c r="E5508" s="52" t="s">
        <v>584</v>
      </c>
      <c r="F5508" s="52" t="s">
        <v>26</v>
      </c>
      <c r="G5508" s="195" t="s">
        <v>277</v>
      </c>
      <c r="H5508" s="195"/>
      <c r="I5508" s="195"/>
      <c r="J5508" s="195"/>
      <c r="K5508" s="195">
        <v>0</v>
      </c>
      <c r="L5508" s="195">
        <v>1.0500000000000001E-2</v>
      </c>
      <c r="M5508" s="195">
        <v>1.0500000000000001E-2</v>
      </c>
      <c r="N5508" s="195">
        <v>0</v>
      </c>
    </row>
    <row r="5509" spans="1:14" hidden="1" x14ac:dyDescent="0.35">
      <c r="A5509" s="52" t="s">
        <v>709</v>
      </c>
      <c r="B5509" s="52" t="s">
        <v>112</v>
      </c>
      <c r="C5509" s="52" t="s">
        <v>191</v>
      </c>
      <c r="D5509" s="52" t="s">
        <v>191</v>
      </c>
      <c r="E5509" s="52" t="s">
        <v>584</v>
      </c>
      <c r="F5509" s="52" t="s">
        <v>26</v>
      </c>
      <c r="G5509" s="195" t="s">
        <v>278</v>
      </c>
      <c r="H5509" s="195">
        <v>2.9367999999999998E-3</v>
      </c>
      <c r="I5509" s="195">
        <v>2.9367999999999998E-3</v>
      </c>
      <c r="J5509" s="195">
        <v>2.9367999999999998E-3</v>
      </c>
      <c r="K5509" s="195">
        <v>2.9367999999999998E-3</v>
      </c>
      <c r="L5509" s="195">
        <v>2.9367999999999998E-3</v>
      </c>
      <c r="M5509" s="195">
        <v>2.9367999999999998E-3</v>
      </c>
      <c r="N5509" s="195">
        <v>2.9367999999999998E-3</v>
      </c>
    </row>
    <row r="5510" spans="1:14" hidden="1" x14ac:dyDescent="0.35">
      <c r="A5510" s="52" t="s">
        <v>709</v>
      </c>
      <c r="B5510" s="52" t="s">
        <v>53</v>
      </c>
      <c r="C5510" s="52" t="s">
        <v>52</v>
      </c>
      <c r="D5510" s="52" t="s">
        <v>52</v>
      </c>
      <c r="E5510" s="52" t="s">
        <v>584</v>
      </c>
      <c r="F5510" s="52" t="s">
        <v>581</v>
      </c>
      <c r="G5510" s="195" t="s">
        <v>275</v>
      </c>
      <c r="H5510" s="195">
        <v>4.1654590000000002</v>
      </c>
      <c r="I5510" s="195">
        <v>3.9503940000000002</v>
      </c>
      <c r="J5510" s="195">
        <v>-3.8863120000000001E-2</v>
      </c>
      <c r="K5510" s="195">
        <v>0.36804799999999999</v>
      </c>
      <c r="L5510" s="195">
        <v>0</v>
      </c>
      <c r="M5510" s="195">
        <v>0</v>
      </c>
      <c r="N5510" s="195">
        <v>0</v>
      </c>
    </row>
    <row r="5511" spans="1:14" hidden="1" x14ac:dyDescent="0.35">
      <c r="A5511" s="52" t="s">
        <v>709</v>
      </c>
      <c r="B5511" s="52" t="s">
        <v>53</v>
      </c>
      <c r="C5511" s="52" t="s">
        <v>52</v>
      </c>
      <c r="D5511" s="52" t="s">
        <v>52</v>
      </c>
      <c r="E5511" s="52" t="s">
        <v>584</v>
      </c>
      <c r="F5511" s="52" t="s">
        <v>581</v>
      </c>
      <c r="G5511" s="195" t="s">
        <v>276</v>
      </c>
      <c r="H5511" s="195">
        <v>-15.228899999999999</v>
      </c>
      <c r="I5511" s="195">
        <v>-6.0027549999999996</v>
      </c>
      <c r="J5511" s="195">
        <v>-1.9117249999999999</v>
      </c>
      <c r="K5511" s="195">
        <v>-0.48670449999999998</v>
      </c>
      <c r="L5511" s="195">
        <v>-1.9161000000000001E-2</v>
      </c>
      <c r="M5511" s="195">
        <v>-2.19735E-2</v>
      </c>
      <c r="N5511" s="195">
        <v>-2.197325E-2</v>
      </c>
    </row>
    <row r="5512" spans="1:14" hidden="1" x14ac:dyDescent="0.35">
      <c r="A5512" s="52" t="s">
        <v>709</v>
      </c>
      <c r="B5512" s="52" t="s">
        <v>53</v>
      </c>
      <c r="C5512" s="52" t="s">
        <v>52</v>
      </c>
      <c r="D5512" s="52" t="s">
        <v>52</v>
      </c>
      <c r="E5512" s="52" t="s">
        <v>584</v>
      </c>
      <c r="F5512" s="52" t="s">
        <v>581</v>
      </c>
      <c r="G5512" s="195" t="s">
        <v>277</v>
      </c>
      <c r="H5512" s="195"/>
      <c r="I5512" s="195"/>
      <c r="J5512" s="195"/>
      <c r="K5512" s="195"/>
      <c r="L5512" s="195">
        <v>0</v>
      </c>
      <c r="M5512" s="195">
        <v>2.8124999999999999E-3</v>
      </c>
      <c r="N5512" s="195">
        <v>2.8124999999999999E-3</v>
      </c>
    </row>
    <row r="5513" spans="1:14" hidden="1" x14ac:dyDescent="0.35">
      <c r="A5513" s="52" t="s">
        <v>709</v>
      </c>
      <c r="B5513" s="52" t="s">
        <v>53</v>
      </c>
      <c r="C5513" s="52" t="s">
        <v>52</v>
      </c>
      <c r="D5513" s="52" t="s">
        <v>52</v>
      </c>
      <c r="E5513" s="52" t="s">
        <v>584</v>
      </c>
      <c r="F5513" s="52" t="s">
        <v>581</v>
      </c>
      <c r="G5513" s="195" t="s">
        <v>278</v>
      </c>
      <c r="H5513" s="195">
        <v>0.1186565</v>
      </c>
      <c r="I5513" s="195">
        <v>0.1186567</v>
      </c>
      <c r="J5513" s="195">
        <v>0.1186565</v>
      </c>
      <c r="K5513" s="195">
        <v>0.1186565</v>
      </c>
      <c r="L5513" s="195">
        <v>1.9161000000000001E-2</v>
      </c>
      <c r="M5513" s="195">
        <v>1.9161000000000001E-2</v>
      </c>
      <c r="N5513" s="195">
        <v>1.9161000000000001E-2</v>
      </c>
    </row>
    <row r="5514" spans="1:14" hidden="1" x14ac:dyDescent="0.35">
      <c r="A5514" s="52" t="s">
        <v>709</v>
      </c>
      <c r="B5514" s="52" t="s">
        <v>53</v>
      </c>
      <c r="C5514" s="52" t="s">
        <v>52</v>
      </c>
      <c r="D5514" s="52" t="s">
        <v>52</v>
      </c>
      <c r="E5514" s="52" t="s">
        <v>584</v>
      </c>
      <c r="F5514" s="52" t="s">
        <v>581</v>
      </c>
      <c r="G5514" s="195" t="s">
        <v>279</v>
      </c>
      <c r="H5514" s="195">
        <v>10.944789999999999</v>
      </c>
      <c r="I5514" s="195">
        <v>1.933705</v>
      </c>
      <c r="J5514" s="195">
        <v>1.831931</v>
      </c>
      <c r="K5514" s="195">
        <v>0</v>
      </c>
      <c r="L5514" s="195"/>
      <c r="M5514" s="195"/>
      <c r="N5514" s="195"/>
    </row>
    <row r="5515" spans="1:14" hidden="1" x14ac:dyDescent="0.35">
      <c r="A5515" s="52" t="s">
        <v>709</v>
      </c>
      <c r="B5515" s="52" t="s">
        <v>53</v>
      </c>
      <c r="C5515" s="52" t="s">
        <v>52</v>
      </c>
      <c r="D5515" s="52" t="s">
        <v>52</v>
      </c>
      <c r="E5515" s="52" t="s">
        <v>584</v>
      </c>
      <c r="F5515" s="52" t="s">
        <v>26</v>
      </c>
      <c r="G5515" s="195" t="s">
        <v>275</v>
      </c>
      <c r="H5515" s="195">
        <v>-2.6641749999999999E-2</v>
      </c>
      <c r="I5515" s="195">
        <v>-2.6641749999999999E-2</v>
      </c>
      <c r="J5515" s="195">
        <v>0</v>
      </c>
      <c r="K5515" s="195">
        <v>0</v>
      </c>
      <c r="L5515" s="195">
        <v>0</v>
      </c>
      <c r="M5515" s="195">
        <v>0</v>
      </c>
      <c r="N5515" s="195">
        <v>0</v>
      </c>
    </row>
    <row r="5516" spans="1:14" hidden="1" x14ac:dyDescent="0.35">
      <c r="A5516" s="52" t="s">
        <v>709</v>
      </c>
      <c r="B5516" s="52" t="s">
        <v>53</v>
      </c>
      <c r="C5516" s="52" t="s">
        <v>52</v>
      </c>
      <c r="D5516" s="52" t="s">
        <v>52</v>
      </c>
      <c r="E5516" s="52" t="s">
        <v>584</v>
      </c>
      <c r="F5516" s="52" t="s">
        <v>26</v>
      </c>
      <c r="G5516" s="195" t="s">
        <v>276</v>
      </c>
      <c r="H5516" s="195">
        <v>-1.1417999999999999E-2</v>
      </c>
      <c r="I5516" s="195">
        <v>-1.141825E-2</v>
      </c>
      <c r="J5516" s="195">
        <v>-3.8059500000000003E-2</v>
      </c>
      <c r="K5516" s="195">
        <v>-3.8059750000000003E-2</v>
      </c>
      <c r="L5516" s="195">
        <v>-3.8059250000000003E-2</v>
      </c>
      <c r="M5516" s="195">
        <v>-3.9753749999999997E-2</v>
      </c>
      <c r="N5516" s="195">
        <v>-3.9753499999999997E-2</v>
      </c>
    </row>
    <row r="5517" spans="1:14" hidden="1" x14ac:dyDescent="0.35">
      <c r="A5517" s="52" t="s">
        <v>709</v>
      </c>
      <c r="B5517" s="52" t="s">
        <v>53</v>
      </c>
      <c r="C5517" s="52" t="s">
        <v>52</v>
      </c>
      <c r="D5517" s="52" t="s">
        <v>52</v>
      </c>
      <c r="E5517" s="52" t="s">
        <v>584</v>
      </c>
      <c r="F5517" s="52" t="s">
        <v>26</v>
      </c>
      <c r="G5517" s="195" t="s">
        <v>277</v>
      </c>
      <c r="H5517" s="195"/>
      <c r="I5517" s="195"/>
      <c r="J5517" s="195"/>
      <c r="K5517" s="195"/>
      <c r="L5517" s="195">
        <v>0</v>
      </c>
      <c r="M5517" s="195">
        <v>1.6937499999999999E-3</v>
      </c>
      <c r="N5517" s="195">
        <v>1.6934999999999999E-3</v>
      </c>
    </row>
    <row r="5518" spans="1:14" hidden="1" x14ac:dyDescent="0.35">
      <c r="A5518" s="52" t="s">
        <v>709</v>
      </c>
      <c r="B5518" s="52" t="s">
        <v>53</v>
      </c>
      <c r="C5518" s="52" t="s">
        <v>52</v>
      </c>
      <c r="D5518" s="52" t="s">
        <v>52</v>
      </c>
      <c r="E5518" s="52" t="s">
        <v>584</v>
      </c>
      <c r="F5518" s="52" t="s">
        <v>26</v>
      </c>
      <c r="G5518" s="195" t="s">
        <v>278</v>
      </c>
      <c r="H5518" s="195">
        <v>3.8059750000000003E-2</v>
      </c>
      <c r="I5518" s="195">
        <v>3.8059750000000003E-2</v>
      </c>
      <c r="J5518" s="195">
        <v>3.8059750000000003E-2</v>
      </c>
      <c r="K5518" s="195">
        <v>3.8059750000000003E-2</v>
      </c>
      <c r="L5518" s="195">
        <v>3.8059750000000003E-2</v>
      </c>
      <c r="M5518" s="195">
        <v>3.8059750000000003E-2</v>
      </c>
      <c r="N5518" s="195">
        <v>3.8059750000000003E-2</v>
      </c>
    </row>
    <row r="5519" spans="1:14" hidden="1" x14ac:dyDescent="0.35">
      <c r="A5519" s="52" t="s">
        <v>709</v>
      </c>
      <c r="B5519" s="52" t="s">
        <v>160</v>
      </c>
      <c r="C5519" s="52" t="s">
        <v>342</v>
      </c>
      <c r="D5519" s="52" t="s">
        <v>343</v>
      </c>
      <c r="E5519" s="52" t="s">
        <v>584</v>
      </c>
      <c r="F5519" s="52" t="s">
        <v>581</v>
      </c>
      <c r="G5519" s="195" t="s">
        <v>275</v>
      </c>
      <c r="H5519" s="195">
        <v>-6.4960799999999999E-2</v>
      </c>
      <c r="I5519" s="195">
        <v>-8.6670010000000006E-3</v>
      </c>
      <c r="J5519" s="195">
        <v>0</v>
      </c>
      <c r="K5519" s="195">
        <v>0</v>
      </c>
      <c r="L5519" s="195">
        <v>0</v>
      </c>
      <c r="M5519" s="195">
        <v>0</v>
      </c>
      <c r="N5519" s="195">
        <v>0</v>
      </c>
    </row>
    <row r="5520" spans="1:14" hidden="1" x14ac:dyDescent="0.35">
      <c r="A5520" s="52" t="s">
        <v>709</v>
      </c>
      <c r="B5520" s="52" t="s">
        <v>160</v>
      </c>
      <c r="C5520" s="52" t="s">
        <v>342</v>
      </c>
      <c r="D5520" s="52" t="s">
        <v>343</v>
      </c>
      <c r="E5520" s="52" t="s">
        <v>584</v>
      </c>
      <c r="F5520" s="52" t="s">
        <v>581</v>
      </c>
      <c r="G5520" s="195" t="s">
        <v>276</v>
      </c>
      <c r="H5520" s="195">
        <v>-9.4821000000000003E-3</v>
      </c>
      <c r="I5520" s="195">
        <v>-1.0120799999999999E-2</v>
      </c>
      <c r="J5520" s="195">
        <v>-1.2765E-2</v>
      </c>
      <c r="K5520" s="195">
        <v>-1.33752E-2</v>
      </c>
      <c r="L5520" s="195">
        <v>-1.8931770000000001</v>
      </c>
      <c r="M5520" s="195">
        <v>-0.92344749999999998</v>
      </c>
      <c r="N5520" s="195">
        <v>-2.9777100000000001E-2</v>
      </c>
    </row>
    <row r="5521" spans="1:14" hidden="1" x14ac:dyDescent="0.35">
      <c r="A5521" s="52" t="s">
        <v>709</v>
      </c>
      <c r="B5521" s="52" t="s">
        <v>160</v>
      </c>
      <c r="C5521" s="52" t="s">
        <v>342</v>
      </c>
      <c r="D5521" s="52" t="s">
        <v>343</v>
      </c>
      <c r="E5521" s="52" t="s">
        <v>584</v>
      </c>
      <c r="F5521" s="52" t="s">
        <v>581</v>
      </c>
      <c r="G5521" s="195" t="s">
        <v>278</v>
      </c>
      <c r="H5521" s="195">
        <v>7.4442900000000006E-2</v>
      </c>
      <c r="I5521" s="195">
        <v>1.8788099999999999E-2</v>
      </c>
      <c r="J5521" s="195">
        <v>1.27647E-2</v>
      </c>
      <c r="K5521" s="195">
        <v>1.33752E-2</v>
      </c>
      <c r="L5521" s="195">
        <v>1.893176</v>
      </c>
      <c r="M5521" s="195">
        <v>0.92344740000000003</v>
      </c>
      <c r="N5521" s="195">
        <v>2.9777100000000001E-2</v>
      </c>
    </row>
    <row r="5522" spans="1:14" hidden="1" x14ac:dyDescent="0.35">
      <c r="A5522" s="52" t="s">
        <v>678</v>
      </c>
      <c r="B5522" s="52" t="s">
        <v>37</v>
      </c>
      <c r="C5522" s="52" t="s">
        <v>218</v>
      </c>
      <c r="D5522" s="52" t="s">
        <v>218</v>
      </c>
      <c r="E5522" s="52" t="s">
        <v>593</v>
      </c>
      <c r="F5522" s="52" t="s">
        <v>581</v>
      </c>
      <c r="G5522" s="195" t="s">
        <v>275</v>
      </c>
      <c r="H5522" s="195">
        <v>124.0223</v>
      </c>
      <c r="I5522" s="195">
        <v>166.58029999999999</v>
      </c>
      <c r="J5522" s="195">
        <v>120.78740000000001</v>
      </c>
      <c r="K5522" s="195">
        <v>196.0986</v>
      </c>
      <c r="L5522" s="195">
        <v>264.19619999999998</v>
      </c>
      <c r="M5522" s="195">
        <v>178.00239999999999</v>
      </c>
      <c r="N5522" s="195">
        <v>160.5763</v>
      </c>
    </row>
    <row r="5523" spans="1:14" hidden="1" x14ac:dyDescent="0.35">
      <c r="A5523" s="52" t="s">
        <v>678</v>
      </c>
      <c r="B5523" s="52" t="s">
        <v>37</v>
      </c>
      <c r="C5523" s="52" t="s">
        <v>218</v>
      </c>
      <c r="D5523" s="52" t="s">
        <v>218</v>
      </c>
      <c r="E5523" s="52" t="s">
        <v>593</v>
      </c>
      <c r="F5523" s="52" t="s">
        <v>581</v>
      </c>
      <c r="G5523" s="195" t="s">
        <v>276</v>
      </c>
      <c r="H5523" s="195">
        <v>65.641469999999998</v>
      </c>
      <c r="I5523" s="195">
        <v>-76.913780000000003</v>
      </c>
      <c r="J5523" s="195">
        <v>-87.206879999999998</v>
      </c>
      <c r="K5523" s="195">
        <v>-86.635850000000005</v>
      </c>
      <c r="L5523" s="195">
        <v>-46.918750000000003</v>
      </c>
      <c r="M5523" s="195">
        <v>15.910399999999999</v>
      </c>
      <c r="N5523" s="195">
        <v>10.75404</v>
      </c>
    </row>
    <row r="5524" spans="1:14" hidden="1" x14ac:dyDescent="0.35">
      <c r="A5524" s="52" t="s">
        <v>678</v>
      </c>
      <c r="B5524" s="52" t="s">
        <v>37</v>
      </c>
      <c r="C5524" s="52" t="s">
        <v>218</v>
      </c>
      <c r="D5524" s="52" t="s">
        <v>218</v>
      </c>
      <c r="E5524" s="52" t="s">
        <v>593</v>
      </c>
      <c r="F5524" s="52" t="s">
        <v>581</v>
      </c>
      <c r="G5524" s="195" t="s">
        <v>277</v>
      </c>
      <c r="H5524" s="195">
        <v>909.82510000000002</v>
      </c>
      <c r="I5524" s="195">
        <v>163.06020000000001</v>
      </c>
      <c r="J5524" s="195">
        <v>184.6985</v>
      </c>
      <c r="K5524" s="195">
        <v>148.53100000000001</v>
      </c>
      <c r="L5524" s="195">
        <v>20.0672</v>
      </c>
      <c r="M5524" s="195">
        <v>14.96031</v>
      </c>
      <c r="N5524" s="195">
        <v>9.8436199999999996</v>
      </c>
    </row>
    <row r="5525" spans="1:14" hidden="1" x14ac:dyDescent="0.35">
      <c r="A5525" s="52" t="s">
        <v>678</v>
      </c>
      <c r="B5525" s="52" t="s">
        <v>37</v>
      </c>
      <c r="C5525" s="52" t="s">
        <v>218</v>
      </c>
      <c r="D5525" s="52" t="s">
        <v>218</v>
      </c>
      <c r="E5525" s="52" t="s">
        <v>593</v>
      </c>
      <c r="F5525" s="52" t="s">
        <v>581</v>
      </c>
      <c r="G5525" s="195" t="s">
        <v>278</v>
      </c>
      <c r="H5525" s="195">
        <v>25.48011</v>
      </c>
      <c r="I5525" s="195">
        <v>24.095829999999999</v>
      </c>
      <c r="J5525" s="195">
        <v>64.023060000000001</v>
      </c>
      <c r="K5525" s="195">
        <v>43.115319999999997</v>
      </c>
      <c r="L5525" s="195">
        <v>10.01459</v>
      </c>
      <c r="M5525" s="195">
        <v>1.6934130000000001</v>
      </c>
      <c r="N5525" s="195">
        <v>2.55792E-2</v>
      </c>
    </row>
    <row r="5526" spans="1:14" hidden="1" x14ac:dyDescent="0.35">
      <c r="A5526" s="52" t="s">
        <v>678</v>
      </c>
      <c r="B5526" s="52" t="s">
        <v>37</v>
      </c>
      <c r="C5526" s="52" t="s">
        <v>218</v>
      </c>
      <c r="D5526" s="52" t="s">
        <v>218</v>
      </c>
      <c r="E5526" s="52" t="s">
        <v>593</v>
      </c>
      <c r="F5526" s="52" t="s">
        <v>581</v>
      </c>
      <c r="G5526" s="195" t="s">
        <v>279</v>
      </c>
      <c r="H5526" s="195">
        <v>324.89640000000003</v>
      </c>
      <c r="I5526" s="195">
        <v>212.28139999999999</v>
      </c>
      <c r="J5526" s="195">
        <v>256.4624</v>
      </c>
      <c r="K5526" s="195">
        <v>286.63170000000002</v>
      </c>
      <c r="L5526" s="195">
        <v>292.35230000000001</v>
      </c>
      <c r="M5526" s="195">
        <v>238.71780000000001</v>
      </c>
      <c r="N5526" s="195">
        <v>202.3023</v>
      </c>
    </row>
    <row r="5527" spans="1:14" hidden="1" x14ac:dyDescent="0.35">
      <c r="A5527" s="52" t="s">
        <v>678</v>
      </c>
      <c r="B5527" s="52" t="s">
        <v>37</v>
      </c>
      <c r="C5527" s="52" t="s">
        <v>218</v>
      </c>
      <c r="D5527" s="52" t="s">
        <v>218</v>
      </c>
      <c r="E5527" s="52" t="s">
        <v>593</v>
      </c>
      <c r="F5527" s="52" t="s">
        <v>26</v>
      </c>
      <c r="G5527" s="195" t="s">
        <v>275</v>
      </c>
      <c r="H5527" s="195">
        <v>26.980799999999999</v>
      </c>
      <c r="I5527" s="195">
        <v>32.090449999999997</v>
      </c>
      <c r="J5527" s="195">
        <v>51.572620000000001</v>
      </c>
      <c r="K5527" s="195">
        <v>50.10416</v>
      </c>
      <c r="L5527" s="195">
        <v>28.757999999999999</v>
      </c>
      <c r="M5527" s="195">
        <v>25.36242</v>
      </c>
      <c r="N5527" s="195">
        <v>22.0807</v>
      </c>
    </row>
    <row r="5528" spans="1:14" hidden="1" x14ac:dyDescent="0.35">
      <c r="A5528" s="52" t="s">
        <v>678</v>
      </c>
      <c r="B5528" s="52" t="s">
        <v>37</v>
      </c>
      <c r="C5528" s="52" t="s">
        <v>218</v>
      </c>
      <c r="D5528" s="52" t="s">
        <v>218</v>
      </c>
      <c r="E5528" s="52" t="s">
        <v>593</v>
      </c>
      <c r="F5528" s="52" t="s">
        <v>26</v>
      </c>
      <c r="G5528" s="195" t="s">
        <v>276</v>
      </c>
      <c r="H5528" s="195">
        <v>7.1721120000000003</v>
      </c>
      <c r="I5528" s="195">
        <v>8.5303730000000009</v>
      </c>
      <c r="J5528" s="195">
        <v>13.70917</v>
      </c>
      <c r="K5528" s="195">
        <v>13.318820000000001</v>
      </c>
      <c r="L5528" s="195">
        <v>7.6445239999999997</v>
      </c>
      <c r="M5528" s="195">
        <v>6.7419130000000003</v>
      </c>
      <c r="N5528" s="195">
        <v>5.8695579999999996</v>
      </c>
    </row>
    <row r="5529" spans="1:14" hidden="1" x14ac:dyDescent="0.35">
      <c r="A5529" s="52" t="s">
        <v>678</v>
      </c>
      <c r="B5529" s="52" t="s">
        <v>37</v>
      </c>
      <c r="C5529" s="52" t="s">
        <v>218</v>
      </c>
      <c r="D5529" s="52" t="s">
        <v>218</v>
      </c>
      <c r="E5529" s="52" t="s">
        <v>593</v>
      </c>
      <c r="F5529" s="52" t="s">
        <v>26</v>
      </c>
      <c r="G5529" s="195" t="s">
        <v>279</v>
      </c>
      <c r="H5529" s="195">
        <v>183.69399999999999</v>
      </c>
      <c r="I5529" s="195">
        <v>145.59280000000001</v>
      </c>
      <c r="J5529" s="195">
        <v>190.08439999999999</v>
      </c>
      <c r="K5529" s="195">
        <v>217.98740000000001</v>
      </c>
      <c r="L5529" s="195">
        <v>221.85839999999999</v>
      </c>
      <c r="M5529" s="195">
        <v>181.0077</v>
      </c>
      <c r="N5529" s="195">
        <v>152.88900000000001</v>
      </c>
    </row>
    <row r="5530" spans="1:14" hidden="1" x14ac:dyDescent="0.35">
      <c r="A5530" s="52" t="s">
        <v>678</v>
      </c>
      <c r="B5530" s="52" t="s">
        <v>37</v>
      </c>
      <c r="C5530" s="52" t="s">
        <v>218</v>
      </c>
      <c r="D5530" s="52" t="s">
        <v>218</v>
      </c>
      <c r="E5530" s="52" t="s">
        <v>584</v>
      </c>
      <c r="F5530" s="52" t="s">
        <v>581</v>
      </c>
      <c r="G5530" s="195" t="s">
        <v>275</v>
      </c>
      <c r="H5530" s="195">
        <v>9.9038789999999999</v>
      </c>
      <c r="I5530" s="195">
        <v>0.76286779999999998</v>
      </c>
      <c r="J5530" s="195">
        <v>3.4672749999999999</v>
      </c>
      <c r="K5530" s="195">
        <v>2.328182</v>
      </c>
      <c r="L5530" s="195">
        <v>1.7753639999999999</v>
      </c>
      <c r="M5530" s="195">
        <v>1.331447</v>
      </c>
      <c r="N5530" s="195">
        <v>0.83464179999999999</v>
      </c>
    </row>
    <row r="5531" spans="1:14" hidden="1" x14ac:dyDescent="0.35">
      <c r="A5531" s="52" t="s">
        <v>678</v>
      </c>
      <c r="B5531" s="52" t="s">
        <v>37</v>
      </c>
      <c r="C5531" s="52" t="s">
        <v>218</v>
      </c>
      <c r="D5531" s="52" t="s">
        <v>218</v>
      </c>
      <c r="E5531" s="52" t="s">
        <v>584</v>
      </c>
      <c r="F5531" s="52" t="s">
        <v>581</v>
      </c>
      <c r="G5531" s="195" t="s">
        <v>276</v>
      </c>
      <c r="H5531" s="195">
        <v>2.749044</v>
      </c>
      <c r="I5531" s="195">
        <v>-0.20986579999999999</v>
      </c>
      <c r="J5531" s="195">
        <v>-0.77300539999999995</v>
      </c>
      <c r="K5531" s="195">
        <v>-0.22373199999999999</v>
      </c>
      <c r="L5531" s="195">
        <v>-0.19540199999999999</v>
      </c>
      <c r="M5531" s="195">
        <v>-3.70056E-2</v>
      </c>
      <c r="N5531" s="195">
        <v>0.2218658</v>
      </c>
    </row>
    <row r="5532" spans="1:14" hidden="1" x14ac:dyDescent="0.35">
      <c r="A5532" s="52" t="s">
        <v>678</v>
      </c>
      <c r="B5532" s="52" t="s">
        <v>37</v>
      </c>
      <c r="C5532" s="52" t="s">
        <v>218</v>
      </c>
      <c r="D5532" s="52" t="s">
        <v>218</v>
      </c>
      <c r="E5532" s="52" t="s">
        <v>584</v>
      </c>
      <c r="F5532" s="52" t="s">
        <v>581</v>
      </c>
      <c r="G5532" s="195" t="s">
        <v>277</v>
      </c>
      <c r="H5532" s="195">
        <v>5.2313999999999998</v>
      </c>
      <c r="I5532" s="195">
        <v>3.5904690000000001</v>
      </c>
      <c r="J5532" s="195">
        <v>0</v>
      </c>
      <c r="K5532" s="195"/>
      <c r="L5532" s="195"/>
      <c r="M5532" s="195"/>
      <c r="N5532" s="195"/>
    </row>
    <row r="5533" spans="1:14" hidden="1" x14ac:dyDescent="0.35">
      <c r="A5533" s="52" t="s">
        <v>678</v>
      </c>
      <c r="B5533" s="52" t="s">
        <v>37</v>
      </c>
      <c r="C5533" s="52" t="s">
        <v>218</v>
      </c>
      <c r="D5533" s="52" t="s">
        <v>218</v>
      </c>
      <c r="E5533" s="52" t="s">
        <v>584</v>
      </c>
      <c r="F5533" s="52" t="s">
        <v>581</v>
      </c>
      <c r="G5533" s="195" t="s">
        <v>279</v>
      </c>
      <c r="H5533" s="195">
        <v>4.5941099999999997</v>
      </c>
      <c r="I5533" s="195">
        <v>2.6489440000000002</v>
      </c>
      <c r="J5533" s="195">
        <v>2.1262099999999999</v>
      </c>
      <c r="K5533" s="195">
        <v>1.925837</v>
      </c>
      <c r="L5533" s="195">
        <v>1.811742</v>
      </c>
      <c r="M5533" s="195">
        <v>1.581861</v>
      </c>
      <c r="N5533" s="195">
        <v>1.3951530000000001</v>
      </c>
    </row>
    <row r="5534" spans="1:14" hidden="1" x14ac:dyDescent="0.35">
      <c r="A5534" s="52" t="s">
        <v>678</v>
      </c>
      <c r="B5534" s="52" t="s">
        <v>37</v>
      </c>
      <c r="C5534" s="52" t="s">
        <v>218</v>
      </c>
      <c r="D5534" s="52" t="s">
        <v>218</v>
      </c>
      <c r="E5534" s="52" t="s">
        <v>584</v>
      </c>
      <c r="F5534" s="52" t="s">
        <v>26</v>
      </c>
      <c r="G5534" s="195" t="s">
        <v>275</v>
      </c>
      <c r="H5534" s="195">
        <v>0.96523709999999996</v>
      </c>
      <c r="I5534" s="195">
        <v>0.74257359999999994</v>
      </c>
      <c r="J5534" s="195">
        <v>-2.2381060000000002</v>
      </c>
      <c r="K5534" s="195">
        <v>-1.960672</v>
      </c>
      <c r="L5534" s="195">
        <v>-1.6886840000000001</v>
      </c>
      <c r="M5534" s="195">
        <v>-1.374401</v>
      </c>
      <c r="N5534" s="195">
        <v>-0.90030849999999996</v>
      </c>
    </row>
    <row r="5535" spans="1:14" hidden="1" x14ac:dyDescent="0.35">
      <c r="A5535" s="52" t="s">
        <v>678</v>
      </c>
      <c r="B5535" s="52" t="s">
        <v>37</v>
      </c>
      <c r="C5535" s="52" t="s">
        <v>218</v>
      </c>
      <c r="D5535" s="52" t="s">
        <v>218</v>
      </c>
      <c r="E5535" s="52" t="s">
        <v>584</v>
      </c>
      <c r="F5535" s="52" t="s">
        <v>26</v>
      </c>
      <c r="G5535" s="195" t="s">
        <v>276</v>
      </c>
      <c r="H5535" s="195">
        <v>0.129328</v>
      </c>
      <c r="I5535" s="195">
        <v>0.15656200000000001</v>
      </c>
      <c r="J5535" s="195">
        <v>-5.5279210000000002E-2</v>
      </c>
      <c r="K5535" s="195">
        <v>-5.3685999999999998E-2</v>
      </c>
      <c r="L5535" s="195">
        <v>-0.15323600000000001</v>
      </c>
      <c r="M5535" s="195">
        <v>-0.1935046</v>
      </c>
      <c r="N5535" s="195">
        <v>-0.44363780000000003</v>
      </c>
    </row>
    <row r="5536" spans="1:14" hidden="1" x14ac:dyDescent="0.35">
      <c r="A5536" s="52" t="s">
        <v>678</v>
      </c>
      <c r="B5536" s="52" t="s">
        <v>37</v>
      </c>
      <c r="C5536" s="52" t="s">
        <v>218</v>
      </c>
      <c r="D5536" s="52" t="s">
        <v>218</v>
      </c>
      <c r="E5536" s="52" t="s">
        <v>584</v>
      </c>
      <c r="F5536" s="52" t="s">
        <v>26</v>
      </c>
      <c r="G5536" s="195" t="s">
        <v>277</v>
      </c>
      <c r="H5536" s="195"/>
      <c r="I5536" s="195">
        <v>0</v>
      </c>
      <c r="J5536" s="195">
        <v>3.305688</v>
      </c>
      <c r="K5536" s="195">
        <v>2.8595280000000001</v>
      </c>
      <c r="L5536" s="195">
        <v>2.4910939999999999</v>
      </c>
      <c r="M5536" s="195">
        <v>2.1869399999999999</v>
      </c>
      <c r="N5536" s="195">
        <v>1.9337279999999999</v>
      </c>
    </row>
    <row r="5537" spans="1:14" hidden="1" x14ac:dyDescent="0.35">
      <c r="A5537" s="52" t="s">
        <v>678</v>
      </c>
      <c r="B5537" s="52" t="s">
        <v>37</v>
      </c>
      <c r="C5537" s="52" t="s">
        <v>218</v>
      </c>
      <c r="D5537" s="52" t="s">
        <v>218</v>
      </c>
      <c r="E5537" s="52" t="s">
        <v>584</v>
      </c>
      <c r="F5537" s="52" t="s">
        <v>26</v>
      </c>
      <c r="G5537" s="195" t="s">
        <v>279</v>
      </c>
      <c r="H5537" s="195">
        <v>2.53382</v>
      </c>
      <c r="I5537" s="195">
        <v>2.10568</v>
      </c>
      <c r="J5537" s="195">
        <v>1.989317</v>
      </c>
      <c r="K5537" s="195">
        <v>1.9766079999999999</v>
      </c>
      <c r="L5537" s="195">
        <v>1.9977720000000001</v>
      </c>
      <c r="M5537" s="195">
        <v>1.8645529999999999</v>
      </c>
      <c r="N5537" s="195">
        <v>1.744192</v>
      </c>
    </row>
    <row r="5538" spans="1:14" hidden="1" x14ac:dyDescent="0.35">
      <c r="A5538" s="52" t="s">
        <v>678</v>
      </c>
      <c r="B5538" s="52" t="s">
        <v>37</v>
      </c>
      <c r="C5538" s="52" t="s">
        <v>218</v>
      </c>
      <c r="D5538" s="52" t="s">
        <v>218</v>
      </c>
      <c r="E5538" s="52" t="s">
        <v>594</v>
      </c>
      <c r="F5538" s="52" t="s">
        <v>581</v>
      </c>
      <c r="G5538" s="195" t="s">
        <v>275</v>
      </c>
      <c r="H5538" s="195">
        <v>1.6826209999999999</v>
      </c>
      <c r="I5538" s="195">
        <v>0.651088</v>
      </c>
      <c r="J5538" s="195">
        <v>0.53463300000000002</v>
      </c>
      <c r="K5538" s="195">
        <v>0.19521160000000001</v>
      </c>
      <c r="L5538" s="195">
        <v>-0.87921519999999997</v>
      </c>
      <c r="M5538" s="195">
        <v>0.3109364</v>
      </c>
      <c r="N5538" s="195">
        <v>0.21830040000000001</v>
      </c>
    </row>
    <row r="5539" spans="1:14" hidden="1" x14ac:dyDescent="0.35">
      <c r="A5539" s="52" t="s">
        <v>678</v>
      </c>
      <c r="B5539" s="52" t="s">
        <v>37</v>
      </c>
      <c r="C5539" s="52" t="s">
        <v>218</v>
      </c>
      <c r="D5539" s="52" t="s">
        <v>218</v>
      </c>
      <c r="E5539" s="52" t="s">
        <v>594</v>
      </c>
      <c r="F5539" s="52" t="s">
        <v>581</v>
      </c>
      <c r="G5539" s="195" t="s">
        <v>276</v>
      </c>
      <c r="H5539" s="195">
        <v>-1.6826209999999999</v>
      </c>
      <c r="I5539" s="195">
        <v>-0.651088</v>
      </c>
      <c r="J5539" s="195">
        <v>0</v>
      </c>
      <c r="K5539" s="195">
        <v>-7.9565999999999994E-3</v>
      </c>
      <c r="L5539" s="195">
        <v>1.4742E-2</v>
      </c>
      <c r="M5539" s="195">
        <v>7.4819990000000005E-4</v>
      </c>
      <c r="N5539" s="195">
        <v>-7.4958000000000004E-3</v>
      </c>
    </row>
    <row r="5540" spans="1:14" hidden="1" x14ac:dyDescent="0.35">
      <c r="A5540" s="52" t="s">
        <v>678</v>
      </c>
      <c r="B5540" s="52" t="s">
        <v>37</v>
      </c>
      <c r="C5540" s="52" t="s">
        <v>218</v>
      </c>
      <c r="D5540" s="52" t="s">
        <v>218</v>
      </c>
      <c r="E5540" s="52" t="s">
        <v>594</v>
      </c>
      <c r="F5540" s="52" t="s">
        <v>581</v>
      </c>
      <c r="G5540" s="195" t="s">
        <v>277</v>
      </c>
      <c r="H5540" s="195">
        <v>0</v>
      </c>
      <c r="I5540" s="195"/>
      <c r="J5540" s="195">
        <v>0</v>
      </c>
      <c r="K5540" s="195">
        <v>0.23806279999999999</v>
      </c>
      <c r="L5540" s="195">
        <v>0.42598269999999999</v>
      </c>
      <c r="M5540" s="195">
        <v>0</v>
      </c>
      <c r="N5540" s="195">
        <v>0</v>
      </c>
    </row>
    <row r="5541" spans="1:14" hidden="1" x14ac:dyDescent="0.35">
      <c r="A5541" s="52" t="s">
        <v>678</v>
      </c>
      <c r="B5541" s="52" t="s">
        <v>37</v>
      </c>
      <c r="C5541" s="52" t="s">
        <v>218</v>
      </c>
      <c r="D5541" s="52" t="s">
        <v>218</v>
      </c>
      <c r="E5541" s="52" t="s">
        <v>594</v>
      </c>
      <c r="F5541" s="52" t="s">
        <v>581</v>
      </c>
      <c r="G5541" s="195" t="s">
        <v>278</v>
      </c>
      <c r="H5541" s="195"/>
      <c r="I5541" s="195"/>
      <c r="J5541" s="195">
        <v>0</v>
      </c>
      <c r="K5541" s="195">
        <v>0.51936579999999999</v>
      </c>
      <c r="L5541" s="195">
        <v>0.89384529999999995</v>
      </c>
      <c r="M5541" s="195">
        <v>0</v>
      </c>
      <c r="N5541" s="195">
        <v>0</v>
      </c>
    </row>
    <row r="5542" spans="1:14" hidden="1" x14ac:dyDescent="0.35">
      <c r="A5542" s="52" t="s">
        <v>678</v>
      </c>
      <c r="B5542" s="52" t="s">
        <v>37</v>
      </c>
      <c r="C5542" s="52" t="s">
        <v>218</v>
      </c>
      <c r="D5542" s="52" t="s">
        <v>218</v>
      </c>
      <c r="E5542" s="52" t="s">
        <v>594</v>
      </c>
      <c r="F5542" s="52" t="s">
        <v>581</v>
      </c>
      <c r="G5542" s="195" t="s">
        <v>279</v>
      </c>
      <c r="H5542" s="195"/>
      <c r="I5542" s="195"/>
      <c r="J5542" s="195">
        <v>0</v>
      </c>
      <c r="K5542" s="195">
        <v>6.5520800000000004E-2</v>
      </c>
      <c r="L5542" s="195">
        <v>0.30369639999999998</v>
      </c>
      <c r="M5542" s="195">
        <v>0.20383000000000001</v>
      </c>
      <c r="N5542" s="195">
        <v>0.1376868</v>
      </c>
    </row>
    <row r="5543" spans="1:14" hidden="1" x14ac:dyDescent="0.35">
      <c r="A5543" s="52" t="s">
        <v>678</v>
      </c>
      <c r="B5543" s="52" t="s">
        <v>37</v>
      </c>
      <c r="C5543" s="52" t="s">
        <v>218</v>
      </c>
      <c r="D5543" s="52" t="s">
        <v>218</v>
      </c>
      <c r="E5543" s="52" t="s">
        <v>594</v>
      </c>
      <c r="F5543" s="52" t="s">
        <v>26</v>
      </c>
      <c r="G5543" s="195" t="s">
        <v>275</v>
      </c>
      <c r="H5543" s="195"/>
      <c r="I5543" s="195"/>
      <c r="J5543" s="195">
        <v>0</v>
      </c>
      <c r="K5543" s="195">
        <v>3.4277999999999999E-3</v>
      </c>
      <c r="L5543" s="195">
        <v>1.1491599999999999E-2</v>
      </c>
      <c r="M5543" s="195">
        <v>7.9813999999999996E-3</v>
      </c>
      <c r="N5543" s="195">
        <v>5.4102000000000004E-3</v>
      </c>
    </row>
    <row r="5544" spans="1:14" hidden="1" x14ac:dyDescent="0.35">
      <c r="A5544" s="52" t="s">
        <v>678</v>
      </c>
      <c r="B5544" s="52" t="s">
        <v>37</v>
      </c>
      <c r="C5544" s="52" t="s">
        <v>218</v>
      </c>
      <c r="D5544" s="52" t="s">
        <v>218</v>
      </c>
      <c r="E5544" s="52" t="s">
        <v>594</v>
      </c>
      <c r="F5544" s="52" t="s">
        <v>26</v>
      </c>
      <c r="G5544" s="195" t="s">
        <v>276</v>
      </c>
      <c r="H5544" s="195"/>
      <c r="I5544" s="195"/>
      <c r="J5544" s="195">
        <v>0</v>
      </c>
      <c r="K5544" s="195">
        <v>9.1039989999999998E-4</v>
      </c>
      <c r="L5544" s="195">
        <v>3.0544000000000001E-3</v>
      </c>
      <c r="M5544" s="195">
        <v>2.1220000000000002E-3</v>
      </c>
      <c r="N5544" s="195">
        <v>1.4377999999999999E-3</v>
      </c>
    </row>
    <row r="5545" spans="1:14" hidden="1" x14ac:dyDescent="0.35">
      <c r="A5545" s="52" t="s">
        <v>678</v>
      </c>
      <c r="B5545" s="52" t="s">
        <v>37</v>
      </c>
      <c r="C5545" s="52" t="s">
        <v>218</v>
      </c>
      <c r="D5545" s="52" t="s">
        <v>218</v>
      </c>
      <c r="E5545" s="52" t="s">
        <v>594</v>
      </c>
      <c r="F5545" s="52" t="s">
        <v>26</v>
      </c>
      <c r="G5545" s="195" t="s">
        <v>279</v>
      </c>
      <c r="H5545" s="195"/>
      <c r="I5545" s="195"/>
      <c r="J5545" s="195">
        <v>0</v>
      </c>
      <c r="K5545" s="195">
        <v>7.2063989999999996E-3</v>
      </c>
      <c r="L5545" s="195">
        <v>3.3519599999999997E-2</v>
      </c>
      <c r="M5545" s="195">
        <v>2.2493800000000001E-2</v>
      </c>
      <c r="N5545" s="195">
        <v>1.5196400000000001E-2</v>
      </c>
    </row>
    <row r="5546" spans="1:14" hidden="1" x14ac:dyDescent="0.35">
      <c r="A5546" s="52" t="s">
        <v>678</v>
      </c>
      <c r="B5546" s="52" t="s">
        <v>37</v>
      </c>
      <c r="C5546" s="52" t="s">
        <v>35</v>
      </c>
      <c r="D5546" s="52" t="s">
        <v>164</v>
      </c>
      <c r="E5546" s="52" t="s">
        <v>580</v>
      </c>
      <c r="F5546" s="52" t="s">
        <v>581</v>
      </c>
      <c r="G5546" s="195" t="s">
        <v>275</v>
      </c>
      <c r="H5546" s="195">
        <v>-80.289919999999995</v>
      </c>
      <c r="I5546" s="195">
        <v>25.487839999999998</v>
      </c>
      <c r="J5546" s="195">
        <v>51.185279999999999</v>
      </c>
      <c r="K5546" s="195">
        <v>43.314700000000002</v>
      </c>
      <c r="L5546" s="195">
        <v>33.189079999999997</v>
      </c>
      <c r="M5546" s="195">
        <v>13.4694</v>
      </c>
      <c r="N5546" s="195">
        <v>9.7110420000000008</v>
      </c>
    </row>
    <row r="5547" spans="1:14" hidden="1" x14ac:dyDescent="0.35">
      <c r="A5547" s="52" t="s">
        <v>678</v>
      </c>
      <c r="B5547" s="52" t="s">
        <v>37</v>
      </c>
      <c r="C5547" s="52" t="s">
        <v>35</v>
      </c>
      <c r="D5547" s="52" t="s">
        <v>164</v>
      </c>
      <c r="E5547" s="52" t="s">
        <v>580</v>
      </c>
      <c r="F5547" s="52" t="s">
        <v>581</v>
      </c>
      <c r="G5547" s="195" t="s">
        <v>276</v>
      </c>
      <c r="H5547" s="195">
        <v>2.5995330000000001</v>
      </c>
      <c r="I5547" s="195">
        <v>-23.565670000000001</v>
      </c>
      <c r="J5547" s="195">
        <v>-35.927700000000002</v>
      </c>
      <c r="K5547" s="195">
        <v>-30.406739999999999</v>
      </c>
      <c r="L5547" s="195">
        <v>-23.211379999999998</v>
      </c>
      <c r="M5547" s="195">
        <v>-1.009857</v>
      </c>
      <c r="N5547" s="195">
        <v>0.96032070000000003</v>
      </c>
    </row>
    <row r="5548" spans="1:14" hidden="1" x14ac:dyDescent="0.35">
      <c r="A5548" s="52" t="s">
        <v>678</v>
      </c>
      <c r="B5548" s="52" t="s">
        <v>37</v>
      </c>
      <c r="C5548" s="52" t="s">
        <v>35</v>
      </c>
      <c r="D5548" s="52" t="s">
        <v>164</v>
      </c>
      <c r="E5548" s="52" t="s">
        <v>580</v>
      </c>
      <c r="F5548" s="52" t="s">
        <v>581</v>
      </c>
      <c r="G5548" s="195" t="s">
        <v>277</v>
      </c>
      <c r="H5548" s="195">
        <v>276.24509999999998</v>
      </c>
      <c r="I5548" s="195">
        <v>30.439550000000001</v>
      </c>
      <c r="J5548" s="195">
        <v>2.151796</v>
      </c>
      <c r="K5548" s="195">
        <v>1.242021</v>
      </c>
      <c r="L5548" s="195">
        <v>0.63006689999999999</v>
      </c>
      <c r="M5548" s="195">
        <v>0</v>
      </c>
      <c r="N5548" s="195">
        <v>0</v>
      </c>
    </row>
    <row r="5549" spans="1:14" hidden="1" x14ac:dyDescent="0.35">
      <c r="A5549" s="52" t="s">
        <v>678</v>
      </c>
      <c r="B5549" s="52" t="s">
        <v>37</v>
      </c>
      <c r="C5549" s="52" t="s">
        <v>35</v>
      </c>
      <c r="D5549" s="52" t="s">
        <v>164</v>
      </c>
      <c r="E5549" s="52" t="s">
        <v>580</v>
      </c>
      <c r="F5549" s="52" t="s">
        <v>581</v>
      </c>
      <c r="G5549" s="195" t="s">
        <v>278</v>
      </c>
      <c r="H5549" s="195">
        <v>9.7548940000000002</v>
      </c>
      <c r="I5549" s="195">
        <v>4.1566710000000002</v>
      </c>
      <c r="J5549" s="195">
        <v>8.8961229999999993</v>
      </c>
      <c r="K5549" s="195">
        <v>9.0555249999999994</v>
      </c>
      <c r="L5549" s="195">
        <v>3.422339</v>
      </c>
      <c r="M5549" s="195">
        <v>0</v>
      </c>
      <c r="N5549" s="195">
        <v>0</v>
      </c>
    </row>
    <row r="5550" spans="1:14" hidden="1" x14ac:dyDescent="0.35">
      <c r="A5550" s="52" t="s">
        <v>678</v>
      </c>
      <c r="B5550" s="52" t="s">
        <v>37</v>
      </c>
      <c r="C5550" s="52" t="s">
        <v>35</v>
      </c>
      <c r="D5550" s="52" t="s">
        <v>164</v>
      </c>
      <c r="E5550" s="52" t="s">
        <v>580</v>
      </c>
      <c r="F5550" s="52" t="s">
        <v>581</v>
      </c>
      <c r="G5550" s="195" t="s">
        <v>279</v>
      </c>
      <c r="H5550" s="195">
        <v>98.469250000000002</v>
      </c>
      <c r="I5550" s="195">
        <v>71.601960000000005</v>
      </c>
      <c r="J5550" s="195">
        <v>66.671360000000007</v>
      </c>
      <c r="K5550" s="195">
        <v>61.400440000000003</v>
      </c>
      <c r="L5550" s="195">
        <v>59.604610000000001</v>
      </c>
      <c r="M5550" s="195">
        <v>49.934150000000002</v>
      </c>
      <c r="N5550" s="195">
        <v>42.776800000000001</v>
      </c>
    </row>
    <row r="5551" spans="1:14" hidden="1" x14ac:dyDescent="0.35">
      <c r="A5551" s="52" t="s">
        <v>678</v>
      </c>
      <c r="B5551" s="52" t="s">
        <v>37</v>
      </c>
      <c r="C5551" s="52" t="s">
        <v>35</v>
      </c>
      <c r="D5551" s="52" t="s">
        <v>164</v>
      </c>
      <c r="E5551" s="52" t="s">
        <v>580</v>
      </c>
      <c r="F5551" s="52" t="s">
        <v>26</v>
      </c>
      <c r="G5551" s="195" t="s">
        <v>275</v>
      </c>
      <c r="H5551" s="195">
        <v>-28.049759999999999</v>
      </c>
      <c r="I5551" s="195">
        <v>-25.251729999999998</v>
      </c>
      <c r="J5551" s="195">
        <v>-23.526479999999999</v>
      </c>
      <c r="K5551" s="195">
        <v>-22.17728</v>
      </c>
      <c r="L5551" s="195">
        <v>-22.25798</v>
      </c>
      <c r="M5551" s="195">
        <v>-18.628900000000002</v>
      </c>
      <c r="N5551" s="195">
        <v>-15.95543</v>
      </c>
    </row>
    <row r="5552" spans="1:14" hidden="1" x14ac:dyDescent="0.35">
      <c r="A5552" s="52" t="s">
        <v>678</v>
      </c>
      <c r="B5552" s="52" t="s">
        <v>37</v>
      </c>
      <c r="C5552" s="52" t="s">
        <v>35</v>
      </c>
      <c r="D5552" s="52" t="s">
        <v>164</v>
      </c>
      <c r="E5552" s="52" t="s">
        <v>580</v>
      </c>
      <c r="F5552" s="52" t="s">
        <v>26</v>
      </c>
      <c r="G5552" s="195" t="s">
        <v>276</v>
      </c>
      <c r="H5552" s="195">
        <v>-7.4562619999999997</v>
      </c>
      <c r="I5552" s="195">
        <v>-6.7124879999999996</v>
      </c>
      <c r="J5552" s="195">
        <v>-6.2538720000000003</v>
      </c>
      <c r="K5552" s="195">
        <v>-5.8952229999999997</v>
      </c>
      <c r="L5552" s="195">
        <v>-5.9166790000000002</v>
      </c>
      <c r="M5552" s="195">
        <v>-4.9519859999999998</v>
      </c>
      <c r="N5552" s="195">
        <v>-4.2413169999999996</v>
      </c>
    </row>
    <row r="5553" spans="1:14" hidden="1" x14ac:dyDescent="0.35">
      <c r="A5553" s="52" t="s">
        <v>678</v>
      </c>
      <c r="B5553" s="52" t="s">
        <v>37</v>
      </c>
      <c r="C5553" s="52" t="s">
        <v>35</v>
      </c>
      <c r="D5553" s="52" t="s">
        <v>164</v>
      </c>
      <c r="E5553" s="52" t="s">
        <v>580</v>
      </c>
      <c r="F5553" s="52" t="s">
        <v>26</v>
      </c>
      <c r="G5553" s="195" t="s">
        <v>279</v>
      </c>
      <c r="H5553" s="195">
        <v>49.279969999999999</v>
      </c>
      <c r="I5553" s="195">
        <v>42.358780000000003</v>
      </c>
      <c r="J5553" s="195">
        <v>40.186819999999997</v>
      </c>
      <c r="K5553" s="195">
        <v>37.485889999999998</v>
      </c>
      <c r="L5553" s="195">
        <v>36.329250000000002</v>
      </c>
      <c r="M5553" s="195">
        <v>30.484729999999999</v>
      </c>
      <c r="N5553" s="195">
        <v>26.116910000000001</v>
      </c>
    </row>
    <row r="5554" spans="1:14" hidden="1" x14ac:dyDescent="0.35">
      <c r="A5554" s="52" t="s">
        <v>711</v>
      </c>
      <c r="B5554" s="52" t="s">
        <v>74</v>
      </c>
      <c r="C5554" s="52" t="s">
        <v>87</v>
      </c>
      <c r="D5554" s="52" t="s">
        <v>87</v>
      </c>
      <c r="E5554" s="52" t="s">
        <v>584</v>
      </c>
      <c r="F5554" s="52" t="s">
        <v>581</v>
      </c>
      <c r="G5554" s="195" t="s">
        <v>275</v>
      </c>
      <c r="H5554" s="195">
        <v>312.10019999999997</v>
      </c>
      <c r="I5554" s="195">
        <v>2.023304</v>
      </c>
      <c r="J5554" s="195">
        <v>-99.543570000000003</v>
      </c>
      <c r="K5554" s="195">
        <v>-30.191130000000001</v>
      </c>
      <c r="L5554" s="195">
        <v>-43.46087</v>
      </c>
      <c r="M5554" s="195">
        <v>-51.650709999999997</v>
      </c>
      <c r="N5554" s="195">
        <v>-5.5048399999999997</v>
      </c>
    </row>
    <row r="5555" spans="1:14" hidden="1" x14ac:dyDescent="0.35">
      <c r="A5555" s="52" t="s">
        <v>711</v>
      </c>
      <c r="B5555" s="52" t="s">
        <v>74</v>
      </c>
      <c r="C5555" s="52" t="s">
        <v>87</v>
      </c>
      <c r="D5555" s="52" t="s">
        <v>87</v>
      </c>
      <c r="E5555" s="52" t="s">
        <v>584</v>
      </c>
      <c r="F5555" s="52" t="s">
        <v>581</v>
      </c>
      <c r="G5555" s="195" t="s">
        <v>276</v>
      </c>
      <c r="H5555" s="195">
        <v>207.52680000000001</v>
      </c>
      <c r="I5555" s="195">
        <v>-1.4626600000000001</v>
      </c>
      <c r="J5555" s="195">
        <v>-73.868459999999999</v>
      </c>
      <c r="K5555" s="195">
        <v>-30.24841</v>
      </c>
      <c r="L5555" s="195">
        <v>-29.535990000000002</v>
      </c>
      <c r="M5555" s="195">
        <v>-56.054290000000002</v>
      </c>
      <c r="N5555" s="195">
        <v>-8.0518330000000002</v>
      </c>
    </row>
    <row r="5556" spans="1:14" hidden="1" x14ac:dyDescent="0.35">
      <c r="A5556" s="52" t="s">
        <v>711</v>
      </c>
      <c r="B5556" s="52" t="s">
        <v>74</v>
      </c>
      <c r="C5556" s="52" t="s">
        <v>87</v>
      </c>
      <c r="D5556" s="52" t="s">
        <v>87</v>
      </c>
      <c r="E5556" s="52" t="s">
        <v>584</v>
      </c>
      <c r="F5556" s="52" t="s">
        <v>581</v>
      </c>
      <c r="G5556" s="195" t="s">
        <v>277</v>
      </c>
      <c r="H5556" s="195">
        <v>10.97151</v>
      </c>
      <c r="I5556" s="195">
        <v>26.990649999999999</v>
      </c>
      <c r="J5556" s="195">
        <v>138.22980000000001</v>
      </c>
      <c r="K5556" s="195">
        <v>4.8557410000000001</v>
      </c>
      <c r="L5556" s="195">
        <v>3.645248</v>
      </c>
      <c r="M5556" s="195">
        <v>4.8256829999999997</v>
      </c>
      <c r="N5556" s="195">
        <v>7.4934390000000004</v>
      </c>
    </row>
    <row r="5557" spans="1:14" hidden="1" x14ac:dyDescent="0.35">
      <c r="A5557" s="52" t="s">
        <v>711</v>
      </c>
      <c r="B5557" s="52" t="s">
        <v>74</v>
      </c>
      <c r="C5557" s="52" t="s">
        <v>87</v>
      </c>
      <c r="D5557" s="52" t="s">
        <v>87</v>
      </c>
      <c r="E5557" s="52" t="s">
        <v>584</v>
      </c>
      <c r="F5557" s="52" t="s">
        <v>581</v>
      </c>
      <c r="G5557" s="195" t="s">
        <v>278</v>
      </c>
      <c r="H5557" s="195">
        <v>0.35398800000000002</v>
      </c>
      <c r="I5557" s="195">
        <v>0.28296100000000002</v>
      </c>
      <c r="J5557" s="195">
        <v>0.20664940000000001</v>
      </c>
      <c r="K5557" s="195">
        <v>0.20664940000000001</v>
      </c>
      <c r="L5557" s="195">
        <v>0.20664940000000001</v>
      </c>
      <c r="M5557" s="195">
        <v>21.199380000000001</v>
      </c>
      <c r="N5557" s="195">
        <v>4.0880749999999999</v>
      </c>
    </row>
    <row r="5558" spans="1:14" hidden="1" x14ac:dyDescent="0.35">
      <c r="A5558" s="52" t="s">
        <v>711</v>
      </c>
      <c r="B5558" s="52" t="s">
        <v>74</v>
      </c>
      <c r="C5558" s="52" t="s">
        <v>87</v>
      </c>
      <c r="D5558" s="52" t="s">
        <v>87</v>
      </c>
      <c r="E5558" s="52" t="s">
        <v>584</v>
      </c>
      <c r="F5558" s="52" t="s">
        <v>581</v>
      </c>
      <c r="G5558" s="195" t="s">
        <v>279</v>
      </c>
      <c r="H5558" s="195">
        <v>184.97669999999999</v>
      </c>
      <c r="I5558" s="195">
        <v>160.58420000000001</v>
      </c>
      <c r="J5558" s="195">
        <v>150.43270000000001</v>
      </c>
      <c r="K5558" s="195">
        <v>153.78</v>
      </c>
      <c r="L5558" s="195">
        <v>148.4915</v>
      </c>
      <c r="M5558" s="195">
        <v>140.12440000000001</v>
      </c>
      <c r="N5558" s="195">
        <v>47.902299999999997</v>
      </c>
    </row>
    <row r="5559" spans="1:14" hidden="1" x14ac:dyDescent="0.35">
      <c r="A5559" s="52" t="s">
        <v>711</v>
      </c>
      <c r="B5559" s="52" t="s">
        <v>74</v>
      </c>
      <c r="C5559" s="52" t="s">
        <v>87</v>
      </c>
      <c r="D5559" s="52" t="s">
        <v>87</v>
      </c>
      <c r="E5559" s="52" t="s">
        <v>584</v>
      </c>
      <c r="F5559" s="52" t="s">
        <v>26</v>
      </c>
      <c r="G5559" s="195" t="s">
        <v>275</v>
      </c>
      <c r="H5559" s="195">
        <v>8.4460440000000006</v>
      </c>
      <c r="I5559" s="195">
        <v>3.0258090000000002</v>
      </c>
      <c r="J5559" s="195">
        <v>0.27911380000000002</v>
      </c>
      <c r="K5559" s="195">
        <v>0.64864809999999995</v>
      </c>
      <c r="L5559" s="195">
        <v>0.56791599999999998</v>
      </c>
      <c r="M5559" s="195">
        <v>0.39454210000000001</v>
      </c>
      <c r="N5559" s="195">
        <v>0.30540879999999998</v>
      </c>
    </row>
    <row r="5560" spans="1:14" hidden="1" x14ac:dyDescent="0.35">
      <c r="A5560" s="52" t="s">
        <v>711</v>
      </c>
      <c r="B5560" s="52" t="s">
        <v>74</v>
      </c>
      <c r="C5560" s="52" t="s">
        <v>87</v>
      </c>
      <c r="D5560" s="52" t="s">
        <v>87</v>
      </c>
      <c r="E5560" s="52" t="s">
        <v>584</v>
      </c>
      <c r="F5560" s="52" t="s">
        <v>26</v>
      </c>
      <c r="G5560" s="195" t="s">
        <v>276</v>
      </c>
      <c r="H5560" s="195">
        <v>5.6306820000000002</v>
      </c>
      <c r="I5560" s="195">
        <v>2.017207</v>
      </c>
      <c r="J5560" s="195">
        <v>0.1860802</v>
      </c>
      <c r="K5560" s="195">
        <v>0.3521804</v>
      </c>
      <c r="L5560" s="195">
        <v>0.37861220000000001</v>
      </c>
      <c r="M5560" s="195">
        <v>0.26302819999999999</v>
      </c>
      <c r="N5560" s="195">
        <v>0.20360690000000001</v>
      </c>
    </row>
    <row r="5561" spans="1:14" hidden="1" x14ac:dyDescent="0.35">
      <c r="A5561" s="52" t="s">
        <v>711</v>
      </c>
      <c r="B5561" s="52" t="s">
        <v>74</v>
      </c>
      <c r="C5561" s="52" t="s">
        <v>87</v>
      </c>
      <c r="D5561" s="52" t="s">
        <v>87</v>
      </c>
      <c r="E5561" s="52" t="s">
        <v>584</v>
      </c>
      <c r="F5561" s="52" t="s">
        <v>26</v>
      </c>
      <c r="G5561" s="195" t="s">
        <v>277</v>
      </c>
      <c r="H5561" s="195">
        <v>9.2490009999999998E-2</v>
      </c>
      <c r="I5561" s="195">
        <v>0</v>
      </c>
      <c r="J5561" s="195">
        <v>0.67794500000000002</v>
      </c>
      <c r="K5561" s="195">
        <v>0</v>
      </c>
      <c r="L5561" s="195"/>
      <c r="M5561" s="195"/>
      <c r="N5561" s="195"/>
    </row>
    <row r="5562" spans="1:14" hidden="1" x14ac:dyDescent="0.35">
      <c r="A5562" s="52" t="s">
        <v>711</v>
      </c>
      <c r="B5562" s="52" t="s">
        <v>74</v>
      </c>
      <c r="C5562" s="52" t="s">
        <v>87</v>
      </c>
      <c r="D5562" s="52" t="s">
        <v>87</v>
      </c>
      <c r="E5562" s="52" t="s">
        <v>584</v>
      </c>
      <c r="F5562" s="52" t="s">
        <v>26</v>
      </c>
      <c r="G5562" s="195" t="s">
        <v>279</v>
      </c>
      <c r="H5562" s="195">
        <v>3.8653230000000001</v>
      </c>
      <c r="I5562" s="195">
        <v>1.9180539999999999</v>
      </c>
      <c r="J5562" s="195">
        <v>0.92135860000000003</v>
      </c>
      <c r="K5562" s="195">
        <v>0.85261880000000001</v>
      </c>
      <c r="L5562" s="195">
        <v>0.72663520000000004</v>
      </c>
      <c r="M5562" s="195">
        <v>0.52132449999999997</v>
      </c>
      <c r="N5562" s="195">
        <v>0.40273520000000002</v>
      </c>
    </row>
    <row r="5563" spans="1:14" hidden="1" x14ac:dyDescent="0.35">
      <c r="A5563" s="52" t="s">
        <v>711</v>
      </c>
      <c r="B5563" s="52" t="s">
        <v>74</v>
      </c>
      <c r="C5563" s="52" t="s">
        <v>87</v>
      </c>
      <c r="D5563" s="52" t="s">
        <v>88</v>
      </c>
      <c r="E5563" s="52" t="s">
        <v>584</v>
      </c>
      <c r="F5563" s="52" t="s">
        <v>581</v>
      </c>
      <c r="G5563" s="195" t="s">
        <v>275</v>
      </c>
      <c r="H5563" s="195">
        <v>40.632469999999998</v>
      </c>
      <c r="I5563" s="195">
        <v>10.00839</v>
      </c>
      <c r="J5563" s="195">
        <v>3.5867230000000001</v>
      </c>
      <c r="K5563" s="195">
        <v>0.89505330000000005</v>
      </c>
      <c r="L5563" s="195">
        <v>-0.475134</v>
      </c>
      <c r="M5563" s="195">
        <v>-1.5429280000000001</v>
      </c>
      <c r="N5563" s="195">
        <v>2.291639</v>
      </c>
    </row>
    <row r="5564" spans="1:14" hidden="1" x14ac:dyDescent="0.35">
      <c r="A5564" s="52" t="s">
        <v>711</v>
      </c>
      <c r="B5564" s="52" t="s">
        <v>74</v>
      </c>
      <c r="C5564" s="52" t="s">
        <v>87</v>
      </c>
      <c r="D5564" s="52" t="s">
        <v>88</v>
      </c>
      <c r="E5564" s="52" t="s">
        <v>584</v>
      </c>
      <c r="F5564" s="52" t="s">
        <v>581</v>
      </c>
      <c r="G5564" s="195" t="s">
        <v>276</v>
      </c>
      <c r="H5564" s="195">
        <v>23.218540000000001</v>
      </c>
      <c r="I5564" s="195">
        <v>5.3414130000000002</v>
      </c>
      <c r="J5564" s="195">
        <v>1.206664</v>
      </c>
      <c r="K5564" s="195">
        <v>-0.67138549999999997</v>
      </c>
      <c r="L5564" s="195">
        <v>-1.6782870000000001</v>
      </c>
      <c r="M5564" s="195">
        <v>-2.3634040000000001</v>
      </c>
      <c r="N5564" s="195">
        <v>1.0279849999999999</v>
      </c>
    </row>
    <row r="5565" spans="1:14" hidden="1" x14ac:dyDescent="0.35">
      <c r="A5565" s="52" t="s">
        <v>711</v>
      </c>
      <c r="B5565" s="52" t="s">
        <v>74</v>
      </c>
      <c r="C5565" s="52" t="s">
        <v>87</v>
      </c>
      <c r="D5565" s="52" t="s">
        <v>88</v>
      </c>
      <c r="E5565" s="52" t="s">
        <v>584</v>
      </c>
      <c r="F5565" s="52" t="s">
        <v>581</v>
      </c>
      <c r="G5565" s="195" t="s">
        <v>277</v>
      </c>
      <c r="H5565" s="195">
        <v>37.149769999999997</v>
      </c>
      <c r="I5565" s="195">
        <v>12.77609</v>
      </c>
      <c r="J5565" s="195">
        <v>11.31601</v>
      </c>
      <c r="K5565" s="195">
        <v>12.11858</v>
      </c>
      <c r="L5565" s="195">
        <v>12.82268</v>
      </c>
      <c r="M5565" s="195">
        <v>12.758889999999999</v>
      </c>
      <c r="N5565" s="195">
        <v>4.742807</v>
      </c>
    </row>
    <row r="5566" spans="1:14" hidden="1" x14ac:dyDescent="0.35">
      <c r="A5566" s="52" t="s">
        <v>711</v>
      </c>
      <c r="B5566" s="52" t="s">
        <v>74</v>
      </c>
      <c r="C5566" s="52" t="s">
        <v>87</v>
      </c>
      <c r="D5566" s="52" t="s">
        <v>88</v>
      </c>
      <c r="E5566" s="52" t="s">
        <v>584</v>
      </c>
      <c r="F5566" s="52" t="s">
        <v>581</v>
      </c>
      <c r="G5566" s="195" t="s">
        <v>278</v>
      </c>
      <c r="H5566" s="195">
        <v>4.1987839999999997E-3</v>
      </c>
      <c r="I5566" s="195">
        <v>5.733541E-3</v>
      </c>
      <c r="J5566" s="195">
        <v>5.7335399999999996E-3</v>
      </c>
      <c r="K5566" s="195">
        <v>5.7335399999999996E-3</v>
      </c>
      <c r="L5566" s="195">
        <v>2.5834289999999999E-2</v>
      </c>
      <c r="M5566" s="195">
        <v>5.7335399999999996E-3</v>
      </c>
      <c r="N5566" s="195">
        <v>5.7335399999999996E-3</v>
      </c>
    </row>
    <row r="5567" spans="1:14" hidden="1" x14ac:dyDescent="0.35">
      <c r="A5567" s="52" t="s">
        <v>711</v>
      </c>
      <c r="B5567" s="52" t="s">
        <v>74</v>
      </c>
      <c r="C5567" s="52" t="s">
        <v>87</v>
      </c>
      <c r="D5567" s="52" t="s">
        <v>88</v>
      </c>
      <c r="E5567" s="52" t="s">
        <v>584</v>
      </c>
      <c r="F5567" s="52" t="s">
        <v>581</v>
      </c>
      <c r="G5567" s="195" t="s">
        <v>279</v>
      </c>
      <c r="H5567" s="195">
        <v>24.702380000000002</v>
      </c>
      <c r="I5567" s="195">
        <v>23.166129999999999</v>
      </c>
      <c r="J5567" s="195">
        <v>20.891639999999999</v>
      </c>
      <c r="K5567" s="195">
        <v>23.128810000000001</v>
      </c>
      <c r="L5567" s="195">
        <v>22.721419999999998</v>
      </c>
      <c r="M5567" s="195">
        <v>22.20675</v>
      </c>
      <c r="N5567" s="195">
        <v>21.4285</v>
      </c>
    </row>
    <row r="5568" spans="1:14" hidden="1" x14ac:dyDescent="0.35">
      <c r="A5568" s="52" t="s">
        <v>711</v>
      </c>
      <c r="B5568" s="52" t="s">
        <v>74</v>
      </c>
      <c r="C5568" s="52" t="s">
        <v>87</v>
      </c>
      <c r="D5568" s="52" t="s">
        <v>88</v>
      </c>
      <c r="E5568" s="52" t="s">
        <v>584</v>
      </c>
      <c r="F5568" s="52" t="s">
        <v>26</v>
      </c>
      <c r="G5568" s="195" t="s">
        <v>275</v>
      </c>
      <c r="H5568" s="195">
        <v>17.354780000000002</v>
      </c>
      <c r="I5568" s="195">
        <v>12.654669999999999</v>
      </c>
      <c r="J5568" s="195">
        <v>11.028219999999999</v>
      </c>
      <c r="K5568" s="195">
        <v>6.834613</v>
      </c>
      <c r="L5568" s="195">
        <v>9.6291419999999999</v>
      </c>
      <c r="M5568" s="195">
        <v>5.4327370000000004</v>
      </c>
      <c r="N5568" s="195">
        <v>8.732348</v>
      </c>
    </row>
    <row r="5569" spans="1:14" hidden="1" x14ac:dyDescent="0.35">
      <c r="A5569" s="52" t="s">
        <v>711</v>
      </c>
      <c r="B5569" s="52" t="s">
        <v>74</v>
      </c>
      <c r="C5569" s="52" t="s">
        <v>87</v>
      </c>
      <c r="D5569" s="52" t="s">
        <v>88</v>
      </c>
      <c r="E5569" s="52" t="s">
        <v>584</v>
      </c>
      <c r="F5569" s="52" t="s">
        <v>26</v>
      </c>
      <c r="G5569" s="195" t="s">
        <v>276</v>
      </c>
      <c r="H5569" s="195">
        <v>11.56986</v>
      </c>
      <c r="I5569" s="195">
        <v>8.4364500000000007</v>
      </c>
      <c r="J5569" s="195">
        <v>7.2989100000000002</v>
      </c>
      <c r="K5569" s="195">
        <v>4.5279860000000003</v>
      </c>
      <c r="L5569" s="195">
        <v>6.3962279999999998</v>
      </c>
      <c r="M5569" s="195">
        <v>3.5998480000000002</v>
      </c>
      <c r="N5569" s="195">
        <v>5.6121559999999997</v>
      </c>
    </row>
    <row r="5570" spans="1:14" hidden="1" x14ac:dyDescent="0.35">
      <c r="A5570" s="52" t="s">
        <v>711</v>
      </c>
      <c r="B5570" s="52" t="s">
        <v>74</v>
      </c>
      <c r="C5570" s="52" t="s">
        <v>87</v>
      </c>
      <c r="D5570" s="52" t="s">
        <v>88</v>
      </c>
      <c r="E5570" s="52" t="s">
        <v>584</v>
      </c>
      <c r="F5570" s="52" t="s">
        <v>26</v>
      </c>
      <c r="G5570" s="195" t="s">
        <v>277</v>
      </c>
      <c r="H5570" s="195"/>
      <c r="I5570" s="195">
        <v>0</v>
      </c>
      <c r="J5570" s="195">
        <v>0.51105489999999998</v>
      </c>
      <c r="K5570" s="195">
        <v>0.27286319999999997</v>
      </c>
      <c r="L5570" s="195">
        <v>0.2227249</v>
      </c>
      <c r="M5570" s="195">
        <v>0.2109741</v>
      </c>
      <c r="N5570" s="195">
        <v>2.0103279999999999</v>
      </c>
    </row>
    <row r="5571" spans="1:14" hidden="1" x14ac:dyDescent="0.35">
      <c r="A5571" s="52" t="s">
        <v>711</v>
      </c>
      <c r="B5571" s="52" t="s">
        <v>74</v>
      </c>
      <c r="C5571" s="52" t="s">
        <v>87</v>
      </c>
      <c r="D5571" s="52" t="s">
        <v>88</v>
      </c>
      <c r="E5571" s="52" t="s">
        <v>584</v>
      </c>
      <c r="F5571" s="52" t="s">
        <v>26</v>
      </c>
      <c r="G5571" s="195" t="s">
        <v>279</v>
      </c>
      <c r="H5571" s="195">
        <v>12.34342</v>
      </c>
      <c r="I5571" s="195">
        <v>12.918480000000001</v>
      </c>
      <c r="J5571" s="195">
        <v>11.41981</v>
      </c>
      <c r="K5571" s="195">
        <v>17.548110000000001</v>
      </c>
      <c r="L5571" s="195">
        <v>11.585190000000001</v>
      </c>
      <c r="M5571" s="195">
        <v>16.919889999999999</v>
      </c>
      <c r="N5571" s="195">
        <v>10.46776</v>
      </c>
    </row>
    <row r="5572" spans="1:14" hidden="1" x14ac:dyDescent="0.35">
      <c r="A5572" s="52" t="s">
        <v>711</v>
      </c>
      <c r="B5572" s="52" t="s">
        <v>74</v>
      </c>
      <c r="C5572" s="52" t="s">
        <v>87</v>
      </c>
      <c r="D5572" s="52" t="s">
        <v>92</v>
      </c>
      <c r="E5572" s="52" t="s">
        <v>584</v>
      </c>
      <c r="F5572" s="52" t="s">
        <v>581</v>
      </c>
      <c r="G5572" s="195" t="s">
        <v>275</v>
      </c>
      <c r="H5572" s="195">
        <v>24.314160000000001</v>
      </c>
      <c r="I5572" s="195">
        <v>1.6485160000000001</v>
      </c>
      <c r="J5572" s="195">
        <v>0</v>
      </c>
      <c r="K5572" s="195">
        <v>-0.161553</v>
      </c>
      <c r="L5572" s="195">
        <v>0</v>
      </c>
      <c r="M5572" s="195">
        <v>0</v>
      </c>
      <c r="N5572" s="195">
        <v>0</v>
      </c>
    </row>
    <row r="5573" spans="1:14" hidden="1" x14ac:dyDescent="0.35">
      <c r="A5573" s="52" t="s">
        <v>711</v>
      </c>
      <c r="B5573" s="52" t="s">
        <v>74</v>
      </c>
      <c r="C5573" s="52" t="s">
        <v>87</v>
      </c>
      <c r="D5573" s="52" t="s">
        <v>92</v>
      </c>
      <c r="E5573" s="52" t="s">
        <v>584</v>
      </c>
      <c r="F5573" s="52" t="s">
        <v>581</v>
      </c>
      <c r="G5573" s="195" t="s">
        <v>276</v>
      </c>
      <c r="H5573" s="195">
        <v>16.11778</v>
      </c>
      <c r="I5573" s="195">
        <v>1.09901</v>
      </c>
      <c r="J5573" s="195">
        <v>-3.680191E-2</v>
      </c>
      <c r="K5573" s="195">
        <v>-0.14450389999999999</v>
      </c>
      <c r="L5573" s="195">
        <v>-0.13671800000000001</v>
      </c>
      <c r="M5573" s="195">
        <v>-7.0149320000000001E-2</v>
      </c>
      <c r="N5573" s="195">
        <v>-0.73708560000000001</v>
      </c>
    </row>
    <row r="5574" spans="1:14" hidden="1" x14ac:dyDescent="0.35">
      <c r="A5574" s="52" t="s">
        <v>711</v>
      </c>
      <c r="B5574" s="52" t="s">
        <v>74</v>
      </c>
      <c r="C5574" s="52" t="s">
        <v>87</v>
      </c>
      <c r="D5574" s="52" t="s">
        <v>92</v>
      </c>
      <c r="E5574" s="52" t="s">
        <v>584</v>
      </c>
      <c r="F5574" s="52" t="s">
        <v>581</v>
      </c>
      <c r="G5574" s="195" t="s">
        <v>277</v>
      </c>
      <c r="H5574" s="195">
        <v>0.88</v>
      </c>
      <c r="I5574" s="195">
        <v>0</v>
      </c>
      <c r="J5574" s="195"/>
      <c r="K5574" s="195"/>
      <c r="L5574" s="195">
        <v>0</v>
      </c>
      <c r="M5574" s="195">
        <v>3.3346939999999999E-2</v>
      </c>
      <c r="N5574" s="195">
        <v>0.70028570000000001</v>
      </c>
    </row>
    <row r="5575" spans="1:14" hidden="1" x14ac:dyDescent="0.35">
      <c r="A5575" s="52" t="s">
        <v>711</v>
      </c>
      <c r="B5575" s="52" t="s">
        <v>74</v>
      </c>
      <c r="C5575" s="52" t="s">
        <v>87</v>
      </c>
      <c r="D5575" s="52" t="s">
        <v>92</v>
      </c>
      <c r="E5575" s="52" t="s">
        <v>584</v>
      </c>
      <c r="F5575" s="52" t="s">
        <v>581</v>
      </c>
      <c r="G5575" s="195" t="s">
        <v>278</v>
      </c>
      <c r="H5575" s="195">
        <v>2.6951289999999999E-2</v>
      </c>
      <c r="I5575" s="195">
        <v>3.680191E-2</v>
      </c>
      <c r="J5575" s="195">
        <v>3.680191E-2</v>
      </c>
      <c r="K5575" s="195">
        <v>3.680191E-2</v>
      </c>
      <c r="L5575" s="195">
        <v>0.13671800000000001</v>
      </c>
      <c r="M5575" s="195">
        <v>3.680191E-2</v>
      </c>
      <c r="N5575" s="195">
        <v>3.680191E-2</v>
      </c>
    </row>
    <row r="5576" spans="1:14" hidden="1" x14ac:dyDescent="0.35">
      <c r="A5576" s="52" t="s">
        <v>711</v>
      </c>
      <c r="B5576" s="52" t="s">
        <v>74</v>
      </c>
      <c r="C5576" s="52" t="s">
        <v>87</v>
      </c>
      <c r="D5576" s="52" t="s">
        <v>92</v>
      </c>
      <c r="E5576" s="52" t="s">
        <v>584</v>
      </c>
      <c r="F5576" s="52" t="s">
        <v>581</v>
      </c>
      <c r="G5576" s="195" t="s">
        <v>279</v>
      </c>
      <c r="H5576" s="195">
        <v>83.178240000000002</v>
      </c>
      <c r="I5576" s="195">
        <v>4.5637530000000002</v>
      </c>
      <c r="J5576" s="195">
        <v>0</v>
      </c>
      <c r="K5576" s="195">
        <v>0.269256</v>
      </c>
      <c r="L5576" s="195">
        <v>0</v>
      </c>
      <c r="M5576" s="195"/>
      <c r="N5576" s="195">
        <v>0</v>
      </c>
    </row>
    <row r="5577" spans="1:14" hidden="1" x14ac:dyDescent="0.35">
      <c r="A5577" s="52" t="s">
        <v>711</v>
      </c>
      <c r="B5577" s="52" t="s">
        <v>74</v>
      </c>
      <c r="C5577" s="52" t="s">
        <v>87</v>
      </c>
      <c r="D5577" s="52" t="s">
        <v>92</v>
      </c>
      <c r="E5577" s="52" t="s">
        <v>584</v>
      </c>
      <c r="F5577" s="52" t="s">
        <v>26</v>
      </c>
      <c r="G5577" s="195" t="s">
        <v>275</v>
      </c>
      <c r="H5577" s="195">
        <v>1.655127</v>
      </c>
      <c r="I5577" s="195">
        <v>0.1040668</v>
      </c>
      <c r="J5577" s="195">
        <v>0</v>
      </c>
      <c r="K5577" s="195">
        <v>-0.34808</v>
      </c>
      <c r="L5577" s="195">
        <v>0</v>
      </c>
      <c r="M5577" s="195"/>
      <c r="N5577" s="195"/>
    </row>
    <row r="5578" spans="1:14" hidden="1" x14ac:dyDescent="0.35">
      <c r="A5578" s="52" t="s">
        <v>711</v>
      </c>
      <c r="B5578" s="52" t="s">
        <v>74</v>
      </c>
      <c r="C5578" s="52" t="s">
        <v>87</v>
      </c>
      <c r="D5578" s="52" t="s">
        <v>92</v>
      </c>
      <c r="E5578" s="52" t="s">
        <v>584</v>
      </c>
      <c r="F5578" s="52" t="s">
        <v>26</v>
      </c>
      <c r="G5578" s="195" t="s">
        <v>276</v>
      </c>
      <c r="H5578" s="195">
        <v>1.103418</v>
      </c>
      <c r="I5578" s="195">
        <v>6.9378599999999999E-2</v>
      </c>
      <c r="J5578" s="195">
        <v>0</v>
      </c>
      <c r="K5578" s="195">
        <v>-0.23205300000000001</v>
      </c>
      <c r="L5578" s="195">
        <v>0</v>
      </c>
      <c r="M5578" s="195"/>
      <c r="N5578" s="195"/>
    </row>
    <row r="5579" spans="1:14" hidden="1" x14ac:dyDescent="0.35">
      <c r="A5579" s="52" t="s">
        <v>711</v>
      </c>
      <c r="B5579" s="52" t="s">
        <v>74</v>
      </c>
      <c r="C5579" s="52" t="s">
        <v>87</v>
      </c>
      <c r="D5579" s="52" t="s">
        <v>92</v>
      </c>
      <c r="E5579" s="52" t="s">
        <v>584</v>
      </c>
      <c r="F5579" s="52" t="s">
        <v>26</v>
      </c>
      <c r="G5579" s="195" t="s">
        <v>279</v>
      </c>
      <c r="H5579" s="195">
        <v>4.3141420000000004</v>
      </c>
      <c r="I5579" s="195">
        <v>0.59357000000000004</v>
      </c>
      <c r="J5579" s="195">
        <v>0</v>
      </c>
      <c r="K5579" s="195">
        <v>0.58013300000000001</v>
      </c>
      <c r="L5579" s="195">
        <v>0</v>
      </c>
      <c r="M5579" s="195"/>
      <c r="N5579" s="195"/>
    </row>
    <row r="5580" spans="1:14" hidden="1" x14ac:dyDescent="0.35">
      <c r="A5580" s="52" t="s">
        <v>711</v>
      </c>
      <c r="B5580" s="52" t="s">
        <v>74</v>
      </c>
      <c r="C5580" s="52" t="s">
        <v>87</v>
      </c>
      <c r="D5580" s="52" t="s">
        <v>89</v>
      </c>
      <c r="E5580" s="52" t="s">
        <v>584</v>
      </c>
      <c r="F5580" s="52" t="s">
        <v>581</v>
      </c>
      <c r="G5580" s="195" t="s">
        <v>275</v>
      </c>
      <c r="H5580" s="195">
        <v>4.5869929999999997</v>
      </c>
      <c r="I5580" s="195">
        <v>7.4984400000000007E-2</v>
      </c>
      <c r="J5580" s="195">
        <v>-1.360293</v>
      </c>
      <c r="K5580" s="195">
        <v>-1.466094</v>
      </c>
      <c r="L5580" s="195">
        <v>0</v>
      </c>
      <c r="M5580" s="195">
        <v>0</v>
      </c>
      <c r="N5580" s="195">
        <v>0</v>
      </c>
    </row>
    <row r="5581" spans="1:14" hidden="1" x14ac:dyDescent="0.35">
      <c r="A5581" s="52" t="s">
        <v>711</v>
      </c>
      <c r="B5581" s="52" t="s">
        <v>74</v>
      </c>
      <c r="C5581" s="52" t="s">
        <v>87</v>
      </c>
      <c r="D5581" s="52" t="s">
        <v>89</v>
      </c>
      <c r="E5581" s="52" t="s">
        <v>584</v>
      </c>
      <c r="F5581" s="52" t="s">
        <v>581</v>
      </c>
      <c r="G5581" s="195" t="s">
        <v>276</v>
      </c>
      <c r="H5581" s="195">
        <v>3.0579939999999999</v>
      </c>
      <c r="I5581" s="195">
        <v>4.9988879999999999E-2</v>
      </c>
      <c r="J5581" s="195">
        <v>-0.91331490000000004</v>
      </c>
      <c r="K5581" s="195">
        <v>-0.9838479</v>
      </c>
      <c r="L5581" s="195">
        <v>-6.4523999999999996E-3</v>
      </c>
      <c r="M5581" s="195">
        <v>-6.4526000000000002E-3</v>
      </c>
      <c r="N5581" s="195">
        <v>-6.4526000000000002E-3</v>
      </c>
    </row>
    <row r="5582" spans="1:14" hidden="1" x14ac:dyDescent="0.35">
      <c r="A5582" s="52" t="s">
        <v>711</v>
      </c>
      <c r="B5582" s="52" t="s">
        <v>74</v>
      </c>
      <c r="C5582" s="52" t="s">
        <v>87</v>
      </c>
      <c r="D5582" s="52" t="s">
        <v>89</v>
      </c>
      <c r="E5582" s="52" t="s">
        <v>584</v>
      </c>
      <c r="F5582" s="52" t="s">
        <v>581</v>
      </c>
      <c r="G5582" s="195" t="s">
        <v>278</v>
      </c>
      <c r="H5582" s="195">
        <v>4.7254000000000003E-3</v>
      </c>
      <c r="I5582" s="195">
        <v>6.4526000000000002E-3</v>
      </c>
      <c r="J5582" s="195">
        <v>6.4526000000000002E-3</v>
      </c>
      <c r="K5582" s="195">
        <v>6.4526000000000002E-3</v>
      </c>
      <c r="L5582" s="195">
        <v>6.4526000000000002E-3</v>
      </c>
      <c r="M5582" s="195">
        <v>6.4526000000000002E-3</v>
      </c>
      <c r="N5582" s="195">
        <v>6.4526000000000002E-3</v>
      </c>
    </row>
    <row r="5583" spans="1:14" hidden="1" x14ac:dyDescent="0.35">
      <c r="A5583" s="52" t="s">
        <v>711</v>
      </c>
      <c r="B5583" s="52" t="s">
        <v>74</v>
      </c>
      <c r="C5583" s="52" t="s">
        <v>87</v>
      </c>
      <c r="D5583" s="52" t="s">
        <v>89</v>
      </c>
      <c r="E5583" s="52" t="s">
        <v>584</v>
      </c>
      <c r="F5583" s="52" t="s">
        <v>581</v>
      </c>
      <c r="G5583" s="195" t="s">
        <v>279</v>
      </c>
      <c r="H5583" s="195">
        <v>4.1068540000000002</v>
      </c>
      <c r="I5583" s="195">
        <v>0.57617359999999995</v>
      </c>
      <c r="J5583" s="195">
        <v>2.2671549999999998</v>
      </c>
      <c r="K5583" s="195">
        <v>2.443489</v>
      </c>
      <c r="L5583" s="195">
        <v>0</v>
      </c>
      <c r="M5583" s="195"/>
      <c r="N5583" s="195"/>
    </row>
    <row r="5584" spans="1:14" hidden="1" x14ac:dyDescent="0.35">
      <c r="A5584" s="52" t="s">
        <v>711</v>
      </c>
      <c r="B5584" s="52" t="s">
        <v>74</v>
      </c>
      <c r="C5584" s="52" t="s">
        <v>87</v>
      </c>
      <c r="D5584" s="52" t="s">
        <v>89</v>
      </c>
      <c r="E5584" s="52" t="s">
        <v>584</v>
      </c>
      <c r="F5584" s="52" t="s">
        <v>26</v>
      </c>
      <c r="G5584" s="195" t="s">
        <v>275</v>
      </c>
      <c r="H5584" s="195">
        <v>-1.2010860000000001</v>
      </c>
      <c r="I5584" s="195">
        <v>-2.2015389999999999</v>
      </c>
      <c r="J5584" s="195">
        <v>-0.4391832</v>
      </c>
      <c r="K5584" s="195">
        <v>-0.47334199999999998</v>
      </c>
      <c r="L5584" s="195">
        <v>0</v>
      </c>
      <c r="M5584" s="195"/>
      <c r="N5584" s="195"/>
    </row>
    <row r="5585" spans="1:14" hidden="1" x14ac:dyDescent="0.35">
      <c r="A5585" s="52" t="s">
        <v>711</v>
      </c>
      <c r="B5585" s="52" t="s">
        <v>74</v>
      </c>
      <c r="C5585" s="52" t="s">
        <v>87</v>
      </c>
      <c r="D5585" s="52" t="s">
        <v>89</v>
      </c>
      <c r="E5585" s="52" t="s">
        <v>584</v>
      </c>
      <c r="F5585" s="52" t="s">
        <v>26</v>
      </c>
      <c r="G5585" s="195" t="s">
        <v>276</v>
      </c>
      <c r="H5585" s="195">
        <v>-0.80072279999999996</v>
      </c>
      <c r="I5585" s="195">
        <v>-1.4676929999999999</v>
      </c>
      <c r="J5585" s="195">
        <v>-0.29278880000000002</v>
      </c>
      <c r="K5585" s="195">
        <v>-0.31556119999999999</v>
      </c>
      <c r="L5585" s="195">
        <v>0</v>
      </c>
      <c r="M5585" s="195"/>
      <c r="N5585" s="195"/>
    </row>
    <row r="5586" spans="1:14" hidden="1" x14ac:dyDescent="0.35">
      <c r="A5586" s="52" t="s">
        <v>711</v>
      </c>
      <c r="B5586" s="52" t="s">
        <v>74</v>
      </c>
      <c r="C5586" s="52" t="s">
        <v>87</v>
      </c>
      <c r="D5586" s="52" t="s">
        <v>89</v>
      </c>
      <c r="E5586" s="52" t="s">
        <v>584</v>
      </c>
      <c r="F5586" s="52" t="s">
        <v>26</v>
      </c>
      <c r="G5586" s="195" t="s">
        <v>279</v>
      </c>
      <c r="H5586" s="195">
        <v>11.30889</v>
      </c>
      <c r="I5586" s="195">
        <v>4.6986470000000002</v>
      </c>
      <c r="J5586" s="195">
        <v>0.73197199999999996</v>
      </c>
      <c r="K5586" s="195">
        <v>0.78890320000000003</v>
      </c>
      <c r="L5586" s="195">
        <v>0</v>
      </c>
      <c r="M5586" s="195"/>
      <c r="N5586" s="195"/>
    </row>
    <row r="5587" spans="1:14" hidden="1" x14ac:dyDescent="0.35">
      <c r="A5587" s="52" t="s">
        <v>711</v>
      </c>
      <c r="B5587" s="52" t="s">
        <v>74</v>
      </c>
      <c r="C5587" s="52" t="s">
        <v>87</v>
      </c>
      <c r="D5587" s="52" t="s">
        <v>91</v>
      </c>
      <c r="E5587" s="52" t="s">
        <v>584</v>
      </c>
      <c r="F5587" s="52" t="s">
        <v>581</v>
      </c>
      <c r="G5587" s="195" t="s">
        <v>275</v>
      </c>
      <c r="H5587" s="195">
        <v>0.39550540000000001</v>
      </c>
      <c r="I5587" s="195">
        <v>-0.53117999999999999</v>
      </c>
      <c r="J5587" s="195">
        <v>-0.61374810000000002</v>
      </c>
      <c r="K5587" s="195">
        <v>-0.76108500000000001</v>
      </c>
      <c r="L5587" s="195">
        <v>-0.76805230000000002</v>
      </c>
      <c r="M5587" s="195">
        <v>-0.75760919999999998</v>
      </c>
      <c r="N5587" s="195">
        <v>-0.76932020000000001</v>
      </c>
    </row>
    <row r="5588" spans="1:14" hidden="1" x14ac:dyDescent="0.35">
      <c r="A5588" s="52" t="s">
        <v>711</v>
      </c>
      <c r="B5588" s="52" t="s">
        <v>74</v>
      </c>
      <c r="C5588" s="52" t="s">
        <v>87</v>
      </c>
      <c r="D5588" s="52" t="s">
        <v>91</v>
      </c>
      <c r="E5588" s="52" t="s">
        <v>584</v>
      </c>
      <c r="F5588" s="52" t="s">
        <v>581</v>
      </c>
      <c r="G5588" s="195" t="s">
        <v>276</v>
      </c>
      <c r="H5588" s="195">
        <v>0.23102310000000001</v>
      </c>
      <c r="I5588" s="195">
        <v>-0.37203710000000001</v>
      </c>
      <c r="J5588" s="195">
        <v>-0.4255157</v>
      </c>
      <c r="K5588" s="195">
        <v>-0.51930379999999998</v>
      </c>
      <c r="L5588" s="195">
        <v>-0.51855169999999995</v>
      </c>
      <c r="M5588" s="195">
        <v>-0.51159019999999999</v>
      </c>
      <c r="N5588" s="195">
        <v>-0.51939639999999998</v>
      </c>
    </row>
    <row r="5589" spans="1:14" hidden="1" x14ac:dyDescent="0.35">
      <c r="A5589" s="52" t="s">
        <v>711</v>
      </c>
      <c r="B5589" s="52" t="s">
        <v>74</v>
      </c>
      <c r="C5589" s="52" t="s">
        <v>87</v>
      </c>
      <c r="D5589" s="52" t="s">
        <v>91</v>
      </c>
      <c r="E5589" s="52" t="s">
        <v>584</v>
      </c>
      <c r="F5589" s="52" t="s">
        <v>581</v>
      </c>
      <c r="G5589" s="195" t="s">
        <v>277</v>
      </c>
      <c r="H5589" s="195">
        <v>0.31340800000000002</v>
      </c>
      <c r="I5589" s="195">
        <v>0.17200199999999999</v>
      </c>
      <c r="J5589" s="195">
        <v>9.4396649999999999E-2</v>
      </c>
      <c r="K5589" s="195">
        <v>5.1805950000000003E-2</v>
      </c>
      <c r="L5589" s="195">
        <v>0</v>
      </c>
      <c r="M5589" s="195"/>
      <c r="N5589" s="195"/>
    </row>
    <row r="5590" spans="1:14" hidden="1" x14ac:dyDescent="0.35">
      <c r="A5590" s="52" t="s">
        <v>711</v>
      </c>
      <c r="B5590" s="52" t="s">
        <v>74</v>
      </c>
      <c r="C5590" s="52" t="s">
        <v>87</v>
      </c>
      <c r="D5590" s="52" t="s">
        <v>91</v>
      </c>
      <c r="E5590" s="52" t="s">
        <v>584</v>
      </c>
      <c r="F5590" s="52" t="s">
        <v>581</v>
      </c>
      <c r="G5590" s="195" t="s">
        <v>278</v>
      </c>
      <c r="H5590" s="195">
        <v>4.772765E-3</v>
      </c>
      <c r="I5590" s="195">
        <v>6.5167560000000003E-3</v>
      </c>
      <c r="J5590" s="195">
        <v>6.5167549999999999E-3</v>
      </c>
      <c r="K5590" s="195">
        <v>6.5167549999999999E-3</v>
      </c>
      <c r="L5590" s="195">
        <v>6.5167549999999999E-3</v>
      </c>
      <c r="M5590" s="195">
        <v>6.5167560000000003E-3</v>
      </c>
      <c r="N5590" s="195">
        <v>6.5167549999999999E-3</v>
      </c>
    </row>
    <row r="5591" spans="1:14" hidden="1" x14ac:dyDescent="0.35">
      <c r="A5591" s="52" t="s">
        <v>711</v>
      </c>
      <c r="B5591" s="52" t="s">
        <v>74</v>
      </c>
      <c r="C5591" s="52" t="s">
        <v>87</v>
      </c>
      <c r="D5591" s="52" t="s">
        <v>91</v>
      </c>
      <c r="E5591" s="52" t="s">
        <v>584</v>
      </c>
      <c r="F5591" s="52" t="s">
        <v>581</v>
      </c>
      <c r="G5591" s="195" t="s">
        <v>279</v>
      </c>
      <c r="H5591" s="195">
        <v>2.108107</v>
      </c>
      <c r="I5591" s="195">
        <v>1.867246</v>
      </c>
      <c r="J5591" s="195">
        <v>1.5729960000000001</v>
      </c>
      <c r="K5591" s="195">
        <v>1.6883239999999999</v>
      </c>
      <c r="L5591" s="195">
        <v>1.605915</v>
      </c>
      <c r="M5591" s="195">
        <v>1.782877</v>
      </c>
      <c r="N5591" s="195">
        <v>1.9324619999999999</v>
      </c>
    </row>
    <row r="5592" spans="1:14" hidden="1" x14ac:dyDescent="0.35">
      <c r="A5592" s="52" t="s">
        <v>711</v>
      </c>
      <c r="B5592" s="52" t="s">
        <v>74</v>
      </c>
      <c r="C5592" s="52" t="s">
        <v>87</v>
      </c>
      <c r="D5592" s="52" t="s">
        <v>91</v>
      </c>
      <c r="E5592" s="52" t="s">
        <v>584</v>
      </c>
      <c r="F5592" s="52" t="s">
        <v>26</v>
      </c>
      <c r="G5592" s="195" t="s">
        <v>275</v>
      </c>
      <c r="H5592" s="195">
        <v>3.2283159999999998E-2</v>
      </c>
      <c r="I5592" s="195">
        <v>1.1030989999999999E-2</v>
      </c>
      <c r="J5592" s="195">
        <v>8.3022679999999998E-3</v>
      </c>
      <c r="K5592" s="195">
        <v>4.3953209999999998E-3</v>
      </c>
      <c r="L5592" s="195">
        <v>3.050741E-3</v>
      </c>
      <c r="M5592" s="195">
        <v>5.425282E-3</v>
      </c>
      <c r="N5592" s="195">
        <v>6.2505369999999996E-3</v>
      </c>
    </row>
    <row r="5593" spans="1:14" hidden="1" x14ac:dyDescent="0.35">
      <c r="A5593" s="52" t="s">
        <v>711</v>
      </c>
      <c r="B5593" s="52" t="s">
        <v>74</v>
      </c>
      <c r="C5593" s="52" t="s">
        <v>87</v>
      </c>
      <c r="D5593" s="52" t="s">
        <v>91</v>
      </c>
      <c r="E5593" s="52" t="s">
        <v>584</v>
      </c>
      <c r="F5593" s="52" t="s">
        <v>26</v>
      </c>
      <c r="G5593" s="195" t="s">
        <v>276</v>
      </c>
      <c r="H5593" s="195">
        <v>2.152213E-2</v>
      </c>
      <c r="I5593" s="195">
        <v>7.3540749999999998E-3</v>
      </c>
      <c r="J5593" s="195">
        <v>5.5347779999999997E-3</v>
      </c>
      <c r="K5593" s="195">
        <v>2.9301990000000001E-3</v>
      </c>
      <c r="L5593" s="195">
        <v>2.0337850000000002E-3</v>
      </c>
      <c r="M5593" s="195">
        <v>3.616888E-3</v>
      </c>
      <c r="N5593" s="195">
        <v>4.1670309999999999E-3</v>
      </c>
    </row>
    <row r="5594" spans="1:14" hidden="1" x14ac:dyDescent="0.35">
      <c r="A5594" s="52" t="s">
        <v>711</v>
      </c>
      <c r="B5594" s="52" t="s">
        <v>74</v>
      </c>
      <c r="C5594" s="52" t="s">
        <v>87</v>
      </c>
      <c r="D5594" s="52" t="s">
        <v>91</v>
      </c>
      <c r="E5594" s="52" t="s">
        <v>584</v>
      </c>
      <c r="F5594" s="52" t="s">
        <v>26</v>
      </c>
      <c r="G5594" s="195" t="s">
        <v>279</v>
      </c>
      <c r="H5594" s="195">
        <v>0.1007629</v>
      </c>
      <c r="I5594" s="195">
        <v>8.7922559999999997E-2</v>
      </c>
      <c r="J5594" s="195">
        <v>5.7480629999999998E-2</v>
      </c>
      <c r="K5594" s="195">
        <v>4.5044460000000001E-2</v>
      </c>
      <c r="L5594" s="195">
        <v>3.1469990000000003E-2</v>
      </c>
      <c r="M5594" s="195">
        <v>4.7885940000000002E-2</v>
      </c>
      <c r="N5594" s="195">
        <v>6.1146640000000002E-2</v>
      </c>
    </row>
    <row r="5595" spans="1:14" hidden="1" x14ac:dyDescent="0.35">
      <c r="A5595" s="52" t="s">
        <v>711</v>
      </c>
      <c r="B5595" s="52" t="s">
        <v>74</v>
      </c>
      <c r="C5595" s="52" t="s">
        <v>87</v>
      </c>
      <c r="D5595" s="52" t="s">
        <v>130</v>
      </c>
      <c r="E5595" s="52" t="s">
        <v>584</v>
      </c>
      <c r="F5595" s="52" t="s">
        <v>581</v>
      </c>
      <c r="G5595" s="195" t="s">
        <v>275</v>
      </c>
      <c r="H5595" s="195">
        <v>-4.06281E-3</v>
      </c>
      <c r="I5595" s="195">
        <v>-5.5461870000000002E-3</v>
      </c>
      <c r="J5595" s="195">
        <v>0</v>
      </c>
      <c r="K5595" s="195">
        <v>0</v>
      </c>
      <c r="L5595" s="195">
        <v>0</v>
      </c>
      <c r="M5595" s="195">
        <v>0</v>
      </c>
      <c r="N5595" s="195">
        <v>0</v>
      </c>
    </row>
    <row r="5596" spans="1:14" hidden="1" x14ac:dyDescent="0.35">
      <c r="A5596" s="52" t="s">
        <v>711</v>
      </c>
      <c r="B5596" s="52" t="s">
        <v>74</v>
      </c>
      <c r="C5596" s="52" t="s">
        <v>87</v>
      </c>
      <c r="D5596" s="52" t="s">
        <v>130</v>
      </c>
      <c r="E5596" s="52" t="s">
        <v>584</v>
      </c>
      <c r="F5596" s="52" t="s">
        <v>581</v>
      </c>
      <c r="G5596" s="195" t="s">
        <v>276</v>
      </c>
      <c r="H5596" s="195">
        <v>-2.70842E-3</v>
      </c>
      <c r="I5596" s="195">
        <v>-3.6980049999999999E-3</v>
      </c>
      <c r="J5596" s="195">
        <v>-9.244192E-3</v>
      </c>
      <c r="K5596" s="195">
        <v>-9.2468519999999998E-3</v>
      </c>
      <c r="L5596" s="195">
        <v>-9.2451919999999993E-3</v>
      </c>
      <c r="M5596" s="195">
        <v>-9.2451919999999993E-3</v>
      </c>
      <c r="N5596" s="195">
        <v>-9.244192E-3</v>
      </c>
    </row>
    <row r="5597" spans="1:14" hidden="1" x14ac:dyDescent="0.35">
      <c r="A5597" s="52" t="s">
        <v>711</v>
      </c>
      <c r="B5597" s="52" t="s">
        <v>74</v>
      </c>
      <c r="C5597" s="52" t="s">
        <v>87</v>
      </c>
      <c r="D5597" s="52" t="s">
        <v>130</v>
      </c>
      <c r="E5597" s="52" t="s">
        <v>584</v>
      </c>
      <c r="F5597" s="52" t="s">
        <v>581</v>
      </c>
      <c r="G5597" s="195" t="s">
        <v>278</v>
      </c>
      <c r="H5597" s="195">
        <v>6.7712299999999996E-3</v>
      </c>
      <c r="I5597" s="195">
        <v>9.2451930000000005E-3</v>
      </c>
      <c r="J5597" s="195">
        <v>9.2451930000000005E-3</v>
      </c>
      <c r="K5597" s="195">
        <v>9.2451930000000005E-3</v>
      </c>
      <c r="L5597" s="195">
        <v>9.2451930000000005E-3</v>
      </c>
      <c r="M5597" s="195">
        <v>9.2451930000000005E-3</v>
      </c>
      <c r="N5597" s="195">
        <v>9.2451930000000005E-3</v>
      </c>
    </row>
    <row r="5598" spans="1:14" hidden="1" x14ac:dyDescent="0.35">
      <c r="A5598" s="52" t="s">
        <v>711</v>
      </c>
      <c r="B5598" s="52" t="s">
        <v>74</v>
      </c>
      <c r="C5598" s="52" t="s">
        <v>96</v>
      </c>
      <c r="D5598" s="52" t="s">
        <v>348</v>
      </c>
      <c r="E5598" s="52" t="s">
        <v>584</v>
      </c>
      <c r="F5598" s="52" t="s">
        <v>581</v>
      </c>
      <c r="G5598" s="195" t="s">
        <v>275</v>
      </c>
      <c r="H5598" s="195">
        <v>-0.42229949999999999</v>
      </c>
      <c r="I5598" s="195">
        <v>-0.48714750000000001</v>
      </c>
      <c r="J5598" s="195">
        <v>-0.34406579999999998</v>
      </c>
      <c r="K5598" s="195">
        <v>-0.73012290000000002</v>
      </c>
      <c r="L5598" s="195">
        <v>-0.55214540000000001</v>
      </c>
      <c r="M5598" s="195">
        <v>-0.41865089999999999</v>
      </c>
      <c r="N5598" s="195">
        <v>-0.32385449999999999</v>
      </c>
    </row>
    <row r="5599" spans="1:14" hidden="1" x14ac:dyDescent="0.35">
      <c r="A5599" s="52" t="s">
        <v>711</v>
      </c>
      <c r="B5599" s="52" t="s">
        <v>74</v>
      </c>
      <c r="C5599" s="52" t="s">
        <v>96</v>
      </c>
      <c r="D5599" s="52" t="s">
        <v>348</v>
      </c>
      <c r="E5599" s="52" t="s">
        <v>584</v>
      </c>
      <c r="F5599" s="52" t="s">
        <v>581</v>
      </c>
      <c r="G5599" s="195" t="s">
        <v>276</v>
      </c>
      <c r="H5599" s="195">
        <v>-0.28153349999999999</v>
      </c>
      <c r="I5599" s="195">
        <v>-0.50399760000000005</v>
      </c>
      <c r="J5599" s="195">
        <v>-0.39242329999999997</v>
      </c>
      <c r="K5599" s="195">
        <v>-22.346679999999999</v>
      </c>
      <c r="L5599" s="195">
        <v>-0.44615329999999997</v>
      </c>
      <c r="M5599" s="195">
        <v>-0.35715809999999998</v>
      </c>
      <c r="N5599" s="195">
        <v>-0.29396270000000002</v>
      </c>
    </row>
    <row r="5600" spans="1:14" hidden="1" x14ac:dyDescent="0.35">
      <c r="A5600" s="52" t="s">
        <v>711</v>
      </c>
      <c r="B5600" s="52" t="s">
        <v>74</v>
      </c>
      <c r="C5600" s="52" t="s">
        <v>96</v>
      </c>
      <c r="D5600" s="52" t="s">
        <v>348</v>
      </c>
      <c r="E5600" s="52" t="s">
        <v>584</v>
      </c>
      <c r="F5600" s="52" t="s">
        <v>581</v>
      </c>
      <c r="G5600" s="195" t="s">
        <v>277</v>
      </c>
      <c r="H5600" s="195">
        <v>0.58442780000000005</v>
      </c>
      <c r="I5600" s="195">
        <v>0.82875299999999996</v>
      </c>
      <c r="J5600" s="195">
        <v>0</v>
      </c>
      <c r="K5600" s="195">
        <v>0</v>
      </c>
      <c r="L5600" s="195">
        <v>0</v>
      </c>
      <c r="M5600" s="195">
        <v>0</v>
      </c>
      <c r="N5600" s="195">
        <v>0</v>
      </c>
    </row>
    <row r="5601" spans="1:14" hidden="1" x14ac:dyDescent="0.35">
      <c r="A5601" s="52" t="s">
        <v>711</v>
      </c>
      <c r="B5601" s="52" t="s">
        <v>74</v>
      </c>
      <c r="C5601" s="52" t="s">
        <v>96</v>
      </c>
      <c r="D5601" s="52" t="s">
        <v>348</v>
      </c>
      <c r="E5601" s="52" t="s">
        <v>584</v>
      </c>
      <c r="F5601" s="52" t="s">
        <v>581</v>
      </c>
      <c r="G5601" s="195" t="s">
        <v>278</v>
      </c>
      <c r="H5601" s="195">
        <v>0.1194052</v>
      </c>
      <c r="I5601" s="195">
        <v>0.163047</v>
      </c>
      <c r="J5601" s="195">
        <v>0.163047</v>
      </c>
      <c r="K5601" s="195">
        <v>21.859929999999999</v>
      </c>
      <c r="L5601" s="195">
        <v>7.8061510000000001E-2</v>
      </c>
      <c r="M5601" s="195">
        <v>7.8061510000000001E-2</v>
      </c>
      <c r="N5601" s="195">
        <v>7.8061510000000001E-2</v>
      </c>
    </row>
    <row r="5602" spans="1:14" hidden="1" x14ac:dyDescent="0.35">
      <c r="A5602" s="52" t="s">
        <v>711</v>
      </c>
      <c r="B5602" s="52" t="s">
        <v>74</v>
      </c>
      <c r="C5602" s="52" t="s">
        <v>96</v>
      </c>
      <c r="D5602" s="52" t="s">
        <v>348</v>
      </c>
      <c r="E5602" s="52" t="s">
        <v>584</v>
      </c>
      <c r="F5602" s="52" t="s">
        <v>581</v>
      </c>
      <c r="G5602" s="195" t="s">
        <v>279</v>
      </c>
      <c r="H5602" s="195">
        <v>0</v>
      </c>
      <c r="I5602" s="195">
        <v>5.5897500000000001E-3</v>
      </c>
      <c r="J5602" s="195">
        <v>11.66769</v>
      </c>
      <c r="K5602" s="195">
        <v>11.208500000000001</v>
      </c>
      <c r="L5602" s="195">
        <v>8.4773969999999998</v>
      </c>
      <c r="M5602" s="195">
        <v>6.4287989999999997</v>
      </c>
      <c r="N5602" s="195">
        <v>4.9737410000000004</v>
      </c>
    </row>
    <row r="5603" spans="1:14" hidden="1" x14ac:dyDescent="0.35">
      <c r="A5603" s="52" t="s">
        <v>711</v>
      </c>
      <c r="B5603" s="52" t="s">
        <v>74</v>
      </c>
      <c r="C5603" s="52" t="s">
        <v>96</v>
      </c>
      <c r="D5603" s="52" t="s">
        <v>348</v>
      </c>
      <c r="E5603" s="52" t="s">
        <v>584</v>
      </c>
      <c r="F5603" s="52" t="s">
        <v>26</v>
      </c>
      <c r="G5603" s="195" t="s">
        <v>275</v>
      </c>
      <c r="H5603" s="195">
        <v>-27.653569999999998</v>
      </c>
      <c r="I5603" s="195">
        <v>-55.98068</v>
      </c>
      <c r="J5603" s="195">
        <v>-7.02006</v>
      </c>
      <c r="K5603" s="195">
        <v>23.645980000000002</v>
      </c>
      <c r="L5603" s="195">
        <v>-16.96443</v>
      </c>
      <c r="M5603" s="195">
        <v>-26.401499999999999</v>
      </c>
      <c r="N5603" s="195">
        <v>39.245269999999998</v>
      </c>
    </row>
    <row r="5604" spans="1:14" hidden="1" x14ac:dyDescent="0.35">
      <c r="A5604" s="52" t="s">
        <v>711</v>
      </c>
      <c r="B5604" s="52" t="s">
        <v>74</v>
      </c>
      <c r="C5604" s="52" t="s">
        <v>96</v>
      </c>
      <c r="D5604" s="52" t="s">
        <v>348</v>
      </c>
      <c r="E5604" s="52" t="s">
        <v>584</v>
      </c>
      <c r="F5604" s="52" t="s">
        <v>26</v>
      </c>
      <c r="G5604" s="195" t="s">
        <v>276</v>
      </c>
      <c r="H5604" s="195">
        <v>-18.43571</v>
      </c>
      <c r="I5604" s="195">
        <v>-52.544780000000003</v>
      </c>
      <c r="J5604" s="195">
        <v>-12.65395</v>
      </c>
      <c r="K5604" s="195">
        <v>15.159319999999999</v>
      </c>
      <c r="L5604" s="195">
        <v>-12.213430000000001</v>
      </c>
      <c r="M5604" s="195">
        <v>-19.001480000000001</v>
      </c>
      <c r="N5604" s="195">
        <v>0.56439499999999998</v>
      </c>
    </row>
    <row r="5605" spans="1:14" hidden="1" x14ac:dyDescent="0.35">
      <c r="A5605" s="52" t="s">
        <v>711</v>
      </c>
      <c r="B5605" s="52" t="s">
        <v>74</v>
      </c>
      <c r="C5605" s="52" t="s">
        <v>96</v>
      </c>
      <c r="D5605" s="52" t="s">
        <v>348</v>
      </c>
      <c r="E5605" s="52" t="s">
        <v>584</v>
      </c>
      <c r="F5605" s="52" t="s">
        <v>26</v>
      </c>
      <c r="G5605" s="195" t="s">
        <v>277</v>
      </c>
      <c r="H5605" s="195">
        <v>27.441569999999999</v>
      </c>
      <c r="I5605" s="195">
        <v>93.491240000000005</v>
      </c>
      <c r="J5605" s="195">
        <v>77.299469999999999</v>
      </c>
      <c r="K5605" s="195">
        <v>12.90616</v>
      </c>
      <c r="L5605" s="195">
        <v>64.792400000000001</v>
      </c>
      <c r="M5605" s="195">
        <v>67.661869999999993</v>
      </c>
      <c r="N5605" s="195">
        <v>47.41948</v>
      </c>
    </row>
    <row r="5606" spans="1:14" hidden="1" x14ac:dyDescent="0.35">
      <c r="A5606" s="52" t="s">
        <v>711</v>
      </c>
      <c r="B5606" s="52" t="s">
        <v>74</v>
      </c>
      <c r="C5606" s="52" t="s">
        <v>96</v>
      </c>
      <c r="D5606" s="52" t="s">
        <v>348</v>
      </c>
      <c r="E5606" s="52" t="s">
        <v>584</v>
      </c>
      <c r="F5606" s="52" t="s">
        <v>26</v>
      </c>
      <c r="G5606" s="195" t="s">
        <v>278</v>
      </c>
      <c r="H5606" s="195">
        <v>18.64771</v>
      </c>
      <c r="I5606" s="195">
        <v>0.1092938</v>
      </c>
      <c r="J5606" s="195">
        <v>8.2708489999999996E-2</v>
      </c>
      <c r="K5606" s="195">
        <v>8.2708489999999996E-2</v>
      </c>
      <c r="L5606" s="195">
        <v>0</v>
      </c>
      <c r="M5606" s="195">
        <v>0</v>
      </c>
      <c r="N5606" s="195">
        <v>0</v>
      </c>
    </row>
    <row r="5607" spans="1:14" hidden="1" x14ac:dyDescent="0.35">
      <c r="A5607" s="52" t="s">
        <v>711</v>
      </c>
      <c r="B5607" s="52" t="s">
        <v>74</v>
      </c>
      <c r="C5607" s="52" t="s">
        <v>96</v>
      </c>
      <c r="D5607" s="52" t="s">
        <v>348</v>
      </c>
      <c r="E5607" s="52" t="s">
        <v>584</v>
      </c>
      <c r="F5607" s="52" t="s">
        <v>26</v>
      </c>
      <c r="G5607" s="195" t="s">
        <v>279</v>
      </c>
      <c r="H5607" s="195">
        <v>0</v>
      </c>
      <c r="I5607" s="195">
        <v>15.018370000000001</v>
      </c>
      <c r="J5607" s="195">
        <v>193.06739999999999</v>
      </c>
      <c r="K5607" s="195">
        <v>236.5866</v>
      </c>
      <c r="L5607" s="195">
        <v>187.9228</v>
      </c>
      <c r="M5607" s="195">
        <v>146.90289999999999</v>
      </c>
      <c r="N5607" s="195">
        <v>156.88419999999999</v>
      </c>
    </row>
    <row r="5608" spans="1:14" hidden="1" x14ac:dyDescent="0.35">
      <c r="A5608" s="52" t="s">
        <v>711</v>
      </c>
      <c r="B5608" s="52" t="s">
        <v>74</v>
      </c>
      <c r="C5608" s="52" t="s">
        <v>96</v>
      </c>
      <c r="D5608" s="52" t="s">
        <v>96</v>
      </c>
      <c r="E5608" s="52" t="s">
        <v>584</v>
      </c>
      <c r="F5608" s="52" t="s">
        <v>581</v>
      </c>
      <c r="G5608" s="195" t="s">
        <v>275</v>
      </c>
      <c r="H5608" s="195">
        <v>-2.3637180000000001E-2</v>
      </c>
      <c r="I5608" s="195">
        <v>-4.7948070000000002E-2</v>
      </c>
      <c r="J5608" s="195">
        <v>1.467848E-5</v>
      </c>
      <c r="K5608" s="195">
        <v>9.2167189999999997E-6</v>
      </c>
      <c r="L5608" s="195">
        <v>5.8884600000000002E-6</v>
      </c>
      <c r="M5608" s="195">
        <v>3.8403000000000003E-6</v>
      </c>
      <c r="N5608" s="195">
        <v>2.47486E-6</v>
      </c>
    </row>
    <row r="5609" spans="1:14" hidden="1" x14ac:dyDescent="0.35">
      <c r="A5609" s="52" t="s">
        <v>711</v>
      </c>
      <c r="B5609" s="52" t="s">
        <v>74</v>
      </c>
      <c r="C5609" s="52" t="s">
        <v>96</v>
      </c>
      <c r="D5609" s="52" t="s">
        <v>96</v>
      </c>
      <c r="E5609" s="52" t="s">
        <v>584</v>
      </c>
      <c r="F5609" s="52" t="s">
        <v>581</v>
      </c>
      <c r="G5609" s="195" t="s">
        <v>276</v>
      </c>
      <c r="H5609" s="195">
        <v>-1.575849E-2</v>
      </c>
      <c r="I5609" s="195">
        <v>-3.1965960000000002E-2</v>
      </c>
      <c r="J5609" s="195">
        <v>-7.9953389999999999E-2</v>
      </c>
      <c r="K5609" s="195">
        <v>-7.9957570000000006E-2</v>
      </c>
      <c r="L5609" s="195">
        <v>-0.16833390000000001</v>
      </c>
      <c r="M5609" s="195">
        <v>-8.0785650000000001E-2</v>
      </c>
      <c r="N5609" s="195">
        <v>-8.0786410000000003E-2</v>
      </c>
    </row>
    <row r="5610" spans="1:14" hidden="1" x14ac:dyDescent="0.35">
      <c r="A5610" s="52" t="s">
        <v>711</v>
      </c>
      <c r="B5610" s="52" t="s">
        <v>74</v>
      </c>
      <c r="C5610" s="52" t="s">
        <v>96</v>
      </c>
      <c r="D5610" s="52" t="s">
        <v>96</v>
      </c>
      <c r="E5610" s="52" t="s">
        <v>584</v>
      </c>
      <c r="F5610" s="52" t="s">
        <v>581</v>
      </c>
      <c r="G5610" s="195" t="s">
        <v>277</v>
      </c>
      <c r="H5610" s="195"/>
      <c r="I5610" s="195"/>
      <c r="J5610" s="195"/>
      <c r="K5610" s="195"/>
      <c r="L5610" s="195">
        <v>0</v>
      </c>
      <c r="M5610" s="195">
        <v>8.25E-4</v>
      </c>
      <c r="N5610" s="195">
        <v>8.25E-4</v>
      </c>
    </row>
    <row r="5611" spans="1:14" hidden="1" x14ac:dyDescent="0.35">
      <c r="A5611" s="52" t="s">
        <v>711</v>
      </c>
      <c r="B5611" s="52" t="s">
        <v>74</v>
      </c>
      <c r="C5611" s="52" t="s">
        <v>96</v>
      </c>
      <c r="D5611" s="52" t="s">
        <v>96</v>
      </c>
      <c r="E5611" s="52" t="s">
        <v>584</v>
      </c>
      <c r="F5611" s="52" t="s">
        <v>581</v>
      </c>
      <c r="G5611" s="195" t="s">
        <v>278</v>
      </c>
      <c r="H5611" s="195">
        <v>5.8559340000000001E-2</v>
      </c>
      <c r="I5611" s="195">
        <v>7.9962690000000003E-2</v>
      </c>
      <c r="J5611" s="195">
        <v>7.9962690000000003E-2</v>
      </c>
      <c r="K5611" s="195">
        <v>7.9962690000000003E-2</v>
      </c>
      <c r="L5611" s="195">
        <v>0.16833819999999999</v>
      </c>
      <c r="M5611" s="195">
        <v>7.9962690000000003E-2</v>
      </c>
      <c r="N5611" s="195">
        <v>7.9962690000000003E-2</v>
      </c>
    </row>
    <row r="5612" spans="1:14" hidden="1" x14ac:dyDescent="0.35">
      <c r="A5612" s="52" t="s">
        <v>711</v>
      </c>
      <c r="B5612" s="52" t="s">
        <v>74</v>
      </c>
      <c r="C5612" s="52" t="s">
        <v>96</v>
      </c>
      <c r="D5612" s="52" t="s">
        <v>96</v>
      </c>
      <c r="E5612" s="52" t="s">
        <v>584</v>
      </c>
      <c r="F5612" s="52" t="s">
        <v>581</v>
      </c>
      <c r="G5612" s="195" t="s">
        <v>279</v>
      </c>
      <c r="H5612" s="195">
        <v>2.1881180000000002E-3</v>
      </c>
      <c r="I5612" s="195">
        <v>1.5361200000000001E-5</v>
      </c>
      <c r="J5612" s="195">
        <v>9.8141009999999992E-6</v>
      </c>
      <c r="K5612" s="195">
        <v>7.2539000000000001E-6</v>
      </c>
      <c r="L5612" s="195">
        <v>3.8403000000000003E-6</v>
      </c>
      <c r="M5612" s="195">
        <v>2.5602000000000001E-6</v>
      </c>
      <c r="N5612" s="195">
        <v>1.2801E-6</v>
      </c>
    </row>
    <row r="5613" spans="1:14" hidden="1" x14ac:dyDescent="0.35">
      <c r="A5613" s="52" t="s">
        <v>711</v>
      </c>
      <c r="B5613" s="52" t="s">
        <v>74</v>
      </c>
      <c r="C5613" s="52" t="s">
        <v>96</v>
      </c>
      <c r="D5613" s="52" t="s">
        <v>96</v>
      </c>
      <c r="E5613" s="52" t="s">
        <v>584</v>
      </c>
      <c r="F5613" s="52" t="s">
        <v>26</v>
      </c>
      <c r="G5613" s="195" t="s">
        <v>275</v>
      </c>
      <c r="H5613" s="195">
        <v>0.63483889999999998</v>
      </c>
      <c r="I5613" s="195">
        <v>-6.2354409999999998</v>
      </c>
      <c r="J5613" s="195">
        <v>-7.2748799999999996</v>
      </c>
      <c r="K5613" s="195">
        <v>-1.9736670000000001</v>
      </c>
      <c r="L5613" s="195">
        <v>3.0355010000000002E-2</v>
      </c>
      <c r="M5613" s="195">
        <v>6.7482599999999998E-3</v>
      </c>
      <c r="N5613" s="195">
        <v>-1.512813E-2</v>
      </c>
    </row>
    <row r="5614" spans="1:14" hidden="1" x14ac:dyDescent="0.35">
      <c r="A5614" s="52" t="s">
        <v>711</v>
      </c>
      <c r="B5614" s="52" t="s">
        <v>74</v>
      </c>
      <c r="C5614" s="52" t="s">
        <v>96</v>
      </c>
      <c r="D5614" s="52" t="s">
        <v>96</v>
      </c>
      <c r="E5614" s="52" t="s">
        <v>584</v>
      </c>
      <c r="F5614" s="52" t="s">
        <v>26</v>
      </c>
      <c r="G5614" s="195" t="s">
        <v>276</v>
      </c>
      <c r="H5614" s="195">
        <v>0.30138389999999998</v>
      </c>
      <c r="I5614" s="195">
        <v>-5.6534680000000002</v>
      </c>
      <c r="J5614" s="195">
        <v>-5.2178579999999997</v>
      </c>
      <c r="K5614" s="195">
        <v>-1.324146</v>
      </c>
      <c r="L5614" s="195">
        <v>1.8383690000000001E-2</v>
      </c>
      <c r="M5614" s="195">
        <v>4.49921E-3</v>
      </c>
      <c r="N5614" s="195">
        <v>-1.008599E-2</v>
      </c>
    </row>
    <row r="5615" spans="1:14" hidden="1" x14ac:dyDescent="0.35">
      <c r="A5615" s="52" t="s">
        <v>711</v>
      </c>
      <c r="B5615" s="52" t="s">
        <v>74</v>
      </c>
      <c r="C5615" s="52" t="s">
        <v>96</v>
      </c>
      <c r="D5615" s="52" t="s">
        <v>96</v>
      </c>
      <c r="E5615" s="52" t="s">
        <v>584</v>
      </c>
      <c r="F5615" s="52" t="s">
        <v>26</v>
      </c>
      <c r="G5615" s="195" t="s">
        <v>277</v>
      </c>
      <c r="H5615" s="195">
        <v>1.1696820000000001</v>
      </c>
      <c r="I5615" s="195">
        <v>14.36646</v>
      </c>
      <c r="J5615" s="195">
        <v>3.5322</v>
      </c>
      <c r="K5615" s="195">
        <v>8.0331819999999998E-2</v>
      </c>
      <c r="L5615" s="195">
        <v>1.7786650000000001E-2</v>
      </c>
      <c r="M5615" s="195"/>
      <c r="N5615" s="195"/>
    </row>
    <row r="5616" spans="1:14" hidden="1" x14ac:dyDescent="0.35">
      <c r="A5616" s="52" t="s">
        <v>711</v>
      </c>
      <c r="B5616" s="52" t="s">
        <v>74</v>
      </c>
      <c r="C5616" s="52" t="s">
        <v>96</v>
      </c>
      <c r="D5616" s="52" t="s">
        <v>96</v>
      </c>
      <c r="E5616" s="52" t="s">
        <v>584</v>
      </c>
      <c r="F5616" s="52" t="s">
        <v>26</v>
      </c>
      <c r="G5616" s="195" t="s">
        <v>279</v>
      </c>
      <c r="H5616" s="195">
        <v>15.007</v>
      </c>
      <c r="I5616" s="195">
        <v>15.29133</v>
      </c>
      <c r="J5616" s="195">
        <v>28.57029</v>
      </c>
      <c r="K5616" s="195">
        <v>11.805199999999999</v>
      </c>
      <c r="L5616" s="195">
        <v>0.1687411</v>
      </c>
      <c r="M5616" s="195">
        <v>0.1418363</v>
      </c>
      <c r="N5616" s="195">
        <v>0.12535760000000001</v>
      </c>
    </row>
    <row r="5617" spans="1:14" hidden="1" x14ac:dyDescent="0.35">
      <c r="A5617" s="52" t="s">
        <v>711</v>
      </c>
      <c r="B5617" s="52" t="s">
        <v>74</v>
      </c>
      <c r="C5617" s="52" t="s">
        <v>71</v>
      </c>
      <c r="D5617" s="52" t="s">
        <v>75</v>
      </c>
      <c r="E5617" s="52" t="s">
        <v>584</v>
      </c>
      <c r="F5617" s="52" t="s">
        <v>581</v>
      </c>
      <c r="G5617" s="195" t="s">
        <v>275</v>
      </c>
      <c r="H5617" s="195">
        <v>99.731210000000004</v>
      </c>
      <c r="I5617" s="195">
        <v>17.310420000000001</v>
      </c>
      <c r="J5617" s="195">
        <v>5.6362459999999999</v>
      </c>
      <c r="K5617" s="195">
        <v>1.129475</v>
      </c>
      <c r="L5617" s="195">
        <v>0.28367049999999999</v>
      </c>
      <c r="M5617" s="195">
        <v>-1.5312680000000001</v>
      </c>
      <c r="N5617" s="195">
        <v>-0.19400729999999999</v>
      </c>
    </row>
    <row r="5618" spans="1:14" hidden="1" x14ac:dyDescent="0.35">
      <c r="A5618" s="52" t="s">
        <v>711</v>
      </c>
      <c r="B5618" s="52" t="s">
        <v>74</v>
      </c>
      <c r="C5618" s="52" t="s">
        <v>71</v>
      </c>
      <c r="D5618" s="52" t="s">
        <v>75</v>
      </c>
      <c r="E5618" s="52" t="s">
        <v>584</v>
      </c>
      <c r="F5618" s="52" t="s">
        <v>581</v>
      </c>
      <c r="G5618" s="195" t="s">
        <v>276</v>
      </c>
      <c r="H5618" s="195">
        <v>64.444270000000003</v>
      </c>
      <c r="I5618" s="195">
        <v>10.58747</v>
      </c>
      <c r="J5618" s="195">
        <v>2.8645930000000002</v>
      </c>
      <c r="K5618" s="195">
        <v>-5.184859E-2</v>
      </c>
      <c r="L5618" s="195">
        <v>-0.80091639999999997</v>
      </c>
      <c r="M5618" s="195">
        <v>-1.9242330000000001</v>
      </c>
      <c r="N5618" s="195">
        <v>-0.1721895</v>
      </c>
    </row>
    <row r="5619" spans="1:14" hidden="1" x14ac:dyDescent="0.35">
      <c r="A5619" s="52" t="s">
        <v>711</v>
      </c>
      <c r="B5619" s="52" t="s">
        <v>74</v>
      </c>
      <c r="C5619" s="52" t="s">
        <v>71</v>
      </c>
      <c r="D5619" s="52" t="s">
        <v>75</v>
      </c>
      <c r="E5619" s="52" t="s">
        <v>584</v>
      </c>
      <c r="F5619" s="52" t="s">
        <v>581</v>
      </c>
      <c r="G5619" s="195" t="s">
        <v>277</v>
      </c>
      <c r="H5619" s="195">
        <v>19.614650000000001</v>
      </c>
      <c r="I5619" s="195">
        <v>9.1469430000000003</v>
      </c>
      <c r="J5619" s="195">
        <v>8.1604880000000009</v>
      </c>
      <c r="K5619" s="195">
        <v>7.3150000000000004</v>
      </c>
      <c r="L5619" s="195">
        <v>9.0929380000000002</v>
      </c>
      <c r="M5619" s="195">
        <v>8.2611480000000004</v>
      </c>
      <c r="N5619" s="195"/>
    </row>
    <row r="5620" spans="1:14" hidden="1" x14ac:dyDescent="0.35">
      <c r="A5620" s="52" t="s">
        <v>711</v>
      </c>
      <c r="B5620" s="52" t="s">
        <v>74</v>
      </c>
      <c r="C5620" s="52" t="s">
        <v>71</v>
      </c>
      <c r="D5620" s="52" t="s">
        <v>75</v>
      </c>
      <c r="E5620" s="52" t="s">
        <v>584</v>
      </c>
      <c r="F5620" s="52" t="s">
        <v>581</v>
      </c>
      <c r="G5620" s="195" t="s">
        <v>278</v>
      </c>
      <c r="H5620" s="195">
        <v>3.1381619999999999E-2</v>
      </c>
      <c r="I5620" s="195">
        <v>4.2852460000000002E-2</v>
      </c>
      <c r="J5620" s="195">
        <v>4.2852460000000002E-2</v>
      </c>
      <c r="K5620" s="195">
        <v>4.2852460000000002E-2</v>
      </c>
      <c r="L5620" s="195">
        <v>4.2852460000000002E-2</v>
      </c>
      <c r="M5620" s="195">
        <v>4.2852460000000002E-2</v>
      </c>
      <c r="N5620" s="195">
        <v>4.2852460000000002E-2</v>
      </c>
    </row>
    <row r="5621" spans="1:14" hidden="1" x14ac:dyDescent="0.35">
      <c r="A5621" s="52" t="s">
        <v>711</v>
      </c>
      <c r="B5621" s="52" t="s">
        <v>74</v>
      </c>
      <c r="C5621" s="52" t="s">
        <v>71</v>
      </c>
      <c r="D5621" s="52" t="s">
        <v>75</v>
      </c>
      <c r="E5621" s="52" t="s">
        <v>584</v>
      </c>
      <c r="F5621" s="52" t="s">
        <v>581</v>
      </c>
      <c r="G5621" s="195" t="s">
        <v>279</v>
      </c>
      <c r="H5621" s="195">
        <v>34.272300000000001</v>
      </c>
      <c r="I5621" s="195">
        <v>26.788720000000001</v>
      </c>
      <c r="J5621" s="195">
        <v>23.064689999999999</v>
      </c>
      <c r="K5621" s="195">
        <v>24.981010000000001</v>
      </c>
      <c r="L5621" s="195">
        <v>25.596409999999999</v>
      </c>
      <c r="M5621" s="195">
        <v>24.961970000000001</v>
      </c>
      <c r="N5621" s="195">
        <v>23.893840000000001</v>
      </c>
    </row>
    <row r="5622" spans="1:14" hidden="1" x14ac:dyDescent="0.35">
      <c r="A5622" s="52" t="s">
        <v>711</v>
      </c>
      <c r="B5622" s="52" t="s">
        <v>74</v>
      </c>
      <c r="C5622" s="52" t="s">
        <v>71</v>
      </c>
      <c r="D5622" s="52" t="s">
        <v>75</v>
      </c>
      <c r="E5622" s="52" t="s">
        <v>584</v>
      </c>
      <c r="F5622" s="52" t="s">
        <v>26</v>
      </c>
      <c r="G5622" s="195" t="s">
        <v>275</v>
      </c>
      <c r="H5622" s="195">
        <v>2.4862600000000001</v>
      </c>
      <c r="I5622" s="195">
        <v>1.929389</v>
      </c>
      <c r="J5622" s="195">
        <v>1.4620089999999999</v>
      </c>
      <c r="K5622" s="195">
        <v>1.1954309999999999</v>
      </c>
      <c r="L5622" s="195">
        <v>1.2221359999999999</v>
      </c>
      <c r="M5622" s="195">
        <v>1.065982</v>
      </c>
      <c r="N5622" s="195">
        <v>0.84301300000000001</v>
      </c>
    </row>
    <row r="5623" spans="1:14" hidden="1" x14ac:dyDescent="0.35">
      <c r="A5623" s="52" t="s">
        <v>711</v>
      </c>
      <c r="B5623" s="52" t="s">
        <v>74</v>
      </c>
      <c r="C5623" s="52" t="s">
        <v>71</v>
      </c>
      <c r="D5623" s="52" t="s">
        <v>75</v>
      </c>
      <c r="E5623" s="52" t="s">
        <v>584</v>
      </c>
      <c r="F5623" s="52" t="s">
        <v>26</v>
      </c>
      <c r="G5623" s="195" t="s">
        <v>276</v>
      </c>
      <c r="H5623" s="195">
        <v>1.657505</v>
      </c>
      <c r="I5623" s="195">
        <v>1.2862579999999999</v>
      </c>
      <c r="J5623" s="195">
        <v>0.97467340000000002</v>
      </c>
      <c r="K5623" s="195">
        <v>0.79695450000000001</v>
      </c>
      <c r="L5623" s="195">
        <v>0.81475799999999998</v>
      </c>
      <c r="M5623" s="195">
        <v>0.71065409999999996</v>
      </c>
      <c r="N5623" s="195">
        <v>0.56200870000000003</v>
      </c>
    </row>
    <row r="5624" spans="1:14" hidden="1" x14ac:dyDescent="0.35">
      <c r="A5624" s="52" t="s">
        <v>711</v>
      </c>
      <c r="B5624" s="52" t="s">
        <v>74</v>
      </c>
      <c r="C5624" s="52" t="s">
        <v>71</v>
      </c>
      <c r="D5624" s="52" t="s">
        <v>75</v>
      </c>
      <c r="E5624" s="52" t="s">
        <v>584</v>
      </c>
      <c r="F5624" s="52" t="s">
        <v>26</v>
      </c>
      <c r="G5624" s="195" t="s">
        <v>279</v>
      </c>
      <c r="H5624" s="195">
        <v>1.2152940000000001</v>
      </c>
      <c r="I5624" s="195">
        <v>1.29969</v>
      </c>
      <c r="J5624" s="195">
        <v>0.95858480000000001</v>
      </c>
      <c r="K5624" s="195">
        <v>0.85915269999999999</v>
      </c>
      <c r="L5624" s="195">
        <v>0.87966219999999995</v>
      </c>
      <c r="M5624" s="195">
        <v>0.76640560000000002</v>
      </c>
      <c r="N5624" s="195">
        <v>0.60596749999999999</v>
      </c>
    </row>
    <row r="5625" spans="1:14" hidden="1" x14ac:dyDescent="0.35">
      <c r="A5625" s="52" t="s">
        <v>711</v>
      </c>
      <c r="B5625" s="52" t="s">
        <v>74</v>
      </c>
      <c r="C5625" s="52" t="s">
        <v>71</v>
      </c>
      <c r="D5625" s="52" t="s">
        <v>137</v>
      </c>
      <c r="E5625" s="52" t="s">
        <v>584</v>
      </c>
      <c r="F5625" s="52" t="s">
        <v>581</v>
      </c>
      <c r="G5625" s="195" t="s">
        <v>275</v>
      </c>
      <c r="H5625" s="195">
        <v>61.239409999999999</v>
      </c>
      <c r="I5625" s="195">
        <v>7.332935</v>
      </c>
      <c r="J5625" s="195">
        <v>0.3950746</v>
      </c>
      <c r="K5625" s="195">
        <v>-2.5471620000000001</v>
      </c>
      <c r="L5625" s="195">
        <v>-4.306978</v>
      </c>
      <c r="M5625" s="195">
        <v>-9.8649369999999994</v>
      </c>
      <c r="N5625" s="195">
        <v>-10.57161</v>
      </c>
    </row>
    <row r="5626" spans="1:14" hidden="1" x14ac:dyDescent="0.35">
      <c r="A5626" s="52" t="s">
        <v>711</v>
      </c>
      <c r="B5626" s="52" t="s">
        <v>74</v>
      </c>
      <c r="C5626" s="52" t="s">
        <v>71</v>
      </c>
      <c r="D5626" s="52" t="s">
        <v>137</v>
      </c>
      <c r="E5626" s="52" t="s">
        <v>584</v>
      </c>
      <c r="F5626" s="52" t="s">
        <v>581</v>
      </c>
      <c r="G5626" s="195" t="s">
        <v>276</v>
      </c>
      <c r="H5626" s="195">
        <v>39.99897</v>
      </c>
      <c r="I5626" s="195">
        <v>4.7597889999999996</v>
      </c>
      <c r="J5626" s="195">
        <v>0.1156775</v>
      </c>
      <c r="K5626" s="195">
        <v>-1.8864639999999999</v>
      </c>
      <c r="L5626" s="195">
        <v>-3.4066070000000002</v>
      </c>
      <c r="M5626" s="195">
        <v>-7.0613140000000003</v>
      </c>
      <c r="N5626" s="195">
        <v>-7.4755039999999999</v>
      </c>
    </row>
    <row r="5627" spans="1:14" hidden="1" x14ac:dyDescent="0.35">
      <c r="A5627" s="52" t="s">
        <v>711</v>
      </c>
      <c r="B5627" s="52" t="s">
        <v>74</v>
      </c>
      <c r="C5627" s="52" t="s">
        <v>71</v>
      </c>
      <c r="D5627" s="52" t="s">
        <v>137</v>
      </c>
      <c r="E5627" s="52" t="s">
        <v>584</v>
      </c>
      <c r="F5627" s="52" t="s">
        <v>581</v>
      </c>
      <c r="G5627" s="195" t="s">
        <v>277</v>
      </c>
      <c r="H5627" s="195">
        <v>7.9420440000000001</v>
      </c>
      <c r="I5627" s="195">
        <v>1.2367939999999999</v>
      </c>
      <c r="J5627" s="195">
        <v>1.2410479999999999</v>
      </c>
      <c r="K5627" s="195">
        <v>1.631316</v>
      </c>
      <c r="L5627" s="195">
        <v>4.961875</v>
      </c>
      <c r="M5627" s="195">
        <v>4.4760809999999998</v>
      </c>
      <c r="N5627" s="195">
        <v>3.9296150000000001</v>
      </c>
    </row>
    <row r="5628" spans="1:14" hidden="1" x14ac:dyDescent="0.35">
      <c r="A5628" s="52" t="s">
        <v>711</v>
      </c>
      <c r="B5628" s="52" t="s">
        <v>74</v>
      </c>
      <c r="C5628" s="52" t="s">
        <v>71</v>
      </c>
      <c r="D5628" s="52" t="s">
        <v>137</v>
      </c>
      <c r="E5628" s="52" t="s">
        <v>584</v>
      </c>
      <c r="F5628" s="52" t="s">
        <v>581</v>
      </c>
      <c r="G5628" s="195" t="s">
        <v>278</v>
      </c>
      <c r="H5628" s="195">
        <v>1.3495E-2</v>
      </c>
      <c r="I5628" s="195">
        <v>1.8426999999999999E-2</v>
      </c>
      <c r="J5628" s="195">
        <v>1.8426999999999999E-2</v>
      </c>
      <c r="K5628" s="195">
        <v>1.8426999999999999E-2</v>
      </c>
      <c r="L5628" s="195">
        <v>1.8426999999999999E-2</v>
      </c>
      <c r="M5628" s="195">
        <v>1.8426999999999999E-2</v>
      </c>
      <c r="N5628" s="195">
        <v>1.8426999999999999E-2</v>
      </c>
    </row>
    <row r="5629" spans="1:14" hidden="1" x14ac:dyDescent="0.35">
      <c r="A5629" s="52" t="s">
        <v>711</v>
      </c>
      <c r="B5629" s="52" t="s">
        <v>74</v>
      </c>
      <c r="C5629" s="52" t="s">
        <v>71</v>
      </c>
      <c r="D5629" s="52" t="s">
        <v>137</v>
      </c>
      <c r="E5629" s="52" t="s">
        <v>584</v>
      </c>
      <c r="F5629" s="52" t="s">
        <v>581</v>
      </c>
      <c r="G5629" s="195" t="s">
        <v>279</v>
      </c>
      <c r="H5629" s="195">
        <v>39.928649999999998</v>
      </c>
      <c r="I5629" s="195">
        <v>33.440190000000001</v>
      </c>
      <c r="J5629" s="195">
        <v>28.489809999999999</v>
      </c>
      <c r="K5629" s="195">
        <v>29.36788</v>
      </c>
      <c r="L5629" s="195">
        <v>28.64329</v>
      </c>
      <c r="M5629" s="195">
        <v>34.905360000000002</v>
      </c>
      <c r="N5629" s="195">
        <v>33.099220000000003</v>
      </c>
    </row>
    <row r="5630" spans="1:14" hidden="1" x14ac:dyDescent="0.35">
      <c r="A5630" s="52" t="s">
        <v>711</v>
      </c>
      <c r="B5630" s="52" t="s">
        <v>74</v>
      </c>
      <c r="C5630" s="52" t="s">
        <v>71</v>
      </c>
      <c r="D5630" s="52" t="s">
        <v>137</v>
      </c>
      <c r="E5630" s="52" t="s">
        <v>584</v>
      </c>
      <c r="F5630" s="52" t="s">
        <v>26</v>
      </c>
      <c r="G5630" s="195" t="s">
        <v>275</v>
      </c>
      <c r="H5630" s="195">
        <v>0.50079549999999995</v>
      </c>
      <c r="I5630" s="195">
        <v>0.2442724</v>
      </c>
      <c r="J5630" s="195">
        <v>0.14886669999999999</v>
      </c>
      <c r="K5630" s="195">
        <v>0.1210217</v>
      </c>
      <c r="L5630" s="195">
        <v>9.2738810000000005E-2</v>
      </c>
      <c r="M5630" s="195">
        <v>6.8473790000000007E-2</v>
      </c>
      <c r="N5630" s="195">
        <v>5.5956800000000001E-2</v>
      </c>
    </row>
    <row r="5631" spans="1:14" hidden="1" x14ac:dyDescent="0.35">
      <c r="A5631" s="52" t="s">
        <v>711</v>
      </c>
      <c r="B5631" s="52" t="s">
        <v>74</v>
      </c>
      <c r="C5631" s="52" t="s">
        <v>71</v>
      </c>
      <c r="D5631" s="52" t="s">
        <v>137</v>
      </c>
      <c r="E5631" s="52" t="s">
        <v>584</v>
      </c>
      <c r="F5631" s="52" t="s">
        <v>26</v>
      </c>
      <c r="G5631" s="195" t="s">
        <v>276</v>
      </c>
      <c r="H5631" s="195">
        <v>0.33386549999999998</v>
      </c>
      <c r="I5631" s="195">
        <v>0.1628472</v>
      </c>
      <c r="J5631" s="195">
        <v>9.9243399999999996E-2</v>
      </c>
      <c r="K5631" s="195">
        <v>8.0682100000000007E-2</v>
      </c>
      <c r="L5631" s="195">
        <v>6.1825600000000001E-2</v>
      </c>
      <c r="M5631" s="195">
        <v>4.5650900000000001E-2</v>
      </c>
      <c r="N5631" s="195">
        <v>3.7303999999999997E-2</v>
      </c>
    </row>
    <row r="5632" spans="1:14" hidden="1" x14ac:dyDescent="0.35">
      <c r="A5632" s="52" t="s">
        <v>711</v>
      </c>
      <c r="B5632" s="52" t="s">
        <v>74</v>
      </c>
      <c r="C5632" s="52" t="s">
        <v>71</v>
      </c>
      <c r="D5632" s="52" t="s">
        <v>137</v>
      </c>
      <c r="E5632" s="52" t="s">
        <v>584</v>
      </c>
      <c r="F5632" s="52" t="s">
        <v>26</v>
      </c>
      <c r="G5632" s="195" t="s">
        <v>279</v>
      </c>
      <c r="H5632" s="195">
        <v>0.2404625</v>
      </c>
      <c r="I5632" s="195">
        <v>0.15438250000000001</v>
      </c>
      <c r="J5632" s="195">
        <v>8.4086499999999995E-2</v>
      </c>
      <c r="K5632" s="195">
        <v>7.1088999999999999E-2</v>
      </c>
      <c r="L5632" s="195">
        <v>5.3797999999999999E-2</v>
      </c>
      <c r="M5632" s="195">
        <v>4.5017500000000002E-2</v>
      </c>
      <c r="N5632" s="195">
        <v>3.6508499999999999E-2</v>
      </c>
    </row>
    <row r="5633" spans="1:14" hidden="1" x14ac:dyDescent="0.35">
      <c r="A5633" s="52" t="s">
        <v>711</v>
      </c>
      <c r="B5633" s="52" t="s">
        <v>74</v>
      </c>
      <c r="C5633" s="52" t="s">
        <v>146</v>
      </c>
      <c r="D5633" s="52" t="s">
        <v>147</v>
      </c>
      <c r="E5633" s="52" t="s">
        <v>584</v>
      </c>
      <c r="F5633" s="52" t="s">
        <v>581</v>
      </c>
      <c r="G5633" s="195" t="s">
        <v>275</v>
      </c>
      <c r="H5633" s="195">
        <v>-3.4673549999999997E-2</v>
      </c>
      <c r="I5633" s="195">
        <v>-9.8377999999999997</v>
      </c>
      <c r="J5633" s="195">
        <v>-10.187430000000001</v>
      </c>
      <c r="K5633" s="195">
        <v>-108.2931</v>
      </c>
      <c r="L5633" s="195">
        <v>-49.863439999999997</v>
      </c>
      <c r="M5633" s="195">
        <v>-1.5962730000000001</v>
      </c>
      <c r="N5633" s="195">
        <v>1.110546</v>
      </c>
    </row>
    <row r="5634" spans="1:14" hidden="1" x14ac:dyDescent="0.35">
      <c r="A5634" s="52" t="s">
        <v>711</v>
      </c>
      <c r="B5634" s="52" t="s">
        <v>74</v>
      </c>
      <c r="C5634" s="52" t="s">
        <v>146</v>
      </c>
      <c r="D5634" s="52" t="s">
        <v>147</v>
      </c>
      <c r="E5634" s="52" t="s">
        <v>584</v>
      </c>
      <c r="F5634" s="52" t="s">
        <v>581</v>
      </c>
      <c r="G5634" s="195" t="s">
        <v>276</v>
      </c>
      <c r="H5634" s="195">
        <v>-0.56436070000000005</v>
      </c>
      <c r="I5634" s="195">
        <v>-7.3607849999999999</v>
      </c>
      <c r="J5634" s="195">
        <v>-7.3546110000000002</v>
      </c>
      <c r="K5634" s="195">
        <v>-72.267799999999994</v>
      </c>
      <c r="L5634" s="195">
        <v>-33.680840000000003</v>
      </c>
      <c r="M5634" s="195">
        <v>-1.136593</v>
      </c>
      <c r="N5634" s="195">
        <v>0.66796230000000001</v>
      </c>
    </row>
    <row r="5635" spans="1:14" hidden="1" x14ac:dyDescent="0.35">
      <c r="A5635" s="52" t="s">
        <v>711</v>
      </c>
      <c r="B5635" s="52" t="s">
        <v>74</v>
      </c>
      <c r="C5635" s="52" t="s">
        <v>146</v>
      </c>
      <c r="D5635" s="52" t="s">
        <v>147</v>
      </c>
      <c r="E5635" s="52" t="s">
        <v>584</v>
      </c>
      <c r="F5635" s="52" t="s">
        <v>581</v>
      </c>
      <c r="G5635" s="195" t="s">
        <v>277</v>
      </c>
      <c r="H5635" s="195">
        <v>5.1960009999999999</v>
      </c>
      <c r="I5635" s="195">
        <v>7.7015880000000001</v>
      </c>
      <c r="J5635" s="195">
        <v>4.8165180000000003</v>
      </c>
      <c r="K5635" s="195">
        <v>2.7050529999999999</v>
      </c>
      <c r="L5635" s="195">
        <v>0.70298669999999996</v>
      </c>
      <c r="M5635" s="195">
        <v>0</v>
      </c>
      <c r="N5635" s="195"/>
    </row>
    <row r="5636" spans="1:14" hidden="1" x14ac:dyDescent="0.35">
      <c r="A5636" s="52" t="s">
        <v>711</v>
      </c>
      <c r="B5636" s="52" t="s">
        <v>74</v>
      </c>
      <c r="C5636" s="52" t="s">
        <v>146</v>
      </c>
      <c r="D5636" s="52" t="s">
        <v>147</v>
      </c>
      <c r="E5636" s="52" t="s">
        <v>584</v>
      </c>
      <c r="F5636" s="52" t="s">
        <v>581</v>
      </c>
      <c r="G5636" s="195" t="s">
        <v>278</v>
      </c>
      <c r="H5636" s="195">
        <v>5.3025000000000003E-2</v>
      </c>
      <c r="I5636" s="195">
        <v>7.240605E-2</v>
      </c>
      <c r="J5636" s="195">
        <v>7.240605E-2</v>
      </c>
      <c r="K5636" s="195">
        <v>7.240605E-2</v>
      </c>
      <c r="L5636" s="195">
        <v>7.240605E-2</v>
      </c>
      <c r="M5636" s="195">
        <v>7.240605E-2</v>
      </c>
      <c r="N5636" s="195">
        <v>7.240605E-2</v>
      </c>
    </row>
    <row r="5637" spans="1:14" hidden="1" x14ac:dyDescent="0.35">
      <c r="A5637" s="52" t="s">
        <v>711</v>
      </c>
      <c r="B5637" s="52" t="s">
        <v>74</v>
      </c>
      <c r="C5637" s="52" t="s">
        <v>146</v>
      </c>
      <c r="D5637" s="52" t="s">
        <v>147</v>
      </c>
      <c r="E5637" s="52" t="s">
        <v>584</v>
      </c>
      <c r="F5637" s="52" t="s">
        <v>581</v>
      </c>
      <c r="G5637" s="195" t="s">
        <v>279</v>
      </c>
      <c r="H5637" s="195">
        <v>35.375160000000001</v>
      </c>
      <c r="I5637" s="195">
        <v>24.352399999999999</v>
      </c>
      <c r="J5637" s="195">
        <v>21.295929999999998</v>
      </c>
      <c r="K5637" s="195">
        <v>181.38800000000001</v>
      </c>
      <c r="L5637" s="195">
        <v>85.730080000000001</v>
      </c>
      <c r="M5637" s="195">
        <v>9.5336580000000009</v>
      </c>
      <c r="N5637" s="195">
        <v>11.10553</v>
      </c>
    </row>
    <row r="5638" spans="1:14" hidden="1" x14ac:dyDescent="0.35">
      <c r="A5638" s="52" t="s">
        <v>711</v>
      </c>
      <c r="B5638" s="52" t="s">
        <v>74</v>
      </c>
      <c r="C5638" s="52" t="s">
        <v>146</v>
      </c>
      <c r="D5638" s="52" t="s">
        <v>147</v>
      </c>
      <c r="E5638" s="52" t="s">
        <v>584</v>
      </c>
      <c r="F5638" s="52" t="s">
        <v>26</v>
      </c>
      <c r="G5638" s="195" t="s">
        <v>275</v>
      </c>
      <c r="H5638" s="195">
        <v>6.2017480000000003</v>
      </c>
      <c r="I5638" s="195">
        <v>1.2677609999999999</v>
      </c>
      <c r="J5638" s="195">
        <v>-1.246283</v>
      </c>
      <c r="K5638" s="195">
        <v>-39.909370000000003</v>
      </c>
      <c r="L5638" s="195">
        <v>-2.6999710000000001</v>
      </c>
      <c r="M5638" s="195">
        <v>3.1696270000000002</v>
      </c>
      <c r="N5638" s="195">
        <v>4.3906689999999999</v>
      </c>
    </row>
    <row r="5639" spans="1:14" hidden="1" x14ac:dyDescent="0.35">
      <c r="A5639" s="52" t="s">
        <v>711</v>
      </c>
      <c r="B5639" s="52" t="s">
        <v>74</v>
      </c>
      <c r="C5639" s="52" t="s">
        <v>146</v>
      </c>
      <c r="D5639" s="52" t="s">
        <v>147</v>
      </c>
      <c r="E5639" s="52" t="s">
        <v>584</v>
      </c>
      <c r="F5639" s="52" t="s">
        <v>26</v>
      </c>
      <c r="G5639" s="195" t="s">
        <v>276</v>
      </c>
      <c r="H5639" s="195">
        <v>4.1344989999999999</v>
      </c>
      <c r="I5639" s="195">
        <v>0.84517370000000003</v>
      </c>
      <c r="J5639" s="195">
        <v>-0.83085850000000006</v>
      </c>
      <c r="K5639" s="195">
        <v>-26.606249999999999</v>
      </c>
      <c r="L5639" s="195">
        <v>-12.43225</v>
      </c>
      <c r="M5639" s="195">
        <v>1.30322</v>
      </c>
      <c r="N5639" s="195">
        <v>2.0377079999999999</v>
      </c>
    </row>
    <row r="5640" spans="1:14" hidden="1" x14ac:dyDescent="0.35">
      <c r="A5640" s="52" t="s">
        <v>711</v>
      </c>
      <c r="B5640" s="52" t="s">
        <v>74</v>
      </c>
      <c r="C5640" s="52" t="s">
        <v>146</v>
      </c>
      <c r="D5640" s="52" t="s">
        <v>147</v>
      </c>
      <c r="E5640" s="52" t="s">
        <v>584</v>
      </c>
      <c r="F5640" s="52" t="s">
        <v>26</v>
      </c>
      <c r="G5640" s="195" t="s">
        <v>277</v>
      </c>
      <c r="H5640" s="195">
        <v>0.36304999999999998</v>
      </c>
      <c r="I5640" s="195">
        <v>5.8087999999999997</v>
      </c>
      <c r="J5640" s="195">
        <v>7.8553199999999999</v>
      </c>
      <c r="K5640" s="195">
        <v>69.593620000000001</v>
      </c>
      <c r="L5640" s="195">
        <v>18.085920000000002</v>
      </c>
      <c r="M5640" s="195">
        <v>7.7746909999999998</v>
      </c>
      <c r="N5640" s="195">
        <v>8.5382829999999998</v>
      </c>
    </row>
    <row r="5641" spans="1:14" hidden="1" x14ac:dyDescent="0.35">
      <c r="A5641" s="52" t="s">
        <v>711</v>
      </c>
      <c r="B5641" s="52" t="s">
        <v>74</v>
      </c>
      <c r="C5641" s="52" t="s">
        <v>146</v>
      </c>
      <c r="D5641" s="52" t="s">
        <v>147</v>
      </c>
      <c r="E5641" s="52" t="s">
        <v>584</v>
      </c>
      <c r="F5641" s="52" t="s">
        <v>26</v>
      </c>
      <c r="G5641" s="195" t="s">
        <v>279</v>
      </c>
      <c r="H5641" s="195">
        <v>3.4835799999999999</v>
      </c>
      <c r="I5641" s="195">
        <v>3.21522</v>
      </c>
      <c r="J5641" s="195">
        <v>2.2394370000000001</v>
      </c>
      <c r="K5641" s="195">
        <v>2.0310999999999999</v>
      </c>
      <c r="L5641" s="195">
        <v>8.8810900000000004</v>
      </c>
      <c r="M5641" s="195">
        <v>18.990390000000001</v>
      </c>
      <c r="N5641" s="195">
        <v>18.68656</v>
      </c>
    </row>
    <row r="5642" spans="1:14" hidden="1" x14ac:dyDescent="0.35">
      <c r="A5642" s="52" t="s">
        <v>711</v>
      </c>
      <c r="B5642" s="52" t="s">
        <v>74</v>
      </c>
      <c r="C5642" s="52" t="s">
        <v>146</v>
      </c>
      <c r="D5642" s="52" t="s">
        <v>146</v>
      </c>
      <c r="E5642" s="52" t="s">
        <v>584</v>
      </c>
      <c r="F5642" s="52" t="s">
        <v>581</v>
      </c>
      <c r="G5642" s="195" t="s">
        <v>275</v>
      </c>
      <c r="H5642" s="195">
        <v>-14.28425</v>
      </c>
      <c r="I5642" s="195">
        <v>-22.016100000000002</v>
      </c>
      <c r="J5642" s="195">
        <v>-15.91704</v>
      </c>
      <c r="K5642" s="195">
        <v>-36.025970000000001</v>
      </c>
      <c r="L5642" s="195">
        <v>-40.788989999999998</v>
      </c>
      <c r="M5642" s="195">
        <v>-31.629000000000001</v>
      </c>
      <c r="N5642" s="195">
        <v>-4.1413200000000003</v>
      </c>
    </row>
    <row r="5643" spans="1:14" hidden="1" x14ac:dyDescent="0.35">
      <c r="A5643" s="52" t="s">
        <v>711</v>
      </c>
      <c r="B5643" s="52" t="s">
        <v>74</v>
      </c>
      <c r="C5643" s="52" t="s">
        <v>146</v>
      </c>
      <c r="D5643" s="52" t="s">
        <v>146</v>
      </c>
      <c r="E5643" s="52" t="s">
        <v>584</v>
      </c>
      <c r="F5643" s="52" t="s">
        <v>581</v>
      </c>
      <c r="G5643" s="195" t="s">
        <v>276</v>
      </c>
      <c r="H5643" s="195">
        <v>-10.04461</v>
      </c>
      <c r="I5643" s="195">
        <v>-14.877969999999999</v>
      </c>
      <c r="J5643" s="195">
        <v>-10.63678</v>
      </c>
      <c r="K5643" s="195">
        <v>-24.042739999999998</v>
      </c>
      <c r="L5643" s="195">
        <v>-27.218070000000001</v>
      </c>
      <c r="M5643" s="195">
        <v>-21.111419999999999</v>
      </c>
      <c r="N5643" s="195">
        <v>-2.7862960000000001</v>
      </c>
    </row>
    <row r="5644" spans="1:14" hidden="1" x14ac:dyDescent="0.35">
      <c r="A5644" s="52" t="s">
        <v>711</v>
      </c>
      <c r="B5644" s="52" t="s">
        <v>74</v>
      </c>
      <c r="C5644" s="52" t="s">
        <v>146</v>
      </c>
      <c r="D5644" s="52" t="s">
        <v>146</v>
      </c>
      <c r="E5644" s="52" t="s">
        <v>584</v>
      </c>
      <c r="F5644" s="52" t="s">
        <v>581</v>
      </c>
      <c r="G5644" s="195" t="s">
        <v>277</v>
      </c>
      <c r="H5644" s="195">
        <v>5.0090409999999999</v>
      </c>
      <c r="I5644" s="195">
        <v>1.9255070000000001</v>
      </c>
      <c r="J5644" s="195">
        <v>0</v>
      </c>
      <c r="K5644" s="195">
        <v>0</v>
      </c>
      <c r="L5644" s="195"/>
      <c r="M5644" s="195"/>
      <c r="N5644" s="195"/>
    </row>
    <row r="5645" spans="1:14" hidden="1" x14ac:dyDescent="0.35">
      <c r="A5645" s="52" t="s">
        <v>711</v>
      </c>
      <c r="B5645" s="52" t="s">
        <v>74</v>
      </c>
      <c r="C5645" s="52" t="s">
        <v>146</v>
      </c>
      <c r="D5645" s="52" t="s">
        <v>146</v>
      </c>
      <c r="E5645" s="52" t="s">
        <v>584</v>
      </c>
      <c r="F5645" s="52" t="s">
        <v>581</v>
      </c>
      <c r="G5645" s="195" t="s">
        <v>278</v>
      </c>
      <c r="H5645" s="195">
        <v>1.8615469999999999E-2</v>
      </c>
      <c r="I5645" s="195">
        <v>2.5418670000000001E-2</v>
      </c>
      <c r="J5645" s="195">
        <v>2.5418670000000001E-2</v>
      </c>
      <c r="K5645" s="195">
        <v>2.5418670000000001E-2</v>
      </c>
      <c r="L5645" s="195">
        <v>2.5418670000000001E-2</v>
      </c>
      <c r="M5645" s="195">
        <v>2.5418670000000001E-2</v>
      </c>
      <c r="N5645" s="195">
        <v>2.5418670000000001E-2</v>
      </c>
    </row>
    <row r="5646" spans="1:14" hidden="1" x14ac:dyDescent="0.35">
      <c r="A5646" s="52" t="s">
        <v>711</v>
      </c>
      <c r="B5646" s="52" t="s">
        <v>74</v>
      </c>
      <c r="C5646" s="52" t="s">
        <v>146</v>
      </c>
      <c r="D5646" s="52" t="s">
        <v>146</v>
      </c>
      <c r="E5646" s="52" t="s">
        <v>584</v>
      </c>
      <c r="F5646" s="52" t="s">
        <v>581</v>
      </c>
      <c r="G5646" s="195" t="s">
        <v>279</v>
      </c>
      <c r="H5646" s="195">
        <v>28.22091</v>
      </c>
      <c r="I5646" s="195">
        <v>39.281579999999998</v>
      </c>
      <c r="J5646" s="195">
        <v>28.59545</v>
      </c>
      <c r="K5646" s="195">
        <v>60.06756</v>
      </c>
      <c r="L5646" s="195">
        <v>67.981639999999999</v>
      </c>
      <c r="M5646" s="195">
        <v>52.715000000000003</v>
      </c>
      <c r="N5646" s="195">
        <v>6.9021999999999997</v>
      </c>
    </row>
    <row r="5647" spans="1:14" hidden="1" x14ac:dyDescent="0.35">
      <c r="A5647" s="52" t="s">
        <v>711</v>
      </c>
      <c r="B5647" s="52" t="s">
        <v>74</v>
      </c>
      <c r="C5647" s="52" t="s">
        <v>127</v>
      </c>
      <c r="D5647" s="52" t="s">
        <v>127</v>
      </c>
      <c r="E5647" s="52" t="s">
        <v>584</v>
      </c>
      <c r="F5647" s="52" t="s">
        <v>581</v>
      </c>
      <c r="G5647" s="195" t="s">
        <v>275</v>
      </c>
      <c r="H5647" s="195">
        <v>12.470079999999999</v>
      </c>
      <c r="I5647" s="195">
        <v>-25.430299999999999</v>
      </c>
      <c r="J5647" s="195">
        <v>-10.71454</v>
      </c>
      <c r="K5647" s="195">
        <v>-13.11919</v>
      </c>
      <c r="L5647" s="195">
        <v>-13.9415</v>
      </c>
      <c r="M5647" s="195">
        <v>-13.85108</v>
      </c>
      <c r="N5647" s="195">
        <v>-14.12513</v>
      </c>
    </row>
    <row r="5648" spans="1:14" hidden="1" x14ac:dyDescent="0.35">
      <c r="A5648" s="52" t="s">
        <v>711</v>
      </c>
      <c r="B5648" s="52" t="s">
        <v>74</v>
      </c>
      <c r="C5648" s="52" t="s">
        <v>127</v>
      </c>
      <c r="D5648" s="52" t="s">
        <v>127</v>
      </c>
      <c r="E5648" s="52" t="s">
        <v>584</v>
      </c>
      <c r="F5648" s="52" t="s">
        <v>581</v>
      </c>
      <c r="G5648" s="195" t="s">
        <v>276</v>
      </c>
      <c r="H5648" s="195">
        <v>7.4925540000000002</v>
      </c>
      <c r="I5648" s="195">
        <v>-20.224910000000001</v>
      </c>
      <c r="J5648" s="195">
        <v>-7.2862520000000002</v>
      </c>
      <c r="K5648" s="195">
        <v>-8.9212430000000005</v>
      </c>
      <c r="L5648" s="195">
        <v>-9.5010619999999992</v>
      </c>
      <c r="M5648" s="195">
        <v>-9.5230789999999992</v>
      </c>
      <c r="N5648" s="195">
        <v>-10.42794</v>
      </c>
    </row>
    <row r="5649" spans="1:14" hidden="1" x14ac:dyDescent="0.35">
      <c r="A5649" s="52" t="s">
        <v>711</v>
      </c>
      <c r="B5649" s="52" t="s">
        <v>74</v>
      </c>
      <c r="C5649" s="52" t="s">
        <v>127</v>
      </c>
      <c r="D5649" s="52" t="s">
        <v>127</v>
      </c>
      <c r="E5649" s="52" t="s">
        <v>584</v>
      </c>
      <c r="F5649" s="52" t="s">
        <v>581</v>
      </c>
      <c r="G5649" s="195" t="s">
        <v>277</v>
      </c>
      <c r="H5649" s="195">
        <v>7.8799989999999998</v>
      </c>
      <c r="I5649" s="195">
        <v>31.405259999999998</v>
      </c>
      <c r="J5649" s="195">
        <v>1.023093</v>
      </c>
      <c r="K5649" s="195">
        <v>1.329215</v>
      </c>
      <c r="L5649" s="195">
        <v>1.632701</v>
      </c>
      <c r="M5649" s="195">
        <v>1.820729</v>
      </c>
      <c r="N5649" s="195">
        <v>2.7335090000000002</v>
      </c>
    </row>
    <row r="5650" spans="1:14" hidden="1" x14ac:dyDescent="0.35">
      <c r="A5650" s="52" t="s">
        <v>711</v>
      </c>
      <c r="B5650" s="52" t="s">
        <v>74</v>
      </c>
      <c r="C5650" s="52" t="s">
        <v>127</v>
      </c>
      <c r="D5650" s="52" t="s">
        <v>127</v>
      </c>
      <c r="E5650" s="52" t="s">
        <v>584</v>
      </c>
      <c r="F5650" s="52" t="s">
        <v>581</v>
      </c>
      <c r="G5650" s="195" t="s">
        <v>278</v>
      </c>
      <c r="H5650" s="195">
        <v>2.6844E-2</v>
      </c>
      <c r="I5650" s="195">
        <v>3.6655E-2</v>
      </c>
      <c r="J5650" s="195">
        <v>3.6655E-2</v>
      </c>
      <c r="K5650" s="195">
        <v>3.6655E-2</v>
      </c>
      <c r="L5650" s="195">
        <v>3.6655E-2</v>
      </c>
      <c r="M5650" s="195">
        <v>3.6655E-2</v>
      </c>
      <c r="N5650" s="195">
        <v>3.6655E-2</v>
      </c>
    </row>
    <row r="5651" spans="1:14" hidden="1" x14ac:dyDescent="0.35">
      <c r="A5651" s="52" t="s">
        <v>711</v>
      </c>
      <c r="B5651" s="52" t="s">
        <v>74</v>
      </c>
      <c r="C5651" s="52" t="s">
        <v>127</v>
      </c>
      <c r="D5651" s="52" t="s">
        <v>127</v>
      </c>
      <c r="E5651" s="52" t="s">
        <v>584</v>
      </c>
      <c r="F5651" s="52" t="s">
        <v>581</v>
      </c>
      <c r="G5651" s="195" t="s">
        <v>279</v>
      </c>
      <c r="H5651" s="195">
        <v>48.1571</v>
      </c>
      <c r="I5651" s="195">
        <v>38.158969999999997</v>
      </c>
      <c r="J5651" s="195">
        <v>34.55218</v>
      </c>
      <c r="K5651" s="195">
        <v>36.729750000000003</v>
      </c>
      <c r="L5651" s="195">
        <v>38.738999999999997</v>
      </c>
      <c r="M5651" s="195">
        <v>37.172840000000001</v>
      </c>
      <c r="N5651" s="195">
        <v>35.651949999999999</v>
      </c>
    </row>
    <row r="5652" spans="1:14" hidden="1" x14ac:dyDescent="0.35">
      <c r="A5652" s="52" t="s">
        <v>711</v>
      </c>
      <c r="B5652" s="52" t="s">
        <v>60</v>
      </c>
      <c r="C5652" s="52" t="s">
        <v>58</v>
      </c>
      <c r="D5652" s="52" t="s">
        <v>58</v>
      </c>
      <c r="E5652" s="52" t="s">
        <v>584</v>
      </c>
      <c r="F5652" s="52" t="s">
        <v>581</v>
      </c>
      <c r="G5652" s="195" t="s">
        <v>275</v>
      </c>
      <c r="H5652" s="195">
        <v>1.6251040000000001</v>
      </c>
      <c r="I5652" s="195">
        <v>2.4000490000000001</v>
      </c>
      <c r="J5652" s="195">
        <v>1.4880059999999999</v>
      </c>
      <c r="K5652" s="195">
        <v>1.0060750000000001</v>
      </c>
      <c r="L5652" s="195">
        <v>0.71299060000000003</v>
      </c>
      <c r="M5652" s="195">
        <v>0.66178510000000002</v>
      </c>
      <c r="N5652" s="195">
        <v>0.63592769999999998</v>
      </c>
    </row>
    <row r="5653" spans="1:14" hidden="1" x14ac:dyDescent="0.35">
      <c r="A5653" s="52" t="s">
        <v>711</v>
      </c>
      <c r="B5653" s="52" t="s">
        <v>60</v>
      </c>
      <c r="C5653" s="52" t="s">
        <v>58</v>
      </c>
      <c r="D5653" s="52" t="s">
        <v>58</v>
      </c>
      <c r="E5653" s="52" t="s">
        <v>584</v>
      </c>
      <c r="F5653" s="52" t="s">
        <v>581</v>
      </c>
      <c r="G5653" s="195" t="s">
        <v>276</v>
      </c>
      <c r="H5653" s="195">
        <v>3.6028920000000002</v>
      </c>
      <c r="I5653" s="195">
        <v>1.705355</v>
      </c>
      <c r="J5653" s="195">
        <v>1.2044790000000001</v>
      </c>
      <c r="K5653" s="195">
        <v>1.1327929999999999</v>
      </c>
      <c r="L5653" s="195">
        <v>0.82765829999999996</v>
      </c>
      <c r="M5653" s="195">
        <v>0.71557930000000003</v>
      </c>
      <c r="N5653" s="195">
        <v>0.65017550000000002</v>
      </c>
    </row>
    <row r="5654" spans="1:14" hidden="1" x14ac:dyDescent="0.35">
      <c r="A5654" s="52" t="s">
        <v>711</v>
      </c>
      <c r="B5654" s="52" t="s">
        <v>60</v>
      </c>
      <c r="C5654" s="52" t="s">
        <v>58</v>
      </c>
      <c r="D5654" s="52" t="s">
        <v>58</v>
      </c>
      <c r="E5654" s="52" t="s">
        <v>584</v>
      </c>
      <c r="F5654" s="52" t="s">
        <v>581</v>
      </c>
      <c r="G5654" s="195" t="s">
        <v>277</v>
      </c>
      <c r="H5654" s="195">
        <v>1.2600880000000001</v>
      </c>
      <c r="I5654" s="195">
        <v>0</v>
      </c>
      <c r="J5654" s="195"/>
      <c r="K5654" s="195"/>
      <c r="L5654" s="195"/>
      <c r="M5654" s="195"/>
      <c r="N5654" s="195">
        <v>0</v>
      </c>
    </row>
    <row r="5655" spans="1:14" hidden="1" x14ac:dyDescent="0.35">
      <c r="A5655" s="52" t="s">
        <v>711</v>
      </c>
      <c r="B5655" s="52" t="s">
        <v>60</v>
      </c>
      <c r="C5655" s="52" t="s">
        <v>58</v>
      </c>
      <c r="D5655" s="52" t="s">
        <v>58</v>
      </c>
      <c r="E5655" s="52" t="s">
        <v>584</v>
      </c>
      <c r="F5655" s="52" t="s">
        <v>581</v>
      </c>
      <c r="G5655" s="195" t="s">
        <v>279</v>
      </c>
      <c r="H5655" s="195">
        <v>0.78771150000000001</v>
      </c>
      <c r="I5655" s="195">
        <v>1.2333670000000001</v>
      </c>
      <c r="J5655" s="195">
        <v>1.0984970000000001</v>
      </c>
      <c r="K5655" s="195">
        <v>0.94433509999999998</v>
      </c>
      <c r="L5655" s="195">
        <v>0.68872840000000002</v>
      </c>
      <c r="M5655" s="195">
        <v>0.64350370000000001</v>
      </c>
      <c r="N5655" s="195">
        <v>0.6157878</v>
      </c>
    </row>
    <row r="5656" spans="1:14" hidden="1" x14ac:dyDescent="0.35">
      <c r="A5656" s="52" t="s">
        <v>711</v>
      </c>
      <c r="B5656" s="52" t="s">
        <v>60</v>
      </c>
      <c r="C5656" s="52" t="s">
        <v>58</v>
      </c>
      <c r="D5656" s="52" t="s">
        <v>58</v>
      </c>
      <c r="E5656" s="52" t="s">
        <v>584</v>
      </c>
      <c r="F5656" s="52" t="s">
        <v>26</v>
      </c>
      <c r="G5656" s="195" t="s">
        <v>275</v>
      </c>
      <c r="H5656" s="195">
        <v>35.757330000000003</v>
      </c>
      <c r="I5656" s="195">
        <v>120.0372</v>
      </c>
      <c r="J5656" s="195">
        <v>71.973010000000002</v>
      </c>
      <c r="K5656" s="195">
        <v>56.519770000000001</v>
      </c>
      <c r="L5656" s="195">
        <v>45.273220000000002</v>
      </c>
      <c r="M5656" s="195">
        <v>37.899149999999999</v>
      </c>
      <c r="N5656" s="195">
        <v>33.934339999999999</v>
      </c>
    </row>
    <row r="5657" spans="1:14" hidden="1" x14ac:dyDescent="0.35">
      <c r="A5657" s="52" t="s">
        <v>711</v>
      </c>
      <c r="B5657" s="52" t="s">
        <v>60</v>
      </c>
      <c r="C5657" s="52" t="s">
        <v>58</v>
      </c>
      <c r="D5657" s="52" t="s">
        <v>58</v>
      </c>
      <c r="E5657" s="52" t="s">
        <v>584</v>
      </c>
      <c r="F5657" s="52" t="s">
        <v>26</v>
      </c>
      <c r="G5657" s="195" t="s">
        <v>276</v>
      </c>
      <c r="H5657" s="195">
        <v>57.295679999999997</v>
      </c>
      <c r="I5657" s="195">
        <v>71.737110000000001</v>
      </c>
      <c r="J5657" s="195">
        <v>62.132190000000001</v>
      </c>
      <c r="K5657" s="195">
        <v>53.160809999999998</v>
      </c>
      <c r="L5657" s="195">
        <v>42.353369999999998</v>
      </c>
      <c r="M5657" s="195">
        <v>39.791879999999999</v>
      </c>
      <c r="N5657" s="195">
        <v>36.330570000000002</v>
      </c>
    </row>
    <row r="5658" spans="1:14" hidden="1" x14ac:dyDescent="0.35">
      <c r="A5658" s="52" t="s">
        <v>711</v>
      </c>
      <c r="B5658" s="52" t="s">
        <v>60</v>
      </c>
      <c r="C5658" s="52" t="s">
        <v>58</v>
      </c>
      <c r="D5658" s="52" t="s">
        <v>58</v>
      </c>
      <c r="E5658" s="52" t="s">
        <v>584</v>
      </c>
      <c r="F5658" s="52" t="s">
        <v>26</v>
      </c>
      <c r="G5658" s="195" t="s">
        <v>277</v>
      </c>
      <c r="H5658" s="195">
        <v>58.516120000000001</v>
      </c>
      <c r="I5658" s="195">
        <v>6.1362880000000004</v>
      </c>
      <c r="J5658" s="195">
        <v>8.0618750000000006</v>
      </c>
      <c r="K5658" s="195">
        <v>10.680899999999999</v>
      </c>
      <c r="L5658" s="195">
        <v>11.623810000000001</v>
      </c>
      <c r="M5658" s="195">
        <v>11.430630000000001</v>
      </c>
      <c r="N5658" s="195">
        <v>10.96936</v>
      </c>
    </row>
    <row r="5659" spans="1:14" hidden="1" x14ac:dyDescent="0.35">
      <c r="A5659" s="52" t="s">
        <v>711</v>
      </c>
      <c r="B5659" s="52" t="s">
        <v>60</v>
      </c>
      <c r="C5659" s="52" t="s">
        <v>58</v>
      </c>
      <c r="D5659" s="52" t="s">
        <v>58</v>
      </c>
      <c r="E5659" s="52" t="s">
        <v>584</v>
      </c>
      <c r="F5659" s="52" t="s">
        <v>26</v>
      </c>
      <c r="G5659" s="195" t="s">
        <v>278</v>
      </c>
      <c r="H5659" s="195">
        <v>1.688286E-2</v>
      </c>
      <c r="I5659" s="195">
        <v>1.0990929999999999E-2</v>
      </c>
      <c r="J5659" s="195">
        <v>1.0371719999999999E-2</v>
      </c>
      <c r="K5659" s="195">
        <v>3.7422759999999999E-2</v>
      </c>
      <c r="L5659" s="195">
        <v>2.5105410000000002E-2</v>
      </c>
      <c r="M5659" s="195">
        <v>2.5105410000000002E-2</v>
      </c>
      <c r="N5659" s="195">
        <v>2.5105410000000002E-2</v>
      </c>
    </row>
    <row r="5660" spans="1:14" hidden="1" x14ac:dyDescent="0.35">
      <c r="A5660" s="52" t="s">
        <v>711</v>
      </c>
      <c r="B5660" s="52" t="s">
        <v>60</v>
      </c>
      <c r="C5660" s="52" t="s">
        <v>58</v>
      </c>
      <c r="D5660" s="52" t="s">
        <v>58</v>
      </c>
      <c r="E5660" s="52" t="s">
        <v>584</v>
      </c>
      <c r="F5660" s="52" t="s">
        <v>26</v>
      </c>
      <c r="G5660" s="195" t="s">
        <v>279</v>
      </c>
      <c r="H5660" s="195">
        <v>36.022590000000001</v>
      </c>
      <c r="I5660" s="195">
        <v>46.731380000000001</v>
      </c>
      <c r="J5660" s="195">
        <v>41.335270000000001</v>
      </c>
      <c r="K5660" s="195">
        <v>37.271619999999999</v>
      </c>
      <c r="L5660" s="195">
        <v>31.25827</v>
      </c>
      <c r="M5660" s="195">
        <v>28.456959999999999</v>
      </c>
      <c r="N5660" s="195">
        <v>26.25902</v>
      </c>
    </row>
    <row r="5661" spans="1:14" hidden="1" x14ac:dyDescent="0.35">
      <c r="A5661" s="52" t="s">
        <v>711</v>
      </c>
      <c r="B5661" s="52" t="s">
        <v>60</v>
      </c>
      <c r="C5661" s="52" t="s">
        <v>305</v>
      </c>
      <c r="D5661" s="52" t="s">
        <v>305</v>
      </c>
      <c r="E5661" s="52" t="s">
        <v>584</v>
      </c>
      <c r="F5661" s="52" t="s">
        <v>581</v>
      </c>
      <c r="G5661" s="195" t="s">
        <v>275</v>
      </c>
      <c r="H5661" s="195"/>
      <c r="I5661" s="195"/>
      <c r="J5661" s="195"/>
      <c r="K5661" s="195"/>
      <c r="L5661" s="195"/>
      <c r="M5661" s="195"/>
      <c r="N5661" s="195">
        <v>0</v>
      </c>
    </row>
    <row r="5662" spans="1:14" hidden="1" x14ac:dyDescent="0.35">
      <c r="A5662" s="52" t="s">
        <v>711</v>
      </c>
      <c r="B5662" s="52" t="s">
        <v>60</v>
      </c>
      <c r="C5662" s="52" t="s">
        <v>305</v>
      </c>
      <c r="D5662" s="52" t="s">
        <v>305</v>
      </c>
      <c r="E5662" s="52" t="s">
        <v>584</v>
      </c>
      <c r="F5662" s="52" t="s">
        <v>581</v>
      </c>
      <c r="G5662" s="195" t="s">
        <v>276</v>
      </c>
      <c r="H5662" s="195"/>
      <c r="I5662" s="195"/>
      <c r="J5662" s="195"/>
      <c r="K5662" s="195"/>
      <c r="L5662" s="195"/>
      <c r="M5662" s="195"/>
      <c r="N5662" s="195">
        <v>0</v>
      </c>
    </row>
    <row r="5663" spans="1:14" hidden="1" x14ac:dyDescent="0.35">
      <c r="A5663" s="52" t="s">
        <v>711</v>
      </c>
      <c r="B5663" s="52" t="s">
        <v>60</v>
      </c>
      <c r="C5663" s="52" t="s">
        <v>305</v>
      </c>
      <c r="D5663" s="52" t="s">
        <v>305</v>
      </c>
      <c r="E5663" s="52" t="s">
        <v>584</v>
      </c>
      <c r="F5663" s="52" t="s">
        <v>581</v>
      </c>
      <c r="G5663" s="195" t="s">
        <v>279</v>
      </c>
      <c r="H5663" s="195"/>
      <c r="I5663" s="195"/>
      <c r="J5663" s="195"/>
      <c r="K5663" s="195"/>
      <c r="L5663" s="195"/>
      <c r="M5663" s="195"/>
      <c r="N5663" s="195">
        <v>0</v>
      </c>
    </row>
    <row r="5664" spans="1:14" hidden="1" x14ac:dyDescent="0.35">
      <c r="A5664" s="52" t="s">
        <v>711</v>
      </c>
      <c r="B5664" s="52" t="s">
        <v>60</v>
      </c>
      <c r="C5664" s="52" t="s">
        <v>305</v>
      </c>
      <c r="D5664" s="52" t="s">
        <v>305</v>
      </c>
      <c r="E5664" s="52" t="s">
        <v>584</v>
      </c>
      <c r="F5664" s="52" t="s">
        <v>26</v>
      </c>
      <c r="G5664" s="195" t="s">
        <v>275</v>
      </c>
      <c r="H5664" s="195">
        <v>-3.0544180000000001</v>
      </c>
      <c r="I5664" s="195">
        <v>-1.5796460000000001</v>
      </c>
      <c r="J5664" s="195">
        <v>0</v>
      </c>
      <c r="K5664" s="195">
        <v>0</v>
      </c>
      <c r="L5664" s="195">
        <v>0</v>
      </c>
      <c r="M5664" s="195">
        <v>0</v>
      </c>
      <c r="N5664" s="195">
        <v>0</v>
      </c>
    </row>
    <row r="5665" spans="1:14" hidden="1" x14ac:dyDescent="0.35">
      <c r="A5665" s="52" t="s">
        <v>711</v>
      </c>
      <c r="B5665" s="52" t="s">
        <v>60</v>
      </c>
      <c r="C5665" s="52" t="s">
        <v>305</v>
      </c>
      <c r="D5665" s="52" t="s">
        <v>305</v>
      </c>
      <c r="E5665" s="52" t="s">
        <v>584</v>
      </c>
      <c r="F5665" s="52" t="s">
        <v>26</v>
      </c>
      <c r="G5665" s="195" t="s">
        <v>276</v>
      </c>
      <c r="H5665" s="195">
        <v>0.18855</v>
      </c>
      <c r="I5665" s="195">
        <v>-0.28607880000000002</v>
      </c>
      <c r="J5665" s="195">
        <v>-9.3745910000000006</v>
      </c>
      <c r="K5665" s="195">
        <v>-0.7418998</v>
      </c>
      <c r="L5665" s="195">
        <v>-0.54671219999999998</v>
      </c>
      <c r="M5665" s="195">
        <v>-0.54671179999999997</v>
      </c>
      <c r="N5665" s="195">
        <v>-0.98771200000000003</v>
      </c>
    </row>
    <row r="5666" spans="1:14" hidden="1" x14ac:dyDescent="0.35">
      <c r="A5666" s="52" t="s">
        <v>711</v>
      </c>
      <c r="B5666" s="52" t="s">
        <v>60</v>
      </c>
      <c r="C5666" s="52" t="s">
        <v>305</v>
      </c>
      <c r="D5666" s="52" t="s">
        <v>305</v>
      </c>
      <c r="E5666" s="52" t="s">
        <v>584</v>
      </c>
      <c r="F5666" s="52" t="s">
        <v>26</v>
      </c>
      <c r="G5666" s="195" t="s">
        <v>277</v>
      </c>
      <c r="H5666" s="195"/>
      <c r="I5666" s="195"/>
      <c r="J5666" s="195"/>
      <c r="K5666" s="195">
        <v>0</v>
      </c>
      <c r="L5666" s="195">
        <v>4.9000009999999997E-2</v>
      </c>
      <c r="M5666" s="195">
        <v>4.9000009999999997E-2</v>
      </c>
      <c r="N5666" s="195">
        <v>0.49</v>
      </c>
    </row>
    <row r="5667" spans="1:14" hidden="1" x14ac:dyDescent="0.35">
      <c r="A5667" s="52" t="s">
        <v>711</v>
      </c>
      <c r="B5667" s="52" t="s">
        <v>60</v>
      </c>
      <c r="C5667" s="52" t="s">
        <v>305</v>
      </c>
      <c r="D5667" s="52" t="s">
        <v>305</v>
      </c>
      <c r="E5667" s="52" t="s">
        <v>584</v>
      </c>
      <c r="F5667" s="52" t="s">
        <v>26</v>
      </c>
      <c r="G5667" s="195" t="s">
        <v>278</v>
      </c>
      <c r="H5667" s="195">
        <v>2.865869</v>
      </c>
      <c r="I5667" s="195">
        <v>1.8657250000000001</v>
      </c>
      <c r="J5667" s="195">
        <v>9.3745899999999995</v>
      </c>
      <c r="K5667" s="195">
        <v>0.7418998</v>
      </c>
      <c r="L5667" s="195">
        <v>0.4977124</v>
      </c>
      <c r="M5667" s="195">
        <v>0.4977124</v>
      </c>
      <c r="N5667" s="195">
        <v>0.4977124</v>
      </c>
    </row>
    <row r="5668" spans="1:14" hidden="1" x14ac:dyDescent="0.35">
      <c r="A5668" s="52" t="s">
        <v>711</v>
      </c>
      <c r="B5668" s="52" t="s">
        <v>60</v>
      </c>
      <c r="C5668" s="52" t="s">
        <v>305</v>
      </c>
      <c r="D5668" s="52" t="s">
        <v>305</v>
      </c>
      <c r="E5668" s="52" t="s">
        <v>584</v>
      </c>
      <c r="F5668" s="52" t="s">
        <v>26</v>
      </c>
      <c r="G5668" s="195" t="s">
        <v>279</v>
      </c>
      <c r="H5668" s="195"/>
      <c r="I5668" s="195"/>
      <c r="J5668" s="195"/>
      <c r="K5668" s="195"/>
      <c r="L5668" s="195"/>
      <c r="M5668" s="195"/>
      <c r="N5668" s="195">
        <v>0</v>
      </c>
    </row>
    <row r="5669" spans="1:14" hidden="1" x14ac:dyDescent="0.35">
      <c r="A5669" s="52" t="s">
        <v>711</v>
      </c>
      <c r="B5669" s="52" t="s">
        <v>60</v>
      </c>
      <c r="C5669" s="52" t="s">
        <v>153</v>
      </c>
      <c r="D5669" s="52" t="s">
        <v>153</v>
      </c>
      <c r="E5669" s="52" t="s">
        <v>584</v>
      </c>
      <c r="F5669" s="52" t="s">
        <v>581</v>
      </c>
      <c r="G5669" s="195" t="s">
        <v>275</v>
      </c>
      <c r="H5669" s="195">
        <v>-0.119676</v>
      </c>
      <c r="I5669" s="195">
        <v>-31.43657</v>
      </c>
      <c r="J5669" s="195">
        <v>0</v>
      </c>
      <c r="K5669" s="195">
        <v>0</v>
      </c>
      <c r="L5669" s="195">
        <v>0</v>
      </c>
      <c r="M5669" s="195">
        <v>0</v>
      </c>
      <c r="N5669" s="195">
        <v>0</v>
      </c>
    </row>
    <row r="5670" spans="1:14" hidden="1" x14ac:dyDescent="0.35">
      <c r="A5670" s="52" t="s">
        <v>711</v>
      </c>
      <c r="B5670" s="52" t="s">
        <v>60</v>
      </c>
      <c r="C5670" s="52" t="s">
        <v>153</v>
      </c>
      <c r="D5670" s="52" t="s">
        <v>153</v>
      </c>
      <c r="E5670" s="52" t="s">
        <v>584</v>
      </c>
      <c r="F5670" s="52" t="s">
        <v>581</v>
      </c>
      <c r="G5670" s="195" t="s">
        <v>276</v>
      </c>
      <c r="H5670" s="195"/>
      <c r="I5670" s="195"/>
      <c r="J5670" s="195"/>
      <c r="K5670" s="195"/>
      <c r="L5670" s="195">
        <v>0</v>
      </c>
      <c r="M5670" s="195">
        <v>0</v>
      </c>
      <c r="N5670" s="195">
        <v>0</v>
      </c>
    </row>
    <row r="5671" spans="1:14" hidden="1" x14ac:dyDescent="0.35">
      <c r="A5671" s="52" t="s">
        <v>711</v>
      </c>
      <c r="B5671" s="52" t="s">
        <v>60</v>
      </c>
      <c r="C5671" s="52" t="s">
        <v>153</v>
      </c>
      <c r="D5671" s="52" t="s">
        <v>153</v>
      </c>
      <c r="E5671" s="52" t="s">
        <v>584</v>
      </c>
      <c r="F5671" s="52" t="s">
        <v>581</v>
      </c>
      <c r="G5671" s="195" t="s">
        <v>277</v>
      </c>
      <c r="H5671" s="195">
        <v>0</v>
      </c>
      <c r="I5671" s="195">
        <v>0.4</v>
      </c>
      <c r="J5671" s="195">
        <v>0</v>
      </c>
      <c r="K5671" s="195">
        <v>0</v>
      </c>
      <c r="L5671" s="195">
        <v>0</v>
      </c>
      <c r="M5671" s="195">
        <v>0</v>
      </c>
      <c r="N5671" s="195">
        <v>0</v>
      </c>
    </row>
    <row r="5672" spans="1:14" hidden="1" x14ac:dyDescent="0.35">
      <c r="A5672" s="52" t="s">
        <v>711</v>
      </c>
      <c r="B5672" s="52" t="s">
        <v>60</v>
      </c>
      <c r="C5672" s="52" t="s">
        <v>153</v>
      </c>
      <c r="D5672" s="52" t="s">
        <v>153</v>
      </c>
      <c r="E5672" s="52" t="s">
        <v>584</v>
      </c>
      <c r="F5672" s="52" t="s">
        <v>581</v>
      </c>
      <c r="G5672" s="195" t="s">
        <v>278</v>
      </c>
      <c r="H5672" s="195">
        <v>0.119676</v>
      </c>
      <c r="I5672" s="195">
        <v>31.036570000000001</v>
      </c>
      <c r="J5672" s="195">
        <v>0</v>
      </c>
      <c r="K5672" s="195">
        <v>0</v>
      </c>
      <c r="L5672" s="195">
        <v>0</v>
      </c>
      <c r="M5672" s="195"/>
      <c r="N5672" s="195"/>
    </row>
    <row r="5673" spans="1:14" hidden="1" x14ac:dyDescent="0.35">
      <c r="A5673" s="52" t="s">
        <v>711</v>
      </c>
      <c r="B5673" s="52" t="s">
        <v>60</v>
      </c>
      <c r="C5673" s="52" t="s">
        <v>153</v>
      </c>
      <c r="D5673" s="52" t="s">
        <v>153</v>
      </c>
      <c r="E5673" s="52" t="s">
        <v>584</v>
      </c>
      <c r="F5673" s="52" t="s">
        <v>581</v>
      </c>
      <c r="G5673" s="195" t="s">
        <v>279</v>
      </c>
      <c r="H5673" s="195"/>
      <c r="I5673" s="195"/>
      <c r="J5673" s="195">
        <v>0</v>
      </c>
      <c r="K5673" s="195">
        <v>0</v>
      </c>
      <c r="L5673" s="195">
        <v>0</v>
      </c>
      <c r="M5673" s="195">
        <v>0</v>
      </c>
      <c r="N5673" s="195">
        <v>0</v>
      </c>
    </row>
    <row r="5674" spans="1:14" hidden="1" x14ac:dyDescent="0.35">
      <c r="A5674" s="52" t="s">
        <v>711</v>
      </c>
      <c r="B5674" s="52" t="s">
        <v>60</v>
      </c>
      <c r="C5674" s="52" t="s">
        <v>153</v>
      </c>
      <c r="D5674" s="52" t="s">
        <v>153</v>
      </c>
      <c r="E5674" s="52" t="s">
        <v>584</v>
      </c>
      <c r="F5674" s="52" t="s">
        <v>26</v>
      </c>
      <c r="G5674" s="195" t="s">
        <v>275</v>
      </c>
      <c r="H5674" s="195">
        <v>-0.76745830000000004</v>
      </c>
      <c r="I5674" s="195">
        <v>-23.874210000000001</v>
      </c>
      <c r="J5674" s="195">
        <v>0</v>
      </c>
      <c r="K5674" s="195">
        <v>0</v>
      </c>
      <c r="L5674" s="195">
        <v>0</v>
      </c>
      <c r="M5674" s="195">
        <v>0</v>
      </c>
      <c r="N5674" s="195">
        <v>0</v>
      </c>
    </row>
    <row r="5675" spans="1:14" hidden="1" x14ac:dyDescent="0.35">
      <c r="A5675" s="52" t="s">
        <v>711</v>
      </c>
      <c r="B5675" s="52" t="s">
        <v>60</v>
      </c>
      <c r="C5675" s="52" t="s">
        <v>153</v>
      </c>
      <c r="D5675" s="52" t="s">
        <v>153</v>
      </c>
      <c r="E5675" s="52" t="s">
        <v>584</v>
      </c>
      <c r="F5675" s="52" t="s">
        <v>26</v>
      </c>
      <c r="G5675" s="195" t="s">
        <v>276</v>
      </c>
      <c r="H5675" s="195"/>
      <c r="I5675" s="195"/>
      <c r="J5675" s="195">
        <v>-0.40227839999999998</v>
      </c>
      <c r="K5675" s="195">
        <v>-0.15750639999999999</v>
      </c>
      <c r="L5675" s="195">
        <v>-0.1056648</v>
      </c>
      <c r="M5675" s="195">
        <v>-0.1056648</v>
      </c>
      <c r="N5675" s="195">
        <v>-0.1056648</v>
      </c>
    </row>
    <row r="5676" spans="1:14" hidden="1" x14ac:dyDescent="0.35">
      <c r="A5676" s="52" t="s">
        <v>711</v>
      </c>
      <c r="B5676" s="52" t="s">
        <v>60</v>
      </c>
      <c r="C5676" s="52" t="s">
        <v>153</v>
      </c>
      <c r="D5676" s="52" t="s">
        <v>153</v>
      </c>
      <c r="E5676" s="52" t="s">
        <v>584</v>
      </c>
      <c r="F5676" s="52" t="s">
        <v>26</v>
      </c>
      <c r="G5676" s="195" t="s">
        <v>277</v>
      </c>
      <c r="H5676" s="195">
        <v>0</v>
      </c>
      <c r="I5676" s="195">
        <v>0.4</v>
      </c>
      <c r="J5676" s="195">
        <v>0</v>
      </c>
      <c r="K5676" s="195">
        <v>0</v>
      </c>
      <c r="L5676" s="195">
        <v>0</v>
      </c>
      <c r="M5676" s="195">
        <v>0</v>
      </c>
      <c r="N5676" s="195">
        <v>0</v>
      </c>
    </row>
    <row r="5677" spans="1:14" hidden="1" x14ac:dyDescent="0.35">
      <c r="A5677" s="52" t="s">
        <v>711</v>
      </c>
      <c r="B5677" s="52" t="s">
        <v>60</v>
      </c>
      <c r="C5677" s="52" t="s">
        <v>153</v>
      </c>
      <c r="D5677" s="52" t="s">
        <v>153</v>
      </c>
      <c r="E5677" s="52" t="s">
        <v>584</v>
      </c>
      <c r="F5677" s="52" t="s">
        <v>26</v>
      </c>
      <c r="G5677" s="195" t="s">
        <v>278</v>
      </c>
      <c r="H5677" s="195">
        <v>0.76745839999999999</v>
      </c>
      <c r="I5677" s="195">
        <v>23.474209999999999</v>
      </c>
      <c r="J5677" s="195">
        <v>0.40227839999999998</v>
      </c>
      <c r="K5677" s="195">
        <v>0.15750639999999999</v>
      </c>
      <c r="L5677" s="195">
        <v>0.1056648</v>
      </c>
      <c r="M5677" s="195">
        <v>0.1056648</v>
      </c>
      <c r="N5677" s="195">
        <v>0.1056648</v>
      </c>
    </row>
    <row r="5678" spans="1:14" hidden="1" x14ac:dyDescent="0.35">
      <c r="A5678" s="52" t="s">
        <v>711</v>
      </c>
      <c r="B5678" s="52" t="s">
        <v>60</v>
      </c>
      <c r="C5678" s="52" t="s">
        <v>153</v>
      </c>
      <c r="D5678" s="52" t="s">
        <v>153</v>
      </c>
      <c r="E5678" s="52" t="s">
        <v>584</v>
      </c>
      <c r="F5678" s="52" t="s">
        <v>26</v>
      </c>
      <c r="G5678" s="195" t="s">
        <v>279</v>
      </c>
      <c r="H5678" s="195"/>
      <c r="I5678" s="195"/>
      <c r="J5678" s="195">
        <v>0</v>
      </c>
      <c r="K5678" s="195">
        <v>0</v>
      </c>
      <c r="L5678" s="195">
        <v>0</v>
      </c>
      <c r="M5678" s="195">
        <v>0</v>
      </c>
      <c r="N5678" s="195">
        <v>0</v>
      </c>
    </row>
    <row r="5679" spans="1:14" hidden="1" x14ac:dyDescent="0.35">
      <c r="A5679" s="52" t="s">
        <v>711</v>
      </c>
      <c r="B5679" s="52" t="s">
        <v>154</v>
      </c>
      <c r="C5679" s="52" t="s">
        <v>153</v>
      </c>
      <c r="D5679" s="52" t="s">
        <v>153</v>
      </c>
      <c r="E5679" s="52" t="s">
        <v>584</v>
      </c>
      <c r="F5679" s="52" t="s">
        <v>581</v>
      </c>
      <c r="G5679" s="195" t="s">
        <v>275</v>
      </c>
      <c r="H5679" s="195">
        <v>61.326000000000001</v>
      </c>
      <c r="I5679" s="195">
        <v>5.4349100000000004</v>
      </c>
      <c r="J5679" s="195">
        <v>-5.0580020000000001</v>
      </c>
      <c r="K5679" s="195">
        <v>-6.1727679999999996</v>
      </c>
      <c r="L5679" s="195">
        <v>-17.86215</v>
      </c>
      <c r="M5679" s="195">
        <v>-4.2983169999999999</v>
      </c>
      <c r="N5679" s="195">
        <v>-7.6892940000000003</v>
      </c>
    </row>
    <row r="5680" spans="1:14" hidden="1" x14ac:dyDescent="0.35">
      <c r="A5680" s="52" t="s">
        <v>711</v>
      </c>
      <c r="B5680" s="52" t="s">
        <v>154</v>
      </c>
      <c r="C5680" s="52" t="s">
        <v>153</v>
      </c>
      <c r="D5680" s="52" t="s">
        <v>153</v>
      </c>
      <c r="E5680" s="52" t="s">
        <v>584</v>
      </c>
      <c r="F5680" s="52" t="s">
        <v>581</v>
      </c>
      <c r="G5680" s="195" t="s">
        <v>276</v>
      </c>
      <c r="H5680" s="195">
        <v>52.201000000000001</v>
      </c>
      <c r="I5680" s="195">
        <v>11.26779</v>
      </c>
      <c r="J5680" s="195">
        <v>9.8130070000000007</v>
      </c>
      <c r="K5680" s="195">
        <v>8.822101</v>
      </c>
      <c r="L5680" s="195">
        <v>8.9566949999999999</v>
      </c>
      <c r="M5680" s="195">
        <v>6.1310570000000002</v>
      </c>
      <c r="N5680" s="195">
        <v>7.2561090000000004</v>
      </c>
    </row>
    <row r="5681" spans="1:14" hidden="1" x14ac:dyDescent="0.35">
      <c r="A5681" s="52" t="s">
        <v>711</v>
      </c>
      <c r="B5681" s="52" t="s">
        <v>154</v>
      </c>
      <c r="C5681" s="52" t="s">
        <v>153</v>
      </c>
      <c r="D5681" s="52" t="s">
        <v>153</v>
      </c>
      <c r="E5681" s="52" t="s">
        <v>584</v>
      </c>
      <c r="F5681" s="52" t="s">
        <v>581</v>
      </c>
      <c r="G5681" s="195" t="s">
        <v>277</v>
      </c>
      <c r="H5681" s="195">
        <v>4.1862500000000002</v>
      </c>
      <c r="I5681" s="195">
        <v>4.1905760000000001</v>
      </c>
      <c r="J5681" s="195">
        <v>10.685129999999999</v>
      </c>
      <c r="K5681" s="195">
        <v>6.2164210000000004</v>
      </c>
      <c r="L5681" s="195">
        <v>4.2588410000000003</v>
      </c>
      <c r="M5681" s="195">
        <v>5.3181510000000003</v>
      </c>
      <c r="N5681" s="195">
        <v>1.704548</v>
      </c>
    </row>
    <row r="5682" spans="1:14" hidden="1" x14ac:dyDescent="0.35">
      <c r="A5682" s="52" t="s">
        <v>711</v>
      </c>
      <c r="B5682" s="52" t="s">
        <v>154</v>
      </c>
      <c r="C5682" s="52" t="s">
        <v>153</v>
      </c>
      <c r="D5682" s="52" t="s">
        <v>153</v>
      </c>
      <c r="E5682" s="52" t="s">
        <v>584</v>
      </c>
      <c r="F5682" s="52" t="s">
        <v>581</v>
      </c>
      <c r="G5682" s="195" t="s">
        <v>278</v>
      </c>
      <c r="H5682" s="195">
        <v>6.7054370000000002E-2</v>
      </c>
      <c r="I5682" s="195">
        <v>6.7054370000000002E-2</v>
      </c>
      <c r="J5682" s="195">
        <v>6.7054370000000002E-2</v>
      </c>
      <c r="K5682" s="195">
        <v>6.7054370000000002E-2</v>
      </c>
      <c r="L5682" s="195">
        <v>6.7054370000000002E-2</v>
      </c>
      <c r="M5682" s="195">
        <v>6.7054370000000002E-2</v>
      </c>
      <c r="N5682" s="195">
        <v>6.7054370000000002E-2</v>
      </c>
    </row>
    <row r="5683" spans="1:14" hidden="1" x14ac:dyDescent="0.35">
      <c r="A5683" s="52" t="s">
        <v>711</v>
      </c>
      <c r="B5683" s="52" t="s">
        <v>154</v>
      </c>
      <c r="C5683" s="52" t="s">
        <v>153</v>
      </c>
      <c r="D5683" s="52" t="s">
        <v>153</v>
      </c>
      <c r="E5683" s="52" t="s">
        <v>584</v>
      </c>
      <c r="F5683" s="52" t="s">
        <v>581</v>
      </c>
      <c r="G5683" s="195" t="s">
        <v>279</v>
      </c>
      <c r="H5683" s="195">
        <v>52.500230000000002</v>
      </c>
      <c r="I5683" s="195">
        <v>49.358020000000003</v>
      </c>
      <c r="J5683" s="195">
        <v>50.977780000000003</v>
      </c>
      <c r="K5683" s="195">
        <v>51.555190000000003</v>
      </c>
      <c r="L5683" s="195">
        <v>66.006649999999993</v>
      </c>
      <c r="M5683" s="195">
        <v>51.306240000000003</v>
      </c>
      <c r="N5683" s="195">
        <v>50.728990000000003</v>
      </c>
    </row>
    <row r="5684" spans="1:14" hidden="1" x14ac:dyDescent="0.35">
      <c r="A5684" s="52" t="s">
        <v>711</v>
      </c>
      <c r="B5684" s="52" t="s">
        <v>154</v>
      </c>
      <c r="C5684" s="52" t="s">
        <v>153</v>
      </c>
      <c r="D5684" s="52" t="s">
        <v>153</v>
      </c>
      <c r="E5684" s="52" t="s">
        <v>584</v>
      </c>
      <c r="F5684" s="52" t="s">
        <v>26</v>
      </c>
      <c r="G5684" s="195" t="s">
        <v>275</v>
      </c>
      <c r="H5684" s="195">
        <v>-0.64330229999999999</v>
      </c>
      <c r="I5684" s="195">
        <v>-0.59330859999999996</v>
      </c>
      <c r="J5684" s="195">
        <v>-1.6602129999999999</v>
      </c>
      <c r="K5684" s="195">
        <v>-0.89744049999999997</v>
      </c>
      <c r="L5684" s="195">
        <v>-9.9569290000000006</v>
      </c>
      <c r="M5684" s="195">
        <v>-0.52144789999999996</v>
      </c>
      <c r="N5684" s="195">
        <v>-0.51686840000000001</v>
      </c>
    </row>
    <row r="5685" spans="1:14" hidden="1" x14ac:dyDescent="0.35">
      <c r="A5685" s="52" t="s">
        <v>711</v>
      </c>
      <c r="B5685" s="52" t="s">
        <v>154</v>
      </c>
      <c r="C5685" s="52" t="s">
        <v>153</v>
      </c>
      <c r="D5685" s="52" t="s">
        <v>153</v>
      </c>
      <c r="E5685" s="52" t="s">
        <v>584</v>
      </c>
      <c r="F5685" s="52" t="s">
        <v>26</v>
      </c>
      <c r="G5685" s="195" t="s">
        <v>276</v>
      </c>
      <c r="H5685" s="195">
        <v>0.75052609999999997</v>
      </c>
      <c r="I5685" s="195">
        <v>0.32974100000000001</v>
      </c>
      <c r="J5685" s="195">
        <v>0.37374059999999998</v>
      </c>
      <c r="K5685" s="195">
        <v>0.12092749999999999</v>
      </c>
      <c r="L5685" s="195">
        <v>9.4533919999999994E-2</v>
      </c>
      <c r="M5685" s="195">
        <v>9.0741859999999994E-2</v>
      </c>
      <c r="N5685" s="195">
        <v>0.1197743</v>
      </c>
    </row>
    <row r="5686" spans="1:14" hidden="1" x14ac:dyDescent="0.35">
      <c r="A5686" s="52" t="s">
        <v>711</v>
      </c>
      <c r="B5686" s="52" t="s">
        <v>154</v>
      </c>
      <c r="C5686" s="52" t="s">
        <v>153</v>
      </c>
      <c r="D5686" s="52" t="s">
        <v>153</v>
      </c>
      <c r="E5686" s="52" t="s">
        <v>584</v>
      </c>
      <c r="F5686" s="52" t="s">
        <v>26</v>
      </c>
      <c r="G5686" s="195" t="s">
        <v>279</v>
      </c>
      <c r="H5686" s="195">
        <v>3.592368</v>
      </c>
      <c r="I5686" s="195">
        <v>2.6171720000000001</v>
      </c>
      <c r="J5686" s="195">
        <v>2.5751390000000001</v>
      </c>
      <c r="K5686" s="195">
        <v>1.2157309999999999</v>
      </c>
      <c r="L5686" s="195">
        <v>10.23734</v>
      </c>
      <c r="M5686" s="195">
        <v>0.79035129999999998</v>
      </c>
      <c r="N5686" s="195">
        <v>0.71921219999999997</v>
      </c>
    </row>
    <row r="5687" spans="1:14" hidden="1" x14ac:dyDescent="0.35">
      <c r="A5687" s="52" t="s">
        <v>711</v>
      </c>
      <c r="B5687" s="52" t="s">
        <v>387</v>
      </c>
      <c r="C5687" s="52" t="s">
        <v>386</v>
      </c>
      <c r="D5687" s="52" t="s">
        <v>386</v>
      </c>
      <c r="E5687" s="52" t="s">
        <v>584</v>
      </c>
      <c r="F5687" s="52" t="s">
        <v>581</v>
      </c>
      <c r="G5687" s="195" t="s">
        <v>275</v>
      </c>
      <c r="H5687" s="195">
        <v>-31.23658</v>
      </c>
      <c r="I5687" s="195">
        <v>-6.0365760000000002</v>
      </c>
      <c r="J5687" s="195">
        <v>-39.973689999999998</v>
      </c>
      <c r="K5687" s="195">
        <v>-309.72219999999999</v>
      </c>
      <c r="L5687" s="195">
        <v>-341.5077</v>
      </c>
      <c r="M5687" s="195">
        <v>-342.70769999999999</v>
      </c>
      <c r="N5687" s="195">
        <v>-169.0694</v>
      </c>
    </row>
    <row r="5688" spans="1:14" hidden="1" x14ac:dyDescent="0.35">
      <c r="A5688" s="52" t="s">
        <v>711</v>
      </c>
      <c r="B5688" s="52" t="s">
        <v>387</v>
      </c>
      <c r="C5688" s="52" t="s">
        <v>386</v>
      </c>
      <c r="D5688" s="52" t="s">
        <v>386</v>
      </c>
      <c r="E5688" s="52" t="s">
        <v>584</v>
      </c>
      <c r="F5688" s="52" t="s">
        <v>581</v>
      </c>
      <c r="G5688" s="195" t="s">
        <v>276</v>
      </c>
      <c r="H5688" s="195"/>
      <c r="I5688" s="195"/>
      <c r="J5688" s="195">
        <v>-0.66414050000000002</v>
      </c>
      <c r="K5688" s="195">
        <v>-0.64688559999999995</v>
      </c>
      <c r="L5688" s="195">
        <v>-1.2544580000000001</v>
      </c>
      <c r="M5688" s="195">
        <v>-0.35200969999999998</v>
      </c>
      <c r="N5688" s="195">
        <v>-0.39007209999999998</v>
      </c>
    </row>
    <row r="5689" spans="1:14" hidden="1" x14ac:dyDescent="0.35">
      <c r="A5689" s="52" t="s">
        <v>711</v>
      </c>
      <c r="B5689" s="52" t="s">
        <v>387</v>
      </c>
      <c r="C5689" s="52" t="s">
        <v>386</v>
      </c>
      <c r="D5689" s="52" t="s">
        <v>386</v>
      </c>
      <c r="E5689" s="52" t="s">
        <v>584</v>
      </c>
      <c r="F5689" s="52" t="s">
        <v>581</v>
      </c>
      <c r="G5689" s="195" t="s">
        <v>277</v>
      </c>
      <c r="H5689" s="195">
        <v>29.928000000000001</v>
      </c>
      <c r="I5689" s="195">
        <v>4.7279999999999998</v>
      </c>
      <c r="J5689" s="195">
        <v>37.113460000000003</v>
      </c>
      <c r="K5689" s="195">
        <v>300.9889</v>
      </c>
      <c r="L5689" s="195">
        <v>338.77440000000001</v>
      </c>
      <c r="M5689" s="195">
        <v>339.9744</v>
      </c>
      <c r="N5689" s="195">
        <v>63.186860000000003</v>
      </c>
    </row>
    <row r="5690" spans="1:14" hidden="1" x14ac:dyDescent="0.35">
      <c r="A5690" s="52" t="s">
        <v>711</v>
      </c>
      <c r="B5690" s="52" t="s">
        <v>387</v>
      </c>
      <c r="C5690" s="52" t="s">
        <v>386</v>
      </c>
      <c r="D5690" s="52" t="s">
        <v>386</v>
      </c>
      <c r="E5690" s="52" t="s">
        <v>584</v>
      </c>
      <c r="F5690" s="52" t="s">
        <v>581</v>
      </c>
      <c r="G5690" s="195" t="s">
        <v>278</v>
      </c>
      <c r="H5690" s="195">
        <v>1.308576</v>
      </c>
      <c r="I5690" s="195">
        <v>1.308576</v>
      </c>
      <c r="J5690" s="195">
        <v>0.79436839999999997</v>
      </c>
      <c r="K5690" s="195">
        <v>0.65017409999999998</v>
      </c>
      <c r="L5690" s="195">
        <v>1.2577469999999999</v>
      </c>
      <c r="M5690" s="195">
        <v>0.355298</v>
      </c>
      <c r="N5690" s="195">
        <v>0.355298</v>
      </c>
    </row>
    <row r="5691" spans="1:14" hidden="1" x14ac:dyDescent="0.35">
      <c r="A5691" s="52" t="s">
        <v>711</v>
      </c>
      <c r="B5691" s="52" t="s">
        <v>387</v>
      </c>
      <c r="C5691" s="52" t="s">
        <v>386</v>
      </c>
      <c r="D5691" s="52" t="s">
        <v>386</v>
      </c>
      <c r="E5691" s="52" t="s">
        <v>584</v>
      </c>
      <c r="F5691" s="52" t="s">
        <v>581</v>
      </c>
      <c r="G5691" s="195" t="s">
        <v>279</v>
      </c>
      <c r="H5691" s="195"/>
      <c r="I5691" s="195">
        <v>0</v>
      </c>
      <c r="J5691" s="195">
        <v>2.73</v>
      </c>
      <c r="K5691" s="195">
        <v>8.73</v>
      </c>
      <c r="L5691" s="195">
        <v>2.73</v>
      </c>
      <c r="M5691" s="195">
        <v>2.73</v>
      </c>
      <c r="N5691" s="195">
        <v>203.21879999999999</v>
      </c>
    </row>
    <row r="5692" spans="1:14" hidden="1" x14ac:dyDescent="0.35">
      <c r="A5692" s="52" t="s">
        <v>711</v>
      </c>
      <c r="B5692" s="52" t="s">
        <v>150</v>
      </c>
      <c r="C5692" s="52" t="s">
        <v>148</v>
      </c>
      <c r="D5692" s="52" t="s">
        <v>149</v>
      </c>
      <c r="E5692" s="52" t="s">
        <v>584</v>
      </c>
      <c r="F5692" s="52" t="s">
        <v>581</v>
      </c>
      <c r="G5692" s="195" t="s">
        <v>275</v>
      </c>
      <c r="H5692" s="195">
        <v>-76.14443</v>
      </c>
      <c r="I5692" s="195">
        <v>-13.472849999999999</v>
      </c>
      <c r="J5692" s="195">
        <v>-7.5861650000000003</v>
      </c>
      <c r="K5692" s="195">
        <v>-30.047329999999999</v>
      </c>
      <c r="L5692" s="195">
        <v>-131.43790000000001</v>
      </c>
      <c r="M5692" s="195">
        <v>-151.8134</v>
      </c>
      <c r="N5692" s="195">
        <v>-69.577929999999995</v>
      </c>
    </row>
    <row r="5693" spans="1:14" hidden="1" x14ac:dyDescent="0.35">
      <c r="A5693" s="52" t="s">
        <v>711</v>
      </c>
      <c r="B5693" s="52" t="s">
        <v>150</v>
      </c>
      <c r="C5693" s="52" t="s">
        <v>148</v>
      </c>
      <c r="D5693" s="52" t="s">
        <v>149</v>
      </c>
      <c r="E5693" s="52" t="s">
        <v>584</v>
      </c>
      <c r="F5693" s="52" t="s">
        <v>581</v>
      </c>
      <c r="G5693" s="195" t="s">
        <v>276</v>
      </c>
      <c r="H5693" s="195">
        <v>0</v>
      </c>
      <c r="I5693" s="195"/>
      <c r="J5693" s="195">
        <v>-14.84238</v>
      </c>
      <c r="K5693" s="195">
        <v>-10.156409999999999</v>
      </c>
      <c r="L5693" s="195">
        <v>-2.0801989999999999</v>
      </c>
      <c r="M5693" s="195">
        <v>-0.1176117</v>
      </c>
      <c r="N5693" s="195">
        <v>2.1778</v>
      </c>
    </row>
    <row r="5694" spans="1:14" hidden="1" x14ac:dyDescent="0.35">
      <c r="A5694" s="52" t="s">
        <v>711</v>
      </c>
      <c r="B5694" s="52" t="s">
        <v>150</v>
      </c>
      <c r="C5694" s="52" t="s">
        <v>148</v>
      </c>
      <c r="D5694" s="52" t="s">
        <v>149</v>
      </c>
      <c r="E5694" s="52" t="s">
        <v>584</v>
      </c>
      <c r="F5694" s="52" t="s">
        <v>581</v>
      </c>
      <c r="G5694" s="195" t="s">
        <v>277</v>
      </c>
      <c r="H5694" s="195">
        <v>10.220000000000001</v>
      </c>
      <c r="I5694" s="195">
        <v>0</v>
      </c>
      <c r="J5694" s="195">
        <v>7.5362879999999999</v>
      </c>
      <c r="K5694" s="195">
        <v>30.02112</v>
      </c>
      <c r="L5694" s="195">
        <v>131.43790000000001</v>
      </c>
      <c r="M5694" s="195">
        <v>151.82599999999999</v>
      </c>
      <c r="N5694" s="195">
        <v>91.069320000000005</v>
      </c>
    </row>
    <row r="5695" spans="1:14" hidden="1" x14ac:dyDescent="0.35">
      <c r="A5695" s="52" t="s">
        <v>711</v>
      </c>
      <c r="B5695" s="52" t="s">
        <v>150</v>
      </c>
      <c r="C5695" s="52" t="s">
        <v>148</v>
      </c>
      <c r="D5695" s="52" t="s">
        <v>149</v>
      </c>
      <c r="E5695" s="52" t="s">
        <v>584</v>
      </c>
      <c r="F5695" s="52" t="s">
        <v>581</v>
      </c>
      <c r="G5695" s="195" t="s">
        <v>278</v>
      </c>
      <c r="H5695" s="195">
        <v>65.924430000000001</v>
      </c>
      <c r="I5695" s="195">
        <v>13.472849999999999</v>
      </c>
      <c r="J5695" s="195">
        <v>14.89226</v>
      </c>
      <c r="K5695" s="195">
        <v>10.18262</v>
      </c>
      <c r="L5695" s="195">
        <v>2.0801989999999999</v>
      </c>
      <c r="M5695" s="195">
        <v>0.1051117</v>
      </c>
      <c r="N5695" s="195">
        <v>0.1051117</v>
      </c>
    </row>
    <row r="5696" spans="1:14" hidden="1" x14ac:dyDescent="0.35">
      <c r="A5696" s="52" t="s">
        <v>711</v>
      </c>
      <c r="B5696" s="52" t="s">
        <v>150</v>
      </c>
      <c r="C5696" s="52" t="s">
        <v>148</v>
      </c>
      <c r="D5696" s="52" t="s">
        <v>149</v>
      </c>
      <c r="E5696" s="52" t="s">
        <v>584</v>
      </c>
      <c r="F5696" s="52" t="s">
        <v>581</v>
      </c>
      <c r="G5696" s="195" t="s">
        <v>279</v>
      </c>
      <c r="H5696" s="195"/>
      <c r="I5696" s="195"/>
      <c r="J5696" s="195"/>
      <c r="K5696" s="195"/>
      <c r="L5696" s="195"/>
      <c r="M5696" s="195">
        <v>0</v>
      </c>
      <c r="N5696" s="195">
        <v>39.215150000000001</v>
      </c>
    </row>
    <row r="5697" spans="1:14" hidden="1" x14ac:dyDescent="0.35">
      <c r="A5697" s="52" t="s">
        <v>711</v>
      </c>
      <c r="B5697" s="52" t="s">
        <v>150</v>
      </c>
      <c r="C5697" s="52" t="s">
        <v>148</v>
      </c>
      <c r="D5697" s="52" t="s">
        <v>149</v>
      </c>
      <c r="E5697" s="52" t="s">
        <v>584</v>
      </c>
      <c r="F5697" s="52" t="s">
        <v>26</v>
      </c>
      <c r="G5697" s="195" t="s">
        <v>275</v>
      </c>
      <c r="H5697" s="195"/>
      <c r="I5697" s="195"/>
      <c r="J5697" s="195">
        <v>0</v>
      </c>
      <c r="K5697" s="195">
        <v>-0.45910299999999998</v>
      </c>
      <c r="L5697" s="195">
        <v>-2.0124689999999998</v>
      </c>
      <c r="M5697" s="195">
        <v>-1.7301</v>
      </c>
      <c r="N5697" s="195">
        <v>-0.92310539999999996</v>
      </c>
    </row>
    <row r="5698" spans="1:14" hidden="1" x14ac:dyDescent="0.35">
      <c r="A5698" s="52" t="s">
        <v>711</v>
      </c>
      <c r="B5698" s="52" t="s">
        <v>150</v>
      </c>
      <c r="C5698" s="52" t="s">
        <v>148</v>
      </c>
      <c r="D5698" s="52" t="s">
        <v>149</v>
      </c>
      <c r="E5698" s="52" t="s">
        <v>584</v>
      </c>
      <c r="F5698" s="52" t="s">
        <v>26</v>
      </c>
      <c r="G5698" s="195" t="s">
        <v>276</v>
      </c>
      <c r="H5698" s="195"/>
      <c r="I5698" s="195"/>
      <c r="J5698" s="195"/>
      <c r="K5698" s="195"/>
      <c r="L5698" s="195"/>
      <c r="M5698" s="195">
        <v>0</v>
      </c>
      <c r="N5698" s="195">
        <v>0.48755340000000003</v>
      </c>
    </row>
    <row r="5699" spans="1:14" hidden="1" x14ac:dyDescent="0.35">
      <c r="A5699" s="52" t="s">
        <v>711</v>
      </c>
      <c r="B5699" s="52" t="s">
        <v>150</v>
      </c>
      <c r="C5699" s="52" t="s">
        <v>148</v>
      </c>
      <c r="D5699" s="52" t="s">
        <v>149</v>
      </c>
      <c r="E5699" s="52" t="s">
        <v>584</v>
      </c>
      <c r="F5699" s="52" t="s">
        <v>26</v>
      </c>
      <c r="G5699" s="195" t="s">
        <v>277</v>
      </c>
      <c r="H5699" s="195"/>
      <c r="I5699" s="195"/>
      <c r="J5699" s="195">
        <v>0</v>
      </c>
      <c r="K5699" s="195">
        <v>0.45910299999999998</v>
      </c>
      <c r="L5699" s="195">
        <v>2.0124689999999998</v>
      </c>
      <c r="M5699" s="195">
        <v>1.7301</v>
      </c>
      <c r="N5699" s="195">
        <v>0.74147149999999995</v>
      </c>
    </row>
    <row r="5700" spans="1:14" hidden="1" x14ac:dyDescent="0.35">
      <c r="A5700" s="52" t="s">
        <v>711</v>
      </c>
      <c r="B5700" s="52" t="s">
        <v>150</v>
      </c>
      <c r="C5700" s="52" t="s">
        <v>148</v>
      </c>
      <c r="D5700" s="52" t="s">
        <v>149</v>
      </c>
      <c r="E5700" s="52" t="s">
        <v>584</v>
      </c>
      <c r="F5700" s="52" t="s">
        <v>26</v>
      </c>
      <c r="G5700" s="195" t="s">
        <v>279</v>
      </c>
      <c r="H5700" s="195"/>
      <c r="I5700" s="195"/>
      <c r="J5700" s="195"/>
      <c r="K5700" s="195"/>
      <c r="L5700" s="195"/>
      <c r="M5700" s="195">
        <v>0</v>
      </c>
      <c r="N5700" s="195">
        <v>1.319259</v>
      </c>
    </row>
    <row r="5701" spans="1:14" hidden="1" x14ac:dyDescent="0.35">
      <c r="A5701" s="52" t="s">
        <v>711</v>
      </c>
      <c r="B5701" s="52" t="s">
        <v>150</v>
      </c>
      <c r="C5701" s="52" t="s">
        <v>287</v>
      </c>
      <c r="D5701" s="52" t="s">
        <v>287</v>
      </c>
      <c r="E5701" s="52" t="s">
        <v>584</v>
      </c>
      <c r="F5701" s="52" t="s">
        <v>581</v>
      </c>
      <c r="G5701" s="195" t="s">
        <v>275</v>
      </c>
      <c r="H5701" s="195">
        <v>-0.36416500000000002</v>
      </c>
      <c r="I5701" s="195">
        <v>-0.52909899999999999</v>
      </c>
      <c r="J5701" s="195">
        <v>0</v>
      </c>
      <c r="K5701" s="195">
        <v>0</v>
      </c>
      <c r="L5701" s="195">
        <v>0</v>
      </c>
      <c r="M5701" s="195">
        <v>0</v>
      </c>
      <c r="N5701" s="195">
        <v>0</v>
      </c>
    </row>
    <row r="5702" spans="1:14" hidden="1" x14ac:dyDescent="0.35">
      <c r="A5702" s="52" t="s">
        <v>711</v>
      </c>
      <c r="B5702" s="52" t="s">
        <v>150</v>
      </c>
      <c r="C5702" s="52" t="s">
        <v>287</v>
      </c>
      <c r="D5702" s="52" t="s">
        <v>287</v>
      </c>
      <c r="E5702" s="52" t="s">
        <v>584</v>
      </c>
      <c r="F5702" s="52" t="s">
        <v>581</v>
      </c>
      <c r="G5702" s="195" t="s">
        <v>276</v>
      </c>
      <c r="H5702" s="195"/>
      <c r="I5702" s="195"/>
      <c r="J5702" s="195">
        <v>-0.49365300000000001</v>
      </c>
      <c r="K5702" s="195">
        <v>-52.730130000000003</v>
      </c>
      <c r="L5702" s="195">
        <v>-0.358068</v>
      </c>
      <c r="M5702" s="195">
        <v>-4.9203049999999999</v>
      </c>
      <c r="N5702" s="195">
        <v>-0.73306800000000005</v>
      </c>
    </row>
    <row r="5703" spans="1:14" hidden="1" x14ac:dyDescent="0.35">
      <c r="A5703" s="52" t="s">
        <v>711</v>
      </c>
      <c r="B5703" s="52" t="s">
        <v>150</v>
      </c>
      <c r="C5703" s="52" t="s">
        <v>287</v>
      </c>
      <c r="D5703" s="52" t="s">
        <v>287</v>
      </c>
      <c r="E5703" s="52" t="s">
        <v>584</v>
      </c>
      <c r="F5703" s="52" t="s">
        <v>581</v>
      </c>
      <c r="G5703" s="195" t="s">
        <v>277</v>
      </c>
      <c r="H5703" s="195"/>
      <c r="I5703" s="195"/>
      <c r="J5703" s="195"/>
      <c r="K5703" s="195"/>
      <c r="L5703" s="195">
        <v>0</v>
      </c>
      <c r="M5703" s="195">
        <v>0.42499999999999999</v>
      </c>
      <c r="N5703" s="195">
        <v>0.375</v>
      </c>
    </row>
    <row r="5704" spans="1:14" hidden="1" x14ac:dyDescent="0.35">
      <c r="A5704" s="52" t="s">
        <v>711</v>
      </c>
      <c r="B5704" s="52" t="s">
        <v>150</v>
      </c>
      <c r="C5704" s="52" t="s">
        <v>287</v>
      </c>
      <c r="D5704" s="52" t="s">
        <v>287</v>
      </c>
      <c r="E5704" s="52" t="s">
        <v>584</v>
      </c>
      <c r="F5704" s="52" t="s">
        <v>581</v>
      </c>
      <c r="G5704" s="195" t="s">
        <v>278</v>
      </c>
      <c r="H5704" s="195">
        <v>0.36416500000000002</v>
      </c>
      <c r="I5704" s="195">
        <v>0.52909899999999999</v>
      </c>
      <c r="J5704" s="195">
        <v>0.49365300000000001</v>
      </c>
      <c r="K5704" s="195">
        <v>52.730130000000003</v>
      </c>
      <c r="L5704" s="195">
        <v>0.358068</v>
      </c>
      <c r="M5704" s="195">
        <v>4.4953050000000001</v>
      </c>
      <c r="N5704" s="195">
        <v>0.358068</v>
      </c>
    </row>
    <row r="5705" spans="1:14" hidden="1" x14ac:dyDescent="0.35">
      <c r="A5705" s="52" t="s">
        <v>711</v>
      </c>
      <c r="B5705" s="52" t="s">
        <v>37</v>
      </c>
      <c r="C5705" s="52" t="s">
        <v>57</v>
      </c>
      <c r="D5705" s="52" t="s">
        <v>57</v>
      </c>
      <c r="E5705" s="52" t="s">
        <v>584</v>
      </c>
      <c r="F5705" s="52" t="s">
        <v>581</v>
      </c>
      <c r="G5705" s="195" t="s">
        <v>275</v>
      </c>
      <c r="H5705" s="195">
        <v>-1.0446850000000001</v>
      </c>
      <c r="I5705" s="195">
        <v>-27.563749999999999</v>
      </c>
      <c r="J5705" s="195">
        <v>1.2844260000000001</v>
      </c>
      <c r="K5705" s="195">
        <v>1.2844260000000001</v>
      </c>
      <c r="L5705" s="195">
        <v>0.53046119999999997</v>
      </c>
      <c r="M5705" s="195">
        <v>0</v>
      </c>
      <c r="N5705" s="195">
        <v>0</v>
      </c>
    </row>
    <row r="5706" spans="1:14" hidden="1" x14ac:dyDescent="0.35">
      <c r="A5706" s="52" t="s">
        <v>711</v>
      </c>
      <c r="B5706" s="52" t="s">
        <v>37</v>
      </c>
      <c r="C5706" s="52" t="s">
        <v>57</v>
      </c>
      <c r="D5706" s="52" t="s">
        <v>57</v>
      </c>
      <c r="E5706" s="52" t="s">
        <v>584</v>
      </c>
      <c r="F5706" s="52" t="s">
        <v>581</v>
      </c>
      <c r="G5706" s="195" t="s">
        <v>276</v>
      </c>
      <c r="H5706" s="195">
        <v>-1.6663829999999999</v>
      </c>
      <c r="I5706" s="195">
        <v>-2.965957</v>
      </c>
      <c r="J5706" s="195">
        <v>-5.4280609999999996</v>
      </c>
      <c r="K5706" s="195">
        <v>-5.9930909999999997</v>
      </c>
      <c r="L5706" s="195">
        <v>-6.7522719999999996</v>
      </c>
      <c r="M5706" s="195">
        <v>-5.0978640000000004</v>
      </c>
      <c r="N5706" s="195">
        <v>-3.8287059999999999</v>
      </c>
    </row>
    <row r="5707" spans="1:14" hidden="1" x14ac:dyDescent="0.35">
      <c r="A5707" s="52" t="s">
        <v>711</v>
      </c>
      <c r="B5707" s="52" t="s">
        <v>37</v>
      </c>
      <c r="C5707" s="52" t="s">
        <v>57</v>
      </c>
      <c r="D5707" s="52" t="s">
        <v>57</v>
      </c>
      <c r="E5707" s="52" t="s">
        <v>584</v>
      </c>
      <c r="F5707" s="52" t="s">
        <v>581</v>
      </c>
      <c r="G5707" s="195" t="s">
        <v>278</v>
      </c>
      <c r="H5707" s="195">
        <v>2.711074</v>
      </c>
      <c r="I5707" s="195">
        <v>30.529699999999998</v>
      </c>
      <c r="J5707" s="195">
        <v>5.428058</v>
      </c>
      <c r="K5707" s="195">
        <v>5.9931049999999999</v>
      </c>
      <c r="L5707" s="195">
        <v>6.7522500000000001</v>
      </c>
      <c r="M5707" s="195">
        <v>5.0978700000000003</v>
      </c>
      <c r="N5707" s="195">
        <v>3.8287119999999999</v>
      </c>
    </row>
    <row r="5708" spans="1:14" hidden="1" x14ac:dyDescent="0.35">
      <c r="A5708" s="52" t="s">
        <v>711</v>
      </c>
      <c r="B5708" s="52" t="s">
        <v>37</v>
      </c>
      <c r="C5708" s="52" t="s">
        <v>57</v>
      </c>
      <c r="D5708" s="52" t="s">
        <v>57</v>
      </c>
      <c r="E5708" s="52" t="s">
        <v>584</v>
      </c>
      <c r="F5708" s="52" t="s">
        <v>26</v>
      </c>
      <c r="G5708" s="195" t="s">
        <v>275</v>
      </c>
      <c r="H5708" s="195">
        <v>0</v>
      </c>
      <c r="I5708" s="195"/>
      <c r="J5708" s="195"/>
      <c r="K5708" s="195"/>
      <c r="L5708" s="195"/>
      <c r="M5708" s="195">
        <v>0</v>
      </c>
      <c r="N5708" s="195"/>
    </row>
    <row r="5709" spans="1:14" hidden="1" x14ac:dyDescent="0.35">
      <c r="A5709" s="52" t="s">
        <v>711</v>
      </c>
      <c r="B5709" s="52" t="s">
        <v>37</v>
      </c>
      <c r="C5709" s="52" t="s">
        <v>57</v>
      </c>
      <c r="D5709" s="52" t="s">
        <v>57</v>
      </c>
      <c r="E5709" s="52" t="s">
        <v>584</v>
      </c>
      <c r="F5709" s="52" t="s">
        <v>26</v>
      </c>
      <c r="G5709" s="195" t="s">
        <v>276</v>
      </c>
      <c r="H5709" s="195">
        <v>0</v>
      </c>
      <c r="I5709" s="195"/>
      <c r="J5709" s="195"/>
      <c r="K5709" s="195"/>
      <c r="L5709" s="195"/>
      <c r="M5709" s="195">
        <v>-0.17215539999999999</v>
      </c>
      <c r="N5709" s="195"/>
    </row>
    <row r="5710" spans="1:14" hidden="1" x14ac:dyDescent="0.35">
      <c r="A5710" s="52" t="s">
        <v>711</v>
      </c>
      <c r="B5710" s="52" t="s">
        <v>37</v>
      </c>
      <c r="C5710" s="52" t="s">
        <v>57</v>
      </c>
      <c r="D5710" s="52" t="s">
        <v>57</v>
      </c>
      <c r="E5710" s="52" t="s">
        <v>584</v>
      </c>
      <c r="F5710" s="52" t="s">
        <v>26</v>
      </c>
      <c r="G5710" s="195" t="s">
        <v>278</v>
      </c>
      <c r="H5710" s="195">
        <v>0</v>
      </c>
      <c r="I5710" s="195"/>
      <c r="J5710" s="195">
        <v>0.17215539999999999</v>
      </c>
      <c r="K5710" s="195"/>
      <c r="L5710" s="195">
        <v>0.17215539999999999</v>
      </c>
      <c r="M5710" s="195"/>
      <c r="N5710" s="195"/>
    </row>
    <row r="5711" spans="1:14" hidden="1" x14ac:dyDescent="0.35">
      <c r="A5711" s="52" t="s">
        <v>711</v>
      </c>
      <c r="B5711" s="52" t="s">
        <v>160</v>
      </c>
      <c r="C5711" s="52" t="s">
        <v>284</v>
      </c>
      <c r="D5711" s="52" t="s">
        <v>285</v>
      </c>
      <c r="E5711" s="52" t="s">
        <v>584</v>
      </c>
      <c r="F5711" s="52" t="s">
        <v>581</v>
      </c>
      <c r="G5711" s="195" t="s">
        <v>275</v>
      </c>
      <c r="H5711" s="195">
        <v>-0.23353109999999999</v>
      </c>
      <c r="I5711" s="195">
        <v>-17.255680000000002</v>
      </c>
      <c r="J5711" s="195">
        <v>0</v>
      </c>
      <c r="K5711" s="195">
        <v>0</v>
      </c>
      <c r="L5711" s="195">
        <v>0</v>
      </c>
      <c r="M5711" s="195">
        <v>0</v>
      </c>
      <c r="N5711" s="195">
        <v>0</v>
      </c>
    </row>
    <row r="5712" spans="1:14" hidden="1" x14ac:dyDescent="0.35">
      <c r="A5712" s="52" t="s">
        <v>711</v>
      </c>
      <c r="B5712" s="52" t="s">
        <v>160</v>
      </c>
      <c r="C5712" s="52" t="s">
        <v>284</v>
      </c>
      <c r="D5712" s="52" t="s">
        <v>285</v>
      </c>
      <c r="E5712" s="52" t="s">
        <v>584</v>
      </c>
      <c r="F5712" s="52" t="s">
        <v>581</v>
      </c>
      <c r="G5712" s="195" t="s">
        <v>276</v>
      </c>
      <c r="H5712" s="195">
        <v>-3.4087600000000003E-2</v>
      </c>
      <c r="I5712" s="195">
        <v>-0.64263060000000005</v>
      </c>
      <c r="J5712" s="195">
        <v>-2.1789869999999998</v>
      </c>
      <c r="K5712" s="195">
        <v>-4.8083889999999997E-2</v>
      </c>
      <c r="L5712" s="195">
        <v>-4.2818380000000003E-2</v>
      </c>
      <c r="M5712" s="195">
        <v>-0.1070478</v>
      </c>
      <c r="N5712" s="195">
        <v>-0.16802880000000001</v>
      </c>
    </row>
    <row r="5713" spans="1:14" hidden="1" x14ac:dyDescent="0.35">
      <c r="A5713" s="52" t="s">
        <v>711</v>
      </c>
      <c r="B5713" s="52" t="s">
        <v>160</v>
      </c>
      <c r="C5713" s="52" t="s">
        <v>284</v>
      </c>
      <c r="D5713" s="52" t="s">
        <v>285</v>
      </c>
      <c r="E5713" s="52" t="s">
        <v>584</v>
      </c>
      <c r="F5713" s="52" t="s">
        <v>581</v>
      </c>
      <c r="G5713" s="195" t="s">
        <v>277</v>
      </c>
      <c r="H5713" s="195"/>
      <c r="I5713" s="195"/>
      <c r="J5713" s="195"/>
      <c r="K5713" s="195"/>
      <c r="L5713" s="195"/>
      <c r="M5713" s="195">
        <v>0</v>
      </c>
      <c r="N5713" s="195">
        <v>6.0981E-2</v>
      </c>
    </row>
    <row r="5714" spans="1:14" hidden="1" x14ac:dyDescent="0.35">
      <c r="A5714" s="52" t="s">
        <v>711</v>
      </c>
      <c r="B5714" s="52" t="s">
        <v>160</v>
      </c>
      <c r="C5714" s="52" t="s">
        <v>284</v>
      </c>
      <c r="D5714" s="52" t="s">
        <v>285</v>
      </c>
      <c r="E5714" s="52" t="s">
        <v>584</v>
      </c>
      <c r="F5714" s="52" t="s">
        <v>581</v>
      </c>
      <c r="G5714" s="195" t="s">
        <v>278</v>
      </c>
      <c r="H5714" s="195">
        <v>0.267619</v>
      </c>
      <c r="I5714" s="195">
        <v>17.898309999999999</v>
      </c>
      <c r="J5714" s="195">
        <v>2.1789869999999998</v>
      </c>
      <c r="K5714" s="195">
        <v>4.8083099999999997E-2</v>
      </c>
      <c r="L5714" s="195">
        <v>4.2818710000000003E-2</v>
      </c>
      <c r="M5714" s="195">
        <v>0.1070478</v>
      </c>
      <c r="N5714" s="195">
        <v>0.1070478</v>
      </c>
    </row>
    <row r="5715" spans="1:14" hidden="1" x14ac:dyDescent="0.35">
      <c r="A5715" s="52" t="s">
        <v>711</v>
      </c>
      <c r="B5715" s="52" t="s">
        <v>312</v>
      </c>
      <c r="C5715" s="52" t="s">
        <v>319</v>
      </c>
      <c r="D5715" s="52" t="s">
        <v>319</v>
      </c>
      <c r="E5715" s="52" t="s">
        <v>584</v>
      </c>
      <c r="F5715" s="52" t="s">
        <v>581</v>
      </c>
      <c r="G5715" s="195" t="s">
        <v>275</v>
      </c>
      <c r="H5715" s="195">
        <v>0</v>
      </c>
      <c r="I5715" s="195">
        <v>-5.471546</v>
      </c>
      <c r="J5715" s="195">
        <v>-4.9784329999999999</v>
      </c>
      <c r="K5715" s="195">
        <v>0</v>
      </c>
      <c r="L5715" s="195"/>
      <c r="M5715" s="195"/>
      <c r="N5715" s="195"/>
    </row>
    <row r="5716" spans="1:14" hidden="1" x14ac:dyDescent="0.35">
      <c r="A5716" s="52" t="s">
        <v>711</v>
      </c>
      <c r="B5716" s="52" t="s">
        <v>312</v>
      </c>
      <c r="C5716" s="52" t="s">
        <v>319</v>
      </c>
      <c r="D5716" s="52" t="s">
        <v>319</v>
      </c>
      <c r="E5716" s="52" t="s">
        <v>584</v>
      </c>
      <c r="F5716" s="52" t="s">
        <v>581</v>
      </c>
      <c r="G5716" s="195" t="s">
        <v>276</v>
      </c>
      <c r="H5716" s="195">
        <v>0</v>
      </c>
      <c r="I5716" s="195"/>
      <c r="J5716" s="195"/>
      <c r="K5716" s="195"/>
      <c r="L5716" s="195"/>
      <c r="M5716" s="195"/>
      <c r="N5716" s="195"/>
    </row>
    <row r="5717" spans="1:14" hidden="1" x14ac:dyDescent="0.35">
      <c r="A5717" s="52" t="s">
        <v>711</v>
      </c>
      <c r="B5717" s="52" t="s">
        <v>312</v>
      </c>
      <c r="C5717" s="52" t="s">
        <v>319</v>
      </c>
      <c r="D5717" s="52" t="s">
        <v>319</v>
      </c>
      <c r="E5717" s="52" t="s">
        <v>584</v>
      </c>
      <c r="F5717" s="52" t="s">
        <v>581</v>
      </c>
      <c r="G5717" s="195" t="s">
        <v>279</v>
      </c>
      <c r="H5717" s="195">
        <v>0</v>
      </c>
      <c r="I5717" s="195">
        <v>5.4715449999999999</v>
      </c>
      <c r="J5717" s="195">
        <v>4.9784329999999999</v>
      </c>
      <c r="K5717" s="195">
        <v>0</v>
      </c>
      <c r="L5717" s="195"/>
      <c r="M5717" s="195"/>
      <c r="N5717" s="195"/>
    </row>
    <row r="5718" spans="1:14" hidden="1" x14ac:dyDescent="0.35">
      <c r="A5718" s="52" t="s">
        <v>706</v>
      </c>
      <c r="B5718" s="52" t="s">
        <v>37</v>
      </c>
      <c r="C5718" s="52" t="s">
        <v>85</v>
      </c>
      <c r="D5718" s="52" t="s">
        <v>85</v>
      </c>
      <c r="E5718" s="52" t="s">
        <v>584</v>
      </c>
      <c r="F5718" s="52" t="s">
        <v>581</v>
      </c>
      <c r="G5718" s="195" t="s">
        <v>275</v>
      </c>
      <c r="H5718" s="195">
        <v>355.89859999999999</v>
      </c>
      <c r="I5718" s="195">
        <v>-208.60059999999999</v>
      </c>
      <c r="J5718" s="195">
        <v>-91.349519999999998</v>
      </c>
      <c r="K5718" s="195">
        <v>-49.13785</v>
      </c>
      <c r="L5718" s="195">
        <v>-34.045389999999998</v>
      </c>
      <c r="M5718" s="195">
        <v>-11.45364</v>
      </c>
      <c r="N5718" s="195">
        <v>-13.64556</v>
      </c>
    </row>
    <row r="5719" spans="1:14" hidden="1" x14ac:dyDescent="0.35">
      <c r="A5719" s="52" t="s">
        <v>706</v>
      </c>
      <c r="B5719" s="52" t="s">
        <v>37</v>
      </c>
      <c r="C5719" s="52" t="s">
        <v>85</v>
      </c>
      <c r="D5719" s="52" t="s">
        <v>85</v>
      </c>
      <c r="E5719" s="52" t="s">
        <v>584</v>
      </c>
      <c r="F5719" s="52" t="s">
        <v>581</v>
      </c>
      <c r="G5719" s="195" t="s">
        <v>276</v>
      </c>
      <c r="H5719" s="195">
        <v>131.83969999999999</v>
      </c>
      <c r="I5719" s="195">
        <v>-26.393429999999999</v>
      </c>
      <c r="J5719" s="195">
        <v>-55.374749999999999</v>
      </c>
      <c r="K5719" s="195">
        <v>-61.348869999999998</v>
      </c>
      <c r="L5719" s="195">
        <v>-53.123199999999997</v>
      </c>
      <c r="M5719" s="195">
        <v>-40.748240000000003</v>
      </c>
      <c r="N5719" s="195">
        <v>-24.367180000000001</v>
      </c>
    </row>
    <row r="5720" spans="1:14" hidden="1" x14ac:dyDescent="0.35">
      <c r="A5720" s="52" t="s">
        <v>706</v>
      </c>
      <c r="B5720" s="52" t="s">
        <v>37</v>
      </c>
      <c r="C5720" s="52" t="s">
        <v>85</v>
      </c>
      <c r="D5720" s="52" t="s">
        <v>85</v>
      </c>
      <c r="E5720" s="52" t="s">
        <v>584</v>
      </c>
      <c r="F5720" s="52" t="s">
        <v>581</v>
      </c>
      <c r="G5720" s="195" t="s">
        <v>277</v>
      </c>
      <c r="H5720" s="195">
        <v>398.64100000000002</v>
      </c>
      <c r="I5720" s="195">
        <v>346.3</v>
      </c>
      <c r="J5720" s="195">
        <v>220.77029999999999</v>
      </c>
      <c r="K5720" s="195">
        <v>162.328</v>
      </c>
      <c r="L5720" s="195">
        <v>125.2658</v>
      </c>
      <c r="M5720" s="195">
        <v>89.294380000000004</v>
      </c>
      <c r="N5720" s="195">
        <v>74.186940000000007</v>
      </c>
    </row>
    <row r="5721" spans="1:14" hidden="1" x14ac:dyDescent="0.35">
      <c r="A5721" s="52" t="s">
        <v>706</v>
      </c>
      <c r="B5721" s="52" t="s">
        <v>37</v>
      </c>
      <c r="C5721" s="52" t="s">
        <v>85</v>
      </c>
      <c r="D5721" s="52" t="s">
        <v>85</v>
      </c>
      <c r="E5721" s="52" t="s">
        <v>584</v>
      </c>
      <c r="F5721" s="52" t="s">
        <v>581</v>
      </c>
      <c r="G5721" s="195" t="s">
        <v>278</v>
      </c>
      <c r="H5721" s="195">
        <v>26.943110000000001</v>
      </c>
      <c r="I5721" s="195">
        <v>19.533750000000001</v>
      </c>
      <c r="J5721" s="195">
        <v>0</v>
      </c>
      <c r="K5721" s="195"/>
      <c r="L5721" s="195"/>
      <c r="M5721" s="195"/>
      <c r="N5721" s="195"/>
    </row>
    <row r="5722" spans="1:14" hidden="1" x14ac:dyDescent="0.35">
      <c r="A5722" s="52" t="s">
        <v>706</v>
      </c>
      <c r="B5722" s="52" t="s">
        <v>37</v>
      </c>
      <c r="C5722" s="52" t="s">
        <v>85</v>
      </c>
      <c r="D5722" s="52" t="s">
        <v>85</v>
      </c>
      <c r="E5722" s="52" t="s">
        <v>584</v>
      </c>
      <c r="F5722" s="52" t="s">
        <v>581</v>
      </c>
      <c r="G5722" s="195" t="s">
        <v>279</v>
      </c>
      <c r="H5722" s="195">
        <v>526.44119999999998</v>
      </c>
      <c r="I5722" s="195">
        <v>332.49329999999998</v>
      </c>
      <c r="J5722" s="195">
        <v>254.20240000000001</v>
      </c>
      <c r="K5722" s="195">
        <v>227.01310000000001</v>
      </c>
      <c r="L5722" s="195">
        <v>204.61420000000001</v>
      </c>
      <c r="M5722" s="195">
        <v>176.2877</v>
      </c>
      <c r="N5722" s="195">
        <v>155.99549999999999</v>
      </c>
    </row>
    <row r="5723" spans="1:14" hidden="1" x14ac:dyDescent="0.35">
      <c r="A5723" s="52" t="s">
        <v>706</v>
      </c>
      <c r="B5723" s="52" t="s">
        <v>37</v>
      </c>
      <c r="C5723" s="52" t="s">
        <v>85</v>
      </c>
      <c r="D5723" s="52" t="s">
        <v>85</v>
      </c>
      <c r="E5723" s="52" t="s">
        <v>584</v>
      </c>
      <c r="F5723" s="52" t="s">
        <v>26</v>
      </c>
      <c r="G5723" s="195" t="s">
        <v>275</v>
      </c>
      <c r="H5723" s="195">
        <v>-22.098009999999999</v>
      </c>
      <c r="I5723" s="195">
        <v>-36.911189999999998</v>
      </c>
      <c r="J5723" s="195">
        <v>-21.413250000000001</v>
      </c>
      <c r="K5723" s="195">
        <v>-20.616070000000001</v>
      </c>
      <c r="L5723" s="195">
        <v>-17.567720000000001</v>
      </c>
      <c r="M5723" s="195">
        <v>-12.1052</v>
      </c>
      <c r="N5723" s="195">
        <v>-8.2909240000000004</v>
      </c>
    </row>
    <row r="5724" spans="1:14" hidden="1" x14ac:dyDescent="0.35">
      <c r="A5724" s="52" t="s">
        <v>706</v>
      </c>
      <c r="B5724" s="52" t="s">
        <v>37</v>
      </c>
      <c r="C5724" s="52" t="s">
        <v>85</v>
      </c>
      <c r="D5724" s="52" t="s">
        <v>85</v>
      </c>
      <c r="E5724" s="52" t="s">
        <v>584</v>
      </c>
      <c r="F5724" s="52" t="s">
        <v>26</v>
      </c>
      <c r="G5724" s="195" t="s">
        <v>276</v>
      </c>
      <c r="H5724" s="195">
        <v>-5.8741459999999996</v>
      </c>
      <c r="I5724" s="195">
        <v>-9.8118429999999996</v>
      </c>
      <c r="J5724" s="195">
        <v>-5.6921410000000003</v>
      </c>
      <c r="K5724" s="195">
        <v>-5.4802239999999998</v>
      </c>
      <c r="L5724" s="195">
        <v>-4.6698969999999997</v>
      </c>
      <c r="M5724" s="195">
        <v>-3.2178290000000001</v>
      </c>
      <c r="N5724" s="195">
        <v>-2.2039149999999998</v>
      </c>
    </row>
    <row r="5725" spans="1:14" hidden="1" x14ac:dyDescent="0.35">
      <c r="A5725" s="52" t="s">
        <v>706</v>
      </c>
      <c r="B5725" s="52" t="s">
        <v>37</v>
      </c>
      <c r="C5725" s="52" t="s">
        <v>85</v>
      </c>
      <c r="D5725" s="52" t="s">
        <v>85</v>
      </c>
      <c r="E5725" s="52" t="s">
        <v>584</v>
      </c>
      <c r="F5725" s="52" t="s">
        <v>26</v>
      </c>
      <c r="G5725" s="195" t="s">
        <v>279</v>
      </c>
      <c r="H5725" s="195">
        <v>193.7988</v>
      </c>
      <c r="I5725" s="195">
        <v>196.85669999999999</v>
      </c>
      <c r="J5725" s="195">
        <v>130.89330000000001</v>
      </c>
      <c r="K5725" s="195">
        <v>97.388499999999993</v>
      </c>
      <c r="L5725" s="195">
        <v>71.17989</v>
      </c>
      <c r="M5725" s="195">
        <v>48.903350000000003</v>
      </c>
      <c r="N5725" s="195">
        <v>33.602519999999998</v>
      </c>
    </row>
    <row r="5726" spans="1:14" hidden="1" x14ac:dyDescent="0.35">
      <c r="A5726" s="52" t="s">
        <v>706</v>
      </c>
      <c r="B5726" s="52" t="s">
        <v>37</v>
      </c>
      <c r="C5726" s="52" t="s">
        <v>85</v>
      </c>
      <c r="D5726" s="52" t="s">
        <v>85</v>
      </c>
      <c r="E5726" s="52" t="s">
        <v>707</v>
      </c>
      <c r="F5726" s="52" t="s">
        <v>581</v>
      </c>
      <c r="G5726" s="195" t="s">
        <v>275</v>
      </c>
      <c r="H5726" s="195">
        <v>18.291329999999999</v>
      </c>
      <c r="I5726" s="195">
        <v>0.70102580000000003</v>
      </c>
      <c r="J5726" s="195">
        <v>0.85229560000000004</v>
      </c>
      <c r="K5726" s="195">
        <v>0.89740909999999996</v>
      </c>
      <c r="L5726" s="195">
        <v>-1.7519709999999999</v>
      </c>
      <c r="M5726" s="195">
        <v>-1.214966</v>
      </c>
      <c r="N5726" s="195">
        <v>-1.1025529999999999</v>
      </c>
    </row>
    <row r="5727" spans="1:14" hidden="1" x14ac:dyDescent="0.35">
      <c r="A5727" s="52" t="s">
        <v>706</v>
      </c>
      <c r="B5727" s="52" t="s">
        <v>37</v>
      </c>
      <c r="C5727" s="52" t="s">
        <v>85</v>
      </c>
      <c r="D5727" s="52" t="s">
        <v>85</v>
      </c>
      <c r="E5727" s="52" t="s">
        <v>707</v>
      </c>
      <c r="F5727" s="52" t="s">
        <v>581</v>
      </c>
      <c r="G5727" s="195" t="s">
        <v>276</v>
      </c>
      <c r="H5727" s="195">
        <v>1.5507409999999999</v>
      </c>
      <c r="I5727" s="195">
        <v>-1.025633</v>
      </c>
      <c r="J5727" s="195">
        <v>-2.0686279999999999</v>
      </c>
      <c r="K5727" s="195">
        <v>-2.1934130000000001</v>
      </c>
      <c r="L5727" s="195">
        <v>-0.4164524</v>
      </c>
      <c r="M5727" s="195">
        <v>-0.35697279999999998</v>
      </c>
      <c r="N5727" s="195">
        <v>-0.34460420000000003</v>
      </c>
    </row>
    <row r="5728" spans="1:14" hidden="1" x14ac:dyDescent="0.35">
      <c r="A5728" s="52" t="s">
        <v>706</v>
      </c>
      <c r="B5728" s="52" t="s">
        <v>37</v>
      </c>
      <c r="C5728" s="52" t="s">
        <v>85</v>
      </c>
      <c r="D5728" s="52" t="s">
        <v>85</v>
      </c>
      <c r="E5728" s="52" t="s">
        <v>707</v>
      </c>
      <c r="F5728" s="52" t="s">
        <v>581</v>
      </c>
      <c r="G5728" s="195" t="s">
        <v>277</v>
      </c>
      <c r="H5728" s="195">
        <v>0</v>
      </c>
      <c r="I5728" s="195">
        <v>0</v>
      </c>
      <c r="J5728" s="195"/>
      <c r="K5728" s="195">
        <v>0.34460200000000002</v>
      </c>
      <c r="L5728" s="195"/>
      <c r="M5728" s="195">
        <v>0</v>
      </c>
      <c r="N5728" s="195">
        <v>0</v>
      </c>
    </row>
    <row r="5729" spans="1:14" hidden="1" x14ac:dyDescent="0.35">
      <c r="A5729" s="52" t="s">
        <v>706</v>
      </c>
      <c r="B5729" s="52" t="s">
        <v>37</v>
      </c>
      <c r="C5729" s="52" t="s">
        <v>85</v>
      </c>
      <c r="D5729" s="52" t="s">
        <v>85</v>
      </c>
      <c r="E5729" s="52" t="s">
        <v>707</v>
      </c>
      <c r="F5729" s="52" t="s">
        <v>581</v>
      </c>
      <c r="G5729" s="195" t="s">
        <v>278</v>
      </c>
      <c r="H5729" s="195">
        <v>0</v>
      </c>
      <c r="I5729" s="195">
        <v>0</v>
      </c>
      <c r="J5729" s="195"/>
      <c r="K5729" s="195">
        <v>0</v>
      </c>
      <c r="L5729" s="195"/>
      <c r="M5729" s="195"/>
      <c r="N5729" s="195"/>
    </row>
    <row r="5730" spans="1:14" hidden="1" x14ac:dyDescent="0.35">
      <c r="A5730" s="52" t="s">
        <v>706</v>
      </c>
      <c r="B5730" s="52" t="s">
        <v>37</v>
      </c>
      <c r="C5730" s="52" t="s">
        <v>85</v>
      </c>
      <c r="D5730" s="52" t="s">
        <v>85</v>
      </c>
      <c r="E5730" s="52" t="s">
        <v>707</v>
      </c>
      <c r="F5730" s="52" t="s">
        <v>581</v>
      </c>
      <c r="G5730" s="195" t="s">
        <v>279</v>
      </c>
      <c r="H5730" s="195">
        <v>20.16011</v>
      </c>
      <c r="I5730" s="195">
        <v>10.141819999999999</v>
      </c>
      <c r="J5730" s="195">
        <v>8.5753149999999998</v>
      </c>
      <c r="K5730" s="195">
        <v>8.0515650000000001</v>
      </c>
      <c r="L5730" s="195">
        <v>8.467276</v>
      </c>
      <c r="M5730" s="195">
        <v>7.7148760000000003</v>
      </c>
      <c r="N5730" s="195">
        <v>7.0293409999999996</v>
      </c>
    </row>
    <row r="5731" spans="1:14" hidden="1" x14ac:dyDescent="0.35">
      <c r="A5731" s="52" t="s">
        <v>706</v>
      </c>
      <c r="B5731" s="52" t="s">
        <v>37</v>
      </c>
      <c r="C5731" s="52" t="s">
        <v>85</v>
      </c>
      <c r="D5731" s="52" t="s">
        <v>85</v>
      </c>
      <c r="E5731" s="52" t="s">
        <v>707</v>
      </c>
      <c r="F5731" s="52" t="s">
        <v>26</v>
      </c>
      <c r="G5731" s="195" t="s">
        <v>275</v>
      </c>
      <c r="H5731" s="195">
        <v>-0.48052499999999998</v>
      </c>
      <c r="I5731" s="195">
        <v>-0.35597580000000001</v>
      </c>
      <c r="J5731" s="195">
        <v>-0.27717979999999998</v>
      </c>
      <c r="K5731" s="195">
        <v>-0.27164759999999999</v>
      </c>
      <c r="L5731" s="195">
        <v>-0.33762180000000003</v>
      </c>
      <c r="M5731" s="195">
        <v>-0.30336600000000002</v>
      </c>
      <c r="N5731" s="195">
        <v>-0.27625080000000002</v>
      </c>
    </row>
    <row r="5732" spans="1:14" hidden="1" x14ac:dyDescent="0.35">
      <c r="A5732" s="52" t="s">
        <v>706</v>
      </c>
      <c r="B5732" s="52" t="s">
        <v>37</v>
      </c>
      <c r="C5732" s="52" t="s">
        <v>85</v>
      </c>
      <c r="D5732" s="52" t="s">
        <v>85</v>
      </c>
      <c r="E5732" s="52" t="s">
        <v>707</v>
      </c>
      <c r="F5732" s="52" t="s">
        <v>26</v>
      </c>
      <c r="G5732" s="195" t="s">
        <v>276</v>
      </c>
      <c r="H5732" s="195">
        <v>-0.12773399999999999</v>
      </c>
      <c r="I5732" s="195">
        <v>-9.4626199999999994E-2</v>
      </c>
      <c r="J5732" s="195">
        <v>-7.3680200000000001E-2</v>
      </c>
      <c r="K5732" s="195">
        <v>-7.2210800000000006E-2</v>
      </c>
      <c r="L5732" s="195">
        <v>-8.9747599999999997E-2</v>
      </c>
      <c r="M5732" s="195">
        <v>-8.06418E-2</v>
      </c>
      <c r="N5732" s="195">
        <v>-7.3433999999999999E-2</v>
      </c>
    </row>
    <row r="5733" spans="1:14" hidden="1" x14ac:dyDescent="0.35">
      <c r="A5733" s="52" t="s">
        <v>706</v>
      </c>
      <c r="B5733" s="52" t="s">
        <v>37</v>
      </c>
      <c r="C5733" s="52" t="s">
        <v>85</v>
      </c>
      <c r="D5733" s="52" t="s">
        <v>85</v>
      </c>
      <c r="E5733" s="52" t="s">
        <v>707</v>
      </c>
      <c r="F5733" s="52" t="s">
        <v>26</v>
      </c>
      <c r="G5733" s="195" t="s">
        <v>279</v>
      </c>
      <c r="H5733" s="195">
        <v>1.9205859999999999</v>
      </c>
      <c r="I5733" s="195">
        <v>1.132782</v>
      </c>
      <c r="J5733" s="195">
        <v>0.9694895</v>
      </c>
      <c r="K5733" s="195">
        <v>0.91640960000000005</v>
      </c>
      <c r="L5733" s="195">
        <v>0.96060199999999996</v>
      </c>
      <c r="M5733" s="195">
        <v>0.87609510000000002</v>
      </c>
      <c r="N5733" s="195">
        <v>0.79839959999999999</v>
      </c>
    </row>
    <row r="5734" spans="1:14" hidden="1" x14ac:dyDescent="0.35">
      <c r="A5734" s="52" t="s">
        <v>706</v>
      </c>
      <c r="B5734" s="52" t="s">
        <v>37</v>
      </c>
      <c r="C5734" s="52" t="s">
        <v>273</v>
      </c>
      <c r="D5734" s="52" t="s">
        <v>273</v>
      </c>
      <c r="E5734" s="52" t="s">
        <v>584</v>
      </c>
      <c r="F5734" s="52" t="s">
        <v>581</v>
      </c>
      <c r="G5734" s="195" t="s">
        <v>275</v>
      </c>
      <c r="H5734" s="195">
        <v>98.206829999999997</v>
      </c>
      <c r="I5734" s="195">
        <v>-63.65287</v>
      </c>
      <c r="J5734" s="195">
        <v>-55.283340000000003</v>
      </c>
      <c r="K5734" s="195">
        <v>-218.47890000000001</v>
      </c>
      <c r="L5734" s="195">
        <v>-50.435890000000001</v>
      </c>
      <c r="M5734" s="195">
        <v>-44.46705</v>
      </c>
      <c r="N5734" s="195">
        <v>-2.5426350000000002</v>
      </c>
    </row>
    <row r="5735" spans="1:14" hidden="1" x14ac:dyDescent="0.35">
      <c r="A5735" s="52" t="s">
        <v>706</v>
      </c>
      <c r="B5735" s="52" t="s">
        <v>37</v>
      </c>
      <c r="C5735" s="52" t="s">
        <v>273</v>
      </c>
      <c r="D5735" s="52" t="s">
        <v>273</v>
      </c>
      <c r="E5735" s="52" t="s">
        <v>584</v>
      </c>
      <c r="F5735" s="52" t="s">
        <v>581</v>
      </c>
      <c r="G5735" s="195" t="s">
        <v>276</v>
      </c>
      <c r="H5735" s="195">
        <v>23.373550000000002</v>
      </c>
      <c r="I5735" s="195">
        <v>-13.64959</v>
      </c>
      <c r="J5735" s="195">
        <v>-21.585550000000001</v>
      </c>
      <c r="K5735" s="195">
        <v>-75.832279999999997</v>
      </c>
      <c r="L5735" s="195">
        <v>-21.70309</v>
      </c>
      <c r="M5735" s="195">
        <v>-17.986440000000002</v>
      </c>
      <c r="N5735" s="195">
        <v>-3.9199489999999999</v>
      </c>
    </row>
    <row r="5736" spans="1:14" hidden="1" x14ac:dyDescent="0.35">
      <c r="A5736" s="52" t="s">
        <v>706</v>
      </c>
      <c r="B5736" s="52" t="s">
        <v>37</v>
      </c>
      <c r="C5736" s="52" t="s">
        <v>273</v>
      </c>
      <c r="D5736" s="52" t="s">
        <v>273</v>
      </c>
      <c r="E5736" s="52" t="s">
        <v>584</v>
      </c>
      <c r="F5736" s="52" t="s">
        <v>581</v>
      </c>
      <c r="G5736" s="195" t="s">
        <v>277</v>
      </c>
      <c r="H5736" s="195">
        <v>72.952740000000006</v>
      </c>
      <c r="I5736" s="195">
        <v>71.577449999999999</v>
      </c>
      <c r="J5736" s="195">
        <v>33.550220000000003</v>
      </c>
      <c r="K5736" s="195">
        <v>23.366700000000002</v>
      </c>
      <c r="L5736" s="195">
        <v>17.543749999999999</v>
      </c>
      <c r="M5736" s="195"/>
      <c r="N5736" s="195"/>
    </row>
    <row r="5737" spans="1:14" hidden="1" x14ac:dyDescent="0.35">
      <c r="A5737" s="52" t="s">
        <v>706</v>
      </c>
      <c r="B5737" s="52" t="s">
        <v>37</v>
      </c>
      <c r="C5737" s="52" t="s">
        <v>273</v>
      </c>
      <c r="D5737" s="52" t="s">
        <v>273</v>
      </c>
      <c r="E5737" s="52" t="s">
        <v>584</v>
      </c>
      <c r="F5737" s="52" t="s">
        <v>581</v>
      </c>
      <c r="G5737" s="195" t="s">
        <v>279</v>
      </c>
      <c r="H5737" s="195">
        <v>325.28089999999997</v>
      </c>
      <c r="I5737" s="195">
        <v>271.87099999999998</v>
      </c>
      <c r="J5737" s="195">
        <v>272.7362</v>
      </c>
      <c r="K5737" s="195">
        <v>474.2525</v>
      </c>
      <c r="L5737" s="195">
        <v>254.08430000000001</v>
      </c>
      <c r="M5737" s="195">
        <v>243.45429999999999</v>
      </c>
      <c r="N5737" s="195"/>
    </row>
    <row r="5738" spans="1:14" hidden="1" x14ac:dyDescent="0.35">
      <c r="A5738" s="52" t="s">
        <v>706</v>
      </c>
      <c r="B5738" s="52" t="s">
        <v>37</v>
      </c>
      <c r="C5738" s="52" t="s">
        <v>273</v>
      </c>
      <c r="D5738" s="52" t="s">
        <v>273</v>
      </c>
      <c r="E5738" s="52" t="s">
        <v>584</v>
      </c>
      <c r="F5738" s="52" t="s">
        <v>26</v>
      </c>
      <c r="G5738" s="195" t="s">
        <v>275</v>
      </c>
      <c r="H5738" s="195">
        <v>-1.1715720000000001</v>
      </c>
      <c r="I5738" s="195">
        <v>-1.0345960000000001</v>
      </c>
      <c r="J5738" s="195">
        <v>-1.058108</v>
      </c>
      <c r="K5738" s="195">
        <v>-7.4444990000000004</v>
      </c>
      <c r="L5738" s="195">
        <v>-1.1514850000000001</v>
      </c>
      <c r="M5738" s="195">
        <v>-1.1088659999999999</v>
      </c>
      <c r="N5738" s="195"/>
    </row>
    <row r="5739" spans="1:14" hidden="1" x14ac:dyDescent="0.35">
      <c r="A5739" s="52" t="s">
        <v>706</v>
      </c>
      <c r="B5739" s="52" t="s">
        <v>37</v>
      </c>
      <c r="C5739" s="52" t="s">
        <v>273</v>
      </c>
      <c r="D5739" s="52" t="s">
        <v>273</v>
      </c>
      <c r="E5739" s="52" t="s">
        <v>584</v>
      </c>
      <c r="F5739" s="52" t="s">
        <v>26</v>
      </c>
      <c r="G5739" s="195" t="s">
        <v>276</v>
      </c>
      <c r="H5739" s="195">
        <v>-0.31142799999999998</v>
      </c>
      <c r="I5739" s="195">
        <v>-0.27501599999999998</v>
      </c>
      <c r="J5739" s="195">
        <v>-0.28127059999999998</v>
      </c>
      <c r="K5739" s="195">
        <v>-1.9789140000000001</v>
      </c>
      <c r="L5739" s="195">
        <v>-0.30609140000000001</v>
      </c>
      <c r="M5739" s="195">
        <v>-0.29476200000000002</v>
      </c>
      <c r="N5739" s="195"/>
    </row>
    <row r="5740" spans="1:14" hidden="1" x14ac:dyDescent="0.35">
      <c r="A5740" s="52" t="s">
        <v>706</v>
      </c>
      <c r="B5740" s="52" t="s">
        <v>37</v>
      </c>
      <c r="C5740" s="52" t="s">
        <v>273</v>
      </c>
      <c r="D5740" s="52" t="s">
        <v>273</v>
      </c>
      <c r="E5740" s="52" t="s">
        <v>584</v>
      </c>
      <c r="F5740" s="52" t="s">
        <v>26</v>
      </c>
      <c r="G5740" s="195" t="s">
        <v>279</v>
      </c>
      <c r="H5740" s="195">
        <v>2.2507139999999999</v>
      </c>
      <c r="I5740" s="195">
        <v>2.191335</v>
      </c>
      <c r="J5740" s="195">
        <v>2.2305640000000002</v>
      </c>
      <c r="K5740" s="195">
        <v>10.311400000000001</v>
      </c>
      <c r="L5740" s="195">
        <v>2.331197</v>
      </c>
      <c r="M5740" s="195">
        <v>2.2433559999999999</v>
      </c>
      <c r="N5740" s="195"/>
    </row>
    <row r="5741" spans="1:14" hidden="1" x14ac:dyDescent="0.35">
      <c r="A5741" s="52" t="s">
        <v>706</v>
      </c>
      <c r="B5741" s="52" t="s">
        <v>37</v>
      </c>
      <c r="C5741" s="52" t="s">
        <v>111</v>
      </c>
      <c r="D5741" s="52" t="s">
        <v>111</v>
      </c>
      <c r="E5741" s="52" t="s">
        <v>584</v>
      </c>
      <c r="F5741" s="52" t="s">
        <v>581</v>
      </c>
      <c r="G5741" s="195" t="s">
        <v>275</v>
      </c>
      <c r="H5741" s="195">
        <v>18.163820000000001</v>
      </c>
      <c r="I5741" s="195">
        <v>-19.89659</v>
      </c>
      <c r="J5741" s="195">
        <v>-8.4175749999999994</v>
      </c>
      <c r="K5741" s="195">
        <v>-3.9044780000000001</v>
      </c>
      <c r="L5741" s="195">
        <v>-2.1392690000000001</v>
      </c>
      <c r="M5741" s="195">
        <v>1.4129320000000001</v>
      </c>
      <c r="N5741" s="195">
        <v>-1.8794890000000002E-2</v>
      </c>
    </row>
    <row r="5742" spans="1:14" hidden="1" x14ac:dyDescent="0.35">
      <c r="A5742" s="52" t="s">
        <v>706</v>
      </c>
      <c r="B5742" s="52" t="s">
        <v>37</v>
      </c>
      <c r="C5742" s="52" t="s">
        <v>111</v>
      </c>
      <c r="D5742" s="52" t="s">
        <v>111</v>
      </c>
      <c r="E5742" s="52" t="s">
        <v>584</v>
      </c>
      <c r="F5742" s="52" t="s">
        <v>581</v>
      </c>
      <c r="G5742" s="195" t="s">
        <v>276</v>
      </c>
      <c r="H5742" s="195">
        <v>8.3019470000000002</v>
      </c>
      <c r="I5742" s="195">
        <v>-4.344481</v>
      </c>
      <c r="J5742" s="195">
        <v>-4.9262589999999999</v>
      </c>
      <c r="K5742" s="195">
        <v>-4.9974129999999999</v>
      </c>
      <c r="L5742" s="195">
        <v>-4.7647469999999998</v>
      </c>
      <c r="M5742" s="195">
        <v>-3.7794810000000001</v>
      </c>
      <c r="N5742" s="195">
        <v>-2.0958559999999999</v>
      </c>
    </row>
    <row r="5743" spans="1:14" hidden="1" x14ac:dyDescent="0.35">
      <c r="A5743" s="52" t="s">
        <v>706</v>
      </c>
      <c r="B5743" s="52" t="s">
        <v>37</v>
      </c>
      <c r="C5743" s="52" t="s">
        <v>111</v>
      </c>
      <c r="D5743" s="52" t="s">
        <v>111</v>
      </c>
      <c r="E5743" s="52" t="s">
        <v>584</v>
      </c>
      <c r="F5743" s="52" t="s">
        <v>581</v>
      </c>
      <c r="G5743" s="195" t="s">
        <v>277</v>
      </c>
      <c r="H5743" s="195">
        <v>33.406219999999998</v>
      </c>
      <c r="I5743" s="195">
        <v>32.119149999999998</v>
      </c>
      <c r="J5743" s="195">
        <v>19.35201</v>
      </c>
      <c r="K5743" s="195">
        <v>12.72791</v>
      </c>
      <c r="L5743" s="195">
        <v>8.942914</v>
      </c>
      <c r="M5743" s="195"/>
      <c r="N5743" s="195"/>
    </row>
    <row r="5744" spans="1:14" hidden="1" x14ac:dyDescent="0.35">
      <c r="A5744" s="52" t="s">
        <v>706</v>
      </c>
      <c r="B5744" s="52" t="s">
        <v>37</v>
      </c>
      <c r="C5744" s="52" t="s">
        <v>111</v>
      </c>
      <c r="D5744" s="52" t="s">
        <v>111</v>
      </c>
      <c r="E5744" s="52" t="s">
        <v>584</v>
      </c>
      <c r="F5744" s="52" t="s">
        <v>581</v>
      </c>
      <c r="G5744" s="195" t="s">
        <v>278</v>
      </c>
      <c r="H5744" s="195">
        <v>3.0048720000000002</v>
      </c>
      <c r="I5744" s="195">
        <v>2.1785320000000001</v>
      </c>
      <c r="J5744" s="195">
        <v>0</v>
      </c>
      <c r="K5744" s="195"/>
      <c r="L5744" s="195"/>
      <c r="M5744" s="195"/>
      <c r="N5744" s="195"/>
    </row>
    <row r="5745" spans="1:14" hidden="1" x14ac:dyDescent="0.35">
      <c r="A5745" s="52" t="s">
        <v>706</v>
      </c>
      <c r="B5745" s="52" t="s">
        <v>37</v>
      </c>
      <c r="C5745" s="52" t="s">
        <v>111</v>
      </c>
      <c r="D5745" s="52" t="s">
        <v>111</v>
      </c>
      <c r="E5745" s="52" t="s">
        <v>584</v>
      </c>
      <c r="F5745" s="52" t="s">
        <v>581</v>
      </c>
      <c r="G5745" s="195" t="s">
        <v>279</v>
      </c>
      <c r="H5745" s="195">
        <v>38.160350000000001</v>
      </c>
      <c r="I5745" s="195">
        <v>28.613409999999998</v>
      </c>
      <c r="J5745" s="195">
        <v>27.02544</v>
      </c>
      <c r="K5745" s="195">
        <v>28.68309</v>
      </c>
      <c r="L5745" s="195">
        <v>29.557410000000001</v>
      </c>
      <c r="M5745" s="195">
        <v>28.049040000000002</v>
      </c>
      <c r="N5745" s="195">
        <v>26.71846</v>
      </c>
    </row>
    <row r="5746" spans="1:14" hidden="1" x14ac:dyDescent="0.35">
      <c r="A5746" s="52" t="s">
        <v>706</v>
      </c>
      <c r="B5746" s="52" t="s">
        <v>37</v>
      </c>
      <c r="C5746" s="52" t="s">
        <v>111</v>
      </c>
      <c r="D5746" s="52" t="s">
        <v>111</v>
      </c>
      <c r="E5746" s="52" t="s">
        <v>584</v>
      </c>
      <c r="F5746" s="52" t="s">
        <v>26</v>
      </c>
      <c r="G5746" s="195" t="s">
        <v>275</v>
      </c>
      <c r="H5746" s="195">
        <v>-1.1244620000000001</v>
      </c>
      <c r="I5746" s="195">
        <v>-1.45841</v>
      </c>
      <c r="J5746" s="195">
        <v>-1.139095</v>
      </c>
      <c r="K5746" s="195">
        <v>-1.3444339999999999</v>
      </c>
      <c r="L5746" s="195">
        <v>-1.419405</v>
      </c>
      <c r="M5746" s="195">
        <v>-1.2122029999999999</v>
      </c>
      <c r="N5746" s="195">
        <v>-1.0302119999999999</v>
      </c>
    </row>
    <row r="5747" spans="1:14" hidden="1" x14ac:dyDescent="0.35">
      <c r="A5747" s="52" t="s">
        <v>706</v>
      </c>
      <c r="B5747" s="52" t="s">
        <v>37</v>
      </c>
      <c r="C5747" s="52" t="s">
        <v>111</v>
      </c>
      <c r="D5747" s="52" t="s">
        <v>111</v>
      </c>
      <c r="E5747" s="52" t="s">
        <v>584</v>
      </c>
      <c r="F5747" s="52" t="s">
        <v>26</v>
      </c>
      <c r="G5747" s="195" t="s">
        <v>276</v>
      </c>
      <c r="H5747" s="195">
        <v>-0.29890699999999998</v>
      </c>
      <c r="I5747" s="195">
        <v>-0.38768039999999998</v>
      </c>
      <c r="J5747" s="195">
        <v>-0.30279739999999999</v>
      </c>
      <c r="K5747" s="195">
        <v>-0.35738199999999998</v>
      </c>
      <c r="L5747" s="195">
        <v>-0.37731019999999998</v>
      </c>
      <c r="M5747" s="195">
        <v>-0.32223099999999999</v>
      </c>
      <c r="N5747" s="195">
        <v>-0.2738546</v>
      </c>
    </row>
    <row r="5748" spans="1:14" hidden="1" x14ac:dyDescent="0.35">
      <c r="A5748" s="52" t="s">
        <v>706</v>
      </c>
      <c r="B5748" s="52" t="s">
        <v>37</v>
      </c>
      <c r="C5748" s="52" t="s">
        <v>111</v>
      </c>
      <c r="D5748" s="52" t="s">
        <v>111</v>
      </c>
      <c r="E5748" s="52" t="s">
        <v>584</v>
      </c>
      <c r="F5748" s="52" t="s">
        <v>26</v>
      </c>
      <c r="G5748" s="195" t="s">
        <v>279</v>
      </c>
      <c r="H5748" s="195">
        <v>7.083736</v>
      </c>
      <c r="I5748" s="195">
        <v>6.4873890000000003</v>
      </c>
      <c r="J5748" s="195">
        <v>5.6420459999999997</v>
      </c>
      <c r="K5748" s="195">
        <v>5.4411680000000002</v>
      </c>
      <c r="L5748" s="195">
        <v>5.0690590000000002</v>
      </c>
      <c r="M5748" s="195">
        <v>4.3207950000000004</v>
      </c>
      <c r="N5748" s="195">
        <v>3.683875</v>
      </c>
    </row>
    <row r="5749" spans="1:14" hidden="1" x14ac:dyDescent="0.35">
      <c r="A5749" s="52" t="s">
        <v>706</v>
      </c>
      <c r="B5749" s="52" t="s">
        <v>37</v>
      </c>
      <c r="C5749" s="52" t="s">
        <v>252</v>
      </c>
      <c r="D5749" s="52" t="s">
        <v>252</v>
      </c>
      <c r="E5749" s="52" t="s">
        <v>584</v>
      </c>
      <c r="F5749" s="52" t="s">
        <v>581</v>
      </c>
      <c r="G5749" s="195" t="s">
        <v>275</v>
      </c>
      <c r="H5749" s="195">
        <v>0.168434</v>
      </c>
      <c r="I5749" s="195">
        <v>1.2135200000000001E-2</v>
      </c>
      <c r="J5749" s="195">
        <v>-0.27238099999999998</v>
      </c>
      <c r="K5749" s="195">
        <v>0</v>
      </c>
      <c r="L5749" s="195"/>
      <c r="M5749" s="195"/>
      <c r="N5749" s="195">
        <v>0</v>
      </c>
    </row>
    <row r="5750" spans="1:14" hidden="1" x14ac:dyDescent="0.35">
      <c r="A5750" s="52" t="s">
        <v>706</v>
      </c>
      <c r="B5750" s="52" t="s">
        <v>37</v>
      </c>
      <c r="C5750" s="52" t="s">
        <v>252</v>
      </c>
      <c r="D5750" s="52" t="s">
        <v>252</v>
      </c>
      <c r="E5750" s="52" t="s">
        <v>584</v>
      </c>
      <c r="F5750" s="52" t="s">
        <v>581</v>
      </c>
      <c r="G5750" s="195" t="s">
        <v>276</v>
      </c>
      <c r="H5750" s="195">
        <v>4.4772989999999999E-2</v>
      </c>
      <c r="I5750" s="195">
        <v>3.2260000000000001E-3</v>
      </c>
      <c r="J5750" s="195">
        <v>-7.2404999999999997E-2</v>
      </c>
      <c r="K5750" s="195">
        <v>0</v>
      </c>
      <c r="L5750" s="195"/>
      <c r="M5750" s="195"/>
      <c r="N5750" s="195">
        <v>0</v>
      </c>
    </row>
    <row r="5751" spans="1:14" hidden="1" x14ac:dyDescent="0.35">
      <c r="A5751" s="52" t="s">
        <v>706</v>
      </c>
      <c r="B5751" s="52" t="s">
        <v>37</v>
      </c>
      <c r="C5751" s="52" t="s">
        <v>252</v>
      </c>
      <c r="D5751" s="52" t="s">
        <v>252</v>
      </c>
      <c r="E5751" s="52" t="s">
        <v>584</v>
      </c>
      <c r="F5751" s="52" t="s">
        <v>581</v>
      </c>
      <c r="G5751" s="195" t="s">
        <v>279</v>
      </c>
      <c r="H5751" s="195">
        <v>0.157999</v>
      </c>
      <c r="I5751" s="195">
        <v>8.3691189999999999E-2</v>
      </c>
      <c r="J5751" s="195">
        <v>0.34478500000000001</v>
      </c>
      <c r="K5751" s="195">
        <v>0</v>
      </c>
      <c r="L5751" s="195"/>
      <c r="M5751" s="195"/>
      <c r="N5751" s="195">
        <v>0</v>
      </c>
    </row>
    <row r="5752" spans="1:14" hidden="1" x14ac:dyDescent="0.35">
      <c r="A5752" s="52" t="s">
        <v>706</v>
      </c>
      <c r="B5752" s="52" t="s">
        <v>37</v>
      </c>
      <c r="C5752" s="52" t="s">
        <v>252</v>
      </c>
      <c r="D5752" s="52" t="s">
        <v>252</v>
      </c>
      <c r="E5752" s="52" t="s">
        <v>584</v>
      </c>
      <c r="F5752" s="52" t="s">
        <v>26</v>
      </c>
      <c r="G5752" s="195" t="s">
        <v>275</v>
      </c>
      <c r="H5752" s="195">
        <v>-7.2224279999999998</v>
      </c>
      <c r="I5752" s="195">
        <v>-4.9937490000000002</v>
      </c>
      <c r="J5752" s="195">
        <v>-100.5468</v>
      </c>
      <c r="K5752" s="195">
        <v>3.3899999999999998E-3</v>
      </c>
      <c r="L5752" s="195"/>
      <c r="M5752" s="195">
        <v>0</v>
      </c>
      <c r="N5752" s="195"/>
    </row>
    <row r="5753" spans="1:14" hidden="1" x14ac:dyDescent="0.35">
      <c r="A5753" s="52" t="s">
        <v>706</v>
      </c>
      <c r="B5753" s="52" t="s">
        <v>37</v>
      </c>
      <c r="C5753" s="52" t="s">
        <v>252</v>
      </c>
      <c r="D5753" s="52" t="s">
        <v>252</v>
      </c>
      <c r="E5753" s="52" t="s">
        <v>584</v>
      </c>
      <c r="F5753" s="52" t="s">
        <v>26</v>
      </c>
      <c r="G5753" s="195" t="s">
        <v>276</v>
      </c>
      <c r="H5753" s="195">
        <v>-2.0193720000000002</v>
      </c>
      <c r="I5753" s="195">
        <v>-1.7583519999999999</v>
      </c>
      <c r="J5753" s="195">
        <v>-26.73264</v>
      </c>
      <c r="K5753" s="195">
        <v>-3.3899999999999998E-3</v>
      </c>
      <c r="L5753" s="195"/>
      <c r="M5753" s="195"/>
      <c r="N5753" s="195"/>
    </row>
    <row r="5754" spans="1:14" hidden="1" x14ac:dyDescent="0.35">
      <c r="A5754" s="52" t="s">
        <v>706</v>
      </c>
      <c r="B5754" s="52" t="s">
        <v>37</v>
      </c>
      <c r="C5754" s="52" t="s">
        <v>252</v>
      </c>
      <c r="D5754" s="52" t="s">
        <v>252</v>
      </c>
      <c r="E5754" s="52" t="s">
        <v>584</v>
      </c>
      <c r="F5754" s="52" t="s">
        <v>26</v>
      </c>
      <c r="G5754" s="195" t="s">
        <v>278</v>
      </c>
      <c r="H5754" s="195">
        <v>5.2018000000000002E-2</v>
      </c>
      <c r="I5754" s="195">
        <v>3.7712990000000002E-2</v>
      </c>
      <c r="J5754" s="195">
        <v>0</v>
      </c>
      <c r="K5754" s="195"/>
      <c r="L5754" s="195"/>
      <c r="M5754" s="195"/>
      <c r="N5754" s="195"/>
    </row>
    <row r="5755" spans="1:14" hidden="1" x14ac:dyDescent="0.35">
      <c r="A5755" s="52" t="s">
        <v>706</v>
      </c>
      <c r="B5755" s="52" t="s">
        <v>37</v>
      </c>
      <c r="C5755" s="52" t="s">
        <v>252</v>
      </c>
      <c r="D5755" s="52" t="s">
        <v>252</v>
      </c>
      <c r="E5755" s="52" t="s">
        <v>584</v>
      </c>
      <c r="F5755" s="52" t="s">
        <v>26</v>
      </c>
      <c r="G5755" s="195" t="s">
        <v>279</v>
      </c>
      <c r="H5755" s="195">
        <v>31.086259999999999</v>
      </c>
      <c r="I5755" s="195">
        <v>18.176439999999999</v>
      </c>
      <c r="J5755" s="195">
        <v>127.2795</v>
      </c>
      <c r="K5755" s="195">
        <v>0</v>
      </c>
      <c r="L5755" s="195"/>
      <c r="M5755" s="195"/>
      <c r="N5755" s="195">
        <v>0</v>
      </c>
    </row>
    <row r="5756" spans="1:14" hidden="1" x14ac:dyDescent="0.35">
      <c r="A5756" s="52" t="s">
        <v>706</v>
      </c>
      <c r="B5756" s="52" t="s">
        <v>37</v>
      </c>
      <c r="C5756" s="52" t="s">
        <v>318</v>
      </c>
      <c r="D5756" s="52" t="s">
        <v>318</v>
      </c>
      <c r="E5756" s="52" t="s">
        <v>584</v>
      </c>
      <c r="F5756" s="52" t="s">
        <v>581</v>
      </c>
      <c r="G5756" s="195" t="s">
        <v>275</v>
      </c>
      <c r="H5756" s="195">
        <v>0.29711500000000002</v>
      </c>
      <c r="I5756" s="195">
        <v>0</v>
      </c>
      <c r="J5756" s="195"/>
      <c r="K5756" s="195"/>
      <c r="L5756" s="195"/>
      <c r="M5756" s="195"/>
      <c r="N5756" s="195"/>
    </row>
    <row r="5757" spans="1:14" hidden="1" x14ac:dyDescent="0.35">
      <c r="A5757" s="52" t="s">
        <v>706</v>
      </c>
      <c r="B5757" s="52" t="s">
        <v>37</v>
      </c>
      <c r="C5757" s="52" t="s">
        <v>318</v>
      </c>
      <c r="D5757" s="52" t="s">
        <v>318</v>
      </c>
      <c r="E5757" s="52" t="s">
        <v>584</v>
      </c>
      <c r="F5757" s="52" t="s">
        <v>581</v>
      </c>
      <c r="G5757" s="195" t="s">
        <v>276</v>
      </c>
      <c r="H5757" s="195">
        <v>-0.29711500000000002</v>
      </c>
      <c r="I5757" s="195">
        <v>0</v>
      </c>
      <c r="J5757" s="195"/>
      <c r="K5757" s="195"/>
      <c r="L5757" s="195"/>
      <c r="M5757" s="195"/>
      <c r="N5757" s="195"/>
    </row>
    <row r="5758" spans="1:14" hidden="1" x14ac:dyDescent="0.35">
      <c r="A5758" s="52" t="s">
        <v>706</v>
      </c>
      <c r="B5758" s="52" t="s">
        <v>37</v>
      </c>
      <c r="C5758" s="52" t="s">
        <v>318</v>
      </c>
      <c r="D5758" s="52" t="s">
        <v>318</v>
      </c>
      <c r="E5758" s="52" t="s">
        <v>584</v>
      </c>
      <c r="F5758" s="52" t="s">
        <v>581</v>
      </c>
      <c r="G5758" s="195" t="s">
        <v>278</v>
      </c>
      <c r="H5758" s="195">
        <v>0</v>
      </c>
      <c r="I5758" s="195"/>
      <c r="J5758" s="195"/>
      <c r="K5758" s="195"/>
      <c r="L5758" s="195"/>
      <c r="M5758" s="195"/>
      <c r="N5758" s="195"/>
    </row>
    <row r="5759" spans="1:14" hidden="1" x14ac:dyDescent="0.35">
      <c r="A5759" s="52" t="s">
        <v>706</v>
      </c>
      <c r="B5759" s="52" t="s">
        <v>37</v>
      </c>
      <c r="C5759" s="52" t="s">
        <v>318</v>
      </c>
      <c r="D5759" s="52" t="s">
        <v>318</v>
      </c>
      <c r="E5759" s="52" t="s">
        <v>584</v>
      </c>
      <c r="F5759" s="52" t="s">
        <v>26</v>
      </c>
      <c r="G5759" s="195" t="s">
        <v>275</v>
      </c>
      <c r="H5759" s="195">
        <v>0.198077</v>
      </c>
      <c r="I5759" s="195">
        <v>0</v>
      </c>
      <c r="J5759" s="195"/>
      <c r="K5759" s="195"/>
      <c r="L5759" s="195"/>
      <c r="M5759" s="195"/>
      <c r="N5759" s="195"/>
    </row>
    <row r="5760" spans="1:14" hidden="1" x14ac:dyDescent="0.35">
      <c r="A5760" s="52" t="s">
        <v>706</v>
      </c>
      <c r="B5760" s="52" t="s">
        <v>37</v>
      </c>
      <c r="C5760" s="52" t="s">
        <v>318</v>
      </c>
      <c r="D5760" s="52" t="s">
        <v>318</v>
      </c>
      <c r="E5760" s="52" t="s">
        <v>584</v>
      </c>
      <c r="F5760" s="52" t="s">
        <v>26</v>
      </c>
      <c r="G5760" s="195" t="s">
        <v>276</v>
      </c>
      <c r="H5760" s="195">
        <v>-0.198077</v>
      </c>
      <c r="I5760" s="195">
        <v>0</v>
      </c>
      <c r="J5760" s="195"/>
      <c r="K5760" s="195"/>
      <c r="L5760" s="195"/>
      <c r="M5760" s="195"/>
      <c r="N5760" s="195"/>
    </row>
    <row r="5761" spans="1:14" hidden="1" x14ac:dyDescent="0.35">
      <c r="A5761" s="52" t="s">
        <v>706</v>
      </c>
      <c r="B5761" s="52" t="s">
        <v>37</v>
      </c>
      <c r="C5761" s="52" t="s">
        <v>318</v>
      </c>
      <c r="D5761" s="52" t="s">
        <v>318</v>
      </c>
      <c r="E5761" s="52" t="s">
        <v>584</v>
      </c>
      <c r="F5761" s="52" t="s">
        <v>26</v>
      </c>
      <c r="G5761" s="195" t="s">
        <v>278</v>
      </c>
      <c r="H5761" s="195">
        <v>0</v>
      </c>
      <c r="I5761" s="195"/>
      <c r="J5761" s="195"/>
      <c r="K5761" s="195"/>
      <c r="L5761" s="195"/>
      <c r="M5761" s="195"/>
      <c r="N5761" s="195"/>
    </row>
    <row r="5762" spans="1:14" hidden="1" x14ac:dyDescent="0.35">
      <c r="A5762" s="52" t="s">
        <v>686</v>
      </c>
      <c r="B5762" s="52" t="s">
        <v>34</v>
      </c>
      <c r="C5762" s="52" t="s">
        <v>33</v>
      </c>
      <c r="D5762" s="52" t="s">
        <v>33</v>
      </c>
      <c r="E5762" s="52" t="s">
        <v>605</v>
      </c>
      <c r="F5762" s="52" t="s">
        <v>581</v>
      </c>
      <c r="G5762" s="195" t="s">
        <v>275</v>
      </c>
      <c r="H5762" s="195">
        <v>307.9717</v>
      </c>
      <c r="I5762" s="195">
        <v>18.44791</v>
      </c>
      <c r="J5762" s="195">
        <v>184.35220000000001</v>
      </c>
      <c r="K5762" s="195">
        <v>112.21559999999999</v>
      </c>
      <c r="L5762" s="195">
        <v>57.088209999999997</v>
      </c>
      <c r="M5762" s="195">
        <v>51.925040000000003</v>
      </c>
      <c r="N5762" s="195">
        <v>44.659579999999998</v>
      </c>
    </row>
    <row r="5763" spans="1:14" hidden="1" x14ac:dyDescent="0.35">
      <c r="A5763" s="52" t="s">
        <v>686</v>
      </c>
      <c r="B5763" s="52" t="s">
        <v>34</v>
      </c>
      <c r="C5763" s="52" t="s">
        <v>33</v>
      </c>
      <c r="D5763" s="52" t="s">
        <v>33</v>
      </c>
      <c r="E5763" s="52" t="s">
        <v>605</v>
      </c>
      <c r="F5763" s="52" t="s">
        <v>581</v>
      </c>
      <c r="G5763" s="195" t="s">
        <v>276</v>
      </c>
      <c r="H5763" s="195">
        <v>71.729309999999998</v>
      </c>
      <c r="I5763" s="195">
        <v>-96.472830000000002</v>
      </c>
      <c r="J5763" s="195">
        <v>-74.845169999999996</v>
      </c>
      <c r="K5763" s="195">
        <v>-33.188479999999998</v>
      </c>
      <c r="L5763" s="195">
        <v>-4.1342030000000003</v>
      </c>
      <c r="M5763" s="195">
        <v>15.50919</v>
      </c>
      <c r="N5763" s="195">
        <v>14.22489</v>
      </c>
    </row>
    <row r="5764" spans="1:14" hidden="1" x14ac:dyDescent="0.35">
      <c r="A5764" s="52" t="s">
        <v>686</v>
      </c>
      <c r="B5764" s="52" t="s">
        <v>34</v>
      </c>
      <c r="C5764" s="52" t="s">
        <v>33</v>
      </c>
      <c r="D5764" s="52" t="s">
        <v>33</v>
      </c>
      <c r="E5764" s="52" t="s">
        <v>605</v>
      </c>
      <c r="F5764" s="52" t="s">
        <v>581</v>
      </c>
      <c r="G5764" s="195" t="s">
        <v>277</v>
      </c>
      <c r="H5764" s="195">
        <v>504.94200000000001</v>
      </c>
      <c r="I5764" s="195">
        <v>222.51509999999999</v>
      </c>
      <c r="J5764" s="195">
        <v>3.469719</v>
      </c>
      <c r="K5764" s="195">
        <v>2.2685019999999998</v>
      </c>
      <c r="L5764" s="195">
        <v>1.8394760000000001</v>
      </c>
      <c r="M5764" s="195">
        <v>2.4047239999999999</v>
      </c>
      <c r="N5764" s="195">
        <v>7.9520160000000004</v>
      </c>
    </row>
    <row r="5765" spans="1:14" hidden="1" x14ac:dyDescent="0.35">
      <c r="A5765" s="52" t="s">
        <v>686</v>
      </c>
      <c r="B5765" s="52" t="s">
        <v>34</v>
      </c>
      <c r="C5765" s="52" t="s">
        <v>33</v>
      </c>
      <c r="D5765" s="52" t="s">
        <v>33</v>
      </c>
      <c r="E5765" s="52" t="s">
        <v>605</v>
      </c>
      <c r="F5765" s="52" t="s">
        <v>581</v>
      </c>
      <c r="G5765" s="195" t="s">
        <v>278</v>
      </c>
      <c r="H5765" s="195">
        <v>105.5895</v>
      </c>
      <c r="I5765" s="195">
        <v>76.404619999999994</v>
      </c>
      <c r="J5765" s="195">
        <v>13.22907</v>
      </c>
      <c r="K5765" s="195">
        <v>8.6816420000000001</v>
      </c>
      <c r="L5765" s="195">
        <v>12.44496</v>
      </c>
      <c r="M5765" s="195">
        <v>11.569129999999999</v>
      </c>
      <c r="N5765" s="195">
        <v>9.0678830000000001</v>
      </c>
    </row>
    <row r="5766" spans="1:14" hidden="1" x14ac:dyDescent="0.35">
      <c r="A5766" s="52" t="s">
        <v>686</v>
      </c>
      <c r="B5766" s="52" t="s">
        <v>34</v>
      </c>
      <c r="C5766" s="52" t="s">
        <v>33</v>
      </c>
      <c r="D5766" s="52" t="s">
        <v>33</v>
      </c>
      <c r="E5766" s="52" t="s">
        <v>605</v>
      </c>
      <c r="F5766" s="52" t="s">
        <v>581</v>
      </c>
      <c r="G5766" s="195" t="s">
        <v>279</v>
      </c>
      <c r="H5766" s="195">
        <v>258.47460000000001</v>
      </c>
      <c r="I5766" s="195">
        <v>261.71359999999999</v>
      </c>
      <c r="J5766" s="195">
        <v>200.70699999999999</v>
      </c>
      <c r="K5766" s="195">
        <v>149.29730000000001</v>
      </c>
      <c r="L5766" s="195">
        <v>141.94120000000001</v>
      </c>
      <c r="M5766" s="195">
        <v>120.9939</v>
      </c>
      <c r="N5766" s="195">
        <v>108.5894</v>
      </c>
    </row>
    <row r="5767" spans="1:14" hidden="1" x14ac:dyDescent="0.35">
      <c r="A5767" s="52" t="s">
        <v>686</v>
      </c>
      <c r="B5767" s="52" t="s">
        <v>34</v>
      </c>
      <c r="C5767" s="52" t="s">
        <v>33</v>
      </c>
      <c r="D5767" s="52" t="s">
        <v>33</v>
      </c>
      <c r="E5767" s="52" t="s">
        <v>605</v>
      </c>
      <c r="F5767" s="52" t="s">
        <v>26</v>
      </c>
      <c r="G5767" s="195" t="s">
        <v>275</v>
      </c>
      <c r="H5767" s="195">
        <v>3.5969639999999998</v>
      </c>
      <c r="I5767" s="195">
        <v>-52.451050000000002</v>
      </c>
      <c r="J5767" s="195">
        <v>-21.035550000000001</v>
      </c>
      <c r="K5767" s="195">
        <v>-18.60886</v>
      </c>
      <c r="L5767" s="195">
        <v>-25.19622</v>
      </c>
      <c r="M5767" s="195">
        <v>-15.85422</v>
      </c>
      <c r="N5767" s="195">
        <v>-17.40653</v>
      </c>
    </row>
    <row r="5768" spans="1:14" hidden="1" x14ac:dyDescent="0.35">
      <c r="A5768" s="52" t="s">
        <v>686</v>
      </c>
      <c r="B5768" s="52" t="s">
        <v>34</v>
      </c>
      <c r="C5768" s="52" t="s">
        <v>33</v>
      </c>
      <c r="D5768" s="52" t="s">
        <v>33</v>
      </c>
      <c r="E5768" s="52" t="s">
        <v>605</v>
      </c>
      <c r="F5768" s="52" t="s">
        <v>26</v>
      </c>
      <c r="G5768" s="195" t="s">
        <v>276</v>
      </c>
      <c r="H5768" s="195">
        <v>3.3258649999999998</v>
      </c>
      <c r="I5768" s="195">
        <v>-15.354010000000001</v>
      </c>
      <c r="J5768" s="195">
        <v>-12.581200000000001</v>
      </c>
      <c r="K5768" s="195">
        <v>-9.2651430000000001</v>
      </c>
      <c r="L5768" s="195">
        <v>-9.2287850000000002</v>
      </c>
      <c r="M5768" s="195">
        <v>-3.6620469999999998</v>
      </c>
      <c r="N5768" s="195">
        <v>-3.1216119999999998</v>
      </c>
    </row>
    <row r="5769" spans="1:14" hidden="1" x14ac:dyDescent="0.35">
      <c r="A5769" s="52" t="s">
        <v>686</v>
      </c>
      <c r="B5769" s="52" t="s">
        <v>34</v>
      </c>
      <c r="C5769" s="52" t="s">
        <v>33</v>
      </c>
      <c r="D5769" s="52" t="s">
        <v>33</v>
      </c>
      <c r="E5769" s="52" t="s">
        <v>605</v>
      </c>
      <c r="F5769" s="52" t="s">
        <v>26</v>
      </c>
      <c r="G5769" s="195" t="s">
        <v>277</v>
      </c>
      <c r="H5769" s="195">
        <v>18.980239999999998</v>
      </c>
      <c r="I5769" s="195">
        <v>24.735140000000001</v>
      </c>
      <c r="J5769" s="195">
        <v>0.91931019999999997</v>
      </c>
      <c r="K5769" s="195">
        <v>0.42221019999999998</v>
      </c>
      <c r="L5769" s="195">
        <v>1.1068519999999999</v>
      </c>
      <c r="M5769" s="195">
        <v>1.9443010000000001</v>
      </c>
      <c r="N5769" s="195">
        <v>2.986078</v>
      </c>
    </row>
    <row r="5770" spans="1:14" hidden="1" x14ac:dyDescent="0.35">
      <c r="A5770" s="52" t="s">
        <v>686</v>
      </c>
      <c r="B5770" s="52" t="s">
        <v>34</v>
      </c>
      <c r="C5770" s="52" t="s">
        <v>33</v>
      </c>
      <c r="D5770" s="52" t="s">
        <v>33</v>
      </c>
      <c r="E5770" s="52" t="s">
        <v>605</v>
      </c>
      <c r="F5770" s="52" t="s">
        <v>26</v>
      </c>
      <c r="G5770" s="195" t="s">
        <v>278</v>
      </c>
      <c r="H5770" s="195">
        <v>3.5877859999999999</v>
      </c>
      <c r="I5770" s="195">
        <v>6.3707659999999997</v>
      </c>
      <c r="J5770" s="195">
        <v>2.6633520000000002</v>
      </c>
      <c r="K5770" s="195">
        <v>2.1176810000000001</v>
      </c>
      <c r="L5770" s="195">
        <v>3.7024460000000001</v>
      </c>
      <c r="M5770" s="195">
        <v>6.4920749999999998</v>
      </c>
      <c r="N5770" s="195">
        <v>11.550330000000001</v>
      </c>
    </row>
    <row r="5771" spans="1:14" hidden="1" x14ac:dyDescent="0.35">
      <c r="A5771" s="52" t="s">
        <v>686</v>
      </c>
      <c r="B5771" s="52" t="s">
        <v>34</v>
      </c>
      <c r="C5771" s="52" t="s">
        <v>33</v>
      </c>
      <c r="D5771" s="52" t="s">
        <v>33</v>
      </c>
      <c r="E5771" s="52" t="s">
        <v>605</v>
      </c>
      <c r="F5771" s="52" t="s">
        <v>26</v>
      </c>
      <c r="G5771" s="195" t="s">
        <v>279</v>
      </c>
      <c r="H5771" s="195">
        <v>227.13</v>
      </c>
      <c r="I5771" s="195">
        <v>240.65950000000001</v>
      </c>
      <c r="J5771" s="195">
        <v>189.70480000000001</v>
      </c>
      <c r="K5771" s="195">
        <v>144.04470000000001</v>
      </c>
      <c r="L5771" s="195">
        <v>135.2921</v>
      </c>
      <c r="M5771" s="195">
        <v>115.9034</v>
      </c>
      <c r="N5771" s="195">
        <v>107.3098</v>
      </c>
    </row>
    <row r="5772" spans="1:14" hidden="1" x14ac:dyDescent="0.35">
      <c r="A5772" s="52" t="s">
        <v>686</v>
      </c>
      <c r="B5772" s="52" t="s">
        <v>34</v>
      </c>
      <c r="C5772" s="52" t="s">
        <v>33</v>
      </c>
      <c r="D5772" s="52" t="s">
        <v>33</v>
      </c>
      <c r="E5772" s="52" t="s">
        <v>604</v>
      </c>
      <c r="F5772" s="52" t="s">
        <v>581</v>
      </c>
      <c r="G5772" s="195" t="s">
        <v>275</v>
      </c>
      <c r="H5772" s="195">
        <v>51.048580000000001</v>
      </c>
      <c r="I5772" s="195">
        <v>107.0138</v>
      </c>
      <c r="J5772" s="195">
        <v>67.367459999999994</v>
      </c>
      <c r="K5772" s="195">
        <v>31.886150000000001</v>
      </c>
      <c r="L5772" s="195">
        <v>10.81603</v>
      </c>
      <c r="M5772" s="195">
        <v>10.594799999999999</v>
      </c>
      <c r="N5772" s="195">
        <v>9.4118680000000001</v>
      </c>
    </row>
    <row r="5773" spans="1:14" hidden="1" x14ac:dyDescent="0.35">
      <c r="A5773" s="52" t="s">
        <v>686</v>
      </c>
      <c r="B5773" s="52" t="s">
        <v>34</v>
      </c>
      <c r="C5773" s="52" t="s">
        <v>33</v>
      </c>
      <c r="D5773" s="52" t="s">
        <v>33</v>
      </c>
      <c r="E5773" s="52" t="s">
        <v>604</v>
      </c>
      <c r="F5773" s="52" t="s">
        <v>581</v>
      </c>
      <c r="G5773" s="195" t="s">
        <v>276</v>
      </c>
      <c r="H5773" s="195">
        <v>-13.434889999999999</v>
      </c>
      <c r="I5773" s="195">
        <v>-75.174340000000001</v>
      </c>
      <c r="J5773" s="195">
        <v>-41.908050000000003</v>
      </c>
      <c r="K5773" s="195">
        <v>-13.219390000000001</v>
      </c>
      <c r="L5773" s="195">
        <v>1.5349950000000001</v>
      </c>
      <c r="M5773" s="195">
        <v>3.289615</v>
      </c>
      <c r="N5773" s="195">
        <v>2.9325920000000001</v>
      </c>
    </row>
    <row r="5774" spans="1:14" hidden="1" x14ac:dyDescent="0.35">
      <c r="A5774" s="52" t="s">
        <v>686</v>
      </c>
      <c r="B5774" s="52" t="s">
        <v>34</v>
      </c>
      <c r="C5774" s="52" t="s">
        <v>33</v>
      </c>
      <c r="D5774" s="52" t="s">
        <v>33</v>
      </c>
      <c r="E5774" s="52" t="s">
        <v>604</v>
      </c>
      <c r="F5774" s="52" t="s">
        <v>581</v>
      </c>
      <c r="G5774" s="195" t="s">
        <v>277</v>
      </c>
      <c r="H5774" s="195">
        <v>254.88499999999999</v>
      </c>
      <c r="I5774" s="195">
        <v>15.83812</v>
      </c>
      <c r="J5774" s="195">
        <v>0.90213880000000002</v>
      </c>
      <c r="K5774" s="195">
        <v>0.51334690000000005</v>
      </c>
      <c r="L5774" s="195"/>
      <c r="M5774" s="195">
        <v>0.88901660000000005</v>
      </c>
      <c r="N5774" s="195">
        <v>1.5828629999999999</v>
      </c>
    </row>
    <row r="5775" spans="1:14" hidden="1" x14ac:dyDescent="0.35">
      <c r="A5775" s="52" t="s">
        <v>686</v>
      </c>
      <c r="B5775" s="52" t="s">
        <v>34</v>
      </c>
      <c r="C5775" s="52" t="s">
        <v>33</v>
      </c>
      <c r="D5775" s="52" t="s">
        <v>33</v>
      </c>
      <c r="E5775" s="52" t="s">
        <v>604</v>
      </c>
      <c r="F5775" s="52" t="s">
        <v>581</v>
      </c>
      <c r="G5775" s="195" t="s">
        <v>278</v>
      </c>
      <c r="H5775" s="195">
        <v>30.71416</v>
      </c>
      <c r="I5775" s="195">
        <v>7.6369059999999998</v>
      </c>
      <c r="J5775" s="195">
        <v>2.212024</v>
      </c>
      <c r="K5775" s="195">
        <v>2.026275</v>
      </c>
      <c r="L5775" s="195"/>
      <c r="M5775" s="195">
        <v>2.2666200000000001</v>
      </c>
      <c r="N5775" s="195">
        <v>1.5701639999999999</v>
      </c>
    </row>
    <row r="5776" spans="1:14" hidden="1" x14ac:dyDescent="0.35">
      <c r="A5776" s="52" t="s">
        <v>686</v>
      </c>
      <c r="B5776" s="52" t="s">
        <v>34</v>
      </c>
      <c r="C5776" s="52" t="s">
        <v>33</v>
      </c>
      <c r="D5776" s="52" t="s">
        <v>33</v>
      </c>
      <c r="E5776" s="52" t="s">
        <v>604</v>
      </c>
      <c r="F5776" s="52" t="s">
        <v>581</v>
      </c>
      <c r="G5776" s="195" t="s">
        <v>279</v>
      </c>
      <c r="H5776" s="195">
        <v>91.937389999999994</v>
      </c>
      <c r="I5776" s="195">
        <v>76.654849999999996</v>
      </c>
      <c r="J5776" s="195">
        <v>54.126849999999997</v>
      </c>
      <c r="K5776" s="195">
        <v>41.789299999999997</v>
      </c>
      <c r="L5776" s="195">
        <v>37.689689999999999</v>
      </c>
      <c r="M5776" s="195">
        <v>29.06617</v>
      </c>
      <c r="N5776" s="195">
        <v>25.837340000000001</v>
      </c>
    </row>
    <row r="5777" spans="1:14" hidden="1" x14ac:dyDescent="0.35">
      <c r="A5777" s="52" t="s">
        <v>686</v>
      </c>
      <c r="B5777" s="52" t="s">
        <v>34</v>
      </c>
      <c r="C5777" s="52" t="s">
        <v>33</v>
      </c>
      <c r="D5777" s="52" t="s">
        <v>33</v>
      </c>
      <c r="E5777" s="52" t="s">
        <v>604</v>
      </c>
      <c r="F5777" s="52" t="s">
        <v>26</v>
      </c>
      <c r="G5777" s="195" t="s">
        <v>275</v>
      </c>
      <c r="H5777" s="195">
        <v>36.408900000000003</v>
      </c>
      <c r="I5777" s="195">
        <v>4.2719199999999997</v>
      </c>
      <c r="J5777" s="195">
        <v>5.0798120000000004</v>
      </c>
      <c r="K5777" s="195">
        <v>2.2513890000000001</v>
      </c>
      <c r="L5777" s="195">
        <v>-1.6993689999999999</v>
      </c>
      <c r="M5777" s="195">
        <v>3.2297169999999999</v>
      </c>
      <c r="N5777" s="195">
        <v>2.9832139999999998</v>
      </c>
    </row>
    <row r="5778" spans="1:14" hidden="1" x14ac:dyDescent="0.35">
      <c r="A5778" s="52" t="s">
        <v>686</v>
      </c>
      <c r="B5778" s="52" t="s">
        <v>34</v>
      </c>
      <c r="C5778" s="52" t="s">
        <v>33</v>
      </c>
      <c r="D5778" s="52" t="s">
        <v>33</v>
      </c>
      <c r="E5778" s="52" t="s">
        <v>604</v>
      </c>
      <c r="F5778" s="52" t="s">
        <v>26</v>
      </c>
      <c r="G5778" s="195" t="s">
        <v>276</v>
      </c>
      <c r="H5778" s="195">
        <v>13.12702</v>
      </c>
      <c r="I5778" s="195">
        <v>1.4239740000000001</v>
      </c>
      <c r="J5778" s="195">
        <v>1.6041510000000001</v>
      </c>
      <c r="K5778" s="195">
        <v>0.67249499999999995</v>
      </c>
      <c r="L5778" s="195">
        <v>-0.50760459999999996</v>
      </c>
      <c r="M5778" s="195">
        <v>0.96472159999999996</v>
      </c>
      <c r="N5778" s="195">
        <v>0.891092</v>
      </c>
    </row>
    <row r="5779" spans="1:14" hidden="1" x14ac:dyDescent="0.35">
      <c r="A5779" s="52" t="s">
        <v>686</v>
      </c>
      <c r="B5779" s="52" t="s">
        <v>34</v>
      </c>
      <c r="C5779" s="52" t="s">
        <v>33</v>
      </c>
      <c r="D5779" s="52" t="s">
        <v>33</v>
      </c>
      <c r="E5779" s="52" t="s">
        <v>604</v>
      </c>
      <c r="F5779" s="52" t="s">
        <v>26</v>
      </c>
      <c r="G5779" s="195" t="s">
        <v>279</v>
      </c>
      <c r="H5779" s="195">
        <v>145.001</v>
      </c>
      <c r="I5779" s="195">
        <v>121.1725</v>
      </c>
      <c r="J5779" s="195">
        <v>86.53819</v>
      </c>
      <c r="K5779" s="195">
        <v>67.740930000000006</v>
      </c>
      <c r="L5779" s="195">
        <v>60.362589999999997</v>
      </c>
      <c r="M5779" s="195">
        <v>46.68112</v>
      </c>
      <c r="N5779" s="195">
        <v>41.4968</v>
      </c>
    </row>
    <row r="5780" spans="1:14" hidden="1" x14ac:dyDescent="0.35">
      <c r="A5780" s="52" t="s">
        <v>722</v>
      </c>
      <c r="B5780" s="52" t="s">
        <v>307</v>
      </c>
      <c r="C5780" s="52" t="s">
        <v>306</v>
      </c>
      <c r="D5780" s="52" t="s">
        <v>306</v>
      </c>
      <c r="E5780" s="52" t="s">
        <v>584</v>
      </c>
      <c r="F5780" s="52" t="s">
        <v>581</v>
      </c>
      <c r="G5780" s="195" t="s">
        <v>275</v>
      </c>
      <c r="H5780" s="195">
        <v>435.09690000000001</v>
      </c>
      <c r="I5780" s="195">
        <v>-42.554459999999999</v>
      </c>
      <c r="J5780" s="195">
        <v>-1.4147339999999999</v>
      </c>
      <c r="K5780" s="195">
        <v>-34.556840000000001</v>
      </c>
      <c r="L5780" s="195">
        <v>-67.579400000000007</v>
      </c>
      <c r="M5780" s="195">
        <v>-38.356409999999997</v>
      </c>
      <c r="N5780" s="195">
        <v>-20.818860000000001</v>
      </c>
    </row>
    <row r="5781" spans="1:14" hidden="1" x14ac:dyDescent="0.35">
      <c r="A5781" s="52" t="s">
        <v>722</v>
      </c>
      <c r="B5781" s="52" t="s">
        <v>307</v>
      </c>
      <c r="C5781" s="52" t="s">
        <v>306</v>
      </c>
      <c r="D5781" s="52" t="s">
        <v>306</v>
      </c>
      <c r="E5781" s="52" t="s">
        <v>584</v>
      </c>
      <c r="F5781" s="52" t="s">
        <v>581</v>
      </c>
      <c r="G5781" s="195" t="s">
        <v>276</v>
      </c>
      <c r="H5781" s="195">
        <v>213.79570000000001</v>
      </c>
      <c r="I5781" s="195">
        <v>-58.308160000000001</v>
      </c>
      <c r="J5781" s="195">
        <v>-42.498309999999996</v>
      </c>
      <c r="K5781" s="195">
        <v>-46.236719999999998</v>
      </c>
      <c r="L5781" s="195">
        <v>-45.268149999999999</v>
      </c>
      <c r="M5781" s="195">
        <v>-35.024700000000003</v>
      </c>
      <c r="N5781" s="195">
        <v>-29.28013</v>
      </c>
    </row>
    <row r="5782" spans="1:14" hidden="1" x14ac:dyDescent="0.35">
      <c r="A5782" s="52" t="s">
        <v>722</v>
      </c>
      <c r="B5782" s="52" t="s">
        <v>307</v>
      </c>
      <c r="C5782" s="52" t="s">
        <v>306</v>
      </c>
      <c r="D5782" s="52" t="s">
        <v>306</v>
      </c>
      <c r="E5782" s="52" t="s">
        <v>584</v>
      </c>
      <c r="F5782" s="52" t="s">
        <v>581</v>
      </c>
      <c r="G5782" s="195" t="s">
        <v>277</v>
      </c>
      <c r="H5782" s="195">
        <v>221.3811</v>
      </c>
      <c r="I5782" s="195">
        <v>181.06360000000001</v>
      </c>
      <c r="J5782" s="195">
        <v>62.755940000000002</v>
      </c>
      <c r="K5782" s="195">
        <v>90.796509999999998</v>
      </c>
      <c r="L5782" s="195">
        <v>104.8019</v>
      </c>
      <c r="M5782" s="195">
        <v>65.408439999999999</v>
      </c>
      <c r="N5782" s="195">
        <v>32.222679999999997</v>
      </c>
    </row>
    <row r="5783" spans="1:14" hidden="1" x14ac:dyDescent="0.35">
      <c r="A5783" s="52" t="s">
        <v>722</v>
      </c>
      <c r="B5783" s="52" t="s">
        <v>307</v>
      </c>
      <c r="C5783" s="52" t="s">
        <v>306</v>
      </c>
      <c r="D5783" s="52" t="s">
        <v>306</v>
      </c>
      <c r="E5783" s="52" t="s">
        <v>584</v>
      </c>
      <c r="F5783" s="52" t="s">
        <v>581</v>
      </c>
      <c r="G5783" s="195" t="s">
        <v>278</v>
      </c>
      <c r="H5783" s="195">
        <v>0.64383299999999999</v>
      </c>
      <c r="I5783" s="195">
        <v>0.64383319999999999</v>
      </c>
      <c r="J5783" s="195">
        <v>5.3524000000000002E-2</v>
      </c>
      <c r="K5783" s="195">
        <v>5.3524000000000002E-2</v>
      </c>
      <c r="L5783" s="195">
        <v>5.3524000000000002E-2</v>
      </c>
      <c r="M5783" s="195">
        <v>5.3524000000000002E-2</v>
      </c>
      <c r="N5783" s="195">
        <v>5.3524000000000002E-2</v>
      </c>
    </row>
    <row r="5784" spans="1:14" hidden="1" x14ac:dyDescent="0.35">
      <c r="A5784" s="52" t="s">
        <v>722</v>
      </c>
      <c r="B5784" s="52" t="s">
        <v>307</v>
      </c>
      <c r="C5784" s="52" t="s">
        <v>306</v>
      </c>
      <c r="D5784" s="52" t="s">
        <v>306</v>
      </c>
      <c r="E5784" s="52" t="s">
        <v>584</v>
      </c>
      <c r="F5784" s="52" t="s">
        <v>581</v>
      </c>
      <c r="G5784" s="195" t="s">
        <v>279</v>
      </c>
      <c r="H5784" s="195">
        <v>435.74160000000001</v>
      </c>
      <c r="I5784" s="195">
        <v>376.85149999999999</v>
      </c>
      <c r="J5784" s="195">
        <v>386.87610000000001</v>
      </c>
      <c r="K5784" s="195">
        <v>436.99990000000003</v>
      </c>
      <c r="L5784" s="195">
        <v>405.38220000000001</v>
      </c>
      <c r="M5784" s="195">
        <v>392.9751</v>
      </c>
      <c r="N5784" s="195">
        <v>368.04969999999997</v>
      </c>
    </row>
    <row r="5785" spans="1:14" hidden="1" x14ac:dyDescent="0.35">
      <c r="A5785" s="52" t="s">
        <v>722</v>
      </c>
      <c r="B5785" s="52" t="s">
        <v>307</v>
      </c>
      <c r="C5785" s="52" t="s">
        <v>306</v>
      </c>
      <c r="D5785" s="52" t="s">
        <v>306</v>
      </c>
      <c r="E5785" s="52" t="s">
        <v>584</v>
      </c>
      <c r="F5785" s="52" t="s">
        <v>26</v>
      </c>
      <c r="G5785" s="195" t="s">
        <v>275</v>
      </c>
      <c r="H5785" s="195">
        <v>2.749028</v>
      </c>
      <c r="I5785" s="195">
        <v>2.527415</v>
      </c>
      <c r="J5785" s="195">
        <v>5.1812440000000004</v>
      </c>
      <c r="K5785" s="195">
        <v>5.3720309999999998</v>
      </c>
      <c r="L5785" s="195">
        <v>7.4408479999999999</v>
      </c>
      <c r="M5785" s="195">
        <v>7.0901300000000003</v>
      </c>
      <c r="N5785" s="195">
        <v>6.4043700000000001</v>
      </c>
    </row>
    <row r="5786" spans="1:14" hidden="1" x14ac:dyDescent="0.35">
      <c r="A5786" s="52" t="s">
        <v>722</v>
      </c>
      <c r="B5786" s="52" t="s">
        <v>307</v>
      </c>
      <c r="C5786" s="52" t="s">
        <v>306</v>
      </c>
      <c r="D5786" s="52" t="s">
        <v>306</v>
      </c>
      <c r="E5786" s="52" t="s">
        <v>584</v>
      </c>
      <c r="F5786" s="52" t="s">
        <v>26</v>
      </c>
      <c r="G5786" s="195" t="s">
        <v>276</v>
      </c>
      <c r="H5786" s="195">
        <v>-9.4900300000000007E-2</v>
      </c>
      <c r="I5786" s="195">
        <v>1.5215669999999999</v>
      </c>
      <c r="J5786" s="195">
        <v>2.8607580000000001</v>
      </c>
      <c r="K5786" s="195">
        <v>2.9949859999999999</v>
      </c>
      <c r="L5786" s="195">
        <v>4.4009739999999997</v>
      </c>
      <c r="M5786" s="195">
        <v>4.1928720000000004</v>
      </c>
      <c r="N5786" s="195">
        <v>3.7796080000000001</v>
      </c>
    </row>
    <row r="5787" spans="1:14" hidden="1" x14ac:dyDescent="0.35">
      <c r="A5787" s="52" t="s">
        <v>722</v>
      </c>
      <c r="B5787" s="52" t="s">
        <v>307</v>
      </c>
      <c r="C5787" s="52" t="s">
        <v>306</v>
      </c>
      <c r="D5787" s="52" t="s">
        <v>306</v>
      </c>
      <c r="E5787" s="52" t="s">
        <v>584</v>
      </c>
      <c r="F5787" s="52" t="s">
        <v>26</v>
      </c>
      <c r="G5787" s="195" t="s">
        <v>277</v>
      </c>
      <c r="H5787" s="195">
        <v>0</v>
      </c>
      <c r="I5787" s="195"/>
      <c r="J5787" s="195"/>
      <c r="K5787" s="195"/>
      <c r="L5787" s="195"/>
      <c r="M5787" s="195"/>
      <c r="N5787" s="195"/>
    </row>
    <row r="5788" spans="1:14" hidden="1" x14ac:dyDescent="0.35">
      <c r="A5788" s="52" t="s">
        <v>722</v>
      </c>
      <c r="B5788" s="52" t="s">
        <v>307</v>
      </c>
      <c r="C5788" s="52" t="s">
        <v>306</v>
      </c>
      <c r="D5788" s="52" t="s">
        <v>306</v>
      </c>
      <c r="E5788" s="52" t="s">
        <v>584</v>
      </c>
      <c r="F5788" s="52" t="s">
        <v>26</v>
      </c>
      <c r="G5788" s="195" t="s">
        <v>279</v>
      </c>
      <c r="H5788" s="195">
        <v>12.072620000000001</v>
      </c>
      <c r="I5788" s="195">
        <v>12.184329999999999</v>
      </c>
      <c r="J5788" s="195">
        <v>25.932680000000001</v>
      </c>
      <c r="K5788" s="195">
        <v>36.639629999999997</v>
      </c>
      <c r="L5788" s="195">
        <v>51.778390000000002</v>
      </c>
      <c r="M5788" s="195">
        <v>49.374890000000001</v>
      </c>
      <c r="N5788" s="195">
        <v>44.657249999999998</v>
      </c>
    </row>
    <row r="5789" spans="1:14" hidden="1" x14ac:dyDescent="0.35">
      <c r="A5789" s="52" t="s">
        <v>722</v>
      </c>
      <c r="B5789" s="52" t="s">
        <v>265</v>
      </c>
      <c r="C5789" s="52" t="s">
        <v>265</v>
      </c>
      <c r="D5789" s="52" t="s">
        <v>265</v>
      </c>
      <c r="E5789" s="52" t="s">
        <v>584</v>
      </c>
      <c r="F5789" s="52" t="s">
        <v>581</v>
      </c>
      <c r="G5789" s="195" t="s">
        <v>275</v>
      </c>
      <c r="H5789" s="195">
        <v>25.796980000000001</v>
      </c>
      <c r="I5789" s="195">
        <v>-3.9089399999999999</v>
      </c>
      <c r="J5789" s="195">
        <v>0.49091269999999998</v>
      </c>
      <c r="K5789" s="195">
        <v>-8.2867920000000002</v>
      </c>
      <c r="L5789" s="195">
        <v>-13.315049999999999</v>
      </c>
      <c r="M5789" s="195">
        <v>-0.93080870000000004</v>
      </c>
      <c r="N5789" s="195">
        <v>-1.9863660000000001</v>
      </c>
    </row>
    <row r="5790" spans="1:14" hidden="1" x14ac:dyDescent="0.35">
      <c r="A5790" s="52" t="s">
        <v>722</v>
      </c>
      <c r="B5790" s="52" t="s">
        <v>265</v>
      </c>
      <c r="C5790" s="52" t="s">
        <v>265</v>
      </c>
      <c r="D5790" s="52" t="s">
        <v>265</v>
      </c>
      <c r="E5790" s="52" t="s">
        <v>584</v>
      </c>
      <c r="F5790" s="52" t="s">
        <v>581</v>
      </c>
      <c r="G5790" s="195" t="s">
        <v>276</v>
      </c>
      <c r="H5790" s="195">
        <v>15.085050000000001</v>
      </c>
      <c r="I5790" s="195">
        <v>-1.426995</v>
      </c>
      <c r="J5790" s="195">
        <v>-4.7774159999999997</v>
      </c>
      <c r="K5790" s="195">
        <v>-8.6814060000000008</v>
      </c>
      <c r="L5790" s="195">
        <v>-5.7531150000000002</v>
      </c>
      <c r="M5790" s="195">
        <v>-1.6394280000000001</v>
      </c>
      <c r="N5790" s="195">
        <v>-1.8436870000000001</v>
      </c>
    </row>
    <row r="5791" spans="1:14" hidden="1" x14ac:dyDescent="0.35">
      <c r="A5791" s="52" t="s">
        <v>722</v>
      </c>
      <c r="B5791" s="52" t="s">
        <v>265</v>
      </c>
      <c r="C5791" s="52" t="s">
        <v>265</v>
      </c>
      <c r="D5791" s="52" t="s">
        <v>265</v>
      </c>
      <c r="E5791" s="52" t="s">
        <v>584</v>
      </c>
      <c r="F5791" s="52" t="s">
        <v>581</v>
      </c>
      <c r="G5791" s="195" t="s">
        <v>277</v>
      </c>
      <c r="H5791" s="195">
        <v>28.27366</v>
      </c>
      <c r="I5791" s="195">
        <v>22.63616</v>
      </c>
      <c r="J5791" s="195">
        <v>6.1428859999999998</v>
      </c>
      <c r="K5791" s="195">
        <v>11.035970000000001</v>
      </c>
      <c r="L5791" s="195">
        <v>9.9343400000000006</v>
      </c>
      <c r="M5791" s="195">
        <v>9.9492779999999996</v>
      </c>
      <c r="N5791" s="195">
        <v>9.6054089999999999</v>
      </c>
    </row>
    <row r="5792" spans="1:14" hidden="1" x14ac:dyDescent="0.35">
      <c r="A5792" s="52" t="s">
        <v>722</v>
      </c>
      <c r="B5792" s="52" t="s">
        <v>265</v>
      </c>
      <c r="C5792" s="52" t="s">
        <v>265</v>
      </c>
      <c r="D5792" s="52" t="s">
        <v>265</v>
      </c>
      <c r="E5792" s="52" t="s">
        <v>584</v>
      </c>
      <c r="F5792" s="52" t="s">
        <v>581</v>
      </c>
      <c r="G5792" s="195" t="s">
        <v>278</v>
      </c>
      <c r="H5792" s="195">
        <v>41.814799999999998</v>
      </c>
      <c r="I5792" s="195">
        <v>0.30961640000000001</v>
      </c>
      <c r="J5792" s="195">
        <v>0.31094569999999999</v>
      </c>
      <c r="K5792" s="195">
        <v>1.8701430000000001</v>
      </c>
      <c r="L5792" s="195">
        <v>0.98638630000000005</v>
      </c>
      <c r="M5792" s="195">
        <v>0.17133470000000001</v>
      </c>
      <c r="N5792" s="195">
        <v>0.19505430000000001</v>
      </c>
    </row>
    <row r="5793" spans="1:14" hidden="1" x14ac:dyDescent="0.35">
      <c r="A5793" s="52" t="s">
        <v>722</v>
      </c>
      <c r="B5793" s="52" t="s">
        <v>265</v>
      </c>
      <c r="C5793" s="52" t="s">
        <v>265</v>
      </c>
      <c r="D5793" s="52" t="s">
        <v>265</v>
      </c>
      <c r="E5793" s="52" t="s">
        <v>584</v>
      </c>
      <c r="F5793" s="52" t="s">
        <v>581</v>
      </c>
      <c r="G5793" s="195" t="s">
        <v>279</v>
      </c>
      <c r="H5793" s="195">
        <v>90.68929</v>
      </c>
      <c r="I5793" s="195">
        <v>79.441239999999993</v>
      </c>
      <c r="J5793" s="195">
        <v>72.21387</v>
      </c>
      <c r="K5793" s="195">
        <v>74.449979999999996</v>
      </c>
      <c r="L5793" s="195">
        <v>68.113849999999999</v>
      </c>
      <c r="M5793" s="195">
        <v>27.858250000000002</v>
      </c>
      <c r="N5793" s="195">
        <v>26.062290000000001</v>
      </c>
    </row>
    <row r="5794" spans="1:14" hidden="1" x14ac:dyDescent="0.35">
      <c r="A5794" s="52" t="s">
        <v>722</v>
      </c>
      <c r="B5794" s="52" t="s">
        <v>265</v>
      </c>
      <c r="C5794" s="52" t="s">
        <v>265</v>
      </c>
      <c r="D5794" s="52" t="s">
        <v>265</v>
      </c>
      <c r="E5794" s="52" t="s">
        <v>584</v>
      </c>
      <c r="F5794" s="52" t="s">
        <v>26</v>
      </c>
      <c r="G5794" s="195" t="s">
        <v>275</v>
      </c>
      <c r="H5794" s="195"/>
      <c r="I5794" s="195"/>
      <c r="J5794" s="195">
        <v>0</v>
      </c>
      <c r="K5794" s="195">
        <v>0</v>
      </c>
      <c r="L5794" s="195">
        <v>0</v>
      </c>
      <c r="M5794" s="195">
        <v>0</v>
      </c>
      <c r="N5794" s="195">
        <v>0</v>
      </c>
    </row>
    <row r="5795" spans="1:14" hidden="1" x14ac:dyDescent="0.35">
      <c r="A5795" s="52" t="s">
        <v>722</v>
      </c>
      <c r="B5795" s="52" t="s">
        <v>265</v>
      </c>
      <c r="C5795" s="52" t="s">
        <v>265</v>
      </c>
      <c r="D5795" s="52" t="s">
        <v>265</v>
      </c>
      <c r="E5795" s="52" t="s">
        <v>584</v>
      </c>
      <c r="F5795" s="52" t="s">
        <v>26</v>
      </c>
      <c r="G5795" s="195" t="s">
        <v>276</v>
      </c>
      <c r="H5795" s="195"/>
      <c r="I5795" s="195"/>
      <c r="J5795" s="195">
        <v>0</v>
      </c>
      <c r="K5795" s="195">
        <v>-2.6484E-3</v>
      </c>
      <c r="L5795" s="195">
        <v>-2.6492E-3</v>
      </c>
      <c r="M5795" s="195">
        <v>-2.6488000000000002E-3</v>
      </c>
      <c r="N5795" s="195">
        <v>-3.2965939999999999E-2</v>
      </c>
    </row>
    <row r="5796" spans="1:14" hidden="1" x14ac:dyDescent="0.35">
      <c r="A5796" s="52" t="s">
        <v>722</v>
      </c>
      <c r="B5796" s="52" t="s">
        <v>265</v>
      </c>
      <c r="C5796" s="52" t="s">
        <v>265</v>
      </c>
      <c r="D5796" s="52" t="s">
        <v>265</v>
      </c>
      <c r="E5796" s="52" t="s">
        <v>584</v>
      </c>
      <c r="F5796" s="52" t="s">
        <v>26</v>
      </c>
      <c r="G5796" s="195" t="s">
        <v>277</v>
      </c>
      <c r="H5796" s="195"/>
      <c r="I5796" s="195"/>
      <c r="J5796" s="195"/>
      <c r="K5796" s="195"/>
      <c r="L5796" s="195"/>
      <c r="M5796" s="195">
        <v>0</v>
      </c>
      <c r="N5796" s="195"/>
    </row>
    <row r="5797" spans="1:14" hidden="1" x14ac:dyDescent="0.35">
      <c r="A5797" s="52" t="s">
        <v>722</v>
      </c>
      <c r="B5797" s="52" t="s">
        <v>265</v>
      </c>
      <c r="C5797" s="52" t="s">
        <v>265</v>
      </c>
      <c r="D5797" s="52" t="s">
        <v>265</v>
      </c>
      <c r="E5797" s="52" t="s">
        <v>584</v>
      </c>
      <c r="F5797" s="52" t="s">
        <v>26</v>
      </c>
      <c r="G5797" s="195" t="s">
        <v>279</v>
      </c>
      <c r="H5797" s="195"/>
      <c r="I5797" s="195"/>
      <c r="J5797" s="195">
        <v>0</v>
      </c>
      <c r="K5797" s="195">
        <v>2.6488000000000002E-3</v>
      </c>
      <c r="L5797" s="195">
        <v>2.6488000000000002E-3</v>
      </c>
      <c r="M5797" s="195">
        <v>2.6488000000000002E-3</v>
      </c>
      <c r="N5797" s="195">
        <v>3.829275E-3</v>
      </c>
    </row>
    <row r="5798" spans="1:14" hidden="1" x14ac:dyDescent="0.35">
      <c r="A5798" s="52" t="s">
        <v>722</v>
      </c>
      <c r="B5798" s="52" t="s">
        <v>265</v>
      </c>
      <c r="C5798" s="52" t="s">
        <v>44</v>
      </c>
      <c r="D5798" s="52" t="s">
        <v>44</v>
      </c>
      <c r="E5798" s="52" t="s">
        <v>584</v>
      </c>
      <c r="F5798" s="52" t="s">
        <v>581</v>
      </c>
      <c r="G5798" s="195" t="s">
        <v>275</v>
      </c>
      <c r="H5798" s="195">
        <v>-11.224729999999999</v>
      </c>
      <c r="I5798" s="195">
        <v>-15.763730000000001</v>
      </c>
      <c r="J5798" s="195">
        <v>-13.54041</v>
      </c>
      <c r="K5798" s="195">
        <v>-15.35197</v>
      </c>
      <c r="L5798" s="195">
        <v>3.9712170000000002</v>
      </c>
      <c r="M5798" s="195">
        <v>1.0520290000000001</v>
      </c>
      <c r="N5798" s="195">
        <v>4.7280439999999997</v>
      </c>
    </row>
    <row r="5799" spans="1:14" hidden="1" x14ac:dyDescent="0.35">
      <c r="A5799" s="52" t="s">
        <v>722</v>
      </c>
      <c r="B5799" s="52" t="s">
        <v>265</v>
      </c>
      <c r="C5799" s="52" t="s">
        <v>44</v>
      </c>
      <c r="D5799" s="52" t="s">
        <v>44</v>
      </c>
      <c r="E5799" s="52" t="s">
        <v>584</v>
      </c>
      <c r="F5799" s="52" t="s">
        <v>581</v>
      </c>
      <c r="G5799" s="195" t="s">
        <v>276</v>
      </c>
      <c r="H5799" s="195">
        <v>-0.1266439</v>
      </c>
      <c r="I5799" s="195">
        <v>-5.0816359999999996</v>
      </c>
      <c r="J5799" s="195">
        <v>-6.9340320000000002</v>
      </c>
      <c r="K5799" s="195">
        <v>-9.4982039999999994</v>
      </c>
      <c r="L5799" s="195">
        <v>-5.9798150000000003</v>
      </c>
      <c r="M5799" s="195">
        <v>-3.8292389999999998</v>
      </c>
      <c r="N5799" s="195">
        <v>-2.5192450000000002</v>
      </c>
    </row>
    <row r="5800" spans="1:14" hidden="1" x14ac:dyDescent="0.35">
      <c r="A5800" s="52" t="s">
        <v>722</v>
      </c>
      <c r="B5800" s="52" t="s">
        <v>265</v>
      </c>
      <c r="C5800" s="52" t="s">
        <v>44</v>
      </c>
      <c r="D5800" s="52" t="s">
        <v>44</v>
      </c>
      <c r="E5800" s="52" t="s">
        <v>584</v>
      </c>
      <c r="F5800" s="52" t="s">
        <v>581</v>
      </c>
      <c r="G5800" s="195" t="s">
        <v>277</v>
      </c>
      <c r="H5800" s="195">
        <v>19.073969999999999</v>
      </c>
      <c r="I5800" s="195">
        <v>18.297820000000002</v>
      </c>
      <c r="J5800" s="195">
        <v>20.221820000000001</v>
      </c>
      <c r="K5800" s="195">
        <v>21.722729999999999</v>
      </c>
      <c r="L5800" s="195">
        <v>3.692501</v>
      </c>
      <c r="M5800" s="195">
        <v>6.808325</v>
      </c>
      <c r="N5800" s="195">
        <v>1.3929400000000001</v>
      </c>
    </row>
    <row r="5801" spans="1:14" hidden="1" x14ac:dyDescent="0.35">
      <c r="A5801" s="52" t="s">
        <v>722</v>
      </c>
      <c r="B5801" s="52" t="s">
        <v>265</v>
      </c>
      <c r="C5801" s="52" t="s">
        <v>44</v>
      </c>
      <c r="D5801" s="52" t="s">
        <v>44</v>
      </c>
      <c r="E5801" s="52" t="s">
        <v>584</v>
      </c>
      <c r="F5801" s="52" t="s">
        <v>581</v>
      </c>
      <c r="G5801" s="195" t="s">
        <v>278</v>
      </c>
      <c r="H5801" s="195">
        <v>6.5554110000000003</v>
      </c>
      <c r="I5801" s="195">
        <v>4.1087550000000004</v>
      </c>
      <c r="J5801" s="195">
        <v>3.2981530000000002E-2</v>
      </c>
      <c r="K5801" s="195">
        <v>1.074922E-2</v>
      </c>
      <c r="L5801" s="195">
        <v>2.6036549999999999E-2</v>
      </c>
      <c r="M5801" s="195">
        <v>5.8488749999999999E-3</v>
      </c>
      <c r="N5801" s="195">
        <v>5.8488749999999999E-3</v>
      </c>
    </row>
    <row r="5802" spans="1:14" hidden="1" x14ac:dyDescent="0.35">
      <c r="A5802" s="52" t="s">
        <v>722</v>
      </c>
      <c r="B5802" s="52" t="s">
        <v>265</v>
      </c>
      <c r="C5802" s="52" t="s">
        <v>44</v>
      </c>
      <c r="D5802" s="52" t="s">
        <v>44</v>
      </c>
      <c r="E5802" s="52" t="s">
        <v>584</v>
      </c>
      <c r="F5802" s="52" t="s">
        <v>581</v>
      </c>
      <c r="G5802" s="195" t="s">
        <v>279</v>
      </c>
      <c r="H5802" s="195">
        <v>18.594729999999998</v>
      </c>
      <c r="I5802" s="195">
        <v>20.135000000000002</v>
      </c>
      <c r="J5802" s="195">
        <v>19.132919999999999</v>
      </c>
      <c r="K5802" s="195">
        <v>23.036269999999998</v>
      </c>
      <c r="L5802" s="195">
        <v>25.677959999999999</v>
      </c>
      <c r="M5802" s="195">
        <v>22.359390000000001</v>
      </c>
      <c r="N5802" s="195">
        <v>17.521509999999999</v>
      </c>
    </row>
    <row r="5803" spans="1:14" hidden="1" x14ac:dyDescent="0.35">
      <c r="A5803" s="52" t="s">
        <v>722</v>
      </c>
      <c r="B5803" s="52" t="s">
        <v>265</v>
      </c>
      <c r="C5803" s="52" t="s">
        <v>44</v>
      </c>
      <c r="D5803" s="52" t="s">
        <v>44</v>
      </c>
      <c r="E5803" s="52" t="s">
        <v>584</v>
      </c>
      <c r="F5803" s="52" t="s">
        <v>26</v>
      </c>
      <c r="G5803" s="195" t="s">
        <v>275</v>
      </c>
      <c r="H5803" s="195"/>
      <c r="I5803" s="195"/>
      <c r="J5803" s="195"/>
      <c r="K5803" s="195">
        <v>0</v>
      </c>
      <c r="L5803" s="195">
        <v>0</v>
      </c>
      <c r="M5803" s="195">
        <v>0</v>
      </c>
      <c r="N5803" s="195">
        <v>0</v>
      </c>
    </row>
    <row r="5804" spans="1:14" hidden="1" x14ac:dyDescent="0.35">
      <c r="A5804" s="52" t="s">
        <v>722</v>
      </c>
      <c r="B5804" s="52" t="s">
        <v>265</v>
      </c>
      <c r="C5804" s="52" t="s">
        <v>44</v>
      </c>
      <c r="D5804" s="52" t="s">
        <v>44</v>
      </c>
      <c r="E5804" s="52" t="s">
        <v>584</v>
      </c>
      <c r="F5804" s="52" t="s">
        <v>26</v>
      </c>
      <c r="G5804" s="195" t="s">
        <v>276</v>
      </c>
      <c r="H5804" s="195"/>
      <c r="I5804" s="195"/>
      <c r="J5804" s="195"/>
      <c r="K5804" s="195">
        <v>0</v>
      </c>
      <c r="L5804" s="195">
        <v>-1.4362500000000001E-4</v>
      </c>
      <c r="M5804" s="195">
        <v>-1.4362500000000001E-4</v>
      </c>
      <c r="N5804" s="195">
        <v>-1.4362500000000001E-4</v>
      </c>
    </row>
    <row r="5805" spans="1:14" hidden="1" x14ac:dyDescent="0.35">
      <c r="A5805" s="52" t="s">
        <v>722</v>
      </c>
      <c r="B5805" s="52" t="s">
        <v>265</v>
      </c>
      <c r="C5805" s="52" t="s">
        <v>44</v>
      </c>
      <c r="D5805" s="52" t="s">
        <v>44</v>
      </c>
      <c r="E5805" s="52" t="s">
        <v>584</v>
      </c>
      <c r="F5805" s="52" t="s">
        <v>26</v>
      </c>
      <c r="G5805" s="195" t="s">
        <v>279</v>
      </c>
      <c r="H5805" s="195"/>
      <c r="I5805" s="195"/>
      <c r="J5805" s="195"/>
      <c r="K5805" s="195">
        <v>0</v>
      </c>
      <c r="L5805" s="195">
        <v>1.4362500000000001E-4</v>
      </c>
      <c r="M5805" s="195">
        <v>1.4362500000000001E-4</v>
      </c>
      <c r="N5805" s="195">
        <v>1.437E-4</v>
      </c>
    </row>
    <row r="5806" spans="1:14" hidden="1" x14ac:dyDescent="0.35">
      <c r="A5806" s="52" t="s">
        <v>722</v>
      </c>
      <c r="B5806" s="52" t="s">
        <v>43</v>
      </c>
      <c r="C5806" s="52" t="s">
        <v>229</v>
      </c>
      <c r="D5806" s="52" t="s">
        <v>229</v>
      </c>
      <c r="E5806" s="52" t="s">
        <v>584</v>
      </c>
      <c r="F5806" s="52" t="s">
        <v>581</v>
      </c>
      <c r="G5806" s="195" t="s">
        <v>275</v>
      </c>
      <c r="H5806" s="195">
        <v>10.47954</v>
      </c>
      <c r="I5806" s="195">
        <v>-32.046939999999999</v>
      </c>
      <c r="J5806" s="195">
        <v>-30.0672</v>
      </c>
      <c r="K5806" s="195">
        <v>-16.385359999999999</v>
      </c>
      <c r="L5806" s="195">
        <v>-11.38857</v>
      </c>
      <c r="M5806" s="195">
        <v>-7.2733559999999997</v>
      </c>
      <c r="N5806" s="195">
        <v>-15.6715</v>
      </c>
    </row>
    <row r="5807" spans="1:14" hidden="1" x14ac:dyDescent="0.35">
      <c r="A5807" s="52" t="s">
        <v>722</v>
      </c>
      <c r="B5807" s="52" t="s">
        <v>43</v>
      </c>
      <c r="C5807" s="52" t="s">
        <v>229</v>
      </c>
      <c r="D5807" s="52" t="s">
        <v>229</v>
      </c>
      <c r="E5807" s="52" t="s">
        <v>584</v>
      </c>
      <c r="F5807" s="52" t="s">
        <v>581</v>
      </c>
      <c r="G5807" s="195" t="s">
        <v>276</v>
      </c>
      <c r="H5807" s="195">
        <v>10.26713</v>
      </c>
      <c r="I5807" s="195">
        <v>2.2343320000000002</v>
      </c>
      <c r="J5807" s="195">
        <v>1.6718329999999999</v>
      </c>
      <c r="K5807" s="195">
        <v>1.6310009999999999</v>
      </c>
      <c r="L5807" s="195">
        <v>1.6471800000000001</v>
      </c>
      <c r="M5807" s="195">
        <v>1.1005119999999999</v>
      </c>
      <c r="N5807" s="195">
        <v>0.9872457</v>
      </c>
    </row>
    <row r="5808" spans="1:14" hidden="1" x14ac:dyDescent="0.35">
      <c r="A5808" s="52" t="s">
        <v>722</v>
      </c>
      <c r="B5808" s="52" t="s">
        <v>43</v>
      </c>
      <c r="C5808" s="52" t="s">
        <v>229</v>
      </c>
      <c r="D5808" s="52" t="s">
        <v>229</v>
      </c>
      <c r="E5808" s="52" t="s">
        <v>584</v>
      </c>
      <c r="F5808" s="52" t="s">
        <v>581</v>
      </c>
      <c r="G5808" s="195" t="s">
        <v>277</v>
      </c>
      <c r="H5808" s="195">
        <v>20.933250000000001</v>
      </c>
      <c r="I5808" s="195">
        <v>10.51957</v>
      </c>
      <c r="J5808" s="195">
        <v>24.419809999999998</v>
      </c>
      <c r="K5808" s="195">
        <v>8.8208249999999992</v>
      </c>
      <c r="L5808" s="195">
        <v>3.6861630000000001</v>
      </c>
      <c r="M5808" s="195">
        <v>0</v>
      </c>
      <c r="N5808" s="195">
        <v>0</v>
      </c>
    </row>
    <row r="5809" spans="1:14" hidden="1" x14ac:dyDescent="0.35">
      <c r="A5809" s="52" t="s">
        <v>722</v>
      </c>
      <c r="B5809" s="52" t="s">
        <v>43</v>
      </c>
      <c r="C5809" s="52" t="s">
        <v>229</v>
      </c>
      <c r="D5809" s="52" t="s">
        <v>229</v>
      </c>
      <c r="E5809" s="52" t="s">
        <v>584</v>
      </c>
      <c r="F5809" s="52" t="s">
        <v>581</v>
      </c>
      <c r="G5809" s="195" t="s">
        <v>278</v>
      </c>
      <c r="H5809" s="195">
        <v>16.681000000000001</v>
      </c>
      <c r="I5809" s="195">
        <v>20.709869999999999</v>
      </c>
      <c r="J5809" s="195">
        <v>0</v>
      </c>
      <c r="K5809" s="195">
        <v>0</v>
      </c>
      <c r="L5809" s="195">
        <v>0</v>
      </c>
      <c r="M5809" s="195">
        <v>0</v>
      </c>
      <c r="N5809" s="195">
        <v>0</v>
      </c>
    </row>
    <row r="5810" spans="1:14" hidden="1" x14ac:dyDescent="0.35">
      <c r="A5810" s="52" t="s">
        <v>722</v>
      </c>
      <c r="B5810" s="52" t="s">
        <v>43</v>
      </c>
      <c r="C5810" s="52" t="s">
        <v>229</v>
      </c>
      <c r="D5810" s="52" t="s">
        <v>229</v>
      </c>
      <c r="E5810" s="52" t="s">
        <v>584</v>
      </c>
      <c r="F5810" s="52" t="s">
        <v>581</v>
      </c>
      <c r="G5810" s="195" t="s">
        <v>279</v>
      </c>
      <c r="H5810" s="195">
        <v>32.366019999999999</v>
      </c>
      <c r="I5810" s="195">
        <v>29.855119999999999</v>
      </c>
      <c r="J5810" s="195">
        <v>27.777270000000001</v>
      </c>
      <c r="K5810" s="195">
        <v>29.223949999999999</v>
      </c>
      <c r="L5810" s="195">
        <v>29.666889999999999</v>
      </c>
      <c r="M5810" s="195">
        <v>24.320129999999999</v>
      </c>
      <c r="N5810" s="195">
        <v>31.221979999999999</v>
      </c>
    </row>
    <row r="5811" spans="1:14" hidden="1" x14ac:dyDescent="0.35">
      <c r="A5811" s="52" t="s">
        <v>722</v>
      </c>
      <c r="B5811" s="52" t="s">
        <v>264</v>
      </c>
      <c r="C5811" s="52" t="s">
        <v>264</v>
      </c>
      <c r="D5811" s="52" t="s">
        <v>264</v>
      </c>
      <c r="E5811" s="52" t="s">
        <v>584</v>
      </c>
      <c r="F5811" s="52" t="s">
        <v>581</v>
      </c>
      <c r="G5811" s="195" t="s">
        <v>275</v>
      </c>
      <c r="H5811" s="195">
        <v>6.3508360000000001</v>
      </c>
      <c r="I5811" s="195">
        <v>-10.88256</v>
      </c>
      <c r="J5811" s="195">
        <v>-9.4542839999999995</v>
      </c>
      <c r="K5811" s="195">
        <v>-10.227869999999999</v>
      </c>
      <c r="L5811" s="195">
        <v>-3.363899</v>
      </c>
      <c r="M5811" s="195">
        <v>-3.9127779999999999</v>
      </c>
      <c r="N5811" s="195">
        <v>-4.5686819999999999</v>
      </c>
    </row>
    <row r="5812" spans="1:14" hidden="1" x14ac:dyDescent="0.35">
      <c r="A5812" s="52" t="s">
        <v>722</v>
      </c>
      <c r="B5812" s="52" t="s">
        <v>264</v>
      </c>
      <c r="C5812" s="52" t="s">
        <v>264</v>
      </c>
      <c r="D5812" s="52" t="s">
        <v>264</v>
      </c>
      <c r="E5812" s="52" t="s">
        <v>584</v>
      </c>
      <c r="F5812" s="52" t="s">
        <v>581</v>
      </c>
      <c r="G5812" s="195" t="s">
        <v>276</v>
      </c>
      <c r="H5812" s="195">
        <v>1.3564240000000001</v>
      </c>
      <c r="I5812" s="195">
        <v>9.6654939999999995E-2</v>
      </c>
      <c r="J5812" s="195">
        <v>-18.107959999999999</v>
      </c>
      <c r="K5812" s="195">
        <v>-13.95561</v>
      </c>
      <c r="L5812" s="195">
        <v>-13.77256</v>
      </c>
      <c r="M5812" s="195">
        <v>-20.95684</v>
      </c>
      <c r="N5812" s="195">
        <v>-5.0812030000000004</v>
      </c>
    </row>
    <row r="5813" spans="1:14" hidden="1" x14ac:dyDescent="0.35">
      <c r="A5813" s="52" t="s">
        <v>722</v>
      </c>
      <c r="B5813" s="52" t="s">
        <v>264</v>
      </c>
      <c r="C5813" s="52" t="s">
        <v>264</v>
      </c>
      <c r="D5813" s="52" t="s">
        <v>264</v>
      </c>
      <c r="E5813" s="52" t="s">
        <v>584</v>
      </c>
      <c r="F5813" s="52" t="s">
        <v>581</v>
      </c>
      <c r="G5813" s="195" t="s">
        <v>277</v>
      </c>
      <c r="H5813" s="195">
        <v>2.7397529999999999</v>
      </c>
      <c r="I5813" s="195">
        <v>1.8789849999999999</v>
      </c>
      <c r="J5813" s="195"/>
      <c r="K5813" s="195"/>
      <c r="L5813" s="195">
        <v>0</v>
      </c>
      <c r="M5813" s="195">
        <v>1.7999999999999999E-2</v>
      </c>
      <c r="N5813" s="195">
        <v>1.7999999999999999E-2</v>
      </c>
    </row>
    <row r="5814" spans="1:14" hidden="1" x14ac:dyDescent="0.35">
      <c r="A5814" s="52" t="s">
        <v>722</v>
      </c>
      <c r="B5814" s="52" t="s">
        <v>264</v>
      </c>
      <c r="C5814" s="52" t="s">
        <v>264</v>
      </c>
      <c r="D5814" s="52" t="s">
        <v>264</v>
      </c>
      <c r="E5814" s="52" t="s">
        <v>584</v>
      </c>
      <c r="F5814" s="52" t="s">
        <v>581</v>
      </c>
      <c r="G5814" s="195" t="s">
        <v>278</v>
      </c>
      <c r="H5814" s="195">
        <v>1.032548</v>
      </c>
      <c r="I5814" s="195">
        <v>1.032548</v>
      </c>
      <c r="J5814" s="195">
        <v>18.39573</v>
      </c>
      <c r="K5814" s="195">
        <v>14.27251</v>
      </c>
      <c r="L5814" s="195">
        <v>14.08765</v>
      </c>
      <c r="M5814" s="195">
        <v>21.231829999999999</v>
      </c>
      <c r="N5814" s="195">
        <v>5.3284890000000003</v>
      </c>
    </row>
    <row r="5815" spans="1:14" hidden="1" x14ac:dyDescent="0.35">
      <c r="A5815" s="52" t="s">
        <v>722</v>
      </c>
      <c r="B5815" s="52" t="s">
        <v>264</v>
      </c>
      <c r="C5815" s="52" t="s">
        <v>264</v>
      </c>
      <c r="D5815" s="52" t="s">
        <v>264</v>
      </c>
      <c r="E5815" s="52" t="s">
        <v>584</v>
      </c>
      <c r="F5815" s="52" t="s">
        <v>581</v>
      </c>
      <c r="G5815" s="195" t="s">
        <v>279</v>
      </c>
      <c r="H5815" s="195">
        <v>16.17266</v>
      </c>
      <c r="I5815" s="195">
        <v>15.19683</v>
      </c>
      <c r="J5815" s="195">
        <v>15.63373</v>
      </c>
      <c r="K5815" s="195">
        <v>16.539950000000001</v>
      </c>
      <c r="L5815" s="195">
        <v>9.6846899999999998</v>
      </c>
      <c r="M5815" s="195">
        <v>9.8333639999999995</v>
      </c>
      <c r="N5815" s="195">
        <v>9.9694079999999996</v>
      </c>
    </row>
    <row r="5816" spans="1:14" hidden="1" x14ac:dyDescent="0.35">
      <c r="A5816" s="52" t="s">
        <v>722</v>
      </c>
      <c r="B5816" s="52" t="s">
        <v>264</v>
      </c>
      <c r="C5816" s="52" t="s">
        <v>264</v>
      </c>
      <c r="D5816" s="52" t="s">
        <v>264</v>
      </c>
      <c r="E5816" s="52" t="s">
        <v>584</v>
      </c>
      <c r="F5816" s="52" t="s">
        <v>26</v>
      </c>
      <c r="G5816" s="195" t="s">
        <v>275</v>
      </c>
      <c r="H5816" s="195">
        <v>4.1223159999999996</v>
      </c>
      <c r="I5816" s="195">
        <v>1.8696710000000001</v>
      </c>
      <c r="J5816" s="195">
        <v>0.51934919999999996</v>
      </c>
      <c r="K5816" s="195">
        <v>0.36603930000000001</v>
      </c>
      <c r="L5816" s="195">
        <v>0.37682670000000001</v>
      </c>
      <c r="M5816" s="195">
        <v>0.35724529999999999</v>
      </c>
      <c r="N5816" s="195">
        <v>0.32734560000000001</v>
      </c>
    </row>
    <row r="5817" spans="1:14" hidden="1" x14ac:dyDescent="0.35">
      <c r="A5817" s="52" t="s">
        <v>722</v>
      </c>
      <c r="B5817" s="52" t="s">
        <v>264</v>
      </c>
      <c r="C5817" s="52" t="s">
        <v>264</v>
      </c>
      <c r="D5817" s="52" t="s">
        <v>264</v>
      </c>
      <c r="E5817" s="52" t="s">
        <v>584</v>
      </c>
      <c r="F5817" s="52" t="s">
        <v>26</v>
      </c>
      <c r="G5817" s="195" t="s">
        <v>276</v>
      </c>
      <c r="H5817" s="195">
        <v>1.803007</v>
      </c>
      <c r="I5817" s="195">
        <v>0.9437217</v>
      </c>
      <c r="J5817" s="195">
        <v>0.50964520000000002</v>
      </c>
      <c r="K5817" s="195">
        <v>0.4873092</v>
      </c>
      <c r="L5817" s="195">
        <v>0.49124960000000001</v>
      </c>
      <c r="M5817" s="195">
        <v>0.46324910000000002</v>
      </c>
      <c r="N5817" s="195">
        <v>0.42544320000000002</v>
      </c>
    </row>
    <row r="5818" spans="1:14" hidden="1" x14ac:dyDescent="0.35">
      <c r="A5818" s="52" t="s">
        <v>722</v>
      </c>
      <c r="B5818" s="52" t="s">
        <v>264</v>
      </c>
      <c r="C5818" s="52" t="s">
        <v>264</v>
      </c>
      <c r="D5818" s="52" t="s">
        <v>264</v>
      </c>
      <c r="E5818" s="52" t="s">
        <v>584</v>
      </c>
      <c r="F5818" s="52" t="s">
        <v>26</v>
      </c>
      <c r="G5818" s="195" t="s">
        <v>278</v>
      </c>
      <c r="H5818" s="195"/>
      <c r="I5818" s="195"/>
      <c r="J5818" s="195">
        <v>0</v>
      </c>
      <c r="K5818" s="195">
        <v>0</v>
      </c>
      <c r="L5818" s="195">
        <v>0</v>
      </c>
      <c r="M5818" s="195">
        <v>0</v>
      </c>
      <c r="N5818" s="195"/>
    </row>
    <row r="5819" spans="1:14" hidden="1" x14ac:dyDescent="0.35">
      <c r="A5819" s="52" t="s">
        <v>722</v>
      </c>
      <c r="B5819" s="52" t="s">
        <v>264</v>
      </c>
      <c r="C5819" s="52" t="s">
        <v>264</v>
      </c>
      <c r="D5819" s="52" t="s">
        <v>264</v>
      </c>
      <c r="E5819" s="52" t="s">
        <v>584</v>
      </c>
      <c r="F5819" s="52" t="s">
        <v>26</v>
      </c>
      <c r="G5819" s="195" t="s">
        <v>279</v>
      </c>
      <c r="H5819" s="195">
        <v>1.2867059999999999</v>
      </c>
      <c r="I5819" s="195">
        <v>0.96149370000000001</v>
      </c>
      <c r="J5819" s="195">
        <v>1.009587</v>
      </c>
      <c r="K5819" s="195">
        <v>1.0958889999999999</v>
      </c>
      <c r="L5819" s="195">
        <v>1.096922</v>
      </c>
      <c r="M5819" s="195">
        <v>1.032502</v>
      </c>
      <c r="N5819" s="195">
        <v>0.94898340000000003</v>
      </c>
    </row>
    <row r="5820" spans="1:14" hidden="1" x14ac:dyDescent="0.35">
      <c r="A5820" s="52" t="s">
        <v>722</v>
      </c>
      <c r="B5820" s="52" t="s">
        <v>264</v>
      </c>
      <c r="C5820" s="52" t="s">
        <v>850</v>
      </c>
      <c r="D5820" s="52" t="s">
        <v>850</v>
      </c>
      <c r="E5820" s="52" t="s">
        <v>584</v>
      </c>
      <c r="F5820" s="52" t="s">
        <v>581</v>
      </c>
      <c r="G5820" s="195" t="s">
        <v>275</v>
      </c>
      <c r="H5820" s="195">
        <v>-0.12</v>
      </c>
      <c r="I5820" s="195">
        <v>-0.12</v>
      </c>
      <c r="J5820" s="195">
        <v>0</v>
      </c>
      <c r="K5820" s="195">
        <v>0</v>
      </c>
      <c r="L5820" s="195">
        <v>0</v>
      </c>
      <c r="M5820" s="195">
        <v>0</v>
      </c>
      <c r="N5820" s="195">
        <v>0</v>
      </c>
    </row>
    <row r="5821" spans="1:14" hidden="1" x14ac:dyDescent="0.35">
      <c r="A5821" s="52" t="s">
        <v>722</v>
      </c>
      <c r="B5821" s="52" t="s">
        <v>264</v>
      </c>
      <c r="C5821" s="52" t="s">
        <v>850</v>
      </c>
      <c r="D5821" s="52" t="s">
        <v>850</v>
      </c>
      <c r="E5821" s="52" t="s">
        <v>584</v>
      </c>
      <c r="F5821" s="52" t="s">
        <v>581</v>
      </c>
      <c r="G5821" s="195" t="s">
        <v>276</v>
      </c>
      <c r="H5821" s="195"/>
      <c r="I5821" s="195"/>
      <c r="J5821" s="195">
        <v>-0.12</v>
      </c>
      <c r="K5821" s="195">
        <v>-0.12</v>
      </c>
      <c r="L5821" s="195">
        <v>-7.5989740000000001</v>
      </c>
      <c r="M5821" s="195">
        <v>-1.936933</v>
      </c>
      <c r="N5821" s="195">
        <v>-0.12</v>
      </c>
    </row>
    <row r="5822" spans="1:14" hidden="1" x14ac:dyDescent="0.35">
      <c r="A5822" s="52" t="s">
        <v>722</v>
      </c>
      <c r="B5822" s="52" t="s">
        <v>264</v>
      </c>
      <c r="C5822" s="52" t="s">
        <v>850</v>
      </c>
      <c r="D5822" s="52" t="s">
        <v>850</v>
      </c>
      <c r="E5822" s="52" t="s">
        <v>584</v>
      </c>
      <c r="F5822" s="52" t="s">
        <v>581</v>
      </c>
      <c r="G5822" s="195" t="s">
        <v>278</v>
      </c>
      <c r="H5822" s="195">
        <v>0.12</v>
      </c>
      <c r="I5822" s="195">
        <v>0.12</v>
      </c>
      <c r="J5822" s="195">
        <v>0.12</v>
      </c>
      <c r="K5822" s="195">
        <v>0.12</v>
      </c>
      <c r="L5822" s="195">
        <v>7.5989750000000003</v>
      </c>
      <c r="M5822" s="195">
        <v>1.936933</v>
      </c>
      <c r="N5822" s="195">
        <v>0.12</v>
      </c>
    </row>
    <row r="5823" spans="1:14" hidden="1" x14ac:dyDescent="0.35">
      <c r="A5823" s="52" t="s">
        <v>722</v>
      </c>
      <c r="B5823" s="52" t="s">
        <v>366</v>
      </c>
      <c r="C5823" s="52" t="s">
        <v>723</v>
      </c>
      <c r="D5823" s="52" t="s">
        <v>724</v>
      </c>
      <c r="E5823" s="52" t="s">
        <v>584</v>
      </c>
      <c r="F5823" s="52" t="s">
        <v>581</v>
      </c>
      <c r="G5823" s="195" t="s">
        <v>275</v>
      </c>
      <c r="H5823" s="195">
        <v>-35.196210000000001</v>
      </c>
      <c r="I5823" s="195">
        <v>-12.95556</v>
      </c>
      <c r="J5823" s="195">
        <v>0.24633459999999999</v>
      </c>
      <c r="K5823" s="195">
        <v>-0.7305642</v>
      </c>
      <c r="L5823" s="195">
        <v>-21.33257</v>
      </c>
      <c r="M5823" s="195">
        <v>-796.53909999999996</v>
      </c>
      <c r="N5823" s="195">
        <v>-271.78919999999999</v>
      </c>
    </row>
    <row r="5824" spans="1:14" hidden="1" x14ac:dyDescent="0.35">
      <c r="A5824" s="52" t="s">
        <v>722</v>
      </c>
      <c r="B5824" s="52" t="s">
        <v>366</v>
      </c>
      <c r="C5824" s="52" t="s">
        <v>723</v>
      </c>
      <c r="D5824" s="52" t="s">
        <v>724</v>
      </c>
      <c r="E5824" s="52" t="s">
        <v>584</v>
      </c>
      <c r="F5824" s="52" t="s">
        <v>581</v>
      </c>
      <c r="G5824" s="195" t="s">
        <v>276</v>
      </c>
      <c r="H5824" s="195">
        <v>0.66598900000000005</v>
      </c>
      <c r="I5824" s="195">
        <v>0.39196449999999999</v>
      </c>
      <c r="J5824" s="195">
        <v>0.18488769999999999</v>
      </c>
      <c r="K5824" s="195">
        <v>0.1260396</v>
      </c>
      <c r="L5824" s="195">
        <v>9.0927599999999997E-2</v>
      </c>
      <c r="M5824" s="195">
        <v>6.23265E-2</v>
      </c>
      <c r="N5824" s="195">
        <v>0.4489148</v>
      </c>
    </row>
    <row r="5825" spans="1:14" hidden="1" x14ac:dyDescent="0.35">
      <c r="A5825" s="52" t="s">
        <v>722</v>
      </c>
      <c r="B5825" s="52" t="s">
        <v>366</v>
      </c>
      <c r="C5825" s="52" t="s">
        <v>723</v>
      </c>
      <c r="D5825" s="52" t="s">
        <v>724</v>
      </c>
      <c r="E5825" s="52" t="s">
        <v>584</v>
      </c>
      <c r="F5825" s="52" t="s">
        <v>581</v>
      </c>
      <c r="G5825" s="195" t="s">
        <v>277</v>
      </c>
      <c r="H5825" s="195">
        <v>45.623809999999999</v>
      </c>
      <c r="I5825" s="195">
        <v>15.61753</v>
      </c>
      <c r="J5825" s="195">
        <v>1.0118720000000001</v>
      </c>
      <c r="K5825" s="195">
        <v>1.284761</v>
      </c>
      <c r="L5825" s="195">
        <v>19.612069999999999</v>
      </c>
      <c r="M5825" s="195">
        <v>794.88589999999999</v>
      </c>
      <c r="N5825" s="195">
        <v>270.87270000000001</v>
      </c>
    </row>
    <row r="5826" spans="1:14" hidden="1" x14ac:dyDescent="0.35">
      <c r="A5826" s="52" t="s">
        <v>722</v>
      </c>
      <c r="B5826" s="52" t="s">
        <v>366</v>
      </c>
      <c r="C5826" s="52" t="s">
        <v>723</v>
      </c>
      <c r="D5826" s="52" t="s">
        <v>724</v>
      </c>
      <c r="E5826" s="52" t="s">
        <v>584</v>
      </c>
      <c r="F5826" s="52" t="s">
        <v>581</v>
      </c>
      <c r="G5826" s="195" t="s">
        <v>278</v>
      </c>
      <c r="H5826" s="195">
        <v>0.85484950000000004</v>
      </c>
      <c r="I5826" s="195">
        <v>0.85484950000000004</v>
      </c>
      <c r="J5826" s="195">
        <v>0.85484950000000004</v>
      </c>
      <c r="K5826" s="195">
        <v>0.85484950000000004</v>
      </c>
      <c r="L5826" s="195">
        <v>0.85484950000000004</v>
      </c>
      <c r="M5826" s="195">
        <v>0.55357449999999997</v>
      </c>
      <c r="N5826" s="195">
        <v>0.55357449999999997</v>
      </c>
    </row>
    <row r="5827" spans="1:14" hidden="1" x14ac:dyDescent="0.35">
      <c r="A5827" s="52" t="s">
        <v>722</v>
      </c>
      <c r="B5827" s="52" t="s">
        <v>366</v>
      </c>
      <c r="C5827" s="52" t="s">
        <v>723</v>
      </c>
      <c r="D5827" s="52" t="s">
        <v>724</v>
      </c>
      <c r="E5827" s="52" t="s">
        <v>584</v>
      </c>
      <c r="F5827" s="52" t="s">
        <v>581</v>
      </c>
      <c r="G5827" s="195" t="s">
        <v>279</v>
      </c>
      <c r="H5827" s="195">
        <v>1.3713420000000001</v>
      </c>
      <c r="I5827" s="195">
        <v>1.370959</v>
      </c>
      <c r="J5827" s="195">
        <v>0.94325510000000001</v>
      </c>
      <c r="K5827" s="195">
        <v>0.71169910000000003</v>
      </c>
      <c r="L5827" s="195">
        <v>2.393694</v>
      </c>
      <c r="M5827" s="195">
        <v>2.275836</v>
      </c>
      <c r="N5827" s="195">
        <v>8.8924079999999996</v>
      </c>
    </row>
    <row r="5828" spans="1:14" hidden="1" x14ac:dyDescent="0.35">
      <c r="A5828" s="52" t="s">
        <v>722</v>
      </c>
      <c r="B5828" s="52" t="s">
        <v>366</v>
      </c>
      <c r="C5828" s="52" t="s">
        <v>723</v>
      </c>
      <c r="D5828" s="52" t="s">
        <v>851</v>
      </c>
      <c r="E5828" s="52" t="s">
        <v>584</v>
      </c>
      <c r="F5828" s="52" t="s">
        <v>581</v>
      </c>
      <c r="G5828" s="195" t="s">
        <v>275</v>
      </c>
      <c r="H5828" s="195">
        <v>-0.18194550000000001</v>
      </c>
      <c r="I5828" s="195">
        <v>-0.18194550000000001</v>
      </c>
      <c r="J5828" s="195">
        <v>0</v>
      </c>
      <c r="K5828" s="195">
        <v>0</v>
      </c>
      <c r="L5828" s="195">
        <v>0</v>
      </c>
      <c r="M5828" s="195">
        <v>0</v>
      </c>
      <c r="N5828" s="195">
        <v>0</v>
      </c>
    </row>
    <row r="5829" spans="1:14" hidden="1" x14ac:dyDescent="0.35">
      <c r="A5829" s="52" t="s">
        <v>722</v>
      </c>
      <c r="B5829" s="52" t="s">
        <v>366</v>
      </c>
      <c r="C5829" s="52" t="s">
        <v>723</v>
      </c>
      <c r="D5829" s="52" t="s">
        <v>851</v>
      </c>
      <c r="E5829" s="52" t="s">
        <v>584</v>
      </c>
      <c r="F5829" s="52" t="s">
        <v>581</v>
      </c>
      <c r="G5829" s="195" t="s">
        <v>276</v>
      </c>
      <c r="H5829" s="195"/>
      <c r="I5829" s="195"/>
      <c r="J5829" s="195">
        <v>-0.18194550000000001</v>
      </c>
      <c r="K5829" s="195">
        <v>-0.18194550000000001</v>
      </c>
      <c r="L5829" s="195">
        <v>-0.18194550000000001</v>
      </c>
      <c r="M5829" s="195">
        <v>-0.12717500000000001</v>
      </c>
      <c r="N5829" s="195">
        <v>-0.12717500000000001</v>
      </c>
    </row>
    <row r="5830" spans="1:14" hidden="1" x14ac:dyDescent="0.35">
      <c r="A5830" s="52" t="s">
        <v>722</v>
      </c>
      <c r="B5830" s="52" t="s">
        <v>366</v>
      </c>
      <c r="C5830" s="52" t="s">
        <v>723</v>
      </c>
      <c r="D5830" s="52" t="s">
        <v>851</v>
      </c>
      <c r="E5830" s="52" t="s">
        <v>584</v>
      </c>
      <c r="F5830" s="52" t="s">
        <v>581</v>
      </c>
      <c r="G5830" s="195" t="s">
        <v>278</v>
      </c>
      <c r="H5830" s="195">
        <v>0.18194550000000001</v>
      </c>
      <c r="I5830" s="195">
        <v>0.18194550000000001</v>
      </c>
      <c r="J5830" s="195">
        <v>0.18194550000000001</v>
      </c>
      <c r="K5830" s="195">
        <v>0.18194550000000001</v>
      </c>
      <c r="L5830" s="195">
        <v>0.18194550000000001</v>
      </c>
      <c r="M5830" s="195">
        <v>0.12717500000000001</v>
      </c>
      <c r="N5830" s="195">
        <v>0.12717500000000001</v>
      </c>
    </row>
    <row r="5831" spans="1:14" hidden="1" x14ac:dyDescent="0.35">
      <c r="A5831" s="52" t="s">
        <v>722</v>
      </c>
      <c r="B5831" s="52" t="s">
        <v>366</v>
      </c>
      <c r="C5831" s="52" t="s">
        <v>723</v>
      </c>
      <c r="D5831" s="52" t="s">
        <v>851</v>
      </c>
      <c r="E5831" s="52" t="s">
        <v>584</v>
      </c>
      <c r="F5831" s="52" t="s">
        <v>581</v>
      </c>
      <c r="G5831" s="195" t="s">
        <v>279</v>
      </c>
      <c r="H5831" s="195"/>
      <c r="I5831" s="195"/>
      <c r="J5831" s="195"/>
      <c r="K5831" s="195"/>
      <c r="L5831" s="195"/>
      <c r="M5831" s="195"/>
      <c r="N5831" s="195">
        <v>0</v>
      </c>
    </row>
    <row r="5832" spans="1:14" hidden="1" x14ac:dyDescent="0.35">
      <c r="A5832" s="52" t="s">
        <v>722</v>
      </c>
      <c r="B5832" s="52" t="s">
        <v>366</v>
      </c>
      <c r="C5832" s="52" t="s">
        <v>723</v>
      </c>
      <c r="D5832" s="52" t="s">
        <v>851</v>
      </c>
      <c r="E5832" s="52" t="s">
        <v>584</v>
      </c>
      <c r="F5832" s="52" t="s">
        <v>26</v>
      </c>
      <c r="G5832" s="195" t="s">
        <v>275</v>
      </c>
      <c r="H5832" s="195"/>
      <c r="I5832" s="195"/>
      <c r="J5832" s="195"/>
      <c r="K5832" s="195"/>
      <c r="L5832" s="195"/>
      <c r="M5832" s="195"/>
      <c r="N5832" s="195">
        <v>0</v>
      </c>
    </row>
    <row r="5833" spans="1:14" hidden="1" x14ac:dyDescent="0.35">
      <c r="A5833" s="52" t="s">
        <v>722</v>
      </c>
      <c r="B5833" s="52" t="s">
        <v>366</v>
      </c>
      <c r="C5833" s="52" t="s">
        <v>723</v>
      </c>
      <c r="D5833" s="52" t="s">
        <v>851</v>
      </c>
      <c r="E5833" s="52" t="s">
        <v>584</v>
      </c>
      <c r="F5833" s="52" t="s">
        <v>26</v>
      </c>
      <c r="G5833" s="195" t="s">
        <v>276</v>
      </c>
      <c r="H5833" s="195"/>
      <c r="I5833" s="195"/>
      <c r="J5833" s="195"/>
      <c r="K5833" s="195"/>
      <c r="L5833" s="195"/>
      <c r="M5833" s="195"/>
      <c r="N5833" s="195">
        <v>0</v>
      </c>
    </row>
    <row r="5834" spans="1:14" hidden="1" x14ac:dyDescent="0.35">
      <c r="A5834" s="52" t="s">
        <v>722</v>
      </c>
      <c r="B5834" s="52" t="s">
        <v>366</v>
      </c>
      <c r="C5834" s="52" t="s">
        <v>723</v>
      </c>
      <c r="D5834" s="52" t="s">
        <v>851</v>
      </c>
      <c r="E5834" s="52" t="s">
        <v>584</v>
      </c>
      <c r="F5834" s="52" t="s">
        <v>26</v>
      </c>
      <c r="G5834" s="195" t="s">
        <v>279</v>
      </c>
      <c r="H5834" s="195"/>
      <c r="I5834" s="195"/>
      <c r="J5834" s="195"/>
      <c r="K5834" s="195"/>
      <c r="L5834" s="195"/>
      <c r="M5834" s="195"/>
      <c r="N5834" s="195">
        <v>0</v>
      </c>
    </row>
    <row r="5835" spans="1:14" hidden="1" x14ac:dyDescent="0.35">
      <c r="A5835" s="52" t="s">
        <v>722</v>
      </c>
      <c r="B5835" s="52" t="s">
        <v>366</v>
      </c>
      <c r="C5835" s="52" t="s">
        <v>723</v>
      </c>
      <c r="D5835" s="52" t="s">
        <v>853</v>
      </c>
      <c r="E5835" s="52" t="s">
        <v>584</v>
      </c>
      <c r="F5835" s="52" t="s">
        <v>581</v>
      </c>
      <c r="G5835" s="195" t="s">
        <v>275</v>
      </c>
      <c r="H5835" s="195">
        <v>-0.40320149999999999</v>
      </c>
      <c r="I5835" s="195">
        <v>-0.40320149999999999</v>
      </c>
      <c r="J5835" s="195">
        <v>0</v>
      </c>
      <c r="K5835" s="195">
        <v>0</v>
      </c>
      <c r="L5835" s="195">
        <v>0</v>
      </c>
      <c r="M5835" s="195">
        <v>0</v>
      </c>
      <c r="N5835" s="195">
        <v>0</v>
      </c>
    </row>
    <row r="5836" spans="1:14" hidden="1" x14ac:dyDescent="0.35">
      <c r="A5836" s="52" t="s">
        <v>722</v>
      </c>
      <c r="B5836" s="52" t="s">
        <v>366</v>
      </c>
      <c r="C5836" s="52" t="s">
        <v>723</v>
      </c>
      <c r="D5836" s="52" t="s">
        <v>852</v>
      </c>
      <c r="E5836" s="52" t="s">
        <v>584</v>
      </c>
      <c r="F5836" s="52" t="s">
        <v>581</v>
      </c>
      <c r="G5836" s="195" t="s">
        <v>275</v>
      </c>
      <c r="H5836" s="195">
        <v>-0.24776000000000001</v>
      </c>
      <c r="I5836" s="195">
        <v>-0.24776000000000001</v>
      </c>
      <c r="J5836" s="195">
        <v>0</v>
      </c>
      <c r="K5836" s="195">
        <v>0</v>
      </c>
      <c r="L5836" s="195">
        <v>0</v>
      </c>
      <c r="M5836" s="195">
        <v>0</v>
      </c>
      <c r="N5836" s="195">
        <v>0</v>
      </c>
    </row>
    <row r="5837" spans="1:14" hidden="1" x14ac:dyDescent="0.35">
      <c r="A5837" s="52" t="s">
        <v>722</v>
      </c>
      <c r="B5837" s="52" t="s">
        <v>366</v>
      </c>
      <c r="C5837" s="52" t="s">
        <v>723</v>
      </c>
      <c r="D5837" s="52" t="s">
        <v>852</v>
      </c>
      <c r="E5837" s="52" t="s">
        <v>584</v>
      </c>
      <c r="F5837" s="52" t="s">
        <v>581</v>
      </c>
      <c r="G5837" s="195" t="s">
        <v>276</v>
      </c>
      <c r="H5837" s="195"/>
      <c r="I5837" s="195"/>
      <c r="J5837" s="195">
        <v>-0.24776000000000001</v>
      </c>
      <c r="K5837" s="195">
        <v>-0.24776000000000001</v>
      </c>
      <c r="L5837" s="195">
        <v>-0.24776000000000001</v>
      </c>
      <c r="M5837" s="195">
        <v>-16.247910000000001</v>
      </c>
      <c r="N5837" s="195">
        <v>-0.19257099999999999</v>
      </c>
    </row>
    <row r="5838" spans="1:14" hidden="1" x14ac:dyDescent="0.35">
      <c r="A5838" s="52" t="s">
        <v>722</v>
      </c>
      <c r="B5838" s="52" t="s">
        <v>366</v>
      </c>
      <c r="C5838" s="52" t="s">
        <v>723</v>
      </c>
      <c r="D5838" s="52" t="s">
        <v>853</v>
      </c>
      <c r="E5838" s="52" t="s">
        <v>584</v>
      </c>
      <c r="F5838" s="52" t="s">
        <v>581</v>
      </c>
      <c r="G5838" s="195" t="s">
        <v>276</v>
      </c>
      <c r="H5838" s="195"/>
      <c r="I5838" s="195"/>
      <c r="J5838" s="195">
        <v>-7.5863E-2</v>
      </c>
      <c r="K5838" s="195">
        <v>-7.5863E-2</v>
      </c>
      <c r="L5838" s="195">
        <v>-7.5863E-2</v>
      </c>
      <c r="M5838" s="195">
        <v>-7.5863E-2</v>
      </c>
      <c r="N5838" s="195">
        <v>-7.5863E-2</v>
      </c>
    </row>
    <row r="5839" spans="1:14" hidden="1" x14ac:dyDescent="0.35">
      <c r="A5839" s="52" t="s">
        <v>722</v>
      </c>
      <c r="B5839" s="52" t="s">
        <v>366</v>
      </c>
      <c r="C5839" s="52" t="s">
        <v>723</v>
      </c>
      <c r="D5839" s="52" t="s">
        <v>853</v>
      </c>
      <c r="E5839" s="52" t="s">
        <v>584</v>
      </c>
      <c r="F5839" s="52" t="s">
        <v>581</v>
      </c>
      <c r="G5839" s="195" t="s">
        <v>278</v>
      </c>
      <c r="H5839" s="195">
        <v>0.40320149999999999</v>
      </c>
      <c r="I5839" s="195">
        <v>0.40320149999999999</v>
      </c>
      <c r="J5839" s="195">
        <v>7.5863E-2</v>
      </c>
      <c r="K5839" s="195">
        <v>7.5863E-2</v>
      </c>
      <c r="L5839" s="195">
        <v>7.5863E-2</v>
      </c>
      <c r="M5839" s="195">
        <v>7.5863E-2</v>
      </c>
      <c r="N5839" s="195">
        <v>7.5863E-2</v>
      </c>
    </row>
    <row r="5840" spans="1:14" hidden="1" x14ac:dyDescent="0.35">
      <c r="A5840" s="52" t="s">
        <v>722</v>
      </c>
      <c r="B5840" s="52" t="s">
        <v>366</v>
      </c>
      <c r="C5840" s="52" t="s">
        <v>723</v>
      </c>
      <c r="D5840" s="52" t="s">
        <v>852</v>
      </c>
      <c r="E5840" s="52" t="s">
        <v>584</v>
      </c>
      <c r="F5840" s="52" t="s">
        <v>581</v>
      </c>
      <c r="G5840" s="195" t="s">
        <v>278</v>
      </c>
      <c r="H5840" s="195">
        <v>0.24776000000000001</v>
      </c>
      <c r="I5840" s="195">
        <v>0.24776000000000001</v>
      </c>
      <c r="J5840" s="195">
        <v>0.24776000000000001</v>
      </c>
      <c r="K5840" s="195">
        <v>0.24776000000000001</v>
      </c>
      <c r="L5840" s="195">
        <v>0.24776000000000001</v>
      </c>
      <c r="M5840" s="195">
        <v>16.247910000000001</v>
      </c>
      <c r="N5840" s="195">
        <v>0.19257099999999999</v>
      </c>
    </row>
    <row r="5841" spans="1:14" hidden="1" x14ac:dyDescent="0.35">
      <c r="A5841" s="52" t="s">
        <v>722</v>
      </c>
      <c r="B5841" s="52" t="s">
        <v>366</v>
      </c>
      <c r="C5841" s="52" t="s">
        <v>314</v>
      </c>
      <c r="D5841" s="52" t="s">
        <v>314</v>
      </c>
      <c r="E5841" s="52" t="s">
        <v>584</v>
      </c>
      <c r="F5841" s="52" t="s">
        <v>26</v>
      </c>
      <c r="G5841" s="195" t="s">
        <v>275</v>
      </c>
      <c r="H5841" s="195">
        <v>-2.2504199999999999E-2</v>
      </c>
      <c r="I5841" s="195">
        <v>-2.2504199999999999E-2</v>
      </c>
      <c r="J5841" s="195">
        <v>0</v>
      </c>
      <c r="K5841" s="195">
        <v>0</v>
      </c>
      <c r="L5841" s="195">
        <v>0</v>
      </c>
      <c r="M5841" s="195">
        <v>0</v>
      </c>
      <c r="N5841" s="195">
        <v>0</v>
      </c>
    </row>
    <row r="5842" spans="1:14" hidden="1" x14ac:dyDescent="0.35">
      <c r="A5842" s="52" t="s">
        <v>722</v>
      </c>
      <c r="B5842" s="52" t="s">
        <v>366</v>
      </c>
      <c r="C5842" s="52" t="s">
        <v>314</v>
      </c>
      <c r="D5842" s="52" t="s">
        <v>314</v>
      </c>
      <c r="E5842" s="52" t="s">
        <v>584</v>
      </c>
      <c r="F5842" s="52" t="s">
        <v>26</v>
      </c>
      <c r="G5842" s="195" t="s">
        <v>277</v>
      </c>
      <c r="H5842" s="195"/>
      <c r="I5842" s="195"/>
      <c r="J5842" s="195"/>
      <c r="K5842" s="195"/>
      <c r="L5842" s="195"/>
      <c r="M5842" s="195">
        <v>0</v>
      </c>
      <c r="N5842" s="195">
        <v>0</v>
      </c>
    </row>
    <row r="5843" spans="1:14" hidden="1" x14ac:dyDescent="0.35">
      <c r="A5843" s="52" t="s">
        <v>722</v>
      </c>
      <c r="B5843" s="52" t="s">
        <v>366</v>
      </c>
      <c r="C5843" s="52" t="s">
        <v>314</v>
      </c>
      <c r="D5843" s="52" t="s">
        <v>314</v>
      </c>
      <c r="E5843" s="52" t="s">
        <v>584</v>
      </c>
      <c r="F5843" s="52" t="s">
        <v>26</v>
      </c>
      <c r="G5843" s="195" t="s">
        <v>278</v>
      </c>
      <c r="H5843" s="195">
        <v>2.2504199999999999E-2</v>
      </c>
      <c r="I5843" s="195">
        <v>2.2504199999999999E-2</v>
      </c>
      <c r="J5843" s="195">
        <v>0</v>
      </c>
      <c r="K5843" s="195">
        <v>0</v>
      </c>
      <c r="L5843" s="195">
        <v>0</v>
      </c>
      <c r="M5843" s="195">
        <v>0</v>
      </c>
      <c r="N5843" s="195">
        <v>0</v>
      </c>
    </row>
    <row r="5844" spans="1:14" hidden="1" x14ac:dyDescent="0.35">
      <c r="A5844" s="52" t="s">
        <v>722</v>
      </c>
      <c r="B5844" s="52" t="s">
        <v>366</v>
      </c>
      <c r="C5844" s="52" t="s">
        <v>854</v>
      </c>
      <c r="D5844" s="52" t="s">
        <v>854</v>
      </c>
      <c r="E5844" s="52" t="s">
        <v>584</v>
      </c>
      <c r="F5844" s="52" t="s">
        <v>581</v>
      </c>
      <c r="G5844" s="195" t="s">
        <v>275</v>
      </c>
      <c r="H5844" s="195">
        <v>-0.1912065</v>
      </c>
      <c r="I5844" s="195">
        <v>-0.1912065</v>
      </c>
      <c r="J5844" s="195">
        <v>0</v>
      </c>
      <c r="K5844" s="195">
        <v>0</v>
      </c>
      <c r="L5844" s="195">
        <v>0</v>
      </c>
      <c r="M5844" s="195">
        <v>0</v>
      </c>
      <c r="N5844" s="195">
        <v>0</v>
      </c>
    </row>
    <row r="5845" spans="1:14" hidden="1" x14ac:dyDescent="0.35">
      <c r="A5845" s="52" t="s">
        <v>722</v>
      </c>
      <c r="B5845" s="52" t="s">
        <v>366</v>
      </c>
      <c r="C5845" s="52" t="s">
        <v>854</v>
      </c>
      <c r="D5845" s="52" t="s">
        <v>854</v>
      </c>
      <c r="E5845" s="52" t="s">
        <v>584</v>
      </c>
      <c r="F5845" s="52" t="s">
        <v>581</v>
      </c>
      <c r="G5845" s="195" t="s">
        <v>276</v>
      </c>
      <c r="H5845" s="195"/>
      <c r="I5845" s="195"/>
      <c r="J5845" s="195">
        <v>-0.1912065</v>
      </c>
      <c r="K5845" s="195">
        <v>-0.1912065</v>
      </c>
      <c r="L5845" s="195">
        <v>-8.9223499999999997E-2</v>
      </c>
      <c r="M5845" s="195">
        <v>-8.9223499999999997E-2</v>
      </c>
      <c r="N5845" s="195">
        <v>-8.9223499999999997E-2</v>
      </c>
    </row>
    <row r="5846" spans="1:14" hidden="1" x14ac:dyDescent="0.35">
      <c r="A5846" s="52" t="s">
        <v>722</v>
      </c>
      <c r="B5846" s="52" t="s">
        <v>366</v>
      </c>
      <c r="C5846" s="52" t="s">
        <v>854</v>
      </c>
      <c r="D5846" s="52" t="s">
        <v>854</v>
      </c>
      <c r="E5846" s="52" t="s">
        <v>584</v>
      </c>
      <c r="F5846" s="52" t="s">
        <v>581</v>
      </c>
      <c r="G5846" s="195" t="s">
        <v>278</v>
      </c>
      <c r="H5846" s="195">
        <v>0.1912065</v>
      </c>
      <c r="I5846" s="195">
        <v>0.1912065</v>
      </c>
      <c r="J5846" s="195">
        <v>0.1912065</v>
      </c>
      <c r="K5846" s="195">
        <v>0.1912065</v>
      </c>
      <c r="L5846" s="195">
        <v>8.9223499999999997E-2</v>
      </c>
      <c r="M5846" s="195">
        <v>8.9223499999999997E-2</v>
      </c>
      <c r="N5846" s="195">
        <v>8.9223499999999997E-2</v>
      </c>
    </row>
    <row r="5847" spans="1:14" hidden="1" x14ac:dyDescent="0.35">
      <c r="A5847" s="52" t="s">
        <v>722</v>
      </c>
      <c r="B5847" s="52" t="s">
        <v>74</v>
      </c>
      <c r="C5847" s="52" t="s">
        <v>96</v>
      </c>
      <c r="D5847" s="52" t="s">
        <v>96</v>
      </c>
      <c r="E5847" s="52" t="s">
        <v>584</v>
      </c>
      <c r="F5847" s="52" t="s">
        <v>581</v>
      </c>
      <c r="G5847" s="195" t="s">
        <v>275</v>
      </c>
      <c r="H5847" s="195">
        <v>-1.1572870000000001E-2</v>
      </c>
      <c r="I5847" s="195">
        <v>-1.5802090000000001E-2</v>
      </c>
      <c r="J5847" s="195">
        <v>0</v>
      </c>
      <c r="K5847" s="195">
        <v>0</v>
      </c>
      <c r="L5847" s="195">
        <v>0</v>
      </c>
      <c r="M5847" s="195">
        <v>0</v>
      </c>
      <c r="N5847" s="195">
        <v>0</v>
      </c>
    </row>
    <row r="5848" spans="1:14" hidden="1" x14ac:dyDescent="0.35">
      <c r="A5848" s="52" t="s">
        <v>722</v>
      </c>
      <c r="B5848" s="52" t="s">
        <v>74</v>
      </c>
      <c r="C5848" s="52" t="s">
        <v>96</v>
      </c>
      <c r="D5848" s="52" t="s">
        <v>96</v>
      </c>
      <c r="E5848" s="52" t="s">
        <v>584</v>
      </c>
      <c r="F5848" s="52" t="s">
        <v>581</v>
      </c>
      <c r="G5848" s="195" t="s">
        <v>276</v>
      </c>
      <c r="H5848" s="195">
        <v>-7.7164260000000002E-3</v>
      </c>
      <c r="I5848" s="195">
        <v>-1.0534490000000001E-2</v>
      </c>
      <c r="J5848" s="195">
        <v>-2.6335210000000001E-2</v>
      </c>
      <c r="K5848" s="195">
        <v>-2.633841E-2</v>
      </c>
      <c r="L5848" s="195">
        <v>-2.6337039999999999E-2</v>
      </c>
      <c r="M5848" s="195">
        <v>-2.6337240000000001E-2</v>
      </c>
      <c r="N5848" s="195">
        <v>-2.633541E-2</v>
      </c>
    </row>
    <row r="5849" spans="1:14" hidden="1" x14ac:dyDescent="0.35">
      <c r="A5849" s="52" t="s">
        <v>722</v>
      </c>
      <c r="B5849" s="52" t="s">
        <v>74</v>
      </c>
      <c r="C5849" s="52" t="s">
        <v>96</v>
      </c>
      <c r="D5849" s="52" t="s">
        <v>96</v>
      </c>
      <c r="E5849" s="52" t="s">
        <v>584</v>
      </c>
      <c r="F5849" s="52" t="s">
        <v>581</v>
      </c>
      <c r="G5849" s="195" t="s">
        <v>278</v>
      </c>
      <c r="H5849" s="195">
        <v>1.9287260000000001E-2</v>
      </c>
      <c r="I5849" s="195">
        <v>2.633725E-2</v>
      </c>
      <c r="J5849" s="195">
        <v>2.633725E-2</v>
      </c>
      <c r="K5849" s="195">
        <v>2.633725E-2</v>
      </c>
      <c r="L5849" s="195">
        <v>2.633725E-2</v>
      </c>
      <c r="M5849" s="195">
        <v>2.6337240000000001E-2</v>
      </c>
      <c r="N5849" s="195">
        <v>2.633725E-2</v>
      </c>
    </row>
    <row r="5850" spans="1:14" hidden="1" x14ac:dyDescent="0.35">
      <c r="A5850" s="52" t="s">
        <v>722</v>
      </c>
      <c r="B5850" s="52" t="s">
        <v>74</v>
      </c>
      <c r="C5850" s="52" t="s">
        <v>96</v>
      </c>
      <c r="D5850" s="52" t="s">
        <v>96</v>
      </c>
      <c r="E5850" s="52" t="s">
        <v>584</v>
      </c>
      <c r="F5850" s="52" t="s">
        <v>581</v>
      </c>
      <c r="G5850" s="195" t="s">
        <v>279</v>
      </c>
      <c r="H5850" s="195">
        <v>0</v>
      </c>
      <c r="I5850" s="195"/>
      <c r="J5850" s="195"/>
      <c r="K5850" s="195"/>
      <c r="L5850" s="195"/>
      <c r="M5850" s="195"/>
      <c r="N5850" s="195"/>
    </row>
    <row r="5851" spans="1:14" hidden="1" x14ac:dyDescent="0.35">
      <c r="A5851" s="52" t="s">
        <v>722</v>
      </c>
      <c r="B5851" s="52" t="s">
        <v>74</v>
      </c>
      <c r="C5851" s="52" t="s">
        <v>96</v>
      </c>
      <c r="D5851" s="52" t="s">
        <v>96</v>
      </c>
      <c r="E5851" s="52" t="s">
        <v>584</v>
      </c>
      <c r="F5851" s="52" t="s">
        <v>26</v>
      </c>
      <c r="G5851" s="195" t="s">
        <v>275</v>
      </c>
      <c r="H5851" s="195">
        <v>-62.996169999999999</v>
      </c>
      <c r="I5851" s="195">
        <v>0</v>
      </c>
      <c r="J5851" s="195">
        <v>0</v>
      </c>
      <c r="K5851" s="195">
        <v>-1.236513</v>
      </c>
      <c r="L5851" s="195">
        <v>0</v>
      </c>
      <c r="M5851" s="195"/>
      <c r="N5851" s="195"/>
    </row>
    <row r="5852" spans="1:14" hidden="1" x14ac:dyDescent="0.35">
      <c r="A5852" s="52" t="s">
        <v>722</v>
      </c>
      <c r="B5852" s="52" t="s">
        <v>74</v>
      </c>
      <c r="C5852" s="52" t="s">
        <v>96</v>
      </c>
      <c r="D5852" s="52" t="s">
        <v>96</v>
      </c>
      <c r="E5852" s="52" t="s">
        <v>584</v>
      </c>
      <c r="F5852" s="52" t="s">
        <v>26</v>
      </c>
      <c r="G5852" s="195" t="s">
        <v>276</v>
      </c>
      <c r="H5852" s="195">
        <v>-41.997450000000001</v>
      </c>
      <c r="I5852" s="195">
        <v>0</v>
      </c>
      <c r="J5852" s="195">
        <v>0</v>
      </c>
      <c r="K5852" s="195">
        <v>-0.82434200000000002</v>
      </c>
      <c r="L5852" s="195">
        <v>0</v>
      </c>
      <c r="M5852" s="195"/>
      <c r="N5852" s="195"/>
    </row>
    <row r="5853" spans="1:14" hidden="1" x14ac:dyDescent="0.35">
      <c r="A5853" s="52" t="s">
        <v>722</v>
      </c>
      <c r="B5853" s="52" t="s">
        <v>74</v>
      </c>
      <c r="C5853" s="52" t="s">
        <v>96</v>
      </c>
      <c r="D5853" s="52" t="s">
        <v>96</v>
      </c>
      <c r="E5853" s="52" t="s">
        <v>584</v>
      </c>
      <c r="F5853" s="52" t="s">
        <v>26</v>
      </c>
      <c r="G5853" s="195" t="s">
        <v>279</v>
      </c>
      <c r="H5853" s="195">
        <v>104.9936</v>
      </c>
      <c r="I5853" s="195">
        <v>0</v>
      </c>
      <c r="J5853" s="195">
        <v>0</v>
      </c>
      <c r="K5853" s="195">
        <v>2.0608550000000001</v>
      </c>
      <c r="L5853" s="195">
        <v>0</v>
      </c>
      <c r="M5853" s="195"/>
      <c r="N5853" s="195"/>
    </row>
    <row r="5854" spans="1:14" hidden="1" x14ac:dyDescent="0.35">
      <c r="A5854" s="52" t="s">
        <v>722</v>
      </c>
      <c r="B5854" s="52" t="s">
        <v>255</v>
      </c>
      <c r="C5854" s="52" t="s">
        <v>855</v>
      </c>
      <c r="D5854" s="52" t="s">
        <v>855</v>
      </c>
      <c r="E5854" s="52" t="s">
        <v>584</v>
      </c>
      <c r="F5854" s="52" t="s">
        <v>581</v>
      </c>
      <c r="G5854" s="195" t="s">
        <v>275</v>
      </c>
      <c r="H5854" s="195">
        <v>-0.57203110000000001</v>
      </c>
      <c r="I5854" s="195">
        <v>-15.800269999999999</v>
      </c>
      <c r="J5854" s="195">
        <v>0</v>
      </c>
      <c r="K5854" s="195">
        <v>0</v>
      </c>
      <c r="L5854" s="195">
        <v>0</v>
      </c>
      <c r="M5854" s="195">
        <v>0</v>
      </c>
      <c r="N5854" s="195">
        <v>0</v>
      </c>
    </row>
    <row r="5855" spans="1:14" hidden="1" x14ac:dyDescent="0.35">
      <c r="A5855" s="52" t="s">
        <v>722</v>
      </c>
      <c r="B5855" s="52" t="s">
        <v>255</v>
      </c>
      <c r="C5855" s="52" t="s">
        <v>855</v>
      </c>
      <c r="D5855" s="52" t="s">
        <v>855</v>
      </c>
      <c r="E5855" s="52" t="s">
        <v>584</v>
      </c>
      <c r="F5855" s="52" t="s">
        <v>581</v>
      </c>
      <c r="G5855" s="195" t="s">
        <v>276</v>
      </c>
      <c r="H5855" s="195">
        <v>-0.19407289999999999</v>
      </c>
      <c r="I5855" s="195">
        <v>-1.2347649999999999</v>
      </c>
      <c r="J5855" s="195">
        <v>-0.31454019999999999</v>
      </c>
      <c r="K5855" s="195">
        <v>-0.31454019999999999</v>
      </c>
      <c r="L5855" s="195">
        <v>-20.02505</v>
      </c>
      <c r="M5855" s="195">
        <v>-5.4218989999999998</v>
      </c>
      <c r="N5855" s="195">
        <v>-1.122457</v>
      </c>
    </row>
    <row r="5856" spans="1:14" hidden="1" x14ac:dyDescent="0.35">
      <c r="A5856" s="52" t="s">
        <v>722</v>
      </c>
      <c r="B5856" s="52" t="s">
        <v>255</v>
      </c>
      <c r="C5856" s="52" t="s">
        <v>855</v>
      </c>
      <c r="D5856" s="52" t="s">
        <v>855</v>
      </c>
      <c r="E5856" s="52" t="s">
        <v>584</v>
      </c>
      <c r="F5856" s="52" t="s">
        <v>581</v>
      </c>
      <c r="G5856" s="195" t="s">
        <v>277</v>
      </c>
      <c r="H5856" s="195"/>
      <c r="I5856" s="195"/>
      <c r="J5856" s="195"/>
      <c r="K5856" s="195">
        <v>0</v>
      </c>
      <c r="L5856" s="195">
        <v>8.07919E-2</v>
      </c>
      <c r="M5856" s="195">
        <v>8.0791890000000005E-2</v>
      </c>
      <c r="N5856" s="195">
        <v>0.8079172</v>
      </c>
    </row>
    <row r="5857" spans="1:14" hidden="1" x14ac:dyDescent="0.35">
      <c r="A5857" s="52" t="s">
        <v>722</v>
      </c>
      <c r="B5857" s="52" t="s">
        <v>255</v>
      </c>
      <c r="C5857" s="52" t="s">
        <v>855</v>
      </c>
      <c r="D5857" s="52" t="s">
        <v>855</v>
      </c>
      <c r="E5857" s="52" t="s">
        <v>584</v>
      </c>
      <c r="F5857" s="52" t="s">
        <v>581</v>
      </c>
      <c r="G5857" s="195" t="s">
        <v>278</v>
      </c>
      <c r="H5857" s="195">
        <v>0.76610409999999995</v>
      </c>
      <c r="I5857" s="195">
        <v>17.035029999999999</v>
      </c>
      <c r="J5857" s="195">
        <v>0.3145404</v>
      </c>
      <c r="K5857" s="195">
        <v>0.3145404</v>
      </c>
      <c r="L5857" s="195">
        <v>19.944269999999999</v>
      </c>
      <c r="M5857" s="195">
        <v>5.341107</v>
      </c>
      <c r="N5857" s="195">
        <v>0.3145404</v>
      </c>
    </row>
    <row r="5858" spans="1:14" hidden="1" x14ac:dyDescent="0.35">
      <c r="A5858" s="52" t="s">
        <v>722</v>
      </c>
      <c r="B5858" s="52" t="s">
        <v>255</v>
      </c>
      <c r="C5858" s="52" t="s">
        <v>855</v>
      </c>
      <c r="D5858" s="52" t="s">
        <v>855</v>
      </c>
      <c r="E5858" s="52" t="s">
        <v>584</v>
      </c>
      <c r="F5858" s="52" t="s">
        <v>581</v>
      </c>
      <c r="G5858" s="195" t="s">
        <v>279</v>
      </c>
      <c r="H5858" s="195"/>
      <c r="I5858" s="195"/>
      <c r="J5858" s="195"/>
      <c r="K5858" s="195"/>
      <c r="L5858" s="195"/>
      <c r="M5858" s="195"/>
      <c r="N5858" s="195">
        <v>0</v>
      </c>
    </row>
    <row r="5859" spans="1:14" hidden="1" x14ac:dyDescent="0.35">
      <c r="A5859" s="52" t="s">
        <v>722</v>
      </c>
      <c r="B5859" s="52" t="s">
        <v>255</v>
      </c>
      <c r="C5859" s="52" t="s">
        <v>855</v>
      </c>
      <c r="D5859" s="52" t="s">
        <v>855</v>
      </c>
      <c r="E5859" s="52" t="s">
        <v>584</v>
      </c>
      <c r="F5859" s="52" t="s">
        <v>26</v>
      </c>
      <c r="G5859" s="195" t="s">
        <v>275</v>
      </c>
      <c r="H5859" s="195"/>
      <c r="I5859" s="195"/>
      <c r="J5859" s="195"/>
      <c r="K5859" s="195"/>
      <c r="L5859" s="195"/>
      <c r="M5859" s="195"/>
      <c r="N5859" s="195">
        <v>0</v>
      </c>
    </row>
    <row r="5860" spans="1:14" hidden="1" x14ac:dyDescent="0.35">
      <c r="A5860" s="52" t="s">
        <v>722</v>
      </c>
      <c r="B5860" s="52" t="s">
        <v>255</v>
      </c>
      <c r="C5860" s="52" t="s">
        <v>855</v>
      </c>
      <c r="D5860" s="52" t="s">
        <v>855</v>
      </c>
      <c r="E5860" s="52" t="s">
        <v>584</v>
      </c>
      <c r="F5860" s="52" t="s">
        <v>26</v>
      </c>
      <c r="G5860" s="195" t="s">
        <v>276</v>
      </c>
      <c r="H5860" s="195"/>
      <c r="I5860" s="195"/>
      <c r="J5860" s="195"/>
      <c r="K5860" s="195"/>
      <c r="L5860" s="195"/>
      <c r="M5860" s="195"/>
      <c r="N5860" s="195">
        <v>0</v>
      </c>
    </row>
    <row r="5861" spans="1:14" hidden="1" x14ac:dyDescent="0.35">
      <c r="A5861" s="52" t="s">
        <v>722</v>
      </c>
      <c r="B5861" s="52" t="s">
        <v>255</v>
      </c>
      <c r="C5861" s="52" t="s">
        <v>855</v>
      </c>
      <c r="D5861" s="52" t="s">
        <v>855</v>
      </c>
      <c r="E5861" s="52" t="s">
        <v>584</v>
      </c>
      <c r="F5861" s="52" t="s">
        <v>26</v>
      </c>
      <c r="G5861" s="195" t="s">
        <v>279</v>
      </c>
      <c r="H5861" s="195"/>
      <c r="I5861" s="195"/>
      <c r="J5861" s="195"/>
      <c r="K5861" s="195"/>
      <c r="L5861" s="195"/>
      <c r="M5861" s="195"/>
      <c r="N5861" s="195">
        <v>0</v>
      </c>
    </row>
    <row r="5862" spans="1:14" hidden="1" x14ac:dyDescent="0.35">
      <c r="A5862" s="52" t="s">
        <v>722</v>
      </c>
      <c r="B5862" s="52" t="s">
        <v>106</v>
      </c>
      <c r="C5862" s="52" t="s">
        <v>283</v>
      </c>
      <c r="D5862" s="52" t="s">
        <v>283</v>
      </c>
      <c r="E5862" s="52" t="s">
        <v>584</v>
      </c>
      <c r="F5862" s="52" t="s">
        <v>26</v>
      </c>
      <c r="G5862" s="195" t="s">
        <v>275</v>
      </c>
      <c r="H5862" s="195">
        <v>-59.886339999999997</v>
      </c>
      <c r="I5862" s="195">
        <v>-0.40079939999999997</v>
      </c>
      <c r="J5862" s="195">
        <v>0</v>
      </c>
      <c r="K5862" s="195">
        <v>0</v>
      </c>
      <c r="L5862" s="195">
        <v>0</v>
      </c>
      <c r="M5862" s="195">
        <v>0</v>
      </c>
      <c r="N5862" s="195">
        <v>0</v>
      </c>
    </row>
    <row r="5863" spans="1:14" hidden="1" x14ac:dyDescent="0.35">
      <c r="A5863" s="52" t="s">
        <v>722</v>
      </c>
      <c r="B5863" s="52" t="s">
        <v>106</v>
      </c>
      <c r="C5863" s="52" t="s">
        <v>283</v>
      </c>
      <c r="D5863" s="52" t="s">
        <v>283</v>
      </c>
      <c r="E5863" s="52" t="s">
        <v>584</v>
      </c>
      <c r="F5863" s="52" t="s">
        <v>26</v>
      </c>
      <c r="G5863" s="195" t="s">
        <v>276</v>
      </c>
      <c r="H5863" s="195">
        <v>59.454459999999997</v>
      </c>
      <c r="I5863" s="195">
        <v>-3.1097E-2</v>
      </c>
      <c r="J5863" s="195">
        <v>-0.431894</v>
      </c>
      <c r="K5863" s="195">
        <v>-0.43189539999999998</v>
      </c>
      <c r="L5863" s="195">
        <v>-0.43189499999999997</v>
      </c>
      <c r="M5863" s="195">
        <v>-9.6091809999999995</v>
      </c>
      <c r="N5863" s="195">
        <v>-14.73687</v>
      </c>
    </row>
    <row r="5864" spans="1:14" hidden="1" x14ac:dyDescent="0.35">
      <c r="A5864" s="52" t="s">
        <v>722</v>
      </c>
      <c r="B5864" s="52" t="s">
        <v>106</v>
      </c>
      <c r="C5864" s="52" t="s">
        <v>283</v>
      </c>
      <c r="D5864" s="52" t="s">
        <v>283</v>
      </c>
      <c r="E5864" s="52" t="s">
        <v>584</v>
      </c>
      <c r="F5864" s="52" t="s">
        <v>26</v>
      </c>
      <c r="G5864" s="195" t="s">
        <v>278</v>
      </c>
      <c r="H5864" s="195">
        <v>0.43189499999999997</v>
      </c>
      <c r="I5864" s="195">
        <v>0.43189499999999997</v>
      </c>
      <c r="J5864" s="195">
        <v>0.431894</v>
      </c>
      <c r="K5864" s="195">
        <v>0.43189499999999997</v>
      </c>
      <c r="L5864" s="195">
        <v>0.43189499999999997</v>
      </c>
      <c r="M5864" s="195">
        <v>9.6091789999999992</v>
      </c>
      <c r="N5864" s="195">
        <v>14.73687</v>
      </c>
    </row>
    <row r="5865" spans="1:14" hidden="1" x14ac:dyDescent="0.35">
      <c r="A5865" s="52" t="s">
        <v>722</v>
      </c>
      <c r="B5865" s="52" t="s">
        <v>856</v>
      </c>
      <c r="C5865" s="52" t="s">
        <v>294</v>
      </c>
      <c r="D5865" s="52" t="s">
        <v>294</v>
      </c>
      <c r="E5865" s="52" t="s">
        <v>584</v>
      </c>
      <c r="F5865" s="52" t="s">
        <v>581</v>
      </c>
      <c r="G5865" s="195" t="s">
        <v>275</v>
      </c>
      <c r="H5865" s="195">
        <v>-7.1530549999999998E-2</v>
      </c>
      <c r="I5865" s="195">
        <v>-7.1530899999999994E-2</v>
      </c>
      <c r="J5865" s="195">
        <v>0</v>
      </c>
      <c r="K5865" s="195">
        <v>0</v>
      </c>
      <c r="L5865" s="195">
        <v>0</v>
      </c>
      <c r="M5865" s="195">
        <v>0</v>
      </c>
      <c r="N5865" s="195">
        <v>0</v>
      </c>
    </row>
    <row r="5866" spans="1:14" hidden="1" x14ac:dyDescent="0.35">
      <c r="A5866" s="52" t="s">
        <v>722</v>
      </c>
      <c r="B5866" s="52" t="s">
        <v>856</v>
      </c>
      <c r="C5866" s="52" t="s">
        <v>294</v>
      </c>
      <c r="D5866" s="52" t="s">
        <v>294</v>
      </c>
      <c r="E5866" s="52" t="s">
        <v>584</v>
      </c>
      <c r="F5866" s="52" t="s">
        <v>581</v>
      </c>
      <c r="G5866" s="195" t="s">
        <v>276</v>
      </c>
      <c r="H5866" s="195">
        <v>-7.1530549999999998E-2</v>
      </c>
      <c r="I5866" s="195">
        <v>-7.1530549999999998E-2</v>
      </c>
      <c r="J5866" s="195">
        <v>-7.9532389999999999</v>
      </c>
      <c r="K5866" s="195">
        <v>-6.627758</v>
      </c>
      <c r="L5866" s="195">
        <v>-0.14306179999999999</v>
      </c>
      <c r="M5866" s="195">
        <v>-0.1430611</v>
      </c>
      <c r="N5866" s="195">
        <v>-0.15881120000000001</v>
      </c>
    </row>
    <row r="5867" spans="1:14" hidden="1" x14ac:dyDescent="0.35">
      <c r="A5867" s="52" t="s">
        <v>722</v>
      </c>
      <c r="B5867" s="52" t="s">
        <v>856</v>
      </c>
      <c r="C5867" s="52" t="s">
        <v>294</v>
      </c>
      <c r="D5867" s="52" t="s">
        <v>294</v>
      </c>
      <c r="E5867" s="52" t="s">
        <v>584</v>
      </c>
      <c r="F5867" s="52" t="s">
        <v>581</v>
      </c>
      <c r="G5867" s="195" t="s">
        <v>277</v>
      </c>
      <c r="H5867" s="195"/>
      <c r="I5867" s="195"/>
      <c r="J5867" s="195"/>
      <c r="K5867" s="195"/>
      <c r="L5867" s="195"/>
      <c r="M5867" s="195">
        <v>0</v>
      </c>
      <c r="N5867" s="195">
        <v>1.575E-2</v>
      </c>
    </row>
    <row r="5868" spans="1:14" hidden="1" x14ac:dyDescent="0.35">
      <c r="A5868" s="52" t="s">
        <v>722</v>
      </c>
      <c r="B5868" s="52" t="s">
        <v>856</v>
      </c>
      <c r="C5868" s="52" t="s">
        <v>294</v>
      </c>
      <c r="D5868" s="52" t="s">
        <v>294</v>
      </c>
      <c r="E5868" s="52" t="s">
        <v>584</v>
      </c>
      <c r="F5868" s="52" t="s">
        <v>581</v>
      </c>
      <c r="G5868" s="195" t="s">
        <v>278</v>
      </c>
      <c r="H5868" s="195">
        <v>0.14306150000000001</v>
      </c>
      <c r="I5868" s="195">
        <v>0.14306150000000001</v>
      </c>
      <c r="J5868" s="195">
        <v>7.9532389999999999</v>
      </c>
      <c r="K5868" s="195">
        <v>6.627758</v>
      </c>
      <c r="L5868" s="195">
        <v>0.14306150000000001</v>
      </c>
      <c r="M5868" s="195">
        <v>0.14306150000000001</v>
      </c>
      <c r="N5868" s="195">
        <v>0.14306150000000001</v>
      </c>
    </row>
    <row r="5869" spans="1:14" hidden="1" x14ac:dyDescent="0.35">
      <c r="A5869" s="52" t="s">
        <v>722</v>
      </c>
      <c r="B5869" s="52" t="s">
        <v>856</v>
      </c>
      <c r="C5869" s="52" t="s">
        <v>318</v>
      </c>
      <c r="D5869" s="52" t="s">
        <v>318</v>
      </c>
      <c r="E5869" s="52" t="s">
        <v>584</v>
      </c>
      <c r="F5869" s="52" t="s">
        <v>581</v>
      </c>
      <c r="G5869" s="195" t="s">
        <v>275</v>
      </c>
      <c r="H5869" s="195">
        <v>-3.8892700000000002E-2</v>
      </c>
      <c r="I5869" s="195">
        <v>-3.8892700000000002E-2</v>
      </c>
      <c r="J5869" s="195">
        <v>0</v>
      </c>
      <c r="K5869" s="195">
        <v>0</v>
      </c>
      <c r="L5869" s="195">
        <v>0</v>
      </c>
      <c r="M5869" s="195">
        <v>0</v>
      </c>
      <c r="N5869" s="195">
        <v>0</v>
      </c>
    </row>
    <row r="5870" spans="1:14" hidden="1" x14ac:dyDescent="0.35">
      <c r="A5870" s="52" t="s">
        <v>722</v>
      </c>
      <c r="B5870" s="52" t="s">
        <v>856</v>
      </c>
      <c r="C5870" s="52" t="s">
        <v>318</v>
      </c>
      <c r="D5870" s="52" t="s">
        <v>318</v>
      </c>
      <c r="E5870" s="52" t="s">
        <v>584</v>
      </c>
      <c r="F5870" s="52" t="s">
        <v>581</v>
      </c>
      <c r="G5870" s="195" t="s">
        <v>276</v>
      </c>
      <c r="H5870" s="195">
        <v>-3.8892700000000002E-2</v>
      </c>
      <c r="I5870" s="195">
        <v>-3.8892700000000002E-2</v>
      </c>
      <c r="J5870" s="195">
        <v>-7.778504E-2</v>
      </c>
      <c r="K5870" s="195">
        <v>-6.5624830000000003</v>
      </c>
      <c r="L5870" s="195">
        <v>-7.7785800000000002E-2</v>
      </c>
      <c r="M5870" s="195">
        <v>-7.7785069999999998E-2</v>
      </c>
      <c r="N5870" s="195">
        <v>-7.7785019999999996E-2</v>
      </c>
    </row>
    <row r="5871" spans="1:14" hidden="1" x14ac:dyDescent="0.35">
      <c r="A5871" s="52" t="s">
        <v>722</v>
      </c>
      <c r="B5871" s="52" t="s">
        <v>856</v>
      </c>
      <c r="C5871" s="52" t="s">
        <v>318</v>
      </c>
      <c r="D5871" s="52" t="s">
        <v>318</v>
      </c>
      <c r="E5871" s="52" t="s">
        <v>584</v>
      </c>
      <c r="F5871" s="52" t="s">
        <v>581</v>
      </c>
      <c r="G5871" s="195" t="s">
        <v>277</v>
      </c>
      <c r="H5871" s="195"/>
      <c r="I5871" s="195"/>
      <c r="J5871" s="195"/>
      <c r="K5871" s="195"/>
      <c r="L5871" s="195"/>
      <c r="M5871" s="195"/>
      <c r="N5871" s="195">
        <v>0</v>
      </c>
    </row>
    <row r="5872" spans="1:14" hidden="1" x14ac:dyDescent="0.35">
      <c r="A5872" s="52" t="s">
        <v>722</v>
      </c>
      <c r="B5872" s="52" t="s">
        <v>856</v>
      </c>
      <c r="C5872" s="52" t="s">
        <v>318</v>
      </c>
      <c r="D5872" s="52" t="s">
        <v>318</v>
      </c>
      <c r="E5872" s="52" t="s">
        <v>584</v>
      </c>
      <c r="F5872" s="52" t="s">
        <v>581</v>
      </c>
      <c r="G5872" s="195" t="s">
        <v>278</v>
      </c>
      <c r="H5872" s="195">
        <v>7.7785400000000005E-2</v>
      </c>
      <c r="I5872" s="195">
        <v>7.7785400000000005E-2</v>
      </c>
      <c r="J5872" s="195">
        <v>7.7785400000000005E-2</v>
      </c>
      <c r="K5872" s="195">
        <v>6.5624820000000001</v>
      </c>
      <c r="L5872" s="195">
        <v>7.7785400000000005E-2</v>
      </c>
      <c r="M5872" s="195">
        <v>7.7785400000000005E-2</v>
      </c>
      <c r="N5872" s="195">
        <v>7.7785400000000005E-2</v>
      </c>
    </row>
    <row r="5873" spans="1:14" hidden="1" x14ac:dyDescent="0.35">
      <c r="A5873" s="52" t="s">
        <v>722</v>
      </c>
      <c r="B5873" s="52" t="s">
        <v>291</v>
      </c>
      <c r="C5873" s="52" t="s">
        <v>102</v>
      </c>
      <c r="D5873" s="52" t="s">
        <v>102</v>
      </c>
      <c r="E5873" s="52" t="s">
        <v>584</v>
      </c>
      <c r="F5873" s="52" t="s">
        <v>581</v>
      </c>
      <c r="G5873" s="195" t="s">
        <v>275</v>
      </c>
      <c r="H5873" s="195">
        <v>-5.3773220000000004</v>
      </c>
      <c r="I5873" s="195">
        <v>-33.326630000000002</v>
      </c>
      <c r="J5873" s="195">
        <v>0</v>
      </c>
      <c r="K5873" s="195">
        <v>0</v>
      </c>
      <c r="L5873" s="195">
        <v>0</v>
      </c>
      <c r="M5873" s="195">
        <v>0</v>
      </c>
      <c r="N5873" s="195">
        <v>0</v>
      </c>
    </row>
    <row r="5874" spans="1:14" hidden="1" x14ac:dyDescent="0.35">
      <c r="A5874" s="52" t="s">
        <v>722</v>
      </c>
      <c r="B5874" s="52" t="s">
        <v>291</v>
      </c>
      <c r="C5874" s="52" t="s">
        <v>102</v>
      </c>
      <c r="D5874" s="52" t="s">
        <v>102</v>
      </c>
      <c r="E5874" s="52" t="s">
        <v>584</v>
      </c>
      <c r="F5874" s="52" t="s">
        <v>581</v>
      </c>
      <c r="G5874" s="195" t="s">
        <v>276</v>
      </c>
      <c r="H5874" s="195"/>
      <c r="I5874" s="195"/>
      <c r="J5874" s="195">
        <v>-62.555700000000002</v>
      </c>
      <c r="K5874" s="195">
        <v>-67.678039999999996</v>
      </c>
      <c r="L5874" s="195">
        <v>-0.31589240000000002</v>
      </c>
      <c r="M5874" s="195">
        <v>-0.31589240000000002</v>
      </c>
      <c r="N5874" s="195">
        <v>-0.2908924</v>
      </c>
    </row>
    <row r="5875" spans="1:14" hidden="1" x14ac:dyDescent="0.35">
      <c r="A5875" s="52" t="s">
        <v>722</v>
      </c>
      <c r="B5875" s="52" t="s">
        <v>291</v>
      </c>
      <c r="C5875" s="52" t="s">
        <v>102</v>
      </c>
      <c r="D5875" s="52" t="s">
        <v>102</v>
      </c>
      <c r="E5875" s="52" t="s">
        <v>584</v>
      </c>
      <c r="F5875" s="52" t="s">
        <v>581</v>
      </c>
      <c r="G5875" s="195" t="s">
        <v>277</v>
      </c>
      <c r="H5875" s="195"/>
      <c r="I5875" s="195">
        <v>0</v>
      </c>
      <c r="J5875" s="195">
        <v>0.01</v>
      </c>
      <c r="K5875" s="195">
        <v>0</v>
      </c>
      <c r="L5875" s="195">
        <v>2.5000000000000001E-2</v>
      </c>
      <c r="M5875" s="195">
        <v>2.5000000000000001E-2</v>
      </c>
      <c r="N5875" s="195">
        <v>0</v>
      </c>
    </row>
    <row r="5876" spans="1:14" hidden="1" x14ac:dyDescent="0.35">
      <c r="A5876" s="52" t="s">
        <v>722</v>
      </c>
      <c r="B5876" s="52" t="s">
        <v>291</v>
      </c>
      <c r="C5876" s="52" t="s">
        <v>102</v>
      </c>
      <c r="D5876" s="52" t="s">
        <v>102</v>
      </c>
      <c r="E5876" s="52" t="s">
        <v>584</v>
      </c>
      <c r="F5876" s="52" t="s">
        <v>581</v>
      </c>
      <c r="G5876" s="195" t="s">
        <v>278</v>
      </c>
      <c r="H5876" s="195">
        <v>5.3773220000000004</v>
      </c>
      <c r="I5876" s="195">
        <v>33.326630000000002</v>
      </c>
      <c r="J5876" s="195">
        <v>62.545699999999997</v>
      </c>
      <c r="K5876" s="195">
        <v>67.678039999999996</v>
      </c>
      <c r="L5876" s="195">
        <v>0.2908924</v>
      </c>
      <c r="M5876" s="195">
        <v>0.2908924</v>
      </c>
      <c r="N5876" s="195">
        <v>0.2908924</v>
      </c>
    </row>
    <row r="5877" spans="1:14" hidden="1" x14ac:dyDescent="0.35">
      <c r="A5877" s="52" t="s">
        <v>722</v>
      </c>
      <c r="B5877" s="52" t="s">
        <v>303</v>
      </c>
      <c r="C5877" s="52" t="s">
        <v>857</v>
      </c>
      <c r="D5877" s="52" t="s">
        <v>857</v>
      </c>
      <c r="E5877" s="52" t="s">
        <v>584</v>
      </c>
      <c r="F5877" s="52" t="s">
        <v>581</v>
      </c>
      <c r="G5877" s="195" t="s">
        <v>275</v>
      </c>
      <c r="H5877" s="195"/>
      <c r="I5877" s="195"/>
      <c r="J5877" s="195"/>
      <c r="K5877" s="195"/>
      <c r="L5877" s="195">
        <v>0</v>
      </c>
      <c r="M5877" s="195">
        <v>0</v>
      </c>
      <c r="N5877" s="195">
        <v>0</v>
      </c>
    </row>
    <row r="5878" spans="1:14" hidden="1" x14ac:dyDescent="0.35">
      <c r="A5878" s="52" t="s">
        <v>722</v>
      </c>
      <c r="B5878" s="52" t="s">
        <v>303</v>
      </c>
      <c r="C5878" s="52" t="s">
        <v>857</v>
      </c>
      <c r="D5878" s="52" t="s">
        <v>857</v>
      </c>
      <c r="E5878" s="52" t="s">
        <v>584</v>
      </c>
      <c r="F5878" s="52" t="s">
        <v>581</v>
      </c>
      <c r="G5878" s="195" t="s">
        <v>276</v>
      </c>
      <c r="H5878" s="195"/>
      <c r="I5878" s="195"/>
      <c r="J5878" s="195"/>
      <c r="K5878" s="195"/>
      <c r="L5878" s="195">
        <v>0</v>
      </c>
      <c r="M5878" s="195">
        <v>-1.3360500000000001E-2</v>
      </c>
      <c r="N5878" s="195">
        <v>-1.3360199999999999E-2</v>
      </c>
    </row>
    <row r="5879" spans="1:14" hidden="1" x14ac:dyDescent="0.35">
      <c r="A5879" s="52" t="s">
        <v>722</v>
      </c>
      <c r="B5879" s="52" t="s">
        <v>303</v>
      </c>
      <c r="C5879" s="52" t="s">
        <v>857</v>
      </c>
      <c r="D5879" s="52" t="s">
        <v>857</v>
      </c>
      <c r="E5879" s="52" t="s">
        <v>584</v>
      </c>
      <c r="F5879" s="52" t="s">
        <v>581</v>
      </c>
      <c r="G5879" s="195" t="s">
        <v>279</v>
      </c>
      <c r="H5879" s="195"/>
      <c r="I5879" s="195"/>
      <c r="J5879" s="195"/>
      <c r="K5879" s="195"/>
      <c r="L5879" s="195">
        <v>0</v>
      </c>
      <c r="M5879" s="195">
        <v>1.3360199999999999E-2</v>
      </c>
      <c r="N5879" s="195">
        <v>1.3359899999999999E-2</v>
      </c>
    </row>
    <row r="5880" spans="1:14" hidden="1" x14ac:dyDescent="0.35">
      <c r="A5880" s="52" t="s">
        <v>722</v>
      </c>
      <c r="B5880" s="52" t="s">
        <v>303</v>
      </c>
      <c r="C5880" s="52" t="s">
        <v>857</v>
      </c>
      <c r="D5880" s="52" t="s">
        <v>857</v>
      </c>
      <c r="E5880" s="52" t="s">
        <v>584</v>
      </c>
      <c r="F5880" s="52" t="s">
        <v>26</v>
      </c>
      <c r="G5880" s="195" t="s">
        <v>275</v>
      </c>
      <c r="H5880" s="195">
        <v>-4.0612200000000001E-2</v>
      </c>
      <c r="I5880" s="195">
        <v>-4.3993200000000003E-2</v>
      </c>
      <c r="J5880" s="195">
        <v>0</v>
      </c>
      <c r="K5880" s="195">
        <v>0</v>
      </c>
      <c r="L5880" s="195">
        <v>0</v>
      </c>
      <c r="M5880" s="195">
        <v>0</v>
      </c>
      <c r="N5880" s="195">
        <v>0</v>
      </c>
    </row>
    <row r="5881" spans="1:14" hidden="1" x14ac:dyDescent="0.35">
      <c r="A5881" s="52" t="s">
        <v>722</v>
      </c>
      <c r="B5881" s="52" t="s">
        <v>303</v>
      </c>
      <c r="C5881" s="52" t="s">
        <v>857</v>
      </c>
      <c r="D5881" s="52" t="s">
        <v>857</v>
      </c>
      <c r="E5881" s="52" t="s">
        <v>584</v>
      </c>
      <c r="F5881" s="52" t="s">
        <v>26</v>
      </c>
      <c r="G5881" s="195" t="s">
        <v>276</v>
      </c>
      <c r="H5881" s="195"/>
      <c r="I5881" s="195"/>
      <c r="J5881" s="195">
        <v>-3.6115569999999999</v>
      </c>
      <c r="K5881" s="195">
        <v>-2.6735769999999999</v>
      </c>
      <c r="L5881" s="195">
        <v>-1.908005</v>
      </c>
      <c r="M5881" s="195">
        <v>-9.4498799999999994E-2</v>
      </c>
      <c r="N5881" s="195">
        <v>-2.4661200000000001E-2</v>
      </c>
    </row>
    <row r="5882" spans="1:14" hidden="1" x14ac:dyDescent="0.35">
      <c r="A5882" s="52" t="s">
        <v>722</v>
      </c>
      <c r="B5882" s="52" t="s">
        <v>303</v>
      </c>
      <c r="C5882" s="52" t="s">
        <v>857</v>
      </c>
      <c r="D5882" s="52" t="s">
        <v>857</v>
      </c>
      <c r="E5882" s="52" t="s">
        <v>584</v>
      </c>
      <c r="F5882" s="52" t="s">
        <v>26</v>
      </c>
      <c r="G5882" s="195" t="s">
        <v>278</v>
      </c>
      <c r="H5882" s="195">
        <v>4.0612200000000001E-2</v>
      </c>
      <c r="I5882" s="195">
        <v>4.3993200000000003E-2</v>
      </c>
      <c r="J5882" s="195">
        <v>3.6115560000000002</v>
      </c>
      <c r="K5882" s="195">
        <v>2.6735769999999999</v>
      </c>
      <c r="L5882" s="195">
        <v>1.908005</v>
      </c>
      <c r="M5882" s="195">
        <v>6.9837899999999994E-2</v>
      </c>
      <c r="N5882" s="195">
        <v>0</v>
      </c>
    </row>
    <row r="5883" spans="1:14" hidden="1" x14ac:dyDescent="0.35">
      <c r="A5883" s="52" t="s">
        <v>722</v>
      </c>
      <c r="B5883" s="52" t="s">
        <v>303</v>
      </c>
      <c r="C5883" s="52" t="s">
        <v>857</v>
      </c>
      <c r="D5883" s="52" t="s">
        <v>857</v>
      </c>
      <c r="E5883" s="52" t="s">
        <v>584</v>
      </c>
      <c r="F5883" s="52" t="s">
        <v>26</v>
      </c>
      <c r="G5883" s="195" t="s">
        <v>279</v>
      </c>
      <c r="H5883" s="195"/>
      <c r="I5883" s="195"/>
      <c r="J5883" s="195"/>
      <c r="K5883" s="195"/>
      <c r="L5883" s="195">
        <v>0</v>
      </c>
      <c r="M5883" s="195">
        <v>2.4660899999999999E-2</v>
      </c>
      <c r="N5883" s="195">
        <v>2.4660899999999999E-2</v>
      </c>
    </row>
    <row r="5884" spans="1:14" hidden="1" x14ac:dyDescent="0.35">
      <c r="A5884" s="52" t="s">
        <v>722</v>
      </c>
      <c r="B5884" s="52" t="s">
        <v>312</v>
      </c>
      <c r="C5884" s="52" t="s">
        <v>319</v>
      </c>
      <c r="D5884" s="52" t="s">
        <v>319</v>
      </c>
      <c r="E5884" s="52" t="s">
        <v>584</v>
      </c>
      <c r="F5884" s="52" t="s">
        <v>581</v>
      </c>
      <c r="G5884" s="195" t="s">
        <v>275</v>
      </c>
      <c r="H5884" s="195">
        <v>0</v>
      </c>
      <c r="I5884" s="195">
        <v>-14.99958</v>
      </c>
      <c r="J5884" s="195">
        <v>-13.64777</v>
      </c>
      <c r="K5884" s="195">
        <v>0</v>
      </c>
      <c r="L5884" s="195"/>
      <c r="M5884" s="195"/>
      <c r="N5884" s="195"/>
    </row>
    <row r="5885" spans="1:14" hidden="1" x14ac:dyDescent="0.35">
      <c r="A5885" s="52" t="s">
        <v>722</v>
      </c>
      <c r="B5885" s="52" t="s">
        <v>312</v>
      </c>
      <c r="C5885" s="52" t="s">
        <v>319</v>
      </c>
      <c r="D5885" s="52" t="s">
        <v>319</v>
      </c>
      <c r="E5885" s="52" t="s">
        <v>584</v>
      </c>
      <c r="F5885" s="52" t="s">
        <v>581</v>
      </c>
      <c r="G5885" s="195" t="s">
        <v>276</v>
      </c>
      <c r="H5885" s="195">
        <v>0</v>
      </c>
      <c r="I5885" s="195"/>
      <c r="J5885" s="195"/>
      <c r="K5885" s="195"/>
      <c r="L5885" s="195"/>
      <c r="M5885" s="195"/>
      <c r="N5885" s="195"/>
    </row>
    <row r="5886" spans="1:14" hidden="1" x14ac:dyDescent="0.35">
      <c r="A5886" s="52" t="s">
        <v>722</v>
      </c>
      <c r="B5886" s="52" t="s">
        <v>312</v>
      </c>
      <c r="C5886" s="52" t="s">
        <v>319</v>
      </c>
      <c r="D5886" s="52" t="s">
        <v>319</v>
      </c>
      <c r="E5886" s="52" t="s">
        <v>584</v>
      </c>
      <c r="F5886" s="52" t="s">
        <v>581</v>
      </c>
      <c r="G5886" s="195" t="s">
        <v>279</v>
      </c>
      <c r="H5886" s="195">
        <v>0</v>
      </c>
      <c r="I5886" s="195">
        <v>14.99958</v>
      </c>
      <c r="J5886" s="195">
        <v>13.64777</v>
      </c>
      <c r="K5886" s="195">
        <v>0</v>
      </c>
      <c r="L5886" s="195"/>
      <c r="M5886" s="195"/>
      <c r="N5886" s="195"/>
    </row>
    <row r="5887" spans="1:14" hidden="1" x14ac:dyDescent="0.35">
      <c r="A5887" s="52" t="s">
        <v>722</v>
      </c>
      <c r="B5887" s="52" t="s">
        <v>312</v>
      </c>
      <c r="C5887" s="52" t="s">
        <v>319</v>
      </c>
      <c r="D5887" s="52" t="s">
        <v>319</v>
      </c>
      <c r="E5887" s="52" t="s">
        <v>584</v>
      </c>
      <c r="F5887" s="52" t="s">
        <v>26</v>
      </c>
      <c r="G5887" s="195" t="s">
        <v>275</v>
      </c>
      <c r="H5887" s="195">
        <v>-0.38741399999999998</v>
      </c>
      <c r="I5887" s="195">
        <v>-0.38741399999999998</v>
      </c>
      <c r="J5887" s="195">
        <v>0</v>
      </c>
      <c r="K5887" s="195">
        <v>0</v>
      </c>
      <c r="L5887" s="195">
        <v>0</v>
      </c>
      <c r="M5887" s="195">
        <v>0</v>
      </c>
      <c r="N5887" s="195">
        <v>0</v>
      </c>
    </row>
    <row r="5888" spans="1:14" hidden="1" x14ac:dyDescent="0.35">
      <c r="A5888" s="52" t="s">
        <v>722</v>
      </c>
      <c r="B5888" s="52" t="s">
        <v>312</v>
      </c>
      <c r="C5888" s="52" t="s">
        <v>319</v>
      </c>
      <c r="D5888" s="52" t="s">
        <v>319</v>
      </c>
      <c r="E5888" s="52" t="s">
        <v>584</v>
      </c>
      <c r="F5888" s="52" t="s">
        <v>26</v>
      </c>
      <c r="G5888" s="195" t="s">
        <v>276</v>
      </c>
      <c r="H5888" s="195"/>
      <c r="I5888" s="195"/>
      <c r="J5888" s="195">
        <v>-0.38741399999999998</v>
      </c>
      <c r="K5888" s="195">
        <v>-0.38741389999999998</v>
      </c>
      <c r="L5888" s="195">
        <v>-37.202260000000003</v>
      </c>
      <c r="M5888" s="195">
        <v>-9.0947619999999993</v>
      </c>
      <c r="N5888" s="195">
        <v>-0.11973689999999999</v>
      </c>
    </row>
    <row r="5889" spans="1:14" hidden="1" x14ac:dyDescent="0.35">
      <c r="A5889" s="52" t="s">
        <v>722</v>
      </c>
      <c r="B5889" s="52" t="s">
        <v>312</v>
      </c>
      <c r="C5889" s="52" t="s">
        <v>319</v>
      </c>
      <c r="D5889" s="52" t="s">
        <v>319</v>
      </c>
      <c r="E5889" s="52" t="s">
        <v>584</v>
      </c>
      <c r="F5889" s="52" t="s">
        <v>26</v>
      </c>
      <c r="G5889" s="195" t="s">
        <v>278</v>
      </c>
      <c r="H5889" s="195">
        <v>0.38741399999999998</v>
      </c>
      <c r="I5889" s="195">
        <v>0.38741399999999998</v>
      </c>
      <c r="J5889" s="195">
        <v>0.38741399999999998</v>
      </c>
      <c r="K5889" s="195">
        <v>0.38741399999999998</v>
      </c>
      <c r="L5889" s="195">
        <v>37.202260000000003</v>
      </c>
      <c r="M5889" s="195">
        <v>9.0947610000000001</v>
      </c>
      <c r="N5889" s="195">
        <v>0.11973689999999999</v>
      </c>
    </row>
    <row r="5890" spans="1:14" hidden="1" x14ac:dyDescent="0.35">
      <c r="A5890" s="52" t="s">
        <v>722</v>
      </c>
      <c r="B5890" s="52" t="s">
        <v>860</v>
      </c>
      <c r="C5890" s="52" t="s">
        <v>854</v>
      </c>
      <c r="D5890" s="52" t="s">
        <v>854</v>
      </c>
      <c r="E5890" s="52" t="s">
        <v>584</v>
      </c>
      <c r="F5890" s="52" t="s">
        <v>581</v>
      </c>
      <c r="G5890" s="195" t="s">
        <v>275</v>
      </c>
      <c r="H5890" s="195">
        <v>-0.1236976</v>
      </c>
      <c r="I5890" s="195">
        <v>-0.1236976</v>
      </c>
      <c r="J5890" s="195">
        <v>0</v>
      </c>
      <c r="K5890" s="195">
        <v>0</v>
      </c>
      <c r="L5890" s="195">
        <v>0</v>
      </c>
      <c r="M5890" s="195">
        <v>0</v>
      </c>
      <c r="N5890" s="195">
        <v>0</v>
      </c>
    </row>
    <row r="5891" spans="1:14" hidden="1" x14ac:dyDescent="0.35">
      <c r="A5891" s="52" t="s">
        <v>722</v>
      </c>
      <c r="B5891" s="52" t="s">
        <v>860</v>
      </c>
      <c r="C5891" s="52" t="s">
        <v>854</v>
      </c>
      <c r="D5891" s="52" t="s">
        <v>854</v>
      </c>
      <c r="E5891" s="52" t="s">
        <v>584</v>
      </c>
      <c r="F5891" s="52" t="s">
        <v>581</v>
      </c>
      <c r="G5891" s="195" t="s">
        <v>276</v>
      </c>
      <c r="H5891" s="195"/>
      <c r="I5891" s="195"/>
      <c r="J5891" s="195">
        <v>-0.46486759999999999</v>
      </c>
      <c r="K5891" s="195">
        <v>-3.3780119999999997E-2</v>
      </c>
      <c r="L5891" s="195">
        <v>-3.3780119999999997E-2</v>
      </c>
      <c r="M5891" s="195">
        <v>-3.3780119999999997E-2</v>
      </c>
      <c r="N5891" s="195">
        <v>-3.3780119999999997E-2</v>
      </c>
    </row>
    <row r="5892" spans="1:14" hidden="1" x14ac:dyDescent="0.35">
      <c r="A5892" s="52" t="s">
        <v>722</v>
      </c>
      <c r="B5892" s="52" t="s">
        <v>860</v>
      </c>
      <c r="C5892" s="52" t="s">
        <v>854</v>
      </c>
      <c r="D5892" s="52" t="s">
        <v>854</v>
      </c>
      <c r="E5892" s="52" t="s">
        <v>584</v>
      </c>
      <c r="F5892" s="52" t="s">
        <v>581</v>
      </c>
      <c r="G5892" s="195" t="s">
        <v>278</v>
      </c>
      <c r="H5892" s="195">
        <v>0.1236976</v>
      </c>
      <c r="I5892" s="195">
        <v>0.1236976</v>
      </c>
      <c r="J5892" s="195">
        <v>0.46486749999999999</v>
      </c>
      <c r="K5892" s="195">
        <v>3.3780119999999997E-2</v>
      </c>
      <c r="L5892" s="195">
        <v>3.3780119999999997E-2</v>
      </c>
      <c r="M5892" s="195">
        <v>3.3780119999999997E-2</v>
      </c>
      <c r="N5892" s="195">
        <v>3.3780119999999997E-2</v>
      </c>
    </row>
    <row r="5893" spans="1:14" hidden="1" x14ac:dyDescent="0.35">
      <c r="A5893" s="52" t="s">
        <v>722</v>
      </c>
      <c r="B5893" s="52" t="s">
        <v>860</v>
      </c>
      <c r="C5893" s="52" t="s">
        <v>854</v>
      </c>
      <c r="D5893" s="52" t="s">
        <v>854</v>
      </c>
      <c r="E5893" s="52" t="s">
        <v>584</v>
      </c>
      <c r="F5893" s="52" t="s">
        <v>581</v>
      </c>
      <c r="G5893" s="195" t="s">
        <v>279</v>
      </c>
      <c r="H5893" s="195"/>
      <c r="I5893" s="195"/>
      <c r="J5893" s="195"/>
      <c r="K5893" s="195"/>
      <c r="L5893" s="195"/>
      <c r="M5893" s="195"/>
      <c r="N5893" s="195">
        <v>0</v>
      </c>
    </row>
    <row r="5894" spans="1:14" hidden="1" x14ac:dyDescent="0.35">
      <c r="A5894" s="52" t="s">
        <v>722</v>
      </c>
      <c r="B5894" s="52" t="s">
        <v>860</v>
      </c>
      <c r="C5894" s="52" t="s">
        <v>854</v>
      </c>
      <c r="D5894" s="52" t="s">
        <v>854</v>
      </c>
      <c r="E5894" s="52" t="s">
        <v>584</v>
      </c>
      <c r="F5894" s="52" t="s">
        <v>26</v>
      </c>
      <c r="G5894" s="195" t="s">
        <v>275</v>
      </c>
      <c r="H5894" s="195"/>
      <c r="I5894" s="195"/>
      <c r="J5894" s="195"/>
      <c r="K5894" s="195"/>
      <c r="L5894" s="195"/>
      <c r="M5894" s="195"/>
      <c r="N5894" s="195">
        <v>0</v>
      </c>
    </row>
    <row r="5895" spans="1:14" hidden="1" x14ac:dyDescent="0.35">
      <c r="A5895" s="52" t="s">
        <v>722</v>
      </c>
      <c r="B5895" s="52" t="s">
        <v>860</v>
      </c>
      <c r="C5895" s="52" t="s">
        <v>854</v>
      </c>
      <c r="D5895" s="52" t="s">
        <v>854</v>
      </c>
      <c r="E5895" s="52" t="s">
        <v>584</v>
      </c>
      <c r="F5895" s="52" t="s">
        <v>26</v>
      </c>
      <c r="G5895" s="195" t="s">
        <v>276</v>
      </c>
      <c r="H5895" s="195"/>
      <c r="I5895" s="195"/>
      <c r="J5895" s="195"/>
      <c r="K5895" s="195"/>
      <c r="L5895" s="195"/>
      <c r="M5895" s="195"/>
      <c r="N5895" s="195">
        <v>0</v>
      </c>
    </row>
    <row r="5896" spans="1:14" hidden="1" x14ac:dyDescent="0.35">
      <c r="A5896" s="52" t="s">
        <v>722</v>
      </c>
      <c r="B5896" s="52" t="s">
        <v>860</v>
      </c>
      <c r="C5896" s="52" t="s">
        <v>854</v>
      </c>
      <c r="D5896" s="52" t="s">
        <v>854</v>
      </c>
      <c r="E5896" s="52" t="s">
        <v>584</v>
      </c>
      <c r="F5896" s="52" t="s">
        <v>26</v>
      </c>
      <c r="G5896" s="195" t="s">
        <v>279</v>
      </c>
      <c r="H5896" s="195"/>
      <c r="I5896" s="195"/>
      <c r="J5896" s="195"/>
      <c r="K5896" s="195"/>
      <c r="L5896" s="195"/>
      <c r="M5896" s="195"/>
      <c r="N5896" s="195">
        <v>0</v>
      </c>
    </row>
    <row r="5897" spans="1:14" hidden="1" x14ac:dyDescent="0.35">
      <c r="A5897" s="52" t="s">
        <v>722</v>
      </c>
      <c r="B5897" s="52" t="s">
        <v>860</v>
      </c>
      <c r="C5897" s="52" t="s">
        <v>861</v>
      </c>
      <c r="D5897" s="52" t="s">
        <v>861</v>
      </c>
      <c r="E5897" s="52" t="s">
        <v>584</v>
      </c>
      <c r="F5897" s="52" t="s">
        <v>581</v>
      </c>
      <c r="G5897" s="195" t="s">
        <v>275</v>
      </c>
      <c r="H5897" s="195">
        <v>-28.85352</v>
      </c>
      <c r="I5897" s="195">
        <v>-4.4836169999999997</v>
      </c>
      <c r="J5897" s="195">
        <v>-4.8253349999999999</v>
      </c>
      <c r="K5897" s="195">
        <v>-10.63503</v>
      </c>
      <c r="L5897" s="195">
        <v>-52.868670000000002</v>
      </c>
      <c r="M5897" s="195">
        <v>-205.17920000000001</v>
      </c>
      <c r="N5897" s="195">
        <v>-246.17570000000001</v>
      </c>
    </row>
    <row r="5898" spans="1:14" hidden="1" x14ac:dyDescent="0.35">
      <c r="A5898" s="52" t="s">
        <v>722</v>
      </c>
      <c r="B5898" s="52" t="s">
        <v>860</v>
      </c>
      <c r="C5898" s="52" t="s">
        <v>861</v>
      </c>
      <c r="D5898" s="52" t="s">
        <v>861</v>
      </c>
      <c r="E5898" s="52" t="s">
        <v>584</v>
      </c>
      <c r="F5898" s="52" t="s">
        <v>581</v>
      </c>
      <c r="G5898" s="195" t="s">
        <v>277</v>
      </c>
      <c r="H5898" s="195">
        <v>28.23499</v>
      </c>
      <c r="I5898" s="195">
        <v>3.8650880000000001</v>
      </c>
      <c r="J5898" s="195">
        <v>4.2510000000000003</v>
      </c>
      <c r="K5898" s="195">
        <v>10.060700000000001</v>
      </c>
      <c r="L5898" s="195">
        <v>52.294339999999998</v>
      </c>
      <c r="M5898" s="195">
        <v>204.9341</v>
      </c>
      <c r="N5898" s="195">
        <v>245.96690000000001</v>
      </c>
    </row>
    <row r="5899" spans="1:14" hidden="1" x14ac:dyDescent="0.35">
      <c r="A5899" s="52" t="s">
        <v>722</v>
      </c>
      <c r="B5899" s="52" t="s">
        <v>860</v>
      </c>
      <c r="C5899" s="52" t="s">
        <v>861</v>
      </c>
      <c r="D5899" s="52" t="s">
        <v>861</v>
      </c>
      <c r="E5899" s="52" t="s">
        <v>584</v>
      </c>
      <c r="F5899" s="52" t="s">
        <v>581</v>
      </c>
      <c r="G5899" s="195" t="s">
        <v>278</v>
      </c>
      <c r="H5899" s="195">
        <v>0.61852960000000001</v>
      </c>
      <c r="I5899" s="195">
        <v>0.61852960000000001</v>
      </c>
      <c r="J5899" s="195">
        <v>0.57433489999999998</v>
      </c>
      <c r="K5899" s="195">
        <v>0.57433489999999998</v>
      </c>
      <c r="L5899" s="195">
        <v>0.57433489999999998</v>
      </c>
      <c r="M5899" s="195">
        <v>0.2450833</v>
      </c>
      <c r="N5899" s="195">
        <v>0.20879310000000001</v>
      </c>
    </row>
    <row r="5900" spans="1:14" hidden="1" x14ac:dyDescent="0.35">
      <c r="A5900" s="52" t="s">
        <v>722</v>
      </c>
      <c r="B5900" s="52" t="s">
        <v>860</v>
      </c>
      <c r="C5900" s="52" t="s">
        <v>861</v>
      </c>
      <c r="D5900" s="52" t="s">
        <v>861</v>
      </c>
      <c r="E5900" s="52" t="s">
        <v>584</v>
      </c>
      <c r="F5900" s="52" t="s">
        <v>581</v>
      </c>
      <c r="G5900" s="195" t="s">
        <v>279</v>
      </c>
      <c r="H5900" s="195"/>
      <c r="I5900" s="195"/>
      <c r="J5900" s="195"/>
      <c r="K5900" s="195"/>
      <c r="L5900" s="195"/>
      <c r="M5900" s="195"/>
      <c r="N5900" s="195">
        <v>0</v>
      </c>
    </row>
    <row r="5901" spans="1:14" hidden="1" x14ac:dyDescent="0.35">
      <c r="A5901" s="52" t="s">
        <v>722</v>
      </c>
      <c r="B5901" s="52" t="s">
        <v>860</v>
      </c>
      <c r="C5901" s="52" t="s">
        <v>861</v>
      </c>
      <c r="D5901" s="52" t="s">
        <v>861</v>
      </c>
      <c r="E5901" s="52" t="s">
        <v>584</v>
      </c>
      <c r="F5901" s="52" t="s">
        <v>26</v>
      </c>
      <c r="G5901" s="195" t="s">
        <v>275</v>
      </c>
      <c r="H5901" s="195"/>
      <c r="I5901" s="195"/>
      <c r="J5901" s="195">
        <v>0</v>
      </c>
      <c r="K5901" s="195">
        <v>0</v>
      </c>
      <c r="L5901" s="195">
        <v>0</v>
      </c>
      <c r="M5901" s="195">
        <v>0</v>
      </c>
      <c r="N5901" s="195">
        <v>0</v>
      </c>
    </row>
    <row r="5902" spans="1:14" hidden="1" x14ac:dyDescent="0.35">
      <c r="A5902" s="52" t="s">
        <v>722</v>
      </c>
      <c r="B5902" s="52" t="s">
        <v>860</v>
      </c>
      <c r="C5902" s="52" t="s">
        <v>861</v>
      </c>
      <c r="D5902" s="52" t="s">
        <v>861</v>
      </c>
      <c r="E5902" s="52" t="s">
        <v>584</v>
      </c>
      <c r="F5902" s="52" t="s">
        <v>26</v>
      </c>
      <c r="G5902" s="195" t="s">
        <v>278</v>
      </c>
      <c r="H5902" s="195"/>
      <c r="I5902" s="195"/>
      <c r="J5902" s="195">
        <v>0</v>
      </c>
      <c r="K5902" s="195">
        <v>0</v>
      </c>
      <c r="L5902" s="195">
        <v>0</v>
      </c>
      <c r="M5902" s="195">
        <v>0</v>
      </c>
      <c r="N5902" s="195">
        <v>0</v>
      </c>
    </row>
    <row r="5903" spans="1:14" hidden="1" x14ac:dyDescent="0.35">
      <c r="A5903" s="52" t="s">
        <v>722</v>
      </c>
      <c r="B5903" s="52" t="s">
        <v>858</v>
      </c>
      <c r="C5903" s="52" t="s">
        <v>859</v>
      </c>
      <c r="D5903" s="52" t="s">
        <v>859</v>
      </c>
      <c r="E5903" s="52" t="s">
        <v>584</v>
      </c>
      <c r="F5903" s="52" t="s">
        <v>581</v>
      </c>
      <c r="G5903" s="195" t="s">
        <v>275</v>
      </c>
      <c r="H5903" s="195">
        <v>-0.32771119999999998</v>
      </c>
      <c r="I5903" s="195">
        <v>-0.32771119999999998</v>
      </c>
      <c r="J5903" s="195">
        <v>0</v>
      </c>
      <c r="K5903" s="195">
        <v>0</v>
      </c>
      <c r="L5903" s="195">
        <v>0</v>
      </c>
      <c r="M5903" s="195">
        <v>0</v>
      </c>
      <c r="N5903" s="195">
        <v>0</v>
      </c>
    </row>
    <row r="5904" spans="1:14" hidden="1" x14ac:dyDescent="0.35">
      <c r="A5904" s="52" t="s">
        <v>722</v>
      </c>
      <c r="B5904" s="52" t="s">
        <v>858</v>
      </c>
      <c r="C5904" s="52" t="s">
        <v>859</v>
      </c>
      <c r="D5904" s="52" t="s">
        <v>859</v>
      </c>
      <c r="E5904" s="52" t="s">
        <v>584</v>
      </c>
      <c r="F5904" s="52" t="s">
        <v>581</v>
      </c>
      <c r="G5904" s="195" t="s">
        <v>276</v>
      </c>
      <c r="H5904" s="195"/>
      <c r="I5904" s="195"/>
      <c r="J5904" s="195">
        <v>-54.633159999999997</v>
      </c>
      <c r="K5904" s="195">
        <v>-0.32771119999999998</v>
      </c>
      <c r="L5904" s="195">
        <v>-1.41038</v>
      </c>
      <c r="M5904" s="195">
        <v>-0.46258320000000003</v>
      </c>
      <c r="N5904" s="195">
        <v>-0.1348712</v>
      </c>
    </row>
    <row r="5905" spans="1:14" hidden="1" x14ac:dyDescent="0.35">
      <c r="A5905" s="52" t="s">
        <v>722</v>
      </c>
      <c r="B5905" s="52" t="s">
        <v>858</v>
      </c>
      <c r="C5905" s="52" t="s">
        <v>859</v>
      </c>
      <c r="D5905" s="52" t="s">
        <v>859</v>
      </c>
      <c r="E5905" s="52" t="s">
        <v>584</v>
      </c>
      <c r="F5905" s="52" t="s">
        <v>581</v>
      </c>
      <c r="G5905" s="195" t="s">
        <v>277</v>
      </c>
      <c r="H5905" s="195"/>
      <c r="I5905" s="195">
        <v>0</v>
      </c>
      <c r="J5905" s="195">
        <v>0.21653359999999999</v>
      </c>
      <c r="K5905" s="195">
        <v>0</v>
      </c>
      <c r="L5905" s="195">
        <v>1.0826690000000001</v>
      </c>
      <c r="M5905" s="195">
        <v>0</v>
      </c>
      <c r="N5905" s="195"/>
    </row>
    <row r="5906" spans="1:14" hidden="1" x14ac:dyDescent="0.35">
      <c r="A5906" s="52" t="s">
        <v>722</v>
      </c>
      <c r="B5906" s="52" t="s">
        <v>858</v>
      </c>
      <c r="C5906" s="52" t="s">
        <v>859</v>
      </c>
      <c r="D5906" s="52" t="s">
        <v>859</v>
      </c>
      <c r="E5906" s="52" t="s">
        <v>584</v>
      </c>
      <c r="F5906" s="52" t="s">
        <v>581</v>
      </c>
      <c r="G5906" s="195" t="s">
        <v>278</v>
      </c>
      <c r="H5906" s="195">
        <v>0.32771119999999998</v>
      </c>
      <c r="I5906" s="195">
        <v>0.32771119999999998</v>
      </c>
      <c r="J5906" s="195">
        <v>54.416620000000002</v>
      </c>
      <c r="K5906" s="195">
        <v>0.32771119999999998</v>
      </c>
      <c r="L5906" s="195">
        <v>0.32771119999999998</v>
      </c>
      <c r="M5906" s="195">
        <v>0.32771119999999998</v>
      </c>
      <c r="N5906" s="195">
        <v>0</v>
      </c>
    </row>
    <row r="5907" spans="1:14" hidden="1" x14ac:dyDescent="0.35">
      <c r="A5907" s="52" t="s">
        <v>722</v>
      </c>
      <c r="B5907" s="52" t="s">
        <v>858</v>
      </c>
      <c r="C5907" s="52" t="s">
        <v>859</v>
      </c>
      <c r="D5907" s="52" t="s">
        <v>859</v>
      </c>
      <c r="E5907" s="52" t="s">
        <v>584</v>
      </c>
      <c r="F5907" s="52" t="s">
        <v>581</v>
      </c>
      <c r="G5907" s="195" t="s">
        <v>279</v>
      </c>
      <c r="H5907" s="195"/>
      <c r="I5907" s="195"/>
      <c r="J5907" s="195"/>
      <c r="K5907" s="195"/>
      <c r="L5907" s="195">
        <v>0</v>
      </c>
      <c r="M5907" s="195">
        <v>0.1348712</v>
      </c>
      <c r="N5907" s="195">
        <v>0.1348712</v>
      </c>
    </row>
    <row r="5908" spans="1:14" hidden="1" x14ac:dyDescent="0.35">
      <c r="A5908" s="52" t="s">
        <v>722</v>
      </c>
      <c r="B5908" s="52" t="s">
        <v>858</v>
      </c>
      <c r="C5908" s="52" t="s">
        <v>859</v>
      </c>
      <c r="D5908" s="52" t="s">
        <v>859</v>
      </c>
      <c r="E5908" s="52" t="s">
        <v>584</v>
      </c>
      <c r="F5908" s="52" t="s">
        <v>26</v>
      </c>
      <c r="G5908" s="195" t="s">
        <v>275</v>
      </c>
      <c r="H5908" s="195"/>
      <c r="I5908" s="195"/>
      <c r="J5908" s="195"/>
      <c r="K5908" s="195"/>
      <c r="L5908" s="195">
        <v>0</v>
      </c>
      <c r="M5908" s="195">
        <v>0</v>
      </c>
      <c r="N5908" s="195">
        <v>0</v>
      </c>
    </row>
    <row r="5909" spans="1:14" hidden="1" x14ac:dyDescent="0.35">
      <c r="A5909" s="52" t="s">
        <v>722</v>
      </c>
      <c r="B5909" s="52" t="s">
        <v>858</v>
      </c>
      <c r="C5909" s="52" t="s">
        <v>859</v>
      </c>
      <c r="D5909" s="52" t="s">
        <v>859</v>
      </c>
      <c r="E5909" s="52" t="s">
        <v>584</v>
      </c>
      <c r="F5909" s="52" t="s">
        <v>26</v>
      </c>
      <c r="G5909" s="195" t="s">
        <v>276</v>
      </c>
      <c r="H5909" s="195"/>
      <c r="I5909" s="195"/>
      <c r="J5909" s="195"/>
      <c r="K5909" s="195"/>
      <c r="L5909" s="195">
        <v>0</v>
      </c>
      <c r="M5909" s="195">
        <v>-4.8394399999999997E-2</v>
      </c>
      <c r="N5909" s="195">
        <v>-4.8394399999999997E-2</v>
      </c>
    </row>
    <row r="5910" spans="1:14" hidden="1" x14ac:dyDescent="0.35">
      <c r="A5910" s="52" t="s">
        <v>722</v>
      </c>
      <c r="B5910" s="52" t="s">
        <v>858</v>
      </c>
      <c r="C5910" s="52" t="s">
        <v>859</v>
      </c>
      <c r="D5910" s="52" t="s">
        <v>859</v>
      </c>
      <c r="E5910" s="52" t="s">
        <v>584</v>
      </c>
      <c r="F5910" s="52" t="s">
        <v>26</v>
      </c>
      <c r="G5910" s="195" t="s">
        <v>279</v>
      </c>
      <c r="H5910" s="195"/>
      <c r="I5910" s="195"/>
      <c r="J5910" s="195"/>
      <c r="K5910" s="195"/>
      <c r="L5910" s="195">
        <v>0</v>
      </c>
      <c r="M5910" s="195">
        <v>4.8394399999999997E-2</v>
      </c>
      <c r="N5910" s="195">
        <v>4.8394399999999997E-2</v>
      </c>
    </row>
    <row r="5911" spans="1:14" hidden="1" x14ac:dyDescent="0.35">
      <c r="A5911" s="52" t="s">
        <v>722</v>
      </c>
      <c r="B5911" s="52" t="s">
        <v>102</v>
      </c>
      <c r="C5911" s="52" t="s">
        <v>102</v>
      </c>
      <c r="D5911" s="52" t="s">
        <v>102</v>
      </c>
      <c r="E5911" s="52" t="s">
        <v>584</v>
      </c>
      <c r="F5911" s="52" t="s">
        <v>581</v>
      </c>
      <c r="G5911" s="195" t="s">
        <v>275</v>
      </c>
      <c r="H5911" s="195">
        <v>-93.881559999999993</v>
      </c>
      <c r="I5911" s="195">
        <v>-4.5080809999999998</v>
      </c>
      <c r="J5911" s="195">
        <v>0</v>
      </c>
      <c r="K5911" s="195">
        <v>0</v>
      </c>
      <c r="L5911" s="195">
        <v>0</v>
      </c>
      <c r="M5911" s="195">
        <v>0</v>
      </c>
      <c r="N5911" s="195">
        <v>0</v>
      </c>
    </row>
    <row r="5912" spans="1:14" hidden="1" x14ac:dyDescent="0.35">
      <c r="A5912" s="52" t="s">
        <v>722</v>
      </c>
      <c r="B5912" s="52" t="s">
        <v>102</v>
      </c>
      <c r="C5912" s="52" t="s">
        <v>102</v>
      </c>
      <c r="D5912" s="52" t="s">
        <v>102</v>
      </c>
      <c r="E5912" s="52" t="s">
        <v>584</v>
      </c>
      <c r="F5912" s="52" t="s">
        <v>581</v>
      </c>
      <c r="G5912" s="195" t="s">
        <v>276</v>
      </c>
      <c r="H5912" s="195"/>
      <c r="I5912" s="195"/>
      <c r="J5912" s="195">
        <v>-4.2677849999999999</v>
      </c>
      <c r="K5912" s="195">
        <v>-38.572479999999999</v>
      </c>
      <c r="L5912" s="195">
        <v>-4.3321759999999996</v>
      </c>
      <c r="M5912" s="195">
        <v>-1.64253</v>
      </c>
      <c r="N5912" s="195">
        <v>-1.319599</v>
      </c>
    </row>
    <row r="5913" spans="1:14" hidden="1" x14ac:dyDescent="0.35">
      <c r="A5913" s="52" t="s">
        <v>722</v>
      </c>
      <c r="B5913" s="52" t="s">
        <v>102</v>
      </c>
      <c r="C5913" s="52" t="s">
        <v>102</v>
      </c>
      <c r="D5913" s="52" t="s">
        <v>102</v>
      </c>
      <c r="E5913" s="52" t="s">
        <v>584</v>
      </c>
      <c r="F5913" s="52" t="s">
        <v>581</v>
      </c>
      <c r="G5913" s="195" t="s">
        <v>277</v>
      </c>
      <c r="H5913" s="195"/>
      <c r="I5913" s="195"/>
      <c r="J5913" s="195"/>
      <c r="K5913" s="195"/>
      <c r="L5913" s="195"/>
      <c r="M5913" s="195">
        <v>0</v>
      </c>
      <c r="N5913" s="195">
        <v>2.0718750000000001E-2</v>
      </c>
    </row>
    <row r="5914" spans="1:14" hidden="1" x14ac:dyDescent="0.35">
      <c r="A5914" s="52" t="s">
        <v>722</v>
      </c>
      <c r="B5914" s="52" t="s">
        <v>102</v>
      </c>
      <c r="C5914" s="52" t="s">
        <v>102</v>
      </c>
      <c r="D5914" s="52" t="s">
        <v>102</v>
      </c>
      <c r="E5914" s="52" t="s">
        <v>584</v>
      </c>
      <c r="F5914" s="52" t="s">
        <v>581</v>
      </c>
      <c r="G5914" s="195" t="s">
        <v>278</v>
      </c>
      <c r="H5914" s="195">
        <v>93.881550000000004</v>
      </c>
      <c r="I5914" s="195">
        <v>4.5080809999999998</v>
      </c>
      <c r="J5914" s="195">
        <v>4.2677860000000001</v>
      </c>
      <c r="K5914" s="195">
        <v>38.572470000000003</v>
      </c>
      <c r="L5914" s="195">
        <v>4.3321750000000003</v>
      </c>
      <c r="M5914" s="195">
        <v>1.642531</v>
      </c>
      <c r="N5914" s="195">
        <v>1.29888</v>
      </c>
    </row>
    <row r="5915" spans="1:14" hidden="1" x14ac:dyDescent="0.35">
      <c r="A5915" s="52" t="s">
        <v>722</v>
      </c>
      <c r="B5915" s="52" t="s">
        <v>282</v>
      </c>
      <c r="C5915" s="52" t="s">
        <v>365</v>
      </c>
      <c r="D5915" s="52" t="s">
        <v>365</v>
      </c>
      <c r="E5915" s="52" t="s">
        <v>584</v>
      </c>
      <c r="F5915" s="52" t="s">
        <v>581</v>
      </c>
      <c r="G5915" s="195" t="s">
        <v>275</v>
      </c>
      <c r="H5915" s="195"/>
      <c r="I5915" s="195"/>
      <c r="J5915" s="195"/>
      <c r="K5915" s="195"/>
      <c r="L5915" s="195">
        <v>0</v>
      </c>
      <c r="M5915" s="195">
        <v>0</v>
      </c>
      <c r="N5915" s="195">
        <v>0</v>
      </c>
    </row>
    <row r="5916" spans="1:14" hidden="1" x14ac:dyDescent="0.35">
      <c r="A5916" s="52" t="s">
        <v>722</v>
      </c>
      <c r="B5916" s="52" t="s">
        <v>282</v>
      </c>
      <c r="C5916" s="52" t="s">
        <v>365</v>
      </c>
      <c r="D5916" s="52" t="s">
        <v>365</v>
      </c>
      <c r="E5916" s="52" t="s">
        <v>584</v>
      </c>
      <c r="F5916" s="52" t="s">
        <v>581</v>
      </c>
      <c r="G5916" s="195" t="s">
        <v>276</v>
      </c>
      <c r="H5916" s="195"/>
      <c r="I5916" s="195"/>
      <c r="J5916" s="195"/>
      <c r="K5916" s="195"/>
      <c r="L5916" s="195">
        <v>0</v>
      </c>
      <c r="M5916" s="195">
        <v>-1.03824E-3</v>
      </c>
      <c r="N5916" s="195">
        <v>-1.03824E-3</v>
      </c>
    </row>
    <row r="5917" spans="1:14" hidden="1" x14ac:dyDescent="0.35">
      <c r="A5917" s="52" t="s">
        <v>722</v>
      </c>
      <c r="B5917" s="52" t="s">
        <v>282</v>
      </c>
      <c r="C5917" s="52" t="s">
        <v>365</v>
      </c>
      <c r="D5917" s="52" t="s">
        <v>365</v>
      </c>
      <c r="E5917" s="52" t="s">
        <v>584</v>
      </c>
      <c r="F5917" s="52" t="s">
        <v>581</v>
      </c>
      <c r="G5917" s="195" t="s">
        <v>277</v>
      </c>
      <c r="H5917" s="195"/>
      <c r="I5917" s="195"/>
      <c r="J5917" s="195"/>
      <c r="K5917" s="195"/>
      <c r="L5917" s="195"/>
      <c r="M5917" s="195"/>
      <c r="N5917" s="195">
        <v>0</v>
      </c>
    </row>
    <row r="5918" spans="1:14" hidden="1" x14ac:dyDescent="0.35">
      <c r="A5918" s="52" t="s">
        <v>722</v>
      </c>
      <c r="B5918" s="52" t="s">
        <v>282</v>
      </c>
      <c r="C5918" s="52" t="s">
        <v>365</v>
      </c>
      <c r="D5918" s="52" t="s">
        <v>365</v>
      </c>
      <c r="E5918" s="52" t="s">
        <v>584</v>
      </c>
      <c r="F5918" s="52" t="s">
        <v>581</v>
      </c>
      <c r="G5918" s="195" t="s">
        <v>279</v>
      </c>
      <c r="H5918" s="195"/>
      <c r="I5918" s="195"/>
      <c r="J5918" s="195"/>
      <c r="K5918" s="195"/>
      <c r="L5918" s="195">
        <v>0</v>
      </c>
      <c r="M5918" s="195">
        <v>1.03768E-3</v>
      </c>
      <c r="N5918" s="195">
        <v>1.03824E-3</v>
      </c>
    </row>
    <row r="5919" spans="1:14" hidden="1" x14ac:dyDescent="0.35">
      <c r="A5919" s="52" t="s">
        <v>722</v>
      </c>
      <c r="B5919" s="52" t="s">
        <v>282</v>
      </c>
      <c r="C5919" s="52" t="s">
        <v>365</v>
      </c>
      <c r="D5919" s="52" t="s">
        <v>365</v>
      </c>
      <c r="E5919" s="52" t="s">
        <v>584</v>
      </c>
      <c r="F5919" s="52" t="s">
        <v>26</v>
      </c>
      <c r="G5919" s="195" t="s">
        <v>275</v>
      </c>
      <c r="H5919" s="195">
        <v>-0.23245209999999999</v>
      </c>
      <c r="I5919" s="195">
        <v>-0.23245209999999999</v>
      </c>
      <c r="J5919" s="195">
        <v>0</v>
      </c>
      <c r="K5919" s="195">
        <v>0</v>
      </c>
      <c r="L5919" s="195">
        <v>0</v>
      </c>
      <c r="M5919" s="195">
        <v>0</v>
      </c>
      <c r="N5919" s="195">
        <v>0</v>
      </c>
    </row>
    <row r="5920" spans="1:14" hidden="1" x14ac:dyDescent="0.35">
      <c r="A5920" s="52" t="s">
        <v>722</v>
      </c>
      <c r="B5920" s="52" t="s">
        <v>282</v>
      </c>
      <c r="C5920" s="52" t="s">
        <v>365</v>
      </c>
      <c r="D5920" s="52" t="s">
        <v>365</v>
      </c>
      <c r="E5920" s="52" t="s">
        <v>584</v>
      </c>
      <c r="F5920" s="52" t="s">
        <v>26</v>
      </c>
      <c r="G5920" s="195" t="s">
        <v>276</v>
      </c>
      <c r="H5920" s="195"/>
      <c r="I5920" s="195"/>
      <c r="J5920" s="195">
        <v>-0.23245209999999999</v>
      </c>
      <c r="K5920" s="195">
        <v>-0.23245209999999999</v>
      </c>
      <c r="L5920" s="195">
        <v>-0.73905379999999998</v>
      </c>
      <c r="M5920" s="195">
        <v>-0.2366588</v>
      </c>
      <c r="N5920" s="195">
        <v>-0.3464738</v>
      </c>
    </row>
    <row r="5921" spans="1:14" hidden="1" x14ac:dyDescent="0.35">
      <c r="A5921" s="52" t="s">
        <v>722</v>
      </c>
      <c r="B5921" s="52" t="s">
        <v>282</v>
      </c>
      <c r="C5921" s="52" t="s">
        <v>365</v>
      </c>
      <c r="D5921" s="52" t="s">
        <v>365</v>
      </c>
      <c r="E5921" s="52" t="s">
        <v>584</v>
      </c>
      <c r="F5921" s="52" t="s">
        <v>26</v>
      </c>
      <c r="G5921" s="195" t="s">
        <v>277</v>
      </c>
      <c r="H5921" s="195"/>
      <c r="I5921" s="195"/>
      <c r="J5921" s="195"/>
      <c r="K5921" s="195">
        <v>0</v>
      </c>
      <c r="L5921" s="195">
        <v>2.1503999999999999E-2</v>
      </c>
      <c r="M5921" s="195">
        <v>0</v>
      </c>
      <c r="N5921" s="195">
        <v>0.109816</v>
      </c>
    </row>
    <row r="5922" spans="1:14" hidden="1" x14ac:dyDescent="0.35">
      <c r="A5922" s="52" t="s">
        <v>722</v>
      </c>
      <c r="B5922" s="52" t="s">
        <v>282</v>
      </c>
      <c r="C5922" s="52" t="s">
        <v>365</v>
      </c>
      <c r="D5922" s="52" t="s">
        <v>365</v>
      </c>
      <c r="E5922" s="52" t="s">
        <v>584</v>
      </c>
      <c r="F5922" s="52" t="s">
        <v>26</v>
      </c>
      <c r="G5922" s="195" t="s">
        <v>278</v>
      </c>
      <c r="H5922" s="195">
        <v>0.23245209999999999</v>
      </c>
      <c r="I5922" s="195">
        <v>0.23245209999999999</v>
      </c>
      <c r="J5922" s="195">
        <v>0.23245209999999999</v>
      </c>
      <c r="K5922" s="195">
        <v>0.23245209999999999</v>
      </c>
      <c r="L5922" s="195">
        <v>0.71754989999999996</v>
      </c>
      <c r="M5922" s="195">
        <v>0.23245209999999999</v>
      </c>
      <c r="N5922" s="195">
        <v>0.23245209999999999</v>
      </c>
    </row>
    <row r="5923" spans="1:14" hidden="1" x14ac:dyDescent="0.35">
      <c r="A5923" s="52" t="s">
        <v>722</v>
      </c>
      <c r="B5923" s="52" t="s">
        <v>282</v>
      </c>
      <c r="C5923" s="52" t="s">
        <v>365</v>
      </c>
      <c r="D5923" s="52" t="s">
        <v>365</v>
      </c>
      <c r="E5923" s="52" t="s">
        <v>584</v>
      </c>
      <c r="F5923" s="52" t="s">
        <v>26</v>
      </c>
      <c r="G5923" s="195" t="s">
        <v>279</v>
      </c>
      <c r="H5923" s="195"/>
      <c r="I5923" s="195"/>
      <c r="J5923" s="195"/>
      <c r="K5923" s="195"/>
      <c r="L5923" s="195">
        <v>0</v>
      </c>
      <c r="M5923" s="195">
        <v>4.2067199999999997E-3</v>
      </c>
      <c r="N5923" s="195">
        <v>4.2061599999999996E-3</v>
      </c>
    </row>
    <row r="5924" spans="1:14" hidden="1" x14ac:dyDescent="0.35">
      <c r="A5924" s="52" t="s">
        <v>722</v>
      </c>
      <c r="B5924" s="52" t="s">
        <v>282</v>
      </c>
      <c r="C5924" s="52" t="s">
        <v>281</v>
      </c>
      <c r="D5924" s="52" t="s">
        <v>281</v>
      </c>
      <c r="E5924" s="52" t="s">
        <v>584</v>
      </c>
      <c r="F5924" s="52" t="s">
        <v>581</v>
      </c>
      <c r="G5924" s="195" t="s">
        <v>275</v>
      </c>
      <c r="H5924" s="195"/>
      <c r="I5924" s="195"/>
      <c r="J5924" s="195"/>
      <c r="K5924" s="195">
        <v>0</v>
      </c>
      <c r="L5924" s="195">
        <v>0</v>
      </c>
      <c r="M5924" s="195">
        <v>0</v>
      </c>
      <c r="N5924" s="195">
        <v>0</v>
      </c>
    </row>
    <row r="5925" spans="1:14" hidden="1" x14ac:dyDescent="0.35">
      <c r="A5925" s="52" t="s">
        <v>722</v>
      </c>
      <c r="B5925" s="52" t="s">
        <v>282</v>
      </c>
      <c r="C5925" s="52" t="s">
        <v>281</v>
      </c>
      <c r="D5925" s="52" t="s">
        <v>281</v>
      </c>
      <c r="E5925" s="52" t="s">
        <v>584</v>
      </c>
      <c r="F5925" s="52" t="s">
        <v>581</v>
      </c>
      <c r="G5925" s="195" t="s">
        <v>276</v>
      </c>
      <c r="H5925" s="195"/>
      <c r="I5925" s="195"/>
      <c r="J5925" s="195"/>
      <c r="K5925" s="195">
        <v>0</v>
      </c>
      <c r="L5925" s="195">
        <v>-1.5505E-4</v>
      </c>
      <c r="M5925" s="195">
        <v>-1.5540000000000001E-4</v>
      </c>
      <c r="N5925" s="195">
        <v>-1.6086489999999998E-2</v>
      </c>
    </row>
    <row r="5926" spans="1:14" hidden="1" x14ac:dyDescent="0.35">
      <c r="A5926" s="52" t="s">
        <v>722</v>
      </c>
      <c r="B5926" s="52" t="s">
        <v>282</v>
      </c>
      <c r="C5926" s="52" t="s">
        <v>281</v>
      </c>
      <c r="D5926" s="52" t="s">
        <v>281</v>
      </c>
      <c r="E5926" s="52" t="s">
        <v>584</v>
      </c>
      <c r="F5926" s="52" t="s">
        <v>581</v>
      </c>
      <c r="G5926" s="195" t="s">
        <v>277</v>
      </c>
      <c r="H5926" s="195"/>
      <c r="I5926" s="195"/>
      <c r="J5926" s="195"/>
      <c r="K5926" s="195"/>
      <c r="L5926" s="195"/>
      <c r="M5926" s="195">
        <v>0</v>
      </c>
      <c r="N5926" s="195"/>
    </row>
    <row r="5927" spans="1:14" hidden="1" x14ac:dyDescent="0.35">
      <c r="A5927" s="52" t="s">
        <v>722</v>
      </c>
      <c r="B5927" s="52" t="s">
        <v>282</v>
      </c>
      <c r="C5927" s="52" t="s">
        <v>281</v>
      </c>
      <c r="D5927" s="52" t="s">
        <v>281</v>
      </c>
      <c r="E5927" s="52" t="s">
        <v>584</v>
      </c>
      <c r="F5927" s="52" t="s">
        <v>581</v>
      </c>
      <c r="G5927" s="195" t="s">
        <v>279</v>
      </c>
      <c r="H5927" s="195"/>
      <c r="I5927" s="195"/>
      <c r="J5927" s="195"/>
      <c r="K5927" s="195">
        <v>0</v>
      </c>
      <c r="L5927" s="195">
        <v>1.5540000000000001E-4</v>
      </c>
      <c r="M5927" s="195">
        <v>1.5505E-4</v>
      </c>
      <c r="N5927" s="195">
        <v>1.5540000000000001E-4</v>
      </c>
    </row>
    <row r="5928" spans="1:14" hidden="1" x14ac:dyDescent="0.35">
      <c r="A5928" s="52" t="s">
        <v>722</v>
      </c>
      <c r="B5928" s="52" t="s">
        <v>282</v>
      </c>
      <c r="C5928" s="52" t="s">
        <v>281</v>
      </c>
      <c r="D5928" s="52" t="s">
        <v>281</v>
      </c>
      <c r="E5928" s="52" t="s">
        <v>584</v>
      </c>
      <c r="F5928" s="52" t="s">
        <v>26</v>
      </c>
      <c r="G5928" s="195" t="s">
        <v>275</v>
      </c>
      <c r="H5928" s="195">
        <v>-0.25617269999999998</v>
      </c>
      <c r="I5928" s="195">
        <v>-0.25617269999999998</v>
      </c>
      <c r="J5928" s="195">
        <v>0</v>
      </c>
      <c r="K5928" s="195">
        <v>0</v>
      </c>
      <c r="L5928" s="195">
        <v>0</v>
      </c>
      <c r="M5928" s="195">
        <v>0</v>
      </c>
      <c r="N5928" s="195">
        <v>0</v>
      </c>
    </row>
    <row r="5929" spans="1:14" hidden="1" x14ac:dyDescent="0.35">
      <c r="A5929" s="52" t="s">
        <v>722</v>
      </c>
      <c r="B5929" s="52" t="s">
        <v>282</v>
      </c>
      <c r="C5929" s="52" t="s">
        <v>281</v>
      </c>
      <c r="D5929" s="52" t="s">
        <v>281</v>
      </c>
      <c r="E5929" s="52" t="s">
        <v>584</v>
      </c>
      <c r="F5929" s="52" t="s">
        <v>26</v>
      </c>
      <c r="G5929" s="195" t="s">
        <v>276</v>
      </c>
      <c r="H5929" s="195"/>
      <c r="I5929" s="195"/>
      <c r="J5929" s="195">
        <v>-0.26667229999999997</v>
      </c>
      <c r="K5929" s="195">
        <v>-0.69893289999999997</v>
      </c>
      <c r="L5929" s="195">
        <v>-19.596119999999999</v>
      </c>
      <c r="M5929" s="195">
        <v>-2.053912</v>
      </c>
      <c r="N5929" s="195">
        <v>-2.252167</v>
      </c>
    </row>
    <row r="5930" spans="1:14" hidden="1" x14ac:dyDescent="0.35">
      <c r="A5930" s="52" t="s">
        <v>722</v>
      </c>
      <c r="B5930" s="52" t="s">
        <v>282</v>
      </c>
      <c r="C5930" s="52" t="s">
        <v>281</v>
      </c>
      <c r="D5930" s="52" t="s">
        <v>281</v>
      </c>
      <c r="E5930" s="52" t="s">
        <v>584</v>
      </c>
      <c r="F5930" s="52" t="s">
        <v>26</v>
      </c>
      <c r="G5930" s="195" t="s">
        <v>277</v>
      </c>
      <c r="H5930" s="195"/>
      <c r="I5930" s="195">
        <v>0</v>
      </c>
      <c r="J5930" s="195">
        <v>1.0500000000000001E-2</v>
      </c>
      <c r="K5930" s="195">
        <v>0.11550000000000001</v>
      </c>
      <c r="L5930" s="195">
        <v>4.2000000000000003E-2</v>
      </c>
      <c r="M5930" s="195">
        <v>1.8987769999999999</v>
      </c>
      <c r="N5930" s="195">
        <v>2.0970309999999999</v>
      </c>
    </row>
    <row r="5931" spans="1:14" hidden="1" x14ac:dyDescent="0.35">
      <c r="A5931" s="52" t="s">
        <v>722</v>
      </c>
      <c r="B5931" s="52" t="s">
        <v>282</v>
      </c>
      <c r="C5931" s="52" t="s">
        <v>281</v>
      </c>
      <c r="D5931" s="52" t="s">
        <v>281</v>
      </c>
      <c r="E5931" s="52" t="s">
        <v>584</v>
      </c>
      <c r="F5931" s="52" t="s">
        <v>26</v>
      </c>
      <c r="G5931" s="195" t="s">
        <v>278</v>
      </c>
      <c r="H5931" s="195">
        <v>0.25617269999999998</v>
      </c>
      <c r="I5931" s="195">
        <v>0.25617269999999998</v>
      </c>
      <c r="J5931" s="195">
        <v>0.25617269999999998</v>
      </c>
      <c r="K5931" s="195">
        <v>0.58343279999999997</v>
      </c>
      <c r="L5931" s="195">
        <v>19.553439999999998</v>
      </c>
      <c r="M5931" s="195">
        <v>0.15445320000000001</v>
      </c>
      <c r="N5931" s="195">
        <v>0.15445320000000001</v>
      </c>
    </row>
    <row r="5932" spans="1:14" hidden="1" x14ac:dyDescent="0.35">
      <c r="A5932" s="52" t="s">
        <v>722</v>
      </c>
      <c r="B5932" s="52" t="s">
        <v>282</v>
      </c>
      <c r="C5932" s="52" t="s">
        <v>281</v>
      </c>
      <c r="D5932" s="52" t="s">
        <v>281</v>
      </c>
      <c r="E5932" s="52" t="s">
        <v>584</v>
      </c>
      <c r="F5932" s="52" t="s">
        <v>26</v>
      </c>
      <c r="G5932" s="195" t="s">
        <v>279</v>
      </c>
      <c r="H5932" s="195"/>
      <c r="I5932" s="195"/>
      <c r="J5932" s="195"/>
      <c r="K5932" s="195">
        <v>0</v>
      </c>
      <c r="L5932" s="195">
        <v>6.8179999999999998E-4</v>
      </c>
      <c r="M5932" s="195">
        <v>6.8145E-4</v>
      </c>
      <c r="N5932" s="195">
        <v>6.8179999999999998E-4</v>
      </c>
    </row>
    <row r="5933" spans="1:14" hidden="1" x14ac:dyDescent="0.35">
      <c r="A5933" s="52" t="s">
        <v>696</v>
      </c>
      <c r="B5933" s="52" t="s">
        <v>34</v>
      </c>
      <c r="C5933" s="52" t="s">
        <v>230</v>
      </c>
      <c r="D5933" s="52" t="s">
        <v>230</v>
      </c>
      <c r="E5933" s="52" t="s">
        <v>697</v>
      </c>
      <c r="F5933" s="52" t="s">
        <v>581</v>
      </c>
      <c r="G5933" s="195" t="s">
        <v>275</v>
      </c>
      <c r="H5933" s="195">
        <v>110.6067</v>
      </c>
      <c r="I5933" s="195">
        <v>42.283619999999999</v>
      </c>
      <c r="J5933" s="195">
        <v>42.645740000000004</v>
      </c>
      <c r="K5933" s="195">
        <v>21.568829999999998</v>
      </c>
      <c r="L5933" s="195">
        <v>-8.0784669999999998</v>
      </c>
      <c r="M5933" s="195">
        <v>3.3353619999999999</v>
      </c>
      <c r="N5933" s="195">
        <v>2.932626</v>
      </c>
    </row>
    <row r="5934" spans="1:14" hidden="1" x14ac:dyDescent="0.35">
      <c r="A5934" s="52" t="s">
        <v>696</v>
      </c>
      <c r="B5934" s="52" t="s">
        <v>34</v>
      </c>
      <c r="C5934" s="52" t="s">
        <v>230</v>
      </c>
      <c r="D5934" s="52" t="s">
        <v>230</v>
      </c>
      <c r="E5934" s="52" t="s">
        <v>697</v>
      </c>
      <c r="F5934" s="52" t="s">
        <v>581</v>
      </c>
      <c r="G5934" s="195" t="s">
        <v>276</v>
      </c>
      <c r="H5934" s="195">
        <v>-4.8924529999999997</v>
      </c>
      <c r="I5934" s="195">
        <v>-82.641270000000006</v>
      </c>
      <c r="J5934" s="195">
        <v>-50.452370000000002</v>
      </c>
      <c r="K5934" s="195">
        <v>-24.421489999999999</v>
      </c>
      <c r="L5934" s="195">
        <v>-8.3468420000000005</v>
      </c>
      <c r="M5934" s="195">
        <v>-0.1544094</v>
      </c>
      <c r="N5934" s="195">
        <v>0.26161709999999999</v>
      </c>
    </row>
    <row r="5935" spans="1:14" hidden="1" x14ac:dyDescent="0.35">
      <c r="A5935" s="52" t="s">
        <v>696</v>
      </c>
      <c r="B5935" s="52" t="s">
        <v>34</v>
      </c>
      <c r="C5935" s="52" t="s">
        <v>230</v>
      </c>
      <c r="D5935" s="52" t="s">
        <v>230</v>
      </c>
      <c r="E5935" s="52" t="s">
        <v>697</v>
      </c>
      <c r="F5935" s="52" t="s">
        <v>581</v>
      </c>
      <c r="G5935" s="195" t="s">
        <v>277</v>
      </c>
      <c r="H5935" s="195">
        <v>249.91069999999999</v>
      </c>
      <c r="I5935" s="195">
        <v>27.76792</v>
      </c>
      <c r="J5935" s="195">
        <v>4.0583609999999997</v>
      </c>
      <c r="K5935" s="195">
        <v>2.660447</v>
      </c>
      <c r="L5935" s="195">
        <v>2.3288859999999998</v>
      </c>
      <c r="M5935" s="195">
        <v>0.1995778</v>
      </c>
      <c r="N5935" s="195">
        <v>0</v>
      </c>
    </row>
    <row r="5936" spans="1:14" hidden="1" x14ac:dyDescent="0.35">
      <c r="A5936" s="52" t="s">
        <v>696</v>
      </c>
      <c r="B5936" s="52" t="s">
        <v>34</v>
      </c>
      <c r="C5936" s="52" t="s">
        <v>230</v>
      </c>
      <c r="D5936" s="52" t="s">
        <v>230</v>
      </c>
      <c r="E5936" s="52" t="s">
        <v>697</v>
      </c>
      <c r="F5936" s="52" t="s">
        <v>581</v>
      </c>
      <c r="G5936" s="195" t="s">
        <v>278</v>
      </c>
      <c r="H5936" s="195">
        <v>52.076270000000001</v>
      </c>
      <c r="I5936" s="195">
        <v>29.038920000000001</v>
      </c>
      <c r="J5936" s="195">
        <v>3.4122499999999998</v>
      </c>
      <c r="K5936" s="195">
        <v>2.5581680000000002</v>
      </c>
      <c r="L5936" s="195">
        <v>1.414496</v>
      </c>
      <c r="M5936" s="195">
        <v>0.13733200000000001</v>
      </c>
      <c r="N5936" s="195">
        <v>0</v>
      </c>
    </row>
    <row r="5937" spans="1:14" hidden="1" x14ac:dyDescent="0.35">
      <c r="A5937" s="52" t="s">
        <v>696</v>
      </c>
      <c r="B5937" s="52" t="s">
        <v>34</v>
      </c>
      <c r="C5937" s="52" t="s">
        <v>230</v>
      </c>
      <c r="D5937" s="52" t="s">
        <v>230</v>
      </c>
      <c r="E5937" s="52" t="s">
        <v>697</v>
      </c>
      <c r="F5937" s="52" t="s">
        <v>581</v>
      </c>
      <c r="G5937" s="195" t="s">
        <v>279</v>
      </c>
      <c r="H5937" s="195">
        <v>236.9795</v>
      </c>
      <c r="I5937" s="195">
        <v>212.2876</v>
      </c>
      <c r="J5937" s="195">
        <v>168.48390000000001</v>
      </c>
      <c r="K5937" s="195">
        <v>137.86250000000001</v>
      </c>
      <c r="L5937" s="195">
        <v>135.19239999999999</v>
      </c>
      <c r="M5937" s="195">
        <v>104.2225</v>
      </c>
      <c r="N5937" s="195">
        <v>92.378039999999999</v>
      </c>
    </row>
    <row r="5938" spans="1:14" hidden="1" x14ac:dyDescent="0.35">
      <c r="A5938" s="52" t="s">
        <v>696</v>
      </c>
      <c r="B5938" s="52" t="s">
        <v>34</v>
      </c>
      <c r="C5938" s="52" t="s">
        <v>230</v>
      </c>
      <c r="D5938" s="52" t="s">
        <v>230</v>
      </c>
      <c r="E5938" s="52" t="s">
        <v>697</v>
      </c>
      <c r="F5938" s="52" t="s">
        <v>26</v>
      </c>
      <c r="G5938" s="195" t="s">
        <v>275</v>
      </c>
      <c r="H5938" s="195">
        <v>-3.1130490000000002</v>
      </c>
      <c r="I5938" s="195">
        <v>-6.2288019999999999</v>
      </c>
      <c r="J5938" s="195">
        <v>-4.3929739999999997</v>
      </c>
      <c r="K5938" s="195">
        <v>-3.5995879999999998</v>
      </c>
      <c r="L5938" s="195">
        <v>-4.3659429999999997</v>
      </c>
      <c r="M5938" s="195">
        <v>-2.563844</v>
      </c>
      <c r="N5938" s="195">
        <v>-2.2662420000000001</v>
      </c>
    </row>
    <row r="5939" spans="1:14" hidden="1" x14ac:dyDescent="0.35">
      <c r="A5939" s="52" t="s">
        <v>696</v>
      </c>
      <c r="B5939" s="52" t="s">
        <v>34</v>
      </c>
      <c r="C5939" s="52" t="s">
        <v>230</v>
      </c>
      <c r="D5939" s="52" t="s">
        <v>230</v>
      </c>
      <c r="E5939" s="52" t="s">
        <v>697</v>
      </c>
      <c r="F5939" s="52" t="s">
        <v>26</v>
      </c>
      <c r="G5939" s="195" t="s">
        <v>276</v>
      </c>
      <c r="H5939" s="195">
        <v>-1.1359360000000001</v>
      </c>
      <c r="I5939" s="195">
        <v>-2.2963680000000002</v>
      </c>
      <c r="J5939" s="195">
        <v>-1.6173409999999999</v>
      </c>
      <c r="K5939" s="195">
        <v>-1.3250219999999999</v>
      </c>
      <c r="L5939" s="195">
        <v>-1.6104149999999999</v>
      </c>
      <c r="M5939" s="195">
        <v>-0.94242599999999999</v>
      </c>
      <c r="N5939" s="195">
        <v>-0.83309580000000005</v>
      </c>
    </row>
    <row r="5940" spans="1:14" hidden="1" x14ac:dyDescent="0.35">
      <c r="A5940" s="52" t="s">
        <v>696</v>
      </c>
      <c r="B5940" s="52" t="s">
        <v>34</v>
      </c>
      <c r="C5940" s="52" t="s">
        <v>230</v>
      </c>
      <c r="D5940" s="52" t="s">
        <v>230</v>
      </c>
      <c r="E5940" s="52" t="s">
        <v>697</v>
      </c>
      <c r="F5940" s="52" t="s">
        <v>26</v>
      </c>
      <c r="G5940" s="195" t="s">
        <v>279</v>
      </c>
      <c r="H5940" s="195">
        <v>28.266719999999999</v>
      </c>
      <c r="I5940" s="195">
        <v>25.497689999999999</v>
      </c>
      <c r="J5940" s="195">
        <v>20.478670000000001</v>
      </c>
      <c r="K5940" s="195">
        <v>17.02036</v>
      </c>
      <c r="L5940" s="195">
        <v>16.556699999999999</v>
      </c>
      <c r="M5940" s="195">
        <v>12.80852</v>
      </c>
      <c r="N5940" s="195">
        <v>11.351470000000001</v>
      </c>
    </row>
    <row r="5941" spans="1:14" hidden="1" x14ac:dyDescent="0.35">
      <c r="A5941" s="52" t="s">
        <v>696</v>
      </c>
      <c r="B5941" s="52" t="s">
        <v>34</v>
      </c>
      <c r="C5941" s="52" t="s">
        <v>230</v>
      </c>
      <c r="D5941" s="52" t="s">
        <v>230</v>
      </c>
      <c r="E5941" s="52" t="s">
        <v>584</v>
      </c>
      <c r="F5941" s="52" t="s">
        <v>581</v>
      </c>
      <c r="G5941" s="195" t="s">
        <v>275</v>
      </c>
      <c r="H5941" s="195">
        <v>136.00399999999999</v>
      </c>
      <c r="I5941" s="195">
        <v>-52.048580000000001</v>
      </c>
      <c r="J5941" s="195">
        <v>-54.558199999999999</v>
      </c>
      <c r="K5941" s="195">
        <v>-52.071350000000002</v>
      </c>
      <c r="L5941" s="195">
        <v>-21.145</v>
      </c>
      <c r="M5941" s="195">
        <v>-11.45552</v>
      </c>
      <c r="N5941" s="195">
        <v>-11.04495</v>
      </c>
    </row>
    <row r="5942" spans="1:14" hidden="1" x14ac:dyDescent="0.35">
      <c r="A5942" s="52" t="s">
        <v>696</v>
      </c>
      <c r="B5942" s="52" t="s">
        <v>34</v>
      </c>
      <c r="C5942" s="52" t="s">
        <v>230</v>
      </c>
      <c r="D5942" s="52" t="s">
        <v>230</v>
      </c>
      <c r="E5942" s="52" t="s">
        <v>584</v>
      </c>
      <c r="F5942" s="52" t="s">
        <v>581</v>
      </c>
      <c r="G5942" s="195" t="s">
        <v>276</v>
      </c>
      <c r="H5942" s="195">
        <v>51.450519999999997</v>
      </c>
      <c r="I5942" s="195">
        <v>-15.81217</v>
      </c>
      <c r="J5942" s="195">
        <v>-18.88026</v>
      </c>
      <c r="K5942" s="195">
        <v>-18.405159999999999</v>
      </c>
      <c r="L5942" s="195">
        <v>-16.646249999999998</v>
      </c>
      <c r="M5942" s="195">
        <v>-10.13654</v>
      </c>
      <c r="N5942" s="195">
        <v>-7.0890339999999998</v>
      </c>
    </row>
    <row r="5943" spans="1:14" hidden="1" x14ac:dyDescent="0.35">
      <c r="A5943" s="52" t="s">
        <v>696</v>
      </c>
      <c r="B5943" s="52" t="s">
        <v>34</v>
      </c>
      <c r="C5943" s="52" t="s">
        <v>230</v>
      </c>
      <c r="D5943" s="52" t="s">
        <v>230</v>
      </c>
      <c r="E5943" s="52" t="s">
        <v>584</v>
      </c>
      <c r="F5943" s="52" t="s">
        <v>581</v>
      </c>
      <c r="G5943" s="195" t="s">
        <v>277</v>
      </c>
      <c r="H5943" s="195">
        <v>73.820520000000002</v>
      </c>
      <c r="I5943" s="195">
        <v>82.982730000000004</v>
      </c>
      <c r="J5943" s="195">
        <v>74.430329999999998</v>
      </c>
      <c r="K5943" s="195">
        <v>67.27373</v>
      </c>
      <c r="L5943" s="195">
        <v>30.086950000000002</v>
      </c>
      <c r="M5943" s="195">
        <v>27.604700000000001</v>
      </c>
      <c r="N5943" s="195">
        <v>25.007010000000001</v>
      </c>
    </row>
    <row r="5944" spans="1:14" hidden="1" x14ac:dyDescent="0.35">
      <c r="A5944" s="52" t="s">
        <v>696</v>
      </c>
      <c r="B5944" s="52" t="s">
        <v>34</v>
      </c>
      <c r="C5944" s="52" t="s">
        <v>230</v>
      </c>
      <c r="D5944" s="52" t="s">
        <v>230</v>
      </c>
      <c r="E5944" s="52" t="s">
        <v>584</v>
      </c>
      <c r="F5944" s="52" t="s">
        <v>581</v>
      </c>
      <c r="G5944" s="195" t="s">
        <v>279</v>
      </c>
      <c r="H5944" s="195">
        <v>145.77690000000001</v>
      </c>
      <c r="I5944" s="195">
        <v>135.29839999999999</v>
      </c>
      <c r="J5944" s="195">
        <v>122.10850000000001</v>
      </c>
      <c r="K5944" s="195">
        <v>118.735</v>
      </c>
      <c r="L5944" s="195">
        <v>114.7443</v>
      </c>
      <c r="M5944" s="195">
        <v>91.098330000000004</v>
      </c>
      <c r="N5944" s="195">
        <v>81.565449999999998</v>
      </c>
    </row>
    <row r="5945" spans="1:14" hidden="1" x14ac:dyDescent="0.35">
      <c r="A5945" s="52" t="s">
        <v>696</v>
      </c>
      <c r="B5945" s="52" t="s">
        <v>34</v>
      </c>
      <c r="C5945" s="52" t="s">
        <v>230</v>
      </c>
      <c r="D5945" s="52" t="s">
        <v>230</v>
      </c>
      <c r="E5945" s="52" t="s">
        <v>584</v>
      </c>
      <c r="F5945" s="52" t="s">
        <v>26</v>
      </c>
      <c r="G5945" s="195" t="s">
        <v>275</v>
      </c>
      <c r="H5945" s="195">
        <v>-3.4377439999999999</v>
      </c>
      <c r="I5945" s="195">
        <v>-4.170153</v>
      </c>
      <c r="J5945" s="195">
        <v>-3.4287830000000001</v>
      </c>
      <c r="K5945" s="195">
        <v>-3.4066480000000001</v>
      </c>
      <c r="L5945" s="195">
        <v>-3.2862110000000002</v>
      </c>
      <c r="M5945" s="195">
        <v>-2.1757200000000001</v>
      </c>
      <c r="N5945" s="195">
        <v>-1.8010649999999999</v>
      </c>
    </row>
    <row r="5946" spans="1:14" hidden="1" x14ac:dyDescent="0.35">
      <c r="A5946" s="52" t="s">
        <v>696</v>
      </c>
      <c r="B5946" s="52" t="s">
        <v>34</v>
      </c>
      <c r="C5946" s="52" t="s">
        <v>230</v>
      </c>
      <c r="D5946" s="52" t="s">
        <v>230</v>
      </c>
      <c r="E5946" s="52" t="s">
        <v>584</v>
      </c>
      <c r="F5946" s="52" t="s">
        <v>26</v>
      </c>
      <c r="G5946" s="195" t="s">
        <v>276</v>
      </c>
      <c r="H5946" s="195">
        <v>-1.244658</v>
      </c>
      <c r="I5946" s="195">
        <v>-1.46479</v>
      </c>
      <c r="J5946" s="195">
        <v>-1.1966619999999999</v>
      </c>
      <c r="K5946" s="195">
        <v>-1.1849229999999999</v>
      </c>
      <c r="L5946" s="195">
        <v>-1.1554260000000001</v>
      </c>
      <c r="M5946" s="195">
        <v>-0.77319740000000003</v>
      </c>
      <c r="N5946" s="195">
        <v>-0.6440939</v>
      </c>
    </row>
    <row r="5947" spans="1:14" hidden="1" x14ac:dyDescent="0.35">
      <c r="A5947" s="52" t="s">
        <v>696</v>
      </c>
      <c r="B5947" s="52" t="s">
        <v>34</v>
      </c>
      <c r="C5947" s="52" t="s">
        <v>230</v>
      </c>
      <c r="D5947" s="52" t="s">
        <v>230</v>
      </c>
      <c r="E5947" s="52" t="s">
        <v>584</v>
      </c>
      <c r="F5947" s="52" t="s">
        <v>26</v>
      </c>
      <c r="G5947" s="195" t="s">
        <v>279</v>
      </c>
      <c r="H5947" s="195">
        <v>16.61824</v>
      </c>
      <c r="I5947" s="195">
        <v>12.56094</v>
      </c>
      <c r="J5947" s="195">
        <v>9.8770050000000005</v>
      </c>
      <c r="K5947" s="195">
        <v>8.7818740000000002</v>
      </c>
      <c r="L5947" s="195">
        <v>7.8355350000000001</v>
      </c>
      <c r="M5947" s="195">
        <v>5.666677</v>
      </c>
      <c r="N5947" s="195">
        <v>4.6682180000000004</v>
      </c>
    </row>
    <row r="5948" spans="1:14" hidden="1" x14ac:dyDescent="0.35">
      <c r="A5948" s="52" t="s">
        <v>696</v>
      </c>
      <c r="B5948" s="52" t="s">
        <v>34</v>
      </c>
      <c r="C5948" s="52" t="s">
        <v>230</v>
      </c>
      <c r="D5948" s="52" t="s">
        <v>230</v>
      </c>
      <c r="E5948" s="52" t="s">
        <v>698</v>
      </c>
      <c r="F5948" s="52" t="s">
        <v>581</v>
      </c>
      <c r="G5948" s="195" t="s">
        <v>275</v>
      </c>
      <c r="H5948" s="195">
        <v>47.352670000000003</v>
      </c>
      <c r="I5948" s="195">
        <v>18.361910000000002</v>
      </c>
      <c r="J5948" s="195">
        <v>29.780460000000001</v>
      </c>
      <c r="K5948" s="195">
        <v>20.744070000000001</v>
      </c>
      <c r="L5948" s="195">
        <v>9.4044819999999998</v>
      </c>
      <c r="M5948" s="195">
        <v>11.295070000000001</v>
      </c>
      <c r="N5948" s="195">
        <v>9.3412089999999992</v>
      </c>
    </row>
    <row r="5949" spans="1:14" hidden="1" x14ac:dyDescent="0.35">
      <c r="A5949" s="52" t="s">
        <v>696</v>
      </c>
      <c r="B5949" s="52" t="s">
        <v>34</v>
      </c>
      <c r="C5949" s="52" t="s">
        <v>230</v>
      </c>
      <c r="D5949" s="52" t="s">
        <v>230</v>
      </c>
      <c r="E5949" s="52" t="s">
        <v>698</v>
      </c>
      <c r="F5949" s="52" t="s">
        <v>581</v>
      </c>
      <c r="G5949" s="195" t="s">
        <v>276</v>
      </c>
      <c r="H5949" s="195">
        <v>15.4375</v>
      </c>
      <c r="I5949" s="195">
        <v>-26.823170000000001</v>
      </c>
      <c r="J5949" s="195">
        <v>-20.36993</v>
      </c>
      <c r="K5949" s="195">
        <v>-9.3180879999999995</v>
      </c>
      <c r="L5949" s="195">
        <v>-1.624315</v>
      </c>
      <c r="M5949" s="195">
        <v>2.3109410000000001</v>
      </c>
      <c r="N5949" s="195">
        <v>2.658528</v>
      </c>
    </row>
    <row r="5950" spans="1:14" hidden="1" x14ac:dyDescent="0.35">
      <c r="A5950" s="52" t="s">
        <v>696</v>
      </c>
      <c r="B5950" s="52" t="s">
        <v>34</v>
      </c>
      <c r="C5950" s="52" t="s">
        <v>230</v>
      </c>
      <c r="D5950" s="52" t="s">
        <v>230</v>
      </c>
      <c r="E5950" s="52" t="s">
        <v>698</v>
      </c>
      <c r="F5950" s="52" t="s">
        <v>581</v>
      </c>
      <c r="G5950" s="195" t="s">
        <v>277</v>
      </c>
      <c r="H5950" s="195">
        <v>138.24119999999999</v>
      </c>
      <c r="I5950" s="195">
        <v>37.469990000000003</v>
      </c>
      <c r="J5950" s="195">
        <v>8.9133770000000005</v>
      </c>
      <c r="K5950" s="195">
        <v>4.8197109999999999</v>
      </c>
      <c r="L5950" s="195">
        <v>1.5842579999999999</v>
      </c>
      <c r="M5950" s="195">
        <v>0</v>
      </c>
      <c r="N5950" s="195">
        <v>0</v>
      </c>
    </row>
    <row r="5951" spans="1:14" hidden="1" x14ac:dyDescent="0.35">
      <c r="A5951" s="52" t="s">
        <v>696</v>
      </c>
      <c r="B5951" s="52" t="s">
        <v>34</v>
      </c>
      <c r="C5951" s="52" t="s">
        <v>230</v>
      </c>
      <c r="D5951" s="52" t="s">
        <v>230</v>
      </c>
      <c r="E5951" s="52" t="s">
        <v>698</v>
      </c>
      <c r="F5951" s="52" t="s">
        <v>581</v>
      </c>
      <c r="G5951" s="195" t="s">
        <v>278</v>
      </c>
      <c r="H5951" s="195">
        <v>9.9887929999999994</v>
      </c>
      <c r="I5951" s="195">
        <v>5.9772509999999999</v>
      </c>
      <c r="J5951" s="195">
        <v>2.6611669999999998</v>
      </c>
      <c r="K5951" s="195">
        <v>1.681012</v>
      </c>
      <c r="L5951" s="195">
        <v>0.52839060000000004</v>
      </c>
      <c r="M5951" s="195">
        <v>0</v>
      </c>
      <c r="N5951" s="195">
        <v>0</v>
      </c>
    </row>
    <row r="5952" spans="1:14" hidden="1" x14ac:dyDescent="0.35">
      <c r="A5952" s="52" t="s">
        <v>696</v>
      </c>
      <c r="B5952" s="52" t="s">
        <v>34</v>
      </c>
      <c r="C5952" s="52" t="s">
        <v>230</v>
      </c>
      <c r="D5952" s="52" t="s">
        <v>230</v>
      </c>
      <c r="E5952" s="52" t="s">
        <v>698</v>
      </c>
      <c r="F5952" s="52" t="s">
        <v>581</v>
      </c>
      <c r="G5952" s="195" t="s">
        <v>279</v>
      </c>
      <c r="H5952" s="195">
        <v>80.292079999999999</v>
      </c>
      <c r="I5952" s="195">
        <v>80.020099999999999</v>
      </c>
      <c r="J5952" s="195">
        <v>63.266910000000003</v>
      </c>
      <c r="K5952" s="195">
        <v>50.814590000000003</v>
      </c>
      <c r="L5952" s="195">
        <v>48.218589999999999</v>
      </c>
      <c r="M5952" s="195">
        <v>36.406170000000003</v>
      </c>
      <c r="N5952" s="195">
        <v>32.056480000000001</v>
      </c>
    </row>
    <row r="5953" spans="1:14" hidden="1" x14ac:dyDescent="0.35">
      <c r="A5953" s="52" t="s">
        <v>696</v>
      </c>
      <c r="B5953" s="52" t="s">
        <v>34</v>
      </c>
      <c r="C5953" s="52" t="s">
        <v>230</v>
      </c>
      <c r="D5953" s="52" t="s">
        <v>230</v>
      </c>
      <c r="E5953" s="52" t="s">
        <v>698</v>
      </c>
      <c r="F5953" s="52" t="s">
        <v>26</v>
      </c>
      <c r="G5953" s="195" t="s">
        <v>275</v>
      </c>
      <c r="H5953" s="195">
        <v>0.22913800000000001</v>
      </c>
      <c r="I5953" s="195">
        <v>-1.2298020000000001</v>
      </c>
      <c r="J5953" s="195">
        <v>-0.76187519999999997</v>
      </c>
      <c r="K5953" s="195">
        <v>-0.62853959999999998</v>
      </c>
      <c r="L5953" s="195">
        <v>-0.91543450000000004</v>
      </c>
      <c r="M5953" s="195">
        <v>-0.39967340000000001</v>
      </c>
      <c r="N5953" s="195">
        <v>-0.34981119999999999</v>
      </c>
    </row>
    <row r="5954" spans="1:14" hidden="1" x14ac:dyDescent="0.35">
      <c r="A5954" s="52" t="s">
        <v>696</v>
      </c>
      <c r="B5954" s="52" t="s">
        <v>34</v>
      </c>
      <c r="C5954" s="52" t="s">
        <v>230</v>
      </c>
      <c r="D5954" s="52" t="s">
        <v>230</v>
      </c>
      <c r="E5954" s="52" t="s">
        <v>698</v>
      </c>
      <c r="F5954" s="52" t="s">
        <v>26</v>
      </c>
      <c r="G5954" s="195" t="s">
        <v>276</v>
      </c>
      <c r="H5954" s="195">
        <v>8.4737989999999999E-2</v>
      </c>
      <c r="I5954" s="195">
        <v>-0.45485599999999998</v>
      </c>
      <c r="J5954" s="195">
        <v>-0.28178959999999997</v>
      </c>
      <c r="K5954" s="195">
        <v>-0.23247300000000001</v>
      </c>
      <c r="L5954" s="195">
        <v>-0.33858579999999999</v>
      </c>
      <c r="M5954" s="195">
        <v>-0.1478246</v>
      </c>
      <c r="N5954" s="195">
        <v>-0.12938079999999999</v>
      </c>
    </row>
    <row r="5955" spans="1:14" hidden="1" x14ac:dyDescent="0.35">
      <c r="A5955" s="52" t="s">
        <v>696</v>
      </c>
      <c r="B5955" s="52" t="s">
        <v>34</v>
      </c>
      <c r="C5955" s="52" t="s">
        <v>230</v>
      </c>
      <c r="D5955" s="52" t="s">
        <v>230</v>
      </c>
      <c r="E5955" s="52" t="s">
        <v>698</v>
      </c>
      <c r="F5955" s="52" t="s">
        <v>26</v>
      </c>
      <c r="G5955" s="195" t="s">
        <v>279</v>
      </c>
      <c r="H5955" s="195">
        <v>9.7582950000000004</v>
      </c>
      <c r="I5955" s="195">
        <v>8.5452940000000002</v>
      </c>
      <c r="J5955" s="195">
        <v>6.8291019999999998</v>
      </c>
      <c r="K5955" s="195">
        <v>5.560886</v>
      </c>
      <c r="L5955" s="195">
        <v>5.213489</v>
      </c>
      <c r="M5955" s="195">
        <v>3.947203</v>
      </c>
      <c r="N5955" s="195">
        <v>3.4757769999999999</v>
      </c>
    </row>
    <row r="5956" spans="1:14" hidden="1" x14ac:dyDescent="0.35">
      <c r="A5956" s="52" t="s">
        <v>696</v>
      </c>
      <c r="B5956" s="52" t="s">
        <v>34</v>
      </c>
      <c r="C5956" s="52" t="s">
        <v>230</v>
      </c>
      <c r="D5956" s="52" t="s">
        <v>230</v>
      </c>
      <c r="E5956" s="52" t="s">
        <v>699</v>
      </c>
      <c r="F5956" s="52" t="s">
        <v>581</v>
      </c>
      <c r="G5956" s="195" t="s">
        <v>275</v>
      </c>
      <c r="H5956" s="195">
        <v>33.650709999999997</v>
      </c>
      <c r="I5956" s="195">
        <v>2.2297940000000001</v>
      </c>
      <c r="J5956" s="195">
        <v>24.597760000000001</v>
      </c>
      <c r="K5956" s="195">
        <v>20.945989999999998</v>
      </c>
      <c r="L5956" s="195">
        <v>16.223710000000001</v>
      </c>
      <c r="M5956" s="195">
        <v>13.53885</v>
      </c>
      <c r="N5956" s="195">
        <v>11.16276</v>
      </c>
    </row>
    <row r="5957" spans="1:14" hidden="1" x14ac:dyDescent="0.35">
      <c r="A5957" s="52" t="s">
        <v>696</v>
      </c>
      <c r="B5957" s="52" t="s">
        <v>34</v>
      </c>
      <c r="C5957" s="52" t="s">
        <v>230</v>
      </c>
      <c r="D5957" s="52" t="s">
        <v>230</v>
      </c>
      <c r="E5957" s="52" t="s">
        <v>699</v>
      </c>
      <c r="F5957" s="52" t="s">
        <v>581</v>
      </c>
      <c r="G5957" s="195" t="s">
        <v>276</v>
      </c>
      <c r="H5957" s="195">
        <v>3.0057179999999999</v>
      </c>
      <c r="I5957" s="195">
        <v>-15.31976</v>
      </c>
      <c r="J5957" s="195">
        <v>-11.468059999999999</v>
      </c>
      <c r="K5957" s="195">
        <v>-4.8680839999999996</v>
      </c>
      <c r="L5957" s="195">
        <v>-0.54890159999999999</v>
      </c>
      <c r="M5957" s="195">
        <v>2.3621660000000002</v>
      </c>
      <c r="N5957" s="195">
        <v>2.7367940000000002</v>
      </c>
    </row>
    <row r="5958" spans="1:14" hidden="1" x14ac:dyDescent="0.35">
      <c r="A5958" s="52" t="s">
        <v>696</v>
      </c>
      <c r="B5958" s="52" t="s">
        <v>34</v>
      </c>
      <c r="C5958" s="52" t="s">
        <v>230</v>
      </c>
      <c r="D5958" s="52" t="s">
        <v>230</v>
      </c>
      <c r="E5958" s="52" t="s">
        <v>699</v>
      </c>
      <c r="F5958" s="52" t="s">
        <v>581</v>
      </c>
      <c r="G5958" s="195" t="s">
        <v>277</v>
      </c>
      <c r="H5958" s="195">
        <v>91.221649999999997</v>
      </c>
      <c r="I5958" s="195">
        <v>55.518070000000002</v>
      </c>
      <c r="J5958" s="195">
        <v>14.02112</v>
      </c>
      <c r="K5958" s="195">
        <v>6.1823959999999998</v>
      </c>
      <c r="L5958" s="195">
        <v>1.8193980000000001</v>
      </c>
      <c r="M5958" s="195">
        <v>0</v>
      </c>
      <c r="N5958" s="195">
        <v>0</v>
      </c>
    </row>
    <row r="5959" spans="1:14" hidden="1" x14ac:dyDescent="0.35">
      <c r="A5959" s="52" t="s">
        <v>696</v>
      </c>
      <c r="B5959" s="52" t="s">
        <v>34</v>
      </c>
      <c r="C5959" s="52" t="s">
        <v>230</v>
      </c>
      <c r="D5959" s="52" t="s">
        <v>230</v>
      </c>
      <c r="E5959" s="52" t="s">
        <v>699</v>
      </c>
      <c r="F5959" s="52" t="s">
        <v>581</v>
      </c>
      <c r="G5959" s="195" t="s">
        <v>278</v>
      </c>
      <c r="H5959" s="195">
        <v>4.778365</v>
      </c>
      <c r="I5959" s="195">
        <v>1.4819370000000001</v>
      </c>
      <c r="J5959" s="195">
        <v>0.5</v>
      </c>
      <c r="K5959" s="195">
        <v>0</v>
      </c>
      <c r="L5959" s="195"/>
      <c r="M5959" s="195"/>
      <c r="N5959" s="195"/>
    </row>
    <row r="5960" spans="1:14" hidden="1" x14ac:dyDescent="0.35">
      <c r="A5960" s="52" t="s">
        <v>696</v>
      </c>
      <c r="B5960" s="52" t="s">
        <v>34</v>
      </c>
      <c r="C5960" s="52" t="s">
        <v>230</v>
      </c>
      <c r="D5960" s="52" t="s">
        <v>230</v>
      </c>
      <c r="E5960" s="52" t="s">
        <v>699</v>
      </c>
      <c r="F5960" s="52" t="s">
        <v>581</v>
      </c>
      <c r="G5960" s="195" t="s">
        <v>279</v>
      </c>
      <c r="H5960" s="195">
        <v>20.200130000000001</v>
      </c>
      <c r="I5960" s="195">
        <v>19.45553</v>
      </c>
      <c r="J5960" s="195">
        <v>14.13537</v>
      </c>
      <c r="K5960" s="195">
        <v>11.330500000000001</v>
      </c>
      <c r="L5960" s="195">
        <v>10.53</v>
      </c>
      <c r="M5960" s="195">
        <v>7.8431379999999997</v>
      </c>
      <c r="N5960" s="195">
        <v>6.8445749999999999</v>
      </c>
    </row>
    <row r="5961" spans="1:14" hidden="1" x14ac:dyDescent="0.35">
      <c r="A5961" s="52" t="s">
        <v>696</v>
      </c>
      <c r="B5961" s="52" t="s">
        <v>34</v>
      </c>
      <c r="C5961" s="52" t="s">
        <v>230</v>
      </c>
      <c r="D5961" s="52" t="s">
        <v>230</v>
      </c>
      <c r="E5961" s="52" t="s">
        <v>699</v>
      </c>
      <c r="F5961" s="52" t="s">
        <v>26</v>
      </c>
      <c r="G5961" s="195" t="s">
        <v>275</v>
      </c>
      <c r="H5961" s="195">
        <v>1.442841</v>
      </c>
      <c r="I5961" s="195">
        <v>0.67686760000000001</v>
      </c>
      <c r="J5961" s="195">
        <v>0.58316120000000005</v>
      </c>
      <c r="K5961" s="195">
        <v>0.45048739999999998</v>
      </c>
      <c r="L5961" s="195">
        <v>0.28051340000000002</v>
      </c>
      <c r="M5961" s="195">
        <v>0.34096460000000001</v>
      </c>
      <c r="N5961" s="195">
        <v>0.29881600000000003</v>
      </c>
    </row>
    <row r="5962" spans="1:14" hidden="1" x14ac:dyDescent="0.35">
      <c r="A5962" s="52" t="s">
        <v>696</v>
      </c>
      <c r="B5962" s="52" t="s">
        <v>34</v>
      </c>
      <c r="C5962" s="52" t="s">
        <v>230</v>
      </c>
      <c r="D5962" s="52" t="s">
        <v>230</v>
      </c>
      <c r="E5962" s="52" t="s">
        <v>699</v>
      </c>
      <c r="F5962" s="52" t="s">
        <v>26</v>
      </c>
      <c r="G5962" s="195" t="s">
        <v>276</v>
      </c>
      <c r="H5962" s="195">
        <v>0.52020699999999997</v>
      </c>
      <c r="I5962" s="195">
        <v>0.2256244</v>
      </c>
      <c r="J5962" s="195">
        <v>0.1841564</v>
      </c>
      <c r="K5962" s="195">
        <v>0.1345614</v>
      </c>
      <c r="L5962" s="195">
        <v>8.3790799999999999E-2</v>
      </c>
      <c r="M5962" s="195">
        <v>0.1018462</v>
      </c>
      <c r="N5962" s="195">
        <v>8.9255600000000004E-2</v>
      </c>
    </row>
    <row r="5963" spans="1:14" hidden="1" x14ac:dyDescent="0.35">
      <c r="A5963" s="52" t="s">
        <v>696</v>
      </c>
      <c r="B5963" s="52" t="s">
        <v>34</v>
      </c>
      <c r="C5963" s="52" t="s">
        <v>230</v>
      </c>
      <c r="D5963" s="52" t="s">
        <v>230</v>
      </c>
      <c r="E5963" s="52" t="s">
        <v>699</v>
      </c>
      <c r="F5963" s="52" t="s">
        <v>26</v>
      </c>
      <c r="G5963" s="195" t="s">
        <v>279</v>
      </c>
      <c r="H5963" s="195">
        <v>2.5903339999999999</v>
      </c>
      <c r="I5963" s="195">
        <v>2.5099909999999999</v>
      </c>
      <c r="J5963" s="195">
        <v>1.852983</v>
      </c>
      <c r="K5963" s="195">
        <v>1.515279</v>
      </c>
      <c r="L5963" s="195">
        <v>1.383756</v>
      </c>
      <c r="M5963" s="195">
        <v>1.0348820000000001</v>
      </c>
      <c r="N5963" s="195">
        <v>0.90318860000000001</v>
      </c>
    </row>
    <row r="5964" spans="1:14" hidden="1" x14ac:dyDescent="0.35">
      <c r="A5964" s="52" t="s">
        <v>696</v>
      </c>
      <c r="B5964" s="52" t="s">
        <v>34</v>
      </c>
      <c r="C5964" s="52" t="s">
        <v>230</v>
      </c>
      <c r="D5964" s="52" t="s">
        <v>230</v>
      </c>
      <c r="E5964" s="52" t="s">
        <v>700</v>
      </c>
      <c r="F5964" s="52" t="s">
        <v>581</v>
      </c>
      <c r="G5964" s="195" t="s">
        <v>275</v>
      </c>
      <c r="H5964" s="195">
        <v>7.1994439999999997</v>
      </c>
      <c r="I5964" s="195">
        <v>1.6082289999999999</v>
      </c>
      <c r="J5964" s="195">
        <v>1.167988</v>
      </c>
      <c r="K5964" s="195">
        <v>1.0802700000000001</v>
      </c>
      <c r="L5964" s="195">
        <v>0.90738249999999998</v>
      </c>
      <c r="M5964" s="195">
        <v>0.94031949999999997</v>
      </c>
      <c r="N5964" s="195">
        <v>0.86713669999999998</v>
      </c>
    </row>
    <row r="5965" spans="1:14" hidden="1" x14ac:dyDescent="0.35">
      <c r="A5965" s="52" t="s">
        <v>696</v>
      </c>
      <c r="B5965" s="52" t="s">
        <v>34</v>
      </c>
      <c r="C5965" s="52" t="s">
        <v>230</v>
      </c>
      <c r="D5965" s="52" t="s">
        <v>230</v>
      </c>
      <c r="E5965" s="52" t="s">
        <v>700</v>
      </c>
      <c r="F5965" s="52" t="s">
        <v>581</v>
      </c>
      <c r="G5965" s="195" t="s">
        <v>276</v>
      </c>
      <c r="H5965" s="195">
        <v>3.085474</v>
      </c>
      <c r="I5965" s="195">
        <v>0.68924050000000003</v>
      </c>
      <c r="J5965" s="195">
        <v>0.50056699999999998</v>
      </c>
      <c r="K5965" s="195">
        <v>0.4629723</v>
      </c>
      <c r="L5965" s="195">
        <v>0.388878</v>
      </c>
      <c r="M5965" s="195">
        <v>0.40299479999999999</v>
      </c>
      <c r="N5965" s="195">
        <v>0.37163020000000002</v>
      </c>
    </row>
    <row r="5966" spans="1:14" hidden="1" x14ac:dyDescent="0.35">
      <c r="A5966" s="52" t="s">
        <v>696</v>
      </c>
      <c r="B5966" s="52" t="s">
        <v>34</v>
      </c>
      <c r="C5966" s="52" t="s">
        <v>230</v>
      </c>
      <c r="D5966" s="52" t="s">
        <v>230</v>
      </c>
      <c r="E5966" s="52" t="s">
        <v>700</v>
      </c>
      <c r="F5966" s="52" t="s">
        <v>581</v>
      </c>
      <c r="G5966" s="195" t="s">
        <v>277</v>
      </c>
      <c r="H5966" s="195"/>
      <c r="I5966" s="195"/>
      <c r="J5966" s="195"/>
      <c r="K5966" s="195"/>
      <c r="L5966" s="195"/>
      <c r="M5966" s="195">
        <v>0</v>
      </c>
      <c r="N5966" s="195">
        <v>0</v>
      </c>
    </row>
    <row r="5967" spans="1:14" hidden="1" x14ac:dyDescent="0.35">
      <c r="A5967" s="52" t="s">
        <v>696</v>
      </c>
      <c r="B5967" s="52" t="s">
        <v>34</v>
      </c>
      <c r="C5967" s="52" t="s">
        <v>230</v>
      </c>
      <c r="D5967" s="52" t="s">
        <v>230</v>
      </c>
      <c r="E5967" s="52" t="s">
        <v>700</v>
      </c>
      <c r="F5967" s="52" t="s">
        <v>581</v>
      </c>
      <c r="G5967" s="195" t="s">
        <v>279</v>
      </c>
      <c r="H5967" s="195">
        <v>1.813102</v>
      </c>
      <c r="I5967" s="195">
        <v>1.522289</v>
      </c>
      <c r="J5967" s="195">
        <v>1.3312079999999999</v>
      </c>
      <c r="K5967" s="195">
        <v>1.228048</v>
      </c>
      <c r="L5967" s="195">
        <v>1.2641869999999999</v>
      </c>
      <c r="M5967" s="195">
        <v>1.028389</v>
      </c>
      <c r="N5967" s="195">
        <v>0.94600980000000001</v>
      </c>
    </row>
    <row r="5968" spans="1:14" hidden="1" x14ac:dyDescent="0.35">
      <c r="A5968" s="52" t="s">
        <v>696</v>
      </c>
      <c r="B5968" s="52" t="s">
        <v>34</v>
      </c>
      <c r="C5968" s="52" t="s">
        <v>230</v>
      </c>
      <c r="D5968" s="52" t="s">
        <v>230</v>
      </c>
      <c r="E5968" s="52" t="s">
        <v>700</v>
      </c>
      <c r="F5968" s="52" t="s">
        <v>26</v>
      </c>
      <c r="G5968" s="195" t="s">
        <v>275</v>
      </c>
      <c r="H5968" s="195">
        <v>1.046628E-2</v>
      </c>
      <c r="I5968" s="195">
        <v>3.8924820000000001E-3</v>
      </c>
      <c r="J5968" s="195">
        <v>4.1441400000000001E-3</v>
      </c>
      <c r="K5968" s="195">
        <v>3.5507339999999998E-3</v>
      </c>
      <c r="L5968" s="195">
        <v>2.0738520000000002E-3</v>
      </c>
      <c r="M5968" s="195">
        <v>3.357882E-3</v>
      </c>
      <c r="N5968" s="195">
        <v>3.1078080000000001E-3</v>
      </c>
    </row>
    <row r="5969" spans="1:14" hidden="1" x14ac:dyDescent="0.35">
      <c r="A5969" s="52" t="s">
        <v>696</v>
      </c>
      <c r="B5969" s="52" t="s">
        <v>34</v>
      </c>
      <c r="C5969" s="52" t="s">
        <v>230</v>
      </c>
      <c r="D5969" s="52" t="s">
        <v>230</v>
      </c>
      <c r="E5969" s="52" t="s">
        <v>700</v>
      </c>
      <c r="F5969" s="52" t="s">
        <v>26</v>
      </c>
      <c r="G5969" s="195" t="s">
        <v>276</v>
      </c>
      <c r="H5969" s="195">
        <v>4.4856899999999996E-3</v>
      </c>
      <c r="I5969" s="195">
        <v>1.6685459999999999E-3</v>
      </c>
      <c r="J5969" s="195">
        <v>1.7754660000000001E-3</v>
      </c>
      <c r="K5969" s="195">
        <v>1.5220260000000001E-3</v>
      </c>
      <c r="L5969" s="195">
        <v>8.8961400000000005E-4</v>
      </c>
      <c r="M5969" s="195">
        <v>1.438866E-3</v>
      </c>
      <c r="N5969" s="195">
        <v>1.3315499999999999E-3</v>
      </c>
    </row>
    <row r="5970" spans="1:14" hidden="1" x14ac:dyDescent="0.35">
      <c r="A5970" s="52" t="s">
        <v>696</v>
      </c>
      <c r="B5970" s="52" t="s">
        <v>34</v>
      </c>
      <c r="C5970" s="52" t="s">
        <v>230</v>
      </c>
      <c r="D5970" s="52" t="s">
        <v>230</v>
      </c>
      <c r="E5970" s="52" t="s">
        <v>700</v>
      </c>
      <c r="F5970" s="52" t="s">
        <v>26</v>
      </c>
      <c r="G5970" s="195" t="s">
        <v>279</v>
      </c>
      <c r="H5970" s="195">
        <v>2.4582690000000001E-2</v>
      </c>
      <c r="I5970" s="195">
        <v>2.2807620000000001E-2</v>
      </c>
      <c r="J5970" s="195">
        <v>2.0267279999999999E-2</v>
      </c>
      <c r="K5970" s="195">
        <v>1.9073739999999999E-2</v>
      </c>
      <c r="L5970" s="195">
        <v>1.929233E-2</v>
      </c>
      <c r="M5970" s="195">
        <v>1.5759019999999999E-2</v>
      </c>
      <c r="N5970" s="195">
        <v>1.449697E-2</v>
      </c>
    </row>
    <row r="5971" spans="1:14" hidden="1" x14ac:dyDescent="0.35">
      <c r="A5971" s="52" t="s">
        <v>696</v>
      </c>
      <c r="B5971" s="52" t="s">
        <v>34</v>
      </c>
      <c r="C5971" s="52" t="s">
        <v>33</v>
      </c>
      <c r="D5971" s="52" t="s">
        <v>33</v>
      </c>
      <c r="E5971" s="52" t="s">
        <v>701</v>
      </c>
      <c r="F5971" s="52" t="s">
        <v>581</v>
      </c>
      <c r="G5971" s="195" t="s">
        <v>275</v>
      </c>
      <c r="H5971" s="195">
        <v>41.344349999999999</v>
      </c>
      <c r="I5971" s="195">
        <v>19.371729999999999</v>
      </c>
      <c r="J5971" s="195">
        <v>11.39545</v>
      </c>
      <c r="K5971" s="195">
        <v>8.8199190000000005</v>
      </c>
      <c r="L5971" s="195">
        <v>6.0161790000000002</v>
      </c>
      <c r="M5971" s="195">
        <v>7.0317850000000002</v>
      </c>
      <c r="N5971" s="195">
        <v>6.2437079999999998</v>
      </c>
    </row>
    <row r="5972" spans="1:14" hidden="1" x14ac:dyDescent="0.35">
      <c r="A5972" s="52" t="s">
        <v>696</v>
      </c>
      <c r="B5972" s="52" t="s">
        <v>34</v>
      </c>
      <c r="C5972" s="52" t="s">
        <v>33</v>
      </c>
      <c r="D5972" s="52" t="s">
        <v>33</v>
      </c>
      <c r="E5972" s="52" t="s">
        <v>701</v>
      </c>
      <c r="F5972" s="52" t="s">
        <v>581</v>
      </c>
      <c r="G5972" s="195" t="s">
        <v>276</v>
      </c>
      <c r="H5972" s="195">
        <v>3.3119700000000001</v>
      </c>
      <c r="I5972" s="195">
        <v>-7.5955310000000003</v>
      </c>
      <c r="J5972" s="195">
        <v>-0.90894319999999995</v>
      </c>
      <c r="K5972" s="195">
        <v>0.80560679999999996</v>
      </c>
      <c r="L5972" s="195">
        <v>1.457902</v>
      </c>
      <c r="M5972" s="195">
        <v>1.7807299999999999</v>
      </c>
      <c r="N5972" s="195">
        <v>1.676566</v>
      </c>
    </row>
    <row r="5973" spans="1:14" hidden="1" x14ac:dyDescent="0.35">
      <c r="A5973" s="52" t="s">
        <v>696</v>
      </c>
      <c r="B5973" s="52" t="s">
        <v>34</v>
      </c>
      <c r="C5973" s="52" t="s">
        <v>33</v>
      </c>
      <c r="D5973" s="52" t="s">
        <v>33</v>
      </c>
      <c r="E5973" s="52" t="s">
        <v>701</v>
      </c>
      <c r="F5973" s="52" t="s">
        <v>581</v>
      </c>
      <c r="G5973" s="195" t="s">
        <v>277</v>
      </c>
      <c r="H5973" s="195">
        <v>19.63636</v>
      </c>
      <c r="I5973" s="195">
        <v>6</v>
      </c>
      <c r="J5973" s="195">
        <v>1.75739</v>
      </c>
      <c r="K5973" s="195">
        <v>1.088616</v>
      </c>
      <c r="L5973" s="195">
        <v>1.4348270000000001</v>
      </c>
      <c r="M5973" s="195">
        <v>0</v>
      </c>
      <c r="N5973" s="195">
        <v>0</v>
      </c>
    </row>
    <row r="5974" spans="1:14" hidden="1" x14ac:dyDescent="0.35">
      <c r="A5974" s="52" t="s">
        <v>696</v>
      </c>
      <c r="B5974" s="52" t="s">
        <v>34</v>
      </c>
      <c r="C5974" s="52" t="s">
        <v>33</v>
      </c>
      <c r="D5974" s="52" t="s">
        <v>33</v>
      </c>
      <c r="E5974" s="52" t="s">
        <v>701</v>
      </c>
      <c r="F5974" s="52" t="s">
        <v>581</v>
      </c>
      <c r="G5974" s="195" t="s">
        <v>278</v>
      </c>
      <c r="H5974" s="195">
        <v>0.36363600000000001</v>
      </c>
      <c r="I5974" s="195">
        <v>0</v>
      </c>
      <c r="J5974" s="195"/>
      <c r="K5974" s="195"/>
      <c r="L5974" s="195"/>
      <c r="M5974" s="195"/>
      <c r="N5974" s="195"/>
    </row>
    <row r="5975" spans="1:14" hidden="1" x14ac:dyDescent="0.35">
      <c r="A5975" s="52" t="s">
        <v>696</v>
      </c>
      <c r="B5975" s="52" t="s">
        <v>34</v>
      </c>
      <c r="C5975" s="52" t="s">
        <v>33</v>
      </c>
      <c r="D5975" s="52" t="s">
        <v>33</v>
      </c>
      <c r="E5975" s="52" t="s">
        <v>701</v>
      </c>
      <c r="F5975" s="52" t="s">
        <v>581</v>
      </c>
      <c r="G5975" s="195" t="s">
        <v>279</v>
      </c>
      <c r="H5975" s="195">
        <v>12.08311</v>
      </c>
      <c r="I5975" s="195">
        <v>10.37913</v>
      </c>
      <c r="J5975" s="195">
        <v>8.4156829999999996</v>
      </c>
      <c r="K5975" s="195">
        <v>7.3341630000000002</v>
      </c>
      <c r="L5975" s="195">
        <v>7.358562</v>
      </c>
      <c r="M5975" s="195">
        <v>5.8099540000000003</v>
      </c>
      <c r="N5975" s="195">
        <v>5.2145659999999996</v>
      </c>
    </row>
    <row r="5976" spans="1:14" hidden="1" x14ac:dyDescent="0.35">
      <c r="A5976" s="52" t="s">
        <v>696</v>
      </c>
      <c r="B5976" s="52" t="s">
        <v>34</v>
      </c>
      <c r="C5976" s="52" t="s">
        <v>33</v>
      </c>
      <c r="D5976" s="52" t="s">
        <v>33</v>
      </c>
      <c r="E5976" s="52" t="s">
        <v>701</v>
      </c>
      <c r="F5976" s="52" t="s">
        <v>26</v>
      </c>
      <c r="G5976" s="195" t="s">
        <v>275</v>
      </c>
      <c r="H5976" s="195">
        <v>-0.22450500000000001</v>
      </c>
      <c r="I5976" s="195">
        <v>-0.41568880000000002</v>
      </c>
      <c r="J5976" s="195">
        <v>-0.43800850000000002</v>
      </c>
      <c r="K5976" s="195">
        <v>-0.41131699999999999</v>
      </c>
      <c r="L5976" s="195">
        <v>-0.48985479999999998</v>
      </c>
      <c r="M5976" s="195">
        <v>-0.29325020000000002</v>
      </c>
      <c r="N5976" s="195">
        <v>-0.26312479999999999</v>
      </c>
    </row>
    <row r="5977" spans="1:14" hidden="1" x14ac:dyDescent="0.35">
      <c r="A5977" s="52" t="s">
        <v>696</v>
      </c>
      <c r="B5977" s="52" t="s">
        <v>34</v>
      </c>
      <c r="C5977" s="52" t="s">
        <v>33</v>
      </c>
      <c r="D5977" s="52" t="s">
        <v>33</v>
      </c>
      <c r="E5977" s="52" t="s">
        <v>701</v>
      </c>
      <c r="F5977" s="52" t="s">
        <v>26</v>
      </c>
      <c r="G5977" s="195" t="s">
        <v>276</v>
      </c>
      <c r="H5977" s="195">
        <v>-8.0944000000000002E-2</v>
      </c>
      <c r="I5977" s="195">
        <v>-0.13856260000000001</v>
      </c>
      <c r="J5977" s="195">
        <v>-0.13831860000000001</v>
      </c>
      <c r="K5977" s="195">
        <v>-0.1228614</v>
      </c>
      <c r="L5977" s="195">
        <v>-0.1463206</v>
      </c>
      <c r="M5977" s="195">
        <v>-8.7594400000000003E-2</v>
      </c>
      <c r="N5977" s="195">
        <v>-7.8595410000000004E-2</v>
      </c>
    </row>
    <row r="5978" spans="1:14" hidden="1" x14ac:dyDescent="0.35">
      <c r="A5978" s="52" t="s">
        <v>696</v>
      </c>
      <c r="B5978" s="52" t="s">
        <v>34</v>
      </c>
      <c r="C5978" s="52" t="s">
        <v>33</v>
      </c>
      <c r="D5978" s="52" t="s">
        <v>33</v>
      </c>
      <c r="E5978" s="52" t="s">
        <v>701</v>
      </c>
      <c r="F5978" s="52" t="s">
        <v>26</v>
      </c>
      <c r="G5978" s="195" t="s">
        <v>279</v>
      </c>
      <c r="H5978" s="195">
        <v>2.8822019999999999</v>
      </c>
      <c r="I5978" s="195">
        <v>2.4956269999999998</v>
      </c>
      <c r="J5978" s="195">
        <v>2.0559590000000001</v>
      </c>
      <c r="K5978" s="195">
        <v>1.827833</v>
      </c>
      <c r="L5978" s="195">
        <v>1.8021050000000001</v>
      </c>
      <c r="M5978" s="195">
        <v>1.428655</v>
      </c>
      <c r="N5978" s="195">
        <v>1.282341</v>
      </c>
    </row>
    <row r="5979" spans="1:14" hidden="1" x14ac:dyDescent="0.35">
      <c r="A5979" s="52" t="s">
        <v>696</v>
      </c>
      <c r="B5979" s="52" t="s">
        <v>34</v>
      </c>
      <c r="C5979" s="52" t="s">
        <v>33</v>
      </c>
      <c r="D5979" s="52" t="s">
        <v>33</v>
      </c>
      <c r="E5979" s="52" t="s">
        <v>584</v>
      </c>
      <c r="F5979" s="52" t="s">
        <v>581</v>
      </c>
      <c r="G5979" s="195" t="s">
        <v>275</v>
      </c>
      <c r="H5979" s="195">
        <v>23.87256</v>
      </c>
      <c r="I5979" s="195">
        <v>-1.531137</v>
      </c>
      <c r="J5979" s="195">
        <v>-2.0368970000000002</v>
      </c>
      <c r="K5979" s="195">
        <v>-1.3577889999999999</v>
      </c>
      <c r="L5979" s="195">
        <v>-1.0317700000000001</v>
      </c>
      <c r="M5979" s="195">
        <v>0.205507</v>
      </c>
      <c r="N5979" s="195">
        <v>-38.775680000000001</v>
      </c>
    </row>
    <row r="5980" spans="1:14" hidden="1" x14ac:dyDescent="0.35">
      <c r="A5980" s="52" t="s">
        <v>696</v>
      </c>
      <c r="B5980" s="52" t="s">
        <v>34</v>
      </c>
      <c r="C5980" s="52" t="s">
        <v>33</v>
      </c>
      <c r="D5980" s="52" t="s">
        <v>33</v>
      </c>
      <c r="E5980" s="52" t="s">
        <v>584</v>
      </c>
      <c r="F5980" s="52" t="s">
        <v>581</v>
      </c>
      <c r="G5980" s="195" t="s">
        <v>276</v>
      </c>
      <c r="H5980" s="195">
        <v>4.7587700000000002</v>
      </c>
      <c r="I5980" s="195">
        <v>-4.3762809999999996</v>
      </c>
      <c r="J5980" s="195">
        <v>-2.387594</v>
      </c>
      <c r="K5980" s="195">
        <v>-1.562068</v>
      </c>
      <c r="L5980" s="195">
        <v>-1.0092350000000001</v>
      </c>
      <c r="M5980" s="195">
        <v>-0.46007520000000002</v>
      </c>
      <c r="N5980" s="195">
        <v>-11.82967</v>
      </c>
    </row>
    <row r="5981" spans="1:14" hidden="1" x14ac:dyDescent="0.35">
      <c r="A5981" s="52" t="s">
        <v>696</v>
      </c>
      <c r="B5981" s="52" t="s">
        <v>34</v>
      </c>
      <c r="C5981" s="52" t="s">
        <v>33</v>
      </c>
      <c r="D5981" s="52" t="s">
        <v>33</v>
      </c>
      <c r="E5981" s="52" t="s">
        <v>584</v>
      </c>
      <c r="F5981" s="52" t="s">
        <v>581</v>
      </c>
      <c r="G5981" s="195" t="s">
        <v>277</v>
      </c>
      <c r="H5981" s="195">
        <v>11.173999999999999</v>
      </c>
      <c r="I5981" s="195">
        <v>7</v>
      </c>
      <c r="J5981" s="195">
        <v>3.9172509999999998</v>
      </c>
      <c r="K5981" s="195">
        <v>2.2014260000000001</v>
      </c>
      <c r="L5981" s="195">
        <v>1.2435959999999999</v>
      </c>
      <c r="M5981" s="195">
        <v>0.12641440000000001</v>
      </c>
      <c r="N5981" s="195"/>
    </row>
    <row r="5982" spans="1:14" hidden="1" x14ac:dyDescent="0.35">
      <c r="A5982" s="52" t="s">
        <v>696</v>
      </c>
      <c r="B5982" s="52" t="s">
        <v>34</v>
      </c>
      <c r="C5982" s="52" t="s">
        <v>33</v>
      </c>
      <c r="D5982" s="52" t="s">
        <v>33</v>
      </c>
      <c r="E5982" s="52" t="s">
        <v>584</v>
      </c>
      <c r="F5982" s="52" t="s">
        <v>581</v>
      </c>
      <c r="G5982" s="195" t="s">
        <v>279</v>
      </c>
      <c r="H5982" s="195">
        <v>26.78424</v>
      </c>
      <c r="I5982" s="195">
        <v>15.758419999999999</v>
      </c>
      <c r="J5982" s="195">
        <v>10.41858</v>
      </c>
      <c r="K5982" s="195">
        <v>7.5389809999999997</v>
      </c>
      <c r="L5982" s="195">
        <v>5.4908609999999998</v>
      </c>
      <c r="M5982" s="195">
        <v>3.3577530000000002</v>
      </c>
      <c r="N5982" s="195">
        <v>50.801450000000003</v>
      </c>
    </row>
    <row r="5983" spans="1:14" hidden="1" x14ac:dyDescent="0.35">
      <c r="A5983" s="52" t="s">
        <v>696</v>
      </c>
      <c r="B5983" s="52" t="s">
        <v>34</v>
      </c>
      <c r="C5983" s="52" t="s">
        <v>33</v>
      </c>
      <c r="D5983" s="52" t="s">
        <v>33</v>
      </c>
      <c r="E5983" s="52" t="s">
        <v>584</v>
      </c>
      <c r="F5983" s="52" t="s">
        <v>26</v>
      </c>
      <c r="G5983" s="195" t="s">
        <v>275</v>
      </c>
      <c r="H5983" s="195">
        <v>-0.51103900000000002</v>
      </c>
      <c r="I5983" s="195">
        <v>-0.55114079999999999</v>
      </c>
      <c r="J5983" s="195">
        <v>-0.56102419999999997</v>
      </c>
      <c r="K5983" s="195">
        <v>-0.60392999999999997</v>
      </c>
      <c r="L5983" s="195">
        <v>-0.64575899999999997</v>
      </c>
      <c r="M5983" s="195">
        <v>-0.51410219999999995</v>
      </c>
      <c r="N5983" s="195">
        <v>-6.5469889999999999</v>
      </c>
    </row>
    <row r="5984" spans="1:14" hidden="1" x14ac:dyDescent="0.35">
      <c r="A5984" s="52" t="s">
        <v>696</v>
      </c>
      <c r="B5984" s="52" t="s">
        <v>34</v>
      </c>
      <c r="C5984" s="52" t="s">
        <v>33</v>
      </c>
      <c r="D5984" s="52" t="s">
        <v>33</v>
      </c>
      <c r="E5984" s="52" t="s">
        <v>584</v>
      </c>
      <c r="F5984" s="52" t="s">
        <v>26</v>
      </c>
      <c r="G5984" s="195" t="s">
        <v>276</v>
      </c>
      <c r="H5984" s="195">
        <v>-0.184252</v>
      </c>
      <c r="I5984" s="195">
        <v>-0.18371299999999999</v>
      </c>
      <c r="J5984" s="195">
        <v>-0.17716599999999999</v>
      </c>
      <c r="K5984" s="195">
        <v>-0.18039479999999999</v>
      </c>
      <c r="L5984" s="195">
        <v>-0.1928898</v>
      </c>
      <c r="M5984" s="195">
        <v>-0.15356220000000001</v>
      </c>
      <c r="N5984" s="195">
        <v>-1.9555940000000001</v>
      </c>
    </row>
    <row r="5985" spans="1:14" hidden="1" x14ac:dyDescent="0.35">
      <c r="A5985" s="52" t="s">
        <v>696</v>
      </c>
      <c r="B5985" s="52" t="s">
        <v>34</v>
      </c>
      <c r="C5985" s="52" t="s">
        <v>33</v>
      </c>
      <c r="D5985" s="52" t="s">
        <v>33</v>
      </c>
      <c r="E5985" s="52" t="s">
        <v>584</v>
      </c>
      <c r="F5985" s="52" t="s">
        <v>26</v>
      </c>
      <c r="G5985" s="195" t="s">
        <v>277</v>
      </c>
      <c r="H5985" s="195"/>
      <c r="I5985" s="195"/>
      <c r="J5985" s="195"/>
      <c r="K5985" s="195"/>
      <c r="L5985" s="195">
        <v>0</v>
      </c>
      <c r="M5985" s="195"/>
      <c r="N5985" s="195"/>
    </row>
    <row r="5986" spans="1:14" hidden="1" x14ac:dyDescent="0.35">
      <c r="A5986" s="52" t="s">
        <v>696</v>
      </c>
      <c r="B5986" s="52" t="s">
        <v>34</v>
      </c>
      <c r="C5986" s="52" t="s">
        <v>33</v>
      </c>
      <c r="D5986" s="52" t="s">
        <v>33</v>
      </c>
      <c r="E5986" s="52" t="s">
        <v>584</v>
      </c>
      <c r="F5986" s="52" t="s">
        <v>26</v>
      </c>
      <c r="G5986" s="195" t="s">
        <v>279</v>
      </c>
      <c r="H5986" s="195">
        <v>3.1056140000000001</v>
      </c>
      <c r="I5986" s="195">
        <v>1.382781</v>
      </c>
      <c r="J5986" s="195">
        <v>1.3013220000000001</v>
      </c>
      <c r="K5986" s="195">
        <v>1.332667</v>
      </c>
      <c r="L5986" s="195">
        <v>1.372369</v>
      </c>
      <c r="M5986" s="195">
        <v>1.1869510000000001</v>
      </c>
      <c r="N5986" s="195">
        <v>8.5137769999999993</v>
      </c>
    </row>
    <row r="5987" spans="1:14" hidden="1" x14ac:dyDescent="0.35">
      <c r="A5987" s="52" t="s">
        <v>696</v>
      </c>
      <c r="B5987" s="52" t="s">
        <v>34</v>
      </c>
      <c r="C5987" s="52" t="s">
        <v>33</v>
      </c>
      <c r="D5987" s="52" t="s">
        <v>33</v>
      </c>
      <c r="E5987" s="52" t="s">
        <v>702</v>
      </c>
      <c r="F5987" s="52" t="s">
        <v>581</v>
      </c>
      <c r="G5987" s="195" t="s">
        <v>275</v>
      </c>
      <c r="H5987" s="195">
        <v>-14.98992</v>
      </c>
      <c r="I5987" s="195">
        <v>-3.8057050000000001</v>
      </c>
      <c r="J5987" s="195">
        <v>3.084298</v>
      </c>
      <c r="K5987" s="195">
        <v>1.005201</v>
      </c>
      <c r="L5987" s="195">
        <v>1.2191650000000001</v>
      </c>
      <c r="M5987" s="195">
        <v>2.1899959999999998</v>
      </c>
      <c r="N5987" s="195">
        <v>1.728165</v>
      </c>
    </row>
    <row r="5988" spans="1:14" hidden="1" x14ac:dyDescent="0.35">
      <c r="A5988" s="52" t="s">
        <v>696</v>
      </c>
      <c r="B5988" s="52" t="s">
        <v>34</v>
      </c>
      <c r="C5988" s="52" t="s">
        <v>33</v>
      </c>
      <c r="D5988" s="52" t="s">
        <v>33</v>
      </c>
      <c r="E5988" s="52" t="s">
        <v>702</v>
      </c>
      <c r="F5988" s="52" t="s">
        <v>581</v>
      </c>
      <c r="G5988" s="195" t="s">
        <v>276</v>
      </c>
      <c r="H5988" s="195">
        <v>0.87922999999999996</v>
      </c>
      <c r="I5988" s="195">
        <v>-1.664058</v>
      </c>
      <c r="J5988" s="195">
        <v>-2.0619399999999999</v>
      </c>
      <c r="K5988" s="195">
        <v>-1.7281489999999999</v>
      </c>
      <c r="L5988" s="195">
        <v>-0.38951780000000003</v>
      </c>
      <c r="M5988" s="195">
        <v>8.0976199999999998E-2</v>
      </c>
      <c r="N5988" s="195">
        <v>9.9615410000000001E-2</v>
      </c>
    </row>
    <row r="5989" spans="1:14" hidden="1" x14ac:dyDescent="0.35">
      <c r="A5989" s="52" t="s">
        <v>696</v>
      </c>
      <c r="B5989" s="52" t="s">
        <v>34</v>
      </c>
      <c r="C5989" s="52" t="s">
        <v>33</v>
      </c>
      <c r="D5989" s="52" t="s">
        <v>33</v>
      </c>
      <c r="E5989" s="52" t="s">
        <v>702</v>
      </c>
      <c r="F5989" s="52" t="s">
        <v>581</v>
      </c>
      <c r="G5989" s="195" t="s">
        <v>277</v>
      </c>
      <c r="H5989" s="195">
        <v>2.8495309999999998</v>
      </c>
      <c r="I5989" s="195">
        <v>1.8431839999999999</v>
      </c>
      <c r="J5989" s="195">
        <v>0.6893492</v>
      </c>
      <c r="K5989" s="195">
        <v>0.92132879999999995</v>
      </c>
      <c r="L5989" s="195">
        <v>0.48818499999999998</v>
      </c>
      <c r="M5989" s="195">
        <v>0</v>
      </c>
      <c r="N5989" s="195">
        <v>0</v>
      </c>
    </row>
    <row r="5990" spans="1:14" hidden="1" x14ac:dyDescent="0.35">
      <c r="A5990" s="52" t="s">
        <v>696</v>
      </c>
      <c r="B5990" s="52" t="s">
        <v>34</v>
      </c>
      <c r="C5990" s="52" t="s">
        <v>33</v>
      </c>
      <c r="D5990" s="52" t="s">
        <v>33</v>
      </c>
      <c r="E5990" s="52" t="s">
        <v>702</v>
      </c>
      <c r="F5990" s="52" t="s">
        <v>581</v>
      </c>
      <c r="G5990" s="195" t="s">
        <v>278</v>
      </c>
      <c r="H5990" s="195">
        <v>23.265470000000001</v>
      </c>
      <c r="I5990" s="195">
        <v>8.1568159999999992</v>
      </c>
      <c r="J5990" s="195">
        <v>1.4075709999999999</v>
      </c>
      <c r="K5990" s="195">
        <v>2.7616559999999999</v>
      </c>
      <c r="L5990" s="195">
        <v>1.40751</v>
      </c>
      <c r="M5990" s="195">
        <v>0</v>
      </c>
      <c r="N5990" s="195">
        <v>0</v>
      </c>
    </row>
    <row r="5991" spans="1:14" hidden="1" x14ac:dyDescent="0.35">
      <c r="A5991" s="52" t="s">
        <v>696</v>
      </c>
      <c r="B5991" s="52" t="s">
        <v>34</v>
      </c>
      <c r="C5991" s="52" t="s">
        <v>33</v>
      </c>
      <c r="D5991" s="52" t="s">
        <v>33</v>
      </c>
      <c r="E5991" s="52" t="s">
        <v>702</v>
      </c>
      <c r="F5991" s="52" t="s">
        <v>581</v>
      </c>
      <c r="G5991" s="195" t="s">
        <v>279</v>
      </c>
      <c r="H5991" s="195">
        <v>2.1603780000000001</v>
      </c>
      <c r="I5991" s="195">
        <v>3.023412</v>
      </c>
      <c r="J5991" s="195">
        <v>2.4380660000000001</v>
      </c>
      <c r="K5991" s="195">
        <v>2.2799160000000001</v>
      </c>
      <c r="L5991" s="195">
        <v>2.56671</v>
      </c>
      <c r="M5991" s="195">
        <v>1.6908730000000001</v>
      </c>
      <c r="N5991" s="195">
        <v>1.359334</v>
      </c>
    </row>
    <row r="5992" spans="1:14" hidden="1" x14ac:dyDescent="0.35">
      <c r="A5992" s="52" t="s">
        <v>696</v>
      </c>
      <c r="B5992" s="52" t="s">
        <v>34</v>
      </c>
      <c r="C5992" s="52" t="s">
        <v>33</v>
      </c>
      <c r="D5992" s="52" t="s">
        <v>33</v>
      </c>
      <c r="E5992" s="52" t="s">
        <v>702</v>
      </c>
      <c r="F5992" s="52" t="s">
        <v>26</v>
      </c>
      <c r="G5992" s="195" t="s">
        <v>275</v>
      </c>
      <c r="H5992" s="195">
        <v>-3.0927E-2</v>
      </c>
      <c r="I5992" s="195">
        <v>-6.8937200000000004E-2</v>
      </c>
      <c r="J5992" s="195">
        <v>-6.6414799999999996E-2</v>
      </c>
      <c r="K5992" s="195">
        <v>-6.5573389999999995E-2</v>
      </c>
      <c r="L5992" s="195">
        <v>-8.5086599999999998E-2</v>
      </c>
      <c r="M5992" s="195">
        <v>-4.5037599999999997E-2</v>
      </c>
      <c r="N5992" s="195">
        <v>-3.62262E-2</v>
      </c>
    </row>
    <row r="5993" spans="1:14" hidden="1" x14ac:dyDescent="0.35">
      <c r="A5993" s="52" t="s">
        <v>696</v>
      </c>
      <c r="B5993" s="52" t="s">
        <v>34</v>
      </c>
      <c r="C5993" s="52" t="s">
        <v>33</v>
      </c>
      <c r="D5993" s="52" t="s">
        <v>33</v>
      </c>
      <c r="E5993" s="52" t="s">
        <v>702</v>
      </c>
      <c r="F5993" s="52" t="s">
        <v>26</v>
      </c>
      <c r="G5993" s="195" t="s">
        <v>276</v>
      </c>
      <c r="H5993" s="195">
        <v>-1.1150999999999999E-2</v>
      </c>
      <c r="I5993" s="195">
        <v>-2.2978200000000001E-2</v>
      </c>
      <c r="J5993" s="195">
        <v>-2.09728E-2</v>
      </c>
      <c r="K5993" s="195">
        <v>-1.9586800000000001E-2</v>
      </c>
      <c r="L5993" s="195">
        <v>-2.5414599999999999E-2</v>
      </c>
      <c r="M5993" s="195">
        <v>-1.3452199999999999E-2</v>
      </c>
      <c r="N5993" s="195">
        <v>-1.08212E-2</v>
      </c>
    </row>
    <row r="5994" spans="1:14" hidden="1" x14ac:dyDescent="0.35">
      <c r="A5994" s="52" t="s">
        <v>696</v>
      </c>
      <c r="B5994" s="52" t="s">
        <v>34</v>
      </c>
      <c r="C5994" s="52" t="s">
        <v>33</v>
      </c>
      <c r="D5994" s="52" t="s">
        <v>33</v>
      </c>
      <c r="E5994" s="52" t="s">
        <v>702</v>
      </c>
      <c r="F5994" s="52" t="s">
        <v>26</v>
      </c>
      <c r="G5994" s="195" t="s">
        <v>279</v>
      </c>
      <c r="H5994" s="195">
        <v>0.22745899999999999</v>
      </c>
      <c r="I5994" s="195">
        <v>0.32035180000000002</v>
      </c>
      <c r="J5994" s="195">
        <v>0.2622332</v>
      </c>
      <c r="K5994" s="195">
        <v>0.24986340000000001</v>
      </c>
      <c r="L5994" s="195">
        <v>0.27672000000000002</v>
      </c>
      <c r="M5994" s="195">
        <v>0.18298320000000001</v>
      </c>
      <c r="N5994" s="195">
        <v>0.14711379999999999</v>
      </c>
    </row>
    <row r="5995" spans="1:14" hidden="1" x14ac:dyDescent="0.35">
      <c r="A5995" s="52" t="s">
        <v>696</v>
      </c>
      <c r="B5995" s="52" t="s">
        <v>34</v>
      </c>
      <c r="C5995" s="52" t="s">
        <v>33</v>
      </c>
      <c r="D5995" s="52" t="s">
        <v>33</v>
      </c>
      <c r="E5995" s="52" t="s">
        <v>703</v>
      </c>
      <c r="F5995" s="52" t="s">
        <v>581</v>
      </c>
      <c r="G5995" s="195" t="s">
        <v>275</v>
      </c>
      <c r="H5995" s="195">
        <v>7.3103660000000001</v>
      </c>
      <c r="I5995" s="195">
        <v>1.87086</v>
      </c>
      <c r="J5995" s="195">
        <v>1.3760349999999999</v>
      </c>
      <c r="K5995" s="195">
        <v>1.2863370000000001</v>
      </c>
      <c r="L5995" s="195">
        <v>1.0907800000000001</v>
      </c>
      <c r="M5995" s="195">
        <v>1.1167590000000001</v>
      </c>
      <c r="N5995" s="195">
        <v>1.029693</v>
      </c>
    </row>
    <row r="5996" spans="1:14" hidden="1" x14ac:dyDescent="0.35">
      <c r="A5996" s="52" t="s">
        <v>696</v>
      </c>
      <c r="B5996" s="52" t="s">
        <v>34</v>
      </c>
      <c r="C5996" s="52" t="s">
        <v>33</v>
      </c>
      <c r="D5996" s="52" t="s">
        <v>33</v>
      </c>
      <c r="E5996" s="52" t="s">
        <v>703</v>
      </c>
      <c r="F5996" s="52" t="s">
        <v>581</v>
      </c>
      <c r="G5996" s="195" t="s">
        <v>276</v>
      </c>
      <c r="H5996" s="195">
        <v>2.6357110000000001</v>
      </c>
      <c r="I5996" s="195">
        <v>0.62362039999999996</v>
      </c>
      <c r="J5996" s="195">
        <v>0.43453760000000002</v>
      </c>
      <c r="K5996" s="195">
        <v>0.38423079999999998</v>
      </c>
      <c r="L5996" s="195">
        <v>0.32581759999999999</v>
      </c>
      <c r="M5996" s="195">
        <v>0.3335766</v>
      </c>
      <c r="N5996" s="195">
        <v>0.30757020000000002</v>
      </c>
    </row>
    <row r="5997" spans="1:14" hidden="1" x14ac:dyDescent="0.35">
      <c r="A5997" s="52" t="s">
        <v>696</v>
      </c>
      <c r="B5997" s="52" t="s">
        <v>34</v>
      </c>
      <c r="C5997" s="52" t="s">
        <v>33</v>
      </c>
      <c r="D5997" s="52" t="s">
        <v>33</v>
      </c>
      <c r="E5997" s="52" t="s">
        <v>703</v>
      </c>
      <c r="F5997" s="52" t="s">
        <v>581</v>
      </c>
      <c r="G5997" s="195" t="s">
        <v>277</v>
      </c>
      <c r="H5997" s="195"/>
      <c r="I5997" s="195"/>
      <c r="J5997" s="195"/>
      <c r="K5997" s="195"/>
      <c r="L5997" s="195"/>
      <c r="M5997" s="195">
        <v>0</v>
      </c>
      <c r="N5997" s="195">
        <v>0</v>
      </c>
    </row>
    <row r="5998" spans="1:14" hidden="1" x14ac:dyDescent="0.35">
      <c r="A5998" s="52" t="s">
        <v>696</v>
      </c>
      <c r="B5998" s="52" t="s">
        <v>34</v>
      </c>
      <c r="C5998" s="52" t="s">
        <v>33</v>
      </c>
      <c r="D5998" s="52" t="s">
        <v>33</v>
      </c>
      <c r="E5998" s="52" t="s">
        <v>703</v>
      </c>
      <c r="F5998" s="52" t="s">
        <v>581</v>
      </c>
      <c r="G5998" s="195" t="s">
        <v>279</v>
      </c>
      <c r="H5998" s="195">
        <v>1.6855150000000001</v>
      </c>
      <c r="I5998" s="195">
        <v>1.49312</v>
      </c>
      <c r="J5998" s="195">
        <v>1.292853</v>
      </c>
      <c r="K5998" s="195">
        <v>1.1879550000000001</v>
      </c>
      <c r="L5998" s="195">
        <v>1.2236560000000001</v>
      </c>
      <c r="M5998" s="195">
        <v>0.99520299999999995</v>
      </c>
      <c r="N5998" s="195">
        <v>0.91547780000000001</v>
      </c>
    </row>
    <row r="5999" spans="1:14" hidden="1" x14ac:dyDescent="0.35">
      <c r="A5999" s="52" t="s">
        <v>696</v>
      </c>
      <c r="B5999" s="52" t="s">
        <v>34</v>
      </c>
      <c r="C5999" s="52" t="s">
        <v>33</v>
      </c>
      <c r="D5999" s="52" t="s">
        <v>33</v>
      </c>
      <c r="E5999" s="52" t="s">
        <v>703</v>
      </c>
      <c r="F5999" s="52" t="s">
        <v>26</v>
      </c>
      <c r="G5999" s="195" t="s">
        <v>275</v>
      </c>
      <c r="H5999" s="195">
        <v>-2.0028000000000001E-2</v>
      </c>
      <c r="I5999" s="195">
        <v>-7.4629600000000004E-2</v>
      </c>
      <c r="J5999" s="195">
        <v>-9.4020599999999996E-2</v>
      </c>
      <c r="K5999" s="195">
        <v>-9.446301E-2</v>
      </c>
      <c r="L5999" s="195">
        <v>-0.1237736</v>
      </c>
      <c r="M5999" s="195">
        <v>-6.8838999999999997E-2</v>
      </c>
      <c r="N5999" s="195">
        <v>-6.3206200000000004E-2</v>
      </c>
    </row>
    <row r="6000" spans="1:14" hidden="1" x14ac:dyDescent="0.35">
      <c r="A6000" s="52" t="s">
        <v>696</v>
      </c>
      <c r="B6000" s="52" t="s">
        <v>34</v>
      </c>
      <c r="C6000" s="52" t="s">
        <v>33</v>
      </c>
      <c r="D6000" s="52" t="s">
        <v>33</v>
      </c>
      <c r="E6000" s="52" t="s">
        <v>703</v>
      </c>
      <c r="F6000" s="52" t="s">
        <v>26</v>
      </c>
      <c r="G6000" s="195" t="s">
        <v>276</v>
      </c>
      <c r="H6000" s="195">
        <v>-7.2199999999999999E-3</v>
      </c>
      <c r="I6000" s="195">
        <v>-2.4876599999999999E-2</v>
      </c>
      <c r="J6000" s="195">
        <v>-2.96914E-2</v>
      </c>
      <c r="K6000" s="195">
        <v>-2.8216000000000001E-2</v>
      </c>
      <c r="L6000" s="195">
        <v>-3.6970799999999998E-2</v>
      </c>
      <c r="M6000" s="195">
        <v>-2.0562199999999999E-2</v>
      </c>
      <c r="N6000" s="195">
        <v>-1.88802E-2</v>
      </c>
    </row>
    <row r="6001" spans="1:14" hidden="1" x14ac:dyDescent="0.35">
      <c r="A6001" s="52" t="s">
        <v>696</v>
      </c>
      <c r="B6001" s="52" t="s">
        <v>34</v>
      </c>
      <c r="C6001" s="52" t="s">
        <v>33</v>
      </c>
      <c r="D6001" s="52" t="s">
        <v>33</v>
      </c>
      <c r="E6001" s="52" t="s">
        <v>703</v>
      </c>
      <c r="F6001" s="52" t="s">
        <v>26</v>
      </c>
      <c r="G6001" s="195" t="s">
        <v>279</v>
      </c>
      <c r="H6001" s="195">
        <v>0.72879700000000003</v>
      </c>
      <c r="I6001" s="195">
        <v>0.65088599999999996</v>
      </c>
      <c r="J6001" s="195">
        <v>0.57249300000000003</v>
      </c>
      <c r="K6001" s="195">
        <v>0.53651879999999996</v>
      </c>
      <c r="L6001" s="195">
        <v>0.5431568</v>
      </c>
      <c r="M6001" s="195">
        <v>0.44353579999999998</v>
      </c>
      <c r="N6001" s="195">
        <v>0.40803339999999999</v>
      </c>
    </row>
    <row r="6002" spans="1:14" hidden="1" x14ac:dyDescent="0.35">
      <c r="A6002" s="52" t="s">
        <v>696</v>
      </c>
      <c r="B6002" s="52" t="s">
        <v>34</v>
      </c>
      <c r="C6002" s="52" t="s">
        <v>33</v>
      </c>
      <c r="D6002" s="52" t="s">
        <v>33</v>
      </c>
      <c r="E6002" s="52" t="s">
        <v>683</v>
      </c>
      <c r="F6002" s="52" t="s">
        <v>581</v>
      </c>
      <c r="G6002" s="195" t="s">
        <v>275</v>
      </c>
      <c r="H6002" s="195">
        <v>-0.69956410000000002</v>
      </c>
      <c r="I6002" s="195">
        <v>-0.37174489999999999</v>
      </c>
      <c r="J6002" s="195">
        <v>0.1171504</v>
      </c>
      <c r="K6002" s="195">
        <v>0.19757540000000001</v>
      </c>
      <c r="L6002" s="195">
        <v>-1.00004E-2</v>
      </c>
      <c r="M6002" s="195">
        <v>0.21579699999999999</v>
      </c>
      <c r="N6002" s="195">
        <v>0.16599140000000001</v>
      </c>
    </row>
    <row r="6003" spans="1:14" hidden="1" x14ac:dyDescent="0.35">
      <c r="A6003" s="52" t="s">
        <v>696</v>
      </c>
      <c r="B6003" s="52" t="s">
        <v>34</v>
      </c>
      <c r="C6003" s="52" t="s">
        <v>33</v>
      </c>
      <c r="D6003" s="52" t="s">
        <v>33</v>
      </c>
      <c r="E6003" s="52" t="s">
        <v>683</v>
      </c>
      <c r="F6003" s="52" t="s">
        <v>581</v>
      </c>
      <c r="G6003" s="195" t="s">
        <v>276</v>
      </c>
      <c r="H6003" s="195">
        <v>0.23436799999999999</v>
      </c>
      <c r="I6003" s="195">
        <v>-0.16404659999999999</v>
      </c>
      <c r="J6003" s="195">
        <v>-0.22561700000000001</v>
      </c>
      <c r="K6003" s="195">
        <v>-0.1660114</v>
      </c>
      <c r="L6003" s="195">
        <v>-5.78264E-2</v>
      </c>
      <c r="M6003" s="195">
        <v>-1.2820210000000001E-4</v>
      </c>
      <c r="N6003" s="195">
        <v>1.37486E-2</v>
      </c>
    </row>
    <row r="6004" spans="1:14" hidden="1" x14ac:dyDescent="0.35">
      <c r="A6004" s="52" t="s">
        <v>696</v>
      </c>
      <c r="B6004" s="52" t="s">
        <v>34</v>
      </c>
      <c r="C6004" s="52" t="s">
        <v>33</v>
      </c>
      <c r="D6004" s="52" t="s">
        <v>33</v>
      </c>
      <c r="E6004" s="52" t="s">
        <v>683</v>
      </c>
      <c r="F6004" s="52" t="s">
        <v>581</v>
      </c>
      <c r="G6004" s="195" t="s">
        <v>277</v>
      </c>
      <c r="H6004" s="195">
        <v>1.5060089999999999</v>
      </c>
      <c r="I6004" s="195">
        <v>0.35156999999999999</v>
      </c>
      <c r="J6004" s="195">
        <v>0.38505440000000002</v>
      </c>
      <c r="K6004" s="195">
        <v>0.19721520000000001</v>
      </c>
      <c r="L6004" s="195">
        <v>0.28263139999999998</v>
      </c>
      <c r="M6004" s="195">
        <v>0</v>
      </c>
      <c r="N6004" s="195">
        <v>0</v>
      </c>
    </row>
    <row r="6005" spans="1:14" hidden="1" x14ac:dyDescent="0.35">
      <c r="A6005" s="52" t="s">
        <v>696</v>
      </c>
      <c r="B6005" s="52" t="s">
        <v>34</v>
      </c>
      <c r="C6005" s="52" t="s">
        <v>33</v>
      </c>
      <c r="D6005" s="52" t="s">
        <v>33</v>
      </c>
      <c r="E6005" s="52" t="s">
        <v>683</v>
      </c>
      <c r="F6005" s="52" t="s">
        <v>581</v>
      </c>
      <c r="G6005" s="195" t="s">
        <v>278</v>
      </c>
      <c r="H6005" s="195">
        <v>0.71399100000000004</v>
      </c>
      <c r="I6005" s="195">
        <v>0.64843019999999996</v>
      </c>
      <c r="J6005" s="195">
        <v>0</v>
      </c>
      <c r="K6005" s="195"/>
      <c r="L6005" s="195"/>
      <c r="M6005" s="195"/>
      <c r="N6005" s="195"/>
    </row>
    <row r="6006" spans="1:14" hidden="1" x14ac:dyDescent="0.35">
      <c r="A6006" s="52" t="s">
        <v>696</v>
      </c>
      <c r="B6006" s="52" t="s">
        <v>34</v>
      </c>
      <c r="C6006" s="52" t="s">
        <v>33</v>
      </c>
      <c r="D6006" s="52" t="s">
        <v>33</v>
      </c>
      <c r="E6006" s="52" t="s">
        <v>683</v>
      </c>
      <c r="F6006" s="52" t="s">
        <v>581</v>
      </c>
      <c r="G6006" s="195" t="s">
        <v>279</v>
      </c>
      <c r="H6006" s="195">
        <v>0.32886100000000001</v>
      </c>
      <c r="I6006" s="195">
        <v>0.26821620000000002</v>
      </c>
      <c r="J6006" s="195">
        <v>0.18732180000000001</v>
      </c>
      <c r="K6006" s="195">
        <v>0.15199879999999999</v>
      </c>
      <c r="L6006" s="195">
        <v>0.1728526</v>
      </c>
      <c r="M6006" s="195">
        <v>0.13993920000000001</v>
      </c>
      <c r="N6006" s="195">
        <v>0.1164076</v>
      </c>
    </row>
    <row r="6007" spans="1:14" hidden="1" x14ac:dyDescent="0.35">
      <c r="A6007" s="52" t="s">
        <v>696</v>
      </c>
      <c r="B6007" s="52" t="s">
        <v>34</v>
      </c>
      <c r="C6007" s="52" t="s">
        <v>33</v>
      </c>
      <c r="D6007" s="52" t="s">
        <v>33</v>
      </c>
      <c r="E6007" s="52" t="s">
        <v>683</v>
      </c>
      <c r="F6007" s="52" t="s">
        <v>26</v>
      </c>
      <c r="G6007" s="195" t="s">
        <v>275</v>
      </c>
      <c r="H6007" s="195">
        <v>-1.0666E-2</v>
      </c>
      <c r="I6007" s="195">
        <v>-1.3457E-2</v>
      </c>
      <c r="J6007" s="195">
        <v>-1.12776E-2</v>
      </c>
      <c r="K6007" s="195">
        <v>-9.6348000000000007E-3</v>
      </c>
      <c r="L6007" s="195">
        <v>-1.2429000000000001E-2</v>
      </c>
      <c r="M6007" s="195">
        <v>-8.2875989999999997E-3</v>
      </c>
      <c r="N6007" s="195">
        <v>-6.8907999999999999E-3</v>
      </c>
    </row>
    <row r="6008" spans="1:14" hidden="1" x14ac:dyDescent="0.35">
      <c r="A6008" s="52" t="s">
        <v>696</v>
      </c>
      <c r="B6008" s="52" t="s">
        <v>34</v>
      </c>
      <c r="C6008" s="52" t="s">
        <v>33</v>
      </c>
      <c r="D6008" s="52" t="s">
        <v>33</v>
      </c>
      <c r="E6008" s="52" t="s">
        <v>683</v>
      </c>
      <c r="F6008" s="52" t="s">
        <v>26</v>
      </c>
      <c r="G6008" s="195" t="s">
        <v>276</v>
      </c>
      <c r="H6008" s="195">
        <v>-3.846E-3</v>
      </c>
      <c r="I6008" s="195">
        <v>-4.4852E-3</v>
      </c>
      <c r="J6008" s="195">
        <v>-3.5620000000000001E-3</v>
      </c>
      <c r="K6008" s="195">
        <v>-2.8787999999999999E-3</v>
      </c>
      <c r="L6008" s="195">
        <v>-3.7117999999999999E-3</v>
      </c>
      <c r="M6008" s="195">
        <v>-2.4759999999999999E-3</v>
      </c>
      <c r="N6008" s="195">
        <v>-2.0592000000000002E-3</v>
      </c>
    </row>
    <row r="6009" spans="1:14" hidden="1" x14ac:dyDescent="0.35">
      <c r="A6009" s="52" t="s">
        <v>696</v>
      </c>
      <c r="B6009" s="52" t="s">
        <v>34</v>
      </c>
      <c r="C6009" s="52" t="s">
        <v>33</v>
      </c>
      <c r="D6009" s="52" t="s">
        <v>33</v>
      </c>
      <c r="E6009" s="52" t="s">
        <v>683</v>
      </c>
      <c r="F6009" s="52" t="s">
        <v>26</v>
      </c>
      <c r="G6009" s="195" t="s">
        <v>279</v>
      </c>
      <c r="H6009" s="195">
        <v>7.1208999999999995E-2</v>
      </c>
      <c r="I6009" s="195">
        <v>5.8462800000000002E-2</v>
      </c>
      <c r="J6009" s="195">
        <v>4.1473599999999999E-2</v>
      </c>
      <c r="K6009" s="195">
        <v>3.4319000000000002E-2</v>
      </c>
      <c r="L6009" s="195">
        <v>3.8363599999999998E-2</v>
      </c>
      <c r="M6009" s="195">
        <v>3.1185000000000001E-2</v>
      </c>
      <c r="N6009" s="195">
        <v>2.5941200000000001E-2</v>
      </c>
    </row>
    <row r="6010" spans="1:14" hidden="1" x14ac:dyDescent="0.35">
      <c r="A6010" s="52" t="s">
        <v>696</v>
      </c>
      <c r="B6010" s="52" t="s">
        <v>34</v>
      </c>
      <c r="C6010" s="52" t="s">
        <v>33</v>
      </c>
      <c r="D6010" s="52" t="s">
        <v>33</v>
      </c>
      <c r="E6010" s="52" t="s">
        <v>704</v>
      </c>
      <c r="F6010" s="52" t="s">
        <v>581</v>
      </c>
      <c r="G6010" s="195" t="s">
        <v>275</v>
      </c>
      <c r="H6010" s="195">
        <v>0.203847</v>
      </c>
      <c r="I6010" s="195">
        <v>4.91464E-2</v>
      </c>
      <c r="J6010" s="195">
        <v>3.5795599999999997E-2</v>
      </c>
      <c r="K6010" s="195">
        <v>3.3109199999999998E-2</v>
      </c>
      <c r="L6010" s="195">
        <v>2.7815200000000002E-2</v>
      </c>
      <c r="M6010" s="195">
        <v>2.88174E-2</v>
      </c>
      <c r="N6010" s="195">
        <v>2.6571999999999998E-2</v>
      </c>
    </row>
    <row r="6011" spans="1:14" hidden="1" x14ac:dyDescent="0.35">
      <c r="A6011" s="52" t="s">
        <v>696</v>
      </c>
      <c r="B6011" s="52" t="s">
        <v>34</v>
      </c>
      <c r="C6011" s="52" t="s">
        <v>33</v>
      </c>
      <c r="D6011" s="52" t="s">
        <v>33</v>
      </c>
      <c r="E6011" s="52" t="s">
        <v>704</v>
      </c>
      <c r="F6011" s="52" t="s">
        <v>581</v>
      </c>
      <c r="G6011" s="195" t="s">
        <v>276</v>
      </c>
      <c r="H6011" s="195">
        <v>8.7362999999999996E-2</v>
      </c>
      <c r="I6011" s="195">
        <v>2.1063200000000001E-2</v>
      </c>
      <c r="J6011" s="195">
        <v>1.5341199999999999E-2</v>
      </c>
      <c r="K6011" s="195">
        <v>1.41894E-2</v>
      </c>
      <c r="L6011" s="195">
        <v>1.1920399999999999E-2</v>
      </c>
      <c r="M6011" s="195">
        <v>1.23502E-2</v>
      </c>
      <c r="N6011" s="195">
        <v>1.13892E-2</v>
      </c>
    </row>
    <row r="6012" spans="1:14" hidden="1" x14ac:dyDescent="0.35">
      <c r="A6012" s="52" t="s">
        <v>696</v>
      </c>
      <c r="B6012" s="52" t="s">
        <v>34</v>
      </c>
      <c r="C6012" s="52" t="s">
        <v>33</v>
      </c>
      <c r="D6012" s="52" t="s">
        <v>33</v>
      </c>
      <c r="E6012" s="52" t="s">
        <v>704</v>
      </c>
      <c r="F6012" s="52" t="s">
        <v>581</v>
      </c>
      <c r="G6012" s="195" t="s">
        <v>277</v>
      </c>
      <c r="H6012" s="195"/>
      <c r="I6012" s="195"/>
      <c r="J6012" s="195"/>
      <c r="K6012" s="195"/>
      <c r="L6012" s="195">
        <v>0</v>
      </c>
      <c r="M6012" s="195">
        <v>0</v>
      </c>
      <c r="N6012" s="195">
        <v>0</v>
      </c>
    </row>
    <row r="6013" spans="1:14" hidden="1" x14ac:dyDescent="0.35">
      <c r="A6013" s="52" t="s">
        <v>696</v>
      </c>
      <c r="B6013" s="52" t="s">
        <v>34</v>
      </c>
      <c r="C6013" s="52" t="s">
        <v>33</v>
      </c>
      <c r="D6013" s="52" t="s">
        <v>33</v>
      </c>
      <c r="E6013" s="52" t="s">
        <v>704</v>
      </c>
      <c r="F6013" s="52" t="s">
        <v>581</v>
      </c>
      <c r="G6013" s="195" t="s">
        <v>279</v>
      </c>
      <c r="H6013" s="195">
        <v>5.1315E-2</v>
      </c>
      <c r="I6013" s="195">
        <v>4.6441999999999997E-2</v>
      </c>
      <c r="J6013" s="195">
        <v>4.0717999999999997E-2</v>
      </c>
      <c r="K6013" s="195">
        <v>3.7565800000000003E-2</v>
      </c>
      <c r="L6013" s="195">
        <v>3.8672999999999999E-2</v>
      </c>
      <c r="M6013" s="195">
        <v>3.1460599999999998E-2</v>
      </c>
      <c r="N6013" s="195">
        <v>2.8940199999999999E-2</v>
      </c>
    </row>
    <row r="6014" spans="1:14" hidden="1" x14ac:dyDescent="0.35">
      <c r="A6014" s="52" t="s">
        <v>696</v>
      </c>
      <c r="B6014" s="52" t="s">
        <v>34</v>
      </c>
      <c r="C6014" s="52" t="s">
        <v>33</v>
      </c>
      <c r="D6014" s="52" t="s">
        <v>33</v>
      </c>
      <c r="E6014" s="52" t="s">
        <v>704</v>
      </c>
      <c r="F6014" s="52" t="s">
        <v>26</v>
      </c>
      <c r="G6014" s="195" t="s">
        <v>275</v>
      </c>
      <c r="H6014" s="195">
        <v>-8.2000000000000001E-5</v>
      </c>
      <c r="I6014" s="195">
        <v>-1.2760000000000001E-4</v>
      </c>
      <c r="J6014" s="195">
        <v>-1.3679999999999999E-4</v>
      </c>
      <c r="K6014" s="195">
        <v>-1.328E-4</v>
      </c>
      <c r="L6014" s="195">
        <v>-1.582E-4</v>
      </c>
      <c r="M6014" s="195">
        <v>-1.024E-4</v>
      </c>
      <c r="N6014" s="195">
        <v>-9.4199999999999999E-5</v>
      </c>
    </row>
    <row r="6015" spans="1:14" hidden="1" x14ac:dyDescent="0.35">
      <c r="A6015" s="52" t="s">
        <v>696</v>
      </c>
      <c r="B6015" s="52" t="s">
        <v>34</v>
      </c>
      <c r="C6015" s="52" t="s">
        <v>33</v>
      </c>
      <c r="D6015" s="52" t="s">
        <v>33</v>
      </c>
      <c r="E6015" s="52" t="s">
        <v>704</v>
      </c>
      <c r="F6015" s="52" t="s">
        <v>26</v>
      </c>
      <c r="G6015" s="195" t="s">
        <v>276</v>
      </c>
      <c r="H6015" s="195">
        <v>-3.6000000000000001E-5</v>
      </c>
      <c r="I6015" s="195">
        <v>-5.4599999999999999E-5</v>
      </c>
      <c r="J6015" s="195">
        <v>-5.9200000000000002E-5</v>
      </c>
      <c r="K6015" s="195">
        <v>-5.7000000000000003E-5</v>
      </c>
      <c r="L6015" s="195">
        <v>-6.8200000000000004E-5</v>
      </c>
      <c r="M6015" s="195">
        <v>-4.3800000000000001E-5</v>
      </c>
      <c r="N6015" s="195">
        <v>-4.0200000000000001E-5</v>
      </c>
    </row>
    <row r="6016" spans="1:14" hidden="1" x14ac:dyDescent="0.35">
      <c r="A6016" s="52" t="s">
        <v>696</v>
      </c>
      <c r="B6016" s="52" t="s">
        <v>34</v>
      </c>
      <c r="C6016" s="52" t="s">
        <v>33</v>
      </c>
      <c r="D6016" s="52" t="s">
        <v>33</v>
      </c>
      <c r="E6016" s="52" t="s">
        <v>704</v>
      </c>
      <c r="F6016" s="52" t="s">
        <v>26</v>
      </c>
      <c r="G6016" s="195" t="s">
        <v>279</v>
      </c>
      <c r="H6016" s="195">
        <v>7.4900010000000003E-4</v>
      </c>
      <c r="I6016" s="195">
        <v>6.8300000000000001E-4</v>
      </c>
      <c r="J6016" s="195">
        <v>6.0700000000000001E-4</v>
      </c>
      <c r="K6016" s="195">
        <v>5.708E-4</v>
      </c>
      <c r="L6016" s="195">
        <v>5.7899999999999998E-4</v>
      </c>
      <c r="M6016" s="195">
        <v>4.7219999999999999E-4</v>
      </c>
      <c r="N6016" s="195">
        <v>4.3419999999999998E-4</v>
      </c>
    </row>
    <row r="6017" spans="1:14" hidden="1" x14ac:dyDescent="0.35">
      <c r="A6017" s="52" t="s">
        <v>696</v>
      </c>
      <c r="B6017" s="52" t="s">
        <v>37</v>
      </c>
      <c r="C6017" s="52" t="s">
        <v>51</v>
      </c>
      <c r="D6017" s="52" t="s">
        <v>51</v>
      </c>
      <c r="E6017" s="52" t="s">
        <v>602</v>
      </c>
      <c r="F6017" s="52" t="s">
        <v>581</v>
      </c>
      <c r="G6017" s="195" t="s">
        <v>275</v>
      </c>
      <c r="H6017" s="195">
        <v>-50.992350000000002</v>
      </c>
      <c r="I6017" s="195">
        <v>5.3865059999999998</v>
      </c>
      <c r="J6017" s="195">
        <v>10.02914</v>
      </c>
      <c r="K6017" s="195">
        <v>28.94828</v>
      </c>
      <c r="L6017" s="195">
        <v>19.993500000000001</v>
      </c>
      <c r="M6017" s="195">
        <v>7.2361570000000004</v>
      </c>
      <c r="N6017" s="195">
        <v>5.2941279999999997</v>
      </c>
    </row>
    <row r="6018" spans="1:14" hidden="1" x14ac:dyDescent="0.35">
      <c r="A6018" s="52" t="s">
        <v>696</v>
      </c>
      <c r="B6018" s="52" t="s">
        <v>37</v>
      </c>
      <c r="C6018" s="52" t="s">
        <v>51</v>
      </c>
      <c r="D6018" s="52" t="s">
        <v>51</v>
      </c>
      <c r="E6018" s="52" t="s">
        <v>602</v>
      </c>
      <c r="F6018" s="52" t="s">
        <v>581</v>
      </c>
      <c r="G6018" s="195" t="s">
        <v>276</v>
      </c>
      <c r="H6018" s="195">
        <v>3.9563920000000001</v>
      </c>
      <c r="I6018" s="195">
        <v>-15.84252</v>
      </c>
      <c r="J6018" s="195">
        <v>-17.099250000000001</v>
      </c>
      <c r="K6018" s="195">
        <v>-20.942879999999999</v>
      </c>
      <c r="L6018" s="195">
        <v>-16.785319999999999</v>
      </c>
      <c r="M6018" s="195">
        <v>-2.4654780000000001</v>
      </c>
      <c r="N6018" s="195">
        <v>-1.2580530000000001</v>
      </c>
    </row>
    <row r="6019" spans="1:14" hidden="1" x14ac:dyDescent="0.35">
      <c r="A6019" s="52" t="s">
        <v>696</v>
      </c>
      <c r="B6019" s="52" t="s">
        <v>37</v>
      </c>
      <c r="C6019" s="52" t="s">
        <v>51</v>
      </c>
      <c r="D6019" s="52" t="s">
        <v>51</v>
      </c>
      <c r="E6019" s="52" t="s">
        <v>602</v>
      </c>
      <c r="F6019" s="52" t="s">
        <v>581</v>
      </c>
      <c r="G6019" s="195" t="s">
        <v>277</v>
      </c>
      <c r="H6019" s="195">
        <v>176.20740000000001</v>
      </c>
      <c r="I6019" s="195">
        <v>5.1601080000000001</v>
      </c>
      <c r="J6019" s="195">
        <v>11.739879999999999</v>
      </c>
      <c r="K6019" s="195">
        <v>1.0587930000000001</v>
      </c>
      <c r="L6019" s="195">
        <v>0.59453679999999998</v>
      </c>
      <c r="M6019" s="195">
        <v>0</v>
      </c>
      <c r="N6019" s="195">
        <v>0</v>
      </c>
    </row>
    <row r="6020" spans="1:14" hidden="1" x14ac:dyDescent="0.35">
      <c r="A6020" s="52" t="s">
        <v>696</v>
      </c>
      <c r="B6020" s="52" t="s">
        <v>37</v>
      </c>
      <c r="C6020" s="52" t="s">
        <v>51</v>
      </c>
      <c r="D6020" s="52" t="s">
        <v>51</v>
      </c>
      <c r="E6020" s="52" t="s">
        <v>602</v>
      </c>
      <c r="F6020" s="52" t="s">
        <v>581</v>
      </c>
      <c r="G6020" s="195" t="s">
        <v>278</v>
      </c>
      <c r="H6020" s="195">
        <v>14.392569999999999</v>
      </c>
      <c r="I6020" s="195">
        <v>27.270389999999999</v>
      </c>
      <c r="J6020" s="195">
        <v>10.97983</v>
      </c>
      <c r="K6020" s="195">
        <v>3.1219980000000001</v>
      </c>
      <c r="L6020" s="195">
        <v>1.69221</v>
      </c>
      <c r="M6020" s="195">
        <v>0</v>
      </c>
      <c r="N6020" s="195">
        <v>0</v>
      </c>
    </row>
    <row r="6021" spans="1:14" hidden="1" x14ac:dyDescent="0.35">
      <c r="A6021" s="52" t="s">
        <v>696</v>
      </c>
      <c r="B6021" s="52" t="s">
        <v>37</v>
      </c>
      <c r="C6021" s="52" t="s">
        <v>51</v>
      </c>
      <c r="D6021" s="52" t="s">
        <v>51</v>
      </c>
      <c r="E6021" s="52" t="s">
        <v>602</v>
      </c>
      <c r="F6021" s="52" t="s">
        <v>581</v>
      </c>
      <c r="G6021" s="195" t="s">
        <v>279</v>
      </c>
      <c r="H6021" s="195">
        <v>70.799959999999999</v>
      </c>
      <c r="I6021" s="195">
        <v>53.178739999999998</v>
      </c>
      <c r="J6021" s="195">
        <v>52.782640000000001</v>
      </c>
      <c r="K6021" s="195">
        <v>44.309060000000002</v>
      </c>
      <c r="L6021" s="195">
        <v>37.814529999999998</v>
      </c>
      <c r="M6021" s="195">
        <v>29.921050000000001</v>
      </c>
      <c r="N6021" s="195">
        <v>25.068020000000001</v>
      </c>
    </row>
    <row r="6022" spans="1:14" hidden="1" x14ac:dyDescent="0.35">
      <c r="A6022" s="52" t="s">
        <v>696</v>
      </c>
      <c r="B6022" s="52" t="s">
        <v>37</v>
      </c>
      <c r="C6022" s="52" t="s">
        <v>51</v>
      </c>
      <c r="D6022" s="52" t="s">
        <v>51</v>
      </c>
      <c r="E6022" s="52" t="s">
        <v>602</v>
      </c>
      <c r="F6022" s="52" t="s">
        <v>26</v>
      </c>
      <c r="G6022" s="195" t="s">
        <v>275</v>
      </c>
      <c r="H6022" s="195">
        <v>0.59658</v>
      </c>
      <c r="I6022" s="195">
        <v>-9.2724589999999996E-2</v>
      </c>
      <c r="J6022" s="195">
        <v>6.7808999999999994E-2</v>
      </c>
      <c r="K6022" s="195">
        <v>-4.5784999999999999E-2</v>
      </c>
      <c r="L6022" s="195">
        <v>-0.27133420000000003</v>
      </c>
      <c r="M6022" s="195">
        <v>-0.20248440000000001</v>
      </c>
      <c r="N6022" s="195">
        <v>-0.16811480000000001</v>
      </c>
    </row>
    <row r="6023" spans="1:14" hidden="1" x14ac:dyDescent="0.35">
      <c r="A6023" s="52" t="s">
        <v>696</v>
      </c>
      <c r="B6023" s="52" t="s">
        <v>37</v>
      </c>
      <c r="C6023" s="52" t="s">
        <v>51</v>
      </c>
      <c r="D6023" s="52" t="s">
        <v>51</v>
      </c>
      <c r="E6023" s="52" t="s">
        <v>602</v>
      </c>
      <c r="F6023" s="52" t="s">
        <v>26</v>
      </c>
      <c r="G6023" s="195" t="s">
        <v>276</v>
      </c>
      <c r="H6023" s="195">
        <v>0.15858</v>
      </c>
      <c r="I6023" s="195">
        <v>-2.4646399999999999E-2</v>
      </c>
      <c r="J6023" s="195">
        <v>1.8027000000000001E-2</v>
      </c>
      <c r="K6023" s="195">
        <v>-1.2170800000000001E-2</v>
      </c>
      <c r="L6023" s="195">
        <v>-7.2126399999999993E-2</v>
      </c>
      <c r="M6023" s="195">
        <v>-5.3825600000000001E-2</v>
      </c>
      <c r="N6023" s="195">
        <v>-4.4689600000000003E-2</v>
      </c>
    </row>
    <row r="6024" spans="1:14" hidden="1" x14ac:dyDescent="0.35">
      <c r="A6024" s="52" t="s">
        <v>696</v>
      </c>
      <c r="B6024" s="52" t="s">
        <v>37</v>
      </c>
      <c r="C6024" s="52" t="s">
        <v>51</v>
      </c>
      <c r="D6024" s="52" t="s">
        <v>51</v>
      </c>
      <c r="E6024" s="52" t="s">
        <v>602</v>
      </c>
      <c r="F6024" s="52" t="s">
        <v>26</v>
      </c>
      <c r="G6024" s="195" t="s">
        <v>279</v>
      </c>
      <c r="H6024" s="195">
        <v>7.4976609999999999</v>
      </c>
      <c r="I6024" s="195">
        <v>4.2281050000000002</v>
      </c>
      <c r="J6024" s="195">
        <v>4.2842380000000002</v>
      </c>
      <c r="K6024" s="195">
        <v>3.6481949999999999</v>
      </c>
      <c r="L6024" s="195">
        <v>3.0832630000000001</v>
      </c>
      <c r="M6024" s="195">
        <v>2.4459059999999999</v>
      </c>
      <c r="N6024" s="195">
        <v>2.0491739999999998</v>
      </c>
    </row>
    <row r="6025" spans="1:14" hidden="1" x14ac:dyDescent="0.35">
      <c r="A6025" s="52" t="s">
        <v>696</v>
      </c>
      <c r="B6025" s="52" t="s">
        <v>37</v>
      </c>
      <c r="C6025" s="52" t="s">
        <v>51</v>
      </c>
      <c r="D6025" s="52" t="s">
        <v>51</v>
      </c>
      <c r="E6025" s="52" t="s">
        <v>705</v>
      </c>
      <c r="F6025" s="52" t="s">
        <v>581</v>
      </c>
      <c r="G6025" s="195" t="s">
        <v>275</v>
      </c>
      <c r="H6025" s="195">
        <v>6.5609380000000002</v>
      </c>
      <c r="I6025" s="195">
        <v>1.5127759999999999</v>
      </c>
      <c r="J6025" s="195">
        <v>1.1020319999999999</v>
      </c>
      <c r="K6025" s="195">
        <v>0.993228</v>
      </c>
      <c r="L6025" s="195">
        <v>0.83321259999999997</v>
      </c>
      <c r="M6025" s="195">
        <v>0.78219130000000003</v>
      </c>
      <c r="N6025" s="195">
        <v>0.72226219999999997</v>
      </c>
    </row>
    <row r="6026" spans="1:14" hidden="1" x14ac:dyDescent="0.35">
      <c r="A6026" s="52" t="s">
        <v>696</v>
      </c>
      <c r="B6026" s="52" t="s">
        <v>37</v>
      </c>
      <c r="C6026" s="52" t="s">
        <v>51</v>
      </c>
      <c r="D6026" s="52" t="s">
        <v>51</v>
      </c>
      <c r="E6026" s="52" t="s">
        <v>705</v>
      </c>
      <c r="F6026" s="52" t="s">
        <v>581</v>
      </c>
      <c r="G6026" s="195" t="s">
        <v>276</v>
      </c>
      <c r="H6026" s="195">
        <v>1.7440469999999999</v>
      </c>
      <c r="I6026" s="195">
        <v>0.40212999999999999</v>
      </c>
      <c r="J6026" s="195">
        <v>0.29294500000000001</v>
      </c>
      <c r="K6026" s="195">
        <v>0.2640226</v>
      </c>
      <c r="L6026" s="195">
        <v>0.22148699999999999</v>
      </c>
      <c r="M6026" s="195">
        <v>0.20792440000000001</v>
      </c>
      <c r="N6026" s="195">
        <v>0.19199340000000001</v>
      </c>
    </row>
    <row r="6027" spans="1:14" hidden="1" x14ac:dyDescent="0.35">
      <c r="A6027" s="52" t="s">
        <v>696</v>
      </c>
      <c r="B6027" s="52" t="s">
        <v>37</v>
      </c>
      <c r="C6027" s="52" t="s">
        <v>51</v>
      </c>
      <c r="D6027" s="52" t="s">
        <v>51</v>
      </c>
      <c r="E6027" s="52" t="s">
        <v>705</v>
      </c>
      <c r="F6027" s="52" t="s">
        <v>581</v>
      </c>
      <c r="G6027" s="195" t="s">
        <v>277</v>
      </c>
      <c r="H6027" s="195"/>
      <c r="I6027" s="195"/>
      <c r="J6027" s="195"/>
      <c r="K6027" s="195"/>
      <c r="L6027" s="195"/>
      <c r="M6027" s="195">
        <v>0</v>
      </c>
      <c r="N6027" s="195">
        <v>0</v>
      </c>
    </row>
    <row r="6028" spans="1:14" hidden="1" x14ac:dyDescent="0.35">
      <c r="A6028" s="52" t="s">
        <v>696</v>
      </c>
      <c r="B6028" s="52" t="s">
        <v>37</v>
      </c>
      <c r="C6028" s="52" t="s">
        <v>51</v>
      </c>
      <c r="D6028" s="52" t="s">
        <v>51</v>
      </c>
      <c r="E6028" s="52" t="s">
        <v>705</v>
      </c>
      <c r="F6028" s="52" t="s">
        <v>581</v>
      </c>
      <c r="G6028" s="195" t="s">
        <v>279</v>
      </c>
      <c r="H6028" s="195">
        <v>2.270648</v>
      </c>
      <c r="I6028" s="195">
        <v>1.4112309999999999</v>
      </c>
      <c r="J6028" s="195">
        <v>1.2023509999999999</v>
      </c>
      <c r="K6028" s="195">
        <v>1.1338569999999999</v>
      </c>
      <c r="L6028" s="195">
        <v>1.1531169999999999</v>
      </c>
      <c r="M6028" s="195">
        <v>1.0560400000000001</v>
      </c>
      <c r="N6028" s="195">
        <v>0.97172780000000003</v>
      </c>
    </row>
    <row r="6029" spans="1:14" hidden="1" x14ac:dyDescent="0.35">
      <c r="A6029" s="52" t="s">
        <v>674</v>
      </c>
      <c r="B6029" s="52" t="s">
        <v>34</v>
      </c>
      <c r="C6029" s="52" t="s">
        <v>33</v>
      </c>
      <c r="D6029" s="52" t="s">
        <v>33</v>
      </c>
      <c r="E6029" s="52" t="s">
        <v>675</v>
      </c>
      <c r="F6029" s="52" t="s">
        <v>581</v>
      </c>
      <c r="G6029" s="195" t="s">
        <v>275</v>
      </c>
      <c r="H6029" s="195">
        <v>77.4679</v>
      </c>
      <c r="I6029" s="195">
        <v>-1.0615330000000001</v>
      </c>
      <c r="J6029" s="195">
        <v>-6.4827190000000003</v>
      </c>
      <c r="K6029" s="195">
        <v>-6.7874239999999997</v>
      </c>
      <c r="L6029" s="195">
        <v>-8.4059550000000005</v>
      </c>
      <c r="M6029" s="195">
        <v>-3.6417480000000002</v>
      </c>
      <c r="N6029" s="195">
        <v>-3.2557019999999999</v>
      </c>
    </row>
    <row r="6030" spans="1:14" hidden="1" x14ac:dyDescent="0.35">
      <c r="A6030" s="52" t="s">
        <v>674</v>
      </c>
      <c r="B6030" s="52" t="s">
        <v>34</v>
      </c>
      <c r="C6030" s="52" t="s">
        <v>33</v>
      </c>
      <c r="D6030" s="52" t="s">
        <v>33</v>
      </c>
      <c r="E6030" s="52" t="s">
        <v>675</v>
      </c>
      <c r="F6030" s="52" t="s">
        <v>581</v>
      </c>
      <c r="G6030" s="195" t="s">
        <v>276</v>
      </c>
      <c r="H6030" s="195">
        <v>27.930599999999998</v>
      </c>
      <c r="I6030" s="195">
        <v>-0.35384359999999998</v>
      </c>
      <c r="J6030" s="195">
        <v>-2.047167</v>
      </c>
      <c r="K6030" s="195">
        <v>-2.0274109999999999</v>
      </c>
      <c r="L6030" s="195">
        <v>-2.5108709999999999</v>
      </c>
      <c r="M6030" s="195">
        <v>-1.0877939999999999</v>
      </c>
      <c r="N6030" s="195">
        <v>-0.97248599999999996</v>
      </c>
    </row>
    <row r="6031" spans="1:14" hidden="1" x14ac:dyDescent="0.35">
      <c r="A6031" s="52" t="s">
        <v>674</v>
      </c>
      <c r="B6031" s="52" t="s">
        <v>34</v>
      </c>
      <c r="C6031" s="52" t="s">
        <v>33</v>
      </c>
      <c r="D6031" s="52" t="s">
        <v>33</v>
      </c>
      <c r="E6031" s="52" t="s">
        <v>675</v>
      </c>
      <c r="F6031" s="52" t="s">
        <v>581</v>
      </c>
      <c r="G6031" s="195" t="s">
        <v>279</v>
      </c>
      <c r="H6031" s="195">
        <v>68.027230000000003</v>
      </c>
      <c r="I6031" s="195">
        <v>65.388750000000002</v>
      </c>
      <c r="J6031" s="195">
        <v>60.149349999999998</v>
      </c>
      <c r="K6031" s="195">
        <v>53.556510000000003</v>
      </c>
      <c r="L6031" s="195">
        <v>47.943809999999999</v>
      </c>
      <c r="M6031" s="195">
        <v>37.19473</v>
      </c>
      <c r="N6031" s="195">
        <v>33.351379999999999</v>
      </c>
    </row>
    <row r="6032" spans="1:14" hidden="1" x14ac:dyDescent="0.35">
      <c r="A6032" s="52" t="s">
        <v>674</v>
      </c>
      <c r="B6032" s="52" t="s">
        <v>34</v>
      </c>
      <c r="C6032" s="52" t="s">
        <v>33</v>
      </c>
      <c r="D6032" s="52" t="s">
        <v>33</v>
      </c>
      <c r="E6032" s="52" t="s">
        <v>675</v>
      </c>
      <c r="F6032" s="52" t="s">
        <v>26</v>
      </c>
      <c r="G6032" s="195" t="s">
        <v>275</v>
      </c>
      <c r="H6032" s="195">
        <v>-194.64340000000001</v>
      </c>
      <c r="I6032" s="195">
        <v>114.2966</v>
      </c>
      <c r="J6032" s="195">
        <v>81.205349999999996</v>
      </c>
      <c r="K6032" s="195">
        <v>65.949910000000003</v>
      </c>
      <c r="L6032" s="195">
        <v>19.700800000000001</v>
      </c>
      <c r="M6032" s="195">
        <v>28.813700000000001</v>
      </c>
      <c r="N6032" s="195">
        <v>22.930199999999999</v>
      </c>
    </row>
    <row r="6033" spans="1:14" hidden="1" x14ac:dyDescent="0.35">
      <c r="A6033" s="52" t="s">
        <v>674</v>
      </c>
      <c r="B6033" s="52" t="s">
        <v>34</v>
      </c>
      <c r="C6033" s="52" t="s">
        <v>33</v>
      </c>
      <c r="D6033" s="52" t="s">
        <v>33</v>
      </c>
      <c r="E6033" s="52" t="s">
        <v>675</v>
      </c>
      <c r="F6033" s="52" t="s">
        <v>26</v>
      </c>
      <c r="G6033" s="195" t="s">
        <v>276</v>
      </c>
      <c r="H6033" s="195">
        <v>-61.2224</v>
      </c>
      <c r="I6033" s="195">
        <v>-61.217260000000003</v>
      </c>
      <c r="J6033" s="195">
        <v>-44.88496</v>
      </c>
      <c r="K6033" s="195">
        <v>-19.98179</v>
      </c>
      <c r="L6033" s="195">
        <v>-0.49965799999999999</v>
      </c>
      <c r="M6033" s="195">
        <v>6.3162520000000004</v>
      </c>
      <c r="N6033" s="195">
        <v>6.4961169999999999</v>
      </c>
    </row>
    <row r="6034" spans="1:14" hidden="1" x14ac:dyDescent="0.35">
      <c r="A6034" s="52" t="s">
        <v>674</v>
      </c>
      <c r="B6034" s="52" t="s">
        <v>34</v>
      </c>
      <c r="C6034" s="52" t="s">
        <v>33</v>
      </c>
      <c r="D6034" s="52" t="s">
        <v>33</v>
      </c>
      <c r="E6034" s="52" t="s">
        <v>675</v>
      </c>
      <c r="F6034" s="52" t="s">
        <v>26</v>
      </c>
      <c r="G6034" s="195" t="s">
        <v>277</v>
      </c>
      <c r="H6034" s="195">
        <v>355.63499999999999</v>
      </c>
      <c r="I6034" s="195">
        <v>14.49493</v>
      </c>
      <c r="J6034" s="195">
        <v>3.312433</v>
      </c>
      <c r="K6034" s="195">
        <v>0.80244400000000005</v>
      </c>
      <c r="L6034" s="195">
        <v>0.27889180000000002</v>
      </c>
      <c r="M6034" s="195">
        <v>0.25113279999999999</v>
      </c>
      <c r="N6034" s="195">
        <v>0</v>
      </c>
    </row>
    <row r="6035" spans="1:14" hidden="1" x14ac:dyDescent="0.35">
      <c r="A6035" s="52" t="s">
        <v>674</v>
      </c>
      <c r="B6035" s="52" t="s">
        <v>34</v>
      </c>
      <c r="C6035" s="52" t="s">
        <v>33</v>
      </c>
      <c r="D6035" s="52" t="s">
        <v>33</v>
      </c>
      <c r="E6035" s="52" t="s">
        <v>675</v>
      </c>
      <c r="F6035" s="52" t="s">
        <v>26</v>
      </c>
      <c r="G6035" s="195" t="s">
        <v>278</v>
      </c>
      <c r="H6035" s="195">
        <v>97.465019999999996</v>
      </c>
      <c r="I6035" s="195">
        <v>45.595709999999997</v>
      </c>
      <c r="J6035" s="195">
        <v>23.704910000000002</v>
      </c>
      <c r="K6035" s="195">
        <v>2.139618</v>
      </c>
      <c r="L6035" s="195">
        <v>1.239692</v>
      </c>
      <c r="M6035" s="195">
        <v>1.7548000000000001E-2</v>
      </c>
      <c r="N6035" s="195">
        <v>0</v>
      </c>
    </row>
    <row r="6036" spans="1:14" hidden="1" x14ac:dyDescent="0.35">
      <c r="A6036" s="52" t="s">
        <v>674</v>
      </c>
      <c r="B6036" s="52" t="s">
        <v>34</v>
      </c>
      <c r="C6036" s="52" t="s">
        <v>33</v>
      </c>
      <c r="D6036" s="52" t="s">
        <v>33</v>
      </c>
      <c r="E6036" s="52" t="s">
        <v>675</v>
      </c>
      <c r="F6036" s="52" t="s">
        <v>26</v>
      </c>
      <c r="G6036" s="195" t="s">
        <v>279</v>
      </c>
      <c r="H6036" s="195">
        <v>276.08010000000002</v>
      </c>
      <c r="I6036" s="195">
        <v>264.25920000000002</v>
      </c>
      <c r="J6036" s="195">
        <v>240.7355</v>
      </c>
      <c r="K6036" s="195">
        <v>211.77619999999999</v>
      </c>
      <c r="L6036" s="195">
        <v>191.5796</v>
      </c>
      <c r="M6036" s="195">
        <v>148.2636</v>
      </c>
      <c r="N6036" s="195">
        <v>132.93969999999999</v>
      </c>
    </row>
    <row r="6037" spans="1:14" hidden="1" x14ac:dyDescent="0.35">
      <c r="A6037" s="52" t="s">
        <v>674</v>
      </c>
      <c r="B6037" s="52" t="s">
        <v>34</v>
      </c>
      <c r="C6037" s="52" t="s">
        <v>33</v>
      </c>
      <c r="D6037" s="52" t="s">
        <v>33</v>
      </c>
      <c r="E6037" s="52" t="s">
        <v>605</v>
      </c>
      <c r="F6037" s="52" t="s">
        <v>581</v>
      </c>
      <c r="G6037" s="195" t="s">
        <v>275</v>
      </c>
      <c r="H6037" s="195">
        <v>23.82377</v>
      </c>
      <c r="I6037" s="195">
        <v>2.020737</v>
      </c>
      <c r="J6037" s="195">
        <v>0.2345505</v>
      </c>
      <c r="K6037" s="195">
        <v>-8.4857340000000003E-2</v>
      </c>
      <c r="L6037" s="195">
        <v>-0.72388249999999998</v>
      </c>
      <c r="M6037" s="195">
        <v>0.32763249999999999</v>
      </c>
      <c r="N6037" s="195">
        <v>0.33980860000000002</v>
      </c>
    </row>
    <row r="6038" spans="1:14" hidden="1" x14ac:dyDescent="0.35">
      <c r="A6038" s="52" t="s">
        <v>674</v>
      </c>
      <c r="B6038" s="52" t="s">
        <v>34</v>
      </c>
      <c r="C6038" s="52" t="s">
        <v>33</v>
      </c>
      <c r="D6038" s="52" t="s">
        <v>33</v>
      </c>
      <c r="E6038" s="52" t="s">
        <v>605</v>
      </c>
      <c r="F6038" s="52" t="s">
        <v>581</v>
      </c>
      <c r="G6038" s="195" t="s">
        <v>276</v>
      </c>
      <c r="H6038" s="195">
        <v>7.9681550000000003</v>
      </c>
      <c r="I6038" s="195">
        <v>0.67358620000000002</v>
      </c>
      <c r="J6038" s="195">
        <v>7.5215740000000003E-2</v>
      </c>
      <c r="K6038" s="195">
        <v>-3.3651830000000001E-2</v>
      </c>
      <c r="L6038" s="195">
        <v>-0.24580460000000001</v>
      </c>
      <c r="M6038" s="195">
        <v>0.1044412</v>
      </c>
      <c r="N6038" s="195">
        <v>0.1088662</v>
      </c>
    </row>
    <row r="6039" spans="1:14" hidden="1" x14ac:dyDescent="0.35">
      <c r="A6039" s="52" t="s">
        <v>674</v>
      </c>
      <c r="B6039" s="52" t="s">
        <v>34</v>
      </c>
      <c r="C6039" s="52" t="s">
        <v>33</v>
      </c>
      <c r="D6039" s="52" t="s">
        <v>33</v>
      </c>
      <c r="E6039" s="52" t="s">
        <v>605</v>
      </c>
      <c r="F6039" s="52" t="s">
        <v>581</v>
      </c>
      <c r="G6039" s="195" t="s">
        <v>277</v>
      </c>
      <c r="H6039" s="195"/>
      <c r="I6039" s="195"/>
      <c r="J6039" s="195"/>
      <c r="K6039" s="195"/>
      <c r="L6039" s="195"/>
      <c r="M6039" s="195">
        <v>0</v>
      </c>
      <c r="N6039" s="195"/>
    </row>
    <row r="6040" spans="1:14" hidden="1" x14ac:dyDescent="0.35">
      <c r="A6040" s="52" t="s">
        <v>674</v>
      </c>
      <c r="B6040" s="52" t="s">
        <v>34</v>
      </c>
      <c r="C6040" s="52" t="s">
        <v>33</v>
      </c>
      <c r="D6040" s="52" t="s">
        <v>33</v>
      </c>
      <c r="E6040" s="52" t="s">
        <v>605</v>
      </c>
      <c r="F6040" s="52" t="s">
        <v>581</v>
      </c>
      <c r="G6040" s="195" t="s">
        <v>279</v>
      </c>
      <c r="H6040" s="195">
        <v>14.84849</v>
      </c>
      <c r="I6040" s="195">
        <v>16.193460000000002</v>
      </c>
      <c r="J6040" s="195">
        <v>14.60712</v>
      </c>
      <c r="K6040" s="195">
        <v>12.9071</v>
      </c>
      <c r="L6040" s="195">
        <v>12.08888</v>
      </c>
      <c r="M6040" s="195">
        <v>9.6217579999999998</v>
      </c>
      <c r="N6040" s="195">
        <v>8.7867540000000002</v>
      </c>
    </row>
    <row r="6041" spans="1:14" hidden="1" x14ac:dyDescent="0.35">
      <c r="A6041" s="52" t="s">
        <v>674</v>
      </c>
      <c r="B6041" s="52" t="s">
        <v>34</v>
      </c>
      <c r="C6041" s="52" t="s">
        <v>33</v>
      </c>
      <c r="D6041" s="52" t="s">
        <v>33</v>
      </c>
      <c r="E6041" s="52" t="s">
        <v>605</v>
      </c>
      <c r="F6041" s="52" t="s">
        <v>26</v>
      </c>
      <c r="G6041" s="195" t="s">
        <v>275</v>
      </c>
      <c r="H6041" s="195">
        <v>-14.958959999999999</v>
      </c>
      <c r="I6041" s="195">
        <v>50.05791</v>
      </c>
      <c r="J6041" s="195">
        <v>45.816490000000002</v>
      </c>
      <c r="K6041" s="195">
        <v>28.586179999999999</v>
      </c>
      <c r="L6041" s="195">
        <v>13.79382</v>
      </c>
      <c r="M6041" s="195">
        <v>16.397780000000001</v>
      </c>
      <c r="N6041" s="195">
        <v>14.25822</v>
      </c>
    </row>
    <row r="6042" spans="1:14" hidden="1" x14ac:dyDescent="0.35">
      <c r="A6042" s="52" t="s">
        <v>674</v>
      </c>
      <c r="B6042" s="52" t="s">
        <v>34</v>
      </c>
      <c r="C6042" s="52" t="s">
        <v>33</v>
      </c>
      <c r="D6042" s="52" t="s">
        <v>33</v>
      </c>
      <c r="E6042" s="52" t="s">
        <v>605</v>
      </c>
      <c r="F6042" s="52" t="s">
        <v>26</v>
      </c>
      <c r="G6042" s="195" t="s">
        <v>276</v>
      </c>
      <c r="H6042" s="195">
        <v>-11.2813</v>
      </c>
      <c r="I6042" s="195">
        <v>-14.269170000000001</v>
      </c>
      <c r="J6042" s="195">
        <v>-11.40183</v>
      </c>
      <c r="K6042" s="195">
        <v>-1.7645249999999999</v>
      </c>
      <c r="L6042" s="195">
        <v>2.3772579999999999</v>
      </c>
      <c r="M6042" s="195">
        <v>5.1317110000000001</v>
      </c>
      <c r="N6042" s="195">
        <v>4.5510229999999998</v>
      </c>
    </row>
    <row r="6043" spans="1:14" hidden="1" x14ac:dyDescent="0.35">
      <c r="A6043" s="52" t="s">
        <v>674</v>
      </c>
      <c r="B6043" s="52" t="s">
        <v>34</v>
      </c>
      <c r="C6043" s="52" t="s">
        <v>33</v>
      </c>
      <c r="D6043" s="52" t="s">
        <v>33</v>
      </c>
      <c r="E6043" s="52" t="s">
        <v>605</v>
      </c>
      <c r="F6043" s="52" t="s">
        <v>26</v>
      </c>
      <c r="G6043" s="195" t="s">
        <v>277</v>
      </c>
      <c r="H6043" s="195">
        <v>100.52760000000001</v>
      </c>
      <c r="I6043" s="195">
        <v>8.9409360000000007</v>
      </c>
      <c r="J6043" s="195">
        <v>1.8023560000000001</v>
      </c>
      <c r="K6043" s="195">
        <v>1.7899970000000001</v>
      </c>
      <c r="L6043" s="195">
        <v>1.111869</v>
      </c>
      <c r="M6043" s="195">
        <v>1.099345</v>
      </c>
      <c r="N6043" s="195">
        <v>1.5219180000000001</v>
      </c>
    </row>
    <row r="6044" spans="1:14" hidden="1" x14ac:dyDescent="0.35">
      <c r="A6044" s="52" t="s">
        <v>674</v>
      </c>
      <c r="B6044" s="52" t="s">
        <v>34</v>
      </c>
      <c r="C6044" s="52" t="s">
        <v>33</v>
      </c>
      <c r="D6044" s="52" t="s">
        <v>33</v>
      </c>
      <c r="E6044" s="52" t="s">
        <v>605</v>
      </c>
      <c r="F6044" s="52" t="s">
        <v>26</v>
      </c>
      <c r="G6044" s="195" t="s">
        <v>278</v>
      </c>
      <c r="H6044" s="195">
        <v>13.76244</v>
      </c>
      <c r="I6044" s="195">
        <v>18.11449</v>
      </c>
      <c r="J6044" s="195">
        <v>2.6521710000000001</v>
      </c>
      <c r="K6044" s="195">
        <v>1.6452469999999999</v>
      </c>
      <c r="L6044" s="195">
        <v>1.6537459999999999</v>
      </c>
      <c r="M6044" s="195">
        <v>1.122681</v>
      </c>
      <c r="N6044" s="195">
        <v>0.4845178</v>
      </c>
    </row>
    <row r="6045" spans="1:14" hidden="1" x14ac:dyDescent="0.35">
      <c r="A6045" s="52" t="s">
        <v>674</v>
      </c>
      <c r="B6045" s="52" t="s">
        <v>34</v>
      </c>
      <c r="C6045" s="52" t="s">
        <v>33</v>
      </c>
      <c r="D6045" s="52" t="s">
        <v>33</v>
      </c>
      <c r="E6045" s="52" t="s">
        <v>605</v>
      </c>
      <c r="F6045" s="52" t="s">
        <v>26</v>
      </c>
      <c r="G6045" s="195" t="s">
        <v>279</v>
      </c>
      <c r="H6045" s="195">
        <v>90.970789999999994</v>
      </c>
      <c r="I6045" s="195">
        <v>98.957629999999995</v>
      </c>
      <c r="J6045" s="195">
        <v>88.436779999999999</v>
      </c>
      <c r="K6045" s="195">
        <v>77.223990000000001</v>
      </c>
      <c r="L6045" s="195">
        <v>73.014430000000004</v>
      </c>
      <c r="M6045" s="195">
        <v>57.966929999999998</v>
      </c>
      <c r="N6045" s="195">
        <v>52.932749999999999</v>
      </c>
    </row>
    <row r="6046" spans="1:14" hidden="1" x14ac:dyDescent="0.35">
      <c r="A6046" s="52" t="s">
        <v>674</v>
      </c>
      <c r="B6046" s="52" t="s">
        <v>34</v>
      </c>
      <c r="C6046" s="52" t="s">
        <v>33</v>
      </c>
      <c r="D6046" s="52" t="s">
        <v>33</v>
      </c>
      <c r="E6046" s="52" t="s">
        <v>604</v>
      </c>
      <c r="F6046" s="52" t="s">
        <v>581</v>
      </c>
      <c r="G6046" s="195" t="s">
        <v>275</v>
      </c>
      <c r="H6046" s="195">
        <v>36.110320000000002</v>
      </c>
      <c r="I6046" s="195">
        <v>5.1598750000000004</v>
      </c>
      <c r="J6046" s="195">
        <v>2.1702149999999998</v>
      </c>
      <c r="K6046" s="195">
        <v>0.65778760000000003</v>
      </c>
      <c r="L6046" s="195">
        <v>-2.5583200000000001</v>
      </c>
      <c r="M6046" s="195">
        <v>-0.1194021</v>
      </c>
      <c r="N6046" s="195">
        <v>-0.1025162</v>
      </c>
    </row>
    <row r="6047" spans="1:14" hidden="1" x14ac:dyDescent="0.35">
      <c r="A6047" s="52" t="s">
        <v>674</v>
      </c>
      <c r="B6047" s="52" t="s">
        <v>34</v>
      </c>
      <c r="C6047" s="52" t="s">
        <v>33</v>
      </c>
      <c r="D6047" s="52" t="s">
        <v>33</v>
      </c>
      <c r="E6047" s="52" t="s">
        <v>604</v>
      </c>
      <c r="F6047" s="52" t="s">
        <v>581</v>
      </c>
      <c r="G6047" s="195" t="s">
        <v>276</v>
      </c>
      <c r="H6047" s="195">
        <v>14.63655</v>
      </c>
      <c r="I6047" s="195">
        <v>-3.57951</v>
      </c>
      <c r="J6047" s="195">
        <v>-3.3898809999999999</v>
      </c>
      <c r="K6047" s="195">
        <v>-2.0948169999999999</v>
      </c>
      <c r="L6047" s="195">
        <v>-1.0805499999999999</v>
      </c>
      <c r="M6047" s="195">
        <v>-4.0080280000000003E-2</v>
      </c>
      <c r="N6047" s="195">
        <v>-3.3236620000000001E-2</v>
      </c>
    </row>
    <row r="6048" spans="1:14" hidden="1" x14ac:dyDescent="0.35">
      <c r="A6048" s="52" t="s">
        <v>674</v>
      </c>
      <c r="B6048" s="52" t="s">
        <v>34</v>
      </c>
      <c r="C6048" s="52" t="s">
        <v>33</v>
      </c>
      <c r="D6048" s="52" t="s">
        <v>33</v>
      </c>
      <c r="E6048" s="52" t="s">
        <v>604</v>
      </c>
      <c r="F6048" s="52" t="s">
        <v>581</v>
      </c>
      <c r="G6048" s="195" t="s">
        <v>277</v>
      </c>
      <c r="H6048" s="195">
        <v>21.62622</v>
      </c>
      <c r="I6048" s="195">
        <v>0.60449759999999997</v>
      </c>
      <c r="J6048" s="195">
        <v>6.9626000000000002E-3</v>
      </c>
      <c r="K6048" s="195">
        <v>0</v>
      </c>
      <c r="L6048" s="195"/>
      <c r="M6048" s="195">
        <v>0</v>
      </c>
      <c r="N6048" s="195">
        <v>0</v>
      </c>
    </row>
    <row r="6049" spans="1:14" hidden="1" x14ac:dyDescent="0.35">
      <c r="A6049" s="52" t="s">
        <v>674</v>
      </c>
      <c r="B6049" s="52" t="s">
        <v>34</v>
      </c>
      <c r="C6049" s="52" t="s">
        <v>33</v>
      </c>
      <c r="D6049" s="52" t="s">
        <v>33</v>
      </c>
      <c r="E6049" s="52" t="s">
        <v>604</v>
      </c>
      <c r="F6049" s="52" t="s">
        <v>581</v>
      </c>
      <c r="G6049" s="195" t="s">
        <v>278</v>
      </c>
      <c r="H6049" s="195">
        <v>5.433783</v>
      </c>
      <c r="I6049" s="195">
        <v>2.584247</v>
      </c>
      <c r="J6049" s="195">
        <v>1.19188E-2</v>
      </c>
      <c r="K6049" s="195">
        <v>0</v>
      </c>
      <c r="L6049" s="195">
        <v>0</v>
      </c>
      <c r="M6049" s="195">
        <v>0</v>
      </c>
      <c r="N6049" s="195"/>
    </row>
    <row r="6050" spans="1:14" hidden="1" x14ac:dyDescent="0.35">
      <c r="A6050" s="52" t="s">
        <v>674</v>
      </c>
      <c r="B6050" s="52" t="s">
        <v>34</v>
      </c>
      <c r="C6050" s="52" t="s">
        <v>33</v>
      </c>
      <c r="D6050" s="52" t="s">
        <v>33</v>
      </c>
      <c r="E6050" s="52" t="s">
        <v>604</v>
      </c>
      <c r="F6050" s="52" t="s">
        <v>581</v>
      </c>
      <c r="G6050" s="195" t="s">
        <v>279</v>
      </c>
      <c r="H6050" s="195">
        <v>41.40408</v>
      </c>
      <c r="I6050" s="195">
        <v>50.30198</v>
      </c>
      <c r="J6050" s="195">
        <v>41.806359999999998</v>
      </c>
      <c r="K6050" s="195">
        <v>33.229950000000002</v>
      </c>
      <c r="L6050" s="195">
        <v>29.880739999999999</v>
      </c>
      <c r="M6050" s="195">
        <v>22.657350000000001</v>
      </c>
      <c r="N6050" s="195">
        <v>20.131910000000001</v>
      </c>
    </row>
    <row r="6051" spans="1:14" hidden="1" x14ac:dyDescent="0.35">
      <c r="A6051" s="52" t="s">
        <v>674</v>
      </c>
      <c r="B6051" s="52" t="s">
        <v>34</v>
      </c>
      <c r="C6051" s="52" t="s">
        <v>33</v>
      </c>
      <c r="D6051" s="52" t="s">
        <v>33</v>
      </c>
      <c r="E6051" s="52" t="s">
        <v>604</v>
      </c>
      <c r="F6051" s="52" t="s">
        <v>26</v>
      </c>
      <c r="G6051" s="195" t="s">
        <v>275</v>
      </c>
      <c r="H6051" s="195">
        <v>-153.3989</v>
      </c>
      <c r="I6051" s="195">
        <v>25.0351</v>
      </c>
      <c r="J6051" s="195">
        <v>19.463750000000001</v>
      </c>
      <c r="K6051" s="195">
        <v>10.89944</v>
      </c>
      <c r="L6051" s="195">
        <v>-4.5414430000000001</v>
      </c>
      <c r="M6051" s="195">
        <v>-0.32161099999999998</v>
      </c>
      <c r="N6051" s="195">
        <v>-0.67730080000000004</v>
      </c>
    </row>
    <row r="6052" spans="1:14" hidden="1" x14ac:dyDescent="0.35">
      <c r="A6052" s="52" t="s">
        <v>674</v>
      </c>
      <c r="B6052" s="52" t="s">
        <v>34</v>
      </c>
      <c r="C6052" s="52" t="s">
        <v>33</v>
      </c>
      <c r="D6052" s="52" t="s">
        <v>33</v>
      </c>
      <c r="E6052" s="52" t="s">
        <v>604</v>
      </c>
      <c r="F6052" s="52" t="s">
        <v>26</v>
      </c>
      <c r="G6052" s="195" t="s">
        <v>276</v>
      </c>
      <c r="H6052" s="195">
        <v>-23.03218</v>
      </c>
      <c r="I6052" s="195">
        <v>-26.507010000000001</v>
      </c>
      <c r="J6052" s="195">
        <v>-21.04795</v>
      </c>
      <c r="K6052" s="195">
        <v>-13.40859</v>
      </c>
      <c r="L6052" s="195">
        <v>-2.4268299999999998</v>
      </c>
      <c r="M6052" s="195">
        <v>-0.30359799999999998</v>
      </c>
      <c r="N6052" s="195">
        <v>-0.32527020000000001</v>
      </c>
    </row>
    <row r="6053" spans="1:14" hidden="1" x14ac:dyDescent="0.35">
      <c r="A6053" s="52" t="s">
        <v>674</v>
      </c>
      <c r="B6053" s="52" t="s">
        <v>34</v>
      </c>
      <c r="C6053" s="52" t="s">
        <v>33</v>
      </c>
      <c r="D6053" s="52" t="s">
        <v>33</v>
      </c>
      <c r="E6053" s="52" t="s">
        <v>604</v>
      </c>
      <c r="F6053" s="52" t="s">
        <v>26</v>
      </c>
      <c r="G6053" s="195" t="s">
        <v>277</v>
      </c>
      <c r="H6053" s="195">
        <v>155.26660000000001</v>
      </c>
      <c r="I6053" s="195">
        <v>1.392306</v>
      </c>
      <c r="J6053" s="195">
        <v>0.50648219999999999</v>
      </c>
      <c r="K6053" s="195">
        <v>0.4620166</v>
      </c>
      <c r="L6053" s="195"/>
      <c r="M6053" s="195">
        <v>0</v>
      </c>
      <c r="N6053" s="195"/>
    </row>
    <row r="6054" spans="1:14" hidden="1" x14ac:dyDescent="0.35">
      <c r="A6054" s="52" t="s">
        <v>674</v>
      </c>
      <c r="B6054" s="52" t="s">
        <v>34</v>
      </c>
      <c r="C6054" s="52" t="s">
        <v>33</v>
      </c>
      <c r="D6054" s="52" t="s">
        <v>33</v>
      </c>
      <c r="E6054" s="52" t="s">
        <v>604</v>
      </c>
      <c r="F6054" s="52" t="s">
        <v>26</v>
      </c>
      <c r="G6054" s="195" t="s">
        <v>278</v>
      </c>
      <c r="H6054" s="195">
        <v>41.873379999999997</v>
      </c>
      <c r="I6054" s="195">
        <v>9.411524</v>
      </c>
      <c r="J6054" s="195">
        <v>0.73083940000000003</v>
      </c>
      <c r="K6054" s="195">
        <v>0.78862969999999999</v>
      </c>
      <c r="L6054" s="195"/>
      <c r="M6054" s="195">
        <v>0</v>
      </c>
      <c r="N6054" s="195"/>
    </row>
    <row r="6055" spans="1:14" hidden="1" x14ac:dyDescent="0.35">
      <c r="A6055" s="52" t="s">
        <v>674</v>
      </c>
      <c r="B6055" s="52" t="s">
        <v>34</v>
      </c>
      <c r="C6055" s="52" t="s">
        <v>33</v>
      </c>
      <c r="D6055" s="52" t="s">
        <v>33</v>
      </c>
      <c r="E6055" s="52" t="s">
        <v>604</v>
      </c>
      <c r="F6055" s="52" t="s">
        <v>26</v>
      </c>
      <c r="G6055" s="195" t="s">
        <v>279</v>
      </c>
      <c r="H6055" s="195">
        <v>71.986519999999999</v>
      </c>
      <c r="I6055" s="195">
        <v>89.495400000000004</v>
      </c>
      <c r="J6055" s="195">
        <v>74.660229999999999</v>
      </c>
      <c r="K6055" s="195">
        <v>58.778239999999997</v>
      </c>
      <c r="L6055" s="195">
        <v>53.531120000000001</v>
      </c>
      <c r="M6055" s="195">
        <v>40.624699999999997</v>
      </c>
      <c r="N6055" s="195">
        <v>36.177160000000001</v>
      </c>
    </row>
    <row r="6056" spans="1:14" hidden="1" x14ac:dyDescent="0.35">
      <c r="A6056" s="52" t="s">
        <v>674</v>
      </c>
      <c r="B6056" s="52" t="s">
        <v>34</v>
      </c>
      <c r="C6056" s="52" t="s">
        <v>33</v>
      </c>
      <c r="D6056" s="52" t="s">
        <v>33</v>
      </c>
      <c r="E6056" s="52" t="s">
        <v>676</v>
      </c>
      <c r="F6056" s="52" t="s">
        <v>581</v>
      </c>
      <c r="G6056" s="195" t="s">
        <v>275</v>
      </c>
      <c r="H6056" s="195">
        <v>39.016889999999997</v>
      </c>
      <c r="I6056" s="195">
        <v>22.636099999999999</v>
      </c>
      <c r="J6056" s="195">
        <v>14.790520000000001</v>
      </c>
      <c r="K6056" s="195">
        <v>8.8141320000000007</v>
      </c>
      <c r="L6056" s="195">
        <v>3.4442949999999999</v>
      </c>
      <c r="M6056" s="195">
        <v>4.5678359999999998</v>
      </c>
      <c r="N6056" s="195">
        <v>4.0074040000000002</v>
      </c>
    </row>
    <row r="6057" spans="1:14" hidden="1" x14ac:dyDescent="0.35">
      <c r="A6057" s="52" t="s">
        <v>674</v>
      </c>
      <c r="B6057" s="52" t="s">
        <v>34</v>
      </c>
      <c r="C6057" s="52" t="s">
        <v>33</v>
      </c>
      <c r="D6057" s="52" t="s">
        <v>33</v>
      </c>
      <c r="E6057" s="52" t="s">
        <v>676</v>
      </c>
      <c r="F6057" s="52" t="s">
        <v>581</v>
      </c>
      <c r="G6057" s="195" t="s">
        <v>276</v>
      </c>
      <c r="H6057" s="195">
        <v>5.6426670000000003</v>
      </c>
      <c r="I6057" s="195">
        <v>-12.58243</v>
      </c>
      <c r="J6057" s="195">
        <v>-6.525334</v>
      </c>
      <c r="K6057" s="195">
        <v>-2.0483370000000001</v>
      </c>
      <c r="L6057" s="195">
        <v>0.49476160000000002</v>
      </c>
      <c r="M6057" s="195">
        <v>1.263441</v>
      </c>
      <c r="N6057" s="195">
        <v>1.150158</v>
      </c>
    </row>
    <row r="6058" spans="1:14" hidden="1" x14ac:dyDescent="0.35">
      <c r="A6058" s="52" t="s">
        <v>674</v>
      </c>
      <c r="B6058" s="52" t="s">
        <v>34</v>
      </c>
      <c r="C6058" s="52" t="s">
        <v>33</v>
      </c>
      <c r="D6058" s="52" t="s">
        <v>33</v>
      </c>
      <c r="E6058" s="52" t="s">
        <v>676</v>
      </c>
      <c r="F6058" s="52" t="s">
        <v>581</v>
      </c>
      <c r="G6058" s="195" t="s">
        <v>277</v>
      </c>
      <c r="H6058" s="195">
        <v>47.982010000000002</v>
      </c>
      <c r="I6058" s="195">
        <v>3.490764</v>
      </c>
      <c r="J6058" s="195">
        <v>0.34441559999999999</v>
      </c>
      <c r="K6058" s="195">
        <v>0.21535180000000001</v>
      </c>
      <c r="L6058" s="195"/>
      <c r="M6058" s="195">
        <v>0</v>
      </c>
      <c r="N6058" s="195">
        <v>0</v>
      </c>
    </row>
    <row r="6059" spans="1:14" hidden="1" x14ac:dyDescent="0.35">
      <c r="A6059" s="52" t="s">
        <v>674</v>
      </c>
      <c r="B6059" s="52" t="s">
        <v>34</v>
      </c>
      <c r="C6059" s="52" t="s">
        <v>33</v>
      </c>
      <c r="D6059" s="52" t="s">
        <v>33</v>
      </c>
      <c r="E6059" s="52" t="s">
        <v>676</v>
      </c>
      <c r="F6059" s="52" t="s">
        <v>581</v>
      </c>
      <c r="G6059" s="195" t="s">
        <v>278</v>
      </c>
      <c r="H6059" s="195">
        <v>8.6079880000000006</v>
      </c>
      <c r="I6059" s="195">
        <v>3.1400169999999998</v>
      </c>
      <c r="J6059" s="195">
        <v>0.38029259999999998</v>
      </c>
      <c r="K6059" s="195">
        <v>0.2043258</v>
      </c>
      <c r="L6059" s="195"/>
      <c r="M6059" s="195">
        <v>0</v>
      </c>
      <c r="N6059" s="195">
        <v>0</v>
      </c>
    </row>
    <row r="6060" spans="1:14" hidden="1" x14ac:dyDescent="0.35">
      <c r="A6060" s="52" t="s">
        <v>674</v>
      </c>
      <c r="B6060" s="52" t="s">
        <v>34</v>
      </c>
      <c r="C6060" s="52" t="s">
        <v>33</v>
      </c>
      <c r="D6060" s="52" t="s">
        <v>33</v>
      </c>
      <c r="E6060" s="52" t="s">
        <v>676</v>
      </c>
      <c r="F6060" s="52" t="s">
        <v>581</v>
      </c>
      <c r="G6060" s="195" t="s">
        <v>279</v>
      </c>
      <c r="H6060" s="195">
        <v>41.624189999999999</v>
      </c>
      <c r="I6060" s="195">
        <v>35.123370000000001</v>
      </c>
      <c r="J6060" s="195">
        <v>27.334379999999999</v>
      </c>
      <c r="K6060" s="195">
        <v>22.343309999999999</v>
      </c>
      <c r="L6060" s="195">
        <v>21.092580000000002</v>
      </c>
      <c r="M6060" s="195">
        <v>16.254580000000001</v>
      </c>
      <c r="N6060" s="195">
        <v>14.3583</v>
      </c>
    </row>
    <row r="6061" spans="1:14" hidden="1" x14ac:dyDescent="0.35">
      <c r="A6061" s="52" t="s">
        <v>674</v>
      </c>
      <c r="B6061" s="52" t="s">
        <v>34</v>
      </c>
      <c r="C6061" s="52" t="s">
        <v>33</v>
      </c>
      <c r="D6061" s="52" t="s">
        <v>33</v>
      </c>
      <c r="E6061" s="52" t="s">
        <v>676</v>
      </c>
      <c r="F6061" s="52" t="s">
        <v>26</v>
      </c>
      <c r="G6061" s="195" t="s">
        <v>275</v>
      </c>
      <c r="H6061" s="195">
        <v>-4.6402619999999999</v>
      </c>
      <c r="I6061" s="195">
        <v>-5.7338870000000002</v>
      </c>
      <c r="J6061" s="195">
        <v>-5.2036670000000003</v>
      </c>
      <c r="K6061" s="195">
        <v>-4.309952</v>
      </c>
      <c r="L6061" s="195">
        <v>-4.6724620000000003</v>
      </c>
      <c r="M6061" s="195">
        <v>-3.1851600000000002</v>
      </c>
      <c r="N6061" s="195">
        <v>-2.8609270000000002</v>
      </c>
    </row>
    <row r="6062" spans="1:14" hidden="1" x14ac:dyDescent="0.35">
      <c r="A6062" s="52" t="s">
        <v>674</v>
      </c>
      <c r="B6062" s="52" t="s">
        <v>34</v>
      </c>
      <c r="C6062" s="52" t="s">
        <v>33</v>
      </c>
      <c r="D6062" s="52" t="s">
        <v>33</v>
      </c>
      <c r="E6062" s="52" t="s">
        <v>676</v>
      </c>
      <c r="F6062" s="52" t="s">
        <v>26</v>
      </c>
      <c r="G6062" s="195" t="s">
        <v>276</v>
      </c>
      <c r="H6062" s="195">
        <v>-1.6730210000000001</v>
      </c>
      <c r="I6062" s="195">
        <v>-1.9112960000000001</v>
      </c>
      <c r="J6062" s="195">
        <v>-1.6432629999999999</v>
      </c>
      <c r="K6062" s="195">
        <v>-1.287388</v>
      </c>
      <c r="L6062" s="195">
        <v>-1.3956710000000001</v>
      </c>
      <c r="M6062" s="195">
        <v>-0.95140959999999997</v>
      </c>
      <c r="N6062" s="195">
        <v>-0.85456379999999998</v>
      </c>
    </row>
    <row r="6063" spans="1:14" hidden="1" x14ac:dyDescent="0.35">
      <c r="A6063" s="52" t="s">
        <v>674</v>
      </c>
      <c r="B6063" s="52" t="s">
        <v>34</v>
      </c>
      <c r="C6063" s="52" t="s">
        <v>33</v>
      </c>
      <c r="D6063" s="52" t="s">
        <v>33</v>
      </c>
      <c r="E6063" s="52" t="s">
        <v>676</v>
      </c>
      <c r="F6063" s="52" t="s">
        <v>26</v>
      </c>
      <c r="G6063" s="195" t="s">
        <v>279</v>
      </c>
      <c r="H6063" s="195">
        <v>23.415620000000001</v>
      </c>
      <c r="I6063" s="195">
        <v>19.692799999999998</v>
      </c>
      <c r="J6063" s="195">
        <v>15.20312</v>
      </c>
      <c r="K6063" s="195">
        <v>12.30091</v>
      </c>
      <c r="L6063" s="195">
        <v>11.7174</v>
      </c>
      <c r="M6063" s="195">
        <v>9.0112089999999991</v>
      </c>
      <c r="N6063" s="195">
        <v>7.959797</v>
      </c>
    </row>
    <row r="6064" spans="1:14" hidden="1" x14ac:dyDescent="0.35">
      <c r="A6064" s="52" t="s">
        <v>674</v>
      </c>
      <c r="B6064" s="52" t="s">
        <v>34</v>
      </c>
      <c r="C6064" s="52" t="s">
        <v>33</v>
      </c>
      <c r="D6064" s="52" t="s">
        <v>33</v>
      </c>
      <c r="E6064" s="52" t="s">
        <v>584</v>
      </c>
      <c r="F6064" s="52" t="s">
        <v>581</v>
      </c>
      <c r="G6064" s="195" t="s">
        <v>275</v>
      </c>
      <c r="H6064" s="195">
        <v>9.6587759999999996</v>
      </c>
      <c r="I6064" s="195">
        <v>-1.4039299999999999</v>
      </c>
      <c r="J6064" s="195">
        <v>-3.6979639999999998</v>
      </c>
      <c r="K6064" s="195">
        <v>-44.202919999999999</v>
      </c>
      <c r="L6064" s="195">
        <v>-3.8077220000000001</v>
      </c>
      <c r="M6064" s="195">
        <v>-0.1065614</v>
      </c>
      <c r="N6064" s="195">
        <v>-0.107941</v>
      </c>
    </row>
    <row r="6065" spans="1:14" hidden="1" x14ac:dyDescent="0.35">
      <c r="A6065" s="52" t="s">
        <v>674</v>
      </c>
      <c r="B6065" s="52" t="s">
        <v>34</v>
      </c>
      <c r="C6065" s="52" t="s">
        <v>33</v>
      </c>
      <c r="D6065" s="52" t="s">
        <v>33</v>
      </c>
      <c r="E6065" s="52" t="s">
        <v>584</v>
      </c>
      <c r="F6065" s="52" t="s">
        <v>581</v>
      </c>
      <c r="G6065" s="195" t="s">
        <v>276</v>
      </c>
      <c r="H6065" s="195">
        <v>2.805053</v>
      </c>
      <c r="I6065" s="195">
        <v>-0.87567700000000004</v>
      </c>
      <c r="J6065" s="195">
        <v>-1.426291</v>
      </c>
      <c r="K6065" s="195">
        <v>-13.3</v>
      </c>
      <c r="L6065" s="195">
        <v>-1.227716</v>
      </c>
      <c r="M6065" s="195">
        <v>-9.2464019999999994E-2</v>
      </c>
      <c r="N6065" s="195">
        <v>-7.4957399999999993E-2</v>
      </c>
    </row>
    <row r="6066" spans="1:14" hidden="1" x14ac:dyDescent="0.35">
      <c r="A6066" s="52" t="s">
        <v>674</v>
      </c>
      <c r="B6066" s="52" t="s">
        <v>34</v>
      </c>
      <c r="C6066" s="52" t="s">
        <v>33</v>
      </c>
      <c r="D6066" s="52" t="s">
        <v>33</v>
      </c>
      <c r="E6066" s="52" t="s">
        <v>584</v>
      </c>
      <c r="F6066" s="52" t="s">
        <v>581</v>
      </c>
      <c r="G6066" s="195" t="s">
        <v>277</v>
      </c>
      <c r="H6066" s="195">
        <v>3.4620500000000001</v>
      </c>
      <c r="I6066" s="195">
        <v>2.521509</v>
      </c>
      <c r="J6066" s="195">
        <v>2.2409520000000001</v>
      </c>
      <c r="K6066" s="195">
        <v>1.9256409999999999</v>
      </c>
      <c r="L6066" s="195">
        <v>1.826082</v>
      </c>
      <c r="M6066" s="195">
        <v>1.7269030000000001</v>
      </c>
      <c r="N6066" s="195">
        <v>1.6355440000000001</v>
      </c>
    </row>
    <row r="6067" spans="1:14" hidden="1" x14ac:dyDescent="0.35">
      <c r="A6067" s="52" t="s">
        <v>674</v>
      </c>
      <c r="B6067" s="52" t="s">
        <v>34</v>
      </c>
      <c r="C6067" s="52" t="s">
        <v>33</v>
      </c>
      <c r="D6067" s="52" t="s">
        <v>33</v>
      </c>
      <c r="E6067" s="52" t="s">
        <v>584</v>
      </c>
      <c r="F6067" s="52" t="s">
        <v>581</v>
      </c>
      <c r="G6067" s="195" t="s">
        <v>279</v>
      </c>
      <c r="H6067" s="195">
        <v>7.5583879999999999</v>
      </c>
      <c r="I6067" s="195">
        <v>7.6485339999999997</v>
      </c>
      <c r="J6067" s="195">
        <v>8.6741849999999996</v>
      </c>
      <c r="K6067" s="195">
        <v>59.87865</v>
      </c>
      <c r="L6067" s="195">
        <v>6.9180099999999998</v>
      </c>
      <c r="M6067" s="195">
        <v>1.9834579999999999</v>
      </c>
      <c r="N6067" s="195">
        <v>1.893081</v>
      </c>
    </row>
    <row r="6068" spans="1:14" hidden="1" x14ac:dyDescent="0.35">
      <c r="A6068" s="52" t="s">
        <v>674</v>
      </c>
      <c r="B6068" s="52" t="s">
        <v>34</v>
      </c>
      <c r="C6068" s="52" t="s">
        <v>33</v>
      </c>
      <c r="D6068" s="52" t="s">
        <v>33</v>
      </c>
      <c r="E6068" s="52" t="s">
        <v>584</v>
      </c>
      <c r="F6068" s="52" t="s">
        <v>26</v>
      </c>
      <c r="G6068" s="195" t="s">
        <v>275</v>
      </c>
      <c r="H6068" s="195">
        <v>11.422599999999999</v>
      </c>
      <c r="I6068" s="195">
        <v>-12.3985</v>
      </c>
      <c r="J6068" s="195">
        <v>-18.726929999999999</v>
      </c>
      <c r="K6068" s="195">
        <v>-41.708120000000001</v>
      </c>
      <c r="L6068" s="195">
        <v>-10.356540000000001</v>
      </c>
      <c r="M6068" s="195">
        <v>-7.1153209999999998</v>
      </c>
      <c r="N6068" s="195">
        <v>-7.3496959999999998</v>
      </c>
    </row>
    <row r="6069" spans="1:14" hidden="1" x14ac:dyDescent="0.35">
      <c r="A6069" s="52" t="s">
        <v>674</v>
      </c>
      <c r="B6069" s="52" t="s">
        <v>34</v>
      </c>
      <c r="C6069" s="52" t="s">
        <v>33</v>
      </c>
      <c r="D6069" s="52" t="s">
        <v>33</v>
      </c>
      <c r="E6069" s="52" t="s">
        <v>584</v>
      </c>
      <c r="F6069" s="52" t="s">
        <v>26</v>
      </c>
      <c r="G6069" s="195" t="s">
        <v>276</v>
      </c>
      <c r="H6069" s="195">
        <v>-8.1763379999999994</v>
      </c>
      <c r="I6069" s="195">
        <v>-8.3380229999999997</v>
      </c>
      <c r="J6069" s="195">
        <v>-7.5169100000000002</v>
      </c>
      <c r="K6069" s="195">
        <v>-11.89278</v>
      </c>
      <c r="L6069" s="195">
        <v>-3.0697070000000002</v>
      </c>
      <c r="M6069" s="195">
        <v>-1.5563210000000001</v>
      </c>
      <c r="N6069" s="195">
        <v>-1.7802359999999999</v>
      </c>
    </row>
    <row r="6070" spans="1:14" hidden="1" x14ac:dyDescent="0.35">
      <c r="A6070" s="52" t="s">
        <v>674</v>
      </c>
      <c r="B6070" s="52" t="s">
        <v>34</v>
      </c>
      <c r="C6070" s="52" t="s">
        <v>33</v>
      </c>
      <c r="D6070" s="52" t="s">
        <v>33</v>
      </c>
      <c r="E6070" s="52" t="s">
        <v>584</v>
      </c>
      <c r="F6070" s="52" t="s">
        <v>26</v>
      </c>
      <c r="G6070" s="195" t="s">
        <v>277</v>
      </c>
      <c r="H6070" s="195">
        <v>2.636225</v>
      </c>
      <c r="I6070" s="195">
        <v>12.541969999999999</v>
      </c>
      <c r="J6070" s="195">
        <v>10.203900000000001</v>
      </c>
      <c r="K6070" s="195">
        <v>10.106199999999999</v>
      </c>
      <c r="L6070" s="195">
        <v>11.05696</v>
      </c>
      <c r="M6070" s="195">
        <v>12.99573</v>
      </c>
      <c r="N6070" s="195">
        <v>13.239330000000001</v>
      </c>
    </row>
    <row r="6071" spans="1:14" hidden="1" x14ac:dyDescent="0.35">
      <c r="A6071" s="52" t="s">
        <v>674</v>
      </c>
      <c r="B6071" s="52" t="s">
        <v>34</v>
      </c>
      <c r="C6071" s="52" t="s">
        <v>33</v>
      </c>
      <c r="D6071" s="52" t="s">
        <v>33</v>
      </c>
      <c r="E6071" s="52" t="s">
        <v>584</v>
      </c>
      <c r="F6071" s="52" t="s">
        <v>26</v>
      </c>
      <c r="G6071" s="195" t="s">
        <v>279</v>
      </c>
      <c r="H6071" s="195">
        <v>31.794699999999999</v>
      </c>
      <c r="I6071" s="195">
        <v>36.8688</v>
      </c>
      <c r="J6071" s="195">
        <v>39.660910000000001</v>
      </c>
      <c r="K6071" s="195">
        <v>61.005760000000002</v>
      </c>
      <c r="L6071" s="195">
        <v>19.218229999999998</v>
      </c>
      <c r="M6071" s="195">
        <v>11.94097</v>
      </c>
      <c r="N6071" s="195">
        <v>11.65113</v>
      </c>
    </row>
    <row r="6072" spans="1:14" hidden="1" x14ac:dyDescent="0.35">
      <c r="A6072" s="52" t="s">
        <v>674</v>
      </c>
      <c r="B6072" s="52" t="s">
        <v>34</v>
      </c>
      <c r="C6072" s="52" t="s">
        <v>33</v>
      </c>
      <c r="D6072" s="52" t="s">
        <v>33</v>
      </c>
      <c r="E6072" s="52" t="s">
        <v>677</v>
      </c>
      <c r="F6072" s="52" t="s">
        <v>581</v>
      </c>
      <c r="G6072" s="195" t="s">
        <v>275</v>
      </c>
      <c r="H6072" s="195">
        <v>3.4643700000000002</v>
      </c>
      <c r="I6072" s="195">
        <v>0.48609479999999999</v>
      </c>
      <c r="J6072" s="195">
        <v>0.185113</v>
      </c>
      <c r="K6072" s="195">
        <v>0.12327340000000001</v>
      </c>
      <c r="L6072" s="195">
        <v>3.1847800000000002E-2</v>
      </c>
      <c r="M6072" s="195">
        <v>0.1028888</v>
      </c>
      <c r="N6072" s="195">
        <v>8.7426599999999993E-2</v>
      </c>
    </row>
    <row r="6073" spans="1:14" hidden="1" x14ac:dyDescent="0.35">
      <c r="A6073" s="52" t="s">
        <v>674</v>
      </c>
      <c r="B6073" s="52" t="s">
        <v>34</v>
      </c>
      <c r="C6073" s="52" t="s">
        <v>33</v>
      </c>
      <c r="D6073" s="52" t="s">
        <v>33</v>
      </c>
      <c r="E6073" s="52" t="s">
        <v>677</v>
      </c>
      <c r="F6073" s="52" t="s">
        <v>581</v>
      </c>
      <c r="G6073" s="195" t="s">
        <v>276</v>
      </c>
      <c r="H6073" s="195">
        <v>1.249058</v>
      </c>
      <c r="I6073" s="195">
        <v>0.1620308</v>
      </c>
      <c r="J6073" s="195">
        <v>5.8458000000000003E-2</v>
      </c>
      <c r="K6073" s="195">
        <v>3.6821199999999998E-2</v>
      </c>
      <c r="L6073" s="195">
        <v>9.5130049999999997E-3</v>
      </c>
      <c r="M6073" s="195">
        <v>3.0732200000000001E-2</v>
      </c>
      <c r="N6073" s="195">
        <v>2.6114200000000001E-2</v>
      </c>
    </row>
    <row r="6074" spans="1:14" hidden="1" x14ac:dyDescent="0.35">
      <c r="A6074" s="52" t="s">
        <v>674</v>
      </c>
      <c r="B6074" s="52" t="s">
        <v>34</v>
      </c>
      <c r="C6074" s="52" t="s">
        <v>33</v>
      </c>
      <c r="D6074" s="52" t="s">
        <v>33</v>
      </c>
      <c r="E6074" s="52" t="s">
        <v>677</v>
      </c>
      <c r="F6074" s="52" t="s">
        <v>581</v>
      </c>
      <c r="G6074" s="195" t="s">
        <v>279</v>
      </c>
      <c r="H6074" s="195">
        <v>1.979508</v>
      </c>
      <c r="I6074" s="195">
        <v>2.2485889999999999</v>
      </c>
      <c r="J6074" s="195">
        <v>1.6573260000000001</v>
      </c>
      <c r="K6074" s="195">
        <v>1.2611669999999999</v>
      </c>
      <c r="L6074" s="195">
        <v>1.099869</v>
      </c>
      <c r="M6074" s="195">
        <v>0.79178709999999997</v>
      </c>
      <c r="N6074" s="195">
        <v>0.67550619999999995</v>
      </c>
    </row>
    <row r="6075" spans="1:14" hidden="1" x14ac:dyDescent="0.35">
      <c r="A6075" s="52" t="s">
        <v>674</v>
      </c>
      <c r="B6075" s="52" t="s">
        <v>34</v>
      </c>
      <c r="C6075" s="52" t="s">
        <v>33</v>
      </c>
      <c r="D6075" s="52" t="s">
        <v>33</v>
      </c>
      <c r="E6075" s="52" t="s">
        <v>677</v>
      </c>
      <c r="F6075" s="52" t="s">
        <v>26</v>
      </c>
      <c r="G6075" s="195" t="s">
        <v>275</v>
      </c>
      <c r="H6075" s="195">
        <v>-11.85547</v>
      </c>
      <c r="I6075" s="195">
        <v>0.51550890000000005</v>
      </c>
      <c r="J6075" s="195">
        <v>2.90211</v>
      </c>
      <c r="K6075" s="195">
        <v>1.48007</v>
      </c>
      <c r="L6075" s="195">
        <v>0.22270380000000001</v>
      </c>
      <c r="M6075" s="195">
        <v>0.40476600000000001</v>
      </c>
      <c r="N6075" s="195">
        <v>0.28171479999999999</v>
      </c>
    </row>
    <row r="6076" spans="1:14" hidden="1" x14ac:dyDescent="0.35">
      <c r="A6076" s="52" t="s">
        <v>674</v>
      </c>
      <c r="B6076" s="52" t="s">
        <v>34</v>
      </c>
      <c r="C6076" s="52" t="s">
        <v>33</v>
      </c>
      <c r="D6076" s="52" t="s">
        <v>33</v>
      </c>
      <c r="E6076" s="52" t="s">
        <v>677</v>
      </c>
      <c r="F6076" s="52" t="s">
        <v>26</v>
      </c>
      <c r="G6076" s="195" t="s">
        <v>276</v>
      </c>
      <c r="H6076" s="195">
        <v>-1.8229249999999999</v>
      </c>
      <c r="I6076" s="195">
        <v>-2.2908210000000002</v>
      </c>
      <c r="J6076" s="195">
        <v>-2.4822069999999998</v>
      </c>
      <c r="K6076" s="195">
        <v>-1.2092160000000001</v>
      </c>
      <c r="L6076" s="195">
        <v>-0.31593399999999999</v>
      </c>
      <c r="M6076" s="195">
        <v>2.9147610000000001E-2</v>
      </c>
      <c r="N6076" s="195">
        <v>4.1206600000000003E-2</v>
      </c>
    </row>
    <row r="6077" spans="1:14" hidden="1" x14ac:dyDescent="0.35">
      <c r="A6077" s="52" t="s">
        <v>674</v>
      </c>
      <c r="B6077" s="52" t="s">
        <v>34</v>
      </c>
      <c r="C6077" s="52" t="s">
        <v>33</v>
      </c>
      <c r="D6077" s="52" t="s">
        <v>33</v>
      </c>
      <c r="E6077" s="52" t="s">
        <v>677</v>
      </c>
      <c r="F6077" s="52" t="s">
        <v>26</v>
      </c>
      <c r="G6077" s="195" t="s">
        <v>277</v>
      </c>
      <c r="H6077" s="195">
        <v>11.36171</v>
      </c>
      <c r="I6077" s="195">
        <v>1.4423490000000001</v>
      </c>
      <c r="J6077" s="195">
        <v>0.20636499999999999</v>
      </c>
      <c r="K6077" s="195">
        <v>0.17405680000000001</v>
      </c>
      <c r="L6077" s="195"/>
      <c r="M6077" s="195">
        <v>0</v>
      </c>
      <c r="N6077" s="195">
        <v>0</v>
      </c>
    </row>
    <row r="6078" spans="1:14" hidden="1" x14ac:dyDescent="0.35">
      <c r="A6078" s="52" t="s">
        <v>674</v>
      </c>
      <c r="B6078" s="52" t="s">
        <v>34</v>
      </c>
      <c r="C6078" s="52" t="s">
        <v>33</v>
      </c>
      <c r="D6078" s="52" t="s">
        <v>33</v>
      </c>
      <c r="E6078" s="52" t="s">
        <v>677</v>
      </c>
      <c r="F6078" s="52" t="s">
        <v>26</v>
      </c>
      <c r="G6078" s="195" t="s">
        <v>278</v>
      </c>
      <c r="H6078" s="195">
        <v>6.7682900000000004</v>
      </c>
      <c r="I6078" s="195">
        <v>3.1144319999999999</v>
      </c>
      <c r="J6078" s="195">
        <v>0.44732179999999999</v>
      </c>
      <c r="K6078" s="195">
        <v>0.23501279999999999</v>
      </c>
      <c r="L6078" s="195"/>
      <c r="M6078" s="195">
        <v>0</v>
      </c>
      <c r="N6078" s="195">
        <v>0</v>
      </c>
    </row>
    <row r="6079" spans="1:14" hidden="1" x14ac:dyDescent="0.35">
      <c r="A6079" s="52" t="s">
        <v>674</v>
      </c>
      <c r="B6079" s="52" t="s">
        <v>34</v>
      </c>
      <c r="C6079" s="52" t="s">
        <v>33</v>
      </c>
      <c r="D6079" s="52" t="s">
        <v>33</v>
      </c>
      <c r="E6079" s="52" t="s">
        <v>677</v>
      </c>
      <c r="F6079" s="52" t="s">
        <v>26</v>
      </c>
      <c r="G6079" s="195" t="s">
        <v>279</v>
      </c>
      <c r="H6079" s="195">
        <v>8.2943449999999999</v>
      </c>
      <c r="I6079" s="195">
        <v>9.3817830000000004</v>
      </c>
      <c r="J6079" s="195">
        <v>6.8464130000000001</v>
      </c>
      <c r="K6079" s="195">
        <v>5.1471539999999996</v>
      </c>
      <c r="L6079" s="195">
        <v>4.5367319999999998</v>
      </c>
      <c r="M6079" s="195">
        <v>3.2580249999999999</v>
      </c>
      <c r="N6079" s="195">
        <v>2.7794829999999999</v>
      </c>
    </row>
    <row r="6080" spans="1:14" hidden="1" x14ac:dyDescent="0.35">
      <c r="A6080" s="52" t="s">
        <v>674</v>
      </c>
      <c r="B6080" s="52" t="s">
        <v>34</v>
      </c>
      <c r="C6080" s="52" t="s">
        <v>230</v>
      </c>
      <c r="D6080" s="52" t="s">
        <v>230</v>
      </c>
      <c r="E6080" s="52" t="s">
        <v>584</v>
      </c>
      <c r="F6080" s="52" t="s">
        <v>581</v>
      </c>
      <c r="G6080" s="195" t="s">
        <v>275</v>
      </c>
      <c r="H6080" s="195">
        <v>1.319259</v>
      </c>
      <c r="I6080" s="195">
        <v>0.42395820000000001</v>
      </c>
      <c r="J6080" s="195">
        <v>0.32151839999999998</v>
      </c>
      <c r="K6080" s="195">
        <v>0.27218900000000001</v>
      </c>
      <c r="L6080" s="195">
        <v>0.2666114</v>
      </c>
      <c r="M6080" s="195">
        <v>0.26260080000000002</v>
      </c>
      <c r="N6080" s="195">
        <v>0.252585</v>
      </c>
    </row>
    <row r="6081" spans="1:14" hidden="1" x14ac:dyDescent="0.35">
      <c r="A6081" s="52" t="s">
        <v>674</v>
      </c>
      <c r="B6081" s="52" t="s">
        <v>34</v>
      </c>
      <c r="C6081" s="52" t="s">
        <v>230</v>
      </c>
      <c r="D6081" s="52" t="s">
        <v>230</v>
      </c>
      <c r="E6081" s="52" t="s">
        <v>584</v>
      </c>
      <c r="F6081" s="52" t="s">
        <v>581</v>
      </c>
      <c r="G6081" s="195" t="s">
        <v>276</v>
      </c>
      <c r="H6081" s="195">
        <v>0.31439600000000001</v>
      </c>
      <c r="I6081" s="195">
        <v>6.8395200000000003E-2</v>
      </c>
      <c r="J6081" s="195">
        <v>7.7285999999999994E-2</v>
      </c>
      <c r="K6081" s="195">
        <v>0.107991</v>
      </c>
      <c r="L6081" s="195">
        <v>9.5070589999999996E-2</v>
      </c>
      <c r="M6081" s="195">
        <v>9.3558799999999998E-2</v>
      </c>
      <c r="N6081" s="195">
        <v>9.0096190000000007E-2</v>
      </c>
    </row>
    <row r="6082" spans="1:14" hidden="1" x14ac:dyDescent="0.35">
      <c r="A6082" s="52" t="s">
        <v>674</v>
      </c>
      <c r="B6082" s="52" t="s">
        <v>34</v>
      </c>
      <c r="C6082" s="52" t="s">
        <v>230</v>
      </c>
      <c r="D6082" s="52" t="s">
        <v>230</v>
      </c>
      <c r="E6082" s="52" t="s">
        <v>584</v>
      </c>
      <c r="F6082" s="52" t="s">
        <v>581</v>
      </c>
      <c r="G6082" s="195" t="s">
        <v>277</v>
      </c>
      <c r="H6082" s="195">
        <v>0</v>
      </c>
      <c r="I6082" s="195"/>
      <c r="J6082" s="195"/>
      <c r="K6082" s="195"/>
      <c r="L6082" s="195"/>
      <c r="M6082" s="195"/>
      <c r="N6082" s="195"/>
    </row>
    <row r="6083" spans="1:14" hidden="1" x14ac:dyDescent="0.35">
      <c r="A6083" s="52" t="s">
        <v>674</v>
      </c>
      <c r="B6083" s="52" t="s">
        <v>34</v>
      </c>
      <c r="C6083" s="52" t="s">
        <v>230</v>
      </c>
      <c r="D6083" s="52" t="s">
        <v>230</v>
      </c>
      <c r="E6083" s="52" t="s">
        <v>584</v>
      </c>
      <c r="F6083" s="52" t="s">
        <v>581</v>
      </c>
      <c r="G6083" s="195" t="s">
        <v>279</v>
      </c>
      <c r="H6083" s="195">
        <v>8.8319999999999996E-2</v>
      </c>
      <c r="I6083" s="195">
        <v>8.1133010000000005E-2</v>
      </c>
      <c r="J6083" s="195">
        <v>7.4778010000000006E-2</v>
      </c>
      <c r="K6083" s="195">
        <v>7.5313000000000005E-2</v>
      </c>
      <c r="L6083" s="195">
        <v>7.6322000000000001E-2</v>
      </c>
      <c r="M6083" s="195">
        <v>6.4942E-2</v>
      </c>
      <c r="N6083" s="195">
        <v>6.2093000000000002E-2</v>
      </c>
    </row>
    <row r="6084" spans="1:14" hidden="1" x14ac:dyDescent="0.35">
      <c r="A6084" s="52" t="s">
        <v>679</v>
      </c>
      <c r="B6084" s="52" t="s">
        <v>37</v>
      </c>
      <c r="C6084" s="52" t="s">
        <v>63</v>
      </c>
      <c r="D6084" s="52" t="s">
        <v>63</v>
      </c>
      <c r="E6084" s="52" t="s">
        <v>609</v>
      </c>
      <c r="F6084" s="52" t="s">
        <v>26</v>
      </c>
      <c r="G6084" s="195" t="s">
        <v>275</v>
      </c>
      <c r="H6084" s="195">
        <v>-53.499929999999999</v>
      </c>
      <c r="I6084" s="195">
        <v>176.2165</v>
      </c>
      <c r="J6084" s="195">
        <v>199.2569</v>
      </c>
      <c r="K6084" s="195">
        <v>157.5933</v>
      </c>
      <c r="L6084" s="195">
        <v>109.1553</v>
      </c>
      <c r="M6084" s="195">
        <v>91.483630000000005</v>
      </c>
      <c r="N6084" s="195">
        <v>78.78622</v>
      </c>
    </row>
    <row r="6085" spans="1:14" hidden="1" x14ac:dyDescent="0.35">
      <c r="A6085" s="52" t="s">
        <v>679</v>
      </c>
      <c r="B6085" s="52" t="s">
        <v>37</v>
      </c>
      <c r="C6085" s="52" t="s">
        <v>63</v>
      </c>
      <c r="D6085" s="52" t="s">
        <v>63</v>
      </c>
      <c r="E6085" s="52" t="s">
        <v>609</v>
      </c>
      <c r="F6085" s="52" t="s">
        <v>26</v>
      </c>
      <c r="G6085" s="195" t="s">
        <v>276</v>
      </c>
      <c r="H6085" s="195">
        <v>8.1315910000000002</v>
      </c>
      <c r="I6085" s="195">
        <v>0</v>
      </c>
      <c r="J6085" s="195"/>
      <c r="K6085" s="195">
        <v>0</v>
      </c>
      <c r="L6085" s="195"/>
      <c r="M6085" s="195">
        <v>1.198928</v>
      </c>
      <c r="N6085" s="195">
        <v>6.9876639999999997</v>
      </c>
    </row>
    <row r="6086" spans="1:14" hidden="1" x14ac:dyDescent="0.35">
      <c r="A6086" s="52" t="s">
        <v>679</v>
      </c>
      <c r="B6086" s="52" t="s">
        <v>37</v>
      </c>
      <c r="C6086" s="52" t="s">
        <v>63</v>
      </c>
      <c r="D6086" s="52" t="s">
        <v>63</v>
      </c>
      <c r="E6086" s="52" t="s">
        <v>609</v>
      </c>
      <c r="F6086" s="52" t="s">
        <v>26</v>
      </c>
      <c r="G6086" s="195" t="s">
        <v>277</v>
      </c>
      <c r="H6086" s="195">
        <v>388.23559999999998</v>
      </c>
      <c r="I6086" s="195">
        <v>61.673380000000002</v>
      </c>
      <c r="J6086" s="195">
        <v>25.17672</v>
      </c>
      <c r="K6086" s="195">
        <v>17.68355</v>
      </c>
      <c r="L6086" s="195">
        <v>21.050689999999999</v>
      </c>
      <c r="M6086" s="195">
        <v>30.127749999999999</v>
      </c>
      <c r="N6086" s="195">
        <v>34.286819999999999</v>
      </c>
    </row>
    <row r="6087" spans="1:14" hidden="1" x14ac:dyDescent="0.35">
      <c r="A6087" s="52" t="s">
        <v>679</v>
      </c>
      <c r="B6087" s="52" t="s">
        <v>37</v>
      </c>
      <c r="C6087" s="52" t="s">
        <v>63</v>
      </c>
      <c r="D6087" s="52" t="s">
        <v>63</v>
      </c>
      <c r="E6087" s="52" t="s">
        <v>609</v>
      </c>
      <c r="F6087" s="52" t="s">
        <v>26</v>
      </c>
      <c r="G6087" s="195" t="s">
        <v>278</v>
      </c>
      <c r="H6087" s="195">
        <v>51.117559999999997</v>
      </c>
      <c r="I6087" s="195">
        <v>15.827</v>
      </c>
      <c r="J6087" s="195">
        <v>13.395</v>
      </c>
      <c r="K6087" s="195">
        <v>15.35061</v>
      </c>
      <c r="L6087" s="195">
        <v>17.344539999999999</v>
      </c>
      <c r="M6087" s="195">
        <v>18.255120000000002</v>
      </c>
      <c r="N6087" s="195">
        <v>17.003579999999999</v>
      </c>
    </row>
    <row r="6088" spans="1:14" hidden="1" x14ac:dyDescent="0.35">
      <c r="A6088" s="52" t="s">
        <v>679</v>
      </c>
      <c r="B6088" s="52" t="s">
        <v>37</v>
      </c>
      <c r="C6088" s="52" t="s">
        <v>63</v>
      </c>
      <c r="D6088" s="52" t="s">
        <v>63</v>
      </c>
      <c r="E6088" s="52" t="s">
        <v>609</v>
      </c>
      <c r="F6088" s="52" t="s">
        <v>26</v>
      </c>
      <c r="G6088" s="195" t="s">
        <v>279</v>
      </c>
      <c r="H6088" s="195">
        <v>289.86669999999998</v>
      </c>
      <c r="I6088" s="195">
        <v>238.9007</v>
      </c>
      <c r="J6088" s="195">
        <v>210.49019999999999</v>
      </c>
      <c r="K6088" s="195">
        <v>191.61600000000001</v>
      </c>
      <c r="L6088" s="195">
        <v>176.0266</v>
      </c>
      <c r="M6088" s="195">
        <v>166.95429999999999</v>
      </c>
      <c r="N6088" s="195">
        <v>161.67519999999999</v>
      </c>
    </row>
    <row r="6089" spans="1:14" hidden="1" x14ac:dyDescent="0.35">
      <c r="A6089" s="52" t="s">
        <v>679</v>
      </c>
      <c r="B6089" s="52" t="s">
        <v>37</v>
      </c>
      <c r="C6089" s="52" t="s">
        <v>63</v>
      </c>
      <c r="D6089" s="52" t="s">
        <v>63</v>
      </c>
      <c r="E6089" s="52" t="s">
        <v>612</v>
      </c>
      <c r="F6089" s="52" t="s">
        <v>581</v>
      </c>
      <c r="G6089" s="195" t="s">
        <v>275</v>
      </c>
      <c r="H6089" s="195">
        <v>35.29439</v>
      </c>
      <c r="I6089" s="195">
        <v>16.604030000000002</v>
      </c>
      <c r="J6089" s="195">
        <v>14.09423</v>
      </c>
      <c r="K6089" s="195">
        <v>17.32732</v>
      </c>
      <c r="L6089" s="195">
        <v>13.67981</v>
      </c>
      <c r="M6089" s="195">
        <v>13.5025</v>
      </c>
      <c r="N6089" s="195">
        <v>12.81939</v>
      </c>
    </row>
    <row r="6090" spans="1:14" hidden="1" x14ac:dyDescent="0.35">
      <c r="A6090" s="52" t="s">
        <v>679</v>
      </c>
      <c r="B6090" s="52" t="s">
        <v>37</v>
      </c>
      <c r="C6090" s="52" t="s">
        <v>63</v>
      </c>
      <c r="D6090" s="52" t="s">
        <v>63</v>
      </c>
      <c r="E6090" s="52" t="s">
        <v>612</v>
      </c>
      <c r="F6090" s="52" t="s">
        <v>581</v>
      </c>
      <c r="G6090" s="195" t="s">
        <v>276</v>
      </c>
      <c r="H6090" s="195">
        <v>-0.97202</v>
      </c>
      <c r="I6090" s="195">
        <v>-0.65764679999999998</v>
      </c>
      <c r="J6090" s="195">
        <v>0.24701619999999999</v>
      </c>
      <c r="K6090" s="195">
        <v>2.0164930000000001</v>
      </c>
      <c r="L6090" s="195">
        <v>2.4352019999999999</v>
      </c>
      <c r="M6090" s="195">
        <v>2.8093650000000001</v>
      </c>
      <c r="N6090" s="195">
        <v>3.0609540000000002</v>
      </c>
    </row>
    <row r="6091" spans="1:14" hidden="1" x14ac:dyDescent="0.35">
      <c r="A6091" s="52" t="s">
        <v>679</v>
      </c>
      <c r="B6091" s="52" t="s">
        <v>37</v>
      </c>
      <c r="C6091" s="52" t="s">
        <v>63</v>
      </c>
      <c r="D6091" s="52" t="s">
        <v>63</v>
      </c>
      <c r="E6091" s="52" t="s">
        <v>612</v>
      </c>
      <c r="F6091" s="52" t="s">
        <v>581</v>
      </c>
      <c r="G6091" s="195" t="s">
        <v>277</v>
      </c>
      <c r="H6091" s="195">
        <v>7.3782629999999996</v>
      </c>
      <c r="I6091" s="195">
        <v>4.4828049999999999</v>
      </c>
      <c r="J6091" s="195">
        <v>3.7702710000000002</v>
      </c>
      <c r="K6091" s="195">
        <v>0.35948020000000003</v>
      </c>
      <c r="L6091" s="195">
        <v>1.068918</v>
      </c>
      <c r="M6091" s="195">
        <v>0.69769619999999999</v>
      </c>
      <c r="N6091" s="195">
        <v>1.7693410000000001</v>
      </c>
    </row>
    <row r="6092" spans="1:14" hidden="1" x14ac:dyDescent="0.35">
      <c r="A6092" s="52" t="s">
        <v>679</v>
      </c>
      <c r="B6092" s="52" t="s">
        <v>37</v>
      </c>
      <c r="C6092" s="52" t="s">
        <v>63</v>
      </c>
      <c r="D6092" s="52" t="s">
        <v>63</v>
      </c>
      <c r="E6092" s="52" t="s">
        <v>612</v>
      </c>
      <c r="F6092" s="52" t="s">
        <v>581</v>
      </c>
      <c r="G6092" s="195" t="s">
        <v>278</v>
      </c>
      <c r="H6092" s="195">
        <v>0.79012099999999996</v>
      </c>
      <c r="I6092" s="195">
        <v>0.22231600000000001</v>
      </c>
      <c r="J6092" s="195">
        <v>1.885046</v>
      </c>
      <c r="K6092" s="195">
        <v>1.4864850000000001</v>
      </c>
      <c r="L6092" s="195">
        <v>1.2423200000000001</v>
      </c>
      <c r="M6092" s="195">
        <v>0.49371350000000003</v>
      </c>
      <c r="N6092" s="195">
        <v>0.68848370000000003</v>
      </c>
    </row>
    <row r="6093" spans="1:14" hidden="1" x14ac:dyDescent="0.35">
      <c r="A6093" s="52" t="s">
        <v>679</v>
      </c>
      <c r="B6093" s="52" t="s">
        <v>37</v>
      </c>
      <c r="C6093" s="52" t="s">
        <v>63</v>
      </c>
      <c r="D6093" s="52" t="s">
        <v>63</v>
      </c>
      <c r="E6093" s="52" t="s">
        <v>612</v>
      </c>
      <c r="F6093" s="52" t="s">
        <v>581</v>
      </c>
      <c r="G6093" s="195" t="s">
        <v>279</v>
      </c>
      <c r="H6093" s="195">
        <v>5.3847779999999998</v>
      </c>
      <c r="I6093" s="195">
        <v>7.3672930000000001</v>
      </c>
      <c r="J6093" s="195">
        <v>8.3332700000000006</v>
      </c>
      <c r="K6093" s="195">
        <v>9.6043710000000004</v>
      </c>
      <c r="L6093" s="195">
        <v>9.6035029999999999</v>
      </c>
      <c r="M6093" s="195">
        <v>8.9358900000000006</v>
      </c>
      <c r="N6093" s="195">
        <v>9.5104480000000002</v>
      </c>
    </row>
    <row r="6094" spans="1:14" hidden="1" x14ac:dyDescent="0.35">
      <c r="A6094" s="52" t="s">
        <v>679</v>
      </c>
      <c r="B6094" s="52" t="s">
        <v>37</v>
      </c>
      <c r="C6094" s="52" t="s">
        <v>63</v>
      </c>
      <c r="D6094" s="52" t="s">
        <v>63</v>
      </c>
      <c r="E6094" s="52" t="s">
        <v>612</v>
      </c>
      <c r="F6094" s="52" t="s">
        <v>26</v>
      </c>
      <c r="G6094" s="195" t="s">
        <v>275</v>
      </c>
      <c r="H6094" s="195">
        <v>49.281269999999999</v>
      </c>
      <c r="I6094" s="195">
        <v>23.054290000000002</v>
      </c>
      <c r="J6094" s="195">
        <v>22.079899999999999</v>
      </c>
      <c r="K6094" s="195">
        <v>28.288360000000001</v>
      </c>
      <c r="L6094" s="195">
        <v>23.02224</v>
      </c>
      <c r="M6094" s="195">
        <v>18.412230000000001</v>
      </c>
      <c r="N6094" s="195">
        <v>4.3549300000000004</v>
      </c>
    </row>
    <row r="6095" spans="1:14" hidden="1" x14ac:dyDescent="0.35">
      <c r="A6095" s="52" t="s">
        <v>679</v>
      </c>
      <c r="B6095" s="52" t="s">
        <v>37</v>
      </c>
      <c r="C6095" s="52" t="s">
        <v>63</v>
      </c>
      <c r="D6095" s="52" t="s">
        <v>63</v>
      </c>
      <c r="E6095" s="52" t="s">
        <v>612</v>
      </c>
      <c r="F6095" s="52" t="s">
        <v>26</v>
      </c>
      <c r="G6095" s="195" t="s">
        <v>276</v>
      </c>
      <c r="H6095" s="195">
        <v>0.97202</v>
      </c>
      <c r="I6095" s="195">
        <v>0.65764590000000001</v>
      </c>
      <c r="J6095" s="195">
        <v>0.83600960000000002</v>
      </c>
      <c r="K6095" s="195">
        <v>0.73565040000000004</v>
      </c>
      <c r="L6095" s="195">
        <v>0.84892939999999995</v>
      </c>
      <c r="M6095" s="195">
        <v>2.9346730000000001</v>
      </c>
      <c r="N6095" s="195">
        <v>4.7360850000000001</v>
      </c>
    </row>
    <row r="6096" spans="1:14" hidden="1" x14ac:dyDescent="0.35">
      <c r="A6096" s="52" t="s">
        <v>679</v>
      </c>
      <c r="B6096" s="52" t="s">
        <v>37</v>
      </c>
      <c r="C6096" s="52" t="s">
        <v>63</v>
      </c>
      <c r="D6096" s="52" t="s">
        <v>63</v>
      </c>
      <c r="E6096" s="52" t="s">
        <v>612</v>
      </c>
      <c r="F6096" s="52" t="s">
        <v>26</v>
      </c>
      <c r="G6096" s="195" t="s">
        <v>277</v>
      </c>
      <c r="H6096" s="195">
        <v>0</v>
      </c>
      <c r="I6096" s="195">
        <v>4.0920500000000004</v>
      </c>
      <c r="J6096" s="195">
        <v>8.6137530000000009</v>
      </c>
      <c r="K6096" s="195">
        <v>4.3094549999999998</v>
      </c>
      <c r="L6096" s="195">
        <v>2.8506680000000002</v>
      </c>
      <c r="M6096" s="195">
        <v>4.3915059999999997</v>
      </c>
      <c r="N6096" s="195">
        <v>21.72589</v>
      </c>
    </row>
    <row r="6097" spans="1:14" hidden="1" x14ac:dyDescent="0.35">
      <c r="A6097" s="52" t="s">
        <v>679</v>
      </c>
      <c r="B6097" s="52" t="s">
        <v>37</v>
      </c>
      <c r="C6097" s="52" t="s">
        <v>63</v>
      </c>
      <c r="D6097" s="52" t="s">
        <v>63</v>
      </c>
      <c r="E6097" s="52" t="s">
        <v>612</v>
      </c>
      <c r="F6097" s="52" t="s">
        <v>26</v>
      </c>
      <c r="G6097" s="195" t="s">
        <v>278</v>
      </c>
      <c r="H6097" s="195">
        <v>0</v>
      </c>
      <c r="I6097" s="195">
        <v>0.44167079999999997</v>
      </c>
      <c r="J6097" s="195">
        <v>2.648466</v>
      </c>
      <c r="K6097" s="195">
        <v>2.9259529999999998</v>
      </c>
      <c r="L6097" s="195">
        <v>3.1670790000000002</v>
      </c>
      <c r="M6097" s="195">
        <v>2.682356</v>
      </c>
      <c r="N6097" s="195">
        <v>0</v>
      </c>
    </row>
    <row r="6098" spans="1:14" hidden="1" x14ac:dyDescent="0.35">
      <c r="A6098" s="52" t="s">
        <v>679</v>
      </c>
      <c r="B6098" s="52" t="s">
        <v>37</v>
      </c>
      <c r="C6098" s="52" t="s">
        <v>63</v>
      </c>
      <c r="D6098" s="52" t="s">
        <v>63</v>
      </c>
      <c r="E6098" s="52" t="s">
        <v>612</v>
      </c>
      <c r="F6098" s="52" t="s">
        <v>26</v>
      </c>
      <c r="G6098" s="195" t="s">
        <v>279</v>
      </c>
      <c r="H6098" s="195">
        <v>36.97289</v>
      </c>
      <c r="I6098" s="195">
        <v>26.593730000000001</v>
      </c>
      <c r="J6098" s="195">
        <v>30.269549999999999</v>
      </c>
      <c r="K6098" s="195">
        <v>36.426499999999997</v>
      </c>
      <c r="L6098" s="195">
        <v>35.655470000000001</v>
      </c>
      <c r="M6098" s="195">
        <v>33.534460000000003</v>
      </c>
      <c r="N6098" s="195">
        <v>36.361510000000003</v>
      </c>
    </row>
    <row r="6099" spans="1:14" hidden="1" x14ac:dyDescent="0.35">
      <c r="A6099" s="52" t="s">
        <v>679</v>
      </c>
      <c r="B6099" s="52" t="s">
        <v>37</v>
      </c>
      <c r="C6099" s="52" t="s">
        <v>105</v>
      </c>
      <c r="D6099" s="52" t="s">
        <v>105</v>
      </c>
      <c r="E6099" s="52" t="s">
        <v>619</v>
      </c>
      <c r="F6099" s="52" t="s">
        <v>581</v>
      </c>
      <c r="G6099" s="195" t="s">
        <v>275</v>
      </c>
      <c r="H6099" s="195">
        <v>89.998350000000002</v>
      </c>
      <c r="I6099" s="195">
        <v>23.930589999999999</v>
      </c>
      <c r="J6099" s="195">
        <v>17.23359</v>
      </c>
      <c r="K6099" s="195">
        <v>15.261659999999999</v>
      </c>
      <c r="L6099" s="195">
        <v>14.29298</v>
      </c>
      <c r="M6099" s="195">
        <v>15.646509999999999</v>
      </c>
      <c r="N6099" s="195">
        <v>16.602799999999998</v>
      </c>
    </row>
    <row r="6100" spans="1:14" hidden="1" x14ac:dyDescent="0.35">
      <c r="A6100" s="52" t="s">
        <v>679</v>
      </c>
      <c r="B6100" s="52" t="s">
        <v>37</v>
      </c>
      <c r="C6100" s="52" t="s">
        <v>105</v>
      </c>
      <c r="D6100" s="52" t="s">
        <v>105</v>
      </c>
      <c r="E6100" s="52" t="s">
        <v>619</v>
      </c>
      <c r="F6100" s="52" t="s">
        <v>581</v>
      </c>
      <c r="G6100" s="195" t="s">
        <v>276</v>
      </c>
      <c r="H6100" s="195">
        <v>31.195239999999998</v>
      </c>
      <c r="I6100" s="195">
        <v>8.2948190000000004</v>
      </c>
      <c r="J6100" s="195">
        <v>5.9735079999999998</v>
      </c>
      <c r="K6100" s="195">
        <v>5.2900010000000002</v>
      </c>
      <c r="L6100" s="195">
        <v>4.9542349999999997</v>
      </c>
      <c r="M6100" s="195">
        <v>5.423387</v>
      </c>
      <c r="N6100" s="195">
        <v>5.7548620000000001</v>
      </c>
    </row>
    <row r="6101" spans="1:14" hidden="1" x14ac:dyDescent="0.35">
      <c r="A6101" s="52" t="s">
        <v>679</v>
      </c>
      <c r="B6101" s="52" t="s">
        <v>37</v>
      </c>
      <c r="C6101" s="52" t="s">
        <v>105</v>
      </c>
      <c r="D6101" s="52" t="s">
        <v>105</v>
      </c>
      <c r="E6101" s="52" t="s">
        <v>619</v>
      </c>
      <c r="F6101" s="52" t="s">
        <v>581</v>
      </c>
      <c r="G6101" s="195" t="s">
        <v>279</v>
      </c>
      <c r="H6101" s="195">
        <v>24.654710000000001</v>
      </c>
      <c r="I6101" s="195">
        <v>15.35763</v>
      </c>
      <c r="J6101" s="195">
        <v>12.61177</v>
      </c>
      <c r="K6101" s="195">
        <v>11.733930000000001</v>
      </c>
      <c r="L6101" s="195">
        <v>12.531560000000001</v>
      </c>
      <c r="M6101" s="195">
        <v>13.470269999999999</v>
      </c>
      <c r="N6101" s="195">
        <v>14.237539999999999</v>
      </c>
    </row>
    <row r="6102" spans="1:14" hidden="1" x14ac:dyDescent="0.35">
      <c r="A6102" s="52" t="s">
        <v>679</v>
      </c>
      <c r="B6102" s="52" t="s">
        <v>37</v>
      </c>
      <c r="C6102" s="52" t="s">
        <v>105</v>
      </c>
      <c r="D6102" s="52" t="s">
        <v>105</v>
      </c>
      <c r="E6102" s="52" t="s">
        <v>619</v>
      </c>
      <c r="F6102" s="52" t="s">
        <v>26</v>
      </c>
      <c r="G6102" s="195" t="s">
        <v>275</v>
      </c>
      <c r="H6102" s="195">
        <v>-40.320749999999997</v>
      </c>
      <c r="I6102" s="195">
        <v>37.021990000000002</v>
      </c>
      <c r="J6102" s="195">
        <v>43.761429999999997</v>
      </c>
      <c r="K6102" s="195">
        <v>29.38522</v>
      </c>
      <c r="L6102" s="195">
        <v>13.398870000000001</v>
      </c>
      <c r="M6102" s="195">
        <v>-4.0565540000000002</v>
      </c>
      <c r="N6102" s="195">
        <v>-4.7937409999999998</v>
      </c>
    </row>
    <row r="6103" spans="1:14" hidden="1" x14ac:dyDescent="0.35">
      <c r="A6103" s="52" t="s">
        <v>679</v>
      </c>
      <c r="B6103" s="52" t="s">
        <v>37</v>
      </c>
      <c r="C6103" s="52" t="s">
        <v>105</v>
      </c>
      <c r="D6103" s="52" t="s">
        <v>105</v>
      </c>
      <c r="E6103" s="52" t="s">
        <v>619</v>
      </c>
      <c r="F6103" s="52" t="s">
        <v>26</v>
      </c>
      <c r="G6103" s="195" t="s">
        <v>276</v>
      </c>
      <c r="H6103" s="195">
        <v>-33.660780000000003</v>
      </c>
      <c r="I6103" s="195">
        <v>-26.267589999999998</v>
      </c>
      <c r="J6103" s="195">
        <v>-26.055009999999999</v>
      </c>
      <c r="K6103" s="195">
        <v>-14.126989999999999</v>
      </c>
      <c r="L6103" s="195">
        <v>-11.542479999999999</v>
      </c>
      <c r="M6103" s="195">
        <v>0.62409029999999999</v>
      </c>
      <c r="N6103" s="195">
        <v>1.50908</v>
      </c>
    </row>
    <row r="6104" spans="1:14" hidden="1" x14ac:dyDescent="0.35">
      <c r="A6104" s="52" t="s">
        <v>679</v>
      </c>
      <c r="B6104" s="52" t="s">
        <v>37</v>
      </c>
      <c r="C6104" s="52" t="s">
        <v>105</v>
      </c>
      <c r="D6104" s="52" t="s">
        <v>105</v>
      </c>
      <c r="E6104" s="52" t="s">
        <v>619</v>
      </c>
      <c r="F6104" s="52" t="s">
        <v>26</v>
      </c>
      <c r="G6104" s="195" t="s">
        <v>277</v>
      </c>
      <c r="H6104" s="195">
        <v>115.5728</v>
      </c>
      <c r="I6104" s="195">
        <v>14.5609</v>
      </c>
      <c r="J6104" s="195">
        <v>4.651065</v>
      </c>
      <c r="K6104" s="195">
        <v>2.8594339999999998</v>
      </c>
      <c r="L6104" s="195">
        <v>4.9436450000000001</v>
      </c>
      <c r="M6104" s="195">
        <v>7.2197909999999998</v>
      </c>
      <c r="N6104" s="195">
        <v>7.7326350000000001</v>
      </c>
    </row>
    <row r="6105" spans="1:14" hidden="1" x14ac:dyDescent="0.35">
      <c r="A6105" s="52" t="s">
        <v>679</v>
      </c>
      <c r="B6105" s="52" t="s">
        <v>37</v>
      </c>
      <c r="C6105" s="52" t="s">
        <v>105</v>
      </c>
      <c r="D6105" s="52" t="s">
        <v>105</v>
      </c>
      <c r="E6105" s="52" t="s">
        <v>619</v>
      </c>
      <c r="F6105" s="52" t="s">
        <v>26</v>
      </c>
      <c r="G6105" s="195" t="s">
        <v>278</v>
      </c>
      <c r="H6105" s="195">
        <v>24.979669999999999</v>
      </c>
      <c r="I6105" s="195">
        <v>12.335800000000001</v>
      </c>
      <c r="J6105" s="195">
        <v>12.230700000000001</v>
      </c>
      <c r="K6105" s="195">
        <v>10.39809</v>
      </c>
      <c r="L6105" s="195">
        <v>17.440899999999999</v>
      </c>
      <c r="M6105" s="195">
        <v>22.631630000000001</v>
      </c>
      <c r="N6105" s="195">
        <v>23.593910000000001</v>
      </c>
    </row>
    <row r="6106" spans="1:14" hidden="1" x14ac:dyDescent="0.35">
      <c r="A6106" s="52" t="s">
        <v>679</v>
      </c>
      <c r="B6106" s="52" t="s">
        <v>37</v>
      </c>
      <c r="C6106" s="52" t="s">
        <v>105</v>
      </c>
      <c r="D6106" s="52" t="s">
        <v>105</v>
      </c>
      <c r="E6106" s="52" t="s">
        <v>619</v>
      </c>
      <c r="F6106" s="52" t="s">
        <v>26</v>
      </c>
      <c r="G6106" s="195" t="s">
        <v>279</v>
      </c>
      <c r="H6106" s="195">
        <v>78.686220000000006</v>
      </c>
      <c r="I6106" s="195">
        <v>58.96734</v>
      </c>
      <c r="J6106" s="195">
        <v>50.06268</v>
      </c>
      <c r="K6106" s="195">
        <v>47.480409999999999</v>
      </c>
      <c r="L6106" s="195">
        <v>50.229860000000002</v>
      </c>
      <c r="M6106" s="195">
        <v>54.120220000000003</v>
      </c>
      <c r="N6106" s="195">
        <v>57.187860000000001</v>
      </c>
    </row>
    <row r="6107" spans="1:14" hidden="1" x14ac:dyDescent="0.35">
      <c r="A6107" s="52" t="s">
        <v>679</v>
      </c>
      <c r="B6107" s="52" t="s">
        <v>37</v>
      </c>
      <c r="C6107" s="52" t="s">
        <v>105</v>
      </c>
      <c r="D6107" s="52" t="s">
        <v>105</v>
      </c>
      <c r="E6107" s="52" t="s">
        <v>656</v>
      </c>
      <c r="F6107" s="52" t="s">
        <v>581</v>
      </c>
      <c r="G6107" s="195" t="s">
        <v>275</v>
      </c>
      <c r="H6107" s="195">
        <v>0.44562499999999999</v>
      </c>
      <c r="I6107" s="195">
        <v>-1.5022040000000001</v>
      </c>
      <c r="J6107" s="195">
        <v>5.1434160000000002</v>
      </c>
      <c r="K6107" s="195">
        <v>0.27549560000000001</v>
      </c>
      <c r="L6107" s="195">
        <v>-3.3025370000000001</v>
      </c>
      <c r="M6107" s="195">
        <v>3.185759</v>
      </c>
      <c r="N6107" s="195">
        <v>2.2328899999999998</v>
      </c>
    </row>
    <row r="6108" spans="1:14" hidden="1" x14ac:dyDescent="0.35">
      <c r="A6108" s="52" t="s">
        <v>679</v>
      </c>
      <c r="B6108" s="52" t="s">
        <v>37</v>
      </c>
      <c r="C6108" s="52" t="s">
        <v>105</v>
      </c>
      <c r="D6108" s="52" t="s">
        <v>105</v>
      </c>
      <c r="E6108" s="52" t="s">
        <v>656</v>
      </c>
      <c r="F6108" s="52" t="s">
        <v>581</v>
      </c>
      <c r="G6108" s="195" t="s">
        <v>276</v>
      </c>
      <c r="H6108" s="195">
        <v>-4.2895469999999998</v>
      </c>
      <c r="I6108" s="195">
        <v>-4.7208839999999999</v>
      </c>
      <c r="J6108" s="195">
        <v>-7.7237479999999996</v>
      </c>
      <c r="K6108" s="195">
        <v>-5.315855</v>
      </c>
      <c r="L6108" s="195">
        <v>-1.520824</v>
      </c>
      <c r="M6108" s="195">
        <v>-0.93907649999999998</v>
      </c>
      <c r="N6108" s="195">
        <v>-0.44374160000000001</v>
      </c>
    </row>
    <row r="6109" spans="1:14" hidden="1" x14ac:dyDescent="0.35">
      <c r="A6109" s="52" t="s">
        <v>679</v>
      </c>
      <c r="B6109" s="52" t="s">
        <v>37</v>
      </c>
      <c r="C6109" s="52" t="s">
        <v>105</v>
      </c>
      <c r="D6109" s="52" t="s">
        <v>105</v>
      </c>
      <c r="E6109" s="52" t="s">
        <v>656</v>
      </c>
      <c r="F6109" s="52" t="s">
        <v>581</v>
      </c>
      <c r="G6109" s="195" t="s">
        <v>277</v>
      </c>
      <c r="H6109" s="195">
        <v>9.4552750000000003</v>
      </c>
      <c r="I6109" s="195">
        <v>5.7323639999999996</v>
      </c>
      <c r="J6109" s="195">
        <v>1.440458</v>
      </c>
      <c r="K6109" s="195">
        <v>2.0634459999999999</v>
      </c>
      <c r="L6109" s="195">
        <v>4.2021769999999998</v>
      </c>
      <c r="M6109" s="195">
        <v>0</v>
      </c>
      <c r="N6109" s="195">
        <v>0</v>
      </c>
    </row>
    <row r="6110" spans="1:14" hidden="1" x14ac:dyDescent="0.35">
      <c r="A6110" s="52" t="s">
        <v>679</v>
      </c>
      <c r="B6110" s="52" t="s">
        <v>37</v>
      </c>
      <c r="C6110" s="52" t="s">
        <v>105</v>
      </c>
      <c r="D6110" s="52" t="s">
        <v>105</v>
      </c>
      <c r="E6110" s="52" t="s">
        <v>656</v>
      </c>
      <c r="F6110" s="52" t="s">
        <v>581</v>
      </c>
      <c r="G6110" s="195" t="s">
        <v>278</v>
      </c>
      <c r="H6110" s="195">
        <v>1.1491279999999999</v>
      </c>
      <c r="I6110" s="195">
        <v>2.4690110000000001</v>
      </c>
      <c r="J6110" s="195">
        <v>3.0899299999999998</v>
      </c>
      <c r="K6110" s="195">
        <v>5.0375180000000004</v>
      </c>
      <c r="L6110" s="195">
        <v>3.0657999999999999</v>
      </c>
      <c r="M6110" s="195">
        <v>0</v>
      </c>
      <c r="N6110" s="195"/>
    </row>
    <row r="6111" spans="1:14" hidden="1" x14ac:dyDescent="0.35">
      <c r="A6111" s="52" t="s">
        <v>679</v>
      </c>
      <c r="B6111" s="52" t="s">
        <v>37</v>
      </c>
      <c r="C6111" s="52" t="s">
        <v>105</v>
      </c>
      <c r="D6111" s="52" t="s">
        <v>105</v>
      </c>
      <c r="E6111" s="52" t="s">
        <v>656</v>
      </c>
      <c r="F6111" s="52" t="s">
        <v>581</v>
      </c>
      <c r="G6111" s="195" t="s">
        <v>279</v>
      </c>
      <c r="H6111" s="195">
        <v>1.5043569999999999</v>
      </c>
      <c r="I6111" s="195">
        <v>1.0955539999999999</v>
      </c>
      <c r="J6111" s="195">
        <v>1.2281660000000001</v>
      </c>
      <c r="K6111" s="195">
        <v>1.3345</v>
      </c>
      <c r="L6111" s="195">
        <v>1.842204</v>
      </c>
      <c r="M6111" s="195">
        <v>1.65551</v>
      </c>
      <c r="N6111" s="195">
        <v>1.319361</v>
      </c>
    </row>
    <row r="6112" spans="1:14" hidden="1" x14ac:dyDescent="0.35">
      <c r="A6112" s="52" t="s">
        <v>679</v>
      </c>
      <c r="B6112" s="52" t="s">
        <v>37</v>
      </c>
      <c r="C6112" s="52" t="s">
        <v>105</v>
      </c>
      <c r="D6112" s="52" t="s">
        <v>105</v>
      </c>
      <c r="E6112" s="52" t="s">
        <v>656</v>
      </c>
      <c r="F6112" s="52" t="s">
        <v>26</v>
      </c>
      <c r="G6112" s="195" t="s">
        <v>275</v>
      </c>
      <c r="H6112" s="195">
        <v>0.39932299999999998</v>
      </c>
      <c r="I6112" s="195">
        <v>0.24869720000000001</v>
      </c>
      <c r="J6112" s="195">
        <v>0.34262359999999997</v>
      </c>
      <c r="K6112" s="195">
        <v>0.31455300000000003</v>
      </c>
      <c r="L6112" s="195">
        <v>0.2665054</v>
      </c>
      <c r="M6112" s="195">
        <v>0.2496352</v>
      </c>
      <c r="N6112" s="195">
        <v>0.1995286</v>
      </c>
    </row>
    <row r="6113" spans="1:14" hidden="1" x14ac:dyDescent="0.35">
      <c r="A6113" s="52" t="s">
        <v>679</v>
      </c>
      <c r="B6113" s="52" t="s">
        <v>37</v>
      </c>
      <c r="C6113" s="52" t="s">
        <v>105</v>
      </c>
      <c r="D6113" s="52" t="s">
        <v>105</v>
      </c>
      <c r="E6113" s="52" t="s">
        <v>656</v>
      </c>
      <c r="F6113" s="52" t="s">
        <v>26</v>
      </c>
      <c r="G6113" s="195" t="s">
        <v>276</v>
      </c>
      <c r="H6113" s="195">
        <v>0.13841400000000001</v>
      </c>
      <c r="I6113" s="195">
        <v>8.6204799999999998E-2</v>
      </c>
      <c r="J6113" s="195">
        <v>0.1187612</v>
      </c>
      <c r="K6113" s="195">
        <v>0.10903119999999999</v>
      </c>
      <c r="L6113" s="195">
        <v>9.2376600000000003E-2</v>
      </c>
      <c r="M6113" s="195">
        <v>8.6528800000000003E-2</v>
      </c>
      <c r="N6113" s="195">
        <v>6.9159799999999994E-2</v>
      </c>
    </row>
    <row r="6114" spans="1:14" hidden="1" x14ac:dyDescent="0.35">
      <c r="A6114" s="52" t="s">
        <v>679</v>
      </c>
      <c r="B6114" s="52" t="s">
        <v>37</v>
      </c>
      <c r="C6114" s="52" t="s">
        <v>105</v>
      </c>
      <c r="D6114" s="52" t="s">
        <v>105</v>
      </c>
      <c r="E6114" s="52" t="s">
        <v>656</v>
      </c>
      <c r="F6114" s="52" t="s">
        <v>26</v>
      </c>
      <c r="G6114" s="195" t="s">
        <v>279</v>
      </c>
      <c r="H6114" s="195">
        <v>1.1895009999999999</v>
      </c>
      <c r="I6114" s="195">
        <v>1.1762550000000001</v>
      </c>
      <c r="J6114" s="195">
        <v>1.3631059999999999</v>
      </c>
      <c r="K6114" s="195">
        <v>1.50756</v>
      </c>
      <c r="L6114" s="195">
        <v>2.0638450000000002</v>
      </c>
      <c r="M6114" s="195">
        <v>1.8587689999999999</v>
      </c>
      <c r="N6114" s="195">
        <v>1.4816339999999999</v>
      </c>
    </row>
    <row r="6115" spans="1:14" hidden="1" x14ac:dyDescent="0.35">
      <c r="A6115" s="52" t="s">
        <v>679</v>
      </c>
      <c r="B6115" s="52" t="s">
        <v>37</v>
      </c>
      <c r="C6115" s="52" t="s">
        <v>79</v>
      </c>
      <c r="D6115" s="52" t="s">
        <v>79</v>
      </c>
      <c r="E6115" s="52" t="s">
        <v>584</v>
      </c>
      <c r="F6115" s="52" t="s">
        <v>581</v>
      </c>
      <c r="G6115" s="195" t="s">
        <v>275</v>
      </c>
      <c r="H6115" s="195">
        <v>-2.3673709999999999</v>
      </c>
      <c r="I6115" s="195">
        <v>-7.4627290000000004</v>
      </c>
      <c r="J6115" s="195">
        <v>-6.2591049999999999</v>
      </c>
      <c r="K6115" s="195">
        <v>-9.5315770000000004</v>
      </c>
      <c r="L6115" s="195">
        <v>-9.8984710000000007</v>
      </c>
      <c r="M6115" s="195">
        <v>1.0739179999999999</v>
      </c>
      <c r="N6115" s="195">
        <v>0.90248660000000003</v>
      </c>
    </row>
    <row r="6116" spans="1:14" hidden="1" x14ac:dyDescent="0.35">
      <c r="A6116" s="52" t="s">
        <v>679</v>
      </c>
      <c r="B6116" s="52" t="s">
        <v>37</v>
      </c>
      <c r="C6116" s="52" t="s">
        <v>79</v>
      </c>
      <c r="D6116" s="52" t="s">
        <v>79</v>
      </c>
      <c r="E6116" s="52" t="s">
        <v>584</v>
      </c>
      <c r="F6116" s="52" t="s">
        <v>581</v>
      </c>
      <c r="G6116" s="195" t="s">
        <v>276</v>
      </c>
      <c r="H6116" s="195">
        <v>-4.3489950000000004</v>
      </c>
      <c r="I6116" s="195">
        <v>-3.8476840000000001</v>
      </c>
      <c r="J6116" s="195">
        <v>-5.6739350000000002</v>
      </c>
      <c r="K6116" s="195">
        <v>-3.4890319999999999</v>
      </c>
      <c r="L6116" s="195">
        <v>-3.1361219999999999</v>
      </c>
      <c r="M6116" s="195">
        <v>2.219438E-2</v>
      </c>
      <c r="N6116" s="195">
        <v>0.1064572</v>
      </c>
    </row>
    <row r="6117" spans="1:14" hidden="1" x14ac:dyDescent="0.35">
      <c r="A6117" s="52" t="s">
        <v>679</v>
      </c>
      <c r="B6117" s="52" t="s">
        <v>37</v>
      </c>
      <c r="C6117" s="52" t="s">
        <v>79</v>
      </c>
      <c r="D6117" s="52" t="s">
        <v>79</v>
      </c>
      <c r="E6117" s="52" t="s">
        <v>584</v>
      </c>
      <c r="F6117" s="52" t="s">
        <v>581</v>
      </c>
      <c r="G6117" s="195" t="s">
        <v>277</v>
      </c>
      <c r="H6117" s="195">
        <v>3.5782250000000002</v>
      </c>
      <c r="I6117" s="195">
        <v>1.963773</v>
      </c>
      <c r="J6117" s="195">
        <v>1.0777410000000001</v>
      </c>
      <c r="K6117" s="195">
        <v>0.59147700000000003</v>
      </c>
      <c r="L6117" s="195">
        <v>0</v>
      </c>
      <c r="M6117" s="195"/>
      <c r="N6117" s="195"/>
    </row>
    <row r="6118" spans="1:14" hidden="1" x14ac:dyDescent="0.35">
      <c r="A6118" s="52" t="s">
        <v>679</v>
      </c>
      <c r="B6118" s="52" t="s">
        <v>37</v>
      </c>
      <c r="C6118" s="52" t="s">
        <v>79</v>
      </c>
      <c r="D6118" s="52" t="s">
        <v>79</v>
      </c>
      <c r="E6118" s="52" t="s">
        <v>584</v>
      </c>
      <c r="F6118" s="52" t="s">
        <v>581</v>
      </c>
      <c r="G6118" s="195" t="s">
        <v>279</v>
      </c>
      <c r="H6118" s="195">
        <v>17.888570000000001</v>
      </c>
      <c r="I6118" s="195">
        <v>16.50967</v>
      </c>
      <c r="J6118" s="195">
        <v>16.84854</v>
      </c>
      <c r="K6118" s="195">
        <v>18.232610000000001</v>
      </c>
      <c r="L6118" s="195">
        <v>18.619009999999999</v>
      </c>
      <c r="M6118" s="195">
        <v>0.75001640000000003</v>
      </c>
      <c r="N6118" s="195">
        <v>0.68998780000000004</v>
      </c>
    </row>
    <row r="6119" spans="1:14" hidden="1" x14ac:dyDescent="0.35">
      <c r="A6119" s="52" t="s">
        <v>679</v>
      </c>
      <c r="B6119" s="52" t="s">
        <v>37</v>
      </c>
      <c r="C6119" s="52" t="s">
        <v>79</v>
      </c>
      <c r="D6119" s="52" t="s">
        <v>79</v>
      </c>
      <c r="E6119" s="52" t="s">
        <v>584</v>
      </c>
      <c r="F6119" s="52" t="s">
        <v>26</v>
      </c>
      <c r="G6119" s="195" t="s">
        <v>275</v>
      </c>
      <c r="H6119" s="195">
        <v>0</v>
      </c>
      <c r="I6119" s="195">
        <v>3.6999999999999999E-4</v>
      </c>
      <c r="J6119" s="195">
        <v>3.5839999999999998E-4</v>
      </c>
      <c r="K6119" s="195">
        <v>3.1379999999999998E-4</v>
      </c>
      <c r="L6119" s="195">
        <v>2.5740000000000002E-4</v>
      </c>
      <c r="M6119" s="195">
        <v>2.398E-4</v>
      </c>
      <c r="N6119" s="195">
        <v>2.2139999999999999E-4</v>
      </c>
    </row>
    <row r="6120" spans="1:14" hidden="1" x14ac:dyDescent="0.35">
      <c r="A6120" s="52" t="s">
        <v>679</v>
      </c>
      <c r="B6120" s="52" t="s">
        <v>37</v>
      </c>
      <c r="C6120" s="52" t="s">
        <v>79</v>
      </c>
      <c r="D6120" s="52" t="s">
        <v>79</v>
      </c>
      <c r="E6120" s="52" t="s">
        <v>584</v>
      </c>
      <c r="F6120" s="52" t="s">
        <v>26</v>
      </c>
      <c r="G6120" s="195" t="s">
        <v>276</v>
      </c>
      <c r="H6120" s="195">
        <v>0</v>
      </c>
      <c r="I6120" s="195">
        <v>9.8400009999999994E-5</v>
      </c>
      <c r="J6120" s="195">
        <v>9.5400000000000001E-5</v>
      </c>
      <c r="K6120" s="195">
        <v>8.3200010000000004E-5</v>
      </c>
      <c r="L6120" s="195">
        <v>6.8999999999999997E-5</v>
      </c>
      <c r="M6120" s="195">
        <v>6.3600000000000001E-5</v>
      </c>
      <c r="N6120" s="195">
        <v>5.9200000000000002E-5</v>
      </c>
    </row>
    <row r="6121" spans="1:14" hidden="1" x14ac:dyDescent="0.35">
      <c r="A6121" s="52" t="s">
        <v>679</v>
      </c>
      <c r="B6121" s="52" t="s">
        <v>37</v>
      </c>
      <c r="C6121" s="52" t="s">
        <v>79</v>
      </c>
      <c r="D6121" s="52" t="s">
        <v>79</v>
      </c>
      <c r="E6121" s="52" t="s">
        <v>584</v>
      </c>
      <c r="F6121" s="52" t="s">
        <v>26</v>
      </c>
      <c r="G6121" s="195" t="s">
        <v>279</v>
      </c>
      <c r="H6121" s="195">
        <v>0</v>
      </c>
      <c r="I6121" s="195">
        <v>5.4900000000000001E-4</v>
      </c>
      <c r="J6121" s="195">
        <v>4.8859999999999995E-4</v>
      </c>
      <c r="K6121" s="195">
        <v>4.6920000000000002E-4</v>
      </c>
      <c r="L6121" s="195">
        <v>4.7419999999999998E-4</v>
      </c>
      <c r="M6121" s="195">
        <v>4.3439999999999999E-4</v>
      </c>
      <c r="N6121" s="195">
        <v>3.9879999999999999E-4</v>
      </c>
    </row>
    <row r="6122" spans="1:14" hidden="1" x14ac:dyDescent="0.35">
      <c r="A6122" s="52" t="s">
        <v>679</v>
      </c>
      <c r="B6122" s="52" t="s">
        <v>37</v>
      </c>
      <c r="C6122" s="52" t="s">
        <v>99</v>
      </c>
      <c r="D6122" s="52" t="s">
        <v>100</v>
      </c>
      <c r="E6122" s="52" t="s">
        <v>634</v>
      </c>
      <c r="F6122" s="52" t="s">
        <v>581</v>
      </c>
      <c r="G6122" s="195" t="s">
        <v>275</v>
      </c>
      <c r="H6122" s="195">
        <v>-1.0260830000000001</v>
      </c>
      <c r="I6122" s="195">
        <v>-0.75710120000000003</v>
      </c>
      <c r="J6122" s="195">
        <v>0.3742528</v>
      </c>
      <c r="K6122" s="195">
        <v>0.24143999999999999</v>
      </c>
      <c r="L6122" s="195">
        <v>0.34158660000000002</v>
      </c>
      <c r="M6122" s="195">
        <v>0.56025460000000005</v>
      </c>
      <c r="N6122" s="195">
        <v>0.39021980000000001</v>
      </c>
    </row>
    <row r="6123" spans="1:14" hidden="1" x14ac:dyDescent="0.35">
      <c r="A6123" s="52" t="s">
        <v>679</v>
      </c>
      <c r="B6123" s="52" t="s">
        <v>37</v>
      </c>
      <c r="C6123" s="52" t="s">
        <v>99</v>
      </c>
      <c r="D6123" s="52" t="s">
        <v>100</v>
      </c>
      <c r="E6123" s="52" t="s">
        <v>634</v>
      </c>
      <c r="F6123" s="52" t="s">
        <v>581</v>
      </c>
      <c r="G6123" s="195" t="s">
        <v>276</v>
      </c>
      <c r="H6123" s="195">
        <v>-0.26983499999999999</v>
      </c>
      <c r="I6123" s="195">
        <v>-5.2121399999999998E-2</v>
      </c>
      <c r="J6123" s="195">
        <v>3.2392799999999999E-2</v>
      </c>
      <c r="K6123" s="195">
        <v>2.72704E-2</v>
      </c>
      <c r="L6123" s="195">
        <v>-0.1063142</v>
      </c>
      <c r="M6123" s="195">
        <v>-4.9942E-2</v>
      </c>
      <c r="N6123" s="195">
        <v>5.1111999999999998E-2</v>
      </c>
    </row>
    <row r="6124" spans="1:14" hidden="1" x14ac:dyDescent="0.35">
      <c r="A6124" s="52" t="s">
        <v>679</v>
      </c>
      <c r="B6124" s="52" t="s">
        <v>37</v>
      </c>
      <c r="C6124" s="52" t="s">
        <v>99</v>
      </c>
      <c r="D6124" s="52" t="s">
        <v>100</v>
      </c>
      <c r="E6124" s="52" t="s">
        <v>634</v>
      </c>
      <c r="F6124" s="52" t="s">
        <v>581</v>
      </c>
      <c r="G6124" s="195" t="s">
        <v>277</v>
      </c>
      <c r="H6124" s="195">
        <v>1.7713140000000001</v>
      </c>
      <c r="I6124" s="195">
        <v>1.3608439999999999</v>
      </c>
      <c r="J6124" s="195">
        <v>0.28529979999999999</v>
      </c>
      <c r="K6124" s="195">
        <v>0.26435619999999999</v>
      </c>
      <c r="L6124" s="195">
        <v>0.29610059999999999</v>
      </c>
      <c r="M6124" s="195">
        <v>0</v>
      </c>
      <c r="N6124" s="195">
        <v>0</v>
      </c>
    </row>
    <row r="6125" spans="1:14" hidden="1" x14ac:dyDescent="0.35">
      <c r="A6125" s="52" t="s">
        <v>679</v>
      </c>
      <c r="B6125" s="52" t="s">
        <v>37</v>
      </c>
      <c r="C6125" s="52" t="s">
        <v>99</v>
      </c>
      <c r="D6125" s="52" t="s">
        <v>100</v>
      </c>
      <c r="E6125" s="52" t="s">
        <v>634</v>
      </c>
      <c r="F6125" s="52" t="s">
        <v>581</v>
      </c>
      <c r="G6125" s="195" t="s">
        <v>278</v>
      </c>
      <c r="H6125" s="195">
        <v>9.8993999999999999E-2</v>
      </c>
      <c r="I6125" s="195">
        <v>0.14688300000000001</v>
      </c>
      <c r="J6125" s="195">
        <v>0</v>
      </c>
      <c r="K6125" s="195">
        <v>9.9776009999999998E-2</v>
      </c>
      <c r="L6125" s="195">
        <v>4.60408E-2</v>
      </c>
      <c r="M6125" s="195">
        <v>0</v>
      </c>
      <c r="N6125" s="195"/>
    </row>
    <row r="6126" spans="1:14" hidden="1" x14ac:dyDescent="0.35">
      <c r="A6126" s="52" t="s">
        <v>679</v>
      </c>
      <c r="B6126" s="52" t="s">
        <v>37</v>
      </c>
      <c r="C6126" s="52" t="s">
        <v>99</v>
      </c>
      <c r="D6126" s="52" t="s">
        <v>100</v>
      </c>
      <c r="E6126" s="52" t="s">
        <v>634</v>
      </c>
      <c r="F6126" s="52" t="s">
        <v>581</v>
      </c>
      <c r="G6126" s="195" t="s">
        <v>279</v>
      </c>
      <c r="H6126" s="195">
        <v>0.141629</v>
      </c>
      <c r="I6126" s="195">
        <v>0.40086579999999999</v>
      </c>
      <c r="J6126" s="195">
        <v>0.45392579999999999</v>
      </c>
      <c r="K6126" s="195">
        <v>0.42995</v>
      </c>
      <c r="L6126" s="195">
        <v>0.46187420000000001</v>
      </c>
      <c r="M6126" s="195">
        <v>0.39987919999999999</v>
      </c>
      <c r="N6126" s="195">
        <v>0.34554240000000003</v>
      </c>
    </row>
    <row r="6127" spans="1:14" hidden="1" x14ac:dyDescent="0.35">
      <c r="A6127" s="52" t="s">
        <v>679</v>
      </c>
      <c r="B6127" s="52" t="s">
        <v>34</v>
      </c>
      <c r="C6127" s="52" t="s">
        <v>33</v>
      </c>
      <c r="D6127" s="52" t="s">
        <v>33</v>
      </c>
      <c r="E6127" s="52" t="s">
        <v>584</v>
      </c>
      <c r="F6127" s="52" t="s">
        <v>581</v>
      </c>
      <c r="G6127" s="195" t="s">
        <v>275</v>
      </c>
      <c r="H6127" s="195">
        <v>0</v>
      </c>
      <c r="I6127" s="195"/>
      <c r="J6127" s="195"/>
      <c r="K6127" s="195"/>
      <c r="L6127" s="195"/>
      <c r="M6127" s="195"/>
      <c r="N6127" s="195"/>
    </row>
    <row r="6128" spans="1:14" hidden="1" x14ac:dyDescent="0.35">
      <c r="A6128" s="52" t="s">
        <v>679</v>
      </c>
      <c r="B6128" s="52" t="s">
        <v>34</v>
      </c>
      <c r="C6128" s="52" t="s">
        <v>33</v>
      </c>
      <c r="D6128" s="52" t="s">
        <v>33</v>
      </c>
      <c r="E6128" s="52" t="s">
        <v>584</v>
      </c>
      <c r="F6128" s="52" t="s">
        <v>581</v>
      </c>
      <c r="G6128" s="195" t="s">
        <v>276</v>
      </c>
      <c r="H6128" s="195">
        <v>0</v>
      </c>
      <c r="I6128" s="195"/>
      <c r="J6128" s="195"/>
      <c r="K6128" s="195"/>
      <c r="L6128" s="195"/>
      <c r="M6128" s="195"/>
      <c r="N6128" s="195"/>
    </row>
    <row r="6129" spans="1:14" hidden="1" x14ac:dyDescent="0.35">
      <c r="A6129" s="52" t="s">
        <v>679</v>
      </c>
      <c r="B6129" s="52" t="s">
        <v>34</v>
      </c>
      <c r="C6129" s="52" t="s">
        <v>33</v>
      </c>
      <c r="D6129" s="52" t="s">
        <v>33</v>
      </c>
      <c r="E6129" s="52" t="s">
        <v>584</v>
      </c>
      <c r="F6129" s="52" t="s">
        <v>581</v>
      </c>
      <c r="G6129" s="195" t="s">
        <v>279</v>
      </c>
      <c r="H6129" s="195">
        <v>0</v>
      </c>
      <c r="I6129" s="195"/>
      <c r="J6129" s="195"/>
      <c r="K6129" s="195"/>
      <c r="L6129" s="195"/>
      <c r="M6129" s="195"/>
      <c r="N6129" s="195"/>
    </row>
    <row r="6130" spans="1:14" hidden="1" x14ac:dyDescent="0.35">
      <c r="A6130" s="52" t="s">
        <v>731</v>
      </c>
      <c r="B6130" s="52" t="s">
        <v>307</v>
      </c>
      <c r="C6130" s="52" t="s">
        <v>306</v>
      </c>
      <c r="D6130" s="52" t="s">
        <v>306</v>
      </c>
      <c r="E6130" s="52" t="s">
        <v>584</v>
      </c>
      <c r="F6130" s="52" t="s">
        <v>581</v>
      </c>
      <c r="G6130" s="195" t="s">
        <v>275</v>
      </c>
      <c r="H6130" s="195">
        <v>219.67599999999999</v>
      </c>
      <c r="I6130" s="195">
        <v>-12.12201</v>
      </c>
      <c r="J6130" s="195">
        <v>8.4531670000000005</v>
      </c>
      <c r="K6130" s="195">
        <v>-13.455209999999999</v>
      </c>
      <c r="L6130" s="195">
        <v>-29.21367</v>
      </c>
      <c r="M6130" s="195">
        <v>-6.2627129999999998</v>
      </c>
      <c r="N6130" s="195">
        <v>8.8423829999999999</v>
      </c>
    </row>
    <row r="6131" spans="1:14" hidden="1" x14ac:dyDescent="0.35">
      <c r="A6131" s="52" t="s">
        <v>731</v>
      </c>
      <c r="B6131" s="52" t="s">
        <v>307</v>
      </c>
      <c r="C6131" s="52" t="s">
        <v>306</v>
      </c>
      <c r="D6131" s="52" t="s">
        <v>306</v>
      </c>
      <c r="E6131" s="52" t="s">
        <v>584</v>
      </c>
      <c r="F6131" s="52" t="s">
        <v>581</v>
      </c>
      <c r="G6131" s="195" t="s">
        <v>276</v>
      </c>
      <c r="H6131" s="195">
        <v>144.42339999999999</v>
      </c>
      <c r="I6131" s="195">
        <v>-15.57812</v>
      </c>
      <c r="J6131" s="195">
        <v>-14.21504</v>
      </c>
      <c r="K6131" s="195">
        <v>-17.245889999999999</v>
      </c>
      <c r="L6131" s="195">
        <v>-16.729399999999998</v>
      </c>
      <c r="M6131" s="195">
        <v>-10.08709</v>
      </c>
      <c r="N6131" s="195">
        <v>-6.760548</v>
      </c>
    </row>
    <row r="6132" spans="1:14" hidden="1" x14ac:dyDescent="0.35">
      <c r="A6132" s="52" t="s">
        <v>731</v>
      </c>
      <c r="B6132" s="52" t="s">
        <v>307</v>
      </c>
      <c r="C6132" s="52" t="s">
        <v>306</v>
      </c>
      <c r="D6132" s="52" t="s">
        <v>306</v>
      </c>
      <c r="E6132" s="52" t="s">
        <v>584</v>
      </c>
      <c r="F6132" s="52" t="s">
        <v>581</v>
      </c>
      <c r="G6132" s="195" t="s">
        <v>277</v>
      </c>
      <c r="H6132" s="195">
        <v>122.27849999999999</v>
      </c>
      <c r="I6132" s="195">
        <v>95.756330000000005</v>
      </c>
      <c r="J6132" s="195">
        <v>40.414499999999997</v>
      </c>
      <c r="K6132" s="195">
        <v>58.068579999999997</v>
      </c>
      <c r="L6132" s="195">
        <v>67.577029999999993</v>
      </c>
      <c r="M6132" s="195">
        <v>42.337009999999999</v>
      </c>
      <c r="N6132" s="195">
        <v>20.753679999999999</v>
      </c>
    </row>
    <row r="6133" spans="1:14" hidden="1" x14ac:dyDescent="0.35">
      <c r="A6133" s="52" t="s">
        <v>731</v>
      </c>
      <c r="B6133" s="52" t="s">
        <v>307</v>
      </c>
      <c r="C6133" s="52" t="s">
        <v>306</v>
      </c>
      <c r="D6133" s="52" t="s">
        <v>306</v>
      </c>
      <c r="E6133" s="52" t="s">
        <v>584</v>
      </c>
      <c r="F6133" s="52" t="s">
        <v>581</v>
      </c>
      <c r="G6133" s="195" t="s">
        <v>278</v>
      </c>
      <c r="H6133" s="195">
        <v>0.35319390000000001</v>
      </c>
      <c r="I6133" s="195">
        <v>0.35319390000000001</v>
      </c>
      <c r="J6133" s="195">
        <v>1.9287929999999998E-2</v>
      </c>
      <c r="K6133" s="195">
        <v>1.9287929999999998E-2</v>
      </c>
      <c r="L6133" s="195">
        <v>1.9287929999999998E-2</v>
      </c>
      <c r="M6133" s="195">
        <v>1.9287929999999998E-2</v>
      </c>
      <c r="N6133" s="195">
        <v>1.9287929999999998E-2</v>
      </c>
    </row>
    <row r="6134" spans="1:14" hidden="1" x14ac:dyDescent="0.35">
      <c r="A6134" s="52" t="s">
        <v>731</v>
      </c>
      <c r="B6134" s="52" t="s">
        <v>307</v>
      </c>
      <c r="C6134" s="52" t="s">
        <v>306</v>
      </c>
      <c r="D6134" s="52" t="s">
        <v>306</v>
      </c>
      <c r="E6134" s="52" t="s">
        <v>584</v>
      </c>
      <c r="F6134" s="52" t="s">
        <v>581</v>
      </c>
      <c r="G6134" s="195" t="s">
        <v>279</v>
      </c>
      <c r="H6134" s="195">
        <v>208.26939999999999</v>
      </c>
      <c r="I6134" s="195">
        <v>181.63159999999999</v>
      </c>
      <c r="J6134" s="195">
        <v>187.48779999999999</v>
      </c>
      <c r="K6134" s="195">
        <v>207.7208</v>
      </c>
      <c r="L6134" s="195">
        <v>199.08320000000001</v>
      </c>
      <c r="M6134" s="195">
        <v>198.39189999999999</v>
      </c>
      <c r="N6134" s="195">
        <v>187.20750000000001</v>
      </c>
    </row>
    <row r="6135" spans="1:14" hidden="1" x14ac:dyDescent="0.35">
      <c r="A6135" s="52" t="s">
        <v>731</v>
      </c>
      <c r="B6135" s="52" t="s">
        <v>307</v>
      </c>
      <c r="C6135" s="52" t="s">
        <v>306</v>
      </c>
      <c r="D6135" s="52" t="s">
        <v>306</v>
      </c>
      <c r="E6135" s="52" t="s">
        <v>584</v>
      </c>
      <c r="F6135" s="52" t="s">
        <v>26</v>
      </c>
      <c r="G6135" s="195" t="s">
        <v>275</v>
      </c>
      <c r="H6135" s="195">
        <v>1.592886</v>
      </c>
      <c r="I6135" s="195">
        <v>1.4335519999999999</v>
      </c>
      <c r="J6135" s="195">
        <v>3.015018</v>
      </c>
      <c r="K6135" s="195">
        <v>2.979473</v>
      </c>
      <c r="L6135" s="195">
        <v>3.8426369999999999</v>
      </c>
      <c r="M6135" s="195">
        <v>3.595809</v>
      </c>
      <c r="N6135" s="195">
        <v>3.2079260000000001</v>
      </c>
    </row>
    <row r="6136" spans="1:14" hidden="1" x14ac:dyDescent="0.35">
      <c r="A6136" s="52" t="s">
        <v>731</v>
      </c>
      <c r="B6136" s="52" t="s">
        <v>307</v>
      </c>
      <c r="C6136" s="52" t="s">
        <v>306</v>
      </c>
      <c r="D6136" s="52" t="s">
        <v>306</v>
      </c>
      <c r="E6136" s="52" t="s">
        <v>584</v>
      </c>
      <c r="F6136" s="52" t="s">
        <v>26</v>
      </c>
      <c r="G6136" s="195" t="s">
        <v>276</v>
      </c>
      <c r="H6136" s="195">
        <v>0.20711789999999999</v>
      </c>
      <c r="I6136" s="195">
        <v>1.0027170000000001</v>
      </c>
      <c r="J6136" s="195">
        <v>1.7932840000000001</v>
      </c>
      <c r="K6136" s="195">
        <v>1.7333879999999999</v>
      </c>
      <c r="L6136" s="195">
        <v>2.3369870000000001</v>
      </c>
      <c r="M6136" s="195">
        <v>2.1909999999999998</v>
      </c>
      <c r="N6136" s="195">
        <v>1.9522470000000001</v>
      </c>
    </row>
    <row r="6137" spans="1:14" hidden="1" x14ac:dyDescent="0.35">
      <c r="A6137" s="52" t="s">
        <v>731</v>
      </c>
      <c r="B6137" s="52" t="s">
        <v>307</v>
      </c>
      <c r="C6137" s="52" t="s">
        <v>306</v>
      </c>
      <c r="D6137" s="52" t="s">
        <v>306</v>
      </c>
      <c r="E6137" s="52" t="s">
        <v>584</v>
      </c>
      <c r="F6137" s="52" t="s">
        <v>26</v>
      </c>
      <c r="G6137" s="195" t="s">
        <v>277</v>
      </c>
      <c r="H6137" s="195">
        <v>0</v>
      </c>
      <c r="I6137" s="195"/>
      <c r="J6137" s="195"/>
      <c r="K6137" s="195"/>
      <c r="L6137" s="195"/>
      <c r="M6137" s="195"/>
      <c r="N6137" s="195"/>
    </row>
    <row r="6138" spans="1:14" hidden="1" x14ac:dyDescent="0.35">
      <c r="A6138" s="52" t="s">
        <v>731</v>
      </c>
      <c r="B6138" s="52" t="s">
        <v>307</v>
      </c>
      <c r="C6138" s="52" t="s">
        <v>306</v>
      </c>
      <c r="D6138" s="52" t="s">
        <v>306</v>
      </c>
      <c r="E6138" s="52" t="s">
        <v>584</v>
      </c>
      <c r="F6138" s="52" t="s">
        <v>26</v>
      </c>
      <c r="G6138" s="195" t="s">
        <v>279</v>
      </c>
      <c r="H6138" s="195">
        <v>7.9223290000000004</v>
      </c>
      <c r="I6138" s="195">
        <v>7.1506949999999998</v>
      </c>
      <c r="J6138" s="195">
        <v>15.318</v>
      </c>
      <c r="K6138" s="195">
        <v>20.4132</v>
      </c>
      <c r="L6138" s="195">
        <v>26.81006</v>
      </c>
      <c r="M6138" s="195">
        <v>25.119949999999999</v>
      </c>
      <c r="N6138" s="195">
        <v>22.43684</v>
      </c>
    </row>
    <row r="6139" spans="1:14" hidden="1" x14ac:dyDescent="0.35">
      <c r="A6139" s="52" t="s">
        <v>731</v>
      </c>
      <c r="B6139" s="52" t="s">
        <v>37</v>
      </c>
      <c r="C6139" s="52" t="s">
        <v>61</v>
      </c>
      <c r="D6139" s="52" t="s">
        <v>62</v>
      </c>
      <c r="E6139" s="52" t="s">
        <v>584</v>
      </c>
      <c r="F6139" s="52" t="s">
        <v>581</v>
      </c>
      <c r="G6139" s="195" t="s">
        <v>275</v>
      </c>
      <c r="H6139" s="195">
        <v>111.625</v>
      </c>
      <c r="I6139" s="195">
        <v>94.253129999999999</v>
      </c>
      <c r="J6139" s="195">
        <v>30.578749999999999</v>
      </c>
      <c r="K6139" s="195">
        <v>47.973950000000002</v>
      </c>
      <c r="L6139" s="195">
        <v>17.38045</v>
      </c>
      <c r="M6139" s="195">
        <v>4.421106</v>
      </c>
      <c r="N6139" s="195">
        <v>-4.9629370000000002</v>
      </c>
    </row>
    <row r="6140" spans="1:14" hidden="1" x14ac:dyDescent="0.35">
      <c r="A6140" s="52" t="s">
        <v>731</v>
      </c>
      <c r="B6140" s="52" t="s">
        <v>37</v>
      </c>
      <c r="C6140" s="52" t="s">
        <v>61</v>
      </c>
      <c r="D6140" s="52" t="s">
        <v>62</v>
      </c>
      <c r="E6140" s="52" t="s">
        <v>584</v>
      </c>
      <c r="F6140" s="52" t="s">
        <v>581</v>
      </c>
      <c r="G6140" s="195" t="s">
        <v>276</v>
      </c>
      <c r="H6140" s="195">
        <v>23.33137</v>
      </c>
      <c r="I6140" s="195">
        <v>-65.452839999999995</v>
      </c>
      <c r="J6140" s="195">
        <v>-263.99599999999998</v>
      </c>
      <c r="K6140" s="195">
        <v>-95.669110000000003</v>
      </c>
      <c r="L6140" s="195">
        <v>-95.331199999999995</v>
      </c>
      <c r="M6140" s="195">
        <v>-59.624940000000002</v>
      </c>
      <c r="N6140" s="195">
        <v>-53.876080000000002</v>
      </c>
    </row>
    <row r="6141" spans="1:14" hidden="1" x14ac:dyDescent="0.35">
      <c r="A6141" s="52" t="s">
        <v>731</v>
      </c>
      <c r="B6141" s="52" t="s">
        <v>37</v>
      </c>
      <c r="C6141" s="52" t="s">
        <v>61</v>
      </c>
      <c r="D6141" s="52" t="s">
        <v>62</v>
      </c>
      <c r="E6141" s="52" t="s">
        <v>584</v>
      </c>
      <c r="F6141" s="52" t="s">
        <v>581</v>
      </c>
      <c r="G6141" s="195" t="s">
        <v>277</v>
      </c>
      <c r="H6141" s="195">
        <v>73.869500000000002</v>
      </c>
      <c r="I6141" s="195">
        <v>46.828580000000002</v>
      </c>
      <c r="J6141" s="195">
        <v>37.43647</v>
      </c>
      <c r="K6141" s="195">
        <v>17.710529999999999</v>
      </c>
      <c r="L6141" s="195">
        <v>15.92371</v>
      </c>
      <c r="M6141" s="195">
        <v>13.94265</v>
      </c>
      <c r="N6141" s="195">
        <v>9.6565650000000005</v>
      </c>
    </row>
    <row r="6142" spans="1:14" hidden="1" x14ac:dyDescent="0.35">
      <c r="A6142" s="52" t="s">
        <v>731</v>
      </c>
      <c r="B6142" s="52" t="s">
        <v>37</v>
      </c>
      <c r="C6142" s="52" t="s">
        <v>61</v>
      </c>
      <c r="D6142" s="52" t="s">
        <v>62</v>
      </c>
      <c r="E6142" s="52" t="s">
        <v>584</v>
      </c>
      <c r="F6142" s="52" t="s">
        <v>581</v>
      </c>
      <c r="G6142" s="195" t="s">
        <v>278</v>
      </c>
      <c r="H6142" s="195">
        <v>158.13630000000001</v>
      </c>
      <c r="I6142" s="195">
        <v>4.4293480000000001</v>
      </c>
      <c r="J6142" s="195">
        <v>241.03299999999999</v>
      </c>
      <c r="K6142" s="195">
        <v>60.887880000000003</v>
      </c>
      <c r="L6142" s="195">
        <v>83.673680000000004</v>
      </c>
      <c r="M6142" s="195">
        <v>53.453040000000001</v>
      </c>
      <c r="N6142" s="195">
        <v>46.42315</v>
      </c>
    </row>
    <row r="6143" spans="1:14" hidden="1" x14ac:dyDescent="0.35">
      <c r="A6143" s="52" t="s">
        <v>731</v>
      </c>
      <c r="B6143" s="52" t="s">
        <v>37</v>
      </c>
      <c r="C6143" s="52" t="s">
        <v>61</v>
      </c>
      <c r="D6143" s="52" t="s">
        <v>62</v>
      </c>
      <c r="E6143" s="52" t="s">
        <v>584</v>
      </c>
      <c r="F6143" s="52" t="s">
        <v>581</v>
      </c>
      <c r="G6143" s="195" t="s">
        <v>279</v>
      </c>
      <c r="H6143" s="195">
        <v>134.71950000000001</v>
      </c>
      <c r="I6143" s="195">
        <v>126.47029999999999</v>
      </c>
      <c r="J6143" s="195">
        <v>122.5133</v>
      </c>
      <c r="K6143" s="195">
        <v>120.315</v>
      </c>
      <c r="L6143" s="195">
        <v>105.867</v>
      </c>
      <c r="M6143" s="195">
        <v>91.870069999999998</v>
      </c>
      <c r="N6143" s="195">
        <v>87.928610000000006</v>
      </c>
    </row>
    <row r="6144" spans="1:14" hidden="1" x14ac:dyDescent="0.35">
      <c r="A6144" s="52" t="s">
        <v>731</v>
      </c>
      <c r="B6144" s="52" t="s">
        <v>37</v>
      </c>
      <c r="C6144" s="52" t="s">
        <v>61</v>
      </c>
      <c r="D6144" s="52" t="s">
        <v>62</v>
      </c>
      <c r="E6144" s="52" t="s">
        <v>584</v>
      </c>
      <c r="F6144" s="52" t="s">
        <v>26</v>
      </c>
      <c r="G6144" s="195" t="s">
        <v>275</v>
      </c>
      <c r="H6144" s="195">
        <v>-5.6837850000000003</v>
      </c>
      <c r="I6144" s="195">
        <v>-0.13767679999999999</v>
      </c>
      <c r="J6144" s="195">
        <v>-1.7248559999999999</v>
      </c>
      <c r="K6144" s="195">
        <v>-2.248345</v>
      </c>
      <c r="L6144" s="195">
        <v>-1.509806</v>
      </c>
      <c r="M6144" s="195">
        <v>-1.4539390000000001</v>
      </c>
      <c r="N6144" s="195">
        <v>-15.20251</v>
      </c>
    </row>
    <row r="6145" spans="1:14" hidden="1" x14ac:dyDescent="0.35">
      <c r="A6145" s="52" t="s">
        <v>731</v>
      </c>
      <c r="B6145" s="52" t="s">
        <v>37</v>
      </c>
      <c r="C6145" s="52" t="s">
        <v>61</v>
      </c>
      <c r="D6145" s="52" t="s">
        <v>62</v>
      </c>
      <c r="E6145" s="52" t="s">
        <v>584</v>
      </c>
      <c r="F6145" s="52" t="s">
        <v>26</v>
      </c>
      <c r="G6145" s="195" t="s">
        <v>276</v>
      </c>
      <c r="H6145" s="195">
        <v>-1.772761</v>
      </c>
      <c r="I6145" s="195">
        <v>-3.183942</v>
      </c>
      <c r="J6145" s="195">
        <v>-1.0522929999999999</v>
      </c>
      <c r="K6145" s="195">
        <v>-0.94230840000000005</v>
      </c>
      <c r="L6145" s="195">
        <v>-1.2061580000000001</v>
      </c>
      <c r="M6145" s="195">
        <v>-0.42891620000000003</v>
      </c>
      <c r="N6145" s="195">
        <v>-4.0411739999999998</v>
      </c>
    </row>
    <row r="6146" spans="1:14" hidden="1" x14ac:dyDescent="0.35">
      <c r="A6146" s="52" t="s">
        <v>731</v>
      </c>
      <c r="B6146" s="52" t="s">
        <v>37</v>
      </c>
      <c r="C6146" s="52" t="s">
        <v>61</v>
      </c>
      <c r="D6146" s="52" t="s">
        <v>62</v>
      </c>
      <c r="E6146" s="52" t="s">
        <v>584</v>
      </c>
      <c r="F6146" s="52" t="s">
        <v>26</v>
      </c>
      <c r="G6146" s="195" t="s">
        <v>277</v>
      </c>
      <c r="H6146" s="195">
        <v>7.2942999999999998</v>
      </c>
      <c r="I6146" s="195">
        <v>0.38965899999999998</v>
      </c>
      <c r="J6146" s="195">
        <v>0</v>
      </c>
      <c r="K6146" s="195"/>
      <c r="L6146" s="195"/>
      <c r="M6146" s="195">
        <v>0</v>
      </c>
      <c r="N6146" s="195">
        <v>0</v>
      </c>
    </row>
    <row r="6147" spans="1:14" hidden="1" x14ac:dyDescent="0.35">
      <c r="A6147" s="52" t="s">
        <v>731</v>
      </c>
      <c r="B6147" s="52" t="s">
        <v>37</v>
      </c>
      <c r="C6147" s="52" t="s">
        <v>61</v>
      </c>
      <c r="D6147" s="52" t="s">
        <v>62</v>
      </c>
      <c r="E6147" s="52" t="s">
        <v>584</v>
      </c>
      <c r="F6147" s="52" t="s">
        <v>26</v>
      </c>
      <c r="G6147" s="195" t="s">
        <v>278</v>
      </c>
      <c r="H6147" s="195"/>
      <c r="I6147" s="195"/>
      <c r="J6147" s="195">
        <v>0</v>
      </c>
      <c r="K6147" s="195">
        <v>0</v>
      </c>
      <c r="L6147" s="195">
        <v>0</v>
      </c>
      <c r="M6147" s="195">
        <v>0</v>
      </c>
      <c r="N6147" s="195">
        <v>0</v>
      </c>
    </row>
    <row r="6148" spans="1:14" hidden="1" x14ac:dyDescent="0.35">
      <c r="A6148" s="52" t="s">
        <v>731</v>
      </c>
      <c r="B6148" s="52" t="s">
        <v>37</v>
      </c>
      <c r="C6148" s="52" t="s">
        <v>61</v>
      </c>
      <c r="D6148" s="52" t="s">
        <v>62</v>
      </c>
      <c r="E6148" s="52" t="s">
        <v>584</v>
      </c>
      <c r="F6148" s="52" t="s">
        <v>26</v>
      </c>
      <c r="G6148" s="195" t="s">
        <v>279</v>
      </c>
      <c r="H6148" s="195">
        <v>21.24898</v>
      </c>
      <c r="I6148" s="195">
        <v>19.06353</v>
      </c>
      <c r="J6148" s="195">
        <v>16.16976</v>
      </c>
      <c r="K6148" s="195">
        <v>14.060560000000001</v>
      </c>
      <c r="L6148" s="195">
        <v>11.239269999999999</v>
      </c>
      <c r="M6148" s="195">
        <v>7.9226669999999997</v>
      </c>
      <c r="N6148" s="195">
        <v>23.836490000000001</v>
      </c>
    </row>
    <row r="6149" spans="1:14" hidden="1" x14ac:dyDescent="0.35">
      <c r="A6149" s="52" t="s">
        <v>731</v>
      </c>
      <c r="B6149" s="52" t="s">
        <v>37</v>
      </c>
      <c r="C6149" s="52" t="s">
        <v>109</v>
      </c>
      <c r="D6149" s="52" t="s">
        <v>109</v>
      </c>
      <c r="E6149" s="52" t="s">
        <v>584</v>
      </c>
      <c r="F6149" s="52" t="s">
        <v>581</v>
      </c>
      <c r="G6149" s="195" t="s">
        <v>275</v>
      </c>
      <c r="H6149" s="195">
        <v>1.8550799999999999E-2</v>
      </c>
      <c r="I6149" s="195">
        <v>4.3235399999999998E-3</v>
      </c>
      <c r="J6149" s="195">
        <v>2.95488E-3</v>
      </c>
      <c r="K6149" s="195">
        <v>9.9372000000000002E-4</v>
      </c>
      <c r="L6149" s="195">
        <v>-1.953551</v>
      </c>
      <c r="M6149" s="195">
        <v>8.7743999999999995E-4</v>
      </c>
      <c r="N6149" s="195"/>
    </row>
    <row r="6150" spans="1:14" hidden="1" x14ac:dyDescent="0.35">
      <c r="A6150" s="52" t="s">
        <v>731</v>
      </c>
      <c r="B6150" s="52" t="s">
        <v>37</v>
      </c>
      <c r="C6150" s="52" t="s">
        <v>109</v>
      </c>
      <c r="D6150" s="52" t="s">
        <v>109</v>
      </c>
      <c r="E6150" s="52" t="s">
        <v>584</v>
      </c>
      <c r="F6150" s="52" t="s">
        <v>581</v>
      </c>
      <c r="G6150" s="195" t="s">
        <v>276</v>
      </c>
      <c r="H6150" s="195">
        <v>4.9310999999999999E-3</v>
      </c>
      <c r="I6150" s="195">
        <v>1.1493600000000001E-3</v>
      </c>
      <c r="J6150" s="195">
        <v>7.8534009999999997E-4</v>
      </c>
      <c r="K6150" s="195">
        <v>2.6412000000000001E-4</v>
      </c>
      <c r="L6150" s="195">
        <v>-0.5192985</v>
      </c>
      <c r="M6150" s="195">
        <v>2.3327999999999999E-4</v>
      </c>
      <c r="N6150" s="195"/>
    </row>
    <row r="6151" spans="1:14" hidden="1" x14ac:dyDescent="0.35">
      <c r="A6151" s="52" t="s">
        <v>731</v>
      </c>
      <c r="B6151" s="52" t="s">
        <v>37</v>
      </c>
      <c r="C6151" s="52" t="s">
        <v>109</v>
      </c>
      <c r="D6151" s="52" t="s">
        <v>109</v>
      </c>
      <c r="E6151" s="52" t="s">
        <v>584</v>
      </c>
      <c r="F6151" s="52" t="s">
        <v>581</v>
      </c>
      <c r="G6151" s="195" t="s">
        <v>279</v>
      </c>
      <c r="H6151" s="195">
        <v>5.8979999999999996E-3</v>
      </c>
      <c r="I6151" s="195">
        <v>5.1957000000000001E-3</v>
      </c>
      <c r="J6151" s="195">
        <v>4.8203999999999999E-3</v>
      </c>
      <c r="K6151" s="195">
        <v>9.1817989999999996E-4</v>
      </c>
      <c r="L6151" s="195">
        <v>2.4748779999999999</v>
      </c>
      <c r="M6151" s="195">
        <v>7.7934E-4</v>
      </c>
      <c r="N6151" s="195"/>
    </row>
    <row r="6152" spans="1:14" hidden="1" x14ac:dyDescent="0.35">
      <c r="A6152" s="52" t="s">
        <v>731</v>
      </c>
      <c r="B6152" s="52" t="s">
        <v>37</v>
      </c>
      <c r="C6152" s="52" t="s">
        <v>109</v>
      </c>
      <c r="D6152" s="52" t="s">
        <v>109</v>
      </c>
      <c r="E6152" s="52" t="s">
        <v>584</v>
      </c>
      <c r="F6152" s="52" t="s">
        <v>26</v>
      </c>
      <c r="G6152" s="195" t="s">
        <v>275</v>
      </c>
      <c r="H6152" s="195">
        <v>-6.7650000000000002E-4</v>
      </c>
      <c r="I6152" s="195">
        <v>-2.7317399999999999E-3</v>
      </c>
      <c r="J6152" s="195">
        <v>-2.5547999999999999E-3</v>
      </c>
      <c r="K6152" s="195"/>
      <c r="L6152" s="195">
        <v>-4.7226419999999996</v>
      </c>
      <c r="M6152" s="195"/>
      <c r="N6152" s="195"/>
    </row>
    <row r="6153" spans="1:14" hidden="1" x14ac:dyDescent="0.35">
      <c r="A6153" s="52" t="s">
        <v>731</v>
      </c>
      <c r="B6153" s="52" t="s">
        <v>37</v>
      </c>
      <c r="C6153" s="52" t="s">
        <v>109</v>
      </c>
      <c r="D6153" s="52" t="s">
        <v>109</v>
      </c>
      <c r="E6153" s="52" t="s">
        <v>584</v>
      </c>
      <c r="F6153" s="52" t="s">
        <v>26</v>
      </c>
      <c r="G6153" s="195" t="s">
        <v>276</v>
      </c>
      <c r="H6153" s="195">
        <v>-1.8000000000000001E-4</v>
      </c>
      <c r="I6153" s="195">
        <v>-7.2612000000000002E-4</v>
      </c>
      <c r="J6153" s="195">
        <v>-6.7889999999999997E-4</v>
      </c>
      <c r="K6153" s="195"/>
      <c r="L6153" s="195">
        <v>-1.2553859999999999</v>
      </c>
      <c r="M6153" s="195"/>
      <c r="N6153" s="195"/>
    </row>
    <row r="6154" spans="1:14" hidden="1" x14ac:dyDescent="0.35">
      <c r="A6154" s="52" t="s">
        <v>731</v>
      </c>
      <c r="B6154" s="52" t="s">
        <v>37</v>
      </c>
      <c r="C6154" s="52" t="s">
        <v>109</v>
      </c>
      <c r="D6154" s="52" t="s">
        <v>109</v>
      </c>
      <c r="E6154" s="52" t="s">
        <v>584</v>
      </c>
      <c r="F6154" s="52" t="s">
        <v>26</v>
      </c>
      <c r="G6154" s="195" t="s">
        <v>279</v>
      </c>
      <c r="H6154" s="195">
        <v>1.6719000000000001E-2</v>
      </c>
      <c r="I6154" s="195">
        <v>1.49085E-2</v>
      </c>
      <c r="J6154" s="195">
        <v>1.4149800000000001E-2</v>
      </c>
      <c r="K6154" s="195">
        <v>2.7558600000000002E-3</v>
      </c>
      <c r="L6154" s="195">
        <v>5.9801849999999996</v>
      </c>
      <c r="M6154" s="195">
        <v>2.43276E-3</v>
      </c>
      <c r="N6154" s="195"/>
    </row>
    <row r="6155" spans="1:14" hidden="1" x14ac:dyDescent="0.35">
      <c r="A6155" s="52" t="s">
        <v>731</v>
      </c>
      <c r="B6155" s="52" t="s">
        <v>43</v>
      </c>
      <c r="C6155" s="52" t="s">
        <v>229</v>
      </c>
      <c r="D6155" s="52" t="s">
        <v>229</v>
      </c>
      <c r="E6155" s="52" t="s">
        <v>584</v>
      </c>
      <c r="F6155" s="52" t="s">
        <v>581</v>
      </c>
      <c r="G6155" s="195" t="s">
        <v>275</v>
      </c>
      <c r="H6155" s="195">
        <v>29.692019999999999</v>
      </c>
      <c r="I6155" s="195">
        <v>-90.799670000000006</v>
      </c>
      <c r="J6155" s="195">
        <v>-85.19041</v>
      </c>
      <c r="K6155" s="195">
        <v>-46.425190000000001</v>
      </c>
      <c r="L6155" s="195">
        <v>-32.267620000000001</v>
      </c>
      <c r="M6155" s="195">
        <v>-20.607839999999999</v>
      </c>
      <c r="N6155" s="195">
        <v>-44.40258</v>
      </c>
    </row>
    <row r="6156" spans="1:14" hidden="1" x14ac:dyDescent="0.35">
      <c r="A6156" s="52" t="s">
        <v>731</v>
      </c>
      <c r="B6156" s="52" t="s">
        <v>43</v>
      </c>
      <c r="C6156" s="52" t="s">
        <v>229</v>
      </c>
      <c r="D6156" s="52" t="s">
        <v>229</v>
      </c>
      <c r="E6156" s="52" t="s">
        <v>584</v>
      </c>
      <c r="F6156" s="52" t="s">
        <v>581</v>
      </c>
      <c r="G6156" s="195" t="s">
        <v>276</v>
      </c>
      <c r="H6156" s="195">
        <v>29.090209999999999</v>
      </c>
      <c r="I6156" s="195">
        <v>6.3306069999999997</v>
      </c>
      <c r="J6156" s="195">
        <v>4.7368589999999999</v>
      </c>
      <c r="K6156" s="195">
        <v>4.6211679999999999</v>
      </c>
      <c r="L6156" s="195">
        <v>4.6670109999999996</v>
      </c>
      <c r="M6156" s="195">
        <v>3.1181169999999998</v>
      </c>
      <c r="N6156" s="195">
        <v>2.797196</v>
      </c>
    </row>
    <row r="6157" spans="1:14" hidden="1" x14ac:dyDescent="0.35">
      <c r="A6157" s="52" t="s">
        <v>731</v>
      </c>
      <c r="B6157" s="52" t="s">
        <v>43</v>
      </c>
      <c r="C6157" s="52" t="s">
        <v>229</v>
      </c>
      <c r="D6157" s="52" t="s">
        <v>229</v>
      </c>
      <c r="E6157" s="52" t="s">
        <v>584</v>
      </c>
      <c r="F6157" s="52" t="s">
        <v>581</v>
      </c>
      <c r="G6157" s="195" t="s">
        <v>277</v>
      </c>
      <c r="H6157" s="195">
        <v>59.310870000000001</v>
      </c>
      <c r="I6157" s="195">
        <v>29.805440000000001</v>
      </c>
      <c r="J6157" s="195">
        <v>69.189449999999994</v>
      </c>
      <c r="K6157" s="195">
        <v>24.992339999999999</v>
      </c>
      <c r="L6157" s="195">
        <v>10.444129999999999</v>
      </c>
      <c r="M6157" s="195">
        <v>0</v>
      </c>
      <c r="N6157" s="195">
        <v>0</v>
      </c>
    </row>
    <row r="6158" spans="1:14" hidden="1" x14ac:dyDescent="0.35">
      <c r="A6158" s="52" t="s">
        <v>731</v>
      </c>
      <c r="B6158" s="52" t="s">
        <v>43</v>
      </c>
      <c r="C6158" s="52" t="s">
        <v>229</v>
      </c>
      <c r="D6158" s="52" t="s">
        <v>229</v>
      </c>
      <c r="E6158" s="52" t="s">
        <v>584</v>
      </c>
      <c r="F6158" s="52" t="s">
        <v>581</v>
      </c>
      <c r="G6158" s="195" t="s">
        <v>278</v>
      </c>
      <c r="H6158" s="195">
        <v>47.262830000000001</v>
      </c>
      <c r="I6158" s="195">
        <v>58.67794</v>
      </c>
      <c r="J6158" s="195">
        <v>0</v>
      </c>
      <c r="K6158" s="195">
        <v>0</v>
      </c>
      <c r="L6158" s="195">
        <v>0</v>
      </c>
      <c r="M6158" s="195">
        <v>0</v>
      </c>
      <c r="N6158" s="195">
        <v>0</v>
      </c>
    </row>
    <row r="6159" spans="1:14" hidden="1" x14ac:dyDescent="0.35">
      <c r="A6159" s="52" t="s">
        <v>731</v>
      </c>
      <c r="B6159" s="52" t="s">
        <v>43</v>
      </c>
      <c r="C6159" s="52" t="s">
        <v>229</v>
      </c>
      <c r="D6159" s="52" t="s">
        <v>229</v>
      </c>
      <c r="E6159" s="52" t="s">
        <v>584</v>
      </c>
      <c r="F6159" s="52" t="s">
        <v>581</v>
      </c>
      <c r="G6159" s="195" t="s">
        <v>279</v>
      </c>
      <c r="H6159" s="195">
        <v>91.703739999999996</v>
      </c>
      <c r="I6159" s="195">
        <v>84.589510000000004</v>
      </c>
      <c r="J6159" s="195">
        <v>78.702259999999995</v>
      </c>
      <c r="K6159" s="195">
        <v>82.801190000000005</v>
      </c>
      <c r="L6159" s="195">
        <v>84.056179999999998</v>
      </c>
      <c r="M6159" s="195">
        <v>68.907020000000003</v>
      </c>
      <c r="N6159" s="195">
        <v>88.462270000000004</v>
      </c>
    </row>
    <row r="6160" spans="1:14" hidden="1" x14ac:dyDescent="0.35">
      <c r="A6160" s="52" t="s">
        <v>731</v>
      </c>
      <c r="B6160" s="52" t="s">
        <v>43</v>
      </c>
      <c r="C6160" s="52" t="s">
        <v>229</v>
      </c>
      <c r="D6160" s="52" t="s">
        <v>229</v>
      </c>
      <c r="E6160" s="52" t="s">
        <v>584</v>
      </c>
      <c r="F6160" s="52" t="s">
        <v>26</v>
      </c>
      <c r="G6160" s="195" t="s">
        <v>275</v>
      </c>
      <c r="H6160" s="195">
        <v>-7.4393339999999997</v>
      </c>
      <c r="I6160" s="195">
        <v>-7.4393339999999997</v>
      </c>
      <c r="J6160" s="195">
        <v>0</v>
      </c>
      <c r="K6160" s="195">
        <v>0</v>
      </c>
      <c r="L6160" s="195">
        <v>0</v>
      </c>
      <c r="M6160" s="195">
        <v>0</v>
      </c>
      <c r="N6160" s="195">
        <v>0</v>
      </c>
    </row>
    <row r="6161" spans="1:14" hidden="1" x14ac:dyDescent="0.35">
      <c r="A6161" s="52" t="s">
        <v>731</v>
      </c>
      <c r="B6161" s="52" t="s">
        <v>43</v>
      </c>
      <c r="C6161" s="52" t="s">
        <v>229</v>
      </c>
      <c r="D6161" s="52" t="s">
        <v>229</v>
      </c>
      <c r="E6161" s="52" t="s">
        <v>584</v>
      </c>
      <c r="F6161" s="52" t="s">
        <v>26</v>
      </c>
      <c r="G6161" s="195" t="s">
        <v>276</v>
      </c>
      <c r="H6161" s="195"/>
      <c r="I6161" s="195"/>
      <c r="J6161" s="195">
        <v>-15.458299999999999</v>
      </c>
      <c r="K6161" s="195">
        <v>-16.013159999999999</v>
      </c>
      <c r="L6161" s="195">
        <v>-55.65757</v>
      </c>
      <c r="M6161" s="195">
        <v>-0.42873800000000001</v>
      </c>
      <c r="N6161" s="195">
        <v>-0.43480999999999997</v>
      </c>
    </row>
    <row r="6162" spans="1:14" hidden="1" x14ac:dyDescent="0.35">
      <c r="A6162" s="52" t="s">
        <v>731</v>
      </c>
      <c r="B6162" s="52" t="s">
        <v>43</v>
      </c>
      <c r="C6162" s="52" t="s">
        <v>229</v>
      </c>
      <c r="D6162" s="52" t="s">
        <v>229</v>
      </c>
      <c r="E6162" s="52" t="s">
        <v>584</v>
      </c>
      <c r="F6162" s="52" t="s">
        <v>26</v>
      </c>
      <c r="G6162" s="195" t="s">
        <v>277</v>
      </c>
      <c r="H6162" s="195"/>
      <c r="I6162" s="195"/>
      <c r="J6162" s="195"/>
      <c r="K6162" s="195"/>
      <c r="L6162" s="195"/>
      <c r="M6162" s="195">
        <v>0</v>
      </c>
      <c r="N6162" s="195">
        <v>6.0720000000000001E-3</v>
      </c>
    </row>
    <row r="6163" spans="1:14" hidden="1" x14ac:dyDescent="0.35">
      <c r="A6163" s="52" t="s">
        <v>731</v>
      </c>
      <c r="B6163" s="52" t="s">
        <v>43</v>
      </c>
      <c r="C6163" s="52" t="s">
        <v>229</v>
      </c>
      <c r="D6163" s="52" t="s">
        <v>229</v>
      </c>
      <c r="E6163" s="52" t="s">
        <v>584</v>
      </c>
      <c r="F6163" s="52" t="s">
        <v>26</v>
      </c>
      <c r="G6163" s="195" t="s">
        <v>278</v>
      </c>
      <c r="H6163" s="195">
        <v>7.4393339999999997</v>
      </c>
      <c r="I6163" s="195">
        <v>7.4393339999999997</v>
      </c>
      <c r="J6163" s="195">
        <v>15.45829</v>
      </c>
      <c r="K6163" s="195">
        <v>16.013159999999999</v>
      </c>
      <c r="L6163" s="195">
        <v>55.65757</v>
      </c>
      <c r="M6163" s="195">
        <v>0.42873800000000001</v>
      </c>
      <c r="N6163" s="195">
        <v>0.42873800000000001</v>
      </c>
    </row>
    <row r="6164" spans="1:14" hidden="1" x14ac:dyDescent="0.35">
      <c r="A6164" s="52" t="s">
        <v>731</v>
      </c>
      <c r="B6164" s="52" t="s">
        <v>312</v>
      </c>
      <c r="C6164" s="52" t="s">
        <v>319</v>
      </c>
      <c r="D6164" s="52" t="s">
        <v>319</v>
      </c>
      <c r="E6164" s="52" t="s">
        <v>584</v>
      </c>
      <c r="F6164" s="52" t="s">
        <v>581</v>
      </c>
      <c r="G6164" s="195" t="s">
        <v>275</v>
      </c>
      <c r="H6164" s="195">
        <v>-16.968509999999998</v>
      </c>
      <c r="I6164" s="195">
        <v>-11.519959999999999</v>
      </c>
      <c r="J6164" s="195">
        <v>-17.1174</v>
      </c>
      <c r="K6164" s="195">
        <v>-11.15442</v>
      </c>
      <c r="L6164" s="195">
        <v>1.2873490000000001</v>
      </c>
      <c r="M6164" s="195">
        <v>10.68097</v>
      </c>
      <c r="N6164" s="195">
        <v>17.29363</v>
      </c>
    </row>
    <row r="6165" spans="1:14" hidden="1" x14ac:dyDescent="0.35">
      <c r="A6165" s="52" t="s">
        <v>731</v>
      </c>
      <c r="B6165" s="52" t="s">
        <v>312</v>
      </c>
      <c r="C6165" s="52" t="s">
        <v>319</v>
      </c>
      <c r="D6165" s="52" t="s">
        <v>319</v>
      </c>
      <c r="E6165" s="52" t="s">
        <v>584</v>
      </c>
      <c r="F6165" s="52" t="s">
        <v>581</v>
      </c>
      <c r="G6165" s="195" t="s">
        <v>276</v>
      </c>
      <c r="H6165" s="195"/>
      <c r="I6165" s="195"/>
      <c r="J6165" s="195"/>
      <c r="K6165" s="195">
        <v>0</v>
      </c>
      <c r="L6165" s="195">
        <v>0.5539731</v>
      </c>
      <c r="M6165" s="195">
        <v>2.156695</v>
      </c>
      <c r="N6165" s="195">
        <v>2.132485</v>
      </c>
    </row>
    <row r="6166" spans="1:14" hidden="1" x14ac:dyDescent="0.35">
      <c r="A6166" s="52" t="s">
        <v>731</v>
      </c>
      <c r="B6166" s="52" t="s">
        <v>312</v>
      </c>
      <c r="C6166" s="52" t="s">
        <v>319</v>
      </c>
      <c r="D6166" s="52" t="s">
        <v>319</v>
      </c>
      <c r="E6166" s="52" t="s">
        <v>584</v>
      </c>
      <c r="F6166" s="52" t="s">
        <v>581</v>
      </c>
      <c r="G6166" s="195" t="s">
        <v>277</v>
      </c>
      <c r="H6166" s="195">
        <v>16.75816</v>
      </c>
      <c r="I6166" s="195">
        <v>11.309609999999999</v>
      </c>
      <c r="J6166" s="195">
        <v>16.907050000000002</v>
      </c>
      <c r="K6166" s="195">
        <v>10.94407</v>
      </c>
      <c r="L6166" s="195">
        <v>0</v>
      </c>
      <c r="M6166" s="195">
        <v>0</v>
      </c>
      <c r="N6166" s="195">
        <v>0</v>
      </c>
    </row>
    <row r="6167" spans="1:14" hidden="1" x14ac:dyDescent="0.35">
      <c r="A6167" s="52" t="s">
        <v>731</v>
      </c>
      <c r="B6167" s="52" t="s">
        <v>312</v>
      </c>
      <c r="C6167" s="52" t="s">
        <v>319</v>
      </c>
      <c r="D6167" s="52" t="s">
        <v>319</v>
      </c>
      <c r="E6167" s="52" t="s">
        <v>584</v>
      </c>
      <c r="F6167" s="52" t="s">
        <v>581</v>
      </c>
      <c r="G6167" s="195" t="s">
        <v>279</v>
      </c>
      <c r="H6167" s="195">
        <v>0.21034990000000001</v>
      </c>
      <c r="I6167" s="195">
        <v>0.21034990000000001</v>
      </c>
      <c r="J6167" s="195">
        <v>0.21034990000000001</v>
      </c>
      <c r="K6167" s="195">
        <v>0.21034990000000001</v>
      </c>
      <c r="L6167" s="195">
        <v>0.85409009999999996</v>
      </c>
      <c r="M6167" s="195">
        <v>4.1323169999999996</v>
      </c>
      <c r="N6167" s="195">
        <v>6.3712859999999996</v>
      </c>
    </row>
    <row r="6168" spans="1:14" hidden="1" x14ac:dyDescent="0.35">
      <c r="A6168" s="52" t="s">
        <v>731</v>
      </c>
      <c r="B6168" s="52" t="s">
        <v>312</v>
      </c>
      <c r="C6168" s="52" t="s">
        <v>319</v>
      </c>
      <c r="D6168" s="52" t="s">
        <v>319</v>
      </c>
      <c r="E6168" s="52" t="s">
        <v>584</v>
      </c>
      <c r="F6168" s="52" t="s">
        <v>26</v>
      </c>
      <c r="G6168" s="195" t="s">
        <v>275</v>
      </c>
      <c r="H6168" s="195">
        <v>-254.08029999999999</v>
      </c>
      <c r="I6168" s="195">
        <v>-150.29409999999999</v>
      </c>
      <c r="J6168" s="195">
        <v>-304.21449999999999</v>
      </c>
      <c r="K6168" s="195">
        <v>-203.6283</v>
      </c>
      <c r="L6168" s="195">
        <v>-50.752809999999997</v>
      </c>
      <c r="M6168" s="195">
        <v>-24.775480000000002</v>
      </c>
      <c r="N6168" s="195">
        <v>9.9565789999999996</v>
      </c>
    </row>
    <row r="6169" spans="1:14" hidden="1" x14ac:dyDescent="0.35">
      <c r="A6169" s="52" t="s">
        <v>731</v>
      </c>
      <c r="B6169" s="52" t="s">
        <v>312</v>
      </c>
      <c r="C6169" s="52" t="s">
        <v>319</v>
      </c>
      <c r="D6169" s="52" t="s">
        <v>319</v>
      </c>
      <c r="E6169" s="52" t="s">
        <v>584</v>
      </c>
      <c r="F6169" s="52" t="s">
        <v>26</v>
      </c>
      <c r="G6169" s="195" t="s">
        <v>276</v>
      </c>
      <c r="H6169" s="195">
        <v>-0.65681529999999999</v>
      </c>
      <c r="I6169" s="195">
        <v>-0.34596300000000002</v>
      </c>
      <c r="J6169" s="195">
        <v>-0.4206935</v>
      </c>
      <c r="K6169" s="195">
        <v>-0.12894420000000001</v>
      </c>
      <c r="L6169" s="195">
        <v>-9.4526000000000003</v>
      </c>
      <c r="M6169" s="195">
        <v>-5.1590410000000002</v>
      </c>
      <c r="N6169" s="195">
        <v>-0.87100840000000002</v>
      </c>
    </row>
    <row r="6170" spans="1:14" hidden="1" x14ac:dyDescent="0.35">
      <c r="A6170" s="52" t="s">
        <v>731</v>
      </c>
      <c r="B6170" s="52" t="s">
        <v>312</v>
      </c>
      <c r="C6170" s="52" t="s">
        <v>319</v>
      </c>
      <c r="D6170" s="52" t="s">
        <v>319</v>
      </c>
      <c r="E6170" s="52" t="s">
        <v>584</v>
      </c>
      <c r="F6170" s="52" t="s">
        <v>26</v>
      </c>
      <c r="G6170" s="195" t="s">
        <v>277</v>
      </c>
      <c r="H6170" s="195">
        <v>220.67150000000001</v>
      </c>
      <c r="I6170" s="195">
        <v>149.32560000000001</v>
      </c>
      <c r="J6170" s="195">
        <v>303.59410000000003</v>
      </c>
      <c r="K6170" s="195">
        <v>202.71270000000001</v>
      </c>
      <c r="L6170" s="195">
        <v>20.68075</v>
      </c>
      <c r="M6170" s="195">
        <v>21.283049999999999</v>
      </c>
      <c r="N6170" s="195">
        <v>12.26315</v>
      </c>
    </row>
    <row r="6171" spans="1:14" hidden="1" x14ac:dyDescent="0.35">
      <c r="A6171" s="52" t="s">
        <v>731</v>
      </c>
      <c r="B6171" s="52" t="s">
        <v>312</v>
      </c>
      <c r="C6171" s="52" t="s">
        <v>319</v>
      </c>
      <c r="D6171" s="52" t="s">
        <v>319</v>
      </c>
      <c r="E6171" s="52" t="s">
        <v>584</v>
      </c>
      <c r="F6171" s="52" t="s">
        <v>26</v>
      </c>
      <c r="G6171" s="195" t="s">
        <v>278</v>
      </c>
      <c r="H6171" s="195">
        <v>33.130740000000003</v>
      </c>
      <c r="I6171" s="195">
        <v>0.37960270000000002</v>
      </c>
      <c r="J6171" s="195">
        <v>0.1163401</v>
      </c>
      <c r="K6171" s="195">
        <v>0.1163401</v>
      </c>
      <c r="L6171" s="195">
        <v>0.1163401</v>
      </c>
      <c r="M6171" s="195">
        <v>0.1163401</v>
      </c>
      <c r="N6171" s="195">
        <v>0.1163401</v>
      </c>
    </row>
    <row r="6172" spans="1:14" hidden="1" x14ac:dyDescent="0.35">
      <c r="A6172" s="52" t="s">
        <v>731</v>
      </c>
      <c r="B6172" s="52" t="s">
        <v>312</v>
      </c>
      <c r="C6172" s="52" t="s">
        <v>319</v>
      </c>
      <c r="D6172" s="52" t="s">
        <v>319</v>
      </c>
      <c r="E6172" s="52" t="s">
        <v>584</v>
      </c>
      <c r="F6172" s="52" t="s">
        <v>26</v>
      </c>
      <c r="G6172" s="195" t="s">
        <v>279</v>
      </c>
      <c r="H6172" s="195">
        <v>0.93488850000000001</v>
      </c>
      <c r="I6172" s="195">
        <v>0.93488850000000001</v>
      </c>
      <c r="J6172" s="195">
        <v>0.93488850000000001</v>
      </c>
      <c r="K6172" s="195">
        <v>0.93488850000000001</v>
      </c>
      <c r="L6172" s="195">
        <v>51.069809999999997</v>
      </c>
      <c r="M6172" s="195">
        <v>87.514920000000004</v>
      </c>
      <c r="N6172" s="195">
        <v>117.3946</v>
      </c>
    </row>
    <row r="6173" spans="1:14" hidden="1" x14ac:dyDescent="0.35">
      <c r="A6173" s="52" t="s">
        <v>731</v>
      </c>
      <c r="B6173" s="52" t="s">
        <v>312</v>
      </c>
      <c r="C6173" s="52" t="s">
        <v>311</v>
      </c>
      <c r="D6173" s="52" t="s">
        <v>311</v>
      </c>
      <c r="E6173" s="52" t="s">
        <v>584</v>
      </c>
      <c r="F6173" s="52" t="s">
        <v>581</v>
      </c>
      <c r="G6173" s="195" t="s">
        <v>275</v>
      </c>
      <c r="H6173" s="195"/>
      <c r="I6173" s="195"/>
      <c r="J6173" s="195"/>
      <c r="K6173" s="195"/>
      <c r="L6173" s="195">
        <v>0</v>
      </c>
      <c r="M6173" s="195">
        <v>0</v>
      </c>
      <c r="N6173" s="195">
        <v>0</v>
      </c>
    </row>
    <row r="6174" spans="1:14" hidden="1" x14ac:dyDescent="0.35">
      <c r="A6174" s="52" t="s">
        <v>731</v>
      </c>
      <c r="B6174" s="52" t="s">
        <v>312</v>
      </c>
      <c r="C6174" s="52" t="s">
        <v>311</v>
      </c>
      <c r="D6174" s="52" t="s">
        <v>311</v>
      </c>
      <c r="E6174" s="52" t="s">
        <v>584</v>
      </c>
      <c r="F6174" s="52" t="s">
        <v>581</v>
      </c>
      <c r="G6174" s="195" t="s">
        <v>276</v>
      </c>
      <c r="H6174" s="195"/>
      <c r="I6174" s="195"/>
      <c r="J6174" s="195"/>
      <c r="K6174" s="195"/>
      <c r="L6174" s="195">
        <v>0</v>
      </c>
      <c r="M6174" s="195">
        <v>-1.04608E-3</v>
      </c>
      <c r="N6174" s="195">
        <v>-1.0463600000000001E-3</v>
      </c>
    </row>
    <row r="6175" spans="1:14" hidden="1" x14ac:dyDescent="0.35">
      <c r="A6175" s="52" t="s">
        <v>731</v>
      </c>
      <c r="B6175" s="52" t="s">
        <v>312</v>
      </c>
      <c r="C6175" s="52" t="s">
        <v>311</v>
      </c>
      <c r="D6175" s="52" t="s">
        <v>311</v>
      </c>
      <c r="E6175" s="52" t="s">
        <v>584</v>
      </c>
      <c r="F6175" s="52" t="s">
        <v>581</v>
      </c>
      <c r="G6175" s="195" t="s">
        <v>279</v>
      </c>
      <c r="H6175" s="195"/>
      <c r="I6175" s="195"/>
      <c r="J6175" s="195"/>
      <c r="K6175" s="195"/>
      <c r="L6175" s="195">
        <v>0</v>
      </c>
      <c r="M6175" s="195">
        <v>1.04608E-3</v>
      </c>
      <c r="N6175" s="195">
        <v>1.04608E-3</v>
      </c>
    </row>
    <row r="6176" spans="1:14" hidden="1" x14ac:dyDescent="0.35">
      <c r="A6176" s="52" t="s">
        <v>731</v>
      </c>
      <c r="B6176" s="52" t="s">
        <v>312</v>
      </c>
      <c r="C6176" s="52" t="s">
        <v>311</v>
      </c>
      <c r="D6176" s="52" t="s">
        <v>311</v>
      </c>
      <c r="E6176" s="52" t="s">
        <v>584</v>
      </c>
      <c r="F6176" s="52" t="s">
        <v>26</v>
      </c>
      <c r="G6176" s="195" t="s">
        <v>275</v>
      </c>
      <c r="H6176" s="195">
        <v>-22.8004</v>
      </c>
      <c r="I6176" s="195">
        <v>-0.18974079999999999</v>
      </c>
      <c r="J6176" s="195">
        <v>-5.3120359999999998E-2</v>
      </c>
      <c r="K6176" s="195">
        <v>-5.3120359999999998E-2</v>
      </c>
      <c r="L6176" s="195">
        <v>-5.3120359999999998E-2</v>
      </c>
      <c r="M6176" s="195">
        <v>-5.3120359999999998E-2</v>
      </c>
      <c r="N6176" s="195">
        <v>-0.45378679999999999</v>
      </c>
    </row>
    <row r="6177" spans="1:14" hidden="1" x14ac:dyDescent="0.35">
      <c r="A6177" s="52" t="s">
        <v>731</v>
      </c>
      <c r="B6177" s="52" t="s">
        <v>312</v>
      </c>
      <c r="C6177" s="52" t="s">
        <v>311</v>
      </c>
      <c r="D6177" s="52" t="s">
        <v>311</v>
      </c>
      <c r="E6177" s="52" t="s">
        <v>584</v>
      </c>
      <c r="F6177" s="52" t="s">
        <v>26</v>
      </c>
      <c r="G6177" s="195" t="s">
        <v>276</v>
      </c>
      <c r="H6177" s="195"/>
      <c r="I6177" s="195"/>
      <c r="J6177" s="195">
        <v>-0.1366204</v>
      </c>
      <c r="K6177" s="195">
        <v>-9.7375559999999997</v>
      </c>
      <c r="L6177" s="195">
        <v>-2.7026479999999999</v>
      </c>
      <c r="M6177" s="195">
        <v>-0.14207449999999999</v>
      </c>
      <c r="N6177" s="195">
        <v>-0.14207449999999999</v>
      </c>
    </row>
    <row r="6178" spans="1:14" hidden="1" x14ac:dyDescent="0.35">
      <c r="A6178" s="52" t="s">
        <v>731</v>
      </c>
      <c r="B6178" s="52" t="s">
        <v>312</v>
      </c>
      <c r="C6178" s="52" t="s">
        <v>311</v>
      </c>
      <c r="D6178" s="52" t="s">
        <v>311</v>
      </c>
      <c r="E6178" s="52" t="s">
        <v>584</v>
      </c>
      <c r="F6178" s="52" t="s">
        <v>26</v>
      </c>
      <c r="G6178" s="195" t="s">
        <v>277</v>
      </c>
      <c r="H6178" s="195"/>
      <c r="I6178" s="195"/>
      <c r="J6178" s="195">
        <v>0</v>
      </c>
      <c r="K6178" s="195">
        <v>1.345008E-2</v>
      </c>
      <c r="L6178" s="195">
        <v>0.14795030000000001</v>
      </c>
      <c r="M6178" s="195">
        <v>0</v>
      </c>
      <c r="N6178" s="195">
        <v>0.40066649999999998</v>
      </c>
    </row>
    <row r="6179" spans="1:14" hidden="1" x14ac:dyDescent="0.35">
      <c r="A6179" s="52" t="s">
        <v>731</v>
      </c>
      <c r="B6179" s="52" t="s">
        <v>312</v>
      </c>
      <c r="C6179" s="52" t="s">
        <v>311</v>
      </c>
      <c r="D6179" s="52" t="s">
        <v>311</v>
      </c>
      <c r="E6179" s="52" t="s">
        <v>584</v>
      </c>
      <c r="F6179" s="52" t="s">
        <v>26</v>
      </c>
      <c r="G6179" s="195" t="s">
        <v>278</v>
      </c>
      <c r="H6179" s="195">
        <v>22.8004</v>
      </c>
      <c r="I6179" s="195">
        <v>0.18974079999999999</v>
      </c>
      <c r="J6179" s="195">
        <v>0.18974079999999999</v>
      </c>
      <c r="K6179" s="195">
        <v>9.7772249999999996</v>
      </c>
      <c r="L6179" s="195">
        <v>2.6078169999999998</v>
      </c>
      <c r="M6179" s="195">
        <v>0.18974079999999999</v>
      </c>
      <c r="N6179" s="195">
        <v>0.18974079999999999</v>
      </c>
    </row>
    <row r="6180" spans="1:14" hidden="1" x14ac:dyDescent="0.35">
      <c r="A6180" s="52" t="s">
        <v>731</v>
      </c>
      <c r="B6180" s="52" t="s">
        <v>312</v>
      </c>
      <c r="C6180" s="52" t="s">
        <v>311</v>
      </c>
      <c r="D6180" s="52" t="s">
        <v>311</v>
      </c>
      <c r="E6180" s="52" t="s">
        <v>584</v>
      </c>
      <c r="F6180" s="52" t="s">
        <v>26</v>
      </c>
      <c r="G6180" s="195" t="s">
        <v>279</v>
      </c>
      <c r="H6180" s="195"/>
      <c r="I6180" s="195"/>
      <c r="J6180" s="195"/>
      <c r="K6180" s="195"/>
      <c r="L6180" s="195">
        <v>0</v>
      </c>
      <c r="M6180" s="195">
        <v>5.4541199999999998E-3</v>
      </c>
      <c r="N6180" s="195">
        <v>5.4541199999999998E-3</v>
      </c>
    </row>
    <row r="6181" spans="1:14" hidden="1" x14ac:dyDescent="0.35">
      <c r="A6181" s="52" t="s">
        <v>731</v>
      </c>
      <c r="B6181" s="52" t="s">
        <v>320</v>
      </c>
      <c r="C6181" s="52" t="s">
        <v>319</v>
      </c>
      <c r="D6181" s="52" t="s">
        <v>319</v>
      </c>
      <c r="E6181" s="52" t="s">
        <v>584</v>
      </c>
      <c r="F6181" s="52" t="s">
        <v>581</v>
      </c>
      <c r="G6181" s="195" t="s">
        <v>275</v>
      </c>
      <c r="H6181" s="195"/>
      <c r="I6181" s="195"/>
      <c r="J6181" s="195"/>
      <c r="K6181" s="195"/>
      <c r="L6181" s="195"/>
      <c r="M6181" s="195"/>
      <c r="N6181" s="195">
        <v>0</v>
      </c>
    </row>
    <row r="6182" spans="1:14" hidden="1" x14ac:dyDescent="0.35">
      <c r="A6182" s="52" t="s">
        <v>731</v>
      </c>
      <c r="B6182" s="52" t="s">
        <v>320</v>
      </c>
      <c r="C6182" s="52" t="s">
        <v>319</v>
      </c>
      <c r="D6182" s="52" t="s">
        <v>319</v>
      </c>
      <c r="E6182" s="52" t="s">
        <v>584</v>
      </c>
      <c r="F6182" s="52" t="s">
        <v>581</v>
      </c>
      <c r="G6182" s="195" t="s">
        <v>276</v>
      </c>
      <c r="H6182" s="195"/>
      <c r="I6182" s="195"/>
      <c r="J6182" s="195"/>
      <c r="K6182" s="195"/>
      <c r="L6182" s="195"/>
      <c r="M6182" s="195"/>
      <c r="N6182" s="195">
        <v>0</v>
      </c>
    </row>
    <row r="6183" spans="1:14" hidden="1" x14ac:dyDescent="0.35">
      <c r="A6183" s="52" t="s">
        <v>731</v>
      </c>
      <c r="B6183" s="52" t="s">
        <v>320</v>
      </c>
      <c r="C6183" s="52" t="s">
        <v>319</v>
      </c>
      <c r="D6183" s="52" t="s">
        <v>319</v>
      </c>
      <c r="E6183" s="52" t="s">
        <v>584</v>
      </c>
      <c r="F6183" s="52" t="s">
        <v>581</v>
      </c>
      <c r="G6183" s="195" t="s">
        <v>279</v>
      </c>
      <c r="H6183" s="195"/>
      <c r="I6183" s="195"/>
      <c r="J6183" s="195"/>
      <c r="K6183" s="195"/>
      <c r="L6183" s="195"/>
      <c r="M6183" s="195"/>
      <c r="N6183" s="195">
        <v>0</v>
      </c>
    </row>
    <row r="6184" spans="1:14" hidden="1" x14ac:dyDescent="0.35">
      <c r="A6184" s="52" t="s">
        <v>731</v>
      </c>
      <c r="B6184" s="52" t="s">
        <v>320</v>
      </c>
      <c r="C6184" s="52" t="s">
        <v>319</v>
      </c>
      <c r="D6184" s="52" t="s">
        <v>319</v>
      </c>
      <c r="E6184" s="52" t="s">
        <v>584</v>
      </c>
      <c r="F6184" s="52" t="s">
        <v>26</v>
      </c>
      <c r="G6184" s="195" t="s">
        <v>275</v>
      </c>
      <c r="H6184" s="195">
        <v>-1.8916059999999999</v>
      </c>
      <c r="I6184" s="195">
        <v>-1.8916059999999999</v>
      </c>
      <c r="J6184" s="195">
        <v>-3.9895800000000002E-2</v>
      </c>
      <c r="K6184" s="195">
        <v>-4.2286499999999998E-2</v>
      </c>
      <c r="L6184" s="195">
        <v>-0.3247929</v>
      </c>
      <c r="M6184" s="195">
        <v>-0.32718390000000003</v>
      </c>
      <c r="N6184" s="195">
        <v>-4.7067900000000003E-2</v>
      </c>
    </row>
    <row r="6185" spans="1:14" hidden="1" x14ac:dyDescent="0.35">
      <c r="A6185" s="52" t="s">
        <v>731</v>
      </c>
      <c r="B6185" s="52" t="s">
        <v>320</v>
      </c>
      <c r="C6185" s="52" t="s">
        <v>319</v>
      </c>
      <c r="D6185" s="52" t="s">
        <v>319</v>
      </c>
      <c r="E6185" s="52" t="s">
        <v>584</v>
      </c>
      <c r="F6185" s="52" t="s">
        <v>26</v>
      </c>
      <c r="G6185" s="195" t="s">
        <v>276</v>
      </c>
      <c r="H6185" s="195">
        <v>-0.250668</v>
      </c>
      <c r="I6185" s="195">
        <v>-0.25066769999999999</v>
      </c>
      <c r="J6185" s="195">
        <v>-2.055361</v>
      </c>
      <c r="K6185" s="195">
        <v>-9.7320650000000004</v>
      </c>
      <c r="L6185" s="195">
        <v>-6.8317560000000004</v>
      </c>
      <c r="M6185" s="195">
        <v>-0.15917300000000001</v>
      </c>
      <c r="N6185" s="195">
        <v>-0.43423919999999999</v>
      </c>
    </row>
    <row r="6186" spans="1:14" hidden="1" x14ac:dyDescent="0.35">
      <c r="A6186" s="52" t="s">
        <v>731</v>
      </c>
      <c r="B6186" s="52" t="s">
        <v>320</v>
      </c>
      <c r="C6186" s="52" t="s">
        <v>319</v>
      </c>
      <c r="D6186" s="52" t="s">
        <v>319</v>
      </c>
      <c r="E6186" s="52" t="s">
        <v>584</v>
      </c>
      <c r="F6186" s="52" t="s">
        <v>26</v>
      </c>
      <c r="G6186" s="195" t="s">
        <v>277</v>
      </c>
      <c r="H6186" s="195"/>
      <c r="I6186" s="195"/>
      <c r="J6186" s="195"/>
      <c r="K6186" s="195">
        <v>0</v>
      </c>
      <c r="L6186" s="195">
        <v>0.2979289</v>
      </c>
      <c r="M6186" s="195">
        <v>0.30940390000000001</v>
      </c>
      <c r="N6186" s="195">
        <v>0.30435420000000002</v>
      </c>
    </row>
    <row r="6187" spans="1:14" hidden="1" x14ac:dyDescent="0.35">
      <c r="A6187" s="52" t="s">
        <v>731</v>
      </c>
      <c r="B6187" s="52" t="s">
        <v>320</v>
      </c>
      <c r="C6187" s="52" t="s">
        <v>319</v>
      </c>
      <c r="D6187" s="52" t="s">
        <v>319</v>
      </c>
      <c r="E6187" s="52" t="s">
        <v>584</v>
      </c>
      <c r="F6187" s="52" t="s">
        <v>26</v>
      </c>
      <c r="G6187" s="195" t="s">
        <v>278</v>
      </c>
      <c r="H6187" s="195">
        <v>2.1422750000000002</v>
      </c>
      <c r="I6187" s="195">
        <v>2.142274</v>
      </c>
      <c r="J6187" s="195">
        <v>2.1024289999999999</v>
      </c>
      <c r="K6187" s="195">
        <v>9.7791329999999999</v>
      </c>
      <c r="L6187" s="195">
        <v>6.8610119999999997</v>
      </c>
      <c r="M6187" s="195">
        <v>0.1769529</v>
      </c>
      <c r="N6187" s="195">
        <v>0.1769529</v>
      </c>
    </row>
    <row r="6188" spans="1:14" hidden="1" x14ac:dyDescent="0.35">
      <c r="A6188" s="52" t="s">
        <v>731</v>
      </c>
      <c r="B6188" s="52" t="s">
        <v>320</v>
      </c>
      <c r="C6188" s="52" t="s">
        <v>319</v>
      </c>
      <c r="D6188" s="52" t="s">
        <v>319</v>
      </c>
      <c r="E6188" s="52" t="s">
        <v>584</v>
      </c>
      <c r="F6188" s="52" t="s">
        <v>26</v>
      </c>
      <c r="G6188" s="195" t="s">
        <v>279</v>
      </c>
      <c r="H6188" s="195"/>
      <c r="I6188" s="195"/>
      <c r="J6188" s="195"/>
      <c r="K6188" s="195"/>
      <c r="L6188" s="195"/>
      <c r="M6188" s="195"/>
      <c r="N6188" s="195">
        <v>0</v>
      </c>
    </row>
    <row r="6189" spans="1:14" hidden="1" x14ac:dyDescent="0.35">
      <c r="A6189" s="52" t="s">
        <v>731</v>
      </c>
      <c r="B6189" s="52" t="s">
        <v>320</v>
      </c>
      <c r="C6189" s="52" t="s">
        <v>311</v>
      </c>
      <c r="D6189" s="52" t="s">
        <v>311</v>
      </c>
      <c r="E6189" s="52" t="s">
        <v>584</v>
      </c>
      <c r="F6189" s="52" t="s">
        <v>26</v>
      </c>
      <c r="G6189" s="195" t="s">
        <v>275</v>
      </c>
      <c r="H6189" s="195">
        <v>-5.64816E-2</v>
      </c>
      <c r="I6189" s="195">
        <v>-5.64816E-2</v>
      </c>
      <c r="J6189" s="195">
        <v>0</v>
      </c>
      <c r="K6189" s="195">
        <v>0</v>
      </c>
      <c r="L6189" s="195">
        <v>0</v>
      </c>
      <c r="M6189" s="195">
        <v>0</v>
      </c>
      <c r="N6189" s="195">
        <v>0</v>
      </c>
    </row>
    <row r="6190" spans="1:14" hidden="1" x14ac:dyDescent="0.35">
      <c r="A6190" s="52" t="s">
        <v>731</v>
      </c>
      <c r="B6190" s="52" t="s">
        <v>320</v>
      </c>
      <c r="C6190" s="52" t="s">
        <v>311</v>
      </c>
      <c r="D6190" s="52" t="s">
        <v>311</v>
      </c>
      <c r="E6190" s="52" t="s">
        <v>584</v>
      </c>
      <c r="F6190" s="52" t="s">
        <v>26</v>
      </c>
      <c r="G6190" s="195" t="s">
        <v>276</v>
      </c>
      <c r="H6190" s="195"/>
      <c r="I6190" s="195"/>
      <c r="J6190" s="195"/>
      <c r="K6190" s="195"/>
      <c r="L6190" s="195"/>
      <c r="M6190" s="195">
        <v>0</v>
      </c>
      <c r="N6190" s="195">
        <v>0</v>
      </c>
    </row>
    <row r="6191" spans="1:14" hidden="1" x14ac:dyDescent="0.35">
      <c r="A6191" s="52" t="s">
        <v>731</v>
      </c>
      <c r="B6191" s="52" t="s">
        <v>320</v>
      </c>
      <c r="C6191" s="52" t="s">
        <v>311</v>
      </c>
      <c r="D6191" s="52" t="s">
        <v>311</v>
      </c>
      <c r="E6191" s="52" t="s">
        <v>584</v>
      </c>
      <c r="F6191" s="52" t="s">
        <v>26</v>
      </c>
      <c r="G6191" s="195" t="s">
        <v>277</v>
      </c>
      <c r="H6191" s="195">
        <v>0</v>
      </c>
      <c r="I6191" s="195">
        <v>0</v>
      </c>
      <c r="J6191" s="195">
        <v>0</v>
      </c>
      <c r="K6191" s="195">
        <v>0</v>
      </c>
      <c r="L6191" s="195">
        <v>0</v>
      </c>
      <c r="M6191" s="195">
        <v>0</v>
      </c>
      <c r="N6191" s="195">
        <v>0</v>
      </c>
    </row>
    <row r="6192" spans="1:14" hidden="1" x14ac:dyDescent="0.35">
      <c r="A6192" s="52" t="s">
        <v>731</v>
      </c>
      <c r="B6192" s="52" t="s">
        <v>320</v>
      </c>
      <c r="C6192" s="52" t="s">
        <v>311</v>
      </c>
      <c r="D6192" s="52" t="s">
        <v>311</v>
      </c>
      <c r="E6192" s="52" t="s">
        <v>584</v>
      </c>
      <c r="F6192" s="52" t="s">
        <v>26</v>
      </c>
      <c r="G6192" s="195" t="s">
        <v>278</v>
      </c>
      <c r="H6192" s="195">
        <v>5.64816E-2</v>
      </c>
      <c r="I6192" s="195">
        <v>5.64816E-2</v>
      </c>
      <c r="J6192" s="195">
        <v>0</v>
      </c>
      <c r="K6192" s="195">
        <v>0</v>
      </c>
      <c r="L6192" s="195">
        <v>0</v>
      </c>
      <c r="M6192" s="195">
        <v>0</v>
      </c>
      <c r="N6192" s="195">
        <v>0</v>
      </c>
    </row>
    <row r="6193" spans="1:14" hidden="1" x14ac:dyDescent="0.35">
      <c r="A6193" s="52" t="s">
        <v>731</v>
      </c>
      <c r="B6193" s="52" t="s">
        <v>320</v>
      </c>
      <c r="C6193" s="52" t="s">
        <v>311</v>
      </c>
      <c r="D6193" s="52" t="s">
        <v>311</v>
      </c>
      <c r="E6193" s="52" t="s">
        <v>584</v>
      </c>
      <c r="F6193" s="52" t="s">
        <v>26</v>
      </c>
      <c r="G6193" s="195" t="s">
        <v>279</v>
      </c>
      <c r="H6193" s="195"/>
      <c r="I6193" s="195"/>
      <c r="J6193" s="195"/>
      <c r="K6193" s="195"/>
      <c r="L6193" s="195"/>
      <c r="M6193" s="195">
        <v>0</v>
      </c>
      <c r="N6193" s="195">
        <v>0</v>
      </c>
    </row>
    <row r="6194" spans="1:14" hidden="1" x14ac:dyDescent="0.35">
      <c r="A6194" s="52" t="s">
        <v>731</v>
      </c>
      <c r="B6194" s="52" t="s">
        <v>264</v>
      </c>
      <c r="C6194" s="52" t="s">
        <v>264</v>
      </c>
      <c r="D6194" s="52" t="s">
        <v>264</v>
      </c>
      <c r="E6194" s="52" t="s">
        <v>584</v>
      </c>
      <c r="F6194" s="52" t="s">
        <v>581</v>
      </c>
      <c r="G6194" s="195" t="s">
        <v>275</v>
      </c>
      <c r="H6194" s="195">
        <v>-0.51428560000000001</v>
      </c>
      <c r="I6194" s="195">
        <v>-0.51428560000000001</v>
      </c>
      <c r="J6194" s="195">
        <v>0</v>
      </c>
      <c r="K6194" s="195">
        <v>0</v>
      </c>
      <c r="L6194" s="195">
        <v>0</v>
      </c>
      <c r="M6194" s="195">
        <v>0</v>
      </c>
      <c r="N6194" s="195">
        <v>0</v>
      </c>
    </row>
    <row r="6195" spans="1:14" hidden="1" x14ac:dyDescent="0.35">
      <c r="A6195" s="52" t="s">
        <v>731</v>
      </c>
      <c r="B6195" s="52" t="s">
        <v>264</v>
      </c>
      <c r="C6195" s="52" t="s">
        <v>264</v>
      </c>
      <c r="D6195" s="52" t="s">
        <v>264</v>
      </c>
      <c r="E6195" s="52" t="s">
        <v>584</v>
      </c>
      <c r="F6195" s="52" t="s">
        <v>581</v>
      </c>
      <c r="G6195" s="195" t="s">
        <v>276</v>
      </c>
      <c r="H6195" s="195"/>
      <c r="I6195" s="195"/>
      <c r="J6195" s="195">
        <v>-0.51428560000000001</v>
      </c>
      <c r="K6195" s="195">
        <v>-0.51428560000000001</v>
      </c>
      <c r="L6195" s="195">
        <v>-52.664529999999999</v>
      </c>
      <c r="M6195" s="195">
        <v>-137.92490000000001</v>
      </c>
      <c r="N6195" s="195">
        <v>-30.397880000000001</v>
      </c>
    </row>
    <row r="6196" spans="1:14" hidden="1" x14ac:dyDescent="0.35">
      <c r="A6196" s="52" t="s">
        <v>731</v>
      </c>
      <c r="B6196" s="52" t="s">
        <v>264</v>
      </c>
      <c r="C6196" s="52" t="s">
        <v>264</v>
      </c>
      <c r="D6196" s="52" t="s">
        <v>264</v>
      </c>
      <c r="E6196" s="52" t="s">
        <v>584</v>
      </c>
      <c r="F6196" s="52" t="s">
        <v>581</v>
      </c>
      <c r="G6196" s="195" t="s">
        <v>277</v>
      </c>
      <c r="H6196" s="195"/>
      <c r="I6196" s="195"/>
      <c r="J6196" s="195"/>
      <c r="K6196" s="195"/>
      <c r="L6196" s="195"/>
      <c r="M6196" s="195"/>
      <c r="N6196" s="195">
        <v>0</v>
      </c>
    </row>
    <row r="6197" spans="1:14" hidden="1" x14ac:dyDescent="0.35">
      <c r="A6197" s="52" t="s">
        <v>731</v>
      </c>
      <c r="B6197" s="52" t="s">
        <v>264</v>
      </c>
      <c r="C6197" s="52" t="s">
        <v>264</v>
      </c>
      <c r="D6197" s="52" t="s">
        <v>264</v>
      </c>
      <c r="E6197" s="52" t="s">
        <v>584</v>
      </c>
      <c r="F6197" s="52" t="s">
        <v>581</v>
      </c>
      <c r="G6197" s="195" t="s">
        <v>278</v>
      </c>
      <c r="H6197" s="195">
        <v>0.51428560000000001</v>
      </c>
      <c r="I6197" s="195">
        <v>0.51428560000000001</v>
      </c>
      <c r="J6197" s="195">
        <v>0.51428560000000001</v>
      </c>
      <c r="K6197" s="195">
        <v>0.51428560000000001</v>
      </c>
      <c r="L6197" s="195">
        <v>52.664529999999999</v>
      </c>
      <c r="M6197" s="195">
        <v>137.92490000000001</v>
      </c>
      <c r="N6197" s="195">
        <v>30.397880000000001</v>
      </c>
    </row>
    <row r="6198" spans="1:14" hidden="1" x14ac:dyDescent="0.35">
      <c r="A6198" s="52" t="s">
        <v>731</v>
      </c>
      <c r="B6198" s="52" t="s">
        <v>291</v>
      </c>
      <c r="C6198" s="52" t="s">
        <v>102</v>
      </c>
      <c r="D6198" s="52" t="s">
        <v>102</v>
      </c>
      <c r="E6198" s="52" t="s">
        <v>584</v>
      </c>
      <c r="F6198" s="52" t="s">
        <v>581</v>
      </c>
      <c r="G6198" s="195" t="s">
        <v>275</v>
      </c>
      <c r="H6198" s="195">
        <v>-22.14723</v>
      </c>
      <c r="I6198" s="195">
        <v>-0.17580799999999999</v>
      </c>
      <c r="J6198" s="195">
        <v>0</v>
      </c>
      <c r="K6198" s="195">
        <v>0</v>
      </c>
      <c r="L6198" s="195">
        <v>0</v>
      </c>
      <c r="M6198" s="195">
        <v>0</v>
      </c>
      <c r="N6198" s="195">
        <v>0</v>
      </c>
    </row>
    <row r="6199" spans="1:14" hidden="1" x14ac:dyDescent="0.35">
      <c r="A6199" s="52" t="s">
        <v>731</v>
      </c>
      <c r="B6199" s="52" t="s">
        <v>291</v>
      </c>
      <c r="C6199" s="52" t="s">
        <v>102</v>
      </c>
      <c r="D6199" s="52" t="s">
        <v>102</v>
      </c>
      <c r="E6199" s="52" t="s">
        <v>584</v>
      </c>
      <c r="F6199" s="52" t="s">
        <v>581</v>
      </c>
      <c r="G6199" s="195" t="s">
        <v>276</v>
      </c>
      <c r="H6199" s="195"/>
      <c r="I6199" s="195"/>
      <c r="J6199" s="195">
        <v>-78.361109999999996</v>
      </c>
      <c r="K6199" s="195">
        <v>-0.17580799999999999</v>
      </c>
      <c r="L6199" s="195">
        <v>-0.1820581</v>
      </c>
      <c r="M6199" s="195">
        <v>-0.1820581</v>
      </c>
      <c r="N6199" s="195">
        <v>-0.19247300000000001</v>
      </c>
    </row>
    <row r="6200" spans="1:14" hidden="1" x14ac:dyDescent="0.35">
      <c r="A6200" s="52" t="s">
        <v>731</v>
      </c>
      <c r="B6200" s="52" t="s">
        <v>291</v>
      </c>
      <c r="C6200" s="52" t="s">
        <v>102</v>
      </c>
      <c r="D6200" s="52" t="s">
        <v>102</v>
      </c>
      <c r="E6200" s="52" t="s">
        <v>584</v>
      </c>
      <c r="F6200" s="52" t="s">
        <v>581</v>
      </c>
      <c r="G6200" s="195" t="s">
        <v>277</v>
      </c>
      <c r="H6200" s="195"/>
      <c r="I6200" s="195"/>
      <c r="J6200" s="195"/>
      <c r="K6200" s="195">
        <v>0</v>
      </c>
      <c r="L6200" s="195">
        <v>6.2500000000000003E-3</v>
      </c>
      <c r="M6200" s="195">
        <v>6.2500000000000003E-3</v>
      </c>
      <c r="N6200" s="195">
        <v>1.6664999999999999E-2</v>
      </c>
    </row>
    <row r="6201" spans="1:14" hidden="1" x14ac:dyDescent="0.35">
      <c r="A6201" s="52" t="s">
        <v>731</v>
      </c>
      <c r="B6201" s="52" t="s">
        <v>291</v>
      </c>
      <c r="C6201" s="52" t="s">
        <v>102</v>
      </c>
      <c r="D6201" s="52" t="s">
        <v>102</v>
      </c>
      <c r="E6201" s="52" t="s">
        <v>584</v>
      </c>
      <c r="F6201" s="52" t="s">
        <v>581</v>
      </c>
      <c r="G6201" s="195" t="s">
        <v>278</v>
      </c>
      <c r="H6201" s="195">
        <v>22.14723</v>
      </c>
      <c r="I6201" s="195">
        <v>0.17580799999999999</v>
      </c>
      <c r="J6201" s="195">
        <v>78.361109999999996</v>
      </c>
      <c r="K6201" s="195">
        <v>0.17580799999999999</v>
      </c>
      <c r="L6201" s="195">
        <v>0.17580809999999999</v>
      </c>
      <c r="M6201" s="195">
        <v>0.17580809999999999</v>
      </c>
      <c r="N6201" s="195">
        <v>0.17580799999999999</v>
      </c>
    </row>
    <row r="6202" spans="1:14" hidden="1" x14ac:dyDescent="0.35">
      <c r="A6202" s="52" t="s">
        <v>731</v>
      </c>
      <c r="B6202" s="52" t="s">
        <v>337</v>
      </c>
      <c r="C6202" s="52" t="s">
        <v>265</v>
      </c>
      <c r="D6202" s="52" t="s">
        <v>265</v>
      </c>
      <c r="E6202" s="52" t="s">
        <v>584</v>
      </c>
      <c r="F6202" s="52" t="s">
        <v>581</v>
      </c>
      <c r="G6202" s="195" t="s">
        <v>275</v>
      </c>
      <c r="H6202" s="195">
        <v>-0.1117385</v>
      </c>
      <c r="I6202" s="195">
        <v>-0.1117385</v>
      </c>
      <c r="J6202" s="195">
        <v>0</v>
      </c>
      <c r="K6202" s="195">
        <v>0</v>
      </c>
      <c r="L6202" s="195">
        <v>0</v>
      </c>
      <c r="M6202" s="195">
        <v>0</v>
      </c>
      <c r="N6202" s="195">
        <v>0</v>
      </c>
    </row>
    <row r="6203" spans="1:14" hidden="1" x14ac:dyDescent="0.35">
      <c r="A6203" s="52" t="s">
        <v>731</v>
      </c>
      <c r="B6203" s="52" t="s">
        <v>337</v>
      </c>
      <c r="C6203" s="52" t="s">
        <v>265</v>
      </c>
      <c r="D6203" s="52" t="s">
        <v>265</v>
      </c>
      <c r="E6203" s="52" t="s">
        <v>584</v>
      </c>
      <c r="F6203" s="52" t="s">
        <v>581</v>
      </c>
      <c r="G6203" s="195" t="s">
        <v>276</v>
      </c>
      <c r="H6203" s="195"/>
      <c r="I6203" s="195"/>
      <c r="J6203" s="195">
        <v>-13.1287</v>
      </c>
      <c r="K6203" s="195">
        <v>-0.1117385</v>
      </c>
      <c r="L6203" s="195">
        <v>-0.1336135</v>
      </c>
      <c r="M6203" s="195">
        <v>-0.1336135</v>
      </c>
      <c r="N6203" s="195">
        <v>-0.1117385</v>
      </c>
    </row>
    <row r="6204" spans="1:14" hidden="1" x14ac:dyDescent="0.35">
      <c r="A6204" s="52" t="s">
        <v>731</v>
      </c>
      <c r="B6204" s="52" t="s">
        <v>337</v>
      </c>
      <c r="C6204" s="52" t="s">
        <v>265</v>
      </c>
      <c r="D6204" s="52" t="s">
        <v>265</v>
      </c>
      <c r="E6204" s="52" t="s">
        <v>584</v>
      </c>
      <c r="F6204" s="52" t="s">
        <v>581</v>
      </c>
      <c r="G6204" s="195" t="s">
        <v>277</v>
      </c>
      <c r="H6204" s="195"/>
      <c r="I6204" s="195"/>
      <c r="J6204" s="195"/>
      <c r="K6204" s="195">
        <v>0</v>
      </c>
      <c r="L6204" s="195">
        <v>2.1874999999999999E-2</v>
      </c>
      <c r="M6204" s="195">
        <v>2.1874999999999999E-2</v>
      </c>
      <c r="N6204" s="195">
        <v>0</v>
      </c>
    </row>
    <row r="6205" spans="1:14" hidden="1" x14ac:dyDescent="0.35">
      <c r="A6205" s="52" t="s">
        <v>731</v>
      </c>
      <c r="B6205" s="52" t="s">
        <v>337</v>
      </c>
      <c r="C6205" s="52" t="s">
        <v>265</v>
      </c>
      <c r="D6205" s="52" t="s">
        <v>265</v>
      </c>
      <c r="E6205" s="52" t="s">
        <v>584</v>
      </c>
      <c r="F6205" s="52" t="s">
        <v>581</v>
      </c>
      <c r="G6205" s="195" t="s">
        <v>278</v>
      </c>
      <c r="H6205" s="195">
        <v>0.1117385</v>
      </c>
      <c r="I6205" s="195">
        <v>0.1117385</v>
      </c>
      <c r="J6205" s="195">
        <v>13.1287</v>
      </c>
      <c r="K6205" s="195">
        <v>0.1117385</v>
      </c>
      <c r="L6205" s="195">
        <v>0.1117385</v>
      </c>
      <c r="M6205" s="195">
        <v>0.1117385</v>
      </c>
      <c r="N6205" s="195">
        <v>0.1117385</v>
      </c>
    </row>
    <row r="6206" spans="1:14" hidden="1" x14ac:dyDescent="0.35">
      <c r="A6206" s="52" t="s">
        <v>731</v>
      </c>
      <c r="B6206" s="52" t="s">
        <v>337</v>
      </c>
      <c r="C6206" s="52" t="s">
        <v>229</v>
      </c>
      <c r="D6206" s="52" t="s">
        <v>229</v>
      </c>
      <c r="E6206" s="52" t="s">
        <v>584</v>
      </c>
      <c r="F6206" s="52" t="s">
        <v>581</v>
      </c>
      <c r="G6206" s="195" t="s">
        <v>275</v>
      </c>
      <c r="H6206" s="195">
        <v>-0.66335480000000002</v>
      </c>
      <c r="I6206" s="195">
        <v>-0.66335469999999996</v>
      </c>
      <c r="J6206" s="195">
        <v>0</v>
      </c>
      <c r="K6206" s="195">
        <v>0</v>
      </c>
      <c r="L6206" s="195">
        <v>0</v>
      </c>
      <c r="M6206" s="195">
        <v>0</v>
      </c>
      <c r="N6206" s="195">
        <v>0</v>
      </c>
    </row>
    <row r="6207" spans="1:14" hidden="1" x14ac:dyDescent="0.35">
      <c r="A6207" s="52" t="s">
        <v>731</v>
      </c>
      <c r="B6207" s="52" t="s">
        <v>337</v>
      </c>
      <c r="C6207" s="52" t="s">
        <v>229</v>
      </c>
      <c r="D6207" s="52" t="s">
        <v>229</v>
      </c>
      <c r="E6207" s="52" t="s">
        <v>584</v>
      </c>
      <c r="F6207" s="52" t="s">
        <v>581</v>
      </c>
      <c r="G6207" s="195" t="s">
        <v>276</v>
      </c>
      <c r="H6207" s="195"/>
      <c r="I6207" s="195"/>
      <c r="J6207" s="195">
        <v>-63.086399999999998</v>
      </c>
      <c r="K6207" s="195">
        <v>-20.053190000000001</v>
      </c>
      <c r="L6207" s="195">
        <v>-4.454097</v>
      </c>
      <c r="M6207" s="195">
        <v>-0.6800271</v>
      </c>
      <c r="N6207" s="195">
        <v>-0.63627769999999995</v>
      </c>
    </row>
    <row r="6208" spans="1:14" hidden="1" x14ac:dyDescent="0.35">
      <c r="A6208" s="52" t="s">
        <v>731</v>
      </c>
      <c r="B6208" s="52" t="s">
        <v>337</v>
      </c>
      <c r="C6208" s="52" t="s">
        <v>229</v>
      </c>
      <c r="D6208" s="52" t="s">
        <v>229</v>
      </c>
      <c r="E6208" s="52" t="s">
        <v>584</v>
      </c>
      <c r="F6208" s="52" t="s">
        <v>581</v>
      </c>
      <c r="G6208" s="195" t="s">
        <v>277</v>
      </c>
      <c r="H6208" s="195"/>
      <c r="I6208" s="195">
        <v>0</v>
      </c>
      <c r="J6208" s="195">
        <v>0.67500000000000004</v>
      </c>
      <c r="K6208" s="195">
        <v>0</v>
      </c>
      <c r="L6208" s="195">
        <v>4.3749999999999997E-2</v>
      </c>
      <c r="M6208" s="195">
        <v>0.125</v>
      </c>
      <c r="N6208" s="195">
        <v>8.1250000000000003E-2</v>
      </c>
    </row>
    <row r="6209" spans="1:14" hidden="1" x14ac:dyDescent="0.35">
      <c r="A6209" s="52" t="s">
        <v>731</v>
      </c>
      <c r="B6209" s="52" t="s">
        <v>337</v>
      </c>
      <c r="C6209" s="52" t="s">
        <v>229</v>
      </c>
      <c r="D6209" s="52" t="s">
        <v>229</v>
      </c>
      <c r="E6209" s="52" t="s">
        <v>584</v>
      </c>
      <c r="F6209" s="52" t="s">
        <v>581</v>
      </c>
      <c r="G6209" s="195" t="s">
        <v>278</v>
      </c>
      <c r="H6209" s="195">
        <v>0.66335480000000002</v>
      </c>
      <c r="I6209" s="195">
        <v>0.66335469999999996</v>
      </c>
      <c r="J6209" s="195">
        <v>62.4114</v>
      </c>
      <c r="K6209" s="195">
        <v>19.953330000000001</v>
      </c>
      <c r="L6209" s="195">
        <v>4.3104899999999997</v>
      </c>
      <c r="M6209" s="195">
        <v>0.45517079999999999</v>
      </c>
      <c r="N6209" s="195">
        <v>0.45517079999999999</v>
      </c>
    </row>
    <row r="6210" spans="1:14" hidden="1" x14ac:dyDescent="0.35">
      <c r="A6210" s="52" t="s">
        <v>731</v>
      </c>
      <c r="B6210" s="52" t="s">
        <v>337</v>
      </c>
      <c r="C6210" s="52" t="s">
        <v>229</v>
      </c>
      <c r="D6210" s="52" t="s">
        <v>229</v>
      </c>
      <c r="E6210" s="52" t="s">
        <v>584</v>
      </c>
      <c r="F6210" s="52" t="s">
        <v>581</v>
      </c>
      <c r="G6210" s="195" t="s">
        <v>279</v>
      </c>
      <c r="H6210" s="195"/>
      <c r="I6210" s="195"/>
      <c r="J6210" s="195">
        <v>0</v>
      </c>
      <c r="K6210" s="195">
        <v>9.9856810000000004E-2</v>
      </c>
      <c r="L6210" s="195">
        <v>9.9857260000000003E-2</v>
      </c>
      <c r="M6210" s="195">
        <v>9.9856790000000001E-2</v>
      </c>
      <c r="N6210" s="195">
        <v>9.9856810000000004E-2</v>
      </c>
    </row>
    <row r="6211" spans="1:14" hidden="1" x14ac:dyDescent="0.35">
      <c r="A6211" s="52" t="s">
        <v>731</v>
      </c>
      <c r="B6211" s="52" t="s">
        <v>337</v>
      </c>
      <c r="C6211" s="52" t="s">
        <v>229</v>
      </c>
      <c r="D6211" s="52" t="s">
        <v>229</v>
      </c>
      <c r="E6211" s="52" t="s">
        <v>584</v>
      </c>
      <c r="F6211" s="52" t="s">
        <v>26</v>
      </c>
      <c r="G6211" s="195" t="s">
        <v>275</v>
      </c>
      <c r="H6211" s="195"/>
      <c r="I6211" s="195"/>
      <c r="J6211" s="195">
        <v>0</v>
      </c>
      <c r="K6211" s="195">
        <v>0</v>
      </c>
      <c r="L6211" s="195">
        <v>0</v>
      </c>
      <c r="M6211" s="195">
        <v>0</v>
      </c>
      <c r="N6211" s="195">
        <v>0</v>
      </c>
    </row>
    <row r="6212" spans="1:14" hidden="1" x14ac:dyDescent="0.35">
      <c r="A6212" s="52" t="s">
        <v>731</v>
      </c>
      <c r="B6212" s="52" t="s">
        <v>337</v>
      </c>
      <c r="C6212" s="52" t="s">
        <v>229</v>
      </c>
      <c r="D6212" s="52" t="s">
        <v>229</v>
      </c>
      <c r="E6212" s="52" t="s">
        <v>584</v>
      </c>
      <c r="F6212" s="52" t="s">
        <v>26</v>
      </c>
      <c r="G6212" s="195" t="s">
        <v>276</v>
      </c>
      <c r="H6212" s="195"/>
      <c r="I6212" s="195"/>
      <c r="J6212" s="195">
        <v>0</v>
      </c>
      <c r="K6212" s="195">
        <v>-3.7451249999999998E-2</v>
      </c>
      <c r="L6212" s="195">
        <v>-3.7451249999999998E-2</v>
      </c>
      <c r="M6212" s="195">
        <v>-3.7451249999999998E-2</v>
      </c>
      <c r="N6212" s="195">
        <v>-3.7451249999999998E-2</v>
      </c>
    </row>
    <row r="6213" spans="1:14" hidden="1" x14ac:dyDescent="0.35">
      <c r="A6213" s="52" t="s">
        <v>731</v>
      </c>
      <c r="B6213" s="52" t="s">
        <v>337</v>
      </c>
      <c r="C6213" s="52" t="s">
        <v>229</v>
      </c>
      <c r="D6213" s="52" t="s">
        <v>229</v>
      </c>
      <c r="E6213" s="52" t="s">
        <v>584</v>
      </c>
      <c r="F6213" s="52" t="s">
        <v>26</v>
      </c>
      <c r="G6213" s="195" t="s">
        <v>279</v>
      </c>
      <c r="H6213" s="195"/>
      <c r="I6213" s="195"/>
      <c r="J6213" s="195">
        <v>0</v>
      </c>
      <c r="K6213" s="195">
        <v>3.7451249999999998E-2</v>
      </c>
      <c r="L6213" s="195">
        <v>3.7451249999999998E-2</v>
      </c>
      <c r="M6213" s="195">
        <v>3.7451249999999998E-2</v>
      </c>
      <c r="N6213" s="195">
        <v>3.7451249999999998E-2</v>
      </c>
    </row>
    <row r="6214" spans="1:14" hidden="1" x14ac:dyDescent="0.35">
      <c r="A6214" s="52" t="s">
        <v>731</v>
      </c>
      <c r="B6214" s="52" t="s">
        <v>282</v>
      </c>
      <c r="C6214" s="52" t="s">
        <v>365</v>
      </c>
      <c r="D6214" s="52" t="s">
        <v>365</v>
      </c>
      <c r="E6214" s="52" t="s">
        <v>584</v>
      </c>
      <c r="F6214" s="52" t="s">
        <v>581</v>
      </c>
      <c r="G6214" s="195" t="s">
        <v>275</v>
      </c>
      <c r="H6214" s="195"/>
      <c r="I6214" s="195"/>
      <c r="J6214" s="195"/>
      <c r="K6214" s="195"/>
      <c r="L6214" s="195"/>
      <c r="M6214" s="195">
        <v>0</v>
      </c>
      <c r="N6214" s="195">
        <v>0</v>
      </c>
    </row>
    <row r="6215" spans="1:14" hidden="1" x14ac:dyDescent="0.35">
      <c r="A6215" s="52" t="s">
        <v>731</v>
      </c>
      <c r="B6215" s="52" t="s">
        <v>282</v>
      </c>
      <c r="C6215" s="52" t="s">
        <v>365</v>
      </c>
      <c r="D6215" s="52" t="s">
        <v>365</v>
      </c>
      <c r="E6215" s="52" t="s">
        <v>584</v>
      </c>
      <c r="F6215" s="52" t="s">
        <v>581</v>
      </c>
      <c r="G6215" s="195" t="s">
        <v>276</v>
      </c>
      <c r="H6215" s="195"/>
      <c r="I6215" s="195"/>
      <c r="J6215" s="195"/>
      <c r="K6215" s="195"/>
      <c r="L6215" s="195"/>
      <c r="M6215" s="195">
        <v>0</v>
      </c>
      <c r="N6215" s="195">
        <v>-7.6725000000000003E-4</v>
      </c>
    </row>
    <row r="6216" spans="1:14" hidden="1" x14ac:dyDescent="0.35">
      <c r="A6216" s="52" t="s">
        <v>731</v>
      </c>
      <c r="B6216" s="52" t="s">
        <v>282</v>
      </c>
      <c r="C6216" s="52" t="s">
        <v>365</v>
      </c>
      <c r="D6216" s="52" t="s">
        <v>365</v>
      </c>
      <c r="E6216" s="52" t="s">
        <v>584</v>
      </c>
      <c r="F6216" s="52" t="s">
        <v>581</v>
      </c>
      <c r="G6216" s="195" t="s">
        <v>279</v>
      </c>
      <c r="H6216" s="195"/>
      <c r="I6216" s="195"/>
      <c r="J6216" s="195"/>
      <c r="K6216" s="195"/>
      <c r="L6216" s="195"/>
      <c r="M6216" s="195">
        <v>0</v>
      </c>
      <c r="N6216" s="195">
        <v>7.6769990000000003E-4</v>
      </c>
    </row>
    <row r="6217" spans="1:14" hidden="1" x14ac:dyDescent="0.35">
      <c r="A6217" s="52" t="s">
        <v>731</v>
      </c>
      <c r="B6217" s="52" t="s">
        <v>282</v>
      </c>
      <c r="C6217" s="52" t="s">
        <v>365</v>
      </c>
      <c r="D6217" s="52" t="s">
        <v>365</v>
      </c>
      <c r="E6217" s="52" t="s">
        <v>584</v>
      </c>
      <c r="F6217" s="52" t="s">
        <v>26</v>
      </c>
      <c r="G6217" s="195" t="s">
        <v>275</v>
      </c>
      <c r="H6217" s="195">
        <v>-0.19578870000000001</v>
      </c>
      <c r="I6217" s="195">
        <v>-0.19578870000000001</v>
      </c>
      <c r="J6217" s="195">
        <v>0</v>
      </c>
      <c r="K6217" s="195">
        <v>0</v>
      </c>
      <c r="L6217" s="195">
        <v>0</v>
      </c>
      <c r="M6217" s="195">
        <v>0</v>
      </c>
      <c r="N6217" s="195">
        <v>0</v>
      </c>
    </row>
    <row r="6218" spans="1:14" hidden="1" x14ac:dyDescent="0.35">
      <c r="A6218" s="52" t="s">
        <v>731</v>
      </c>
      <c r="B6218" s="52" t="s">
        <v>282</v>
      </c>
      <c r="C6218" s="52" t="s">
        <v>365</v>
      </c>
      <c r="D6218" s="52" t="s">
        <v>365</v>
      </c>
      <c r="E6218" s="52" t="s">
        <v>584</v>
      </c>
      <c r="F6218" s="52" t="s">
        <v>26</v>
      </c>
      <c r="G6218" s="195" t="s">
        <v>276</v>
      </c>
      <c r="H6218" s="195"/>
      <c r="I6218" s="195"/>
      <c r="J6218" s="195">
        <v>-36.473129999999998</v>
      </c>
      <c r="K6218" s="195">
        <v>-0.19578870000000001</v>
      </c>
      <c r="L6218" s="195">
        <v>-0.19578870000000001</v>
      </c>
      <c r="M6218" s="195">
        <v>-0.64177329999999999</v>
      </c>
      <c r="N6218" s="195">
        <v>-0.23939859999999999</v>
      </c>
    </row>
    <row r="6219" spans="1:14" hidden="1" x14ac:dyDescent="0.35">
      <c r="A6219" s="52" t="s">
        <v>731</v>
      </c>
      <c r="B6219" s="52" t="s">
        <v>282</v>
      </c>
      <c r="C6219" s="52" t="s">
        <v>365</v>
      </c>
      <c r="D6219" s="52" t="s">
        <v>365</v>
      </c>
      <c r="E6219" s="52" t="s">
        <v>584</v>
      </c>
      <c r="F6219" s="52" t="s">
        <v>26</v>
      </c>
      <c r="G6219" s="195" t="s">
        <v>277</v>
      </c>
      <c r="H6219" s="195"/>
      <c r="I6219" s="195"/>
      <c r="J6219" s="195"/>
      <c r="K6219" s="195"/>
      <c r="L6219" s="195">
        <v>0</v>
      </c>
      <c r="M6219" s="195">
        <v>4.6980000000000001E-2</v>
      </c>
      <c r="N6219" s="195">
        <v>4.0500000000000001E-2</v>
      </c>
    </row>
    <row r="6220" spans="1:14" hidden="1" x14ac:dyDescent="0.35">
      <c r="A6220" s="52" t="s">
        <v>731</v>
      </c>
      <c r="B6220" s="52" t="s">
        <v>282</v>
      </c>
      <c r="C6220" s="52" t="s">
        <v>365</v>
      </c>
      <c r="D6220" s="52" t="s">
        <v>365</v>
      </c>
      <c r="E6220" s="52" t="s">
        <v>584</v>
      </c>
      <c r="F6220" s="52" t="s">
        <v>26</v>
      </c>
      <c r="G6220" s="195" t="s">
        <v>278</v>
      </c>
      <c r="H6220" s="195">
        <v>0.19578870000000001</v>
      </c>
      <c r="I6220" s="195">
        <v>0.19578870000000001</v>
      </c>
      <c r="J6220" s="195">
        <v>36.473129999999998</v>
      </c>
      <c r="K6220" s="195">
        <v>0.19578870000000001</v>
      </c>
      <c r="L6220" s="195">
        <v>0.19578870000000001</v>
      </c>
      <c r="M6220" s="195">
        <v>0.5947924</v>
      </c>
      <c r="N6220" s="195">
        <v>0.19578870000000001</v>
      </c>
    </row>
    <row r="6221" spans="1:14" hidden="1" x14ac:dyDescent="0.35">
      <c r="A6221" s="52" t="s">
        <v>731</v>
      </c>
      <c r="B6221" s="52" t="s">
        <v>282</v>
      </c>
      <c r="C6221" s="52" t="s">
        <v>365</v>
      </c>
      <c r="D6221" s="52" t="s">
        <v>365</v>
      </c>
      <c r="E6221" s="52" t="s">
        <v>584</v>
      </c>
      <c r="F6221" s="52" t="s">
        <v>26</v>
      </c>
      <c r="G6221" s="195" t="s">
        <v>279</v>
      </c>
      <c r="H6221" s="195"/>
      <c r="I6221" s="195"/>
      <c r="J6221" s="195"/>
      <c r="K6221" s="195"/>
      <c r="L6221" s="195"/>
      <c r="M6221" s="195">
        <v>0</v>
      </c>
      <c r="N6221" s="195">
        <v>3.1099500000000002E-3</v>
      </c>
    </row>
    <row r="6222" spans="1:14" hidden="1" x14ac:dyDescent="0.35">
      <c r="A6222" s="52" t="s">
        <v>694</v>
      </c>
      <c r="B6222" s="52" t="s">
        <v>37</v>
      </c>
      <c r="C6222" s="52" t="s">
        <v>51</v>
      </c>
      <c r="D6222" s="52" t="s">
        <v>51</v>
      </c>
      <c r="E6222" s="52" t="s">
        <v>602</v>
      </c>
      <c r="F6222" s="52" t="s">
        <v>581</v>
      </c>
      <c r="G6222" s="195" t="s">
        <v>275</v>
      </c>
      <c r="H6222" s="195">
        <v>237.05</v>
      </c>
      <c r="I6222" s="195">
        <v>19.5779</v>
      </c>
      <c r="J6222" s="195">
        <v>124.2676</v>
      </c>
      <c r="K6222" s="195">
        <v>134.81569999999999</v>
      </c>
      <c r="L6222" s="195">
        <v>107.9301</v>
      </c>
      <c r="M6222" s="195">
        <v>53.992570000000001</v>
      </c>
      <c r="N6222" s="195">
        <v>36.513300000000001</v>
      </c>
    </row>
    <row r="6223" spans="1:14" hidden="1" x14ac:dyDescent="0.35">
      <c r="A6223" s="52" t="s">
        <v>694</v>
      </c>
      <c r="B6223" s="52" t="s">
        <v>37</v>
      </c>
      <c r="C6223" s="52" t="s">
        <v>51</v>
      </c>
      <c r="D6223" s="52" t="s">
        <v>51</v>
      </c>
      <c r="E6223" s="52" t="s">
        <v>602</v>
      </c>
      <c r="F6223" s="52" t="s">
        <v>581</v>
      </c>
      <c r="G6223" s="195" t="s">
        <v>276</v>
      </c>
      <c r="H6223" s="195">
        <v>15.64968</v>
      </c>
      <c r="I6223" s="195">
        <v>-67.221170000000001</v>
      </c>
      <c r="J6223" s="195">
        <v>-72.610219999999998</v>
      </c>
      <c r="K6223" s="195">
        <v>-70.812029999999993</v>
      </c>
      <c r="L6223" s="195">
        <v>-64.988709999999998</v>
      </c>
      <c r="M6223" s="195">
        <v>-8.8604990000000008</v>
      </c>
      <c r="N6223" s="195">
        <v>1.894712</v>
      </c>
    </row>
    <row r="6224" spans="1:14" hidden="1" x14ac:dyDescent="0.35">
      <c r="A6224" s="52" t="s">
        <v>694</v>
      </c>
      <c r="B6224" s="52" t="s">
        <v>37</v>
      </c>
      <c r="C6224" s="52" t="s">
        <v>51</v>
      </c>
      <c r="D6224" s="52" t="s">
        <v>51</v>
      </c>
      <c r="E6224" s="52" t="s">
        <v>602</v>
      </c>
      <c r="F6224" s="52" t="s">
        <v>581</v>
      </c>
      <c r="G6224" s="195" t="s">
        <v>277</v>
      </c>
      <c r="H6224" s="195">
        <v>763.47739999999999</v>
      </c>
      <c r="I6224" s="195">
        <v>147.3708</v>
      </c>
      <c r="J6224" s="195">
        <v>36.359909999999999</v>
      </c>
      <c r="K6224" s="195">
        <v>15.10304</v>
      </c>
      <c r="L6224" s="195">
        <v>3.127631</v>
      </c>
      <c r="M6224" s="195">
        <v>0</v>
      </c>
      <c r="N6224" s="195">
        <v>0</v>
      </c>
    </row>
    <row r="6225" spans="1:14" hidden="1" x14ac:dyDescent="0.35">
      <c r="A6225" s="52" t="s">
        <v>694</v>
      </c>
      <c r="B6225" s="52" t="s">
        <v>37</v>
      </c>
      <c r="C6225" s="52" t="s">
        <v>51</v>
      </c>
      <c r="D6225" s="52" t="s">
        <v>51</v>
      </c>
      <c r="E6225" s="52" t="s">
        <v>602</v>
      </c>
      <c r="F6225" s="52" t="s">
        <v>581</v>
      </c>
      <c r="G6225" s="195" t="s">
        <v>278</v>
      </c>
      <c r="H6225" s="195">
        <v>36.822569999999999</v>
      </c>
      <c r="I6225" s="195">
        <v>37.765929999999997</v>
      </c>
      <c r="J6225" s="195">
        <v>25.258839999999999</v>
      </c>
      <c r="K6225" s="195">
        <v>14.495760000000001</v>
      </c>
      <c r="L6225" s="195">
        <v>5.587993</v>
      </c>
      <c r="M6225" s="195">
        <v>0</v>
      </c>
      <c r="N6225" s="195">
        <v>0</v>
      </c>
    </row>
    <row r="6226" spans="1:14" hidden="1" x14ac:dyDescent="0.35">
      <c r="A6226" s="52" t="s">
        <v>694</v>
      </c>
      <c r="B6226" s="52" t="s">
        <v>37</v>
      </c>
      <c r="C6226" s="52" t="s">
        <v>51</v>
      </c>
      <c r="D6226" s="52" t="s">
        <v>51</v>
      </c>
      <c r="E6226" s="52" t="s">
        <v>602</v>
      </c>
      <c r="F6226" s="52" t="s">
        <v>581</v>
      </c>
      <c r="G6226" s="195" t="s">
        <v>279</v>
      </c>
      <c r="H6226" s="195">
        <v>489.17610000000002</v>
      </c>
      <c r="I6226" s="195">
        <v>297.14109999999999</v>
      </c>
      <c r="J6226" s="195">
        <v>303.51100000000002</v>
      </c>
      <c r="K6226" s="195">
        <v>263.15339999999998</v>
      </c>
      <c r="L6226" s="195">
        <v>244.83260000000001</v>
      </c>
      <c r="M6226" s="195">
        <v>198.08</v>
      </c>
      <c r="N6226" s="195">
        <v>167.15100000000001</v>
      </c>
    </row>
    <row r="6227" spans="1:14" hidden="1" x14ac:dyDescent="0.35">
      <c r="A6227" s="52" t="s">
        <v>694</v>
      </c>
      <c r="B6227" s="52" t="s">
        <v>37</v>
      </c>
      <c r="C6227" s="52" t="s">
        <v>51</v>
      </c>
      <c r="D6227" s="52" t="s">
        <v>51</v>
      </c>
      <c r="E6227" s="52" t="s">
        <v>602</v>
      </c>
      <c r="F6227" s="52" t="s">
        <v>26</v>
      </c>
      <c r="G6227" s="195" t="s">
        <v>275</v>
      </c>
      <c r="H6227" s="195">
        <v>-16.182089999999999</v>
      </c>
      <c r="I6227" s="195">
        <v>-16.230689999999999</v>
      </c>
      <c r="J6227" s="195">
        <v>-13.508789999999999</v>
      </c>
      <c r="K6227" s="195">
        <v>-12.14019</v>
      </c>
      <c r="L6227" s="195">
        <v>-14.36369</v>
      </c>
      <c r="M6227" s="195">
        <v>-11.355689999999999</v>
      </c>
      <c r="N6227" s="195">
        <v>-9.5386600000000001</v>
      </c>
    </row>
    <row r="6228" spans="1:14" hidden="1" x14ac:dyDescent="0.35">
      <c r="A6228" s="52" t="s">
        <v>694</v>
      </c>
      <c r="B6228" s="52" t="s">
        <v>37</v>
      </c>
      <c r="C6228" s="52" t="s">
        <v>51</v>
      </c>
      <c r="D6228" s="52" t="s">
        <v>51</v>
      </c>
      <c r="E6228" s="52" t="s">
        <v>602</v>
      </c>
      <c r="F6228" s="52" t="s">
        <v>26</v>
      </c>
      <c r="G6228" s="195" t="s">
        <v>276</v>
      </c>
      <c r="H6228" s="195">
        <v>-4.3015660000000002</v>
      </c>
      <c r="I6228" s="195">
        <v>-4.3144920000000004</v>
      </c>
      <c r="J6228" s="195">
        <v>-3.5909529999999998</v>
      </c>
      <c r="K6228" s="195">
        <v>-3.2271359999999998</v>
      </c>
      <c r="L6228" s="195">
        <v>-3.8181940000000001</v>
      </c>
      <c r="M6228" s="195">
        <v>-3.018599</v>
      </c>
      <c r="N6228" s="195">
        <v>-2.5355910000000002</v>
      </c>
    </row>
    <row r="6229" spans="1:14" hidden="1" x14ac:dyDescent="0.35">
      <c r="A6229" s="52" t="s">
        <v>694</v>
      </c>
      <c r="B6229" s="52" t="s">
        <v>37</v>
      </c>
      <c r="C6229" s="52" t="s">
        <v>51</v>
      </c>
      <c r="D6229" s="52" t="s">
        <v>51</v>
      </c>
      <c r="E6229" s="52" t="s">
        <v>602</v>
      </c>
      <c r="F6229" s="52" t="s">
        <v>26</v>
      </c>
      <c r="G6229" s="195" t="s">
        <v>279</v>
      </c>
      <c r="H6229" s="195">
        <v>78.245909999999995</v>
      </c>
      <c r="I6229" s="195">
        <v>59.577739999999999</v>
      </c>
      <c r="J6229" s="195">
        <v>57.371870000000001</v>
      </c>
      <c r="K6229" s="195">
        <v>49.45722</v>
      </c>
      <c r="L6229" s="195">
        <v>46.320349999999998</v>
      </c>
      <c r="M6229" s="195">
        <v>37.364490000000004</v>
      </c>
      <c r="N6229" s="195">
        <v>31.48912</v>
      </c>
    </row>
    <row r="6230" spans="1:14" hidden="1" x14ac:dyDescent="0.35">
      <c r="A6230" s="52" t="s">
        <v>694</v>
      </c>
      <c r="B6230" s="52" t="s">
        <v>37</v>
      </c>
      <c r="C6230" s="52" t="s">
        <v>51</v>
      </c>
      <c r="D6230" s="52" t="s">
        <v>51</v>
      </c>
      <c r="E6230" s="52" t="s">
        <v>584</v>
      </c>
      <c r="F6230" s="52" t="s">
        <v>581</v>
      </c>
      <c r="G6230" s="195" t="s">
        <v>275</v>
      </c>
      <c r="H6230" s="195">
        <v>0.97187809999999997</v>
      </c>
      <c r="I6230" s="195">
        <v>0.2371656</v>
      </c>
      <c r="J6230" s="195">
        <v>0.18093600000000001</v>
      </c>
      <c r="K6230" s="195">
        <v>0.16618140000000001</v>
      </c>
      <c r="L6230" s="195">
        <v>0.1440584</v>
      </c>
      <c r="M6230" s="195">
        <v>0.1347708</v>
      </c>
      <c r="N6230" s="195">
        <v>0.1243544</v>
      </c>
    </row>
    <row r="6231" spans="1:14" hidden="1" x14ac:dyDescent="0.35">
      <c r="A6231" s="52" t="s">
        <v>694</v>
      </c>
      <c r="B6231" s="52" t="s">
        <v>37</v>
      </c>
      <c r="C6231" s="52" t="s">
        <v>51</v>
      </c>
      <c r="D6231" s="52" t="s">
        <v>51</v>
      </c>
      <c r="E6231" s="52" t="s">
        <v>584</v>
      </c>
      <c r="F6231" s="52" t="s">
        <v>581</v>
      </c>
      <c r="G6231" s="195" t="s">
        <v>276</v>
      </c>
      <c r="H6231" s="195">
        <v>0.18592</v>
      </c>
      <c r="I6231" s="195">
        <v>6.3045000000000004E-2</v>
      </c>
      <c r="J6231" s="195">
        <v>4.80972E-2</v>
      </c>
      <c r="K6231" s="195">
        <v>4.4174600000000001E-2</v>
      </c>
      <c r="L6231" s="195">
        <v>3.82942E-2</v>
      </c>
      <c r="M6231" s="195">
        <v>3.58254E-2</v>
      </c>
      <c r="N6231" s="195">
        <v>3.30564E-2</v>
      </c>
    </row>
    <row r="6232" spans="1:14" hidden="1" x14ac:dyDescent="0.35">
      <c r="A6232" s="52" t="s">
        <v>694</v>
      </c>
      <c r="B6232" s="52" t="s">
        <v>37</v>
      </c>
      <c r="C6232" s="52" t="s">
        <v>51</v>
      </c>
      <c r="D6232" s="52" t="s">
        <v>51</v>
      </c>
      <c r="E6232" s="52" t="s">
        <v>584</v>
      </c>
      <c r="F6232" s="52" t="s">
        <v>581</v>
      </c>
      <c r="G6232" s="195" t="s">
        <v>279</v>
      </c>
      <c r="H6232" s="195">
        <v>0.252882</v>
      </c>
      <c r="I6232" s="195">
        <v>0.15130360000000001</v>
      </c>
      <c r="J6232" s="195">
        <v>0.129607</v>
      </c>
      <c r="K6232" s="195">
        <v>0.1212158</v>
      </c>
      <c r="L6232" s="195">
        <v>0.1241786</v>
      </c>
      <c r="M6232" s="195">
        <v>0.1135038</v>
      </c>
      <c r="N6232" s="195">
        <v>0.1044508</v>
      </c>
    </row>
    <row r="6233" spans="1:14" hidden="1" x14ac:dyDescent="0.35">
      <c r="A6233" s="52" t="s">
        <v>694</v>
      </c>
      <c r="B6233" s="52" t="s">
        <v>37</v>
      </c>
      <c r="C6233" s="52" t="s">
        <v>51</v>
      </c>
      <c r="D6233" s="52" t="s">
        <v>51</v>
      </c>
      <c r="E6233" s="52" t="s">
        <v>584</v>
      </c>
      <c r="F6233" s="52" t="s">
        <v>26</v>
      </c>
      <c r="G6233" s="195" t="s">
        <v>275</v>
      </c>
      <c r="H6233" s="195">
        <v>4.0039990000000003E-3</v>
      </c>
      <c r="I6233" s="195">
        <v>2.1413999999999999E-3</v>
      </c>
      <c r="J6233" s="195">
        <v>2.2704000000000001E-3</v>
      </c>
      <c r="K6233" s="195">
        <v>1.983E-3</v>
      </c>
      <c r="L6233" s="195">
        <v>1.2780000000000001E-3</v>
      </c>
      <c r="M6233" s="195">
        <v>1.2317999999999999E-3</v>
      </c>
      <c r="N6233" s="195">
        <v>1.1404E-3</v>
      </c>
    </row>
    <row r="6234" spans="1:14" hidden="1" x14ac:dyDescent="0.35">
      <c r="A6234" s="52" t="s">
        <v>694</v>
      </c>
      <c r="B6234" s="52" t="s">
        <v>37</v>
      </c>
      <c r="C6234" s="52" t="s">
        <v>51</v>
      </c>
      <c r="D6234" s="52" t="s">
        <v>51</v>
      </c>
      <c r="E6234" s="52" t="s">
        <v>584</v>
      </c>
      <c r="F6234" s="52" t="s">
        <v>26</v>
      </c>
      <c r="G6234" s="195" t="s">
        <v>276</v>
      </c>
      <c r="H6234" s="195">
        <v>1.0640000000000001E-3</v>
      </c>
      <c r="I6234" s="195">
        <v>5.6919999999999996E-4</v>
      </c>
      <c r="J6234" s="195">
        <v>6.035999E-4</v>
      </c>
      <c r="K6234" s="195">
        <v>5.2680000000000001E-4</v>
      </c>
      <c r="L6234" s="195">
        <v>3.3940000000000001E-4</v>
      </c>
      <c r="M6234" s="195">
        <v>3.2699999999999998E-4</v>
      </c>
      <c r="N6234" s="195">
        <v>3.0299999999999999E-4</v>
      </c>
    </row>
    <row r="6235" spans="1:14" hidden="1" x14ac:dyDescent="0.35">
      <c r="A6235" s="52" t="s">
        <v>694</v>
      </c>
      <c r="B6235" s="52" t="s">
        <v>37</v>
      </c>
      <c r="C6235" s="52" t="s">
        <v>51</v>
      </c>
      <c r="D6235" s="52" t="s">
        <v>51</v>
      </c>
      <c r="E6235" s="52" t="s">
        <v>584</v>
      </c>
      <c r="F6235" s="52" t="s">
        <v>26</v>
      </c>
      <c r="G6235" s="195" t="s">
        <v>279</v>
      </c>
      <c r="H6235" s="195">
        <v>9.554E-3</v>
      </c>
      <c r="I6235" s="195">
        <v>7.5925999999999997E-3</v>
      </c>
      <c r="J6235" s="195">
        <v>6.6620000000000004E-3</v>
      </c>
      <c r="K6235" s="195">
        <v>6.2846000000000004E-3</v>
      </c>
      <c r="L6235" s="195">
        <v>6.4875999999999996E-3</v>
      </c>
      <c r="M6235" s="195">
        <v>5.9268000000000003E-3</v>
      </c>
      <c r="N6235" s="195">
        <v>5.4530000000000004E-3</v>
      </c>
    </row>
    <row r="6236" spans="1:14" hidden="1" x14ac:dyDescent="0.35">
      <c r="A6236" s="52" t="s">
        <v>694</v>
      </c>
      <c r="B6236" s="52" t="s">
        <v>37</v>
      </c>
      <c r="C6236" s="52" t="s">
        <v>218</v>
      </c>
      <c r="D6236" s="52" t="s">
        <v>218</v>
      </c>
      <c r="E6236" s="52" t="s">
        <v>594</v>
      </c>
      <c r="F6236" s="52" t="s">
        <v>581</v>
      </c>
      <c r="G6236" s="195" t="s">
        <v>275</v>
      </c>
      <c r="H6236" s="195">
        <v>164.1884</v>
      </c>
      <c r="I6236" s="195">
        <v>32.837350000000001</v>
      </c>
      <c r="J6236" s="195">
        <v>24.840170000000001</v>
      </c>
      <c r="K6236" s="195">
        <v>22.675899999999999</v>
      </c>
      <c r="L6236" s="195">
        <v>8.7704470000000008</v>
      </c>
      <c r="M6236" s="195">
        <v>14.25475</v>
      </c>
      <c r="N6236" s="195">
        <v>14.18901</v>
      </c>
    </row>
    <row r="6237" spans="1:14" hidden="1" x14ac:dyDescent="0.35">
      <c r="A6237" s="52" t="s">
        <v>694</v>
      </c>
      <c r="B6237" s="52" t="s">
        <v>37</v>
      </c>
      <c r="C6237" s="52" t="s">
        <v>218</v>
      </c>
      <c r="D6237" s="52" t="s">
        <v>218</v>
      </c>
      <c r="E6237" s="52" t="s">
        <v>594</v>
      </c>
      <c r="F6237" s="52" t="s">
        <v>581</v>
      </c>
      <c r="G6237" s="195" t="s">
        <v>276</v>
      </c>
      <c r="H6237" s="195">
        <v>-22.16497</v>
      </c>
      <c r="I6237" s="195">
        <v>-17.21133</v>
      </c>
      <c r="J6237" s="195">
        <v>-22.655750000000001</v>
      </c>
      <c r="K6237" s="195">
        <v>-2.456779</v>
      </c>
      <c r="L6237" s="195">
        <v>3.080613</v>
      </c>
      <c r="M6237" s="195">
        <v>1.6688609999999999</v>
      </c>
      <c r="N6237" s="195">
        <v>1.1633439999999999</v>
      </c>
    </row>
    <row r="6238" spans="1:14" hidden="1" x14ac:dyDescent="0.35">
      <c r="A6238" s="52" t="s">
        <v>694</v>
      </c>
      <c r="B6238" s="52" t="s">
        <v>37</v>
      </c>
      <c r="C6238" s="52" t="s">
        <v>218</v>
      </c>
      <c r="D6238" s="52" t="s">
        <v>218</v>
      </c>
      <c r="E6238" s="52" t="s">
        <v>594</v>
      </c>
      <c r="F6238" s="52" t="s">
        <v>581</v>
      </c>
      <c r="G6238" s="195" t="s">
        <v>277</v>
      </c>
      <c r="H6238" s="195">
        <v>0</v>
      </c>
      <c r="I6238" s="195">
        <v>18.357309999999998</v>
      </c>
      <c r="J6238" s="195">
        <v>15.645659999999999</v>
      </c>
      <c r="K6238" s="195">
        <v>3.131227</v>
      </c>
      <c r="L6238" s="195">
        <v>4.0753199999999996</v>
      </c>
      <c r="M6238" s="195">
        <v>2.6756190000000002</v>
      </c>
      <c r="N6238" s="195">
        <v>3.0493549999999998</v>
      </c>
    </row>
    <row r="6239" spans="1:14" hidden="1" x14ac:dyDescent="0.35">
      <c r="A6239" s="52" t="s">
        <v>694</v>
      </c>
      <c r="B6239" s="52" t="s">
        <v>37</v>
      </c>
      <c r="C6239" s="52" t="s">
        <v>218</v>
      </c>
      <c r="D6239" s="52" t="s">
        <v>218</v>
      </c>
      <c r="E6239" s="52" t="s">
        <v>594</v>
      </c>
      <c r="F6239" s="52" t="s">
        <v>581</v>
      </c>
      <c r="G6239" s="195" t="s">
        <v>278</v>
      </c>
      <c r="H6239" s="195"/>
      <c r="I6239" s="195">
        <v>0</v>
      </c>
      <c r="J6239" s="195">
        <v>10.99051</v>
      </c>
      <c r="K6239" s="195">
        <v>7.7315969999999998</v>
      </c>
      <c r="L6239" s="195">
        <v>8.2319220000000008</v>
      </c>
      <c r="M6239" s="195">
        <v>4.3614350000000002</v>
      </c>
      <c r="N6239" s="195">
        <v>3.0895999999999999</v>
      </c>
    </row>
    <row r="6240" spans="1:14" hidden="1" x14ac:dyDescent="0.35">
      <c r="A6240" s="52" t="s">
        <v>694</v>
      </c>
      <c r="B6240" s="52" t="s">
        <v>37</v>
      </c>
      <c r="C6240" s="52" t="s">
        <v>218</v>
      </c>
      <c r="D6240" s="52" t="s">
        <v>218</v>
      </c>
      <c r="E6240" s="52" t="s">
        <v>594</v>
      </c>
      <c r="F6240" s="52" t="s">
        <v>581</v>
      </c>
      <c r="G6240" s="195" t="s">
        <v>279</v>
      </c>
      <c r="H6240" s="195">
        <v>40.935049999999997</v>
      </c>
      <c r="I6240" s="195">
        <v>24.918369999999999</v>
      </c>
      <c r="J6240" s="195">
        <v>26.60642</v>
      </c>
      <c r="K6240" s="195">
        <v>29.096119999999999</v>
      </c>
      <c r="L6240" s="195">
        <v>28.279530000000001</v>
      </c>
      <c r="M6240" s="195">
        <v>24.63757</v>
      </c>
      <c r="N6240" s="195">
        <v>21.544049999999999</v>
      </c>
    </row>
    <row r="6241" spans="1:14" hidden="1" x14ac:dyDescent="0.35">
      <c r="A6241" s="52" t="s">
        <v>694</v>
      </c>
      <c r="B6241" s="52" t="s">
        <v>37</v>
      </c>
      <c r="C6241" s="52" t="s">
        <v>218</v>
      </c>
      <c r="D6241" s="52" t="s">
        <v>218</v>
      </c>
      <c r="E6241" s="52" t="s">
        <v>594</v>
      </c>
      <c r="F6241" s="52" t="s">
        <v>26</v>
      </c>
      <c r="G6241" s="195" t="s">
        <v>275</v>
      </c>
      <c r="H6241" s="195">
        <v>1.61595</v>
      </c>
      <c r="I6241" s="195">
        <v>0.39906900000000001</v>
      </c>
      <c r="J6241" s="195">
        <v>0.60810520000000001</v>
      </c>
      <c r="K6241" s="195">
        <v>0.56184719999999999</v>
      </c>
      <c r="L6241" s="195">
        <v>-0.1135372</v>
      </c>
      <c r="M6241" s="195">
        <v>1.0089000000000001E-2</v>
      </c>
      <c r="N6241" s="195">
        <v>7.0212410000000003E-2</v>
      </c>
    </row>
    <row r="6242" spans="1:14" hidden="1" x14ac:dyDescent="0.35">
      <c r="A6242" s="52" t="s">
        <v>694</v>
      </c>
      <c r="B6242" s="52" t="s">
        <v>37</v>
      </c>
      <c r="C6242" s="52" t="s">
        <v>218</v>
      </c>
      <c r="D6242" s="52" t="s">
        <v>218</v>
      </c>
      <c r="E6242" s="52" t="s">
        <v>594</v>
      </c>
      <c r="F6242" s="52" t="s">
        <v>26</v>
      </c>
      <c r="G6242" s="195" t="s">
        <v>276</v>
      </c>
      <c r="H6242" s="195">
        <v>0.42956299999999997</v>
      </c>
      <c r="I6242" s="195">
        <v>0.1060808</v>
      </c>
      <c r="J6242" s="195">
        <v>0.1616476</v>
      </c>
      <c r="K6242" s="195">
        <v>0.14935300000000001</v>
      </c>
      <c r="L6242" s="195">
        <v>-3.01804E-2</v>
      </c>
      <c r="M6242" s="195">
        <v>2.6800019999999999E-3</v>
      </c>
      <c r="N6242" s="195">
        <v>1.8664799999999999E-2</v>
      </c>
    </row>
    <row r="6243" spans="1:14" hidden="1" x14ac:dyDescent="0.35">
      <c r="A6243" s="52" t="s">
        <v>694</v>
      </c>
      <c r="B6243" s="52" t="s">
        <v>37</v>
      </c>
      <c r="C6243" s="52" t="s">
        <v>218</v>
      </c>
      <c r="D6243" s="52" t="s">
        <v>218</v>
      </c>
      <c r="E6243" s="52" t="s">
        <v>594</v>
      </c>
      <c r="F6243" s="52" t="s">
        <v>26</v>
      </c>
      <c r="G6243" s="195" t="s">
        <v>279</v>
      </c>
      <c r="H6243" s="195">
        <v>9.0590899999999994</v>
      </c>
      <c r="I6243" s="195">
        <v>5.9617469999999999</v>
      </c>
      <c r="J6243" s="195">
        <v>6.3821219999999999</v>
      </c>
      <c r="K6243" s="195">
        <v>7.0230600000000001</v>
      </c>
      <c r="L6243" s="195">
        <v>6.8548080000000002</v>
      </c>
      <c r="M6243" s="195">
        <v>6.0019999999999998</v>
      </c>
      <c r="N6243" s="195">
        <v>5.2751020000000004</v>
      </c>
    </row>
    <row r="6244" spans="1:14" hidden="1" x14ac:dyDescent="0.35">
      <c r="A6244" s="52" t="s">
        <v>694</v>
      </c>
      <c r="B6244" s="52" t="s">
        <v>37</v>
      </c>
      <c r="C6244" s="52" t="s">
        <v>105</v>
      </c>
      <c r="D6244" s="52" t="s">
        <v>105</v>
      </c>
      <c r="E6244" s="52" t="s">
        <v>584</v>
      </c>
      <c r="F6244" s="52" t="s">
        <v>581</v>
      </c>
      <c r="G6244" s="195" t="s">
        <v>275</v>
      </c>
      <c r="H6244" s="195">
        <v>6.3444669999999999</v>
      </c>
      <c r="I6244" s="195">
        <v>1.6347050000000001</v>
      </c>
      <c r="J6244" s="195">
        <v>1.2355100000000001</v>
      </c>
      <c r="K6244" s="195">
        <v>1.1338250000000001</v>
      </c>
      <c r="L6244" s="195">
        <v>0.98206539999999998</v>
      </c>
      <c r="M6244" s="195">
        <v>0.91787960000000002</v>
      </c>
      <c r="N6244" s="195">
        <v>0.84616170000000002</v>
      </c>
    </row>
    <row r="6245" spans="1:14" hidden="1" x14ac:dyDescent="0.35">
      <c r="A6245" s="52" t="s">
        <v>694</v>
      </c>
      <c r="B6245" s="52" t="s">
        <v>37</v>
      </c>
      <c r="C6245" s="52" t="s">
        <v>105</v>
      </c>
      <c r="D6245" s="52" t="s">
        <v>105</v>
      </c>
      <c r="E6245" s="52" t="s">
        <v>584</v>
      </c>
      <c r="F6245" s="52" t="s">
        <v>581</v>
      </c>
      <c r="G6245" s="195" t="s">
        <v>276</v>
      </c>
      <c r="H6245" s="195">
        <v>1.5636350000000001</v>
      </c>
      <c r="I6245" s="195">
        <v>0.56662060000000003</v>
      </c>
      <c r="J6245" s="195">
        <v>0.42825200000000002</v>
      </c>
      <c r="K6245" s="195">
        <v>0.39300600000000002</v>
      </c>
      <c r="L6245" s="195">
        <v>0.34040419999999999</v>
      </c>
      <c r="M6245" s="195">
        <v>0.31815599999999999</v>
      </c>
      <c r="N6245" s="195">
        <v>0.29329719999999998</v>
      </c>
    </row>
    <row r="6246" spans="1:14" hidden="1" x14ac:dyDescent="0.35">
      <c r="A6246" s="52" t="s">
        <v>694</v>
      </c>
      <c r="B6246" s="52" t="s">
        <v>37</v>
      </c>
      <c r="C6246" s="52" t="s">
        <v>105</v>
      </c>
      <c r="D6246" s="52" t="s">
        <v>105</v>
      </c>
      <c r="E6246" s="52" t="s">
        <v>584</v>
      </c>
      <c r="F6246" s="52" t="s">
        <v>581</v>
      </c>
      <c r="G6246" s="195" t="s">
        <v>279</v>
      </c>
      <c r="H6246" s="195">
        <v>1.701757</v>
      </c>
      <c r="I6246" s="195">
        <v>1.0721769999999999</v>
      </c>
      <c r="J6246" s="195">
        <v>0.91392700000000004</v>
      </c>
      <c r="K6246" s="195">
        <v>0.85475820000000002</v>
      </c>
      <c r="L6246" s="195">
        <v>0.87786839999999999</v>
      </c>
      <c r="M6246" s="195">
        <v>0.80204699999999995</v>
      </c>
      <c r="N6246" s="195">
        <v>0.73794559999999998</v>
      </c>
    </row>
    <row r="6247" spans="1:14" hidden="1" x14ac:dyDescent="0.35">
      <c r="A6247" s="52" t="s">
        <v>694</v>
      </c>
      <c r="B6247" s="52" t="s">
        <v>37</v>
      </c>
      <c r="C6247" s="52" t="s">
        <v>105</v>
      </c>
      <c r="D6247" s="52" t="s">
        <v>105</v>
      </c>
      <c r="E6247" s="52" t="s">
        <v>584</v>
      </c>
      <c r="F6247" s="52" t="s">
        <v>26</v>
      </c>
      <c r="G6247" s="195" t="s">
        <v>275</v>
      </c>
      <c r="H6247" s="195">
        <v>2.9862E-2</v>
      </c>
      <c r="I6247" s="195">
        <v>1.4060599999999999E-2</v>
      </c>
      <c r="J6247" s="195">
        <v>1.59936E-2</v>
      </c>
      <c r="K6247" s="195">
        <v>1.3624000000000001E-2</v>
      </c>
      <c r="L6247" s="195">
        <v>6.8989999999999998E-3</v>
      </c>
      <c r="M6247" s="195">
        <v>6.9042009999999996E-3</v>
      </c>
      <c r="N6247" s="195">
        <v>6.4196000000000001E-3</v>
      </c>
    </row>
    <row r="6248" spans="1:14" hidden="1" x14ac:dyDescent="0.35">
      <c r="A6248" s="52" t="s">
        <v>694</v>
      </c>
      <c r="B6248" s="52" t="s">
        <v>37</v>
      </c>
      <c r="C6248" s="52" t="s">
        <v>105</v>
      </c>
      <c r="D6248" s="52" t="s">
        <v>105</v>
      </c>
      <c r="E6248" s="52" t="s">
        <v>584</v>
      </c>
      <c r="F6248" s="52" t="s">
        <v>26</v>
      </c>
      <c r="G6248" s="195" t="s">
        <v>276</v>
      </c>
      <c r="H6248" s="195">
        <v>1.0351000000000001E-2</v>
      </c>
      <c r="I6248" s="195">
        <v>4.8739999999999999E-3</v>
      </c>
      <c r="J6248" s="195">
        <v>5.5434000000000004E-3</v>
      </c>
      <c r="K6248" s="195">
        <v>4.7234E-3</v>
      </c>
      <c r="L6248" s="195">
        <v>2.3915999999999998E-3</v>
      </c>
      <c r="M6248" s="195">
        <v>2.3934E-3</v>
      </c>
      <c r="N6248" s="195">
        <v>2.2255999999999999E-3</v>
      </c>
    </row>
    <row r="6249" spans="1:14" hidden="1" x14ac:dyDescent="0.35">
      <c r="A6249" s="52" t="s">
        <v>694</v>
      </c>
      <c r="B6249" s="52" t="s">
        <v>37</v>
      </c>
      <c r="C6249" s="52" t="s">
        <v>105</v>
      </c>
      <c r="D6249" s="52" t="s">
        <v>105</v>
      </c>
      <c r="E6249" s="52" t="s">
        <v>584</v>
      </c>
      <c r="F6249" s="52" t="s">
        <v>26</v>
      </c>
      <c r="G6249" s="195" t="s">
        <v>279</v>
      </c>
      <c r="H6249" s="195">
        <v>0.104575</v>
      </c>
      <c r="I6249" s="195">
        <v>8.3088999999999996E-2</v>
      </c>
      <c r="J6249" s="195">
        <v>7.2884599999999994E-2</v>
      </c>
      <c r="K6249" s="195">
        <v>6.8730799999999995E-2</v>
      </c>
      <c r="L6249" s="195">
        <v>7.0972400000000005E-2</v>
      </c>
      <c r="M6249" s="195">
        <v>6.4833600000000005E-2</v>
      </c>
      <c r="N6249" s="195">
        <v>5.96444E-2</v>
      </c>
    </row>
    <row r="6250" spans="1:14" hidden="1" x14ac:dyDescent="0.35">
      <c r="A6250" s="52" t="s">
        <v>694</v>
      </c>
      <c r="B6250" s="52" t="s">
        <v>37</v>
      </c>
      <c r="C6250" s="52" t="s">
        <v>205</v>
      </c>
      <c r="D6250" s="52" t="s">
        <v>205</v>
      </c>
      <c r="E6250" s="52" t="s">
        <v>654</v>
      </c>
      <c r="F6250" s="52" t="s">
        <v>26</v>
      </c>
      <c r="G6250" s="195" t="s">
        <v>275</v>
      </c>
      <c r="H6250" s="195">
        <v>6.0476009999999997E-2</v>
      </c>
      <c r="I6250" s="195">
        <v>-0.39999820000000003</v>
      </c>
      <c r="J6250" s="195">
        <v>-0.3640254</v>
      </c>
      <c r="K6250" s="195">
        <v>-0.356153</v>
      </c>
      <c r="L6250" s="195">
        <v>-0.46863159999999998</v>
      </c>
      <c r="M6250" s="195">
        <v>-0.4187826</v>
      </c>
      <c r="N6250" s="195">
        <v>-0.38435019999999998</v>
      </c>
    </row>
    <row r="6251" spans="1:14" hidden="1" x14ac:dyDescent="0.35">
      <c r="A6251" s="52" t="s">
        <v>694</v>
      </c>
      <c r="B6251" s="52" t="s">
        <v>37</v>
      </c>
      <c r="C6251" s="52" t="s">
        <v>205</v>
      </c>
      <c r="D6251" s="52" t="s">
        <v>205</v>
      </c>
      <c r="E6251" s="52" t="s">
        <v>654</v>
      </c>
      <c r="F6251" s="52" t="s">
        <v>26</v>
      </c>
      <c r="G6251" s="195" t="s">
        <v>276</v>
      </c>
      <c r="H6251" s="195">
        <v>-0.15823699999999999</v>
      </c>
      <c r="I6251" s="195">
        <v>-0.220025</v>
      </c>
      <c r="J6251" s="195">
        <v>-0.1113854</v>
      </c>
      <c r="K6251" s="195">
        <v>-0.1089764</v>
      </c>
      <c r="L6251" s="195">
        <v>-0.1433932</v>
      </c>
      <c r="M6251" s="195">
        <v>-0.1281398</v>
      </c>
      <c r="N6251" s="195">
        <v>-0.11760420000000001</v>
      </c>
    </row>
    <row r="6252" spans="1:14" hidden="1" x14ac:dyDescent="0.35">
      <c r="A6252" s="52" t="s">
        <v>694</v>
      </c>
      <c r="B6252" s="52" t="s">
        <v>37</v>
      </c>
      <c r="C6252" s="52" t="s">
        <v>205</v>
      </c>
      <c r="D6252" s="52" t="s">
        <v>205</v>
      </c>
      <c r="E6252" s="52" t="s">
        <v>654</v>
      </c>
      <c r="F6252" s="52" t="s">
        <v>26</v>
      </c>
      <c r="G6252" s="195" t="s">
        <v>279</v>
      </c>
      <c r="H6252" s="195">
        <v>0.39379700000000001</v>
      </c>
      <c r="I6252" s="195">
        <v>1.8405</v>
      </c>
      <c r="J6252" s="195">
        <v>1.6049420000000001</v>
      </c>
      <c r="K6252" s="195">
        <v>1.5068360000000001</v>
      </c>
      <c r="L6252" s="195">
        <v>1.572182</v>
      </c>
      <c r="M6252" s="195">
        <v>1.433718</v>
      </c>
      <c r="N6252" s="195">
        <v>1.318908</v>
      </c>
    </row>
    <row r="6253" spans="1:14" hidden="1" x14ac:dyDescent="0.35">
      <c r="A6253" s="52" t="s">
        <v>694</v>
      </c>
      <c r="B6253" s="52" t="s">
        <v>37</v>
      </c>
      <c r="C6253" s="52" t="s">
        <v>205</v>
      </c>
      <c r="D6253" s="52" t="s">
        <v>205</v>
      </c>
      <c r="E6253" s="52" t="s">
        <v>584</v>
      </c>
      <c r="F6253" s="52" t="s">
        <v>581</v>
      </c>
      <c r="G6253" s="195" t="s">
        <v>275</v>
      </c>
      <c r="H6253" s="195">
        <v>1.3336300000000001</v>
      </c>
      <c r="I6253" s="195">
        <v>0.3342598</v>
      </c>
      <c r="J6253" s="195">
        <v>0.25284980000000001</v>
      </c>
      <c r="K6253" s="195">
        <v>0.2320612</v>
      </c>
      <c r="L6253" s="195">
        <v>0.2013298</v>
      </c>
      <c r="M6253" s="195">
        <v>0.18812680000000001</v>
      </c>
      <c r="N6253" s="195">
        <v>0.17342579999999999</v>
      </c>
    </row>
    <row r="6254" spans="1:14" hidden="1" x14ac:dyDescent="0.35">
      <c r="A6254" s="52" t="s">
        <v>694</v>
      </c>
      <c r="B6254" s="52" t="s">
        <v>37</v>
      </c>
      <c r="C6254" s="52" t="s">
        <v>205</v>
      </c>
      <c r="D6254" s="52" t="s">
        <v>205</v>
      </c>
      <c r="E6254" s="52" t="s">
        <v>584</v>
      </c>
      <c r="F6254" s="52" t="s">
        <v>581</v>
      </c>
      <c r="G6254" s="195" t="s">
        <v>276</v>
      </c>
      <c r="H6254" s="195">
        <v>0.181201</v>
      </c>
      <c r="I6254" s="195">
        <v>8.8853799999999997E-2</v>
      </c>
      <c r="J6254" s="195">
        <v>6.7213590000000004E-2</v>
      </c>
      <c r="K6254" s="195">
        <v>6.1687199999999998E-2</v>
      </c>
      <c r="L6254" s="195">
        <v>5.3518400000000001E-2</v>
      </c>
      <c r="M6254" s="195">
        <v>5.0007999999999997E-2</v>
      </c>
      <c r="N6254" s="195">
        <v>4.6100599999999999E-2</v>
      </c>
    </row>
    <row r="6255" spans="1:14" hidden="1" x14ac:dyDescent="0.35">
      <c r="A6255" s="52" t="s">
        <v>694</v>
      </c>
      <c r="B6255" s="52" t="s">
        <v>37</v>
      </c>
      <c r="C6255" s="52" t="s">
        <v>205</v>
      </c>
      <c r="D6255" s="52" t="s">
        <v>205</v>
      </c>
      <c r="E6255" s="52" t="s">
        <v>584</v>
      </c>
      <c r="F6255" s="52" t="s">
        <v>581</v>
      </c>
      <c r="G6255" s="195" t="s">
        <v>279</v>
      </c>
      <c r="H6255" s="195">
        <v>0.33925899999999998</v>
      </c>
      <c r="I6255" s="195">
        <v>0.20805019999999999</v>
      </c>
      <c r="J6255" s="195">
        <v>0.17692479999999999</v>
      </c>
      <c r="K6255" s="195">
        <v>0.16543440000000001</v>
      </c>
      <c r="L6255" s="195">
        <v>0.16939219999999999</v>
      </c>
      <c r="M6255" s="195">
        <v>0.1548224</v>
      </c>
      <c r="N6255" s="195">
        <v>0.14245440000000001</v>
      </c>
    </row>
    <row r="6256" spans="1:14" hidden="1" x14ac:dyDescent="0.35">
      <c r="A6256" s="52" t="s">
        <v>694</v>
      </c>
      <c r="B6256" s="52" t="s">
        <v>37</v>
      </c>
      <c r="C6256" s="52" t="s">
        <v>205</v>
      </c>
      <c r="D6256" s="52" t="s">
        <v>205</v>
      </c>
      <c r="E6256" s="52" t="s">
        <v>584</v>
      </c>
      <c r="F6256" s="52" t="s">
        <v>26</v>
      </c>
      <c r="G6256" s="195" t="s">
        <v>275</v>
      </c>
      <c r="H6256" s="195">
        <v>1.7153999999999999E-2</v>
      </c>
      <c r="I6256" s="195">
        <v>8.489201E-3</v>
      </c>
      <c r="J6256" s="195">
        <v>9.3842000000000005E-3</v>
      </c>
      <c r="K6256" s="195">
        <v>8.0655999999999992E-3</v>
      </c>
      <c r="L6256" s="195">
        <v>4.5304000000000004E-3</v>
      </c>
      <c r="M6256" s="195">
        <v>4.4561999999999996E-3</v>
      </c>
      <c r="N6256" s="195">
        <v>4.1358000000000002E-3</v>
      </c>
    </row>
    <row r="6257" spans="1:14" hidden="1" x14ac:dyDescent="0.35">
      <c r="A6257" s="52" t="s">
        <v>694</v>
      </c>
      <c r="B6257" s="52" t="s">
        <v>37</v>
      </c>
      <c r="C6257" s="52" t="s">
        <v>205</v>
      </c>
      <c r="D6257" s="52" t="s">
        <v>205</v>
      </c>
      <c r="E6257" s="52" t="s">
        <v>584</v>
      </c>
      <c r="F6257" s="52" t="s">
        <v>26</v>
      </c>
      <c r="G6257" s="195" t="s">
        <v>276</v>
      </c>
      <c r="H6257" s="195">
        <v>4.5599999999999998E-3</v>
      </c>
      <c r="I6257" s="195">
        <v>2.2569999999999999E-3</v>
      </c>
      <c r="J6257" s="195">
        <v>2.4941999999999998E-3</v>
      </c>
      <c r="K6257" s="195">
        <v>2.1440000000000001E-3</v>
      </c>
      <c r="L6257" s="195">
        <v>1.2038000000000001E-3</v>
      </c>
      <c r="M6257" s="195">
        <v>1.1839999999999999E-3</v>
      </c>
      <c r="N6257" s="195">
        <v>1.0992E-3</v>
      </c>
    </row>
    <row r="6258" spans="1:14" hidden="1" x14ac:dyDescent="0.35">
      <c r="A6258" s="52" t="s">
        <v>694</v>
      </c>
      <c r="B6258" s="52" t="s">
        <v>37</v>
      </c>
      <c r="C6258" s="52" t="s">
        <v>205</v>
      </c>
      <c r="D6258" s="52" t="s">
        <v>205</v>
      </c>
      <c r="E6258" s="52" t="s">
        <v>584</v>
      </c>
      <c r="F6258" s="52" t="s">
        <v>26</v>
      </c>
      <c r="G6258" s="195" t="s">
        <v>279</v>
      </c>
      <c r="H6258" s="195">
        <v>5.0193000000000002E-2</v>
      </c>
      <c r="I6258" s="195">
        <v>3.9904599999999998E-2</v>
      </c>
      <c r="J6258" s="195">
        <v>3.4996199999999998E-2</v>
      </c>
      <c r="K6258" s="195">
        <v>3.3021399999999999E-2</v>
      </c>
      <c r="L6258" s="195">
        <v>3.41126E-2</v>
      </c>
      <c r="M6258" s="195">
        <v>3.1161999999999999E-2</v>
      </c>
      <c r="N6258" s="195">
        <v>2.8669199999999999E-2</v>
      </c>
    </row>
    <row r="6259" spans="1:14" hidden="1" x14ac:dyDescent="0.35">
      <c r="A6259" s="52" t="s">
        <v>694</v>
      </c>
      <c r="B6259" s="52" t="s">
        <v>37</v>
      </c>
      <c r="C6259" s="52" t="s">
        <v>46</v>
      </c>
      <c r="D6259" s="52" t="s">
        <v>46</v>
      </c>
      <c r="E6259" s="52" t="s">
        <v>584</v>
      </c>
      <c r="F6259" s="52" t="s">
        <v>581</v>
      </c>
      <c r="G6259" s="195" t="s">
        <v>275</v>
      </c>
      <c r="H6259" s="195">
        <v>2.2911440000000001</v>
      </c>
      <c r="I6259" s="195">
        <v>0.64233759999999995</v>
      </c>
      <c r="J6259" s="195">
        <v>0.78018480000000001</v>
      </c>
      <c r="K6259" s="195">
        <v>0.36104439999999999</v>
      </c>
      <c r="L6259" s="195">
        <v>0.30659639999999999</v>
      </c>
      <c r="M6259" s="195">
        <v>0.28739340000000002</v>
      </c>
      <c r="N6259" s="195">
        <v>0.26500459999999998</v>
      </c>
    </row>
    <row r="6260" spans="1:14" hidden="1" x14ac:dyDescent="0.35">
      <c r="A6260" s="52" t="s">
        <v>694</v>
      </c>
      <c r="B6260" s="52" t="s">
        <v>37</v>
      </c>
      <c r="C6260" s="52" t="s">
        <v>46</v>
      </c>
      <c r="D6260" s="52" t="s">
        <v>46</v>
      </c>
      <c r="E6260" s="52" t="s">
        <v>584</v>
      </c>
      <c r="F6260" s="52" t="s">
        <v>581</v>
      </c>
      <c r="G6260" s="195" t="s">
        <v>276</v>
      </c>
      <c r="H6260" s="195">
        <v>0.22956799999999999</v>
      </c>
      <c r="I6260" s="195">
        <v>2.5210799999999998E-2</v>
      </c>
      <c r="J6260" s="195">
        <v>-0.28136440000000001</v>
      </c>
      <c r="K6260" s="195">
        <v>9.5973600000000006E-2</v>
      </c>
      <c r="L6260" s="195">
        <v>8.1500810000000007E-2</v>
      </c>
      <c r="M6260" s="195">
        <v>7.6396400000000003E-2</v>
      </c>
      <c r="N6260" s="195">
        <v>7.0444199999999998E-2</v>
      </c>
    </row>
    <row r="6261" spans="1:14" hidden="1" x14ac:dyDescent="0.35">
      <c r="A6261" s="52" t="s">
        <v>694</v>
      </c>
      <c r="B6261" s="52" t="s">
        <v>37</v>
      </c>
      <c r="C6261" s="52" t="s">
        <v>46</v>
      </c>
      <c r="D6261" s="52" t="s">
        <v>46</v>
      </c>
      <c r="E6261" s="52" t="s">
        <v>584</v>
      </c>
      <c r="F6261" s="52" t="s">
        <v>581</v>
      </c>
      <c r="G6261" s="195" t="s">
        <v>279</v>
      </c>
      <c r="H6261" s="195">
        <v>0.64929899999999996</v>
      </c>
      <c r="I6261" s="195">
        <v>0.41108240000000001</v>
      </c>
      <c r="J6261" s="195">
        <v>0.3504852</v>
      </c>
      <c r="K6261" s="195">
        <v>0.32768639999999999</v>
      </c>
      <c r="L6261" s="195">
        <v>0.33688820000000003</v>
      </c>
      <c r="M6261" s="195">
        <v>0.30773840000000002</v>
      </c>
      <c r="N6261" s="195">
        <v>0.283142</v>
      </c>
    </row>
    <row r="6262" spans="1:14" hidden="1" x14ac:dyDescent="0.35">
      <c r="A6262" s="52" t="s">
        <v>694</v>
      </c>
      <c r="B6262" s="52" t="s">
        <v>37</v>
      </c>
      <c r="C6262" s="52" t="s">
        <v>46</v>
      </c>
      <c r="D6262" s="52" t="s">
        <v>46</v>
      </c>
      <c r="E6262" s="52" t="s">
        <v>584</v>
      </c>
      <c r="F6262" s="52" t="s">
        <v>26</v>
      </c>
      <c r="G6262" s="195" t="s">
        <v>275</v>
      </c>
      <c r="H6262" s="195">
        <v>1.3773000000000001E-2</v>
      </c>
      <c r="I6262" s="195">
        <v>4.0029999999999996E-3</v>
      </c>
      <c r="J6262" s="195">
        <v>6.1755999999999998E-3</v>
      </c>
      <c r="K6262" s="195">
        <v>4.8367999999999996E-3</v>
      </c>
      <c r="L6262" s="195">
        <v>-2.0740010000000001E-4</v>
      </c>
      <c r="M6262" s="195">
        <v>2.5500000000000002E-4</v>
      </c>
      <c r="N6262" s="195">
        <v>2.8400000000000002E-4</v>
      </c>
    </row>
    <row r="6263" spans="1:14" hidden="1" x14ac:dyDescent="0.35">
      <c r="A6263" s="52" t="s">
        <v>694</v>
      </c>
      <c r="B6263" s="52" t="s">
        <v>37</v>
      </c>
      <c r="C6263" s="52" t="s">
        <v>46</v>
      </c>
      <c r="D6263" s="52" t="s">
        <v>46</v>
      </c>
      <c r="E6263" s="52" t="s">
        <v>584</v>
      </c>
      <c r="F6263" s="52" t="s">
        <v>26</v>
      </c>
      <c r="G6263" s="195" t="s">
        <v>276</v>
      </c>
      <c r="H6263" s="195">
        <v>3.6610000000000002E-3</v>
      </c>
      <c r="I6263" s="195">
        <v>1.0640000000000001E-3</v>
      </c>
      <c r="J6263" s="195">
        <v>1.6417999999999999E-3</v>
      </c>
      <c r="K6263" s="195">
        <v>1.286E-3</v>
      </c>
      <c r="L6263" s="195">
        <v>-5.5599970000000001E-5</v>
      </c>
      <c r="M6263" s="195">
        <v>6.7600010000000004E-5</v>
      </c>
      <c r="N6263" s="195">
        <v>7.5000009999999994E-5</v>
      </c>
    </row>
    <row r="6264" spans="1:14" hidden="1" x14ac:dyDescent="0.35">
      <c r="A6264" s="52" t="s">
        <v>694</v>
      </c>
      <c r="B6264" s="52" t="s">
        <v>37</v>
      </c>
      <c r="C6264" s="52" t="s">
        <v>46</v>
      </c>
      <c r="D6264" s="52" t="s">
        <v>46</v>
      </c>
      <c r="E6264" s="52" t="s">
        <v>584</v>
      </c>
      <c r="F6264" s="52" t="s">
        <v>26</v>
      </c>
      <c r="G6264" s="195" t="s">
        <v>279</v>
      </c>
      <c r="H6264" s="195">
        <v>7.8608010000000006E-2</v>
      </c>
      <c r="I6264" s="195">
        <v>6.2529589999999996E-2</v>
      </c>
      <c r="J6264" s="195">
        <v>5.4738799999999997E-2</v>
      </c>
      <c r="K6264" s="195">
        <v>5.1570199999999997E-2</v>
      </c>
      <c r="L6264" s="195">
        <v>5.3436999999999998E-2</v>
      </c>
      <c r="M6264" s="195">
        <v>4.8788999999999999E-2</v>
      </c>
      <c r="N6264" s="195">
        <v>4.4885399999999999E-2</v>
      </c>
    </row>
    <row r="6265" spans="1:14" hidden="1" x14ac:dyDescent="0.35">
      <c r="A6265" s="52" t="s">
        <v>694</v>
      </c>
      <c r="B6265" s="52" t="s">
        <v>37</v>
      </c>
      <c r="C6265" s="52" t="s">
        <v>95</v>
      </c>
      <c r="D6265" s="52" t="s">
        <v>95</v>
      </c>
      <c r="E6265" s="52" t="s">
        <v>584</v>
      </c>
      <c r="F6265" s="52" t="s">
        <v>581</v>
      </c>
      <c r="G6265" s="195" t="s">
        <v>275</v>
      </c>
      <c r="H6265" s="195">
        <v>1.9056999999999999</v>
      </c>
      <c r="I6265" s="195">
        <v>0.49704720000000002</v>
      </c>
      <c r="J6265" s="195">
        <v>0.37615959999999998</v>
      </c>
      <c r="K6265" s="195">
        <v>0.345273</v>
      </c>
      <c r="L6265" s="195">
        <v>0.29973739999999999</v>
      </c>
      <c r="M6265" s="195">
        <v>0.28005839999999999</v>
      </c>
      <c r="N6265" s="195">
        <v>0.25817119999999999</v>
      </c>
    </row>
    <row r="6266" spans="1:14" hidden="1" x14ac:dyDescent="0.35">
      <c r="A6266" s="52" t="s">
        <v>694</v>
      </c>
      <c r="B6266" s="52" t="s">
        <v>37</v>
      </c>
      <c r="C6266" s="52" t="s">
        <v>95</v>
      </c>
      <c r="D6266" s="52" t="s">
        <v>95</v>
      </c>
      <c r="E6266" s="52" t="s">
        <v>584</v>
      </c>
      <c r="F6266" s="52" t="s">
        <v>581</v>
      </c>
      <c r="G6266" s="195" t="s">
        <v>276</v>
      </c>
      <c r="H6266" s="195">
        <v>0.34207599999999999</v>
      </c>
      <c r="I6266" s="195">
        <v>0.13212660000000001</v>
      </c>
      <c r="J6266" s="195">
        <v>9.9992010000000006E-2</v>
      </c>
      <c r="K6266" s="195">
        <v>9.1781199999999993E-2</v>
      </c>
      <c r="L6266" s="195">
        <v>7.9677200000000004E-2</v>
      </c>
      <c r="M6266" s="195">
        <v>7.4445800000000006E-2</v>
      </c>
      <c r="N6266" s="195">
        <v>6.8627400000000005E-2</v>
      </c>
    </row>
    <row r="6267" spans="1:14" hidden="1" x14ac:dyDescent="0.35">
      <c r="A6267" s="52" t="s">
        <v>694</v>
      </c>
      <c r="B6267" s="52" t="s">
        <v>37</v>
      </c>
      <c r="C6267" s="52" t="s">
        <v>95</v>
      </c>
      <c r="D6267" s="52" t="s">
        <v>95</v>
      </c>
      <c r="E6267" s="52" t="s">
        <v>584</v>
      </c>
      <c r="F6267" s="52" t="s">
        <v>581</v>
      </c>
      <c r="G6267" s="195" t="s">
        <v>279</v>
      </c>
      <c r="H6267" s="195">
        <v>0.50081200000000003</v>
      </c>
      <c r="I6267" s="195">
        <v>0.30682739999999997</v>
      </c>
      <c r="J6267" s="195">
        <v>0.26088440000000002</v>
      </c>
      <c r="K6267" s="195">
        <v>0.2439132</v>
      </c>
      <c r="L6267" s="195">
        <v>0.2497336</v>
      </c>
      <c r="M6267" s="195">
        <v>0.2282534</v>
      </c>
      <c r="N6267" s="195">
        <v>0.2100186</v>
      </c>
    </row>
    <row r="6268" spans="1:14" hidden="1" x14ac:dyDescent="0.35">
      <c r="A6268" s="52" t="s">
        <v>694</v>
      </c>
      <c r="B6268" s="52" t="s">
        <v>37</v>
      </c>
      <c r="C6268" s="52" t="s">
        <v>95</v>
      </c>
      <c r="D6268" s="52" t="s">
        <v>95</v>
      </c>
      <c r="E6268" s="52" t="s">
        <v>584</v>
      </c>
      <c r="F6268" s="52" t="s">
        <v>26</v>
      </c>
      <c r="G6268" s="195" t="s">
        <v>275</v>
      </c>
      <c r="H6268" s="195">
        <v>7.391E-3</v>
      </c>
      <c r="I6268" s="195">
        <v>3.8522000000000001E-3</v>
      </c>
      <c r="J6268" s="195">
        <v>4.1441999999999998E-3</v>
      </c>
      <c r="K6268" s="195">
        <v>3.6021999999999998E-3</v>
      </c>
      <c r="L6268" s="195">
        <v>2.2225999999999999E-3</v>
      </c>
      <c r="M6268" s="195">
        <v>2.1556000000000001E-3</v>
      </c>
      <c r="N6268" s="195">
        <v>1.9972000000000002E-3</v>
      </c>
    </row>
    <row r="6269" spans="1:14" hidden="1" x14ac:dyDescent="0.35">
      <c r="A6269" s="52" t="s">
        <v>694</v>
      </c>
      <c r="B6269" s="52" t="s">
        <v>37</v>
      </c>
      <c r="C6269" s="52" t="s">
        <v>95</v>
      </c>
      <c r="D6269" s="52" t="s">
        <v>95</v>
      </c>
      <c r="E6269" s="52" t="s">
        <v>584</v>
      </c>
      <c r="F6269" s="52" t="s">
        <v>26</v>
      </c>
      <c r="G6269" s="195" t="s">
        <v>276</v>
      </c>
      <c r="H6269" s="195">
        <v>1.9650000000000002E-3</v>
      </c>
      <c r="I6269" s="195">
        <v>1.0242000000000001E-3</v>
      </c>
      <c r="J6269" s="195">
        <v>1.1014E-3</v>
      </c>
      <c r="K6269" s="195">
        <v>9.5759999999999997E-4</v>
      </c>
      <c r="L6269" s="195">
        <v>5.9080000000000005E-4</v>
      </c>
      <c r="M6269" s="195">
        <v>5.7339999999999995E-4</v>
      </c>
      <c r="N6269" s="195">
        <v>5.31E-4</v>
      </c>
    </row>
    <row r="6270" spans="1:14" hidden="1" x14ac:dyDescent="0.35">
      <c r="A6270" s="52" t="s">
        <v>694</v>
      </c>
      <c r="B6270" s="52" t="s">
        <v>37</v>
      </c>
      <c r="C6270" s="52" t="s">
        <v>95</v>
      </c>
      <c r="D6270" s="52" t="s">
        <v>95</v>
      </c>
      <c r="E6270" s="52" t="s">
        <v>584</v>
      </c>
      <c r="F6270" s="52" t="s">
        <v>26</v>
      </c>
      <c r="G6270" s="195" t="s">
        <v>279</v>
      </c>
      <c r="H6270" s="195">
        <v>1.9005999999999999E-2</v>
      </c>
      <c r="I6270" s="195">
        <v>1.5108399999999999E-2</v>
      </c>
      <c r="J6270" s="195">
        <v>1.3251000000000001E-2</v>
      </c>
      <c r="K6270" s="195">
        <v>1.2498799999999999E-2</v>
      </c>
      <c r="L6270" s="195">
        <v>1.29102E-2</v>
      </c>
      <c r="M6270" s="195">
        <v>1.1793E-2</v>
      </c>
      <c r="N6270" s="195">
        <v>1.0848999999999999E-2</v>
      </c>
    </row>
    <row r="6271" spans="1:14" hidden="1" x14ac:dyDescent="0.35">
      <c r="A6271" s="52" t="s">
        <v>694</v>
      </c>
      <c r="B6271" s="52" t="s">
        <v>37</v>
      </c>
      <c r="C6271" s="52" t="s">
        <v>251</v>
      </c>
      <c r="D6271" s="52" t="s">
        <v>251</v>
      </c>
      <c r="E6271" s="52" t="s">
        <v>584</v>
      </c>
      <c r="F6271" s="52" t="s">
        <v>581</v>
      </c>
      <c r="G6271" s="195" t="s">
        <v>275</v>
      </c>
      <c r="H6271" s="195">
        <v>1.103264</v>
      </c>
      <c r="I6271" s="195">
        <v>0.27099060000000003</v>
      </c>
      <c r="J6271" s="195">
        <v>0.37988040000000001</v>
      </c>
      <c r="K6271" s="195">
        <v>0.12504000000000001</v>
      </c>
      <c r="L6271" s="195">
        <v>9.7689410000000004E-2</v>
      </c>
      <c r="M6271" s="195">
        <v>9.2758999999999994E-2</v>
      </c>
      <c r="N6271" s="195">
        <v>8.5625599999999996E-2</v>
      </c>
    </row>
    <row r="6272" spans="1:14" hidden="1" x14ac:dyDescent="0.35">
      <c r="A6272" s="52" t="s">
        <v>694</v>
      </c>
      <c r="B6272" s="52" t="s">
        <v>37</v>
      </c>
      <c r="C6272" s="52" t="s">
        <v>251</v>
      </c>
      <c r="D6272" s="52" t="s">
        <v>251</v>
      </c>
      <c r="E6272" s="52" t="s">
        <v>584</v>
      </c>
      <c r="F6272" s="52" t="s">
        <v>581</v>
      </c>
      <c r="G6272" s="195" t="s">
        <v>276</v>
      </c>
      <c r="H6272" s="195">
        <v>-2.4327999999999999E-2</v>
      </c>
      <c r="I6272" s="195">
        <v>-2.8076400000000001E-2</v>
      </c>
      <c r="J6272" s="195">
        <v>-0.2060678</v>
      </c>
      <c r="K6272" s="195">
        <v>3.3237599999999999E-2</v>
      </c>
      <c r="L6272" s="195">
        <v>2.5968600000000001E-2</v>
      </c>
      <c r="M6272" s="195">
        <v>2.4657200000000001E-2</v>
      </c>
      <c r="N6272" s="195">
        <v>2.27622E-2</v>
      </c>
    </row>
    <row r="6273" spans="1:14" hidden="1" x14ac:dyDescent="0.35">
      <c r="A6273" s="52" t="s">
        <v>694</v>
      </c>
      <c r="B6273" s="52" t="s">
        <v>37</v>
      </c>
      <c r="C6273" s="52" t="s">
        <v>251</v>
      </c>
      <c r="D6273" s="52" t="s">
        <v>251</v>
      </c>
      <c r="E6273" s="52" t="s">
        <v>584</v>
      </c>
      <c r="F6273" s="52" t="s">
        <v>581</v>
      </c>
      <c r="G6273" s="195" t="s">
        <v>279</v>
      </c>
      <c r="H6273" s="195">
        <v>0.50129199999999996</v>
      </c>
      <c r="I6273" s="195">
        <v>0.29552519999999999</v>
      </c>
      <c r="J6273" s="195">
        <v>0.25015799999999999</v>
      </c>
      <c r="K6273" s="195">
        <v>0.23344780000000001</v>
      </c>
      <c r="L6273" s="195">
        <v>0.23826339999999999</v>
      </c>
      <c r="M6273" s="195">
        <v>0.21782360000000001</v>
      </c>
      <c r="N6273" s="195">
        <v>0.2004302</v>
      </c>
    </row>
    <row r="6274" spans="1:14" hidden="1" x14ac:dyDescent="0.35">
      <c r="A6274" s="52" t="s">
        <v>694</v>
      </c>
      <c r="B6274" s="52" t="s">
        <v>37</v>
      </c>
      <c r="C6274" s="52" t="s">
        <v>251</v>
      </c>
      <c r="D6274" s="52" t="s">
        <v>251</v>
      </c>
      <c r="E6274" s="52" t="s">
        <v>584</v>
      </c>
      <c r="F6274" s="52" t="s">
        <v>26</v>
      </c>
      <c r="G6274" s="195" t="s">
        <v>275</v>
      </c>
      <c r="H6274" s="195">
        <v>-2.395E-3</v>
      </c>
      <c r="I6274" s="195">
        <v>-4.4722E-3</v>
      </c>
      <c r="J6274" s="195">
        <v>-2.8939999999999999E-3</v>
      </c>
      <c r="K6274" s="195">
        <v>-3.0371999999999999E-3</v>
      </c>
      <c r="L6274" s="195">
        <v>-5.1288000000000002E-3</v>
      </c>
      <c r="M6274" s="195">
        <v>-4.5079999999999999E-3</v>
      </c>
      <c r="N6274" s="195">
        <v>-4.1284E-3</v>
      </c>
    </row>
    <row r="6275" spans="1:14" hidden="1" x14ac:dyDescent="0.35">
      <c r="A6275" s="52" t="s">
        <v>694</v>
      </c>
      <c r="B6275" s="52" t="s">
        <v>37</v>
      </c>
      <c r="C6275" s="52" t="s">
        <v>251</v>
      </c>
      <c r="D6275" s="52" t="s">
        <v>251</v>
      </c>
      <c r="E6275" s="52" t="s">
        <v>584</v>
      </c>
      <c r="F6275" s="52" t="s">
        <v>26</v>
      </c>
      <c r="G6275" s="195" t="s">
        <v>276</v>
      </c>
      <c r="H6275" s="195">
        <v>-6.3699999999999998E-4</v>
      </c>
      <c r="I6275" s="195">
        <v>-1.1884E-3</v>
      </c>
      <c r="J6275" s="195">
        <v>-7.6919990000000001E-4</v>
      </c>
      <c r="K6275" s="195">
        <v>-8.072E-4</v>
      </c>
      <c r="L6275" s="195">
        <v>-1.3632E-3</v>
      </c>
      <c r="M6275" s="195">
        <v>-1.1986E-3</v>
      </c>
      <c r="N6275" s="195">
        <v>-1.0976E-3</v>
      </c>
    </row>
    <row r="6276" spans="1:14" hidden="1" x14ac:dyDescent="0.35">
      <c r="A6276" s="52" t="s">
        <v>694</v>
      </c>
      <c r="B6276" s="52" t="s">
        <v>37</v>
      </c>
      <c r="C6276" s="52" t="s">
        <v>251</v>
      </c>
      <c r="D6276" s="52" t="s">
        <v>251</v>
      </c>
      <c r="E6276" s="52" t="s">
        <v>584</v>
      </c>
      <c r="F6276" s="52" t="s">
        <v>26</v>
      </c>
      <c r="G6276" s="195" t="s">
        <v>279</v>
      </c>
      <c r="H6276" s="195">
        <v>4.1355000000000003E-2</v>
      </c>
      <c r="I6276" s="195">
        <v>3.26602E-2</v>
      </c>
      <c r="J6276" s="195">
        <v>2.86526E-2</v>
      </c>
      <c r="K6276" s="195">
        <v>2.68902E-2</v>
      </c>
      <c r="L6276" s="195">
        <v>2.7734200000000001E-2</v>
      </c>
      <c r="M6276" s="195">
        <v>2.5323999999999999E-2</v>
      </c>
      <c r="N6276" s="195">
        <v>2.3299E-2</v>
      </c>
    </row>
    <row r="6277" spans="1:14" hidden="1" x14ac:dyDescent="0.35">
      <c r="A6277" s="52" t="s">
        <v>694</v>
      </c>
      <c r="B6277" s="52" t="s">
        <v>37</v>
      </c>
      <c r="C6277" s="52" t="s">
        <v>99</v>
      </c>
      <c r="D6277" s="52" t="s">
        <v>100</v>
      </c>
      <c r="E6277" s="52" t="s">
        <v>584</v>
      </c>
      <c r="F6277" s="52" t="s">
        <v>581</v>
      </c>
      <c r="G6277" s="195" t="s">
        <v>275</v>
      </c>
      <c r="H6277" s="195">
        <v>0.512934</v>
      </c>
      <c r="I6277" s="195">
        <v>0.17898159999999999</v>
      </c>
      <c r="J6277" s="195">
        <v>0.31926719999999997</v>
      </c>
      <c r="K6277" s="195">
        <v>6.9147E-2</v>
      </c>
      <c r="L6277" s="195">
        <v>6.0036600000000002E-2</v>
      </c>
      <c r="M6277" s="195">
        <v>5.6092599999999999E-2</v>
      </c>
      <c r="N6277" s="195">
        <v>5.1708999999999998E-2</v>
      </c>
    </row>
    <row r="6278" spans="1:14" hidden="1" x14ac:dyDescent="0.35">
      <c r="A6278" s="52" t="s">
        <v>694</v>
      </c>
      <c r="B6278" s="52" t="s">
        <v>37</v>
      </c>
      <c r="C6278" s="52" t="s">
        <v>99</v>
      </c>
      <c r="D6278" s="52" t="s">
        <v>100</v>
      </c>
      <c r="E6278" s="52" t="s">
        <v>584</v>
      </c>
      <c r="F6278" s="52" t="s">
        <v>581</v>
      </c>
      <c r="G6278" s="195" t="s">
        <v>276</v>
      </c>
      <c r="H6278" s="195">
        <v>-6.7512000000000003E-2</v>
      </c>
      <c r="I6278" s="195">
        <v>-5.2963999999999997E-2</v>
      </c>
      <c r="J6278" s="195">
        <v>-0.22390080000000001</v>
      </c>
      <c r="K6278" s="195">
        <v>1.8381399999999999E-2</v>
      </c>
      <c r="L6278" s="195">
        <v>1.5959399999999999E-2</v>
      </c>
      <c r="M6278" s="195">
        <v>1.4911799999999999E-2</v>
      </c>
      <c r="N6278" s="195">
        <v>1.3746E-2</v>
      </c>
    </row>
    <row r="6279" spans="1:14" hidden="1" x14ac:dyDescent="0.35">
      <c r="A6279" s="52" t="s">
        <v>694</v>
      </c>
      <c r="B6279" s="52" t="s">
        <v>37</v>
      </c>
      <c r="C6279" s="52" t="s">
        <v>99</v>
      </c>
      <c r="D6279" s="52" t="s">
        <v>100</v>
      </c>
      <c r="E6279" s="52" t="s">
        <v>584</v>
      </c>
      <c r="F6279" s="52" t="s">
        <v>581</v>
      </c>
      <c r="G6279" s="195" t="s">
        <v>279</v>
      </c>
      <c r="H6279" s="195">
        <v>9.886499E-2</v>
      </c>
      <c r="I6279" s="195">
        <v>6.1036590000000002E-2</v>
      </c>
      <c r="J6279" s="195">
        <v>5.19248E-2</v>
      </c>
      <c r="K6279" s="195">
        <v>4.8558400000000002E-2</v>
      </c>
      <c r="L6279" s="195">
        <v>4.9734199999999999E-2</v>
      </c>
      <c r="M6279" s="195">
        <v>4.54554E-2</v>
      </c>
      <c r="N6279" s="195">
        <v>4.1823800000000001E-2</v>
      </c>
    </row>
    <row r="6280" spans="1:14" hidden="1" x14ac:dyDescent="0.35">
      <c r="A6280" s="52" t="s">
        <v>694</v>
      </c>
      <c r="B6280" s="52" t="s">
        <v>37</v>
      </c>
      <c r="C6280" s="52" t="s">
        <v>99</v>
      </c>
      <c r="D6280" s="52" t="s">
        <v>100</v>
      </c>
      <c r="E6280" s="52" t="s">
        <v>584</v>
      </c>
      <c r="F6280" s="52" t="s">
        <v>26</v>
      </c>
      <c r="G6280" s="195" t="s">
        <v>275</v>
      </c>
      <c r="H6280" s="195">
        <v>4.9813000000000003E-2</v>
      </c>
      <c r="I6280" s="195">
        <v>2.6992599999999999E-2</v>
      </c>
      <c r="J6280" s="195">
        <v>2.8418599999999999E-2</v>
      </c>
      <c r="K6280" s="195">
        <v>2.4865999999999999E-2</v>
      </c>
      <c r="L6280" s="195">
        <v>1.6380200000000001E-2</v>
      </c>
      <c r="M6280" s="195">
        <v>1.5738200000000001E-2</v>
      </c>
      <c r="N6280" s="195">
        <v>1.4567800000000001E-2</v>
      </c>
    </row>
    <row r="6281" spans="1:14" hidden="1" x14ac:dyDescent="0.35">
      <c r="A6281" s="52" t="s">
        <v>694</v>
      </c>
      <c r="B6281" s="52" t="s">
        <v>37</v>
      </c>
      <c r="C6281" s="52" t="s">
        <v>99</v>
      </c>
      <c r="D6281" s="52" t="s">
        <v>100</v>
      </c>
      <c r="E6281" s="52" t="s">
        <v>584</v>
      </c>
      <c r="F6281" s="52" t="s">
        <v>26</v>
      </c>
      <c r="G6281" s="195" t="s">
        <v>276</v>
      </c>
      <c r="H6281" s="195">
        <v>1.3240999999999999E-2</v>
      </c>
      <c r="I6281" s="195">
        <v>7.1745999999999997E-3</v>
      </c>
      <c r="J6281" s="195">
        <v>7.5538000000000003E-3</v>
      </c>
      <c r="K6281" s="195">
        <v>6.6106000000000003E-3</v>
      </c>
      <c r="L6281" s="195">
        <v>4.3546000000000001E-3</v>
      </c>
      <c r="M6281" s="195">
        <v>4.1837999999999997E-3</v>
      </c>
      <c r="N6281" s="195">
        <v>3.8725999999999999E-3</v>
      </c>
    </row>
    <row r="6282" spans="1:14" hidden="1" x14ac:dyDescent="0.35">
      <c r="A6282" s="52" t="s">
        <v>694</v>
      </c>
      <c r="B6282" s="52" t="s">
        <v>37</v>
      </c>
      <c r="C6282" s="52" t="s">
        <v>99</v>
      </c>
      <c r="D6282" s="52" t="s">
        <v>100</v>
      </c>
      <c r="E6282" s="52" t="s">
        <v>584</v>
      </c>
      <c r="F6282" s="52" t="s">
        <v>26</v>
      </c>
      <c r="G6282" s="195" t="s">
        <v>279</v>
      </c>
      <c r="H6282" s="195">
        <v>0.114054</v>
      </c>
      <c r="I6282" s="195">
        <v>9.0629000000000001E-2</v>
      </c>
      <c r="J6282" s="195">
        <v>7.9528000000000001E-2</v>
      </c>
      <c r="K6282" s="195">
        <v>7.5042800000000007E-2</v>
      </c>
      <c r="L6282" s="195">
        <v>7.7446399999999999E-2</v>
      </c>
      <c r="M6282" s="195">
        <v>7.0754999999999998E-2</v>
      </c>
      <c r="N6282" s="195">
        <v>6.5095799999999995E-2</v>
      </c>
    </row>
    <row r="6283" spans="1:14" hidden="1" x14ac:dyDescent="0.35">
      <c r="A6283" s="52" t="s">
        <v>694</v>
      </c>
      <c r="B6283" s="52" t="s">
        <v>37</v>
      </c>
      <c r="C6283" s="52" t="s">
        <v>99</v>
      </c>
      <c r="D6283" s="52" t="s">
        <v>101</v>
      </c>
      <c r="E6283" s="52" t="s">
        <v>584</v>
      </c>
      <c r="F6283" s="52" t="s">
        <v>581</v>
      </c>
      <c r="G6283" s="195" t="s">
        <v>275</v>
      </c>
      <c r="H6283" s="195">
        <v>3.3177999999999999E-2</v>
      </c>
      <c r="I6283" s="195">
        <v>-8.0979990000000003E-4</v>
      </c>
      <c r="J6283" s="195">
        <v>-2.5934E-3</v>
      </c>
      <c r="K6283" s="195">
        <v>-2.6465999999999998E-3</v>
      </c>
      <c r="L6283" s="195">
        <v>-4.9902009999999997E-3</v>
      </c>
      <c r="M6283" s="195">
        <v>-4.2973999999999998E-3</v>
      </c>
      <c r="N6283" s="195">
        <v>-3.9340010000000003E-3</v>
      </c>
    </row>
    <row r="6284" spans="1:14" hidden="1" x14ac:dyDescent="0.35">
      <c r="A6284" s="52" t="s">
        <v>694</v>
      </c>
      <c r="B6284" s="52" t="s">
        <v>37</v>
      </c>
      <c r="C6284" s="52" t="s">
        <v>99</v>
      </c>
      <c r="D6284" s="52" t="s">
        <v>101</v>
      </c>
      <c r="E6284" s="52" t="s">
        <v>584</v>
      </c>
      <c r="F6284" s="52" t="s">
        <v>581</v>
      </c>
      <c r="G6284" s="195" t="s">
        <v>276</v>
      </c>
      <c r="H6284" s="195">
        <v>8.8190000000000004E-3</v>
      </c>
      <c r="I6284" s="195">
        <v>-2.1599999999999999E-4</v>
      </c>
      <c r="J6284" s="195">
        <v>-6.8880000000000005E-4</v>
      </c>
      <c r="K6284" s="195">
        <v>-7.0379999999999998E-4</v>
      </c>
      <c r="L6284" s="195">
        <v>-1.3263999999999999E-3</v>
      </c>
      <c r="M6284" s="195">
        <v>-1.1421999999999999E-3</v>
      </c>
      <c r="N6284" s="195">
        <v>-1.0468000000000001E-3</v>
      </c>
    </row>
    <row r="6285" spans="1:14" hidden="1" x14ac:dyDescent="0.35">
      <c r="A6285" s="52" t="s">
        <v>694</v>
      </c>
      <c r="B6285" s="52" t="s">
        <v>37</v>
      </c>
      <c r="C6285" s="52" t="s">
        <v>99</v>
      </c>
      <c r="D6285" s="52" t="s">
        <v>101</v>
      </c>
      <c r="E6285" s="52" t="s">
        <v>584</v>
      </c>
      <c r="F6285" s="52" t="s">
        <v>581</v>
      </c>
      <c r="G6285" s="195" t="s">
        <v>279</v>
      </c>
      <c r="H6285" s="195">
        <v>4.3866000000000002E-2</v>
      </c>
      <c r="I6285" s="195">
        <v>3.2838199999999998E-2</v>
      </c>
      <c r="J6285" s="195">
        <v>2.8333000000000001E-2</v>
      </c>
      <c r="K6285" s="195">
        <v>2.64964E-2</v>
      </c>
      <c r="L6285" s="195">
        <v>2.7699600000000001E-2</v>
      </c>
      <c r="M6285" s="195">
        <v>2.52474E-2</v>
      </c>
      <c r="N6285" s="195">
        <v>2.3223799999999999E-2</v>
      </c>
    </row>
    <row r="6286" spans="1:14" hidden="1" x14ac:dyDescent="0.35">
      <c r="A6286" s="52" t="s">
        <v>694</v>
      </c>
      <c r="B6286" s="52" t="s">
        <v>37</v>
      </c>
      <c r="C6286" s="52" t="s">
        <v>99</v>
      </c>
      <c r="D6286" s="52" t="s">
        <v>101</v>
      </c>
      <c r="E6286" s="52" t="s">
        <v>584</v>
      </c>
      <c r="F6286" s="52" t="s">
        <v>26</v>
      </c>
      <c r="G6286" s="195" t="s">
        <v>275</v>
      </c>
      <c r="H6286" s="195">
        <v>9.7999999999999997E-4</v>
      </c>
      <c r="I6286" s="195">
        <v>-4.8611599999999998E-2</v>
      </c>
      <c r="J6286" s="195">
        <v>-3.6868999999999999E-2</v>
      </c>
      <c r="K6286" s="195">
        <v>-3.62286E-2</v>
      </c>
      <c r="L6286" s="195">
        <v>-4.8526600000000003E-2</v>
      </c>
      <c r="M6286" s="195">
        <v>-4.3307400000000003E-2</v>
      </c>
      <c r="N6286" s="195">
        <v>-3.9739400000000001E-2</v>
      </c>
    </row>
    <row r="6287" spans="1:14" hidden="1" x14ac:dyDescent="0.35">
      <c r="A6287" s="52" t="s">
        <v>694</v>
      </c>
      <c r="B6287" s="52" t="s">
        <v>37</v>
      </c>
      <c r="C6287" s="52" t="s">
        <v>99</v>
      </c>
      <c r="D6287" s="52" t="s">
        <v>101</v>
      </c>
      <c r="E6287" s="52" t="s">
        <v>584</v>
      </c>
      <c r="F6287" s="52" t="s">
        <v>26</v>
      </c>
      <c r="G6287" s="195" t="s">
        <v>276</v>
      </c>
      <c r="H6287" s="195">
        <v>-5.6085999999999997E-2</v>
      </c>
      <c r="I6287" s="195">
        <v>-1.2922400000000001E-2</v>
      </c>
      <c r="J6287" s="195">
        <v>-9.8011999999999995E-3</v>
      </c>
      <c r="K6287" s="195">
        <v>-9.6304000000000008E-3</v>
      </c>
      <c r="L6287" s="195">
        <v>-1.2899000000000001E-2</v>
      </c>
      <c r="M6287" s="195">
        <v>-1.1511800000000001E-2</v>
      </c>
      <c r="N6287" s="195">
        <v>-1.05638E-2</v>
      </c>
    </row>
    <row r="6288" spans="1:14" hidden="1" x14ac:dyDescent="0.35">
      <c r="A6288" s="52" t="s">
        <v>694</v>
      </c>
      <c r="B6288" s="52" t="s">
        <v>37</v>
      </c>
      <c r="C6288" s="52" t="s">
        <v>99</v>
      </c>
      <c r="D6288" s="52" t="s">
        <v>101</v>
      </c>
      <c r="E6288" s="52" t="s">
        <v>584</v>
      </c>
      <c r="F6288" s="52" t="s">
        <v>26</v>
      </c>
      <c r="G6288" s="195" t="s">
        <v>279</v>
      </c>
      <c r="H6288" s="195">
        <v>0.241344</v>
      </c>
      <c r="I6288" s="195">
        <v>0.1927634</v>
      </c>
      <c r="J6288" s="195">
        <v>0.16812179999999999</v>
      </c>
      <c r="K6288" s="195">
        <v>0.15786800000000001</v>
      </c>
      <c r="L6288" s="195">
        <v>0.1646668</v>
      </c>
      <c r="M6288" s="195">
        <v>0.15017220000000001</v>
      </c>
      <c r="N6288" s="195">
        <v>0.13814679999999999</v>
      </c>
    </row>
    <row r="6289" spans="1:14" hidden="1" x14ac:dyDescent="0.35">
      <c r="A6289" s="52" t="s">
        <v>694</v>
      </c>
      <c r="B6289" s="52" t="s">
        <v>37</v>
      </c>
      <c r="C6289" s="52" t="s">
        <v>79</v>
      </c>
      <c r="D6289" s="52" t="s">
        <v>79</v>
      </c>
      <c r="E6289" s="52" t="s">
        <v>584</v>
      </c>
      <c r="F6289" s="52" t="s">
        <v>581</v>
      </c>
      <c r="G6289" s="195" t="s">
        <v>275</v>
      </c>
      <c r="H6289" s="195">
        <v>0.499027</v>
      </c>
      <c r="I6289" s="195">
        <v>0.18676019999999999</v>
      </c>
      <c r="J6289" s="195">
        <v>0.40266279999999999</v>
      </c>
      <c r="K6289" s="195">
        <v>5.6678399999999997E-2</v>
      </c>
      <c r="L6289" s="195">
        <v>4.7033400000000003E-2</v>
      </c>
      <c r="M6289" s="195">
        <v>4.4154390000000002E-2</v>
      </c>
      <c r="N6289" s="195">
        <v>4.0658399999999997E-2</v>
      </c>
    </row>
    <row r="6290" spans="1:14" hidden="1" x14ac:dyDescent="0.35">
      <c r="A6290" s="52" t="s">
        <v>694</v>
      </c>
      <c r="B6290" s="52" t="s">
        <v>37</v>
      </c>
      <c r="C6290" s="52" t="s">
        <v>79</v>
      </c>
      <c r="D6290" s="52" t="s">
        <v>79</v>
      </c>
      <c r="E6290" s="52" t="s">
        <v>584</v>
      </c>
      <c r="F6290" s="52" t="s">
        <v>581</v>
      </c>
      <c r="G6290" s="195" t="s">
        <v>276</v>
      </c>
      <c r="H6290" s="195">
        <v>-9.4265000000000002E-2</v>
      </c>
      <c r="I6290" s="195">
        <v>-8.1478599999999998E-2</v>
      </c>
      <c r="J6290" s="195">
        <v>-0.32406580000000001</v>
      </c>
      <c r="K6290" s="195">
        <v>1.5066599999999999E-2</v>
      </c>
      <c r="L6290" s="195">
        <v>1.25024E-2</v>
      </c>
      <c r="M6290" s="195">
        <v>1.17366E-2</v>
      </c>
      <c r="N6290" s="195">
        <v>1.0807799999999999E-2</v>
      </c>
    </row>
    <row r="6291" spans="1:14" hidden="1" x14ac:dyDescent="0.35">
      <c r="A6291" s="52" t="s">
        <v>694</v>
      </c>
      <c r="B6291" s="52" t="s">
        <v>37</v>
      </c>
      <c r="C6291" s="52" t="s">
        <v>79</v>
      </c>
      <c r="D6291" s="52" t="s">
        <v>79</v>
      </c>
      <c r="E6291" s="52" t="s">
        <v>584</v>
      </c>
      <c r="F6291" s="52" t="s">
        <v>581</v>
      </c>
      <c r="G6291" s="195" t="s">
        <v>279</v>
      </c>
      <c r="H6291" s="195">
        <v>0.125807</v>
      </c>
      <c r="I6291" s="195">
        <v>8.03006E-2</v>
      </c>
      <c r="J6291" s="195">
        <v>6.8501000000000006E-2</v>
      </c>
      <c r="K6291" s="195">
        <v>6.4027799999999996E-2</v>
      </c>
      <c r="L6291" s="195">
        <v>6.5791989999999995E-2</v>
      </c>
      <c r="M6291" s="195">
        <v>6.0090009999999999E-2</v>
      </c>
      <c r="N6291" s="195">
        <v>5.5281999999999998E-2</v>
      </c>
    </row>
    <row r="6292" spans="1:14" hidden="1" x14ac:dyDescent="0.35">
      <c r="A6292" s="52" t="s">
        <v>694</v>
      </c>
      <c r="B6292" s="52" t="s">
        <v>37</v>
      </c>
      <c r="C6292" s="52" t="s">
        <v>79</v>
      </c>
      <c r="D6292" s="52" t="s">
        <v>79</v>
      </c>
      <c r="E6292" s="52" t="s">
        <v>584</v>
      </c>
      <c r="F6292" s="52" t="s">
        <v>26</v>
      </c>
      <c r="G6292" s="195" t="s">
        <v>275</v>
      </c>
      <c r="H6292" s="195">
        <v>2.5526E-2</v>
      </c>
      <c r="I6292" s="195">
        <v>2.3203999999999998E-3</v>
      </c>
      <c r="J6292" s="195">
        <v>8.9043999999999998E-3</v>
      </c>
      <c r="K6292" s="195">
        <v>5.8060000000000004E-3</v>
      </c>
      <c r="L6292" s="195">
        <v>-7.4272009999999996E-3</v>
      </c>
      <c r="M6292" s="195">
        <v>-5.6417999999999998E-3</v>
      </c>
      <c r="N6292" s="195">
        <v>-5.0635999999999997E-3</v>
      </c>
    </row>
    <row r="6293" spans="1:14" hidden="1" x14ac:dyDescent="0.35">
      <c r="A6293" s="52" t="s">
        <v>694</v>
      </c>
      <c r="B6293" s="52" t="s">
        <v>37</v>
      </c>
      <c r="C6293" s="52" t="s">
        <v>79</v>
      </c>
      <c r="D6293" s="52" t="s">
        <v>79</v>
      </c>
      <c r="E6293" s="52" t="s">
        <v>584</v>
      </c>
      <c r="F6293" s="52" t="s">
        <v>26</v>
      </c>
      <c r="G6293" s="195" t="s">
        <v>276</v>
      </c>
      <c r="H6293" s="195">
        <v>6.7850009999999997E-3</v>
      </c>
      <c r="I6293" s="195">
        <v>6.1620000000000002E-4</v>
      </c>
      <c r="J6293" s="195">
        <v>2.3663999999999998E-3</v>
      </c>
      <c r="K6293" s="195">
        <v>1.5432E-3</v>
      </c>
      <c r="L6293" s="195">
        <v>-1.9740000000000001E-3</v>
      </c>
      <c r="M6293" s="195">
        <v>-1.4997999999999999E-3</v>
      </c>
      <c r="N6293" s="195">
        <v>-1.3458000000000001E-3</v>
      </c>
    </row>
    <row r="6294" spans="1:14" hidden="1" x14ac:dyDescent="0.35">
      <c r="A6294" s="52" t="s">
        <v>694</v>
      </c>
      <c r="B6294" s="52" t="s">
        <v>37</v>
      </c>
      <c r="C6294" s="52" t="s">
        <v>79</v>
      </c>
      <c r="D6294" s="52" t="s">
        <v>79</v>
      </c>
      <c r="E6294" s="52" t="s">
        <v>584</v>
      </c>
      <c r="F6294" s="52" t="s">
        <v>26</v>
      </c>
      <c r="G6294" s="195" t="s">
        <v>279</v>
      </c>
      <c r="H6294" s="195">
        <v>0.230013</v>
      </c>
      <c r="I6294" s="195">
        <v>0.1816962</v>
      </c>
      <c r="J6294" s="195">
        <v>0.1595184</v>
      </c>
      <c r="K6294" s="195">
        <v>0.15014440000000001</v>
      </c>
      <c r="L6294" s="195">
        <v>0.15456619999999999</v>
      </c>
      <c r="M6294" s="195">
        <v>0.1412148</v>
      </c>
      <c r="N6294" s="195">
        <v>0.12992219999999999</v>
      </c>
    </row>
    <row r="6295" spans="1:14" hidden="1" x14ac:dyDescent="0.35">
      <c r="A6295" s="52" t="s">
        <v>694</v>
      </c>
      <c r="B6295" s="52" t="s">
        <v>37</v>
      </c>
      <c r="C6295" s="52" t="s">
        <v>54</v>
      </c>
      <c r="D6295" s="52" t="s">
        <v>54</v>
      </c>
      <c r="E6295" s="52" t="s">
        <v>584</v>
      </c>
      <c r="F6295" s="52" t="s">
        <v>581</v>
      </c>
      <c r="G6295" s="195" t="s">
        <v>275</v>
      </c>
      <c r="H6295" s="195">
        <v>0.25329000000000002</v>
      </c>
      <c r="I6295" s="195">
        <v>6.6635600000000003E-2</v>
      </c>
      <c r="J6295" s="195">
        <v>5.0114199999999998E-2</v>
      </c>
      <c r="K6295" s="195">
        <v>4.5956200000000003E-2</v>
      </c>
      <c r="L6295" s="195">
        <v>3.9469799999999999E-2</v>
      </c>
      <c r="M6295" s="195">
        <v>3.6936400000000001E-2</v>
      </c>
      <c r="N6295" s="195">
        <v>3.4053E-2</v>
      </c>
    </row>
    <row r="6296" spans="1:14" hidden="1" x14ac:dyDescent="0.35">
      <c r="A6296" s="52" t="s">
        <v>694</v>
      </c>
      <c r="B6296" s="52" t="s">
        <v>37</v>
      </c>
      <c r="C6296" s="52" t="s">
        <v>54</v>
      </c>
      <c r="D6296" s="52" t="s">
        <v>54</v>
      </c>
      <c r="E6296" s="52" t="s">
        <v>584</v>
      </c>
      <c r="F6296" s="52" t="s">
        <v>581</v>
      </c>
      <c r="G6296" s="195" t="s">
        <v>276</v>
      </c>
      <c r="H6296" s="195">
        <v>5.2984000000000003E-2</v>
      </c>
      <c r="I6296" s="195">
        <v>1.7713199999999998E-2</v>
      </c>
      <c r="J6296" s="195">
        <v>1.33212E-2</v>
      </c>
      <c r="K6296" s="195">
        <v>1.2217199999999999E-2</v>
      </c>
      <c r="L6296" s="195">
        <v>1.04916E-2</v>
      </c>
      <c r="M6296" s="195">
        <v>9.8181999999999992E-3</v>
      </c>
      <c r="N6296" s="195">
        <v>9.0521990000000004E-3</v>
      </c>
    </row>
    <row r="6297" spans="1:14" hidden="1" x14ac:dyDescent="0.35">
      <c r="A6297" s="52" t="s">
        <v>694</v>
      </c>
      <c r="B6297" s="52" t="s">
        <v>37</v>
      </c>
      <c r="C6297" s="52" t="s">
        <v>54</v>
      </c>
      <c r="D6297" s="52" t="s">
        <v>54</v>
      </c>
      <c r="E6297" s="52" t="s">
        <v>584</v>
      </c>
      <c r="F6297" s="52" t="s">
        <v>581</v>
      </c>
      <c r="G6297" s="195" t="s">
        <v>279</v>
      </c>
      <c r="H6297" s="195">
        <v>8.5472000000000006E-2</v>
      </c>
      <c r="I6297" s="195">
        <v>5.0425600000000001E-2</v>
      </c>
      <c r="J6297" s="195">
        <v>4.2687799999999998E-2</v>
      </c>
      <c r="K6297" s="195">
        <v>3.9878799999999999E-2</v>
      </c>
      <c r="L6297" s="195">
        <v>4.0628200000000003E-2</v>
      </c>
      <c r="M6297" s="195">
        <v>3.7152400000000002E-2</v>
      </c>
      <c r="N6297" s="195">
        <v>3.4185800000000002E-2</v>
      </c>
    </row>
    <row r="6298" spans="1:14" hidden="1" x14ac:dyDescent="0.35">
      <c r="A6298" s="52" t="s">
        <v>694</v>
      </c>
      <c r="B6298" s="52" t="s">
        <v>37</v>
      </c>
      <c r="C6298" s="52" t="s">
        <v>54</v>
      </c>
      <c r="D6298" s="52" t="s">
        <v>54</v>
      </c>
      <c r="E6298" s="52" t="s">
        <v>584</v>
      </c>
      <c r="F6298" s="52" t="s">
        <v>26</v>
      </c>
      <c r="G6298" s="195" t="s">
        <v>275</v>
      </c>
      <c r="H6298" s="195">
        <v>8.3976010000000004E-2</v>
      </c>
      <c r="I6298" s="195">
        <v>6.1685200000000003E-2</v>
      </c>
      <c r="J6298" s="195">
        <v>0.12574560000000001</v>
      </c>
      <c r="K6298" s="195">
        <v>1.5996400000000001E-2</v>
      </c>
      <c r="L6298" s="195">
        <v>8.1271999999999994E-3</v>
      </c>
      <c r="M6298" s="195">
        <v>8.1308000000000005E-3</v>
      </c>
      <c r="N6298" s="195">
        <v>7.5599999999999999E-3</v>
      </c>
    </row>
    <row r="6299" spans="1:14" hidden="1" x14ac:dyDescent="0.35">
      <c r="A6299" s="52" t="s">
        <v>694</v>
      </c>
      <c r="B6299" s="52" t="s">
        <v>37</v>
      </c>
      <c r="C6299" s="52" t="s">
        <v>54</v>
      </c>
      <c r="D6299" s="52" t="s">
        <v>54</v>
      </c>
      <c r="E6299" s="52" t="s">
        <v>584</v>
      </c>
      <c r="F6299" s="52" t="s">
        <v>26</v>
      </c>
      <c r="G6299" s="195" t="s">
        <v>276</v>
      </c>
      <c r="H6299" s="195">
        <v>-3.9710009999999997E-2</v>
      </c>
      <c r="I6299" s="195">
        <v>-4.0808999999999998E-2</v>
      </c>
      <c r="J6299" s="195">
        <v>-0.10200620000000001</v>
      </c>
      <c r="K6299" s="195">
        <v>4.2523999999999999E-3</v>
      </c>
      <c r="L6299" s="195">
        <v>2.1611999999999998E-3</v>
      </c>
      <c r="M6299" s="195">
        <v>2.1616000000000001E-3</v>
      </c>
      <c r="N6299" s="195">
        <v>2.0095999999999998E-3</v>
      </c>
    </row>
    <row r="6300" spans="1:14" hidden="1" x14ac:dyDescent="0.35">
      <c r="A6300" s="52" t="s">
        <v>694</v>
      </c>
      <c r="B6300" s="52" t="s">
        <v>37</v>
      </c>
      <c r="C6300" s="52" t="s">
        <v>54</v>
      </c>
      <c r="D6300" s="52" t="s">
        <v>54</v>
      </c>
      <c r="E6300" s="52" t="s">
        <v>584</v>
      </c>
      <c r="F6300" s="52" t="s">
        <v>26</v>
      </c>
      <c r="G6300" s="195" t="s">
        <v>279</v>
      </c>
      <c r="H6300" s="195">
        <v>0.124891</v>
      </c>
      <c r="I6300" s="195">
        <v>9.8313999999999999E-2</v>
      </c>
      <c r="J6300" s="195">
        <v>8.65702E-2</v>
      </c>
      <c r="K6300" s="195">
        <v>8.1482600000000002E-2</v>
      </c>
      <c r="L6300" s="195">
        <v>8.3482799999999996E-2</v>
      </c>
      <c r="M6300" s="195">
        <v>7.6311390000000007E-2</v>
      </c>
      <c r="N6300" s="195">
        <v>7.0213999999999999E-2</v>
      </c>
    </row>
    <row r="6301" spans="1:14" hidden="1" x14ac:dyDescent="0.35">
      <c r="A6301" s="52" t="s">
        <v>694</v>
      </c>
      <c r="B6301" s="52" t="s">
        <v>37</v>
      </c>
      <c r="C6301" s="52" t="s">
        <v>118</v>
      </c>
      <c r="D6301" s="52" t="s">
        <v>118</v>
      </c>
      <c r="E6301" s="52" t="s">
        <v>584</v>
      </c>
      <c r="F6301" s="52" t="s">
        <v>581</v>
      </c>
      <c r="G6301" s="195" t="s">
        <v>275</v>
      </c>
      <c r="H6301" s="195">
        <v>0.23377999999999999</v>
      </c>
      <c r="I6301" s="195">
        <v>8.8148210000000005E-2</v>
      </c>
      <c r="J6301" s="195">
        <v>0.15861259999999999</v>
      </c>
      <c r="K6301" s="195">
        <v>2.5388000000000001E-2</v>
      </c>
      <c r="L6301" s="195">
        <v>2.1669000000000001E-2</v>
      </c>
      <c r="M6301" s="195">
        <v>2.0296000000000002E-2</v>
      </c>
      <c r="N6301" s="195">
        <v>1.8714399999999999E-2</v>
      </c>
    </row>
    <row r="6302" spans="1:14" hidden="1" x14ac:dyDescent="0.35">
      <c r="A6302" s="52" t="s">
        <v>694</v>
      </c>
      <c r="B6302" s="52" t="s">
        <v>37</v>
      </c>
      <c r="C6302" s="52" t="s">
        <v>118</v>
      </c>
      <c r="D6302" s="52" t="s">
        <v>118</v>
      </c>
      <c r="E6302" s="52" t="s">
        <v>584</v>
      </c>
      <c r="F6302" s="52" t="s">
        <v>581</v>
      </c>
      <c r="G6302" s="195" t="s">
        <v>276</v>
      </c>
      <c r="H6302" s="195">
        <v>-6.1078E-2</v>
      </c>
      <c r="I6302" s="195">
        <v>-4.1343199999999997E-2</v>
      </c>
      <c r="J6302" s="195">
        <v>-0.12354420000000001</v>
      </c>
      <c r="K6302" s="195">
        <v>6.7486000000000004E-3</v>
      </c>
      <c r="L6302" s="195">
        <v>5.7603999999999997E-3</v>
      </c>
      <c r="M6302" s="195">
        <v>5.3959999999999998E-3</v>
      </c>
      <c r="N6302" s="195">
        <v>4.9753999999999996E-3</v>
      </c>
    </row>
    <row r="6303" spans="1:14" hidden="1" x14ac:dyDescent="0.35">
      <c r="A6303" s="52" t="s">
        <v>694</v>
      </c>
      <c r="B6303" s="52" t="s">
        <v>37</v>
      </c>
      <c r="C6303" s="52" t="s">
        <v>118</v>
      </c>
      <c r="D6303" s="52" t="s">
        <v>118</v>
      </c>
      <c r="E6303" s="52" t="s">
        <v>584</v>
      </c>
      <c r="F6303" s="52" t="s">
        <v>581</v>
      </c>
      <c r="G6303" s="195" t="s">
        <v>279</v>
      </c>
      <c r="H6303" s="195">
        <v>6.1636999999999997E-2</v>
      </c>
      <c r="I6303" s="195">
        <v>3.3735599999999998E-2</v>
      </c>
      <c r="J6303" s="195">
        <v>2.83512E-2</v>
      </c>
      <c r="K6303" s="195">
        <v>2.6457600000000001E-2</v>
      </c>
      <c r="L6303" s="195">
        <v>2.6707000000000002E-2</v>
      </c>
      <c r="M6303" s="195">
        <v>2.4454799999999999E-2</v>
      </c>
      <c r="N6303" s="195">
        <v>2.2502399999999999E-2</v>
      </c>
    </row>
    <row r="6304" spans="1:14" hidden="1" x14ac:dyDescent="0.35">
      <c r="A6304" s="52" t="s">
        <v>694</v>
      </c>
      <c r="B6304" s="52" t="s">
        <v>37</v>
      </c>
      <c r="C6304" s="52" t="s">
        <v>118</v>
      </c>
      <c r="D6304" s="52" t="s">
        <v>118</v>
      </c>
      <c r="E6304" s="52" t="s">
        <v>584</v>
      </c>
      <c r="F6304" s="52" t="s">
        <v>26</v>
      </c>
      <c r="G6304" s="195" t="s">
        <v>275</v>
      </c>
      <c r="H6304" s="195">
        <v>1.2906000000000001E-2</v>
      </c>
      <c r="I6304" s="195">
        <v>5.9395999999999997E-3</v>
      </c>
      <c r="J6304" s="195">
        <v>6.8475999999999997E-3</v>
      </c>
      <c r="K6304" s="195">
        <v>5.8116000000000001E-3</v>
      </c>
      <c r="L6304" s="195">
        <v>2.7954E-3</v>
      </c>
      <c r="M6304" s="195">
        <v>2.8240000000000001E-3</v>
      </c>
      <c r="N6304" s="195">
        <v>2.6280000000000001E-3</v>
      </c>
    </row>
    <row r="6305" spans="1:14" hidden="1" x14ac:dyDescent="0.35">
      <c r="A6305" s="52" t="s">
        <v>694</v>
      </c>
      <c r="B6305" s="52" t="s">
        <v>37</v>
      </c>
      <c r="C6305" s="52" t="s">
        <v>118</v>
      </c>
      <c r="D6305" s="52" t="s">
        <v>118</v>
      </c>
      <c r="E6305" s="52" t="s">
        <v>584</v>
      </c>
      <c r="F6305" s="52" t="s">
        <v>26</v>
      </c>
      <c r="G6305" s="195" t="s">
        <v>276</v>
      </c>
      <c r="H6305" s="195">
        <v>3.431E-3</v>
      </c>
      <c r="I6305" s="195">
        <v>1.5790000000000001E-3</v>
      </c>
      <c r="J6305" s="195">
        <v>1.8201999999999999E-3</v>
      </c>
      <c r="K6305" s="195">
        <v>1.5449999999999999E-3</v>
      </c>
      <c r="L6305" s="195">
        <v>7.4299999999999995E-4</v>
      </c>
      <c r="M6305" s="195">
        <v>7.5020000000000002E-4</v>
      </c>
      <c r="N6305" s="195">
        <v>6.9859999999999996E-4</v>
      </c>
    </row>
    <row r="6306" spans="1:14" hidden="1" x14ac:dyDescent="0.35">
      <c r="A6306" s="52" t="s">
        <v>694</v>
      </c>
      <c r="B6306" s="52" t="s">
        <v>37</v>
      </c>
      <c r="C6306" s="52" t="s">
        <v>118</v>
      </c>
      <c r="D6306" s="52" t="s">
        <v>118</v>
      </c>
      <c r="E6306" s="52" t="s">
        <v>584</v>
      </c>
      <c r="F6306" s="52" t="s">
        <v>26</v>
      </c>
      <c r="G6306" s="195" t="s">
        <v>279</v>
      </c>
      <c r="H6306" s="195">
        <v>5.0071999999999998E-2</v>
      </c>
      <c r="I6306" s="195">
        <v>3.9276400000000003E-2</v>
      </c>
      <c r="J6306" s="195">
        <v>3.4639000000000003E-2</v>
      </c>
      <c r="K6306" s="195">
        <v>3.2583000000000001E-2</v>
      </c>
      <c r="L6306" s="195">
        <v>3.3276199999999999E-2</v>
      </c>
      <c r="M6306" s="195">
        <v>3.0426399999999999E-2</v>
      </c>
      <c r="N6306" s="195">
        <v>2.7996E-2</v>
      </c>
    </row>
    <row r="6307" spans="1:14" hidden="1" x14ac:dyDescent="0.35">
      <c r="A6307" s="52" t="s">
        <v>694</v>
      </c>
      <c r="B6307" s="52" t="s">
        <v>37</v>
      </c>
      <c r="C6307" s="52" t="s">
        <v>118</v>
      </c>
      <c r="D6307" s="52" t="s">
        <v>118</v>
      </c>
      <c r="E6307" s="52" t="s">
        <v>695</v>
      </c>
      <c r="F6307" s="52" t="s">
        <v>581</v>
      </c>
      <c r="G6307" s="195" t="s">
        <v>275</v>
      </c>
      <c r="H6307" s="195">
        <v>-4.3010000000000001E-3</v>
      </c>
      <c r="I6307" s="195">
        <v>-5.1669999999999997E-3</v>
      </c>
      <c r="J6307" s="195">
        <v>-5.0365999999999996E-3</v>
      </c>
      <c r="K6307" s="195">
        <v>-4.9091999999999998E-3</v>
      </c>
      <c r="L6307" s="195">
        <v>-4.8728E-3</v>
      </c>
      <c r="M6307" s="195">
        <v>-2.7498000000000002E-3</v>
      </c>
      <c r="N6307" s="195">
        <v>-1.5666E-3</v>
      </c>
    </row>
    <row r="6308" spans="1:14" hidden="1" x14ac:dyDescent="0.35">
      <c r="A6308" s="52" t="s">
        <v>694</v>
      </c>
      <c r="B6308" s="52" t="s">
        <v>37</v>
      </c>
      <c r="C6308" s="52" t="s">
        <v>118</v>
      </c>
      <c r="D6308" s="52" t="s">
        <v>118</v>
      </c>
      <c r="E6308" s="52" t="s">
        <v>695</v>
      </c>
      <c r="F6308" s="52" t="s">
        <v>581</v>
      </c>
      <c r="G6308" s="195" t="s">
        <v>276</v>
      </c>
      <c r="H6308" s="195">
        <v>-1.1429999999999999E-3</v>
      </c>
      <c r="I6308" s="195">
        <v>-1.3744E-3</v>
      </c>
      <c r="J6308" s="195">
        <v>-1.3381999999999999E-3</v>
      </c>
      <c r="K6308" s="195">
        <v>-1.3052000000000001E-3</v>
      </c>
      <c r="L6308" s="195">
        <v>-1.2945999999999999E-3</v>
      </c>
      <c r="M6308" s="195">
        <v>-7.3239989999999999E-4</v>
      </c>
      <c r="N6308" s="195">
        <v>-4.1740000000000001E-4</v>
      </c>
    </row>
    <row r="6309" spans="1:14" hidden="1" x14ac:dyDescent="0.35">
      <c r="A6309" s="52" t="s">
        <v>694</v>
      </c>
      <c r="B6309" s="52" t="s">
        <v>37</v>
      </c>
      <c r="C6309" s="52" t="s">
        <v>118</v>
      </c>
      <c r="D6309" s="52" t="s">
        <v>118</v>
      </c>
      <c r="E6309" s="52" t="s">
        <v>695</v>
      </c>
      <c r="F6309" s="52" t="s">
        <v>581</v>
      </c>
      <c r="G6309" s="195" t="s">
        <v>279</v>
      </c>
      <c r="H6309" s="195">
        <v>7.5709999999999996E-3</v>
      </c>
      <c r="I6309" s="195">
        <v>7.5810000000000001E-3</v>
      </c>
      <c r="J6309" s="195">
        <v>8.0508000000000003E-3</v>
      </c>
      <c r="K6309" s="195">
        <v>8.4036000000000007E-3</v>
      </c>
      <c r="L6309" s="195">
        <v>9.1859999999999997E-3</v>
      </c>
      <c r="M6309" s="195">
        <v>6.0661999999999999E-3</v>
      </c>
      <c r="N6309" s="195">
        <v>3.9658000000000002E-3</v>
      </c>
    </row>
    <row r="6310" spans="1:14" hidden="1" x14ac:dyDescent="0.35">
      <c r="A6310" s="52" t="s">
        <v>694</v>
      </c>
      <c r="B6310" s="52" t="s">
        <v>37</v>
      </c>
      <c r="C6310" s="52" t="s">
        <v>118</v>
      </c>
      <c r="D6310" s="52" t="s">
        <v>118</v>
      </c>
      <c r="E6310" s="52" t="s">
        <v>695</v>
      </c>
      <c r="F6310" s="52" t="s">
        <v>26</v>
      </c>
      <c r="G6310" s="195" t="s">
        <v>275</v>
      </c>
      <c r="H6310" s="195">
        <v>-0.26122800000000002</v>
      </c>
      <c r="I6310" s="195">
        <v>-0.29668739999999999</v>
      </c>
      <c r="J6310" s="195">
        <v>-6.1233999999999997E-2</v>
      </c>
      <c r="K6310" s="195">
        <v>-0.20781379999999999</v>
      </c>
      <c r="L6310" s="195">
        <v>-0.34338259999999998</v>
      </c>
      <c r="M6310" s="195">
        <v>3.03854E-2</v>
      </c>
      <c r="N6310" s="195">
        <v>1.5203599999999999E-2</v>
      </c>
    </row>
    <row r="6311" spans="1:14" hidden="1" x14ac:dyDescent="0.35">
      <c r="A6311" s="52" t="s">
        <v>694</v>
      </c>
      <c r="B6311" s="52" t="s">
        <v>37</v>
      </c>
      <c r="C6311" s="52" t="s">
        <v>118</v>
      </c>
      <c r="D6311" s="52" t="s">
        <v>118</v>
      </c>
      <c r="E6311" s="52" t="s">
        <v>695</v>
      </c>
      <c r="F6311" s="52" t="s">
        <v>26</v>
      </c>
      <c r="G6311" s="195" t="s">
        <v>276</v>
      </c>
      <c r="H6311" s="195">
        <v>-4.3621E-2</v>
      </c>
      <c r="I6311" s="195">
        <v>-4.9666000000000002E-2</v>
      </c>
      <c r="J6311" s="195">
        <v>-4.2281600000000003E-2</v>
      </c>
      <c r="K6311" s="195">
        <v>-8.7192199999999997E-2</v>
      </c>
      <c r="L6311" s="195">
        <v>-6.0688400000000003E-2</v>
      </c>
      <c r="M6311" s="195">
        <v>-4.7865400000000002E-2</v>
      </c>
      <c r="N6311" s="195">
        <v>-2.0681600000000001E-2</v>
      </c>
    </row>
    <row r="6312" spans="1:14" hidden="1" x14ac:dyDescent="0.35">
      <c r="A6312" s="52" t="s">
        <v>694</v>
      </c>
      <c r="B6312" s="52" t="s">
        <v>37</v>
      </c>
      <c r="C6312" s="52" t="s">
        <v>118</v>
      </c>
      <c r="D6312" s="52" t="s">
        <v>118</v>
      </c>
      <c r="E6312" s="52" t="s">
        <v>695</v>
      </c>
      <c r="F6312" s="52" t="s">
        <v>26</v>
      </c>
      <c r="G6312" s="195" t="s">
        <v>277</v>
      </c>
      <c r="H6312" s="195">
        <v>0.19387599999999999</v>
      </c>
      <c r="I6312" s="195">
        <v>0.22658700000000001</v>
      </c>
      <c r="J6312" s="195">
        <v>5.1359599999999998E-2</v>
      </c>
      <c r="K6312" s="195">
        <v>0.138987</v>
      </c>
      <c r="L6312" s="195">
        <v>0.22754099999999999</v>
      </c>
      <c r="M6312" s="195">
        <v>9.6500000000000004E-4</v>
      </c>
      <c r="N6312" s="195">
        <v>6.6600000000000006E-5</v>
      </c>
    </row>
    <row r="6313" spans="1:14" hidden="1" x14ac:dyDescent="0.35">
      <c r="A6313" s="52" t="s">
        <v>694</v>
      </c>
      <c r="B6313" s="52" t="s">
        <v>37</v>
      </c>
      <c r="C6313" s="52" t="s">
        <v>118</v>
      </c>
      <c r="D6313" s="52" t="s">
        <v>118</v>
      </c>
      <c r="E6313" s="52" t="s">
        <v>695</v>
      </c>
      <c r="F6313" s="52" t="s">
        <v>26</v>
      </c>
      <c r="G6313" s="195" t="s">
        <v>278</v>
      </c>
      <c r="H6313" s="195">
        <v>4.9431999999999997E-2</v>
      </c>
      <c r="I6313" s="195">
        <v>5.6901399999999998E-2</v>
      </c>
      <c r="J6313" s="195">
        <v>0</v>
      </c>
      <c r="K6313" s="195">
        <v>0.10960019999999999</v>
      </c>
      <c r="L6313" s="195">
        <v>0.1351038</v>
      </c>
      <c r="M6313" s="195">
        <v>0</v>
      </c>
      <c r="N6313" s="195"/>
    </row>
    <row r="6314" spans="1:14" hidden="1" x14ac:dyDescent="0.35">
      <c r="A6314" s="52" t="s">
        <v>694</v>
      </c>
      <c r="B6314" s="52" t="s">
        <v>37</v>
      </c>
      <c r="C6314" s="52" t="s">
        <v>118</v>
      </c>
      <c r="D6314" s="52" t="s">
        <v>118</v>
      </c>
      <c r="E6314" s="52" t="s">
        <v>695</v>
      </c>
      <c r="F6314" s="52" t="s">
        <v>26</v>
      </c>
      <c r="G6314" s="195" t="s">
        <v>279</v>
      </c>
      <c r="H6314" s="195">
        <v>8.5054000000000005E-2</v>
      </c>
      <c r="I6314" s="195">
        <v>8.6611599999999997E-2</v>
      </c>
      <c r="J6314" s="195">
        <v>9.7158010000000003E-2</v>
      </c>
      <c r="K6314" s="195">
        <v>0.10497099999999999</v>
      </c>
      <c r="L6314" s="195">
        <v>0.121627</v>
      </c>
      <c r="M6314" s="195">
        <v>8.5038199999999994E-2</v>
      </c>
      <c r="N6314" s="195">
        <v>5.7966999999999998E-2</v>
      </c>
    </row>
    <row r="6315" spans="1:14" hidden="1" x14ac:dyDescent="0.35">
      <c r="A6315" s="52" t="s">
        <v>694</v>
      </c>
      <c r="B6315" s="52" t="s">
        <v>37</v>
      </c>
      <c r="C6315" s="52" t="s">
        <v>35</v>
      </c>
      <c r="D6315" s="52" t="s">
        <v>38</v>
      </c>
      <c r="E6315" s="52" t="s">
        <v>584</v>
      </c>
      <c r="F6315" s="52" t="s">
        <v>581</v>
      </c>
      <c r="G6315" s="195" t="s">
        <v>275</v>
      </c>
      <c r="H6315" s="195">
        <v>0.14152600000000001</v>
      </c>
      <c r="I6315" s="195">
        <v>4.8610800000000003E-2</v>
      </c>
      <c r="J6315" s="195">
        <v>7.9411599999999999E-2</v>
      </c>
      <c r="K6315" s="195">
        <v>2.5241599999999999E-2</v>
      </c>
      <c r="L6315" s="195">
        <v>2.2151000000000001E-2</v>
      </c>
      <c r="M6315" s="195">
        <v>2.0660600000000001E-2</v>
      </c>
      <c r="N6315" s="195">
        <v>1.9040399999999999E-2</v>
      </c>
    </row>
    <row r="6316" spans="1:14" hidden="1" x14ac:dyDescent="0.35">
      <c r="A6316" s="52" t="s">
        <v>694</v>
      </c>
      <c r="B6316" s="52" t="s">
        <v>37</v>
      </c>
      <c r="C6316" s="52" t="s">
        <v>35</v>
      </c>
      <c r="D6316" s="52" t="s">
        <v>38</v>
      </c>
      <c r="E6316" s="52" t="s">
        <v>584</v>
      </c>
      <c r="F6316" s="52" t="s">
        <v>581</v>
      </c>
      <c r="G6316" s="195" t="s">
        <v>276</v>
      </c>
      <c r="H6316" s="195">
        <v>1.3617000000000001E-2</v>
      </c>
      <c r="I6316" s="195">
        <v>-3.5130000000000001E-3</v>
      </c>
      <c r="J6316" s="195">
        <v>-4.4630999999999997E-2</v>
      </c>
      <c r="K6316" s="195">
        <v>6.7099999999999998E-3</v>
      </c>
      <c r="L6316" s="195">
        <v>5.8876010000000001E-3</v>
      </c>
      <c r="M6316" s="195">
        <v>5.4913999999999996E-3</v>
      </c>
      <c r="N6316" s="195">
        <v>5.0610000000000004E-3</v>
      </c>
    </row>
    <row r="6317" spans="1:14" hidden="1" x14ac:dyDescent="0.35">
      <c r="A6317" s="52" t="s">
        <v>694</v>
      </c>
      <c r="B6317" s="52" t="s">
        <v>37</v>
      </c>
      <c r="C6317" s="52" t="s">
        <v>35</v>
      </c>
      <c r="D6317" s="52" t="s">
        <v>38</v>
      </c>
      <c r="E6317" s="52" t="s">
        <v>584</v>
      </c>
      <c r="F6317" s="52" t="s">
        <v>581</v>
      </c>
      <c r="G6317" s="195" t="s">
        <v>279</v>
      </c>
      <c r="H6317" s="195">
        <v>3.1844999999999998E-2</v>
      </c>
      <c r="I6317" s="195">
        <v>1.9151600000000001E-2</v>
      </c>
      <c r="J6317" s="195">
        <v>1.6287200000000002E-2</v>
      </c>
      <c r="K6317" s="195">
        <v>1.52274E-2</v>
      </c>
      <c r="L6317" s="195">
        <v>1.55452E-2</v>
      </c>
      <c r="M6317" s="195">
        <v>1.4212799999999999E-2</v>
      </c>
      <c r="N6317" s="195">
        <v>1.30768E-2</v>
      </c>
    </row>
    <row r="6318" spans="1:14" hidden="1" x14ac:dyDescent="0.35">
      <c r="A6318" s="52" t="s">
        <v>694</v>
      </c>
      <c r="B6318" s="52" t="s">
        <v>37</v>
      </c>
      <c r="C6318" s="52" t="s">
        <v>35</v>
      </c>
      <c r="D6318" s="52" t="s">
        <v>38</v>
      </c>
      <c r="E6318" s="52" t="s">
        <v>584</v>
      </c>
      <c r="F6318" s="52" t="s">
        <v>26</v>
      </c>
      <c r="G6318" s="195" t="s">
        <v>275</v>
      </c>
      <c r="H6318" s="195">
        <v>2.996E-3</v>
      </c>
      <c r="I6318" s="195">
        <v>1.635E-3</v>
      </c>
      <c r="J6318" s="195">
        <v>1.714E-3</v>
      </c>
      <c r="K6318" s="195">
        <v>1.5012000000000001E-3</v>
      </c>
      <c r="L6318" s="195">
        <v>1.0001999999999999E-3</v>
      </c>
      <c r="M6318" s="195">
        <v>9.5959989999999998E-4</v>
      </c>
      <c r="N6318" s="195">
        <v>8.8820000000000001E-4</v>
      </c>
    </row>
    <row r="6319" spans="1:14" hidden="1" x14ac:dyDescent="0.35">
      <c r="A6319" s="52" t="s">
        <v>694</v>
      </c>
      <c r="B6319" s="52" t="s">
        <v>37</v>
      </c>
      <c r="C6319" s="52" t="s">
        <v>35</v>
      </c>
      <c r="D6319" s="52" t="s">
        <v>38</v>
      </c>
      <c r="E6319" s="52" t="s">
        <v>584</v>
      </c>
      <c r="F6319" s="52" t="s">
        <v>26</v>
      </c>
      <c r="G6319" s="195" t="s">
        <v>276</v>
      </c>
      <c r="H6319" s="195">
        <v>7.9599990000000002E-4</v>
      </c>
      <c r="I6319" s="195">
        <v>4.3439999999999999E-4</v>
      </c>
      <c r="J6319" s="195">
        <v>4.5560000000000002E-4</v>
      </c>
      <c r="K6319" s="195">
        <v>3.992E-4</v>
      </c>
      <c r="L6319" s="195">
        <v>2.656E-4</v>
      </c>
      <c r="M6319" s="195">
        <v>2.5539999999999997E-4</v>
      </c>
      <c r="N6319" s="195">
        <v>2.3599999999999999E-4</v>
      </c>
    </row>
    <row r="6320" spans="1:14" hidden="1" x14ac:dyDescent="0.35">
      <c r="A6320" s="52" t="s">
        <v>694</v>
      </c>
      <c r="B6320" s="52" t="s">
        <v>37</v>
      </c>
      <c r="C6320" s="52" t="s">
        <v>35</v>
      </c>
      <c r="D6320" s="52" t="s">
        <v>38</v>
      </c>
      <c r="E6320" s="52" t="s">
        <v>584</v>
      </c>
      <c r="F6320" s="52" t="s">
        <v>26</v>
      </c>
      <c r="G6320" s="195" t="s">
        <v>279</v>
      </c>
      <c r="H6320" s="195">
        <v>6.7030010000000001E-3</v>
      </c>
      <c r="I6320" s="195">
        <v>5.3255999999999998E-3</v>
      </c>
      <c r="J6320" s="195">
        <v>4.6741999999999999E-3</v>
      </c>
      <c r="K6320" s="195">
        <v>4.4137999999999998E-3</v>
      </c>
      <c r="L6320" s="195">
        <v>4.5517999999999999E-3</v>
      </c>
      <c r="M6320" s="195">
        <v>4.1587999999999998E-3</v>
      </c>
      <c r="N6320" s="195">
        <v>3.8268E-3</v>
      </c>
    </row>
    <row r="6321" spans="1:14" hidden="1" x14ac:dyDescent="0.35">
      <c r="A6321" s="52" t="s">
        <v>694</v>
      </c>
      <c r="B6321" s="52" t="s">
        <v>37</v>
      </c>
      <c r="C6321" s="52" t="s">
        <v>115</v>
      </c>
      <c r="D6321" s="52" t="s">
        <v>115</v>
      </c>
      <c r="E6321" s="52" t="s">
        <v>584</v>
      </c>
      <c r="F6321" s="52" t="s">
        <v>581</v>
      </c>
      <c r="G6321" s="195" t="s">
        <v>275</v>
      </c>
      <c r="H6321" s="195">
        <v>0.123016</v>
      </c>
      <c r="I6321" s="195">
        <v>4.79838E-2</v>
      </c>
      <c r="J6321" s="195">
        <v>4.85878E-2</v>
      </c>
      <c r="K6321" s="195">
        <v>1.3487600000000001E-2</v>
      </c>
      <c r="L6321" s="195">
        <v>1.0160199999999999E-2</v>
      </c>
      <c r="M6321" s="195">
        <v>9.7044000000000002E-3</v>
      </c>
      <c r="N6321" s="195">
        <v>8.9627999999999999E-3</v>
      </c>
    </row>
    <row r="6322" spans="1:14" hidden="1" x14ac:dyDescent="0.35">
      <c r="A6322" s="52" t="s">
        <v>694</v>
      </c>
      <c r="B6322" s="52" t="s">
        <v>37</v>
      </c>
      <c r="C6322" s="52" t="s">
        <v>115</v>
      </c>
      <c r="D6322" s="52" t="s">
        <v>115</v>
      </c>
      <c r="E6322" s="52" t="s">
        <v>584</v>
      </c>
      <c r="F6322" s="52" t="s">
        <v>581</v>
      </c>
      <c r="G6322" s="195" t="s">
        <v>276</v>
      </c>
      <c r="H6322" s="195">
        <v>2.4910000000000002E-3</v>
      </c>
      <c r="I6322" s="195">
        <v>-2.1271999999999999E-2</v>
      </c>
      <c r="J6322" s="195">
        <v>-2.9797400000000002E-2</v>
      </c>
      <c r="K6322" s="195">
        <v>3.5848E-3</v>
      </c>
      <c r="L6322" s="195">
        <v>2.7006E-3</v>
      </c>
      <c r="M6322" s="195">
        <v>2.5798000000000001E-3</v>
      </c>
      <c r="N6322" s="195">
        <v>2.3822000000000001E-3</v>
      </c>
    </row>
    <row r="6323" spans="1:14" hidden="1" x14ac:dyDescent="0.35">
      <c r="A6323" s="52" t="s">
        <v>694</v>
      </c>
      <c r="B6323" s="52" t="s">
        <v>37</v>
      </c>
      <c r="C6323" s="52" t="s">
        <v>115</v>
      </c>
      <c r="D6323" s="52" t="s">
        <v>115</v>
      </c>
      <c r="E6323" s="52" t="s">
        <v>584</v>
      </c>
      <c r="F6323" s="52" t="s">
        <v>581</v>
      </c>
      <c r="G6323" s="195" t="s">
        <v>279</v>
      </c>
      <c r="H6323" s="195">
        <v>6.2238000000000002E-2</v>
      </c>
      <c r="I6323" s="195">
        <v>3.7262999999999998E-2</v>
      </c>
      <c r="J6323" s="195">
        <v>3.1583399999999998E-2</v>
      </c>
      <c r="K6323" s="195">
        <v>2.9472000000000002E-2</v>
      </c>
      <c r="L6323" s="195">
        <v>3.0142800000000001E-2</v>
      </c>
      <c r="M6323" s="195">
        <v>2.7549799999999999E-2</v>
      </c>
      <c r="N6323" s="195">
        <v>2.5348599999999999E-2</v>
      </c>
    </row>
    <row r="6324" spans="1:14" hidden="1" x14ac:dyDescent="0.35">
      <c r="A6324" s="52" t="s">
        <v>694</v>
      </c>
      <c r="B6324" s="52" t="s">
        <v>37</v>
      </c>
      <c r="C6324" s="52" t="s">
        <v>115</v>
      </c>
      <c r="D6324" s="52" t="s">
        <v>115</v>
      </c>
      <c r="E6324" s="52" t="s">
        <v>584</v>
      </c>
      <c r="F6324" s="52" t="s">
        <v>26</v>
      </c>
      <c r="G6324" s="195" t="s">
        <v>275</v>
      </c>
      <c r="H6324" s="195">
        <v>-9.7300000000000002E-4</v>
      </c>
      <c r="I6324" s="195">
        <v>-1.1532000000000001E-3</v>
      </c>
      <c r="J6324" s="195">
        <v>-8.5700000000000001E-4</v>
      </c>
      <c r="K6324" s="195">
        <v>-8.4920000000000004E-4</v>
      </c>
      <c r="L6324" s="195">
        <v>-1.1764E-3</v>
      </c>
      <c r="M6324" s="195">
        <v>-1.0476000000000001E-3</v>
      </c>
      <c r="N6324" s="195">
        <v>-9.6060000000000004E-4</v>
      </c>
    </row>
    <row r="6325" spans="1:14" hidden="1" x14ac:dyDescent="0.35">
      <c r="A6325" s="52" t="s">
        <v>694</v>
      </c>
      <c r="B6325" s="52" t="s">
        <v>37</v>
      </c>
      <c r="C6325" s="52" t="s">
        <v>115</v>
      </c>
      <c r="D6325" s="52" t="s">
        <v>115</v>
      </c>
      <c r="E6325" s="52" t="s">
        <v>584</v>
      </c>
      <c r="F6325" s="52" t="s">
        <v>26</v>
      </c>
      <c r="G6325" s="195" t="s">
        <v>276</v>
      </c>
      <c r="H6325" s="195">
        <v>-2.5900000000000001E-4</v>
      </c>
      <c r="I6325" s="195">
        <v>-3.067999E-4</v>
      </c>
      <c r="J6325" s="195">
        <v>-2.2780000000000001E-4</v>
      </c>
      <c r="K6325" s="195">
        <v>-2.2599999999999999E-4</v>
      </c>
      <c r="L6325" s="195">
        <v>-3.124E-4</v>
      </c>
      <c r="M6325" s="195">
        <v>-2.786E-4</v>
      </c>
      <c r="N6325" s="195">
        <v>-2.5500000000000002E-4</v>
      </c>
    </row>
    <row r="6326" spans="1:14" hidden="1" x14ac:dyDescent="0.35">
      <c r="A6326" s="52" t="s">
        <v>694</v>
      </c>
      <c r="B6326" s="52" t="s">
        <v>37</v>
      </c>
      <c r="C6326" s="52" t="s">
        <v>115</v>
      </c>
      <c r="D6326" s="52" t="s">
        <v>115</v>
      </c>
      <c r="E6326" s="52" t="s">
        <v>584</v>
      </c>
      <c r="F6326" s="52" t="s">
        <v>26</v>
      </c>
      <c r="G6326" s="195" t="s">
        <v>279</v>
      </c>
      <c r="H6326" s="195">
        <v>6.8219999999999999E-3</v>
      </c>
      <c r="I6326" s="195">
        <v>5.3987999999999996E-3</v>
      </c>
      <c r="J6326" s="195">
        <v>4.7299999999999998E-3</v>
      </c>
      <c r="K6326" s="195">
        <v>4.4359999999999998E-3</v>
      </c>
      <c r="L6326" s="195">
        <v>4.5875999999999998E-3</v>
      </c>
      <c r="M6326" s="195">
        <v>4.1862000000000002E-3</v>
      </c>
      <c r="N6326" s="195">
        <v>3.8524000000000002E-3</v>
      </c>
    </row>
    <row r="6327" spans="1:14" hidden="1" x14ac:dyDescent="0.35">
      <c r="A6327" s="52" t="s">
        <v>694</v>
      </c>
      <c r="B6327" s="52" t="s">
        <v>37</v>
      </c>
      <c r="C6327" s="52" t="s">
        <v>252</v>
      </c>
      <c r="D6327" s="52" t="s">
        <v>252</v>
      </c>
      <c r="E6327" s="52" t="s">
        <v>584</v>
      </c>
      <c r="F6327" s="52" t="s">
        <v>26</v>
      </c>
      <c r="G6327" s="195" t="s">
        <v>275</v>
      </c>
      <c r="H6327" s="195">
        <v>2.4799999999999999E-2</v>
      </c>
      <c r="I6327" s="195">
        <v>7.7592E-3</v>
      </c>
      <c r="J6327" s="195">
        <v>8.1659999999999996E-3</v>
      </c>
      <c r="K6327" s="195">
        <v>7.1301999999999997E-3</v>
      </c>
      <c r="L6327" s="195">
        <v>4.6921999999999997E-3</v>
      </c>
      <c r="M6327" s="195">
        <v>4.5073999999999999E-3</v>
      </c>
      <c r="N6327" s="195">
        <v>4.1722E-3</v>
      </c>
    </row>
    <row r="6328" spans="1:14" hidden="1" x14ac:dyDescent="0.35">
      <c r="A6328" s="52" t="s">
        <v>694</v>
      </c>
      <c r="B6328" s="52" t="s">
        <v>37</v>
      </c>
      <c r="C6328" s="52" t="s">
        <v>252</v>
      </c>
      <c r="D6328" s="52" t="s">
        <v>252</v>
      </c>
      <c r="E6328" s="52" t="s">
        <v>584</v>
      </c>
      <c r="F6328" s="52" t="s">
        <v>26</v>
      </c>
      <c r="G6328" s="195" t="s">
        <v>276</v>
      </c>
      <c r="H6328" s="195">
        <v>-6.6490000000000004E-3</v>
      </c>
      <c r="I6328" s="195">
        <v>2.0622000000000001E-3</v>
      </c>
      <c r="J6328" s="195">
        <v>2.1702000000000002E-3</v>
      </c>
      <c r="K6328" s="195">
        <v>1.8946E-3</v>
      </c>
      <c r="L6328" s="195">
        <v>1.2478000000000001E-3</v>
      </c>
      <c r="M6328" s="195">
        <v>1.1980000000000001E-3</v>
      </c>
      <c r="N6328" s="195">
        <v>1.1096000000000001E-3</v>
      </c>
    </row>
    <row r="6329" spans="1:14" hidden="1" x14ac:dyDescent="0.35">
      <c r="A6329" s="52" t="s">
        <v>694</v>
      </c>
      <c r="B6329" s="52" t="s">
        <v>37</v>
      </c>
      <c r="C6329" s="52" t="s">
        <v>252</v>
      </c>
      <c r="D6329" s="52" t="s">
        <v>252</v>
      </c>
      <c r="E6329" s="52" t="s">
        <v>584</v>
      </c>
      <c r="F6329" s="52" t="s">
        <v>26</v>
      </c>
      <c r="G6329" s="195" t="s">
        <v>279</v>
      </c>
      <c r="H6329" s="195">
        <v>3.2960999999999997E-2</v>
      </c>
      <c r="I6329" s="195">
        <v>2.6193600000000001E-2</v>
      </c>
      <c r="J6329" s="195">
        <v>2.2995399999999999E-2</v>
      </c>
      <c r="K6329" s="195">
        <v>2.1714799999999999E-2</v>
      </c>
      <c r="L6329" s="195">
        <v>2.2393199999999999E-2</v>
      </c>
      <c r="M6329" s="195">
        <v>2.0463599999999998E-2</v>
      </c>
      <c r="N6329" s="195">
        <v>1.8826800000000001E-2</v>
      </c>
    </row>
    <row r="6330" spans="1:14" hidden="1" x14ac:dyDescent="0.35">
      <c r="A6330" s="52" t="s">
        <v>694</v>
      </c>
      <c r="B6330" s="52" t="s">
        <v>37</v>
      </c>
      <c r="C6330" s="52" t="s">
        <v>109</v>
      </c>
      <c r="D6330" s="52" t="s">
        <v>109</v>
      </c>
      <c r="E6330" s="52" t="s">
        <v>584</v>
      </c>
      <c r="F6330" s="52" t="s">
        <v>581</v>
      </c>
      <c r="G6330" s="195" t="s">
        <v>275</v>
      </c>
      <c r="H6330" s="195">
        <v>0</v>
      </c>
      <c r="I6330" s="195">
        <v>0</v>
      </c>
      <c r="J6330" s="195">
        <v>-0.1631688</v>
      </c>
      <c r="K6330" s="195">
        <v>0</v>
      </c>
      <c r="L6330" s="195"/>
      <c r="M6330" s="195"/>
      <c r="N6330" s="195"/>
    </row>
    <row r="6331" spans="1:14" hidden="1" x14ac:dyDescent="0.35">
      <c r="A6331" s="52" t="s">
        <v>694</v>
      </c>
      <c r="B6331" s="52" t="s">
        <v>37</v>
      </c>
      <c r="C6331" s="52" t="s">
        <v>109</v>
      </c>
      <c r="D6331" s="52" t="s">
        <v>109</v>
      </c>
      <c r="E6331" s="52" t="s">
        <v>584</v>
      </c>
      <c r="F6331" s="52" t="s">
        <v>581</v>
      </c>
      <c r="G6331" s="195" t="s">
        <v>276</v>
      </c>
      <c r="H6331" s="195">
        <v>0</v>
      </c>
      <c r="I6331" s="195">
        <v>0</v>
      </c>
      <c r="J6331" s="195">
        <v>-4.3373979999999999E-2</v>
      </c>
      <c r="K6331" s="195">
        <v>0</v>
      </c>
      <c r="L6331" s="195"/>
      <c r="M6331" s="195"/>
      <c r="N6331" s="195"/>
    </row>
    <row r="6332" spans="1:14" hidden="1" x14ac:dyDescent="0.35">
      <c r="A6332" s="52" t="s">
        <v>694</v>
      </c>
      <c r="B6332" s="52" t="s">
        <v>37</v>
      </c>
      <c r="C6332" s="52" t="s">
        <v>109</v>
      </c>
      <c r="D6332" s="52" t="s">
        <v>109</v>
      </c>
      <c r="E6332" s="52" t="s">
        <v>584</v>
      </c>
      <c r="F6332" s="52" t="s">
        <v>581</v>
      </c>
      <c r="G6332" s="195" t="s">
        <v>279</v>
      </c>
      <c r="H6332" s="195">
        <v>0</v>
      </c>
      <c r="I6332" s="195">
        <v>0</v>
      </c>
      <c r="J6332" s="195">
        <v>0.2065429</v>
      </c>
      <c r="K6332" s="195">
        <v>0</v>
      </c>
      <c r="L6332" s="195"/>
      <c r="M6332" s="195"/>
      <c r="N6332" s="195"/>
    </row>
    <row r="6333" spans="1:14" hidden="1" x14ac:dyDescent="0.35">
      <c r="A6333" s="52" t="s">
        <v>694</v>
      </c>
      <c r="B6333" s="52" t="s">
        <v>37</v>
      </c>
      <c r="C6333" s="52" t="s">
        <v>109</v>
      </c>
      <c r="D6333" s="52" t="s">
        <v>109</v>
      </c>
      <c r="E6333" s="52" t="s">
        <v>584</v>
      </c>
      <c r="F6333" s="52" t="s">
        <v>26</v>
      </c>
      <c r="G6333" s="195" t="s">
        <v>275</v>
      </c>
      <c r="H6333" s="195">
        <v>1.1582299999999999E-3</v>
      </c>
      <c r="I6333" s="195">
        <v>9.5818460000000004E-4</v>
      </c>
      <c r="J6333" s="195">
        <v>-4.4194299999999999E-2</v>
      </c>
      <c r="K6333" s="195">
        <v>0</v>
      </c>
      <c r="L6333" s="195"/>
      <c r="M6333" s="195"/>
      <c r="N6333" s="195"/>
    </row>
    <row r="6334" spans="1:14" hidden="1" x14ac:dyDescent="0.35">
      <c r="A6334" s="52" t="s">
        <v>694</v>
      </c>
      <c r="B6334" s="52" t="s">
        <v>37</v>
      </c>
      <c r="C6334" s="52" t="s">
        <v>109</v>
      </c>
      <c r="D6334" s="52" t="s">
        <v>109</v>
      </c>
      <c r="E6334" s="52" t="s">
        <v>584</v>
      </c>
      <c r="F6334" s="52" t="s">
        <v>26</v>
      </c>
      <c r="G6334" s="195" t="s">
        <v>276</v>
      </c>
      <c r="H6334" s="195">
        <v>-1.1582299999999999E-3</v>
      </c>
      <c r="I6334" s="195">
        <v>-9.5818460000000004E-4</v>
      </c>
      <c r="J6334" s="195">
        <v>-1.2678139999999999E-2</v>
      </c>
      <c r="K6334" s="195">
        <v>0</v>
      </c>
      <c r="L6334" s="195"/>
      <c r="M6334" s="195"/>
      <c r="N6334" s="195"/>
    </row>
    <row r="6335" spans="1:14" hidden="1" x14ac:dyDescent="0.35">
      <c r="A6335" s="52" t="s">
        <v>694</v>
      </c>
      <c r="B6335" s="52" t="s">
        <v>37</v>
      </c>
      <c r="C6335" s="52" t="s">
        <v>109</v>
      </c>
      <c r="D6335" s="52" t="s">
        <v>109</v>
      </c>
      <c r="E6335" s="52" t="s">
        <v>584</v>
      </c>
      <c r="F6335" s="52" t="s">
        <v>26</v>
      </c>
      <c r="G6335" s="195" t="s">
        <v>277</v>
      </c>
      <c r="H6335" s="195">
        <v>0</v>
      </c>
      <c r="I6335" s="195"/>
      <c r="J6335" s="195"/>
      <c r="K6335" s="195"/>
      <c r="L6335" s="195"/>
      <c r="M6335" s="195"/>
      <c r="N6335" s="195"/>
    </row>
    <row r="6336" spans="1:14" hidden="1" x14ac:dyDescent="0.35">
      <c r="A6336" s="52" t="s">
        <v>694</v>
      </c>
      <c r="B6336" s="52" t="s">
        <v>37</v>
      </c>
      <c r="C6336" s="52" t="s">
        <v>109</v>
      </c>
      <c r="D6336" s="52" t="s">
        <v>109</v>
      </c>
      <c r="E6336" s="52" t="s">
        <v>584</v>
      </c>
      <c r="F6336" s="52" t="s">
        <v>26</v>
      </c>
      <c r="G6336" s="195" t="s">
        <v>279</v>
      </c>
      <c r="H6336" s="195">
        <v>0</v>
      </c>
      <c r="I6336" s="195">
        <v>0</v>
      </c>
      <c r="J6336" s="195">
        <v>5.6872520000000003E-2</v>
      </c>
      <c r="K6336" s="195">
        <v>0</v>
      </c>
      <c r="L6336" s="195"/>
      <c r="M6336" s="195"/>
      <c r="N6336" s="195"/>
    </row>
    <row r="6337" spans="1:14" hidden="1" x14ac:dyDescent="0.35">
      <c r="A6337" s="52" t="s">
        <v>694</v>
      </c>
      <c r="B6337" s="52" t="s">
        <v>37</v>
      </c>
      <c r="C6337" s="52" t="s">
        <v>318</v>
      </c>
      <c r="D6337" s="52" t="s">
        <v>318</v>
      </c>
      <c r="E6337" s="52" t="s">
        <v>584</v>
      </c>
      <c r="F6337" s="52" t="s">
        <v>581</v>
      </c>
      <c r="G6337" s="195" t="s">
        <v>275</v>
      </c>
      <c r="H6337" s="195">
        <v>2.5122999999999999E-2</v>
      </c>
      <c r="I6337" s="195">
        <v>0</v>
      </c>
      <c r="J6337" s="195"/>
      <c r="K6337" s="195"/>
      <c r="L6337" s="195"/>
      <c r="M6337" s="195"/>
      <c r="N6337" s="195"/>
    </row>
    <row r="6338" spans="1:14" hidden="1" x14ac:dyDescent="0.35">
      <c r="A6338" s="52" t="s">
        <v>694</v>
      </c>
      <c r="B6338" s="52" t="s">
        <v>37</v>
      </c>
      <c r="C6338" s="52" t="s">
        <v>108</v>
      </c>
      <c r="D6338" s="52" t="s">
        <v>108</v>
      </c>
      <c r="E6338" s="52" t="s">
        <v>584</v>
      </c>
      <c r="F6338" s="52" t="s">
        <v>581</v>
      </c>
      <c r="G6338" s="195" t="s">
        <v>275</v>
      </c>
      <c r="H6338" s="195">
        <v>0</v>
      </c>
      <c r="I6338" s="195"/>
      <c r="J6338" s="195"/>
      <c r="K6338" s="195"/>
      <c r="L6338" s="195"/>
      <c r="M6338" s="195"/>
      <c r="N6338" s="195"/>
    </row>
    <row r="6339" spans="1:14" hidden="1" x14ac:dyDescent="0.35">
      <c r="A6339" s="52" t="s">
        <v>694</v>
      </c>
      <c r="B6339" s="52" t="s">
        <v>37</v>
      </c>
      <c r="C6339" s="52" t="s">
        <v>318</v>
      </c>
      <c r="D6339" s="52" t="s">
        <v>318</v>
      </c>
      <c r="E6339" s="52" t="s">
        <v>584</v>
      </c>
      <c r="F6339" s="52" t="s">
        <v>581</v>
      </c>
      <c r="G6339" s="195" t="s">
        <v>276</v>
      </c>
      <c r="H6339" s="195">
        <v>-2.5122999999999999E-2</v>
      </c>
      <c r="I6339" s="195">
        <v>0</v>
      </c>
      <c r="J6339" s="195"/>
      <c r="K6339" s="195"/>
      <c r="L6339" s="195"/>
      <c r="M6339" s="195"/>
      <c r="N6339" s="195"/>
    </row>
    <row r="6340" spans="1:14" hidden="1" x14ac:dyDescent="0.35">
      <c r="A6340" s="52" t="s">
        <v>694</v>
      </c>
      <c r="B6340" s="52" t="s">
        <v>37</v>
      </c>
      <c r="C6340" s="52" t="s">
        <v>318</v>
      </c>
      <c r="D6340" s="52" t="s">
        <v>318</v>
      </c>
      <c r="E6340" s="52" t="s">
        <v>584</v>
      </c>
      <c r="F6340" s="52" t="s">
        <v>581</v>
      </c>
      <c r="G6340" s="195" t="s">
        <v>278</v>
      </c>
      <c r="H6340" s="195">
        <v>0</v>
      </c>
      <c r="I6340" s="195"/>
      <c r="J6340" s="195"/>
      <c r="K6340" s="195"/>
      <c r="L6340" s="195"/>
      <c r="M6340" s="195"/>
      <c r="N6340" s="195"/>
    </row>
    <row r="6341" spans="1:14" hidden="1" x14ac:dyDescent="0.35">
      <c r="A6341" s="52" t="s">
        <v>694</v>
      </c>
      <c r="B6341" s="52" t="s">
        <v>37</v>
      </c>
      <c r="C6341" s="52" t="s">
        <v>108</v>
      </c>
      <c r="D6341" s="52" t="s">
        <v>108</v>
      </c>
      <c r="E6341" s="52" t="s">
        <v>584</v>
      </c>
      <c r="F6341" s="52" t="s">
        <v>26</v>
      </c>
      <c r="G6341" s="195" t="s">
        <v>275</v>
      </c>
      <c r="H6341" s="195"/>
      <c r="I6341" s="195"/>
      <c r="J6341" s="195"/>
      <c r="K6341" s="195">
        <v>0</v>
      </c>
      <c r="L6341" s="195"/>
      <c r="M6341" s="195"/>
      <c r="N6341" s="195">
        <v>0</v>
      </c>
    </row>
    <row r="6342" spans="1:14" hidden="1" x14ac:dyDescent="0.35">
      <c r="A6342" s="52" t="s">
        <v>694</v>
      </c>
      <c r="B6342" s="52" t="s">
        <v>37</v>
      </c>
      <c r="C6342" s="52" t="s">
        <v>318</v>
      </c>
      <c r="D6342" s="52" t="s">
        <v>318</v>
      </c>
      <c r="E6342" s="52" t="s">
        <v>584</v>
      </c>
      <c r="F6342" s="52" t="s">
        <v>26</v>
      </c>
      <c r="G6342" s="195" t="s">
        <v>275</v>
      </c>
      <c r="H6342" s="195">
        <v>1.6749E-2</v>
      </c>
      <c r="I6342" s="195">
        <v>0</v>
      </c>
      <c r="J6342" s="195"/>
      <c r="K6342" s="195"/>
      <c r="L6342" s="195"/>
      <c r="M6342" s="195"/>
      <c r="N6342" s="195"/>
    </row>
    <row r="6343" spans="1:14" hidden="1" x14ac:dyDescent="0.35">
      <c r="A6343" s="52" t="s">
        <v>694</v>
      </c>
      <c r="B6343" s="52" t="s">
        <v>37</v>
      </c>
      <c r="C6343" s="52" t="s">
        <v>318</v>
      </c>
      <c r="D6343" s="52" t="s">
        <v>318</v>
      </c>
      <c r="E6343" s="52" t="s">
        <v>584</v>
      </c>
      <c r="F6343" s="52" t="s">
        <v>26</v>
      </c>
      <c r="G6343" s="195" t="s">
        <v>276</v>
      </c>
      <c r="H6343" s="195">
        <v>-1.6749E-2</v>
      </c>
      <c r="I6343" s="195">
        <v>0</v>
      </c>
      <c r="J6343" s="195"/>
      <c r="K6343" s="195"/>
      <c r="L6343" s="195"/>
      <c r="M6343" s="195"/>
      <c r="N6343" s="195"/>
    </row>
    <row r="6344" spans="1:14" hidden="1" x14ac:dyDescent="0.35">
      <c r="A6344" s="52" t="s">
        <v>694</v>
      </c>
      <c r="B6344" s="52" t="s">
        <v>37</v>
      </c>
      <c r="C6344" s="52" t="s">
        <v>318</v>
      </c>
      <c r="D6344" s="52" t="s">
        <v>318</v>
      </c>
      <c r="E6344" s="52" t="s">
        <v>584</v>
      </c>
      <c r="F6344" s="52" t="s">
        <v>26</v>
      </c>
      <c r="G6344" s="195" t="s">
        <v>278</v>
      </c>
      <c r="H6344" s="195">
        <v>0</v>
      </c>
      <c r="I6344" s="195"/>
      <c r="J6344" s="195"/>
      <c r="K6344" s="195"/>
      <c r="L6344" s="195"/>
      <c r="M6344" s="195"/>
      <c r="N6344" s="195"/>
    </row>
    <row r="6345" spans="1:14" hidden="1" x14ac:dyDescent="0.35">
      <c r="A6345" s="52" t="s">
        <v>708</v>
      </c>
      <c r="B6345" s="52" t="s">
        <v>37</v>
      </c>
      <c r="C6345" s="52" t="s">
        <v>35</v>
      </c>
      <c r="D6345" s="52" t="s">
        <v>267</v>
      </c>
      <c r="E6345" s="52" t="s">
        <v>588</v>
      </c>
      <c r="F6345" s="52" t="s">
        <v>581</v>
      </c>
      <c r="G6345" s="195" t="s">
        <v>275</v>
      </c>
      <c r="H6345" s="195">
        <v>-111.119</v>
      </c>
      <c r="I6345" s="195">
        <v>-46.418480000000002</v>
      </c>
      <c r="J6345" s="195">
        <v>135.97970000000001</v>
      </c>
      <c r="K6345" s="195">
        <v>146.04050000000001</v>
      </c>
      <c r="L6345" s="195">
        <v>97.269139999999993</v>
      </c>
      <c r="M6345" s="195">
        <v>71.480779999999996</v>
      </c>
      <c r="N6345" s="195">
        <v>43.742809999999999</v>
      </c>
    </row>
    <row r="6346" spans="1:14" hidden="1" x14ac:dyDescent="0.35">
      <c r="A6346" s="52" t="s">
        <v>708</v>
      </c>
      <c r="B6346" s="52" t="s">
        <v>37</v>
      </c>
      <c r="C6346" s="52" t="s">
        <v>35</v>
      </c>
      <c r="D6346" s="52" t="s">
        <v>267</v>
      </c>
      <c r="E6346" s="52" t="s">
        <v>588</v>
      </c>
      <c r="F6346" s="52" t="s">
        <v>581</v>
      </c>
      <c r="G6346" s="195" t="s">
        <v>276</v>
      </c>
      <c r="H6346" s="195">
        <v>65.725359999999995</v>
      </c>
      <c r="I6346" s="195">
        <v>-45.650550000000003</v>
      </c>
      <c r="J6346" s="195">
        <v>-65.407510000000002</v>
      </c>
      <c r="K6346" s="195">
        <v>-96.910629999999998</v>
      </c>
      <c r="L6346" s="195">
        <v>-62.408209999999997</v>
      </c>
      <c r="M6346" s="195">
        <v>-13.224690000000001</v>
      </c>
      <c r="N6346" s="195">
        <v>1.686026</v>
      </c>
    </row>
    <row r="6347" spans="1:14" hidden="1" x14ac:dyDescent="0.35">
      <c r="A6347" s="52" t="s">
        <v>708</v>
      </c>
      <c r="B6347" s="52" t="s">
        <v>37</v>
      </c>
      <c r="C6347" s="52" t="s">
        <v>35</v>
      </c>
      <c r="D6347" s="52" t="s">
        <v>267</v>
      </c>
      <c r="E6347" s="52" t="s">
        <v>588</v>
      </c>
      <c r="F6347" s="52" t="s">
        <v>581</v>
      </c>
      <c r="G6347" s="195" t="s">
        <v>277</v>
      </c>
      <c r="H6347" s="195">
        <v>677.57190000000003</v>
      </c>
      <c r="I6347" s="195">
        <v>185.9385</v>
      </c>
      <c r="J6347" s="195">
        <v>38.595109999999998</v>
      </c>
      <c r="K6347" s="195">
        <v>14.16329</v>
      </c>
      <c r="L6347" s="195">
        <v>12.201180000000001</v>
      </c>
      <c r="M6347" s="195">
        <v>0</v>
      </c>
      <c r="N6347" s="195">
        <v>0</v>
      </c>
    </row>
    <row r="6348" spans="1:14" hidden="1" x14ac:dyDescent="0.35">
      <c r="A6348" s="52" t="s">
        <v>708</v>
      </c>
      <c r="B6348" s="52" t="s">
        <v>37</v>
      </c>
      <c r="C6348" s="52" t="s">
        <v>35</v>
      </c>
      <c r="D6348" s="52" t="s">
        <v>267</v>
      </c>
      <c r="E6348" s="52" t="s">
        <v>588</v>
      </c>
      <c r="F6348" s="52" t="s">
        <v>581</v>
      </c>
      <c r="G6348" s="195" t="s">
        <v>278</v>
      </c>
      <c r="H6348" s="195">
        <v>105.4282</v>
      </c>
      <c r="I6348" s="195">
        <v>62.94641</v>
      </c>
      <c r="J6348" s="195">
        <v>28.452259999999999</v>
      </c>
      <c r="K6348" s="195">
        <v>35.04645</v>
      </c>
      <c r="L6348" s="195">
        <v>26.067969999999999</v>
      </c>
      <c r="M6348" s="195">
        <v>0</v>
      </c>
      <c r="N6348" s="195">
        <v>0</v>
      </c>
    </row>
    <row r="6349" spans="1:14" hidden="1" x14ac:dyDescent="0.35">
      <c r="A6349" s="52" t="s">
        <v>708</v>
      </c>
      <c r="B6349" s="52" t="s">
        <v>37</v>
      </c>
      <c r="C6349" s="52" t="s">
        <v>35</v>
      </c>
      <c r="D6349" s="52" t="s">
        <v>267</v>
      </c>
      <c r="E6349" s="52" t="s">
        <v>588</v>
      </c>
      <c r="F6349" s="52" t="s">
        <v>581</v>
      </c>
      <c r="G6349" s="195" t="s">
        <v>279</v>
      </c>
      <c r="H6349" s="195">
        <v>254.18790000000001</v>
      </c>
      <c r="I6349" s="195">
        <v>156.0899</v>
      </c>
      <c r="J6349" s="195">
        <v>157.46549999999999</v>
      </c>
      <c r="K6349" s="195">
        <v>114.0369</v>
      </c>
      <c r="L6349" s="195">
        <v>109.9346</v>
      </c>
      <c r="M6349" s="195">
        <v>84.646339999999995</v>
      </c>
      <c r="N6349" s="195">
        <v>66.102720000000005</v>
      </c>
    </row>
    <row r="6350" spans="1:14" hidden="1" x14ac:dyDescent="0.35">
      <c r="A6350" s="52" t="s">
        <v>708</v>
      </c>
      <c r="B6350" s="52" t="s">
        <v>37</v>
      </c>
      <c r="C6350" s="52" t="s">
        <v>35</v>
      </c>
      <c r="D6350" s="52" t="s">
        <v>267</v>
      </c>
      <c r="E6350" s="52" t="s">
        <v>588</v>
      </c>
      <c r="F6350" s="52" t="s">
        <v>26</v>
      </c>
      <c r="G6350" s="195" t="s">
        <v>275</v>
      </c>
      <c r="H6350" s="195">
        <v>24.49973</v>
      </c>
      <c r="I6350" s="195">
        <v>10.38284</v>
      </c>
      <c r="J6350" s="195">
        <v>12.768969999999999</v>
      </c>
      <c r="K6350" s="195">
        <v>8.9783729999999995</v>
      </c>
      <c r="L6350" s="195">
        <v>5.8961690000000004</v>
      </c>
      <c r="M6350" s="195">
        <v>4.7498019999999999</v>
      </c>
      <c r="N6350" s="195">
        <v>3.719757</v>
      </c>
    </row>
    <row r="6351" spans="1:14" hidden="1" x14ac:dyDescent="0.35">
      <c r="A6351" s="52" t="s">
        <v>708</v>
      </c>
      <c r="B6351" s="52" t="s">
        <v>37</v>
      </c>
      <c r="C6351" s="52" t="s">
        <v>35</v>
      </c>
      <c r="D6351" s="52" t="s">
        <v>267</v>
      </c>
      <c r="E6351" s="52" t="s">
        <v>588</v>
      </c>
      <c r="F6351" s="52" t="s">
        <v>26</v>
      </c>
      <c r="G6351" s="195" t="s">
        <v>276</v>
      </c>
      <c r="H6351" s="195">
        <v>6.5126039999999996</v>
      </c>
      <c r="I6351" s="195">
        <v>2.760005</v>
      </c>
      <c r="J6351" s="195">
        <v>3.3942899999999998</v>
      </c>
      <c r="K6351" s="195">
        <v>2.3866480000000001</v>
      </c>
      <c r="L6351" s="195">
        <v>1.56734</v>
      </c>
      <c r="M6351" s="195">
        <v>1.262605</v>
      </c>
      <c r="N6351" s="195">
        <v>0.98879740000000005</v>
      </c>
    </row>
    <row r="6352" spans="1:14" hidden="1" x14ac:dyDescent="0.35">
      <c r="A6352" s="52" t="s">
        <v>708</v>
      </c>
      <c r="B6352" s="52" t="s">
        <v>37</v>
      </c>
      <c r="C6352" s="52" t="s">
        <v>35</v>
      </c>
      <c r="D6352" s="52" t="s">
        <v>267</v>
      </c>
      <c r="E6352" s="52" t="s">
        <v>588</v>
      </c>
      <c r="F6352" s="52" t="s">
        <v>26</v>
      </c>
      <c r="G6352" s="195" t="s">
        <v>279</v>
      </c>
      <c r="H6352" s="195">
        <v>46.978549999999998</v>
      </c>
      <c r="I6352" s="195">
        <v>27.669319999999999</v>
      </c>
      <c r="J6352" s="195">
        <v>28.399249999999999</v>
      </c>
      <c r="K6352" s="195">
        <v>20.565639999999998</v>
      </c>
      <c r="L6352" s="195">
        <v>19.93648</v>
      </c>
      <c r="M6352" s="195">
        <v>15.337529999999999</v>
      </c>
      <c r="N6352" s="195">
        <v>11.979329999999999</v>
      </c>
    </row>
    <row r="6353" spans="1:14" hidden="1" x14ac:dyDescent="0.35">
      <c r="A6353" s="52" t="s">
        <v>708</v>
      </c>
      <c r="B6353" s="52" t="s">
        <v>37</v>
      </c>
      <c r="C6353" s="52" t="s">
        <v>35</v>
      </c>
      <c r="D6353" s="52" t="s">
        <v>267</v>
      </c>
      <c r="E6353" s="52" t="s">
        <v>587</v>
      </c>
      <c r="F6353" s="52" t="s">
        <v>581</v>
      </c>
      <c r="G6353" s="195" t="s">
        <v>275</v>
      </c>
      <c r="H6353" s="195">
        <v>8.2912920000000003</v>
      </c>
      <c r="I6353" s="195">
        <v>-0.2703448</v>
      </c>
      <c r="J6353" s="195">
        <v>0.1864344</v>
      </c>
      <c r="K6353" s="195">
        <v>-0.17245640000000001</v>
      </c>
      <c r="L6353" s="195">
        <v>0.12521979999999999</v>
      </c>
      <c r="M6353" s="195">
        <v>0.55675640000000004</v>
      </c>
      <c r="N6353" s="195">
        <v>0.39093349999999999</v>
      </c>
    </row>
    <row r="6354" spans="1:14" hidden="1" x14ac:dyDescent="0.35">
      <c r="A6354" s="52" t="s">
        <v>708</v>
      </c>
      <c r="B6354" s="52" t="s">
        <v>37</v>
      </c>
      <c r="C6354" s="52" t="s">
        <v>35</v>
      </c>
      <c r="D6354" s="52" t="s">
        <v>267</v>
      </c>
      <c r="E6354" s="52" t="s">
        <v>587</v>
      </c>
      <c r="F6354" s="52" t="s">
        <v>581</v>
      </c>
      <c r="G6354" s="195" t="s">
        <v>276</v>
      </c>
      <c r="H6354" s="195">
        <v>-6.9558999999999996E-2</v>
      </c>
      <c r="I6354" s="195">
        <v>-0.219224</v>
      </c>
      <c r="J6354" s="195">
        <v>9.7379999999999994E-2</v>
      </c>
      <c r="K6354" s="195">
        <v>5.1486999999999998E-2</v>
      </c>
      <c r="L6354" s="195">
        <v>-6.9117960000000004E-3</v>
      </c>
      <c r="M6354" s="195">
        <v>-0.120363</v>
      </c>
      <c r="N6354" s="195">
        <v>-7.0660929999999996E-4</v>
      </c>
    </row>
    <row r="6355" spans="1:14" hidden="1" x14ac:dyDescent="0.35">
      <c r="A6355" s="52" t="s">
        <v>708</v>
      </c>
      <c r="B6355" s="52" t="s">
        <v>37</v>
      </c>
      <c r="C6355" s="52" t="s">
        <v>35</v>
      </c>
      <c r="D6355" s="52" t="s">
        <v>267</v>
      </c>
      <c r="E6355" s="52" t="s">
        <v>587</v>
      </c>
      <c r="F6355" s="52" t="s">
        <v>581</v>
      </c>
      <c r="G6355" s="195" t="s">
        <v>277</v>
      </c>
      <c r="H6355" s="195">
        <v>0</v>
      </c>
      <c r="I6355" s="195">
        <v>1.881165</v>
      </c>
      <c r="J6355" s="195">
        <v>0.61758539999999995</v>
      </c>
      <c r="K6355" s="195">
        <v>0.94805819999999996</v>
      </c>
      <c r="L6355" s="195">
        <v>0.3401904</v>
      </c>
      <c r="M6355" s="195">
        <v>0</v>
      </c>
      <c r="N6355" s="195">
        <v>0</v>
      </c>
    </row>
    <row r="6356" spans="1:14" hidden="1" x14ac:dyDescent="0.35">
      <c r="A6356" s="52" t="s">
        <v>708</v>
      </c>
      <c r="B6356" s="52" t="s">
        <v>37</v>
      </c>
      <c r="C6356" s="52" t="s">
        <v>35</v>
      </c>
      <c r="D6356" s="52" t="s">
        <v>267</v>
      </c>
      <c r="E6356" s="52" t="s">
        <v>587</v>
      </c>
      <c r="F6356" s="52" t="s">
        <v>581</v>
      </c>
      <c r="G6356" s="195" t="s">
        <v>279</v>
      </c>
      <c r="H6356" s="195">
        <v>3.4519449999999998</v>
      </c>
      <c r="I6356" s="195">
        <v>3.239058</v>
      </c>
      <c r="J6356" s="195">
        <v>2.7789250000000001</v>
      </c>
      <c r="K6356" s="195">
        <v>2.671907</v>
      </c>
      <c r="L6356" s="195">
        <v>2.7642850000000001</v>
      </c>
      <c r="M6356" s="195">
        <v>2.381589</v>
      </c>
      <c r="N6356" s="195">
        <v>2.11619</v>
      </c>
    </row>
    <row r="6357" spans="1:14" hidden="1" x14ac:dyDescent="0.35">
      <c r="A6357" s="52" t="s">
        <v>708</v>
      </c>
      <c r="B6357" s="52" t="s">
        <v>37</v>
      </c>
      <c r="C6357" s="52" t="s">
        <v>35</v>
      </c>
      <c r="D6357" s="52" t="s">
        <v>267</v>
      </c>
      <c r="E6357" s="52" t="s">
        <v>587</v>
      </c>
      <c r="F6357" s="52" t="s">
        <v>26</v>
      </c>
      <c r="G6357" s="195" t="s">
        <v>275</v>
      </c>
      <c r="H6357" s="195">
        <v>0.22379299999999999</v>
      </c>
      <c r="I6357" s="195">
        <v>5.12144E-2</v>
      </c>
      <c r="J6357" s="195">
        <v>8.4904800000000002E-2</v>
      </c>
      <c r="K6357" s="195">
        <v>7.0327399999999998E-2</v>
      </c>
      <c r="L6357" s="195">
        <v>-6.2960020000000002E-3</v>
      </c>
      <c r="M6357" s="195">
        <v>1.1512E-3</v>
      </c>
      <c r="N6357" s="195">
        <v>1.6517999999999999E-3</v>
      </c>
    </row>
    <row r="6358" spans="1:14" hidden="1" x14ac:dyDescent="0.35">
      <c r="A6358" s="52" t="s">
        <v>708</v>
      </c>
      <c r="B6358" s="52" t="s">
        <v>37</v>
      </c>
      <c r="C6358" s="52" t="s">
        <v>35</v>
      </c>
      <c r="D6358" s="52" t="s">
        <v>267</v>
      </c>
      <c r="E6358" s="52" t="s">
        <v>587</v>
      </c>
      <c r="F6358" s="52" t="s">
        <v>26</v>
      </c>
      <c r="G6358" s="195" t="s">
        <v>276</v>
      </c>
      <c r="H6358" s="195">
        <v>5.9487999999999999E-2</v>
      </c>
      <c r="I6358" s="195">
        <v>1.36136E-2</v>
      </c>
      <c r="J6358" s="195">
        <v>2.2568999999999999E-2</v>
      </c>
      <c r="K6358" s="195">
        <v>1.86944E-2</v>
      </c>
      <c r="L6358" s="195">
        <v>-1.6735999999999999E-3</v>
      </c>
      <c r="M6358" s="195">
        <v>3.0580000000000001E-4</v>
      </c>
      <c r="N6358" s="195">
        <v>4.3760009999999999E-4</v>
      </c>
    </row>
    <row r="6359" spans="1:14" hidden="1" x14ac:dyDescent="0.35">
      <c r="A6359" s="52" t="s">
        <v>708</v>
      </c>
      <c r="B6359" s="52" t="s">
        <v>37</v>
      </c>
      <c r="C6359" s="52" t="s">
        <v>35</v>
      </c>
      <c r="D6359" s="52" t="s">
        <v>267</v>
      </c>
      <c r="E6359" s="52" t="s">
        <v>587</v>
      </c>
      <c r="F6359" s="52" t="s">
        <v>26</v>
      </c>
      <c r="G6359" s="195" t="s">
        <v>279</v>
      </c>
      <c r="H6359" s="195">
        <v>1.441926</v>
      </c>
      <c r="I6359" s="195">
        <v>0.96135760000000003</v>
      </c>
      <c r="J6359" s="195">
        <v>0.84173220000000004</v>
      </c>
      <c r="K6359" s="195">
        <v>0.81175419999999998</v>
      </c>
      <c r="L6359" s="195">
        <v>0.83544019999999997</v>
      </c>
      <c r="M6359" s="195">
        <v>0.72027160000000001</v>
      </c>
      <c r="N6359" s="195">
        <v>0.64005219999999996</v>
      </c>
    </row>
    <row r="6360" spans="1:14" hidden="1" x14ac:dyDescent="0.35">
      <c r="A6360" s="52" t="s">
        <v>708</v>
      </c>
      <c r="B6360" s="52" t="s">
        <v>37</v>
      </c>
      <c r="C6360" s="52" t="s">
        <v>35</v>
      </c>
      <c r="D6360" s="52" t="s">
        <v>36</v>
      </c>
      <c r="E6360" s="52" t="s">
        <v>589</v>
      </c>
      <c r="F6360" s="52" t="s">
        <v>581</v>
      </c>
      <c r="G6360" s="195" t="s">
        <v>275</v>
      </c>
      <c r="H6360" s="195">
        <v>5.3843269999999999</v>
      </c>
      <c r="I6360" s="195">
        <v>23.37379</v>
      </c>
      <c r="J6360" s="195">
        <v>36.192869999999999</v>
      </c>
      <c r="K6360" s="195">
        <v>16.554729999999999</v>
      </c>
      <c r="L6360" s="195">
        <v>13.026809999999999</v>
      </c>
      <c r="M6360" s="195">
        <v>9.1405399999999997</v>
      </c>
      <c r="N6360" s="195">
        <v>6.7600569999999998</v>
      </c>
    </row>
    <row r="6361" spans="1:14" hidden="1" x14ac:dyDescent="0.35">
      <c r="A6361" s="52" t="s">
        <v>708</v>
      </c>
      <c r="B6361" s="52" t="s">
        <v>37</v>
      </c>
      <c r="C6361" s="52" t="s">
        <v>35</v>
      </c>
      <c r="D6361" s="52" t="s">
        <v>36</v>
      </c>
      <c r="E6361" s="52" t="s">
        <v>589</v>
      </c>
      <c r="F6361" s="52" t="s">
        <v>581</v>
      </c>
      <c r="G6361" s="195" t="s">
        <v>276</v>
      </c>
      <c r="H6361" s="195">
        <v>-9.3207240000000002</v>
      </c>
      <c r="I6361" s="195">
        <v>-23.39321</v>
      </c>
      <c r="J6361" s="195">
        <v>-28.76726</v>
      </c>
      <c r="K6361" s="195">
        <v>-13.210599999999999</v>
      </c>
      <c r="L6361" s="195">
        <v>-6.1671040000000001</v>
      </c>
      <c r="M6361" s="195">
        <v>-0.3237894</v>
      </c>
      <c r="N6361" s="195">
        <v>0.4074605</v>
      </c>
    </row>
    <row r="6362" spans="1:14" hidden="1" x14ac:dyDescent="0.35">
      <c r="A6362" s="52" t="s">
        <v>708</v>
      </c>
      <c r="B6362" s="52" t="s">
        <v>37</v>
      </c>
      <c r="C6362" s="52" t="s">
        <v>35</v>
      </c>
      <c r="D6362" s="52" t="s">
        <v>36</v>
      </c>
      <c r="E6362" s="52" t="s">
        <v>589</v>
      </c>
      <c r="F6362" s="52" t="s">
        <v>581</v>
      </c>
      <c r="G6362" s="195" t="s">
        <v>277</v>
      </c>
      <c r="H6362" s="195">
        <v>80.868690000000001</v>
      </c>
      <c r="I6362" s="195">
        <v>16.246929999999999</v>
      </c>
      <c r="J6362" s="195">
        <v>7.7109160000000001</v>
      </c>
      <c r="K6362" s="195">
        <v>12.4636</v>
      </c>
      <c r="L6362" s="195">
        <v>4.595904</v>
      </c>
      <c r="M6362" s="195">
        <v>0</v>
      </c>
      <c r="N6362" s="195">
        <v>0</v>
      </c>
    </row>
    <row r="6363" spans="1:14" hidden="1" x14ac:dyDescent="0.35">
      <c r="A6363" s="52" t="s">
        <v>708</v>
      </c>
      <c r="B6363" s="52" t="s">
        <v>37</v>
      </c>
      <c r="C6363" s="52" t="s">
        <v>35</v>
      </c>
      <c r="D6363" s="52" t="s">
        <v>36</v>
      </c>
      <c r="E6363" s="52" t="s">
        <v>589</v>
      </c>
      <c r="F6363" s="52" t="s">
        <v>581</v>
      </c>
      <c r="G6363" s="195" t="s">
        <v>278</v>
      </c>
      <c r="H6363" s="195">
        <v>4.7313039999999997</v>
      </c>
      <c r="I6363" s="195">
        <v>1.3000750000000001</v>
      </c>
      <c r="J6363" s="195">
        <v>0.498751</v>
      </c>
      <c r="K6363" s="195">
        <v>0</v>
      </c>
      <c r="L6363" s="195"/>
      <c r="M6363" s="195"/>
      <c r="N6363" s="195"/>
    </row>
    <row r="6364" spans="1:14" hidden="1" x14ac:dyDescent="0.35">
      <c r="A6364" s="52" t="s">
        <v>708</v>
      </c>
      <c r="B6364" s="52" t="s">
        <v>37</v>
      </c>
      <c r="C6364" s="52" t="s">
        <v>35</v>
      </c>
      <c r="D6364" s="52" t="s">
        <v>36</v>
      </c>
      <c r="E6364" s="52" t="s">
        <v>589</v>
      </c>
      <c r="F6364" s="52" t="s">
        <v>581</v>
      </c>
      <c r="G6364" s="195" t="s">
        <v>279</v>
      </c>
      <c r="H6364" s="195">
        <v>28.320620000000002</v>
      </c>
      <c r="I6364" s="195">
        <v>16.958290000000002</v>
      </c>
      <c r="J6364" s="195">
        <v>17.367730000000002</v>
      </c>
      <c r="K6364" s="195">
        <v>17.866769999999999</v>
      </c>
      <c r="L6364" s="195">
        <v>16.63964</v>
      </c>
      <c r="M6364" s="195">
        <v>12.36308</v>
      </c>
      <c r="N6364" s="195">
        <v>10.07175</v>
      </c>
    </row>
    <row r="6365" spans="1:14" hidden="1" x14ac:dyDescent="0.35">
      <c r="A6365" s="52" t="s">
        <v>708</v>
      </c>
      <c r="B6365" s="52" t="s">
        <v>37</v>
      </c>
      <c r="C6365" s="52" t="s">
        <v>35</v>
      </c>
      <c r="D6365" s="52" t="s">
        <v>36</v>
      </c>
      <c r="E6365" s="52" t="s">
        <v>589</v>
      </c>
      <c r="F6365" s="52" t="s">
        <v>26</v>
      </c>
      <c r="G6365" s="195" t="s">
        <v>275</v>
      </c>
      <c r="H6365" s="195">
        <v>3.4345110000000001</v>
      </c>
      <c r="I6365" s="195">
        <v>1.2289330000000001</v>
      </c>
      <c r="J6365" s="195">
        <v>1.6933229999999999</v>
      </c>
      <c r="K6365" s="195">
        <v>1.663918</v>
      </c>
      <c r="L6365" s="195">
        <v>0.80398320000000001</v>
      </c>
      <c r="M6365" s="195">
        <v>0.65386699999999998</v>
      </c>
      <c r="N6365" s="195">
        <v>0.53531119999999999</v>
      </c>
    </row>
    <row r="6366" spans="1:14" hidden="1" x14ac:dyDescent="0.35">
      <c r="A6366" s="52" t="s">
        <v>708</v>
      </c>
      <c r="B6366" s="52" t="s">
        <v>37</v>
      </c>
      <c r="C6366" s="52" t="s">
        <v>35</v>
      </c>
      <c r="D6366" s="52" t="s">
        <v>36</v>
      </c>
      <c r="E6366" s="52" t="s">
        <v>589</v>
      </c>
      <c r="F6366" s="52" t="s">
        <v>26</v>
      </c>
      <c r="G6366" s="195" t="s">
        <v>276</v>
      </c>
      <c r="H6366" s="195">
        <v>0.91297099999999998</v>
      </c>
      <c r="I6366" s="195">
        <v>0.326679</v>
      </c>
      <c r="J6366" s="195">
        <v>0.45012600000000003</v>
      </c>
      <c r="K6366" s="195">
        <v>0.44230720000000001</v>
      </c>
      <c r="L6366" s="195">
        <v>0.2137164</v>
      </c>
      <c r="M6366" s="195">
        <v>0.1738142</v>
      </c>
      <c r="N6366" s="195">
        <v>0.14229820000000001</v>
      </c>
    </row>
    <row r="6367" spans="1:14" hidden="1" x14ac:dyDescent="0.35">
      <c r="A6367" s="52" t="s">
        <v>708</v>
      </c>
      <c r="B6367" s="52" t="s">
        <v>37</v>
      </c>
      <c r="C6367" s="52" t="s">
        <v>35</v>
      </c>
      <c r="D6367" s="52" t="s">
        <v>36</v>
      </c>
      <c r="E6367" s="52" t="s">
        <v>589</v>
      </c>
      <c r="F6367" s="52" t="s">
        <v>26</v>
      </c>
      <c r="G6367" s="195" t="s">
        <v>279</v>
      </c>
      <c r="H6367" s="195">
        <v>11.51845</v>
      </c>
      <c r="I6367" s="195">
        <v>6.6924520000000003</v>
      </c>
      <c r="J6367" s="195">
        <v>7.0117039999999999</v>
      </c>
      <c r="K6367" s="195">
        <v>7.2111650000000003</v>
      </c>
      <c r="L6367" s="195">
        <v>6.7202630000000001</v>
      </c>
      <c r="M6367" s="195">
        <v>4.9905590000000002</v>
      </c>
      <c r="N6367" s="195">
        <v>4.0666270000000004</v>
      </c>
    </row>
    <row r="6368" spans="1:14" hidden="1" x14ac:dyDescent="0.35">
      <c r="A6368" s="52" t="s">
        <v>708</v>
      </c>
      <c r="B6368" s="52" t="s">
        <v>37</v>
      </c>
      <c r="C6368" s="52" t="s">
        <v>35</v>
      </c>
      <c r="D6368" s="52" t="s">
        <v>38</v>
      </c>
      <c r="E6368" s="52" t="s">
        <v>584</v>
      </c>
      <c r="F6368" s="52" t="s">
        <v>581</v>
      </c>
      <c r="G6368" s="195" t="s">
        <v>275</v>
      </c>
      <c r="H6368" s="195">
        <v>7.7977080000000001</v>
      </c>
      <c r="I6368" s="195">
        <v>1.674245</v>
      </c>
      <c r="J6368" s="195">
        <v>0.57026279999999996</v>
      </c>
      <c r="K6368" s="195">
        <v>0.51588639999999997</v>
      </c>
      <c r="L6368" s="195">
        <v>0.36629139999999999</v>
      </c>
      <c r="M6368" s="195">
        <v>0.3531878</v>
      </c>
      <c r="N6368" s="195">
        <v>0.32629520000000001</v>
      </c>
    </row>
    <row r="6369" spans="1:14" hidden="1" x14ac:dyDescent="0.35">
      <c r="A6369" s="52" t="s">
        <v>708</v>
      </c>
      <c r="B6369" s="52" t="s">
        <v>37</v>
      </c>
      <c r="C6369" s="52" t="s">
        <v>35</v>
      </c>
      <c r="D6369" s="52" t="s">
        <v>38</v>
      </c>
      <c r="E6369" s="52" t="s">
        <v>584</v>
      </c>
      <c r="F6369" s="52" t="s">
        <v>581</v>
      </c>
      <c r="G6369" s="195" t="s">
        <v>276</v>
      </c>
      <c r="H6369" s="195">
        <v>-2.5546350000000002</v>
      </c>
      <c r="I6369" s="195">
        <v>-0.64375760000000004</v>
      </c>
      <c r="J6369" s="195">
        <v>0.15158940000000001</v>
      </c>
      <c r="K6369" s="195">
        <v>0.13713420000000001</v>
      </c>
      <c r="L6369" s="195">
        <v>9.7368200000000002E-2</v>
      </c>
      <c r="M6369" s="195">
        <v>9.3885389999999999E-2</v>
      </c>
      <c r="N6369" s="195">
        <v>8.67372E-2</v>
      </c>
    </row>
    <row r="6370" spans="1:14" hidden="1" x14ac:dyDescent="0.35">
      <c r="A6370" s="52" t="s">
        <v>708</v>
      </c>
      <c r="B6370" s="52" t="s">
        <v>37</v>
      </c>
      <c r="C6370" s="52" t="s">
        <v>35</v>
      </c>
      <c r="D6370" s="52" t="s">
        <v>38</v>
      </c>
      <c r="E6370" s="52" t="s">
        <v>584</v>
      </c>
      <c r="F6370" s="52" t="s">
        <v>581</v>
      </c>
      <c r="G6370" s="195" t="s">
        <v>279</v>
      </c>
      <c r="H6370" s="195">
        <v>2.2276609999999999</v>
      </c>
      <c r="I6370" s="195">
        <v>1.5262199999999999</v>
      </c>
      <c r="J6370" s="195">
        <v>1.309706</v>
      </c>
      <c r="K6370" s="195">
        <v>1.2237420000000001</v>
      </c>
      <c r="L6370" s="195">
        <v>1.270052</v>
      </c>
      <c r="M6370" s="195">
        <v>1.158595</v>
      </c>
      <c r="N6370" s="195">
        <v>1.0658719999999999</v>
      </c>
    </row>
    <row r="6371" spans="1:14" hidden="1" x14ac:dyDescent="0.35">
      <c r="A6371" s="52" t="s">
        <v>708</v>
      </c>
      <c r="B6371" s="52" t="s">
        <v>37</v>
      </c>
      <c r="C6371" s="52" t="s">
        <v>35</v>
      </c>
      <c r="D6371" s="52" t="s">
        <v>38</v>
      </c>
      <c r="E6371" s="52" t="s">
        <v>584</v>
      </c>
      <c r="F6371" s="52" t="s">
        <v>26</v>
      </c>
      <c r="G6371" s="195" t="s">
        <v>275</v>
      </c>
      <c r="H6371" s="195">
        <v>0.49178500000000003</v>
      </c>
      <c r="I6371" s="195">
        <v>0.21448139999999999</v>
      </c>
      <c r="J6371" s="195">
        <v>0.22753000000000001</v>
      </c>
      <c r="K6371" s="195">
        <v>0.20215739999999999</v>
      </c>
      <c r="L6371" s="195">
        <v>0.1321494</v>
      </c>
      <c r="M6371" s="195">
        <v>0.12749579999999999</v>
      </c>
      <c r="N6371" s="195">
        <v>0.1180136</v>
      </c>
    </row>
    <row r="6372" spans="1:14" hidden="1" x14ac:dyDescent="0.35">
      <c r="A6372" s="52" t="s">
        <v>708</v>
      </c>
      <c r="B6372" s="52" t="s">
        <v>37</v>
      </c>
      <c r="C6372" s="52" t="s">
        <v>35</v>
      </c>
      <c r="D6372" s="52" t="s">
        <v>38</v>
      </c>
      <c r="E6372" s="52" t="s">
        <v>584</v>
      </c>
      <c r="F6372" s="52" t="s">
        <v>26</v>
      </c>
      <c r="G6372" s="195" t="s">
        <v>276</v>
      </c>
      <c r="H6372" s="195">
        <v>0.13072700000000001</v>
      </c>
      <c r="I6372" s="195">
        <v>5.7013790000000002E-2</v>
      </c>
      <c r="J6372" s="195">
        <v>6.0482800000000003E-2</v>
      </c>
      <c r="K6372" s="195">
        <v>5.37382E-2</v>
      </c>
      <c r="L6372" s="195">
        <v>3.5128199999999998E-2</v>
      </c>
      <c r="M6372" s="195">
        <v>3.3891200000000003E-2</v>
      </c>
      <c r="N6372" s="195">
        <v>3.1371200000000002E-2</v>
      </c>
    </row>
    <row r="6373" spans="1:14" hidden="1" x14ac:dyDescent="0.35">
      <c r="A6373" s="52" t="s">
        <v>708</v>
      </c>
      <c r="B6373" s="52" t="s">
        <v>37</v>
      </c>
      <c r="C6373" s="52" t="s">
        <v>35</v>
      </c>
      <c r="D6373" s="52" t="s">
        <v>38</v>
      </c>
      <c r="E6373" s="52" t="s">
        <v>584</v>
      </c>
      <c r="F6373" s="52" t="s">
        <v>26</v>
      </c>
      <c r="G6373" s="195" t="s">
        <v>279</v>
      </c>
      <c r="H6373" s="195">
        <v>1.1259969999999999</v>
      </c>
      <c r="I6373" s="195">
        <v>0.71852799999999994</v>
      </c>
      <c r="J6373" s="195">
        <v>0.62779359999999995</v>
      </c>
      <c r="K6373" s="195">
        <v>0.58870739999999999</v>
      </c>
      <c r="L6373" s="195">
        <v>0.61120459999999999</v>
      </c>
      <c r="M6373" s="195">
        <v>0.55761320000000003</v>
      </c>
      <c r="N6373" s="195">
        <v>0.512988</v>
      </c>
    </row>
    <row r="6374" spans="1:14" hidden="1" x14ac:dyDescent="0.35">
      <c r="A6374" s="52" t="s">
        <v>708</v>
      </c>
      <c r="B6374" s="52" t="s">
        <v>37</v>
      </c>
      <c r="C6374" s="52" t="s">
        <v>79</v>
      </c>
      <c r="D6374" s="52" t="s">
        <v>79</v>
      </c>
      <c r="E6374" s="52" t="s">
        <v>617</v>
      </c>
      <c r="F6374" s="52" t="s">
        <v>581</v>
      </c>
      <c r="G6374" s="195" t="s">
        <v>275</v>
      </c>
      <c r="H6374" s="195">
        <v>106.77379999999999</v>
      </c>
      <c r="I6374" s="195">
        <v>9.1009349999999998</v>
      </c>
      <c r="J6374" s="195">
        <v>4.237495</v>
      </c>
      <c r="K6374" s="195">
        <v>3.3187139999999999</v>
      </c>
      <c r="L6374" s="195">
        <v>-1.2403249999999999E-2</v>
      </c>
      <c r="M6374" s="195">
        <v>0.2924408</v>
      </c>
      <c r="N6374" s="195">
        <v>0.25861109999999998</v>
      </c>
    </row>
    <row r="6375" spans="1:14" hidden="1" x14ac:dyDescent="0.35">
      <c r="A6375" s="52" t="s">
        <v>708</v>
      </c>
      <c r="B6375" s="52" t="s">
        <v>37</v>
      </c>
      <c r="C6375" s="52" t="s">
        <v>79</v>
      </c>
      <c r="D6375" s="52" t="s">
        <v>79</v>
      </c>
      <c r="E6375" s="52" t="s">
        <v>617</v>
      </c>
      <c r="F6375" s="52" t="s">
        <v>581</v>
      </c>
      <c r="G6375" s="195" t="s">
        <v>276</v>
      </c>
      <c r="H6375" s="195">
        <v>30.95261</v>
      </c>
      <c r="I6375" s="195">
        <v>2.6382599999999998</v>
      </c>
      <c r="J6375" s="195">
        <v>1.2284060000000001</v>
      </c>
      <c r="K6375" s="195">
        <v>0.96206250000000004</v>
      </c>
      <c r="L6375" s="195">
        <v>-3.5972000000000001E-3</v>
      </c>
      <c r="M6375" s="195">
        <v>8.4773180000000004E-2</v>
      </c>
      <c r="N6375" s="195">
        <v>7.4967740000000005E-2</v>
      </c>
    </row>
    <row r="6376" spans="1:14" hidden="1" x14ac:dyDescent="0.35">
      <c r="A6376" s="52" t="s">
        <v>708</v>
      </c>
      <c r="B6376" s="52" t="s">
        <v>37</v>
      </c>
      <c r="C6376" s="52" t="s">
        <v>79</v>
      </c>
      <c r="D6376" s="52" t="s">
        <v>79</v>
      </c>
      <c r="E6376" s="52" t="s">
        <v>617</v>
      </c>
      <c r="F6376" s="52" t="s">
        <v>581</v>
      </c>
      <c r="G6376" s="195" t="s">
        <v>279</v>
      </c>
      <c r="H6376" s="195">
        <v>97.455179999999999</v>
      </c>
      <c r="I6376" s="195">
        <v>51.00714</v>
      </c>
      <c r="J6376" s="195">
        <v>41.365220000000001</v>
      </c>
      <c r="K6376" s="195">
        <v>37.812100000000001</v>
      </c>
      <c r="L6376" s="195">
        <v>39.029060000000001</v>
      </c>
      <c r="M6376" s="195">
        <v>33.061019999999999</v>
      </c>
      <c r="N6376" s="195">
        <v>29.359210000000001</v>
      </c>
    </row>
    <row r="6377" spans="1:14" hidden="1" x14ac:dyDescent="0.35">
      <c r="A6377" s="52" t="s">
        <v>708</v>
      </c>
      <c r="B6377" s="52" t="s">
        <v>37</v>
      </c>
      <c r="C6377" s="52" t="s">
        <v>79</v>
      </c>
      <c r="D6377" s="52" t="s">
        <v>79</v>
      </c>
      <c r="E6377" s="52" t="s">
        <v>617</v>
      </c>
      <c r="F6377" s="52" t="s">
        <v>26</v>
      </c>
      <c r="G6377" s="195" t="s">
        <v>275</v>
      </c>
      <c r="H6377" s="195">
        <v>-33.237310000000001</v>
      </c>
      <c r="I6377" s="195">
        <v>15.014519999999999</v>
      </c>
      <c r="J6377" s="195">
        <v>31.093440000000001</v>
      </c>
      <c r="K6377" s="195">
        <v>23.548819999999999</v>
      </c>
      <c r="L6377" s="195">
        <v>17.427029999999998</v>
      </c>
      <c r="M6377" s="195">
        <v>15.48794</v>
      </c>
      <c r="N6377" s="195">
        <v>11.7545</v>
      </c>
    </row>
    <row r="6378" spans="1:14" hidden="1" x14ac:dyDescent="0.35">
      <c r="A6378" s="52" t="s">
        <v>708</v>
      </c>
      <c r="B6378" s="52" t="s">
        <v>37</v>
      </c>
      <c r="C6378" s="52" t="s">
        <v>79</v>
      </c>
      <c r="D6378" s="52" t="s">
        <v>79</v>
      </c>
      <c r="E6378" s="52" t="s">
        <v>617</v>
      </c>
      <c r="F6378" s="52" t="s">
        <v>26</v>
      </c>
      <c r="G6378" s="195" t="s">
        <v>276</v>
      </c>
      <c r="H6378" s="195">
        <v>-59.886760000000002</v>
      </c>
      <c r="I6378" s="195">
        <v>-25.665209999999998</v>
      </c>
      <c r="J6378" s="195">
        <v>-20.10539</v>
      </c>
      <c r="K6378" s="195">
        <v>-16.892900000000001</v>
      </c>
      <c r="L6378" s="195">
        <v>-13.905430000000001</v>
      </c>
      <c r="M6378" s="195">
        <v>-1.8747689999999999</v>
      </c>
      <c r="N6378" s="195">
        <v>0.39512829999999999</v>
      </c>
    </row>
    <row r="6379" spans="1:14" hidden="1" x14ac:dyDescent="0.35">
      <c r="A6379" s="52" t="s">
        <v>708</v>
      </c>
      <c r="B6379" s="52" t="s">
        <v>37</v>
      </c>
      <c r="C6379" s="52" t="s">
        <v>79</v>
      </c>
      <c r="D6379" s="52" t="s">
        <v>79</v>
      </c>
      <c r="E6379" s="52" t="s">
        <v>617</v>
      </c>
      <c r="F6379" s="52" t="s">
        <v>26</v>
      </c>
      <c r="G6379" s="195" t="s">
        <v>277</v>
      </c>
      <c r="H6379" s="195">
        <v>156.10249999999999</v>
      </c>
      <c r="I6379" s="195">
        <v>39.332819999999998</v>
      </c>
      <c r="J6379" s="195">
        <v>17.44369</v>
      </c>
      <c r="K6379" s="195">
        <v>16.90089</v>
      </c>
      <c r="L6379" s="195">
        <v>11.84281</v>
      </c>
      <c r="M6379" s="195">
        <v>0</v>
      </c>
      <c r="N6379" s="195">
        <v>0</v>
      </c>
    </row>
    <row r="6380" spans="1:14" hidden="1" x14ac:dyDescent="0.35">
      <c r="A6380" s="52" t="s">
        <v>708</v>
      </c>
      <c r="B6380" s="52" t="s">
        <v>37</v>
      </c>
      <c r="C6380" s="52" t="s">
        <v>79</v>
      </c>
      <c r="D6380" s="52" t="s">
        <v>79</v>
      </c>
      <c r="E6380" s="52" t="s">
        <v>617</v>
      </c>
      <c r="F6380" s="52" t="s">
        <v>26</v>
      </c>
      <c r="G6380" s="195" t="s">
        <v>278</v>
      </c>
      <c r="H6380" s="195">
        <v>4.7975050000000001</v>
      </c>
      <c r="I6380" s="195">
        <v>0</v>
      </c>
      <c r="J6380" s="195"/>
      <c r="K6380" s="195"/>
      <c r="L6380" s="195"/>
      <c r="M6380" s="195"/>
      <c r="N6380" s="195"/>
    </row>
    <row r="6381" spans="1:14" hidden="1" x14ac:dyDescent="0.35">
      <c r="A6381" s="52" t="s">
        <v>708</v>
      </c>
      <c r="B6381" s="52" t="s">
        <v>37</v>
      </c>
      <c r="C6381" s="52" t="s">
        <v>79</v>
      </c>
      <c r="D6381" s="52" t="s">
        <v>79</v>
      </c>
      <c r="E6381" s="52" t="s">
        <v>617</v>
      </c>
      <c r="F6381" s="52" t="s">
        <v>26</v>
      </c>
      <c r="G6381" s="195" t="s">
        <v>279</v>
      </c>
      <c r="H6381" s="195">
        <v>144.53469999999999</v>
      </c>
      <c r="I6381" s="195">
        <v>90.419479999999993</v>
      </c>
      <c r="J6381" s="195">
        <v>75.534509999999997</v>
      </c>
      <c r="K6381" s="195">
        <v>69.692880000000002</v>
      </c>
      <c r="L6381" s="195">
        <v>70.778679999999994</v>
      </c>
      <c r="M6381" s="195">
        <v>60.122869999999999</v>
      </c>
      <c r="N6381" s="195">
        <v>53.404049999999998</v>
      </c>
    </row>
    <row r="6382" spans="1:14" hidden="1" x14ac:dyDescent="0.35">
      <c r="A6382" s="52" t="s">
        <v>708</v>
      </c>
      <c r="B6382" s="52" t="s">
        <v>37</v>
      </c>
      <c r="C6382" s="52" t="s">
        <v>61</v>
      </c>
      <c r="D6382" s="52" t="s">
        <v>62</v>
      </c>
      <c r="E6382" s="52" t="s">
        <v>584</v>
      </c>
      <c r="F6382" s="52" t="s">
        <v>581</v>
      </c>
      <c r="G6382" s="195" t="s">
        <v>275</v>
      </c>
      <c r="H6382" s="195">
        <v>0.80575280000000005</v>
      </c>
      <c r="I6382" s="195">
        <v>-8.2714570000000001E-2</v>
      </c>
      <c r="J6382" s="195">
        <v>-0.28877760000000002</v>
      </c>
      <c r="K6382" s="195">
        <v>-0.43694470000000002</v>
      </c>
      <c r="L6382" s="195">
        <v>-0.50587280000000001</v>
      </c>
      <c r="M6382" s="195">
        <v>-2.599405</v>
      </c>
      <c r="N6382" s="195"/>
    </row>
    <row r="6383" spans="1:14" hidden="1" x14ac:dyDescent="0.35">
      <c r="A6383" s="52" t="s">
        <v>708</v>
      </c>
      <c r="B6383" s="52" t="s">
        <v>37</v>
      </c>
      <c r="C6383" s="52" t="s">
        <v>61</v>
      </c>
      <c r="D6383" s="52" t="s">
        <v>62</v>
      </c>
      <c r="E6383" s="52" t="s">
        <v>584</v>
      </c>
      <c r="F6383" s="52" t="s">
        <v>581</v>
      </c>
      <c r="G6383" s="195" t="s">
        <v>276</v>
      </c>
      <c r="H6383" s="195">
        <v>0.19006980000000001</v>
      </c>
      <c r="I6383" s="195">
        <v>-0.14085220000000001</v>
      </c>
      <c r="J6383" s="195">
        <v>-0.1728432</v>
      </c>
      <c r="K6383" s="195">
        <v>-0.18070510000000001</v>
      </c>
      <c r="L6383" s="195">
        <v>-0.18643950000000001</v>
      </c>
      <c r="M6383" s="195">
        <v>-0.69098099999999996</v>
      </c>
      <c r="N6383" s="195"/>
    </row>
    <row r="6384" spans="1:14" hidden="1" x14ac:dyDescent="0.35">
      <c r="A6384" s="52" t="s">
        <v>708</v>
      </c>
      <c r="B6384" s="52" t="s">
        <v>37</v>
      </c>
      <c r="C6384" s="52" t="s">
        <v>61</v>
      </c>
      <c r="D6384" s="52" t="s">
        <v>62</v>
      </c>
      <c r="E6384" s="52" t="s">
        <v>584</v>
      </c>
      <c r="F6384" s="52" t="s">
        <v>581</v>
      </c>
      <c r="G6384" s="195" t="s">
        <v>277</v>
      </c>
      <c r="H6384" s="195">
        <v>0.47728120000000002</v>
      </c>
      <c r="I6384" s="195"/>
      <c r="J6384" s="195"/>
      <c r="K6384" s="195"/>
      <c r="L6384" s="195"/>
      <c r="M6384" s="195"/>
      <c r="N6384" s="195">
        <v>0</v>
      </c>
    </row>
    <row r="6385" spans="1:14" hidden="1" x14ac:dyDescent="0.35">
      <c r="A6385" s="52" t="s">
        <v>708</v>
      </c>
      <c r="B6385" s="52" t="s">
        <v>37</v>
      </c>
      <c r="C6385" s="52" t="s">
        <v>61</v>
      </c>
      <c r="D6385" s="52" t="s">
        <v>62</v>
      </c>
      <c r="E6385" s="52" t="s">
        <v>584</v>
      </c>
      <c r="F6385" s="52" t="s">
        <v>581</v>
      </c>
      <c r="G6385" s="195" t="s">
        <v>279</v>
      </c>
      <c r="H6385" s="195">
        <v>1.1848430000000001</v>
      </c>
      <c r="I6385" s="195">
        <v>1.0124979999999999</v>
      </c>
      <c r="J6385" s="195">
        <v>0.9814619</v>
      </c>
      <c r="K6385" s="195">
        <v>1.0144500000000001</v>
      </c>
      <c r="L6385" s="195">
        <v>0.99522820000000001</v>
      </c>
      <c r="M6385" s="195">
        <v>3.2903850000000001</v>
      </c>
      <c r="N6385" s="195"/>
    </row>
    <row r="6386" spans="1:14" hidden="1" x14ac:dyDescent="0.35">
      <c r="A6386" s="52" t="s">
        <v>708</v>
      </c>
      <c r="B6386" s="52" t="s">
        <v>37</v>
      </c>
      <c r="C6386" s="52" t="s">
        <v>61</v>
      </c>
      <c r="D6386" s="52" t="s">
        <v>62</v>
      </c>
      <c r="E6386" s="52" t="s">
        <v>584</v>
      </c>
      <c r="F6386" s="52" t="s">
        <v>26</v>
      </c>
      <c r="G6386" s="195" t="s">
        <v>275</v>
      </c>
      <c r="H6386" s="195">
        <v>3.9594450000000003E-2</v>
      </c>
      <c r="I6386" s="195">
        <v>1.530627E-2</v>
      </c>
      <c r="J6386" s="195">
        <v>1.0373520000000001E-2</v>
      </c>
      <c r="K6386" s="195">
        <v>6.0564599999999996E-3</v>
      </c>
      <c r="L6386" s="195">
        <v>4.1480099999999997E-3</v>
      </c>
      <c r="M6386" s="195">
        <v>-0.40113490000000002</v>
      </c>
      <c r="N6386" s="195"/>
    </row>
    <row r="6387" spans="1:14" hidden="1" x14ac:dyDescent="0.35">
      <c r="A6387" s="52" t="s">
        <v>708</v>
      </c>
      <c r="B6387" s="52" t="s">
        <v>37</v>
      </c>
      <c r="C6387" s="52" t="s">
        <v>61</v>
      </c>
      <c r="D6387" s="52" t="s">
        <v>62</v>
      </c>
      <c r="E6387" s="52" t="s">
        <v>584</v>
      </c>
      <c r="F6387" s="52" t="s">
        <v>26</v>
      </c>
      <c r="G6387" s="195" t="s">
        <v>276</v>
      </c>
      <c r="H6387" s="195">
        <v>1.05252E-2</v>
      </c>
      <c r="I6387" s="195">
        <v>4.0687199999999996E-3</v>
      </c>
      <c r="J6387" s="195">
        <v>2.7575999999999998E-3</v>
      </c>
      <c r="K6387" s="195">
        <v>1.60983E-3</v>
      </c>
      <c r="L6387" s="195">
        <v>1.10268E-3</v>
      </c>
      <c r="M6387" s="195">
        <v>-0.1066308</v>
      </c>
      <c r="N6387" s="195"/>
    </row>
    <row r="6388" spans="1:14" hidden="1" x14ac:dyDescent="0.35">
      <c r="A6388" s="52" t="s">
        <v>708</v>
      </c>
      <c r="B6388" s="52" t="s">
        <v>37</v>
      </c>
      <c r="C6388" s="52" t="s">
        <v>61</v>
      </c>
      <c r="D6388" s="52" t="s">
        <v>62</v>
      </c>
      <c r="E6388" s="52" t="s">
        <v>584</v>
      </c>
      <c r="F6388" s="52" t="s">
        <v>26</v>
      </c>
      <c r="G6388" s="195" t="s">
        <v>279</v>
      </c>
      <c r="H6388" s="195">
        <v>6.7516049999999994E-2</v>
      </c>
      <c r="I6388" s="195">
        <v>4.2196200000000003E-2</v>
      </c>
      <c r="J6388" s="195">
        <v>2.943345E-2</v>
      </c>
      <c r="K6388" s="195">
        <v>2.157135E-2</v>
      </c>
      <c r="L6388" s="195">
        <v>1.4821050000000001E-2</v>
      </c>
      <c r="M6388" s="195">
        <v>0.50776560000000004</v>
      </c>
      <c r="N6388" s="195"/>
    </row>
    <row r="6389" spans="1:14" hidden="1" x14ac:dyDescent="0.35">
      <c r="A6389" s="52" t="s">
        <v>708</v>
      </c>
      <c r="B6389" s="52" t="s">
        <v>37</v>
      </c>
      <c r="C6389" s="52" t="s">
        <v>318</v>
      </c>
      <c r="D6389" s="52" t="s">
        <v>318</v>
      </c>
      <c r="E6389" s="52" t="s">
        <v>584</v>
      </c>
      <c r="F6389" s="52" t="s">
        <v>581</v>
      </c>
      <c r="G6389" s="195" t="s">
        <v>275</v>
      </c>
      <c r="H6389" s="195">
        <v>1.9999999999999999E-6</v>
      </c>
      <c r="I6389" s="195">
        <v>0</v>
      </c>
      <c r="J6389" s="195"/>
      <c r="K6389" s="195"/>
      <c r="L6389" s="195"/>
      <c r="M6389" s="195"/>
      <c r="N6389" s="195"/>
    </row>
    <row r="6390" spans="1:14" hidden="1" x14ac:dyDescent="0.35">
      <c r="A6390" s="52" t="s">
        <v>708</v>
      </c>
      <c r="B6390" s="52" t="s">
        <v>37</v>
      </c>
      <c r="C6390" s="52" t="s">
        <v>318</v>
      </c>
      <c r="D6390" s="52" t="s">
        <v>318</v>
      </c>
      <c r="E6390" s="52" t="s">
        <v>584</v>
      </c>
      <c r="F6390" s="52" t="s">
        <v>581</v>
      </c>
      <c r="G6390" s="195" t="s">
        <v>278</v>
      </c>
      <c r="H6390" s="195">
        <v>-1.9999999999999999E-6</v>
      </c>
      <c r="I6390" s="195">
        <v>0</v>
      </c>
      <c r="J6390" s="195"/>
      <c r="K6390" s="195"/>
      <c r="L6390" s="195"/>
      <c r="M6390" s="195"/>
      <c r="N6390" s="195"/>
    </row>
    <row r="6391" spans="1:14" hidden="1" x14ac:dyDescent="0.35">
      <c r="A6391" s="52" t="s">
        <v>708</v>
      </c>
      <c r="B6391" s="52" t="s">
        <v>37</v>
      </c>
      <c r="C6391" s="52" t="s">
        <v>318</v>
      </c>
      <c r="D6391" s="52" t="s">
        <v>318</v>
      </c>
      <c r="E6391" s="52" t="s">
        <v>584</v>
      </c>
      <c r="F6391" s="52" t="s">
        <v>26</v>
      </c>
      <c r="G6391" s="195" t="s">
        <v>275</v>
      </c>
      <c r="H6391" s="195">
        <v>1.9999999999999999E-6</v>
      </c>
      <c r="I6391" s="195">
        <v>0</v>
      </c>
      <c r="J6391" s="195"/>
      <c r="K6391" s="195"/>
      <c r="L6391" s="195"/>
      <c r="M6391" s="195"/>
      <c r="N6391" s="195"/>
    </row>
    <row r="6392" spans="1:14" hidden="1" x14ac:dyDescent="0.35">
      <c r="A6392" s="52" t="s">
        <v>708</v>
      </c>
      <c r="B6392" s="52" t="s">
        <v>37</v>
      </c>
      <c r="C6392" s="52" t="s">
        <v>318</v>
      </c>
      <c r="D6392" s="52" t="s">
        <v>318</v>
      </c>
      <c r="E6392" s="52" t="s">
        <v>584</v>
      </c>
      <c r="F6392" s="52" t="s">
        <v>26</v>
      </c>
      <c r="G6392" s="195" t="s">
        <v>278</v>
      </c>
      <c r="H6392" s="195">
        <v>-1.9999999999999999E-6</v>
      </c>
      <c r="I6392" s="195">
        <v>0</v>
      </c>
      <c r="J6392" s="195"/>
      <c r="K6392" s="195"/>
      <c r="L6392" s="195"/>
      <c r="M6392" s="195"/>
      <c r="N6392" s="195"/>
    </row>
    <row r="6393" spans="1:14" hidden="1" x14ac:dyDescent="0.35">
      <c r="A6393" s="52" t="s">
        <v>751</v>
      </c>
      <c r="B6393" s="52" t="s">
        <v>245</v>
      </c>
      <c r="C6393" s="52" t="s">
        <v>244</v>
      </c>
      <c r="D6393" s="52" t="s">
        <v>244</v>
      </c>
      <c r="E6393" s="52" t="s">
        <v>584</v>
      </c>
      <c r="F6393" s="52" t="s">
        <v>581</v>
      </c>
      <c r="G6393" s="195" t="s">
        <v>275</v>
      </c>
      <c r="H6393" s="195">
        <v>5.487628</v>
      </c>
      <c r="I6393" s="195">
        <v>1.7298929999999999</v>
      </c>
      <c r="J6393" s="195">
        <v>0.77560399999999996</v>
      </c>
      <c r="K6393" s="195">
        <v>0.96481859999999997</v>
      </c>
      <c r="L6393" s="195">
        <v>0.77069069999999995</v>
      </c>
      <c r="M6393" s="195">
        <v>1.0325470000000001</v>
      </c>
      <c r="N6393" s="195">
        <v>1.0990279999999999</v>
      </c>
    </row>
    <row r="6394" spans="1:14" hidden="1" x14ac:dyDescent="0.35">
      <c r="A6394" s="52" t="s">
        <v>751</v>
      </c>
      <c r="B6394" s="52" t="s">
        <v>245</v>
      </c>
      <c r="C6394" s="52" t="s">
        <v>244</v>
      </c>
      <c r="D6394" s="52" t="s">
        <v>244</v>
      </c>
      <c r="E6394" s="52" t="s">
        <v>584</v>
      </c>
      <c r="F6394" s="52" t="s">
        <v>581</v>
      </c>
      <c r="G6394" s="195" t="s">
        <v>276</v>
      </c>
      <c r="H6394" s="195">
        <v>1.640614</v>
      </c>
      <c r="I6394" s="195">
        <v>0.52745660000000005</v>
      </c>
      <c r="J6394" s="195">
        <v>1.0621849999999999</v>
      </c>
      <c r="K6394" s="195">
        <v>1.091696</v>
      </c>
      <c r="L6394" s="195">
        <v>1.1510339999999999</v>
      </c>
      <c r="M6394" s="195">
        <v>1.1284890000000001</v>
      </c>
      <c r="N6394" s="195">
        <v>0.97302420000000001</v>
      </c>
    </row>
    <row r="6395" spans="1:14" hidden="1" x14ac:dyDescent="0.35">
      <c r="A6395" s="52" t="s">
        <v>751</v>
      </c>
      <c r="B6395" s="52" t="s">
        <v>245</v>
      </c>
      <c r="C6395" s="52" t="s">
        <v>244</v>
      </c>
      <c r="D6395" s="52" t="s">
        <v>244</v>
      </c>
      <c r="E6395" s="52" t="s">
        <v>584</v>
      </c>
      <c r="F6395" s="52" t="s">
        <v>581</v>
      </c>
      <c r="G6395" s="195" t="s">
        <v>277</v>
      </c>
      <c r="H6395" s="195">
        <v>4.8340249999999996E-3</v>
      </c>
      <c r="I6395" s="195">
        <v>3.5920540000000001E-2</v>
      </c>
      <c r="J6395" s="195">
        <v>1.0189399999999999E-2</v>
      </c>
      <c r="K6395" s="195">
        <v>4.3596500000000003E-2</v>
      </c>
      <c r="L6395" s="195">
        <v>0.59607569999999999</v>
      </c>
      <c r="M6395" s="195">
        <v>0.46396949999999998</v>
      </c>
      <c r="N6395" s="195">
        <v>0.23934179999999999</v>
      </c>
    </row>
    <row r="6396" spans="1:14" hidden="1" x14ac:dyDescent="0.35">
      <c r="A6396" s="52" t="s">
        <v>751</v>
      </c>
      <c r="B6396" s="52" t="s">
        <v>245</v>
      </c>
      <c r="C6396" s="52" t="s">
        <v>244</v>
      </c>
      <c r="D6396" s="52" t="s">
        <v>244</v>
      </c>
      <c r="E6396" s="52" t="s">
        <v>584</v>
      </c>
      <c r="F6396" s="52" t="s">
        <v>581</v>
      </c>
      <c r="G6396" s="195" t="s">
        <v>279</v>
      </c>
      <c r="H6396" s="195">
        <v>0.72721800000000003</v>
      </c>
      <c r="I6396" s="195">
        <v>0.63719919999999997</v>
      </c>
      <c r="J6396" s="195">
        <v>0.64621669999999998</v>
      </c>
      <c r="K6396" s="195">
        <v>0.91417649999999995</v>
      </c>
      <c r="L6396" s="195">
        <v>1.1504620000000001</v>
      </c>
      <c r="M6396" s="195">
        <v>1.226699</v>
      </c>
      <c r="N6396" s="195">
        <v>1.0670280000000001</v>
      </c>
    </row>
    <row r="6397" spans="1:14" hidden="1" x14ac:dyDescent="0.35">
      <c r="A6397" s="52" t="s">
        <v>751</v>
      </c>
      <c r="B6397" s="52" t="s">
        <v>245</v>
      </c>
      <c r="C6397" s="52" t="s">
        <v>244</v>
      </c>
      <c r="D6397" s="52" t="s">
        <v>244</v>
      </c>
      <c r="E6397" s="52" t="s">
        <v>584</v>
      </c>
      <c r="F6397" s="52" t="s">
        <v>26</v>
      </c>
      <c r="G6397" s="195" t="s">
        <v>275</v>
      </c>
      <c r="H6397" s="195">
        <v>331.3956</v>
      </c>
      <c r="I6397" s="195">
        <v>334.73649999999998</v>
      </c>
      <c r="J6397" s="195">
        <v>187.47399999999999</v>
      </c>
      <c r="K6397" s="195">
        <v>185.68049999999999</v>
      </c>
      <c r="L6397" s="195">
        <v>36.230980000000002</v>
      </c>
      <c r="M6397" s="195">
        <v>82.899460000000005</v>
      </c>
      <c r="N6397" s="195">
        <v>172.70349999999999</v>
      </c>
    </row>
    <row r="6398" spans="1:14" hidden="1" x14ac:dyDescent="0.35">
      <c r="A6398" s="52" t="s">
        <v>751</v>
      </c>
      <c r="B6398" s="52" t="s">
        <v>245</v>
      </c>
      <c r="C6398" s="52" t="s">
        <v>244</v>
      </c>
      <c r="D6398" s="52" t="s">
        <v>244</v>
      </c>
      <c r="E6398" s="52" t="s">
        <v>584</v>
      </c>
      <c r="F6398" s="52" t="s">
        <v>26</v>
      </c>
      <c r="G6398" s="195" t="s">
        <v>276</v>
      </c>
      <c r="H6398" s="195">
        <v>89.035160000000005</v>
      </c>
      <c r="I6398" s="195">
        <v>99.55444</v>
      </c>
      <c r="J6398" s="195">
        <v>262.428</v>
      </c>
      <c r="K6398" s="195">
        <v>274.5591</v>
      </c>
      <c r="L6398" s="195">
        <v>285.86419999999998</v>
      </c>
      <c r="M6398" s="195">
        <v>294.8734</v>
      </c>
      <c r="N6398" s="195">
        <v>302.47890000000001</v>
      </c>
    </row>
    <row r="6399" spans="1:14" hidden="1" x14ac:dyDescent="0.35">
      <c r="A6399" s="52" t="s">
        <v>751</v>
      </c>
      <c r="B6399" s="52" t="s">
        <v>245</v>
      </c>
      <c r="C6399" s="52" t="s">
        <v>244</v>
      </c>
      <c r="D6399" s="52" t="s">
        <v>244</v>
      </c>
      <c r="E6399" s="52" t="s">
        <v>584</v>
      </c>
      <c r="F6399" s="52" t="s">
        <v>26</v>
      </c>
      <c r="G6399" s="195" t="s">
        <v>277</v>
      </c>
      <c r="H6399" s="195">
        <v>21.326540000000001</v>
      </c>
      <c r="I6399" s="195">
        <v>25.73631</v>
      </c>
      <c r="J6399" s="195">
        <v>22.151779999999999</v>
      </c>
      <c r="K6399" s="195">
        <v>29.06954</v>
      </c>
      <c r="L6399" s="195">
        <v>195.0504</v>
      </c>
      <c r="M6399" s="195">
        <v>159.6396</v>
      </c>
      <c r="N6399" s="195">
        <v>98.932599999999994</v>
      </c>
    </row>
    <row r="6400" spans="1:14" hidden="1" x14ac:dyDescent="0.35">
      <c r="A6400" s="52" t="s">
        <v>751</v>
      </c>
      <c r="B6400" s="52" t="s">
        <v>245</v>
      </c>
      <c r="C6400" s="52" t="s">
        <v>244</v>
      </c>
      <c r="D6400" s="52" t="s">
        <v>244</v>
      </c>
      <c r="E6400" s="52" t="s">
        <v>584</v>
      </c>
      <c r="F6400" s="52" t="s">
        <v>26</v>
      </c>
      <c r="G6400" s="195" t="s">
        <v>278</v>
      </c>
      <c r="H6400" s="195">
        <v>0.18635940000000001</v>
      </c>
      <c r="I6400" s="195">
        <v>0.1482446</v>
      </c>
      <c r="J6400" s="195">
        <v>3.900708E-2</v>
      </c>
      <c r="K6400" s="195">
        <v>3.900708E-2</v>
      </c>
      <c r="L6400" s="195">
        <v>5.8637919999999996E-3</v>
      </c>
      <c r="M6400" s="195">
        <v>5.8637919999999996E-3</v>
      </c>
      <c r="N6400" s="195">
        <v>5.8637919999999996E-3</v>
      </c>
    </row>
    <row r="6401" spans="1:14" hidden="1" x14ac:dyDescent="0.35">
      <c r="A6401" s="52" t="s">
        <v>751</v>
      </c>
      <c r="B6401" s="52" t="s">
        <v>245</v>
      </c>
      <c r="C6401" s="52" t="s">
        <v>244</v>
      </c>
      <c r="D6401" s="52" t="s">
        <v>244</v>
      </c>
      <c r="E6401" s="52" t="s">
        <v>584</v>
      </c>
      <c r="F6401" s="52" t="s">
        <v>26</v>
      </c>
      <c r="G6401" s="195" t="s">
        <v>279</v>
      </c>
      <c r="H6401" s="195">
        <v>76.916439999999994</v>
      </c>
      <c r="I6401" s="195">
        <v>71.656270000000006</v>
      </c>
      <c r="J6401" s="195">
        <v>74.824020000000004</v>
      </c>
      <c r="K6401" s="195">
        <v>86.990780000000001</v>
      </c>
      <c r="L6401" s="195">
        <v>92.869960000000006</v>
      </c>
      <c r="M6401" s="195">
        <v>96.902420000000006</v>
      </c>
      <c r="N6401" s="195">
        <v>102.99639999999999</v>
      </c>
    </row>
    <row r="6402" spans="1:14" hidden="1" x14ac:dyDescent="0.35">
      <c r="A6402" s="52" t="s">
        <v>751</v>
      </c>
      <c r="B6402" s="52" t="s">
        <v>245</v>
      </c>
      <c r="C6402" s="52" t="s">
        <v>247</v>
      </c>
      <c r="D6402" s="52" t="s">
        <v>247</v>
      </c>
      <c r="E6402" s="52" t="s">
        <v>584</v>
      </c>
      <c r="F6402" s="52" t="s">
        <v>26</v>
      </c>
      <c r="G6402" s="195" t="s">
        <v>275</v>
      </c>
      <c r="H6402" s="195">
        <v>-8.4144370000000003E-3</v>
      </c>
      <c r="I6402" s="195">
        <v>-8.4144370000000003E-3</v>
      </c>
      <c r="J6402" s="195">
        <v>0</v>
      </c>
      <c r="K6402" s="195">
        <v>0</v>
      </c>
      <c r="L6402" s="195">
        <v>0</v>
      </c>
      <c r="M6402" s="195">
        <v>0</v>
      </c>
      <c r="N6402" s="195">
        <v>0</v>
      </c>
    </row>
    <row r="6403" spans="1:14" hidden="1" x14ac:dyDescent="0.35">
      <c r="A6403" s="52" t="s">
        <v>751</v>
      </c>
      <c r="B6403" s="52" t="s">
        <v>245</v>
      </c>
      <c r="C6403" s="52" t="s">
        <v>247</v>
      </c>
      <c r="D6403" s="52" t="s">
        <v>247</v>
      </c>
      <c r="E6403" s="52" t="s">
        <v>584</v>
      </c>
      <c r="F6403" s="52" t="s">
        <v>26</v>
      </c>
      <c r="G6403" s="195" t="s">
        <v>277</v>
      </c>
      <c r="H6403" s="195"/>
      <c r="I6403" s="195"/>
      <c r="J6403" s="195"/>
      <c r="K6403" s="195"/>
      <c r="L6403" s="195"/>
      <c r="M6403" s="195">
        <v>0</v>
      </c>
      <c r="N6403" s="195">
        <v>0</v>
      </c>
    </row>
    <row r="6404" spans="1:14" hidden="1" x14ac:dyDescent="0.35">
      <c r="A6404" s="52" t="s">
        <v>751</v>
      </c>
      <c r="B6404" s="52" t="s">
        <v>245</v>
      </c>
      <c r="C6404" s="52" t="s">
        <v>247</v>
      </c>
      <c r="D6404" s="52" t="s">
        <v>247</v>
      </c>
      <c r="E6404" s="52" t="s">
        <v>584</v>
      </c>
      <c r="F6404" s="52" t="s">
        <v>26</v>
      </c>
      <c r="G6404" s="195" t="s">
        <v>278</v>
      </c>
      <c r="H6404" s="195">
        <v>8.4144370000000003E-3</v>
      </c>
      <c r="I6404" s="195">
        <v>8.4144370000000003E-3</v>
      </c>
      <c r="J6404" s="195">
        <v>0</v>
      </c>
      <c r="K6404" s="195">
        <v>0</v>
      </c>
      <c r="L6404" s="195">
        <v>0</v>
      </c>
      <c r="M6404" s="195">
        <v>0</v>
      </c>
      <c r="N6404" s="195"/>
    </row>
    <row r="6405" spans="1:14" hidden="1" x14ac:dyDescent="0.35">
      <c r="A6405" s="52" t="s">
        <v>712</v>
      </c>
      <c r="B6405" s="52" t="s">
        <v>34</v>
      </c>
      <c r="C6405" s="52" t="s">
        <v>230</v>
      </c>
      <c r="D6405" s="52" t="s">
        <v>230</v>
      </c>
      <c r="E6405" s="52" t="s">
        <v>584</v>
      </c>
      <c r="F6405" s="52" t="s">
        <v>581</v>
      </c>
      <c r="G6405" s="195" t="s">
        <v>275</v>
      </c>
      <c r="H6405" s="195">
        <v>86.704300000000003</v>
      </c>
      <c r="I6405" s="195">
        <v>17.615259999999999</v>
      </c>
      <c r="J6405" s="195">
        <v>19.96902</v>
      </c>
      <c r="K6405" s="195">
        <v>11.011710000000001</v>
      </c>
      <c r="L6405" s="195">
        <v>-8.140663</v>
      </c>
      <c r="M6405" s="195">
        <v>-2.9123579999999998</v>
      </c>
      <c r="N6405" s="195">
        <v>-5.4950429999999999</v>
      </c>
    </row>
    <row r="6406" spans="1:14" hidden="1" x14ac:dyDescent="0.35">
      <c r="A6406" s="52" t="s">
        <v>712</v>
      </c>
      <c r="B6406" s="52" t="s">
        <v>34</v>
      </c>
      <c r="C6406" s="52" t="s">
        <v>230</v>
      </c>
      <c r="D6406" s="52" t="s">
        <v>230</v>
      </c>
      <c r="E6406" s="52" t="s">
        <v>584</v>
      </c>
      <c r="F6406" s="52" t="s">
        <v>581</v>
      </c>
      <c r="G6406" s="195" t="s">
        <v>276</v>
      </c>
      <c r="H6406" s="195">
        <v>33.792949999999998</v>
      </c>
      <c r="I6406" s="195">
        <v>0.35848200000000002</v>
      </c>
      <c r="J6406" s="195">
        <v>0.80404370000000003</v>
      </c>
      <c r="K6406" s="195">
        <v>4.1168690000000003</v>
      </c>
      <c r="L6406" s="195">
        <v>0.40774129999999997</v>
      </c>
      <c r="M6406" s="195">
        <v>4.6683760000000003</v>
      </c>
      <c r="N6406" s="195">
        <v>1.718423</v>
      </c>
    </row>
    <row r="6407" spans="1:14" hidden="1" x14ac:dyDescent="0.35">
      <c r="A6407" s="52" t="s">
        <v>712</v>
      </c>
      <c r="B6407" s="52" t="s">
        <v>34</v>
      </c>
      <c r="C6407" s="52" t="s">
        <v>230</v>
      </c>
      <c r="D6407" s="52" t="s">
        <v>230</v>
      </c>
      <c r="E6407" s="52" t="s">
        <v>584</v>
      </c>
      <c r="F6407" s="52" t="s">
        <v>581</v>
      </c>
      <c r="G6407" s="195" t="s">
        <v>277</v>
      </c>
      <c r="H6407" s="195">
        <v>70.278390000000002</v>
      </c>
      <c r="I6407" s="195">
        <v>48.5214</v>
      </c>
      <c r="J6407" s="195">
        <v>47.006059999999998</v>
      </c>
      <c r="K6407" s="195">
        <v>55.427399999999999</v>
      </c>
      <c r="L6407" s="195">
        <v>62.642389999999999</v>
      </c>
      <c r="M6407" s="195">
        <v>75.737629999999996</v>
      </c>
      <c r="N6407" s="195">
        <v>78.124009999999998</v>
      </c>
    </row>
    <row r="6408" spans="1:14" hidden="1" x14ac:dyDescent="0.35">
      <c r="A6408" s="52" t="s">
        <v>712</v>
      </c>
      <c r="B6408" s="52" t="s">
        <v>34</v>
      </c>
      <c r="C6408" s="52" t="s">
        <v>230</v>
      </c>
      <c r="D6408" s="52" t="s">
        <v>230</v>
      </c>
      <c r="E6408" s="52" t="s">
        <v>584</v>
      </c>
      <c r="F6408" s="52" t="s">
        <v>581</v>
      </c>
      <c r="G6408" s="195" t="s">
        <v>278</v>
      </c>
      <c r="H6408" s="195">
        <v>0</v>
      </c>
      <c r="I6408" s="195"/>
      <c r="J6408" s="195"/>
      <c r="K6408" s="195"/>
      <c r="L6408" s="195"/>
      <c r="M6408" s="195"/>
      <c r="N6408" s="195"/>
    </row>
    <row r="6409" spans="1:14" hidden="1" x14ac:dyDescent="0.35">
      <c r="A6409" s="52" t="s">
        <v>712</v>
      </c>
      <c r="B6409" s="52" t="s">
        <v>34</v>
      </c>
      <c r="C6409" s="52" t="s">
        <v>230</v>
      </c>
      <c r="D6409" s="52" t="s">
        <v>230</v>
      </c>
      <c r="E6409" s="52" t="s">
        <v>584</v>
      </c>
      <c r="F6409" s="52" t="s">
        <v>581</v>
      </c>
      <c r="G6409" s="195" t="s">
        <v>279</v>
      </c>
      <c r="H6409" s="195">
        <v>44.664110000000001</v>
      </c>
      <c r="I6409" s="195">
        <v>47.165230000000001</v>
      </c>
      <c r="J6409" s="195">
        <v>52.236629999999998</v>
      </c>
      <c r="K6409" s="195">
        <v>57.798160000000003</v>
      </c>
      <c r="L6409" s="195">
        <v>69.978350000000006</v>
      </c>
      <c r="M6409" s="195">
        <v>50.312669999999997</v>
      </c>
      <c r="N6409" s="195">
        <v>48.589530000000003</v>
      </c>
    </row>
    <row r="6410" spans="1:14" hidden="1" x14ac:dyDescent="0.35">
      <c r="A6410" s="52" t="s">
        <v>712</v>
      </c>
      <c r="B6410" s="52" t="s">
        <v>34</v>
      </c>
      <c r="C6410" s="52" t="s">
        <v>230</v>
      </c>
      <c r="D6410" s="52" t="s">
        <v>230</v>
      </c>
      <c r="E6410" s="52" t="s">
        <v>584</v>
      </c>
      <c r="F6410" s="52" t="s">
        <v>26</v>
      </c>
      <c r="G6410" s="195" t="s">
        <v>275</v>
      </c>
      <c r="H6410" s="195">
        <v>-0.76818200000000003</v>
      </c>
      <c r="I6410" s="195">
        <v>-0.97244520000000001</v>
      </c>
      <c r="J6410" s="195">
        <v>-0.65690879999999996</v>
      </c>
      <c r="K6410" s="195">
        <v>-0.56014560000000002</v>
      </c>
      <c r="L6410" s="195">
        <v>-8.478453</v>
      </c>
      <c r="M6410" s="195"/>
      <c r="N6410" s="195"/>
    </row>
    <row r="6411" spans="1:14" hidden="1" x14ac:dyDescent="0.35">
      <c r="A6411" s="52" t="s">
        <v>712</v>
      </c>
      <c r="B6411" s="52" t="s">
        <v>34</v>
      </c>
      <c r="C6411" s="52" t="s">
        <v>230</v>
      </c>
      <c r="D6411" s="52" t="s">
        <v>230</v>
      </c>
      <c r="E6411" s="52" t="s">
        <v>584</v>
      </c>
      <c r="F6411" s="52" t="s">
        <v>26</v>
      </c>
      <c r="G6411" s="195" t="s">
        <v>276</v>
      </c>
      <c r="H6411" s="195">
        <v>-0.28412100000000001</v>
      </c>
      <c r="I6411" s="195">
        <v>-0.35967199999999999</v>
      </c>
      <c r="J6411" s="195">
        <v>-0.2429666</v>
      </c>
      <c r="K6411" s="195">
        <v>-0.20717720000000001</v>
      </c>
      <c r="L6411" s="195">
        <v>-3.1358649999999999</v>
      </c>
      <c r="M6411" s="195"/>
      <c r="N6411" s="195"/>
    </row>
    <row r="6412" spans="1:14" hidden="1" x14ac:dyDescent="0.35">
      <c r="A6412" s="52" t="s">
        <v>712</v>
      </c>
      <c r="B6412" s="52" t="s">
        <v>34</v>
      </c>
      <c r="C6412" s="52" t="s">
        <v>230</v>
      </c>
      <c r="D6412" s="52" t="s">
        <v>230</v>
      </c>
      <c r="E6412" s="52" t="s">
        <v>584</v>
      </c>
      <c r="F6412" s="52" t="s">
        <v>26</v>
      </c>
      <c r="G6412" s="195" t="s">
        <v>279</v>
      </c>
      <c r="H6412" s="195">
        <v>5.1151929999999997</v>
      </c>
      <c r="I6412" s="195">
        <v>3.4588960000000002</v>
      </c>
      <c r="J6412" s="195">
        <v>2.3701270000000001</v>
      </c>
      <c r="K6412" s="195">
        <v>1.7772410000000001</v>
      </c>
      <c r="L6412" s="195">
        <v>11.767060000000001</v>
      </c>
      <c r="M6412" s="195">
        <v>0.179808</v>
      </c>
      <c r="N6412" s="195"/>
    </row>
    <row r="6413" spans="1:14" hidden="1" x14ac:dyDescent="0.35">
      <c r="A6413" s="52" t="s">
        <v>712</v>
      </c>
      <c r="B6413" s="52" t="s">
        <v>34</v>
      </c>
      <c r="C6413" s="52" t="s">
        <v>230</v>
      </c>
      <c r="D6413" s="52" t="s">
        <v>230</v>
      </c>
      <c r="E6413" s="52" t="s">
        <v>697</v>
      </c>
      <c r="F6413" s="52" t="s">
        <v>581</v>
      </c>
      <c r="G6413" s="195" t="s">
        <v>275</v>
      </c>
      <c r="H6413" s="195">
        <v>10.300039999999999</v>
      </c>
      <c r="I6413" s="195">
        <v>2.6695609999999999</v>
      </c>
      <c r="J6413" s="195">
        <v>20.8874</v>
      </c>
      <c r="K6413" s="195">
        <v>18.22165</v>
      </c>
      <c r="L6413" s="195">
        <v>11.4261</v>
      </c>
      <c r="M6413" s="195">
        <v>11.13696</v>
      </c>
      <c r="N6413" s="195">
        <v>8.7256330000000002</v>
      </c>
    </row>
    <row r="6414" spans="1:14" hidden="1" x14ac:dyDescent="0.35">
      <c r="A6414" s="52" t="s">
        <v>712</v>
      </c>
      <c r="B6414" s="52" t="s">
        <v>34</v>
      </c>
      <c r="C6414" s="52" t="s">
        <v>230</v>
      </c>
      <c r="D6414" s="52" t="s">
        <v>230</v>
      </c>
      <c r="E6414" s="52" t="s">
        <v>697</v>
      </c>
      <c r="F6414" s="52" t="s">
        <v>581</v>
      </c>
      <c r="G6414" s="195" t="s">
        <v>276</v>
      </c>
      <c r="H6414" s="195">
        <v>13.657970000000001</v>
      </c>
      <c r="I6414" s="195">
        <v>-7.0272040000000002</v>
      </c>
      <c r="J6414" s="195">
        <v>-6.7803420000000001</v>
      </c>
      <c r="K6414" s="195">
        <v>-4.0660629999999998</v>
      </c>
      <c r="L6414" s="195">
        <v>0.3235595</v>
      </c>
      <c r="M6414" s="195">
        <v>2.6439149999999998</v>
      </c>
      <c r="N6414" s="195">
        <v>2.7879839999999998</v>
      </c>
    </row>
    <row r="6415" spans="1:14" hidden="1" x14ac:dyDescent="0.35">
      <c r="A6415" s="52" t="s">
        <v>712</v>
      </c>
      <c r="B6415" s="52" t="s">
        <v>34</v>
      </c>
      <c r="C6415" s="52" t="s">
        <v>230</v>
      </c>
      <c r="D6415" s="52" t="s">
        <v>230</v>
      </c>
      <c r="E6415" s="52" t="s">
        <v>697</v>
      </c>
      <c r="F6415" s="52" t="s">
        <v>581</v>
      </c>
      <c r="G6415" s="195" t="s">
        <v>277</v>
      </c>
      <c r="H6415" s="195">
        <v>67.414820000000006</v>
      </c>
      <c r="I6415" s="195">
        <v>33.343249999999998</v>
      </c>
      <c r="J6415" s="195">
        <v>5.9738129999999998</v>
      </c>
      <c r="K6415" s="195">
        <v>4.0028969999999999</v>
      </c>
      <c r="L6415" s="195">
        <v>3.1445270000000001</v>
      </c>
      <c r="M6415" s="195">
        <v>1.4389590000000001</v>
      </c>
      <c r="N6415" s="195">
        <v>2.1609039999999999</v>
      </c>
    </row>
    <row r="6416" spans="1:14" hidden="1" x14ac:dyDescent="0.35">
      <c r="A6416" s="52" t="s">
        <v>712</v>
      </c>
      <c r="B6416" s="52" t="s">
        <v>34</v>
      </c>
      <c r="C6416" s="52" t="s">
        <v>230</v>
      </c>
      <c r="D6416" s="52" t="s">
        <v>230</v>
      </c>
      <c r="E6416" s="52" t="s">
        <v>697</v>
      </c>
      <c r="F6416" s="52" t="s">
        <v>581</v>
      </c>
      <c r="G6416" s="195" t="s">
        <v>278</v>
      </c>
      <c r="H6416" s="195">
        <v>18.23357</v>
      </c>
      <c r="I6416" s="195">
        <v>7.624422</v>
      </c>
      <c r="J6416" s="195">
        <v>5.2060719999999998</v>
      </c>
      <c r="K6416" s="195">
        <v>2.975651</v>
      </c>
      <c r="L6416" s="195">
        <v>2.495797</v>
      </c>
      <c r="M6416" s="195">
        <v>1.175834</v>
      </c>
      <c r="N6416" s="195">
        <v>1.333318</v>
      </c>
    </row>
    <row r="6417" spans="1:14" hidden="1" x14ac:dyDescent="0.35">
      <c r="A6417" s="52" t="s">
        <v>712</v>
      </c>
      <c r="B6417" s="52" t="s">
        <v>34</v>
      </c>
      <c r="C6417" s="52" t="s">
        <v>230</v>
      </c>
      <c r="D6417" s="52" t="s">
        <v>230</v>
      </c>
      <c r="E6417" s="52" t="s">
        <v>697</v>
      </c>
      <c r="F6417" s="52" t="s">
        <v>581</v>
      </c>
      <c r="G6417" s="195" t="s">
        <v>279</v>
      </c>
      <c r="H6417" s="195">
        <v>20.87687</v>
      </c>
      <c r="I6417" s="195">
        <v>21.626670000000001</v>
      </c>
      <c r="J6417" s="195">
        <v>18.138390000000001</v>
      </c>
      <c r="K6417" s="195">
        <v>15.98715</v>
      </c>
      <c r="L6417" s="195">
        <v>15.28459</v>
      </c>
      <c r="M6417" s="195">
        <v>11.452680000000001</v>
      </c>
      <c r="N6417" s="195">
        <v>9.9978409999999993</v>
      </c>
    </row>
    <row r="6418" spans="1:14" hidden="1" x14ac:dyDescent="0.35">
      <c r="A6418" s="52" t="s">
        <v>712</v>
      </c>
      <c r="B6418" s="52" t="s">
        <v>34</v>
      </c>
      <c r="C6418" s="52" t="s">
        <v>230</v>
      </c>
      <c r="D6418" s="52" t="s">
        <v>230</v>
      </c>
      <c r="E6418" s="52" t="s">
        <v>697</v>
      </c>
      <c r="F6418" s="52" t="s">
        <v>26</v>
      </c>
      <c r="G6418" s="195" t="s">
        <v>275</v>
      </c>
      <c r="H6418" s="195">
        <v>0.22792399999999999</v>
      </c>
      <c r="I6418" s="195">
        <v>-4.3534400000000001E-2</v>
      </c>
      <c r="J6418" s="195">
        <v>-5.8744000000000001E-3</v>
      </c>
      <c r="K6418" s="195">
        <v>-1.0124599999999999E-2</v>
      </c>
      <c r="L6418" s="195">
        <v>-7.0313399999999998E-2</v>
      </c>
      <c r="M6418" s="195">
        <v>-3.0477999999999998E-3</v>
      </c>
      <c r="N6418" s="195">
        <v>7.3879960000000004E-4</v>
      </c>
    </row>
    <row r="6419" spans="1:14" hidden="1" x14ac:dyDescent="0.35">
      <c r="A6419" s="52" t="s">
        <v>712</v>
      </c>
      <c r="B6419" s="52" t="s">
        <v>34</v>
      </c>
      <c r="C6419" s="52" t="s">
        <v>230</v>
      </c>
      <c r="D6419" s="52" t="s">
        <v>230</v>
      </c>
      <c r="E6419" s="52" t="s">
        <v>697</v>
      </c>
      <c r="F6419" s="52" t="s">
        <v>26</v>
      </c>
      <c r="G6419" s="195" t="s">
        <v>276</v>
      </c>
      <c r="H6419" s="195">
        <v>8.43E-2</v>
      </c>
      <c r="I6419" s="195">
        <v>-1.6102200000000001E-2</v>
      </c>
      <c r="J6419" s="195">
        <v>-2.1724000000000001E-3</v>
      </c>
      <c r="K6419" s="195">
        <v>-3.7450000000000001E-3</v>
      </c>
      <c r="L6419" s="195">
        <v>-2.60062E-2</v>
      </c>
      <c r="M6419" s="195">
        <v>-1.127E-3</v>
      </c>
      <c r="N6419" s="195">
        <v>2.7299980000000001E-4</v>
      </c>
    </row>
    <row r="6420" spans="1:14" hidden="1" x14ac:dyDescent="0.35">
      <c r="A6420" s="52" t="s">
        <v>712</v>
      </c>
      <c r="B6420" s="52" t="s">
        <v>34</v>
      </c>
      <c r="C6420" s="52" t="s">
        <v>230</v>
      </c>
      <c r="D6420" s="52" t="s">
        <v>230</v>
      </c>
      <c r="E6420" s="52" t="s">
        <v>697</v>
      </c>
      <c r="F6420" s="52" t="s">
        <v>26</v>
      </c>
      <c r="G6420" s="195" t="s">
        <v>279</v>
      </c>
      <c r="H6420" s="195">
        <v>1.392957</v>
      </c>
      <c r="I6420" s="195">
        <v>1.1036889999999999</v>
      </c>
      <c r="J6420" s="195">
        <v>0.95616939999999995</v>
      </c>
      <c r="K6420" s="195">
        <v>0.82771499999999998</v>
      </c>
      <c r="L6420" s="195">
        <v>0.82541580000000003</v>
      </c>
      <c r="M6420" s="195">
        <v>0.63526919999999998</v>
      </c>
      <c r="N6420" s="195">
        <v>0.55819980000000002</v>
      </c>
    </row>
    <row r="6421" spans="1:14" hidden="1" x14ac:dyDescent="0.35">
      <c r="A6421" s="52" t="s">
        <v>712</v>
      </c>
      <c r="B6421" s="52" t="s">
        <v>34</v>
      </c>
      <c r="C6421" s="52" t="s">
        <v>33</v>
      </c>
      <c r="D6421" s="52" t="s">
        <v>33</v>
      </c>
      <c r="E6421" s="52" t="s">
        <v>713</v>
      </c>
      <c r="F6421" s="52" t="s">
        <v>581</v>
      </c>
      <c r="G6421" s="195" t="s">
        <v>275</v>
      </c>
      <c r="H6421" s="195">
        <v>-15.06596</v>
      </c>
      <c r="I6421" s="195">
        <v>-23.248819999999998</v>
      </c>
      <c r="J6421" s="195">
        <v>3.7723149999999999</v>
      </c>
      <c r="K6421" s="195">
        <v>2.1242190000000001</v>
      </c>
      <c r="L6421" s="195">
        <v>-1.183276</v>
      </c>
      <c r="M6421" s="195">
        <v>-1.6247750000000001</v>
      </c>
      <c r="N6421" s="195">
        <v>-1.4359729999999999</v>
      </c>
    </row>
    <row r="6422" spans="1:14" hidden="1" x14ac:dyDescent="0.35">
      <c r="A6422" s="52" t="s">
        <v>712</v>
      </c>
      <c r="B6422" s="52" t="s">
        <v>34</v>
      </c>
      <c r="C6422" s="52" t="s">
        <v>33</v>
      </c>
      <c r="D6422" s="52" t="s">
        <v>33</v>
      </c>
      <c r="E6422" s="52" t="s">
        <v>713</v>
      </c>
      <c r="F6422" s="52" t="s">
        <v>581</v>
      </c>
      <c r="G6422" s="195" t="s">
        <v>276</v>
      </c>
      <c r="H6422" s="195">
        <v>-2.5617830000000001</v>
      </c>
      <c r="I6422" s="195">
        <v>-9.8784030000000005</v>
      </c>
      <c r="J6422" s="195">
        <v>-7.184901</v>
      </c>
      <c r="K6422" s="195">
        <v>-4.8043529999999999</v>
      </c>
      <c r="L6422" s="195">
        <v>-2.66371</v>
      </c>
      <c r="M6422" s="195">
        <v>-0.50044719999999998</v>
      </c>
      <c r="N6422" s="195">
        <v>-0.42892780000000003</v>
      </c>
    </row>
    <row r="6423" spans="1:14" hidden="1" x14ac:dyDescent="0.35">
      <c r="A6423" s="52" t="s">
        <v>712</v>
      </c>
      <c r="B6423" s="52" t="s">
        <v>34</v>
      </c>
      <c r="C6423" s="52" t="s">
        <v>33</v>
      </c>
      <c r="D6423" s="52" t="s">
        <v>33</v>
      </c>
      <c r="E6423" s="52" t="s">
        <v>713</v>
      </c>
      <c r="F6423" s="52" t="s">
        <v>581</v>
      </c>
      <c r="G6423" s="195" t="s">
        <v>277</v>
      </c>
      <c r="H6423" s="195">
        <v>34.90343</v>
      </c>
      <c r="I6423" s="195">
        <v>25.18468</v>
      </c>
      <c r="J6423" s="195">
        <v>0</v>
      </c>
      <c r="K6423" s="195">
        <v>0</v>
      </c>
      <c r="L6423" s="195">
        <v>0</v>
      </c>
      <c r="M6423" s="195">
        <v>0</v>
      </c>
      <c r="N6423" s="195">
        <v>0</v>
      </c>
    </row>
    <row r="6424" spans="1:14" hidden="1" x14ac:dyDescent="0.35">
      <c r="A6424" s="52" t="s">
        <v>712</v>
      </c>
      <c r="B6424" s="52" t="s">
        <v>34</v>
      </c>
      <c r="C6424" s="52" t="s">
        <v>33</v>
      </c>
      <c r="D6424" s="52" t="s">
        <v>33</v>
      </c>
      <c r="E6424" s="52" t="s">
        <v>713</v>
      </c>
      <c r="F6424" s="52" t="s">
        <v>581</v>
      </c>
      <c r="G6424" s="195" t="s">
        <v>278</v>
      </c>
      <c r="H6424" s="195">
        <v>6.9738230000000003</v>
      </c>
      <c r="I6424" s="195">
        <v>5.5502549999999999</v>
      </c>
      <c r="J6424" s="195">
        <v>0.20252600000000001</v>
      </c>
      <c r="K6424" s="195">
        <v>0</v>
      </c>
      <c r="L6424" s="195">
        <v>0</v>
      </c>
      <c r="M6424" s="195">
        <v>0</v>
      </c>
      <c r="N6424" s="195">
        <v>0</v>
      </c>
    </row>
    <row r="6425" spans="1:14" hidden="1" x14ac:dyDescent="0.35">
      <c r="A6425" s="52" t="s">
        <v>712</v>
      </c>
      <c r="B6425" s="52" t="s">
        <v>34</v>
      </c>
      <c r="C6425" s="52" t="s">
        <v>33</v>
      </c>
      <c r="D6425" s="52" t="s">
        <v>33</v>
      </c>
      <c r="E6425" s="52" t="s">
        <v>713</v>
      </c>
      <c r="F6425" s="52" t="s">
        <v>581</v>
      </c>
      <c r="G6425" s="195" t="s">
        <v>279</v>
      </c>
      <c r="H6425" s="195">
        <v>20.190270000000002</v>
      </c>
      <c r="I6425" s="195">
        <v>17.285049999999998</v>
      </c>
      <c r="J6425" s="195">
        <v>14.59215</v>
      </c>
      <c r="K6425" s="195">
        <v>12.50414</v>
      </c>
      <c r="L6425" s="195">
        <v>12.714880000000001</v>
      </c>
      <c r="M6425" s="195">
        <v>10.172180000000001</v>
      </c>
      <c r="N6425" s="195">
        <v>9.1249579999999995</v>
      </c>
    </row>
    <row r="6426" spans="1:14" hidden="1" x14ac:dyDescent="0.35">
      <c r="A6426" s="52" t="s">
        <v>712</v>
      </c>
      <c r="B6426" s="52" t="s">
        <v>34</v>
      </c>
      <c r="C6426" s="52" t="s">
        <v>33</v>
      </c>
      <c r="D6426" s="52" t="s">
        <v>33</v>
      </c>
      <c r="E6426" s="52" t="s">
        <v>713</v>
      </c>
      <c r="F6426" s="52" t="s">
        <v>26</v>
      </c>
      <c r="G6426" s="195" t="s">
        <v>275</v>
      </c>
      <c r="H6426" s="195">
        <v>-10.9328</v>
      </c>
      <c r="I6426" s="195">
        <v>-13.49569</v>
      </c>
      <c r="J6426" s="195">
        <v>-9.1119230000000009</v>
      </c>
      <c r="K6426" s="195">
        <v>-7.8775589999999998</v>
      </c>
      <c r="L6426" s="195">
        <v>-9.1965389999999996</v>
      </c>
      <c r="M6426" s="195">
        <v>-6.2934609999999997</v>
      </c>
      <c r="N6426" s="195">
        <v>-5.6132840000000002</v>
      </c>
    </row>
    <row r="6427" spans="1:14" hidden="1" x14ac:dyDescent="0.35">
      <c r="A6427" s="52" t="s">
        <v>712</v>
      </c>
      <c r="B6427" s="52" t="s">
        <v>34</v>
      </c>
      <c r="C6427" s="52" t="s">
        <v>33</v>
      </c>
      <c r="D6427" s="52" t="s">
        <v>33</v>
      </c>
      <c r="E6427" s="52" t="s">
        <v>713</v>
      </c>
      <c r="F6427" s="52" t="s">
        <v>26</v>
      </c>
      <c r="G6427" s="195" t="s">
        <v>276</v>
      </c>
      <c r="H6427" s="195">
        <v>-3.9417599999999999</v>
      </c>
      <c r="I6427" s="195">
        <v>-4.4985619999999997</v>
      </c>
      <c r="J6427" s="195">
        <v>-2.8774489999999999</v>
      </c>
      <c r="K6427" s="195">
        <v>-2.3530359999999999</v>
      </c>
      <c r="L6427" s="195">
        <v>-2.7470189999999999</v>
      </c>
      <c r="M6427" s="195">
        <v>-1.8798649999999999</v>
      </c>
      <c r="N6427" s="195">
        <v>-1.676695</v>
      </c>
    </row>
    <row r="6428" spans="1:14" hidden="1" x14ac:dyDescent="0.35">
      <c r="A6428" s="52" t="s">
        <v>712</v>
      </c>
      <c r="B6428" s="52" t="s">
        <v>34</v>
      </c>
      <c r="C6428" s="52" t="s">
        <v>33</v>
      </c>
      <c r="D6428" s="52" t="s">
        <v>33</v>
      </c>
      <c r="E6428" s="52" t="s">
        <v>713</v>
      </c>
      <c r="F6428" s="52" t="s">
        <v>26</v>
      </c>
      <c r="G6428" s="195" t="s">
        <v>279</v>
      </c>
      <c r="H6428" s="195">
        <v>50.437399999999997</v>
      </c>
      <c r="I6428" s="195">
        <v>47.146210000000004</v>
      </c>
      <c r="J6428" s="195">
        <v>28.534120000000001</v>
      </c>
      <c r="K6428" s="195">
        <v>24.53144</v>
      </c>
      <c r="L6428" s="195">
        <v>24.864820000000002</v>
      </c>
      <c r="M6428" s="195">
        <v>19.897490000000001</v>
      </c>
      <c r="N6428" s="195">
        <v>17.85708</v>
      </c>
    </row>
    <row r="6429" spans="1:14" hidden="1" x14ac:dyDescent="0.35">
      <c r="A6429" s="52" t="s">
        <v>712</v>
      </c>
      <c r="B6429" s="52" t="s">
        <v>34</v>
      </c>
      <c r="C6429" s="52" t="s">
        <v>33</v>
      </c>
      <c r="D6429" s="52" t="s">
        <v>33</v>
      </c>
      <c r="E6429" s="52" t="s">
        <v>714</v>
      </c>
      <c r="F6429" s="52" t="s">
        <v>581</v>
      </c>
      <c r="G6429" s="195" t="s">
        <v>275</v>
      </c>
      <c r="H6429" s="195">
        <v>34.539709999999999</v>
      </c>
      <c r="I6429" s="195">
        <v>8.6000460000000007</v>
      </c>
      <c r="J6429" s="195">
        <v>8.5402149999999999</v>
      </c>
      <c r="K6429" s="195">
        <v>7.5069189999999999</v>
      </c>
      <c r="L6429" s="195">
        <v>5.8240129999999999</v>
      </c>
      <c r="M6429" s="195">
        <v>6.044664</v>
      </c>
      <c r="N6429" s="195">
        <v>4.4593920000000002</v>
      </c>
    </row>
    <row r="6430" spans="1:14" hidden="1" x14ac:dyDescent="0.35">
      <c r="A6430" s="52" t="s">
        <v>712</v>
      </c>
      <c r="B6430" s="52" t="s">
        <v>34</v>
      </c>
      <c r="C6430" s="52" t="s">
        <v>33</v>
      </c>
      <c r="D6430" s="52" t="s">
        <v>33</v>
      </c>
      <c r="E6430" s="52" t="s">
        <v>714</v>
      </c>
      <c r="F6430" s="52" t="s">
        <v>581</v>
      </c>
      <c r="G6430" s="195" t="s">
        <v>276</v>
      </c>
      <c r="H6430" s="195">
        <v>9.656822</v>
      </c>
      <c r="I6430" s="195">
        <v>1.91812</v>
      </c>
      <c r="J6430" s="195">
        <v>1.9200660000000001</v>
      </c>
      <c r="K6430" s="195">
        <v>1.921473</v>
      </c>
      <c r="L6430" s="195">
        <v>1.5151220000000001</v>
      </c>
      <c r="M6430" s="195">
        <v>1.7985610000000001</v>
      </c>
      <c r="N6430" s="195">
        <v>1.636989</v>
      </c>
    </row>
    <row r="6431" spans="1:14" hidden="1" x14ac:dyDescent="0.35">
      <c r="A6431" s="52" t="s">
        <v>712</v>
      </c>
      <c r="B6431" s="52" t="s">
        <v>34</v>
      </c>
      <c r="C6431" s="52" t="s">
        <v>33</v>
      </c>
      <c r="D6431" s="52" t="s">
        <v>33</v>
      </c>
      <c r="E6431" s="52" t="s">
        <v>714</v>
      </c>
      <c r="F6431" s="52" t="s">
        <v>581</v>
      </c>
      <c r="G6431" s="195" t="s">
        <v>277</v>
      </c>
      <c r="H6431" s="195">
        <v>0</v>
      </c>
      <c r="I6431" s="195">
        <v>4.4800000000000004</v>
      </c>
      <c r="J6431" s="195">
        <v>0.15322179999999999</v>
      </c>
      <c r="K6431" s="195">
        <v>0.14459939999999999</v>
      </c>
      <c r="L6431" s="195">
        <v>0.39735039999999999</v>
      </c>
      <c r="M6431" s="195">
        <v>0.19170400000000001</v>
      </c>
      <c r="N6431" s="195">
        <v>1.4160969999999999</v>
      </c>
    </row>
    <row r="6432" spans="1:14" hidden="1" x14ac:dyDescent="0.35">
      <c r="A6432" s="52" t="s">
        <v>712</v>
      </c>
      <c r="B6432" s="52" t="s">
        <v>34</v>
      </c>
      <c r="C6432" s="52" t="s">
        <v>33</v>
      </c>
      <c r="D6432" s="52" t="s">
        <v>33</v>
      </c>
      <c r="E6432" s="52" t="s">
        <v>714</v>
      </c>
      <c r="F6432" s="52" t="s">
        <v>581</v>
      </c>
      <c r="G6432" s="195" t="s">
        <v>278</v>
      </c>
      <c r="H6432" s="195">
        <v>0</v>
      </c>
      <c r="I6432" s="195">
        <v>0.4</v>
      </c>
      <c r="J6432" s="195">
        <v>0.16822519999999999</v>
      </c>
      <c r="K6432" s="195">
        <v>0.1570066</v>
      </c>
      <c r="L6432" s="195">
        <v>0.43480079999999999</v>
      </c>
      <c r="M6432" s="195">
        <v>0.26217040000000003</v>
      </c>
      <c r="N6432" s="195">
        <v>0.47439540000000002</v>
      </c>
    </row>
    <row r="6433" spans="1:14" hidden="1" x14ac:dyDescent="0.35">
      <c r="A6433" s="52" t="s">
        <v>712</v>
      </c>
      <c r="B6433" s="52" t="s">
        <v>34</v>
      </c>
      <c r="C6433" s="52" t="s">
        <v>33</v>
      </c>
      <c r="D6433" s="52" t="s">
        <v>33</v>
      </c>
      <c r="E6433" s="52" t="s">
        <v>714</v>
      </c>
      <c r="F6433" s="52" t="s">
        <v>581</v>
      </c>
      <c r="G6433" s="195" t="s">
        <v>279</v>
      </c>
      <c r="H6433" s="195">
        <v>8.207592</v>
      </c>
      <c r="I6433" s="195">
        <v>9.935314</v>
      </c>
      <c r="J6433" s="195">
        <v>8.3137360000000005</v>
      </c>
      <c r="K6433" s="195">
        <v>7.4118060000000003</v>
      </c>
      <c r="L6433" s="195">
        <v>7.6741070000000002</v>
      </c>
      <c r="M6433" s="195">
        <v>6.1111890000000004</v>
      </c>
      <c r="N6433" s="195">
        <v>5.6977570000000002</v>
      </c>
    </row>
    <row r="6434" spans="1:14" hidden="1" x14ac:dyDescent="0.35">
      <c r="A6434" s="52" t="s">
        <v>712</v>
      </c>
      <c r="B6434" s="52" t="s">
        <v>34</v>
      </c>
      <c r="C6434" s="52" t="s">
        <v>33</v>
      </c>
      <c r="D6434" s="52" t="s">
        <v>33</v>
      </c>
      <c r="E6434" s="52" t="s">
        <v>714</v>
      </c>
      <c r="F6434" s="52" t="s">
        <v>26</v>
      </c>
      <c r="G6434" s="195" t="s">
        <v>275</v>
      </c>
      <c r="H6434" s="195">
        <v>-0.47105799999999998</v>
      </c>
      <c r="I6434" s="195">
        <v>-0.6026764</v>
      </c>
      <c r="J6434" s="195">
        <v>-0.61060899999999996</v>
      </c>
      <c r="K6434" s="195">
        <v>-0.57332000000000005</v>
      </c>
      <c r="L6434" s="195">
        <v>-0.68448249999999999</v>
      </c>
      <c r="M6434" s="195">
        <v>-0.45023099999999999</v>
      </c>
      <c r="N6434" s="195">
        <v>-0.40873019999999999</v>
      </c>
    </row>
    <row r="6435" spans="1:14" hidden="1" x14ac:dyDescent="0.35">
      <c r="A6435" s="52" t="s">
        <v>712</v>
      </c>
      <c r="B6435" s="52" t="s">
        <v>34</v>
      </c>
      <c r="C6435" s="52" t="s">
        <v>33</v>
      </c>
      <c r="D6435" s="52" t="s">
        <v>33</v>
      </c>
      <c r="E6435" s="52" t="s">
        <v>714</v>
      </c>
      <c r="F6435" s="52" t="s">
        <v>26</v>
      </c>
      <c r="G6435" s="195" t="s">
        <v>276</v>
      </c>
      <c r="H6435" s="195">
        <v>-0.16983599999999999</v>
      </c>
      <c r="I6435" s="195">
        <v>-0.20089199999999999</v>
      </c>
      <c r="J6435" s="195">
        <v>-0.19282340000000001</v>
      </c>
      <c r="K6435" s="195">
        <v>-0.17125180000000001</v>
      </c>
      <c r="L6435" s="195">
        <v>-0.20445579999999999</v>
      </c>
      <c r="M6435" s="195">
        <v>-0.1344852</v>
      </c>
      <c r="N6435" s="195">
        <v>-0.1220878</v>
      </c>
    </row>
    <row r="6436" spans="1:14" hidden="1" x14ac:dyDescent="0.35">
      <c r="A6436" s="52" t="s">
        <v>712</v>
      </c>
      <c r="B6436" s="52" t="s">
        <v>34</v>
      </c>
      <c r="C6436" s="52" t="s">
        <v>33</v>
      </c>
      <c r="D6436" s="52" t="s">
        <v>33</v>
      </c>
      <c r="E6436" s="52" t="s">
        <v>714</v>
      </c>
      <c r="F6436" s="52" t="s">
        <v>26</v>
      </c>
      <c r="G6436" s="195" t="s">
        <v>279</v>
      </c>
      <c r="H6436" s="195">
        <v>3.2329210000000002</v>
      </c>
      <c r="I6436" s="195">
        <v>2.7036519999999999</v>
      </c>
      <c r="J6436" s="195">
        <v>2.300843</v>
      </c>
      <c r="K6436" s="195">
        <v>2.0900340000000002</v>
      </c>
      <c r="L6436" s="195">
        <v>2.132762</v>
      </c>
      <c r="M6436" s="195">
        <v>1.7121599999999999</v>
      </c>
      <c r="N6436" s="195">
        <v>1.59267</v>
      </c>
    </row>
    <row r="6437" spans="1:14" hidden="1" x14ac:dyDescent="0.35">
      <c r="A6437" s="52" t="s">
        <v>712</v>
      </c>
      <c r="B6437" s="52" t="s">
        <v>34</v>
      </c>
      <c r="C6437" s="52" t="s">
        <v>33</v>
      </c>
      <c r="D6437" s="52" t="s">
        <v>33</v>
      </c>
      <c r="E6437" s="52" t="s">
        <v>675</v>
      </c>
      <c r="F6437" s="52" t="s">
        <v>581</v>
      </c>
      <c r="G6437" s="195" t="s">
        <v>275</v>
      </c>
      <c r="H6437" s="195">
        <v>6.4189860000000003</v>
      </c>
      <c r="I6437" s="195">
        <v>0.72329140000000003</v>
      </c>
      <c r="J6437" s="195">
        <v>0.29191879999999998</v>
      </c>
      <c r="K6437" s="195">
        <v>0.2240866</v>
      </c>
      <c r="L6437" s="195">
        <v>0.10149039999999999</v>
      </c>
      <c r="M6437" s="195">
        <v>0.22640640000000001</v>
      </c>
      <c r="N6437" s="195">
        <v>0.20312620000000001</v>
      </c>
    </row>
    <row r="6438" spans="1:14" hidden="1" x14ac:dyDescent="0.35">
      <c r="A6438" s="52" t="s">
        <v>712</v>
      </c>
      <c r="B6438" s="52" t="s">
        <v>34</v>
      </c>
      <c r="C6438" s="52" t="s">
        <v>33</v>
      </c>
      <c r="D6438" s="52" t="s">
        <v>33</v>
      </c>
      <c r="E6438" s="52" t="s">
        <v>675</v>
      </c>
      <c r="F6438" s="52" t="s">
        <v>581</v>
      </c>
      <c r="G6438" s="195" t="s">
        <v>276</v>
      </c>
      <c r="H6438" s="195">
        <v>2.3143280000000002</v>
      </c>
      <c r="I6438" s="195">
        <v>0.2410968</v>
      </c>
      <c r="J6438" s="195">
        <v>9.2184799999999997E-2</v>
      </c>
      <c r="K6438" s="195">
        <v>6.6934800000000003E-2</v>
      </c>
      <c r="L6438" s="195">
        <v>3.0315999999999999E-2</v>
      </c>
      <c r="M6438" s="195">
        <v>6.7628590000000002E-2</v>
      </c>
      <c r="N6438" s="195">
        <v>6.0674209999999999E-2</v>
      </c>
    </row>
    <row r="6439" spans="1:14" hidden="1" x14ac:dyDescent="0.35">
      <c r="A6439" s="52" t="s">
        <v>712</v>
      </c>
      <c r="B6439" s="52" t="s">
        <v>34</v>
      </c>
      <c r="C6439" s="52" t="s">
        <v>33</v>
      </c>
      <c r="D6439" s="52" t="s">
        <v>33</v>
      </c>
      <c r="E6439" s="52" t="s">
        <v>675</v>
      </c>
      <c r="F6439" s="52" t="s">
        <v>581</v>
      </c>
      <c r="G6439" s="195" t="s">
        <v>279</v>
      </c>
      <c r="H6439" s="195">
        <v>3.509776</v>
      </c>
      <c r="I6439" s="195">
        <v>2.8814359999999999</v>
      </c>
      <c r="J6439" s="195">
        <v>2.1621299999999999</v>
      </c>
      <c r="K6439" s="195">
        <v>1.809302</v>
      </c>
      <c r="L6439" s="195">
        <v>1.7045330000000001</v>
      </c>
      <c r="M6439" s="195">
        <v>1.365048</v>
      </c>
      <c r="N6439" s="195">
        <v>1.251077</v>
      </c>
    </row>
    <row r="6440" spans="1:14" hidden="1" x14ac:dyDescent="0.35">
      <c r="A6440" s="52" t="s">
        <v>712</v>
      </c>
      <c r="B6440" s="52" t="s">
        <v>34</v>
      </c>
      <c r="C6440" s="52" t="s">
        <v>33</v>
      </c>
      <c r="D6440" s="52" t="s">
        <v>33</v>
      </c>
      <c r="E6440" s="52" t="s">
        <v>675</v>
      </c>
      <c r="F6440" s="52" t="s">
        <v>26</v>
      </c>
      <c r="G6440" s="195" t="s">
        <v>275</v>
      </c>
      <c r="H6440" s="195">
        <v>-5.6720660000000001</v>
      </c>
      <c r="I6440" s="195">
        <v>-6.394539</v>
      </c>
      <c r="J6440" s="195">
        <v>0.39356439999999998</v>
      </c>
      <c r="K6440" s="195">
        <v>-0.74462379999999995</v>
      </c>
      <c r="L6440" s="195">
        <v>-1.4494720000000001</v>
      </c>
      <c r="M6440" s="195">
        <v>-1.137508</v>
      </c>
      <c r="N6440" s="195">
        <v>-1.05766</v>
      </c>
    </row>
    <row r="6441" spans="1:14" hidden="1" x14ac:dyDescent="0.35">
      <c r="A6441" s="52" t="s">
        <v>712</v>
      </c>
      <c r="B6441" s="52" t="s">
        <v>34</v>
      </c>
      <c r="C6441" s="52" t="s">
        <v>33</v>
      </c>
      <c r="D6441" s="52" t="s">
        <v>33</v>
      </c>
      <c r="E6441" s="52" t="s">
        <v>675</v>
      </c>
      <c r="F6441" s="52" t="s">
        <v>26</v>
      </c>
      <c r="G6441" s="195" t="s">
        <v>276</v>
      </c>
      <c r="H6441" s="195">
        <v>-3.1194459999999999</v>
      </c>
      <c r="I6441" s="195">
        <v>-3.5928420000000001</v>
      </c>
      <c r="J6441" s="195">
        <v>-2.6455440000000001</v>
      </c>
      <c r="K6441" s="195">
        <v>-1.2391380000000001</v>
      </c>
      <c r="L6441" s="195">
        <v>-0.9182034</v>
      </c>
      <c r="M6441" s="195">
        <v>-0.33977560000000001</v>
      </c>
      <c r="N6441" s="195">
        <v>-0.31592480000000001</v>
      </c>
    </row>
    <row r="6442" spans="1:14" hidden="1" x14ac:dyDescent="0.35">
      <c r="A6442" s="52" t="s">
        <v>712</v>
      </c>
      <c r="B6442" s="52" t="s">
        <v>34</v>
      </c>
      <c r="C6442" s="52" t="s">
        <v>33</v>
      </c>
      <c r="D6442" s="52" t="s">
        <v>33</v>
      </c>
      <c r="E6442" s="52" t="s">
        <v>675</v>
      </c>
      <c r="F6442" s="52" t="s">
        <v>26</v>
      </c>
      <c r="G6442" s="195" t="s">
        <v>277</v>
      </c>
      <c r="H6442" s="195">
        <v>4.3283860000000001</v>
      </c>
      <c r="I6442" s="195">
        <v>4.5426169999999999</v>
      </c>
      <c r="J6442" s="195">
        <v>0</v>
      </c>
      <c r="K6442" s="195">
        <v>0</v>
      </c>
      <c r="L6442" s="195"/>
      <c r="M6442" s="195">
        <v>0</v>
      </c>
      <c r="N6442" s="195"/>
    </row>
    <row r="6443" spans="1:14" hidden="1" x14ac:dyDescent="0.35">
      <c r="A6443" s="52" t="s">
        <v>712</v>
      </c>
      <c r="B6443" s="52" t="s">
        <v>34</v>
      </c>
      <c r="C6443" s="52" t="s">
        <v>33</v>
      </c>
      <c r="D6443" s="52" t="s">
        <v>33</v>
      </c>
      <c r="E6443" s="52" t="s">
        <v>675</v>
      </c>
      <c r="F6443" s="52" t="s">
        <v>26</v>
      </c>
      <c r="G6443" s="195" t="s">
        <v>278</v>
      </c>
      <c r="H6443" s="195">
        <v>2.7887409999999999</v>
      </c>
      <c r="I6443" s="195">
        <v>1.955438</v>
      </c>
      <c r="J6443" s="195">
        <v>0</v>
      </c>
      <c r="K6443" s="195">
        <v>0</v>
      </c>
      <c r="L6443" s="195"/>
      <c r="M6443" s="195">
        <v>0</v>
      </c>
      <c r="N6443" s="195"/>
    </row>
    <row r="6444" spans="1:14" hidden="1" x14ac:dyDescent="0.35">
      <c r="A6444" s="52" t="s">
        <v>712</v>
      </c>
      <c r="B6444" s="52" t="s">
        <v>34</v>
      </c>
      <c r="C6444" s="52" t="s">
        <v>33</v>
      </c>
      <c r="D6444" s="52" t="s">
        <v>33</v>
      </c>
      <c r="E6444" s="52" t="s">
        <v>675</v>
      </c>
      <c r="F6444" s="52" t="s">
        <v>26</v>
      </c>
      <c r="G6444" s="195" t="s">
        <v>279</v>
      </c>
      <c r="H6444" s="195">
        <v>20.64124</v>
      </c>
      <c r="I6444" s="195">
        <v>17.371210000000001</v>
      </c>
      <c r="J6444" s="195">
        <v>8.3128949999999993</v>
      </c>
      <c r="K6444" s="195">
        <v>6.9910769999999998</v>
      </c>
      <c r="L6444" s="195">
        <v>6.7480440000000002</v>
      </c>
      <c r="M6444" s="195">
        <v>5.4341189999999999</v>
      </c>
      <c r="N6444" s="195">
        <v>4.9835070000000004</v>
      </c>
    </row>
    <row r="6445" spans="1:14" hidden="1" x14ac:dyDescent="0.35">
      <c r="A6445" s="52" t="s">
        <v>712</v>
      </c>
      <c r="B6445" s="52" t="s">
        <v>34</v>
      </c>
      <c r="C6445" s="52" t="s">
        <v>33</v>
      </c>
      <c r="D6445" s="52" t="s">
        <v>33</v>
      </c>
      <c r="E6445" s="52" t="s">
        <v>699</v>
      </c>
      <c r="F6445" s="52" t="s">
        <v>581</v>
      </c>
      <c r="G6445" s="195" t="s">
        <v>275</v>
      </c>
      <c r="H6445" s="195">
        <v>14.68599</v>
      </c>
      <c r="I6445" s="195">
        <v>5.7213039999999999</v>
      </c>
      <c r="J6445" s="195">
        <v>1.3195110000000001</v>
      </c>
      <c r="K6445" s="195">
        <v>0.99749339999999997</v>
      </c>
      <c r="L6445" s="195">
        <v>1.108568</v>
      </c>
      <c r="M6445" s="195">
        <v>1.8035319999999999</v>
      </c>
      <c r="N6445" s="195">
        <v>1.4355309999999999</v>
      </c>
    </row>
    <row r="6446" spans="1:14" hidden="1" x14ac:dyDescent="0.35">
      <c r="A6446" s="52" t="s">
        <v>712</v>
      </c>
      <c r="B6446" s="52" t="s">
        <v>34</v>
      </c>
      <c r="C6446" s="52" t="s">
        <v>33</v>
      </c>
      <c r="D6446" s="52" t="s">
        <v>33</v>
      </c>
      <c r="E6446" s="52" t="s">
        <v>699</v>
      </c>
      <c r="F6446" s="52" t="s">
        <v>581</v>
      </c>
      <c r="G6446" s="195" t="s">
        <v>276</v>
      </c>
      <c r="H6446" s="195">
        <v>2.5243540000000002</v>
      </c>
      <c r="I6446" s="195">
        <v>-1.043947</v>
      </c>
      <c r="J6446" s="195">
        <v>-0.33212760000000002</v>
      </c>
      <c r="K6446" s="195">
        <v>0.31951619999999997</v>
      </c>
      <c r="L6446" s="195">
        <v>0.34089979999999998</v>
      </c>
      <c r="M6446" s="195">
        <v>0.2801496</v>
      </c>
      <c r="N6446" s="195">
        <v>0.32421539999999999</v>
      </c>
    </row>
    <row r="6447" spans="1:14" hidden="1" x14ac:dyDescent="0.35">
      <c r="A6447" s="52" t="s">
        <v>712</v>
      </c>
      <c r="B6447" s="52" t="s">
        <v>34</v>
      </c>
      <c r="C6447" s="52" t="s">
        <v>33</v>
      </c>
      <c r="D6447" s="52" t="s">
        <v>33</v>
      </c>
      <c r="E6447" s="52" t="s">
        <v>699</v>
      </c>
      <c r="F6447" s="52" t="s">
        <v>581</v>
      </c>
      <c r="G6447" s="195" t="s">
        <v>277</v>
      </c>
      <c r="H6447" s="195">
        <v>1.715638</v>
      </c>
      <c r="I6447" s="195">
        <v>0</v>
      </c>
      <c r="J6447" s="195">
        <v>1.9485669999999999</v>
      </c>
      <c r="K6447" s="195">
        <v>1.3765799999999999</v>
      </c>
      <c r="L6447" s="195">
        <v>0.85921539999999996</v>
      </c>
      <c r="M6447" s="195">
        <v>0</v>
      </c>
      <c r="N6447" s="195">
        <v>0</v>
      </c>
    </row>
    <row r="6448" spans="1:14" hidden="1" x14ac:dyDescent="0.35">
      <c r="A6448" s="52" t="s">
        <v>712</v>
      </c>
      <c r="B6448" s="52" t="s">
        <v>34</v>
      </c>
      <c r="C6448" s="52" t="s">
        <v>33</v>
      </c>
      <c r="D6448" s="52" t="s">
        <v>33</v>
      </c>
      <c r="E6448" s="52" t="s">
        <v>699</v>
      </c>
      <c r="F6448" s="52" t="s">
        <v>581</v>
      </c>
      <c r="G6448" s="195" t="s">
        <v>278</v>
      </c>
      <c r="H6448" s="195">
        <v>1</v>
      </c>
      <c r="I6448" s="195">
        <v>0</v>
      </c>
      <c r="J6448" s="195"/>
      <c r="K6448" s="195"/>
      <c r="L6448" s="195"/>
      <c r="M6448" s="195"/>
      <c r="N6448" s="195"/>
    </row>
    <row r="6449" spans="1:14" hidden="1" x14ac:dyDescent="0.35">
      <c r="A6449" s="52" t="s">
        <v>712</v>
      </c>
      <c r="B6449" s="52" t="s">
        <v>34</v>
      </c>
      <c r="C6449" s="52" t="s">
        <v>33</v>
      </c>
      <c r="D6449" s="52" t="s">
        <v>33</v>
      </c>
      <c r="E6449" s="52" t="s">
        <v>699</v>
      </c>
      <c r="F6449" s="52" t="s">
        <v>581</v>
      </c>
      <c r="G6449" s="195" t="s">
        <v>279</v>
      </c>
      <c r="H6449" s="195">
        <v>3.0289640000000002</v>
      </c>
      <c r="I6449" s="195">
        <v>2.4257469999999999</v>
      </c>
      <c r="J6449" s="195">
        <v>1.9931049999999999</v>
      </c>
      <c r="K6449" s="195">
        <v>1.983412</v>
      </c>
      <c r="L6449" s="195">
        <v>1.900903</v>
      </c>
      <c r="M6449" s="195">
        <v>1.405259</v>
      </c>
      <c r="N6449" s="195">
        <v>1.164723</v>
      </c>
    </row>
    <row r="6450" spans="1:14" hidden="1" x14ac:dyDescent="0.35">
      <c r="A6450" s="52" t="s">
        <v>712</v>
      </c>
      <c r="B6450" s="52" t="s">
        <v>34</v>
      </c>
      <c r="C6450" s="52" t="s">
        <v>33</v>
      </c>
      <c r="D6450" s="52" t="s">
        <v>33</v>
      </c>
      <c r="E6450" s="52" t="s">
        <v>584</v>
      </c>
      <c r="F6450" s="52" t="s">
        <v>581</v>
      </c>
      <c r="G6450" s="195" t="s">
        <v>275</v>
      </c>
      <c r="H6450" s="195">
        <v>4.8784219999999996</v>
      </c>
      <c r="I6450" s="195">
        <v>0.67669820000000003</v>
      </c>
      <c r="J6450" s="195">
        <v>0.220725</v>
      </c>
      <c r="K6450" s="195">
        <v>0.1100954</v>
      </c>
      <c r="L6450" s="195">
        <v>-1.3450120000000001</v>
      </c>
      <c r="M6450" s="195">
        <v>5.2678000000000003E-2</v>
      </c>
      <c r="N6450" s="195">
        <v>-71.958789999999993</v>
      </c>
    </row>
    <row r="6451" spans="1:14" hidden="1" x14ac:dyDescent="0.35">
      <c r="A6451" s="52" t="s">
        <v>712</v>
      </c>
      <c r="B6451" s="52" t="s">
        <v>34</v>
      </c>
      <c r="C6451" s="52" t="s">
        <v>33</v>
      </c>
      <c r="D6451" s="52" t="s">
        <v>33</v>
      </c>
      <c r="E6451" s="52" t="s">
        <v>584</v>
      </c>
      <c r="F6451" s="52" t="s">
        <v>581</v>
      </c>
      <c r="G6451" s="195" t="s">
        <v>276</v>
      </c>
      <c r="H6451" s="195">
        <v>0.60214599999999996</v>
      </c>
      <c r="I6451" s="195">
        <v>7.467319E-2</v>
      </c>
      <c r="J6451" s="195">
        <v>5.9625209999999998E-2</v>
      </c>
      <c r="K6451" s="195">
        <v>1.8968800000000001E-2</v>
      </c>
      <c r="L6451" s="195">
        <v>-0.41472379999999998</v>
      </c>
      <c r="M6451" s="195">
        <v>7.0705990000000003E-3</v>
      </c>
      <c r="N6451" s="195">
        <v>-21.49999</v>
      </c>
    </row>
    <row r="6452" spans="1:14" hidden="1" x14ac:dyDescent="0.35">
      <c r="A6452" s="52" t="s">
        <v>712</v>
      </c>
      <c r="B6452" s="52" t="s">
        <v>34</v>
      </c>
      <c r="C6452" s="52" t="s">
        <v>33</v>
      </c>
      <c r="D6452" s="52" t="s">
        <v>33</v>
      </c>
      <c r="E6452" s="52" t="s">
        <v>584</v>
      </c>
      <c r="F6452" s="52" t="s">
        <v>581</v>
      </c>
      <c r="G6452" s="195" t="s">
        <v>277</v>
      </c>
      <c r="H6452" s="195">
        <v>0.91217899999999996</v>
      </c>
      <c r="I6452" s="195">
        <v>0.142877</v>
      </c>
      <c r="J6452" s="195">
        <v>9.5394999999999994E-2</v>
      </c>
      <c r="K6452" s="195">
        <v>6.3946000000000003E-2</v>
      </c>
      <c r="L6452" s="195">
        <v>4.2865E-2</v>
      </c>
      <c r="M6452" s="195">
        <v>2.8732400000000002E-2</v>
      </c>
      <c r="N6452" s="195">
        <v>1.9259399999999999E-2</v>
      </c>
    </row>
    <row r="6453" spans="1:14" hidden="1" x14ac:dyDescent="0.35">
      <c r="A6453" s="52" t="s">
        <v>712</v>
      </c>
      <c r="B6453" s="52" t="s">
        <v>34</v>
      </c>
      <c r="C6453" s="52" t="s">
        <v>33</v>
      </c>
      <c r="D6453" s="52" t="s">
        <v>33</v>
      </c>
      <c r="E6453" s="52" t="s">
        <v>584</v>
      </c>
      <c r="F6453" s="52" t="s">
        <v>581</v>
      </c>
      <c r="G6453" s="195" t="s">
        <v>279</v>
      </c>
      <c r="H6453" s="195">
        <v>2.1998440000000001</v>
      </c>
      <c r="I6453" s="195">
        <v>1.4799709999999999</v>
      </c>
      <c r="J6453" s="195">
        <v>1.203932</v>
      </c>
      <c r="K6453" s="195">
        <v>1.0686599999999999</v>
      </c>
      <c r="L6453" s="195">
        <v>2.5425529999999998</v>
      </c>
      <c r="M6453" s="195">
        <v>0.57042939999999998</v>
      </c>
      <c r="N6453" s="195">
        <v>93.651060000000001</v>
      </c>
    </row>
    <row r="6454" spans="1:14" hidden="1" x14ac:dyDescent="0.35">
      <c r="A6454" s="52" t="s">
        <v>712</v>
      </c>
      <c r="B6454" s="52" t="s">
        <v>34</v>
      </c>
      <c r="C6454" s="52" t="s">
        <v>33</v>
      </c>
      <c r="D6454" s="52" t="s">
        <v>33</v>
      </c>
      <c r="E6454" s="52" t="s">
        <v>584</v>
      </c>
      <c r="F6454" s="52" t="s">
        <v>26</v>
      </c>
      <c r="G6454" s="195" t="s">
        <v>275</v>
      </c>
      <c r="H6454" s="195">
        <v>-2.8522919999999998</v>
      </c>
      <c r="I6454" s="195">
        <v>-1.3196760000000001</v>
      </c>
      <c r="J6454" s="195">
        <v>-1.545898</v>
      </c>
      <c r="K6454" s="195">
        <v>-1.729651</v>
      </c>
      <c r="L6454" s="195">
        <v>-4.4795749999999996</v>
      </c>
      <c r="M6454" s="195">
        <v>-1.135049</v>
      </c>
      <c r="N6454" s="195">
        <v>-24.148910000000001</v>
      </c>
    </row>
    <row r="6455" spans="1:14" hidden="1" x14ac:dyDescent="0.35">
      <c r="A6455" s="52" t="s">
        <v>712</v>
      </c>
      <c r="B6455" s="52" t="s">
        <v>34</v>
      </c>
      <c r="C6455" s="52" t="s">
        <v>33</v>
      </c>
      <c r="D6455" s="52" t="s">
        <v>33</v>
      </c>
      <c r="E6455" s="52" t="s">
        <v>584</v>
      </c>
      <c r="F6455" s="52" t="s">
        <v>26</v>
      </c>
      <c r="G6455" s="195" t="s">
        <v>276</v>
      </c>
      <c r="H6455" s="195">
        <v>-1.115769</v>
      </c>
      <c r="I6455" s="195">
        <v>-0.99890979999999996</v>
      </c>
      <c r="J6455" s="195">
        <v>-0.64849020000000002</v>
      </c>
      <c r="K6455" s="195">
        <v>-0.58632039999999996</v>
      </c>
      <c r="L6455" s="195">
        <v>-1.3627419999999999</v>
      </c>
      <c r="M6455" s="195">
        <v>-0.33904079999999998</v>
      </c>
      <c r="N6455" s="195">
        <v>-7.2133120000000002</v>
      </c>
    </row>
    <row r="6456" spans="1:14" hidden="1" x14ac:dyDescent="0.35">
      <c r="A6456" s="52" t="s">
        <v>712</v>
      </c>
      <c r="B6456" s="52" t="s">
        <v>34</v>
      </c>
      <c r="C6456" s="52" t="s">
        <v>33</v>
      </c>
      <c r="D6456" s="52" t="s">
        <v>33</v>
      </c>
      <c r="E6456" s="52" t="s">
        <v>584</v>
      </c>
      <c r="F6456" s="52" t="s">
        <v>26</v>
      </c>
      <c r="G6456" s="195" t="s">
        <v>277</v>
      </c>
      <c r="H6456" s="195">
        <v>1.8120099999999999</v>
      </c>
      <c r="I6456" s="195">
        <v>0.33059699999999997</v>
      </c>
      <c r="J6456" s="195">
        <v>0</v>
      </c>
      <c r="K6456" s="195"/>
      <c r="L6456" s="195"/>
      <c r="M6456" s="195"/>
      <c r="N6456" s="195"/>
    </row>
    <row r="6457" spans="1:14" hidden="1" x14ac:dyDescent="0.35">
      <c r="A6457" s="52" t="s">
        <v>712</v>
      </c>
      <c r="B6457" s="52" t="s">
        <v>34</v>
      </c>
      <c r="C6457" s="52" t="s">
        <v>33</v>
      </c>
      <c r="D6457" s="52" t="s">
        <v>33</v>
      </c>
      <c r="E6457" s="52" t="s">
        <v>584</v>
      </c>
      <c r="F6457" s="52" t="s">
        <v>26</v>
      </c>
      <c r="G6457" s="195" t="s">
        <v>279</v>
      </c>
      <c r="H6457" s="195">
        <v>10.9335</v>
      </c>
      <c r="I6457" s="195">
        <v>7.7400989999999998</v>
      </c>
      <c r="J6457" s="195">
        <v>6.8741450000000004</v>
      </c>
      <c r="K6457" s="195">
        <v>6.5421110000000002</v>
      </c>
      <c r="L6457" s="195">
        <v>9.5411540000000006</v>
      </c>
      <c r="M6457" s="195">
        <v>4.6660579999999996</v>
      </c>
      <c r="N6457" s="195">
        <v>31.362220000000001</v>
      </c>
    </row>
    <row r="6458" spans="1:14" hidden="1" x14ac:dyDescent="0.35">
      <c r="A6458" s="52" t="s">
        <v>712</v>
      </c>
      <c r="B6458" s="52" t="s">
        <v>34</v>
      </c>
      <c r="C6458" s="52" t="s">
        <v>33</v>
      </c>
      <c r="D6458" s="52" t="s">
        <v>33</v>
      </c>
      <c r="E6458" s="52" t="s">
        <v>638</v>
      </c>
      <c r="F6458" s="52" t="s">
        <v>581</v>
      </c>
      <c r="G6458" s="195" t="s">
        <v>275</v>
      </c>
      <c r="H6458" s="195">
        <v>0.61231100000000005</v>
      </c>
      <c r="I6458" s="195">
        <v>-6.7547800000000005E-2</v>
      </c>
      <c r="J6458" s="195">
        <v>-0.13866000000000001</v>
      </c>
      <c r="K6458" s="195">
        <v>-0.46675080000000002</v>
      </c>
      <c r="L6458" s="195">
        <v>-2.3231510000000002</v>
      </c>
      <c r="M6458" s="195">
        <v>0.35551440000000001</v>
      </c>
      <c r="N6458" s="195">
        <v>0.35446339999999998</v>
      </c>
    </row>
    <row r="6459" spans="1:14" hidden="1" x14ac:dyDescent="0.35">
      <c r="A6459" s="52" t="s">
        <v>712</v>
      </c>
      <c r="B6459" s="52" t="s">
        <v>34</v>
      </c>
      <c r="C6459" s="52" t="s">
        <v>33</v>
      </c>
      <c r="D6459" s="52" t="s">
        <v>33</v>
      </c>
      <c r="E6459" s="52" t="s">
        <v>638</v>
      </c>
      <c r="F6459" s="52" t="s">
        <v>581</v>
      </c>
      <c r="G6459" s="195" t="s">
        <v>276</v>
      </c>
      <c r="H6459" s="195">
        <v>0.22076599999999999</v>
      </c>
      <c r="I6459" s="195">
        <v>-2.2516600000000001E-2</v>
      </c>
      <c r="J6459" s="195">
        <v>-4.3787800000000002E-2</v>
      </c>
      <c r="K6459" s="195">
        <v>-1.4733400000000001E-2</v>
      </c>
      <c r="L6459" s="195">
        <v>-0.15186479999999999</v>
      </c>
      <c r="M6459" s="195">
        <v>-0.129912</v>
      </c>
      <c r="N6459" s="195">
        <v>-0.13022359999999999</v>
      </c>
    </row>
    <row r="6460" spans="1:14" hidden="1" x14ac:dyDescent="0.35">
      <c r="A6460" s="52" t="s">
        <v>712</v>
      </c>
      <c r="B6460" s="52" t="s">
        <v>34</v>
      </c>
      <c r="C6460" s="52" t="s">
        <v>33</v>
      </c>
      <c r="D6460" s="52" t="s">
        <v>33</v>
      </c>
      <c r="E6460" s="52" t="s">
        <v>638</v>
      </c>
      <c r="F6460" s="52" t="s">
        <v>581</v>
      </c>
      <c r="G6460" s="195" t="s">
        <v>277</v>
      </c>
      <c r="H6460" s="195"/>
      <c r="I6460" s="195"/>
      <c r="J6460" s="195">
        <v>0</v>
      </c>
      <c r="K6460" s="195">
        <v>8.7184999999999999E-2</v>
      </c>
      <c r="L6460" s="195">
        <v>1.2195940000000001</v>
      </c>
      <c r="M6460" s="195">
        <v>0</v>
      </c>
      <c r="N6460" s="195">
        <v>0</v>
      </c>
    </row>
    <row r="6461" spans="1:14" hidden="1" x14ac:dyDescent="0.35">
      <c r="A6461" s="52" t="s">
        <v>712</v>
      </c>
      <c r="B6461" s="52" t="s">
        <v>34</v>
      </c>
      <c r="C6461" s="52" t="s">
        <v>33</v>
      </c>
      <c r="D6461" s="52" t="s">
        <v>33</v>
      </c>
      <c r="E6461" s="52" t="s">
        <v>638</v>
      </c>
      <c r="F6461" s="52" t="s">
        <v>581</v>
      </c>
      <c r="G6461" s="195" t="s">
        <v>278</v>
      </c>
      <c r="H6461" s="195"/>
      <c r="I6461" s="195"/>
      <c r="J6461" s="195">
        <v>0</v>
      </c>
      <c r="K6461" s="195">
        <v>0.46938839999999998</v>
      </c>
      <c r="L6461" s="195">
        <v>1.3855770000000001</v>
      </c>
      <c r="M6461" s="195">
        <v>0</v>
      </c>
      <c r="N6461" s="195"/>
    </row>
    <row r="6462" spans="1:14" hidden="1" x14ac:dyDescent="0.35">
      <c r="A6462" s="52" t="s">
        <v>712</v>
      </c>
      <c r="B6462" s="52" t="s">
        <v>34</v>
      </c>
      <c r="C6462" s="52" t="s">
        <v>33</v>
      </c>
      <c r="D6462" s="52" t="s">
        <v>33</v>
      </c>
      <c r="E6462" s="52" t="s">
        <v>638</v>
      </c>
      <c r="F6462" s="52" t="s">
        <v>581</v>
      </c>
      <c r="G6462" s="195" t="s">
        <v>279</v>
      </c>
      <c r="H6462" s="195">
        <v>0.624282</v>
      </c>
      <c r="I6462" s="195">
        <v>0.48957000000000001</v>
      </c>
      <c r="J6462" s="195">
        <v>0.47153</v>
      </c>
      <c r="K6462" s="195">
        <v>0.25930180000000003</v>
      </c>
      <c r="L6462" s="195">
        <v>0.5170418</v>
      </c>
      <c r="M6462" s="195">
        <v>0.25631700000000002</v>
      </c>
      <c r="N6462" s="195">
        <v>0.15229519999999999</v>
      </c>
    </row>
    <row r="6463" spans="1:14" hidden="1" x14ac:dyDescent="0.35">
      <c r="A6463" s="52" t="s">
        <v>712</v>
      </c>
      <c r="B6463" s="52" t="s">
        <v>34</v>
      </c>
      <c r="C6463" s="52" t="s">
        <v>33</v>
      </c>
      <c r="D6463" s="52" t="s">
        <v>33</v>
      </c>
      <c r="E6463" s="52" t="s">
        <v>638</v>
      </c>
      <c r="F6463" s="52" t="s">
        <v>26</v>
      </c>
      <c r="G6463" s="195" t="s">
        <v>275</v>
      </c>
      <c r="H6463" s="195">
        <v>5.8049999999999997E-2</v>
      </c>
      <c r="I6463" s="195">
        <v>2.13332E-2</v>
      </c>
      <c r="J6463" s="195">
        <v>6.1614E-3</v>
      </c>
      <c r="K6463" s="195">
        <v>1.7168000000000001E-3</v>
      </c>
      <c r="L6463" s="195">
        <v>-1.0809600000000001E-2</v>
      </c>
      <c r="M6463" s="195">
        <v>1.3631600000000001E-2</v>
      </c>
      <c r="N6463" s="195">
        <v>1.0921800000000001E-2</v>
      </c>
    </row>
    <row r="6464" spans="1:14" hidden="1" x14ac:dyDescent="0.35">
      <c r="A6464" s="52" t="s">
        <v>712</v>
      </c>
      <c r="B6464" s="52" t="s">
        <v>34</v>
      </c>
      <c r="C6464" s="52" t="s">
        <v>33</v>
      </c>
      <c r="D6464" s="52" t="s">
        <v>33</v>
      </c>
      <c r="E6464" s="52" t="s">
        <v>638</v>
      </c>
      <c r="F6464" s="52" t="s">
        <v>26</v>
      </c>
      <c r="G6464" s="195" t="s">
        <v>276</v>
      </c>
      <c r="H6464" s="195">
        <v>2.0929E-2</v>
      </c>
      <c r="I6464" s="195">
        <v>7.1111999999999998E-3</v>
      </c>
      <c r="J6464" s="195">
        <v>1.9453999999999999E-3</v>
      </c>
      <c r="K6464" s="195">
        <v>5.1259980000000003E-4</v>
      </c>
      <c r="L6464" s="195">
        <v>-3.2283989999999999E-3</v>
      </c>
      <c r="M6464" s="195">
        <v>4.0718000000000004E-3</v>
      </c>
      <c r="N6464" s="195">
        <v>3.2629999999999998E-3</v>
      </c>
    </row>
    <row r="6465" spans="1:14" hidden="1" x14ac:dyDescent="0.35">
      <c r="A6465" s="52" t="s">
        <v>712</v>
      </c>
      <c r="B6465" s="52" t="s">
        <v>34</v>
      </c>
      <c r="C6465" s="52" t="s">
        <v>33</v>
      </c>
      <c r="D6465" s="52" t="s">
        <v>33</v>
      </c>
      <c r="E6465" s="52" t="s">
        <v>638</v>
      </c>
      <c r="F6465" s="52" t="s">
        <v>26</v>
      </c>
      <c r="G6465" s="195" t="s">
        <v>279</v>
      </c>
      <c r="H6465" s="195">
        <v>0.22140399999999999</v>
      </c>
      <c r="I6465" s="195">
        <v>0.16128700000000001</v>
      </c>
      <c r="J6465" s="195">
        <v>0.13547200000000001</v>
      </c>
      <c r="K6465" s="195">
        <v>0.16337380000000001</v>
      </c>
      <c r="L6465" s="195">
        <v>0.3360496</v>
      </c>
      <c r="M6465" s="195">
        <v>0.22201779999999999</v>
      </c>
      <c r="N6465" s="195">
        <v>0.17291300000000001</v>
      </c>
    </row>
    <row r="6466" spans="1:14" hidden="1" x14ac:dyDescent="0.35">
      <c r="A6466" s="52" t="s">
        <v>712</v>
      </c>
      <c r="B6466" s="52" t="s">
        <v>225</v>
      </c>
      <c r="C6466" s="52" t="s">
        <v>224</v>
      </c>
      <c r="D6466" s="52" t="s">
        <v>224</v>
      </c>
      <c r="E6466" s="52" t="s">
        <v>584</v>
      </c>
      <c r="F6466" s="52" t="s">
        <v>581</v>
      </c>
      <c r="G6466" s="195" t="s">
        <v>275</v>
      </c>
      <c r="H6466" s="195">
        <v>38.593710000000002</v>
      </c>
      <c r="I6466" s="195">
        <v>4.3108919999999999</v>
      </c>
      <c r="J6466" s="195">
        <v>8.3016349999999992</v>
      </c>
      <c r="K6466" s="195">
        <v>3.3875039999999998</v>
      </c>
      <c r="L6466" s="195">
        <v>-14.205500000000001</v>
      </c>
      <c r="M6466" s="195">
        <v>-3.7381829999999998</v>
      </c>
      <c r="N6466" s="195">
        <v>-28.757429999999999</v>
      </c>
    </row>
    <row r="6467" spans="1:14" hidden="1" x14ac:dyDescent="0.35">
      <c r="A6467" s="52" t="s">
        <v>712</v>
      </c>
      <c r="B6467" s="52" t="s">
        <v>225</v>
      </c>
      <c r="C6467" s="52" t="s">
        <v>224</v>
      </c>
      <c r="D6467" s="52" t="s">
        <v>224</v>
      </c>
      <c r="E6467" s="52" t="s">
        <v>584</v>
      </c>
      <c r="F6467" s="52" t="s">
        <v>581</v>
      </c>
      <c r="G6467" s="195" t="s">
        <v>276</v>
      </c>
      <c r="H6467" s="195">
        <v>11.8874</v>
      </c>
      <c r="I6467" s="195">
        <v>-9.4029030000000002</v>
      </c>
      <c r="J6467" s="195">
        <v>-7.0407149999999996</v>
      </c>
      <c r="K6467" s="195">
        <v>-22.412500000000001</v>
      </c>
      <c r="L6467" s="195">
        <v>-10.113</v>
      </c>
      <c r="M6467" s="195">
        <v>-4.3988889999999996</v>
      </c>
      <c r="N6467" s="195">
        <v>-11.363759999999999</v>
      </c>
    </row>
    <row r="6468" spans="1:14" hidden="1" x14ac:dyDescent="0.35">
      <c r="A6468" s="52" t="s">
        <v>712</v>
      </c>
      <c r="B6468" s="52" t="s">
        <v>225</v>
      </c>
      <c r="C6468" s="52" t="s">
        <v>224</v>
      </c>
      <c r="D6468" s="52" t="s">
        <v>224</v>
      </c>
      <c r="E6468" s="52" t="s">
        <v>584</v>
      </c>
      <c r="F6468" s="52" t="s">
        <v>581</v>
      </c>
      <c r="G6468" s="195" t="s">
        <v>277</v>
      </c>
      <c r="H6468" s="195">
        <v>41.323369999999997</v>
      </c>
      <c r="I6468" s="195">
        <v>21.124939999999999</v>
      </c>
      <c r="J6468" s="195">
        <v>7.8708830000000001</v>
      </c>
      <c r="K6468" s="195">
        <v>8.4234919999999995</v>
      </c>
      <c r="L6468" s="195">
        <v>6.7334820000000004</v>
      </c>
      <c r="M6468" s="195">
        <v>5.636946</v>
      </c>
      <c r="N6468" s="195">
        <v>5.0885410000000002</v>
      </c>
    </row>
    <row r="6469" spans="1:14" hidden="1" x14ac:dyDescent="0.35">
      <c r="A6469" s="52" t="s">
        <v>712</v>
      </c>
      <c r="B6469" s="52" t="s">
        <v>225</v>
      </c>
      <c r="C6469" s="52" t="s">
        <v>224</v>
      </c>
      <c r="D6469" s="52" t="s">
        <v>224</v>
      </c>
      <c r="E6469" s="52" t="s">
        <v>584</v>
      </c>
      <c r="F6469" s="52" t="s">
        <v>581</v>
      </c>
      <c r="G6469" s="195" t="s">
        <v>278</v>
      </c>
      <c r="H6469" s="195">
        <v>0.258212</v>
      </c>
      <c r="I6469" s="195">
        <v>0.258212</v>
      </c>
      <c r="J6469" s="195">
        <v>0.258212</v>
      </c>
      <c r="K6469" s="195">
        <v>17.251390000000001</v>
      </c>
      <c r="L6469" s="195">
        <v>0.258212</v>
      </c>
      <c r="M6469" s="195">
        <v>0.258212</v>
      </c>
      <c r="N6469" s="195">
        <v>0.258212</v>
      </c>
    </row>
    <row r="6470" spans="1:14" hidden="1" x14ac:dyDescent="0.35">
      <c r="A6470" s="52" t="s">
        <v>712</v>
      </c>
      <c r="B6470" s="52" t="s">
        <v>225</v>
      </c>
      <c r="C6470" s="52" t="s">
        <v>224</v>
      </c>
      <c r="D6470" s="52" t="s">
        <v>224</v>
      </c>
      <c r="E6470" s="52" t="s">
        <v>584</v>
      </c>
      <c r="F6470" s="52" t="s">
        <v>581</v>
      </c>
      <c r="G6470" s="195" t="s">
        <v>279</v>
      </c>
      <c r="H6470" s="195">
        <v>57.444380000000002</v>
      </c>
      <c r="I6470" s="195">
        <v>39.830019999999998</v>
      </c>
      <c r="J6470" s="195">
        <v>38.36007</v>
      </c>
      <c r="K6470" s="195">
        <v>37.240310000000001</v>
      </c>
      <c r="L6470" s="195">
        <v>56.065950000000001</v>
      </c>
      <c r="M6470" s="195">
        <v>36.022689999999997</v>
      </c>
      <c r="N6470" s="195">
        <v>61.494570000000003</v>
      </c>
    </row>
    <row r="6471" spans="1:14" hidden="1" x14ac:dyDescent="0.35">
      <c r="A6471" s="52" t="s">
        <v>712</v>
      </c>
      <c r="B6471" s="52" t="s">
        <v>225</v>
      </c>
      <c r="C6471" s="52" t="s">
        <v>224</v>
      </c>
      <c r="D6471" s="52" t="s">
        <v>224</v>
      </c>
      <c r="E6471" s="52" t="s">
        <v>661</v>
      </c>
      <c r="F6471" s="52" t="s">
        <v>581</v>
      </c>
      <c r="G6471" s="195" t="s">
        <v>275</v>
      </c>
      <c r="H6471" s="195"/>
      <c r="I6471" s="195"/>
      <c r="J6471" s="195">
        <v>0</v>
      </c>
      <c r="K6471" s="195">
        <v>-1.466618</v>
      </c>
      <c r="L6471" s="195">
        <v>-0.60229900000000003</v>
      </c>
      <c r="M6471" s="195">
        <v>0.11705400000000001</v>
      </c>
      <c r="N6471" s="195">
        <v>0.11705400000000001</v>
      </c>
    </row>
    <row r="6472" spans="1:14" hidden="1" x14ac:dyDescent="0.35">
      <c r="A6472" s="52" t="s">
        <v>712</v>
      </c>
      <c r="B6472" s="52" t="s">
        <v>225</v>
      </c>
      <c r="C6472" s="52" t="s">
        <v>224</v>
      </c>
      <c r="D6472" s="52" t="s">
        <v>224</v>
      </c>
      <c r="E6472" s="52" t="s">
        <v>661</v>
      </c>
      <c r="F6472" s="52" t="s">
        <v>581</v>
      </c>
      <c r="G6472" s="195" t="s">
        <v>276</v>
      </c>
      <c r="H6472" s="195"/>
      <c r="I6472" s="195"/>
      <c r="J6472" s="195">
        <v>0</v>
      </c>
      <c r="K6472" s="195">
        <v>-7.989301E-2</v>
      </c>
      <c r="L6472" s="195">
        <v>-0.11705400000000001</v>
      </c>
      <c r="M6472" s="195">
        <v>-0.11705400000000001</v>
      </c>
      <c r="N6472" s="195">
        <v>-0.11705400000000001</v>
      </c>
    </row>
    <row r="6473" spans="1:14" hidden="1" x14ac:dyDescent="0.35">
      <c r="A6473" s="52" t="s">
        <v>712</v>
      </c>
      <c r="B6473" s="52" t="s">
        <v>225</v>
      </c>
      <c r="C6473" s="52" t="s">
        <v>224</v>
      </c>
      <c r="D6473" s="52" t="s">
        <v>224</v>
      </c>
      <c r="E6473" s="52" t="s">
        <v>661</v>
      </c>
      <c r="F6473" s="52" t="s">
        <v>581</v>
      </c>
      <c r="G6473" s="195" t="s">
        <v>277</v>
      </c>
      <c r="H6473" s="195"/>
      <c r="I6473" s="195"/>
      <c r="J6473" s="195">
        <v>0</v>
      </c>
      <c r="K6473" s="195">
        <v>1.546511</v>
      </c>
      <c r="L6473" s="195">
        <v>0.71935300000000002</v>
      </c>
      <c r="M6473" s="195">
        <v>0</v>
      </c>
      <c r="N6473" s="195">
        <v>0</v>
      </c>
    </row>
    <row r="6474" spans="1:14" hidden="1" x14ac:dyDescent="0.35">
      <c r="A6474" s="52" t="s">
        <v>712</v>
      </c>
      <c r="B6474" s="52" t="s">
        <v>225</v>
      </c>
      <c r="C6474" s="52" t="s">
        <v>224</v>
      </c>
      <c r="D6474" s="52" t="s">
        <v>224</v>
      </c>
      <c r="E6474" s="52" t="s">
        <v>661</v>
      </c>
      <c r="F6474" s="52" t="s">
        <v>581</v>
      </c>
      <c r="G6474" s="195" t="s">
        <v>278</v>
      </c>
      <c r="H6474" s="195"/>
      <c r="I6474" s="195"/>
      <c r="J6474" s="195"/>
      <c r="K6474" s="195"/>
      <c r="L6474" s="195"/>
      <c r="M6474" s="195">
        <v>0</v>
      </c>
      <c r="N6474" s="195">
        <v>0</v>
      </c>
    </row>
    <row r="6475" spans="1:14" hidden="1" x14ac:dyDescent="0.35">
      <c r="A6475" s="52" t="s">
        <v>712</v>
      </c>
      <c r="B6475" s="52" t="s">
        <v>225</v>
      </c>
      <c r="C6475" s="52" t="s">
        <v>224</v>
      </c>
      <c r="D6475" s="52" t="s">
        <v>224</v>
      </c>
      <c r="E6475" s="52" t="s">
        <v>661</v>
      </c>
      <c r="F6475" s="52" t="s">
        <v>581</v>
      </c>
      <c r="G6475" s="195" t="s">
        <v>279</v>
      </c>
      <c r="H6475" s="195"/>
      <c r="I6475" s="195"/>
      <c r="J6475" s="195"/>
      <c r="K6475" s="195"/>
      <c r="L6475" s="195"/>
      <c r="M6475" s="195">
        <v>0</v>
      </c>
      <c r="N6475" s="195">
        <v>0</v>
      </c>
    </row>
    <row r="6476" spans="1:14" hidden="1" x14ac:dyDescent="0.35">
      <c r="A6476" s="52" t="s">
        <v>712</v>
      </c>
      <c r="B6476" s="52" t="s">
        <v>225</v>
      </c>
      <c r="C6476" s="52" t="s">
        <v>224</v>
      </c>
      <c r="D6476" s="52" t="s">
        <v>224</v>
      </c>
      <c r="E6476" s="52" t="s">
        <v>661</v>
      </c>
      <c r="F6476" s="52" t="s">
        <v>26</v>
      </c>
      <c r="G6476" s="195" t="s">
        <v>275</v>
      </c>
      <c r="H6476" s="195"/>
      <c r="I6476" s="195"/>
      <c r="J6476" s="195"/>
      <c r="K6476" s="195"/>
      <c r="L6476" s="195"/>
      <c r="M6476" s="195">
        <v>0</v>
      </c>
      <c r="N6476" s="195">
        <v>0</v>
      </c>
    </row>
    <row r="6477" spans="1:14" hidden="1" x14ac:dyDescent="0.35">
      <c r="A6477" s="52" t="s">
        <v>712</v>
      </c>
      <c r="B6477" s="52" t="s">
        <v>225</v>
      </c>
      <c r="C6477" s="52" t="s">
        <v>224</v>
      </c>
      <c r="D6477" s="52" t="s">
        <v>224</v>
      </c>
      <c r="E6477" s="52" t="s">
        <v>661</v>
      </c>
      <c r="F6477" s="52" t="s">
        <v>26</v>
      </c>
      <c r="G6477" s="195" t="s">
        <v>276</v>
      </c>
      <c r="H6477" s="195"/>
      <c r="I6477" s="195"/>
      <c r="J6477" s="195"/>
      <c r="K6477" s="195"/>
      <c r="L6477" s="195"/>
      <c r="M6477" s="195">
        <v>0</v>
      </c>
      <c r="N6477" s="195">
        <v>0</v>
      </c>
    </row>
    <row r="6478" spans="1:14" hidden="1" x14ac:dyDescent="0.35">
      <c r="A6478" s="52" t="s">
        <v>712</v>
      </c>
      <c r="B6478" s="52" t="s">
        <v>225</v>
      </c>
      <c r="C6478" s="52" t="s">
        <v>224</v>
      </c>
      <c r="D6478" s="52" t="s">
        <v>224</v>
      </c>
      <c r="E6478" s="52" t="s">
        <v>661</v>
      </c>
      <c r="F6478" s="52" t="s">
        <v>26</v>
      </c>
      <c r="G6478" s="195" t="s">
        <v>279</v>
      </c>
      <c r="H6478" s="195"/>
      <c r="I6478" s="195"/>
      <c r="J6478" s="195"/>
      <c r="K6478" s="195"/>
      <c r="L6478" s="195"/>
      <c r="M6478" s="195">
        <v>0</v>
      </c>
      <c r="N6478" s="195">
        <v>0</v>
      </c>
    </row>
    <row r="6479" spans="1:14" hidden="1" x14ac:dyDescent="0.35">
      <c r="A6479" s="52" t="s">
        <v>712</v>
      </c>
      <c r="B6479" s="52" t="s">
        <v>225</v>
      </c>
      <c r="C6479" s="52" t="s">
        <v>715</v>
      </c>
      <c r="D6479" s="52" t="s">
        <v>715</v>
      </c>
      <c r="E6479" s="52" t="s">
        <v>584</v>
      </c>
      <c r="F6479" s="52" t="s">
        <v>581</v>
      </c>
      <c r="G6479" s="195" t="s">
        <v>275</v>
      </c>
      <c r="H6479" s="195">
        <v>33.317360000000001</v>
      </c>
      <c r="I6479" s="195">
        <v>-2.6005669999999999</v>
      </c>
      <c r="J6479" s="195">
        <v>2.2849179999999998</v>
      </c>
      <c r="K6479" s="195">
        <v>-2.1694360000000001</v>
      </c>
      <c r="L6479" s="195">
        <v>2.109861</v>
      </c>
      <c r="M6479" s="195">
        <v>-68.570909999999998</v>
      </c>
      <c r="N6479" s="195">
        <v>-14.014469999999999</v>
      </c>
    </row>
    <row r="6480" spans="1:14" hidden="1" x14ac:dyDescent="0.35">
      <c r="A6480" s="52" t="s">
        <v>712</v>
      </c>
      <c r="B6480" s="52" t="s">
        <v>225</v>
      </c>
      <c r="C6480" s="52" t="s">
        <v>715</v>
      </c>
      <c r="D6480" s="52" t="s">
        <v>715</v>
      </c>
      <c r="E6480" s="52" t="s">
        <v>584</v>
      </c>
      <c r="F6480" s="52" t="s">
        <v>581</v>
      </c>
      <c r="G6480" s="195" t="s">
        <v>276</v>
      </c>
      <c r="H6480" s="195">
        <v>8.2546280000000003</v>
      </c>
      <c r="I6480" s="195">
        <v>-5.8288789999999997</v>
      </c>
      <c r="J6480" s="195">
        <v>-6.4140860000000002</v>
      </c>
      <c r="K6480" s="195">
        <v>-6.696968</v>
      </c>
      <c r="L6480" s="195">
        <v>-6.5082120000000003</v>
      </c>
      <c r="M6480" s="195">
        <v>-29.13607</v>
      </c>
      <c r="N6480" s="195">
        <v>-6.7126590000000004</v>
      </c>
    </row>
    <row r="6481" spans="1:14" hidden="1" x14ac:dyDescent="0.35">
      <c r="A6481" s="52" t="s">
        <v>712</v>
      </c>
      <c r="B6481" s="52" t="s">
        <v>225</v>
      </c>
      <c r="C6481" s="52" t="s">
        <v>715</v>
      </c>
      <c r="D6481" s="52" t="s">
        <v>715</v>
      </c>
      <c r="E6481" s="52" t="s">
        <v>584</v>
      </c>
      <c r="F6481" s="52" t="s">
        <v>581</v>
      </c>
      <c r="G6481" s="195" t="s">
        <v>277</v>
      </c>
      <c r="H6481" s="195">
        <v>17.57939</v>
      </c>
      <c r="I6481" s="195">
        <v>14.60929</v>
      </c>
      <c r="J6481" s="195">
        <v>5.4090490000000004</v>
      </c>
      <c r="K6481" s="195">
        <v>3.2100230000000001</v>
      </c>
      <c r="L6481" s="195">
        <v>1.8856459999999999</v>
      </c>
      <c r="M6481" s="195"/>
      <c r="N6481" s="195">
        <v>1.1139829999999999</v>
      </c>
    </row>
    <row r="6482" spans="1:14" hidden="1" x14ac:dyDescent="0.35">
      <c r="A6482" s="52" t="s">
        <v>712</v>
      </c>
      <c r="B6482" s="52" t="s">
        <v>225</v>
      </c>
      <c r="C6482" s="52" t="s">
        <v>715</v>
      </c>
      <c r="D6482" s="52" t="s">
        <v>715</v>
      </c>
      <c r="E6482" s="52" t="s">
        <v>584</v>
      </c>
      <c r="F6482" s="52" t="s">
        <v>581</v>
      </c>
      <c r="G6482" s="195" t="s">
        <v>278</v>
      </c>
      <c r="H6482" s="195">
        <v>0.15285099999999999</v>
      </c>
      <c r="I6482" s="195">
        <v>0.15285099999999999</v>
      </c>
      <c r="J6482" s="195">
        <v>0.15285099999999999</v>
      </c>
      <c r="K6482" s="195">
        <v>0.15285099999999999</v>
      </c>
      <c r="L6482" s="195">
        <v>2.3239320000000001</v>
      </c>
      <c r="M6482" s="195">
        <v>0.15285099999999999</v>
      </c>
      <c r="N6482" s="195">
        <v>0.15285099999999999</v>
      </c>
    </row>
    <row r="6483" spans="1:14" hidden="1" x14ac:dyDescent="0.35">
      <c r="A6483" s="52" t="s">
        <v>712</v>
      </c>
      <c r="B6483" s="52" t="s">
        <v>225</v>
      </c>
      <c r="C6483" s="52" t="s">
        <v>715</v>
      </c>
      <c r="D6483" s="52" t="s">
        <v>715</v>
      </c>
      <c r="E6483" s="52" t="s">
        <v>584</v>
      </c>
      <c r="F6483" s="52" t="s">
        <v>581</v>
      </c>
      <c r="G6483" s="195" t="s">
        <v>279</v>
      </c>
      <c r="H6483" s="195">
        <v>46.165599999999998</v>
      </c>
      <c r="I6483" s="195">
        <v>32.999099999999999</v>
      </c>
      <c r="J6483" s="195">
        <v>31.118870000000001</v>
      </c>
      <c r="K6483" s="195">
        <v>36.304560000000002</v>
      </c>
      <c r="L6483" s="195">
        <v>29.39799</v>
      </c>
      <c r="M6483" s="195">
        <v>116.1065</v>
      </c>
      <c r="N6483" s="195">
        <v>33.952039999999997</v>
      </c>
    </row>
    <row r="6484" spans="1:14" hidden="1" x14ac:dyDescent="0.35">
      <c r="A6484" s="52" t="s">
        <v>712</v>
      </c>
      <c r="B6484" s="52" t="s">
        <v>225</v>
      </c>
      <c r="C6484" s="52" t="s">
        <v>715</v>
      </c>
      <c r="D6484" s="52" t="s">
        <v>715</v>
      </c>
      <c r="E6484" s="52" t="s">
        <v>584</v>
      </c>
      <c r="F6484" s="52" t="s">
        <v>26</v>
      </c>
      <c r="G6484" s="195" t="s">
        <v>275</v>
      </c>
      <c r="H6484" s="195">
        <v>9.0846999999999997E-2</v>
      </c>
      <c r="I6484" s="195">
        <v>-0.61643999999999999</v>
      </c>
      <c r="J6484" s="195">
        <v>-0.71082559999999995</v>
      </c>
      <c r="K6484" s="195">
        <v>-0.65401200000000004</v>
      </c>
      <c r="L6484" s="195">
        <v>-0.5821094</v>
      </c>
      <c r="M6484" s="195">
        <v>-0.50139080000000003</v>
      </c>
      <c r="N6484" s="195">
        <v>-0.42998320000000001</v>
      </c>
    </row>
    <row r="6485" spans="1:14" hidden="1" x14ac:dyDescent="0.35">
      <c r="A6485" s="52" t="s">
        <v>712</v>
      </c>
      <c r="B6485" s="52" t="s">
        <v>225</v>
      </c>
      <c r="C6485" s="52" t="s">
        <v>715</v>
      </c>
      <c r="D6485" s="52" t="s">
        <v>715</v>
      </c>
      <c r="E6485" s="52" t="s">
        <v>584</v>
      </c>
      <c r="F6485" s="52" t="s">
        <v>26</v>
      </c>
      <c r="G6485" s="195" t="s">
        <v>276</v>
      </c>
      <c r="H6485" s="195">
        <v>4.2790000000000002E-2</v>
      </c>
      <c r="I6485" s="195">
        <v>-6.0622000000000002E-3</v>
      </c>
      <c r="J6485" s="195">
        <v>-2.5116599999999999E-2</v>
      </c>
      <c r="K6485" s="195">
        <v>-4.5860199999999997E-2</v>
      </c>
      <c r="L6485" s="195">
        <v>-6.3432600000000006E-2</v>
      </c>
      <c r="M6485" s="195">
        <v>-7.9234799999999994E-2</v>
      </c>
      <c r="N6485" s="195">
        <v>-9.3629599999999993E-2</v>
      </c>
    </row>
    <row r="6486" spans="1:14" hidden="1" x14ac:dyDescent="0.35">
      <c r="A6486" s="52" t="s">
        <v>712</v>
      </c>
      <c r="B6486" s="52" t="s">
        <v>225</v>
      </c>
      <c r="C6486" s="52" t="s">
        <v>715</v>
      </c>
      <c r="D6486" s="52" t="s">
        <v>715</v>
      </c>
      <c r="E6486" s="52" t="s">
        <v>584</v>
      </c>
      <c r="F6486" s="52" t="s">
        <v>26</v>
      </c>
      <c r="G6486" s="195" t="s">
        <v>277</v>
      </c>
      <c r="H6486" s="195">
        <v>0</v>
      </c>
      <c r="I6486" s="195"/>
      <c r="J6486" s="195">
        <v>0.78986959999999995</v>
      </c>
      <c r="K6486" s="195">
        <v>0.74224480000000004</v>
      </c>
      <c r="L6486" s="195">
        <v>0.6887586</v>
      </c>
      <c r="M6486" s="195">
        <v>0.62518099999999999</v>
      </c>
      <c r="N6486" s="195">
        <v>0.56937579999999999</v>
      </c>
    </row>
    <row r="6487" spans="1:14" hidden="1" x14ac:dyDescent="0.35">
      <c r="A6487" s="52" t="s">
        <v>712</v>
      </c>
      <c r="B6487" s="52" t="s">
        <v>225</v>
      </c>
      <c r="C6487" s="52" t="s">
        <v>715</v>
      </c>
      <c r="D6487" s="52" t="s">
        <v>715</v>
      </c>
      <c r="E6487" s="52" t="s">
        <v>584</v>
      </c>
      <c r="F6487" s="52" t="s">
        <v>26</v>
      </c>
      <c r="G6487" s="195" t="s">
        <v>279</v>
      </c>
      <c r="H6487" s="195">
        <v>0.25336199999999998</v>
      </c>
      <c r="I6487" s="195">
        <v>0.21986240000000001</v>
      </c>
      <c r="J6487" s="195">
        <v>0.22802359999999999</v>
      </c>
      <c r="K6487" s="195">
        <v>0.24649099999999999</v>
      </c>
      <c r="L6487" s="195">
        <v>0.25255919999999998</v>
      </c>
      <c r="M6487" s="195">
        <v>0.25885259999999999</v>
      </c>
      <c r="N6487" s="195">
        <v>0.26527800000000001</v>
      </c>
    </row>
    <row r="6488" spans="1:14" hidden="1" x14ac:dyDescent="0.35">
      <c r="A6488" s="52" t="s">
        <v>712</v>
      </c>
      <c r="B6488" s="52" t="s">
        <v>48</v>
      </c>
      <c r="C6488" s="52" t="s">
        <v>47</v>
      </c>
      <c r="D6488" s="52" t="s">
        <v>47</v>
      </c>
      <c r="E6488" s="52" t="s">
        <v>584</v>
      </c>
      <c r="F6488" s="52" t="s">
        <v>581</v>
      </c>
      <c r="G6488" s="195" t="s">
        <v>275</v>
      </c>
      <c r="H6488" s="195">
        <v>0.72900679999999995</v>
      </c>
      <c r="I6488" s="195">
        <v>0.11191230000000001</v>
      </c>
      <c r="J6488" s="195">
        <v>6.6191180000000002E-2</v>
      </c>
      <c r="K6488" s="195">
        <v>5.139063E-2</v>
      </c>
      <c r="L6488" s="195">
        <v>4.6183250000000004E-3</v>
      </c>
      <c r="M6488" s="195">
        <v>1.9991720000000001E-2</v>
      </c>
      <c r="N6488" s="195">
        <v>0.1108985</v>
      </c>
    </row>
    <row r="6489" spans="1:14" hidden="1" x14ac:dyDescent="0.35">
      <c r="A6489" s="52" t="s">
        <v>712</v>
      </c>
      <c r="B6489" s="52" t="s">
        <v>48</v>
      </c>
      <c r="C6489" s="52" t="s">
        <v>47</v>
      </c>
      <c r="D6489" s="52" t="s">
        <v>47</v>
      </c>
      <c r="E6489" s="52" t="s">
        <v>584</v>
      </c>
      <c r="F6489" s="52" t="s">
        <v>581</v>
      </c>
      <c r="G6489" s="195" t="s">
        <v>276</v>
      </c>
      <c r="H6489" s="195">
        <v>1.1531389999999999</v>
      </c>
      <c r="I6489" s="195">
        <v>0.18625149999999999</v>
      </c>
      <c r="J6489" s="195">
        <v>0.1100482</v>
      </c>
      <c r="K6489" s="195">
        <v>8.611837E-2</v>
      </c>
      <c r="L6489" s="195">
        <v>1.435234E-2</v>
      </c>
      <c r="M6489" s="195">
        <v>-0.2172808</v>
      </c>
      <c r="N6489" s="195">
        <v>1.1371849999999999E-2</v>
      </c>
    </row>
    <row r="6490" spans="1:14" hidden="1" x14ac:dyDescent="0.35">
      <c r="A6490" s="52" t="s">
        <v>712</v>
      </c>
      <c r="B6490" s="52" t="s">
        <v>48</v>
      </c>
      <c r="C6490" s="52" t="s">
        <v>47</v>
      </c>
      <c r="D6490" s="52" t="s">
        <v>47</v>
      </c>
      <c r="E6490" s="52" t="s">
        <v>584</v>
      </c>
      <c r="F6490" s="52" t="s">
        <v>581</v>
      </c>
      <c r="G6490" s="195" t="s">
        <v>277</v>
      </c>
      <c r="H6490" s="195">
        <v>1.134924E-4</v>
      </c>
      <c r="I6490" s="195">
        <v>0</v>
      </c>
      <c r="J6490" s="195">
        <v>0</v>
      </c>
      <c r="K6490" s="195">
        <v>5.9910499999999995E-4</v>
      </c>
      <c r="L6490" s="195">
        <v>0.1079961</v>
      </c>
      <c r="M6490" s="195">
        <v>0.31461499999999998</v>
      </c>
      <c r="N6490" s="195">
        <v>0.21020040000000001</v>
      </c>
    </row>
    <row r="6491" spans="1:14" hidden="1" x14ac:dyDescent="0.35">
      <c r="A6491" s="52" t="s">
        <v>712</v>
      </c>
      <c r="B6491" s="52" t="s">
        <v>48</v>
      </c>
      <c r="C6491" s="52" t="s">
        <v>47</v>
      </c>
      <c r="D6491" s="52" t="s">
        <v>47</v>
      </c>
      <c r="E6491" s="52" t="s">
        <v>584</v>
      </c>
      <c r="F6491" s="52" t="s">
        <v>581</v>
      </c>
      <c r="G6491" s="195" t="s">
        <v>279</v>
      </c>
      <c r="H6491" s="195">
        <v>0.63433130000000004</v>
      </c>
      <c r="I6491" s="195">
        <v>0.47757759999999999</v>
      </c>
      <c r="J6491" s="195">
        <v>0.46640480000000001</v>
      </c>
      <c r="K6491" s="195">
        <v>0.4662152</v>
      </c>
      <c r="L6491" s="195">
        <v>0.43839660000000003</v>
      </c>
      <c r="M6491" s="195">
        <v>0.41293010000000002</v>
      </c>
      <c r="N6491" s="195">
        <v>0.48166009999999998</v>
      </c>
    </row>
    <row r="6492" spans="1:14" hidden="1" x14ac:dyDescent="0.35">
      <c r="A6492" s="52" t="s">
        <v>712</v>
      </c>
      <c r="B6492" s="52" t="s">
        <v>48</v>
      </c>
      <c r="C6492" s="52" t="s">
        <v>47</v>
      </c>
      <c r="D6492" s="52" t="s">
        <v>47</v>
      </c>
      <c r="E6492" s="52" t="s">
        <v>584</v>
      </c>
      <c r="F6492" s="52" t="s">
        <v>26</v>
      </c>
      <c r="G6492" s="195" t="s">
        <v>275</v>
      </c>
      <c r="H6492" s="195">
        <v>11.636100000000001</v>
      </c>
      <c r="I6492" s="195">
        <v>9.3871859999999998</v>
      </c>
      <c r="J6492" s="195">
        <v>11.457549999999999</v>
      </c>
      <c r="K6492" s="195">
        <v>6.5214530000000002</v>
      </c>
      <c r="L6492" s="195">
        <v>3.3489740000000001</v>
      </c>
      <c r="M6492" s="195">
        <v>4.6042529999999999</v>
      </c>
      <c r="N6492" s="195">
        <v>6.4868860000000002</v>
      </c>
    </row>
    <row r="6493" spans="1:14" hidden="1" x14ac:dyDescent="0.35">
      <c r="A6493" s="52" t="s">
        <v>712</v>
      </c>
      <c r="B6493" s="52" t="s">
        <v>48</v>
      </c>
      <c r="C6493" s="52" t="s">
        <v>47</v>
      </c>
      <c r="D6493" s="52" t="s">
        <v>47</v>
      </c>
      <c r="E6493" s="52" t="s">
        <v>584</v>
      </c>
      <c r="F6493" s="52" t="s">
        <v>26</v>
      </c>
      <c r="G6493" s="195" t="s">
        <v>276</v>
      </c>
      <c r="H6493" s="195">
        <v>11.119009999999999</v>
      </c>
      <c r="I6493" s="195">
        <v>0.43246780000000001</v>
      </c>
      <c r="J6493" s="195">
        <v>3.2039080000000002</v>
      </c>
      <c r="K6493" s="195">
        <v>5.6144939999999997</v>
      </c>
      <c r="L6493" s="195">
        <v>-4.5163739999999999</v>
      </c>
      <c r="M6493" s="195">
        <v>1.523115</v>
      </c>
      <c r="N6493" s="195">
        <v>4.7888140000000003</v>
      </c>
    </row>
    <row r="6494" spans="1:14" hidden="1" x14ac:dyDescent="0.35">
      <c r="A6494" s="52" t="s">
        <v>712</v>
      </c>
      <c r="B6494" s="52" t="s">
        <v>48</v>
      </c>
      <c r="C6494" s="52" t="s">
        <v>47</v>
      </c>
      <c r="D6494" s="52" t="s">
        <v>47</v>
      </c>
      <c r="E6494" s="52" t="s">
        <v>584</v>
      </c>
      <c r="F6494" s="52" t="s">
        <v>26</v>
      </c>
      <c r="G6494" s="195" t="s">
        <v>277</v>
      </c>
      <c r="H6494" s="195">
        <v>18.33287</v>
      </c>
      <c r="I6494" s="195">
        <v>5.0170060000000003</v>
      </c>
      <c r="J6494" s="195">
        <v>3.8215750000000002</v>
      </c>
      <c r="K6494" s="195">
        <v>6.7974160000000001</v>
      </c>
      <c r="L6494" s="195">
        <v>8.2923349999999996</v>
      </c>
      <c r="M6494" s="195">
        <v>6.6538259999999996</v>
      </c>
      <c r="N6494" s="195">
        <v>5.1633389999999997</v>
      </c>
    </row>
    <row r="6495" spans="1:14" hidden="1" x14ac:dyDescent="0.35">
      <c r="A6495" s="52" t="s">
        <v>712</v>
      </c>
      <c r="B6495" s="52" t="s">
        <v>48</v>
      </c>
      <c r="C6495" s="52" t="s">
        <v>47</v>
      </c>
      <c r="D6495" s="52" t="s">
        <v>47</v>
      </c>
      <c r="E6495" s="52" t="s">
        <v>584</v>
      </c>
      <c r="F6495" s="52" t="s">
        <v>26</v>
      </c>
      <c r="G6495" s="195" t="s">
        <v>278</v>
      </c>
      <c r="H6495" s="195">
        <v>0.68433319999999997</v>
      </c>
      <c r="I6495" s="195">
        <v>3.7730869999999999</v>
      </c>
      <c r="J6495" s="195">
        <v>3.1672470000000001</v>
      </c>
      <c r="K6495" s="195">
        <v>0.65585490000000002</v>
      </c>
      <c r="L6495" s="195">
        <v>7.8255980000000003</v>
      </c>
      <c r="M6495" s="195">
        <v>0.44069000000000003</v>
      </c>
      <c r="N6495" s="195">
        <v>0.42568119999999998</v>
      </c>
    </row>
    <row r="6496" spans="1:14" hidden="1" x14ac:dyDescent="0.35">
      <c r="A6496" s="52" t="s">
        <v>712</v>
      </c>
      <c r="B6496" s="52" t="s">
        <v>48</v>
      </c>
      <c r="C6496" s="52" t="s">
        <v>47</v>
      </c>
      <c r="D6496" s="52" t="s">
        <v>47</v>
      </c>
      <c r="E6496" s="52" t="s">
        <v>584</v>
      </c>
      <c r="F6496" s="52" t="s">
        <v>26</v>
      </c>
      <c r="G6496" s="195" t="s">
        <v>279</v>
      </c>
      <c r="H6496" s="195">
        <v>48.835619999999999</v>
      </c>
      <c r="I6496" s="195">
        <v>52.070439999999998</v>
      </c>
      <c r="J6496" s="195">
        <v>51.888440000000003</v>
      </c>
      <c r="K6496" s="195">
        <v>51.547649999999997</v>
      </c>
      <c r="L6496" s="195">
        <v>46.846179999999997</v>
      </c>
      <c r="M6496" s="195">
        <v>43.874549999999999</v>
      </c>
      <c r="N6496" s="195">
        <v>52.221110000000003</v>
      </c>
    </row>
    <row r="6497" spans="1:14" hidden="1" x14ac:dyDescent="0.35">
      <c r="A6497" s="52" t="s">
        <v>712</v>
      </c>
      <c r="B6497" s="52" t="s">
        <v>48</v>
      </c>
      <c r="C6497" s="52" t="s">
        <v>47</v>
      </c>
      <c r="D6497" s="52" t="s">
        <v>50</v>
      </c>
      <c r="E6497" s="52" t="s">
        <v>584</v>
      </c>
      <c r="F6497" s="52" t="s">
        <v>581</v>
      </c>
      <c r="G6497" s="195" t="s">
        <v>275</v>
      </c>
      <c r="H6497" s="195">
        <v>1.12239E-2</v>
      </c>
      <c r="I6497" s="195">
        <v>-2.6111699999999999E-3</v>
      </c>
      <c r="J6497" s="195">
        <v>-3.3506999999999999E-3</v>
      </c>
      <c r="K6497" s="195">
        <v>-3.4046100000000002E-3</v>
      </c>
      <c r="L6497" s="195">
        <v>-2.4203699999999998E-3</v>
      </c>
      <c r="M6497" s="195">
        <v>-2.1893400000000001E-3</v>
      </c>
      <c r="N6497" s="195">
        <v>-2.1042000000000001E-4</v>
      </c>
    </row>
    <row r="6498" spans="1:14" hidden="1" x14ac:dyDescent="0.35">
      <c r="A6498" s="52" t="s">
        <v>712</v>
      </c>
      <c r="B6498" s="52" t="s">
        <v>48</v>
      </c>
      <c r="C6498" s="52" t="s">
        <v>47</v>
      </c>
      <c r="D6498" s="52" t="s">
        <v>50</v>
      </c>
      <c r="E6498" s="52" t="s">
        <v>584</v>
      </c>
      <c r="F6498" s="52" t="s">
        <v>581</v>
      </c>
      <c r="G6498" s="195" t="s">
        <v>276</v>
      </c>
      <c r="H6498" s="195">
        <v>1.8706500000000001E-2</v>
      </c>
      <c r="I6498" s="195">
        <v>-4.3521300000000001E-3</v>
      </c>
      <c r="J6498" s="195">
        <v>-5.5842299999999999E-3</v>
      </c>
      <c r="K6498" s="195">
        <v>-5.6744100000000004E-3</v>
      </c>
      <c r="L6498" s="195">
        <v>-4.0344300000000003E-3</v>
      </c>
      <c r="M6498" s="195">
        <v>-3.6488699999999998E-3</v>
      </c>
      <c r="N6498" s="195">
        <v>-3.5063999999999999E-4</v>
      </c>
    </row>
    <row r="6499" spans="1:14" hidden="1" x14ac:dyDescent="0.35">
      <c r="A6499" s="52" t="s">
        <v>712</v>
      </c>
      <c r="B6499" s="52" t="s">
        <v>48</v>
      </c>
      <c r="C6499" s="52" t="s">
        <v>47</v>
      </c>
      <c r="D6499" s="52" t="s">
        <v>50</v>
      </c>
      <c r="E6499" s="52" t="s">
        <v>584</v>
      </c>
      <c r="F6499" s="52" t="s">
        <v>581</v>
      </c>
      <c r="G6499" s="195" t="s">
        <v>279</v>
      </c>
      <c r="H6499" s="195">
        <v>3.3994799999999999E-2</v>
      </c>
      <c r="I6499" s="195">
        <v>3.34746E-2</v>
      </c>
      <c r="J6499" s="195">
        <v>2.8706849999999999E-2</v>
      </c>
      <c r="K6499" s="195">
        <v>2.6177849999999999E-2</v>
      </c>
      <c r="L6499" s="195">
        <v>8.7696000000000007E-3</v>
      </c>
      <c r="M6499" s="195">
        <v>7.2360000000000002E-3</v>
      </c>
      <c r="N6499" s="195">
        <v>6.3017999999999998E-3</v>
      </c>
    </row>
    <row r="6500" spans="1:14" hidden="1" x14ac:dyDescent="0.35">
      <c r="A6500" s="52" t="s">
        <v>712</v>
      </c>
      <c r="B6500" s="52" t="s">
        <v>48</v>
      </c>
      <c r="C6500" s="52" t="s">
        <v>47</v>
      </c>
      <c r="D6500" s="52" t="s">
        <v>50</v>
      </c>
      <c r="E6500" s="52" t="s">
        <v>584</v>
      </c>
      <c r="F6500" s="52" t="s">
        <v>26</v>
      </c>
      <c r="G6500" s="195" t="s">
        <v>275</v>
      </c>
      <c r="H6500" s="195">
        <v>-8.5683599999999999E-2</v>
      </c>
      <c r="I6500" s="195">
        <v>-0.15505840000000001</v>
      </c>
      <c r="J6500" s="195">
        <v>-0.12130929999999999</v>
      </c>
      <c r="K6500" s="195">
        <v>-0.13495180000000001</v>
      </c>
      <c r="L6500" s="195">
        <v>-8.7596099999999996E-2</v>
      </c>
      <c r="M6500" s="195">
        <v>-9.7276500000000002E-2</v>
      </c>
      <c r="N6500" s="195"/>
    </row>
    <row r="6501" spans="1:14" hidden="1" x14ac:dyDescent="0.35">
      <c r="A6501" s="52" t="s">
        <v>712</v>
      </c>
      <c r="B6501" s="52" t="s">
        <v>48</v>
      </c>
      <c r="C6501" s="52" t="s">
        <v>47</v>
      </c>
      <c r="D6501" s="52" t="s">
        <v>50</v>
      </c>
      <c r="E6501" s="52" t="s">
        <v>584</v>
      </c>
      <c r="F6501" s="52" t="s">
        <v>26</v>
      </c>
      <c r="G6501" s="195" t="s">
        <v>276</v>
      </c>
      <c r="H6501" s="195">
        <v>-0.1698462</v>
      </c>
      <c r="I6501" s="195">
        <v>-0.38254539999999998</v>
      </c>
      <c r="J6501" s="195">
        <v>-0.29653950000000001</v>
      </c>
      <c r="K6501" s="195">
        <v>-0.28469489999999997</v>
      </c>
      <c r="L6501" s="195">
        <v>-0.1718064</v>
      </c>
      <c r="M6501" s="195">
        <v>-0.1621273</v>
      </c>
      <c r="N6501" s="195"/>
    </row>
    <row r="6502" spans="1:14" hidden="1" x14ac:dyDescent="0.35">
      <c r="A6502" s="52" t="s">
        <v>712</v>
      </c>
      <c r="B6502" s="52" t="s">
        <v>48</v>
      </c>
      <c r="C6502" s="52" t="s">
        <v>47</v>
      </c>
      <c r="D6502" s="52" t="s">
        <v>50</v>
      </c>
      <c r="E6502" s="52" t="s">
        <v>584</v>
      </c>
      <c r="F6502" s="52" t="s">
        <v>26</v>
      </c>
      <c r="G6502" s="195" t="s">
        <v>277</v>
      </c>
      <c r="H6502" s="195">
        <v>7.7438699999999999E-2</v>
      </c>
      <c r="I6502" s="195"/>
      <c r="J6502" s="195"/>
      <c r="K6502" s="195"/>
      <c r="L6502" s="195"/>
      <c r="M6502" s="195"/>
      <c r="N6502" s="195">
        <v>0</v>
      </c>
    </row>
    <row r="6503" spans="1:14" hidden="1" x14ac:dyDescent="0.35">
      <c r="A6503" s="52" t="s">
        <v>712</v>
      </c>
      <c r="B6503" s="52" t="s">
        <v>48</v>
      </c>
      <c r="C6503" s="52" t="s">
        <v>47</v>
      </c>
      <c r="D6503" s="52" t="s">
        <v>50</v>
      </c>
      <c r="E6503" s="52" t="s">
        <v>584</v>
      </c>
      <c r="F6503" s="52" t="s">
        <v>26</v>
      </c>
      <c r="G6503" s="195" t="s">
        <v>279</v>
      </c>
      <c r="H6503" s="195">
        <v>1.4873769999999999</v>
      </c>
      <c r="I6503" s="195">
        <v>1.47618</v>
      </c>
      <c r="J6503" s="195">
        <v>1.261314</v>
      </c>
      <c r="K6503" s="195">
        <v>1.147124</v>
      </c>
      <c r="L6503" s="195">
        <v>0.25940340000000001</v>
      </c>
      <c r="M6503" s="195">
        <v>0.25940289999999999</v>
      </c>
      <c r="N6503" s="195">
        <v>0.25940340000000001</v>
      </c>
    </row>
    <row r="6504" spans="1:14" hidden="1" x14ac:dyDescent="0.35">
      <c r="A6504" s="52" t="s">
        <v>712</v>
      </c>
      <c r="B6504" s="52" t="s">
        <v>48</v>
      </c>
      <c r="C6504" s="52" t="s">
        <v>96</v>
      </c>
      <c r="D6504" s="52" t="s">
        <v>96</v>
      </c>
      <c r="E6504" s="52" t="s">
        <v>584</v>
      </c>
      <c r="F6504" s="52" t="s">
        <v>581</v>
      </c>
      <c r="G6504" s="195" t="s">
        <v>275</v>
      </c>
      <c r="H6504" s="195">
        <v>3.4265780000000003E-2</v>
      </c>
      <c r="I6504" s="195">
        <v>4.8756090000000002E-2</v>
      </c>
      <c r="J6504" s="195">
        <v>1.1185820000000001E-2</v>
      </c>
      <c r="K6504" s="195">
        <v>4.2745439999999999E-3</v>
      </c>
      <c r="L6504" s="195">
        <v>2.7423180000000001E-3</v>
      </c>
      <c r="M6504" s="195">
        <v>1.9117579999999999E-3</v>
      </c>
      <c r="N6504" s="195">
        <v>1.3119900000000001E-3</v>
      </c>
    </row>
    <row r="6505" spans="1:14" hidden="1" x14ac:dyDescent="0.35">
      <c r="A6505" s="52" t="s">
        <v>712</v>
      </c>
      <c r="B6505" s="52" t="s">
        <v>48</v>
      </c>
      <c r="C6505" s="52" t="s">
        <v>96</v>
      </c>
      <c r="D6505" s="52" t="s">
        <v>96</v>
      </c>
      <c r="E6505" s="52" t="s">
        <v>584</v>
      </c>
      <c r="F6505" s="52" t="s">
        <v>581</v>
      </c>
      <c r="G6505" s="195" t="s">
        <v>276</v>
      </c>
      <c r="H6505" s="195">
        <v>5.7109710000000001E-2</v>
      </c>
      <c r="I6505" s="195">
        <v>8.1259559999999995E-2</v>
      </c>
      <c r="J6505" s="195">
        <v>1.8643010000000002E-2</v>
      </c>
      <c r="K6505" s="195">
        <v>7.1244120000000001E-3</v>
      </c>
      <c r="L6505" s="195">
        <v>-1.65498E-2</v>
      </c>
      <c r="M6505" s="195">
        <v>-9.9148910000000007E-2</v>
      </c>
      <c r="N6505" s="195">
        <v>-3.7030830000000001E-2</v>
      </c>
    </row>
    <row r="6506" spans="1:14" hidden="1" x14ac:dyDescent="0.35">
      <c r="A6506" s="52" t="s">
        <v>712</v>
      </c>
      <c r="B6506" s="52" t="s">
        <v>48</v>
      </c>
      <c r="C6506" s="52" t="s">
        <v>96</v>
      </c>
      <c r="D6506" s="52" t="s">
        <v>96</v>
      </c>
      <c r="E6506" s="52" t="s">
        <v>584</v>
      </c>
      <c r="F6506" s="52" t="s">
        <v>581</v>
      </c>
      <c r="G6506" s="195" t="s">
        <v>277</v>
      </c>
      <c r="H6506" s="195"/>
      <c r="I6506" s="195"/>
      <c r="J6506" s="195"/>
      <c r="K6506" s="195">
        <v>0</v>
      </c>
      <c r="L6506" s="195"/>
      <c r="M6506" s="195">
        <v>0.102336</v>
      </c>
      <c r="N6506" s="195">
        <v>6.2191049999999998E-2</v>
      </c>
    </row>
    <row r="6507" spans="1:14" hidden="1" x14ac:dyDescent="0.35">
      <c r="A6507" s="52" t="s">
        <v>712</v>
      </c>
      <c r="B6507" s="52" t="s">
        <v>48</v>
      </c>
      <c r="C6507" s="52" t="s">
        <v>96</v>
      </c>
      <c r="D6507" s="52" t="s">
        <v>96</v>
      </c>
      <c r="E6507" s="52" t="s">
        <v>584</v>
      </c>
      <c r="F6507" s="52" t="s">
        <v>581</v>
      </c>
      <c r="G6507" s="195" t="s">
        <v>279</v>
      </c>
      <c r="H6507" s="195">
        <v>1.413038E-2</v>
      </c>
      <c r="I6507" s="195">
        <v>7.3427500000000007E-2</v>
      </c>
      <c r="J6507" s="195">
        <v>1.423906E-2</v>
      </c>
      <c r="K6507" s="195">
        <v>5.9955800000000004E-3</v>
      </c>
      <c r="L6507" s="195">
        <v>3.8455109999999998E-3</v>
      </c>
      <c r="M6507" s="195">
        <v>2.6810470000000002E-3</v>
      </c>
      <c r="N6507" s="195">
        <v>7.5134420000000004E-3</v>
      </c>
    </row>
    <row r="6508" spans="1:14" hidden="1" x14ac:dyDescent="0.35">
      <c r="A6508" s="52" t="s">
        <v>712</v>
      </c>
      <c r="B6508" s="52" t="s">
        <v>48</v>
      </c>
      <c r="C6508" s="52" t="s">
        <v>96</v>
      </c>
      <c r="D6508" s="52" t="s">
        <v>96</v>
      </c>
      <c r="E6508" s="52" t="s">
        <v>584</v>
      </c>
      <c r="F6508" s="52" t="s">
        <v>26</v>
      </c>
      <c r="G6508" s="195" t="s">
        <v>275</v>
      </c>
      <c r="H6508" s="195">
        <v>1.4690080000000001</v>
      </c>
      <c r="I6508" s="195">
        <v>0.27257239999999999</v>
      </c>
      <c r="J6508" s="195">
        <v>0.75777490000000003</v>
      </c>
      <c r="K6508" s="195">
        <v>0.64948490000000003</v>
      </c>
      <c r="L6508" s="195">
        <v>0.57901910000000001</v>
      </c>
      <c r="M6508" s="195">
        <v>0.2942671</v>
      </c>
      <c r="N6508" s="195">
        <v>0.22779160000000001</v>
      </c>
    </row>
    <row r="6509" spans="1:14" hidden="1" x14ac:dyDescent="0.35">
      <c r="A6509" s="52" t="s">
        <v>712</v>
      </c>
      <c r="B6509" s="52" t="s">
        <v>48</v>
      </c>
      <c r="C6509" s="52" t="s">
        <v>96</v>
      </c>
      <c r="D6509" s="52" t="s">
        <v>96</v>
      </c>
      <c r="E6509" s="52" t="s">
        <v>584</v>
      </c>
      <c r="F6509" s="52" t="s">
        <v>26</v>
      </c>
      <c r="G6509" s="195" t="s">
        <v>276</v>
      </c>
      <c r="H6509" s="195">
        <v>-1.427594</v>
      </c>
      <c r="I6509" s="195">
        <v>-1.9881899999999999</v>
      </c>
      <c r="J6509" s="195">
        <v>-1.2663139999999999</v>
      </c>
      <c r="K6509" s="195">
        <v>-0.1160273</v>
      </c>
      <c r="L6509" s="195">
        <v>-0.33476339999999999</v>
      </c>
      <c r="M6509" s="195">
        <v>-0.8265342</v>
      </c>
      <c r="N6509" s="195">
        <v>-0.49145090000000002</v>
      </c>
    </row>
    <row r="6510" spans="1:14" hidden="1" x14ac:dyDescent="0.35">
      <c r="A6510" s="52" t="s">
        <v>712</v>
      </c>
      <c r="B6510" s="52" t="s">
        <v>48</v>
      </c>
      <c r="C6510" s="52" t="s">
        <v>96</v>
      </c>
      <c r="D6510" s="52" t="s">
        <v>96</v>
      </c>
      <c r="E6510" s="52" t="s">
        <v>584</v>
      </c>
      <c r="F6510" s="52" t="s">
        <v>26</v>
      </c>
      <c r="G6510" s="195" t="s">
        <v>277</v>
      </c>
      <c r="H6510" s="195">
        <v>2.07348</v>
      </c>
      <c r="I6510" s="195">
        <v>0.2246504</v>
      </c>
      <c r="J6510" s="195">
        <v>0.1933494</v>
      </c>
      <c r="K6510" s="195">
        <v>0</v>
      </c>
      <c r="L6510" s="195"/>
      <c r="M6510" s="195">
        <v>0.94922879999999998</v>
      </c>
      <c r="N6510" s="195">
        <v>0.64195570000000002</v>
      </c>
    </row>
    <row r="6511" spans="1:14" hidden="1" x14ac:dyDescent="0.35">
      <c r="A6511" s="52" t="s">
        <v>712</v>
      </c>
      <c r="B6511" s="52" t="s">
        <v>48</v>
      </c>
      <c r="C6511" s="52" t="s">
        <v>96</v>
      </c>
      <c r="D6511" s="52" t="s">
        <v>96</v>
      </c>
      <c r="E6511" s="52" t="s">
        <v>584</v>
      </c>
      <c r="F6511" s="52" t="s">
        <v>26</v>
      </c>
      <c r="G6511" s="195" t="s">
        <v>278</v>
      </c>
      <c r="H6511" s="195">
        <v>0.28570230000000002</v>
      </c>
      <c r="I6511" s="195">
        <v>3.388331</v>
      </c>
      <c r="J6511" s="195">
        <v>1.6613230000000001</v>
      </c>
      <c r="K6511" s="195">
        <v>0.27339989999999997</v>
      </c>
      <c r="L6511" s="195">
        <v>0.27339989999999997</v>
      </c>
      <c r="M6511" s="195">
        <v>0.22841649999999999</v>
      </c>
      <c r="N6511" s="195">
        <v>0.2142463</v>
      </c>
    </row>
    <row r="6512" spans="1:14" hidden="1" x14ac:dyDescent="0.35">
      <c r="A6512" s="52" t="s">
        <v>712</v>
      </c>
      <c r="B6512" s="52" t="s">
        <v>48</v>
      </c>
      <c r="C6512" s="52" t="s">
        <v>96</v>
      </c>
      <c r="D6512" s="52" t="s">
        <v>96</v>
      </c>
      <c r="E6512" s="52" t="s">
        <v>584</v>
      </c>
      <c r="F6512" s="52" t="s">
        <v>26</v>
      </c>
      <c r="G6512" s="195" t="s">
        <v>279</v>
      </c>
      <c r="H6512" s="195">
        <v>1.1274660000000001</v>
      </c>
      <c r="I6512" s="195">
        <v>1.5971960000000001</v>
      </c>
      <c r="J6512" s="195">
        <v>0.84756189999999998</v>
      </c>
      <c r="K6512" s="195">
        <v>0.69535950000000002</v>
      </c>
      <c r="L6512" s="195">
        <v>0.66232199999999997</v>
      </c>
      <c r="M6512" s="195">
        <v>0.62332750000000003</v>
      </c>
      <c r="N6512" s="195">
        <v>0.55268269999999997</v>
      </c>
    </row>
    <row r="6513" spans="1:14" hidden="1" x14ac:dyDescent="0.35">
      <c r="A6513" s="52" t="s">
        <v>712</v>
      </c>
      <c r="B6513" s="52" t="s">
        <v>53</v>
      </c>
      <c r="C6513" s="52" t="s">
        <v>52</v>
      </c>
      <c r="D6513" s="52" t="s">
        <v>52</v>
      </c>
      <c r="E6513" s="52" t="s">
        <v>584</v>
      </c>
      <c r="F6513" s="52" t="s">
        <v>581</v>
      </c>
      <c r="G6513" s="195" t="s">
        <v>275</v>
      </c>
      <c r="H6513" s="195">
        <v>26.644739999999999</v>
      </c>
      <c r="I6513" s="195">
        <v>4.7225720000000004</v>
      </c>
      <c r="J6513" s="195">
        <v>-36.305239999999998</v>
      </c>
      <c r="K6513" s="195">
        <v>4.810403</v>
      </c>
      <c r="L6513" s="195">
        <v>-88.066800000000001</v>
      </c>
      <c r="M6513" s="195">
        <v>7.6722440000000001</v>
      </c>
      <c r="N6513" s="195">
        <v>4.9299350000000004</v>
      </c>
    </row>
    <row r="6514" spans="1:14" hidden="1" x14ac:dyDescent="0.35">
      <c r="A6514" s="52" t="s">
        <v>712</v>
      </c>
      <c r="B6514" s="52" t="s">
        <v>53</v>
      </c>
      <c r="C6514" s="52" t="s">
        <v>52</v>
      </c>
      <c r="D6514" s="52" t="s">
        <v>52</v>
      </c>
      <c r="E6514" s="52" t="s">
        <v>584</v>
      </c>
      <c r="F6514" s="52" t="s">
        <v>581</v>
      </c>
      <c r="G6514" s="195" t="s">
        <v>276</v>
      </c>
      <c r="H6514" s="195">
        <v>40.326999999999998</v>
      </c>
      <c r="I6514" s="195">
        <v>-15.092639999999999</v>
      </c>
      <c r="J6514" s="195">
        <v>-20.743200000000002</v>
      </c>
      <c r="K6514" s="195">
        <v>-22.649170000000002</v>
      </c>
      <c r="L6514" s="195">
        <v>-28.998909999999999</v>
      </c>
      <c r="M6514" s="195">
        <v>-28.583179999999999</v>
      </c>
      <c r="N6514" s="195">
        <v>-29.487960000000001</v>
      </c>
    </row>
    <row r="6515" spans="1:14" hidden="1" x14ac:dyDescent="0.35">
      <c r="A6515" s="52" t="s">
        <v>712</v>
      </c>
      <c r="B6515" s="52" t="s">
        <v>53</v>
      </c>
      <c r="C6515" s="52" t="s">
        <v>52</v>
      </c>
      <c r="D6515" s="52" t="s">
        <v>52</v>
      </c>
      <c r="E6515" s="52" t="s">
        <v>584</v>
      </c>
      <c r="F6515" s="52" t="s">
        <v>581</v>
      </c>
      <c r="G6515" s="195" t="s">
        <v>277</v>
      </c>
      <c r="H6515" s="195">
        <v>19.760000000000002</v>
      </c>
      <c r="I6515" s="195">
        <v>14.88</v>
      </c>
      <c r="J6515" s="195">
        <v>50.76</v>
      </c>
      <c r="K6515" s="195">
        <v>4.880001</v>
      </c>
      <c r="L6515" s="195">
        <v>100.2223</v>
      </c>
      <c r="M6515" s="195">
        <v>0</v>
      </c>
      <c r="N6515" s="195"/>
    </row>
    <row r="6516" spans="1:14" hidden="1" x14ac:dyDescent="0.35">
      <c r="A6516" s="52" t="s">
        <v>712</v>
      </c>
      <c r="B6516" s="52" t="s">
        <v>53</v>
      </c>
      <c r="C6516" s="52" t="s">
        <v>52</v>
      </c>
      <c r="D6516" s="52" t="s">
        <v>52</v>
      </c>
      <c r="E6516" s="52" t="s">
        <v>584</v>
      </c>
      <c r="F6516" s="52" t="s">
        <v>581</v>
      </c>
      <c r="G6516" s="195" t="s">
        <v>279</v>
      </c>
      <c r="H6516" s="195">
        <v>47.192010000000003</v>
      </c>
      <c r="I6516" s="195">
        <v>42.58379</v>
      </c>
      <c r="J6516" s="195">
        <v>42.982849999999999</v>
      </c>
      <c r="K6516" s="195">
        <v>45.839970000000001</v>
      </c>
      <c r="L6516" s="195">
        <v>45.835099999999997</v>
      </c>
      <c r="M6516" s="195">
        <v>45.804229999999997</v>
      </c>
      <c r="N6516" s="195">
        <v>45.94182</v>
      </c>
    </row>
    <row r="6517" spans="1:14" hidden="1" x14ac:dyDescent="0.35">
      <c r="A6517" s="52" t="s">
        <v>712</v>
      </c>
      <c r="B6517" s="52" t="s">
        <v>53</v>
      </c>
      <c r="C6517" s="52" t="s">
        <v>52</v>
      </c>
      <c r="D6517" s="52" t="s">
        <v>52</v>
      </c>
      <c r="E6517" s="52" t="s">
        <v>584</v>
      </c>
      <c r="F6517" s="52" t="s">
        <v>26</v>
      </c>
      <c r="G6517" s="195" t="s">
        <v>275</v>
      </c>
      <c r="H6517" s="195">
        <v>-4.3846000000000003E-2</v>
      </c>
      <c r="I6517" s="195">
        <v>-4.3846000000000003E-2</v>
      </c>
      <c r="J6517" s="195">
        <v>0</v>
      </c>
      <c r="K6517" s="195">
        <v>0</v>
      </c>
      <c r="L6517" s="195">
        <v>0</v>
      </c>
      <c r="M6517" s="195">
        <v>0</v>
      </c>
      <c r="N6517" s="195">
        <v>0</v>
      </c>
    </row>
    <row r="6518" spans="1:14" hidden="1" x14ac:dyDescent="0.35">
      <c r="A6518" s="52" t="s">
        <v>712</v>
      </c>
      <c r="B6518" s="52" t="s">
        <v>53</v>
      </c>
      <c r="C6518" s="52" t="s">
        <v>52</v>
      </c>
      <c r="D6518" s="52" t="s">
        <v>52</v>
      </c>
      <c r="E6518" s="52" t="s">
        <v>584</v>
      </c>
      <c r="F6518" s="52" t="s">
        <v>26</v>
      </c>
      <c r="G6518" s="195" t="s">
        <v>276</v>
      </c>
      <c r="H6518" s="195">
        <v>-1.8790999999999999E-2</v>
      </c>
      <c r="I6518" s="195">
        <v>-1.8790999999999999E-2</v>
      </c>
      <c r="J6518" s="195">
        <v>-6.2635999999999997E-2</v>
      </c>
      <c r="K6518" s="195">
        <v>-6.2636999999999998E-2</v>
      </c>
      <c r="L6518" s="195">
        <v>-0.15461</v>
      </c>
      <c r="M6518" s="195">
        <v>-6.2637999999999999E-2</v>
      </c>
      <c r="N6518" s="195">
        <v>-6.2636999999999998E-2</v>
      </c>
    </row>
    <row r="6519" spans="1:14" hidden="1" x14ac:dyDescent="0.35">
      <c r="A6519" s="52" t="s">
        <v>712</v>
      </c>
      <c r="B6519" s="52" t="s">
        <v>53</v>
      </c>
      <c r="C6519" s="52" t="s">
        <v>52</v>
      </c>
      <c r="D6519" s="52" t="s">
        <v>52</v>
      </c>
      <c r="E6519" s="52" t="s">
        <v>584</v>
      </c>
      <c r="F6519" s="52" t="s">
        <v>26</v>
      </c>
      <c r="G6519" s="195" t="s">
        <v>278</v>
      </c>
      <c r="H6519" s="195">
        <v>6.2636999999999998E-2</v>
      </c>
      <c r="I6519" s="195">
        <v>6.2636999999999998E-2</v>
      </c>
      <c r="J6519" s="195">
        <v>6.2636999999999998E-2</v>
      </c>
      <c r="K6519" s="195">
        <v>6.2636999999999998E-2</v>
      </c>
      <c r="L6519" s="195">
        <v>0.15461</v>
      </c>
      <c r="M6519" s="195">
        <v>6.2636999999999998E-2</v>
      </c>
      <c r="N6519" s="195">
        <v>6.2636999999999998E-2</v>
      </c>
    </row>
    <row r="6520" spans="1:14" hidden="1" x14ac:dyDescent="0.35">
      <c r="A6520" s="52" t="s">
        <v>712</v>
      </c>
      <c r="B6520" s="52" t="s">
        <v>280</v>
      </c>
      <c r="C6520" s="52" t="s">
        <v>716</v>
      </c>
      <c r="D6520" s="52" t="s">
        <v>716</v>
      </c>
      <c r="E6520" s="52" t="s">
        <v>584</v>
      </c>
      <c r="F6520" s="52" t="s">
        <v>581</v>
      </c>
      <c r="G6520" s="195" t="s">
        <v>275</v>
      </c>
      <c r="H6520" s="195"/>
      <c r="I6520" s="195"/>
      <c r="J6520" s="195"/>
      <c r="K6520" s="195"/>
      <c r="L6520" s="195"/>
      <c r="M6520" s="195">
        <v>0</v>
      </c>
      <c r="N6520" s="195">
        <v>0</v>
      </c>
    </row>
    <row r="6521" spans="1:14" hidden="1" x14ac:dyDescent="0.35">
      <c r="A6521" s="52" t="s">
        <v>712</v>
      </c>
      <c r="B6521" s="52" t="s">
        <v>280</v>
      </c>
      <c r="C6521" s="52" t="s">
        <v>716</v>
      </c>
      <c r="D6521" s="52" t="s">
        <v>716</v>
      </c>
      <c r="E6521" s="52" t="s">
        <v>584</v>
      </c>
      <c r="F6521" s="52" t="s">
        <v>581</v>
      </c>
      <c r="G6521" s="195" t="s">
        <v>276</v>
      </c>
      <c r="H6521" s="195"/>
      <c r="I6521" s="195"/>
      <c r="J6521" s="195"/>
      <c r="K6521" s="195"/>
      <c r="L6521" s="195"/>
      <c r="M6521" s="195">
        <v>0</v>
      </c>
      <c r="N6521" s="195">
        <v>-1.6429999999999999E-3</v>
      </c>
    </row>
    <row r="6522" spans="1:14" hidden="1" x14ac:dyDescent="0.35">
      <c r="A6522" s="52" t="s">
        <v>712</v>
      </c>
      <c r="B6522" s="52" t="s">
        <v>280</v>
      </c>
      <c r="C6522" s="52" t="s">
        <v>716</v>
      </c>
      <c r="D6522" s="52" t="s">
        <v>716</v>
      </c>
      <c r="E6522" s="52" t="s">
        <v>584</v>
      </c>
      <c r="F6522" s="52" t="s">
        <v>581</v>
      </c>
      <c r="G6522" s="195" t="s">
        <v>279</v>
      </c>
      <c r="H6522" s="195"/>
      <c r="I6522" s="195"/>
      <c r="J6522" s="195"/>
      <c r="K6522" s="195"/>
      <c r="L6522" s="195"/>
      <c r="M6522" s="195">
        <v>0</v>
      </c>
      <c r="N6522" s="195">
        <v>1.6432E-3</v>
      </c>
    </row>
    <row r="6523" spans="1:14" hidden="1" x14ac:dyDescent="0.35">
      <c r="A6523" s="52" t="s">
        <v>712</v>
      </c>
      <c r="B6523" s="52" t="s">
        <v>280</v>
      </c>
      <c r="C6523" s="52" t="s">
        <v>716</v>
      </c>
      <c r="D6523" s="52" t="s">
        <v>716</v>
      </c>
      <c r="E6523" s="52" t="s">
        <v>584</v>
      </c>
      <c r="F6523" s="52" t="s">
        <v>26</v>
      </c>
      <c r="G6523" s="195" t="s">
        <v>275</v>
      </c>
      <c r="H6523" s="195">
        <v>60.655299999999997</v>
      </c>
      <c r="I6523" s="195">
        <v>34.482059999999997</v>
      </c>
      <c r="J6523" s="195">
        <v>23.27684</v>
      </c>
      <c r="K6523" s="195">
        <v>13.250909999999999</v>
      </c>
      <c r="L6523" s="195">
        <v>9.7185930000000003</v>
      </c>
      <c r="M6523" s="195">
        <v>6.6658879999999998</v>
      </c>
      <c r="N6523" s="195">
        <v>3.7245919999999999</v>
      </c>
    </row>
    <row r="6524" spans="1:14" hidden="1" x14ac:dyDescent="0.35">
      <c r="A6524" s="52" t="s">
        <v>712</v>
      </c>
      <c r="B6524" s="52" t="s">
        <v>280</v>
      </c>
      <c r="C6524" s="52" t="s">
        <v>716</v>
      </c>
      <c r="D6524" s="52" t="s">
        <v>716</v>
      </c>
      <c r="E6524" s="52" t="s">
        <v>584</v>
      </c>
      <c r="F6524" s="52" t="s">
        <v>26</v>
      </c>
      <c r="G6524" s="195" t="s">
        <v>276</v>
      </c>
      <c r="H6524" s="195"/>
      <c r="I6524" s="195">
        <v>0</v>
      </c>
      <c r="J6524" s="195">
        <v>7.414396</v>
      </c>
      <c r="K6524" s="195">
        <v>6.1528660000000004</v>
      </c>
      <c r="L6524" s="195">
        <v>3.9815469999999999</v>
      </c>
      <c r="M6524" s="195">
        <v>3.1082100000000001</v>
      </c>
      <c r="N6524" s="195">
        <v>1.897357</v>
      </c>
    </row>
    <row r="6525" spans="1:14" hidden="1" x14ac:dyDescent="0.35">
      <c r="A6525" s="52" t="s">
        <v>712</v>
      </c>
      <c r="B6525" s="52" t="s">
        <v>280</v>
      </c>
      <c r="C6525" s="52" t="s">
        <v>716</v>
      </c>
      <c r="D6525" s="52" t="s">
        <v>716</v>
      </c>
      <c r="E6525" s="52" t="s">
        <v>584</v>
      </c>
      <c r="F6525" s="52" t="s">
        <v>26</v>
      </c>
      <c r="G6525" s="195" t="s">
        <v>277</v>
      </c>
      <c r="H6525" s="195">
        <v>0.5</v>
      </c>
      <c r="I6525" s="195">
        <v>0.99999990000000005</v>
      </c>
      <c r="J6525" s="195">
        <v>1.5</v>
      </c>
      <c r="K6525" s="195">
        <v>7.389526</v>
      </c>
      <c r="L6525" s="195">
        <v>7.9753780000000001</v>
      </c>
      <c r="M6525" s="195">
        <v>8.2495689999999993</v>
      </c>
      <c r="N6525" s="195">
        <v>8.7898130000000005</v>
      </c>
    </row>
    <row r="6526" spans="1:14" hidden="1" x14ac:dyDescent="0.35">
      <c r="A6526" s="52" t="s">
        <v>712</v>
      </c>
      <c r="B6526" s="52" t="s">
        <v>280</v>
      </c>
      <c r="C6526" s="52" t="s">
        <v>716</v>
      </c>
      <c r="D6526" s="52" t="s">
        <v>716</v>
      </c>
      <c r="E6526" s="52" t="s">
        <v>584</v>
      </c>
      <c r="F6526" s="52" t="s">
        <v>26</v>
      </c>
      <c r="G6526" s="195" t="s">
        <v>278</v>
      </c>
      <c r="H6526" s="195">
        <v>1.8644000000000001E-2</v>
      </c>
      <c r="I6526" s="195">
        <v>1.8644000000000001E-2</v>
      </c>
      <c r="J6526" s="195">
        <v>1.8644000000000001E-2</v>
      </c>
      <c r="K6526" s="195">
        <v>1.8644000000000001E-2</v>
      </c>
      <c r="L6526" s="195">
        <v>0.68261579999999999</v>
      </c>
      <c r="M6526" s="195">
        <v>1.8644000000000001E-2</v>
      </c>
      <c r="N6526" s="195">
        <v>1.8644000000000001E-2</v>
      </c>
    </row>
    <row r="6527" spans="1:14" hidden="1" x14ac:dyDescent="0.35">
      <c r="A6527" s="52" t="s">
        <v>712</v>
      </c>
      <c r="B6527" s="52" t="s">
        <v>280</v>
      </c>
      <c r="C6527" s="52" t="s">
        <v>716</v>
      </c>
      <c r="D6527" s="52" t="s">
        <v>716</v>
      </c>
      <c r="E6527" s="52" t="s">
        <v>584</v>
      </c>
      <c r="F6527" s="52" t="s">
        <v>26</v>
      </c>
      <c r="G6527" s="195" t="s">
        <v>279</v>
      </c>
      <c r="H6527" s="195">
        <v>15.650119999999999</v>
      </c>
      <c r="I6527" s="195">
        <v>12.88761</v>
      </c>
      <c r="J6527" s="195">
        <v>11.77844</v>
      </c>
      <c r="K6527" s="195">
        <v>11.21588</v>
      </c>
      <c r="L6527" s="195">
        <v>9.9223660000000002</v>
      </c>
      <c r="M6527" s="195">
        <v>8.6560439999999996</v>
      </c>
      <c r="N6527" s="195">
        <v>7.6181359999999998</v>
      </c>
    </row>
    <row r="6528" spans="1:14" hidden="1" x14ac:dyDescent="0.35">
      <c r="A6528" s="52" t="s">
        <v>712</v>
      </c>
      <c r="B6528" s="52" t="s">
        <v>49</v>
      </c>
      <c r="C6528" s="52" t="s">
        <v>47</v>
      </c>
      <c r="D6528" s="52" t="s">
        <v>50</v>
      </c>
      <c r="E6528" s="52" t="s">
        <v>584</v>
      </c>
      <c r="F6528" s="52" t="s">
        <v>581</v>
      </c>
      <c r="G6528" s="195" t="s">
        <v>275</v>
      </c>
      <c r="H6528" s="195">
        <v>4.2547300000000003</v>
      </c>
      <c r="I6528" s="195">
        <v>2.1064850000000002</v>
      </c>
      <c r="J6528" s="195">
        <v>0.94867869999999999</v>
      </c>
      <c r="K6528" s="195">
        <v>0.1383916</v>
      </c>
      <c r="L6528" s="195">
        <v>0.1142164</v>
      </c>
      <c r="M6528" s="195">
        <v>-8.2146819999999995E-2</v>
      </c>
      <c r="N6528" s="195">
        <v>-7.4909649999999994E-2</v>
      </c>
    </row>
    <row r="6529" spans="1:14" hidden="1" x14ac:dyDescent="0.35">
      <c r="A6529" s="52" t="s">
        <v>712</v>
      </c>
      <c r="B6529" s="52" t="s">
        <v>49</v>
      </c>
      <c r="C6529" s="52" t="s">
        <v>47</v>
      </c>
      <c r="D6529" s="52" t="s">
        <v>50</v>
      </c>
      <c r="E6529" s="52" t="s">
        <v>584</v>
      </c>
      <c r="F6529" s="52" t="s">
        <v>581</v>
      </c>
      <c r="G6529" s="195" t="s">
        <v>276</v>
      </c>
      <c r="H6529" s="195">
        <v>0.67058810000000002</v>
      </c>
      <c r="I6529" s="195">
        <v>-1.6035239999999999</v>
      </c>
      <c r="J6529" s="195">
        <v>-0.9610476</v>
      </c>
      <c r="K6529" s="195">
        <v>-0.41770279999999999</v>
      </c>
      <c r="L6529" s="195">
        <v>-0.370425</v>
      </c>
      <c r="M6529" s="195">
        <v>-0.15643019999999999</v>
      </c>
      <c r="N6529" s="195">
        <v>-0.15210760000000001</v>
      </c>
    </row>
    <row r="6530" spans="1:14" hidden="1" x14ac:dyDescent="0.35">
      <c r="A6530" s="52" t="s">
        <v>712</v>
      </c>
      <c r="B6530" s="52" t="s">
        <v>49</v>
      </c>
      <c r="C6530" s="52" t="s">
        <v>47</v>
      </c>
      <c r="D6530" s="52" t="s">
        <v>50</v>
      </c>
      <c r="E6530" s="52" t="s">
        <v>584</v>
      </c>
      <c r="F6530" s="52" t="s">
        <v>581</v>
      </c>
      <c r="G6530" s="195" t="s">
        <v>277</v>
      </c>
      <c r="H6530" s="195">
        <v>6.802962</v>
      </c>
      <c r="I6530" s="195">
        <v>3.0464959999999999</v>
      </c>
      <c r="J6530" s="195">
        <v>2.7179329999999999</v>
      </c>
      <c r="K6530" s="195">
        <v>2.7751250000000001</v>
      </c>
      <c r="L6530" s="195">
        <v>2.6020919999999998</v>
      </c>
      <c r="M6530" s="195">
        <v>2.4274629999999999</v>
      </c>
      <c r="N6530" s="195">
        <v>2.2763930000000001</v>
      </c>
    </row>
    <row r="6531" spans="1:14" hidden="1" x14ac:dyDescent="0.35">
      <c r="A6531" s="52" t="s">
        <v>712</v>
      </c>
      <c r="B6531" s="52" t="s">
        <v>49</v>
      </c>
      <c r="C6531" s="52" t="s">
        <v>47</v>
      </c>
      <c r="D6531" s="52" t="s">
        <v>50</v>
      </c>
      <c r="E6531" s="52" t="s">
        <v>584</v>
      </c>
      <c r="F6531" s="52" t="s">
        <v>581</v>
      </c>
      <c r="G6531" s="195" t="s">
        <v>279</v>
      </c>
      <c r="H6531" s="195">
        <v>1.4541010000000001</v>
      </c>
      <c r="I6531" s="195">
        <v>1.2848010000000001</v>
      </c>
      <c r="J6531" s="195">
        <v>1.2380850000000001</v>
      </c>
      <c r="K6531" s="195">
        <v>1.2408939999999999</v>
      </c>
      <c r="L6531" s="195">
        <v>1.1893069999999999</v>
      </c>
      <c r="M6531" s="195">
        <v>1.135993</v>
      </c>
      <c r="N6531" s="195">
        <v>1.0880369999999999</v>
      </c>
    </row>
    <row r="6532" spans="1:14" hidden="1" x14ac:dyDescent="0.35">
      <c r="A6532" s="52" t="s">
        <v>712</v>
      </c>
      <c r="B6532" s="52" t="s">
        <v>49</v>
      </c>
      <c r="C6532" s="52" t="s">
        <v>47</v>
      </c>
      <c r="D6532" s="52" t="s">
        <v>50</v>
      </c>
      <c r="E6532" s="52" t="s">
        <v>584</v>
      </c>
      <c r="F6532" s="52" t="s">
        <v>26</v>
      </c>
      <c r="G6532" s="195" t="s">
        <v>275</v>
      </c>
      <c r="H6532" s="195">
        <v>-5.0947930000000001</v>
      </c>
      <c r="I6532" s="195">
        <v>-3.1308449999999999</v>
      </c>
      <c r="J6532" s="195">
        <v>-1.891022</v>
      </c>
      <c r="K6532" s="195">
        <v>-1.574497</v>
      </c>
      <c r="L6532" s="195">
        <v>-5.7302239999999998</v>
      </c>
      <c r="M6532" s="195">
        <v>-6.5516889999999997</v>
      </c>
      <c r="N6532" s="195">
        <v>-0.74396269999999998</v>
      </c>
    </row>
    <row r="6533" spans="1:14" hidden="1" x14ac:dyDescent="0.35">
      <c r="A6533" s="52" t="s">
        <v>712</v>
      </c>
      <c r="B6533" s="52" t="s">
        <v>49</v>
      </c>
      <c r="C6533" s="52" t="s">
        <v>47</v>
      </c>
      <c r="D6533" s="52" t="s">
        <v>50</v>
      </c>
      <c r="E6533" s="52" t="s">
        <v>584</v>
      </c>
      <c r="F6533" s="52" t="s">
        <v>26</v>
      </c>
      <c r="G6533" s="195" t="s">
        <v>276</v>
      </c>
      <c r="H6533" s="195">
        <v>-1.749072</v>
      </c>
      <c r="I6533" s="195">
        <v>-2.8268019999999998</v>
      </c>
      <c r="J6533" s="195">
        <v>-2.323855</v>
      </c>
      <c r="K6533" s="195">
        <v>-2.1434669999999998</v>
      </c>
      <c r="L6533" s="195">
        <v>-3.0788899999999999</v>
      </c>
      <c r="M6533" s="195">
        <v>-3.0296650000000001</v>
      </c>
      <c r="N6533" s="195">
        <v>-0.54022899999999996</v>
      </c>
    </row>
    <row r="6534" spans="1:14" hidden="1" x14ac:dyDescent="0.35">
      <c r="A6534" s="52" t="s">
        <v>712</v>
      </c>
      <c r="B6534" s="52" t="s">
        <v>49</v>
      </c>
      <c r="C6534" s="52" t="s">
        <v>47</v>
      </c>
      <c r="D6534" s="52" t="s">
        <v>50</v>
      </c>
      <c r="E6534" s="52" t="s">
        <v>584</v>
      </c>
      <c r="F6534" s="52" t="s">
        <v>26</v>
      </c>
      <c r="G6534" s="195" t="s">
        <v>277</v>
      </c>
      <c r="H6534" s="195">
        <v>4.9212360000000004</v>
      </c>
      <c r="I6534" s="195">
        <v>0.28324569999999999</v>
      </c>
      <c r="J6534" s="195">
        <v>0.155448</v>
      </c>
      <c r="K6534" s="195">
        <v>8.5311960000000006E-2</v>
      </c>
      <c r="L6534" s="195">
        <v>4.6820250000000001E-2</v>
      </c>
      <c r="M6534" s="195"/>
      <c r="N6534" s="195"/>
    </row>
    <row r="6535" spans="1:14" hidden="1" x14ac:dyDescent="0.35">
      <c r="A6535" s="52" t="s">
        <v>712</v>
      </c>
      <c r="B6535" s="52" t="s">
        <v>49</v>
      </c>
      <c r="C6535" s="52" t="s">
        <v>47</v>
      </c>
      <c r="D6535" s="52" t="s">
        <v>50</v>
      </c>
      <c r="E6535" s="52" t="s">
        <v>584</v>
      </c>
      <c r="F6535" s="52" t="s">
        <v>26</v>
      </c>
      <c r="G6535" s="195" t="s">
        <v>278</v>
      </c>
      <c r="H6535" s="195">
        <v>0.2</v>
      </c>
      <c r="I6535" s="195">
        <v>0.2</v>
      </c>
      <c r="J6535" s="195">
        <v>0.2</v>
      </c>
      <c r="K6535" s="195">
        <v>0.2</v>
      </c>
      <c r="L6535" s="195">
        <v>0.2</v>
      </c>
      <c r="M6535" s="195">
        <v>0.2</v>
      </c>
      <c r="N6535" s="195">
        <v>0.2</v>
      </c>
    </row>
    <row r="6536" spans="1:14" hidden="1" x14ac:dyDescent="0.35">
      <c r="A6536" s="52" t="s">
        <v>712</v>
      </c>
      <c r="B6536" s="52" t="s">
        <v>49</v>
      </c>
      <c r="C6536" s="52" t="s">
        <v>47</v>
      </c>
      <c r="D6536" s="52" t="s">
        <v>50</v>
      </c>
      <c r="E6536" s="52" t="s">
        <v>584</v>
      </c>
      <c r="F6536" s="52" t="s">
        <v>26</v>
      </c>
      <c r="G6536" s="195" t="s">
        <v>279</v>
      </c>
      <c r="H6536" s="195">
        <v>11.56114</v>
      </c>
      <c r="I6536" s="195">
        <v>14.22424</v>
      </c>
      <c r="J6536" s="195">
        <v>10.52234</v>
      </c>
      <c r="K6536" s="195">
        <v>8.3929209999999994</v>
      </c>
      <c r="L6536" s="195">
        <v>11.665900000000001</v>
      </c>
      <c r="M6536" s="195">
        <v>10.331670000000001</v>
      </c>
      <c r="N6536" s="195">
        <v>1.1912970000000001</v>
      </c>
    </row>
    <row r="6537" spans="1:14" hidden="1" x14ac:dyDescent="0.35">
      <c r="A6537" s="52" t="s">
        <v>712</v>
      </c>
      <c r="B6537" s="52" t="s">
        <v>49</v>
      </c>
      <c r="C6537" s="52" t="s">
        <v>47</v>
      </c>
      <c r="D6537" s="52" t="s">
        <v>50</v>
      </c>
      <c r="E6537" s="52" t="s">
        <v>862</v>
      </c>
      <c r="F6537" s="52" t="s">
        <v>26</v>
      </c>
      <c r="G6537" s="195" t="s">
        <v>275</v>
      </c>
      <c r="H6537" s="195">
        <v>-1.362825E-2</v>
      </c>
      <c r="I6537" s="195">
        <v>-1.36285E-2</v>
      </c>
      <c r="J6537" s="195">
        <v>0</v>
      </c>
      <c r="K6537" s="195">
        <v>0</v>
      </c>
      <c r="L6537" s="195">
        <v>0</v>
      </c>
      <c r="M6537" s="195">
        <v>0</v>
      </c>
      <c r="N6537" s="195">
        <v>0</v>
      </c>
    </row>
    <row r="6538" spans="1:14" hidden="1" x14ac:dyDescent="0.35">
      <c r="A6538" s="52" t="s">
        <v>712</v>
      </c>
      <c r="B6538" s="52" t="s">
        <v>49</v>
      </c>
      <c r="C6538" s="52" t="s">
        <v>47</v>
      </c>
      <c r="D6538" s="52" t="s">
        <v>50</v>
      </c>
      <c r="E6538" s="52" t="s">
        <v>862</v>
      </c>
      <c r="F6538" s="52" t="s">
        <v>26</v>
      </c>
      <c r="G6538" s="195" t="s">
        <v>276</v>
      </c>
      <c r="H6538" s="195">
        <v>-5.7852499999999996E-3</v>
      </c>
      <c r="I6538" s="195">
        <v>-5.7852499999999996E-3</v>
      </c>
      <c r="J6538" s="195">
        <v>-1.94135E-2</v>
      </c>
      <c r="K6538" s="195">
        <v>-1.941375E-2</v>
      </c>
      <c r="L6538" s="195">
        <v>-1.941375E-2</v>
      </c>
      <c r="M6538" s="195">
        <v>-1.941375E-2</v>
      </c>
      <c r="N6538" s="195">
        <v>-1.94135E-2</v>
      </c>
    </row>
    <row r="6539" spans="1:14" hidden="1" x14ac:dyDescent="0.35">
      <c r="A6539" s="52" t="s">
        <v>712</v>
      </c>
      <c r="B6539" s="52" t="s">
        <v>49</v>
      </c>
      <c r="C6539" s="52" t="s">
        <v>47</v>
      </c>
      <c r="D6539" s="52" t="s">
        <v>50</v>
      </c>
      <c r="E6539" s="52" t="s">
        <v>862</v>
      </c>
      <c r="F6539" s="52" t="s">
        <v>26</v>
      </c>
      <c r="G6539" s="195" t="s">
        <v>278</v>
      </c>
      <c r="H6539" s="195">
        <v>1.94135E-2</v>
      </c>
      <c r="I6539" s="195">
        <v>1.941325E-2</v>
      </c>
      <c r="J6539" s="195">
        <v>1.94135E-2</v>
      </c>
      <c r="K6539" s="195">
        <v>1.94135E-2</v>
      </c>
      <c r="L6539" s="195">
        <v>1.94135E-2</v>
      </c>
      <c r="M6539" s="195">
        <v>1.94135E-2</v>
      </c>
      <c r="N6539" s="195">
        <v>1.941325E-2</v>
      </c>
    </row>
    <row r="6540" spans="1:14" hidden="1" x14ac:dyDescent="0.35">
      <c r="A6540" s="52" t="s">
        <v>712</v>
      </c>
      <c r="B6540" s="52" t="s">
        <v>49</v>
      </c>
      <c r="C6540" s="52" t="s">
        <v>47</v>
      </c>
      <c r="D6540" s="52" t="s">
        <v>47</v>
      </c>
      <c r="E6540" s="52" t="s">
        <v>584</v>
      </c>
      <c r="F6540" s="52" t="s">
        <v>581</v>
      </c>
      <c r="G6540" s="195" t="s">
        <v>275</v>
      </c>
      <c r="H6540" s="195">
        <v>2.7941280000000002</v>
      </c>
      <c r="I6540" s="195">
        <v>0.77436269999999996</v>
      </c>
      <c r="J6540" s="195">
        <v>0.49990790000000002</v>
      </c>
      <c r="K6540" s="195">
        <v>0.4060223</v>
      </c>
      <c r="L6540" s="195">
        <v>0.3384067</v>
      </c>
      <c r="M6540" s="195">
        <v>0.26985979999999998</v>
      </c>
      <c r="N6540" s="195">
        <v>0.22436010000000001</v>
      </c>
    </row>
    <row r="6541" spans="1:14" hidden="1" x14ac:dyDescent="0.35">
      <c r="A6541" s="52" t="s">
        <v>712</v>
      </c>
      <c r="B6541" s="52" t="s">
        <v>49</v>
      </c>
      <c r="C6541" s="52" t="s">
        <v>47</v>
      </c>
      <c r="D6541" s="52" t="s">
        <v>47</v>
      </c>
      <c r="E6541" s="52" t="s">
        <v>584</v>
      </c>
      <c r="F6541" s="52" t="s">
        <v>581</v>
      </c>
      <c r="G6541" s="195" t="s">
        <v>276</v>
      </c>
      <c r="H6541" s="195">
        <v>0.78531050000000002</v>
      </c>
      <c r="I6541" s="195">
        <v>0.2149112</v>
      </c>
      <c r="J6541" s="195">
        <v>0.1914961</v>
      </c>
      <c r="K6541" s="195">
        <v>0.17235700000000001</v>
      </c>
      <c r="L6541" s="195">
        <v>0.14365420000000001</v>
      </c>
      <c r="M6541" s="195">
        <v>0.1145559</v>
      </c>
      <c r="N6541" s="195">
        <v>9.5241000000000006E-2</v>
      </c>
    </row>
    <row r="6542" spans="1:14" hidden="1" x14ac:dyDescent="0.35">
      <c r="A6542" s="52" t="s">
        <v>712</v>
      </c>
      <c r="B6542" s="52" t="s">
        <v>49</v>
      </c>
      <c r="C6542" s="52" t="s">
        <v>47</v>
      </c>
      <c r="D6542" s="52" t="s">
        <v>47</v>
      </c>
      <c r="E6542" s="52" t="s">
        <v>584</v>
      </c>
      <c r="F6542" s="52" t="s">
        <v>581</v>
      </c>
      <c r="G6542" s="195" t="s">
        <v>277</v>
      </c>
      <c r="H6542" s="195"/>
      <c r="I6542" s="195"/>
      <c r="J6542" s="195"/>
      <c r="K6542" s="195"/>
      <c r="L6542" s="195"/>
      <c r="M6542" s="195"/>
      <c r="N6542" s="195"/>
    </row>
    <row r="6543" spans="1:14" hidden="1" x14ac:dyDescent="0.35">
      <c r="A6543" s="52" t="s">
        <v>712</v>
      </c>
      <c r="B6543" s="52" t="s">
        <v>49</v>
      </c>
      <c r="C6543" s="52" t="s">
        <v>47</v>
      </c>
      <c r="D6543" s="52" t="s">
        <v>47</v>
      </c>
      <c r="E6543" s="52" t="s">
        <v>584</v>
      </c>
      <c r="F6543" s="52" t="s">
        <v>581</v>
      </c>
      <c r="G6543" s="195" t="s">
        <v>279</v>
      </c>
      <c r="H6543" s="195">
        <v>0.46682449999999998</v>
      </c>
      <c r="I6543" s="195">
        <v>0.39493200000000001</v>
      </c>
      <c r="J6543" s="195">
        <v>0.36760500000000002</v>
      </c>
      <c r="K6543" s="195">
        <v>0.35315580000000002</v>
      </c>
      <c r="L6543" s="195">
        <v>0.32361129999999999</v>
      </c>
      <c r="M6543" s="195">
        <v>0.29371120000000001</v>
      </c>
      <c r="N6543" s="195">
        <v>0.25104690000000002</v>
      </c>
    </row>
    <row r="6544" spans="1:14" hidden="1" x14ac:dyDescent="0.35">
      <c r="A6544" s="52" t="s">
        <v>712</v>
      </c>
      <c r="B6544" s="52" t="s">
        <v>49</v>
      </c>
      <c r="C6544" s="52" t="s">
        <v>47</v>
      </c>
      <c r="D6544" s="52" t="s">
        <v>47</v>
      </c>
      <c r="E6544" s="52" t="s">
        <v>584</v>
      </c>
      <c r="F6544" s="52" t="s">
        <v>26</v>
      </c>
      <c r="G6544" s="195" t="s">
        <v>275</v>
      </c>
      <c r="H6544" s="195">
        <v>3.4229919999999998</v>
      </c>
      <c r="I6544" s="195">
        <v>1.365302</v>
      </c>
      <c r="J6544" s="195">
        <v>1.7233130000000001</v>
      </c>
      <c r="K6544" s="195">
        <v>1.047137</v>
      </c>
      <c r="L6544" s="195">
        <v>0.95214220000000005</v>
      </c>
      <c r="M6544" s="195">
        <v>0.83299829999999997</v>
      </c>
      <c r="N6544" s="195">
        <v>0.72049850000000004</v>
      </c>
    </row>
    <row r="6545" spans="1:14" hidden="1" x14ac:dyDescent="0.35">
      <c r="A6545" s="52" t="s">
        <v>712</v>
      </c>
      <c r="B6545" s="52" t="s">
        <v>49</v>
      </c>
      <c r="C6545" s="52" t="s">
        <v>47</v>
      </c>
      <c r="D6545" s="52" t="s">
        <v>47</v>
      </c>
      <c r="E6545" s="52" t="s">
        <v>584</v>
      </c>
      <c r="F6545" s="52" t="s">
        <v>26</v>
      </c>
      <c r="G6545" s="195" t="s">
        <v>276</v>
      </c>
      <c r="H6545" s="195">
        <v>0.4741245</v>
      </c>
      <c r="I6545" s="195">
        <v>0.13908490000000001</v>
      </c>
      <c r="J6545" s="195">
        <v>-0.19778870000000001</v>
      </c>
      <c r="K6545" s="195">
        <v>2.795158E-2</v>
      </c>
      <c r="L6545" s="195">
        <v>-6.67658E-2</v>
      </c>
      <c r="M6545" s="195">
        <v>-0.12098440000000001</v>
      </c>
      <c r="N6545" s="195">
        <v>-0.1764975</v>
      </c>
    </row>
    <row r="6546" spans="1:14" hidden="1" x14ac:dyDescent="0.35">
      <c r="A6546" s="52" t="s">
        <v>712</v>
      </c>
      <c r="B6546" s="52" t="s">
        <v>49</v>
      </c>
      <c r="C6546" s="52" t="s">
        <v>47</v>
      </c>
      <c r="D6546" s="52" t="s">
        <v>47</v>
      </c>
      <c r="E6546" s="52" t="s">
        <v>584</v>
      </c>
      <c r="F6546" s="52" t="s">
        <v>26</v>
      </c>
      <c r="G6546" s="195" t="s">
        <v>277</v>
      </c>
      <c r="H6546" s="195">
        <v>0.71814549999999999</v>
      </c>
      <c r="I6546" s="195">
        <v>0.56062749999999995</v>
      </c>
      <c r="J6546" s="195">
        <v>0.4847475</v>
      </c>
      <c r="K6546" s="195">
        <v>0.62271690000000002</v>
      </c>
      <c r="L6546" s="195">
        <v>0.60178620000000005</v>
      </c>
      <c r="M6546" s="195">
        <v>0.56197269999999999</v>
      </c>
      <c r="N6546" s="195">
        <v>0.53946700000000003</v>
      </c>
    </row>
    <row r="6547" spans="1:14" hidden="1" x14ac:dyDescent="0.35">
      <c r="A6547" s="52" t="s">
        <v>712</v>
      </c>
      <c r="B6547" s="52" t="s">
        <v>49</v>
      </c>
      <c r="C6547" s="52" t="s">
        <v>47</v>
      </c>
      <c r="D6547" s="52" t="s">
        <v>47</v>
      </c>
      <c r="E6547" s="52" t="s">
        <v>584</v>
      </c>
      <c r="F6547" s="52" t="s">
        <v>26</v>
      </c>
      <c r="G6547" s="195" t="s">
        <v>278</v>
      </c>
      <c r="H6547" s="195">
        <v>0.47272700000000001</v>
      </c>
      <c r="I6547" s="195">
        <v>0.47272700000000001</v>
      </c>
      <c r="J6547" s="195">
        <v>0.47272690000000001</v>
      </c>
      <c r="K6547" s="195">
        <v>0.47272700000000001</v>
      </c>
      <c r="L6547" s="195">
        <v>0.47272700000000001</v>
      </c>
      <c r="M6547" s="195">
        <v>0.47272700000000001</v>
      </c>
      <c r="N6547" s="195">
        <v>0.47272700000000001</v>
      </c>
    </row>
    <row r="6548" spans="1:14" hidden="1" x14ac:dyDescent="0.35">
      <c r="A6548" s="52" t="s">
        <v>712</v>
      </c>
      <c r="B6548" s="52" t="s">
        <v>49</v>
      </c>
      <c r="C6548" s="52" t="s">
        <v>47</v>
      </c>
      <c r="D6548" s="52" t="s">
        <v>47</v>
      </c>
      <c r="E6548" s="52" t="s">
        <v>584</v>
      </c>
      <c r="F6548" s="52" t="s">
        <v>26</v>
      </c>
      <c r="G6548" s="195" t="s">
        <v>279</v>
      </c>
      <c r="H6548" s="195">
        <v>2.4827720000000002</v>
      </c>
      <c r="I6548" s="195">
        <v>2.1599970000000002</v>
      </c>
      <c r="J6548" s="195">
        <v>2.0714320000000002</v>
      </c>
      <c r="K6548" s="195">
        <v>2.0555949999999998</v>
      </c>
      <c r="L6548" s="195">
        <v>1.9327510000000001</v>
      </c>
      <c r="M6548" s="195">
        <v>1.804311</v>
      </c>
      <c r="N6548" s="195">
        <v>1.6908300000000001</v>
      </c>
    </row>
    <row r="6549" spans="1:14" hidden="1" x14ac:dyDescent="0.35">
      <c r="A6549" s="52" t="s">
        <v>712</v>
      </c>
      <c r="B6549" s="52" t="s">
        <v>49</v>
      </c>
      <c r="C6549" s="52" t="s">
        <v>120</v>
      </c>
      <c r="D6549" s="52" t="s">
        <v>120</v>
      </c>
      <c r="E6549" s="52" t="s">
        <v>584</v>
      </c>
      <c r="F6549" s="52" t="s">
        <v>581</v>
      </c>
      <c r="G6549" s="195" t="s">
        <v>275</v>
      </c>
      <c r="H6549" s="195">
        <v>3.4279259999999998</v>
      </c>
      <c r="I6549" s="195">
        <v>1.230472</v>
      </c>
      <c r="J6549" s="195">
        <v>0.57508680000000001</v>
      </c>
      <c r="K6549" s="195">
        <v>0.4506346</v>
      </c>
      <c r="L6549" s="195">
        <v>0.43584129999999999</v>
      </c>
      <c r="M6549" s="195">
        <v>0.39812009999999998</v>
      </c>
      <c r="N6549" s="195">
        <v>0.36982039999999999</v>
      </c>
    </row>
    <row r="6550" spans="1:14" hidden="1" x14ac:dyDescent="0.35">
      <c r="A6550" s="52" t="s">
        <v>712</v>
      </c>
      <c r="B6550" s="52" t="s">
        <v>49</v>
      </c>
      <c r="C6550" s="52" t="s">
        <v>120</v>
      </c>
      <c r="D6550" s="52" t="s">
        <v>120</v>
      </c>
      <c r="E6550" s="52" t="s">
        <v>584</v>
      </c>
      <c r="F6550" s="52" t="s">
        <v>581</v>
      </c>
      <c r="G6550" s="195" t="s">
        <v>276</v>
      </c>
      <c r="H6550" s="195">
        <v>0.78970609999999997</v>
      </c>
      <c r="I6550" s="195">
        <v>-7.32989E-2</v>
      </c>
      <c r="J6550" s="195">
        <v>0.22719839999999999</v>
      </c>
      <c r="K6550" s="195">
        <v>0.20218179999999999</v>
      </c>
      <c r="L6550" s="195">
        <v>0.18085229999999999</v>
      </c>
      <c r="M6550" s="195">
        <v>0.16527749999999999</v>
      </c>
      <c r="N6550" s="195">
        <v>0.15360289999999999</v>
      </c>
    </row>
    <row r="6551" spans="1:14" hidden="1" x14ac:dyDescent="0.35">
      <c r="A6551" s="52" t="s">
        <v>712</v>
      </c>
      <c r="B6551" s="52" t="s">
        <v>49</v>
      </c>
      <c r="C6551" s="52" t="s">
        <v>120</v>
      </c>
      <c r="D6551" s="52" t="s">
        <v>120</v>
      </c>
      <c r="E6551" s="52" t="s">
        <v>584</v>
      </c>
      <c r="F6551" s="52" t="s">
        <v>581</v>
      </c>
      <c r="G6551" s="195" t="s">
        <v>277</v>
      </c>
      <c r="H6551" s="195">
        <v>5.1590000000000004E-3</v>
      </c>
      <c r="I6551" s="195">
        <v>3.9845000000000002E-3</v>
      </c>
      <c r="J6551" s="195">
        <v>3.4294999999999998E-3</v>
      </c>
      <c r="K6551" s="195">
        <v>3.6460100000000002E-2</v>
      </c>
      <c r="L6551" s="195"/>
      <c r="M6551" s="195"/>
      <c r="N6551" s="195"/>
    </row>
    <row r="6552" spans="1:14" hidden="1" x14ac:dyDescent="0.35">
      <c r="A6552" s="52" t="s">
        <v>712</v>
      </c>
      <c r="B6552" s="52" t="s">
        <v>49</v>
      </c>
      <c r="C6552" s="52" t="s">
        <v>120</v>
      </c>
      <c r="D6552" s="52" t="s">
        <v>120</v>
      </c>
      <c r="E6552" s="52" t="s">
        <v>584</v>
      </c>
      <c r="F6552" s="52" t="s">
        <v>581</v>
      </c>
      <c r="G6552" s="195" t="s">
        <v>279</v>
      </c>
      <c r="H6552" s="195">
        <v>0.44483450000000002</v>
      </c>
      <c r="I6552" s="195">
        <v>0.351159</v>
      </c>
      <c r="J6552" s="195">
        <v>0.31458599999999998</v>
      </c>
      <c r="K6552" s="195">
        <v>0.30117250000000001</v>
      </c>
      <c r="L6552" s="195">
        <v>0.2800125</v>
      </c>
      <c r="M6552" s="195">
        <v>0.26446350000000002</v>
      </c>
      <c r="N6552" s="195">
        <v>0.25279099999999999</v>
      </c>
    </row>
    <row r="6553" spans="1:14" hidden="1" x14ac:dyDescent="0.35">
      <c r="A6553" s="52" t="s">
        <v>712</v>
      </c>
      <c r="B6553" s="52" t="s">
        <v>49</v>
      </c>
      <c r="C6553" s="52" t="s">
        <v>120</v>
      </c>
      <c r="D6553" s="52" t="s">
        <v>120</v>
      </c>
      <c r="E6553" s="52" t="s">
        <v>584</v>
      </c>
      <c r="F6553" s="52" t="s">
        <v>26</v>
      </c>
      <c r="G6553" s="195" t="s">
        <v>275</v>
      </c>
      <c r="H6553" s="195">
        <v>4.9725000000000004E-3</v>
      </c>
      <c r="I6553" s="195">
        <v>2.1862000000000001E-3</v>
      </c>
      <c r="J6553" s="195">
        <v>1.9976E-3</v>
      </c>
      <c r="K6553" s="195">
        <v>0</v>
      </c>
      <c r="L6553" s="195"/>
      <c r="M6553" s="195"/>
      <c r="N6553" s="195"/>
    </row>
    <row r="6554" spans="1:14" hidden="1" x14ac:dyDescent="0.35">
      <c r="A6554" s="52" t="s">
        <v>712</v>
      </c>
      <c r="B6554" s="52" t="s">
        <v>49</v>
      </c>
      <c r="C6554" s="52" t="s">
        <v>120</v>
      </c>
      <c r="D6554" s="52" t="s">
        <v>120</v>
      </c>
      <c r="E6554" s="52" t="s">
        <v>584</v>
      </c>
      <c r="F6554" s="52" t="s">
        <v>26</v>
      </c>
      <c r="G6554" s="195" t="s">
        <v>276</v>
      </c>
      <c r="H6554" s="195">
        <v>2.1105E-3</v>
      </c>
      <c r="I6554" s="195">
        <v>9.2800000000000001E-4</v>
      </c>
      <c r="J6554" s="195">
        <v>8.4809999999999996E-4</v>
      </c>
      <c r="K6554" s="195">
        <v>0</v>
      </c>
      <c r="L6554" s="195"/>
      <c r="M6554" s="195"/>
      <c r="N6554" s="195"/>
    </row>
    <row r="6555" spans="1:14" hidden="1" x14ac:dyDescent="0.35">
      <c r="A6555" s="52" t="s">
        <v>712</v>
      </c>
      <c r="B6555" s="52" t="s">
        <v>49</v>
      </c>
      <c r="C6555" s="52" t="s">
        <v>120</v>
      </c>
      <c r="D6555" s="52" t="s">
        <v>120</v>
      </c>
      <c r="E6555" s="52" t="s">
        <v>584</v>
      </c>
      <c r="F6555" s="52" t="s">
        <v>26</v>
      </c>
      <c r="G6555" s="195" t="s">
        <v>279</v>
      </c>
      <c r="H6555" s="195">
        <v>4.3994999999999998E-3</v>
      </c>
      <c r="I6555" s="195">
        <v>3.5669999999999999E-3</v>
      </c>
      <c r="J6555" s="195">
        <v>3.2130000000000001E-3</v>
      </c>
      <c r="K6555" s="195">
        <v>0</v>
      </c>
      <c r="L6555" s="195"/>
      <c r="M6555" s="195"/>
      <c r="N6555" s="195"/>
    </row>
    <row r="6556" spans="1:14" hidden="1" x14ac:dyDescent="0.35">
      <c r="A6556" s="52" t="s">
        <v>712</v>
      </c>
      <c r="B6556" s="52" t="s">
        <v>37</v>
      </c>
      <c r="C6556" s="52" t="s">
        <v>115</v>
      </c>
      <c r="D6556" s="52" t="s">
        <v>115</v>
      </c>
      <c r="E6556" s="52" t="s">
        <v>595</v>
      </c>
      <c r="F6556" s="52" t="s">
        <v>581</v>
      </c>
      <c r="G6556" s="195" t="s">
        <v>275</v>
      </c>
      <c r="H6556" s="195">
        <v>-28.266870000000001</v>
      </c>
      <c r="I6556" s="195">
        <v>-38.377490000000002</v>
      </c>
      <c r="J6556" s="195">
        <v>4.595942</v>
      </c>
      <c r="K6556" s="195">
        <v>2.6348180000000001</v>
      </c>
      <c r="L6556" s="195">
        <v>4.5617700000000001</v>
      </c>
      <c r="M6556" s="195">
        <v>5.4482200000000001</v>
      </c>
      <c r="N6556" s="195">
        <v>1.316252</v>
      </c>
    </row>
    <row r="6557" spans="1:14" hidden="1" x14ac:dyDescent="0.35">
      <c r="A6557" s="52" t="s">
        <v>712</v>
      </c>
      <c r="B6557" s="52" t="s">
        <v>37</v>
      </c>
      <c r="C6557" s="52" t="s">
        <v>115</v>
      </c>
      <c r="D6557" s="52" t="s">
        <v>115</v>
      </c>
      <c r="E6557" s="52" t="s">
        <v>595</v>
      </c>
      <c r="F6557" s="52" t="s">
        <v>581</v>
      </c>
      <c r="G6557" s="195" t="s">
        <v>276</v>
      </c>
      <c r="H6557" s="195">
        <v>1.3961710000000001</v>
      </c>
      <c r="I6557" s="195">
        <v>-4.3272459999999997</v>
      </c>
      <c r="J6557" s="195">
        <v>-5.879893</v>
      </c>
      <c r="K6557" s="195">
        <v>-2.533579</v>
      </c>
      <c r="L6557" s="195">
        <v>-5.3137749999999997</v>
      </c>
      <c r="M6557" s="195">
        <v>-4.1164899999999998</v>
      </c>
      <c r="N6557" s="195">
        <v>-0.33646619999999999</v>
      </c>
    </row>
    <row r="6558" spans="1:14" hidden="1" x14ac:dyDescent="0.35">
      <c r="A6558" s="52" t="s">
        <v>712</v>
      </c>
      <c r="B6558" s="52" t="s">
        <v>37</v>
      </c>
      <c r="C6558" s="52" t="s">
        <v>115</v>
      </c>
      <c r="D6558" s="52" t="s">
        <v>115</v>
      </c>
      <c r="E6558" s="52" t="s">
        <v>595</v>
      </c>
      <c r="F6558" s="52" t="s">
        <v>581</v>
      </c>
      <c r="G6558" s="195" t="s">
        <v>277</v>
      </c>
      <c r="H6558" s="195">
        <v>42.00911</v>
      </c>
      <c r="I6558" s="195">
        <v>42.747509999999998</v>
      </c>
      <c r="J6558" s="195">
        <v>2.0939709999999998</v>
      </c>
      <c r="K6558" s="195">
        <v>1.745482</v>
      </c>
      <c r="L6558" s="195">
        <v>2.4149509999999998</v>
      </c>
      <c r="M6558" s="195">
        <v>0</v>
      </c>
      <c r="N6558" s="195">
        <v>0</v>
      </c>
    </row>
    <row r="6559" spans="1:14" hidden="1" x14ac:dyDescent="0.35">
      <c r="A6559" s="52" t="s">
        <v>712</v>
      </c>
      <c r="B6559" s="52" t="s">
        <v>37</v>
      </c>
      <c r="C6559" s="52" t="s">
        <v>115</v>
      </c>
      <c r="D6559" s="52" t="s">
        <v>115</v>
      </c>
      <c r="E6559" s="52" t="s">
        <v>595</v>
      </c>
      <c r="F6559" s="52" t="s">
        <v>581</v>
      </c>
      <c r="G6559" s="195" t="s">
        <v>278</v>
      </c>
      <c r="H6559" s="195">
        <v>8.3143989999999999</v>
      </c>
      <c r="I6559" s="195">
        <v>5.3403549999999997</v>
      </c>
      <c r="J6559" s="195">
        <v>2.7649870000000001</v>
      </c>
      <c r="K6559" s="195">
        <v>0.86904099999999995</v>
      </c>
      <c r="L6559" s="195">
        <v>0.1166666</v>
      </c>
      <c r="M6559" s="195">
        <v>0</v>
      </c>
      <c r="N6559" s="195"/>
    </row>
    <row r="6560" spans="1:14" hidden="1" x14ac:dyDescent="0.35">
      <c r="A6560" s="52" t="s">
        <v>712</v>
      </c>
      <c r="B6560" s="52" t="s">
        <v>37</v>
      </c>
      <c r="C6560" s="52" t="s">
        <v>115</v>
      </c>
      <c r="D6560" s="52" t="s">
        <v>115</v>
      </c>
      <c r="E6560" s="52" t="s">
        <v>595</v>
      </c>
      <c r="F6560" s="52" t="s">
        <v>581</v>
      </c>
      <c r="G6560" s="195" t="s">
        <v>279</v>
      </c>
      <c r="H6560" s="195">
        <v>9.7123570000000008</v>
      </c>
      <c r="I6560" s="195">
        <v>7.4512260000000001</v>
      </c>
      <c r="J6560" s="195">
        <v>6.0086009999999996</v>
      </c>
      <c r="K6560" s="195">
        <v>4.8412319999999998</v>
      </c>
      <c r="L6560" s="195">
        <v>4.3751850000000001</v>
      </c>
      <c r="M6560" s="195">
        <v>3.2212749999999999</v>
      </c>
      <c r="N6560" s="195">
        <v>2.427753</v>
      </c>
    </row>
    <row r="6561" spans="1:14" hidden="1" x14ac:dyDescent="0.35">
      <c r="A6561" s="52" t="s">
        <v>712</v>
      </c>
      <c r="B6561" s="52" t="s">
        <v>37</v>
      </c>
      <c r="C6561" s="52" t="s">
        <v>115</v>
      </c>
      <c r="D6561" s="52" t="s">
        <v>115</v>
      </c>
      <c r="E6561" s="52" t="s">
        <v>595</v>
      </c>
      <c r="F6561" s="52" t="s">
        <v>26</v>
      </c>
      <c r="G6561" s="195" t="s">
        <v>275</v>
      </c>
      <c r="H6561" s="195">
        <v>-0.14763100000000001</v>
      </c>
      <c r="I6561" s="195">
        <v>-0.21094940000000001</v>
      </c>
      <c r="J6561" s="195">
        <v>-0.1479192</v>
      </c>
      <c r="K6561" s="195">
        <v>-0.1510542</v>
      </c>
      <c r="L6561" s="195">
        <v>-0.19547880000000001</v>
      </c>
      <c r="M6561" s="195">
        <v>-0.1468274</v>
      </c>
      <c r="N6561" s="195">
        <v>-0.1094634</v>
      </c>
    </row>
    <row r="6562" spans="1:14" hidden="1" x14ac:dyDescent="0.35">
      <c r="A6562" s="52" t="s">
        <v>712</v>
      </c>
      <c r="B6562" s="52" t="s">
        <v>37</v>
      </c>
      <c r="C6562" s="52" t="s">
        <v>115</v>
      </c>
      <c r="D6562" s="52" t="s">
        <v>115</v>
      </c>
      <c r="E6562" s="52" t="s">
        <v>595</v>
      </c>
      <c r="F6562" s="52" t="s">
        <v>26</v>
      </c>
      <c r="G6562" s="195" t="s">
        <v>276</v>
      </c>
      <c r="H6562" s="195">
        <v>-3.9245000000000002E-2</v>
      </c>
      <c r="I6562" s="195">
        <v>-5.6075199999999999E-2</v>
      </c>
      <c r="J6562" s="195">
        <v>-3.9319800000000002E-2</v>
      </c>
      <c r="K6562" s="195">
        <v>-4.0154799999999997E-2</v>
      </c>
      <c r="L6562" s="195">
        <v>-5.1963200000000001E-2</v>
      </c>
      <c r="M6562" s="195">
        <v>-3.9029399999999999E-2</v>
      </c>
      <c r="N6562" s="195">
        <v>-2.90984E-2</v>
      </c>
    </row>
    <row r="6563" spans="1:14" hidden="1" x14ac:dyDescent="0.35">
      <c r="A6563" s="52" t="s">
        <v>712</v>
      </c>
      <c r="B6563" s="52" t="s">
        <v>37</v>
      </c>
      <c r="C6563" s="52" t="s">
        <v>115</v>
      </c>
      <c r="D6563" s="52" t="s">
        <v>115</v>
      </c>
      <c r="E6563" s="52" t="s">
        <v>595</v>
      </c>
      <c r="F6563" s="52" t="s">
        <v>26</v>
      </c>
      <c r="G6563" s="195" t="s">
        <v>279</v>
      </c>
      <c r="H6563" s="195">
        <v>6.5761560000000001</v>
      </c>
      <c r="I6563" s="195">
        <v>1.3651800000000001</v>
      </c>
      <c r="J6563" s="195">
        <v>1.1382559999999999</v>
      </c>
      <c r="K6563" s="195">
        <v>0.93769899999999995</v>
      </c>
      <c r="L6563" s="195">
        <v>0.85058920000000005</v>
      </c>
      <c r="M6563" s="195">
        <v>0.63134920000000005</v>
      </c>
      <c r="N6563" s="195">
        <v>0.47289379999999998</v>
      </c>
    </row>
    <row r="6564" spans="1:14" hidden="1" x14ac:dyDescent="0.35">
      <c r="A6564" s="52" t="s">
        <v>712</v>
      </c>
      <c r="B6564" s="52" t="s">
        <v>717</v>
      </c>
      <c r="C6564" s="52" t="s">
        <v>718</v>
      </c>
      <c r="D6564" s="52" t="s">
        <v>718</v>
      </c>
      <c r="E6564" s="52" t="s">
        <v>584</v>
      </c>
      <c r="F6564" s="52" t="s">
        <v>581</v>
      </c>
      <c r="G6564" s="195" t="s">
        <v>275</v>
      </c>
      <c r="H6564" s="195">
        <v>-0.51459299999999997</v>
      </c>
      <c r="I6564" s="195"/>
      <c r="J6564" s="195"/>
      <c r="K6564" s="195"/>
      <c r="L6564" s="195"/>
      <c r="M6564" s="195">
        <v>0</v>
      </c>
      <c r="N6564" s="195">
        <v>0</v>
      </c>
    </row>
    <row r="6565" spans="1:14" hidden="1" x14ac:dyDescent="0.35">
      <c r="A6565" s="52" t="s">
        <v>712</v>
      </c>
      <c r="B6565" s="52" t="s">
        <v>717</v>
      </c>
      <c r="C6565" s="52" t="s">
        <v>718</v>
      </c>
      <c r="D6565" s="52" t="s">
        <v>718</v>
      </c>
      <c r="E6565" s="52" t="s">
        <v>584</v>
      </c>
      <c r="F6565" s="52" t="s">
        <v>581</v>
      </c>
      <c r="G6565" s="195" t="s">
        <v>276</v>
      </c>
      <c r="H6565" s="195">
        <v>-0.167159</v>
      </c>
      <c r="I6565" s="195"/>
      <c r="J6565" s="195"/>
      <c r="K6565" s="195"/>
      <c r="L6565" s="195"/>
      <c r="M6565" s="195">
        <v>0</v>
      </c>
      <c r="N6565" s="195">
        <v>0</v>
      </c>
    </row>
    <row r="6566" spans="1:14" hidden="1" x14ac:dyDescent="0.35">
      <c r="A6566" s="52" t="s">
        <v>712</v>
      </c>
      <c r="B6566" s="52" t="s">
        <v>717</v>
      </c>
      <c r="C6566" s="52" t="s">
        <v>718</v>
      </c>
      <c r="D6566" s="52" t="s">
        <v>718</v>
      </c>
      <c r="E6566" s="52" t="s">
        <v>584</v>
      </c>
      <c r="F6566" s="52" t="s">
        <v>581</v>
      </c>
      <c r="G6566" s="195" t="s">
        <v>278</v>
      </c>
      <c r="H6566" s="195">
        <v>0.68175200000000002</v>
      </c>
      <c r="I6566" s="195">
        <v>0</v>
      </c>
      <c r="J6566" s="195">
        <v>0</v>
      </c>
      <c r="K6566" s="195">
        <v>0</v>
      </c>
      <c r="L6566" s="195">
        <v>0</v>
      </c>
      <c r="M6566" s="195">
        <v>0</v>
      </c>
      <c r="N6566" s="195"/>
    </row>
    <row r="6567" spans="1:14" hidden="1" x14ac:dyDescent="0.35">
      <c r="A6567" s="52" t="s">
        <v>712</v>
      </c>
      <c r="B6567" s="52" t="s">
        <v>717</v>
      </c>
      <c r="C6567" s="52" t="s">
        <v>718</v>
      </c>
      <c r="D6567" s="52" t="s">
        <v>718</v>
      </c>
      <c r="E6567" s="52" t="s">
        <v>584</v>
      </c>
      <c r="F6567" s="52" t="s">
        <v>581</v>
      </c>
      <c r="G6567" s="195" t="s">
        <v>279</v>
      </c>
      <c r="H6567" s="195"/>
      <c r="I6567" s="195"/>
      <c r="J6567" s="195"/>
      <c r="K6567" s="195"/>
      <c r="L6567" s="195"/>
      <c r="M6567" s="195"/>
      <c r="N6567" s="195">
        <v>0</v>
      </c>
    </row>
    <row r="6568" spans="1:14" hidden="1" x14ac:dyDescent="0.35">
      <c r="A6568" s="52" t="s">
        <v>712</v>
      </c>
      <c r="B6568" s="52" t="s">
        <v>717</v>
      </c>
      <c r="C6568" s="52" t="s">
        <v>718</v>
      </c>
      <c r="D6568" s="52" t="s">
        <v>718</v>
      </c>
      <c r="E6568" s="52" t="s">
        <v>584</v>
      </c>
      <c r="F6568" s="52" t="s">
        <v>26</v>
      </c>
      <c r="G6568" s="195" t="s">
        <v>275</v>
      </c>
      <c r="H6568" s="195">
        <v>1.41825</v>
      </c>
      <c r="I6568" s="195">
        <v>0.48044120000000001</v>
      </c>
      <c r="J6568" s="195">
        <v>1.186385</v>
      </c>
      <c r="K6568" s="195">
        <v>1.0582339999999999</v>
      </c>
      <c r="L6568" s="195">
        <v>9.0883809999999995E-2</v>
      </c>
      <c r="M6568" s="195">
        <v>5.1060000000000001E-2</v>
      </c>
      <c r="N6568" s="195">
        <v>2.903E-2</v>
      </c>
    </row>
    <row r="6569" spans="1:14" hidden="1" x14ac:dyDescent="0.35">
      <c r="A6569" s="52" t="s">
        <v>712</v>
      </c>
      <c r="B6569" s="52" t="s">
        <v>717</v>
      </c>
      <c r="C6569" s="52" t="s">
        <v>718</v>
      </c>
      <c r="D6569" s="52" t="s">
        <v>718</v>
      </c>
      <c r="E6569" s="52" t="s">
        <v>584</v>
      </c>
      <c r="F6569" s="52" t="s">
        <v>26</v>
      </c>
      <c r="G6569" s="195" t="s">
        <v>276</v>
      </c>
      <c r="H6569" s="195">
        <v>-0.58981399999999995</v>
      </c>
      <c r="I6569" s="195">
        <v>-1.0423819999999999</v>
      </c>
      <c r="J6569" s="195">
        <v>-30.872299999999999</v>
      </c>
      <c r="K6569" s="195">
        <v>-15.78613</v>
      </c>
      <c r="L6569" s="195">
        <v>-3.0499499999999999</v>
      </c>
      <c r="M6569" s="195">
        <v>-0.70374139999999996</v>
      </c>
      <c r="N6569" s="195">
        <v>-0.69259499999999996</v>
      </c>
    </row>
    <row r="6570" spans="1:14" hidden="1" x14ac:dyDescent="0.35">
      <c r="A6570" s="52" t="s">
        <v>712</v>
      </c>
      <c r="B6570" s="52" t="s">
        <v>717</v>
      </c>
      <c r="C6570" s="52" t="s">
        <v>718</v>
      </c>
      <c r="D6570" s="52" t="s">
        <v>718</v>
      </c>
      <c r="E6570" s="52" t="s">
        <v>584</v>
      </c>
      <c r="F6570" s="52" t="s">
        <v>26</v>
      </c>
      <c r="G6570" s="195" t="s">
        <v>277</v>
      </c>
      <c r="H6570" s="195">
        <v>0.45636500000000002</v>
      </c>
      <c r="I6570" s="195">
        <v>0.34487699999999999</v>
      </c>
      <c r="J6570" s="195">
        <v>0.135712</v>
      </c>
      <c r="K6570" s="195">
        <v>0.16895080000000001</v>
      </c>
      <c r="L6570" s="195">
        <v>0.12637399999999999</v>
      </c>
      <c r="M6570" s="195">
        <v>9.4796790000000006E-2</v>
      </c>
      <c r="N6570" s="195">
        <v>6.3544199999999995E-2</v>
      </c>
    </row>
    <row r="6571" spans="1:14" hidden="1" x14ac:dyDescent="0.35">
      <c r="A6571" s="52" t="s">
        <v>712</v>
      </c>
      <c r="B6571" s="52" t="s">
        <v>717</v>
      </c>
      <c r="C6571" s="52" t="s">
        <v>718</v>
      </c>
      <c r="D6571" s="52" t="s">
        <v>718</v>
      </c>
      <c r="E6571" s="52" t="s">
        <v>584</v>
      </c>
      <c r="F6571" s="52" t="s">
        <v>26</v>
      </c>
      <c r="G6571" s="195" t="s">
        <v>278</v>
      </c>
      <c r="H6571" s="195">
        <v>0.11511200000000001</v>
      </c>
      <c r="I6571" s="195">
        <v>0.79686400000000002</v>
      </c>
      <c r="J6571" s="195">
        <v>29.965029999999999</v>
      </c>
      <c r="K6571" s="195">
        <v>14.83357</v>
      </c>
      <c r="L6571" s="195">
        <v>3.0177019999999999</v>
      </c>
      <c r="M6571" s="195">
        <v>0.68175200000000002</v>
      </c>
      <c r="N6571" s="195">
        <v>0.68175200000000002</v>
      </c>
    </row>
    <row r="6572" spans="1:14" hidden="1" x14ac:dyDescent="0.35">
      <c r="A6572" s="52" t="s">
        <v>712</v>
      </c>
      <c r="B6572" s="52" t="s">
        <v>717</v>
      </c>
      <c r="C6572" s="52" t="s">
        <v>718</v>
      </c>
      <c r="D6572" s="52" t="s">
        <v>718</v>
      </c>
      <c r="E6572" s="52" t="s">
        <v>584</v>
      </c>
      <c r="F6572" s="52" t="s">
        <v>26</v>
      </c>
      <c r="G6572" s="195" t="s">
        <v>279</v>
      </c>
      <c r="H6572" s="195">
        <v>0.35482599999999997</v>
      </c>
      <c r="I6572" s="195">
        <v>0.223859</v>
      </c>
      <c r="J6572" s="195">
        <v>0.159604</v>
      </c>
      <c r="K6572" s="195">
        <v>0.11987</v>
      </c>
      <c r="L6572" s="195">
        <v>8.5753990000000002E-2</v>
      </c>
      <c r="M6572" s="195">
        <v>6.2315000000000002E-2</v>
      </c>
      <c r="N6572" s="195">
        <v>4.6210000000000001E-2</v>
      </c>
    </row>
    <row r="6573" spans="1:14" hidden="1" x14ac:dyDescent="0.35">
      <c r="A6573" s="52" t="s">
        <v>712</v>
      </c>
      <c r="B6573" s="52" t="s">
        <v>864</v>
      </c>
      <c r="C6573" s="52" t="s">
        <v>718</v>
      </c>
      <c r="D6573" s="52" t="s">
        <v>718</v>
      </c>
      <c r="E6573" s="52" t="s">
        <v>584</v>
      </c>
      <c r="F6573" s="52" t="s">
        <v>581</v>
      </c>
      <c r="G6573" s="195" t="s">
        <v>275</v>
      </c>
      <c r="H6573" s="195"/>
      <c r="I6573" s="195"/>
      <c r="J6573" s="195"/>
      <c r="K6573" s="195"/>
      <c r="L6573" s="195"/>
      <c r="M6573" s="195">
        <v>0</v>
      </c>
      <c r="N6573" s="195">
        <v>0</v>
      </c>
    </row>
    <row r="6574" spans="1:14" hidden="1" x14ac:dyDescent="0.35">
      <c r="A6574" s="52" t="s">
        <v>712</v>
      </c>
      <c r="B6574" s="52" t="s">
        <v>864</v>
      </c>
      <c r="C6574" s="52" t="s">
        <v>718</v>
      </c>
      <c r="D6574" s="52" t="s">
        <v>718</v>
      </c>
      <c r="E6574" s="52" t="s">
        <v>584</v>
      </c>
      <c r="F6574" s="52" t="s">
        <v>581</v>
      </c>
      <c r="G6574" s="195" t="s">
        <v>276</v>
      </c>
      <c r="H6574" s="195"/>
      <c r="I6574" s="195"/>
      <c r="J6574" s="195"/>
      <c r="K6574" s="195"/>
      <c r="L6574" s="195"/>
      <c r="M6574" s="195">
        <v>0</v>
      </c>
      <c r="N6574" s="195">
        <v>-8.8289990000000006E-3</v>
      </c>
    </row>
    <row r="6575" spans="1:14" hidden="1" x14ac:dyDescent="0.35">
      <c r="A6575" s="52" t="s">
        <v>712</v>
      </c>
      <c r="B6575" s="52" t="s">
        <v>864</v>
      </c>
      <c r="C6575" s="52" t="s">
        <v>718</v>
      </c>
      <c r="D6575" s="52" t="s">
        <v>718</v>
      </c>
      <c r="E6575" s="52" t="s">
        <v>584</v>
      </c>
      <c r="F6575" s="52" t="s">
        <v>581</v>
      </c>
      <c r="G6575" s="195" t="s">
        <v>279</v>
      </c>
      <c r="H6575" s="195"/>
      <c r="I6575" s="195"/>
      <c r="J6575" s="195"/>
      <c r="K6575" s="195"/>
      <c r="L6575" s="195"/>
      <c r="M6575" s="195">
        <v>0</v>
      </c>
      <c r="N6575" s="195">
        <v>8.829E-3</v>
      </c>
    </row>
    <row r="6576" spans="1:14" hidden="1" x14ac:dyDescent="0.35">
      <c r="A6576" s="52" t="s">
        <v>712</v>
      </c>
      <c r="B6576" s="52" t="s">
        <v>864</v>
      </c>
      <c r="C6576" s="52" t="s">
        <v>718</v>
      </c>
      <c r="D6576" s="52" t="s">
        <v>718</v>
      </c>
      <c r="E6576" s="52" t="s">
        <v>584</v>
      </c>
      <c r="F6576" s="52" t="s">
        <v>26</v>
      </c>
      <c r="G6576" s="195" t="s">
        <v>275</v>
      </c>
      <c r="H6576" s="195">
        <v>-29.406559999999999</v>
      </c>
      <c r="I6576" s="195">
        <v>-16.870509999999999</v>
      </c>
      <c r="J6576" s="195">
        <v>0</v>
      </c>
      <c r="K6576" s="195">
        <v>0</v>
      </c>
      <c r="L6576" s="195">
        <v>0</v>
      </c>
      <c r="M6576" s="195">
        <v>0</v>
      </c>
      <c r="N6576" s="195">
        <v>0</v>
      </c>
    </row>
    <row r="6577" spans="1:14" hidden="1" x14ac:dyDescent="0.35">
      <c r="A6577" s="52" t="s">
        <v>712</v>
      </c>
      <c r="B6577" s="52" t="s">
        <v>864</v>
      </c>
      <c r="C6577" s="52" t="s">
        <v>718</v>
      </c>
      <c r="D6577" s="52" t="s">
        <v>718</v>
      </c>
      <c r="E6577" s="52" t="s">
        <v>584</v>
      </c>
      <c r="F6577" s="52" t="s">
        <v>26</v>
      </c>
      <c r="G6577" s="195" t="s">
        <v>276</v>
      </c>
      <c r="H6577" s="195"/>
      <c r="I6577" s="195"/>
      <c r="J6577" s="195">
        <v>-6.4009219999999996</v>
      </c>
      <c r="K6577" s="195">
        <v>-2.3710010000000001</v>
      </c>
      <c r="L6577" s="195">
        <v>-1.2496080000000001</v>
      </c>
      <c r="M6577" s="195">
        <v>-1.2496080000000001</v>
      </c>
      <c r="N6577" s="195">
        <v>-1.2553399999999999</v>
      </c>
    </row>
    <row r="6578" spans="1:14" hidden="1" x14ac:dyDescent="0.35">
      <c r="A6578" s="52" t="s">
        <v>712</v>
      </c>
      <c r="B6578" s="52" t="s">
        <v>864</v>
      </c>
      <c r="C6578" s="52" t="s">
        <v>718</v>
      </c>
      <c r="D6578" s="52" t="s">
        <v>718</v>
      </c>
      <c r="E6578" s="52" t="s">
        <v>584</v>
      </c>
      <c r="F6578" s="52" t="s">
        <v>26</v>
      </c>
      <c r="G6578" s="195" t="s">
        <v>277</v>
      </c>
      <c r="H6578" s="195"/>
      <c r="I6578" s="195"/>
      <c r="J6578" s="195"/>
      <c r="K6578" s="195"/>
      <c r="L6578" s="195">
        <v>0</v>
      </c>
      <c r="M6578" s="195">
        <v>0</v>
      </c>
      <c r="N6578" s="195">
        <v>0</v>
      </c>
    </row>
    <row r="6579" spans="1:14" hidden="1" x14ac:dyDescent="0.35">
      <c r="A6579" s="52" t="s">
        <v>712</v>
      </c>
      <c r="B6579" s="52" t="s">
        <v>864</v>
      </c>
      <c r="C6579" s="52" t="s">
        <v>718</v>
      </c>
      <c r="D6579" s="52" t="s">
        <v>718</v>
      </c>
      <c r="E6579" s="52" t="s">
        <v>584</v>
      </c>
      <c r="F6579" s="52" t="s">
        <v>26</v>
      </c>
      <c r="G6579" s="195" t="s">
        <v>278</v>
      </c>
      <c r="H6579" s="195">
        <v>29.406559999999999</v>
      </c>
      <c r="I6579" s="195">
        <v>16.870509999999999</v>
      </c>
      <c r="J6579" s="195">
        <v>6.4009229999999997</v>
      </c>
      <c r="K6579" s="195">
        <v>2.3710010000000001</v>
      </c>
      <c r="L6579" s="195">
        <v>1.2496080000000001</v>
      </c>
      <c r="M6579" s="195">
        <v>1.2496080000000001</v>
      </c>
      <c r="N6579" s="195">
        <v>1.2496080000000001</v>
      </c>
    </row>
    <row r="6580" spans="1:14" hidden="1" x14ac:dyDescent="0.35">
      <c r="A6580" s="52" t="s">
        <v>712</v>
      </c>
      <c r="B6580" s="52" t="s">
        <v>864</v>
      </c>
      <c r="C6580" s="52" t="s">
        <v>718</v>
      </c>
      <c r="D6580" s="52" t="s">
        <v>718</v>
      </c>
      <c r="E6580" s="52" t="s">
        <v>584</v>
      </c>
      <c r="F6580" s="52" t="s">
        <v>26</v>
      </c>
      <c r="G6580" s="195" t="s">
        <v>279</v>
      </c>
      <c r="H6580" s="195"/>
      <c r="I6580" s="195"/>
      <c r="J6580" s="195"/>
      <c r="K6580" s="195"/>
      <c r="L6580" s="195">
        <v>0</v>
      </c>
      <c r="M6580" s="195">
        <v>0</v>
      </c>
      <c r="N6580" s="195">
        <v>5.7320000000000001E-3</v>
      </c>
    </row>
    <row r="6581" spans="1:14" hidden="1" x14ac:dyDescent="0.35">
      <c r="A6581" s="52" t="s">
        <v>712</v>
      </c>
      <c r="B6581" s="52" t="s">
        <v>371</v>
      </c>
      <c r="C6581" s="52" t="s">
        <v>863</v>
      </c>
      <c r="D6581" s="52" t="s">
        <v>863</v>
      </c>
      <c r="E6581" s="52" t="s">
        <v>584</v>
      </c>
      <c r="F6581" s="52" t="s">
        <v>26</v>
      </c>
      <c r="G6581" s="195" t="s">
        <v>275</v>
      </c>
      <c r="H6581" s="195">
        <v>-0.26808700000000002</v>
      </c>
      <c r="I6581" s="195">
        <v>-0.25807550000000001</v>
      </c>
      <c r="J6581" s="195">
        <v>0</v>
      </c>
      <c r="K6581" s="195">
        <v>0</v>
      </c>
      <c r="L6581" s="195">
        <v>0</v>
      </c>
      <c r="M6581" s="195">
        <v>0</v>
      </c>
      <c r="N6581" s="195">
        <v>0</v>
      </c>
    </row>
    <row r="6582" spans="1:14" hidden="1" x14ac:dyDescent="0.35">
      <c r="A6582" s="52" t="s">
        <v>712</v>
      </c>
      <c r="B6582" s="52" t="s">
        <v>371</v>
      </c>
      <c r="C6582" s="52" t="s">
        <v>863</v>
      </c>
      <c r="D6582" s="52" t="s">
        <v>863</v>
      </c>
      <c r="E6582" s="52" t="s">
        <v>584</v>
      </c>
      <c r="F6582" s="52" t="s">
        <v>26</v>
      </c>
      <c r="G6582" s="195" t="s">
        <v>276</v>
      </c>
      <c r="H6582" s="195">
        <v>-1.00115E-2</v>
      </c>
      <c r="I6582" s="195">
        <v>-2.0022999999999999E-2</v>
      </c>
      <c r="J6582" s="195">
        <v>-0.27809800000000001</v>
      </c>
      <c r="K6582" s="195">
        <v>-3.6336689999999998</v>
      </c>
      <c r="L6582" s="195">
        <v>-6.2435489999999998</v>
      </c>
      <c r="M6582" s="195">
        <v>-2.7534890000000001</v>
      </c>
      <c r="N6582" s="195">
        <v>-0.27809800000000001</v>
      </c>
    </row>
    <row r="6583" spans="1:14" hidden="1" x14ac:dyDescent="0.35">
      <c r="A6583" s="52" t="s">
        <v>712</v>
      </c>
      <c r="B6583" s="52" t="s">
        <v>371</v>
      </c>
      <c r="C6583" s="52" t="s">
        <v>863</v>
      </c>
      <c r="D6583" s="52" t="s">
        <v>863</v>
      </c>
      <c r="E6583" s="52" t="s">
        <v>584</v>
      </c>
      <c r="F6583" s="52" t="s">
        <v>26</v>
      </c>
      <c r="G6583" s="195" t="s">
        <v>278</v>
      </c>
      <c r="H6583" s="195">
        <v>0.27809850000000003</v>
      </c>
      <c r="I6583" s="195">
        <v>0.27809850000000003</v>
      </c>
      <c r="J6583" s="195">
        <v>0.27809850000000003</v>
      </c>
      <c r="K6583" s="195">
        <v>3.6336689999999998</v>
      </c>
      <c r="L6583" s="195">
        <v>6.2435489999999998</v>
      </c>
      <c r="M6583" s="195">
        <v>2.7534890000000001</v>
      </c>
      <c r="N6583" s="195">
        <v>0.27809850000000003</v>
      </c>
    </row>
    <row r="6584" spans="1:14" hidden="1" x14ac:dyDescent="0.35">
      <c r="A6584" s="52" t="s">
        <v>712</v>
      </c>
      <c r="B6584" s="52" t="s">
        <v>865</v>
      </c>
      <c r="C6584" s="52" t="s">
        <v>718</v>
      </c>
      <c r="D6584" s="52" t="s">
        <v>718</v>
      </c>
      <c r="E6584" s="52" t="s">
        <v>584</v>
      </c>
      <c r="F6584" s="52" t="s">
        <v>26</v>
      </c>
      <c r="G6584" s="195" t="s">
        <v>275</v>
      </c>
      <c r="H6584" s="195">
        <v>-8.048951E-2</v>
      </c>
      <c r="I6584" s="195">
        <v>-1.5521670000000001</v>
      </c>
      <c r="J6584" s="195">
        <v>0</v>
      </c>
      <c r="K6584" s="195">
        <v>0</v>
      </c>
      <c r="L6584" s="195">
        <v>0</v>
      </c>
      <c r="M6584" s="195">
        <v>0</v>
      </c>
      <c r="N6584" s="195">
        <v>0</v>
      </c>
    </row>
    <row r="6585" spans="1:14" hidden="1" x14ac:dyDescent="0.35">
      <c r="A6585" s="52" t="s">
        <v>712</v>
      </c>
      <c r="B6585" s="52" t="s">
        <v>865</v>
      </c>
      <c r="C6585" s="52" t="s">
        <v>718</v>
      </c>
      <c r="D6585" s="52" t="s">
        <v>718</v>
      </c>
      <c r="E6585" s="52" t="s">
        <v>584</v>
      </c>
      <c r="F6585" s="52" t="s">
        <v>26</v>
      </c>
      <c r="G6585" s="195" t="s">
        <v>276</v>
      </c>
      <c r="H6585" s="195"/>
      <c r="I6585" s="195"/>
      <c r="J6585" s="195">
        <v>-8.048951E-2</v>
      </c>
      <c r="K6585" s="195">
        <v>-8.048951E-2</v>
      </c>
      <c r="L6585" s="195">
        <v>-8.048951E-2</v>
      </c>
      <c r="M6585" s="195">
        <v>-8.048951E-2</v>
      </c>
      <c r="N6585" s="195">
        <v>-8.048951E-2</v>
      </c>
    </row>
    <row r="6586" spans="1:14" hidden="1" x14ac:dyDescent="0.35">
      <c r="A6586" s="52" t="s">
        <v>712</v>
      </c>
      <c r="B6586" s="52" t="s">
        <v>865</v>
      </c>
      <c r="C6586" s="52" t="s">
        <v>718</v>
      </c>
      <c r="D6586" s="52" t="s">
        <v>718</v>
      </c>
      <c r="E6586" s="52" t="s">
        <v>584</v>
      </c>
      <c r="F6586" s="52" t="s">
        <v>26</v>
      </c>
      <c r="G6586" s="195" t="s">
        <v>278</v>
      </c>
      <c r="H6586" s="195">
        <v>8.048951E-2</v>
      </c>
      <c r="I6586" s="195">
        <v>1.5521670000000001</v>
      </c>
      <c r="J6586" s="195">
        <v>8.048951E-2</v>
      </c>
      <c r="K6586" s="195">
        <v>8.048951E-2</v>
      </c>
      <c r="L6586" s="195">
        <v>8.048951E-2</v>
      </c>
      <c r="M6586" s="195">
        <v>8.048951E-2</v>
      </c>
      <c r="N6586" s="195">
        <v>8.048951E-2</v>
      </c>
    </row>
    <row r="6587" spans="1:14" hidden="1" x14ac:dyDescent="0.35">
      <c r="A6587" s="52" t="s">
        <v>719</v>
      </c>
      <c r="B6587" s="52" t="s">
        <v>37</v>
      </c>
      <c r="C6587" s="52" t="s">
        <v>35</v>
      </c>
      <c r="D6587" s="52" t="s">
        <v>163</v>
      </c>
      <c r="E6587" s="52" t="s">
        <v>580</v>
      </c>
      <c r="F6587" s="52" t="s">
        <v>581</v>
      </c>
      <c r="G6587" s="195" t="s">
        <v>275</v>
      </c>
      <c r="H6587" s="195">
        <v>12.105589999999999</v>
      </c>
      <c r="I6587" s="195">
        <v>-0.44572509999999999</v>
      </c>
      <c r="J6587" s="195">
        <v>41.085769999999997</v>
      </c>
      <c r="K6587" s="195">
        <v>43.968170000000001</v>
      </c>
      <c r="L6587" s="195">
        <v>24.31129</v>
      </c>
      <c r="M6587" s="195">
        <v>17.249220000000001</v>
      </c>
      <c r="N6587" s="195">
        <v>9.8309189999999997</v>
      </c>
    </row>
    <row r="6588" spans="1:14" hidden="1" x14ac:dyDescent="0.35">
      <c r="A6588" s="52" t="s">
        <v>719</v>
      </c>
      <c r="B6588" s="52" t="s">
        <v>37</v>
      </c>
      <c r="C6588" s="52" t="s">
        <v>35</v>
      </c>
      <c r="D6588" s="52" t="s">
        <v>163</v>
      </c>
      <c r="E6588" s="52" t="s">
        <v>580</v>
      </c>
      <c r="F6588" s="52" t="s">
        <v>581</v>
      </c>
      <c r="G6588" s="195" t="s">
        <v>276</v>
      </c>
      <c r="H6588" s="195">
        <v>26.299289999999999</v>
      </c>
      <c r="I6588" s="195">
        <v>-16.404640000000001</v>
      </c>
      <c r="J6588" s="195">
        <v>-20.841000000000001</v>
      </c>
      <c r="K6588" s="195">
        <v>-30.000330000000002</v>
      </c>
      <c r="L6588" s="195">
        <v>-17.53077</v>
      </c>
      <c r="M6588" s="195">
        <v>-3.9826980000000001</v>
      </c>
      <c r="N6588" s="195">
        <v>0.88938830000000002</v>
      </c>
    </row>
    <row r="6589" spans="1:14" hidden="1" x14ac:dyDescent="0.35">
      <c r="A6589" s="52" t="s">
        <v>719</v>
      </c>
      <c r="B6589" s="52" t="s">
        <v>37</v>
      </c>
      <c r="C6589" s="52" t="s">
        <v>35</v>
      </c>
      <c r="D6589" s="52" t="s">
        <v>163</v>
      </c>
      <c r="E6589" s="52" t="s">
        <v>580</v>
      </c>
      <c r="F6589" s="52" t="s">
        <v>581</v>
      </c>
      <c r="G6589" s="195" t="s">
        <v>277</v>
      </c>
      <c r="H6589" s="195">
        <v>168.4975</v>
      </c>
      <c r="I6589" s="195">
        <v>40.369289999999999</v>
      </c>
      <c r="J6589" s="195">
        <v>2.1401789999999998</v>
      </c>
      <c r="K6589" s="195">
        <v>1.638693</v>
      </c>
      <c r="L6589" s="195">
        <v>0.55656620000000001</v>
      </c>
      <c r="M6589" s="195">
        <v>0</v>
      </c>
      <c r="N6589" s="195">
        <v>0</v>
      </c>
    </row>
    <row r="6590" spans="1:14" hidden="1" x14ac:dyDescent="0.35">
      <c r="A6590" s="52" t="s">
        <v>719</v>
      </c>
      <c r="B6590" s="52" t="s">
        <v>37</v>
      </c>
      <c r="C6590" s="52" t="s">
        <v>35</v>
      </c>
      <c r="D6590" s="52" t="s">
        <v>163</v>
      </c>
      <c r="E6590" s="52" t="s">
        <v>580</v>
      </c>
      <c r="F6590" s="52" t="s">
        <v>581</v>
      </c>
      <c r="G6590" s="195" t="s">
        <v>278</v>
      </c>
      <c r="H6590" s="195">
        <v>45.532730000000001</v>
      </c>
      <c r="I6590" s="195">
        <v>29.22315</v>
      </c>
      <c r="J6590" s="195">
        <v>8.5524950000000004</v>
      </c>
      <c r="K6590" s="195">
        <v>7.4332089999999997</v>
      </c>
      <c r="L6590" s="195">
        <v>8.63443</v>
      </c>
      <c r="M6590" s="195">
        <v>0</v>
      </c>
      <c r="N6590" s="195">
        <v>0</v>
      </c>
    </row>
    <row r="6591" spans="1:14" hidden="1" x14ac:dyDescent="0.35">
      <c r="A6591" s="52" t="s">
        <v>719</v>
      </c>
      <c r="B6591" s="52" t="s">
        <v>37</v>
      </c>
      <c r="C6591" s="52" t="s">
        <v>35</v>
      </c>
      <c r="D6591" s="52" t="s">
        <v>163</v>
      </c>
      <c r="E6591" s="52" t="s">
        <v>580</v>
      </c>
      <c r="F6591" s="52" t="s">
        <v>581</v>
      </c>
      <c r="G6591" s="195" t="s">
        <v>279</v>
      </c>
      <c r="H6591" s="195">
        <v>95.145039999999995</v>
      </c>
      <c r="I6591" s="195">
        <v>84.340959999999995</v>
      </c>
      <c r="J6591" s="195">
        <v>60.653379999999999</v>
      </c>
      <c r="K6591" s="195">
        <v>46.700890000000001</v>
      </c>
      <c r="L6591" s="195">
        <v>46.764539999999997</v>
      </c>
      <c r="M6591" s="195">
        <v>37.154319999999998</v>
      </c>
      <c r="N6591" s="195">
        <v>29.99174</v>
      </c>
    </row>
    <row r="6592" spans="1:14" hidden="1" x14ac:dyDescent="0.35">
      <c r="A6592" s="52" t="s">
        <v>719</v>
      </c>
      <c r="B6592" s="52" t="s">
        <v>37</v>
      </c>
      <c r="C6592" s="52" t="s">
        <v>35</v>
      </c>
      <c r="D6592" s="52" t="s">
        <v>163</v>
      </c>
      <c r="E6592" s="52" t="s">
        <v>580</v>
      </c>
      <c r="F6592" s="52" t="s">
        <v>26</v>
      </c>
      <c r="G6592" s="195" t="s">
        <v>275</v>
      </c>
      <c r="H6592" s="195">
        <v>-15.04036</v>
      </c>
      <c r="I6592" s="195">
        <v>-10.422000000000001</v>
      </c>
      <c r="J6592" s="195">
        <v>-7.3880049999999997</v>
      </c>
      <c r="K6592" s="195">
        <v>-5.9086619999999996</v>
      </c>
      <c r="L6592" s="195">
        <v>-6.334962</v>
      </c>
      <c r="M6592" s="195">
        <v>-5.0174609999999999</v>
      </c>
      <c r="N6592" s="195">
        <v>-4.0483820000000001</v>
      </c>
    </row>
    <row r="6593" spans="1:14" hidden="1" x14ac:dyDescent="0.35">
      <c r="A6593" s="52" t="s">
        <v>719</v>
      </c>
      <c r="B6593" s="52" t="s">
        <v>37</v>
      </c>
      <c r="C6593" s="52" t="s">
        <v>35</v>
      </c>
      <c r="D6593" s="52" t="s">
        <v>163</v>
      </c>
      <c r="E6593" s="52" t="s">
        <v>580</v>
      </c>
      <c r="F6593" s="52" t="s">
        <v>26</v>
      </c>
      <c r="G6593" s="195" t="s">
        <v>276</v>
      </c>
      <c r="H6593" s="195">
        <v>-3.9980699999999998</v>
      </c>
      <c r="I6593" s="195">
        <v>-2.7704080000000002</v>
      </c>
      <c r="J6593" s="195">
        <v>-1.9639009999999999</v>
      </c>
      <c r="K6593" s="195">
        <v>-1.570659</v>
      </c>
      <c r="L6593" s="195">
        <v>-1.6839740000000001</v>
      </c>
      <c r="M6593" s="195">
        <v>-1.333755</v>
      </c>
      <c r="N6593" s="195">
        <v>-1.076152</v>
      </c>
    </row>
    <row r="6594" spans="1:14" hidden="1" x14ac:dyDescent="0.35">
      <c r="A6594" s="52" t="s">
        <v>719</v>
      </c>
      <c r="B6594" s="52" t="s">
        <v>37</v>
      </c>
      <c r="C6594" s="52" t="s">
        <v>35</v>
      </c>
      <c r="D6594" s="52" t="s">
        <v>163</v>
      </c>
      <c r="E6594" s="52" t="s">
        <v>580</v>
      </c>
      <c r="F6594" s="52" t="s">
        <v>26</v>
      </c>
      <c r="G6594" s="195" t="s">
        <v>279</v>
      </c>
      <c r="H6594" s="195">
        <v>36.071359999999999</v>
      </c>
      <c r="I6594" s="195">
        <v>22.604949999999999</v>
      </c>
      <c r="J6594" s="195">
        <v>16.647970000000001</v>
      </c>
      <c r="K6594" s="195">
        <v>12.992380000000001</v>
      </c>
      <c r="L6594" s="195">
        <v>12.96532</v>
      </c>
      <c r="M6594" s="195">
        <v>10.320550000000001</v>
      </c>
      <c r="N6594" s="195">
        <v>8.3317669999999993</v>
      </c>
    </row>
    <row r="6595" spans="1:14" hidden="1" x14ac:dyDescent="0.35">
      <c r="A6595" s="52" t="s">
        <v>719</v>
      </c>
      <c r="B6595" s="52" t="s">
        <v>37</v>
      </c>
      <c r="C6595" s="52" t="s">
        <v>35</v>
      </c>
      <c r="D6595" s="52" t="s">
        <v>129</v>
      </c>
      <c r="E6595" s="52" t="s">
        <v>580</v>
      </c>
      <c r="F6595" s="52" t="s">
        <v>581</v>
      </c>
      <c r="G6595" s="195" t="s">
        <v>275</v>
      </c>
      <c r="H6595" s="195">
        <v>81.030910000000006</v>
      </c>
      <c r="I6595" s="195">
        <v>-14.712730000000001</v>
      </c>
      <c r="J6595" s="195">
        <v>29.65258</v>
      </c>
      <c r="K6595" s="195">
        <v>36.882930000000002</v>
      </c>
      <c r="L6595" s="195">
        <v>20.146509999999999</v>
      </c>
      <c r="M6595" s="195">
        <v>20.358650000000001</v>
      </c>
      <c r="N6595" s="195">
        <v>12.593529999999999</v>
      </c>
    </row>
    <row r="6596" spans="1:14" hidden="1" x14ac:dyDescent="0.35">
      <c r="A6596" s="52" t="s">
        <v>719</v>
      </c>
      <c r="B6596" s="52" t="s">
        <v>37</v>
      </c>
      <c r="C6596" s="52" t="s">
        <v>35</v>
      </c>
      <c r="D6596" s="52" t="s">
        <v>129</v>
      </c>
      <c r="E6596" s="52" t="s">
        <v>580</v>
      </c>
      <c r="F6596" s="52" t="s">
        <v>581</v>
      </c>
      <c r="G6596" s="195" t="s">
        <v>276</v>
      </c>
      <c r="H6596" s="195">
        <v>27.609729999999999</v>
      </c>
      <c r="I6596" s="195">
        <v>-8.6756360000000008</v>
      </c>
      <c r="J6596" s="195">
        <v>-8.1410359999999997</v>
      </c>
      <c r="K6596" s="195">
        <v>-19.20393</v>
      </c>
      <c r="L6596" s="195">
        <v>-7.2422000000000004</v>
      </c>
      <c r="M6596" s="195">
        <v>-4.0618129999999999</v>
      </c>
      <c r="N6596" s="195">
        <v>1.203128</v>
      </c>
    </row>
    <row r="6597" spans="1:14" hidden="1" x14ac:dyDescent="0.35">
      <c r="A6597" s="52" t="s">
        <v>719</v>
      </c>
      <c r="B6597" s="52" t="s">
        <v>37</v>
      </c>
      <c r="C6597" s="52" t="s">
        <v>35</v>
      </c>
      <c r="D6597" s="52" t="s">
        <v>129</v>
      </c>
      <c r="E6597" s="52" t="s">
        <v>580</v>
      </c>
      <c r="F6597" s="52" t="s">
        <v>581</v>
      </c>
      <c r="G6597" s="195" t="s">
        <v>277</v>
      </c>
      <c r="H6597" s="195">
        <v>90.274079999999998</v>
      </c>
      <c r="I6597" s="195">
        <v>61.338590000000003</v>
      </c>
      <c r="J6597" s="195">
        <v>5.3951520000000004</v>
      </c>
      <c r="K6597" s="195">
        <v>2.1765270000000001</v>
      </c>
      <c r="L6597" s="195">
        <v>1.380541</v>
      </c>
      <c r="M6597" s="195">
        <v>0</v>
      </c>
      <c r="N6597" s="195">
        <v>0</v>
      </c>
    </row>
    <row r="6598" spans="1:14" hidden="1" x14ac:dyDescent="0.35">
      <c r="A6598" s="52" t="s">
        <v>719</v>
      </c>
      <c r="B6598" s="52" t="s">
        <v>37</v>
      </c>
      <c r="C6598" s="52" t="s">
        <v>35</v>
      </c>
      <c r="D6598" s="52" t="s">
        <v>129</v>
      </c>
      <c r="E6598" s="52" t="s">
        <v>580</v>
      </c>
      <c r="F6598" s="52" t="s">
        <v>581</v>
      </c>
      <c r="G6598" s="195" t="s">
        <v>278</v>
      </c>
      <c r="H6598" s="195">
        <v>10.330249999999999</v>
      </c>
      <c r="I6598" s="195">
        <v>15.90375</v>
      </c>
      <c r="J6598" s="195">
        <v>9.4584290000000006</v>
      </c>
      <c r="K6598" s="195">
        <v>8.7849730000000008</v>
      </c>
      <c r="L6598" s="195">
        <v>5.3460380000000001</v>
      </c>
      <c r="M6598" s="195">
        <v>0</v>
      </c>
      <c r="N6598" s="195">
        <v>0</v>
      </c>
    </row>
    <row r="6599" spans="1:14" hidden="1" x14ac:dyDescent="0.35">
      <c r="A6599" s="52" t="s">
        <v>719</v>
      </c>
      <c r="B6599" s="52" t="s">
        <v>37</v>
      </c>
      <c r="C6599" s="52" t="s">
        <v>35</v>
      </c>
      <c r="D6599" s="52" t="s">
        <v>129</v>
      </c>
      <c r="E6599" s="52" t="s">
        <v>580</v>
      </c>
      <c r="F6599" s="52" t="s">
        <v>581</v>
      </c>
      <c r="G6599" s="195" t="s">
        <v>279</v>
      </c>
      <c r="H6599" s="195">
        <v>75.13946</v>
      </c>
      <c r="I6599" s="195">
        <v>72.07029</v>
      </c>
      <c r="J6599" s="195">
        <v>58.28078</v>
      </c>
      <c r="K6599" s="195">
        <v>47.799250000000001</v>
      </c>
      <c r="L6599" s="195">
        <v>45.002830000000003</v>
      </c>
      <c r="M6599" s="195">
        <v>35.969929999999998</v>
      </c>
      <c r="N6599" s="195">
        <v>30.402509999999999</v>
      </c>
    </row>
    <row r="6600" spans="1:14" hidden="1" x14ac:dyDescent="0.35">
      <c r="A6600" s="52" t="s">
        <v>719</v>
      </c>
      <c r="B6600" s="52" t="s">
        <v>37</v>
      </c>
      <c r="C6600" s="52" t="s">
        <v>35</v>
      </c>
      <c r="D6600" s="52" t="s">
        <v>129</v>
      </c>
      <c r="E6600" s="52" t="s">
        <v>580</v>
      </c>
      <c r="F6600" s="52" t="s">
        <v>26</v>
      </c>
      <c r="G6600" s="195" t="s">
        <v>275</v>
      </c>
      <c r="H6600" s="195">
        <v>-3.9726149999999998</v>
      </c>
      <c r="I6600" s="195">
        <v>-3.6101619999999999</v>
      </c>
      <c r="J6600" s="195">
        <v>-2.7672300000000001</v>
      </c>
      <c r="K6600" s="195">
        <v>-2.4214869999999999</v>
      </c>
      <c r="L6600" s="195">
        <v>-2.6167699999999998</v>
      </c>
      <c r="M6600" s="195">
        <v>-2.074433</v>
      </c>
      <c r="N6600" s="195">
        <v>-1.7509600000000001</v>
      </c>
    </row>
    <row r="6601" spans="1:14" hidden="1" x14ac:dyDescent="0.35">
      <c r="A6601" s="52" t="s">
        <v>719</v>
      </c>
      <c r="B6601" s="52" t="s">
        <v>37</v>
      </c>
      <c r="C6601" s="52" t="s">
        <v>35</v>
      </c>
      <c r="D6601" s="52" t="s">
        <v>129</v>
      </c>
      <c r="E6601" s="52" t="s">
        <v>580</v>
      </c>
      <c r="F6601" s="52" t="s">
        <v>26</v>
      </c>
      <c r="G6601" s="195" t="s">
        <v>276</v>
      </c>
      <c r="H6601" s="195">
        <v>-1.0560050000000001</v>
      </c>
      <c r="I6601" s="195">
        <v>-0.95966479999999998</v>
      </c>
      <c r="J6601" s="195">
        <v>-0.73559560000000002</v>
      </c>
      <c r="K6601" s="195">
        <v>-0.64368639999999999</v>
      </c>
      <c r="L6601" s="195">
        <v>-0.69559780000000004</v>
      </c>
      <c r="M6601" s="195">
        <v>-0.55143160000000002</v>
      </c>
      <c r="N6601" s="195">
        <v>-0.46544740000000001</v>
      </c>
    </row>
    <row r="6602" spans="1:14" hidden="1" x14ac:dyDescent="0.35">
      <c r="A6602" s="52" t="s">
        <v>719</v>
      </c>
      <c r="B6602" s="52" t="s">
        <v>37</v>
      </c>
      <c r="C6602" s="52" t="s">
        <v>35</v>
      </c>
      <c r="D6602" s="52" t="s">
        <v>129</v>
      </c>
      <c r="E6602" s="52" t="s">
        <v>580</v>
      </c>
      <c r="F6602" s="52" t="s">
        <v>26</v>
      </c>
      <c r="G6602" s="195" t="s">
        <v>279</v>
      </c>
      <c r="H6602" s="195">
        <v>15.31894</v>
      </c>
      <c r="I6602" s="195">
        <v>11.266120000000001</v>
      </c>
      <c r="J6602" s="195">
        <v>9.3407</v>
      </c>
      <c r="K6602" s="195">
        <v>7.7622580000000001</v>
      </c>
      <c r="L6602" s="195">
        <v>7.2762570000000002</v>
      </c>
      <c r="M6602" s="195">
        <v>5.8263569999999998</v>
      </c>
      <c r="N6602" s="195">
        <v>4.9245840000000003</v>
      </c>
    </row>
    <row r="6603" spans="1:14" hidden="1" x14ac:dyDescent="0.35">
      <c r="A6603" s="52" t="s">
        <v>719</v>
      </c>
      <c r="B6603" s="52" t="s">
        <v>37</v>
      </c>
      <c r="C6603" s="52" t="s">
        <v>35</v>
      </c>
      <c r="D6603" s="52" t="s">
        <v>36</v>
      </c>
      <c r="E6603" s="52" t="s">
        <v>589</v>
      </c>
      <c r="F6603" s="52" t="s">
        <v>581</v>
      </c>
      <c r="G6603" s="195" t="s">
        <v>275</v>
      </c>
      <c r="H6603" s="195">
        <v>-75.398449999999997</v>
      </c>
      <c r="I6603" s="195">
        <v>6.9160659999999998</v>
      </c>
      <c r="J6603" s="195">
        <v>29.775400000000001</v>
      </c>
      <c r="K6603" s="195">
        <v>21.045159999999999</v>
      </c>
      <c r="L6603" s="195">
        <v>19.899319999999999</v>
      </c>
      <c r="M6603" s="195">
        <v>7.9363630000000001</v>
      </c>
      <c r="N6603" s="195">
        <v>4.7260869999999997</v>
      </c>
    </row>
    <row r="6604" spans="1:14" hidden="1" x14ac:dyDescent="0.35">
      <c r="A6604" s="52" t="s">
        <v>719</v>
      </c>
      <c r="B6604" s="52" t="s">
        <v>37</v>
      </c>
      <c r="C6604" s="52" t="s">
        <v>35</v>
      </c>
      <c r="D6604" s="52" t="s">
        <v>36</v>
      </c>
      <c r="E6604" s="52" t="s">
        <v>589</v>
      </c>
      <c r="F6604" s="52" t="s">
        <v>581</v>
      </c>
      <c r="G6604" s="195" t="s">
        <v>276</v>
      </c>
      <c r="H6604" s="195">
        <v>0.61611000000000005</v>
      </c>
      <c r="I6604" s="195">
        <v>-20.199210000000001</v>
      </c>
      <c r="J6604" s="195">
        <v>-23.099419999999999</v>
      </c>
      <c r="K6604" s="195">
        <v>-15.85628</v>
      </c>
      <c r="L6604" s="195">
        <v>-15.149369999999999</v>
      </c>
      <c r="M6604" s="195">
        <v>-1.8800269999999999</v>
      </c>
      <c r="N6604" s="195">
        <v>0.36425279999999999</v>
      </c>
    </row>
    <row r="6605" spans="1:14" hidden="1" x14ac:dyDescent="0.35">
      <c r="A6605" s="52" t="s">
        <v>719</v>
      </c>
      <c r="B6605" s="52" t="s">
        <v>37</v>
      </c>
      <c r="C6605" s="52" t="s">
        <v>35</v>
      </c>
      <c r="D6605" s="52" t="s">
        <v>36</v>
      </c>
      <c r="E6605" s="52" t="s">
        <v>589</v>
      </c>
      <c r="F6605" s="52" t="s">
        <v>581</v>
      </c>
      <c r="G6605" s="195" t="s">
        <v>277</v>
      </c>
      <c r="H6605" s="195">
        <v>180.63640000000001</v>
      </c>
      <c r="I6605" s="195">
        <v>23.142019999999999</v>
      </c>
      <c r="J6605" s="195">
        <v>2.118913</v>
      </c>
      <c r="K6605" s="195">
        <v>1.309032</v>
      </c>
      <c r="L6605" s="195">
        <v>0.66607240000000001</v>
      </c>
      <c r="M6605" s="195">
        <v>0</v>
      </c>
      <c r="N6605" s="195">
        <v>0</v>
      </c>
    </row>
    <row r="6606" spans="1:14" hidden="1" x14ac:dyDescent="0.35">
      <c r="A6606" s="52" t="s">
        <v>719</v>
      </c>
      <c r="B6606" s="52" t="s">
        <v>37</v>
      </c>
      <c r="C6606" s="52" t="s">
        <v>35</v>
      </c>
      <c r="D6606" s="52" t="s">
        <v>36</v>
      </c>
      <c r="E6606" s="52" t="s">
        <v>589</v>
      </c>
      <c r="F6606" s="52" t="s">
        <v>581</v>
      </c>
      <c r="G6606" s="195" t="s">
        <v>278</v>
      </c>
      <c r="H6606" s="195">
        <v>0</v>
      </c>
      <c r="I6606" s="195">
        <v>9.2853680000000001</v>
      </c>
      <c r="J6606" s="195">
        <v>3.9068779999999999</v>
      </c>
      <c r="K6606" s="195">
        <v>4.1372289999999996</v>
      </c>
      <c r="L6606" s="195">
        <v>1.911618</v>
      </c>
      <c r="M6606" s="195">
        <v>0</v>
      </c>
      <c r="N6606" s="195">
        <v>0</v>
      </c>
    </row>
    <row r="6607" spans="1:14" hidden="1" x14ac:dyDescent="0.35">
      <c r="A6607" s="52" t="s">
        <v>719</v>
      </c>
      <c r="B6607" s="52" t="s">
        <v>37</v>
      </c>
      <c r="C6607" s="52" t="s">
        <v>35</v>
      </c>
      <c r="D6607" s="52" t="s">
        <v>36</v>
      </c>
      <c r="E6607" s="52" t="s">
        <v>589</v>
      </c>
      <c r="F6607" s="52" t="s">
        <v>581</v>
      </c>
      <c r="G6607" s="195" t="s">
        <v>279</v>
      </c>
      <c r="H6607" s="195">
        <v>40.987990000000003</v>
      </c>
      <c r="I6607" s="195">
        <v>30.69622</v>
      </c>
      <c r="J6607" s="195">
        <v>24.809629999999999</v>
      </c>
      <c r="K6607" s="195">
        <v>21.670919999999999</v>
      </c>
      <c r="L6607" s="195">
        <v>21.376999999999999</v>
      </c>
      <c r="M6607" s="195">
        <v>16.947189999999999</v>
      </c>
      <c r="N6607" s="195">
        <v>14.29382</v>
      </c>
    </row>
    <row r="6608" spans="1:14" hidden="1" x14ac:dyDescent="0.35">
      <c r="A6608" s="52" t="s">
        <v>719</v>
      </c>
      <c r="B6608" s="52" t="s">
        <v>37</v>
      </c>
      <c r="C6608" s="52" t="s">
        <v>35</v>
      </c>
      <c r="D6608" s="52" t="s">
        <v>36</v>
      </c>
      <c r="E6608" s="52" t="s">
        <v>589</v>
      </c>
      <c r="F6608" s="52" t="s">
        <v>26</v>
      </c>
      <c r="G6608" s="195" t="s">
        <v>275</v>
      </c>
      <c r="H6608" s="195">
        <v>-2.2351390000000002</v>
      </c>
      <c r="I6608" s="195">
        <v>-1.5580670000000001</v>
      </c>
      <c r="J6608" s="195">
        <v>-1.1893320000000001</v>
      </c>
      <c r="K6608" s="195">
        <v>-1.107396</v>
      </c>
      <c r="L6608" s="195">
        <v>-1.250421</v>
      </c>
      <c r="M6608" s="195">
        <v>-0.98377289999999995</v>
      </c>
      <c r="N6608" s="195">
        <v>-0.82925610000000005</v>
      </c>
    </row>
    <row r="6609" spans="1:14" hidden="1" x14ac:dyDescent="0.35">
      <c r="A6609" s="52" t="s">
        <v>719</v>
      </c>
      <c r="B6609" s="52" t="s">
        <v>37</v>
      </c>
      <c r="C6609" s="52" t="s">
        <v>35</v>
      </c>
      <c r="D6609" s="52" t="s">
        <v>36</v>
      </c>
      <c r="E6609" s="52" t="s">
        <v>589</v>
      </c>
      <c r="F6609" s="52" t="s">
        <v>26</v>
      </c>
      <c r="G6609" s="195" t="s">
        <v>276</v>
      </c>
      <c r="H6609" s="195">
        <v>-0.59414999999999996</v>
      </c>
      <c r="I6609" s="195">
        <v>-0.41417219999999999</v>
      </c>
      <c r="J6609" s="195">
        <v>-0.31615219999999999</v>
      </c>
      <c r="K6609" s="195">
        <v>-0.29437340000000001</v>
      </c>
      <c r="L6609" s="195">
        <v>-0.33239020000000002</v>
      </c>
      <c r="M6609" s="195">
        <v>-0.26151000000000002</v>
      </c>
      <c r="N6609" s="195">
        <v>-0.2204364</v>
      </c>
    </row>
    <row r="6610" spans="1:14" hidden="1" x14ac:dyDescent="0.35">
      <c r="A6610" s="52" t="s">
        <v>719</v>
      </c>
      <c r="B6610" s="52" t="s">
        <v>37</v>
      </c>
      <c r="C6610" s="52" t="s">
        <v>35</v>
      </c>
      <c r="D6610" s="52" t="s">
        <v>36</v>
      </c>
      <c r="E6610" s="52" t="s">
        <v>589</v>
      </c>
      <c r="F6610" s="52" t="s">
        <v>26</v>
      </c>
      <c r="G6610" s="195" t="s">
        <v>279</v>
      </c>
      <c r="H6610" s="195">
        <v>8.6190119999999997</v>
      </c>
      <c r="I6610" s="195">
        <v>4.8594119999999998</v>
      </c>
      <c r="J6610" s="195">
        <v>4.0180660000000001</v>
      </c>
      <c r="K6610" s="195">
        <v>3.5549400000000002</v>
      </c>
      <c r="L6610" s="195">
        <v>3.4864649999999999</v>
      </c>
      <c r="M6610" s="195">
        <v>2.7694990000000002</v>
      </c>
      <c r="N6610" s="195">
        <v>2.3362750000000001</v>
      </c>
    </row>
    <row r="6611" spans="1:14" hidden="1" x14ac:dyDescent="0.35">
      <c r="A6611" s="52" t="s">
        <v>719</v>
      </c>
      <c r="B6611" s="52" t="s">
        <v>37</v>
      </c>
      <c r="C6611" s="52" t="s">
        <v>35</v>
      </c>
      <c r="D6611" s="52" t="s">
        <v>36</v>
      </c>
      <c r="E6611" s="52" t="s">
        <v>587</v>
      </c>
      <c r="F6611" s="52" t="s">
        <v>581</v>
      </c>
      <c r="G6611" s="195" t="s">
        <v>275</v>
      </c>
      <c r="H6611" s="195">
        <v>9.1532</v>
      </c>
      <c r="I6611" s="195">
        <v>1.8377559999999999</v>
      </c>
      <c r="J6611" s="195">
        <v>1.2746139999999999</v>
      </c>
      <c r="K6611" s="195">
        <v>1.137297</v>
      </c>
      <c r="L6611" s="195">
        <v>0.8088033</v>
      </c>
      <c r="M6611" s="195">
        <v>0.74797559999999996</v>
      </c>
      <c r="N6611" s="195">
        <v>0.67322249999999995</v>
      </c>
    </row>
    <row r="6612" spans="1:14" hidden="1" x14ac:dyDescent="0.35">
      <c r="A6612" s="52" t="s">
        <v>719</v>
      </c>
      <c r="B6612" s="52" t="s">
        <v>37</v>
      </c>
      <c r="C6612" s="52" t="s">
        <v>35</v>
      </c>
      <c r="D6612" s="52" t="s">
        <v>36</v>
      </c>
      <c r="E6612" s="52" t="s">
        <v>587</v>
      </c>
      <c r="F6612" s="52" t="s">
        <v>581</v>
      </c>
      <c r="G6612" s="195" t="s">
        <v>276</v>
      </c>
      <c r="H6612" s="195">
        <v>1.997606</v>
      </c>
      <c r="I6612" s="195">
        <v>0.40141379999999999</v>
      </c>
      <c r="J6612" s="195">
        <v>0.33882119999999999</v>
      </c>
      <c r="K6612" s="195">
        <v>0.302319</v>
      </c>
      <c r="L6612" s="195">
        <v>0.21499799999999999</v>
      </c>
      <c r="M6612" s="195">
        <v>0.19882900000000001</v>
      </c>
      <c r="N6612" s="195">
        <v>0.17895739999999999</v>
      </c>
    </row>
    <row r="6613" spans="1:14" hidden="1" x14ac:dyDescent="0.35">
      <c r="A6613" s="52" t="s">
        <v>719</v>
      </c>
      <c r="B6613" s="52" t="s">
        <v>37</v>
      </c>
      <c r="C6613" s="52" t="s">
        <v>35</v>
      </c>
      <c r="D6613" s="52" t="s">
        <v>36</v>
      </c>
      <c r="E6613" s="52" t="s">
        <v>587</v>
      </c>
      <c r="F6613" s="52" t="s">
        <v>581</v>
      </c>
      <c r="G6613" s="195" t="s">
        <v>277</v>
      </c>
      <c r="H6613" s="195">
        <v>0</v>
      </c>
      <c r="I6613" s="195"/>
      <c r="J6613" s="195"/>
      <c r="K6613" s="195">
        <v>0</v>
      </c>
      <c r="L6613" s="195"/>
      <c r="M6613" s="195"/>
      <c r="N6613" s="195">
        <v>0</v>
      </c>
    </row>
    <row r="6614" spans="1:14" hidden="1" x14ac:dyDescent="0.35">
      <c r="A6614" s="52" t="s">
        <v>719</v>
      </c>
      <c r="B6614" s="52" t="s">
        <v>37</v>
      </c>
      <c r="C6614" s="52" t="s">
        <v>35</v>
      </c>
      <c r="D6614" s="52" t="s">
        <v>36</v>
      </c>
      <c r="E6614" s="52" t="s">
        <v>587</v>
      </c>
      <c r="F6614" s="52" t="s">
        <v>581</v>
      </c>
      <c r="G6614" s="195" t="s">
        <v>279</v>
      </c>
      <c r="H6614" s="195">
        <v>4.4491740000000002</v>
      </c>
      <c r="I6614" s="195">
        <v>3.0048789999999999</v>
      </c>
      <c r="J6614" s="195">
        <v>2.6344660000000002</v>
      </c>
      <c r="K6614" s="195">
        <v>2.4616229999999999</v>
      </c>
      <c r="L6614" s="195">
        <v>2.4250569999999998</v>
      </c>
      <c r="M6614" s="195">
        <v>2.1444239999999999</v>
      </c>
      <c r="N6614" s="195">
        <v>1.9227650000000001</v>
      </c>
    </row>
    <row r="6615" spans="1:14" hidden="1" x14ac:dyDescent="0.35">
      <c r="A6615" s="52" t="s">
        <v>719</v>
      </c>
      <c r="B6615" s="52" t="s">
        <v>37</v>
      </c>
      <c r="C6615" s="52" t="s">
        <v>35</v>
      </c>
      <c r="D6615" s="52" t="s">
        <v>36</v>
      </c>
      <c r="E6615" s="52" t="s">
        <v>587</v>
      </c>
      <c r="F6615" s="52" t="s">
        <v>26</v>
      </c>
      <c r="G6615" s="195" t="s">
        <v>275</v>
      </c>
      <c r="H6615" s="195">
        <v>-1.0689420000000001</v>
      </c>
      <c r="I6615" s="195">
        <v>-0.69999279999999997</v>
      </c>
      <c r="J6615" s="195">
        <v>-0.59201579999999998</v>
      </c>
      <c r="K6615" s="195">
        <v>-0.58349680000000004</v>
      </c>
      <c r="L6615" s="195">
        <v>-0.64231839999999996</v>
      </c>
      <c r="M6615" s="195">
        <v>-0.56381179999999997</v>
      </c>
      <c r="N6615" s="195">
        <v>-0.50478020000000001</v>
      </c>
    </row>
    <row r="6616" spans="1:14" hidden="1" x14ac:dyDescent="0.35">
      <c r="A6616" s="52" t="s">
        <v>719</v>
      </c>
      <c r="B6616" s="52" t="s">
        <v>37</v>
      </c>
      <c r="C6616" s="52" t="s">
        <v>35</v>
      </c>
      <c r="D6616" s="52" t="s">
        <v>36</v>
      </c>
      <c r="E6616" s="52" t="s">
        <v>587</v>
      </c>
      <c r="F6616" s="52" t="s">
        <v>26</v>
      </c>
      <c r="G6616" s="195" t="s">
        <v>276</v>
      </c>
      <c r="H6616" s="195">
        <v>-0.28414899999999998</v>
      </c>
      <c r="I6616" s="195">
        <v>-0.18607380000000001</v>
      </c>
      <c r="J6616" s="195">
        <v>-0.15737119999999999</v>
      </c>
      <c r="K6616" s="195">
        <v>-0.15510599999999999</v>
      </c>
      <c r="L6616" s="195">
        <v>-0.1707428</v>
      </c>
      <c r="M6616" s="195">
        <v>-0.14987420000000001</v>
      </c>
      <c r="N6616" s="195">
        <v>-0.1341832</v>
      </c>
    </row>
    <row r="6617" spans="1:14" hidden="1" x14ac:dyDescent="0.35">
      <c r="A6617" s="52" t="s">
        <v>719</v>
      </c>
      <c r="B6617" s="52" t="s">
        <v>37</v>
      </c>
      <c r="C6617" s="52" t="s">
        <v>35</v>
      </c>
      <c r="D6617" s="52" t="s">
        <v>36</v>
      </c>
      <c r="E6617" s="52" t="s">
        <v>587</v>
      </c>
      <c r="F6617" s="52" t="s">
        <v>26</v>
      </c>
      <c r="G6617" s="195" t="s">
        <v>279</v>
      </c>
      <c r="H6617" s="195">
        <v>3.4417330000000002</v>
      </c>
      <c r="I6617" s="195">
        <v>1.910396</v>
      </c>
      <c r="J6617" s="195">
        <v>1.7155750000000001</v>
      </c>
      <c r="K6617" s="195">
        <v>1.6244479999999999</v>
      </c>
      <c r="L6617" s="195">
        <v>1.594433</v>
      </c>
      <c r="M6617" s="195">
        <v>1.4121010000000001</v>
      </c>
      <c r="N6617" s="195">
        <v>1.2660480000000001</v>
      </c>
    </row>
    <row r="6618" spans="1:14" hidden="1" x14ac:dyDescent="0.35">
      <c r="A6618" s="52" t="s">
        <v>719</v>
      </c>
      <c r="B6618" s="52" t="s">
        <v>37</v>
      </c>
      <c r="C6618" s="52" t="s">
        <v>35</v>
      </c>
      <c r="D6618" s="52" t="s">
        <v>267</v>
      </c>
      <c r="E6618" s="52" t="s">
        <v>589</v>
      </c>
      <c r="F6618" s="52" t="s">
        <v>581</v>
      </c>
      <c r="G6618" s="195" t="s">
        <v>275</v>
      </c>
      <c r="H6618" s="195">
        <v>-102.0363</v>
      </c>
      <c r="I6618" s="195">
        <v>17.56296</v>
      </c>
      <c r="J6618" s="195">
        <v>35.456429999999997</v>
      </c>
      <c r="K6618" s="195">
        <v>23.539570000000001</v>
      </c>
      <c r="L6618" s="195">
        <v>20.795200000000001</v>
      </c>
      <c r="M6618" s="195">
        <v>6.357545</v>
      </c>
      <c r="N6618" s="195">
        <v>4.6668130000000003</v>
      </c>
    </row>
    <row r="6619" spans="1:14" hidden="1" x14ac:dyDescent="0.35">
      <c r="A6619" s="52" t="s">
        <v>719</v>
      </c>
      <c r="B6619" s="52" t="s">
        <v>37</v>
      </c>
      <c r="C6619" s="52" t="s">
        <v>35</v>
      </c>
      <c r="D6619" s="52" t="s">
        <v>267</v>
      </c>
      <c r="E6619" s="52" t="s">
        <v>589</v>
      </c>
      <c r="F6619" s="52" t="s">
        <v>581</v>
      </c>
      <c r="G6619" s="195" t="s">
        <v>276</v>
      </c>
      <c r="H6619" s="195">
        <v>-3.0364249999999999</v>
      </c>
      <c r="I6619" s="195">
        <v>-15.24675</v>
      </c>
      <c r="J6619" s="195">
        <v>-30.059470000000001</v>
      </c>
      <c r="K6619" s="195">
        <v>-19.577719999999999</v>
      </c>
      <c r="L6619" s="195">
        <v>-17.166399999999999</v>
      </c>
      <c r="M6619" s="195">
        <v>-0.71130159999999998</v>
      </c>
      <c r="N6619" s="195">
        <v>0.2075572</v>
      </c>
    </row>
    <row r="6620" spans="1:14" hidden="1" x14ac:dyDescent="0.35">
      <c r="A6620" s="52" t="s">
        <v>719</v>
      </c>
      <c r="B6620" s="52" t="s">
        <v>37</v>
      </c>
      <c r="C6620" s="52" t="s">
        <v>35</v>
      </c>
      <c r="D6620" s="52" t="s">
        <v>267</v>
      </c>
      <c r="E6620" s="52" t="s">
        <v>589</v>
      </c>
      <c r="F6620" s="52" t="s">
        <v>581</v>
      </c>
      <c r="G6620" s="195" t="s">
        <v>277</v>
      </c>
      <c r="H6620" s="195">
        <v>172.94120000000001</v>
      </c>
      <c r="I6620" s="195">
        <v>6.7982699999999996</v>
      </c>
      <c r="J6620" s="195">
        <v>2.437643</v>
      </c>
      <c r="K6620" s="195">
        <v>1.1844410000000001</v>
      </c>
      <c r="L6620" s="195">
        <v>0.57560540000000004</v>
      </c>
      <c r="M6620" s="195">
        <v>0</v>
      </c>
      <c r="N6620" s="195">
        <v>0</v>
      </c>
    </row>
    <row r="6621" spans="1:14" hidden="1" x14ac:dyDescent="0.35">
      <c r="A6621" s="52" t="s">
        <v>719</v>
      </c>
      <c r="B6621" s="52" t="s">
        <v>37</v>
      </c>
      <c r="C6621" s="52" t="s">
        <v>35</v>
      </c>
      <c r="D6621" s="52" t="s">
        <v>267</v>
      </c>
      <c r="E6621" s="52" t="s">
        <v>589</v>
      </c>
      <c r="F6621" s="52" t="s">
        <v>581</v>
      </c>
      <c r="G6621" s="195" t="s">
        <v>278</v>
      </c>
      <c r="H6621" s="195">
        <v>32.264969999999998</v>
      </c>
      <c r="I6621" s="195">
        <v>10.41722</v>
      </c>
      <c r="J6621" s="195">
        <v>4.5827900000000001</v>
      </c>
      <c r="K6621" s="195">
        <v>5.0341240000000003</v>
      </c>
      <c r="L6621" s="195">
        <v>2.3435380000000001</v>
      </c>
      <c r="M6621" s="195">
        <v>0</v>
      </c>
      <c r="N6621" s="195">
        <v>0</v>
      </c>
    </row>
    <row r="6622" spans="1:14" hidden="1" x14ac:dyDescent="0.35">
      <c r="A6622" s="52" t="s">
        <v>719</v>
      </c>
      <c r="B6622" s="52" t="s">
        <v>37</v>
      </c>
      <c r="C6622" s="52" t="s">
        <v>35</v>
      </c>
      <c r="D6622" s="52" t="s">
        <v>267</v>
      </c>
      <c r="E6622" s="52" t="s">
        <v>589</v>
      </c>
      <c r="F6622" s="52" t="s">
        <v>581</v>
      </c>
      <c r="G6622" s="195" t="s">
        <v>279</v>
      </c>
      <c r="H6622" s="195">
        <v>39.62961</v>
      </c>
      <c r="I6622" s="195">
        <v>37.00468</v>
      </c>
      <c r="J6622" s="195">
        <v>29.720980000000001</v>
      </c>
      <c r="K6622" s="195">
        <v>25.481739999999999</v>
      </c>
      <c r="L6622" s="195">
        <v>25.257020000000001</v>
      </c>
      <c r="M6622" s="195">
        <v>20.678329999999999</v>
      </c>
      <c r="N6622" s="195">
        <v>17.888249999999999</v>
      </c>
    </row>
    <row r="6623" spans="1:14" hidden="1" x14ac:dyDescent="0.35">
      <c r="A6623" s="52" t="s">
        <v>719</v>
      </c>
      <c r="B6623" s="52" t="s">
        <v>37</v>
      </c>
      <c r="C6623" s="52" t="s">
        <v>35</v>
      </c>
      <c r="D6623" s="52" t="s">
        <v>267</v>
      </c>
      <c r="E6623" s="52" t="s">
        <v>589</v>
      </c>
      <c r="F6623" s="52" t="s">
        <v>26</v>
      </c>
      <c r="G6623" s="195" t="s">
        <v>275</v>
      </c>
      <c r="H6623" s="195">
        <v>-2.5785580000000001</v>
      </c>
      <c r="I6623" s="195">
        <v>-2.073204</v>
      </c>
      <c r="J6623" s="195">
        <v>-1.5751029999999999</v>
      </c>
      <c r="K6623" s="195">
        <v>-1.43814</v>
      </c>
      <c r="L6623" s="195">
        <v>-1.6306149999999999</v>
      </c>
      <c r="M6623" s="195">
        <v>-1.3249550000000001</v>
      </c>
      <c r="N6623" s="195">
        <v>-1.1452249999999999</v>
      </c>
    </row>
    <row r="6624" spans="1:14" hidden="1" x14ac:dyDescent="0.35">
      <c r="A6624" s="52" t="s">
        <v>719</v>
      </c>
      <c r="B6624" s="52" t="s">
        <v>37</v>
      </c>
      <c r="C6624" s="52" t="s">
        <v>35</v>
      </c>
      <c r="D6624" s="52" t="s">
        <v>267</v>
      </c>
      <c r="E6624" s="52" t="s">
        <v>589</v>
      </c>
      <c r="F6624" s="52" t="s">
        <v>26</v>
      </c>
      <c r="G6624" s="195" t="s">
        <v>276</v>
      </c>
      <c r="H6624" s="195">
        <v>-0.68543609999999999</v>
      </c>
      <c r="I6624" s="195">
        <v>-0.55110340000000002</v>
      </c>
      <c r="J6624" s="195">
        <v>-0.41869699999999999</v>
      </c>
      <c r="K6624" s="195">
        <v>-0.38229160000000001</v>
      </c>
      <c r="L6624" s="195">
        <v>-0.433452</v>
      </c>
      <c r="M6624" s="195">
        <v>-0.35220279999999998</v>
      </c>
      <c r="N6624" s="195">
        <v>-0.30442639999999999</v>
      </c>
    </row>
    <row r="6625" spans="1:14" hidden="1" x14ac:dyDescent="0.35">
      <c r="A6625" s="52" t="s">
        <v>719</v>
      </c>
      <c r="B6625" s="52" t="s">
        <v>37</v>
      </c>
      <c r="C6625" s="52" t="s">
        <v>35</v>
      </c>
      <c r="D6625" s="52" t="s">
        <v>267</v>
      </c>
      <c r="E6625" s="52" t="s">
        <v>589</v>
      </c>
      <c r="F6625" s="52" t="s">
        <v>26</v>
      </c>
      <c r="G6625" s="195" t="s">
        <v>279</v>
      </c>
      <c r="H6625" s="195">
        <v>9.9432849999999995</v>
      </c>
      <c r="I6625" s="195">
        <v>6.4686130000000004</v>
      </c>
      <c r="J6625" s="195">
        <v>5.3159580000000002</v>
      </c>
      <c r="K6625" s="195">
        <v>4.6152930000000003</v>
      </c>
      <c r="L6625" s="195">
        <v>4.5448459999999997</v>
      </c>
      <c r="M6625" s="195">
        <v>3.7286450000000002</v>
      </c>
      <c r="N6625" s="195">
        <v>3.2258990000000001</v>
      </c>
    </row>
    <row r="6626" spans="1:14" hidden="1" x14ac:dyDescent="0.35">
      <c r="A6626" s="52" t="s">
        <v>719</v>
      </c>
      <c r="B6626" s="52" t="s">
        <v>37</v>
      </c>
      <c r="C6626" s="52" t="s">
        <v>79</v>
      </c>
      <c r="D6626" s="52" t="s">
        <v>79</v>
      </c>
      <c r="E6626" s="52" t="s">
        <v>615</v>
      </c>
      <c r="F6626" s="52" t="s">
        <v>581</v>
      </c>
      <c r="G6626" s="195" t="s">
        <v>275</v>
      </c>
      <c r="H6626" s="195">
        <v>216.22020000000001</v>
      </c>
      <c r="I6626" s="195">
        <v>35.627310000000001</v>
      </c>
      <c r="J6626" s="195">
        <v>72.919060000000002</v>
      </c>
      <c r="K6626" s="195">
        <v>78.41968</v>
      </c>
      <c r="L6626" s="195">
        <v>34.49718</v>
      </c>
      <c r="M6626" s="195">
        <v>24.511040000000001</v>
      </c>
      <c r="N6626" s="195">
        <v>14.82066</v>
      </c>
    </row>
    <row r="6627" spans="1:14" hidden="1" x14ac:dyDescent="0.35">
      <c r="A6627" s="52" t="s">
        <v>719</v>
      </c>
      <c r="B6627" s="52" t="s">
        <v>37</v>
      </c>
      <c r="C6627" s="52" t="s">
        <v>79</v>
      </c>
      <c r="D6627" s="52" t="s">
        <v>79</v>
      </c>
      <c r="E6627" s="52" t="s">
        <v>615</v>
      </c>
      <c r="F6627" s="52" t="s">
        <v>581</v>
      </c>
      <c r="G6627" s="195" t="s">
        <v>276</v>
      </c>
      <c r="H6627" s="195">
        <v>22.64817</v>
      </c>
      <c r="I6627" s="195">
        <v>-38.068559999999998</v>
      </c>
      <c r="J6627" s="195">
        <v>-43.136400000000002</v>
      </c>
      <c r="K6627" s="195">
        <v>-46.413849999999996</v>
      </c>
      <c r="L6627" s="195">
        <v>-14.374309999999999</v>
      </c>
      <c r="M6627" s="195">
        <v>-5.2165470000000003</v>
      </c>
      <c r="N6627" s="195">
        <v>0.618085</v>
      </c>
    </row>
    <row r="6628" spans="1:14" hidden="1" x14ac:dyDescent="0.35">
      <c r="A6628" s="52" t="s">
        <v>719</v>
      </c>
      <c r="B6628" s="52" t="s">
        <v>37</v>
      </c>
      <c r="C6628" s="52" t="s">
        <v>79</v>
      </c>
      <c r="D6628" s="52" t="s">
        <v>79</v>
      </c>
      <c r="E6628" s="52" t="s">
        <v>615</v>
      </c>
      <c r="F6628" s="52" t="s">
        <v>581</v>
      </c>
      <c r="G6628" s="195" t="s">
        <v>277</v>
      </c>
      <c r="H6628" s="195">
        <v>165.20740000000001</v>
      </c>
      <c r="I6628" s="195">
        <v>82.61345</v>
      </c>
      <c r="J6628" s="195">
        <v>18.544160000000002</v>
      </c>
      <c r="K6628" s="195">
        <v>5.7952370000000002</v>
      </c>
      <c r="L6628" s="195">
        <v>3.0289649999999999</v>
      </c>
      <c r="M6628" s="195">
        <v>0</v>
      </c>
      <c r="N6628" s="195">
        <v>0</v>
      </c>
    </row>
    <row r="6629" spans="1:14" hidden="1" x14ac:dyDescent="0.35">
      <c r="A6629" s="52" t="s">
        <v>719</v>
      </c>
      <c r="B6629" s="52" t="s">
        <v>37</v>
      </c>
      <c r="C6629" s="52" t="s">
        <v>79</v>
      </c>
      <c r="D6629" s="52" t="s">
        <v>79</v>
      </c>
      <c r="E6629" s="52" t="s">
        <v>615</v>
      </c>
      <c r="F6629" s="52" t="s">
        <v>581</v>
      </c>
      <c r="G6629" s="195" t="s">
        <v>278</v>
      </c>
      <c r="H6629" s="195">
        <v>13.1233</v>
      </c>
      <c r="I6629" s="195">
        <v>9.3587050000000005</v>
      </c>
      <c r="J6629" s="195">
        <v>8.3759200000000007</v>
      </c>
      <c r="K6629" s="195">
        <v>4.9078710000000001</v>
      </c>
      <c r="L6629" s="195">
        <v>1.3933960000000001</v>
      </c>
      <c r="M6629" s="195">
        <v>0</v>
      </c>
      <c r="N6629" s="195">
        <v>0</v>
      </c>
    </row>
    <row r="6630" spans="1:14" hidden="1" x14ac:dyDescent="0.35">
      <c r="A6630" s="52" t="s">
        <v>719</v>
      </c>
      <c r="B6630" s="52" t="s">
        <v>37</v>
      </c>
      <c r="C6630" s="52" t="s">
        <v>79</v>
      </c>
      <c r="D6630" s="52" t="s">
        <v>79</v>
      </c>
      <c r="E6630" s="52" t="s">
        <v>615</v>
      </c>
      <c r="F6630" s="52" t="s">
        <v>581</v>
      </c>
      <c r="G6630" s="195" t="s">
        <v>279</v>
      </c>
      <c r="H6630" s="195">
        <v>184.6781</v>
      </c>
      <c r="I6630" s="195">
        <v>149.55930000000001</v>
      </c>
      <c r="J6630" s="195">
        <v>118.1461</v>
      </c>
      <c r="K6630" s="195">
        <v>93.55677</v>
      </c>
      <c r="L6630" s="195">
        <v>78.739879999999999</v>
      </c>
      <c r="M6630" s="195">
        <v>59.257159999999999</v>
      </c>
      <c r="N6630" s="195">
        <v>47.648060000000001</v>
      </c>
    </row>
    <row r="6631" spans="1:14" hidden="1" x14ac:dyDescent="0.35">
      <c r="A6631" s="52" t="s">
        <v>719</v>
      </c>
      <c r="B6631" s="52" t="s">
        <v>37</v>
      </c>
      <c r="C6631" s="52" t="s">
        <v>79</v>
      </c>
      <c r="D6631" s="52" t="s">
        <v>79</v>
      </c>
      <c r="E6631" s="52" t="s">
        <v>615</v>
      </c>
      <c r="F6631" s="52" t="s">
        <v>26</v>
      </c>
      <c r="G6631" s="195" t="s">
        <v>275</v>
      </c>
      <c r="H6631" s="195">
        <v>-8.7064120000000003</v>
      </c>
      <c r="I6631" s="195">
        <v>-20.1616</v>
      </c>
      <c r="J6631" s="195">
        <v>-15.77413</v>
      </c>
      <c r="K6631" s="195">
        <v>-12.97048</v>
      </c>
      <c r="L6631" s="195">
        <v>-11.58944</v>
      </c>
      <c r="M6631" s="195">
        <v>-8.7018909999999998</v>
      </c>
      <c r="N6631" s="195">
        <v>-6.9961419999999999</v>
      </c>
    </row>
    <row r="6632" spans="1:14" hidden="1" x14ac:dyDescent="0.35">
      <c r="A6632" s="52" t="s">
        <v>719</v>
      </c>
      <c r="B6632" s="52" t="s">
        <v>37</v>
      </c>
      <c r="C6632" s="52" t="s">
        <v>79</v>
      </c>
      <c r="D6632" s="52" t="s">
        <v>79</v>
      </c>
      <c r="E6632" s="52" t="s">
        <v>615</v>
      </c>
      <c r="F6632" s="52" t="s">
        <v>26</v>
      </c>
      <c r="G6632" s="195" t="s">
        <v>276</v>
      </c>
      <c r="H6632" s="195">
        <v>-2.5239129999999999</v>
      </c>
      <c r="I6632" s="195">
        <v>-5.8446439999999997</v>
      </c>
      <c r="J6632" s="195">
        <v>-4.5727539999999998</v>
      </c>
      <c r="K6632" s="195">
        <v>-3.7600120000000001</v>
      </c>
      <c r="L6632" s="195">
        <v>-3.359661</v>
      </c>
      <c r="M6632" s="195">
        <v>-2.5225900000000001</v>
      </c>
      <c r="N6632" s="195">
        <v>-2.0281120000000001</v>
      </c>
    </row>
    <row r="6633" spans="1:14" hidden="1" x14ac:dyDescent="0.35">
      <c r="A6633" s="52" t="s">
        <v>719</v>
      </c>
      <c r="B6633" s="52" t="s">
        <v>37</v>
      </c>
      <c r="C6633" s="52" t="s">
        <v>79</v>
      </c>
      <c r="D6633" s="52" t="s">
        <v>79</v>
      </c>
      <c r="E6633" s="52" t="s">
        <v>615</v>
      </c>
      <c r="F6633" s="52" t="s">
        <v>26</v>
      </c>
      <c r="G6633" s="195" t="s">
        <v>279</v>
      </c>
      <c r="H6633" s="195">
        <v>20.159389999999998</v>
      </c>
      <c r="I6633" s="195">
        <v>42.672490000000003</v>
      </c>
      <c r="J6633" s="195">
        <v>34.529919999999997</v>
      </c>
      <c r="K6633" s="195">
        <v>27.745059999999999</v>
      </c>
      <c r="L6633" s="195">
        <v>23.26314</v>
      </c>
      <c r="M6633" s="195">
        <v>17.542560000000002</v>
      </c>
      <c r="N6633" s="195">
        <v>14.11012</v>
      </c>
    </row>
    <row r="6634" spans="1:14" hidden="1" x14ac:dyDescent="0.35">
      <c r="A6634" s="52" t="s">
        <v>719</v>
      </c>
      <c r="B6634" s="52" t="s">
        <v>37</v>
      </c>
      <c r="C6634" s="52" t="s">
        <v>79</v>
      </c>
      <c r="D6634" s="52" t="s">
        <v>79</v>
      </c>
      <c r="E6634" s="52" t="s">
        <v>584</v>
      </c>
      <c r="F6634" s="52" t="s">
        <v>581</v>
      </c>
      <c r="G6634" s="195" t="s">
        <v>275</v>
      </c>
      <c r="H6634" s="195">
        <v>2.9629980000000001E-3</v>
      </c>
      <c r="I6634" s="195">
        <v>-5.2308E-2</v>
      </c>
      <c r="J6634" s="195">
        <v>-2.9928050000000002</v>
      </c>
      <c r="K6634" s="195">
        <v>-1.8778E-3</v>
      </c>
      <c r="L6634" s="195">
        <v>-3.8784000000000002E-3</v>
      </c>
      <c r="M6634" s="195">
        <v>-3.7824E-3</v>
      </c>
      <c r="N6634" s="195">
        <v>-3.6219999999999998E-3</v>
      </c>
    </row>
    <row r="6635" spans="1:14" hidden="1" x14ac:dyDescent="0.35">
      <c r="A6635" s="52" t="s">
        <v>719</v>
      </c>
      <c r="B6635" s="52" t="s">
        <v>37</v>
      </c>
      <c r="C6635" s="52" t="s">
        <v>79</v>
      </c>
      <c r="D6635" s="52" t="s">
        <v>79</v>
      </c>
      <c r="E6635" s="52" t="s">
        <v>584</v>
      </c>
      <c r="F6635" s="52" t="s">
        <v>581</v>
      </c>
      <c r="G6635" s="195" t="s">
        <v>276</v>
      </c>
      <c r="H6635" s="195">
        <v>-2.3289999999999999E-3</v>
      </c>
      <c r="I6635" s="195">
        <v>-1.6957E-2</v>
      </c>
      <c r="J6635" s="195">
        <v>-0.79904710000000001</v>
      </c>
      <c r="K6635" s="195">
        <v>-4.2393999999999999E-3</v>
      </c>
      <c r="L6635" s="195">
        <v>-2.2959999999999999E-3</v>
      </c>
      <c r="M6635" s="195">
        <v>-1.8733999999999999E-3</v>
      </c>
      <c r="N6635" s="195">
        <v>-1.5716E-3</v>
      </c>
    </row>
    <row r="6636" spans="1:14" hidden="1" x14ac:dyDescent="0.35">
      <c r="A6636" s="52" t="s">
        <v>719</v>
      </c>
      <c r="B6636" s="52" t="s">
        <v>37</v>
      </c>
      <c r="C6636" s="52" t="s">
        <v>79</v>
      </c>
      <c r="D6636" s="52" t="s">
        <v>79</v>
      </c>
      <c r="E6636" s="52" t="s">
        <v>584</v>
      </c>
      <c r="F6636" s="52" t="s">
        <v>581</v>
      </c>
      <c r="G6636" s="195" t="s">
        <v>277</v>
      </c>
      <c r="H6636" s="195">
        <v>1.5866999999999999E-2</v>
      </c>
      <c r="I6636" s="195">
        <v>1.3143999999999999E-2</v>
      </c>
      <c r="J6636" s="195">
        <v>1.12234E-2</v>
      </c>
      <c r="K6636" s="195">
        <v>7.4321999999999999E-3</v>
      </c>
      <c r="L6636" s="195">
        <v>7.1392000000000001E-3</v>
      </c>
      <c r="M6636" s="195">
        <v>6.7019999999999996E-3</v>
      </c>
      <c r="N6636" s="195">
        <v>6.319E-3</v>
      </c>
    </row>
    <row r="6637" spans="1:14" hidden="1" x14ac:dyDescent="0.35">
      <c r="A6637" s="52" t="s">
        <v>719</v>
      </c>
      <c r="B6637" s="52" t="s">
        <v>37</v>
      </c>
      <c r="C6637" s="52" t="s">
        <v>79</v>
      </c>
      <c r="D6637" s="52" t="s">
        <v>79</v>
      </c>
      <c r="E6637" s="52" t="s">
        <v>584</v>
      </c>
      <c r="F6637" s="52" t="s">
        <v>581</v>
      </c>
      <c r="G6637" s="195" t="s">
        <v>278</v>
      </c>
      <c r="H6637" s="195">
        <v>0</v>
      </c>
      <c r="I6637" s="195"/>
      <c r="J6637" s="195"/>
      <c r="K6637" s="195"/>
      <c r="L6637" s="195"/>
      <c r="M6637" s="195"/>
      <c r="N6637" s="195"/>
    </row>
    <row r="6638" spans="1:14" hidden="1" x14ac:dyDescent="0.35">
      <c r="A6638" s="52" t="s">
        <v>719</v>
      </c>
      <c r="B6638" s="52" t="s">
        <v>37</v>
      </c>
      <c r="C6638" s="52" t="s">
        <v>79</v>
      </c>
      <c r="D6638" s="52" t="s">
        <v>79</v>
      </c>
      <c r="E6638" s="52" t="s">
        <v>584</v>
      </c>
      <c r="F6638" s="52" t="s">
        <v>581</v>
      </c>
      <c r="G6638" s="195" t="s">
        <v>279</v>
      </c>
      <c r="H6638" s="195">
        <v>0.13411200000000001</v>
      </c>
      <c r="I6638" s="195">
        <v>0.10766580000000001</v>
      </c>
      <c r="J6638" s="195">
        <v>3.8016719999999999</v>
      </c>
      <c r="K6638" s="195">
        <v>1.2749E-2</v>
      </c>
      <c r="L6638" s="195">
        <v>1.2900200000000001E-2</v>
      </c>
      <c r="M6638" s="195">
        <v>1.2311000000000001E-2</v>
      </c>
      <c r="N6638" s="195">
        <v>1.1797E-2</v>
      </c>
    </row>
    <row r="6639" spans="1:14" hidden="1" x14ac:dyDescent="0.35">
      <c r="A6639" s="52" t="s">
        <v>719</v>
      </c>
      <c r="B6639" s="52" t="s">
        <v>37</v>
      </c>
      <c r="C6639" s="52" t="s">
        <v>79</v>
      </c>
      <c r="D6639" s="52" t="s">
        <v>79</v>
      </c>
      <c r="E6639" s="52" t="s">
        <v>584</v>
      </c>
      <c r="F6639" s="52" t="s">
        <v>26</v>
      </c>
      <c r="G6639" s="195" t="s">
        <v>275</v>
      </c>
      <c r="H6639" s="195"/>
      <c r="I6639" s="195">
        <v>0</v>
      </c>
      <c r="J6639" s="195">
        <v>-6.2605510000000004</v>
      </c>
      <c r="K6639" s="195">
        <v>0</v>
      </c>
      <c r="L6639" s="195"/>
      <c r="M6639" s="195">
        <v>0</v>
      </c>
      <c r="N6639" s="195"/>
    </row>
    <row r="6640" spans="1:14" hidden="1" x14ac:dyDescent="0.35">
      <c r="A6640" s="52" t="s">
        <v>719</v>
      </c>
      <c r="B6640" s="52" t="s">
        <v>37</v>
      </c>
      <c r="C6640" s="52" t="s">
        <v>79</v>
      </c>
      <c r="D6640" s="52" t="s">
        <v>79</v>
      </c>
      <c r="E6640" s="52" t="s">
        <v>584</v>
      </c>
      <c r="F6640" s="52" t="s">
        <v>26</v>
      </c>
      <c r="G6640" s="195" t="s">
        <v>276</v>
      </c>
      <c r="H6640" s="195"/>
      <c r="I6640" s="195">
        <v>0</v>
      </c>
      <c r="J6640" s="195">
        <v>-1.6641980000000001</v>
      </c>
      <c r="K6640" s="195">
        <v>0</v>
      </c>
      <c r="L6640" s="195"/>
      <c r="M6640" s="195">
        <v>0</v>
      </c>
      <c r="N6640" s="195"/>
    </row>
    <row r="6641" spans="1:14" hidden="1" x14ac:dyDescent="0.35">
      <c r="A6641" s="52" t="s">
        <v>719</v>
      </c>
      <c r="B6641" s="52" t="s">
        <v>37</v>
      </c>
      <c r="C6641" s="52" t="s">
        <v>79</v>
      </c>
      <c r="D6641" s="52" t="s">
        <v>79</v>
      </c>
      <c r="E6641" s="52" t="s">
        <v>584</v>
      </c>
      <c r="F6641" s="52" t="s">
        <v>26</v>
      </c>
      <c r="G6641" s="195" t="s">
        <v>279</v>
      </c>
      <c r="H6641" s="195"/>
      <c r="I6641" s="195">
        <v>0</v>
      </c>
      <c r="J6641" s="195">
        <v>7.9247490000000003</v>
      </c>
      <c r="K6641" s="195">
        <v>0</v>
      </c>
      <c r="L6641" s="195"/>
      <c r="M6641" s="195">
        <v>0</v>
      </c>
      <c r="N6641" s="195"/>
    </row>
    <row r="6642" spans="1:14" hidden="1" x14ac:dyDescent="0.35">
      <c r="A6642" s="52" t="s">
        <v>719</v>
      </c>
      <c r="B6642" s="52" t="s">
        <v>37</v>
      </c>
      <c r="C6642" s="52" t="s">
        <v>204</v>
      </c>
      <c r="D6642" s="52" t="s">
        <v>204</v>
      </c>
      <c r="E6642" s="52" t="s">
        <v>720</v>
      </c>
      <c r="F6642" s="52" t="s">
        <v>581</v>
      </c>
      <c r="G6642" s="195" t="s">
        <v>275</v>
      </c>
      <c r="H6642" s="195"/>
      <c r="I6642" s="195"/>
      <c r="J6642" s="195"/>
      <c r="K6642" s="195"/>
      <c r="L6642" s="195">
        <v>0</v>
      </c>
      <c r="M6642" s="195">
        <v>0</v>
      </c>
      <c r="N6642" s="195">
        <v>0</v>
      </c>
    </row>
    <row r="6643" spans="1:14" hidden="1" x14ac:dyDescent="0.35">
      <c r="A6643" s="52" t="s">
        <v>719</v>
      </c>
      <c r="B6643" s="52" t="s">
        <v>37</v>
      </c>
      <c r="C6643" s="52" t="s">
        <v>109</v>
      </c>
      <c r="D6643" s="52" t="s">
        <v>109</v>
      </c>
      <c r="E6643" s="52" t="s">
        <v>584</v>
      </c>
      <c r="F6643" s="52" t="s">
        <v>581</v>
      </c>
      <c r="G6643" s="195" t="s">
        <v>275</v>
      </c>
      <c r="H6643" s="195">
        <v>0</v>
      </c>
      <c r="I6643" s="195"/>
      <c r="J6643" s="195"/>
      <c r="K6643" s="195"/>
      <c r="L6643" s="195"/>
      <c r="M6643" s="195"/>
      <c r="N6643" s="195"/>
    </row>
    <row r="6644" spans="1:14" hidden="1" x14ac:dyDescent="0.35">
      <c r="A6644" s="52" t="s">
        <v>719</v>
      </c>
      <c r="B6644" s="52" t="s">
        <v>37</v>
      </c>
      <c r="C6644" s="52" t="s">
        <v>204</v>
      </c>
      <c r="D6644" s="52" t="s">
        <v>204</v>
      </c>
      <c r="E6644" s="52" t="s">
        <v>720</v>
      </c>
      <c r="F6644" s="52" t="s">
        <v>581</v>
      </c>
      <c r="G6644" s="195" t="s">
        <v>276</v>
      </c>
      <c r="H6644" s="195"/>
      <c r="I6644" s="195"/>
      <c r="J6644" s="195"/>
      <c r="K6644" s="195"/>
      <c r="L6644" s="195">
        <v>0</v>
      </c>
      <c r="M6644" s="195">
        <v>0</v>
      </c>
      <c r="N6644" s="195">
        <v>0</v>
      </c>
    </row>
    <row r="6645" spans="1:14" hidden="1" x14ac:dyDescent="0.35">
      <c r="A6645" s="52" t="s">
        <v>719</v>
      </c>
      <c r="B6645" s="52" t="s">
        <v>37</v>
      </c>
      <c r="C6645" s="52" t="s">
        <v>109</v>
      </c>
      <c r="D6645" s="52" t="s">
        <v>109</v>
      </c>
      <c r="E6645" s="52" t="s">
        <v>584</v>
      </c>
      <c r="F6645" s="52" t="s">
        <v>581</v>
      </c>
      <c r="G6645" s="195" t="s">
        <v>276</v>
      </c>
      <c r="H6645" s="195">
        <v>0</v>
      </c>
      <c r="I6645" s="195"/>
      <c r="J6645" s="195"/>
      <c r="K6645" s="195"/>
      <c r="L6645" s="195"/>
      <c r="M6645" s="195"/>
      <c r="N6645" s="195"/>
    </row>
    <row r="6646" spans="1:14" hidden="1" x14ac:dyDescent="0.35">
      <c r="A6646" s="52" t="s">
        <v>719</v>
      </c>
      <c r="B6646" s="52" t="s">
        <v>37</v>
      </c>
      <c r="C6646" s="52" t="s">
        <v>204</v>
      </c>
      <c r="D6646" s="52" t="s">
        <v>204</v>
      </c>
      <c r="E6646" s="52" t="s">
        <v>720</v>
      </c>
      <c r="F6646" s="52" t="s">
        <v>581</v>
      </c>
      <c r="G6646" s="195" t="s">
        <v>279</v>
      </c>
      <c r="H6646" s="195"/>
      <c r="I6646" s="195"/>
      <c r="J6646" s="195"/>
      <c r="K6646" s="195"/>
      <c r="L6646" s="195">
        <v>0</v>
      </c>
      <c r="M6646" s="195">
        <v>0</v>
      </c>
      <c r="N6646" s="195">
        <v>0</v>
      </c>
    </row>
    <row r="6647" spans="1:14" hidden="1" x14ac:dyDescent="0.35">
      <c r="A6647" s="52" t="s">
        <v>719</v>
      </c>
      <c r="B6647" s="52" t="s">
        <v>37</v>
      </c>
      <c r="C6647" s="52" t="s">
        <v>109</v>
      </c>
      <c r="D6647" s="52" t="s">
        <v>109</v>
      </c>
      <c r="E6647" s="52" t="s">
        <v>584</v>
      </c>
      <c r="F6647" s="52" t="s">
        <v>581</v>
      </c>
      <c r="G6647" s="195" t="s">
        <v>279</v>
      </c>
      <c r="H6647" s="195">
        <v>0</v>
      </c>
      <c r="I6647" s="195"/>
      <c r="J6647" s="195"/>
      <c r="K6647" s="195"/>
      <c r="L6647" s="195"/>
      <c r="M6647" s="195"/>
      <c r="N6647" s="195"/>
    </row>
    <row r="6648" spans="1:14" hidden="1" x14ac:dyDescent="0.35">
      <c r="A6648" s="52" t="s">
        <v>719</v>
      </c>
      <c r="B6648" s="52" t="s">
        <v>37</v>
      </c>
      <c r="C6648" s="52" t="s">
        <v>204</v>
      </c>
      <c r="D6648" s="52" t="s">
        <v>204</v>
      </c>
      <c r="E6648" s="52" t="s">
        <v>720</v>
      </c>
      <c r="F6648" s="52" t="s">
        <v>26</v>
      </c>
      <c r="G6648" s="195" t="s">
        <v>275</v>
      </c>
      <c r="H6648" s="195"/>
      <c r="I6648" s="195"/>
      <c r="J6648" s="195"/>
      <c r="K6648" s="195"/>
      <c r="L6648" s="195">
        <v>0</v>
      </c>
      <c r="M6648" s="195">
        <v>0</v>
      </c>
      <c r="N6648" s="195">
        <v>0</v>
      </c>
    </row>
    <row r="6649" spans="1:14" hidden="1" x14ac:dyDescent="0.35">
      <c r="A6649" s="52" t="s">
        <v>719</v>
      </c>
      <c r="B6649" s="52" t="s">
        <v>37</v>
      </c>
      <c r="C6649" s="52" t="s">
        <v>109</v>
      </c>
      <c r="D6649" s="52" t="s">
        <v>109</v>
      </c>
      <c r="E6649" s="52" t="s">
        <v>584</v>
      </c>
      <c r="F6649" s="52" t="s">
        <v>26</v>
      </c>
      <c r="G6649" s="195" t="s">
        <v>275</v>
      </c>
      <c r="H6649" s="195">
        <v>0</v>
      </c>
      <c r="I6649" s="195"/>
      <c r="J6649" s="195"/>
      <c r="K6649" s="195"/>
      <c r="L6649" s="195"/>
      <c r="M6649" s="195"/>
      <c r="N6649" s="195"/>
    </row>
    <row r="6650" spans="1:14" hidden="1" x14ac:dyDescent="0.35">
      <c r="A6650" s="52" t="s">
        <v>719</v>
      </c>
      <c r="B6650" s="52" t="s">
        <v>37</v>
      </c>
      <c r="C6650" s="52" t="s">
        <v>95</v>
      </c>
      <c r="D6650" s="52" t="s">
        <v>95</v>
      </c>
      <c r="E6650" s="52" t="s">
        <v>721</v>
      </c>
      <c r="F6650" s="52" t="s">
        <v>26</v>
      </c>
      <c r="G6650" s="195" t="s">
        <v>275</v>
      </c>
      <c r="H6650" s="195"/>
      <c r="I6650" s="195"/>
      <c r="J6650" s="195"/>
      <c r="K6650" s="195"/>
      <c r="L6650" s="195">
        <v>0</v>
      </c>
      <c r="M6650" s="195">
        <v>0</v>
      </c>
      <c r="N6650" s="195">
        <v>0</v>
      </c>
    </row>
    <row r="6651" spans="1:14" hidden="1" x14ac:dyDescent="0.35">
      <c r="A6651" s="52" t="s">
        <v>719</v>
      </c>
      <c r="B6651" s="52" t="s">
        <v>37</v>
      </c>
      <c r="C6651" s="52" t="s">
        <v>95</v>
      </c>
      <c r="D6651" s="52" t="s">
        <v>95</v>
      </c>
      <c r="E6651" s="52" t="s">
        <v>721</v>
      </c>
      <c r="F6651" s="52" t="s">
        <v>26</v>
      </c>
      <c r="G6651" s="195" t="s">
        <v>276</v>
      </c>
      <c r="H6651" s="195"/>
      <c r="I6651" s="195"/>
      <c r="J6651" s="195"/>
      <c r="K6651" s="195"/>
      <c r="L6651" s="195">
        <v>0</v>
      </c>
      <c r="M6651" s="195">
        <v>0</v>
      </c>
      <c r="N6651" s="195">
        <v>0</v>
      </c>
    </row>
    <row r="6652" spans="1:14" hidden="1" x14ac:dyDescent="0.35">
      <c r="A6652" s="52" t="s">
        <v>719</v>
      </c>
      <c r="B6652" s="52" t="s">
        <v>37</v>
      </c>
      <c r="C6652" s="52" t="s">
        <v>204</v>
      </c>
      <c r="D6652" s="52" t="s">
        <v>204</v>
      </c>
      <c r="E6652" s="52" t="s">
        <v>720</v>
      </c>
      <c r="F6652" s="52" t="s">
        <v>26</v>
      </c>
      <c r="G6652" s="195" t="s">
        <v>276</v>
      </c>
      <c r="H6652" s="195"/>
      <c r="I6652" s="195"/>
      <c r="J6652" s="195"/>
      <c r="K6652" s="195"/>
      <c r="L6652" s="195">
        <v>0</v>
      </c>
      <c r="M6652" s="195">
        <v>0</v>
      </c>
      <c r="N6652" s="195">
        <v>0</v>
      </c>
    </row>
    <row r="6653" spans="1:14" hidden="1" x14ac:dyDescent="0.35">
      <c r="A6653" s="52" t="s">
        <v>719</v>
      </c>
      <c r="B6653" s="52" t="s">
        <v>37</v>
      </c>
      <c r="C6653" s="52" t="s">
        <v>109</v>
      </c>
      <c r="D6653" s="52" t="s">
        <v>109</v>
      </c>
      <c r="E6653" s="52" t="s">
        <v>584</v>
      </c>
      <c r="F6653" s="52" t="s">
        <v>26</v>
      </c>
      <c r="G6653" s="195" t="s">
        <v>276</v>
      </c>
      <c r="H6653" s="195">
        <v>0</v>
      </c>
      <c r="I6653" s="195"/>
      <c r="J6653" s="195"/>
      <c r="K6653" s="195"/>
      <c r="L6653" s="195"/>
      <c r="M6653" s="195"/>
      <c r="N6653" s="195"/>
    </row>
    <row r="6654" spans="1:14" hidden="1" x14ac:dyDescent="0.35">
      <c r="A6654" s="52" t="s">
        <v>719</v>
      </c>
      <c r="B6654" s="52" t="s">
        <v>37</v>
      </c>
      <c r="C6654" s="52" t="s">
        <v>95</v>
      </c>
      <c r="D6654" s="52" t="s">
        <v>95</v>
      </c>
      <c r="E6654" s="52" t="s">
        <v>721</v>
      </c>
      <c r="F6654" s="52" t="s">
        <v>26</v>
      </c>
      <c r="G6654" s="195" t="s">
        <v>277</v>
      </c>
      <c r="H6654" s="195"/>
      <c r="I6654" s="195"/>
      <c r="J6654" s="195"/>
      <c r="K6654" s="195"/>
      <c r="L6654" s="195">
        <v>0</v>
      </c>
      <c r="M6654" s="195">
        <v>0</v>
      </c>
      <c r="N6654" s="195">
        <v>0</v>
      </c>
    </row>
    <row r="6655" spans="1:14" hidden="1" x14ac:dyDescent="0.35">
      <c r="A6655" s="52" t="s">
        <v>719</v>
      </c>
      <c r="B6655" s="52" t="s">
        <v>37</v>
      </c>
      <c r="C6655" s="52" t="s">
        <v>204</v>
      </c>
      <c r="D6655" s="52" t="s">
        <v>204</v>
      </c>
      <c r="E6655" s="52" t="s">
        <v>720</v>
      </c>
      <c r="F6655" s="52" t="s">
        <v>26</v>
      </c>
      <c r="G6655" s="195" t="s">
        <v>277</v>
      </c>
      <c r="H6655" s="195"/>
      <c r="I6655" s="195"/>
      <c r="J6655" s="195"/>
      <c r="K6655" s="195"/>
      <c r="L6655" s="195">
        <v>0</v>
      </c>
      <c r="M6655" s="195">
        <v>0</v>
      </c>
      <c r="N6655" s="195">
        <v>0</v>
      </c>
    </row>
    <row r="6656" spans="1:14" hidden="1" x14ac:dyDescent="0.35">
      <c r="A6656" s="52" t="s">
        <v>719</v>
      </c>
      <c r="B6656" s="52" t="s">
        <v>37</v>
      </c>
      <c r="C6656" s="52" t="s">
        <v>95</v>
      </c>
      <c r="D6656" s="52" t="s">
        <v>95</v>
      </c>
      <c r="E6656" s="52" t="s">
        <v>721</v>
      </c>
      <c r="F6656" s="52" t="s">
        <v>26</v>
      </c>
      <c r="G6656" s="195" t="s">
        <v>279</v>
      </c>
      <c r="H6656" s="195"/>
      <c r="I6656" s="195"/>
      <c r="J6656" s="195"/>
      <c r="K6656" s="195"/>
      <c r="L6656" s="195">
        <v>0</v>
      </c>
      <c r="M6656" s="195">
        <v>0</v>
      </c>
      <c r="N6656" s="195">
        <v>0</v>
      </c>
    </row>
    <row r="6657" spans="1:14" hidden="1" x14ac:dyDescent="0.35">
      <c r="A6657" s="52" t="s">
        <v>719</v>
      </c>
      <c r="B6657" s="52" t="s">
        <v>37</v>
      </c>
      <c r="C6657" s="52" t="s">
        <v>109</v>
      </c>
      <c r="D6657" s="52" t="s">
        <v>109</v>
      </c>
      <c r="E6657" s="52" t="s">
        <v>584</v>
      </c>
      <c r="F6657" s="52" t="s">
        <v>26</v>
      </c>
      <c r="G6657" s="195" t="s">
        <v>279</v>
      </c>
      <c r="H6657" s="195">
        <v>0</v>
      </c>
      <c r="I6657" s="195"/>
      <c r="J6657" s="195"/>
      <c r="K6657" s="195"/>
      <c r="L6657" s="195"/>
      <c r="M6657" s="195"/>
      <c r="N6657" s="195"/>
    </row>
    <row r="6658" spans="1:14" hidden="1" x14ac:dyDescent="0.35">
      <c r="A6658" s="52" t="s">
        <v>719</v>
      </c>
      <c r="B6658" s="52" t="s">
        <v>37</v>
      </c>
      <c r="C6658" s="52" t="s">
        <v>204</v>
      </c>
      <c r="D6658" s="52" t="s">
        <v>204</v>
      </c>
      <c r="E6658" s="52" t="s">
        <v>720</v>
      </c>
      <c r="F6658" s="52" t="s">
        <v>26</v>
      </c>
      <c r="G6658" s="195" t="s">
        <v>279</v>
      </c>
      <c r="H6658" s="195"/>
      <c r="I6658" s="195"/>
      <c r="J6658" s="195"/>
      <c r="K6658" s="195"/>
      <c r="L6658" s="195">
        <v>0</v>
      </c>
      <c r="M6658" s="195">
        <v>0</v>
      </c>
      <c r="N6658" s="195">
        <v>0</v>
      </c>
    </row>
    <row r="6659" spans="1:14" hidden="1" x14ac:dyDescent="0.35">
      <c r="A6659" s="52" t="s">
        <v>748</v>
      </c>
      <c r="B6659" s="52" t="s">
        <v>74</v>
      </c>
      <c r="C6659" s="52" t="s">
        <v>71</v>
      </c>
      <c r="D6659" s="52" t="s">
        <v>77</v>
      </c>
      <c r="E6659" s="52" t="s">
        <v>584</v>
      </c>
      <c r="F6659" s="52" t="s">
        <v>581</v>
      </c>
      <c r="G6659" s="195" t="s">
        <v>275</v>
      </c>
      <c r="H6659" s="195">
        <v>70.433139999999995</v>
      </c>
      <c r="I6659" s="195">
        <v>-39.19041</v>
      </c>
      <c r="J6659" s="195">
        <v>-35.458210000000001</v>
      </c>
      <c r="K6659" s="195">
        <v>-40.432090000000002</v>
      </c>
      <c r="L6659" s="195">
        <v>-44.851700000000001</v>
      </c>
      <c r="M6659" s="195">
        <v>-35.446240000000003</v>
      </c>
      <c r="N6659" s="195">
        <v>-78.818039999999996</v>
      </c>
    </row>
    <row r="6660" spans="1:14" hidden="1" x14ac:dyDescent="0.35">
      <c r="A6660" s="52" t="s">
        <v>748</v>
      </c>
      <c r="B6660" s="52" t="s">
        <v>74</v>
      </c>
      <c r="C6660" s="52" t="s">
        <v>71</v>
      </c>
      <c r="D6660" s="52" t="s">
        <v>77</v>
      </c>
      <c r="E6660" s="52" t="s">
        <v>584</v>
      </c>
      <c r="F6660" s="52" t="s">
        <v>581</v>
      </c>
      <c r="G6660" s="195" t="s">
        <v>276</v>
      </c>
      <c r="H6660" s="195">
        <v>37.94753</v>
      </c>
      <c r="I6660" s="195">
        <v>-29.970130000000001</v>
      </c>
      <c r="J6660" s="195">
        <v>-25.847280000000001</v>
      </c>
      <c r="K6660" s="195">
        <v>-28.23499</v>
      </c>
      <c r="L6660" s="195">
        <v>-30.64639</v>
      </c>
      <c r="M6660" s="195">
        <v>-23.715409999999999</v>
      </c>
      <c r="N6660" s="195">
        <v>-52.612189999999998</v>
      </c>
    </row>
    <row r="6661" spans="1:14" hidden="1" x14ac:dyDescent="0.35">
      <c r="A6661" s="52" t="s">
        <v>748</v>
      </c>
      <c r="B6661" s="52" t="s">
        <v>74</v>
      </c>
      <c r="C6661" s="52" t="s">
        <v>71</v>
      </c>
      <c r="D6661" s="52" t="s">
        <v>77</v>
      </c>
      <c r="E6661" s="52" t="s">
        <v>584</v>
      </c>
      <c r="F6661" s="52" t="s">
        <v>581</v>
      </c>
      <c r="G6661" s="195" t="s">
        <v>277</v>
      </c>
      <c r="H6661" s="195">
        <v>86.475909999999999</v>
      </c>
      <c r="I6661" s="195">
        <v>37.194540000000003</v>
      </c>
      <c r="J6661" s="195">
        <v>20.55988</v>
      </c>
      <c r="K6661" s="195">
        <v>11.64897</v>
      </c>
      <c r="L6661" s="195">
        <v>6.51288</v>
      </c>
      <c r="M6661" s="195">
        <v>0</v>
      </c>
      <c r="N6661" s="195">
        <v>0</v>
      </c>
    </row>
    <row r="6662" spans="1:14" hidden="1" x14ac:dyDescent="0.35">
      <c r="A6662" s="52" t="s">
        <v>748</v>
      </c>
      <c r="B6662" s="52" t="s">
        <v>74</v>
      </c>
      <c r="C6662" s="52" t="s">
        <v>71</v>
      </c>
      <c r="D6662" s="52" t="s">
        <v>77</v>
      </c>
      <c r="E6662" s="52" t="s">
        <v>584</v>
      </c>
      <c r="F6662" s="52" t="s">
        <v>581</v>
      </c>
      <c r="G6662" s="195" t="s">
        <v>278</v>
      </c>
      <c r="H6662" s="195">
        <v>7.9223290000000002E-2</v>
      </c>
      <c r="I6662" s="195">
        <v>0.10817880000000001</v>
      </c>
      <c r="J6662" s="195">
        <v>6.6824770000000006E-2</v>
      </c>
      <c r="K6662" s="195">
        <v>6.6824770000000006E-2</v>
      </c>
      <c r="L6662" s="195">
        <v>6.6824770000000006E-2</v>
      </c>
      <c r="M6662" s="195">
        <v>6.6824770000000006E-2</v>
      </c>
      <c r="N6662" s="195">
        <v>6.6824770000000006E-2</v>
      </c>
    </row>
    <row r="6663" spans="1:14" hidden="1" x14ac:dyDescent="0.35">
      <c r="A6663" s="52" t="s">
        <v>748</v>
      </c>
      <c r="B6663" s="52" t="s">
        <v>74</v>
      </c>
      <c r="C6663" s="52" t="s">
        <v>71</v>
      </c>
      <c r="D6663" s="52" t="s">
        <v>77</v>
      </c>
      <c r="E6663" s="52" t="s">
        <v>584</v>
      </c>
      <c r="F6663" s="52" t="s">
        <v>581</v>
      </c>
      <c r="G6663" s="195" t="s">
        <v>279</v>
      </c>
      <c r="H6663" s="195">
        <v>373.87220000000002</v>
      </c>
      <c r="I6663" s="195">
        <v>176.5446</v>
      </c>
      <c r="J6663" s="195">
        <v>169.428</v>
      </c>
      <c r="K6663" s="195">
        <v>191.0241</v>
      </c>
      <c r="L6663" s="195">
        <v>211.57159999999999</v>
      </c>
      <c r="M6663" s="195">
        <v>200.25309999999999</v>
      </c>
      <c r="N6663" s="195">
        <v>238.06610000000001</v>
      </c>
    </row>
    <row r="6664" spans="1:14" hidden="1" x14ac:dyDescent="0.35">
      <c r="A6664" s="52" t="s">
        <v>748</v>
      </c>
      <c r="B6664" s="52" t="s">
        <v>74</v>
      </c>
      <c r="C6664" s="52" t="s">
        <v>71</v>
      </c>
      <c r="D6664" s="52" t="s">
        <v>77</v>
      </c>
      <c r="E6664" s="52" t="s">
        <v>584</v>
      </c>
      <c r="F6664" s="52" t="s">
        <v>26</v>
      </c>
      <c r="G6664" s="195" t="s">
        <v>275</v>
      </c>
      <c r="H6664" s="195">
        <v>18.783169999999998</v>
      </c>
      <c r="I6664" s="195">
        <v>11.428710000000001</v>
      </c>
      <c r="J6664" s="195">
        <v>13.12053</v>
      </c>
      <c r="K6664" s="195">
        <v>13.335459999999999</v>
      </c>
      <c r="L6664" s="195">
        <v>14.55982</v>
      </c>
      <c r="M6664" s="195">
        <v>13.22781</v>
      </c>
      <c r="N6664" s="195">
        <v>10.612550000000001</v>
      </c>
    </row>
    <row r="6665" spans="1:14" hidden="1" x14ac:dyDescent="0.35">
      <c r="A6665" s="52" t="s">
        <v>748</v>
      </c>
      <c r="B6665" s="52" t="s">
        <v>74</v>
      </c>
      <c r="C6665" s="52" t="s">
        <v>71</v>
      </c>
      <c r="D6665" s="52" t="s">
        <v>77</v>
      </c>
      <c r="E6665" s="52" t="s">
        <v>584</v>
      </c>
      <c r="F6665" s="52" t="s">
        <v>26</v>
      </c>
      <c r="G6665" s="195" t="s">
        <v>276</v>
      </c>
      <c r="H6665" s="195">
        <v>12.52211</v>
      </c>
      <c r="I6665" s="195">
        <v>7.6191420000000001</v>
      </c>
      <c r="J6665" s="195">
        <v>8.7470230000000004</v>
      </c>
      <c r="K6665" s="195">
        <v>8.8903110000000005</v>
      </c>
      <c r="L6665" s="195">
        <v>9.7065649999999994</v>
      </c>
      <c r="M6665" s="195">
        <v>8.8185369999999992</v>
      </c>
      <c r="N6665" s="195">
        <v>7.0750299999999999</v>
      </c>
    </row>
    <row r="6666" spans="1:14" hidden="1" x14ac:dyDescent="0.35">
      <c r="A6666" s="52" t="s">
        <v>748</v>
      </c>
      <c r="B6666" s="52" t="s">
        <v>74</v>
      </c>
      <c r="C6666" s="52" t="s">
        <v>71</v>
      </c>
      <c r="D6666" s="52" t="s">
        <v>77</v>
      </c>
      <c r="E6666" s="52" t="s">
        <v>584</v>
      </c>
      <c r="F6666" s="52" t="s">
        <v>26</v>
      </c>
      <c r="G6666" s="195" t="s">
        <v>277</v>
      </c>
      <c r="H6666" s="195"/>
      <c r="I6666" s="195"/>
      <c r="J6666" s="195"/>
      <c r="K6666" s="195">
        <v>0</v>
      </c>
      <c r="L6666" s="195">
        <v>0</v>
      </c>
      <c r="M6666" s="195">
        <v>0</v>
      </c>
      <c r="N6666" s="195">
        <v>0</v>
      </c>
    </row>
    <row r="6667" spans="1:14" hidden="1" x14ac:dyDescent="0.35">
      <c r="A6667" s="52" t="s">
        <v>748</v>
      </c>
      <c r="B6667" s="52" t="s">
        <v>74</v>
      </c>
      <c r="C6667" s="52" t="s">
        <v>71</v>
      </c>
      <c r="D6667" s="52" t="s">
        <v>77</v>
      </c>
      <c r="E6667" s="52" t="s">
        <v>584</v>
      </c>
      <c r="F6667" s="52" t="s">
        <v>26</v>
      </c>
      <c r="G6667" s="195" t="s">
        <v>279</v>
      </c>
      <c r="H6667" s="195">
        <v>16.470549999999999</v>
      </c>
      <c r="I6667" s="195">
        <v>14.367330000000001</v>
      </c>
      <c r="J6667" s="195">
        <v>15.896420000000001</v>
      </c>
      <c r="K6667" s="195">
        <v>18.127289999999999</v>
      </c>
      <c r="L6667" s="195">
        <v>19.829260000000001</v>
      </c>
      <c r="M6667" s="195">
        <v>17.9895</v>
      </c>
      <c r="N6667" s="195">
        <v>14.3851</v>
      </c>
    </row>
    <row r="6668" spans="1:14" hidden="1" x14ac:dyDescent="0.35">
      <c r="A6668" s="52" t="s">
        <v>748</v>
      </c>
      <c r="B6668" s="52" t="s">
        <v>74</v>
      </c>
      <c r="C6668" s="52" t="s">
        <v>71</v>
      </c>
      <c r="D6668" s="52" t="s">
        <v>76</v>
      </c>
      <c r="E6668" s="52" t="s">
        <v>584</v>
      </c>
      <c r="F6668" s="52" t="s">
        <v>581</v>
      </c>
      <c r="G6668" s="195" t="s">
        <v>275</v>
      </c>
      <c r="H6668" s="195">
        <v>0.2829296</v>
      </c>
      <c r="I6668" s="195">
        <v>-2.4471699999999998</v>
      </c>
      <c r="J6668" s="195">
        <v>-0.26546999999999998</v>
      </c>
      <c r="K6668" s="195">
        <v>-0.32705269999999997</v>
      </c>
      <c r="L6668" s="195">
        <v>0</v>
      </c>
      <c r="M6668" s="195">
        <v>0</v>
      </c>
      <c r="N6668" s="195">
        <v>0</v>
      </c>
    </row>
    <row r="6669" spans="1:14" hidden="1" x14ac:dyDescent="0.35">
      <c r="A6669" s="52" t="s">
        <v>748</v>
      </c>
      <c r="B6669" s="52" t="s">
        <v>74</v>
      </c>
      <c r="C6669" s="52" t="s">
        <v>71</v>
      </c>
      <c r="D6669" s="52" t="s">
        <v>76</v>
      </c>
      <c r="E6669" s="52" t="s">
        <v>584</v>
      </c>
      <c r="F6669" s="52" t="s">
        <v>581</v>
      </c>
      <c r="G6669" s="195" t="s">
        <v>276</v>
      </c>
      <c r="H6669" s="195">
        <v>0.17064989999999999</v>
      </c>
      <c r="I6669" s="195">
        <v>-1.6314439999999999</v>
      </c>
      <c r="J6669" s="195">
        <v>-0.25512820000000003</v>
      </c>
      <c r="K6669" s="195">
        <v>-0.29618250000000002</v>
      </c>
      <c r="L6669" s="195">
        <v>-7.8147019999999998E-2</v>
      </c>
      <c r="M6669" s="195">
        <v>-7.8146030000000005E-2</v>
      </c>
      <c r="N6669" s="195">
        <v>-1.026518</v>
      </c>
    </row>
    <row r="6670" spans="1:14" hidden="1" x14ac:dyDescent="0.35">
      <c r="A6670" s="52" t="s">
        <v>748</v>
      </c>
      <c r="B6670" s="52" t="s">
        <v>74</v>
      </c>
      <c r="C6670" s="52" t="s">
        <v>71</v>
      </c>
      <c r="D6670" s="52" t="s">
        <v>76</v>
      </c>
      <c r="E6670" s="52" t="s">
        <v>584</v>
      </c>
      <c r="F6670" s="52" t="s">
        <v>581</v>
      </c>
      <c r="G6670" s="195" t="s">
        <v>277</v>
      </c>
      <c r="H6670" s="195">
        <v>0.17251920000000001</v>
      </c>
      <c r="I6670" s="195"/>
      <c r="J6670" s="195"/>
      <c r="K6670" s="195"/>
      <c r="L6670" s="195"/>
      <c r="M6670" s="195">
        <v>0</v>
      </c>
      <c r="N6670" s="195"/>
    </row>
    <row r="6671" spans="1:14" hidden="1" x14ac:dyDescent="0.35">
      <c r="A6671" s="52" t="s">
        <v>748</v>
      </c>
      <c r="B6671" s="52" t="s">
        <v>74</v>
      </c>
      <c r="C6671" s="52" t="s">
        <v>71</v>
      </c>
      <c r="D6671" s="52" t="s">
        <v>76</v>
      </c>
      <c r="E6671" s="52" t="s">
        <v>584</v>
      </c>
      <c r="F6671" s="52" t="s">
        <v>581</v>
      </c>
      <c r="G6671" s="195" t="s">
        <v>278</v>
      </c>
      <c r="H6671" s="195">
        <v>5.7228370000000001E-2</v>
      </c>
      <c r="I6671" s="195">
        <v>3.725409</v>
      </c>
      <c r="J6671" s="195">
        <v>7.814662E-2</v>
      </c>
      <c r="K6671" s="195">
        <v>7.814662E-2</v>
      </c>
      <c r="L6671" s="195">
        <v>7.814662E-2</v>
      </c>
      <c r="M6671" s="195">
        <v>7.814662E-2</v>
      </c>
      <c r="N6671" s="195">
        <v>1.026519</v>
      </c>
    </row>
    <row r="6672" spans="1:14" hidden="1" x14ac:dyDescent="0.35">
      <c r="A6672" s="52" t="s">
        <v>748</v>
      </c>
      <c r="B6672" s="52" t="s">
        <v>74</v>
      </c>
      <c r="C6672" s="52" t="s">
        <v>71</v>
      </c>
      <c r="D6672" s="52" t="s">
        <v>76</v>
      </c>
      <c r="E6672" s="52" t="s">
        <v>584</v>
      </c>
      <c r="F6672" s="52" t="s">
        <v>581</v>
      </c>
      <c r="G6672" s="195" t="s">
        <v>279</v>
      </c>
      <c r="H6672" s="195">
        <v>1.1855450000000001</v>
      </c>
      <c r="I6672" s="195">
        <v>1.0033240000000001</v>
      </c>
      <c r="J6672" s="195">
        <v>1.016642</v>
      </c>
      <c r="K6672" s="195">
        <v>0.95970480000000002</v>
      </c>
      <c r="L6672" s="195"/>
      <c r="M6672" s="195"/>
      <c r="N6672" s="195">
        <v>0</v>
      </c>
    </row>
    <row r="6673" spans="1:14" hidden="1" x14ac:dyDescent="0.35">
      <c r="A6673" s="52" t="s">
        <v>748</v>
      </c>
      <c r="B6673" s="52" t="s">
        <v>74</v>
      </c>
      <c r="C6673" s="52" t="s">
        <v>71</v>
      </c>
      <c r="D6673" s="52" t="s">
        <v>140</v>
      </c>
      <c r="E6673" s="52" t="s">
        <v>584</v>
      </c>
      <c r="F6673" s="52" t="s">
        <v>581</v>
      </c>
      <c r="G6673" s="195" t="s">
        <v>275</v>
      </c>
      <c r="H6673" s="195">
        <v>-6.7496580000000004E-3</v>
      </c>
      <c r="I6673" s="195">
        <v>-9.2167440000000007E-3</v>
      </c>
      <c r="J6673" s="195">
        <v>0</v>
      </c>
      <c r="K6673" s="195">
        <v>0</v>
      </c>
      <c r="L6673" s="195">
        <v>0</v>
      </c>
      <c r="M6673" s="195">
        <v>0</v>
      </c>
      <c r="N6673" s="195">
        <v>0</v>
      </c>
    </row>
    <row r="6674" spans="1:14" hidden="1" x14ac:dyDescent="0.35">
      <c r="A6674" s="52" t="s">
        <v>748</v>
      </c>
      <c r="B6674" s="52" t="s">
        <v>74</v>
      </c>
      <c r="C6674" s="52" t="s">
        <v>71</v>
      </c>
      <c r="D6674" s="52" t="s">
        <v>140</v>
      </c>
      <c r="E6674" s="52" t="s">
        <v>584</v>
      </c>
      <c r="F6674" s="52" t="s">
        <v>581</v>
      </c>
      <c r="G6674" s="195" t="s">
        <v>276</v>
      </c>
      <c r="H6674" s="195">
        <v>-4.4995499999999997E-3</v>
      </c>
      <c r="I6674" s="195">
        <v>-6.1447189999999999E-3</v>
      </c>
      <c r="J6674" s="195">
        <v>-1.5361130000000001E-2</v>
      </c>
      <c r="K6674" s="195">
        <v>-1.5360800000000001E-2</v>
      </c>
      <c r="L6674" s="195">
        <v>-1.536146E-2</v>
      </c>
      <c r="M6674" s="195">
        <v>-1.5360459999999999E-2</v>
      </c>
      <c r="N6674" s="195">
        <v>-5.9672040000000003E-2</v>
      </c>
    </row>
    <row r="6675" spans="1:14" hidden="1" x14ac:dyDescent="0.35">
      <c r="A6675" s="52" t="s">
        <v>748</v>
      </c>
      <c r="B6675" s="52" t="s">
        <v>74</v>
      </c>
      <c r="C6675" s="52" t="s">
        <v>71</v>
      </c>
      <c r="D6675" s="52" t="s">
        <v>140</v>
      </c>
      <c r="E6675" s="52" t="s">
        <v>584</v>
      </c>
      <c r="F6675" s="52" t="s">
        <v>581</v>
      </c>
      <c r="G6675" s="195" t="s">
        <v>277</v>
      </c>
      <c r="H6675" s="195"/>
      <c r="I6675" s="195"/>
      <c r="J6675" s="195"/>
      <c r="K6675" s="195"/>
      <c r="L6675" s="195"/>
      <c r="M6675" s="195">
        <v>0</v>
      </c>
      <c r="N6675" s="195">
        <v>3.6193049999999997E-2</v>
      </c>
    </row>
    <row r="6676" spans="1:14" hidden="1" x14ac:dyDescent="0.35">
      <c r="A6676" s="52" t="s">
        <v>748</v>
      </c>
      <c r="B6676" s="52" t="s">
        <v>74</v>
      </c>
      <c r="C6676" s="52" t="s">
        <v>71</v>
      </c>
      <c r="D6676" s="52" t="s">
        <v>140</v>
      </c>
      <c r="E6676" s="52" t="s">
        <v>584</v>
      </c>
      <c r="F6676" s="52" t="s">
        <v>581</v>
      </c>
      <c r="G6676" s="195" t="s">
        <v>278</v>
      </c>
      <c r="H6676" s="195">
        <v>1.1249210000000001E-2</v>
      </c>
      <c r="I6676" s="195">
        <v>1.5361130000000001E-2</v>
      </c>
      <c r="J6676" s="195">
        <v>1.5361130000000001E-2</v>
      </c>
      <c r="K6676" s="195">
        <v>1.5361130000000001E-2</v>
      </c>
      <c r="L6676" s="195">
        <v>1.5361130000000001E-2</v>
      </c>
      <c r="M6676" s="195">
        <v>1.5361130000000001E-2</v>
      </c>
      <c r="N6676" s="195">
        <v>2.3478990000000002E-2</v>
      </c>
    </row>
    <row r="6677" spans="1:14" hidden="1" x14ac:dyDescent="0.35">
      <c r="A6677" s="52" t="s">
        <v>748</v>
      </c>
      <c r="B6677" s="52" t="s">
        <v>74</v>
      </c>
      <c r="C6677" s="52" t="s">
        <v>71</v>
      </c>
      <c r="D6677" s="52" t="s">
        <v>293</v>
      </c>
      <c r="E6677" s="52" t="s">
        <v>584</v>
      </c>
      <c r="F6677" s="52" t="s">
        <v>581</v>
      </c>
      <c r="G6677" s="195" t="s">
        <v>275</v>
      </c>
      <c r="H6677" s="195">
        <v>-1.5039E-2</v>
      </c>
      <c r="I6677" s="195">
        <v>-2.0535000000000001E-2</v>
      </c>
      <c r="J6677" s="195">
        <v>0</v>
      </c>
      <c r="K6677" s="195">
        <v>0</v>
      </c>
      <c r="L6677" s="195">
        <v>0</v>
      </c>
      <c r="M6677" s="195">
        <v>0</v>
      </c>
      <c r="N6677" s="195">
        <v>0</v>
      </c>
    </row>
    <row r="6678" spans="1:14" hidden="1" x14ac:dyDescent="0.35">
      <c r="A6678" s="52" t="s">
        <v>748</v>
      </c>
      <c r="B6678" s="52" t="s">
        <v>74</v>
      </c>
      <c r="C6678" s="52" t="s">
        <v>71</v>
      </c>
      <c r="D6678" s="52" t="s">
        <v>293</v>
      </c>
      <c r="E6678" s="52" t="s">
        <v>584</v>
      </c>
      <c r="F6678" s="52" t="s">
        <v>581</v>
      </c>
      <c r="G6678" s="195" t="s">
        <v>276</v>
      </c>
      <c r="H6678" s="195">
        <v>-1.0024999999999999E-2</v>
      </c>
      <c r="I6678" s="195">
        <v>-1.3689E-2</v>
      </c>
      <c r="J6678" s="195">
        <v>0</v>
      </c>
      <c r="K6678" s="195">
        <v>0</v>
      </c>
      <c r="L6678" s="195">
        <v>0</v>
      </c>
      <c r="M6678" s="195">
        <v>0</v>
      </c>
      <c r="N6678" s="195">
        <v>0</v>
      </c>
    </row>
    <row r="6679" spans="1:14" hidden="1" x14ac:dyDescent="0.35">
      <c r="A6679" s="52" t="s">
        <v>748</v>
      </c>
      <c r="B6679" s="52" t="s">
        <v>74</v>
      </c>
      <c r="C6679" s="52" t="s">
        <v>71</v>
      </c>
      <c r="D6679" s="52" t="s">
        <v>293</v>
      </c>
      <c r="E6679" s="52" t="s">
        <v>584</v>
      </c>
      <c r="F6679" s="52" t="s">
        <v>581</v>
      </c>
      <c r="G6679" s="195" t="s">
        <v>277</v>
      </c>
      <c r="H6679" s="195"/>
      <c r="I6679" s="195"/>
      <c r="J6679" s="195">
        <v>0</v>
      </c>
      <c r="K6679" s="195">
        <v>0</v>
      </c>
      <c r="L6679" s="195">
        <v>0</v>
      </c>
      <c r="M6679" s="195">
        <v>0</v>
      </c>
      <c r="N6679" s="195">
        <v>0</v>
      </c>
    </row>
    <row r="6680" spans="1:14" hidden="1" x14ac:dyDescent="0.35">
      <c r="A6680" s="52" t="s">
        <v>748</v>
      </c>
      <c r="B6680" s="52" t="s">
        <v>74</v>
      </c>
      <c r="C6680" s="52" t="s">
        <v>71</v>
      </c>
      <c r="D6680" s="52" t="s">
        <v>293</v>
      </c>
      <c r="E6680" s="52" t="s">
        <v>584</v>
      </c>
      <c r="F6680" s="52" t="s">
        <v>581</v>
      </c>
      <c r="G6680" s="195" t="s">
        <v>278</v>
      </c>
      <c r="H6680" s="195">
        <v>2.5063999999999999E-2</v>
      </c>
      <c r="I6680" s="195">
        <v>3.4223999999999997E-2</v>
      </c>
      <c r="J6680" s="195">
        <v>0</v>
      </c>
      <c r="K6680" s="195">
        <v>0</v>
      </c>
      <c r="L6680" s="195">
        <v>0</v>
      </c>
      <c r="M6680" s="195">
        <v>0</v>
      </c>
      <c r="N6680" s="195">
        <v>0</v>
      </c>
    </row>
    <row r="6681" spans="1:14" hidden="1" x14ac:dyDescent="0.35">
      <c r="A6681" s="52" t="s">
        <v>748</v>
      </c>
      <c r="B6681" s="52" t="s">
        <v>74</v>
      </c>
      <c r="C6681" s="52" t="s">
        <v>71</v>
      </c>
      <c r="D6681" s="52" t="s">
        <v>293</v>
      </c>
      <c r="E6681" s="52" t="s">
        <v>584</v>
      </c>
      <c r="F6681" s="52" t="s">
        <v>26</v>
      </c>
      <c r="G6681" s="195" t="s">
        <v>275</v>
      </c>
      <c r="H6681" s="195"/>
      <c r="I6681" s="195"/>
      <c r="J6681" s="195"/>
      <c r="K6681" s="195"/>
      <c r="L6681" s="195"/>
      <c r="M6681" s="195"/>
      <c r="N6681" s="195">
        <v>0</v>
      </c>
    </row>
    <row r="6682" spans="1:14" hidden="1" x14ac:dyDescent="0.35">
      <c r="A6682" s="52" t="s">
        <v>748</v>
      </c>
      <c r="B6682" s="52" t="s">
        <v>74</v>
      </c>
      <c r="C6682" s="52" t="s">
        <v>71</v>
      </c>
      <c r="D6682" s="52" t="s">
        <v>293</v>
      </c>
      <c r="E6682" s="52" t="s">
        <v>584</v>
      </c>
      <c r="F6682" s="52" t="s">
        <v>26</v>
      </c>
      <c r="G6682" s="195" t="s">
        <v>276</v>
      </c>
      <c r="H6682" s="195"/>
      <c r="I6682" s="195"/>
      <c r="J6682" s="195"/>
      <c r="K6682" s="195"/>
      <c r="L6682" s="195"/>
      <c r="M6682" s="195"/>
      <c r="N6682" s="195">
        <v>0</v>
      </c>
    </row>
    <row r="6683" spans="1:14" hidden="1" x14ac:dyDescent="0.35">
      <c r="A6683" s="52" t="s">
        <v>748</v>
      </c>
      <c r="B6683" s="52" t="s">
        <v>74</v>
      </c>
      <c r="C6683" s="52" t="s">
        <v>71</v>
      </c>
      <c r="D6683" s="52" t="s">
        <v>293</v>
      </c>
      <c r="E6683" s="52" t="s">
        <v>584</v>
      </c>
      <c r="F6683" s="52" t="s">
        <v>26</v>
      </c>
      <c r="G6683" s="195" t="s">
        <v>277</v>
      </c>
      <c r="H6683" s="195"/>
      <c r="I6683" s="195"/>
      <c r="J6683" s="195"/>
      <c r="K6683" s="195"/>
      <c r="L6683" s="195"/>
      <c r="M6683" s="195"/>
      <c r="N6683" s="195">
        <v>0</v>
      </c>
    </row>
    <row r="6684" spans="1:14" hidden="1" x14ac:dyDescent="0.35">
      <c r="A6684" s="52" t="s">
        <v>748</v>
      </c>
      <c r="B6684" s="52" t="s">
        <v>74</v>
      </c>
      <c r="C6684" s="52" t="s">
        <v>227</v>
      </c>
      <c r="D6684" s="52" t="s">
        <v>227</v>
      </c>
      <c r="E6684" s="52" t="s">
        <v>584</v>
      </c>
      <c r="F6684" s="52" t="s">
        <v>581</v>
      </c>
      <c r="G6684" s="195" t="s">
        <v>275</v>
      </c>
      <c r="H6684" s="195">
        <v>173.27770000000001</v>
      </c>
      <c r="I6684" s="195">
        <v>-11.756729999999999</v>
      </c>
      <c r="J6684" s="195">
        <v>-14.7254</v>
      </c>
      <c r="K6684" s="195">
        <v>-28.114129999999999</v>
      </c>
      <c r="L6684" s="195">
        <v>-37.430320000000002</v>
      </c>
      <c r="M6684" s="195">
        <v>-42.84986</v>
      </c>
      <c r="N6684" s="195">
        <v>-49.664290000000001</v>
      </c>
    </row>
    <row r="6685" spans="1:14" hidden="1" x14ac:dyDescent="0.35">
      <c r="A6685" s="52" t="s">
        <v>748</v>
      </c>
      <c r="B6685" s="52" t="s">
        <v>74</v>
      </c>
      <c r="C6685" s="52" t="s">
        <v>227</v>
      </c>
      <c r="D6685" s="52" t="s">
        <v>227</v>
      </c>
      <c r="E6685" s="52" t="s">
        <v>584</v>
      </c>
      <c r="F6685" s="52" t="s">
        <v>581</v>
      </c>
      <c r="G6685" s="195" t="s">
        <v>276</v>
      </c>
      <c r="H6685" s="195">
        <v>107.95440000000001</v>
      </c>
      <c r="I6685" s="195">
        <v>-15.32023</v>
      </c>
      <c r="J6685" s="195">
        <v>-12.089410000000001</v>
      </c>
      <c r="K6685" s="195">
        <v>-21.527100000000001</v>
      </c>
      <c r="L6685" s="195">
        <v>-28.29354</v>
      </c>
      <c r="M6685" s="195">
        <v>-32.057630000000003</v>
      </c>
      <c r="N6685" s="195">
        <v>-37.685980000000001</v>
      </c>
    </row>
    <row r="6686" spans="1:14" hidden="1" x14ac:dyDescent="0.35">
      <c r="A6686" s="52" t="s">
        <v>748</v>
      </c>
      <c r="B6686" s="52" t="s">
        <v>74</v>
      </c>
      <c r="C6686" s="52" t="s">
        <v>227</v>
      </c>
      <c r="D6686" s="52" t="s">
        <v>227</v>
      </c>
      <c r="E6686" s="52" t="s">
        <v>584</v>
      </c>
      <c r="F6686" s="52" t="s">
        <v>581</v>
      </c>
      <c r="G6686" s="195" t="s">
        <v>277</v>
      </c>
      <c r="H6686" s="195">
        <v>72.614999999999995</v>
      </c>
      <c r="I6686" s="195">
        <v>71.831040000000002</v>
      </c>
      <c r="J6686" s="195">
        <v>21.446629999999999</v>
      </c>
      <c r="K6686" s="195">
        <v>26.360579999999999</v>
      </c>
      <c r="L6686" s="195">
        <v>31.694929999999999</v>
      </c>
      <c r="M6686" s="195">
        <v>33.145099999999999</v>
      </c>
      <c r="N6686" s="195">
        <v>43.564869999999999</v>
      </c>
    </row>
    <row r="6687" spans="1:14" hidden="1" x14ac:dyDescent="0.35">
      <c r="A6687" s="52" t="s">
        <v>748</v>
      </c>
      <c r="B6687" s="52" t="s">
        <v>74</v>
      </c>
      <c r="C6687" s="52" t="s">
        <v>227</v>
      </c>
      <c r="D6687" s="52" t="s">
        <v>227</v>
      </c>
      <c r="E6687" s="52" t="s">
        <v>584</v>
      </c>
      <c r="F6687" s="52" t="s">
        <v>581</v>
      </c>
      <c r="G6687" s="195" t="s">
        <v>278</v>
      </c>
      <c r="H6687" s="195">
        <v>4.82502E-2</v>
      </c>
      <c r="I6687" s="195">
        <v>6.5885769999999996E-2</v>
      </c>
      <c r="J6687" s="195">
        <v>3.8445760000000002E-2</v>
      </c>
      <c r="K6687" s="195">
        <v>3.8445760000000002E-2</v>
      </c>
      <c r="L6687" s="195">
        <v>3.8445760000000002E-2</v>
      </c>
      <c r="M6687" s="195">
        <v>3.8445760000000002E-2</v>
      </c>
      <c r="N6687" s="195">
        <v>3.8445760000000002E-2</v>
      </c>
    </row>
    <row r="6688" spans="1:14" hidden="1" x14ac:dyDescent="0.35">
      <c r="A6688" s="52" t="s">
        <v>748</v>
      </c>
      <c r="B6688" s="52" t="s">
        <v>74</v>
      </c>
      <c r="C6688" s="52" t="s">
        <v>227</v>
      </c>
      <c r="D6688" s="52" t="s">
        <v>227</v>
      </c>
      <c r="E6688" s="52" t="s">
        <v>584</v>
      </c>
      <c r="F6688" s="52" t="s">
        <v>581</v>
      </c>
      <c r="G6688" s="195" t="s">
        <v>279</v>
      </c>
      <c r="H6688" s="195">
        <v>157.14590000000001</v>
      </c>
      <c r="I6688" s="195">
        <v>150.87700000000001</v>
      </c>
      <c r="J6688" s="195">
        <v>151.45169999999999</v>
      </c>
      <c r="K6688" s="195">
        <v>147.0549</v>
      </c>
      <c r="L6688" s="195">
        <v>141.47479999999999</v>
      </c>
      <c r="M6688" s="195">
        <v>137.4872</v>
      </c>
      <c r="N6688" s="195">
        <v>136.54849999999999</v>
      </c>
    </row>
    <row r="6689" spans="1:14" hidden="1" x14ac:dyDescent="0.35">
      <c r="A6689" s="52" t="s">
        <v>748</v>
      </c>
      <c r="B6689" s="52" t="s">
        <v>74</v>
      </c>
      <c r="C6689" s="52" t="s">
        <v>227</v>
      </c>
      <c r="D6689" s="52" t="s">
        <v>227</v>
      </c>
      <c r="E6689" s="52" t="s">
        <v>584</v>
      </c>
      <c r="F6689" s="52" t="s">
        <v>26</v>
      </c>
      <c r="G6689" s="195" t="s">
        <v>275</v>
      </c>
      <c r="H6689" s="195">
        <v>2.236723</v>
      </c>
      <c r="I6689" s="195">
        <v>1.4011420000000001</v>
      </c>
      <c r="J6689" s="195">
        <v>1.279172</v>
      </c>
      <c r="K6689" s="195">
        <v>1.0423290000000001</v>
      </c>
      <c r="L6689" s="195">
        <v>0.93069170000000001</v>
      </c>
      <c r="M6689" s="195">
        <v>0.87793759999999998</v>
      </c>
      <c r="N6689" s="195">
        <v>1.0265519999999999</v>
      </c>
    </row>
    <row r="6690" spans="1:14" hidden="1" x14ac:dyDescent="0.35">
      <c r="A6690" s="52" t="s">
        <v>748</v>
      </c>
      <c r="B6690" s="52" t="s">
        <v>74</v>
      </c>
      <c r="C6690" s="52" t="s">
        <v>227</v>
      </c>
      <c r="D6690" s="52" t="s">
        <v>227</v>
      </c>
      <c r="E6690" s="52" t="s">
        <v>584</v>
      </c>
      <c r="F6690" s="52" t="s">
        <v>26</v>
      </c>
      <c r="G6690" s="195" t="s">
        <v>276</v>
      </c>
      <c r="H6690" s="195">
        <v>1.4911449999999999</v>
      </c>
      <c r="I6690" s="195">
        <v>0.93409710000000001</v>
      </c>
      <c r="J6690" s="195">
        <v>0.85278489999999996</v>
      </c>
      <c r="K6690" s="195">
        <v>0.69488839999999996</v>
      </c>
      <c r="L6690" s="195">
        <v>0.62045570000000005</v>
      </c>
      <c r="M6690" s="195">
        <v>0.58529059999999999</v>
      </c>
      <c r="N6690" s="195">
        <v>0.68437000000000003</v>
      </c>
    </row>
    <row r="6691" spans="1:14" hidden="1" x14ac:dyDescent="0.35">
      <c r="A6691" s="52" t="s">
        <v>748</v>
      </c>
      <c r="B6691" s="52" t="s">
        <v>74</v>
      </c>
      <c r="C6691" s="52" t="s">
        <v>227</v>
      </c>
      <c r="D6691" s="52" t="s">
        <v>227</v>
      </c>
      <c r="E6691" s="52" t="s">
        <v>584</v>
      </c>
      <c r="F6691" s="52" t="s">
        <v>26</v>
      </c>
      <c r="G6691" s="195" t="s">
        <v>279</v>
      </c>
      <c r="H6691" s="195">
        <v>1.5236670000000001</v>
      </c>
      <c r="I6691" s="195">
        <v>1.360989</v>
      </c>
      <c r="J6691" s="195">
        <v>1.201371</v>
      </c>
      <c r="K6691" s="195">
        <v>1.08579</v>
      </c>
      <c r="L6691" s="195">
        <v>0.95976839999999997</v>
      </c>
      <c r="M6691" s="195">
        <v>0.89695040000000004</v>
      </c>
      <c r="N6691" s="195">
        <v>1.0532600000000001</v>
      </c>
    </row>
    <row r="6692" spans="1:14" hidden="1" x14ac:dyDescent="0.35">
      <c r="A6692" s="52" t="s">
        <v>748</v>
      </c>
      <c r="B6692" s="52" t="s">
        <v>74</v>
      </c>
      <c r="C6692" s="52" t="s">
        <v>87</v>
      </c>
      <c r="D6692" s="52" t="s">
        <v>87</v>
      </c>
      <c r="E6692" s="52" t="s">
        <v>584</v>
      </c>
      <c r="F6692" s="52" t="s">
        <v>581</v>
      </c>
      <c r="G6692" s="195" t="s">
        <v>275</v>
      </c>
      <c r="H6692" s="195">
        <v>35.653790000000001</v>
      </c>
      <c r="I6692" s="195">
        <v>3.1596329999999999</v>
      </c>
      <c r="J6692" s="195">
        <v>-8.500826</v>
      </c>
      <c r="K6692" s="195">
        <v>-3.8683350000000001</v>
      </c>
      <c r="L6692" s="195">
        <v>1.681376</v>
      </c>
      <c r="M6692" s="195">
        <v>-21.772639999999999</v>
      </c>
      <c r="N6692" s="195">
        <v>-46.44905</v>
      </c>
    </row>
    <row r="6693" spans="1:14" hidden="1" x14ac:dyDescent="0.35">
      <c r="A6693" s="52" t="s">
        <v>748</v>
      </c>
      <c r="B6693" s="52" t="s">
        <v>74</v>
      </c>
      <c r="C6693" s="52" t="s">
        <v>87</v>
      </c>
      <c r="D6693" s="52" t="s">
        <v>87</v>
      </c>
      <c r="E6693" s="52" t="s">
        <v>584</v>
      </c>
      <c r="F6693" s="52" t="s">
        <v>581</v>
      </c>
      <c r="G6693" s="195" t="s">
        <v>276</v>
      </c>
      <c r="H6693" s="195">
        <v>21.602119999999999</v>
      </c>
      <c r="I6693" s="195">
        <v>1.9589449999999999</v>
      </c>
      <c r="J6693" s="195">
        <v>-8.6820489999999992</v>
      </c>
      <c r="K6693" s="195">
        <v>-2.785765</v>
      </c>
      <c r="L6693" s="195">
        <v>-5.8863690000000002</v>
      </c>
      <c r="M6693" s="195">
        <v>-18.682970000000001</v>
      </c>
      <c r="N6693" s="195">
        <v>-31.196760000000001</v>
      </c>
    </row>
    <row r="6694" spans="1:14" hidden="1" x14ac:dyDescent="0.35">
      <c r="A6694" s="52" t="s">
        <v>748</v>
      </c>
      <c r="B6694" s="52" t="s">
        <v>74</v>
      </c>
      <c r="C6694" s="52" t="s">
        <v>87</v>
      </c>
      <c r="D6694" s="52" t="s">
        <v>87</v>
      </c>
      <c r="E6694" s="52" t="s">
        <v>584</v>
      </c>
      <c r="F6694" s="52" t="s">
        <v>581</v>
      </c>
      <c r="G6694" s="195" t="s">
        <v>277</v>
      </c>
      <c r="H6694" s="195">
        <v>20.80395</v>
      </c>
      <c r="I6694" s="195">
        <v>1.915788</v>
      </c>
      <c r="J6694" s="195">
        <v>1.7886759999999999</v>
      </c>
      <c r="K6694" s="195">
        <v>2.8499430000000001</v>
      </c>
      <c r="L6694" s="195">
        <v>8.0779130000000006</v>
      </c>
      <c r="M6694" s="195">
        <v>0.72479760000000004</v>
      </c>
      <c r="N6694" s="195">
        <v>0.79673170000000004</v>
      </c>
    </row>
    <row r="6695" spans="1:14" hidden="1" x14ac:dyDescent="0.35">
      <c r="A6695" s="52" t="s">
        <v>748</v>
      </c>
      <c r="B6695" s="52" t="s">
        <v>74</v>
      </c>
      <c r="C6695" s="52" t="s">
        <v>87</v>
      </c>
      <c r="D6695" s="52" t="s">
        <v>87</v>
      </c>
      <c r="E6695" s="52" t="s">
        <v>584</v>
      </c>
      <c r="F6695" s="52" t="s">
        <v>581</v>
      </c>
      <c r="G6695" s="195" t="s">
        <v>278</v>
      </c>
      <c r="H6695" s="195">
        <v>0.1366917</v>
      </c>
      <c r="I6695" s="195">
        <v>0.18665309999999999</v>
      </c>
      <c r="J6695" s="195">
        <v>2.9508830000000001</v>
      </c>
      <c r="K6695" s="195">
        <v>0.1555154</v>
      </c>
      <c r="L6695" s="195">
        <v>0.1477311</v>
      </c>
      <c r="M6695" s="195">
        <v>4.0923780000000001</v>
      </c>
      <c r="N6695" s="195">
        <v>0.1477311</v>
      </c>
    </row>
    <row r="6696" spans="1:14" hidden="1" x14ac:dyDescent="0.35">
      <c r="A6696" s="52" t="s">
        <v>748</v>
      </c>
      <c r="B6696" s="52" t="s">
        <v>74</v>
      </c>
      <c r="C6696" s="52" t="s">
        <v>87</v>
      </c>
      <c r="D6696" s="52" t="s">
        <v>87</v>
      </c>
      <c r="E6696" s="52" t="s">
        <v>584</v>
      </c>
      <c r="F6696" s="52" t="s">
        <v>581</v>
      </c>
      <c r="G6696" s="195" t="s">
        <v>279</v>
      </c>
      <c r="H6696" s="195">
        <v>40.243389999999998</v>
      </c>
      <c r="I6696" s="195">
        <v>28.923580000000001</v>
      </c>
      <c r="J6696" s="195">
        <v>32.810670000000002</v>
      </c>
      <c r="K6696" s="195">
        <v>20.87377</v>
      </c>
      <c r="L6696" s="195">
        <v>16.834040000000002</v>
      </c>
      <c r="M6696" s="195">
        <v>59.122489999999999</v>
      </c>
      <c r="N6696" s="195">
        <v>101.61620000000001</v>
      </c>
    </row>
    <row r="6697" spans="1:14" hidden="1" x14ac:dyDescent="0.35">
      <c r="A6697" s="52" t="s">
        <v>748</v>
      </c>
      <c r="B6697" s="52" t="s">
        <v>74</v>
      </c>
      <c r="C6697" s="52" t="s">
        <v>87</v>
      </c>
      <c r="D6697" s="52" t="s">
        <v>87</v>
      </c>
      <c r="E6697" s="52" t="s">
        <v>584</v>
      </c>
      <c r="F6697" s="52" t="s">
        <v>26</v>
      </c>
      <c r="G6697" s="195" t="s">
        <v>275</v>
      </c>
      <c r="H6697" s="195">
        <v>0.244195</v>
      </c>
      <c r="I6697" s="195">
        <v>0.14750279999999999</v>
      </c>
      <c r="J6697" s="195">
        <v>0.35238320000000001</v>
      </c>
      <c r="K6697" s="195">
        <v>0.26166440000000002</v>
      </c>
      <c r="L6697" s="195">
        <v>0.15427589999999999</v>
      </c>
      <c r="M6697" s="195">
        <v>0.17670379999999999</v>
      </c>
      <c r="N6697" s="195">
        <v>-0.3209341</v>
      </c>
    </row>
    <row r="6698" spans="1:14" hidden="1" x14ac:dyDescent="0.35">
      <c r="A6698" s="52" t="s">
        <v>748</v>
      </c>
      <c r="B6698" s="52" t="s">
        <v>74</v>
      </c>
      <c r="C6698" s="52" t="s">
        <v>87</v>
      </c>
      <c r="D6698" s="52" t="s">
        <v>87</v>
      </c>
      <c r="E6698" s="52" t="s">
        <v>584</v>
      </c>
      <c r="F6698" s="52" t="s">
        <v>26</v>
      </c>
      <c r="G6698" s="195" t="s">
        <v>276</v>
      </c>
      <c r="H6698" s="195">
        <v>0.16279299999999999</v>
      </c>
      <c r="I6698" s="195">
        <v>9.8336499999999993E-2</v>
      </c>
      <c r="J6698" s="195">
        <v>0.23492299999999999</v>
      </c>
      <c r="K6698" s="195">
        <v>0.17444309999999999</v>
      </c>
      <c r="L6698" s="195">
        <v>7.3673089999999997E-2</v>
      </c>
      <c r="M6698" s="195">
        <v>0.1178025</v>
      </c>
      <c r="N6698" s="195">
        <v>-0.21395600000000001</v>
      </c>
    </row>
    <row r="6699" spans="1:14" hidden="1" x14ac:dyDescent="0.35">
      <c r="A6699" s="52" t="s">
        <v>748</v>
      </c>
      <c r="B6699" s="52" t="s">
        <v>74</v>
      </c>
      <c r="C6699" s="52" t="s">
        <v>87</v>
      </c>
      <c r="D6699" s="52" t="s">
        <v>87</v>
      </c>
      <c r="E6699" s="52" t="s">
        <v>584</v>
      </c>
      <c r="F6699" s="52" t="s">
        <v>26</v>
      </c>
      <c r="G6699" s="195" t="s">
        <v>277</v>
      </c>
      <c r="H6699" s="195"/>
      <c r="I6699" s="195"/>
      <c r="J6699" s="195">
        <v>0</v>
      </c>
      <c r="K6699" s="195">
        <v>6.04366E-2</v>
      </c>
      <c r="L6699" s="195">
        <v>0.2196824</v>
      </c>
      <c r="M6699" s="195">
        <v>0</v>
      </c>
      <c r="N6699" s="195"/>
    </row>
    <row r="6700" spans="1:14" hidden="1" x14ac:dyDescent="0.35">
      <c r="A6700" s="52" t="s">
        <v>748</v>
      </c>
      <c r="B6700" s="52" t="s">
        <v>74</v>
      </c>
      <c r="C6700" s="52" t="s">
        <v>87</v>
      </c>
      <c r="D6700" s="52" t="s">
        <v>87</v>
      </c>
      <c r="E6700" s="52" t="s">
        <v>584</v>
      </c>
      <c r="F6700" s="52" t="s">
        <v>26</v>
      </c>
      <c r="G6700" s="195" t="s">
        <v>279</v>
      </c>
      <c r="H6700" s="195">
        <v>0.40484999999999999</v>
      </c>
      <c r="I6700" s="195">
        <v>0.38887450000000001</v>
      </c>
      <c r="J6700" s="195">
        <v>0.463113</v>
      </c>
      <c r="K6700" s="195">
        <v>0.42324699999999998</v>
      </c>
      <c r="L6700" s="195">
        <v>0.4000417</v>
      </c>
      <c r="M6700" s="195">
        <v>0.67290300000000003</v>
      </c>
      <c r="N6700" s="195">
        <v>0.93370160000000002</v>
      </c>
    </row>
    <row r="6701" spans="1:14" hidden="1" x14ac:dyDescent="0.35">
      <c r="A6701" s="52" t="s">
        <v>748</v>
      </c>
      <c r="B6701" s="52" t="s">
        <v>74</v>
      </c>
      <c r="C6701" s="52" t="s">
        <v>87</v>
      </c>
      <c r="D6701" s="52" t="s">
        <v>89</v>
      </c>
      <c r="E6701" s="52" t="s">
        <v>584</v>
      </c>
      <c r="F6701" s="52" t="s">
        <v>581</v>
      </c>
      <c r="G6701" s="195" t="s">
        <v>275</v>
      </c>
      <c r="H6701" s="195">
        <v>3.599507</v>
      </c>
      <c r="I6701" s="195">
        <v>-1.1255310000000001</v>
      </c>
      <c r="J6701" s="195">
        <v>-1.677829</v>
      </c>
      <c r="K6701" s="195">
        <v>-2.4592130000000001</v>
      </c>
      <c r="L6701" s="195">
        <v>-2.7248950000000001</v>
      </c>
      <c r="M6701" s="195">
        <v>-1.511482</v>
      </c>
      <c r="N6701" s="195">
        <v>1.277164</v>
      </c>
    </row>
    <row r="6702" spans="1:14" hidden="1" x14ac:dyDescent="0.35">
      <c r="A6702" s="52" t="s">
        <v>748</v>
      </c>
      <c r="B6702" s="52" t="s">
        <v>74</v>
      </c>
      <c r="C6702" s="52" t="s">
        <v>87</v>
      </c>
      <c r="D6702" s="52" t="s">
        <v>89</v>
      </c>
      <c r="E6702" s="52" t="s">
        <v>584</v>
      </c>
      <c r="F6702" s="52" t="s">
        <v>581</v>
      </c>
      <c r="G6702" s="195" t="s">
        <v>276</v>
      </c>
      <c r="H6702" s="195">
        <v>2.3269009999999999</v>
      </c>
      <c r="I6702" s="195">
        <v>-0.8072087</v>
      </c>
      <c r="J6702" s="195">
        <v>-1.1274169999999999</v>
      </c>
      <c r="K6702" s="195">
        <v>-1.6394759999999999</v>
      </c>
      <c r="L6702" s="195">
        <v>-1.816597</v>
      </c>
      <c r="M6702" s="195">
        <v>-1.007655</v>
      </c>
      <c r="N6702" s="195">
        <v>0.85144280000000006</v>
      </c>
    </row>
    <row r="6703" spans="1:14" hidden="1" x14ac:dyDescent="0.35">
      <c r="A6703" s="52" t="s">
        <v>748</v>
      </c>
      <c r="B6703" s="52" t="s">
        <v>74</v>
      </c>
      <c r="C6703" s="52" t="s">
        <v>87</v>
      </c>
      <c r="D6703" s="52" t="s">
        <v>89</v>
      </c>
      <c r="E6703" s="52" t="s">
        <v>584</v>
      </c>
      <c r="F6703" s="52" t="s">
        <v>581</v>
      </c>
      <c r="G6703" s="195" t="s">
        <v>277</v>
      </c>
      <c r="H6703" s="195">
        <v>0.69860650000000002</v>
      </c>
      <c r="I6703" s="195">
        <v>0.54580499999999998</v>
      </c>
      <c r="J6703" s="195"/>
      <c r="K6703" s="195">
        <v>0</v>
      </c>
      <c r="L6703" s="195">
        <v>0</v>
      </c>
      <c r="M6703" s="195"/>
      <c r="N6703" s="195"/>
    </row>
    <row r="6704" spans="1:14" hidden="1" x14ac:dyDescent="0.35">
      <c r="A6704" s="52" t="s">
        <v>748</v>
      </c>
      <c r="B6704" s="52" t="s">
        <v>74</v>
      </c>
      <c r="C6704" s="52" t="s">
        <v>87</v>
      </c>
      <c r="D6704" s="52" t="s">
        <v>89</v>
      </c>
      <c r="E6704" s="52" t="s">
        <v>584</v>
      </c>
      <c r="F6704" s="52" t="s">
        <v>581</v>
      </c>
      <c r="G6704" s="195" t="s">
        <v>279</v>
      </c>
      <c r="H6704" s="195">
        <v>8.1120870000000007</v>
      </c>
      <c r="I6704" s="195">
        <v>7.3676640000000004</v>
      </c>
      <c r="J6704" s="195">
        <v>6.8363100000000001</v>
      </c>
      <c r="K6704" s="195">
        <v>7.8510220000000004</v>
      </c>
      <c r="L6704" s="195">
        <v>7.7851980000000003</v>
      </c>
      <c r="M6704" s="195">
        <v>8.8508990000000001</v>
      </c>
      <c r="N6704" s="195">
        <v>13.23765</v>
      </c>
    </row>
    <row r="6705" spans="1:14" hidden="1" x14ac:dyDescent="0.35">
      <c r="A6705" s="52" t="s">
        <v>748</v>
      </c>
      <c r="B6705" s="52" t="s">
        <v>74</v>
      </c>
      <c r="C6705" s="52" t="s">
        <v>87</v>
      </c>
      <c r="D6705" s="52" t="s">
        <v>89</v>
      </c>
      <c r="E6705" s="52" t="s">
        <v>584</v>
      </c>
      <c r="F6705" s="52" t="s">
        <v>26</v>
      </c>
      <c r="G6705" s="195" t="s">
        <v>275</v>
      </c>
      <c r="H6705" s="195">
        <v>0.28082649999999998</v>
      </c>
      <c r="I6705" s="195">
        <v>0.18904270000000001</v>
      </c>
      <c r="J6705" s="195">
        <v>0.158773</v>
      </c>
      <c r="K6705" s="195">
        <v>0.13987450000000001</v>
      </c>
      <c r="L6705" s="195">
        <v>0.1206641</v>
      </c>
      <c r="M6705" s="195">
        <v>0.2333192</v>
      </c>
      <c r="N6705" s="195">
        <v>0.56548480000000001</v>
      </c>
    </row>
    <row r="6706" spans="1:14" hidden="1" x14ac:dyDescent="0.35">
      <c r="A6706" s="52" t="s">
        <v>748</v>
      </c>
      <c r="B6706" s="52" t="s">
        <v>74</v>
      </c>
      <c r="C6706" s="52" t="s">
        <v>87</v>
      </c>
      <c r="D6706" s="52" t="s">
        <v>89</v>
      </c>
      <c r="E6706" s="52" t="s">
        <v>584</v>
      </c>
      <c r="F6706" s="52" t="s">
        <v>26</v>
      </c>
      <c r="G6706" s="195" t="s">
        <v>276</v>
      </c>
      <c r="H6706" s="195">
        <v>0.187218</v>
      </c>
      <c r="I6706" s="195">
        <v>0.12602840000000001</v>
      </c>
      <c r="J6706" s="195">
        <v>0.1058486</v>
      </c>
      <c r="K6706" s="195">
        <v>9.3249399999999996E-2</v>
      </c>
      <c r="L6706" s="195">
        <v>8.0442609999999998E-2</v>
      </c>
      <c r="M6706" s="195">
        <v>0.15554660000000001</v>
      </c>
      <c r="N6706" s="195">
        <v>0.3769902</v>
      </c>
    </row>
    <row r="6707" spans="1:14" hidden="1" x14ac:dyDescent="0.35">
      <c r="A6707" s="52" t="s">
        <v>748</v>
      </c>
      <c r="B6707" s="52" t="s">
        <v>74</v>
      </c>
      <c r="C6707" s="52" t="s">
        <v>87</v>
      </c>
      <c r="D6707" s="52" t="s">
        <v>89</v>
      </c>
      <c r="E6707" s="52" t="s">
        <v>584</v>
      </c>
      <c r="F6707" s="52" t="s">
        <v>26</v>
      </c>
      <c r="G6707" s="195" t="s">
        <v>279</v>
      </c>
      <c r="H6707" s="195">
        <v>0.16940050000000001</v>
      </c>
      <c r="I6707" s="195">
        <v>0.16034799999999999</v>
      </c>
      <c r="J6707" s="195">
        <v>0.13055649999999999</v>
      </c>
      <c r="K6707" s="195">
        <v>0.12695000000000001</v>
      </c>
      <c r="L6707" s="195">
        <v>0.1090352</v>
      </c>
      <c r="M6707" s="195">
        <v>0.18051600000000001</v>
      </c>
      <c r="N6707" s="195">
        <v>0.51498379999999999</v>
      </c>
    </row>
    <row r="6708" spans="1:14" hidden="1" x14ac:dyDescent="0.35">
      <c r="A6708" s="52" t="s">
        <v>748</v>
      </c>
      <c r="B6708" s="52" t="s">
        <v>74</v>
      </c>
      <c r="C6708" s="52" t="s">
        <v>146</v>
      </c>
      <c r="D6708" s="52" t="s">
        <v>197</v>
      </c>
      <c r="E6708" s="52" t="s">
        <v>584</v>
      </c>
      <c r="F6708" s="52" t="s">
        <v>581</v>
      </c>
      <c r="G6708" s="195" t="s">
        <v>275</v>
      </c>
      <c r="H6708" s="195">
        <v>3.767865</v>
      </c>
      <c r="I6708" s="195">
        <v>9.432169</v>
      </c>
      <c r="J6708" s="195">
        <v>3.945729</v>
      </c>
      <c r="K6708" s="195">
        <v>2.199322</v>
      </c>
      <c r="L6708" s="195">
        <v>1.236669</v>
      </c>
      <c r="M6708" s="195">
        <v>0.56128549999999999</v>
      </c>
      <c r="N6708" s="195">
        <v>0.20968590000000001</v>
      </c>
    </row>
    <row r="6709" spans="1:14" hidden="1" x14ac:dyDescent="0.35">
      <c r="A6709" s="52" t="s">
        <v>748</v>
      </c>
      <c r="B6709" s="52" t="s">
        <v>74</v>
      </c>
      <c r="C6709" s="52" t="s">
        <v>146</v>
      </c>
      <c r="D6709" s="52" t="s">
        <v>197</v>
      </c>
      <c r="E6709" s="52" t="s">
        <v>584</v>
      </c>
      <c r="F6709" s="52" t="s">
        <v>581</v>
      </c>
      <c r="G6709" s="195" t="s">
        <v>276</v>
      </c>
      <c r="H6709" s="195">
        <v>1.470243</v>
      </c>
      <c r="I6709" s="195">
        <v>6.274349</v>
      </c>
      <c r="J6709" s="195">
        <v>2.6013280000000001</v>
      </c>
      <c r="K6709" s="195">
        <v>1.43513</v>
      </c>
      <c r="L6709" s="195">
        <v>0.79104379999999996</v>
      </c>
      <c r="M6709" s="195">
        <v>0.25338899999999998</v>
      </c>
      <c r="N6709" s="195">
        <v>0.119614</v>
      </c>
    </row>
    <row r="6710" spans="1:14" hidden="1" x14ac:dyDescent="0.35">
      <c r="A6710" s="52" t="s">
        <v>748</v>
      </c>
      <c r="B6710" s="52" t="s">
        <v>74</v>
      </c>
      <c r="C6710" s="52" t="s">
        <v>146</v>
      </c>
      <c r="D6710" s="52" t="s">
        <v>197</v>
      </c>
      <c r="E6710" s="52" t="s">
        <v>584</v>
      </c>
      <c r="F6710" s="52" t="s">
        <v>581</v>
      </c>
      <c r="G6710" s="195" t="s">
        <v>277</v>
      </c>
      <c r="H6710" s="195">
        <v>10</v>
      </c>
      <c r="I6710" s="195">
        <v>0.13213349999999999</v>
      </c>
      <c r="J6710" s="195">
        <v>0.1196485</v>
      </c>
      <c r="K6710" s="195">
        <v>0.13814789999999999</v>
      </c>
      <c r="L6710" s="195">
        <v>0.16039539999999999</v>
      </c>
      <c r="M6710" s="195">
        <v>0.15193219999999999</v>
      </c>
      <c r="N6710" s="195">
        <v>3.3426200000000003E-2</v>
      </c>
    </row>
    <row r="6711" spans="1:14" hidden="1" x14ac:dyDescent="0.35">
      <c r="A6711" s="52" t="s">
        <v>748</v>
      </c>
      <c r="B6711" s="52" t="s">
        <v>74</v>
      </c>
      <c r="C6711" s="52" t="s">
        <v>146</v>
      </c>
      <c r="D6711" s="52" t="s">
        <v>197</v>
      </c>
      <c r="E6711" s="52" t="s">
        <v>584</v>
      </c>
      <c r="F6711" s="52" t="s">
        <v>581</v>
      </c>
      <c r="G6711" s="195" t="s">
        <v>278</v>
      </c>
      <c r="H6711" s="195">
        <v>1.2226000000000001E-2</v>
      </c>
      <c r="I6711" s="195">
        <v>1.6694500000000001E-2</v>
      </c>
      <c r="J6711" s="195">
        <v>1.6694500000000001E-2</v>
      </c>
      <c r="K6711" s="195">
        <v>1.6694500000000001E-2</v>
      </c>
      <c r="L6711" s="195">
        <v>1.6694500000000001E-2</v>
      </c>
      <c r="M6711" s="195">
        <v>0.104975</v>
      </c>
      <c r="N6711" s="195">
        <v>1.6694500000000001E-2</v>
      </c>
    </row>
    <row r="6712" spans="1:14" hidden="1" x14ac:dyDescent="0.35">
      <c r="A6712" s="52" t="s">
        <v>748</v>
      </c>
      <c r="B6712" s="52" t="s">
        <v>74</v>
      </c>
      <c r="C6712" s="52" t="s">
        <v>146</v>
      </c>
      <c r="D6712" s="52" t="s">
        <v>197</v>
      </c>
      <c r="E6712" s="52" t="s">
        <v>584</v>
      </c>
      <c r="F6712" s="52" t="s">
        <v>581</v>
      </c>
      <c r="G6712" s="195" t="s">
        <v>279</v>
      </c>
      <c r="H6712" s="195">
        <v>2.2867769999999998</v>
      </c>
      <c r="I6712" s="195">
        <v>4.7372009999999998</v>
      </c>
      <c r="J6712" s="195">
        <v>2.9400909999999998</v>
      </c>
      <c r="K6712" s="195">
        <v>2.3925879999999999</v>
      </c>
      <c r="L6712" s="195">
        <v>1.8741829999999999</v>
      </c>
      <c r="M6712" s="195">
        <v>1.537088</v>
      </c>
      <c r="N6712" s="195">
        <v>1.3424199999999999</v>
      </c>
    </row>
    <row r="6713" spans="1:14" hidden="1" x14ac:dyDescent="0.35">
      <c r="A6713" s="52" t="s">
        <v>748</v>
      </c>
      <c r="B6713" s="52" t="s">
        <v>74</v>
      </c>
      <c r="C6713" s="52" t="s">
        <v>146</v>
      </c>
      <c r="D6713" s="52" t="s">
        <v>197</v>
      </c>
      <c r="E6713" s="52" t="s">
        <v>584</v>
      </c>
      <c r="F6713" s="52" t="s">
        <v>26</v>
      </c>
      <c r="G6713" s="195" t="s">
        <v>275</v>
      </c>
      <c r="H6713" s="195">
        <v>0</v>
      </c>
      <c r="I6713" s="195">
        <v>3.9016799999999997E-2</v>
      </c>
      <c r="J6713" s="195"/>
      <c r="K6713" s="195">
        <v>3.2401100000000002E-2</v>
      </c>
      <c r="L6713" s="195">
        <v>0.11413619999999999</v>
      </c>
      <c r="M6713" s="195">
        <v>8.7045499999999998E-2</v>
      </c>
      <c r="N6713" s="195">
        <v>6.2769699999999998E-2</v>
      </c>
    </row>
    <row r="6714" spans="1:14" hidden="1" x14ac:dyDescent="0.35">
      <c r="A6714" s="52" t="s">
        <v>748</v>
      </c>
      <c r="B6714" s="52" t="s">
        <v>74</v>
      </c>
      <c r="C6714" s="52" t="s">
        <v>146</v>
      </c>
      <c r="D6714" s="52" t="s">
        <v>197</v>
      </c>
      <c r="E6714" s="52" t="s">
        <v>584</v>
      </c>
      <c r="F6714" s="52" t="s">
        <v>26</v>
      </c>
      <c r="G6714" s="195" t="s">
        <v>276</v>
      </c>
      <c r="H6714" s="195">
        <v>0</v>
      </c>
      <c r="I6714" s="195">
        <v>2.6010800000000001E-2</v>
      </c>
      <c r="J6714" s="195"/>
      <c r="K6714" s="195">
        <v>2.16007E-2</v>
      </c>
      <c r="L6714" s="195">
        <v>7.6090699999999997E-2</v>
      </c>
      <c r="M6714" s="195">
        <v>5.8030199999999997E-2</v>
      </c>
      <c r="N6714" s="195">
        <v>4.1846300000000003E-2</v>
      </c>
    </row>
    <row r="6715" spans="1:14" hidden="1" x14ac:dyDescent="0.35">
      <c r="A6715" s="52" t="s">
        <v>748</v>
      </c>
      <c r="B6715" s="52" t="s">
        <v>74</v>
      </c>
      <c r="C6715" s="52" t="s">
        <v>146</v>
      </c>
      <c r="D6715" s="52" t="s">
        <v>197</v>
      </c>
      <c r="E6715" s="52" t="s">
        <v>584</v>
      </c>
      <c r="F6715" s="52" t="s">
        <v>26</v>
      </c>
      <c r="G6715" s="195" t="s">
        <v>279</v>
      </c>
      <c r="H6715" s="195">
        <v>0</v>
      </c>
      <c r="I6715" s="195">
        <v>2.77056E-2</v>
      </c>
      <c r="J6715" s="195"/>
      <c r="K6715" s="195">
        <v>2.07548E-2</v>
      </c>
      <c r="L6715" s="195">
        <v>6.3289999999999999E-2</v>
      </c>
      <c r="M6715" s="195">
        <v>4.7935800000000001E-2</v>
      </c>
      <c r="N6715" s="195">
        <v>3.4446600000000001E-2</v>
      </c>
    </row>
    <row r="6716" spans="1:14" hidden="1" x14ac:dyDescent="0.35">
      <c r="A6716" s="52" t="s">
        <v>748</v>
      </c>
      <c r="B6716" s="52" t="s">
        <v>74</v>
      </c>
      <c r="C6716" s="52" t="s">
        <v>146</v>
      </c>
      <c r="D6716" s="52" t="s">
        <v>147</v>
      </c>
      <c r="E6716" s="52" t="s">
        <v>584</v>
      </c>
      <c r="F6716" s="52" t="s">
        <v>581</v>
      </c>
      <c r="G6716" s="195" t="s">
        <v>275</v>
      </c>
      <c r="H6716" s="195">
        <v>2.378784</v>
      </c>
      <c r="I6716" s="195">
        <v>-3.8801580000000002</v>
      </c>
      <c r="J6716" s="195">
        <v>-2.7775629999999998</v>
      </c>
      <c r="K6716" s="195">
        <v>-2.1276030000000001</v>
      </c>
      <c r="L6716" s="195">
        <v>-1.7533449999999999</v>
      </c>
      <c r="M6716" s="195">
        <v>-1.1670469999999999</v>
      </c>
      <c r="N6716" s="195">
        <v>-0.96697</v>
      </c>
    </row>
    <row r="6717" spans="1:14" hidden="1" x14ac:dyDescent="0.35">
      <c r="A6717" s="52" t="s">
        <v>748</v>
      </c>
      <c r="B6717" s="52" t="s">
        <v>74</v>
      </c>
      <c r="C6717" s="52" t="s">
        <v>146</v>
      </c>
      <c r="D6717" s="52" t="s">
        <v>147</v>
      </c>
      <c r="E6717" s="52" t="s">
        <v>584</v>
      </c>
      <c r="F6717" s="52" t="s">
        <v>581</v>
      </c>
      <c r="G6717" s="195" t="s">
        <v>276</v>
      </c>
      <c r="H6717" s="195">
        <v>1.248828</v>
      </c>
      <c r="I6717" s="195">
        <v>-3.0679500000000002</v>
      </c>
      <c r="J6717" s="195">
        <v>-2.1194709999999999</v>
      </c>
      <c r="K6717" s="195">
        <v>-1.567016</v>
      </c>
      <c r="L6717" s="195">
        <v>-1.2453970000000001</v>
      </c>
      <c r="M6717" s="195">
        <v>-0.78171679999999999</v>
      </c>
      <c r="N6717" s="195">
        <v>-0.64833200000000002</v>
      </c>
    </row>
    <row r="6718" spans="1:14" hidden="1" x14ac:dyDescent="0.35">
      <c r="A6718" s="52" t="s">
        <v>748</v>
      </c>
      <c r="B6718" s="52" t="s">
        <v>74</v>
      </c>
      <c r="C6718" s="52" t="s">
        <v>146</v>
      </c>
      <c r="D6718" s="52" t="s">
        <v>147</v>
      </c>
      <c r="E6718" s="52" t="s">
        <v>584</v>
      </c>
      <c r="F6718" s="52" t="s">
        <v>581</v>
      </c>
      <c r="G6718" s="195" t="s">
        <v>277</v>
      </c>
      <c r="H6718" s="195">
        <v>3.2354699999999998</v>
      </c>
      <c r="I6718" s="195">
        <v>4.6193179999999998</v>
      </c>
      <c r="J6718" s="195">
        <v>2.5351360000000001</v>
      </c>
      <c r="K6718" s="195">
        <v>1.3913120000000001</v>
      </c>
      <c r="L6718" s="195">
        <v>0.69902719999999996</v>
      </c>
      <c r="M6718" s="195"/>
      <c r="N6718" s="195">
        <v>0</v>
      </c>
    </row>
    <row r="6719" spans="1:14" hidden="1" x14ac:dyDescent="0.35">
      <c r="A6719" s="52" t="s">
        <v>748</v>
      </c>
      <c r="B6719" s="52" t="s">
        <v>74</v>
      </c>
      <c r="C6719" s="52" t="s">
        <v>146</v>
      </c>
      <c r="D6719" s="52" t="s">
        <v>147</v>
      </c>
      <c r="E6719" s="52" t="s">
        <v>584</v>
      </c>
      <c r="F6719" s="52" t="s">
        <v>581</v>
      </c>
      <c r="G6719" s="195" t="s">
        <v>278</v>
      </c>
      <c r="H6719" s="195">
        <v>2.6988799999999999E-3</v>
      </c>
      <c r="I6719" s="195">
        <v>3.68528E-3</v>
      </c>
      <c r="J6719" s="195">
        <v>3.68528E-3</v>
      </c>
      <c r="K6719" s="195">
        <v>3.68528E-3</v>
      </c>
      <c r="L6719" s="195">
        <v>3.68528E-3</v>
      </c>
      <c r="M6719" s="195">
        <v>3.68528E-3</v>
      </c>
      <c r="N6719" s="195">
        <v>3.68528E-3</v>
      </c>
    </row>
    <row r="6720" spans="1:14" hidden="1" x14ac:dyDescent="0.35">
      <c r="A6720" s="52" t="s">
        <v>748</v>
      </c>
      <c r="B6720" s="52" t="s">
        <v>74</v>
      </c>
      <c r="C6720" s="52" t="s">
        <v>146</v>
      </c>
      <c r="D6720" s="52" t="s">
        <v>147</v>
      </c>
      <c r="E6720" s="52" t="s">
        <v>584</v>
      </c>
      <c r="F6720" s="52" t="s">
        <v>581</v>
      </c>
      <c r="G6720" s="195" t="s">
        <v>279</v>
      </c>
      <c r="H6720" s="195">
        <v>10.70041</v>
      </c>
      <c r="I6720" s="195">
        <v>9.9443780000000004</v>
      </c>
      <c r="J6720" s="195">
        <v>10.890090000000001</v>
      </c>
      <c r="K6720" s="195">
        <v>9.3537879999999998</v>
      </c>
      <c r="L6720" s="195">
        <v>7.8674030000000004</v>
      </c>
      <c r="M6720" s="195">
        <v>6.63687</v>
      </c>
      <c r="N6720" s="195">
        <v>5.4845360000000003</v>
      </c>
    </row>
    <row r="6721" spans="1:14" hidden="1" x14ac:dyDescent="0.35">
      <c r="A6721" s="52" t="s">
        <v>748</v>
      </c>
      <c r="B6721" s="52" t="s">
        <v>74</v>
      </c>
      <c r="C6721" s="52" t="s">
        <v>146</v>
      </c>
      <c r="D6721" s="52" t="s">
        <v>147</v>
      </c>
      <c r="E6721" s="52" t="s">
        <v>584</v>
      </c>
      <c r="F6721" s="52" t="s">
        <v>26</v>
      </c>
      <c r="G6721" s="195" t="s">
        <v>275</v>
      </c>
      <c r="H6721" s="195">
        <v>0.2070507</v>
      </c>
      <c r="I6721" s="195">
        <v>0.1459259</v>
      </c>
      <c r="J6721" s="195">
        <v>0.200847</v>
      </c>
      <c r="K6721" s="195">
        <v>0.22016369999999999</v>
      </c>
      <c r="L6721" s="195">
        <v>0.1792079</v>
      </c>
      <c r="M6721" s="195">
        <v>0.1562267</v>
      </c>
      <c r="N6721" s="195">
        <v>0.1330045</v>
      </c>
    </row>
    <row r="6722" spans="1:14" hidden="1" x14ac:dyDescent="0.35">
      <c r="A6722" s="52" t="s">
        <v>748</v>
      </c>
      <c r="B6722" s="52" t="s">
        <v>74</v>
      </c>
      <c r="C6722" s="52" t="s">
        <v>146</v>
      </c>
      <c r="D6722" s="52" t="s">
        <v>147</v>
      </c>
      <c r="E6722" s="52" t="s">
        <v>584</v>
      </c>
      <c r="F6722" s="52" t="s">
        <v>26</v>
      </c>
      <c r="G6722" s="195" t="s">
        <v>276</v>
      </c>
      <c r="H6722" s="195">
        <v>0.13803380000000001</v>
      </c>
      <c r="I6722" s="195">
        <v>9.7284380000000004E-2</v>
      </c>
      <c r="J6722" s="195">
        <v>0.1338973</v>
      </c>
      <c r="K6722" s="195">
        <v>0.14677609999999999</v>
      </c>
      <c r="L6722" s="195">
        <v>0.1194721</v>
      </c>
      <c r="M6722" s="195">
        <v>0.1041513</v>
      </c>
      <c r="N6722" s="195">
        <v>8.8669869999999998E-2</v>
      </c>
    </row>
    <row r="6723" spans="1:14" hidden="1" x14ac:dyDescent="0.35">
      <c r="A6723" s="52" t="s">
        <v>748</v>
      </c>
      <c r="B6723" s="52" t="s">
        <v>74</v>
      </c>
      <c r="C6723" s="52" t="s">
        <v>146</v>
      </c>
      <c r="D6723" s="52" t="s">
        <v>147</v>
      </c>
      <c r="E6723" s="52" t="s">
        <v>584</v>
      </c>
      <c r="F6723" s="52" t="s">
        <v>26</v>
      </c>
      <c r="G6723" s="195" t="s">
        <v>279</v>
      </c>
      <c r="H6723" s="195">
        <v>0.18327080000000001</v>
      </c>
      <c r="I6723" s="195">
        <v>0.19122500000000001</v>
      </c>
      <c r="J6723" s="195">
        <v>0.25282339999999998</v>
      </c>
      <c r="K6723" s="195">
        <v>0.25499820000000001</v>
      </c>
      <c r="L6723" s="195">
        <v>0.19198850000000001</v>
      </c>
      <c r="M6723" s="195">
        <v>0.15313189999999999</v>
      </c>
      <c r="N6723" s="195">
        <v>0.119702</v>
      </c>
    </row>
    <row r="6724" spans="1:14" hidden="1" x14ac:dyDescent="0.35">
      <c r="A6724" s="52" t="s">
        <v>748</v>
      </c>
      <c r="B6724" s="52" t="s">
        <v>74</v>
      </c>
      <c r="C6724" s="52" t="s">
        <v>318</v>
      </c>
      <c r="D6724" s="52" t="s">
        <v>318</v>
      </c>
      <c r="E6724" s="52" t="s">
        <v>584</v>
      </c>
      <c r="F6724" s="52" t="s">
        <v>581</v>
      </c>
      <c r="G6724" s="195" t="s">
        <v>275</v>
      </c>
      <c r="H6724" s="195">
        <v>0.201546</v>
      </c>
      <c r="I6724" s="195">
        <v>0</v>
      </c>
      <c r="J6724" s="195"/>
      <c r="K6724" s="195"/>
      <c r="L6724" s="195"/>
      <c r="M6724" s="195"/>
      <c r="N6724" s="195"/>
    </row>
    <row r="6725" spans="1:14" hidden="1" x14ac:dyDescent="0.35">
      <c r="A6725" s="52" t="s">
        <v>748</v>
      </c>
      <c r="B6725" s="52" t="s">
        <v>74</v>
      </c>
      <c r="C6725" s="52" t="s">
        <v>318</v>
      </c>
      <c r="D6725" s="52" t="s">
        <v>318</v>
      </c>
      <c r="E6725" s="52" t="s">
        <v>584</v>
      </c>
      <c r="F6725" s="52" t="s">
        <v>581</v>
      </c>
      <c r="G6725" s="195" t="s">
        <v>278</v>
      </c>
      <c r="H6725" s="195">
        <v>-0.201546</v>
      </c>
      <c r="I6725" s="195">
        <v>0</v>
      </c>
      <c r="J6725" s="195"/>
      <c r="K6725" s="195"/>
      <c r="L6725" s="195"/>
      <c r="M6725" s="195"/>
      <c r="N6725" s="195"/>
    </row>
    <row r="6726" spans="1:14" hidden="1" x14ac:dyDescent="0.35">
      <c r="A6726" s="52" t="s">
        <v>748</v>
      </c>
      <c r="B6726" s="52" t="s">
        <v>74</v>
      </c>
      <c r="C6726" s="52" t="s">
        <v>318</v>
      </c>
      <c r="D6726" s="52" t="s">
        <v>318</v>
      </c>
      <c r="E6726" s="52" t="s">
        <v>584</v>
      </c>
      <c r="F6726" s="52" t="s">
        <v>26</v>
      </c>
      <c r="G6726" s="195" t="s">
        <v>275</v>
      </c>
      <c r="H6726" s="195">
        <v>0.13436799999999999</v>
      </c>
      <c r="I6726" s="195">
        <v>0</v>
      </c>
      <c r="J6726" s="195"/>
      <c r="K6726" s="195"/>
      <c r="L6726" s="195"/>
      <c r="M6726" s="195"/>
      <c r="N6726" s="195"/>
    </row>
    <row r="6727" spans="1:14" hidden="1" x14ac:dyDescent="0.35">
      <c r="A6727" s="52" t="s">
        <v>748</v>
      </c>
      <c r="B6727" s="52" t="s">
        <v>74</v>
      </c>
      <c r="C6727" s="52" t="s">
        <v>318</v>
      </c>
      <c r="D6727" s="52" t="s">
        <v>318</v>
      </c>
      <c r="E6727" s="52" t="s">
        <v>584</v>
      </c>
      <c r="F6727" s="52" t="s">
        <v>26</v>
      </c>
      <c r="G6727" s="195" t="s">
        <v>278</v>
      </c>
      <c r="H6727" s="195">
        <v>-0.13436799999999999</v>
      </c>
      <c r="I6727" s="195">
        <v>0</v>
      </c>
      <c r="J6727" s="195"/>
      <c r="K6727" s="195"/>
      <c r="L6727" s="195"/>
      <c r="M6727" s="195"/>
      <c r="N6727" s="195"/>
    </row>
    <row r="6728" spans="1:14" hidden="1" x14ac:dyDescent="0.35">
      <c r="A6728" s="52" t="s">
        <v>748</v>
      </c>
      <c r="B6728" s="52" t="s">
        <v>59</v>
      </c>
      <c r="C6728" s="52" t="s">
        <v>58</v>
      </c>
      <c r="D6728" s="52" t="s">
        <v>58</v>
      </c>
      <c r="E6728" s="52" t="s">
        <v>584</v>
      </c>
      <c r="F6728" s="52" t="s">
        <v>581</v>
      </c>
      <c r="G6728" s="195" t="s">
        <v>275</v>
      </c>
      <c r="H6728" s="195">
        <v>1.3836970000000001E-2</v>
      </c>
      <c r="I6728" s="195">
        <v>-32.159860000000002</v>
      </c>
      <c r="J6728" s="195">
        <v>-31.859770000000001</v>
      </c>
      <c r="K6728" s="195">
        <v>-1.3645E-3</v>
      </c>
      <c r="L6728" s="195">
        <v>-4.9240029999999999</v>
      </c>
      <c r="M6728" s="195">
        <v>-14.63635</v>
      </c>
      <c r="N6728" s="195">
        <v>-1.41472</v>
      </c>
    </row>
    <row r="6729" spans="1:14" hidden="1" x14ac:dyDescent="0.35">
      <c r="A6729" s="52" t="s">
        <v>748</v>
      </c>
      <c r="B6729" s="52" t="s">
        <v>59</v>
      </c>
      <c r="C6729" s="52" t="s">
        <v>58</v>
      </c>
      <c r="D6729" s="52" t="s">
        <v>58</v>
      </c>
      <c r="E6729" s="52" t="s">
        <v>584</v>
      </c>
      <c r="F6729" s="52" t="s">
        <v>581</v>
      </c>
      <c r="G6729" s="195" t="s">
        <v>276</v>
      </c>
      <c r="H6729" s="195">
        <v>11.10299</v>
      </c>
      <c r="I6729" s="195">
        <v>3.8640759999999998</v>
      </c>
      <c r="J6729" s="195">
        <v>2.7214130000000001</v>
      </c>
      <c r="K6729" s="195"/>
      <c r="L6729" s="195"/>
      <c r="M6729" s="195"/>
      <c r="N6729" s="195">
        <v>0</v>
      </c>
    </row>
    <row r="6730" spans="1:14" hidden="1" x14ac:dyDescent="0.35">
      <c r="A6730" s="52" t="s">
        <v>748</v>
      </c>
      <c r="B6730" s="52" t="s">
        <v>59</v>
      </c>
      <c r="C6730" s="52" t="s">
        <v>58</v>
      </c>
      <c r="D6730" s="52" t="s">
        <v>58</v>
      </c>
      <c r="E6730" s="52" t="s">
        <v>584</v>
      </c>
      <c r="F6730" s="52" t="s">
        <v>581</v>
      </c>
      <c r="G6730" s="195" t="s">
        <v>277</v>
      </c>
      <c r="H6730" s="195">
        <v>13.223050000000001</v>
      </c>
      <c r="I6730" s="195">
        <v>2.5321509999999998</v>
      </c>
      <c r="J6730" s="195">
        <v>0</v>
      </c>
      <c r="K6730" s="195">
        <v>0</v>
      </c>
      <c r="L6730" s="195">
        <v>0</v>
      </c>
      <c r="M6730" s="195">
        <v>0</v>
      </c>
      <c r="N6730" s="195">
        <v>0</v>
      </c>
    </row>
    <row r="6731" spans="1:14" hidden="1" x14ac:dyDescent="0.35">
      <c r="A6731" s="52" t="s">
        <v>748</v>
      </c>
      <c r="B6731" s="52" t="s">
        <v>59</v>
      </c>
      <c r="C6731" s="52" t="s">
        <v>58</v>
      </c>
      <c r="D6731" s="52" t="s">
        <v>58</v>
      </c>
      <c r="E6731" s="52" t="s">
        <v>584</v>
      </c>
      <c r="F6731" s="52" t="s">
        <v>581</v>
      </c>
      <c r="G6731" s="195" t="s">
        <v>278</v>
      </c>
      <c r="H6731" s="195">
        <v>8.5068500000000005E-2</v>
      </c>
      <c r="I6731" s="195">
        <v>8.5068489999999997E-2</v>
      </c>
      <c r="J6731" s="195">
        <v>0</v>
      </c>
      <c r="K6731" s="195">
        <v>0</v>
      </c>
      <c r="L6731" s="195">
        <v>0</v>
      </c>
      <c r="M6731" s="195">
        <v>0</v>
      </c>
      <c r="N6731" s="195">
        <v>0</v>
      </c>
    </row>
    <row r="6732" spans="1:14" hidden="1" x14ac:dyDescent="0.35">
      <c r="A6732" s="52" t="s">
        <v>748</v>
      </c>
      <c r="B6732" s="52" t="s">
        <v>59</v>
      </c>
      <c r="C6732" s="52" t="s">
        <v>58</v>
      </c>
      <c r="D6732" s="52" t="s">
        <v>58</v>
      </c>
      <c r="E6732" s="52" t="s">
        <v>584</v>
      </c>
      <c r="F6732" s="52" t="s">
        <v>581</v>
      </c>
      <c r="G6732" s="195" t="s">
        <v>279</v>
      </c>
      <c r="H6732" s="195">
        <v>70.601479999999995</v>
      </c>
      <c r="I6732" s="195">
        <v>56.840260000000001</v>
      </c>
      <c r="J6732" s="195">
        <v>51.437559999999998</v>
      </c>
      <c r="K6732" s="195">
        <v>1.3699999999999999E-3</v>
      </c>
      <c r="L6732" s="195">
        <v>4.9240069999999996</v>
      </c>
      <c r="M6732" s="195">
        <v>14.63635</v>
      </c>
      <c r="N6732" s="195">
        <v>1.4147190000000001</v>
      </c>
    </row>
    <row r="6733" spans="1:14" hidden="1" x14ac:dyDescent="0.35">
      <c r="A6733" s="52" t="s">
        <v>748</v>
      </c>
      <c r="B6733" s="52" t="s">
        <v>59</v>
      </c>
      <c r="C6733" s="52" t="s">
        <v>58</v>
      </c>
      <c r="D6733" s="52" t="s">
        <v>58</v>
      </c>
      <c r="E6733" s="52" t="s">
        <v>584</v>
      </c>
      <c r="F6733" s="52" t="s">
        <v>26</v>
      </c>
      <c r="G6733" s="195" t="s">
        <v>275</v>
      </c>
      <c r="H6733" s="195">
        <v>-1.7651600000000001</v>
      </c>
      <c r="I6733" s="195">
        <v>0</v>
      </c>
      <c r="J6733" s="195">
        <v>0</v>
      </c>
      <c r="K6733" s="195">
        <v>0</v>
      </c>
      <c r="L6733" s="195">
        <v>0</v>
      </c>
      <c r="M6733" s="195">
        <v>0</v>
      </c>
      <c r="N6733" s="195">
        <v>0</v>
      </c>
    </row>
    <row r="6734" spans="1:14" hidden="1" x14ac:dyDescent="0.35">
      <c r="A6734" s="52" t="s">
        <v>748</v>
      </c>
      <c r="B6734" s="52" t="s">
        <v>59</v>
      </c>
      <c r="C6734" s="52" t="s">
        <v>58</v>
      </c>
      <c r="D6734" s="52" t="s">
        <v>58</v>
      </c>
      <c r="E6734" s="52" t="s">
        <v>584</v>
      </c>
      <c r="F6734" s="52" t="s">
        <v>26</v>
      </c>
      <c r="G6734" s="195" t="s">
        <v>276</v>
      </c>
      <c r="H6734" s="195">
        <v>0.45230399999999998</v>
      </c>
      <c r="I6734" s="195">
        <v>0</v>
      </c>
      <c r="J6734" s="195"/>
      <c r="K6734" s="195"/>
      <c r="L6734" s="195"/>
      <c r="M6734" s="195"/>
      <c r="N6734" s="195"/>
    </row>
    <row r="6735" spans="1:14" hidden="1" x14ac:dyDescent="0.35">
      <c r="A6735" s="52" t="s">
        <v>748</v>
      </c>
      <c r="B6735" s="52" t="s">
        <v>59</v>
      </c>
      <c r="C6735" s="52" t="s">
        <v>58</v>
      </c>
      <c r="D6735" s="52" t="s">
        <v>58</v>
      </c>
      <c r="E6735" s="52" t="s">
        <v>584</v>
      </c>
      <c r="F6735" s="52" t="s">
        <v>26</v>
      </c>
      <c r="G6735" s="195" t="s">
        <v>277</v>
      </c>
      <c r="H6735" s="195"/>
      <c r="I6735" s="195"/>
      <c r="J6735" s="195"/>
      <c r="K6735" s="195"/>
      <c r="L6735" s="195"/>
      <c r="M6735" s="195"/>
      <c r="N6735" s="195">
        <v>0</v>
      </c>
    </row>
    <row r="6736" spans="1:14" hidden="1" x14ac:dyDescent="0.35">
      <c r="A6736" s="52" t="s">
        <v>748</v>
      </c>
      <c r="B6736" s="52" t="s">
        <v>59</v>
      </c>
      <c r="C6736" s="52" t="s">
        <v>58</v>
      </c>
      <c r="D6736" s="52" t="s">
        <v>58</v>
      </c>
      <c r="E6736" s="52" t="s">
        <v>584</v>
      </c>
      <c r="F6736" s="52" t="s">
        <v>26</v>
      </c>
      <c r="G6736" s="195" t="s">
        <v>278</v>
      </c>
      <c r="H6736" s="195"/>
      <c r="I6736" s="195"/>
      <c r="J6736" s="195">
        <v>0</v>
      </c>
      <c r="K6736" s="195">
        <v>0</v>
      </c>
      <c r="L6736" s="195">
        <v>0</v>
      </c>
      <c r="M6736" s="195">
        <v>0</v>
      </c>
      <c r="N6736" s="195">
        <v>0</v>
      </c>
    </row>
    <row r="6737" spans="1:14" hidden="1" x14ac:dyDescent="0.35">
      <c r="A6737" s="52" t="s">
        <v>748</v>
      </c>
      <c r="B6737" s="52" t="s">
        <v>59</v>
      </c>
      <c r="C6737" s="52" t="s">
        <v>58</v>
      </c>
      <c r="D6737" s="52" t="s">
        <v>58</v>
      </c>
      <c r="E6737" s="52" t="s">
        <v>584</v>
      </c>
      <c r="F6737" s="52" t="s">
        <v>26</v>
      </c>
      <c r="G6737" s="195" t="s">
        <v>279</v>
      </c>
      <c r="H6737" s="195">
        <v>2.5031310000000002</v>
      </c>
      <c r="I6737" s="195">
        <v>0</v>
      </c>
      <c r="J6737" s="195"/>
      <c r="K6737" s="195"/>
      <c r="L6737" s="195"/>
      <c r="M6737" s="195"/>
      <c r="N6737" s="195"/>
    </row>
    <row r="6738" spans="1:14" hidden="1" x14ac:dyDescent="0.35">
      <c r="A6738" s="52" t="s">
        <v>748</v>
      </c>
      <c r="B6738" s="52" t="s">
        <v>59</v>
      </c>
      <c r="C6738" s="52" t="s">
        <v>161</v>
      </c>
      <c r="D6738" s="52" t="s">
        <v>161</v>
      </c>
      <c r="E6738" s="52" t="s">
        <v>584</v>
      </c>
      <c r="F6738" s="52" t="s">
        <v>581</v>
      </c>
      <c r="G6738" s="195" t="s">
        <v>275</v>
      </c>
      <c r="H6738" s="195">
        <v>11.13143</v>
      </c>
      <c r="I6738" s="195">
        <v>-1.8626609999999999</v>
      </c>
      <c r="J6738" s="195">
        <v>-2.4239869999999999</v>
      </c>
      <c r="K6738" s="195">
        <v>-2.5716610000000002</v>
      </c>
      <c r="L6738" s="195">
        <v>-0.61037419999999998</v>
      </c>
      <c r="M6738" s="195">
        <v>0</v>
      </c>
      <c r="N6738" s="195"/>
    </row>
    <row r="6739" spans="1:14" hidden="1" x14ac:dyDescent="0.35">
      <c r="A6739" s="52" t="s">
        <v>748</v>
      </c>
      <c r="B6739" s="52" t="s">
        <v>59</v>
      </c>
      <c r="C6739" s="52" t="s">
        <v>161</v>
      </c>
      <c r="D6739" s="52" t="s">
        <v>161</v>
      </c>
      <c r="E6739" s="52" t="s">
        <v>584</v>
      </c>
      <c r="F6739" s="52" t="s">
        <v>581</v>
      </c>
      <c r="G6739" s="195" t="s">
        <v>276</v>
      </c>
      <c r="H6739" s="195">
        <v>0.7355334</v>
      </c>
      <c r="I6739" s="195">
        <v>0</v>
      </c>
      <c r="J6739" s="195"/>
      <c r="K6739" s="195"/>
      <c r="L6739" s="195"/>
      <c r="M6739" s="195"/>
      <c r="N6739" s="195"/>
    </row>
    <row r="6740" spans="1:14" hidden="1" x14ac:dyDescent="0.35">
      <c r="A6740" s="52" t="s">
        <v>748</v>
      </c>
      <c r="B6740" s="52" t="s">
        <v>59</v>
      </c>
      <c r="C6740" s="52" t="s">
        <v>161</v>
      </c>
      <c r="D6740" s="52" t="s">
        <v>161</v>
      </c>
      <c r="E6740" s="52" t="s">
        <v>584</v>
      </c>
      <c r="F6740" s="52" t="s">
        <v>581</v>
      </c>
      <c r="G6740" s="195" t="s">
        <v>277</v>
      </c>
      <c r="H6740" s="195">
        <v>0.47516350000000002</v>
      </c>
      <c r="I6740" s="195">
        <v>0.34910750000000002</v>
      </c>
      <c r="J6740" s="195">
        <v>0.25166189999999999</v>
      </c>
      <c r="K6740" s="195">
        <v>0.17489489999999999</v>
      </c>
      <c r="L6740" s="195"/>
      <c r="M6740" s="195"/>
      <c r="N6740" s="195"/>
    </row>
    <row r="6741" spans="1:14" hidden="1" x14ac:dyDescent="0.35">
      <c r="A6741" s="52" t="s">
        <v>748</v>
      </c>
      <c r="B6741" s="52" t="s">
        <v>59</v>
      </c>
      <c r="C6741" s="52" t="s">
        <v>161</v>
      </c>
      <c r="D6741" s="52" t="s">
        <v>161</v>
      </c>
      <c r="E6741" s="52" t="s">
        <v>584</v>
      </c>
      <c r="F6741" s="52" t="s">
        <v>581</v>
      </c>
      <c r="G6741" s="195" t="s">
        <v>279</v>
      </c>
      <c r="H6741" s="195">
        <v>11.63786</v>
      </c>
      <c r="I6741" s="195">
        <v>6.3397639999999997</v>
      </c>
      <c r="J6741" s="195">
        <v>5.2440319999999998</v>
      </c>
      <c r="K6741" s="195">
        <v>4.5848500000000003</v>
      </c>
      <c r="L6741" s="195">
        <v>0.94713360000000002</v>
      </c>
      <c r="M6741" s="195"/>
      <c r="N6741" s="195"/>
    </row>
    <row r="6742" spans="1:14" hidden="1" x14ac:dyDescent="0.35">
      <c r="A6742" s="52" t="s">
        <v>748</v>
      </c>
      <c r="B6742" s="52" t="s">
        <v>59</v>
      </c>
      <c r="C6742" s="52" t="s">
        <v>161</v>
      </c>
      <c r="D6742" s="52" t="s">
        <v>161</v>
      </c>
      <c r="E6742" s="52" t="s">
        <v>584</v>
      </c>
      <c r="F6742" s="52" t="s">
        <v>26</v>
      </c>
      <c r="G6742" s="195" t="s">
        <v>275</v>
      </c>
      <c r="H6742" s="195">
        <v>-1.765641</v>
      </c>
      <c r="I6742" s="195">
        <v>-0.42466870000000001</v>
      </c>
      <c r="J6742" s="195">
        <v>0.2753157</v>
      </c>
      <c r="K6742" s="195">
        <v>-0.24267349999999999</v>
      </c>
      <c r="L6742" s="195">
        <v>-2.95687E-2</v>
      </c>
      <c r="M6742" s="195">
        <v>0</v>
      </c>
      <c r="N6742" s="195"/>
    </row>
    <row r="6743" spans="1:14" hidden="1" x14ac:dyDescent="0.35">
      <c r="A6743" s="52" t="s">
        <v>748</v>
      </c>
      <c r="B6743" s="52" t="s">
        <v>59</v>
      </c>
      <c r="C6743" s="52" t="s">
        <v>161</v>
      </c>
      <c r="D6743" s="52" t="s">
        <v>161</v>
      </c>
      <c r="E6743" s="52" t="s">
        <v>584</v>
      </c>
      <c r="F6743" s="52" t="s">
        <v>26</v>
      </c>
      <c r="G6743" s="195" t="s">
        <v>276</v>
      </c>
      <c r="H6743" s="195">
        <v>1.7905690000000001</v>
      </c>
      <c r="I6743" s="195">
        <v>0.84175809999999995</v>
      </c>
      <c r="J6743" s="195"/>
      <c r="K6743" s="195"/>
      <c r="L6743" s="195">
        <v>0</v>
      </c>
      <c r="M6743" s="195"/>
      <c r="N6743" s="195"/>
    </row>
    <row r="6744" spans="1:14" hidden="1" x14ac:dyDescent="0.35">
      <c r="A6744" s="52" t="s">
        <v>748</v>
      </c>
      <c r="B6744" s="52" t="s">
        <v>59</v>
      </c>
      <c r="C6744" s="52" t="s">
        <v>161</v>
      </c>
      <c r="D6744" s="52" t="s">
        <v>161</v>
      </c>
      <c r="E6744" s="52" t="s">
        <v>584</v>
      </c>
      <c r="F6744" s="52" t="s">
        <v>26</v>
      </c>
      <c r="G6744" s="195" t="s">
        <v>279</v>
      </c>
      <c r="H6744" s="195">
        <v>2.0816249999999998</v>
      </c>
      <c r="I6744" s="195">
        <v>3.4493589999999998</v>
      </c>
      <c r="J6744" s="195">
        <v>2.5815869999999999</v>
      </c>
      <c r="K6744" s="195">
        <v>1.9659850000000001</v>
      </c>
      <c r="L6744" s="195">
        <v>0.3427732</v>
      </c>
      <c r="M6744" s="195"/>
      <c r="N6744" s="195"/>
    </row>
    <row r="6745" spans="1:14" hidden="1" x14ac:dyDescent="0.35">
      <c r="A6745" s="52" t="s">
        <v>748</v>
      </c>
      <c r="B6745" s="52" t="s">
        <v>59</v>
      </c>
      <c r="C6745" s="52" t="s">
        <v>318</v>
      </c>
      <c r="D6745" s="52" t="s">
        <v>318</v>
      </c>
      <c r="E6745" s="52" t="s">
        <v>584</v>
      </c>
      <c r="F6745" s="52" t="s">
        <v>581</v>
      </c>
      <c r="G6745" s="195" t="s">
        <v>275</v>
      </c>
      <c r="H6745" s="195">
        <v>4.2941989999999999E-2</v>
      </c>
      <c r="I6745" s="195">
        <v>0</v>
      </c>
      <c r="J6745" s="195"/>
      <c r="K6745" s="195"/>
      <c r="L6745" s="195"/>
      <c r="M6745" s="195"/>
      <c r="N6745" s="195"/>
    </row>
    <row r="6746" spans="1:14" hidden="1" x14ac:dyDescent="0.35">
      <c r="A6746" s="52" t="s">
        <v>748</v>
      </c>
      <c r="B6746" s="52" t="s">
        <v>59</v>
      </c>
      <c r="C6746" s="52" t="s">
        <v>318</v>
      </c>
      <c r="D6746" s="52" t="s">
        <v>318</v>
      </c>
      <c r="E6746" s="52" t="s">
        <v>584</v>
      </c>
      <c r="F6746" s="52" t="s">
        <v>581</v>
      </c>
      <c r="G6746" s="195" t="s">
        <v>278</v>
      </c>
      <c r="H6746" s="195">
        <v>-4.2941989999999999E-2</v>
      </c>
      <c r="I6746" s="195">
        <v>0</v>
      </c>
      <c r="J6746" s="195"/>
      <c r="K6746" s="195"/>
      <c r="L6746" s="195"/>
      <c r="M6746" s="195"/>
      <c r="N6746" s="195"/>
    </row>
    <row r="6747" spans="1:14" hidden="1" x14ac:dyDescent="0.35">
      <c r="A6747" s="52" t="s">
        <v>748</v>
      </c>
      <c r="B6747" s="52" t="s">
        <v>59</v>
      </c>
      <c r="C6747" s="52" t="s">
        <v>318</v>
      </c>
      <c r="D6747" s="52" t="s">
        <v>318</v>
      </c>
      <c r="E6747" s="52" t="s">
        <v>584</v>
      </c>
      <c r="F6747" s="52" t="s">
        <v>26</v>
      </c>
      <c r="G6747" s="195" t="s">
        <v>275</v>
      </c>
      <c r="H6747" s="195">
        <v>2.8628000000000001E-2</v>
      </c>
      <c r="I6747" s="195">
        <v>0</v>
      </c>
      <c r="J6747" s="195"/>
      <c r="K6747" s="195"/>
      <c r="L6747" s="195"/>
      <c r="M6747" s="195"/>
      <c r="N6747" s="195"/>
    </row>
    <row r="6748" spans="1:14" hidden="1" x14ac:dyDescent="0.35">
      <c r="A6748" s="52" t="s">
        <v>748</v>
      </c>
      <c r="B6748" s="52" t="s">
        <v>59</v>
      </c>
      <c r="C6748" s="52" t="s">
        <v>318</v>
      </c>
      <c r="D6748" s="52" t="s">
        <v>318</v>
      </c>
      <c r="E6748" s="52" t="s">
        <v>584</v>
      </c>
      <c r="F6748" s="52" t="s">
        <v>26</v>
      </c>
      <c r="G6748" s="195" t="s">
        <v>278</v>
      </c>
      <c r="H6748" s="195">
        <v>-2.8628000000000001E-2</v>
      </c>
      <c r="I6748" s="195">
        <v>0</v>
      </c>
      <c r="J6748" s="195"/>
      <c r="K6748" s="195"/>
      <c r="L6748" s="195"/>
      <c r="M6748" s="195"/>
      <c r="N6748" s="195"/>
    </row>
    <row r="6749" spans="1:14" hidden="1" x14ac:dyDescent="0.35">
      <c r="A6749" s="52" t="s">
        <v>725</v>
      </c>
      <c r="B6749" s="52" t="s">
        <v>37</v>
      </c>
      <c r="C6749" s="52" t="s">
        <v>51</v>
      </c>
      <c r="D6749" s="52" t="s">
        <v>51</v>
      </c>
      <c r="E6749" s="52" t="s">
        <v>602</v>
      </c>
      <c r="F6749" s="52" t="s">
        <v>581</v>
      </c>
      <c r="G6749" s="195" t="s">
        <v>275</v>
      </c>
      <c r="H6749" s="195">
        <v>285.28809999999999</v>
      </c>
      <c r="I6749" s="195">
        <v>45.870559999999998</v>
      </c>
      <c r="J6749" s="195">
        <v>62.89799</v>
      </c>
      <c r="K6749" s="195">
        <v>97.46848</v>
      </c>
      <c r="L6749" s="195">
        <v>34.619750000000003</v>
      </c>
      <c r="M6749" s="195">
        <v>11.698169999999999</v>
      </c>
      <c r="N6749" s="195">
        <v>7.0042059999999999</v>
      </c>
    </row>
    <row r="6750" spans="1:14" hidden="1" x14ac:dyDescent="0.35">
      <c r="A6750" s="52" t="s">
        <v>725</v>
      </c>
      <c r="B6750" s="52" t="s">
        <v>37</v>
      </c>
      <c r="C6750" s="52" t="s">
        <v>51</v>
      </c>
      <c r="D6750" s="52" t="s">
        <v>51</v>
      </c>
      <c r="E6750" s="52" t="s">
        <v>602</v>
      </c>
      <c r="F6750" s="52" t="s">
        <v>581</v>
      </c>
      <c r="G6750" s="195" t="s">
        <v>276</v>
      </c>
      <c r="H6750" s="195">
        <v>60.2667</v>
      </c>
      <c r="I6750" s="195">
        <v>-52.787469999999999</v>
      </c>
      <c r="J6750" s="195">
        <v>-70.289910000000006</v>
      </c>
      <c r="K6750" s="195">
        <v>-80.253479999999996</v>
      </c>
      <c r="L6750" s="195">
        <v>-40.058959999999999</v>
      </c>
      <c r="M6750" s="195">
        <v>-8.0717169999999996</v>
      </c>
      <c r="N6750" s="195">
        <v>-3.7523659999999999</v>
      </c>
    </row>
    <row r="6751" spans="1:14" hidden="1" x14ac:dyDescent="0.35">
      <c r="A6751" s="52" t="s">
        <v>725</v>
      </c>
      <c r="B6751" s="52" t="s">
        <v>37</v>
      </c>
      <c r="C6751" s="52" t="s">
        <v>51</v>
      </c>
      <c r="D6751" s="52" t="s">
        <v>51</v>
      </c>
      <c r="E6751" s="52" t="s">
        <v>602</v>
      </c>
      <c r="F6751" s="52" t="s">
        <v>581</v>
      </c>
      <c r="G6751" s="195" t="s">
        <v>277</v>
      </c>
      <c r="H6751" s="195">
        <v>359.25209999999998</v>
      </c>
      <c r="I6751" s="195">
        <v>64.152569999999997</v>
      </c>
      <c r="J6751" s="195">
        <v>23.384799999999998</v>
      </c>
      <c r="K6751" s="195">
        <v>2.951117</v>
      </c>
      <c r="L6751" s="195">
        <v>1.672159</v>
      </c>
      <c r="M6751" s="195">
        <v>0</v>
      </c>
      <c r="N6751" s="195">
        <v>0</v>
      </c>
    </row>
    <row r="6752" spans="1:14" hidden="1" x14ac:dyDescent="0.35">
      <c r="A6752" s="52" t="s">
        <v>725</v>
      </c>
      <c r="B6752" s="52" t="s">
        <v>37</v>
      </c>
      <c r="C6752" s="52" t="s">
        <v>51</v>
      </c>
      <c r="D6752" s="52" t="s">
        <v>51</v>
      </c>
      <c r="E6752" s="52" t="s">
        <v>602</v>
      </c>
      <c r="F6752" s="52" t="s">
        <v>581</v>
      </c>
      <c r="G6752" s="195" t="s">
        <v>278</v>
      </c>
      <c r="H6752" s="195">
        <v>67.47</v>
      </c>
      <c r="I6752" s="195">
        <v>20.56841</v>
      </c>
      <c r="J6752" s="195">
        <v>23.096810000000001</v>
      </c>
      <c r="K6752" s="195">
        <v>8.1938689999999994</v>
      </c>
      <c r="L6752" s="195">
        <v>5.6727189999999998</v>
      </c>
      <c r="M6752" s="195">
        <v>0</v>
      </c>
      <c r="N6752" s="195">
        <v>0</v>
      </c>
    </row>
    <row r="6753" spans="1:14" hidden="1" x14ac:dyDescent="0.35">
      <c r="A6753" s="52" t="s">
        <v>725</v>
      </c>
      <c r="B6753" s="52" t="s">
        <v>37</v>
      </c>
      <c r="C6753" s="52" t="s">
        <v>51</v>
      </c>
      <c r="D6753" s="52" t="s">
        <v>51</v>
      </c>
      <c r="E6753" s="52" t="s">
        <v>602</v>
      </c>
      <c r="F6753" s="52" t="s">
        <v>581</v>
      </c>
      <c r="G6753" s="195" t="s">
        <v>279</v>
      </c>
      <c r="H6753" s="195">
        <v>437.9812</v>
      </c>
      <c r="I6753" s="195">
        <v>304.5462</v>
      </c>
      <c r="J6753" s="195">
        <v>268.9905</v>
      </c>
      <c r="K6753" s="195">
        <v>236.94640000000001</v>
      </c>
      <c r="L6753" s="195">
        <v>209.46860000000001</v>
      </c>
      <c r="M6753" s="195">
        <v>171.9693</v>
      </c>
      <c r="N6753" s="195">
        <v>147.32650000000001</v>
      </c>
    </row>
    <row r="6754" spans="1:14" hidden="1" x14ac:dyDescent="0.35">
      <c r="A6754" s="52" t="s">
        <v>725</v>
      </c>
      <c r="B6754" s="52" t="s">
        <v>37</v>
      </c>
      <c r="C6754" s="52" t="s">
        <v>51</v>
      </c>
      <c r="D6754" s="52" t="s">
        <v>51</v>
      </c>
      <c r="E6754" s="52" t="s">
        <v>602</v>
      </c>
      <c r="F6754" s="52" t="s">
        <v>26</v>
      </c>
      <c r="G6754" s="195" t="s">
        <v>275</v>
      </c>
      <c r="H6754" s="195">
        <v>-25.96012</v>
      </c>
      <c r="I6754" s="195">
        <v>-28.321719999999999</v>
      </c>
      <c r="J6754" s="195">
        <v>-23.29776</v>
      </c>
      <c r="K6754" s="195">
        <v>-22.359839999999998</v>
      </c>
      <c r="L6754" s="195">
        <v>-23.114229999999999</v>
      </c>
      <c r="M6754" s="195">
        <v>-18.796250000000001</v>
      </c>
      <c r="N6754" s="195">
        <v>-16.071660000000001</v>
      </c>
    </row>
    <row r="6755" spans="1:14" hidden="1" x14ac:dyDescent="0.35">
      <c r="A6755" s="52" t="s">
        <v>725</v>
      </c>
      <c r="B6755" s="52" t="s">
        <v>37</v>
      </c>
      <c r="C6755" s="52" t="s">
        <v>51</v>
      </c>
      <c r="D6755" s="52" t="s">
        <v>51</v>
      </c>
      <c r="E6755" s="52" t="s">
        <v>602</v>
      </c>
      <c r="F6755" s="52" t="s">
        <v>26</v>
      </c>
      <c r="G6755" s="195" t="s">
        <v>276</v>
      </c>
      <c r="H6755" s="195">
        <v>-6.9007990000000001</v>
      </c>
      <c r="I6755" s="195">
        <v>-7.5285450000000003</v>
      </c>
      <c r="J6755" s="195">
        <v>-6.1930620000000003</v>
      </c>
      <c r="K6755" s="195">
        <v>-5.9437490000000004</v>
      </c>
      <c r="L6755" s="195">
        <v>-6.1442889999999997</v>
      </c>
      <c r="M6755" s="195">
        <v>-4.9964680000000001</v>
      </c>
      <c r="N6755" s="195">
        <v>-4.2722129999999998</v>
      </c>
    </row>
    <row r="6756" spans="1:14" hidden="1" x14ac:dyDescent="0.35">
      <c r="A6756" s="52" t="s">
        <v>725</v>
      </c>
      <c r="B6756" s="52" t="s">
        <v>37</v>
      </c>
      <c r="C6756" s="52" t="s">
        <v>51</v>
      </c>
      <c r="D6756" s="52" t="s">
        <v>51</v>
      </c>
      <c r="E6756" s="52" t="s">
        <v>602</v>
      </c>
      <c r="F6756" s="52" t="s">
        <v>26</v>
      </c>
      <c r="G6756" s="195" t="s">
        <v>279</v>
      </c>
      <c r="H6756" s="195">
        <v>120.6709</v>
      </c>
      <c r="I6756" s="195">
        <v>99.772750000000002</v>
      </c>
      <c r="J6756" s="195">
        <v>89.892330000000001</v>
      </c>
      <c r="K6756" s="195">
        <v>80.074960000000004</v>
      </c>
      <c r="L6756" s="195">
        <v>70.23621</v>
      </c>
      <c r="M6756" s="195">
        <v>57.71125</v>
      </c>
      <c r="N6756" s="195">
        <v>49.414239999999999</v>
      </c>
    </row>
    <row r="6757" spans="1:14" hidden="1" x14ac:dyDescent="0.35">
      <c r="A6757" s="52" t="s">
        <v>725</v>
      </c>
      <c r="B6757" s="52" t="s">
        <v>37</v>
      </c>
      <c r="C6757" s="52" t="s">
        <v>35</v>
      </c>
      <c r="D6757" s="52" t="s">
        <v>129</v>
      </c>
      <c r="E6757" s="52" t="s">
        <v>580</v>
      </c>
      <c r="F6757" s="52" t="s">
        <v>581</v>
      </c>
      <c r="G6757" s="195" t="s">
        <v>275</v>
      </c>
      <c r="H6757" s="195">
        <v>-92.787430000000001</v>
      </c>
      <c r="I6757" s="195">
        <v>2.120298</v>
      </c>
      <c r="J6757" s="195">
        <v>23.618469999999999</v>
      </c>
      <c r="K6757" s="195">
        <v>28.712260000000001</v>
      </c>
      <c r="L6757" s="195">
        <v>25.461290000000002</v>
      </c>
      <c r="M6757" s="195">
        <v>13.008139999999999</v>
      </c>
      <c r="N6757" s="195">
        <v>9.1776970000000002</v>
      </c>
    </row>
    <row r="6758" spans="1:14" hidden="1" x14ac:dyDescent="0.35">
      <c r="A6758" s="52" t="s">
        <v>725</v>
      </c>
      <c r="B6758" s="52" t="s">
        <v>37</v>
      </c>
      <c r="C6758" s="52" t="s">
        <v>35</v>
      </c>
      <c r="D6758" s="52" t="s">
        <v>129</v>
      </c>
      <c r="E6758" s="52" t="s">
        <v>580</v>
      </c>
      <c r="F6758" s="52" t="s">
        <v>581</v>
      </c>
      <c r="G6758" s="195" t="s">
        <v>276</v>
      </c>
      <c r="H6758" s="195">
        <v>6.1657780000000004</v>
      </c>
      <c r="I6758" s="195">
        <v>-8.1430679999999995</v>
      </c>
      <c r="J6758" s="195">
        <v>-9.0883500000000002</v>
      </c>
      <c r="K6758" s="195">
        <v>-12.621259999999999</v>
      </c>
      <c r="L6758" s="195">
        <v>-14.02248</v>
      </c>
      <c r="M6758" s="195">
        <v>-0.83978960000000002</v>
      </c>
      <c r="N6758" s="195">
        <v>1.3785339999999999</v>
      </c>
    </row>
    <row r="6759" spans="1:14" hidden="1" x14ac:dyDescent="0.35">
      <c r="A6759" s="52" t="s">
        <v>725</v>
      </c>
      <c r="B6759" s="52" t="s">
        <v>37</v>
      </c>
      <c r="C6759" s="52" t="s">
        <v>35</v>
      </c>
      <c r="D6759" s="52" t="s">
        <v>129</v>
      </c>
      <c r="E6759" s="52" t="s">
        <v>580</v>
      </c>
      <c r="F6759" s="52" t="s">
        <v>581</v>
      </c>
      <c r="G6759" s="195" t="s">
        <v>277</v>
      </c>
      <c r="H6759" s="195">
        <v>72.136679999999998</v>
      </c>
      <c r="I6759" s="195">
        <v>2.0528080000000002</v>
      </c>
      <c r="J6759" s="195">
        <v>0.61710240000000005</v>
      </c>
      <c r="K6759" s="195">
        <v>0.49150880000000002</v>
      </c>
      <c r="L6759" s="195">
        <v>0.3336866</v>
      </c>
      <c r="M6759" s="195">
        <v>0</v>
      </c>
      <c r="N6759" s="195">
        <v>0</v>
      </c>
    </row>
    <row r="6760" spans="1:14" hidden="1" x14ac:dyDescent="0.35">
      <c r="A6760" s="52" t="s">
        <v>725</v>
      </c>
      <c r="B6760" s="52" t="s">
        <v>37</v>
      </c>
      <c r="C6760" s="52" t="s">
        <v>35</v>
      </c>
      <c r="D6760" s="52" t="s">
        <v>129</v>
      </c>
      <c r="E6760" s="52" t="s">
        <v>580</v>
      </c>
      <c r="F6760" s="52" t="s">
        <v>581</v>
      </c>
      <c r="G6760" s="195" t="s">
        <v>278</v>
      </c>
      <c r="H6760" s="195">
        <v>110.74420000000001</v>
      </c>
      <c r="I6760" s="195">
        <v>33.475560000000002</v>
      </c>
      <c r="J6760" s="195">
        <v>7.6221810000000003</v>
      </c>
      <c r="K6760" s="195">
        <v>2.5933290000000002</v>
      </c>
      <c r="L6760" s="195">
        <v>2.018583</v>
      </c>
      <c r="M6760" s="195">
        <v>0</v>
      </c>
      <c r="N6760" s="195">
        <v>0</v>
      </c>
    </row>
    <row r="6761" spans="1:14" hidden="1" x14ac:dyDescent="0.35">
      <c r="A6761" s="52" t="s">
        <v>725</v>
      </c>
      <c r="B6761" s="52" t="s">
        <v>37</v>
      </c>
      <c r="C6761" s="52" t="s">
        <v>35</v>
      </c>
      <c r="D6761" s="52" t="s">
        <v>129</v>
      </c>
      <c r="E6761" s="52" t="s">
        <v>580</v>
      </c>
      <c r="F6761" s="52" t="s">
        <v>581</v>
      </c>
      <c r="G6761" s="195" t="s">
        <v>279</v>
      </c>
      <c r="H6761" s="195">
        <v>36.983440000000002</v>
      </c>
      <c r="I6761" s="195">
        <v>34.463450000000002</v>
      </c>
      <c r="J6761" s="195">
        <v>31.957879999999999</v>
      </c>
      <c r="K6761" s="195">
        <v>28.286619999999999</v>
      </c>
      <c r="L6761" s="195">
        <v>26.567329999999998</v>
      </c>
      <c r="M6761" s="195">
        <v>22.722359999999998</v>
      </c>
      <c r="N6761" s="195">
        <v>19.668430000000001</v>
      </c>
    </row>
    <row r="6762" spans="1:14" hidden="1" x14ac:dyDescent="0.35">
      <c r="A6762" s="52" t="s">
        <v>725</v>
      </c>
      <c r="B6762" s="52" t="s">
        <v>37</v>
      </c>
      <c r="C6762" s="52" t="s">
        <v>35</v>
      </c>
      <c r="D6762" s="52" t="s">
        <v>129</v>
      </c>
      <c r="E6762" s="52" t="s">
        <v>580</v>
      </c>
      <c r="F6762" s="52" t="s">
        <v>26</v>
      </c>
      <c r="G6762" s="195" t="s">
        <v>275</v>
      </c>
      <c r="H6762" s="195">
        <v>-0.51021300000000003</v>
      </c>
      <c r="I6762" s="195">
        <v>-1.2463519999999999</v>
      </c>
      <c r="J6762" s="195">
        <v>-0.98370740000000001</v>
      </c>
      <c r="K6762" s="195">
        <v>-1.0677700000000001</v>
      </c>
      <c r="L6762" s="195">
        <v>-1.355472</v>
      </c>
      <c r="M6762" s="195">
        <v>-1.143133</v>
      </c>
      <c r="N6762" s="195">
        <v>-0.98646239999999996</v>
      </c>
    </row>
    <row r="6763" spans="1:14" hidden="1" x14ac:dyDescent="0.35">
      <c r="A6763" s="52" t="s">
        <v>725</v>
      </c>
      <c r="B6763" s="52" t="s">
        <v>37</v>
      </c>
      <c r="C6763" s="52" t="s">
        <v>35</v>
      </c>
      <c r="D6763" s="52" t="s">
        <v>129</v>
      </c>
      <c r="E6763" s="52" t="s">
        <v>580</v>
      </c>
      <c r="F6763" s="52" t="s">
        <v>26</v>
      </c>
      <c r="G6763" s="195" t="s">
        <v>276</v>
      </c>
      <c r="H6763" s="195">
        <v>-0.13562399999999999</v>
      </c>
      <c r="I6763" s="195">
        <v>-0.33130939999999998</v>
      </c>
      <c r="J6763" s="195">
        <v>-0.2614918</v>
      </c>
      <c r="K6763" s="195">
        <v>-0.28383799999999998</v>
      </c>
      <c r="L6763" s="195">
        <v>-0.36031580000000002</v>
      </c>
      <c r="M6763" s="195">
        <v>-0.30386940000000001</v>
      </c>
      <c r="N6763" s="195">
        <v>-0.26222440000000002</v>
      </c>
    </row>
    <row r="6764" spans="1:14" hidden="1" x14ac:dyDescent="0.35">
      <c r="A6764" s="52" t="s">
        <v>725</v>
      </c>
      <c r="B6764" s="52" t="s">
        <v>37</v>
      </c>
      <c r="C6764" s="52" t="s">
        <v>35</v>
      </c>
      <c r="D6764" s="52" t="s">
        <v>129</v>
      </c>
      <c r="E6764" s="52" t="s">
        <v>580</v>
      </c>
      <c r="F6764" s="52" t="s">
        <v>26</v>
      </c>
      <c r="G6764" s="195" t="s">
        <v>279</v>
      </c>
      <c r="H6764" s="195">
        <v>6.9098360000000003</v>
      </c>
      <c r="I6764" s="195">
        <v>8.045909</v>
      </c>
      <c r="J6764" s="195">
        <v>7.6816760000000004</v>
      </c>
      <c r="K6764" s="195">
        <v>6.9116239999999998</v>
      </c>
      <c r="L6764" s="195">
        <v>6.426024</v>
      </c>
      <c r="M6764" s="195">
        <v>5.5115769999999999</v>
      </c>
      <c r="N6764" s="195">
        <v>4.7710660000000003</v>
      </c>
    </row>
    <row r="6765" spans="1:14" hidden="1" x14ac:dyDescent="0.35">
      <c r="A6765" s="52" t="s">
        <v>690</v>
      </c>
      <c r="B6765" s="52" t="s">
        <v>37</v>
      </c>
      <c r="C6765" s="52" t="s">
        <v>118</v>
      </c>
      <c r="D6765" s="52" t="s">
        <v>118</v>
      </c>
      <c r="E6765" s="52" t="s">
        <v>584</v>
      </c>
      <c r="F6765" s="52" t="s">
        <v>581</v>
      </c>
      <c r="G6765" s="195" t="s">
        <v>275</v>
      </c>
      <c r="H6765" s="195">
        <v>48.241680000000002</v>
      </c>
      <c r="I6765" s="195">
        <v>17.006920000000001</v>
      </c>
      <c r="J6765" s="195">
        <v>14.3887</v>
      </c>
      <c r="K6765" s="195">
        <v>13.65753</v>
      </c>
      <c r="L6765" s="195">
        <v>12.455159999999999</v>
      </c>
      <c r="M6765" s="195">
        <v>12.410880000000001</v>
      </c>
      <c r="N6765" s="195">
        <v>12.316839999999999</v>
      </c>
    </row>
    <row r="6766" spans="1:14" hidden="1" x14ac:dyDescent="0.35">
      <c r="A6766" s="52" t="s">
        <v>690</v>
      </c>
      <c r="B6766" s="52" t="s">
        <v>37</v>
      </c>
      <c r="C6766" s="52" t="s">
        <v>118</v>
      </c>
      <c r="D6766" s="52" t="s">
        <v>118</v>
      </c>
      <c r="E6766" s="52" t="s">
        <v>584</v>
      </c>
      <c r="F6766" s="52" t="s">
        <v>581</v>
      </c>
      <c r="G6766" s="195" t="s">
        <v>276</v>
      </c>
      <c r="H6766" s="195">
        <v>12.82375</v>
      </c>
      <c r="I6766" s="195">
        <v>4.5208180000000002</v>
      </c>
      <c r="J6766" s="195">
        <v>3.8248389999999999</v>
      </c>
      <c r="K6766" s="195">
        <v>3.6304910000000001</v>
      </c>
      <c r="L6766" s="195">
        <v>3.3108680000000001</v>
      </c>
      <c r="M6766" s="195">
        <v>3.2990919999999999</v>
      </c>
      <c r="N6766" s="195">
        <v>3.274105</v>
      </c>
    </row>
    <row r="6767" spans="1:14" hidden="1" x14ac:dyDescent="0.35">
      <c r="A6767" s="52" t="s">
        <v>690</v>
      </c>
      <c r="B6767" s="52" t="s">
        <v>37</v>
      </c>
      <c r="C6767" s="52" t="s">
        <v>118</v>
      </c>
      <c r="D6767" s="52" t="s">
        <v>118</v>
      </c>
      <c r="E6767" s="52" t="s">
        <v>584</v>
      </c>
      <c r="F6767" s="52" t="s">
        <v>581</v>
      </c>
      <c r="G6767" s="195" t="s">
        <v>279</v>
      </c>
      <c r="H6767" s="195">
        <v>17.20215</v>
      </c>
      <c r="I6767" s="195">
        <v>9.9760380000000008</v>
      </c>
      <c r="J6767" s="195">
        <v>9.1961390000000005</v>
      </c>
      <c r="K6767" s="195">
        <v>8.9398569999999999</v>
      </c>
      <c r="L6767" s="195">
        <v>8.9864300000000004</v>
      </c>
      <c r="M6767" s="195">
        <v>8.8042200000000008</v>
      </c>
      <c r="N6767" s="195">
        <v>8.6941799999999994</v>
      </c>
    </row>
    <row r="6768" spans="1:14" hidden="1" x14ac:dyDescent="0.35">
      <c r="A6768" s="52" t="s">
        <v>690</v>
      </c>
      <c r="B6768" s="52" t="s">
        <v>37</v>
      </c>
      <c r="C6768" s="52" t="s">
        <v>118</v>
      </c>
      <c r="D6768" s="52" t="s">
        <v>118</v>
      </c>
      <c r="E6768" s="52" t="s">
        <v>584</v>
      </c>
      <c r="F6768" s="52" t="s">
        <v>26</v>
      </c>
      <c r="G6768" s="195" t="s">
        <v>275</v>
      </c>
      <c r="H6768" s="195">
        <v>57.453620000000001</v>
      </c>
      <c r="I6768" s="195">
        <v>71.953639999999993</v>
      </c>
      <c r="J6768" s="195">
        <v>168.7842</v>
      </c>
      <c r="K6768" s="195">
        <v>156.71270000000001</v>
      </c>
      <c r="L6768" s="195">
        <v>103.5348</v>
      </c>
      <c r="M6768" s="195">
        <v>84.482219999999998</v>
      </c>
      <c r="N6768" s="195">
        <v>69.645579999999995</v>
      </c>
    </row>
    <row r="6769" spans="1:14" hidden="1" x14ac:dyDescent="0.35">
      <c r="A6769" s="52" t="s">
        <v>690</v>
      </c>
      <c r="B6769" s="52" t="s">
        <v>37</v>
      </c>
      <c r="C6769" s="52" t="s">
        <v>118</v>
      </c>
      <c r="D6769" s="52" t="s">
        <v>118</v>
      </c>
      <c r="E6769" s="52" t="s">
        <v>584</v>
      </c>
      <c r="F6769" s="52" t="s">
        <v>26</v>
      </c>
      <c r="G6769" s="195" t="s">
        <v>276</v>
      </c>
      <c r="H6769" s="195">
        <v>-22.326519999999999</v>
      </c>
      <c r="I6769" s="195">
        <v>-20.4846</v>
      </c>
      <c r="J6769" s="195">
        <v>-29.195799999999998</v>
      </c>
      <c r="K6769" s="195">
        <v>-9.7535880000000006</v>
      </c>
      <c r="L6769" s="195">
        <v>5.3482399999999997</v>
      </c>
      <c r="M6769" s="195">
        <v>14.792310000000001</v>
      </c>
      <c r="N6769" s="195">
        <v>20.824539999999999</v>
      </c>
    </row>
    <row r="6770" spans="1:14" hidden="1" x14ac:dyDescent="0.35">
      <c r="A6770" s="52" t="s">
        <v>690</v>
      </c>
      <c r="B6770" s="52" t="s">
        <v>37</v>
      </c>
      <c r="C6770" s="52" t="s">
        <v>118</v>
      </c>
      <c r="D6770" s="52" t="s">
        <v>118</v>
      </c>
      <c r="E6770" s="52" t="s">
        <v>584</v>
      </c>
      <c r="F6770" s="52" t="s">
        <v>26</v>
      </c>
      <c r="G6770" s="195" t="s">
        <v>277</v>
      </c>
      <c r="H6770" s="195">
        <v>115.90989999999999</v>
      </c>
      <c r="I6770" s="195">
        <v>33.78416</v>
      </c>
      <c r="J6770" s="195">
        <v>62.72392</v>
      </c>
      <c r="K6770" s="195">
        <v>39.792299999999997</v>
      </c>
      <c r="L6770" s="195">
        <v>51.240920000000003</v>
      </c>
      <c r="M6770" s="195">
        <v>60.559899999999999</v>
      </c>
      <c r="N6770" s="195">
        <v>68.386510000000001</v>
      </c>
    </row>
    <row r="6771" spans="1:14" hidden="1" x14ac:dyDescent="0.35">
      <c r="A6771" s="52" t="s">
        <v>690</v>
      </c>
      <c r="B6771" s="52" t="s">
        <v>37</v>
      </c>
      <c r="C6771" s="52" t="s">
        <v>118</v>
      </c>
      <c r="D6771" s="52" t="s">
        <v>118</v>
      </c>
      <c r="E6771" s="52" t="s">
        <v>584</v>
      </c>
      <c r="F6771" s="52" t="s">
        <v>26</v>
      </c>
      <c r="G6771" s="195" t="s">
        <v>278</v>
      </c>
      <c r="H6771" s="195">
        <v>117.5385</v>
      </c>
      <c r="I6771" s="195">
        <v>106.7628</v>
      </c>
      <c r="J6771" s="195">
        <v>0</v>
      </c>
      <c r="K6771" s="195"/>
      <c r="L6771" s="195"/>
      <c r="M6771" s="195"/>
      <c r="N6771" s="195"/>
    </row>
    <row r="6772" spans="1:14" hidden="1" x14ac:dyDescent="0.35">
      <c r="A6772" s="52" t="s">
        <v>690</v>
      </c>
      <c r="B6772" s="52" t="s">
        <v>37</v>
      </c>
      <c r="C6772" s="52" t="s">
        <v>118</v>
      </c>
      <c r="D6772" s="52" t="s">
        <v>118</v>
      </c>
      <c r="E6772" s="52" t="s">
        <v>584</v>
      </c>
      <c r="F6772" s="52" t="s">
        <v>26</v>
      </c>
      <c r="G6772" s="195" t="s">
        <v>279</v>
      </c>
      <c r="H6772" s="195">
        <v>260.27229999999997</v>
      </c>
      <c r="I6772" s="195">
        <v>223.2612</v>
      </c>
      <c r="J6772" s="195">
        <v>218.38509999999999</v>
      </c>
      <c r="K6772" s="195">
        <v>215.18530000000001</v>
      </c>
      <c r="L6772" s="195">
        <v>218.38839999999999</v>
      </c>
      <c r="M6772" s="195">
        <v>214.12950000000001</v>
      </c>
      <c r="N6772" s="195">
        <v>211.60079999999999</v>
      </c>
    </row>
    <row r="6773" spans="1:14" hidden="1" x14ac:dyDescent="0.35">
      <c r="A6773" s="52" t="s">
        <v>693</v>
      </c>
      <c r="B6773" s="52" t="s">
        <v>37</v>
      </c>
      <c r="C6773" s="52" t="s">
        <v>63</v>
      </c>
      <c r="D6773" s="52" t="s">
        <v>63</v>
      </c>
      <c r="E6773" s="52" t="s">
        <v>609</v>
      </c>
      <c r="F6773" s="52" t="s">
        <v>581</v>
      </c>
      <c r="G6773" s="195" t="s">
        <v>275</v>
      </c>
      <c r="H6773" s="195">
        <v>0.20441300000000001</v>
      </c>
      <c r="I6773" s="195">
        <v>5.3368000000000001E-3</v>
      </c>
      <c r="J6773" s="195">
        <v>-4.0504E-3</v>
      </c>
      <c r="K6773" s="195">
        <v>-6.8234000000000003E-3</v>
      </c>
      <c r="L6773" s="195">
        <v>-1.5227600000000001E-2</v>
      </c>
      <c r="M6773" s="195">
        <v>-1.375E-2</v>
      </c>
      <c r="N6773" s="195">
        <v>-1.11418E-2</v>
      </c>
    </row>
    <row r="6774" spans="1:14" hidden="1" x14ac:dyDescent="0.35">
      <c r="A6774" s="52" t="s">
        <v>693</v>
      </c>
      <c r="B6774" s="52" t="s">
        <v>37</v>
      </c>
      <c r="C6774" s="52" t="s">
        <v>63</v>
      </c>
      <c r="D6774" s="52" t="s">
        <v>63</v>
      </c>
      <c r="E6774" s="52" t="s">
        <v>609</v>
      </c>
      <c r="F6774" s="52" t="s">
        <v>581</v>
      </c>
      <c r="G6774" s="195" t="s">
        <v>276</v>
      </c>
      <c r="H6774" s="195">
        <v>8.2769010000000004E-2</v>
      </c>
      <c r="I6774" s="195">
        <v>5.8620000000000005E-4</v>
      </c>
      <c r="J6774" s="195">
        <v>-4.4460000000000002E-4</v>
      </c>
      <c r="K6774" s="195">
        <v>-7.4960010000000004E-4</v>
      </c>
      <c r="L6774" s="195">
        <v>-1.6731999999999999E-3</v>
      </c>
      <c r="M6774" s="195">
        <v>-1.5102E-3</v>
      </c>
      <c r="N6774" s="195">
        <v>-1.2237999999999999E-3</v>
      </c>
    </row>
    <row r="6775" spans="1:14" hidden="1" x14ac:dyDescent="0.35">
      <c r="A6775" s="52" t="s">
        <v>693</v>
      </c>
      <c r="B6775" s="52" t="s">
        <v>37</v>
      </c>
      <c r="C6775" s="52" t="s">
        <v>63</v>
      </c>
      <c r="D6775" s="52" t="s">
        <v>63</v>
      </c>
      <c r="E6775" s="52" t="s">
        <v>609</v>
      </c>
      <c r="F6775" s="52" t="s">
        <v>581</v>
      </c>
      <c r="G6775" s="195" t="s">
        <v>279</v>
      </c>
      <c r="H6775" s="195">
        <v>0.27377699999999999</v>
      </c>
      <c r="I6775" s="195">
        <v>0.10742939999999999</v>
      </c>
      <c r="J6775" s="195">
        <v>8.2246200000000005E-2</v>
      </c>
      <c r="K6775" s="195">
        <v>8.3060410000000001E-2</v>
      </c>
      <c r="L6775" s="195">
        <v>0.1078596</v>
      </c>
      <c r="M6775" s="195">
        <v>0.1066772</v>
      </c>
      <c r="N6775" s="195">
        <v>8.3360199999999995E-2</v>
      </c>
    </row>
    <row r="6776" spans="1:14" hidden="1" x14ac:dyDescent="0.35">
      <c r="A6776" s="52" t="s">
        <v>693</v>
      </c>
      <c r="B6776" s="52" t="s">
        <v>37</v>
      </c>
      <c r="C6776" s="52" t="s">
        <v>63</v>
      </c>
      <c r="D6776" s="52" t="s">
        <v>63</v>
      </c>
      <c r="E6776" s="52" t="s">
        <v>609</v>
      </c>
      <c r="F6776" s="52" t="s">
        <v>26</v>
      </c>
      <c r="G6776" s="195" t="s">
        <v>275</v>
      </c>
      <c r="H6776" s="195">
        <v>-100.5552</v>
      </c>
      <c r="I6776" s="195">
        <v>-76.568439999999995</v>
      </c>
      <c r="J6776" s="195">
        <v>30.487300000000001</v>
      </c>
      <c r="K6776" s="195">
        <v>26.376259999999998</v>
      </c>
      <c r="L6776" s="195">
        <v>7.8311659999999996</v>
      </c>
      <c r="M6776" s="195">
        <v>13.15676</v>
      </c>
      <c r="N6776" s="195">
        <v>10.499140000000001</v>
      </c>
    </row>
    <row r="6777" spans="1:14" hidden="1" x14ac:dyDescent="0.35">
      <c r="A6777" s="52" t="s">
        <v>693</v>
      </c>
      <c r="B6777" s="52" t="s">
        <v>37</v>
      </c>
      <c r="C6777" s="52" t="s">
        <v>63</v>
      </c>
      <c r="D6777" s="52" t="s">
        <v>63</v>
      </c>
      <c r="E6777" s="52" t="s">
        <v>609</v>
      </c>
      <c r="F6777" s="52" t="s">
        <v>26</v>
      </c>
      <c r="G6777" s="195" t="s">
        <v>276</v>
      </c>
      <c r="H6777" s="195">
        <v>0.125165</v>
      </c>
      <c r="I6777" s="195">
        <v>-0.29580600000000001</v>
      </c>
      <c r="J6777" s="195">
        <v>-0.23776520000000001</v>
      </c>
      <c r="K6777" s="195">
        <v>-0.22836960000000001</v>
      </c>
      <c r="L6777" s="195">
        <v>-0.307508</v>
      </c>
      <c r="M6777" s="195">
        <v>-0.18788540000000001</v>
      </c>
      <c r="N6777" s="195">
        <v>-4.8873600000000003E-2</v>
      </c>
    </row>
    <row r="6778" spans="1:14" hidden="1" x14ac:dyDescent="0.35">
      <c r="A6778" s="52" t="s">
        <v>693</v>
      </c>
      <c r="B6778" s="52" t="s">
        <v>37</v>
      </c>
      <c r="C6778" s="52" t="s">
        <v>63</v>
      </c>
      <c r="D6778" s="52" t="s">
        <v>63</v>
      </c>
      <c r="E6778" s="52" t="s">
        <v>609</v>
      </c>
      <c r="F6778" s="52" t="s">
        <v>26</v>
      </c>
      <c r="G6778" s="195" t="s">
        <v>277</v>
      </c>
      <c r="H6778" s="195">
        <v>164.57089999999999</v>
      </c>
      <c r="I6778" s="195">
        <v>105.1917</v>
      </c>
      <c r="J6778" s="195">
        <v>18.804210000000001</v>
      </c>
      <c r="K6778" s="195">
        <v>11.017150000000001</v>
      </c>
      <c r="L6778" s="195">
        <v>6.8308970000000002</v>
      </c>
      <c r="M6778" s="195">
        <v>0</v>
      </c>
      <c r="N6778" s="195">
        <v>0</v>
      </c>
    </row>
    <row r="6779" spans="1:14" hidden="1" x14ac:dyDescent="0.35">
      <c r="A6779" s="52" t="s">
        <v>693</v>
      </c>
      <c r="B6779" s="52" t="s">
        <v>37</v>
      </c>
      <c r="C6779" s="52" t="s">
        <v>63</v>
      </c>
      <c r="D6779" s="52" t="s">
        <v>63</v>
      </c>
      <c r="E6779" s="52" t="s">
        <v>609</v>
      </c>
      <c r="F6779" s="52" t="s">
        <v>26</v>
      </c>
      <c r="G6779" s="195" t="s">
        <v>278</v>
      </c>
      <c r="H6779" s="195">
        <v>4.0972840000000001</v>
      </c>
      <c r="I6779" s="195">
        <v>10.80827</v>
      </c>
      <c r="J6779" s="195">
        <v>7.5582000000000003</v>
      </c>
      <c r="K6779" s="195">
        <v>6.3516089999999998</v>
      </c>
      <c r="L6779" s="195">
        <v>1.5543769999999999</v>
      </c>
      <c r="M6779" s="195">
        <v>0</v>
      </c>
      <c r="N6779" s="195"/>
    </row>
    <row r="6780" spans="1:14" hidden="1" x14ac:dyDescent="0.35">
      <c r="A6780" s="52" t="s">
        <v>693</v>
      </c>
      <c r="B6780" s="52" t="s">
        <v>37</v>
      </c>
      <c r="C6780" s="52" t="s">
        <v>63</v>
      </c>
      <c r="D6780" s="52" t="s">
        <v>63</v>
      </c>
      <c r="E6780" s="52" t="s">
        <v>609</v>
      </c>
      <c r="F6780" s="52" t="s">
        <v>26</v>
      </c>
      <c r="G6780" s="195" t="s">
        <v>279</v>
      </c>
      <c r="H6780" s="195">
        <v>190.5856</v>
      </c>
      <c r="I6780" s="195">
        <v>203.07320000000001</v>
      </c>
      <c r="J6780" s="195">
        <v>237.42400000000001</v>
      </c>
      <c r="K6780" s="195">
        <v>261.6968</v>
      </c>
      <c r="L6780" s="195">
        <v>229.5823</v>
      </c>
      <c r="M6780" s="195">
        <v>180.01769999999999</v>
      </c>
      <c r="N6780" s="195">
        <v>143.0652</v>
      </c>
    </row>
    <row r="6781" spans="1:14" hidden="1" x14ac:dyDescent="0.35">
      <c r="A6781" s="52" t="s">
        <v>693</v>
      </c>
      <c r="B6781" s="52" t="s">
        <v>37</v>
      </c>
      <c r="C6781" s="52" t="s">
        <v>63</v>
      </c>
      <c r="D6781" s="52" t="s">
        <v>63</v>
      </c>
      <c r="E6781" s="52" t="s">
        <v>612</v>
      </c>
      <c r="F6781" s="52" t="s">
        <v>581</v>
      </c>
      <c r="G6781" s="195" t="s">
        <v>275</v>
      </c>
      <c r="H6781" s="195">
        <v>60.985320000000002</v>
      </c>
      <c r="I6781" s="195">
        <v>-30.86684</v>
      </c>
      <c r="J6781" s="195">
        <v>10.34962</v>
      </c>
      <c r="K6781" s="195">
        <v>9.1515409999999999</v>
      </c>
      <c r="L6781" s="195">
        <v>6.460934</v>
      </c>
      <c r="M6781" s="195">
        <v>6.9303239999999997</v>
      </c>
      <c r="N6781" s="195">
        <v>11.952489999999999</v>
      </c>
    </row>
    <row r="6782" spans="1:14" hidden="1" x14ac:dyDescent="0.35">
      <c r="A6782" s="52" t="s">
        <v>693</v>
      </c>
      <c r="B6782" s="52" t="s">
        <v>37</v>
      </c>
      <c r="C6782" s="52" t="s">
        <v>63</v>
      </c>
      <c r="D6782" s="52" t="s">
        <v>63</v>
      </c>
      <c r="E6782" s="52" t="s">
        <v>612</v>
      </c>
      <c r="F6782" s="52" t="s">
        <v>581</v>
      </c>
      <c r="G6782" s="195" t="s">
        <v>276</v>
      </c>
      <c r="H6782" s="195">
        <v>3.5007470000000001</v>
      </c>
      <c r="I6782" s="195">
        <v>-2.0722010000000002</v>
      </c>
      <c r="J6782" s="195">
        <v>-3.0828720000000001</v>
      </c>
      <c r="K6782" s="195">
        <v>-2.3322120000000002</v>
      </c>
      <c r="L6782" s="195">
        <v>-1.3305709999999999</v>
      </c>
      <c r="M6782" s="195">
        <v>-0.92072339999999997</v>
      </c>
      <c r="N6782" s="195">
        <v>-0.12412719999999999</v>
      </c>
    </row>
    <row r="6783" spans="1:14" hidden="1" x14ac:dyDescent="0.35">
      <c r="A6783" s="52" t="s">
        <v>693</v>
      </c>
      <c r="B6783" s="52" t="s">
        <v>37</v>
      </c>
      <c r="C6783" s="52" t="s">
        <v>63</v>
      </c>
      <c r="D6783" s="52" t="s">
        <v>63</v>
      </c>
      <c r="E6783" s="52" t="s">
        <v>612</v>
      </c>
      <c r="F6783" s="52" t="s">
        <v>581</v>
      </c>
      <c r="G6783" s="195" t="s">
        <v>277</v>
      </c>
      <c r="H6783" s="195">
        <v>88.594239999999999</v>
      </c>
      <c r="I6783" s="195">
        <v>78.17259</v>
      </c>
      <c r="J6783" s="195">
        <v>19.78566</v>
      </c>
      <c r="K6783" s="195">
        <v>20.37227</v>
      </c>
      <c r="L6783" s="195">
        <v>21.029820000000001</v>
      </c>
      <c r="M6783" s="195">
        <v>21.426500000000001</v>
      </c>
      <c r="N6783" s="195">
        <v>16.0044</v>
      </c>
    </row>
    <row r="6784" spans="1:14" hidden="1" x14ac:dyDescent="0.35">
      <c r="A6784" s="52" t="s">
        <v>693</v>
      </c>
      <c r="B6784" s="52" t="s">
        <v>37</v>
      </c>
      <c r="C6784" s="52" t="s">
        <v>63</v>
      </c>
      <c r="D6784" s="52" t="s">
        <v>63</v>
      </c>
      <c r="E6784" s="52" t="s">
        <v>612</v>
      </c>
      <c r="F6784" s="52" t="s">
        <v>581</v>
      </c>
      <c r="G6784" s="195" t="s">
        <v>278</v>
      </c>
      <c r="H6784" s="195">
        <v>2.3529740000000001</v>
      </c>
      <c r="I6784" s="195">
        <v>0</v>
      </c>
      <c r="J6784" s="195">
        <v>0</v>
      </c>
      <c r="K6784" s="195">
        <v>0.36046339999999999</v>
      </c>
      <c r="L6784" s="195">
        <v>0.82209589999999999</v>
      </c>
      <c r="M6784" s="195">
        <v>1.2083619999999999</v>
      </c>
      <c r="N6784" s="195">
        <v>1.2830490000000001</v>
      </c>
    </row>
    <row r="6785" spans="1:14" hidden="1" x14ac:dyDescent="0.35">
      <c r="A6785" s="52" t="s">
        <v>693</v>
      </c>
      <c r="B6785" s="52" t="s">
        <v>37</v>
      </c>
      <c r="C6785" s="52" t="s">
        <v>63</v>
      </c>
      <c r="D6785" s="52" t="s">
        <v>63</v>
      </c>
      <c r="E6785" s="52" t="s">
        <v>612</v>
      </c>
      <c r="F6785" s="52" t="s">
        <v>581</v>
      </c>
      <c r="G6785" s="195" t="s">
        <v>279</v>
      </c>
      <c r="H6785" s="195">
        <v>45.309849999999997</v>
      </c>
      <c r="I6785" s="195">
        <v>38.949390000000001</v>
      </c>
      <c r="J6785" s="195">
        <v>25.966609999999999</v>
      </c>
      <c r="K6785" s="195">
        <v>27.03576</v>
      </c>
      <c r="L6785" s="195">
        <v>30.219480000000001</v>
      </c>
      <c r="M6785" s="195">
        <v>30.287230000000001</v>
      </c>
      <c r="N6785" s="195">
        <v>29.855709999999998</v>
      </c>
    </row>
    <row r="6786" spans="1:14" hidden="1" x14ac:dyDescent="0.35">
      <c r="A6786" s="52" t="s">
        <v>693</v>
      </c>
      <c r="B6786" s="52" t="s">
        <v>37</v>
      </c>
      <c r="C6786" s="52" t="s">
        <v>63</v>
      </c>
      <c r="D6786" s="52" t="s">
        <v>63</v>
      </c>
      <c r="E6786" s="52" t="s">
        <v>612</v>
      </c>
      <c r="F6786" s="52" t="s">
        <v>26</v>
      </c>
      <c r="G6786" s="195" t="s">
        <v>275</v>
      </c>
      <c r="H6786" s="195">
        <v>14.801080000000001</v>
      </c>
      <c r="I6786" s="195">
        <v>7.7954249999999998</v>
      </c>
      <c r="J6786" s="195">
        <v>7.0306670000000002</v>
      </c>
      <c r="K6786" s="195">
        <v>5.6888620000000003</v>
      </c>
      <c r="L6786" s="195">
        <v>3.58351</v>
      </c>
      <c r="M6786" s="195">
        <v>3.9179840000000001</v>
      </c>
      <c r="N6786" s="195">
        <v>3.9967630000000001</v>
      </c>
    </row>
    <row r="6787" spans="1:14" hidden="1" x14ac:dyDescent="0.35">
      <c r="A6787" s="52" t="s">
        <v>693</v>
      </c>
      <c r="B6787" s="52" t="s">
        <v>37</v>
      </c>
      <c r="C6787" s="52" t="s">
        <v>63</v>
      </c>
      <c r="D6787" s="52" t="s">
        <v>63</v>
      </c>
      <c r="E6787" s="52" t="s">
        <v>612</v>
      </c>
      <c r="F6787" s="52" t="s">
        <v>26</v>
      </c>
      <c r="G6787" s="195" t="s">
        <v>276</v>
      </c>
      <c r="H6787" s="195">
        <v>3.934466</v>
      </c>
      <c r="I6787" s="195">
        <v>2.0722010000000002</v>
      </c>
      <c r="J6787" s="195">
        <v>1.868911</v>
      </c>
      <c r="K6787" s="195">
        <v>1.512229</v>
      </c>
      <c r="L6787" s="195">
        <v>0.95257930000000002</v>
      </c>
      <c r="M6787" s="195">
        <v>1.0414890000000001</v>
      </c>
      <c r="N6787" s="195">
        <v>1.06243</v>
      </c>
    </row>
    <row r="6788" spans="1:14" hidden="1" x14ac:dyDescent="0.35">
      <c r="A6788" s="52" t="s">
        <v>693</v>
      </c>
      <c r="B6788" s="52" t="s">
        <v>37</v>
      </c>
      <c r="C6788" s="52" t="s">
        <v>63</v>
      </c>
      <c r="D6788" s="52" t="s">
        <v>63</v>
      </c>
      <c r="E6788" s="52" t="s">
        <v>612</v>
      </c>
      <c r="F6788" s="52" t="s">
        <v>26</v>
      </c>
      <c r="G6788" s="195" t="s">
        <v>279</v>
      </c>
      <c r="H6788" s="195">
        <v>50.58822</v>
      </c>
      <c r="I6788" s="195">
        <v>49.899389999999997</v>
      </c>
      <c r="J6788" s="195">
        <v>33.528530000000003</v>
      </c>
      <c r="K6788" s="195">
        <v>35.293010000000002</v>
      </c>
      <c r="L6788" s="195">
        <v>39.033079999999998</v>
      </c>
      <c r="M6788" s="195">
        <v>39.202269999999999</v>
      </c>
      <c r="N6788" s="195">
        <v>38.642719999999997</v>
      </c>
    </row>
    <row r="6789" spans="1:14" hidden="1" x14ac:dyDescent="0.35">
      <c r="A6789" s="52" t="s">
        <v>693</v>
      </c>
      <c r="B6789" s="52" t="s">
        <v>37</v>
      </c>
      <c r="C6789" s="52" t="s">
        <v>63</v>
      </c>
      <c r="D6789" s="52" t="s">
        <v>63</v>
      </c>
      <c r="E6789" s="52" t="s">
        <v>610</v>
      </c>
      <c r="F6789" s="52" t="s">
        <v>581</v>
      </c>
      <c r="G6789" s="195" t="s">
        <v>275</v>
      </c>
      <c r="H6789" s="195">
        <v>23.843430000000001</v>
      </c>
      <c r="I6789" s="195">
        <v>8.3904910000000008</v>
      </c>
      <c r="J6789" s="195">
        <v>6.0298309999999997</v>
      </c>
      <c r="K6789" s="195">
        <v>5.4935219999999996</v>
      </c>
      <c r="L6789" s="195">
        <v>3.5359600000000002</v>
      </c>
      <c r="M6789" s="195">
        <v>3.0280399999999998</v>
      </c>
      <c r="N6789" s="195">
        <v>2.5841310000000002</v>
      </c>
    </row>
    <row r="6790" spans="1:14" hidden="1" x14ac:dyDescent="0.35">
      <c r="A6790" s="52" t="s">
        <v>693</v>
      </c>
      <c r="B6790" s="52" t="s">
        <v>37</v>
      </c>
      <c r="C6790" s="52" t="s">
        <v>63</v>
      </c>
      <c r="D6790" s="52" t="s">
        <v>63</v>
      </c>
      <c r="E6790" s="52" t="s">
        <v>610</v>
      </c>
      <c r="F6790" s="52" t="s">
        <v>581</v>
      </c>
      <c r="G6790" s="195" t="s">
        <v>276</v>
      </c>
      <c r="H6790" s="195">
        <v>0.70325899999999997</v>
      </c>
      <c r="I6790" s="195">
        <v>0.18354319999999999</v>
      </c>
      <c r="J6790" s="195">
        <v>0.12723380000000001</v>
      </c>
      <c r="K6790" s="195">
        <v>0.1010056</v>
      </c>
      <c r="L6790" s="195">
        <v>6.7436800000000005E-2</v>
      </c>
      <c r="M6790" s="195">
        <v>6.2672199999999997E-2</v>
      </c>
      <c r="N6790" s="195">
        <v>7.2600010000000006E-2</v>
      </c>
    </row>
    <row r="6791" spans="1:14" hidden="1" x14ac:dyDescent="0.35">
      <c r="A6791" s="52" t="s">
        <v>693</v>
      </c>
      <c r="B6791" s="52" t="s">
        <v>37</v>
      </c>
      <c r="C6791" s="52" t="s">
        <v>63</v>
      </c>
      <c r="D6791" s="52" t="s">
        <v>63</v>
      </c>
      <c r="E6791" s="52" t="s">
        <v>610</v>
      </c>
      <c r="F6791" s="52" t="s">
        <v>581</v>
      </c>
      <c r="G6791" s="195" t="s">
        <v>279</v>
      </c>
      <c r="H6791" s="195">
        <v>8.5104950000000006</v>
      </c>
      <c r="I6791" s="195">
        <v>13.5494</v>
      </c>
      <c r="J6791" s="195">
        <v>13.92773</v>
      </c>
      <c r="K6791" s="195">
        <v>14.576639999999999</v>
      </c>
      <c r="L6791" s="195">
        <v>13.870139999999999</v>
      </c>
      <c r="M6791" s="195">
        <v>11.34465</v>
      </c>
      <c r="N6791" s="195">
        <v>9.6995419999999992</v>
      </c>
    </row>
    <row r="6792" spans="1:14" hidden="1" x14ac:dyDescent="0.35">
      <c r="A6792" s="52" t="s">
        <v>693</v>
      </c>
      <c r="B6792" s="52" t="s">
        <v>37</v>
      </c>
      <c r="C6792" s="52" t="s">
        <v>63</v>
      </c>
      <c r="D6792" s="52" t="s">
        <v>63</v>
      </c>
      <c r="E6792" s="52" t="s">
        <v>610</v>
      </c>
      <c r="F6792" s="52" t="s">
        <v>26</v>
      </c>
      <c r="G6792" s="195" t="s">
        <v>275</v>
      </c>
      <c r="H6792" s="195">
        <v>-101.8802</v>
      </c>
      <c r="I6792" s="195">
        <v>-38.443939999999998</v>
      </c>
      <c r="J6792" s="195">
        <v>-8.3393010000000007</v>
      </c>
      <c r="K6792" s="195">
        <v>-8.7422810000000002</v>
      </c>
      <c r="L6792" s="195">
        <v>-6.8476290000000004</v>
      </c>
      <c r="M6792" s="195">
        <v>-4.9396789999999999</v>
      </c>
      <c r="N6792" s="195">
        <v>-4.7934780000000003</v>
      </c>
    </row>
    <row r="6793" spans="1:14" hidden="1" x14ac:dyDescent="0.35">
      <c r="A6793" s="52" t="s">
        <v>693</v>
      </c>
      <c r="B6793" s="52" t="s">
        <v>37</v>
      </c>
      <c r="C6793" s="52" t="s">
        <v>63</v>
      </c>
      <c r="D6793" s="52" t="s">
        <v>63</v>
      </c>
      <c r="E6793" s="52" t="s">
        <v>610</v>
      </c>
      <c r="F6793" s="52" t="s">
        <v>26</v>
      </c>
      <c r="G6793" s="195" t="s">
        <v>276</v>
      </c>
      <c r="H6793" s="195">
        <v>-3.713495</v>
      </c>
      <c r="I6793" s="195">
        <v>-2.875448</v>
      </c>
      <c r="J6793" s="195">
        <v>-0.91827700000000001</v>
      </c>
      <c r="K6793" s="195">
        <v>-0.85108289999999998</v>
      </c>
      <c r="L6793" s="195">
        <v>-0.91914649999999998</v>
      </c>
      <c r="M6793" s="195">
        <v>-0.90402099999999996</v>
      </c>
      <c r="N6793" s="195">
        <v>-0.1065102</v>
      </c>
    </row>
    <row r="6794" spans="1:14" hidden="1" x14ac:dyDescent="0.35">
      <c r="A6794" s="52" t="s">
        <v>693</v>
      </c>
      <c r="B6794" s="52" t="s">
        <v>37</v>
      </c>
      <c r="C6794" s="52" t="s">
        <v>63</v>
      </c>
      <c r="D6794" s="52" t="s">
        <v>63</v>
      </c>
      <c r="E6794" s="52" t="s">
        <v>610</v>
      </c>
      <c r="F6794" s="52" t="s">
        <v>26</v>
      </c>
      <c r="G6794" s="195" t="s">
        <v>277</v>
      </c>
      <c r="H6794" s="195">
        <v>104.0385</v>
      </c>
      <c r="I6794" s="195">
        <v>32.351030000000002</v>
      </c>
      <c r="J6794" s="195">
        <v>2.4309289999999999</v>
      </c>
      <c r="K6794" s="195">
        <v>0.89338740000000005</v>
      </c>
      <c r="L6794" s="195">
        <v>0.33846340000000003</v>
      </c>
      <c r="M6794" s="195">
        <v>0</v>
      </c>
      <c r="N6794" s="195">
        <v>0</v>
      </c>
    </row>
    <row r="6795" spans="1:14" hidden="1" x14ac:dyDescent="0.35">
      <c r="A6795" s="52" t="s">
        <v>693</v>
      </c>
      <c r="B6795" s="52" t="s">
        <v>37</v>
      </c>
      <c r="C6795" s="52" t="s">
        <v>63</v>
      </c>
      <c r="D6795" s="52" t="s">
        <v>63</v>
      </c>
      <c r="E6795" s="52" t="s">
        <v>610</v>
      </c>
      <c r="F6795" s="52" t="s">
        <v>26</v>
      </c>
      <c r="G6795" s="195" t="s">
        <v>278</v>
      </c>
      <c r="H6795" s="195">
        <v>4.6917410000000004</v>
      </c>
      <c r="I6795" s="195">
        <v>6.6489690000000001</v>
      </c>
      <c r="J6795" s="195">
        <v>5.7603530000000003</v>
      </c>
      <c r="K6795" s="195">
        <v>4.5770489999999997</v>
      </c>
      <c r="L6795" s="195">
        <v>0.30194860000000001</v>
      </c>
      <c r="M6795" s="195">
        <v>7.6284199999999996E-2</v>
      </c>
      <c r="N6795" s="195">
        <v>0</v>
      </c>
    </row>
    <row r="6796" spans="1:14" hidden="1" x14ac:dyDescent="0.35">
      <c r="A6796" s="52" t="s">
        <v>693</v>
      </c>
      <c r="B6796" s="52" t="s">
        <v>37</v>
      </c>
      <c r="C6796" s="52" t="s">
        <v>63</v>
      </c>
      <c r="D6796" s="52" t="s">
        <v>63</v>
      </c>
      <c r="E6796" s="52" t="s">
        <v>610</v>
      </c>
      <c r="F6796" s="52" t="s">
        <v>26</v>
      </c>
      <c r="G6796" s="195" t="s">
        <v>279</v>
      </c>
      <c r="H6796" s="195">
        <v>36.294260000000001</v>
      </c>
      <c r="I6796" s="195">
        <v>44.012839999999997</v>
      </c>
      <c r="J6796" s="195">
        <v>46.440350000000002</v>
      </c>
      <c r="K6796" s="195">
        <v>49.018689999999999</v>
      </c>
      <c r="L6796" s="195">
        <v>45.924370000000003</v>
      </c>
      <c r="M6796" s="195">
        <v>37.949939999999998</v>
      </c>
      <c r="N6796" s="195">
        <v>32.595700000000001</v>
      </c>
    </row>
    <row r="6797" spans="1:14" hidden="1" x14ac:dyDescent="0.35">
      <c r="A6797" s="52" t="s">
        <v>693</v>
      </c>
      <c r="B6797" s="52" t="s">
        <v>37</v>
      </c>
      <c r="C6797" s="52" t="s">
        <v>63</v>
      </c>
      <c r="D6797" s="52" t="s">
        <v>63</v>
      </c>
      <c r="E6797" s="52" t="s">
        <v>655</v>
      </c>
      <c r="F6797" s="52" t="s">
        <v>581</v>
      </c>
      <c r="G6797" s="195" t="s">
        <v>275</v>
      </c>
      <c r="H6797" s="195"/>
      <c r="I6797" s="195"/>
      <c r="J6797" s="195">
        <v>0</v>
      </c>
      <c r="K6797" s="195">
        <v>-2.0910449999999998</v>
      </c>
      <c r="L6797" s="195">
        <v>-2.3287949999999999</v>
      </c>
      <c r="M6797" s="195">
        <v>-0.30026259999999999</v>
      </c>
      <c r="N6797" s="195">
        <v>-0.20319139999999999</v>
      </c>
    </row>
    <row r="6798" spans="1:14" hidden="1" x14ac:dyDescent="0.35">
      <c r="A6798" s="52" t="s">
        <v>693</v>
      </c>
      <c r="B6798" s="52" t="s">
        <v>37</v>
      </c>
      <c r="C6798" s="52" t="s">
        <v>63</v>
      </c>
      <c r="D6798" s="52" t="s">
        <v>63</v>
      </c>
      <c r="E6798" s="52" t="s">
        <v>655</v>
      </c>
      <c r="F6798" s="52" t="s">
        <v>581</v>
      </c>
      <c r="G6798" s="195" t="s">
        <v>276</v>
      </c>
      <c r="H6798" s="195"/>
      <c r="I6798" s="195"/>
      <c r="J6798" s="195"/>
      <c r="K6798" s="195">
        <v>0</v>
      </c>
      <c r="L6798" s="195"/>
      <c r="M6798" s="195">
        <v>0</v>
      </c>
      <c r="N6798" s="195">
        <v>0</v>
      </c>
    </row>
    <row r="6799" spans="1:14" hidden="1" x14ac:dyDescent="0.35">
      <c r="A6799" s="52" t="s">
        <v>693</v>
      </c>
      <c r="B6799" s="52" t="s">
        <v>37</v>
      </c>
      <c r="C6799" s="52" t="s">
        <v>63</v>
      </c>
      <c r="D6799" s="52" t="s">
        <v>63</v>
      </c>
      <c r="E6799" s="52" t="s">
        <v>655</v>
      </c>
      <c r="F6799" s="52" t="s">
        <v>581</v>
      </c>
      <c r="G6799" s="195" t="s">
        <v>277</v>
      </c>
      <c r="H6799" s="195"/>
      <c r="I6799" s="195"/>
      <c r="J6799" s="195">
        <v>0</v>
      </c>
      <c r="K6799" s="195">
        <v>7.1981799999999999E-2</v>
      </c>
      <c r="L6799" s="195">
        <v>0.15868699999999999</v>
      </c>
      <c r="M6799" s="195">
        <v>0</v>
      </c>
      <c r="N6799" s="195">
        <v>0</v>
      </c>
    </row>
    <row r="6800" spans="1:14" hidden="1" x14ac:dyDescent="0.35">
      <c r="A6800" s="52" t="s">
        <v>693</v>
      </c>
      <c r="B6800" s="52" t="s">
        <v>37</v>
      </c>
      <c r="C6800" s="52" t="s">
        <v>63</v>
      </c>
      <c r="D6800" s="52" t="s">
        <v>63</v>
      </c>
      <c r="E6800" s="52" t="s">
        <v>655</v>
      </c>
      <c r="F6800" s="52" t="s">
        <v>581</v>
      </c>
      <c r="G6800" s="195" t="s">
        <v>278</v>
      </c>
      <c r="H6800" s="195"/>
      <c r="I6800" s="195"/>
      <c r="J6800" s="195">
        <v>0</v>
      </c>
      <c r="K6800" s="195">
        <v>0.43088680000000001</v>
      </c>
      <c r="L6800" s="195">
        <v>0.95126929999999998</v>
      </c>
      <c r="M6800" s="195">
        <v>0</v>
      </c>
      <c r="N6800" s="195"/>
    </row>
    <row r="6801" spans="1:14" hidden="1" x14ac:dyDescent="0.35">
      <c r="A6801" s="52" t="s">
        <v>693</v>
      </c>
      <c r="B6801" s="52" t="s">
        <v>37</v>
      </c>
      <c r="C6801" s="52" t="s">
        <v>63</v>
      </c>
      <c r="D6801" s="52" t="s">
        <v>63</v>
      </c>
      <c r="E6801" s="52" t="s">
        <v>655</v>
      </c>
      <c r="F6801" s="52" t="s">
        <v>581</v>
      </c>
      <c r="G6801" s="195" t="s">
        <v>279</v>
      </c>
      <c r="H6801" s="195"/>
      <c r="I6801" s="195"/>
      <c r="J6801" s="195">
        <v>0</v>
      </c>
      <c r="K6801" s="195">
        <v>1.618579</v>
      </c>
      <c r="L6801" s="195">
        <v>1.734917</v>
      </c>
      <c r="M6801" s="195">
        <v>0.69550000000000001</v>
      </c>
      <c r="N6801" s="195">
        <v>0.45998739999999999</v>
      </c>
    </row>
    <row r="6802" spans="1:14" hidden="1" x14ac:dyDescent="0.35">
      <c r="A6802" s="52" t="s">
        <v>693</v>
      </c>
      <c r="B6802" s="52" t="s">
        <v>37</v>
      </c>
      <c r="C6802" s="52" t="s">
        <v>63</v>
      </c>
      <c r="D6802" s="52" t="s">
        <v>63</v>
      </c>
      <c r="E6802" s="52" t="s">
        <v>655</v>
      </c>
      <c r="F6802" s="52" t="s">
        <v>26</v>
      </c>
      <c r="G6802" s="195" t="s">
        <v>275</v>
      </c>
      <c r="H6802" s="195"/>
      <c r="I6802" s="195"/>
      <c r="J6802" s="195">
        <v>0</v>
      </c>
      <c r="K6802" s="195">
        <v>-0.2149074</v>
      </c>
      <c r="L6802" s="195">
        <v>-0.18940119999999999</v>
      </c>
      <c r="M6802" s="195">
        <v>-6.0045000000000001E-2</v>
      </c>
      <c r="N6802" s="195">
        <v>-4.0104000000000001E-2</v>
      </c>
    </row>
    <row r="6803" spans="1:14" hidden="1" x14ac:dyDescent="0.35">
      <c r="A6803" s="52" t="s">
        <v>693</v>
      </c>
      <c r="B6803" s="52" t="s">
        <v>37</v>
      </c>
      <c r="C6803" s="52" t="s">
        <v>63</v>
      </c>
      <c r="D6803" s="52" t="s">
        <v>63</v>
      </c>
      <c r="E6803" s="52" t="s">
        <v>655</v>
      </c>
      <c r="F6803" s="52" t="s">
        <v>26</v>
      </c>
      <c r="G6803" s="195" t="s">
        <v>276</v>
      </c>
      <c r="H6803" s="195"/>
      <c r="I6803" s="195"/>
      <c r="J6803" s="195"/>
      <c r="K6803" s="195">
        <v>0</v>
      </c>
      <c r="L6803" s="195"/>
      <c r="M6803" s="195">
        <v>0</v>
      </c>
      <c r="N6803" s="195"/>
    </row>
    <row r="6804" spans="1:14" hidden="1" x14ac:dyDescent="0.35">
      <c r="A6804" s="52" t="s">
        <v>693</v>
      </c>
      <c r="B6804" s="52" t="s">
        <v>37</v>
      </c>
      <c r="C6804" s="52" t="s">
        <v>63</v>
      </c>
      <c r="D6804" s="52" t="s">
        <v>63</v>
      </c>
      <c r="E6804" s="52" t="s">
        <v>655</v>
      </c>
      <c r="F6804" s="52" t="s">
        <v>26</v>
      </c>
      <c r="G6804" s="195" t="s">
        <v>279</v>
      </c>
      <c r="H6804" s="195"/>
      <c r="I6804" s="195"/>
      <c r="J6804" s="195">
        <v>0</v>
      </c>
      <c r="K6804" s="195">
        <v>0.2186398</v>
      </c>
      <c r="L6804" s="195">
        <v>0.25255620000000001</v>
      </c>
      <c r="M6804" s="195">
        <v>0.1082466</v>
      </c>
      <c r="N6804" s="195">
        <v>7.1401599999999996E-2</v>
      </c>
    </row>
    <row r="6805" spans="1:14" hidden="1" x14ac:dyDescent="0.35">
      <c r="A6805" s="52" t="s">
        <v>693</v>
      </c>
      <c r="B6805" s="52" t="s">
        <v>37</v>
      </c>
      <c r="C6805" s="52" t="s">
        <v>109</v>
      </c>
      <c r="D6805" s="52" t="s">
        <v>109</v>
      </c>
      <c r="E6805" s="52" t="s">
        <v>584</v>
      </c>
      <c r="F6805" s="52" t="s">
        <v>581</v>
      </c>
      <c r="G6805" s="195" t="s">
        <v>275</v>
      </c>
      <c r="H6805" s="195">
        <v>-0.39129589999999997</v>
      </c>
      <c r="I6805" s="195">
        <v>-0.51453709999999997</v>
      </c>
      <c r="J6805" s="195">
        <v>-0.53582879999999999</v>
      </c>
      <c r="K6805" s="195">
        <v>-0.58305899999999999</v>
      </c>
      <c r="L6805" s="195">
        <v>-0.59346030000000005</v>
      </c>
      <c r="M6805" s="195">
        <v>-2.8516550000000002E-2</v>
      </c>
      <c r="N6805" s="195">
        <v>2.9151999999999997E-4</v>
      </c>
    </row>
    <row r="6806" spans="1:14" hidden="1" x14ac:dyDescent="0.35">
      <c r="A6806" s="52" t="s">
        <v>693</v>
      </c>
      <c r="B6806" s="52" t="s">
        <v>37</v>
      </c>
      <c r="C6806" s="52" t="s">
        <v>109</v>
      </c>
      <c r="D6806" s="52" t="s">
        <v>109</v>
      </c>
      <c r="E6806" s="52" t="s">
        <v>584</v>
      </c>
      <c r="F6806" s="52" t="s">
        <v>581</v>
      </c>
      <c r="G6806" s="195" t="s">
        <v>276</v>
      </c>
      <c r="H6806" s="195">
        <v>-0.1111581</v>
      </c>
      <c r="I6806" s="195">
        <v>-0.14115900000000001</v>
      </c>
      <c r="J6806" s="195">
        <v>-0.14481939999999999</v>
      </c>
      <c r="K6806" s="195">
        <v>-0.1604353</v>
      </c>
      <c r="L6806" s="195">
        <v>-0.1605152</v>
      </c>
      <c r="M6806" s="195">
        <v>-8.9123569999999992E-3</v>
      </c>
      <c r="N6806" s="195">
        <v>7.7760000000000001E-5</v>
      </c>
    </row>
    <row r="6807" spans="1:14" hidden="1" x14ac:dyDescent="0.35">
      <c r="A6807" s="52" t="s">
        <v>693</v>
      </c>
      <c r="B6807" s="52" t="s">
        <v>37</v>
      </c>
      <c r="C6807" s="52" t="s">
        <v>109</v>
      </c>
      <c r="D6807" s="52" t="s">
        <v>109</v>
      </c>
      <c r="E6807" s="52" t="s">
        <v>584</v>
      </c>
      <c r="F6807" s="52" t="s">
        <v>581</v>
      </c>
      <c r="G6807" s="195" t="s">
        <v>277</v>
      </c>
      <c r="H6807" s="195">
        <v>2.2289119999999999E-2</v>
      </c>
      <c r="I6807" s="195">
        <v>1.223261E-2</v>
      </c>
      <c r="J6807" s="195">
        <v>0</v>
      </c>
      <c r="K6807" s="195"/>
      <c r="L6807" s="195"/>
      <c r="M6807" s="195"/>
      <c r="N6807" s="195"/>
    </row>
    <row r="6808" spans="1:14" hidden="1" x14ac:dyDescent="0.35">
      <c r="A6808" s="52" t="s">
        <v>693</v>
      </c>
      <c r="B6808" s="52" t="s">
        <v>37</v>
      </c>
      <c r="C6808" s="52" t="s">
        <v>109</v>
      </c>
      <c r="D6808" s="52" t="s">
        <v>109</v>
      </c>
      <c r="E6808" s="52" t="s">
        <v>584</v>
      </c>
      <c r="F6808" s="52" t="s">
        <v>581</v>
      </c>
      <c r="G6808" s="195" t="s">
        <v>279</v>
      </c>
      <c r="H6808" s="195">
        <v>0.86066670000000001</v>
      </c>
      <c r="I6808" s="195">
        <v>0.78174100000000002</v>
      </c>
      <c r="J6808" s="195">
        <v>0.79327769999999997</v>
      </c>
      <c r="K6808" s="195">
        <v>0.85024080000000002</v>
      </c>
      <c r="L6808" s="195">
        <v>0.85523819999999995</v>
      </c>
      <c r="M6808" s="195">
        <v>4.9182139999999999E-2</v>
      </c>
      <c r="N6808" s="195">
        <v>2.7372E-3</v>
      </c>
    </row>
    <row r="6809" spans="1:14" hidden="1" x14ac:dyDescent="0.35">
      <c r="A6809" s="52" t="s">
        <v>693</v>
      </c>
      <c r="B6809" s="52" t="s">
        <v>37</v>
      </c>
      <c r="C6809" s="52" t="s">
        <v>109</v>
      </c>
      <c r="D6809" s="52" t="s">
        <v>109</v>
      </c>
      <c r="E6809" s="52" t="s">
        <v>584</v>
      </c>
      <c r="F6809" s="52" t="s">
        <v>26</v>
      </c>
      <c r="G6809" s="195" t="s">
        <v>275</v>
      </c>
      <c r="H6809" s="195">
        <v>-0.5590889</v>
      </c>
      <c r="I6809" s="195">
        <v>-0.47255130000000001</v>
      </c>
      <c r="J6809" s="195">
        <v>-0.41079169999999998</v>
      </c>
      <c r="K6809" s="195">
        <v>-0.39634710000000001</v>
      </c>
      <c r="L6809" s="195">
        <v>-0.33899240000000003</v>
      </c>
      <c r="M6809" s="195">
        <v>-0.11486059999999999</v>
      </c>
      <c r="N6809" s="195">
        <v>6.3906960000000004E-3</v>
      </c>
    </row>
    <row r="6810" spans="1:14" hidden="1" x14ac:dyDescent="0.35">
      <c r="A6810" s="52" t="s">
        <v>693</v>
      </c>
      <c r="B6810" s="52" t="s">
        <v>37</v>
      </c>
      <c r="C6810" s="52" t="s">
        <v>109</v>
      </c>
      <c r="D6810" s="52" t="s">
        <v>109</v>
      </c>
      <c r="E6810" s="52" t="s">
        <v>584</v>
      </c>
      <c r="F6810" s="52" t="s">
        <v>26</v>
      </c>
      <c r="G6810" s="195" t="s">
        <v>276</v>
      </c>
      <c r="H6810" s="195">
        <v>-0.14317550000000001</v>
      </c>
      <c r="I6810" s="195">
        <v>-0.1517318</v>
      </c>
      <c r="J6810" s="195">
        <v>-0.1181054</v>
      </c>
      <c r="K6810" s="195">
        <v>-0.1074389</v>
      </c>
      <c r="L6810" s="195">
        <v>-0.1014808</v>
      </c>
      <c r="M6810" s="195">
        <v>-4.058208E-2</v>
      </c>
      <c r="N6810" s="195">
        <v>-3.5800559999999999E-3</v>
      </c>
    </row>
    <row r="6811" spans="1:14" hidden="1" x14ac:dyDescent="0.35">
      <c r="A6811" s="52" t="s">
        <v>693</v>
      </c>
      <c r="B6811" s="52" t="s">
        <v>37</v>
      </c>
      <c r="C6811" s="52" t="s">
        <v>109</v>
      </c>
      <c r="D6811" s="52" t="s">
        <v>109</v>
      </c>
      <c r="E6811" s="52" t="s">
        <v>584</v>
      </c>
      <c r="F6811" s="52" t="s">
        <v>26</v>
      </c>
      <c r="G6811" s="195" t="s">
        <v>277</v>
      </c>
      <c r="H6811" s="195">
        <v>0.1035814</v>
      </c>
      <c r="I6811" s="195">
        <v>8.3808930000000004E-2</v>
      </c>
      <c r="J6811" s="195">
        <v>5.0804830000000002E-2</v>
      </c>
      <c r="K6811" s="195">
        <v>3.5746809999999997E-2</v>
      </c>
      <c r="L6811" s="195">
        <v>2.557684E-2</v>
      </c>
      <c r="M6811" s="195">
        <v>1.2990720000000001E-2</v>
      </c>
      <c r="N6811" s="195">
        <v>1.245488E-2</v>
      </c>
    </row>
    <row r="6812" spans="1:14" hidden="1" x14ac:dyDescent="0.35">
      <c r="A6812" s="52" t="s">
        <v>693</v>
      </c>
      <c r="B6812" s="52" t="s">
        <v>37</v>
      </c>
      <c r="C6812" s="52" t="s">
        <v>109</v>
      </c>
      <c r="D6812" s="52" t="s">
        <v>109</v>
      </c>
      <c r="E6812" s="52" t="s">
        <v>584</v>
      </c>
      <c r="F6812" s="52" t="s">
        <v>26</v>
      </c>
      <c r="G6812" s="195" t="s">
        <v>279</v>
      </c>
      <c r="H6812" s="195">
        <v>1.164409</v>
      </c>
      <c r="I6812" s="195">
        <v>0.9181724</v>
      </c>
      <c r="J6812" s="195">
        <v>0.81294630000000001</v>
      </c>
      <c r="K6812" s="195">
        <v>0.76473279999999999</v>
      </c>
      <c r="L6812" s="195">
        <v>0.67921430000000005</v>
      </c>
      <c r="M6812" s="195">
        <v>0.26120090000000001</v>
      </c>
      <c r="N6812" s="195">
        <v>2.3138800000000001E-2</v>
      </c>
    </row>
    <row r="6813" spans="1:14" hidden="1" x14ac:dyDescent="0.35">
      <c r="A6813" s="52" t="s">
        <v>733</v>
      </c>
      <c r="B6813" s="52" t="s">
        <v>37</v>
      </c>
      <c r="C6813" s="52" t="s">
        <v>35</v>
      </c>
      <c r="D6813" s="52" t="s">
        <v>36</v>
      </c>
      <c r="E6813" s="52" t="s">
        <v>588</v>
      </c>
      <c r="F6813" s="52" t="s">
        <v>581</v>
      </c>
      <c r="G6813" s="195" t="s">
        <v>275</v>
      </c>
      <c r="H6813" s="195">
        <v>-80.81635</v>
      </c>
      <c r="I6813" s="195">
        <v>-1.170094</v>
      </c>
      <c r="J6813" s="195">
        <v>44.477589999999999</v>
      </c>
      <c r="K6813" s="195">
        <v>50.001220000000004</v>
      </c>
      <c r="L6813" s="195">
        <v>25.051400000000001</v>
      </c>
      <c r="M6813" s="195">
        <v>8.197082</v>
      </c>
      <c r="N6813" s="195">
        <v>3.953471</v>
      </c>
    </row>
    <row r="6814" spans="1:14" hidden="1" x14ac:dyDescent="0.35">
      <c r="A6814" s="52" t="s">
        <v>733</v>
      </c>
      <c r="B6814" s="52" t="s">
        <v>37</v>
      </c>
      <c r="C6814" s="52" t="s">
        <v>35</v>
      </c>
      <c r="D6814" s="52" t="s">
        <v>36</v>
      </c>
      <c r="E6814" s="52" t="s">
        <v>588</v>
      </c>
      <c r="F6814" s="52" t="s">
        <v>581</v>
      </c>
      <c r="G6814" s="195" t="s">
        <v>276</v>
      </c>
      <c r="H6814" s="195">
        <v>-5.3261539999999998</v>
      </c>
      <c r="I6814" s="195">
        <v>-26.63794</v>
      </c>
      <c r="J6814" s="195">
        <v>-44.684080000000002</v>
      </c>
      <c r="K6814" s="195">
        <v>-45.919750000000001</v>
      </c>
      <c r="L6814" s="195">
        <v>-25.667490000000001</v>
      </c>
      <c r="M6814" s="195">
        <v>-4.8263780000000001</v>
      </c>
      <c r="N6814" s="195">
        <v>-1.095011</v>
      </c>
    </row>
    <row r="6815" spans="1:14" hidden="1" x14ac:dyDescent="0.35">
      <c r="A6815" s="52" t="s">
        <v>733</v>
      </c>
      <c r="B6815" s="52" t="s">
        <v>37</v>
      </c>
      <c r="C6815" s="52" t="s">
        <v>35</v>
      </c>
      <c r="D6815" s="52" t="s">
        <v>36</v>
      </c>
      <c r="E6815" s="52" t="s">
        <v>588</v>
      </c>
      <c r="F6815" s="52" t="s">
        <v>581</v>
      </c>
      <c r="G6815" s="195" t="s">
        <v>277</v>
      </c>
      <c r="H6815" s="195">
        <v>282.5256</v>
      </c>
      <c r="I6815" s="195">
        <v>39.982460000000003</v>
      </c>
      <c r="J6815" s="195">
        <v>5.0346789999999997</v>
      </c>
      <c r="K6815" s="195">
        <v>2.219204</v>
      </c>
      <c r="L6815" s="195">
        <v>0.99156920000000004</v>
      </c>
      <c r="M6815" s="195">
        <v>0</v>
      </c>
      <c r="N6815" s="195">
        <v>0</v>
      </c>
    </row>
    <row r="6816" spans="1:14" hidden="1" x14ac:dyDescent="0.35">
      <c r="A6816" s="52" t="s">
        <v>733</v>
      </c>
      <c r="B6816" s="52" t="s">
        <v>37</v>
      </c>
      <c r="C6816" s="52" t="s">
        <v>35</v>
      </c>
      <c r="D6816" s="52" t="s">
        <v>36</v>
      </c>
      <c r="E6816" s="52" t="s">
        <v>588</v>
      </c>
      <c r="F6816" s="52" t="s">
        <v>581</v>
      </c>
      <c r="G6816" s="195" t="s">
        <v>278</v>
      </c>
      <c r="H6816" s="195">
        <v>3.0804000000000002E-2</v>
      </c>
      <c r="I6816" s="195">
        <v>16.260120000000001</v>
      </c>
      <c r="J6816" s="195">
        <v>11.5046</v>
      </c>
      <c r="K6816" s="195">
        <v>5.4222429999999999</v>
      </c>
      <c r="L6816" s="195">
        <v>3.038367</v>
      </c>
      <c r="M6816" s="195">
        <v>0</v>
      </c>
      <c r="N6816" s="195">
        <v>0</v>
      </c>
    </row>
    <row r="6817" spans="1:14" hidden="1" x14ac:dyDescent="0.35">
      <c r="A6817" s="52" t="s">
        <v>733</v>
      </c>
      <c r="B6817" s="52" t="s">
        <v>37</v>
      </c>
      <c r="C6817" s="52" t="s">
        <v>35</v>
      </c>
      <c r="D6817" s="52" t="s">
        <v>36</v>
      </c>
      <c r="E6817" s="52" t="s">
        <v>588</v>
      </c>
      <c r="F6817" s="52" t="s">
        <v>581</v>
      </c>
      <c r="G6817" s="195" t="s">
        <v>279</v>
      </c>
      <c r="H6817" s="195">
        <v>114.4652</v>
      </c>
      <c r="I6817" s="195">
        <v>98.577500000000001</v>
      </c>
      <c r="J6817" s="195">
        <v>86.188490000000002</v>
      </c>
      <c r="K6817" s="195">
        <v>68.863240000000005</v>
      </c>
      <c r="L6817" s="195">
        <v>63.023339999999997</v>
      </c>
      <c r="M6817" s="195">
        <v>51.399949999999997</v>
      </c>
      <c r="N6817" s="195">
        <v>43.728650000000002</v>
      </c>
    </row>
    <row r="6818" spans="1:14" hidden="1" x14ac:dyDescent="0.35">
      <c r="A6818" s="52" t="s">
        <v>733</v>
      </c>
      <c r="B6818" s="52" t="s">
        <v>37</v>
      </c>
      <c r="C6818" s="52" t="s">
        <v>35</v>
      </c>
      <c r="D6818" s="52" t="s">
        <v>36</v>
      </c>
      <c r="E6818" s="52" t="s">
        <v>588</v>
      </c>
      <c r="F6818" s="52" t="s">
        <v>26</v>
      </c>
      <c r="G6818" s="195" t="s">
        <v>275</v>
      </c>
      <c r="H6818" s="195">
        <v>-9.9907859999999999</v>
      </c>
      <c r="I6818" s="195">
        <v>-11.63377</v>
      </c>
      <c r="J6818" s="195">
        <v>-10.14851</v>
      </c>
      <c r="K6818" s="195">
        <v>-8.3949820000000006</v>
      </c>
      <c r="L6818" s="195">
        <v>-7.9730109999999996</v>
      </c>
      <c r="M6818" s="195">
        <v>-6.5015450000000001</v>
      </c>
      <c r="N6818" s="195">
        <v>-5.5303820000000004</v>
      </c>
    </row>
    <row r="6819" spans="1:14" hidden="1" x14ac:dyDescent="0.35">
      <c r="A6819" s="52" t="s">
        <v>733</v>
      </c>
      <c r="B6819" s="52" t="s">
        <v>37</v>
      </c>
      <c r="C6819" s="52" t="s">
        <v>35</v>
      </c>
      <c r="D6819" s="52" t="s">
        <v>36</v>
      </c>
      <c r="E6819" s="52" t="s">
        <v>588</v>
      </c>
      <c r="F6819" s="52" t="s">
        <v>26</v>
      </c>
      <c r="G6819" s="195" t="s">
        <v>276</v>
      </c>
      <c r="H6819" s="195">
        <v>-2.6557810000000002</v>
      </c>
      <c r="I6819" s="195">
        <v>-3.0925199999999999</v>
      </c>
      <c r="J6819" s="195">
        <v>-2.6977069999999999</v>
      </c>
      <c r="K6819" s="195">
        <v>-2.2315770000000001</v>
      </c>
      <c r="L6819" s="195">
        <v>-2.1194069999999998</v>
      </c>
      <c r="M6819" s="195">
        <v>-1.7282580000000001</v>
      </c>
      <c r="N6819" s="195">
        <v>-1.4701029999999999</v>
      </c>
    </row>
    <row r="6820" spans="1:14" hidden="1" x14ac:dyDescent="0.35">
      <c r="A6820" s="52" t="s">
        <v>733</v>
      </c>
      <c r="B6820" s="52" t="s">
        <v>37</v>
      </c>
      <c r="C6820" s="52" t="s">
        <v>35</v>
      </c>
      <c r="D6820" s="52" t="s">
        <v>36</v>
      </c>
      <c r="E6820" s="52" t="s">
        <v>588</v>
      </c>
      <c r="F6820" s="52" t="s">
        <v>26</v>
      </c>
      <c r="G6820" s="195" t="s">
        <v>279</v>
      </c>
      <c r="H6820" s="195">
        <v>19.844290000000001</v>
      </c>
      <c r="I6820" s="195">
        <v>21.630960000000002</v>
      </c>
      <c r="J6820" s="195">
        <v>19.31251</v>
      </c>
      <c r="K6820" s="195">
        <v>15.67937</v>
      </c>
      <c r="L6820" s="195">
        <v>14.23602</v>
      </c>
      <c r="M6820" s="195">
        <v>11.641859999999999</v>
      </c>
      <c r="N6820" s="195">
        <v>9.9058689999999991</v>
      </c>
    </row>
    <row r="6821" spans="1:14" hidden="1" x14ac:dyDescent="0.35">
      <c r="A6821" s="52" t="s">
        <v>733</v>
      </c>
      <c r="B6821" s="52" t="s">
        <v>37</v>
      </c>
      <c r="C6821" s="52" t="s">
        <v>35</v>
      </c>
      <c r="D6821" s="52" t="s">
        <v>36</v>
      </c>
      <c r="E6821" s="52" t="s">
        <v>587</v>
      </c>
      <c r="F6821" s="52" t="s">
        <v>581</v>
      </c>
      <c r="G6821" s="195" t="s">
        <v>275</v>
      </c>
      <c r="H6821" s="195">
        <v>60.722020000000001</v>
      </c>
      <c r="I6821" s="195">
        <v>11.470330000000001</v>
      </c>
      <c r="J6821" s="195">
        <v>10.75174</v>
      </c>
      <c r="K6821" s="195">
        <v>7.029185</v>
      </c>
      <c r="L6821" s="195">
        <v>5.2122799999999998</v>
      </c>
      <c r="M6821" s="195">
        <v>4.5583549999999997</v>
      </c>
      <c r="N6821" s="195">
        <v>4.113626</v>
      </c>
    </row>
    <row r="6822" spans="1:14" hidden="1" x14ac:dyDescent="0.35">
      <c r="A6822" s="52" t="s">
        <v>733</v>
      </c>
      <c r="B6822" s="52" t="s">
        <v>37</v>
      </c>
      <c r="C6822" s="52" t="s">
        <v>35</v>
      </c>
      <c r="D6822" s="52" t="s">
        <v>36</v>
      </c>
      <c r="E6822" s="52" t="s">
        <v>587</v>
      </c>
      <c r="F6822" s="52" t="s">
        <v>581</v>
      </c>
      <c r="G6822" s="195" t="s">
        <v>276</v>
      </c>
      <c r="H6822" s="195">
        <v>13.111800000000001</v>
      </c>
      <c r="I6822" s="195">
        <v>1.7312460000000001</v>
      </c>
      <c r="J6822" s="195">
        <v>-0.8427964</v>
      </c>
      <c r="K6822" s="195">
        <v>1.577588</v>
      </c>
      <c r="L6822" s="195">
        <v>0.38266699999999998</v>
      </c>
      <c r="M6822" s="195">
        <v>0.97159340000000005</v>
      </c>
      <c r="N6822" s="195">
        <v>1.022875</v>
      </c>
    </row>
    <row r="6823" spans="1:14" hidden="1" x14ac:dyDescent="0.35">
      <c r="A6823" s="52" t="s">
        <v>733</v>
      </c>
      <c r="B6823" s="52" t="s">
        <v>37</v>
      </c>
      <c r="C6823" s="52" t="s">
        <v>35</v>
      </c>
      <c r="D6823" s="52" t="s">
        <v>36</v>
      </c>
      <c r="E6823" s="52" t="s">
        <v>587</v>
      </c>
      <c r="F6823" s="52" t="s">
        <v>581</v>
      </c>
      <c r="G6823" s="195" t="s">
        <v>277</v>
      </c>
      <c r="H6823" s="195">
        <v>9.2741539999999993</v>
      </c>
      <c r="I6823" s="195">
        <v>2.185905</v>
      </c>
      <c r="J6823" s="195">
        <v>0.39020899999999997</v>
      </c>
      <c r="K6823" s="195">
        <v>0.24681520000000001</v>
      </c>
      <c r="L6823" s="195">
        <v>0.42405920000000003</v>
      </c>
      <c r="M6823" s="195">
        <v>0.1642904</v>
      </c>
      <c r="N6823" s="195">
        <v>0</v>
      </c>
    </row>
    <row r="6824" spans="1:14" hidden="1" x14ac:dyDescent="0.35">
      <c r="A6824" s="52" t="s">
        <v>733</v>
      </c>
      <c r="B6824" s="52" t="s">
        <v>37</v>
      </c>
      <c r="C6824" s="52" t="s">
        <v>35</v>
      </c>
      <c r="D6824" s="52" t="s">
        <v>36</v>
      </c>
      <c r="E6824" s="52" t="s">
        <v>587</v>
      </c>
      <c r="F6824" s="52" t="s">
        <v>581</v>
      </c>
      <c r="G6824" s="195" t="s">
        <v>279</v>
      </c>
      <c r="H6824" s="195">
        <v>39.534520000000001</v>
      </c>
      <c r="I6824" s="195">
        <v>25.247489999999999</v>
      </c>
      <c r="J6824" s="195">
        <v>21.37715</v>
      </c>
      <c r="K6824" s="195">
        <v>19.668769999999999</v>
      </c>
      <c r="L6824" s="195">
        <v>19.724219999999999</v>
      </c>
      <c r="M6824" s="195">
        <v>17.696000000000002</v>
      </c>
      <c r="N6824" s="195">
        <v>15.905760000000001</v>
      </c>
    </row>
    <row r="6825" spans="1:14" hidden="1" x14ac:dyDescent="0.35">
      <c r="A6825" s="52" t="s">
        <v>733</v>
      </c>
      <c r="B6825" s="52" t="s">
        <v>37</v>
      </c>
      <c r="C6825" s="52" t="s">
        <v>35</v>
      </c>
      <c r="D6825" s="52" t="s">
        <v>36</v>
      </c>
      <c r="E6825" s="52" t="s">
        <v>587</v>
      </c>
      <c r="F6825" s="52" t="s">
        <v>26</v>
      </c>
      <c r="G6825" s="195" t="s">
        <v>275</v>
      </c>
      <c r="H6825" s="195">
        <v>-3.3505479999999999</v>
      </c>
      <c r="I6825" s="195">
        <v>-1.816756</v>
      </c>
      <c r="J6825" s="195">
        <v>-1.5392479999999999</v>
      </c>
      <c r="K6825" s="195">
        <v>-1.472278</v>
      </c>
      <c r="L6825" s="195">
        <v>-1.5393870000000001</v>
      </c>
      <c r="M6825" s="195">
        <v>-1.3799079999999999</v>
      </c>
      <c r="N6825" s="195">
        <v>-1.2397069999999999</v>
      </c>
    </row>
    <row r="6826" spans="1:14" hidden="1" x14ac:dyDescent="0.35">
      <c r="A6826" s="52" t="s">
        <v>733</v>
      </c>
      <c r="B6826" s="52" t="s">
        <v>37</v>
      </c>
      <c r="C6826" s="52" t="s">
        <v>35</v>
      </c>
      <c r="D6826" s="52" t="s">
        <v>36</v>
      </c>
      <c r="E6826" s="52" t="s">
        <v>587</v>
      </c>
      <c r="F6826" s="52" t="s">
        <v>26</v>
      </c>
      <c r="G6826" s="195" t="s">
        <v>276</v>
      </c>
      <c r="H6826" s="195">
        <v>-0.89065309999999998</v>
      </c>
      <c r="I6826" s="195">
        <v>-0.48293619999999998</v>
      </c>
      <c r="J6826" s="195">
        <v>-0.40916619999999998</v>
      </c>
      <c r="K6826" s="195">
        <v>-0.39136500000000002</v>
      </c>
      <c r="L6826" s="195">
        <v>-0.40920380000000001</v>
      </c>
      <c r="M6826" s="195">
        <v>-0.36681180000000002</v>
      </c>
      <c r="N6826" s="195">
        <v>-0.3295418</v>
      </c>
    </row>
    <row r="6827" spans="1:14" hidden="1" x14ac:dyDescent="0.35">
      <c r="A6827" s="52" t="s">
        <v>733</v>
      </c>
      <c r="B6827" s="52" t="s">
        <v>37</v>
      </c>
      <c r="C6827" s="52" t="s">
        <v>35</v>
      </c>
      <c r="D6827" s="52" t="s">
        <v>36</v>
      </c>
      <c r="E6827" s="52" t="s">
        <v>587</v>
      </c>
      <c r="F6827" s="52" t="s">
        <v>26</v>
      </c>
      <c r="G6827" s="195" t="s">
        <v>279</v>
      </c>
      <c r="H6827" s="195">
        <v>6.8237399999999999</v>
      </c>
      <c r="I6827" s="195">
        <v>3.447937</v>
      </c>
      <c r="J6827" s="195">
        <v>2.9905970000000002</v>
      </c>
      <c r="K6827" s="195">
        <v>2.8004419999999999</v>
      </c>
      <c r="L6827" s="195">
        <v>2.7920340000000001</v>
      </c>
      <c r="M6827" s="195">
        <v>2.510958</v>
      </c>
      <c r="N6827" s="195">
        <v>2.2570320000000001</v>
      </c>
    </row>
    <row r="6828" spans="1:14" hidden="1" x14ac:dyDescent="0.35">
      <c r="A6828" s="52" t="s">
        <v>733</v>
      </c>
      <c r="B6828" s="52" t="s">
        <v>37</v>
      </c>
      <c r="C6828" s="52" t="s">
        <v>35</v>
      </c>
      <c r="D6828" s="52" t="s">
        <v>36</v>
      </c>
      <c r="E6828" s="52" t="s">
        <v>584</v>
      </c>
      <c r="F6828" s="52" t="s">
        <v>581</v>
      </c>
      <c r="G6828" s="195" t="s">
        <v>275</v>
      </c>
      <c r="H6828" s="195">
        <v>-7.6431100000000001</v>
      </c>
      <c r="I6828" s="195">
        <v>-0.29866490000000001</v>
      </c>
      <c r="J6828" s="195">
        <v>0.93072080000000001</v>
      </c>
      <c r="K6828" s="195">
        <v>1.3683110000000001</v>
      </c>
      <c r="L6828" s="195">
        <v>0.82760750000000005</v>
      </c>
      <c r="M6828" s="195">
        <v>0.53177439999999998</v>
      </c>
      <c r="N6828" s="195">
        <v>0.30936000000000002</v>
      </c>
    </row>
    <row r="6829" spans="1:14" hidden="1" x14ac:dyDescent="0.35">
      <c r="A6829" s="52" t="s">
        <v>733</v>
      </c>
      <c r="B6829" s="52" t="s">
        <v>37</v>
      </c>
      <c r="C6829" s="52" t="s">
        <v>35</v>
      </c>
      <c r="D6829" s="52" t="s">
        <v>36</v>
      </c>
      <c r="E6829" s="52" t="s">
        <v>584</v>
      </c>
      <c r="F6829" s="52" t="s">
        <v>581</v>
      </c>
      <c r="G6829" s="195" t="s">
        <v>276</v>
      </c>
      <c r="H6829" s="195">
        <v>-2.3890180000000001</v>
      </c>
      <c r="I6829" s="195">
        <v>-2.6430600000000002</v>
      </c>
      <c r="J6829" s="195">
        <v>-2.050719</v>
      </c>
      <c r="K6829" s="195">
        <v>-1.570408</v>
      </c>
      <c r="L6829" s="195">
        <v>-1.162571</v>
      </c>
      <c r="M6829" s="195">
        <v>-0.31359520000000002</v>
      </c>
      <c r="N6829" s="195">
        <v>-0.12720139999999999</v>
      </c>
    </row>
    <row r="6830" spans="1:14" hidden="1" x14ac:dyDescent="0.35">
      <c r="A6830" s="52" t="s">
        <v>733</v>
      </c>
      <c r="B6830" s="52" t="s">
        <v>37</v>
      </c>
      <c r="C6830" s="52" t="s">
        <v>35</v>
      </c>
      <c r="D6830" s="52" t="s">
        <v>36</v>
      </c>
      <c r="E6830" s="52" t="s">
        <v>584</v>
      </c>
      <c r="F6830" s="52" t="s">
        <v>581</v>
      </c>
      <c r="G6830" s="195" t="s">
        <v>277</v>
      </c>
      <c r="H6830" s="195">
        <v>12.30373</v>
      </c>
      <c r="I6830" s="195">
        <v>3.3599100000000002</v>
      </c>
      <c r="J6830" s="195">
        <v>1.5858939999999999</v>
      </c>
      <c r="K6830" s="195">
        <v>0.59851520000000002</v>
      </c>
      <c r="L6830" s="195">
        <v>0.60165100000000005</v>
      </c>
      <c r="M6830" s="195">
        <v>0</v>
      </c>
      <c r="N6830" s="195">
        <v>0</v>
      </c>
    </row>
    <row r="6831" spans="1:14" hidden="1" x14ac:dyDescent="0.35">
      <c r="A6831" s="52" t="s">
        <v>733</v>
      </c>
      <c r="B6831" s="52" t="s">
        <v>37</v>
      </c>
      <c r="C6831" s="52" t="s">
        <v>35</v>
      </c>
      <c r="D6831" s="52" t="s">
        <v>36</v>
      </c>
      <c r="E6831" s="52" t="s">
        <v>584</v>
      </c>
      <c r="F6831" s="52" t="s">
        <v>581</v>
      </c>
      <c r="G6831" s="195" t="s">
        <v>279</v>
      </c>
      <c r="H6831" s="195">
        <v>0.80598289999999995</v>
      </c>
      <c r="I6831" s="195">
        <v>0.3948274</v>
      </c>
      <c r="J6831" s="195">
        <v>0.51612800000000003</v>
      </c>
      <c r="K6831" s="195">
        <v>0.45903319999999997</v>
      </c>
      <c r="L6831" s="195">
        <v>0.38499559999999999</v>
      </c>
      <c r="M6831" s="195">
        <v>0.30713819999999997</v>
      </c>
      <c r="N6831" s="195">
        <v>0.25645119999999999</v>
      </c>
    </row>
    <row r="6832" spans="1:14" hidden="1" x14ac:dyDescent="0.35">
      <c r="A6832" s="52" t="s">
        <v>733</v>
      </c>
      <c r="B6832" s="52" t="s">
        <v>37</v>
      </c>
      <c r="C6832" s="52" t="s">
        <v>35</v>
      </c>
      <c r="D6832" s="52" t="s">
        <v>36</v>
      </c>
      <c r="E6832" s="52" t="s">
        <v>584</v>
      </c>
      <c r="F6832" s="52" t="s">
        <v>26</v>
      </c>
      <c r="G6832" s="195" t="s">
        <v>275</v>
      </c>
      <c r="H6832" s="195">
        <v>-7.9785999999999996E-2</v>
      </c>
      <c r="I6832" s="195">
        <v>-3.5721599999999999E-2</v>
      </c>
      <c r="J6832" s="195">
        <v>-4.6661599999999998E-2</v>
      </c>
      <c r="K6832" s="195">
        <v>-4.3756200000000002E-2</v>
      </c>
      <c r="L6832" s="195">
        <v>-3.8788400000000001E-2</v>
      </c>
      <c r="M6832" s="195">
        <v>-3.0922999999999999E-2</v>
      </c>
      <c r="N6832" s="195">
        <v>-2.5813200000000001E-2</v>
      </c>
    </row>
    <row r="6833" spans="1:14" hidden="1" x14ac:dyDescent="0.35">
      <c r="A6833" s="52" t="s">
        <v>733</v>
      </c>
      <c r="B6833" s="52" t="s">
        <v>37</v>
      </c>
      <c r="C6833" s="52" t="s">
        <v>35</v>
      </c>
      <c r="D6833" s="52" t="s">
        <v>36</v>
      </c>
      <c r="E6833" s="52" t="s">
        <v>584</v>
      </c>
      <c r="F6833" s="52" t="s">
        <v>26</v>
      </c>
      <c r="G6833" s="195" t="s">
        <v>276</v>
      </c>
      <c r="H6833" s="195">
        <v>-2.1208999999999999E-2</v>
      </c>
      <c r="I6833" s="195">
        <v>-9.4945989999999994E-3</v>
      </c>
      <c r="J6833" s="195">
        <v>-1.2404200000000001E-2</v>
      </c>
      <c r="K6833" s="195">
        <v>-1.16306E-2</v>
      </c>
      <c r="L6833" s="195">
        <v>-1.0311000000000001E-2</v>
      </c>
      <c r="M6833" s="195">
        <v>-8.2202000000000004E-3</v>
      </c>
      <c r="N6833" s="195">
        <v>-6.8602000000000003E-3</v>
      </c>
    </row>
    <row r="6834" spans="1:14" hidden="1" x14ac:dyDescent="0.35">
      <c r="A6834" s="52" t="s">
        <v>733</v>
      </c>
      <c r="B6834" s="52" t="s">
        <v>37</v>
      </c>
      <c r="C6834" s="52" t="s">
        <v>35</v>
      </c>
      <c r="D6834" s="52" t="s">
        <v>36</v>
      </c>
      <c r="E6834" s="52" t="s">
        <v>584</v>
      </c>
      <c r="F6834" s="52" t="s">
        <v>26</v>
      </c>
      <c r="G6834" s="195" t="s">
        <v>279</v>
      </c>
      <c r="H6834" s="195">
        <v>0.18936900000000001</v>
      </c>
      <c r="I6834" s="195">
        <v>7.6750399999999996E-2</v>
      </c>
      <c r="J6834" s="195">
        <v>0.1033182</v>
      </c>
      <c r="K6834" s="195">
        <v>9.3732399999999994E-2</v>
      </c>
      <c r="L6834" s="195">
        <v>7.8221799999999994E-2</v>
      </c>
      <c r="M6834" s="195">
        <v>6.2567800000000007E-2</v>
      </c>
      <c r="N6834" s="195">
        <v>5.2249999999999998E-2</v>
      </c>
    </row>
    <row r="6835" spans="1:14" hidden="1" x14ac:dyDescent="0.35">
      <c r="A6835" s="52" t="s">
        <v>733</v>
      </c>
      <c r="B6835" s="52" t="s">
        <v>37</v>
      </c>
      <c r="C6835" s="52" t="s">
        <v>35</v>
      </c>
      <c r="D6835" s="52" t="s">
        <v>189</v>
      </c>
      <c r="E6835" s="52" t="s">
        <v>589</v>
      </c>
      <c r="F6835" s="52" t="s">
        <v>581</v>
      </c>
      <c r="G6835" s="195" t="s">
        <v>275</v>
      </c>
      <c r="H6835" s="195">
        <v>21.125350000000001</v>
      </c>
      <c r="I6835" s="195">
        <v>22.10913</v>
      </c>
      <c r="J6835" s="195">
        <v>41.909350000000003</v>
      </c>
      <c r="K6835" s="195">
        <v>32.428229999999999</v>
      </c>
      <c r="L6835" s="195">
        <v>15.579650000000001</v>
      </c>
      <c r="M6835" s="195">
        <v>5.9431370000000001</v>
      </c>
      <c r="N6835" s="195">
        <v>3.9327429999999999</v>
      </c>
    </row>
    <row r="6836" spans="1:14" hidden="1" x14ac:dyDescent="0.35">
      <c r="A6836" s="52" t="s">
        <v>733</v>
      </c>
      <c r="B6836" s="52" t="s">
        <v>37</v>
      </c>
      <c r="C6836" s="52" t="s">
        <v>35</v>
      </c>
      <c r="D6836" s="52" t="s">
        <v>189</v>
      </c>
      <c r="E6836" s="52" t="s">
        <v>589</v>
      </c>
      <c r="F6836" s="52" t="s">
        <v>581</v>
      </c>
      <c r="G6836" s="195" t="s">
        <v>276</v>
      </c>
      <c r="H6836" s="195">
        <v>2.473392</v>
      </c>
      <c r="I6836" s="195">
        <v>-22.971969999999999</v>
      </c>
      <c r="J6836" s="195">
        <v>-38.535730000000001</v>
      </c>
      <c r="K6836" s="195">
        <v>-29.338100000000001</v>
      </c>
      <c r="L6836" s="195">
        <v>-15.218870000000001</v>
      </c>
      <c r="M6836" s="195">
        <v>-1.5644899999999999</v>
      </c>
      <c r="N6836" s="195">
        <v>-0.23325889999999999</v>
      </c>
    </row>
    <row r="6837" spans="1:14" hidden="1" x14ac:dyDescent="0.35">
      <c r="A6837" s="52" t="s">
        <v>733</v>
      </c>
      <c r="B6837" s="52" t="s">
        <v>37</v>
      </c>
      <c r="C6837" s="52" t="s">
        <v>35</v>
      </c>
      <c r="D6837" s="52" t="s">
        <v>189</v>
      </c>
      <c r="E6837" s="52" t="s">
        <v>589</v>
      </c>
      <c r="F6837" s="52" t="s">
        <v>581</v>
      </c>
      <c r="G6837" s="195" t="s">
        <v>277</v>
      </c>
      <c r="H6837" s="195">
        <v>175.84790000000001</v>
      </c>
      <c r="I6837" s="195">
        <v>13.18665</v>
      </c>
      <c r="J6837" s="195">
        <v>3.1663700000000001</v>
      </c>
      <c r="K6837" s="195">
        <v>1.5133840000000001</v>
      </c>
      <c r="L6837" s="195">
        <v>1.2339309999999999</v>
      </c>
      <c r="M6837" s="195">
        <v>0</v>
      </c>
      <c r="N6837" s="195">
        <v>0</v>
      </c>
    </row>
    <row r="6838" spans="1:14" hidden="1" x14ac:dyDescent="0.35">
      <c r="A6838" s="52" t="s">
        <v>733</v>
      </c>
      <c r="B6838" s="52" t="s">
        <v>37</v>
      </c>
      <c r="C6838" s="52" t="s">
        <v>35</v>
      </c>
      <c r="D6838" s="52" t="s">
        <v>189</v>
      </c>
      <c r="E6838" s="52" t="s">
        <v>589</v>
      </c>
      <c r="F6838" s="52" t="s">
        <v>581</v>
      </c>
      <c r="G6838" s="195" t="s">
        <v>278</v>
      </c>
      <c r="H6838" s="195">
        <v>1.7762E-2</v>
      </c>
      <c r="I6838" s="195">
        <v>9.7482360000000003</v>
      </c>
      <c r="J6838" s="195">
        <v>5.5697599999999996</v>
      </c>
      <c r="K6838" s="195">
        <v>4.7737920000000003</v>
      </c>
      <c r="L6838" s="195">
        <v>3.3606569999999998</v>
      </c>
      <c r="M6838" s="195">
        <v>0</v>
      </c>
      <c r="N6838" s="195">
        <v>0</v>
      </c>
    </row>
    <row r="6839" spans="1:14" hidden="1" x14ac:dyDescent="0.35">
      <c r="A6839" s="52" t="s">
        <v>733</v>
      </c>
      <c r="B6839" s="52" t="s">
        <v>37</v>
      </c>
      <c r="C6839" s="52" t="s">
        <v>35</v>
      </c>
      <c r="D6839" s="52" t="s">
        <v>189</v>
      </c>
      <c r="E6839" s="52" t="s">
        <v>589</v>
      </c>
      <c r="F6839" s="52" t="s">
        <v>581</v>
      </c>
      <c r="G6839" s="195" t="s">
        <v>279</v>
      </c>
      <c r="H6839" s="195">
        <v>105.6439</v>
      </c>
      <c r="I6839" s="195">
        <v>56.134129999999999</v>
      </c>
      <c r="J6839" s="195">
        <v>41.409599999999998</v>
      </c>
      <c r="K6839" s="195">
        <v>34.544670000000004</v>
      </c>
      <c r="L6839" s="195">
        <v>33.200690000000002</v>
      </c>
      <c r="M6839" s="195">
        <v>26.950849999999999</v>
      </c>
      <c r="N6839" s="195">
        <v>22.836089999999999</v>
      </c>
    </row>
    <row r="6840" spans="1:14" hidden="1" x14ac:dyDescent="0.35">
      <c r="A6840" s="52" t="s">
        <v>733</v>
      </c>
      <c r="B6840" s="52" t="s">
        <v>37</v>
      </c>
      <c r="C6840" s="52" t="s">
        <v>35</v>
      </c>
      <c r="D6840" s="52" t="s">
        <v>189</v>
      </c>
      <c r="E6840" s="52" t="s">
        <v>589</v>
      </c>
      <c r="F6840" s="52" t="s">
        <v>26</v>
      </c>
      <c r="G6840" s="195" t="s">
        <v>275</v>
      </c>
      <c r="H6840" s="195">
        <v>-10.297470000000001</v>
      </c>
      <c r="I6840" s="195">
        <v>-7.5742289999999999</v>
      </c>
      <c r="J6840" s="195">
        <v>-5.5623459999999998</v>
      </c>
      <c r="K6840" s="195">
        <v>-4.794816</v>
      </c>
      <c r="L6840" s="195">
        <v>-4.7710090000000003</v>
      </c>
      <c r="M6840" s="195">
        <v>-3.869075</v>
      </c>
      <c r="N6840" s="195">
        <v>-3.2779229999999999</v>
      </c>
    </row>
    <row r="6841" spans="1:14" hidden="1" x14ac:dyDescent="0.35">
      <c r="A6841" s="52" t="s">
        <v>733</v>
      </c>
      <c r="B6841" s="52" t="s">
        <v>37</v>
      </c>
      <c r="C6841" s="52" t="s">
        <v>35</v>
      </c>
      <c r="D6841" s="52" t="s">
        <v>189</v>
      </c>
      <c r="E6841" s="52" t="s">
        <v>589</v>
      </c>
      <c r="F6841" s="52" t="s">
        <v>26</v>
      </c>
      <c r="G6841" s="195" t="s">
        <v>276</v>
      </c>
      <c r="H6841" s="195">
        <v>-2.737304</v>
      </c>
      <c r="I6841" s="195">
        <v>-2.0134029999999998</v>
      </c>
      <c r="J6841" s="195">
        <v>-1.4786010000000001</v>
      </c>
      <c r="K6841" s="195">
        <v>-1.2745709999999999</v>
      </c>
      <c r="L6841" s="195">
        <v>-1.268241</v>
      </c>
      <c r="M6841" s="195">
        <v>-1.0284880000000001</v>
      </c>
      <c r="N6841" s="195">
        <v>-0.87134639999999997</v>
      </c>
    </row>
    <row r="6842" spans="1:14" hidden="1" x14ac:dyDescent="0.35">
      <c r="A6842" s="52" t="s">
        <v>733</v>
      </c>
      <c r="B6842" s="52" t="s">
        <v>37</v>
      </c>
      <c r="C6842" s="52" t="s">
        <v>35</v>
      </c>
      <c r="D6842" s="52" t="s">
        <v>189</v>
      </c>
      <c r="E6842" s="52" t="s">
        <v>589</v>
      </c>
      <c r="F6842" s="52" t="s">
        <v>26</v>
      </c>
      <c r="G6842" s="195" t="s">
        <v>279</v>
      </c>
      <c r="H6842" s="195">
        <v>20.453420000000001</v>
      </c>
      <c r="I6842" s="195">
        <v>14.086869999999999</v>
      </c>
      <c r="J6842" s="195">
        <v>10.59182</v>
      </c>
      <c r="K6842" s="195">
        <v>8.9576809999999991</v>
      </c>
      <c r="L6842" s="195">
        <v>8.5211679999999994</v>
      </c>
      <c r="M6842" s="195">
        <v>6.9303650000000001</v>
      </c>
      <c r="N6842" s="195">
        <v>5.8729800000000001</v>
      </c>
    </row>
    <row r="6843" spans="1:14" hidden="1" x14ac:dyDescent="0.35">
      <c r="A6843" s="52" t="s">
        <v>733</v>
      </c>
      <c r="B6843" s="52" t="s">
        <v>37</v>
      </c>
      <c r="C6843" s="52" t="s">
        <v>51</v>
      </c>
      <c r="D6843" s="52" t="s">
        <v>51</v>
      </c>
      <c r="E6843" s="52" t="s">
        <v>602</v>
      </c>
      <c r="F6843" s="52" t="s">
        <v>581</v>
      </c>
      <c r="G6843" s="195" t="s">
        <v>275</v>
      </c>
      <c r="H6843" s="195">
        <v>224.50729999999999</v>
      </c>
      <c r="I6843" s="195">
        <v>47.862459999999999</v>
      </c>
      <c r="J6843" s="195">
        <v>38.938070000000003</v>
      </c>
      <c r="K6843" s="195">
        <v>26.189530000000001</v>
      </c>
      <c r="L6843" s="195">
        <v>3.6166749999999999</v>
      </c>
      <c r="M6843" s="195">
        <v>2.1908750000000001</v>
      </c>
      <c r="N6843" s="195">
        <v>1.688898</v>
      </c>
    </row>
    <row r="6844" spans="1:14" hidden="1" x14ac:dyDescent="0.35">
      <c r="A6844" s="52" t="s">
        <v>733</v>
      </c>
      <c r="B6844" s="52" t="s">
        <v>37</v>
      </c>
      <c r="C6844" s="52" t="s">
        <v>51</v>
      </c>
      <c r="D6844" s="52" t="s">
        <v>51</v>
      </c>
      <c r="E6844" s="52" t="s">
        <v>602</v>
      </c>
      <c r="F6844" s="52" t="s">
        <v>581</v>
      </c>
      <c r="G6844" s="195" t="s">
        <v>276</v>
      </c>
      <c r="H6844" s="195">
        <v>-7.5346760000000002</v>
      </c>
      <c r="I6844" s="195">
        <v>-29.526440000000001</v>
      </c>
      <c r="J6844" s="195">
        <v>-28.636869999999998</v>
      </c>
      <c r="K6844" s="195">
        <v>-18.907820000000001</v>
      </c>
      <c r="L6844" s="195">
        <v>-7.1218089999999998</v>
      </c>
      <c r="M6844" s="195">
        <v>-1.1661079999999999</v>
      </c>
      <c r="N6844" s="195">
        <v>-0.26287630000000001</v>
      </c>
    </row>
    <row r="6845" spans="1:14" hidden="1" x14ac:dyDescent="0.35">
      <c r="A6845" s="52" t="s">
        <v>733</v>
      </c>
      <c r="B6845" s="52" t="s">
        <v>37</v>
      </c>
      <c r="C6845" s="52" t="s">
        <v>51</v>
      </c>
      <c r="D6845" s="52" t="s">
        <v>51</v>
      </c>
      <c r="E6845" s="52" t="s">
        <v>602</v>
      </c>
      <c r="F6845" s="52" t="s">
        <v>581</v>
      </c>
      <c r="G6845" s="195" t="s">
        <v>277</v>
      </c>
      <c r="H6845" s="195">
        <v>76.197130000000001</v>
      </c>
      <c r="I6845" s="195">
        <v>9.7175049999999992</v>
      </c>
      <c r="J6845" s="195">
        <v>3.389148</v>
      </c>
      <c r="K6845" s="195">
        <v>3.3113809999999999</v>
      </c>
      <c r="L6845" s="195">
        <v>3.0398139999999998</v>
      </c>
      <c r="M6845" s="195">
        <v>0.20300319999999999</v>
      </c>
      <c r="N6845" s="195">
        <v>0</v>
      </c>
    </row>
    <row r="6846" spans="1:14" hidden="1" x14ac:dyDescent="0.35">
      <c r="A6846" s="52" t="s">
        <v>733</v>
      </c>
      <c r="B6846" s="52" t="s">
        <v>37</v>
      </c>
      <c r="C6846" s="52" t="s">
        <v>51</v>
      </c>
      <c r="D6846" s="52" t="s">
        <v>51</v>
      </c>
      <c r="E6846" s="52" t="s">
        <v>602</v>
      </c>
      <c r="F6846" s="52" t="s">
        <v>581</v>
      </c>
      <c r="G6846" s="195" t="s">
        <v>278</v>
      </c>
      <c r="H6846" s="195">
        <v>2.8660000000000001E-3</v>
      </c>
      <c r="I6846" s="195">
        <v>3.4616660000000001</v>
      </c>
      <c r="J6846" s="195">
        <v>0.76638600000000001</v>
      </c>
      <c r="K6846" s="195">
        <v>0.37334020000000001</v>
      </c>
      <c r="L6846" s="195">
        <v>1.0530440000000001</v>
      </c>
      <c r="M6846" s="195">
        <v>0.26267679999999999</v>
      </c>
      <c r="N6846" s="195">
        <v>0</v>
      </c>
    </row>
    <row r="6847" spans="1:14" hidden="1" x14ac:dyDescent="0.35">
      <c r="A6847" s="52" t="s">
        <v>733</v>
      </c>
      <c r="B6847" s="52" t="s">
        <v>37</v>
      </c>
      <c r="C6847" s="52" t="s">
        <v>51</v>
      </c>
      <c r="D6847" s="52" t="s">
        <v>51</v>
      </c>
      <c r="E6847" s="52" t="s">
        <v>602</v>
      </c>
      <c r="F6847" s="52" t="s">
        <v>581</v>
      </c>
      <c r="G6847" s="195" t="s">
        <v>279</v>
      </c>
      <c r="H6847" s="195">
        <v>171.79859999999999</v>
      </c>
      <c r="I6847" s="195">
        <v>118.9532</v>
      </c>
      <c r="J6847" s="195">
        <v>97.239400000000003</v>
      </c>
      <c r="K6847" s="195">
        <v>87.885890000000003</v>
      </c>
      <c r="L6847" s="195">
        <v>86.581159999999997</v>
      </c>
      <c r="M6847" s="195">
        <v>75.318010000000001</v>
      </c>
      <c r="N6847" s="195">
        <v>65.354619999999997</v>
      </c>
    </row>
    <row r="6848" spans="1:14" hidden="1" x14ac:dyDescent="0.35">
      <c r="A6848" s="52" t="s">
        <v>733</v>
      </c>
      <c r="B6848" s="52" t="s">
        <v>37</v>
      </c>
      <c r="C6848" s="52" t="s">
        <v>51</v>
      </c>
      <c r="D6848" s="52" t="s">
        <v>51</v>
      </c>
      <c r="E6848" s="52" t="s">
        <v>602</v>
      </c>
      <c r="F6848" s="52" t="s">
        <v>26</v>
      </c>
      <c r="G6848" s="195" t="s">
        <v>275</v>
      </c>
      <c r="H6848" s="195">
        <v>-5.2558910000000001</v>
      </c>
      <c r="I6848" s="195">
        <v>-6.5660920000000003</v>
      </c>
      <c r="J6848" s="195">
        <v>-4.847709</v>
      </c>
      <c r="K6848" s="195">
        <v>-5.050332</v>
      </c>
      <c r="L6848" s="195">
        <v>-6.3297509999999999</v>
      </c>
      <c r="M6848" s="195">
        <v>-5.3528599999999997</v>
      </c>
      <c r="N6848" s="195">
        <v>-4.6046399999999998</v>
      </c>
    </row>
    <row r="6849" spans="1:14" hidden="1" x14ac:dyDescent="0.35">
      <c r="A6849" s="52" t="s">
        <v>733</v>
      </c>
      <c r="B6849" s="52" t="s">
        <v>37</v>
      </c>
      <c r="C6849" s="52" t="s">
        <v>51</v>
      </c>
      <c r="D6849" s="52" t="s">
        <v>51</v>
      </c>
      <c r="E6849" s="52" t="s">
        <v>602</v>
      </c>
      <c r="F6849" s="52" t="s">
        <v>26</v>
      </c>
      <c r="G6849" s="195" t="s">
        <v>276</v>
      </c>
      <c r="H6849" s="195">
        <v>-1.397141</v>
      </c>
      <c r="I6849" s="195">
        <v>-1.7454190000000001</v>
      </c>
      <c r="J6849" s="195">
        <v>-1.2886329999999999</v>
      </c>
      <c r="K6849" s="195">
        <v>-1.3424940000000001</v>
      </c>
      <c r="L6849" s="195">
        <v>-1.6825909999999999</v>
      </c>
      <c r="M6849" s="195">
        <v>-1.422912</v>
      </c>
      <c r="N6849" s="195">
        <v>-1.2240169999999999</v>
      </c>
    </row>
    <row r="6850" spans="1:14" hidden="1" x14ac:dyDescent="0.35">
      <c r="A6850" s="52" t="s">
        <v>733</v>
      </c>
      <c r="B6850" s="52" t="s">
        <v>37</v>
      </c>
      <c r="C6850" s="52" t="s">
        <v>51</v>
      </c>
      <c r="D6850" s="52" t="s">
        <v>51</v>
      </c>
      <c r="E6850" s="52" t="s">
        <v>602</v>
      </c>
      <c r="F6850" s="52" t="s">
        <v>26</v>
      </c>
      <c r="G6850" s="195" t="s">
        <v>279</v>
      </c>
      <c r="H6850" s="195">
        <v>39.679960000000001</v>
      </c>
      <c r="I6850" s="195">
        <v>31.705279999999998</v>
      </c>
      <c r="J6850" s="195">
        <v>26.472850000000001</v>
      </c>
      <c r="K6850" s="195">
        <v>24.477060000000002</v>
      </c>
      <c r="L6850" s="195">
        <v>23.798940000000002</v>
      </c>
      <c r="M6850" s="195">
        <v>20.464279999999999</v>
      </c>
      <c r="N6850" s="195">
        <v>17.679290000000002</v>
      </c>
    </row>
    <row r="6851" spans="1:14" hidden="1" x14ac:dyDescent="0.35">
      <c r="A6851" s="52" t="s">
        <v>755</v>
      </c>
      <c r="B6851" s="52" t="s">
        <v>37</v>
      </c>
      <c r="C6851" s="52" t="s">
        <v>46</v>
      </c>
      <c r="D6851" s="52" t="s">
        <v>46</v>
      </c>
      <c r="E6851" s="52" t="s">
        <v>584</v>
      </c>
      <c r="F6851" s="52" t="s">
        <v>581</v>
      </c>
      <c r="G6851" s="195" t="s">
        <v>275</v>
      </c>
      <c r="H6851" s="195">
        <v>58.91865</v>
      </c>
      <c r="I6851" s="195">
        <v>-37.97242</v>
      </c>
      <c r="J6851" s="195">
        <v>-23.113890000000001</v>
      </c>
      <c r="K6851" s="195">
        <v>-38.380629999999996</v>
      </c>
      <c r="L6851" s="195">
        <v>-43.122889999999998</v>
      </c>
      <c r="M6851" s="195">
        <v>-43.967030000000001</v>
      </c>
      <c r="N6851" s="195">
        <v>-37.961640000000003</v>
      </c>
    </row>
    <row r="6852" spans="1:14" hidden="1" x14ac:dyDescent="0.35">
      <c r="A6852" s="52" t="s">
        <v>755</v>
      </c>
      <c r="B6852" s="52" t="s">
        <v>37</v>
      </c>
      <c r="C6852" s="52" t="s">
        <v>46</v>
      </c>
      <c r="D6852" s="52" t="s">
        <v>46</v>
      </c>
      <c r="E6852" s="52" t="s">
        <v>584</v>
      </c>
      <c r="F6852" s="52" t="s">
        <v>581</v>
      </c>
      <c r="G6852" s="195" t="s">
        <v>276</v>
      </c>
      <c r="H6852" s="195">
        <v>22.474080000000001</v>
      </c>
      <c r="I6852" s="195">
        <v>-17.861540000000002</v>
      </c>
      <c r="J6852" s="195">
        <v>-17.58324</v>
      </c>
      <c r="K6852" s="195">
        <v>-8.8143550000000008</v>
      </c>
      <c r="L6852" s="195">
        <v>-18.63917</v>
      </c>
      <c r="M6852" s="195">
        <v>-12.054320000000001</v>
      </c>
      <c r="N6852" s="195">
        <v>-10.34179</v>
      </c>
    </row>
    <row r="6853" spans="1:14" hidden="1" x14ac:dyDescent="0.35">
      <c r="A6853" s="52" t="s">
        <v>755</v>
      </c>
      <c r="B6853" s="52" t="s">
        <v>37</v>
      </c>
      <c r="C6853" s="52" t="s">
        <v>46</v>
      </c>
      <c r="D6853" s="52" t="s">
        <v>46</v>
      </c>
      <c r="E6853" s="52" t="s">
        <v>584</v>
      </c>
      <c r="F6853" s="52" t="s">
        <v>581</v>
      </c>
      <c r="G6853" s="195" t="s">
        <v>277</v>
      </c>
      <c r="H6853" s="195">
        <v>100.62690000000001</v>
      </c>
      <c r="I6853" s="195">
        <v>35</v>
      </c>
      <c r="J6853" s="195">
        <v>18.745149999999999</v>
      </c>
      <c r="K6853" s="195">
        <v>28.80003</v>
      </c>
      <c r="L6853" s="195">
        <v>31.082149999999999</v>
      </c>
      <c r="M6853" s="195">
        <v>29.418600000000001</v>
      </c>
      <c r="N6853" s="195">
        <v>22.961780000000001</v>
      </c>
    </row>
    <row r="6854" spans="1:14" hidden="1" x14ac:dyDescent="0.35">
      <c r="A6854" s="52" t="s">
        <v>755</v>
      </c>
      <c r="B6854" s="52" t="s">
        <v>37</v>
      </c>
      <c r="C6854" s="52" t="s">
        <v>46</v>
      </c>
      <c r="D6854" s="52" t="s">
        <v>46</v>
      </c>
      <c r="E6854" s="52" t="s">
        <v>584</v>
      </c>
      <c r="F6854" s="52" t="s">
        <v>581</v>
      </c>
      <c r="G6854" s="195" t="s">
        <v>278</v>
      </c>
      <c r="H6854" s="195">
        <v>0.130494</v>
      </c>
      <c r="I6854" s="195">
        <v>0</v>
      </c>
      <c r="J6854" s="195"/>
      <c r="K6854" s="195"/>
      <c r="L6854" s="195"/>
      <c r="M6854" s="195"/>
      <c r="N6854" s="195"/>
    </row>
    <row r="6855" spans="1:14" hidden="1" x14ac:dyDescent="0.35">
      <c r="A6855" s="52" t="s">
        <v>755</v>
      </c>
      <c r="B6855" s="52" t="s">
        <v>37</v>
      </c>
      <c r="C6855" s="52" t="s">
        <v>46</v>
      </c>
      <c r="D6855" s="52" t="s">
        <v>46</v>
      </c>
      <c r="E6855" s="52" t="s">
        <v>584</v>
      </c>
      <c r="F6855" s="52" t="s">
        <v>581</v>
      </c>
      <c r="G6855" s="195" t="s">
        <v>279</v>
      </c>
      <c r="H6855" s="195">
        <v>230.90100000000001</v>
      </c>
      <c r="I6855" s="195">
        <v>152.59809999999999</v>
      </c>
      <c r="J6855" s="195">
        <v>137.17410000000001</v>
      </c>
      <c r="K6855" s="195">
        <v>133.3186</v>
      </c>
      <c r="L6855" s="195">
        <v>139.76159999999999</v>
      </c>
      <c r="M6855" s="195">
        <v>127.5993</v>
      </c>
      <c r="N6855" s="195">
        <v>116.1767</v>
      </c>
    </row>
    <row r="6856" spans="1:14" hidden="1" x14ac:dyDescent="0.35">
      <c r="A6856" s="52" t="s">
        <v>755</v>
      </c>
      <c r="B6856" s="52" t="s">
        <v>37</v>
      </c>
      <c r="C6856" s="52" t="s">
        <v>46</v>
      </c>
      <c r="D6856" s="52" t="s">
        <v>46</v>
      </c>
      <c r="E6856" s="52" t="s">
        <v>584</v>
      </c>
      <c r="F6856" s="52" t="s">
        <v>26</v>
      </c>
      <c r="G6856" s="195" t="s">
        <v>275</v>
      </c>
      <c r="H6856" s="195">
        <v>-1.4287730000000001</v>
      </c>
      <c r="I6856" s="195">
        <v>-7.8897800000000004E-2</v>
      </c>
      <c r="J6856" s="195">
        <v>-6.7288609999999999E-2</v>
      </c>
      <c r="K6856" s="195">
        <v>-6.4174990000000001E-2</v>
      </c>
      <c r="L6856" s="195">
        <v>-6.9985000000000006E-2</v>
      </c>
      <c r="M6856" s="195">
        <v>-6.3607800000000006E-2</v>
      </c>
      <c r="N6856" s="195">
        <v>-5.8478799999999997E-2</v>
      </c>
    </row>
    <row r="6857" spans="1:14" hidden="1" x14ac:dyDescent="0.35">
      <c r="A6857" s="52" t="s">
        <v>755</v>
      </c>
      <c r="B6857" s="52" t="s">
        <v>37</v>
      </c>
      <c r="C6857" s="52" t="s">
        <v>46</v>
      </c>
      <c r="D6857" s="52" t="s">
        <v>46</v>
      </c>
      <c r="E6857" s="52" t="s">
        <v>584</v>
      </c>
      <c r="F6857" s="52" t="s">
        <v>26</v>
      </c>
      <c r="G6857" s="195" t="s">
        <v>276</v>
      </c>
      <c r="H6857" s="195">
        <v>-0.379801</v>
      </c>
      <c r="I6857" s="195">
        <v>-2.0972600000000001E-2</v>
      </c>
      <c r="J6857" s="195">
        <v>-1.7886599999999999E-2</v>
      </c>
      <c r="K6857" s="195">
        <v>-1.7059399999999999E-2</v>
      </c>
      <c r="L6857" s="195">
        <v>-1.86038E-2</v>
      </c>
      <c r="M6857" s="195">
        <v>-1.6909799999999999E-2</v>
      </c>
      <c r="N6857" s="195">
        <v>-1.55452E-2</v>
      </c>
    </row>
    <row r="6858" spans="1:14" hidden="1" x14ac:dyDescent="0.35">
      <c r="A6858" s="52" t="s">
        <v>755</v>
      </c>
      <c r="B6858" s="52" t="s">
        <v>37</v>
      </c>
      <c r="C6858" s="52" t="s">
        <v>46</v>
      </c>
      <c r="D6858" s="52" t="s">
        <v>46</v>
      </c>
      <c r="E6858" s="52" t="s">
        <v>584</v>
      </c>
      <c r="F6858" s="52" t="s">
        <v>26</v>
      </c>
      <c r="G6858" s="195" t="s">
        <v>279</v>
      </c>
      <c r="H6858" s="195">
        <v>2.9069980000000002</v>
      </c>
      <c r="I6858" s="195">
        <v>0.1395526</v>
      </c>
      <c r="J6858" s="195">
        <v>0.1218964</v>
      </c>
      <c r="K6858" s="195">
        <v>0.1151006</v>
      </c>
      <c r="L6858" s="195">
        <v>0.1198032</v>
      </c>
      <c r="M6858" s="195">
        <v>0.10934439999999999</v>
      </c>
      <c r="N6858" s="195">
        <v>0.1005822</v>
      </c>
    </row>
    <row r="6859" spans="1:14" hidden="1" x14ac:dyDescent="0.35">
      <c r="A6859" s="52" t="s">
        <v>755</v>
      </c>
      <c r="B6859" s="52" t="s">
        <v>37</v>
      </c>
      <c r="C6859" s="52" t="s">
        <v>51</v>
      </c>
      <c r="D6859" s="52" t="s">
        <v>51</v>
      </c>
      <c r="E6859" s="52" t="s">
        <v>584</v>
      </c>
      <c r="F6859" s="52" t="s">
        <v>581</v>
      </c>
      <c r="G6859" s="195" t="s">
        <v>275</v>
      </c>
      <c r="H6859" s="195">
        <v>64.155249999999995</v>
      </c>
      <c r="I6859" s="195">
        <v>-32.549399999999999</v>
      </c>
      <c r="J6859" s="195">
        <v>-86.858400000000003</v>
      </c>
      <c r="K6859" s="195">
        <v>-67.223799999999997</v>
      </c>
      <c r="L6859" s="195">
        <v>-71.310280000000006</v>
      </c>
      <c r="M6859" s="195">
        <v>-101.82599999999999</v>
      </c>
      <c r="N6859" s="195">
        <v>-286.8639</v>
      </c>
    </row>
    <row r="6860" spans="1:14" hidden="1" x14ac:dyDescent="0.35">
      <c r="A6860" s="52" t="s">
        <v>755</v>
      </c>
      <c r="B6860" s="52" t="s">
        <v>37</v>
      </c>
      <c r="C6860" s="52" t="s">
        <v>51</v>
      </c>
      <c r="D6860" s="52" t="s">
        <v>51</v>
      </c>
      <c r="E6860" s="52" t="s">
        <v>584</v>
      </c>
      <c r="F6860" s="52" t="s">
        <v>581</v>
      </c>
      <c r="G6860" s="195" t="s">
        <v>276</v>
      </c>
      <c r="H6860" s="195">
        <v>19.870989999999999</v>
      </c>
      <c r="I6860" s="195">
        <v>-9.5772689999999994</v>
      </c>
      <c r="J6860" s="195">
        <v>-14.51408</v>
      </c>
      <c r="K6860" s="195">
        <v>-23.431180000000001</v>
      </c>
      <c r="L6860" s="195">
        <v>-22.246949999999998</v>
      </c>
      <c r="M6860" s="195">
        <v>-22.629370000000002</v>
      </c>
      <c r="N6860" s="195">
        <v>-74.604640000000003</v>
      </c>
    </row>
    <row r="6861" spans="1:14" hidden="1" x14ac:dyDescent="0.35">
      <c r="A6861" s="52" t="s">
        <v>755</v>
      </c>
      <c r="B6861" s="52" t="s">
        <v>37</v>
      </c>
      <c r="C6861" s="52" t="s">
        <v>51</v>
      </c>
      <c r="D6861" s="52" t="s">
        <v>51</v>
      </c>
      <c r="E6861" s="52" t="s">
        <v>584</v>
      </c>
      <c r="F6861" s="52" t="s">
        <v>581</v>
      </c>
      <c r="G6861" s="195" t="s">
        <v>277</v>
      </c>
      <c r="H6861" s="195">
        <v>60.962130000000002</v>
      </c>
      <c r="I6861" s="195">
        <v>30</v>
      </c>
      <c r="J6861" s="195">
        <v>81.625050000000002</v>
      </c>
      <c r="K6861" s="195">
        <v>53.770760000000003</v>
      </c>
      <c r="L6861" s="195">
        <v>43.390979999999999</v>
      </c>
      <c r="M6861" s="195">
        <v>63.960099999999997</v>
      </c>
      <c r="N6861" s="195">
        <v>76.169749999999993</v>
      </c>
    </row>
    <row r="6862" spans="1:14" hidden="1" x14ac:dyDescent="0.35">
      <c r="A6862" s="52" t="s">
        <v>755</v>
      </c>
      <c r="B6862" s="52" t="s">
        <v>37</v>
      </c>
      <c r="C6862" s="52" t="s">
        <v>51</v>
      </c>
      <c r="D6862" s="52" t="s">
        <v>51</v>
      </c>
      <c r="E6862" s="52" t="s">
        <v>584</v>
      </c>
      <c r="F6862" s="52" t="s">
        <v>581</v>
      </c>
      <c r="G6862" s="195" t="s">
        <v>279</v>
      </c>
      <c r="H6862" s="195">
        <v>146.9316</v>
      </c>
      <c r="I6862" s="195">
        <v>107.7863</v>
      </c>
      <c r="J6862" s="195">
        <v>97.043549999999996</v>
      </c>
      <c r="K6862" s="195">
        <v>127.8142</v>
      </c>
      <c r="L6862" s="195">
        <v>147.05629999999999</v>
      </c>
      <c r="M6862" s="195">
        <v>170.1395</v>
      </c>
      <c r="N6862" s="195">
        <v>345.82170000000002</v>
      </c>
    </row>
    <row r="6863" spans="1:14" hidden="1" x14ac:dyDescent="0.35">
      <c r="A6863" s="52" t="s">
        <v>755</v>
      </c>
      <c r="B6863" s="52" t="s">
        <v>37</v>
      </c>
      <c r="C6863" s="52" t="s">
        <v>51</v>
      </c>
      <c r="D6863" s="52" t="s">
        <v>51</v>
      </c>
      <c r="E6863" s="52" t="s">
        <v>584</v>
      </c>
      <c r="F6863" s="52" t="s">
        <v>26</v>
      </c>
      <c r="G6863" s="195" t="s">
        <v>275</v>
      </c>
      <c r="H6863" s="195">
        <v>-1.042737</v>
      </c>
      <c r="I6863" s="195">
        <v>-0.67465540000000002</v>
      </c>
      <c r="J6863" s="195">
        <v>-0.43262899999999999</v>
      </c>
      <c r="K6863" s="195">
        <v>-0.34422900000000001</v>
      </c>
      <c r="L6863" s="195">
        <v>-0.26351760000000002</v>
      </c>
      <c r="M6863" s="195">
        <v>-0.18121399999999999</v>
      </c>
      <c r="N6863" s="195">
        <v>-3.640936</v>
      </c>
    </row>
    <row r="6864" spans="1:14" hidden="1" x14ac:dyDescent="0.35">
      <c r="A6864" s="52" t="s">
        <v>755</v>
      </c>
      <c r="B6864" s="52" t="s">
        <v>37</v>
      </c>
      <c r="C6864" s="52" t="s">
        <v>51</v>
      </c>
      <c r="D6864" s="52" t="s">
        <v>51</v>
      </c>
      <c r="E6864" s="52" t="s">
        <v>584</v>
      </c>
      <c r="F6864" s="52" t="s">
        <v>26</v>
      </c>
      <c r="G6864" s="195" t="s">
        <v>276</v>
      </c>
      <c r="H6864" s="195">
        <v>-0.27717999999999998</v>
      </c>
      <c r="I6864" s="195">
        <v>-0.17934020000000001</v>
      </c>
      <c r="J6864" s="195">
        <v>-0.1150018</v>
      </c>
      <c r="K6864" s="195">
        <v>-9.1503799999999996E-2</v>
      </c>
      <c r="L6864" s="195">
        <v>-7.0045999999999997E-2</v>
      </c>
      <c r="M6864" s="195">
        <v>-4.8170999999999999E-2</v>
      </c>
      <c r="N6864" s="195">
        <v>-0.96784110000000001</v>
      </c>
    </row>
    <row r="6865" spans="1:14" hidden="1" x14ac:dyDescent="0.35">
      <c r="A6865" s="52" t="s">
        <v>755</v>
      </c>
      <c r="B6865" s="52" t="s">
        <v>37</v>
      </c>
      <c r="C6865" s="52" t="s">
        <v>51</v>
      </c>
      <c r="D6865" s="52" t="s">
        <v>51</v>
      </c>
      <c r="E6865" s="52" t="s">
        <v>584</v>
      </c>
      <c r="F6865" s="52" t="s">
        <v>26</v>
      </c>
      <c r="G6865" s="195" t="s">
        <v>279</v>
      </c>
      <c r="H6865" s="195">
        <v>2.630598</v>
      </c>
      <c r="I6865" s="195">
        <v>1.5400929999999999</v>
      </c>
      <c r="J6865" s="195">
        <v>1.0219309999999999</v>
      </c>
      <c r="K6865" s="195">
        <v>0.76153159999999998</v>
      </c>
      <c r="L6865" s="195">
        <v>0.55722419999999995</v>
      </c>
      <c r="M6865" s="195">
        <v>0.38284400000000002</v>
      </c>
      <c r="N6865" s="195">
        <v>4.6087769999999999</v>
      </c>
    </row>
    <row r="6866" spans="1:14" hidden="1" x14ac:dyDescent="0.35">
      <c r="A6866" s="52" t="s">
        <v>755</v>
      </c>
      <c r="B6866" s="52" t="s">
        <v>37</v>
      </c>
      <c r="C6866" s="52" t="s">
        <v>79</v>
      </c>
      <c r="D6866" s="52" t="s">
        <v>79</v>
      </c>
      <c r="E6866" s="52" t="s">
        <v>584</v>
      </c>
      <c r="F6866" s="52" t="s">
        <v>581</v>
      </c>
      <c r="G6866" s="195" t="s">
        <v>275</v>
      </c>
      <c r="H6866" s="195">
        <v>96.446330000000003</v>
      </c>
      <c r="I6866" s="195">
        <v>-28.278459999999999</v>
      </c>
      <c r="J6866" s="195">
        <v>-5.8559960000000002</v>
      </c>
      <c r="K6866" s="195">
        <v>8.7185799999999993</v>
      </c>
      <c r="L6866" s="195">
        <v>-5.4457009999999997</v>
      </c>
      <c r="M6866" s="195">
        <v>-4.3827420000000004</v>
      </c>
      <c r="N6866" s="195">
        <v>-43.197659999999999</v>
      </c>
    </row>
    <row r="6867" spans="1:14" hidden="1" x14ac:dyDescent="0.35">
      <c r="A6867" s="52" t="s">
        <v>755</v>
      </c>
      <c r="B6867" s="52" t="s">
        <v>37</v>
      </c>
      <c r="C6867" s="52" t="s">
        <v>79</v>
      </c>
      <c r="D6867" s="52" t="s">
        <v>79</v>
      </c>
      <c r="E6867" s="52" t="s">
        <v>584</v>
      </c>
      <c r="F6867" s="52" t="s">
        <v>581</v>
      </c>
      <c r="G6867" s="195" t="s">
        <v>276</v>
      </c>
      <c r="H6867" s="195">
        <v>9.1684760000000001</v>
      </c>
      <c r="I6867" s="195">
        <v>-12.59951</v>
      </c>
      <c r="J6867" s="195">
        <v>-12.616009999999999</v>
      </c>
      <c r="K6867" s="195">
        <v>-17.25338</v>
      </c>
      <c r="L6867" s="195">
        <v>-6.1390969999999996</v>
      </c>
      <c r="M6867" s="195">
        <v>-5.2699559999999996</v>
      </c>
      <c r="N6867" s="195">
        <v>-12.594519999999999</v>
      </c>
    </row>
    <row r="6868" spans="1:14" hidden="1" x14ac:dyDescent="0.35">
      <c r="A6868" s="52" t="s">
        <v>755</v>
      </c>
      <c r="B6868" s="52" t="s">
        <v>37</v>
      </c>
      <c r="C6868" s="52" t="s">
        <v>79</v>
      </c>
      <c r="D6868" s="52" t="s">
        <v>79</v>
      </c>
      <c r="E6868" s="52" t="s">
        <v>584</v>
      </c>
      <c r="F6868" s="52" t="s">
        <v>581</v>
      </c>
      <c r="G6868" s="195" t="s">
        <v>277</v>
      </c>
      <c r="H6868" s="195">
        <v>30.336980000000001</v>
      </c>
      <c r="I6868" s="195">
        <v>33.648130000000002</v>
      </c>
      <c r="J6868" s="195">
        <v>9.8888339999999992</v>
      </c>
      <c r="K6868" s="195">
        <v>0.59468620000000005</v>
      </c>
      <c r="L6868" s="195"/>
      <c r="M6868" s="195">
        <v>0</v>
      </c>
      <c r="N6868" s="195"/>
    </row>
    <row r="6869" spans="1:14" hidden="1" x14ac:dyDescent="0.35">
      <c r="A6869" s="52" t="s">
        <v>755</v>
      </c>
      <c r="B6869" s="52" t="s">
        <v>37</v>
      </c>
      <c r="C6869" s="52" t="s">
        <v>79</v>
      </c>
      <c r="D6869" s="52" t="s">
        <v>79</v>
      </c>
      <c r="E6869" s="52" t="s">
        <v>584</v>
      </c>
      <c r="F6869" s="52" t="s">
        <v>581</v>
      </c>
      <c r="G6869" s="195" t="s">
        <v>278</v>
      </c>
      <c r="H6869" s="195">
        <v>0.62514809999999998</v>
      </c>
      <c r="I6869" s="195">
        <v>1.3518749999999999</v>
      </c>
      <c r="J6869" s="195">
        <v>0.1718036</v>
      </c>
      <c r="K6869" s="195">
        <v>0</v>
      </c>
      <c r="L6869" s="195"/>
      <c r="M6869" s="195"/>
      <c r="N6869" s="195"/>
    </row>
    <row r="6870" spans="1:14" hidden="1" x14ac:dyDescent="0.35">
      <c r="A6870" s="52" t="s">
        <v>755</v>
      </c>
      <c r="B6870" s="52" t="s">
        <v>37</v>
      </c>
      <c r="C6870" s="52" t="s">
        <v>79</v>
      </c>
      <c r="D6870" s="52" t="s">
        <v>79</v>
      </c>
      <c r="E6870" s="52" t="s">
        <v>584</v>
      </c>
      <c r="F6870" s="52" t="s">
        <v>581</v>
      </c>
      <c r="G6870" s="195" t="s">
        <v>279</v>
      </c>
      <c r="H6870" s="195">
        <v>141.32839999999999</v>
      </c>
      <c r="I6870" s="195">
        <v>82.983869999999996</v>
      </c>
      <c r="J6870" s="195">
        <v>62.225879999999997</v>
      </c>
      <c r="K6870" s="195">
        <v>52.48677</v>
      </c>
      <c r="L6870" s="195">
        <v>48.711179999999999</v>
      </c>
      <c r="M6870" s="195">
        <v>41.930230000000002</v>
      </c>
      <c r="N6870" s="195">
        <v>79.554850000000002</v>
      </c>
    </row>
    <row r="6871" spans="1:14" hidden="1" x14ac:dyDescent="0.35">
      <c r="A6871" s="52" t="s">
        <v>755</v>
      </c>
      <c r="B6871" s="52" t="s">
        <v>37</v>
      </c>
      <c r="C6871" s="52" t="s">
        <v>79</v>
      </c>
      <c r="D6871" s="52" t="s">
        <v>79</v>
      </c>
      <c r="E6871" s="52" t="s">
        <v>584</v>
      </c>
      <c r="F6871" s="52" t="s">
        <v>26</v>
      </c>
      <c r="G6871" s="195" t="s">
        <v>275</v>
      </c>
      <c r="H6871" s="195">
        <v>-0.853908</v>
      </c>
      <c r="I6871" s="195">
        <v>-0.74967989999999995</v>
      </c>
      <c r="J6871" s="195">
        <v>-0.68767480000000003</v>
      </c>
      <c r="K6871" s="195">
        <v>-0.74488089999999996</v>
      </c>
      <c r="L6871" s="195">
        <v>-0.77224420000000005</v>
      </c>
      <c r="M6871" s="195">
        <v>-0.71383669999999999</v>
      </c>
      <c r="N6871" s="195">
        <v>-12.24879</v>
      </c>
    </row>
    <row r="6872" spans="1:14" hidden="1" x14ac:dyDescent="0.35">
      <c r="A6872" s="52" t="s">
        <v>755</v>
      </c>
      <c r="B6872" s="52" t="s">
        <v>37</v>
      </c>
      <c r="C6872" s="52" t="s">
        <v>79</v>
      </c>
      <c r="D6872" s="52" t="s">
        <v>79</v>
      </c>
      <c r="E6872" s="52" t="s">
        <v>584</v>
      </c>
      <c r="F6872" s="52" t="s">
        <v>26</v>
      </c>
      <c r="G6872" s="195" t="s">
        <v>276</v>
      </c>
      <c r="H6872" s="195">
        <v>-0.226989</v>
      </c>
      <c r="I6872" s="195">
        <v>-0.1992826</v>
      </c>
      <c r="J6872" s="195">
        <v>-0.18279999999999999</v>
      </c>
      <c r="K6872" s="195">
        <v>-0.19800680000000001</v>
      </c>
      <c r="L6872" s="195">
        <v>-0.2052802</v>
      </c>
      <c r="M6872" s="195">
        <v>-0.18975339999999999</v>
      </c>
      <c r="N6872" s="195">
        <v>-3.2560090000000002</v>
      </c>
    </row>
    <row r="6873" spans="1:14" hidden="1" x14ac:dyDescent="0.35">
      <c r="A6873" s="52" t="s">
        <v>755</v>
      </c>
      <c r="B6873" s="52" t="s">
        <v>37</v>
      </c>
      <c r="C6873" s="52" t="s">
        <v>79</v>
      </c>
      <c r="D6873" s="52" t="s">
        <v>79</v>
      </c>
      <c r="E6873" s="52" t="s">
        <v>584</v>
      </c>
      <c r="F6873" s="52" t="s">
        <v>26</v>
      </c>
      <c r="G6873" s="195" t="s">
        <v>279</v>
      </c>
      <c r="H6873" s="195">
        <v>1.737571</v>
      </c>
      <c r="I6873" s="195">
        <v>1.4334439999999999</v>
      </c>
      <c r="J6873" s="195">
        <v>1.3423210000000001</v>
      </c>
      <c r="K6873" s="195">
        <v>1.3956</v>
      </c>
      <c r="L6873" s="195">
        <v>1.4057489999999999</v>
      </c>
      <c r="M6873" s="195">
        <v>1.298797</v>
      </c>
      <c r="N6873" s="195">
        <v>15.58816</v>
      </c>
    </row>
    <row r="6874" spans="1:14" hidden="1" x14ac:dyDescent="0.35">
      <c r="A6874" s="52" t="s">
        <v>755</v>
      </c>
      <c r="B6874" s="52" t="s">
        <v>37</v>
      </c>
      <c r="C6874" s="52" t="s">
        <v>115</v>
      </c>
      <c r="D6874" s="52" t="s">
        <v>115</v>
      </c>
      <c r="E6874" s="52" t="s">
        <v>584</v>
      </c>
      <c r="F6874" s="52" t="s">
        <v>581</v>
      </c>
      <c r="G6874" s="195" t="s">
        <v>275</v>
      </c>
      <c r="H6874" s="195">
        <v>-40.585949999999997</v>
      </c>
      <c r="I6874" s="195">
        <v>-12.68024</v>
      </c>
      <c r="J6874" s="195">
        <v>-18.492280000000001</v>
      </c>
      <c r="K6874" s="195">
        <v>-22.356639999999999</v>
      </c>
      <c r="L6874" s="195">
        <v>-25.811260000000001</v>
      </c>
      <c r="M6874" s="195">
        <v>-27.904859999999999</v>
      </c>
      <c r="N6874" s="195">
        <v>-24.500340000000001</v>
      </c>
    </row>
    <row r="6875" spans="1:14" hidden="1" x14ac:dyDescent="0.35">
      <c r="A6875" s="52" t="s">
        <v>755</v>
      </c>
      <c r="B6875" s="52" t="s">
        <v>37</v>
      </c>
      <c r="C6875" s="52" t="s">
        <v>115</v>
      </c>
      <c r="D6875" s="52" t="s">
        <v>115</v>
      </c>
      <c r="E6875" s="52" t="s">
        <v>584</v>
      </c>
      <c r="F6875" s="52" t="s">
        <v>581</v>
      </c>
      <c r="G6875" s="195" t="s">
        <v>276</v>
      </c>
      <c r="H6875" s="195">
        <v>-8.1041880000000006</v>
      </c>
      <c r="I6875" s="195">
        <v>-13.77244</v>
      </c>
      <c r="J6875" s="195">
        <v>-15.982089999999999</v>
      </c>
      <c r="K6875" s="195">
        <v>-14.078150000000001</v>
      </c>
      <c r="L6875" s="195">
        <v>-12.626860000000001</v>
      </c>
      <c r="M6875" s="195">
        <v>-6.3234069999999996</v>
      </c>
      <c r="N6875" s="195">
        <v>-6.7916780000000001</v>
      </c>
    </row>
    <row r="6876" spans="1:14" hidden="1" x14ac:dyDescent="0.35">
      <c r="A6876" s="52" t="s">
        <v>755</v>
      </c>
      <c r="B6876" s="52" t="s">
        <v>37</v>
      </c>
      <c r="C6876" s="52" t="s">
        <v>115</v>
      </c>
      <c r="D6876" s="52" t="s">
        <v>115</v>
      </c>
      <c r="E6876" s="52" t="s">
        <v>584</v>
      </c>
      <c r="F6876" s="52" t="s">
        <v>581</v>
      </c>
      <c r="G6876" s="195" t="s">
        <v>277</v>
      </c>
      <c r="H6876" s="195">
        <v>68.422359999999998</v>
      </c>
      <c r="I6876" s="195">
        <v>0</v>
      </c>
      <c r="J6876" s="195">
        <v>10.710380000000001</v>
      </c>
      <c r="K6876" s="195">
        <v>12.81551</v>
      </c>
      <c r="L6876" s="195">
        <v>12.87011</v>
      </c>
      <c r="M6876" s="195">
        <v>11.141439999999999</v>
      </c>
      <c r="N6876" s="195">
        <v>10.099970000000001</v>
      </c>
    </row>
    <row r="6877" spans="1:14" hidden="1" x14ac:dyDescent="0.35">
      <c r="A6877" s="52" t="s">
        <v>755</v>
      </c>
      <c r="B6877" s="52" t="s">
        <v>37</v>
      </c>
      <c r="C6877" s="52" t="s">
        <v>115</v>
      </c>
      <c r="D6877" s="52" t="s">
        <v>115</v>
      </c>
      <c r="E6877" s="52" t="s">
        <v>584</v>
      </c>
      <c r="F6877" s="52" t="s">
        <v>581</v>
      </c>
      <c r="G6877" s="195" t="s">
        <v>278</v>
      </c>
      <c r="H6877" s="195">
        <v>1.3151409999999999</v>
      </c>
      <c r="I6877" s="195">
        <v>0</v>
      </c>
      <c r="J6877" s="195"/>
      <c r="K6877" s="195"/>
      <c r="L6877" s="195">
        <v>0</v>
      </c>
      <c r="M6877" s="195"/>
      <c r="N6877" s="195"/>
    </row>
    <row r="6878" spans="1:14" hidden="1" x14ac:dyDescent="0.35">
      <c r="A6878" s="52" t="s">
        <v>755</v>
      </c>
      <c r="B6878" s="52" t="s">
        <v>37</v>
      </c>
      <c r="C6878" s="52" t="s">
        <v>115</v>
      </c>
      <c r="D6878" s="52" t="s">
        <v>115</v>
      </c>
      <c r="E6878" s="52" t="s">
        <v>584</v>
      </c>
      <c r="F6878" s="52" t="s">
        <v>581</v>
      </c>
      <c r="G6878" s="195" t="s">
        <v>279</v>
      </c>
      <c r="H6878" s="195">
        <v>138.79400000000001</v>
      </c>
      <c r="I6878" s="195">
        <v>57.850430000000003</v>
      </c>
      <c r="J6878" s="195">
        <v>47.44952</v>
      </c>
      <c r="K6878" s="195">
        <v>45.540579999999999</v>
      </c>
      <c r="L6878" s="195">
        <v>45.568060000000003</v>
      </c>
      <c r="M6878" s="195">
        <v>41.448189999999997</v>
      </c>
      <c r="N6878" s="195">
        <v>38.06447</v>
      </c>
    </row>
    <row r="6879" spans="1:14" hidden="1" x14ac:dyDescent="0.35">
      <c r="A6879" s="52" t="s">
        <v>755</v>
      </c>
      <c r="B6879" s="52" t="s">
        <v>37</v>
      </c>
      <c r="C6879" s="52" t="s">
        <v>115</v>
      </c>
      <c r="D6879" s="52" t="s">
        <v>115</v>
      </c>
      <c r="E6879" s="52" t="s">
        <v>584</v>
      </c>
      <c r="F6879" s="52" t="s">
        <v>26</v>
      </c>
      <c r="G6879" s="195" t="s">
        <v>275</v>
      </c>
      <c r="H6879" s="195">
        <v>-0.6002499</v>
      </c>
      <c r="I6879" s="195">
        <v>-5.3276529999999998</v>
      </c>
      <c r="J6879" s="195">
        <v>-4.4315449999999998</v>
      </c>
      <c r="K6879" s="195">
        <v>-5.5801439999999998</v>
      </c>
      <c r="L6879" s="195">
        <v>-6.260872</v>
      </c>
      <c r="M6879" s="195">
        <v>-6.177619</v>
      </c>
      <c r="N6879" s="195">
        <v>-6.0985740000000002</v>
      </c>
    </row>
    <row r="6880" spans="1:14" hidden="1" x14ac:dyDescent="0.35">
      <c r="A6880" s="52" t="s">
        <v>755</v>
      </c>
      <c r="B6880" s="52" t="s">
        <v>37</v>
      </c>
      <c r="C6880" s="52" t="s">
        <v>115</v>
      </c>
      <c r="D6880" s="52" t="s">
        <v>115</v>
      </c>
      <c r="E6880" s="52" t="s">
        <v>584</v>
      </c>
      <c r="F6880" s="52" t="s">
        <v>26</v>
      </c>
      <c r="G6880" s="195" t="s">
        <v>276</v>
      </c>
      <c r="H6880" s="195">
        <v>-3.3487369999999999</v>
      </c>
      <c r="I6880" s="195">
        <v>-1.8099940000000001</v>
      </c>
      <c r="J6880" s="195">
        <v>-2.414317</v>
      </c>
      <c r="K6880" s="195">
        <v>-1.6828700000000001</v>
      </c>
      <c r="L6880" s="195">
        <v>-1.6161270000000001</v>
      </c>
      <c r="M6880" s="195">
        <v>-1.5895870000000001</v>
      </c>
      <c r="N6880" s="195">
        <v>-1.591664</v>
      </c>
    </row>
    <row r="6881" spans="1:14" hidden="1" x14ac:dyDescent="0.35">
      <c r="A6881" s="52" t="s">
        <v>755</v>
      </c>
      <c r="B6881" s="52" t="s">
        <v>37</v>
      </c>
      <c r="C6881" s="52" t="s">
        <v>115</v>
      </c>
      <c r="D6881" s="52" t="s">
        <v>115</v>
      </c>
      <c r="E6881" s="52" t="s">
        <v>584</v>
      </c>
      <c r="F6881" s="52" t="s">
        <v>26</v>
      </c>
      <c r="G6881" s="195" t="s">
        <v>277</v>
      </c>
      <c r="H6881" s="195">
        <v>0</v>
      </c>
      <c r="I6881" s="195">
        <v>0</v>
      </c>
      <c r="J6881" s="195">
        <v>0.22971800000000001</v>
      </c>
      <c r="K6881" s="195">
        <v>0.308114</v>
      </c>
      <c r="L6881" s="195">
        <v>0.36003800000000002</v>
      </c>
      <c r="M6881" s="195">
        <v>0.397893</v>
      </c>
      <c r="N6881" s="195">
        <v>0.43284699999999998</v>
      </c>
    </row>
    <row r="6882" spans="1:14" hidden="1" x14ac:dyDescent="0.35">
      <c r="A6882" s="52" t="s">
        <v>755</v>
      </c>
      <c r="B6882" s="52" t="s">
        <v>37</v>
      </c>
      <c r="C6882" s="52" t="s">
        <v>115</v>
      </c>
      <c r="D6882" s="52" t="s">
        <v>115</v>
      </c>
      <c r="E6882" s="52" t="s">
        <v>584</v>
      </c>
      <c r="F6882" s="52" t="s">
        <v>26</v>
      </c>
      <c r="G6882" s="195" t="s">
        <v>278</v>
      </c>
      <c r="H6882" s="195">
        <v>6.8768999999999997E-2</v>
      </c>
      <c r="I6882" s="195">
        <v>0</v>
      </c>
      <c r="J6882" s="195"/>
      <c r="K6882" s="195"/>
      <c r="L6882" s="195"/>
      <c r="M6882" s="195"/>
      <c r="N6882" s="195"/>
    </row>
    <row r="6883" spans="1:14" hidden="1" x14ac:dyDescent="0.35">
      <c r="A6883" s="52" t="s">
        <v>755</v>
      </c>
      <c r="B6883" s="52" t="s">
        <v>37</v>
      </c>
      <c r="C6883" s="52" t="s">
        <v>115</v>
      </c>
      <c r="D6883" s="52" t="s">
        <v>115</v>
      </c>
      <c r="E6883" s="52" t="s">
        <v>584</v>
      </c>
      <c r="F6883" s="52" t="s">
        <v>26</v>
      </c>
      <c r="G6883" s="195" t="s">
        <v>279</v>
      </c>
      <c r="H6883" s="195">
        <v>4.587383</v>
      </c>
      <c r="I6883" s="195">
        <v>8.2789900000000003</v>
      </c>
      <c r="J6883" s="195">
        <v>7.7419989999999999</v>
      </c>
      <c r="K6883" s="195">
        <v>8.0630590000000009</v>
      </c>
      <c r="L6883" s="195">
        <v>8.6099119999999996</v>
      </c>
      <c r="M6883" s="195">
        <v>8.4496339999999996</v>
      </c>
      <c r="N6883" s="195">
        <v>8.3284880000000001</v>
      </c>
    </row>
    <row r="6884" spans="1:14" hidden="1" x14ac:dyDescent="0.35">
      <c r="A6884" s="52" t="s">
        <v>737</v>
      </c>
      <c r="B6884" s="52" t="s">
        <v>34</v>
      </c>
      <c r="C6884" s="52" t="s">
        <v>33</v>
      </c>
      <c r="D6884" s="52" t="s">
        <v>33</v>
      </c>
      <c r="E6884" s="52" t="s">
        <v>584</v>
      </c>
      <c r="F6884" s="52" t="s">
        <v>581</v>
      </c>
      <c r="G6884" s="195" t="s">
        <v>275</v>
      </c>
      <c r="H6884" s="195">
        <v>73.821960000000004</v>
      </c>
      <c r="I6884" s="195">
        <v>-41.088619999999999</v>
      </c>
      <c r="J6884" s="195">
        <v>-60.033189999999998</v>
      </c>
      <c r="K6884" s="195">
        <v>-77.217370000000003</v>
      </c>
      <c r="L6884" s="195">
        <v>-88.81653</v>
      </c>
      <c r="M6884" s="195">
        <v>-216.61760000000001</v>
      </c>
      <c r="N6884" s="195">
        <v>-7.2743399999999996</v>
      </c>
    </row>
    <row r="6885" spans="1:14" hidden="1" x14ac:dyDescent="0.35">
      <c r="A6885" s="52" t="s">
        <v>737</v>
      </c>
      <c r="B6885" s="52" t="s">
        <v>34</v>
      </c>
      <c r="C6885" s="52" t="s">
        <v>33</v>
      </c>
      <c r="D6885" s="52" t="s">
        <v>33</v>
      </c>
      <c r="E6885" s="52" t="s">
        <v>584</v>
      </c>
      <c r="F6885" s="52" t="s">
        <v>581</v>
      </c>
      <c r="G6885" s="195" t="s">
        <v>276</v>
      </c>
      <c r="H6885" s="195">
        <v>16.778559999999999</v>
      </c>
      <c r="I6885" s="195">
        <v>-34.781140000000001</v>
      </c>
      <c r="J6885" s="195">
        <v>-29.985440000000001</v>
      </c>
      <c r="K6885" s="195">
        <v>-28.730740000000001</v>
      </c>
      <c r="L6885" s="195">
        <v>-33.110280000000003</v>
      </c>
      <c r="M6885" s="195">
        <v>-67.691879999999998</v>
      </c>
      <c r="N6885" s="195">
        <v>-2.9368349999999999</v>
      </c>
    </row>
    <row r="6886" spans="1:14" hidden="1" x14ac:dyDescent="0.35">
      <c r="A6886" s="52" t="s">
        <v>737</v>
      </c>
      <c r="B6886" s="52" t="s">
        <v>34</v>
      </c>
      <c r="C6886" s="52" t="s">
        <v>33</v>
      </c>
      <c r="D6886" s="52" t="s">
        <v>33</v>
      </c>
      <c r="E6886" s="52" t="s">
        <v>584</v>
      </c>
      <c r="F6886" s="52" t="s">
        <v>581</v>
      </c>
      <c r="G6886" s="195" t="s">
        <v>277</v>
      </c>
      <c r="H6886" s="195">
        <v>85.250020000000006</v>
      </c>
      <c r="I6886" s="195">
        <v>37.870699999999999</v>
      </c>
      <c r="J6886" s="195">
        <v>48.416240000000002</v>
      </c>
      <c r="K6886" s="195">
        <v>35.737609999999997</v>
      </c>
      <c r="L6886" s="195">
        <v>25.78267</v>
      </c>
      <c r="M6886" s="195">
        <v>24.911010000000001</v>
      </c>
      <c r="N6886" s="195">
        <v>24.170089999999998</v>
      </c>
    </row>
    <row r="6887" spans="1:14" hidden="1" x14ac:dyDescent="0.35">
      <c r="A6887" s="52" t="s">
        <v>737</v>
      </c>
      <c r="B6887" s="52" t="s">
        <v>34</v>
      </c>
      <c r="C6887" s="52" t="s">
        <v>33</v>
      </c>
      <c r="D6887" s="52" t="s">
        <v>33</v>
      </c>
      <c r="E6887" s="52" t="s">
        <v>584</v>
      </c>
      <c r="F6887" s="52" t="s">
        <v>581</v>
      </c>
      <c r="G6887" s="195" t="s">
        <v>279</v>
      </c>
      <c r="H6887" s="195">
        <v>144.1027</v>
      </c>
      <c r="I6887" s="195">
        <v>132.5094</v>
      </c>
      <c r="J6887" s="195">
        <v>126.252</v>
      </c>
      <c r="K6887" s="195">
        <v>154.208</v>
      </c>
      <c r="L6887" s="195">
        <v>166.82390000000001</v>
      </c>
      <c r="M6887" s="195">
        <v>290.08760000000001</v>
      </c>
      <c r="N6887" s="195">
        <v>16.02777</v>
      </c>
    </row>
    <row r="6888" spans="1:14" hidden="1" x14ac:dyDescent="0.35">
      <c r="A6888" s="52" t="s">
        <v>737</v>
      </c>
      <c r="B6888" s="52" t="s">
        <v>34</v>
      </c>
      <c r="C6888" s="52" t="s">
        <v>33</v>
      </c>
      <c r="D6888" s="52" t="s">
        <v>33</v>
      </c>
      <c r="E6888" s="52" t="s">
        <v>584</v>
      </c>
      <c r="F6888" s="52" t="s">
        <v>26</v>
      </c>
      <c r="G6888" s="195" t="s">
        <v>275</v>
      </c>
      <c r="H6888" s="195">
        <v>-13.535030000000001</v>
      </c>
      <c r="I6888" s="195">
        <v>-9.0278019999999994</v>
      </c>
      <c r="J6888" s="195">
        <v>-9.2988859999999995</v>
      </c>
      <c r="K6888" s="195">
        <v>-9.0694610000000004</v>
      </c>
      <c r="L6888" s="195">
        <v>-4.6893380000000002</v>
      </c>
      <c r="M6888" s="195">
        <v>-8.6538509999999995</v>
      </c>
      <c r="N6888" s="195">
        <v>-3.26545</v>
      </c>
    </row>
    <row r="6889" spans="1:14" hidden="1" x14ac:dyDescent="0.35">
      <c r="A6889" s="52" t="s">
        <v>737</v>
      </c>
      <c r="B6889" s="52" t="s">
        <v>34</v>
      </c>
      <c r="C6889" s="52" t="s">
        <v>33</v>
      </c>
      <c r="D6889" s="52" t="s">
        <v>33</v>
      </c>
      <c r="E6889" s="52" t="s">
        <v>584</v>
      </c>
      <c r="F6889" s="52" t="s">
        <v>26</v>
      </c>
      <c r="G6889" s="195" t="s">
        <v>276</v>
      </c>
      <c r="H6889" s="195">
        <v>-4.209517</v>
      </c>
      <c r="I6889" s="195">
        <v>-3.628215</v>
      </c>
      <c r="J6889" s="195">
        <v>-4.3988420000000001</v>
      </c>
      <c r="K6889" s="195">
        <v>-3.6769910000000001</v>
      </c>
      <c r="L6889" s="195">
        <v>-2.0895489999999999</v>
      </c>
      <c r="M6889" s="195">
        <v>-2.9949110000000001</v>
      </c>
      <c r="N6889" s="195">
        <v>-1.328991</v>
      </c>
    </row>
    <row r="6890" spans="1:14" hidden="1" x14ac:dyDescent="0.35">
      <c r="A6890" s="52" t="s">
        <v>737</v>
      </c>
      <c r="B6890" s="52" t="s">
        <v>34</v>
      </c>
      <c r="C6890" s="52" t="s">
        <v>33</v>
      </c>
      <c r="D6890" s="52" t="s">
        <v>33</v>
      </c>
      <c r="E6890" s="52" t="s">
        <v>584</v>
      </c>
      <c r="F6890" s="52" t="s">
        <v>26</v>
      </c>
      <c r="G6890" s="195" t="s">
        <v>277</v>
      </c>
      <c r="H6890" s="195">
        <v>12.791650000000001</v>
      </c>
      <c r="I6890" s="195">
        <v>8.3372689999999992</v>
      </c>
      <c r="J6890" s="195">
        <v>5.9444650000000001</v>
      </c>
      <c r="K6890" s="195">
        <v>4.4191039999999999</v>
      </c>
      <c r="L6890" s="195">
        <v>3.5352939999999999</v>
      </c>
      <c r="M6890" s="195">
        <v>2.9516900000000001</v>
      </c>
      <c r="N6890" s="195">
        <v>2.134137</v>
      </c>
    </row>
    <row r="6891" spans="1:14" hidden="1" x14ac:dyDescent="0.35">
      <c r="A6891" s="52" t="s">
        <v>737</v>
      </c>
      <c r="B6891" s="52" t="s">
        <v>34</v>
      </c>
      <c r="C6891" s="52" t="s">
        <v>33</v>
      </c>
      <c r="D6891" s="52" t="s">
        <v>33</v>
      </c>
      <c r="E6891" s="52" t="s">
        <v>584</v>
      </c>
      <c r="F6891" s="52" t="s">
        <v>26</v>
      </c>
      <c r="G6891" s="195" t="s">
        <v>279</v>
      </c>
      <c r="H6891" s="195">
        <v>20.77317</v>
      </c>
      <c r="I6891" s="195">
        <v>14.049239999999999</v>
      </c>
      <c r="J6891" s="195">
        <v>14.11802</v>
      </c>
      <c r="K6891" s="195">
        <v>12.73352</v>
      </c>
      <c r="L6891" s="195">
        <v>6.6399160000000004</v>
      </c>
      <c r="M6891" s="195">
        <v>10.8161</v>
      </c>
      <c r="N6891" s="195">
        <v>4.0392169999999998</v>
      </c>
    </row>
    <row r="6892" spans="1:14" hidden="1" x14ac:dyDescent="0.35">
      <c r="A6892" s="52" t="s">
        <v>737</v>
      </c>
      <c r="B6892" s="52" t="s">
        <v>34</v>
      </c>
      <c r="C6892" s="52" t="s">
        <v>33</v>
      </c>
      <c r="D6892" s="52" t="s">
        <v>33</v>
      </c>
      <c r="E6892" s="52" t="s">
        <v>699</v>
      </c>
      <c r="F6892" s="52" t="s">
        <v>581</v>
      </c>
      <c r="G6892" s="195" t="s">
        <v>275</v>
      </c>
      <c r="H6892" s="195">
        <v>66.298820000000006</v>
      </c>
      <c r="I6892" s="195">
        <v>31.96819</v>
      </c>
      <c r="J6892" s="195">
        <v>23.896529999999998</v>
      </c>
      <c r="K6892" s="195">
        <v>16.04289</v>
      </c>
      <c r="L6892" s="195">
        <v>6.3827959999999999</v>
      </c>
      <c r="M6892" s="195">
        <v>8.9587540000000008</v>
      </c>
      <c r="N6892" s="195">
        <v>7.6364039999999997</v>
      </c>
    </row>
    <row r="6893" spans="1:14" hidden="1" x14ac:dyDescent="0.35">
      <c r="A6893" s="52" t="s">
        <v>737</v>
      </c>
      <c r="B6893" s="52" t="s">
        <v>34</v>
      </c>
      <c r="C6893" s="52" t="s">
        <v>33</v>
      </c>
      <c r="D6893" s="52" t="s">
        <v>33</v>
      </c>
      <c r="E6893" s="52" t="s">
        <v>699</v>
      </c>
      <c r="F6893" s="52" t="s">
        <v>581</v>
      </c>
      <c r="G6893" s="195" t="s">
        <v>276</v>
      </c>
      <c r="H6893" s="195">
        <v>15.219889999999999</v>
      </c>
      <c r="I6893" s="195">
        <v>-20.279530000000001</v>
      </c>
      <c r="J6893" s="195">
        <v>-11.210240000000001</v>
      </c>
      <c r="K6893" s="195">
        <v>-3.9394439999999999</v>
      </c>
      <c r="L6893" s="195">
        <v>0.95849010000000001</v>
      </c>
      <c r="M6893" s="195">
        <v>2.4575179999999999</v>
      </c>
      <c r="N6893" s="195">
        <v>2.4033660000000001</v>
      </c>
    </row>
    <row r="6894" spans="1:14" hidden="1" x14ac:dyDescent="0.35">
      <c r="A6894" s="52" t="s">
        <v>737</v>
      </c>
      <c r="B6894" s="52" t="s">
        <v>34</v>
      </c>
      <c r="C6894" s="52" t="s">
        <v>33</v>
      </c>
      <c r="D6894" s="52" t="s">
        <v>33</v>
      </c>
      <c r="E6894" s="52" t="s">
        <v>699</v>
      </c>
      <c r="F6894" s="52" t="s">
        <v>581</v>
      </c>
      <c r="G6894" s="195" t="s">
        <v>277</v>
      </c>
      <c r="H6894" s="195">
        <v>84.355930000000001</v>
      </c>
      <c r="I6894" s="195">
        <v>9.5517970000000005</v>
      </c>
      <c r="J6894" s="195">
        <v>3.5915300000000001</v>
      </c>
      <c r="K6894" s="195">
        <v>2.660558</v>
      </c>
      <c r="L6894" s="195">
        <v>1.5098879999999999</v>
      </c>
      <c r="M6894" s="195">
        <v>0</v>
      </c>
      <c r="N6894" s="195">
        <v>0</v>
      </c>
    </row>
    <row r="6895" spans="1:14" hidden="1" x14ac:dyDescent="0.35">
      <c r="A6895" s="52" t="s">
        <v>737</v>
      </c>
      <c r="B6895" s="52" t="s">
        <v>34</v>
      </c>
      <c r="C6895" s="52" t="s">
        <v>33</v>
      </c>
      <c r="D6895" s="52" t="s">
        <v>33</v>
      </c>
      <c r="E6895" s="52" t="s">
        <v>699</v>
      </c>
      <c r="F6895" s="52" t="s">
        <v>581</v>
      </c>
      <c r="G6895" s="195" t="s">
        <v>278</v>
      </c>
      <c r="H6895" s="195">
        <v>14.133330000000001</v>
      </c>
      <c r="I6895" s="195">
        <v>3.1348880000000001</v>
      </c>
      <c r="J6895" s="195">
        <v>0.98048380000000002</v>
      </c>
      <c r="K6895" s="195">
        <v>0.33013140000000002</v>
      </c>
      <c r="L6895" s="195">
        <v>0.18481259999999999</v>
      </c>
      <c r="M6895" s="195">
        <v>0</v>
      </c>
      <c r="N6895" s="195">
        <v>4.3910999999999999E-2</v>
      </c>
    </row>
    <row r="6896" spans="1:14" hidden="1" x14ac:dyDescent="0.35">
      <c r="A6896" s="52" t="s">
        <v>737</v>
      </c>
      <c r="B6896" s="52" t="s">
        <v>34</v>
      </c>
      <c r="C6896" s="52" t="s">
        <v>33</v>
      </c>
      <c r="D6896" s="52" t="s">
        <v>33</v>
      </c>
      <c r="E6896" s="52" t="s">
        <v>699</v>
      </c>
      <c r="F6896" s="52" t="s">
        <v>581</v>
      </c>
      <c r="G6896" s="195" t="s">
        <v>279</v>
      </c>
      <c r="H6896" s="195">
        <v>63.06673</v>
      </c>
      <c r="I6896" s="195">
        <v>47.302869999999999</v>
      </c>
      <c r="J6896" s="195">
        <v>43.080669999999998</v>
      </c>
      <c r="K6896" s="195">
        <v>35.669789999999999</v>
      </c>
      <c r="L6896" s="195">
        <v>34.401539999999997</v>
      </c>
      <c r="M6896" s="195">
        <v>25.954650000000001</v>
      </c>
      <c r="N6896" s="195">
        <v>22.81241</v>
      </c>
    </row>
    <row r="6897" spans="1:14" hidden="1" x14ac:dyDescent="0.35">
      <c r="A6897" s="52" t="s">
        <v>737</v>
      </c>
      <c r="B6897" s="52" t="s">
        <v>34</v>
      </c>
      <c r="C6897" s="52" t="s">
        <v>33</v>
      </c>
      <c r="D6897" s="52" t="s">
        <v>33</v>
      </c>
      <c r="E6897" s="52" t="s">
        <v>699</v>
      </c>
      <c r="F6897" s="52" t="s">
        <v>26</v>
      </c>
      <c r="G6897" s="195" t="s">
        <v>275</v>
      </c>
      <c r="H6897" s="195">
        <v>-2.1832250000000002</v>
      </c>
      <c r="I6897" s="195">
        <v>-2.2645949999999999</v>
      </c>
      <c r="J6897" s="195">
        <v>-2.1220590000000001</v>
      </c>
      <c r="K6897" s="195">
        <v>-1.7493000000000001</v>
      </c>
      <c r="L6897" s="195">
        <v>-1.7442029999999999</v>
      </c>
      <c r="M6897" s="195">
        <v>-1.2182409999999999</v>
      </c>
      <c r="N6897" s="195">
        <v>-1.0575319999999999</v>
      </c>
    </row>
    <row r="6898" spans="1:14" hidden="1" x14ac:dyDescent="0.35">
      <c r="A6898" s="52" t="s">
        <v>737</v>
      </c>
      <c r="B6898" s="52" t="s">
        <v>34</v>
      </c>
      <c r="C6898" s="52" t="s">
        <v>33</v>
      </c>
      <c r="D6898" s="52" t="s">
        <v>33</v>
      </c>
      <c r="E6898" s="52" t="s">
        <v>699</v>
      </c>
      <c r="F6898" s="52" t="s">
        <v>26</v>
      </c>
      <c r="G6898" s="195" t="s">
        <v>276</v>
      </c>
      <c r="H6898" s="195">
        <v>-0.80749400000000005</v>
      </c>
      <c r="I6898" s="195">
        <v>-0.83758920000000003</v>
      </c>
      <c r="J6898" s="195">
        <v>-0.78487070000000003</v>
      </c>
      <c r="K6898" s="195">
        <v>-0.64700279999999999</v>
      </c>
      <c r="L6898" s="195">
        <v>-0.64511300000000005</v>
      </c>
      <c r="M6898" s="195">
        <v>-0.45058239999999999</v>
      </c>
      <c r="N6898" s="195">
        <v>-0.39114379999999999</v>
      </c>
    </row>
    <row r="6899" spans="1:14" hidden="1" x14ac:dyDescent="0.35">
      <c r="A6899" s="52" t="s">
        <v>737</v>
      </c>
      <c r="B6899" s="52" t="s">
        <v>34</v>
      </c>
      <c r="C6899" s="52" t="s">
        <v>33</v>
      </c>
      <c r="D6899" s="52" t="s">
        <v>33</v>
      </c>
      <c r="E6899" s="52" t="s">
        <v>699</v>
      </c>
      <c r="F6899" s="52" t="s">
        <v>26</v>
      </c>
      <c r="G6899" s="195" t="s">
        <v>279</v>
      </c>
      <c r="H6899" s="195">
        <v>4.9754930000000002</v>
      </c>
      <c r="I6899" s="195">
        <v>4.7785890000000002</v>
      </c>
      <c r="J6899" s="195">
        <v>4.383521</v>
      </c>
      <c r="K6899" s="195">
        <v>3.665124</v>
      </c>
      <c r="L6899" s="195">
        <v>3.4993940000000001</v>
      </c>
      <c r="M6899" s="195">
        <v>2.6457769999999998</v>
      </c>
      <c r="N6899" s="195">
        <v>2.3268170000000001</v>
      </c>
    </row>
    <row r="6900" spans="1:14" hidden="1" x14ac:dyDescent="0.35">
      <c r="A6900" s="52" t="s">
        <v>737</v>
      </c>
      <c r="B6900" s="52" t="s">
        <v>34</v>
      </c>
      <c r="C6900" s="52" t="s">
        <v>33</v>
      </c>
      <c r="D6900" s="52" t="s">
        <v>33</v>
      </c>
      <c r="E6900" s="52" t="s">
        <v>702</v>
      </c>
      <c r="F6900" s="52" t="s">
        <v>581</v>
      </c>
      <c r="G6900" s="195" t="s">
        <v>275</v>
      </c>
      <c r="H6900" s="195">
        <v>-0.44957609999999998</v>
      </c>
      <c r="I6900" s="195">
        <v>-0.73832180000000003</v>
      </c>
      <c r="J6900" s="195">
        <v>1.987336</v>
      </c>
      <c r="K6900" s="195">
        <v>2.348751</v>
      </c>
      <c r="L6900" s="195">
        <v>1.3161400000000001</v>
      </c>
      <c r="M6900" s="195">
        <v>1.9803440000000001</v>
      </c>
      <c r="N6900" s="195">
        <v>1.5187200000000001</v>
      </c>
    </row>
    <row r="6901" spans="1:14" hidden="1" x14ac:dyDescent="0.35">
      <c r="A6901" s="52" t="s">
        <v>737</v>
      </c>
      <c r="B6901" s="52" t="s">
        <v>34</v>
      </c>
      <c r="C6901" s="52" t="s">
        <v>33</v>
      </c>
      <c r="D6901" s="52" t="s">
        <v>33</v>
      </c>
      <c r="E6901" s="52" t="s">
        <v>702</v>
      </c>
      <c r="F6901" s="52" t="s">
        <v>581</v>
      </c>
      <c r="G6901" s="195" t="s">
        <v>276</v>
      </c>
      <c r="H6901" s="195">
        <v>1.430151</v>
      </c>
      <c r="I6901" s="195">
        <v>-2.3423669999999999</v>
      </c>
      <c r="J6901" s="195">
        <v>-1.734216</v>
      </c>
      <c r="K6901" s="195">
        <v>-0.98353840000000003</v>
      </c>
      <c r="L6901" s="195">
        <v>-0.25670680000000001</v>
      </c>
      <c r="M6901" s="195">
        <v>0.1071516</v>
      </c>
      <c r="N6901" s="195">
        <v>0.23309440000000001</v>
      </c>
    </row>
    <row r="6902" spans="1:14" hidden="1" x14ac:dyDescent="0.35">
      <c r="A6902" s="52" t="s">
        <v>737</v>
      </c>
      <c r="B6902" s="52" t="s">
        <v>34</v>
      </c>
      <c r="C6902" s="52" t="s">
        <v>33</v>
      </c>
      <c r="D6902" s="52" t="s">
        <v>33</v>
      </c>
      <c r="E6902" s="52" t="s">
        <v>702</v>
      </c>
      <c r="F6902" s="52" t="s">
        <v>581</v>
      </c>
      <c r="G6902" s="195" t="s">
        <v>277</v>
      </c>
      <c r="H6902" s="195">
        <v>9.0213870000000007</v>
      </c>
      <c r="I6902" s="195">
        <v>3.3311000000000002</v>
      </c>
      <c r="J6902" s="195">
        <v>0.62096640000000003</v>
      </c>
      <c r="K6902" s="195">
        <v>0.42651739999999999</v>
      </c>
      <c r="L6902" s="195">
        <v>0.35725000000000001</v>
      </c>
      <c r="M6902" s="195">
        <v>0</v>
      </c>
      <c r="N6902" s="195">
        <v>0</v>
      </c>
    </row>
    <row r="6903" spans="1:14" hidden="1" x14ac:dyDescent="0.35">
      <c r="A6903" s="52" t="s">
        <v>737</v>
      </c>
      <c r="B6903" s="52" t="s">
        <v>34</v>
      </c>
      <c r="C6903" s="52" t="s">
        <v>33</v>
      </c>
      <c r="D6903" s="52" t="s">
        <v>33</v>
      </c>
      <c r="E6903" s="52" t="s">
        <v>702</v>
      </c>
      <c r="F6903" s="52" t="s">
        <v>581</v>
      </c>
      <c r="G6903" s="195" t="s">
        <v>278</v>
      </c>
      <c r="H6903" s="195">
        <v>7.3386139999999997</v>
      </c>
      <c r="I6903" s="195">
        <v>4.2088999999999999</v>
      </c>
      <c r="J6903" s="195">
        <v>2.9120439999999999</v>
      </c>
      <c r="K6903" s="195">
        <v>1.195862</v>
      </c>
      <c r="L6903" s="195">
        <v>0.97381419999999996</v>
      </c>
      <c r="M6903" s="195">
        <v>0</v>
      </c>
      <c r="N6903" s="195">
        <v>0</v>
      </c>
    </row>
    <row r="6904" spans="1:14" hidden="1" x14ac:dyDescent="0.35">
      <c r="A6904" s="52" t="s">
        <v>737</v>
      </c>
      <c r="B6904" s="52" t="s">
        <v>34</v>
      </c>
      <c r="C6904" s="52" t="s">
        <v>33</v>
      </c>
      <c r="D6904" s="52" t="s">
        <v>33</v>
      </c>
      <c r="E6904" s="52" t="s">
        <v>702</v>
      </c>
      <c r="F6904" s="52" t="s">
        <v>581</v>
      </c>
      <c r="G6904" s="195" t="s">
        <v>279</v>
      </c>
      <c r="H6904" s="195">
        <v>3.1828660000000002</v>
      </c>
      <c r="I6904" s="195">
        <v>2.6799689999999998</v>
      </c>
      <c r="J6904" s="195">
        <v>2.6715840000000002</v>
      </c>
      <c r="K6904" s="195">
        <v>2.0597409999999998</v>
      </c>
      <c r="L6904" s="195">
        <v>2.0008819999999998</v>
      </c>
      <c r="M6904" s="195">
        <v>1.3975230000000001</v>
      </c>
      <c r="N6904" s="195">
        <v>1.171959</v>
      </c>
    </row>
    <row r="6905" spans="1:14" hidden="1" x14ac:dyDescent="0.35">
      <c r="A6905" s="52" t="s">
        <v>737</v>
      </c>
      <c r="B6905" s="52" t="s">
        <v>34</v>
      </c>
      <c r="C6905" s="52" t="s">
        <v>33</v>
      </c>
      <c r="D6905" s="52" t="s">
        <v>33</v>
      </c>
      <c r="E6905" s="52" t="s">
        <v>702</v>
      </c>
      <c r="F6905" s="52" t="s">
        <v>26</v>
      </c>
      <c r="G6905" s="195" t="s">
        <v>275</v>
      </c>
      <c r="H6905" s="195">
        <v>-3.8365000000000003E-2</v>
      </c>
      <c r="I6905" s="195">
        <v>-9.21704E-2</v>
      </c>
      <c r="J6905" s="195">
        <v>-0.12249060000000001</v>
      </c>
      <c r="K6905" s="195">
        <v>-9.8933209999999994E-2</v>
      </c>
      <c r="L6905" s="195">
        <v>-0.1224782</v>
      </c>
      <c r="M6905" s="195">
        <v>-6.0153199999999997E-2</v>
      </c>
      <c r="N6905" s="195">
        <v>-5.0483399999999998E-2</v>
      </c>
    </row>
    <row r="6906" spans="1:14" hidden="1" x14ac:dyDescent="0.35">
      <c r="A6906" s="52" t="s">
        <v>737</v>
      </c>
      <c r="B6906" s="52" t="s">
        <v>34</v>
      </c>
      <c r="C6906" s="52" t="s">
        <v>33</v>
      </c>
      <c r="D6906" s="52" t="s">
        <v>33</v>
      </c>
      <c r="E6906" s="52" t="s">
        <v>702</v>
      </c>
      <c r="F6906" s="52" t="s">
        <v>26</v>
      </c>
      <c r="G6906" s="195" t="s">
        <v>276</v>
      </c>
      <c r="H6906" s="195">
        <v>-1.3832000000000001E-2</v>
      </c>
      <c r="I6906" s="195">
        <v>-3.07242E-2</v>
      </c>
      <c r="J6906" s="195">
        <v>-3.8681599999999997E-2</v>
      </c>
      <c r="K6906" s="195">
        <v>-2.95512E-2</v>
      </c>
      <c r="L6906" s="195">
        <v>-3.6583600000000001E-2</v>
      </c>
      <c r="M6906" s="195">
        <v>-1.7968000000000001E-2</v>
      </c>
      <c r="N6906" s="195">
        <v>-1.5079800000000001E-2</v>
      </c>
    </row>
    <row r="6907" spans="1:14" hidden="1" x14ac:dyDescent="0.35">
      <c r="A6907" s="52" t="s">
        <v>737</v>
      </c>
      <c r="B6907" s="52" t="s">
        <v>34</v>
      </c>
      <c r="C6907" s="52" t="s">
        <v>33</v>
      </c>
      <c r="D6907" s="52" t="s">
        <v>33</v>
      </c>
      <c r="E6907" s="52" t="s">
        <v>702</v>
      </c>
      <c r="F6907" s="52" t="s">
        <v>26</v>
      </c>
      <c r="G6907" s="195" t="s">
        <v>279</v>
      </c>
      <c r="H6907" s="195">
        <v>0.79737999999999998</v>
      </c>
      <c r="I6907" s="195">
        <v>0.67989460000000002</v>
      </c>
      <c r="J6907" s="195">
        <v>0.68709359999999997</v>
      </c>
      <c r="K6907" s="195">
        <v>0.53893340000000001</v>
      </c>
      <c r="L6907" s="195">
        <v>0.51571299999999998</v>
      </c>
      <c r="M6907" s="195">
        <v>0.36145319999999997</v>
      </c>
      <c r="N6907" s="195">
        <v>0.30313279999999998</v>
      </c>
    </row>
    <row r="6908" spans="1:14" hidden="1" x14ac:dyDescent="0.35">
      <c r="A6908" s="52" t="s">
        <v>737</v>
      </c>
      <c r="B6908" s="52" t="s">
        <v>34</v>
      </c>
      <c r="C6908" s="52" t="s">
        <v>33</v>
      </c>
      <c r="D6908" s="52" t="s">
        <v>33</v>
      </c>
      <c r="E6908" s="52" t="s">
        <v>738</v>
      </c>
      <c r="F6908" s="52" t="s">
        <v>581</v>
      </c>
      <c r="G6908" s="195" t="s">
        <v>275</v>
      </c>
      <c r="H6908" s="195">
        <v>8.2107209999999995</v>
      </c>
      <c r="I6908" s="195">
        <v>4.8345789999999997</v>
      </c>
      <c r="J6908" s="195">
        <v>4.2481169999999997</v>
      </c>
      <c r="K6908" s="195">
        <v>0.50974699999999995</v>
      </c>
      <c r="L6908" s="195">
        <v>-1.396679E-2</v>
      </c>
      <c r="M6908" s="195">
        <v>0.1063162</v>
      </c>
      <c r="N6908" s="195">
        <v>9.1447000000000001E-2</v>
      </c>
    </row>
    <row r="6909" spans="1:14" hidden="1" x14ac:dyDescent="0.35">
      <c r="A6909" s="52" t="s">
        <v>737</v>
      </c>
      <c r="B6909" s="52" t="s">
        <v>34</v>
      </c>
      <c r="C6909" s="52" t="s">
        <v>33</v>
      </c>
      <c r="D6909" s="52" t="s">
        <v>33</v>
      </c>
      <c r="E6909" s="52" t="s">
        <v>738</v>
      </c>
      <c r="F6909" s="52" t="s">
        <v>581</v>
      </c>
      <c r="G6909" s="195" t="s">
        <v>276</v>
      </c>
      <c r="H6909" s="195">
        <v>-4.227862</v>
      </c>
      <c r="I6909" s="195">
        <v>-5.6177720000000004</v>
      </c>
      <c r="J6909" s="195">
        <v>-4.2062619999999997</v>
      </c>
      <c r="K6909" s="195">
        <v>-0.42095779999999999</v>
      </c>
      <c r="L6909" s="195">
        <v>-0.1164144</v>
      </c>
      <c r="M6909" s="195">
        <v>2.036E-2</v>
      </c>
      <c r="N6909" s="195">
        <v>2.2928199999999999E-2</v>
      </c>
    </row>
    <row r="6910" spans="1:14" hidden="1" x14ac:dyDescent="0.35">
      <c r="A6910" s="52" t="s">
        <v>737</v>
      </c>
      <c r="B6910" s="52" t="s">
        <v>34</v>
      </c>
      <c r="C6910" s="52" t="s">
        <v>33</v>
      </c>
      <c r="D6910" s="52" t="s">
        <v>33</v>
      </c>
      <c r="E6910" s="52" t="s">
        <v>738</v>
      </c>
      <c r="F6910" s="52" t="s">
        <v>581</v>
      </c>
      <c r="G6910" s="195" t="s">
        <v>277</v>
      </c>
      <c r="H6910" s="195">
        <v>5.443918</v>
      </c>
      <c r="I6910" s="195">
        <v>1.096095</v>
      </c>
      <c r="J6910" s="195">
        <v>5.7742799999999997E-2</v>
      </c>
      <c r="K6910" s="195">
        <v>4.3933E-2</v>
      </c>
      <c r="L6910" s="195"/>
      <c r="M6910" s="195">
        <v>0</v>
      </c>
      <c r="N6910" s="195">
        <v>0</v>
      </c>
    </row>
    <row r="6911" spans="1:14" hidden="1" x14ac:dyDescent="0.35">
      <c r="A6911" s="52" t="s">
        <v>737</v>
      </c>
      <c r="B6911" s="52" t="s">
        <v>34</v>
      </c>
      <c r="C6911" s="52" t="s">
        <v>33</v>
      </c>
      <c r="D6911" s="52" t="s">
        <v>33</v>
      </c>
      <c r="E6911" s="52" t="s">
        <v>738</v>
      </c>
      <c r="F6911" s="52" t="s">
        <v>581</v>
      </c>
      <c r="G6911" s="195" t="s">
        <v>278</v>
      </c>
      <c r="H6911" s="195">
        <v>1.253017</v>
      </c>
      <c r="I6911" s="195">
        <v>0.25436900000000001</v>
      </c>
      <c r="J6911" s="195">
        <v>3.6133600000000002E-2</v>
      </c>
      <c r="K6911" s="195">
        <v>1.4814000000000001E-2</v>
      </c>
      <c r="L6911" s="195">
        <v>0</v>
      </c>
      <c r="M6911" s="195">
        <v>0</v>
      </c>
      <c r="N6911" s="195">
        <v>0</v>
      </c>
    </row>
    <row r="6912" spans="1:14" hidden="1" x14ac:dyDescent="0.35">
      <c r="A6912" s="52" t="s">
        <v>737</v>
      </c>
      <c r="B6912" s="52" t="s">
        <v>34</v>
      </c>
      <c r="C6912" s="52" t="s">
        <v>33</v>
      </c>
      <c r="D6912" s="52" t="s">
        <v>33</v>
      </c>
      <c r="E6912" s="52" t="s">
        <v>738</v>
      </c>
      <c r="F6912" s="52" t="s">
        <v>581</v>
      </c>
      <c r="G6912" s="195" t="s">
        <v>279</v>
      </c>
      <c r="H6912" s="195">
        <v>5.2201969999999998</v>
      </c>
      <c r="I6912" s="195">
        <v>3.757199</v>
      </c>
      <c r="J6912" s="195">
        <v>3.0121799999999999</v>
      </c>
      <c r="K6912" s="195">
        <v>2.413335</v>
      </c>
      <c r="L6912" s="195">
        <v>2.2467429999999999</v>
      </c>
      <c r="M6912" s="195">
        <v>1.707311</v>
      </c>
      <c r="N6912" s="195">
        <v>1.5189170000000001</v>
      </c>
    </row>
    <row r="6913" spans="1:14" hidden="1" x14ac:dyDescent="0.35">
      <c r="A6913" s="52" t="s">
        <v>737</v>
      </c>
      <c r="B6913" s="52" t="s">
        <v>34</v>
      </c>
      <c r="C6913" s="52" t="s">
        <v>33</v>
      </c>
      <c r="D6913" s="52" t="s">
        <v>33</v>
      </c>
      <c r="E6913" s="52" t="s">
        <v>738</v>
      </c>
      <c r="F6913" s="52" t="s">
        <v>26</v>
      </c>
      <c r="G6913" s="195" t="s">
        <v>275</v>
      </c>
      <c r="H6913" s="195">
        <v>-1.2065969999999999</v>
      </c>
      <c r="I6913" s="195">
        <v>-1.1138459999999999</v>
      </c>
      <c r="J6913" s="195">
        <v>-0.94323000000000001</v>
      </c>
      <c r="K6913" s="195">
        <v>-0.77160819999999997</v>
      </c>
      <c r="L6913" s="195">
        <v>-0.75093100000000002</v>
      </c>
      <c r="M6913" s="195">
        <v>-0.5362188</v>
      </c>
      <c r="N6913" s="195">
        <v>-0.47698659999999998</v>
      </c>
    </row>
    <row r="6914" spans="1:14" hidden="1" x14ac:dyDescent="0.35">
      <c r="A6914" s="52" t="s">
        <v>737</v>
      </c>
      <c r="B6914" s="52" t="s">
        <v>34</v>
      </c>
      <c r="C6914" s="52" t="s">
        <v>33</v>
      </c>
      <c r="D6914" s="52" t="s">
        <v>33</v>
      </c>
      <c r="E6914" s="52" t="s">
        <v>738</v>
      </c>
      <c r="F6914" s="52" t="s">
        <v>26</v>
      </c>
      <c r="G6914" s="195" t="s">
        <v>276</v>
      </c>
      <c r="H6914" s="195">
        <v>-0.435031</v>
      </c>
      <c r="I6914" s="195">
        <v>-0.37128260000000002</v>
      </c>
      <c r="J6914" s="195">
        <v>-0.29786220000000002</v>
      </c>
      <c r="K6914" s="195">
        <v>-0.2304814</v>
      </c>
      <c r="L6914" s="195">
        <v>-0.2243048</v>
      </c>
      <c r="M6914" s="195">
        <v>-0.16016920000000001</v>
      </c>
      <c r="N6914" s="195">
        <v>-0.1424764</v>
      </c>
    </row>
    <row r="6915" spans="1:14" hidden="1" x14ac:dyDescent="0.35">
      <c r="A6915" s="52" t="s">
        <v>737</v>
      </c>
      <c r="B6915" s="52" t="s">
        <v>34</v>
      </c>
      <c r="C6915" s="52" t="s">
        <v>33</v>
      </c>
      <c r="D6915" s="52" t="s">
        <v>33</v>
      </c>
      <c r="E6915" s="52" t="s">
        <v>738</v>
      </c>
      <c r="F6915" s="52" t="s">
        <v>26</v>
      </c>
      <c r="G6915" s="195" t="s">
        <v>279</v>
      </c>
      <c r="H6915" s="195">
        <v>2.8216190000000001</v>
      </c>
      <c r="I6915" s="195">
        <v>2.3445330000000002</v>
      </c>
      <c r="J6915" s="195">
        <v>1.894895</v>
      </c>
      <c r="K6915" s="195">
        <v>1.534116</v>
      </c>
      <c r="L6915" s="195">
        <v>1.4151560000000001</v>
      </c>
      <c r="M6915" s="195">
        <v>1.077661</v>
      </c>
      <c r="N6915" s="195">
        <v>0.95878220000000003</v>
      </c>
    </row>
    <row r="6916" spans="1:14" hidden="1" x14ac:dyDescent="0.35">
      <c r="A6916" s="52" t="s">
        <v>737</v>
      </c>
      <c r="B6916" s="52" t="s">
        <v>34</v>
      </c>
      <c r="C6916" s="52" t="s">
        <v>33</v>
      </c>
      <c r="D6916" s="52" t="s">
        <v>33</v>
      </c>
      <c r="E6916" s="52" t="s">
        <v>714</v>
      </c>
      <c r="F6916" s="52" t="s">
        <v>581</v>
      </c>
      <c r="G6916" s="195" t="s">
        <v>275</v>
      </c>
      <c r="H6916" s="195">
        <v>0.66358589999999995</v>
      </c>
      <c r="I6916" s="195">
        <v>0.22716</v>
      </c>
      <c r="J6916" s="195">
        <v>0.2921724</v>
      </c>
      <c r="K6916" s="195">
        <v>8.7933819999999996E-2</v>
      </c>
      <c r="L6916" s="195">
        <v>0.19927980000000001</v>
      </c>
      <c r="M6916" s="195">
        <v>9.9857619999999994E-2</v>
      </c>
      <c r="N6916" s="195">
        <v>0.37975540000000002</v>
      </c>
    </row>
    <row r="6917" spans="1:14" hidden="1" x14ac:dyDescent="0.35">
      <c r="A6917" s="52" t="s">
        <v>737</v>
      </c>
      <c r="B6917" s="52" t="s">
        <v>34</v>
      </c>
      <c r="C6917" s="52" t="s">
        <v>33</v>
      </c>
      <c r="D6917" s="52" t="s">
        <v>33</v>
      </c>
      <c r="E6917" s="52" t="s">
        <v>714</v>
      </c>
      <c r="F6917" s="52" t="s">
        <v>581</v>
      </c>
      <c r="G6917" s="195" t="s">
        <v>276</v>
      </c>
      <c r="H6917" s="195">
        <v>-0.17186499999999999</v>
      </c>
      <c r="I6917" s="195">
        <v>-0.34155859999999999</v>
      </c>
      <c r="J6917" s="195">
        <v>-2.3456009999999999E-2</v>
      </c>
      <c r="K6917" s="195">
        <v>5.5963970000000004E-3</v>
      </c>
      <c r="L6917" s="195">
        <v>2.2157799999999998E-2</v>
      </c>
      <c r="M6917" s="195">
        <v>4.5898799999999997E-2</v>
      </c>
      <c r="N6917" s="195">
        <v>3.7947399999999999E-2</v>
      </c>
    </row>
    <row r="6918" spans="1:14" hidden="1" x14ac:dyDescent="0.35">
      <c r="A6918" s="52" t="s">
        <v>737</v>
      </c>
      <c r="B6918" s="52" t="s">
        <v>34</v>
      </c>
      <c r="C6918" s="52" t="s">
        <v>33</v>
      </c>
      <c r="D6918" s="52" t="s">
        <v>33</v>
      </c>
      <c r="E6918" s="52" t="s">
        <v>714</v>
      </c>
      <c r="F6918" s="52" t="s">
        <v>581</v>
      </c>
      <c r="G6918" s="195" t="s">
        <v>277</v>
      </c>
      <c r="H6918" s="195">
        <v>0.224964</v>
      </c>
      <c r="I6918" s="195">
        <v>0.66483440000000005</v>
      </c>
      <c r="J6918" s="195">
        <v>0.2002948</v>
      </c>
      <c r="K6918" s="195">
        <v>0.39951399999999998</v>
      </c>
      <c r="L6918" s="195">
        <v>0.25474799999999997</v>
      </c>
      <c r="M6918" s="195">
        <v>0.35659279999999999</v>
      </c>
      <c r="N6918" s="195">
        <v>0</v>
      </c>
    </row>
    <row r="6919" spans="1:14" hidden="1" x14ac:dyDescent="0.35">
      <c r="A6919" s="52" t="s">
        <v>737</v>
      </c>
      <c r="B6919" s="52" t="s">
        <v>34</v>
      </c>
      <c r="C6919" s="52" t="s">
        <v>33</v>
      </c>
      <c r="D6919" s="52" t="s">
        <v>33</v>
      </c>
      <c r="E6919" s="52" t="s">
        <v>714</v>
      </c>
      <c r="F6919" s="52" t="s">
        <v>581</v>
      </c>
      <c r="G6919" s="195" t="s">
        <v>278</v>
      </c>
      <c r="H6919" s="195">
        <v>0.38523499999999999</v>
      </c>
      <c r="I6919" s="195">
        <v>0</v>
      </c>
      <c r="J6919" s="195"/>
      <c r="K6919" s="195"/>
      <c r="L6919" s="195"/>
      <c r="M6919" s="195"/>
      <c r="N6919" s="195"/>
    </row>
    <row r="6920" spans="1:14" hidden="1" x14ac:dyDescent="0.35">
      <c r="A6920" s="52" t="s">
        <v>737</v>
      </c>
      <c r="B6920" s="52" t="s">
        <v>34</v>
      </c>
      <c r="C6920" s="52" t="s">
        <v>33</v>
      </c>
      <c r="D6920" s="52" t="s">
        <v>33</v>
      </c>
      <c r="E6920" s="52" t="s">
        <v>714</v>
      </c>
      <c r="F6920" s="52" t="s">
        <v>581</v>
      </c>
      <c r="G6920" s="195" t="s">
        <v>279</v>
      </c>
      <c r="H6920" s="195">
        <v>9.4187000000000007E-2</v>
      </c>
      <c r="I6920" s="195">
        <v>0.12629699999999999</v>
      </c>
      <c r="J6920" s="195">
        <v>0.1218926</v>
      </c>
      <c r="K6920" s="195">
        <v>0.1263456</v>
      </c>
      <c r="L6920" s="195">
        <v>0.1410758</v>
      </c>
      <c r="M6920" s="195">
        <v>0.125833</v>
      </c>
      <c r="N6920" s="195">
        <v>0.1045114</v>
      </c>
    </row>
    <row r="6921" spans="1:14" hidden="1" x14ac:dyDescent="0.35">
      <c r="A6921" s="52" t="s">
        <v>737</v>
      </c>
      <c r="B6921" s="52" t="s">
        <v>34</v>
      </c>
      <c r="C6921" s="52" t="s">
        <v>33</v>
      </c>
      <c r="D6921" s="52" t="s">
        <v>33</v>
      </c>
      <c r="E6921" s="52" t="s">
        <v>714</v>
      </c>
      <c r="F6921" s="52" t="s">
        <v>26</v>
      </c>
      <c r="G6921" s="195" t="s">
        <v>275</v>
      </c>
      <c r="H6921" s="195">
        <v>4.1283E-2</v>
      </c>
      <c r="I6921" s="195">
        <v>2.6641600000000001E-2</v>
      </c>
      <c r="J6921" s="195">
        <v>2.1970400000000001E-2</v>
      </c>
      <c r="K6921" s="195">
        <v>2.3148800000000001E-2</v>
      </c>
      <c r="L6921" s="195">
        <v>1.85402E-2</v>
      </c>
      <c r="M6921" s="195">
        <v>2.4673199999999999E-2</v>
      </c>
      <c r="N6921" s="195">
        <v>2.05036E-2</v>
      </c>
    </row>
    <row r="6922" spans="1:14" hidden="1" x14ac:dyDescent="0.35">
      <c r="A6922" s="52" t="s">
        <v>737</v>
      </c>
      <c r="B6922" s="52" t="s">
        <v>34</v>
      </c>
      <c r="C6922" s="52" t="s">
        <v>33</v>
      </c>
      <c r="D6922" s="52" t="s">
        <v>33</v>
      </c>
      <c r="E6922" s="52" t="s">
        <v>714</v>
      </c>
      <c r="F6922" s="52" t="s">
        <v>26</v>
      </c>
      <c r="G6922" s="195" t="s">
        <v>276</v>
      </c>
      <c r="H6922" s="195">
        <v>1.4884E-2</v>
      </c>
      <c r="I6922" s="195">
        <v>8.8801999999999996E-3</v>
      </c>
      <c r="J6922" s="195">
        <v>6.9388000000000002E-3</v>
      </c>
      <c r="K6922" s="195">
        <v>6.9150000000000001E-3</v>
      </c>
      <c r="L6922" s="195">
        <v>5.5373999999999996E-3</v>
      </c>
      <c r="M6922" s="195">
        <v>7.3698000000000001E-3</v>
      </c>
      <c r="N6922" s="195">
        <v>6.1250000000000002E-3</v>
      </c>
    </row>
    <row r="6923" spans="1:14" hidden="1" x14ac:dyDescent="0.35">
      <c r="A6923" s="52" t="s">
        <v>737</v>
      </c>
      <c r="B6923" s="52" t="s">
        <v>34</v>
      </c>
      <c r="C6923" s="52" t="s">
        <v>33</v>
      </c>
      <c r="D6923" s="52" t="s">
        <v>33</v>
      </c>
      <c r="E6923" s="52" t="s">
        <v>714</v>
      </c>
      <c r="F6923" s="52" t="s">
        <v>26</v>
      </c>
      <c r="G6923" s="195" t="s">
        <v>279</v>
      </c>
      <c r="H6923" s="195">
        <v>6.4665E-2</v>
      </c>
      <c r="I6923" s="195">
        <v>5.4484999999999999E-2</v>
      </c>
      <c r="J6923" s="195">
        <v>5.3263199999999997E-2</v>
      </c>
      <c r="K6923" s="195">
        <v>5.6110800000000002E-2</v>
      </c>
      <c r="L6923" s="195">
        <v>6.1768200000000002E-2</v>
      </c>
      <c r="M6923" s="195">
        <v>5.52758E-2</v>
      </c>
      <c r="N6923" s="195">
        <v>4.5911800000000003E-2</v>
      </c>
    </row>
    <row r="6924" spans="1:14" hidden="1" x14ac:dyDescent="0.35">
      <c r="A6924" s="52" t="s">
        <v>737</v>
      </c>
      <c r="B6924" s="52" t="s">
        <v>34</v>
      </c>
      <c r="C6924" s="52" t="s">
        <v>33</v>
      </c>
      <c r="D6924" s="52" t="s">
        <v>33</v>
      </c>
      <c r="E6924" s="52" t="s">
        <v>739</v>
      </c>
      <c r="F6924" s="52" t="s">
        <v>581</v>
      </c>
      <c r="G6924" s="195" t="s">
        <v>275</v>
      </c>
      <c r="H6924" s="195">
        <v>4.2260010000000001E-2</v>
      </c>
      <c r="I6924" s="195">
        <v>-3.5494989999999997E-2</v>
      </c>
      <c r="J6924" s="195">
        <v>0.1371194</v>
      </c>
      <c r="K6924" s="195">
        <v>3.6413010000000003E-2</v>
      </c>
      <c r="L6924" s="195">
        <v>7.0769789999999999E-2</v>
      </c>
      <c r="M6924" s="195">
        <v>2.4254999999999999E-2</v>
      </c>
      <c r="N6924" s="195">
        <v>0.13627900000000001</v>
      </c>
    </row>
    <row r="6925" spans="1:14" hidden="1" x14ac:dyDescent="0.35">
      <c r="A6925" s="52" t="s">
        <v>737</v>
      </c>
      <c r="B6925" s="52" t="s">
        <v>34</v>
      </c>
      <c r="C6925" s="52" t="s">
        <v>33</v>
      </c>
      <c r="D6925" s="52" t="s">
        <v>33</v>
      </c>
      <c r="E6925" s="52" t="s">
        <v>739</v>
      </c>
      <c r="F6925" s="52" t="s">
        <v>581</v>
      </c>
      <c r="G6925" s="195" t="s">
        <v>276</v>
      </c>
      <c r="H6925" s="195">
        <v>2.4232009999999998E-2</v>
      </c>
      <c r="I6925" s="195">
        <v>-4.1089800000000003E-2</v>
      </c>
      <c r="J6925" s="195">
        <v>-3.8496599999999999E-2</v>
      </c>
      <c r="K6925" s="195">
        <v>-4.8873980000000003E-3</v>
      </c>
      <c r="L6925" s="195">
        <v>4.698196E-3</v>
      </c>
      <c r="M6925" s="195">
        <v>1.19468E-2</v>
      </c>
      <c r="N6925" s="195">
        <v>1.1604400000000001E-2</v>
      </c>
    </row>
    <row r="6926" spans="1:14" hidden="1" x14ac:dyDescent="0.35">
      <c r="A6926" s="52" t="s">
        <v>737</v>
      </c>
      <c r="B6926" s="52" t="s">
        <v>34</v>
      </c>
      <c r="C6926" s="52" t="s">
        <v>33</v>
      </c>
      <c r="D6926" s="52" t="s">
        <v>33</v>
      </c>
      <c r="E6926" s="52" t="s">
        <v>739</v>
      </c>
      <c r="F6926" s="52" t="s">
        <v>581</v>
      </c>
      <c r="G6926" s="195" t="s">
        <v>277</v>
      </c>
      <c r="H6926" s="195">
        <v>0.32333699999999999</v>
      </c>
      <c r="I6926" s="195">
        <v>0.28081780000000001</v>
      </c>
      <c r="J6926" s="195">
        <v>7.9425200000000001E-2</v>
      </c>
      <c r="K6926" s="195">
        <v>0.15749440000000001</v>
      </c>
      <c r="L6926" s="195">
        <v>9.9190600000000004E-2</v>
      </c>
      <c r="M6926" s="195">
        <v>0.133025</v>
      </c>
      <c r="N6926" s="195">
        <v>0</v>
      </c>
    </row>
    <row r="6927" spans="1:14" hidden="1" x14ac:dyDescent="0.35">
      <c r="A6927" s="52" t="s">
        <v>737</v>
      </c>
      <c r="B6927" s="52" t="s">
        <v>34</v>
      </c>
      <c r="C6927" s="52" t="s">
        <v>33</v>
      </c>
      <c r="D6927" s="52" t="s">
        <v>33</v>
      </c>
      <c r="E6927" s="52" t="s">
        <v>739</v>
      </c>
      <c r="F6927" s="52" t="s">
        <v>581</v>
      </c>
      <c r="G6927" s="195" t="s">
        <v>279</v>
      </c>
      <c r="H6927" s="195">
        <v>3.4771000000000003E-2</v>
      </c>
      <c r="I6927" s="195">
        <v>5.0118799999999998E-2</v>
      </c>
      <c r="J6927" s="195">
        <v>4.9553399999999997E-2</v>
      </c>
      <c r="K6927" s="195">
        <v>5.1779400000000003E-2</v>
      </c>
      <c r="L6927" s="195">
        <v>5.54826E-2</v>
      </c>
      <c r="M6927" s="195">
        <v>4.5374200000000003E-2</v>
      </c>
      <c r="N6927" s="195">
        <v>3.9597399999999998E-2</v>
      </c>
    </row>
    <row r="6928" spans="1:14" hidden="1" x14ac:dyDescent="0.35">
      <c r="A6928" s="52" t="s">
        <v>737</v>
      </c>
      <c r="B6928" s="52" t="s">
        <v>34</v>
      </c>
      <c r="C6928" s="52" t="s">
        <v>33</v>
      </c>
      <c r="D6928" s="52" t="s">
        <v>33</v>
      </c>
      <c r="E6928" s="52" t="s">
        <v>739</v>
      </c>
      <c r="F6928" s="52" t="s">
        <v>26</v>
      </c>
      <c r="G6928" s="195" t="s">
        <v>275</v>
      </c>
      <c r="H6928" s="195">
        <v>9.3570000000000007E-3</v>
      </c>
      <c r="I6928" s="195">
        <v>6.2876E-3</v>
      </c>
      <c r="J6928" s="195">
        <v>5.1825999999999999E-3</v>
      </c>
      <c r="K6928" s="195">
        <v>5.5272000000000003E-3</v>
      </c>
      <c r="L6928" s="195">
        <v>3.9605999999999999E-3</v>
      </c>
      <c r="M6928" s="195">
        <v>5.2252000000000002E-3</v>
      </c>
      <c r="N6928" s="195">
        <v>4.5627999999999997E-3</v>
      </c>
    </row>
    <row r="6929" spans="1:14" hidden="1" x14ac:dyDescent="0.35">
      <c r="A6929" s="52" t="s">
        <v>737</v>
      </c>
      <c r="B6929" s="52" t="s">
        <v>34</v>
      </c>
      <c r="C6929" s="52" t="s">
        <v>33</v>
      </c>
      <c r="D6929" s="52" t="s">
        <v>33</v>
      </c>
      <c r="E6929" s="52" t="s">
        <v>739</v>
      </c>
      <c r="F6929" s="52" t="s">
        <v>26</v>
      </c>
      <c r="G6929" s="195" t="s">
        <v>276</v>
      </c>
      <c r="H6929" s="195">
        <v>3.3730000000000001E-3</v>
      </c>
      <c r="I6929" s="195">
        <v>2.0964E-3</v>
      </c>
      <c r="J6929" s="195">
        <v>1.6374E-3</v>
      </c>
      <c r="K6929" s="195">
        <v>1.6512E-3</v>
      </c>
      <c r="L6929" s="195">
        <v>1.1834E-3</v>
      </c>
      <c r="M6929" s="195">
        <v>1.56E-3</v>
      </c>
      <c r="N6929" s="195">
        <v>1.3632E-3</v>
      </c>
    </row>
    <row r="6930" spans="1:14" hidden="1" x14ac:dyDescent="0.35">
      <c r="A6930" s="52" t="s">
        <v>737</v>
      </c>
      <c r="B6930" s="52" t="s">
        <v>34</v>
      </c>
      <c r="C6930" s="52" t="s">
        <v>33</v>
      </c>
      <c r="D6930" s="52" t="s">
        <v>33</v>
      </c>
      <c r="E6930" s="52" t="s">
        <v>739</v>
      </c>
      <c r="F6930" s="52" t="s">
        <v>26</v>
      </c>
      <c r="G6930" s="195" t="s">
        <v>279</v>
      </c>
      <c r="H6930" s="195">
        <v>1.7475999999999998E-2</v>
      </c>
      <c r="I6930" s="195">
        <v>1.5825200000000001E-2</v>
      </c>
      <c r="J6930" s="195">
        <v>1.5830799999999999E-2</v>
      </c>
      <c r="K6930" s="195">
        <v>1.6793599999999999E-2</v>
      </c>
      <c r="L6930" s="195">
        <v>1.77568E-2</v>
      </c>
      <c r="M6930" s="195">
        <v>1.4567200000000001E-2</v>
      </c>
      <c r="N6930" s="195">
        <v>1.27116E-2</v>
      </c>
    </row>
    <row r="6931" spans="1:14" hidden="1" x14ac:dyDescent="0.35">
      <c r="A6931" s="52" t="s">
        <v>737</v>
      </c>
      <c r="B6931" s="52" t="s">
        <v>34</v>
      </c>
      <c r="C6931" s="52" t="s">
        <v>33</v>
      </c>
      <c r="D6931" s="52" t="s">
        <v>33</v>
      </c>
      <c r="E6931" s="52" t="s">
        <v>866</v>
      </c>
      <c r="F6931" s="52" t="s">
        <v>581</v>
      </c>
      <c r="G6931" s="195" t="s">
        <v>275</v>
      </c>
      <c r="H6931" s="195">
        <v>0</v>
      </c>
      <c r="I6931" s="195"/>
      <c r="J6931" s="195"/>
      <c r="K6931" s="195"/>
      <c r="L6931" s="195"/>
      <c r="M6931" s="195"/>
      <c r="N6931" s="195"/>
    </row>
    <row r="6932" spans="1:14" hidden="1" x14ac:dyDescent="0.35">
      <c r="A6932" s="52" t="s">
        <v>737</v>
      </c>
      <c r="B6932" s="52" t="s">
        <v>34</v>
      </c>
      <c r="C6932" s="52" t="s">
        <v>33</v>
      </c>
      <c r="D6932" s="52" t="s">
        <v>33</v>
      </c>
      <c r="E6932" s="52" t="s">
        <v>866</v>
      </c>
      <c r="F6932" s="52" t="s">
        <v>581</v>
      </c>
      <c r="G6932" s="195" t="s">
        <v>276</v>
      </c>
      <c r="H6932" s="195">
        <v>0</v>
      </c>
      <c r="I6932" s="195"/>
      <c r="J6932" s="195"/>
      <c r="K6932" s="195"/>
      <c r="L6932" s="195"/>
      <c r="M6932" s="195"/>
      <c r="N6932" s="195"/>
    </row>
    <row r="6933" spans="1:14" hidden="1" x14ac:dyDescent="0.35">
      <c r="A6933" s="52" t="s">
        <v>737</v>
      </c>
      <c r="B6933" s="52" t="s">
        <v>34</v>
      </c>
      <c r="C6933" s="52" t="s">
        <v>230</v>
      </c>
      <c r="D6933" s="52" t="s">
        <v>230</v>
      </c>
      <c r="E6933" s="52" t="s">
        <v>699</v>
      </c>
      <c r="F6933" s="52" t="s">
        <v>581</v>
      </c>
      <c r="G6933" s="195" t="s">
        <v>275</v>
      </c>
      <c r="H6933" s="195">
        <v>-6.4001109999999999</v>
      </c>
      <c r="I6933" s="195">
        <v>13.546390000000001</v>
      </c>
      <c r="J6933" s="195">
        <v>12.4712</v>
      </c>
      <c r="K6933" s="195">
        <v>8.6172909999999998</v>
      </c>
      <c r="L6933" s="195">
        <v>3.1468669999999999</v>
      </c>
      <c r="M6933" s="195">
        <v>4.2199650000000002</v>
      </c>
      <c r="N6933" s="195">
        <v>3.5730010000000001</v>
      </c>
    </row>
    <row r="6934" spans="1:14" hidden="1" x14ac:dyDescent="0.35">
      <c r="A6934" s="52" t="s">
        <v>737</v>
      </c>
      <c r="B6934" s="52" t="s">
        <v>34</v>
      </c>
      <c r="C6934" s="52" t="s">
        <v>230</v>
      </c>
      <c r="D6934" s="52" t="s">
        <v>230</v>
      </c>
      <c r="E6934" s="52" t="s">
        <v>699</v>
      </c>
      <c r="F6934" s="52" t="s">
        <v>581</v>
      </c>
      <c r="G6934" s="195" t="s">
        <v>276</v>
      </c>
      <c r="H6934" s="195">
        <v>3.6419700000000002</v>
      </c>
      <c r="I6934" s="195">
        <v>-8.7063710000000007</v>
      </c>
      <c r="J6934" s="195">
        <v>-6.5121000000000002</v>
      </c>
      <c r="K6934" s="195">
        <v>-3.1765500000000002</v>
      </c>
      <c r="L6934" s="195">
        <v>0.54753600000000002</v>
      </c>
      <c r="M6934" s="195">
        <v>1.2465470000000001</v>
      </c>
      <c r="N6934" s="195">
        <v>1.1578619999999999</v>
      </c>
    </row>
    <row r="6935" spans="1:14" hidden="1" x14ac:dyDescent="0.35">
      <c r="A6935" s="52" t="s">
        <v>737</v>
      </c>
      <c r="B6935" s="52" t="s">
        <v>34</v>
      </c>
      <c r="C6935" s="52" t="s">
        <v>230</v>
      </c>
      <c r="D6935" s="52" t="s">
        <v>230</v>
      </c>
      <c r="E6935" s="52" t="s">
        <v>699</v>
      </c>
      <c r="F6935" s="52" t="s">
        <v>581</v>
      </c>
      <c r="G6935" s="195" t="s">
        <v>277</v>
      </c>
      <c r="H6935" s="195">
        <v>58.74615</v>
      </c>
      <c r="I6935" s="195">
        <v>3.9719410000000002</v>
      </c>
      <c r="J6935" s="195">
        <v>1.40446</v>
      </c>
      <c r="K6935" s="195">
        <v>1.0302009999999999</v>
      </c>
      <c r="L6935" s="195">
        <v>0.50861120000000004</v>
      </c>
      <c r="M6935" s="195">
        <v>0</v>
      </c>
      <c r="N6935" s="195">
        <v>0</v>
      </c>
    </row>
    <row r="6936" spans="1:14" hidden="1" x14ac:dyDescent="0.35">
      <c r="A6936" s="52" t="s">
        <v>737</v>
      </c>
      <c r="B6936" s="52" t="s">
        <v>34</v>
      </c>
      <c r="C6936" s="52" t="s">
        <v>230</v>
      </c>
      <c r="D6936" s="52" t="s">
        <v>230</v>
      </c>
      <c r="E6936" s="52" t="s">
        <v>699</v>
      </c>
      <c r="F6936" s="52" t="s">
        <v>581</v>
      </c>
      <c r="G6936" s="195" t="s">
        <v>278</v>
      </c>
      <c r="H6936" s="195">
        <v>6.4281290000000002</v>
      </c>
      <c r="I6936" s="195">
        <v>1.6167720000000001</v>
      </c>
      <c r="J6936" s="195">
        <v>0.22428239999999999</v>
      </c>
      <c r="K6936" s="195">
        <v>0.15938820000000001</v>
      </c>
      <c r="L6936" s="195">
        <v>7.1743799999999996E-2</v>
      </c>
      <c r="M6936" s="195">
        <v>0</v>
      </c>
      <c r="N6936" s="195">
        <v>0</v>
      </c>
    </row>
    <row r="6937" spans="1:14" hidden="1" x14ac:dyDescent="0.35">
      <c r="A6937" s="52" t="s">
        <v>737</v>
      </c>
      <c r="B6937" s="52" t="s">
        <v>34</v>
      </c>
      <c r="C6937" s="52" t="s">
        <v>230</v>
      </c>
      <c r="D6937" s="52" t="s">
        <v>230</v>
      </c>
      <c r="E6937" s="52" t="s">
        <v>699</v>
      </c>
      <c r="F6937" s="52" t="s">
        <v>581</v>
      </c>
      <c r="G6937" s="195" t="s">
        <v>279</v>
      </c>
      <c r="H6937" s="195">
        <v>21.35614</v>
      </c>
      <c r="I6937" s="195">
        <v>19.014959999999999</v>
      </c>
      <c r="J6937" s="195">
        <v>17.609590000000001</v>
      </c>
      <c r="K6937" s="195">
        <v>14.57376</v>
      </c>
      <c r="L6937" s="195">
        <v>14.55218</v>
      </c>
      <c r="M6937" s="195">
        <v>11.51285</v>
      </c>
      <c r="N6937" s="195">
        <v>9.9379229999999996</v>
      </c>
    </row>
    <row r="6938" spans="1:14" hidden="1" x14ac:dyDescent="0.35">
      <c r="A6938" s="52" t="s">
        <v>737</v>
      </c>
      <c r="B6938" s="52" t="s">
        <v>34</v>
      </c>
      <c r="C6938" s="52" t="s">
        <v>230</v>
      </c>
      <c r="D6938" s="52" t="s">
        <v>230</v>
      </c>
      <c r="E6938" s="52" t="s">
        <v>699</v>
      </c>
      <c r="F6938" s="52" t="s">
        <v>26</v>
      </c>
      <c r="G6938" s="195" t="s">
        <v>275</v>
      </c>
      <c r="H6938" s="195">
        <v>-0.71595399999999998</v>
      </c>
      <c r="I6938" s="195">
        <v>-0.86336449999999998</v>
      </c>
      <c r="J6938" s="195">
        <v>-0.83826560000000006</v>
      </c>
      <c r="K6938" s="195">
        <v>-0.70011619999999997</v>
      </c>
      <c r="L6938" s="195">
        <v>-0.73392120000000005</v>
      </c>
      <c r="M6938" s="195">
        <v>-0.54144499999999995</v>
      </c>
      <c r="N6938" s="195">
        <v>-0.46736559999999999</v>
      </c>
    </row>
    <row r="6939" spans="1:14" hidden="1" x14ac:dyDescent="0.35">
      <c r="A6939" s="52" t="s">
        <v>737</v>
      </c>
      <c r="B6939" s="52" t="s">
        <v>34</v>
      </c>
      <c r="C6939" s="52" t="s">
        <v>230</v>
      </c>
      <c r="D6939" s="52" t="s">
        <v>230</v>
      </c>
      <c r="E6939" s="52" t="s">
        <v>699</v>
      </c>
      <c r="F6939" s="52" t="s">
        <v>26</v>
      </c>
      <c r="G6939" s="195" t="s">
        <v>276</v>
      </c>
      <c r="H6939" s="195">
        <v>-0.26480700000000001</v>
      </c>
      <c r="I6939" s="195">
        <v>-0.31932680000000002</v>
      </c>
      <c r="J6939" s="195">
        <v>-0.31004359999999997</v>
      </c>
      <c r="K6939" s="195">
        <v>-0.25894699999999998</v>
      </c>
      <c r="L6939" s="195">
        <v>-0.27144960000000001</v>
      </c>
      <c r="M6939" s="195">
        <v>-0.20026179999999999</v>
      </c>
      <c r="N6939" s="195">
        <v>-0.1728614</v>
      </c>
    </row>
    <row r="6940" spans="1:14" hidden="1" x14ac:dyDescent="0.35">
      <c r="A6940" s="52" t="s">
        <v>737</v>
      </c>
      <c r="B6940" s="52" t="s">
        <v>34</v>
      </c>
      <c r="C6940" s="52" t="s">
        <v>230</v>
      </c>
      <c r="D6940" s="52" t="s">
        <v>230</v>
      </c>
      <c r="E6940" s="52" t="s">
        <v>699</v>
      </c>
      <c r="F6940" s="52" t="s">
        <v>26</v>
      </c>
      <c r="G6940" s="195" t="s">
        <v>279</v>
      </c>
      <c r="H6940" s="195">
        <v>1.790883</v>
      </c>
      <c r="I6940" s="195">
        <v>1.9593689999999999</v>
      </c>
      <c r="J6940" s="195">
        <v>1.8315239999999999</v>
      </c>
      <c r="K6940" s="195">
        <v>1.5341260000000001</v>
      </c>
      <c r="L6940" s="195">
        <v>1.515722</v>
      </c>
      <c r="M6940" s="195">
        <v>1.2020679999999999</v>
      </c>
      <c r="N6940" s="195">
        <v>1.0376749999999999</v>
      </c>
    </row>
    <row r="6941" spans="1:14" hidden="1" x14ac:dyDescent="0.35">
      <c r="A6941" s="52" t="s">
        <v>737</v>
      </c>
      <c r="B6941" s="52" t="s">
        <v>34</v>
      </c>
      <c r="C6941" s="52" t="s">
        <v>380</v>
      </c>
      <c r="D6941" s="52" t="s">
        <v>380</v>
      </c>
      <c r="E6941" s="52" t="s">
        <v>584</v>
      </c>
      <c r="F6941" s="52" t="s">
        <v>26</v>
      </c>
      <c r="G6941" s="195" t="s">
        <v>275</v>
      </c>
      <c r="H6941" s="195"/>
      <c r="I6941" s="195"/>
      <c r="J6941" s="195">
        <v>0</v>
      </c>
      <c r="K6941" s="195">
        <v>0</v>
      </c>
      <c r="L6941" s="195">
        <v>0</v>
      </c>
      <c r="M6941" s="195">
        <v>0</v>
      </c>
      <c r="N6941" s="195">
        <v>0</v>
      </c>
    </row>
    <row r="6942" spans="1:14" hidden="1" x14ac:dyDescent="0.35">
      <c r="A6942" s="52" t="s">
        <v>737</v>
      </c>
      <c r="B6942" s="52" t="s">
        <v>34</v>
      </c>
      <c r="C6942" s="52" t="s">
        <v>380</v>
      </c>
      <c r="D6942" s="52" t="s">
        <v>380</v>
      </c>
      <c r="E6942" s="52" t="s">
        <v>584</v>
      </c>
      <c r="F6942" s="52" t="s">
        <v>26</v>
      </c>
      <c r="G6942" s="195" t="s">
        <v>277</v>
      </c>
      <c r="H6942" s="195"/>
      <c r="I6942" s="195"/>
      <c r="J6942" s="195"/>
      <c r="K6942" s="195"/>
      <c r="L6942" s="195"/>
      <c r="M6942" s="195"/>
      <c r="N6942" s="195">
        <v>0</v>
      </c>
    </row>
    <row r="6943" spans="1:14" hidden="1" x14ac:dyDescent="0.35">
      <c r="A6943" s="52" t="s">
        <v>737</v>
      </c>
      <c r="B6943" s="52" t="s">
        <v>34</v>
      </c>
      <c r="C6943" s="52" t="s">
        <v>380</v>
      </c>
      <c r="D6943" s="52" t="s">
        <v>380</v>
      </c>
      <c r="E6943" s="52" t="s">
        <v>584</v>
      </c>
      <c r="F6943" s="52" t="s">
        <v>26</v>
      </c>
      <c r="G6943" s="195" t="s">
        <v>278</v>
      </c>
      <c r="H6943" s="195"/>
      <c r="I6943" s="195"/>
      <c r="J6943" s="195">
        <v>0</v>
      </c>
      <c r="K6943" s="195">
        <v>0</v>
      </c>
      <c r="L6943" s="195">
        <v>0</v>
      </c>
      <c r="M6943" s="195">
        <v>0</v>
      </c>
      <c r="N6943" s="195">
        <v>0</v>
      </c>
    </row>
    <row r="6944" spans="1:14" hidden="1" x14ac:dyDescent="0.35">
      <c r="A6944" s="52" t="s">
        <v>737</v>
      </c>
      <c r="B6944" s="52" t="s">
        <v>37</v>
      </c>
      <c r="C6944" s="52" t="s">
        <v>79</v>
      </c>
      <c r="D6944" s="52" t="s">
        <v>79</v>
      </c>
      <c r="E6944" s="52" t="s">
        <v>600</v>
      </c>
      <c r="F6944" s="52" t="s">
        <v>581</v>
      </c>
      <c r="G6944" s="195" t="s">
        <v>275</v>
      </c>
      <c r="H6944" s="195">
        <v>142.74639999999999</v>
      </c>
      <c r="I6944" s="195">
        <v>45.528449999999999</v>
      </c>
      <c r="J6944" s="195">
        <v>53.900179999999999</v>
      </c>
      <c r="K6944" s="195">
        <v>45.38364</v>
      </c>
      <c r="L6944" s="195">
        <v>32.170769999999997</v>
      </c>
      <c r="M6944" s="195">
        <v>21.114909999999998</v>
      </c>
      <c r="N6944" s="195">
        <v>16.96218</v>
      </c>
    </row>
    <row r="6945" spans="1:14" hidden="1" x14ac:dyDescent="0.35">
      <c r="A6945" s="52" t="s">
        <v>737</v>
      </c>
      <c r="B6945" s="52" t="s">
        <v>37</v>
      </c>
      <c r="C6945" s="52" t="s">
        <v>79</v>
      </c>
      <c r="D6945" s="52" t="s">
        <v>79</v>
      </c>
      <c r="E6945" s="52" t="s">
        <v>600</v>
      </c>
      <c r="F6945" s="52" t="s">
        <v>581</v>
      </c>
      <c r="G6945" s="195" t="s">
        <v>276</v>
      </c>
      <c r="H6945" s="195">
        <v>15.86182</v>
      </c>
      <c r="I6945" s="195">
        <v>-7.4267260000000004</v>
      </c>
      <c r="J6945" s="195">
        <v>-12.532780000000001</v>
      </c>
      <c r="K6945" s="195">
        <v>-9.2884620000000009</v>
      </c>
      <c r="L6945" s="195">
        <v>-7.1879790000000003</v>
      </c>
      <c r="M6945" s="195">
        <v>2.5183589999999998</v>
      </c>
      <c r="N6945" s="195">
        <v>4.164091</v>
      </c>
    </row>
    <row r="6946" spans="1:14" hidden="1" x14ac:dyDescent="0.35">
      <c r="A6946" s="52" t="s">
        <v>737</v>
      </c>
      <c r="B6946" s="52" t="s">
        <v>37</v>
      </c>
      <c r="C6946" s="52" t="s">
        <v>79</v>
      </c>
      <c r="D6946" s="52" t="s">
        <v>79</v>
      </c>
      <c r="E6946" s="52" t="s">
        <v>600</v>
      </c>
      <c r="F6946" s="52" t="s">
        <v>581</v>
      </c>
      <c r="G6946" s="195" t="s">
        <v>277</v>
      </c>
      <c r="H6946" s="195">
        <v>134.07</v>
      </c>
      <c r="I6946" s="195">
        <v>29.905110000000001</v>
      </c>
      <c r="J6946" s="195">
        <v>6.1042129999999997</v>
      </c>
      <c r="K6946" s="195">
        <v>2.1867860000000001</v>
      </c>
      <c r="L6946" s="195">
        <v>2.9502929999999998</v>
      </c>
      <c r="M6946" s="195">
        <v>1.8343959999999999</v>
      </c>
      <c r="N6946" s="195">
        <v>1.8667549999999999</v>
      </c>
    </row>
    <row r="6947" spans="1:14" hidden="1" x14ac:dyDescent="0.35">
      <c r="A6947" s="52" t="s">
        <v>737</v>
      </c>
      <c r="B6947" s="52" t="s">
        <v>37</v>
      </c>
      <c r="C6947" s="52" t="s">
        <v>79</v>
      </c>
      <c r="D6947" s="52" t="s">
        <v>79</v>
      </c>
      <c r="E6947" s="52" t="s">
        <v>600</v>
      </c>
      <c r="F6947" s="52" t="s">
        <v>581</v>
      </c>
      <c r="G6947" s="195" t="s">
        <v>278</v>
      </c>
      <c r="H6947" s="195"/>
      <c r="I6947" s="195">
        <v>0</v>
      </c>
      <c r="J6947" s="195">
        <v>1.466874</v>
      </c>
      <c r="K6947" s="195">
        <v>0.77999200000000002</v>
      </c>
      <c r="L6947" s="195">
        <v>0.11823839999999999</v>
      </c>
      <c r="M6947" s="195">
        <v>0</v>
      </c>
      <c r="N6947" s="195"/>
    </row>
    <row r="6948" spans="1:14" hidden="1" x14ac:dyDescent="0.35">
      <c r="A6948" s="52" t="s">
        <v>737</v>
      </c>
      <c r="B6948" s="52" t="s">
        <v>37</v>
      </c>
      <c r="C6948" s="52" t="s">
        <v>79</v>
      </c>
      <c r="D6948" s="52" t="s">
        <v>79</v>
      </c>
      <c r="E6948" s="52" t="s">
        <v>600</v>
      </c>
      <c r="F6948" s="52" t="s">
        <v>581</v>
      </c>
      <c r="G6948" s="195" t="s">
        <v>279</v>
      </c>
      <c r="H6948" s="195">
        <v>111.378</v>
      </c>
      <c r="I6948" s="195">
        <v>75.549059999999997</v>
      </c>
      <c r="J6948" s="195">
        <v>63.966050000000003</v>
      </c>
      <c r="K6948" s="195">
        <v>52.699919999999999</v>
      </c>
      <c r="L6948" s="195">
        <v>49.807670000000002</v>
      </c>
      <c r="M6948" s="195">
        <v>43.304780000000001</v>
      </c>
      <c r="N6948" s="195">
        <v>38.67801</v>
      </c>
    </row>
    <row r="6949" spans="1:14" hidden="1" x14ac:dyDescent="0.35">
      <c r="A6949" s="52" t="s">
        <v>737</v>
      </c>
      <c r="B6949" s="52" t="s">
        <v>37</v>
      </c>
      <c r="C6949" s="52" t="s">
        <v>79</v>
      </c>
      <c r="D6949" s="52" t="s">
        <v>79</v>
      </c>
      <c r="E6949" s="52" t="s">
        <v>600</v>
      </c>
      <c r="F6949" s="52" t="s">
        <v>26</v>
      </c>
      <c r="G6949" s="195" t="s">
        <v>275</v>
      </c>
      <c r="H6949" s="195">
        <v>5.1487660000000002</v>
      </c>
      <c r="I6949" s="195">
        <v>1.8592329999999999</v>
      </c>
      <c r="J6949" s="195">
        <v>2.4635579999999999</v>
      </c>
      <c r="K6949" s="195">
        <v>1.6949590000000001</v>
      </c>
      <c r="L6949" s="195">
        <v>0.27837879999999998</v>
      </c>
      <c r="M6949" s="195">
        <v>0.35189480000000001</v>
      </c>
      <c r="N6949" s="195">
        <v>0.33533059999999998</v>
      </c>
    </row>
    <row r="6950" spans="1:14" hidden="1" x14ac:dyDescent="0.35">
      <c r="A6950" s="52" t="s">
        <v>737</v>
      </c>
      <c r="B6950" s="52" t="s">
        <v>37</v>
      </c>
      <c r="C6950" s="52" t="s">
        <v>79</v>
      </c>
      <c r="D6950" s="52" t="s">
        <v>79</v>
      </c>
      <c r="E6950" s="52" t="s">
        <v>600</v>
      </c>
      <c r="F6950" s="52" t="s">
        <v>26</v>
      </c>
      <c r="G6950" s="195" t="s">
        <v>276</v>
      </c>
      <c r="H6950" s="195">
        <v>1.492575</v>
      </c>
      <c r="I6950" s="195">
        <v>0.5389716</v>
      </c>
      <c r="J6950" s="195">
        <v>0.71416259999999998</v>
      </c>
      <c r="K6950" s="195">
        <v>0.49135400000000001</v>
      </c>
      <c r="L6950" s="195">
        <v>8.0696400000000001E-2</v>
      </c>
      <c r="M6950" s="195">
        <v>0.1020098</v>
      </c>
      <c r="N6950" s="195">
        <v>9.7208600000000006E-2</v>
      </c>
    </row>
    <row r="6951" spans="1:14" hidden="1" x14ac:dyDescent="0.35">
      <c r="A6951" s="52" t="s">
        <v>737</v>
      </c>
      <c r="B6951" s="52" t="s">
        <v>37</v>
      </c>
      <c r="C6951" s="52" t="s">
        <v>79</v>
      </c>
      <c r="D6951" s="52" t="s">
        <v>79</v>
      </c>
      <c r="E6951" s="52" t="s">
        <v>600</v>
      </c>
      <c r="F6951" s="52" t="s">
        <v>26</v>
      </c>
      <c r="G6951" s="195" t="s">
        <v>279</v>
      </c>
      <c r="H6951" s="195">
        <v>27.91433</v>
      </c>
      <c r="I6951" s="195">
        <v>22.476959999999998</v>
      </c>
      <c r="J6951" s="195">
        <v>19.631540000000001</v>
      </c>
      <c r="K6951" s="195">
        <v>16.310590000000001</v>
      </c>
      <c r="L6951" s="195">
        <v>15.31409</v>
      </c>
      <c r="M6951" s="195">
        <v>13.32892</v>
      </c>
      <c r="N6951" s="195">
        <v>11.90095</v>
      </c>
    </row>
    <row r="6952" spans="1:14" hidden="1" x14ac:dyDescent="0.35">
      <c r="A6952" s="52" t="s">
        <v>737</v>
      </c>
      <c r="B6952" s="52" t="s">
        <v>37</v>
      </c>
      <c r="C6952" s="52" t="s">
        <v>79</v>
      </c>
      <c r="D6952" s="52" t="s">
        <v>79</v>
      </c>
      <c r="E6952" s="52" t="s">
        <v>584</v>
      </c>
      <c r="F6952" s="52" t="s">
        <v>581</v>
      </c>
      <c r="G6952" s="195" t="s">
        <v>275</v>
      </c>
      <c r="H6952" s="195">
        <v>0.32111499999999998</v>
      </c>
      <c r="I6952" s="195">
        <v>5.0302399999999997E-2</v>
      </c>
      <c r="J6952" s="195">
        <v>2.79744E-2</v>
      </c>
      <c r="K6952" s="195">
        <v>1.5996E-2</v>
      </c>
      <c r="L6952" s="195">
        <v>6.1809999999999999E-3</v>
      </c>
      <c r="M6952" s="195">
        <v>3.7448E-3</v>
      </c>
      <c r="N6952" s="195">
        <v>1.7893989999999999E-3</v>
      </c>
    </row>
    <row r="6953" spans="1:14" hidden="1" x14ac:dyDescent="0.35">
      <c r="A6953" s="52" t="s">
        <v>737</v>
      </c>
      <c r="B6953" s="52" t="s">
        <v>37</v>
      </c>
      <c r="C6953" s="52" t="s">
        <v>79</v>
      </c>
      <c r="D6953" s="52" t="s">
        <v>79</v>
      </c>
      <c r="E6953" s="52" t="s">
        <v>584</v>
      </c>
      <c r="F6953" s="52" t="s">
        <v>581</v>
      </c>
      <c r="G6953" s="195" t="s">
        <v>276</v>
      </c>
      <c r="H6953" s="195">
        <v>8.5359000000000004E-2</v>
      </c>
      <c r="I6953" s="195">
        <v>1.33718E-2</v>
      </c>
      <c r="J6953" s="195">
        <v>7.4363989999999998E-3</v>
      </c>
      <c r="K6953" s="195">
        <v>4.2519999999999997E-3</v>
      </c>
      <c r="L6953" s="195">
        <v>1.6432E-3</v>
      </c>
      <c r="M6953" s="195">
        <v>9.9540010000000005E-4</v>
      </c>
      <c r="N6953" s="195">
        <v>4.763999E-4</v>
      </c>
    </row>
    <row r="6954" spans="1:14" hidden="1" x14ac:dyDescent="0.35">
      <c r="A6954" s="52" t="s">
        <v>737</v>
      </c>
      <c r="B6954" s="52" t="s">
        <v>37</v>
      </c>
      <c r="C6954" s="52" t="s">
        <v>79</v>
      </c>
      <c r="D6954" s="52" t="s">
        <v>79</v>
      </c>
      <c r="E6954" s="52" t="s">
        <v>584</v>
      </c>
      <c r="F6954" s="52" t="s">
        <v>581</v>
      </c>
      <c r="G6954" s="195" t="s">
        <v>279</v>
      </c>
      <c r="H6954" s="195">
        <v>0.22398899999999999</v>
      </c>
      <c r="I6954" s="195">
        <v>0.15609960000000001</v>
      </c>
      <c r="J6954" s="195">
        <v>0.1448846</v>
      </c>
      <c r="K6954" s="195">
        <v>0.15153179999999999</v>
      </c>
      <c r="L6954" s="195">
        <v>0.1542202</v>
      </c>
      <c r="M6954" s="195">
        <v>0.14502419999999999</v>
      </c>
      <c r="N6954" s="195">
        <v>0.1370518</v>
      </c>
    </row>
    <row r="6955" spans="1:14" hidden="1" x14ac:dyDescent="0.35">
      <c r="A6955" s="52" t="s">
        <v>737</v>
      </c>
      <c r="B6955" s="52" t="s">
        <v>37</v>
      </c>
      <c r="C6955" s="52" t="s">
        <v>79</v>
      </c>
      <c r="D6955" s="52" t="s">
        <v>79</v>
      </c>
      <c r="E6955" s="52" t="s">
        <v>584</v>
      </c>
      <c r="F6955" s="52" t="s">
        <v>26</v>
      </c>
      <c r="G6955" s="195" t="s">
        <v>275</v>
      </c>
      <c r="H6955" s="195">
        <v>2.0311400000000002</v>
      </c>
      <c r="I6955" s="195">
        <v>1.4174720000000001</v>
      </c>
      <c r="J6955" s="195">
        <v>-0.70979599999999998</v>
      </c>
      <c r="K6955" s="195">
        <v>-0.96142550000000004</v>
      </c>
      <c r="L6955" s="195">
        <v>-1.540985</v>
      </c>
      <c r="M6955" s="195">
        <v>-1.5462610000000001</v>
      </c>
      <c r="N6955" s="195">
        <v>-1.408013</v>
      </c>
    </row>
    <row r="6956" spans="1:14" hidden="1" x14ac:dyDescent="0.35">
      <c r="A6956" s="52" t="s">
        <v>737</v>
      </c>
      <c r="B6956" s="52" t="s">
        <v>37</v>
      </c>
      <c r="C6956" s="52" t="s">
        <v>79</v>
      </c>
      <c r="D6956" s="52" t="s">
        <v>79</v>
      </c>
      <c r="E6956" s="52" t="s">
        <v>584</v>
      </c>
      <c r="F6956" s="52" t="s">
        <v>26</v>
      </c>
      <c r="G6956" s="195" t="s">
        <v>276</v>
      </c>
      <c r="H6956" s="195">
        <v>-0.338918</v>
      </c>
      <c r="I6956" s="195">
        <v>-0.25249280000000002</v>
      </c>
      <c r="J6956" s="195">
        <v>-0.20190179999999999</v>
      </c>
      <c r="K6956" s="195">
        <v>-0.38630019999999998</v>
      </c>
      <c r="L6956" s="195">
        <v>-2.99472E-2</v>
      </c>
      <c r="M6956" s="195">
        <v>-9.3238790000000002E-2</v>
      </c>
      <c r="N6956" s="195">
        <v>-0.29216619999999999</v>
      </c>
    </row>
    <row r="6957" spans="1:14" hidden="1" x14ac:dyDescent="0.35">
      <c r="A6957" s="52" t="s">
        <v>737</v>
      </c>
      <c r="B6957" s="52" t="s">
        <v>37</v>
      </c>
      <c r="C6957" s="52" t="s">
        <v>79</v>
      </c>
      <c r="D6957" s="52" t="s">
        <v>79</v>
      </c>
      <c r="E6957" s="52" t="s">
        <v>584</v>
      </c>
      <c r="F6957" s="52" t="s">
        <v>26</v>
      </c>
      <c r="G6957" s="195" t="s">
        <v>277</v>
      </c>
      <c r="H6957" s="195">
        <v>0</v>
      </c>
      <c r="I6957" s="195">
        <v>0</v>
      </c>
      <c r="J6957" s="195">
        <v>2.1413139999999999</v>
      </c>
      <c r="K6957" s="195">
        <v>2.4834610000000001</v>
      </c>
      <c r="L6957" s="195">
        <v>2.624708</v>
      </c>
      <c r="M6957" s="195">
        <v>2.6907649999999999</v>
      </c>
      <c r="N6957" s="195">
        <v>2.758483</v>
      </c>
    </row>
    <row r="6958" spans="1:14" hidden="1" x14ac:dyDescent="0.35">
      <c r="A6958" s="52" t="s">
        <v>737</v>
      </c>
      <c r="B6958" s="52" t="s">
        <v>37</v>
      </c>
      <c r="C6958" s="52" t="s">
        <v>79</v>
      </c>
      <c r="D6958" s="52" t="s">
        <v>79</v>
      </c>
      <c r="E6958" s="52" t="s">
        <v>584</v>
      </c>
      <c r="F6958" s="52" t="s">
        <v>26</v>
      </c>
      <c r="G6958" s="195" t="s">
        <v>279</v>
      </c>
      <c r="H6958" s="195">
        <v>1.795099</v>
      </c>
      <c r="I6958" s="195">
        <v>1.514127</v>
      </c>
      <c r="J6958" s="195">
        <v>1.489493</v>
      </c>
      <c r="K6958" s="195">
        <v>1.600163</v>
      </c>
      <c r="L6958" s="195">
        <v>1.6878070000000001</v>
      </c>
      <c r="M6958" s="195">
        <v>1.677964</v>
      </c>
      <c r="N6958" s="195">
        <v>1.673789</v>
      </c>
    </row>
    <row r="6959" spans="1:14" hidden="1" x14ac:dyDescent="0.35">
      <c r="A6959" s="52" t="s">
        <v>757</v>
      </c>
      <c r="B6959" s="52" t="s">
        <v>168</v>
      </c>
      <c r="C6959" s="52" t="s">
        <v>87</v>
      </c>
      <c r="D6959" s="52" t="s">
        <v>87</v>
      </c>
      <c r="E6959" s="52" t="s">
        <v>584</v>
      </c>
      <c r="F6959" s="52" t="s">
        <v>581</v>
      </c>
      <c r="G6959" s="195" t="s">
        <v>275</v>
      </c>
      <c r="H6959" s="195">
        <v>80.723870000000005</v>
      </c>
      <c r="I6959" s="195">
        <v>10.83193</v>
      </c>
      <c r="J6959" s="195">
        <v>-26.460509999999999</v>
      </c>
      <c r="K6959" s="195">
        <v>-8.1355629999999994</v>
      </c>
      <c r="L6959" s="195">
        <v>37.486530000000002</v>
      </c>
      <c r="M6959" s="195">
        <v>1.0716939999999999</v>
      </c>
      <c r="N6959" s="195">
        <v>-20.59496</v>
      </c>
    </row>
    <row r="6960" spans="1:14" hidden="1" x14ac:dyDescent="0.35">
      <c r="A6960" s="52" t="s">
        <v>757</v>
      </c>
      <c r="B6960" s="52" t="s">
        <v>168</v>
      </c>
      <c r="C6960" s="52" t="s">
        <v>87</v>
      </c>
      <c r="D6960" s="52" t="s">
        <v>87</v>
      </c>
      <c r="E6960" s="52" t="s">
        <v>584</v>
      </c>
      <c r="F6960" s="52" t="s">
        <v>581</v>
      </c>
      <c r="G6960" s="195" t="s">
        <v>276</v>
      </c>
      <c r="H6960" s="195">
        <v>212.63740000000001</v>
      </c>
      <c r="I6960" s="195">
        <v>-91.245819999999995</v>
      </c>
      <c r="J6960" s="195">
        <v>-74.293930000000003</v>
      </c>
      <c r="K6960" s="195">
        <v>-29.55875</v>
      </c>
      <c r="L6960" s="195">
        <v>-66.619640000000004</v>
      </c>
      <c r="M6960" s="195">
        <v>-86.184470000000005</v>
      </c>
      <c r="N6960" s="195">
        <v>-105.946</v>
      </c>
    </row>
    <row r="6961" spans="1:14" hidden="1" x14ac:dyDescent="0.35">
      <c r="A6961" s="52" t="s">
        <v>757</v>
      </c>
      <c r="B6961" s="52" t="s">
        <v>168</v>
      </c>
      <c r="C6961" s="52" t="s">
        <v>87</v>
      </c>
      <c r="D6961" s="52" t="s">
        <v>87</v>
      </c>
      <c r="E6961" s="52" t="s">
        <v>584</v>
      </c>
      <c r="F6961" s="52" t="s">
        <v>581</v>
      </c>
      <c r="G6961" s="195" t="s">
        <v>277</v>
      </c>
      <c r="H6961" s="195">
        <v>136.3708</v>
      </c>
      <c r="I6961" s="195">
        <v>75.794780000000003</v>
      </c>
      <c r="J6961" s="195">
        <v>73.307299999999998</v>
      </c>
      <c r="K6961" s="195">
        <v>85.019130000000004</v>
      </c>
      <c r="L6961" s="195">
        <v>43.261569999999999</v>
      </c>
      <c r="M6961" s="195">
        <v>41.204940000000001</v>
      </c>
      <c r="N6961" s="195">
        <v>43.476140000000001</v>
      </c>
    </row>
    <row r="6962" spans="1:14" hidden="1" x14ac:dyDescent="0.35">
      <c r="A6962" s="52" t="s">
        <v>757</v>
      </c>
      <c r="B6962" s="52" t="s">
        <v>168</v>
      </c>
      <c r="C6962" s="52" t="s">
        <v>87</v>
      </c>
      <c r="D6962" s="52" t="s">
        <v>87</v>
      </c>
      <c r="E6962" s="52" t="s">
        <v>584</v>
      </c>
      <c r="F6962" s="52" t="s">
        <v>581</v>
      </c>
      <c r="G6962" s="195" t="s">
        <v>278</v>
      </c>
      <c r="H6962" s="195">
        <v>0.1192809</v>
      </c>
      <c r="I6962" s="195">
        <v>0.1031014</v>
      </c>
      <c r="J6962" s="195">
        <v>0.63187510000000002</v>
      </c>
      <c r="K6962" s="195">
        <v>0.24871389999999999</v>
      </c>
      <c r="L6962" s="195">
        <v>5.2013860000000002E-2</v>
      </c>
      <c r="M6962" s="195">
        <v>3.9146E-2</v>
      </c>
      <c r="N6962" s="195">
        <v>3.9146E-2</v>
      </c>
    </row>
    <row r="6963" spans="1:14" hidden="1" x14ac:dyDescent="0.35">
      <c r="A6963" s="52" t="s">
        <v>757</v>
      </c>
      <c r="B6963" s="52" t="s">
        <v>168</v>
      </c>
      <c r="C6963" s="52" t="s">
        <v>87</v>
      </c>
      <c r="D6963" s="52" t="s">
        <v>87</v>
      </c>
      <c r="E6963" s="52" t="s">
        <v>584</v>
      </c>
      <c r="F6963" s="52" t="s">
        <v>581</v>
      </c>
      <c r="G6963" s="195" t="s">
        <v>279</v>
      </c>
      <c r="H6963" s="195">
        <v>277.41019999999997</v>
      </c>
      <c r="I6963" s="195">
        <v>214.67429999999999</v>
      </c>
      <c r="J6963" s="195">
        <v>205.79329999999999</v>
      </c>
      <c r="K6963" s="195">
        <v>168.1611</v>
      </c>
      <c r="L6963" s="195">
        <v>212.40819999999999</v>
      </c>
      <c r="M6963" s="195">
        <v>235.20249999999999</v>
      </c>
      <c r="N6963" s="195">
        <v>250.1045</v>
      </c>
    </row>
    <row r="6964" spans="1:14" hidden="1" x14ac:dyDescent="0.35">
      <c r="A6964" s="52" t="s">
        <v>757</v>
      </c>
      <c r="B6964" s="52" t="s">
        <v>168</v>
      </c>
      <c r="C6964" s="52" t="s">
        <v>87</v>
      </c>
      <c r="D6964" s="52" t="s">
        <v>87</v>
      </c>
      <c r="E6964" s="52" t="s">
        <v>584</v>
      </c>
      <c r="F6964" s="52" t="s">
        <v>26</v>
      </c>
      <c r="G6964" s="195" t="s">
        <v>275</v>
      </c>
      <c r="H6964" s="195">
        <v>-203.10419999999999</v>
      </c>
      <c r="I6964" s="195">
        <v>-198.6277</v>
      </c>
      <c r="J6964" s="195">
        <v>-175.25020000000001</v>
      </c>
      <c r="K6964" s="195">
        <v>-56.601909999999997</v>
      </c>
      <c r="L6964" s="195">
        <v>123.2946</v>
      </c>
      <c r="M6964" s="195">
        <v>127.8737</v>
      </c>
      <c r="N6964" s="195">
        <v>66.73939</v>
      </c>
    </row>
    <row r="6965" spans="1:14" hidden="1" x14ac:dyDescent="0.35">
      <c r="A6965" s="52" t="s">
        <v>757</v>
      </c>
      <c r="B6965" s="52" t="s">
        <v>168</v>
      </c>
      <c r="C6965" s="52" t="s">
        <v>87</v>
      </c>
      <c r="D6965" s="52" t="s">
        <v>87</v>
      </c>
      <c r="E6965" s="52" t="s">
        <v>584</v>
      </c>
      <c r="F6965" s="52" t="s">
        <v>26</v>
      </c>
      <c r="G6965" s="195" t="s">
        <v>276</v>
      </c>
      <c r="H6965" s="195">
        <v>4.0603889999999998</v>
      </c>
      <c r="I6965" s="195">
        <v>-79.497720000000001</v>
      </c>
      <c r="J6965" s="195">
        <v>-48.63091</v>
      </c>
      <c r="K6965" s="195">
        <v>-223.08619999999999</v>
      </c>
      <c r="L6965" s="195">
        <v>-81.816069999999996</v>
      </c>
      <c r="M6965" s="195">
        <v>-60.766330000000004</v>
      </c>
      <c r="N6965" s="195">
        <v>-43.697580000000002</v>
      </c>
    </row>
    <row r="6966" spans="1:14" hidden="1" x14ac:dyDescent="0.35">
      <c r="A6966" s="52" t="s">
        <v>757</v>
      </c>
      <c r="B6966" s="52" t="s">
        <v>168</v>
      </c>
      <c r="C6966" s="52" t="s">
        <v>87</v>
      </c>
      <c r="D6966" s="52" t="s">
        <v>87</v>
      </c>
      <c r="E6966" s="52" t="s">
        <v>584</v>
      </c>
      <c r="F6966" s="52" t="s">
        <v>26</v>
      </c>
      <c r="G6966" s="195" t="s">
        <v>277</v>
      </c>
      <c r="H6966" s="195">
        <v>233.10120000000001</v>
      </c>
      <c r="I6966" s="195">
        <v>177.38919999999999</v>
      </c>
      <c r="J6966" s="195">
        <v>164.78870000000001</v>
      </c>
      <c r="K6966" s="195">
        <v>212.69290000000001</v>
      </c>
      <c r="L6966" s="195">
        <v>36.799999999999997</v>
      </c>
      <c r="M6966" s="195">
        <v>3.68</v>
      </c>
      <c r="N6966" s="195">
        <v>62.351289999999999</v>
      </c>
    </row>
    <row r="6967" spans="1:14" hidden="1" x14ac:dyDescent="0.35">
      <c r="A6967" s="52" t="s">
        <v>757</v>
      </c>
      <c r="B6967" s="52" t="s">
        <v>168</v>
      </c>
      <c r="C6967" s="52" t="s">
        <v>87</v>
      </c>
      <c r="D6967" s="52" t="s">
        <v>87</v>
      </c>
      <c r="E6967" s="52" t="s">
        <v>584</v>
      </c>
      <c r="F6967" s="52" t="s">
        <v>26</v>
      </c>
      <c r="G6967" s="195" t="s">
        <v>278</v>
      </c>
      <c r="H6967" s="195">
        <v>1.5922619999999998E-2</v>
      </c>
      <c r="I6967" s="195">
        <v>3.2102110000000003E-2</v>
      </c>
      <c r="J6967" s="195">
        <v>0</v>
      </c>
      <c r="K6967" s="195">
        <v>0</v>
      </c>
      <c r="L6967" s="195">
        <v>0</v>
      </c>
      <c r="M6967" s="195">
        <v>0</v>
      </c>
      <c r="N6967" s="195">
        <v>0</v>
      </c>
    </row>
    <row r="6968" spans="1:14" hidden="1" x14ac:dyDescent="0.35">
      <c r="A6968" s="52" t="s">
        <v>757</v>
      </c>
      <c r="B6968" s="52" t="s">
        <v>168</v>
      </c>
      <c r="C6968" s="52" t="s">
        <v>87</v>
      </c>
      <c r="D6968" s="52" t="s">
        <v>87</v>
      </c>
      <c r="E6968" s="52" t="s">
        <v>584</v>
      </c>
      <c r="F6968" s="52" t="s">
        <v>26</v>
      </c>
      <c r="G6968" s="195" t="s">
        <v>279</v>
      </c>
      <c r="H6968" s="195">
        <v>127.9888</v>
      </c>
      <c r="I6968" s="195">
        <v>137.25479999999999</v>
      </c>
      <c r="J6968" s="195">
        <v>87.338229999999996</v>
      </c>
      <c r="K6968" s="195">
        <v>137.83070000000001</v>
      </c>
      <c r="L6968" s="195">
        <v>71.089190000000002</v>
      </c>
      <c r="M6968" s="195">
        <v>65.739990000000006</v>
      </c>
      <c r="N6968" s="195">
        <v>75.668319999999994</v>
      </c>
    </row>
    <row r="6969" spans="1:14" hidden="1" x14ac:dyDescent="0.35">
      <c r="A6969" s="52" t="s">
        <v>757</v>
      </c>
      <c r="B6969" s="52" t="s">
        <v>168</v>
      </c>
      <c r="C6969" s="52" t="s">
        <v>87</v>
      </c>
      <c r="D6969" s="52" t="s">
        <v>169</v>
      </c>
      <c r="E6969" s="52" t="s">
        <v>584</v>
      </c>
      <c r="F6969" s="52" t="s">
        <v>581</v>
      </c>
      <c r="G6969" s="195" t="s">
        <v>275</v>
      </c>
      <c r="H6969" s="195">
        <v>-0.68822629999999996</v>
      </c>
      <c r="I6969" s="195">
        <v>0.91630210000000001</v>
      </c>
      <c r="J6969" s="195">
        <v>-1.5338050000000001</v>
      </c>
      <c r="K6969" s="195">
        <v>-2.0352199999999998</v>
      </c>
      <c r="L6969" s="195">
        <v>0.15110399999999999</v>
      </c>
      <c r="M6969" s="195">
        <v>4.4326499999999998E-2</v>
      </c>
      <c r="N6969" s="195">
        <v>-8.6811189999999993E-3</v>
      </c>
    </row>
    <row r="6970" spans="1:14" hidden="1" x14ac:dyDescent="0.35">
      <c r="A6970" s="52" t="s">
        <v>757</v>
      </c>
      <c r="B6970" s="52" t="s">
        <v>168</v>
      </c>
      <c r="C6970" s="52" t="s">
        <v>87</v>
      </c>
      <c r="D6970" s="52" t="s">
        <v>169</v>
      </c>
      <c r="E6970" s="52" t="s">
        <v>584</v>
      </c>
      <c r="F6970" s="52" t="s">
        <v>581</v>
      </c>
      <c r="G6970" s="195" t="s">
        <v>276</v>
      </c>
      <c r="H6970" s="195">
        <v>-1.1626510000000001</v>
      </c>
      <c r="I6970" s="195">
        <v>1.689843</v>
      </c>
      <c r="J6970" s="195">
        <v>-2.7368839999999999</v>
      </c>
      <c r="K6970" s="195">
        <v>-4.4053990000000001</v>
      </c>
      <c r="L6970" s="195">
        <v>0.22385140000000001</v>
      </c>
      <c r="M6970" s="195">
        <v>6.8680210000000005E-2</v>
      </c>
      <c r="N6970" s="195">
        <v>-2.5553550000000001E-2</v>
      </c>
    </row>
    <row r="6971" spans="1:14" hidden="1" x14ac:dyDescent="0.35">
      <c r="A6971" s="52" t="s">
        <v>757</v>
      </c>
      <c r="B6971" s="52" t="s">
        <v>168</v>
      </c>
      <c r="C6971" s="52" t="s">
        <v>87</v>
      </c>
      <c r="D6971" s="52" t="s">
        <v>169</v>
      </c>
      <c r="E6971" s="52" t="s">
        <v>584</v>
      </c>
      <c r="F6971" s="52" t="s">
        <v>581</v>
      </c>
      <c r="G6971" s="195" t="s">
        <v>278</v>
      </c>
      <c r="H6971" s="195">
        <v>3.4234670000000002E-2</v>
      </c>
      <c r="I6971" s="195">
        <v>3.4234670000000002E-2</v>
      </c>
      <c r="J6971" s="195">
        <v>3.4234670000000002E-2</v>
      </c>
      <c r="K6971" s="195">
        <v>0.81134550000000005</v>
      </c>
      <c r="L6971" s="195">
        <v>6.8893280000000001E-2</v>
      </c>
      <c r="M6971" s="195">
        <v>3.4234670000000002E-2</v>
      </c>
      <c r="N6971" s="195">
        <v>3.4234670000000002E-2</v>
      </c>
    </row>
    <row r="6972" spans="1:14" hidden="1" x14ac:dyDescent="0.35">
      <c r="A6972" s="52" t="s">
        <v>757</v>
      </c>
      <c r="B6972" s="52" t="s">
        <v>168</v>
      </c>
      <c r="C6972" s="52" t="s">
        <v>87</v>
      </c>
      <c r="D6972" s="52" t="s">
        <v>169</v>
      </c>
      <c r="E6972" s="52" t="s">
        <v>584</v>
      </c>
      <c r="F6972" s="52" t="s">
        <v>581</v>
      </c>
      <c r="G6972" s="195" t="s">
        <v>279</v>
      </c>
      <c r="H6972" s="195">
        <v>5.6827300000000003</v>
      </c>
      <c r="I6972" s="195">
        <v>4.5541879999999999</v>
      </c>
      <c r="J6972" s="195">
        <v>5.2376230000000001</v>
      </c>
      <c r="K6972" s="195">
        <v>5.7205120000000003</v>
      </c>
      <c r="L6972" s="195">
        <v>0.34083829999999998</v>
      </c>
      <c r="M6972" s="195">
        <v>0.25845299999999999</v>
      </c>
      <c r="N6972" s="195">
        <v>0</v>
      </c>
    </row>
    <row r="6973" spans="1:14" hidden="1" x14ac:dyDescent="0.35">
      <c r="A6973" s="52" t="s">
        <v>757</v>
      </c>
      <c r="B6973" s="52" t="s">
        <v>168</v>
      </c>
      <c r="C6973" s="52" t="s">
        <v>87</v>
      </c>
      <c r="D6973" s="52" t="s">
        <v>169</v>
      </c>
      <c r="E6973" s="52" t="s">
        <v>584</v>
      </c>
      <c r="F6973" s="52" t="s">
        <v>26</v>
      </c>
      <c r="G6973" s="195" t="s">
        <v>275</v>
      </c>
      <c r="H6973" s="195">
        <v>-1.270275</v>
      </c>
      <c r="I6973" s="195">
        <v>-3.8796010000000001</v>
      </c>
      <c r="J6973" s="195">
        <v>-4.6007369999999996</v>
      </c>
      <c r="K6973" s="195">
        <v>-2.5364599999999999</v>
      </c>
      <c r="L6973" s="195">
        <v>0.37644230000000001</v>
      </c>
      <c r="M6973" s="195">
        <v>-1.400658</v>
      </c>
      <c r="N6973" s="195">
        <v>0</v>
      </c>
    </row>
    <row r="6974" spans="1:14" hidden="1" x14ac:dyDescent="0.35">
      <c r="A6974" s="52" t="s">
        <v>757</v>
      </c>
      <c r="B6974" s="52" t="s">
        <v>168</v>
      </c>
      <c r="C6974" s="52" t="s">
        <v>87</v>
      </c>
      <c r="D6974" s="52" t="s">
        <v>169</v>
      </c>
      <c r="E6974" s="52" t="s">
        <v>584</v>
      </c>
      <c r="F6974" s="52" t="s">
        <v>26</v>
      </c>
      <c r="G6974" s="195" t="s">
        <v>276</v>
      </c>
      <c r="H6974" s="195">
        <v>-2.2582659999999999</v>
      </c>
      <c r="I6974" s="195">
        <v>-6.8970690000000001</v>
      </c>
      <c r="J6974" s="195">
        <v>-8.1790889999999994</v>
      </c>
      <c r="K6974" s="195">
        <v>-4.5092619999999997</v>
      </c>
      <c r="L6974" s="195">
        <v>0.66923060000000001</v>
      </c>
      <c r="M6974" s="195">
        <v>-2.4900600000000002</v>
      </c>
      <c r="N6974" s="195">
        <v>0</v>
      </c>
    </row>
    <row r="6975" spans="1:14" hidden="1" x14ac:dyDescent="0.35">
      <c r="A6975" s="52" t="s">
        <v>757</v>
      </c>
      <c r="B6975" s="52" t="s">
        <v>168</v>
      </c>
      <c r="C6975" s="52" t="s">
        <v>87</v>
      </c>
      <c r="D6975" s="52" t="s">
        <v>169</v>
      </c>
      <c r="E6975" s="52" t="s">
        <v>584</v>
      </c>
      <c r="F6975" s="52" t="s">
        <v>26</v>
      </c>
      <c r="G6975" s="195" t="s">
        <v>279</v>
      </c>
      <c r="H6975" s="195">
        <v>16.043579999999999</v>
      </c>
      <c r="I6975" s="195">
        <v>14.7193</v>
      </c>
      <c r="J6975" s="195">
        <v>13.442449999999999</v>
      </c>
      <c r="K6975" s="195">
        <v>10.695970000000001</v>
      </c>
      <c r="L6975" s="195">
        <v>12.56002</v>
      </c>
      <c r="M6975" s="195">
        <v>10.930440000000001</v>
      </c>
      <c r="N6975" s="195">
        <v>0</v>
      </c>
    </row>
    <row r="6976" spans="1:14" hidden="1" x14ac:dyDescent="0.35">
      <c r="A6976" s="52" t="s">
        <v>757</v>
      </c>
      <c r="B6976" s="52" t="s">
        <v>168</v>
      </c>
      <c r="C6976" s="52" t="s">
        <v>87</v>
      </c>
      <c r="D6976" s="52" t="s">
        <v>88</v>
      </c>
      <c r="E6976" s="52" t="s">
        <v>584</v>
      </c>
      <c r="F6976" s="52" t="s">
        <v>581</v>
      </c>
      <c r="G6976" s="195" t="s">
        <v>275</v>
      </c>
      <c r="H6976" s="195">
        <v>-1.6179490000000001E-2</v>
      </c>
      <c r="I6976" s="195">
        <v>-1.6179490000000001E-2</v>
      </c>
      <c r="J6976" s="195">
        <v>-3.2358980000000001E-3</v>
      </c>
      <c r="K6976" s="195">
        <v>-3.2358980000000001E-3</v>
      </c>
      <c r="L6976" s="195">
        <v>-3.2358980000000001E-3</v>
      </c>
      <c r="M6976" s="195">
        <v>0</v>
      </c>
      <c r="N6976" s="195"/>
    </row>
    <row r="6977" spans="1:14" hidden="1" x14ac:dyDescent="0.35">
      <c r="A6977" s="52" t="s">
        <v>757</v>
      </c>
      <c r="B6977" s="52" t="s">
        <v>168</v>
      </c>
      <c r="C6977" s="52" t="s">
        <v>87</v>
      </c>
      <c r="D6977" s="52" t="s">
        <v>88</v>
      </c>
      <c r="E6977" s="52" t="s">
        <v>584</v>
      </c>
      <c r="F6977" s="52" t="s">
        <v>581</v>
      </c>
      <c r="G6977" s="195" t="s">
        <v>278</v>
      </c>
      <c r="H6977" s="195">
        <v>1.6179490000000001E-2</v>
      </c>
      <c r="I6977" s="195">
        <v>1.6179490000000001E-2</v>
      </c>
      <c r="J6977" s="195">
        <v>3.2358980000000001E-3</v>
      </c>
      <c r="K6977" s="195">
        <v>3.2358980000000001E-3</v>
      </c>
      <c r="L6977" s="195">
        <v>3.2358980000000001E-3</v>
      </c>
      <c r="M6977" s="195">
        <v>0</v>
      </c>
      <c r="N6977" s="195"/>
    </row>
    <row r="6978" spans="1:14" hidden="1" x14ac:dyDescent="0.35">
      <c r="A6978" s="52" t="s">
        <v>757</v>
      </c>
      <c r="B6978" s="52" t="s">
        <v>168</v>
      </c>
      <c r="C6978" s="52" t="s">
        <v>262</v>
      </c>
      <c r="D6978" s="52" t="s">
        <v>758</v>
      </c>
      <c r="E6978" s="52" t="s">
        <v>584</v>
      </c>
      <c r="F6978" s="52" t="s">
        <v>581</v>
      </c>
      <c r="G6978" s="195" t="s">
        <v>275</v>
      </c>
      <c r="H6978" s="195">
        <v>-1.8172399999999998E-2</v>
      </c>
      <c r="I6978" s="195">
        <v>-1.8172399999999998E-2</v>
      </c>
      <c r="J6978" s="195">
        <v>0</v>
      </c>
      <c r="K6978" s="195">
        <v>0</v>
      </c>
      <c r="L6978" s="195">
        <v>0</v>
      </c>
      <c r="M6978" s="195">
        <v>0</v>
      </c>
      <c r="N6978" s="195">
        <v>0</v>
      </c>
    </row>
    <row r="6979" spans="1:14" hidden="1" x14ac:dyDescent="0.35">
      <c r="A6979" s="52" t="s">
        <v>757</v>
      </c>
      <c r="B6979" s="52" t="s">
        <v>168</v>
      </c>
      <c r="C6979" s="52" t="s">
        <v>262</v>
      </c>
      <c r="D6979" s="52" t="s">
        <v>758</v>
      </c>
      <c r="E6979" s="52" t="s">
        <v>584</v>
      </c>
      <c r="F6979" s="52" t="s">
        <v>581</v>
      </c>
      <c r="G6979" s="195" t="s">
        <v>276</v>
      </c>
      <c r="H6979" s="195"/>
      <c r="I6979" s="195"/>
      <c r="J6979" s="195"/>
      <c r="K6979" s="195"/>
      <c r="L6979" s="195"/>
      <c r="M6979" s="195">
        <v>0</v>
      </c>
      <c r="N6979" s="195">
        <v>0</v>
      </c>
    </row>
    <row r="6980" spans="1:14" hidden="1" x14ac:dyDescent="0.35">
      <c r="A6980" s="52" t="s">
        <v>757</v>
      </c>
      <c r="B6980" s="52" t="s">
        <v>168</v>
      </c>
      <c r="C6980" s="52" t="s">
        <v>262</v>
      </c>
      <c r="D6980" s="52" t="s">
        <v>758</v>
      </c>
      <c r="E6980" s="52" t="s">
        <v>584</v>
      </c>
      <c r="F6980" s="52" t="s">
        <v>581</v>
      </c>
      <c r="G6980" s="195" t="s">
        <v>277</v>
      </c>
      <c r="H6980" s="195"/>
      <c r="I6980" s="195"/>
      <c r="J6980" s="195"/>
      <c r="K6980" s="195"/>
      <c r="L6980" s="195"/>
      <c r="M6980" s="195">
        <v>0</v>
      </c>
      <c r="N6980" s="195">
        <v>0</v>
      </c>
    </row>
    <row r="6981" spans="1:14" hidden="1" x14ac:dyDescent="0.35">
      <c r="A6981" s="52" t="s">
        <v>757</v>
      </c>
      <c r="B6981" s="52" t="s">
        <v>168</v>
      </c>
      <c r="C6981" s="52" t="s">
        <v>262</v>
      </c>
      <c r="D6981" s="52" t="s">
        <v>758</v>
      </c>
      <c r="E6981" s="52" t="s">
        <v>584</v>
      </c>
      <c r="F6981" s="52" t="s">
        <v>581</v>
      </c>
      <c r="G6981" s="195" t="s">
        <v>278</v>
      </c>
      <c r="H6981" s="195">
        <v>1.8172399999999998E-2</v>
      </c>
      <c r="I6981" s="195">
        <v>1.8172399999999998E-2</v>
      </c>
      <c r="J6981" s="195">
        <v>0</v>
      </c>
      <c r="K6981" s="195">
        <v>0</v>
      </c>
      <c r="L6981" s="195">
        <v>0</v>
      </c>
      <c r="M6981" s="195">
        <v>0</v>
      </c>
      <c r="N6981" s="195">
        <v>0</v>
      </c>
    </row>
    <row r="6982" spans="1:14" hidden="1" x14ac:dyDescent="0.35">
      <c r="A6982" s="52" t="s">
        <v>757</v>
      </c>
      <c r="B6982" s="52" t="s">
        <v>168</v>
      </c>
      <c r="C6982" s="52" t="s">
        <v>262</v>
      </c>
      <c r="D6982" s="52" t="s">
        <v>758</v>
      </c>
      <c r="E6982" s="52" t="s">
        <v>584</v>
      </c>
      <c r="F6982" s="52" t="s">
        <v>581</v>
      </c>
      <c r="G6982" s="195" t="s">
        <v>279</v>
      </c>
      <c r="H6982" s="195"/>
      <c r="I6982" s="195"/>
      <c r="J6982" s="195"/>
      <c r="K6982" s="195"/>
      <c r="L6982" s="195"/>
      <c r="M6982" s="195">
        <v>0</v>
      </c>
      <c r="N6982" s="195">
        <v>0</v>
      </c>
    </row>
    <row r="6983" spans="1:14" hidden="1" x14ac:dyDescent="0.35">
      <c r="A6983" s="52" t="s">
        <v>729</v>
      </c>
      <c r="B6983" s="52" t="s">
        <v>37</v>
      </c>
      <c r="C6983" s="52" t="s">
        <v>218</v>
      </c>
      <c r="D6983" s="52" t="s">
        <v>218</v>
      </c>
      <c r="E6983" s="52" t="s">
        <v>593</v>
      </c>
      <c r="F6983" s="52" t="s">
        <v>581</v>
      </c>
      <c r="G6983" s="195" t="s">
        <v>275</v>
      </c>
      <c r="H6983" s="195">
        <v>96.722499999999997</v>
      </c>
      <c r="I6983" s="195">
        <v>123.9712</v>
      </c>
      <c r="J6983" s="195">
        <v>174.60480000000001</v>
      </c>
      <c r="K6983" s="195">
        <v>128.11009999999999</v>
      </c>
      <c r="L6983" s="195">
        <v>84.379300000000001</v>
      </c>
      <c r="M6983" s="195">
        <v>42.974890000000002</v>
      </c>
      <c r="N6983" s="195">
        <v>31.615939999999998</v>
      </c>
    </row>
    <row r="6984" spans="1:14" hidden="1" x14ac:dyDescent="0.35">
      <c r="A6984" s="52" t="s">
        <v>729</v>
      </c>
      <c r="B6984" s="52" t="s">
        <v>37</v>
      </c>
      <c r="C6984" s="52" t="s">
        <v>218</v>
      </c>
      <c r="D6984" s="52" t="s">
        <v>218</v>
      </c>
      <c r="E6984" s="52" t="s">
        <v>593</v>
      </c>
      <c r="F6984" s="52" t="s">
        <v>581</v>
      </c>
      <c r="G6984" s="195" t="s">
        <v>276</v>
      </c>
      <c r="H6984" s="195">
        <v>13.06366</v>
      </c>
      <c r="I6984" s="195">
        <v>-55.249609999999997</v>
      </c>
      <c r="J6984" s="195">
        <v>-89.09281</v>
      </c>
      <c r="K6984" s="195">
        <v>-61.496980000000001</v>
      </c>
      <c r="L6984" s="195">
        <v>-37.311869999999999</v>
      </c>
      <c r="M6984" s="195">
        <v>2.8762340000000002</v>
      </c>
      <c r="N6984" s="195">
        <v>8.370374</v>
      </c>
    </row>
    <row r="6985" spans="1:14" hidden="1" x14ac:dyDescent="0.35">
      <c r="A6985" s="52" t="s">
        <v>729</v>
      </c>
      <c r="B6985" s="52" t="s">
        <v>37</v>
      </c>
      <c r="C6985" s="52" t="s">
        <v>218</v>
      </c>
      <c r="D6985" s="52" t="s">
        <v>218</v>
      </c>
      <c r="E6985" s="52" t="s">
        <v>593</v>
      </c>
      <c r="F6985" s="52" t="s">
        <v>581</v>
      </c>
      <c r="G6985" s="195" t="s">
        <v>277</v>
      </c>
      <c r="H6985" s="195">
        <v>561.70960000000002</v>
      </c>
      <c r="I6985" s="195">
        <v>102.9725</v>
      </c>
      <c r="J6985" s="195">
        <v>17.820630000000001</v>
      </c>
      <c r="K6985" s="195">
        <v>15.08511</v>
      </c>
      <c r="L6985" s="195">
        <v>15.2437</v>
      </c>
      <c r="M6985" s="195">
        <v>18.249880000000001</v>
      </c>
      <c r="N6985" s="195">
        <v>24.07526</v>
      </c>
    </row>
    <row r="6986" spans="1:14" hidden="1" x14ac:dyDescent="0.35">
      <c r="A6986" s="52" t="s">
        <v>729</v>
      </c>
      <c r="B6986" s="52" t="s">
        <v>37</v>
      </c>
      <c r="C6986" s="52" t="s">
        <v>218</v>
      </c>
      <c r="D6986" s="52" t="s">
        <v>218</v>
      </c>
      <c r="E6986" s="52" t="s">
        <v>593</v>
      </c>
      <c r="F6986" s="52" t="s">
        <v>581</v>
      </c>
      <c r="G6986" s="195" t="s">
        <v>278</v>
      </c>
      <c r="H6986" s="195">
        <v>3.3404120000000002</v>
      </c>
      <c r="I6986" s="195">
        <v>2.3739629999999998</v>
      </c>
      <c r="J6986" s="195">
        <v>19.82733</v>
      </c>
      <c r="K6986" s="195">
        <v>19.874130000000001</v>
      </c>
      <c r="L6986" s="195">
        <v>19.633019999999998</v>
      </c>
      <c r="M6986" s="195">
        <v>12.88184</v>
      </c>
      <c r="N6986" s="195">
        <v>11.322649999999999</v>
      </c>
    </row>
    <row r="6987" spans="1:14" hidden="1" x14ac:dyDescent="0.35">
      <c r="A6987" s="52" t="s">
        <v>729</v>
      </c>
      <c r="B6987" s="52" t="s">
        <v>37</v>
      </c>
      <c r="C6987" s="52" t="s">
        <v>218</v>
      </c>
      <c r="D6987" s="52" t="s">
        <v>218</v>
      </c>
      <c r="E6987" s="52" t="s">
        <v>593</v>
      </c>
      <c r="F6987" s="52" t="s">
        <v>581</v>
      </c>
      <c r="G6987" s="195" t="s">
        <v>279</v>
      </c>
      <c r="H6987" s="195">
        <v>204.4385</v>
      </c>
      <c r="I6987" s="195">
        <v>145.26300000000001</v>
      </c>
      <c r="J6987" s="195">
        <v>120.6524</v>
      </c>
      <c r="K6987" s="195">
        <v>103.24420000000001</v>
      </c>
      <c r="L6987" s="195">
        <v>102.6883</v>
      </c>
      <c r="M6987" s="195">
        <v>90.512339999999995</v>
      </c>
      <c r="N6987" s="195">
        <v>84.342359999999999</v>
      </c>
    </row>
    <row r="6988" spans="1:14" hidden="1" x14ac:dyDescent="0.35">
      <c r="A6988" s="52" t="s">
        <v>729</v>
      </c>
      <c r="B6988" s="52" t="s">
        <v>37</v>
      </c>
      <c r="C6988" s="52" t="s">
        <v>218</v>
      </c>
      <c r="D6988" s="52" t="s">
        <v>218</v>
      </c>
      <c r="E6988" s="52" t="s">
        <v>593</v>
      </c>
      <c r="F6988" s="52" t="s">
        <v>26</v>
      </c>
      <c r="G6988" s="195" t="s">
        <v>275</v>
      </c>
      <c r="H6988" s="195">
        <v>19.691230000000001</v>
      </c>
      <c r="I6988" s="195">
        <v>6.4642229999999996</v>
      </c>
      <c r="J6988" s="195">
        <v>8.0068850000000005</v>
      </c>
      <c r="K6988" s="195">
        <v>5.2935850000000002</v>
      </c>
      <c r="L6988" s="195">
        <v>0.97384020000000004</v>
      </c>
      <c r="M6988" s="195">
        <v>1.353059</v>
      </c>
      <c r="N6988" s="195">
        <v>1.543277</v>
      </c>
    </row>
    <row r="6989" spans="1:14" hidden="1" x14ac:dyDescent="0.35">
      <c r="A6989" s="52" t="s">
        <v>729</v>
      </c>
      <c r="B6989" s="52" t="s">
        <v>37</v>
      </c>
      <c r="C6989" s="52" t="s">
        <v>218</v>
      </c>
      <c r="D6989" s="52" t="s">
        <v>218</v>
      </c>
      <c r="E6989" s="52" t="s">
        <v>593</v>
      </c>
      <c r="F6989" s="52" t="s">
        <v>26</v>
      </c>
      <c r="G6989" s="195" t="s">
        <v>276</v>
      </c>
      <c r="H6989" s="195">
        <v>5.2343599999999997</v>
      </c>
      <c r="I6989" s="195">
        <v>1.71834</v>
      </c>
      <c r="J6989" s="195">
        <v>2.1284070000000002</v>
      </c>
      <c r="K6989" s="195">
        <v>1.4071689999999999</v>
      </c>
      <c r="L6989" s="195">
        <v>0.25886140000000002</v>
      </c>
      <c r="M6989" s="195">
        <v>0.3596704</v>
      </c>
      <c r="N6989" s="195">
        <v>0.41024139999999998</v>
      </c>
    </row>
    <row r="6990" spans="1:14" hidden="1" x14ac:dyDescent="0.35">
      <c r="A6990" s="52" t="s">
        <v>729</v>
      </c>
      <c r="B6990" s="52" t="s">
        <v>37</v>
      </c>
      <c r="C6990" s="52" t="s">
        <v>218</v>
      </c>
      <c r="D6990" s="52" t="s">
        <v>218</v>
      </c>
      <c r="E6990" s="52" t="s">
        <v>593</v>
      </c>
      <c r="F6990" s="52" t="s">
        <v>26</v>
      </c>
      <c r="G6990" s="195" t="s">
        <v>279</v>
      </c>
      <c r="H6990" s="195">
        <v>93.724950000000007</v>
      </c>
      <c r="I6990" s="195">
        <v>68.313019999999995</v>
      </c>
      <c r="J6990" s="195">
        <v>58.329990000000002</v>
      </c>
      <c r="K6990" s="195">
        <v>50.620249999999999</v>
      </c>
      <c r="L6990" s="195">
        <v>50.151330000000002</v>
      </c>
      <c r="M6990" s="195">
        <v>44.18233</v>
      </c>
      <c r="N6990" s="195">
        <v>41.04551</v>
      </c>
    </row>
    <row r="6991" spans="1:14" hidden="1" x14ac:dyDescent="0.35">
      <c r="A6991" s="52" t="s">
        <v>729</v>
      </c>
      <c r="B6991" s="52" t="s">
        <v>37</v>
      </c>
      <c r="C6991" s="52" t="s">
        <v>218</v>
      </c>
      <c r="D6991" s="52" t="s">
        <v>218</v>
      </c>
      <c r="E6991" s="52" t="s">
        <v>730</v>
      </c>
      <c r="F6991" s="52" t="s">
        <v>581</v>
      </c>
      <c r="G6991" s="195" t="s">
        <v>275</v>
      </c>
      <c r="H6991" s="195">
        <v>-6.6074630000000001</v>
      </c>
      <c r="I6991" s="195">
        <v>-3.011784</v>
      </c>
      <c r="J6991" s="195">
        <v>-0.58176609999999995</v>
      </c>
      <c r="K6991" s="195">
        <v>1.8153250000000001</v>
      </c>
      <c r="L6991" s="195">
        <v>0.95462210000000003</v>
      </c>
      <c r="M6991" s="195">
        <v>1.77573</v>
      </c>
      <c r="N6991" s="195">
        <v>1.2112830000000001</v>
      </c>
    </row>
    <row r="6992" spans="1:14" hidden="1" x14ac:dyDescent="0.35">
      <c r="A6992" s="52" t="s">
        <v>729</v>
      </c>
      <c r="B6992" s="52" t="s">
        <v>37</v>
      </c>
      <c r="C6992" s="52" t="s">
        <v>218</v>
      </c>
      <c r="D6992" s="52" t="s">
        <v>218</v>
      </c>
      <c r="E6992" s="52" t="s">
        <v>730</v>
      </c>
      <c r="F6992" s="52" t="s">
        <v>581</v>
      </c>
      <c r="G6992" s="195" t="s">
        <v>276</v>
      </c>
      <c r="H6992" s="195">
        <v>0.68959599999999999</v>
      </c>
      <c r="I6992" s="195">
        <v>-0.6947468</v>
      </c>
      <c r="J6992" s="195">
        <v>-1.160925</v>
      </c>
      <c r="K6992" s="195">
        <v>-1.5224249999999999</v>
      </c>
      <c r="L6992" s="195">
        <v>-1.4106399999999999</v>
      </c>
      <c r="M6992" s="195">
        <v>-0.53938160000000002</v>
      </c>
      <c r="N6992" s="195">
        <v>-0.26361220000000002</v>
      </c>
    </row>
    <row r="6993" spans="1:14" hidden="1" x14ac:dyDescent="0.35">
      <c r="A6993" s="52" t="s">
        <v>729</v>
      </c>
      <c r="B6993" s="52" t="s">
        <v>37</v>
      </c>
      <c r="C6993" s="52" t="s">
        <v>218</v>
      </c>
      <c r="D6993" s="52" t="s">
        <v>218</v>
      </c>
      <c r="E6993" s="52" t="s">
        <v>730</v>
      </c>
      <c r="F6993" s="52" t="s">
        <v>581</v>
      </c>
      <c r="G6993" s="195" t="s">
        <v>277</v>
      </c>
      <c r="H6993" s="195">
        <v>15.361370000000001</v>
      </c>
      <c r="I6993" s="195">
        <v>6.6200970000000003</v>
      </c>
      <c r="J6993" s="195">
        <v>1.769352</v>
      </c>
      <c r="K6993" s="195">
        <v>0.61828079999999996</v>
      </c>
      <c r="L6993" s="195">
        <v>1.942007</v>
      </c>
      <c r="M6993" s="195">
        <v>0</v>
      </c>
      <c r="N6993" s="195">
        <v>0</v>
      </c>
    </row>
    <row r="6994" spans="1:14" hidden="1" x14ac:dyDescent="0.35">
      <c r="A6994" s="52" t="s">
        <v>729</v>
      </c>
      <c r="B6994" s="52" t="s">
        <v>37</v>
      </c>
      <c r="C6994" s="52" t="s">
        <v>218</v>
      </c>
      <c r="D6994" s="52" t="s">
        <v>218</v>
      </c>
      <c r="E6994" s="52" t="s">
        <v>730</v>
      </c>
      <c r="F6994" s="52" t="s">
        <v>581</v>
      </c>
      <c r="G6994" s="195" t="s">
        <v>278</v>
      </c>
      <c r="H6994" s="195">
        <v>0.118629</v>
      </c>
      <c r="I6994" s="195">
        <v>0.15601100000000001</v>
      </c>
      <c r="J6994" s="195">
        <v>2.4405459999999999</v>
      </c>
      <c r="K6994" s="195">
        <v>1.480718</v>
      </c>
      <c r="L6994" s="195">
        <v>0.1178312</v>
      </c>
      <c r="M6994" s="195">
        <v>0</v>
      </c>
      <c r="N6994" s="195"/>
    </row>
    <row r="6995" spans="1:14" hidden="1" x14ac:dyDescent="0.35">
      <c r="A6995" s="52" t="s">
        <v>729</v>
      </c>
      <c r="B6995" s="52" t="s">
        <v>37</v>
      </c>
      <c r="C6995" s="52" t="s">
        <v>218</v>
      </c>
      <c r="D6995" s="52" t="s">
        <v>218</v>
      </c>
      <c r="E6995" s="52" t="s">
        <v>730</v>
      </c>
      <c r="F6995" s="52" t="s">
        <v>581</v>
      </c>
      <c r="G6995" s="195" t="s">
        <v>279</v>
      </c>
      <c r="H6995" s="195">
        <v>3.4259499999999998</v>
      </c>
      <c r="I6995" s="195">
        <v>3.397332</v>
      </c>
      <c r="J6995" s="195">
        <v>3.2415210000000001</v>
      </c>
      <c r="K6995" s="195">
        <v>3.1901250000000001</v>
      </c>
      <c r="L6995" s="195">
        <v>2.8716010000000001</v>
      </c>
      <c r="M6995" s="195">
        <v>2.1441159999999999</v>
      </c>
      <c r="N6995" s="195">
        <v>1.63591</v>
      </c>
    </row>
    <row r="6996" spans="1:14" hidden="1" x14ac:dyDescent="0.35">
      <c r="A6996" s="52" t="s">
        <v>729</v>
      </c>
      <c r="B6996" s="52" t="s">
        <v>37</v>
      </c>
      <c r="C6996" s="52" t="s">
        <v>218</v>
      </c>
      <c r="D6996" s="52" t="s">
        <v>218</v>
      </c>
      <c r="E6996" s="52" t="s">
        <v>730</v>
      </c>
      <c r="F6996" s="52" t="s">
        <v>26</v>
      </c>
      <c r="G6996" s="195" t="s">
        <v>275</v>
      </c>
      <c r="H6996" s="195">
        <v>0.175569</v>
      </c>
      <c r="I6996" s="195">
        <v>7.4789599999999998E-2</v>
      </c>
      <c r="J6996" s="195">
        <v>0.107741</v>
      </c>
      <c r="K6996" s="195">
        <v>8.2337400000000005E-2</v>
      </c>
      <c r="L6996" s="195">
        <v>1.19738E-2</v>
      </c>
      <c r="M6996" s="195">
        <v>1.18502E-2</v>
      </c>
      <c r="N6996" s="195">
        <v>9.4724010000000001E-3</v>
      </c>
    </row>
    <row r="6997" spans="1:14" hidden="1" x14ac:dyDescent="0.35">
      <c r="A6997" s="52" t="s">
        <v>729</v>
      </c>
      <c r="B6997" s="52" t="s">
        <v>37</v>
      </c>
      <c r="C6997" s="52" t="s">
        <v>218</v>
      </c>
      <c r="D6997" s="52" t="s">
        <v>218</v>
      </c>
      <c r="E6997" s="52" t="s">
        <v>730</v>
      </c>
      <c r="F6997" s="52" t="s">
        <v>26</v>
      </c>
      <c r="G6997" s="195" t="s">
        <v>276</v>
      </c>
      <c r="H6997" s="195">
        <v>4.6670999999999997E-2</v>
      </c>
      <c r="I6997" s="195">
        <v>1.9881200000000002E-2</v>
      </c>
      <c r="J6997" s="195">
        <v>2.86392E-2</v>
      </c>
      <c r="K6997" s="195">
        <v>2.1886200000000001E-2</v>
      </c>
      <c r="L6997" s="195">
        <v>3.1814E-3</v>
      </c>
      <c r="M6997" s="195">
        <v>3.1502000000000001E-3</v>
      </c>
      <c r="N6997" s="195">
        <v>2.5173999999999999E-3</v>
      </c>
    </row>
    <row r="6998" spans="1:14" hidden="1" x14ac:dyDescent="0.35">
      <c r="A6998" s="52" t="s">
        <v>729</v>
      </c>
      <c r="B6998" s="52" t="s">
        <v>37</v>
      </c>
      <c r="C6998" s="52" t="s">
        <v>218</v>
      </c>
      <c r="D6998" s="52" t="s">
        <v>218</v>
      </c>
      <c r="E6998" s="52" t="s">
        <v>730</v>
      </c>
      <c r="F6998" s="52" t="s">
        <v>26</v>
      </c>
      <c r="G6998" s="195" t="s">
        <v>279</v>
      </c>
      <c r="H6998" s="195">
        <v>0.84263999999999994</v>
      </c>
      <c r="I6998" s="195">
        <v>0.80819240000000003</v>
      </c>
      <c r="J6998" s="195">
        <v>0.79359420000000003</v>
      </c>
      <c r="K6998" s="195">
        <v>0.79628810000000005</v>
      </c>
      <c r="L6998" s="195">
        <v>0.70883339999999995</v>
      </c>
      <c r="M6998" s="195">
        <v>0.53117199999999998</v>
      </c>
      <c r="N6998" s="195">
        <v>0.40524680000000002</v>
      </c>
    </row>
    <row r="6999" spans="1:14" hidden="1" x14ac:dyDescent="0.35">
      <c r="A6999" s="52" t="s">
        <v>729</v>
      </c>
      <c r="B6999" s="52" t="s">
        <v>37</v>
      </c>
      <c r="C6999" s="52" t="s">
        <v>218</v>
      </c>
      <c r="D6999" s="52" t="s">
        <v>218</v>
      </c>
      <c r="E6999" s="52" t="s">
        <v>594</v>
      </c>
      <c r="F6999" s="52" t="s">
        <v>581</v>
      </c>
      <c r="G6999" s="195" t="s">
        <v>275</v>
      </c>
      <c r="H6999" s="195">
        <v>-7.7347919999999997</v>
      </c>
      <c r="I6999" s="195">
        <v>-2.6617259999999998</v>
      </c>
      <c r="J6999" s="195">
        <v>-0.73599130000000001</v>
      </c>
      <c r="K6999" s="195">
        <v>-0.19097990000000001</v>
      </c>
      <c r="L6999" s="195">
        <v>-0.30910140000000003</v>
      </c>
      <c r="M6999" s="195">
        <v>0.83742859999999997</v>
      </c>
      <c r="N6999" s="195">
        <v>0.55352460000000003</v>
      </c>
    </row>
    <row r="7000" spans="1:14" hidden="1" x14ac:dyDescent="0.35">
      <c r="A7000" s="52" t="s">
        <v>729</v>
      </c>
      <c r="B7000" s="52" t="s">
        <v>37</v>
      </c>
      <c r="C7000" s="52" t="s">
        <v>218</v>
      </c>
      <c r="D7000" s="52" t="s">
        <v>218</v>
      </c>
      <c r="E7000" s="52" t="s">
        <v>594</v>
      </c>
      <c r="F7000" s="52" t="s">
        <v>581</v>
      </c>
      <c r="G7000" s="195" t="s">
        <v>276</v>
      </c>
      <c r="H7000" s="195">
        <v>-0.29242000000000001</v>
      </c>
      <c r="I7000" s="195">
        <v>-0.91391979999999995</v>
      </c>
      <c r="J7000" s="195">
        <v>-1.288138</v>
      </c>
      <c r="K7000" s="195">
        <v>-1.603208</v>
      </c>
      <c r="L7000" s="195">
        <v>-1.277855</v>
      </c>
      <c r="M7000" s="195">
        <v>-0.49477080000000001</v>
      </c>
      <c r="N7000" s="195">
        <v>-0.2728312</v>
      </c>
    </row>
    <row r="7001" spans="1:14" hidden="1" x14ac:dyDescent="0.35">
      <c r="A7001" s="52" t="s">
        <v>729</v>
      </c>
      <c r="B7001" s="52" t="s">
        <v>37</v>
      </c>
      <c r="C7001" s="52" t="s">
        <v>218</v>
      </c>
      <c r="D7001" s="52" t="s">
        <v>218</v>
      </c>
      <c r="E7001" s="52" t="s">
        <v>594</v>
      </c>
      <c r="F7001" s="52" t="s">
        <v>581</v>
      </c>
      <c r="G7001" s="195" t="s">
        <v>277</v>
      </c>
      <c r="H7001" s="195">
        <v>11.900040000000001</v>
      </c>
      <c r="I7001" s="195">
        <v>4.2580530000000003</v>
      </c>
      <c r="J7001" s="195">
        <v>1.0668949999999999</v>
      </c>
      <c r="K7001" s="195">
        <v>0.74141400000000002</v>
      </c>
      <c r="L7001" s="195">
        <v>1.036853</v>
      </c>
      <c r="M7001" s="195">
        <v>0</v>
      </c>
      <c r="N7001" s="195">
        <v>0</v>
      </c>
    </row>
    <row r="7002" spans="1:14" hidden="1" x14ac:dyDescent="0.35">
      <c r="A7002" s="52" t="s">
        <v>729</v>
      </c>
      <c r="B7002" s="52" t="s">
        <v>37</v>
      </c>
      <c r="C7002" s="52" t="s">
        <v>218</v>
      </c>
      <c r="D7002" s="52" t="s">
        <v>218</v>
      </c>
      <c r="E7002" s="52" t="s">
        <v>594</v>
      </c>
      <c r="F7002" s="52" t="s">
        <v>581</v>
      </c>
      <c r="G7002" s="195" t="s">
        <v>278</v>
      </c>
      <c r="H7002" s="195">
        <v>0.109959</v>
      </c>
      <c r="I7002" s="195">
        <v>0.14677499999999999</v>
      </c>
      <c r="J7002" s="195">
        <v>1.5707199999999999</v>
      </c>
      <c r="K7002" s="195">
        <v>1.6486989999999999</v>
      </c>
      <c r="L7002" s="195">
        <v>0.95354079999999997</v>
      </c>
      <c r="M7002" s="195">
        <v>0</v>
      </c>
      <c r="N7002" s="195"/>
    </row>
    <row r="7003" spans="1:14" hidden="1" x14ac:dyDescent="0.35">
      <c r="A7003" s="52" t="s">
        <v>729</v>
      </c>
      <c r="B7003" s="52" t="s">
        <v>37</v>
      </c>
      <c r="C7003" s="52" t="s">
        <v>218</v>
      </c>
      <c r="D7003" s="52" t="s">
        <v>218</v>
      </c>
      <c r="E7003" s="52" t="s">
        <v>594</v>
      </c>
      <c r="F7003" s="52" t="s">
        <v>581</v>
      </c>
      <c r="G7003" s="195" t="s">
        <v>279</v>
      </c>
      <c r="H7003" s="195">
        <v>2.0700409999999998</v>
      </c>
      <c r="I7003" s="195">
        <v>1.9562600000000001</v>
      </c>
      <c r="J7003" s="195">
        <v>1.898857</v>
      </c>
      <c r="K7003" s="195">
        <v>1.903014</v>
      </c>
      <c r="L7003" s="195">
        <v>2.2511290000000002</v>
      </c>
      <c r="M7003" s="195">
        <v>1.7420450000000001</v>
      </c>
      <c r="N7003" s="195">
        <v>1.4387259999999999</v>
      </c>
    </row>
    <row r="7004" spans="1:14" hidden="1" x14ac:dyDescent="0.35">
      <c r="A7004" s="52" t="s">
        <v>729</v>
      </c>
      <c r="B7004" s="52" t="s">
        <v>37</v>
      </c>
      <c r="C7004" s="52" t="s">
        <v>218</v>
      </c>
      <c r="D7004" s="52" t="s">
        <v>218</v>
      </c>
      <c r="E7004" s="52" t="s">
        <v>594</v>
      </c>
      <c r="F7004" s="52" t="s">
        <v>26</v>
      </c>
      <c r="G7004" s="195" t="s">
        <v>275</v>
      </c>
      <c r="H7004" s="195">
        <v>-3.1601999999999998E-2</v>
      </c>
      <c r="I7004" s="195">
        <v>-4.9868200000000001E-2</v>
      </c>
      <c r="J7004" s="195">
        <v>-4.1088E-2</v>
      </c>
      <c r="K7004" s="195">
        <v>-4.4801599999999997E-2</v>
      </c>
      <c r="L7004" s="195">
        <v>-7.0231600000000005E-2</v>
      </c>
      <c r="M7004" s="195">
        <v>-5.3206400000000001E-2</v>
      </c>
      <c r="N7004" s="195">
        <v>-4.3935200000000001E-2</v>
      </c>
    </row>
    <row r="7005" spans="1:14" hidden="1" x14ac:dyDescent="0.35">
      <c r="A7005" s="52" t="s">
        <v>729</v>
      </c>
      <c r="B7005" s="52" t="s">
        <v>37</v>
      </c>
      <c r="C7005" s="52" t="s">
        <v>218</v>
      </c>
      <c r="D7005" s="52" t="s">
        <v>218</v>
      </c>
      <c r="E7005" s="52" t="s">
        <v>594</v>
      </c>
      <c r="F7005" s="52" t="s">
        <v>26</v>
      </c>
      <c r="G7005" s="195" t="s">
        <v>276</v>
      </c>
      <c r="H7005" s="195">
        <v>-8.399999E-3</v>
      </c>
      <c r="I7005" s="195">
        <v>-1.3257400000000001E-2</v>
      </c>
      <c r="J7005" s="195">
        <v>-1.09222E-2</v>
      </c>
      <c r="K7005" s="195">
        <v>-1.19092E-2</v>
      </c>
      <c r="L7005" s="195">
        <v>-1.8668799999999999E-2</v>
      </c>
      <c r="M7005" s="195">
        <v>-1.41438E-2</v>
      </c>
      <c r="N7005" s="195">
        <v>-1.16784E-2</v>
      </c>
    </row>
    <row r="7006" spans="1:14" hidden="1" x14ac:dyDescent="0.35">
      <c r="A7006" s="52" t="s">
        <v>729</v>
      </c>
      <c r="B7006" s="52" t="s">
        <v>37</v>
      </c>
      <c r="C7006" s="52" t="s">
        <v>218</v>
      </c>
      <c r="D7006" s="52" t="s">
        <v>218</v>
      </c>
      <c r="E7006" s="52" t="s">
        <v>594</v>
      </c>
      <c r="F7006" s="52" t="s">
        <v>26</v>
      </c>
      <c r="G7006" s="195" t="s">
        <v>279</v>
      </c>
      <c r="H7006" s="195">
        <v>0.228487</v>
      </c>
      <c r="I7006" s="195">
        <v>0.23177539999999999</v>
      </c>
      <c r="J7006" s="195">
        <v>0.2287062</v>
      </c>
      <c r="K7006" s="195">
        <v>0.23112940000000001</v>
      </c>
      <c r="L7006" s="195">
        <v>0.27277940000000001</v>
      </c>
      <c r="M7006" s="195">
        <v>0.21127560000000001</v>
      </c>
      <c r="N7006" s="195">
        <v>0.17452000000000001</v>
      </c>
    </row>
    <row r="7007" spans="1:14" hidden="1" x14ac:dyDescent="0.35">
      <c r="A7007" s="52" t="s">
        <v>735</v>
      </c>
      <c r="B7007" s="52" t="s">
        <v>37</v>
      </c>
      <c r="C7007" s="52" t="s">
        <v>35</v>
      </c>
      <c r="D7007" s="52" t="s">
        <v>39</v>
      </c>
      <c r="E7007" s="52" t="s">
        <v>580</v>
      </c>
      <c r="F7007" s="52" t="s">
        <v>581</v>
      </c>
      <c r="G7007" s="195" t="s">
        <v>275</v>
      </c>
      <c r="H7007" s="195">
        <v>-8.6242070000000002</v>
      </c>
      <c r="I7007" s="195">
        <v>-8.9611979999999996</v>
      </c>
      <c r="J7007" s="195">
        <v>24.389720000000001</v>
      </c>
      <c r="K7007" s="195">
        <v>54.843310000000002</v>
      </c>
      <c r="L7007" s="195">
        <v>34.213410000000003</v>
      </c>
      <c r="M7007" s="195">
        <v>24.841429999999999</v>
      </c>
      <c r="N7007" s="195">
        <v>18.166889999999999</v>
      </c>
    </row>
    <row r="7008" spans="1:14" hidden="1" x14ac:dyDescent="0.35">
      <c r="A7008" s="52" t="s">
        <v>735</v>
      </c>
      <c r="B7008" s="52" t="s">
        <v>37</v>
      </c>
      <c r="C7008" s="52" t="s">
        <v>35</v>
      </c>
      <c r="D7008" s="52" t="s">
        <v>39</v>
      </c>
      <c r="E7008" s="52" t="s">
        <v>580</v>
      </c>
      <c r="F7008" s="52" t="s">
        <v>581</v>
      </c>
      <c r="G7008" s="195" t="s">
        <v>276</v>
      </c>
      <c r="H7008" s="195">
        <v>14.49128</v>
      </c>
      <c r="I7008" s="195">
        <v>-23.370650000000001</v>
      </c>
      <c r="J7008" s="195">
        <v>-28.14697</v>
      </c>
      <c r="K7008" s="195">
        <v>-32.949219999999997</v>
      </c>
      <c r="L7008" s="195">
        <v>-16.948039999999999</v>
      </c>
      <c r="M7008" s="195">
        <v>-4.3141090000000002</v>
      </c>
      <c r="N7008" s="195">
        <v>-1.0861099999999999</v>
      </c>
    </row>
    <row r="7009" spans="1:14" hidden="1" x14ac:dyDescent="0.35">
      <c r="A7009" s="52" t="s">
        <v>735</v>
      </c>
      <c r="B7009" s="52" t="s">
        <v>37</v>
      </c>
      <c r="C7009" s="52" t="s">
        <v>35</v>
      </c>
      <c r="D7009" s="52" t="s">
        <v>39</v>
      </c>
      <c r="E7009" s="52" t="s">
        <v>580</v>
      </c>
      <c r="F7009" s="52" t="s">
        <v>581</v>
      </c>
      <c r="G7009" s="195" t="s">
        <v>277</v>
      </c>
      <c r="H7009" s="195">
        <v>178.44759999999999</v>
      </c>
      <c r="I7009" s="195">
        <v>27.957100000000001</v>
      </c>
      <c r="J7009" s="195">
        <v>20.699459999999998</v>
      </c>
      <c r="K7009" s="195">
        <v>3.6216469999999998</v>
      </c>
      <c r="L7009" s="195">
        <v>0.66110619999999998</v>
      </c>
      <c r="M7009" s="195">
        <v>0</v>
      </c>
      <c r="N7009" s="195">
        <v>0</v>
      </c>
    </row>
    <row r="7010" spans="1:14" hidden="1" x14ac:dyDescent="0.35">
      <c r="A7010" s="52" t="s">
        <v>735</v>
      </c>
      <c r="B7010" s="52" t="s">
        <v>37</v>
      </c>
      <c r="C7010" s="52" t="s">
        <v>35</v>
      </c>
      <c r="D7010" s="52" t="s">
        <v>39</v>
      </c>
      <c r="E7010" s="52" t="s">
        <v>580</v>
      </c>
      <c r="F7010" s="52" t="s">
        <v>581</v>
      </c>
      <c r="G7010" s="195" t="s">
        <v>278</v>
      </c>
      <c r="H7010" s="195">
        <v>34.830030000000001</v>
      </c>
      <c r="I7010" s="195">
        <v>52.013120000000001</v>
      </c>
      <c r="J7010" s="195">
        <v>26.910520000000002</v>
      </c>
      <c r="K7010" s="195">
        <v>13.286949999999999</v>
      </c>
      <c r="L7010" s="195">
        <v>7.3096009999999998</v>
      </c>
      <c r="M7010" s="195">
        <v>0</v>
      </c>
      <c r="N7010" s="195">
        <v>0</v>
      </c>
    </row>
    <row r="7011" spans="1:14" hidden="1" x14ac:dyDescent="0.35">
      <c r="A7011" s="52" t="s">
        <v>735</v>
      </c>
      <c r="B7011" s="52" t="s">
        <v>37</v>
      </c>
      <c r="C7011" s="52" t="s">
        <v>35</v>
      </c>
      <c r="D7011" s="52" t="s">
        <v>39</v>
      </c>
      <c r="E7011" s="52" t="s">
        <v>580</v>
      </c>
      <c r="F7011" s="52" t="s">
        <v>581</v>
      </c>
      <c r="G7011" s="195" t="s">
        <v>279</v>
      </c>
      <c r="H7011" s="195">
        <v>86.991349999999997</v>
      </c>
      <c r="I7011" s="195">
        <v>65.652850000000001</v>
      </c>
      <c r="J7011" s="195">
        <v>72.655079999999998</v>
      </c>
      <c r="K7011" s="195">
        <v>66.351500000000001</v>
      </c>
      <c r="L7011" s="195">
        <v>60.166800000000002</v>
      </c>
      <c r="M7011" s="195">
        <v>46.859720000000003</v>
      </c>
      <c r="N7011" s="195">
        <v>39.016939999999998</v>
      </c>
    </row>
    <row r="7012" spans="1:14" hidden="1" x14ac:dyDescent="0.35">
      <c r="A7012" s="52" t="s">
        <v>735</v>
      </c>
      <c r="B7012" s="52" t="s">
        <v>37</v>
      </c>
      <c r="C7012" s="52" t="s">
        <v>35</v>
      </c>
      <c r="D7012" s="52" t="s">
        <v>39</v>
      </c>
      <c r="E7012" s="52" t="s">
        <v>580</v>
      </c>
      <c r="F7012" s="52" t="s">
        <v>26</v>
      </c>
      <c r="G7012" s="195" t="s">
        <v>275</v>
      </c>
      <c r="H7012" s="195">
        <v>5.8106629999999999</v>
      </c>
      <c r="I7012" s="195">
        <v>3.1350259999999999</v>
      </c>
      <c r="J7012" s="195">
        <v>4.8587600000000002</v>
      </c>
      <c r="K7012" s="195">
        <v>4.0947719999999999</v>
      </c>
      <c r="L7012" s="195">
        <v>1.6095619999999999</v>
      </c>
      <c r="M7012" s="195">
        <v>1.40764</v>
      </c>
      <c r="N7012" s="195">
        <v>1.181675</v>
      </c>
    </row>
    <row r="7013" spans="1:14" hidden="1" x14ac:dyDescent="0.35">
      <c r="A7013" s="52" t="s">
        <v>735</v>
      </c>
      <c r="B7013" s="52" t="s">
        <v>37</v>
      </c>
      <c r="C7013" s="52" t="s">
        <v>35</v>
      </c>
      <c r="D7013" s="52" t="s">
        <v>39</v>
      </c>
      <c r="E7013" s="52" t="s">
        <v>580</v>
      </c>
      <c r="F7013" s="52" t="s">
        <v>26</v>
      </c>
      <c r="G7013" s="195" t="s">
        <v>276</v>
      </c>
      <c r="H7013" s="195">
        <v>1.5446029999999999</v>
      </c>
      <c r="I7013" s="195">
        <v>0.83336140000000003</v>
      </c>
      <c r="J7013" s="195">
        <v>1.2915669999999999</v>
      </c>
      <c r="K7013" s="195">
        <v>1.088484</v>
      </c>
      <c r="L7013" s="195">
        <v>0.42785640000000003</v>
      </c>
      <c r="M7013" s="195">
        <v>0.37418200000000001</v>
      </c>
      <c r="N7013" s="195">
        <v>0.31411480000000003</v>
      </c>
    </row>
    <row r="7014" spans="1:14" hidden="1" x14ac:dyDescent="0.35">
      <c r="A7014" s="52" t="s">
        <v>735</v>
      </c>
      <c r="B7014" s="52" t="s">
        <v>37</v>
      </c>
      <c r="C7014" s="52" t="s">
        <v>35</v>
      </c>
      <c r="D7014" s="52" t="s">
        <v>39</v>
      </c>
      <c r="E7014" s="52" t="s">
        <v>580</v>
      </c>
      <c r="F7014" s="52" t="s">
        <v>26</v>
      </c>
      <c r="G7014" s="195" t="s">
        <v>279</v>
      </c>
      <c r="H7014" s="195">
        <v>21.230930000000001</v>
      </c>
      <c r="I7014" s="195">
        <v>20.558319999999998</v>
      </c>
      <c r="J7014" s="195">
        <v>23.090509999999998</v>
      </c>
      <c r="K7014" s="195">
        <v>21.092420000000001</v>
      </c>
      <c r="L7014" s="195">
        <v>19.218360000000001</v>
      </c>
      <c r="M7014" s="195">
        <v>14.957369999999999</v>
      </c>
      <c r="N7014" s="195">
        <v>12.45505</v>
      </c>
    </row>
    <row r="7015" spans="1:14" hidden="1" x14ac:dyDescent="0.35">
      <c r="A7015" s="52" t="s">
        <v>735</v>
      </c>
      <c r="B7015" s="52" t="s">
        <v>37</v>
      </c>
      <c r="C7015" s="52" t="s">
        <v>35</v>
      </c>
      <c r="D7015" s="52" t="s">
        <v>39</v>
      </c>
      <c r="E7015" s="52" t="s">
        <v>582</v>
      </c>
      <c r="F7015" s="52" t="s">
        <v>581</v>
      </c>
      <c r="G7015" s="195" t="s">
        <v>275</v>
      </c>
      <c r="H7015" s="195">
        <v>-15.7722</v>
      </c>
      <c r="I7015" s="195">
        <v>-9.9265270000000001</v>
      </c>
      <c r="J7015" s="195">
        <v>3.214051</v>
      </c>
      <c r="K7015" s="195">
        <v>4.9949170000000001</v>
      </c>
      <c r="L7015" s="195">
        <v>4.5470420000000003</v>
      </c>
      <c r="M7015" s="195">
        <v>5.7548199999999996</v>
      </c>
      <c r="N7015" s="195">
        <v>3.6356380000000001</v>
      </c>
    </row>
    <row r="7016" spans="1:14" hidden="1" x14ac:dyDescent="0.35">
      <c r="A7016" s="52" t="s">
        <v>735</v>
      </c>
      <c r="B7016" s="52" t="s">
        <v>37</v>
      </c>
      <c r="C7016" s="52" t="s">
        <v>35</v>
      </c>
      <c r="D7016" s="52" t="s">
        <v>39</v>
      </c>
      <c r="E7016" s="52" t="s">
        <v>582</v>
      </c>
      <c r="F7016" s="52" t="s">
        <v>581</v>
      </c>
      <c r="G7016" s="195" t="s">
        <v>276</v>
      </c>
      <c r="H7016" s="195">
        <v>1.0657559999999999</v>
      </c>
      <c r="I7016" s="195">
        <v>-2.7459899999999999</v>
      </c>
      <c r="J7016" s="195">
        <v>-2.8011919999999999</v>
      </c>
      <c r="K7016" s="195">
        <v>-3.1163370000000001</v>
      </c>
      <c r="L7016" s="195">
        <v>-3.412417</v>
      </c>
      <c r="M7016" s="195">
        <v>-1.4908509999999999</v>
      </c>
      <c r="N7016" s="195">
        <v>-0.19482859999999999</v>
      </c>
    </row>
    <row r="7017" spans="1:14" hidden="1" x14ac:dyDescent="0.35">
      <c r="A7017" s="52" t="s">
        <v>735</v>
      </c>
      <c r="B7017" s="52" t="s">
        <v>37</v>
      </c>
      <c r="C7017" s="52" t="s">
        <v>35</v>
      </c>
      <c r="D7017" s="52" t="s">
        <v>39</v>
      </c>
      <c r="E7017" s="52" t="s">
        <v>582</v>
      </c>
      <c r="F7017" s="52" t="s">
        <v>581</v>
      </c>
      <c r="G7017" s="195" t="s">
        <v>277</v>
      </c>
      <c r="H7017" s="195">
        <v>30.90185</v>
      </c>
      <c r="I7017" s="195">
        <v>2.2587359999999999</v>
      </c>
      <c r="J7017" s="195">
        <v>1.2143489999999999</v>
      </c>
      <c r="K7017" s="195">
        <v>0.65875019999999995</v>
      </c>
      <c r="L7017" s="195">
        <v>0.48177920000000002</v>
      </c>
      <c r="M7017" s="195">
        <v>0</v>
      </c>
      <c r="N7017" s="195">
        <v>0</v>
      </c>
    </row>
    <row r="7018" spans="1:14" hidden="1" x14ac:dyDescent="0.35">
      <c r="A7018" s="52" t="s">
        <v>735</v>
      </c>
      <c r="B7018" s="52" t="s">
        <v>37</v>
      </c>
      <c r="C7018" s="52" t="s">
        <v>35</v>
      </c>
      <c r="D7018" s="52" t="s">
        <v>39</v>
      </c>
      <c r="E7018" s="52" t="s">
        <v>582</v>
      </c>
      <c r="F7018" s="52" t="s">
        <v>581</v>
      </c>
      <c r="G7018" s="195" t="s">
        <v>278</v>
      </c>
      <c r="H7018" s="195">
        <v>9.6621380000000006</v>
      </c>
      <c r="I7018" s="195">
        <v>20.145040000000002</v>
      </c>
      <c r="J7018" s="195">
        <v>6.7788930000000001</v>
      </c>
      <c r="K7018" s="195">
        <v>4.7072079999999996</v>
      </c>
      <c r="L7018" s="195">
        <v>3.7764880000000001</v>
      </c>
      <c r="M7018" s="195">
        <v>0</v>
      </c>
      <c r="N7018" s="195">
        <v>0</v>
      </c>
    </row>
    <row r="7019" spans="1:14" hidden="1" x14ac:dyDescent="0.35">
      <c r="A7019" s="52" t="s">
        <v>735</v>
      </c>
      <c r="B7019" s="52" t="s">
        <v>37</v>
      </c>
      <c r="C7019" s="52" t="s">
        <v>35</v>
      </c>
      <c r="D7019" s="52" t="s">
        <v>39</v>
      </c>
      <c r="E7019" s="52" t="s">
        <v>582</v>
      </c>
      <c r="F7019" s="52" t="s">
        <v>581</v>
      </c>
      <c r="G7019" s="195" t="s">
        <v>279</v>
      </c>
      <c r="H7019" s="195">
        <v>9.4858039999999999</v>
      </c>
      <c r="I7019" s="195">
        <v>11.14443</v>
      </c>
      <c r="J7019" s="195">
        <v>11.21698</v>
      </c>
      <c r="K7019" s="195">
        <v>9.8867700000000003</v>
      </c>
      <c r="L7019" s="195">
        <v>9.7423859999999998</v>
      </c>
      <c r="M7019" s="195">
        <v>7.4837680000000004</v>
      </c>
      <c r="N7019" s="195">
        <v>6.0301340000000003</v>
      </c>
    </row>
    <row r="7020" spans="1:14" hidden="1" x14ac:dyDescent="0.35">
      <c r="A7020" s="52" t="s">
        <v>735</v>
      </c>
      <c r="B7020" s="52" t="s">
        <v>37</v>
      </c>
      <c r="C7020" s="52" t="s">
        <v>35</v>
      </c>
      <c r="D7020" s="52" t="s">
        <v>39</v>
      </c>
      <c r="E7020" s="52" t="s">
        <v>582</v>
      </c>
      <c r="F7020" s="52" t="s">
        <v>26</v>
      </c>
      <c r="G7020" s="195" t="s">
        <v>275</v>
      </c>
      <c r="H7020" s="195">
        <v>0.119445</v>
      </c>
      <c r="I7020" s="195">
        <v>-3.5291599999999999E-2</v>
      </c>
      <c r="J7020" s="195">
        <v>5.94726E-2</v>
      </c>
      <c r="K7020" s="195">
        <v>7.0338040000000003E-3</v>
      </c>
      <c r="L7020" s="195">
        <v>-0.1527954</v>
      </c>
      <c r="M7020" s="195">
        <v>-0.10863159999999999</v>
      </c>
      <c r="N7020" s="195">
        <v>-8.6666989999999999E-2</v>
      </c>
    </row>
    <row r="7021" spans="1:14" hidden="1" x14ac:dyDescent="0.35">
      <c r="A7021" s="52" t="s">
        <v>735</v>
      </c>
      <c r="B7021" s="52" t="s">
        <v>37</v>
      </c>
      <c r="C7021" s="52" t="s">
        <v>35</v>
      </c>
      <c r="D7021" s="52" t="s">
        <v>39</v>
      </c>
      <c r="E7021" s="52" t="s">
        <v>582</v>
      </c>
      <c r="F7021" s="52" t="s">
        <v>26</v>
      </c>
      <c r="G7021" s="195" t="s">
        <v>276</v>
      </c>
      <c r="H7021" s="195">
        <v>3.1752000000000002E-2</v>
      </c>
      <c r="I7021" s="195">
        <v>-9.3813999999999998E-3</v>
      </c>
      <c r="J7021" s="195">
        <v>1.5809199999999999E-2</v>
      </c>
      <c r="K7021" s="195">
        <v>1.8691999999999999E-3</v>
      </c>
      <c r="L7021" s="195">
        <v>-4.0617E-2</v>
      </c>
      <c r="M7021" s="195">
        <v>-2.8878000000000001E-2</v>
      </c>
      <c r="N7021" s="195">
        <v>-2.30374E-2</v>
      </c>
    </row>
    <row r="7022" spans="1:14" hidden="1" x14ac:dyDescent="0.35">
      <c r="A7022" s="52" t="s">
        <v>735</v>
      </c>
      <c r="B7022" s="52" t="s">
        <v>37</v>
      </c>
      <c r="C7022" s="52" t="s">
        <v>35</v>
      </c>
      <c r="D7022" s="52" t="s">
        <v>39</v>
      </c>
      <c r="E7022" s="52" t="s">
        <v>582</v>
      </c>
      <c r="F7022" s="52" t="s">
        <v>26</v>
      </c>
      <c r="G7022" s="195" t="s">
        <v>279</v>
      </c>
      <c r="H7022" s="195">
        <v>1.388147</v>
      </c>
      <c r="I7022" s="195">
        <v>2.1742319999999999</v>
      </c>
      <c r="J7022" s="195">
        <v>2.2351040000000002</v>
      </c>
      <c r="K7022" s="195">
        <v>1.9919169999999999</v>
      </c>
      <c r="L7022" s="195">
        <v>1.95827</v>
      </c>
      <c r="M7022" s="195">
        <v>1.506737</v>
      </c>
      <c r="N7022" s="195">
        <v>1.2141090000000001</v>
      </c>
    </row>
    <row r="7023" spans="1:14" hidden="1" x14ac:dyDescent="0.35">
      <c r="A7023" s="52" t="s">
        <v>735</v>
      </c>
      <c r="B7023" s="52" t="s">
        <v>37</v>
      </c>
      <c r="C7023" s="52" t="s">
        <v>35</v>
      </c>
      <c r="D7023" s="52" t="s">
        <v>207</v>
      </c>
      <c r="E7023" s="52" t="s">
        <v>580</v>
      </c>
      <c r="F7023" s="52" t="s">
        <v>581</v>
      </c>
      <c r="G7023" s="195" t="s">
        <v>275</v>
      </c>
      <c r="H7023" s="195">
        <v>-81.474869999999996</v>
      </c>
      <c r="I7023" s="195">
        <v>5.0670549999999999</v>
      </c>
      <c r="J7023" s="195">
        <v>13.49907</v>
      </c>
      <c r="K7023" s="195">
        <v>22.837610000000002</v>
      </c>
      <c r="L7023" s="195">
        <v>22.35425</v>
      </c>
      <c r="M7023" s="195">
        <v>11.30058</v>
      </c>
      <c r="N7023" s="195">
        <v>7.9445329999999998</v>
      </c>
    </row>
    <row r="7024" spans="1:14" hidden="1" x14ac:dyDescent="0.35">
      <c r="A7024" s="52" t="s">
        <v>735</v>
      </c>
      <c r="B7024" s="52" t="s">
        <v>37</v>
      </c>
      <c r="C7024" s="52" t="s">
        <v>35</v>
      </c>
      <c r="D7024" s="52" t="s">
        <v>207</v>
      </c>
      <c r="E7024" s="52" t="s">
        <v>580</v>
      </c>
      <c r="F7024" s="52" t="s">
        <v>581</v>
      </c>
      <c r="G7024" s="195" t="s">
        <v>276</v>
      </c>
      <c r="H7024" s="195">
        <v>15.407719999999999</v>
      </c>
      <c r="I7024" s="195">
        <v>-5.7042200000000003</v>
      </c>
      <c r="J7024" s="195">
        <v>-6.7974069999999998</v>
      </c>
      <c r="K7024" s="195">
        <v>-15.47152</v>
      </c>
      <c r="L7024" s="195">
        <v>-16.782209999999999</v>
      </c>
      <c r="M7024" s="195">
        <v>-1.493234</v>
      </c>
      <c r="N7024" s="195">
        <v>0.15368879999999999</v>
      </c>
    </row>
    <row r="7025" spans="1:14" hidden="1" x14ac:dyDescent="0.35">
      <c r="A7025" s="52" t="s">
        <v>735</v>
      </c>
      <c r="B7025" s="52" t="s">
        <v>37</v>
      </c>
      <c r="C7025" s="52" t="s">
        <v>35</v>
      </c>
      <c r="D7025" s="52" t="s">
        <v>207</v>
      </c>
      <c r="E7025" s="52" t="s">
        <v>580</v>
      </c>
      <c r="F7025" s="52" t="s">
        <v>581</v>
      </c>
      <c r="G7025" s="195" t="s">
        <v>277</v>
      </c>
      <c r="H7025" s="195">
        <v>156.16390000000001</v>
      </c>
      <c r="I7025" s="195">
        <v>5.6433299999999997</v>
      </c>
      <c r="J7025" s="195">
        <v>5.479336</v>
      </c>
      <c r="K7025" s="195">
        <v>2.0069340000000002</v>
      </c>
      <c r="L7025" s="195">
        <v>1.3753299999999999</v>
      </c>
      <c r="M7025" s="195">
        <v>0.20257359999999999</v>
      </c>
      <c r="N7025" s="195">
        <v>0.4518934</v>
      </c>
    </row>
    <row r="7026" spans="1:14" hidden="1" x14ac:dyDescent="0.35">
      <c r="A7026" s="52" t="s">
        <v>735</v>
      </c>
      <c r="B7026" s="52" t="s">
        <v>37</v>
      </c>
      <c r="C7026" s="52" t="s">
        <v>35</v>
      </c>
      <c r="D7026" s="52" t="s">
        <v>207</v>
      </c>
      <c r="E7026" s="52" t="s">
        <v>580</v>
      </c>
      <c r="F7026" s="52" t="s">
        <v>581</v>
      </c>
      <c r="G7026" s="195" t="s">
        <v>278</v>
      </c>
      <c r="H7026" s="195">
        <v>49.648470000000003</v>
      </c>
      <c r="I7026" s="195">
        <v>27.574560000000002</v>
      </c>
      <c r="J7026" s="195">
        <v>8.9692270000000001</v>
      </c>
      <c r="K7026" s="195">
        <v>8.3794240000000002</v>
      </c>
      <c r="L7026" s="195">
        <v>5.782375</v>
      </c>
      <c r="M7026" s="195">
        <v>0.60029440000000001</v>
      </c>
      <c r="N7026" s="195">
        <v>0.37306539999999999</v>
      </c>
    </row>
    <row r="7027" spans="1:14" hidden="1" x14ac:dyDescent="0.35">
      <c r="A7027" s="52" t="s">
        <v>735</v>
      </c>
      <c r="B7027" s="52" t="s">
        <v>37</v>
      </c>
      <c r="C7027" s="52" t="s">
        <v>35</v>
      </c>
      <c r="D7027" s="52" t="s">
        <v>207</v>
      </c>
      <c r="E7027" s="52" t="s">
        <v>580</v>
      </c>
      <c r="F7027" s="52" t="s">
        <v>581</v>
      </c>
      <c r="G7027" s="195" t="s">
        <v>279</v>
      </c>
      <c r="H7027" s="195">
        <v>54.202350000000003</v>
      </c>
      <c r="I7027" s="195">
        <v>42.46246</v>
      </c>
      <c r="J7027" s="195">
        <v>32.673900000000003</v>
      </c>
      <c r="K7027" s="195">
        <v>28.228750000000002</v>
      </c>
      <c r="L7027" s="195">
        <v>27.773479999999999</v>
      </c>
      <c r="M7027" s="195">
        <v>21.95317</v>
      </c>
      <c r="N7027" s="195">
        <v>18.22974</v>
      </c>
    </row>
    <row r="7028" spans="1:14" hidden="1" x14ac:dyDescent="0.35">
      <c r="A7028" s="52" t="s">
        <v>735</v>
      </c>
      <c r="B7028" s="52" t="s">
        <v>37</v>
      </c>
      <c r="C7028" s="52" t="s">
        <v>35</v>
      </c>
      <c r="D7028" s="52" t="s">
        <v>207</v>
      </c>
      <c r="E7028" s="52" t="s">
        <v>580</v>
      </c>
      <c r="F7028" s="52" t="s">
        <v>26</v>
      </c>
      <c r="G7028" s="195" t="s">
        <v>275</v>
      </c>
      <c r="H7028" s="195">
        <v>2.0360520000000002</v>
      </c>
      <c r="I7028" s="195">
        <v>1.1540699999999999</v>
      </c>
      <c r="J7028" s="195">
        <v>1.2499359999999999</v>
      </c>
      <c r="K7028" s="195">
        <v>1.0001409999999999</v>
      </c>
      <c r="L7028" s="195">
        <v>0.42899179999999998</v>
      </c>
      <c r="M7028" s="195">
        <v>0.38545259999999998</v>
      </c>
      <c r="N7028" s="195">
        <v>0.32653700000000002</v>
      </c>
    </row>
    <row r="7029" spans="1:14" hidden="1" x14ac:dyDescent="0.35">
      <c r="A7029" s="52" t="s">
        <v>735</v>
      </c>
      <c r="B7029" s="52" t="s">
        <v>37</v>
      </c>
      <c r="C7029" s="52" t="s">
        <v>35</v>
      </c>
      <c r="D7029" s="52" t="s">
        <v>207</v>
      </c>
      <c r="E7029" s="52" t="s">
        <v>580</v>
      </c>
      <c r="F7029" s="52" t="s">
        <v>26</v>
      </c>
      <c r="G7029" s="195" t="s">
        <v>276</v>
      </c>
      <c r="H7029" s="195">
        <v>0.54122890000000001</v>
      </c>
      <c r="I7029" s="195">
        <v>0.30677840000000001</v>
      </c>
      <c r="J7029" s="195">
        <v>0.33226339999999999</v>
      </c>
      <c r="K7029" s="195">
        <v>0.2658604</v>
      </c>
      <c r="L7029" s="195">
        <v>0.11403439999999999</v>
      </c>
      <c r="M7029" s="195">
        <v>0.10246139999999999</v>
      </c>
      <c r="N7029" s="195">
        <v>8.6799609999999999E-2</v>
      </c>
    </row>
    <row r="7030" spans="1:14" hidden="1" x14ac:dyDescent="0.35">
      <c r="A7030" s="52" t="s">
        <v>735</v>
      </c>
      <c r="B7030" s="52" t="s">
        <v>37</v>
      </c>
      <c r="C7030" s="52" t="s">
        <v>35</v>
      </c>
      <c r="D7030" s="52" t="s">
        <v>207</v>
      </c>
      <c r="E7030" s="52" t="s">
        <v>580</v>
      </c>
      <c r="F7030" s="52" t="s">
        <v>26</v>
      </c>
      <c r="G7030" s="195" t="s">
        <v>279</v>
      </c>
      <c r="H7030" s="195">
        <v>7.4392870000000002</v>
      </c>
      <c r="I7030" s="195">
        <v>7.569312</v>
      </c>
      <c r="J7030" s="195">
        <v>5.9189249999999998</v>
      </c>
      <c r="K7030" s="195">
        <v>5.1286019999999999</v>
      </c>
      <c r="L7030" s="195">
        <v>5.0834989999999998</v>
      </c>
      <c r="M7030" s="195">
        <v>4.0184379999999997</v>
      </c>
      <c r="N7030" s="195">
        <v>3.3366729999999998</v>
      </c>
    </row>
    <row r="7031" spans="1:14" hidden="1" x14ac:dyDescent="0.35">
      <c r="A7031" s="52" t="s">
        <v>735</v>
      </c>
      <c r="B7031" s="52" t="s">
        <v>37</v>
      </c>
      <c r="C7031" s="52" t="s">
        <v>35</v>
      </c>
      <c r="D7031" s="52" t="s">
        <v>207</v>
      </c>
      <c r="E7031" s="52" t="s">
        <v>582</v>
      </c>
      <c r="F7031" s="52" t="s">
        <v>581</v>
      </c>
      <c r="G7031" s="195" t="s">
        <v>275</v>
      </c>
      <c r="H7031" s="195">
        <v>-7.8268490000000002</v>
      </c>
      <c r="I7031" s="195">
        <v>-13.827859999999999</v>
      </c>
      <c r="J7031" s="195">
        <v>10.6363</v>
      </c>
      <c r="K7031" s="195">
        <v>9.6368810000000007</v>
      </c>
      <c r="L7031" s="195">
        <v>7.9423269999999997</v>
      </c>
      <c r="M7031" s="195">
        <v>5.8791969999999996</v>
      </c>
      <c r="N7031" s="195">
        <v>2.2958479999999999</v>
      </c>
    </row>
    <row r="7032" spans="1:14" hidden="1" x14ac:dyDescent="0.35">
      <c r="A7032" s="52" t="s">
        <v>735</v>
      </c>
      <c r="B7032" s="52" t="s">
        <v>37</v>
      </c>
      <c r="C7032" s="52" t="s">
        <v>35</v>
      </c>
      <c r="D7032" s="52" t="s">
        <v>207</v>
      </c>
      <c r="E7032" s="52" t="s">
        <v>582</v>
      </c>
      <c r="F7032" s="52" t="s">
        <v>581</v>
      </c>
      <c r="G7032" s="195" t="s">
        <v>276</v>
      </c>
      <c r="H7032" s="195">
        <v>-0.59745789999999999</v>
      </c>
      <c r="I7032" s="195">
        <v>-6.3512599999999999</v>
      </c>
      <c r="J7032" s="195">
        <v>-6.6500269999999997</v>
      </c>
      <c r="K7032" s="195">
        <v>-4.0331130000000002</v>
      </c>
      <c r="L7032" s="195">
        <v>-3.6847509999999999</v>
      </c>
      <c r="M7032" s="195">
        <v>-1.7275560000000001</v>
      </c>
      <c r="N7032" s="195">
        <v>0.4241144</v>
      </c>
    </row>
    <row r="7033" spans="1:14" hidden="1" x14ac:dyDescent="0.35">
      <c r="A7033" s="52" t="s">
        <v>735</v>
      </c>
      <c r="B7033" s="52" t="s">
        <v>37</v>
      </c>
      <c r="C7033" s="52" t="s">
        <v>35</v>
      </c>
      <c r="D7033" s="52" t="s">
        <v>207</v>
      </c>
      <c r="E7033" s="52" t="s">
        <v>582</v>
      </c>
      <c r="F7033" s="52" t="s">
        <v>581</v>
      </c>
      <c r="G7033" s="195" t="s">
        <v>277</v>
      </c>
      <c r="H7033" s="195">
        <v>37.244340000000001</v>
      </c>
      <c r="I7033" s="195">
        <v>24.332650000000001</v>
      </c>
      <c r="J7033" s="195">
        <v>0.96641189999999999</v>
      </c>
      <c r="K7033" s="195">
        <v>0.45760339999999999</v>
      </c>
      <c r="L7033" s="195">
        <v>0.53135140000000003</v>
      </c>
      <c r="M7033" s="195">
        <v>0.3298526</v>
      </c>
      <c r="N7033" s="195">
        <v>1.597073</v>
      </c>
    </row>
    <row r="7034" spans="1:14" hidden="1" x14ac:dyDescent="0.35">
      <c r="A7034" s="52" t="s">
        <v>735</v>
      </c>
      <c r="B7034" s="52" t="s">
        <v>37</v>
      </c>
      <c r="C7034" s="52" t="s">
        <v>35</v>
      </c>
      <c r="D7034" s="52" t="s">
        <v>207</v>
      </c>
      <c r="E7034" s="52" t="s">
        <v>582</v>
      </c>
      <c r="F7034" s="52" t="s">
        <v>581</v>
      </c>
      <c r="G7034" s="195" t="s">
        <v>278</v>
      </c>
      <c r="H7034" s="195">
        <v>9.3017120000000002</v>
      </c>
      <c r="I7034" s="195">
        <v>5.6673460000000002</v>
      </c>
      <c r="J7034" s="195">
        <v>4.1168610000000001</v>
      </c>
      <c r="K7034" s="195">
        <v>2.23461</v>
      </c>
      <c r="L7034" s="195">
        <v>1.23698</v>
      </c>
      <c r="M7034" s="195">
        <v>0.99260680000000001</v>
      </c>
      <c r="N7034" s="195">
        <v>1.022127</v>
      </c>
    </row>
    <row r="7035" spans="1:14" hidden="1" x14ac:dyDescent="0.35">
      <c r="A7035" s="52" t="s">
        <v>735</v>
      </c>
      <c r="B7035" s="52" t="s">
        <v>37</v>
      </c>
      <c r="C7035" s="52" t="s">
        <v>35</v>
      </c>
      <c r="D7035" s="52" t="s">
        <v>207</v>
      </c>
      <c r="E7035" s="52" t="s">
        <v>582</v>
      </c>
      <c r="F7035" s="52" t="s">
        <v>581</v>
      </c>
      <c r="G7035" s="195" t="s">
        <v>279</v>
      </c>
      <c r="H7035" s="195">
        <v>13.66456</v>
      </c>
      <c r="I7035" s="195">
        <v>10.76074</v>
      </c>
      <c r="J7035" s="195">
        <v>11.632429999999999</v>
      </c>
      <c r="K7035" s="195">
        <v>11.05505</v>
      </c>
      <c r="L7035" s="195">
        <v>10.48382</v>
      </c>
      <c r="M7035" s="195">
        <v>8.8120949999999993</v>
      </c>
      <c r="N7035" s="195">
        <v>8.0829269999999998</v>
      </c>
    </row>
    <row r="7036" spans="1:14" hidden="1" x14ac:dyDescent="0.35">
      <c r="A7036" s="52" t="s">
        <v>735</v>
      </c>
      <c r="B7036" s="52" t="s">
        <v>37</v>
      </c>
      <c r="C7036" s="52" t="s">
        <v>35</v>
      </c>
      <c r="D7036" s="52" t="s">
        <v>207</v>
      </c>
      <c r="E7036" s="52" t="s">
        <v>582</v>
      </c>
      <c r="F7036" s="52" t="s">
        <v>26</v>
      </c>
      <c r="G7036" s="195" t="s">
        <v>275</v>
      </c>
      <c r="H7036" s="195">
        <v>0.28645900000000002</v>
      </c>
      <c r="I7036" s="195">
        <v>0.168013</v>
      </c>
      <c r="J7036" s="195">
        <v>0.25455179999999999</v>
      </c>
      <c r="K7036" s="195">
        <v>0.22175439999999999</v>
      </c>
      <c r="L7036" s="195">
        <v>9.1089000000000003E-2</v>
      </c>
      <c r="M7036" s="195">
        <v>9.0056600000000001E-2</v>
      </c>
      <c r="N7036" s="195">
        <v>8.8423799999999997E-2</v>
      </c>
    </row>
    <row r="7037" spans="1:14" hidden="1" x14ac:dyDescent="0.35">
      <c r="A7037" s="52" t="s">
        <v>735</v>
      </c>
      <c r="B7037" s="52" t="s">
        <v>37</v>
      </c>
      <c r="C7037" s="52" t="s">
        <v>35</v>
      </c>
      <c r="D7037" s="52" t="s">
        <v>207</v>
      </c>
      <c r="E7037" s="52" t="s">
        <v>582</v>
      </c>
      <c r="F7037" s="52" t="s">
        <v>26</v>
      </c>
      <c r="G7037" s="195" t="s">
        <v>276</v>
      </c>
      <c r="H7037" s="195">
        <v>7.6147999999999993E-2</v>
      </c>
      <c r="I7037" s="195">
        <v>4.4662199999999999E-2</v>
      </c>
      <c r="J7037" s="195">
        <v>6.7666199999999996E-2</v>
      </c>
      <c r="K7037" s="195">
        <v>5.8947399999999997E-2</v>
      </c>
      <c r="L7037" s="195">
        <v>2.4214200000000002E-2</v>
      </c>
      <c r="M7037" s="195">
        <v>2.39394E-2</v>
      </c>
      <c r="N7037" s="195">
        <v>2.35052E-2</v>
      </c>
    </row>
    <row r="7038" spans="1:14" hidden="1" x14ac:dyDescent="0.35">
      <c r="A7038" s="52" t="s">
        <v>735</v>
      </c>
      <c r="B7038" s="52" t="s">
        <v>37</v>
      </c>
      <c r="C7038" s="52" t="s">
        <v>35</v>
      </c>
      <c r="D7038" s="52" t="s">
        <v>207</v>
      </c>
      <c r="E7038" s="52" t="s">
        <v>582</v>
      </c>
      <c r="F7038" s="52" t="s">
        <v>26</v>
      </c>
      <c r="G7038" s="195" t="s">
        <v>279</v>
      </c>
      <c r="H7038" s="195">
        <v>1.0466530000000001</v>
      </c>
      <c r="I7038" s="195">
        <v>1.1029329999999999</v>
      </c>
      <c r="J7038" s="195">
        <v>1.2116180000000001</v>
      </c>
      <c r="K7038" s="195">
        <v>1.152722</v>
      </c>
      <c r="L7038" s="195">
        <v>1.0999000000000001</v>
      </c>
      <c r="M7038" s="195">
        <v>0.92198720000000001</v>
      </c>
      <c r="N7038" s="195">
        <v>0.84336049999999996</v>
      </c>
    </row>
    <row r="7039" spans="1:14" hidden="1" x14ac:dyDescent="0.35">
      <c r="A7039" s="52" t="s">
        <v>735</v>
      </c>
      <c r="B7039" s="52" t="s">
        <v>37</v>
      </c>
      <c r="C7039" s="52" t="s">
        <v>35</v>
      </c>
      <c r="D7039" s="52" t="s">
        <v>207</v>
      </c>
      <c r="E7039" s="52" t="s">
        <v>584</v>
      </c>
      <c r="F7039" s="52" t="s">
        <v>581</v>
      </c>
      <c r="G7039" s="195" t="s">
        <v>275</v>
      </c>
      <c r="H7039" s="195">
        <v>2.3907999999999999E-2</v>
      </c>
      <c r="I7039" s="195">
        <v>4.4565999999999998E-3</v>
      </c>
      <c r="J7039" s="195">
        <v>2.9792E-3</v>
      </c>
      <c r="K7039" s="195">
        <v>2.3565999999999999E-3</v>
      </c>
      <c r="L7039" s="195">
        <v>1.8374000000000001E-3</v>
      </c>
      <c r="M7039" s="195">
        <v>1.8611999999999999E-3</v>
      </c>
      <c r="N7039" s="195">
        <v>1.885E-3</v>
      </c>
    </row>
    <row r="7040" spans="1:14" hidden="1" x14ac:dyDescent="0.35">
      <c r="A7040" s="52" t="s">
        <v>735</v>
      </c>
      <c r="B7040" s="52" t="s">
        <v>37</v>
      </c>
      <c r="C7040" s="52" t="s">
        <v>35</v>
      </c>
      <c r="D7040" s="52" t="s">
        <v>207</v>
      </c>
      <c r="E7040" s="52" t="s">
        <v>584</v>
      </c>
      <c r="F7040" s="52" t="s">
        <v>581</v>
      </c>
      <c r="G7040" s="195" t="s">
        <v>276</v>
      </c>
      <c r="H7040" s="195">
        <v>6.3550000000000004E-3</v>
      </c>
      <c r="I7040" s="195">
        <v>1.1848E-3</v>
      </c>
      <c r="J7040" s="195">
        <v>7.9140000000000005E-4</v>
      </c>
      <c r="K7040" s="195">
        <v>6.2679999999999995E-4</v>
      </c>
      <c r="L7040" s="195">
        <v>4.8819999999999999E-4</v>
      </c>
      <c r="M7040" s="195">
        <v>4.9439999999999998E-4</v>
      </c>
      <c r="N7040" s="195">
        <v>5.0060000000000002E-4</v>
      </c>
    </row>
    <row r="7041" spans="1:14" hidden="1" x14ac:dyDescent="0.35">
      <c r="A7041" s="52" t="s">
        <v>735</v>
      </c>
      <c r="B7041" s="52" t="s">
        <v>37</v>
      </c>
      <c r="C7041" s="52" t="s">
        <v>35</v>
      </c>
      <c r="D7041" s="52" t="s">
        <v>207</v>
      </c>
      <c r="E7041" s="52" t="s">
        <v>584</v>
      </c>
      <c r="F7041" s="52" t="s">
        <v>581</v>
      </c>
      <c r="G7041" s="195" t="s">
        <v>279</v>
      </c>
      <c r="H7041" s="195">
        <v>1.3905000000000001E-2</v>
      </c>
      <c r="I7041" s="195">
        <v>1.0685E-2</v>
      </c>
      <c r="J7041" s="195">
        <v>1.0279E-2</v>
      </c>
      <c r="K7041" s="195">
        <v>1.1154799999999999E-2</v>
      </c>
      <c r="L7041" s="195">
        <v>1.1899399999999999E-2</v>
      </c>
      <c r="M7041" s="195">
        <v>1.19588E-2</v>
      </c>
      <c r="N7041" s="195">
        <v>1.2017399999999999E-2</v>
      </c>
    </row>
    <row r="7042" spans="1:14" hidden="1" x14ac:dyDescent="0.35">
      <c r="A7042" s="52" t="s">
        <v>735</v>
      </c>
      <c r="B7042" s="52" t="s">
        <v>37</v>
      </c>
      <c r="C7042" s="52" t="s">
        <v>35</v>
      </c>
      <c r="D7042" s="52" t="s">
        <v>207</v>
      </c>
      <c r="E7042" s="52" t="s">
        <v>584</v>
      </c>
      <c r="F7042" s="52" t="s">
        <v>26</v>
      </c>
      <c r="G7042" s="195" t="s">
        <v>275</v>
      </c>
      <c r="H7042" s="195">
        <v>-1.6045860000000001</v>
      </c>
      <c r="I7042" s="195">
        <v>-0.96214</v>
      </c>
      <c r="J7042" s="195">
        <v>-0.93547389999999997</v>
      </c>
      <c r="K7042" s="195">
        <v>-0.89384059999999999</v>
      </c>
      <c r="L7042" s="195">
        <v>-0.88125969999999998</v>
      </c>
      <c r="M7042" s="195">
        <v>-0.87777050000000001</v>
      </c>
      <c r="N7042" s="195">
        <v>-0.82344360000000005</v>
      </c>
    </row>
    <row r="7043" spans="1:14" hidden="1" x14ac:dyDescent="0.35">
      <c r="A7043" s="52" t="s">
        <v>735</v>
      </c>
      <c r="B7043" s="52" t="s">
        <v>37</v>
      </c>
      <c r="C7043" s="52" t="s">
        <v>35</v>
      </c>
      <c r="D7043" s="52" t="s">
        <v>207</v>
      </c>
      <c r="E7043" s="52" t="s">
        <v>584</v>
      </c>
      <c r="F7043" s="52" t="s">
        <v>26</v>
      </c>
      <c r="G7043" s="195" t="s">
        <v>276</v>
      </c>
      <c r="H7043" s="195">
        <v>-0.46499990000000002</v>
      </c>
      <c r="I7043" s="195">
        <v>-0.50971239999999995</v>
      </c>
      <c r="J7043" s="195">
        <v>-0.39572380000000001</v>
      </c>
      <c r="K7043" s="195">
        <v>-0.39847280000000002</v>
      </c>
      <c r="L7043" s="195">
        <v>-0.3667028</v>
      </c>
      <c r="M7043" s="195">
        <v>-0.29177819999999999</v>
      </c>
      <c r="N7043" s="195">
        <v>-0.27091700000000002</v>
      </c>
    </row>
    <row r="7044" spans="1:14" hidden="1" x14ac:dyDescent="0.35">
      <c r="A7044" s="52" t="s">
        <v>735</v>
      </c>
      <c r="B7044" s="52" t="s">
        <v>37</v>
      </c>
      <c r="C7044" s="52" t="s">
        <v>35</v>
      </c>
      <c r="D7044" s="52" t="s">
        <v>207</v>
      </c>
      <c r="E7044" s="52" t="s">
        <v>584</v>
      </c>
      <c r="F7044" s="52" t="s">
        <v>26</v>
      </c>
      <c r="G7044" s="195" t="s">
        <v>277</v>
      </c>
      <c r="H7044" s="195">
        <v>2.349097</v>
      </c>
      <c r="I7044" s="195">
        <v>1.6048340000000001</v>
      </c>
      <c r="J7044" s="195">
        <v>1.479101</v>
      </c>
      <c r="K7044" s="195">
        <v>1.3862300000000001</v>
      </c>
      <c r="L7044" s="195">
        <v>1.299258</v>
      </c>
      <c r="M7044" s="195">
        <v>1.2178070000000001</v>
      </c>
      <c r="N7044" s="195">
        <v>1.141527</v>
      </c>
    </row>
    <row r="7045" spans="1:14" hidden="1" x14ac:dyDescent="0.35">
      <c r="A7045" s="52" t="s">
        <v>735</v>
      </c>
      <c r="B7045" s="52" t="s">
        <v>37</v>
      </c>
      <c r="C7045" s="52" t="s">
        <v>35</v>
      </c>
      <c r="D7045" s="52" t="s">
        <v>207</v>
      </c>
      <c r="E7045" s="52" t="s">
        <v>584</v>
      </c>
      <c r="F7045" s="52" t="s">
        <v>26</v>
      </c>
      <c r="G7045" s="195" t="s">
        <v>279</v>
      </c>
      <c r="H7045" s="195">
        <v>0.804562</v>
      </c>
      <c r="I7045" s="195">
        <v>0.65954919999999995</v>
      </c>
      <c r="J7045" s="195">
        <v>0.61725839999999998</v>
      </c>
      <c r="K7045" s="195">
        <v>0.64011839999999998</v>
      </c>
      <c r="L7045" s="195">
        <v>0.65246780000000004</v>
      </c>
      <c r="M7045" s="195">
        <v>0.62610980000000005</v>
      </c>
      <c r="N7045" s="195">
        <v>0.60092599999999996</v>
      </c>
    </row>
    <row r="7046" spans="1:14" hidden="1" x14ac:dyDescent="0.35">
      <c r="A7046" s="52" t="s">
        <v>735</v>
      </c>
      <c r="B7046" s="52" t="s">
        <v>37</v>
      </c>
      <c r="C7046" s="52" t="s">
        <v>35</v>
      </c>
      <c r="D7046" s="52" t="s">
        <v>129</v>
      </c>
      <c r="E7046" s="52" t="s">
        <v>580</v>
      </c>
      <c r="F7046" s="52" t="s">
        <v>581</v>
      </c>
      <c r="G7046" s="195" t="s">
        <v>275</v>
      </c>
      <c r="H7046" s="195">
        <v>23.323550000000001</v>
      </c>
      <c r="I7046" s="195">
        <v>-10.414770000000001</v>
      </c>
      <c r="J7046" s="195">
        <v>28.765619999999998</v>
      </c>
      <c r="K7046" s="195">
        <v>14.098039999999999</v>
      </c>
      <c r="L7046" s="195">
        <v>18.631319999999999</v>
      </c>
      <c r="M7046" s="195">
        <v>13.83676</v>
      </c>
      <c r="N7046" s="195">
        <v>8.3882180000000002</v>
      </c>
    </row>
    <row r="7047" spans="1:14" hidden="1" x14ac:dyDescent="0.35">
      <c r="A7047" s="52" t="s">
        <v>735</v>
      </c>
      <c r="B7047" s="52" t="s">
        <v>37</v>
      </c>
      <c r="C7047" s="52" t="s">
        <v>35</v>
      </c>
      <c r="D7047" s="52" t="s">
        <v>129</v>
      </c>
      <c r="E7047" s="52" t="s">
        <v>580</v>
      </c>
      <c r="F7047" s="52" t="s">
        <v>581</v>
      </c>
      <c r="G7047" s="195" t="s">
        <v>276</v>
      </c>
      <c r="H7047" s="195">
        <v>3.6613150000000001</v>
      </c>
      <c r="I7047" s="195">
        <v>-12.432829999999999</v>
      </c>
      <c r="J7047" s="195">
        <v>-10.52938</v>
      </c>
      <c r="K7047" s="195">
        <v>-5.9807309999999996</v>
      </c>
      <c r="L7047" s="195">
        <v>-6.1204419999999997</v>
      </c>
      <c r="M7047" s="195">
        <v>-1.8355159999999999</v>
      </c>
      <c r="N7047" s="195">
        <v>2.1428989999999999</v>
      </c>
    </row>
    <row r="7048" spans="1:14" hidden="1" x14ac:dyDescent="0.35">
      <c r="A7048" s="52" t="s">
        <v>735</v>
      </c>
      <c r="B7048" s="52" t="s">
        <v>37</v>
      </c>
      <c r="C7048" s="52" t="s">
        <v>35</v>
      </c>
      <c r="D7048" s="52" t="s">
        <v>129</v>
      </c>
      <c r="E7048" s="52" t="s">
        <v>580</v>
      </c>
      <c r="F7048" s="52" t="s">
        <v>581</v>
      </c>
      <c r="G7048" s="195" t="s">
        <v>277</v>
      </c>
      <c r="H7048" s="195">
        <v>86.862899999999996</v>
      </c>
      <c r="I7048" s="195">
        <v>50</v>
      </c>
      <c r="J7048" s="195">
        <v>0.2308026</v>
      </c>
      <c r="K7048" s="195">
        <v>6.9490439999999998</v>
      </c>
      <c r="L7048" s="195">
        <v>1.121891</v>
      </c>
      <c r="M7048" s="195">
        <v>1.2662450000000001</v>
      </c>
      <c r="N7048" s="195">
        <v>1.6521129999999999</v>
      </c>
    </row>
    <row r="7049" spans="1:14" hidden="1" x14ac:dyDescent="0.35">
      <c r="A7049" s="52" t="s">
        <v>735</v>
      </c>
      <c r="B7049" s="52" t="s">
        <v>37</v>
      </c>
      <c r="C7049" s="52" t="s">
        <v>35</v>
      </c>
      <c r="D7049" s="52" t="s">
        <v>129</v>
      </c>
      <c r="E7049" s="52" t="s">
        <v>580</v>
      </c>
      <c r="F7049" s="52" t="s">
        <v>581</v>
      </c>
      <c r="G7049" s="195" t="s">
        <v>278</v>
      </c>
      <c r="H7049" s="195">
        <v>5.846743</v>
      </c>
      <c r="I7049" s="195">
        <v>0</v>
      </c>
      <c r="J7049" s="195">
        <v>0</v>
      </c>
      <c r="K7049" s="195">
        <v>5.8874459999999997</v>
      </c>
      <c r="L7049" s="195">
        <v>3.2798799999999999</v>
      </c>
      <c r="M7049" s="195">
        <v>1.3702620000000001</v>
      </c>
      <c r="N7049" s="195">
        <v>0.93217119999999998</v>
      </c>
    </row>
    <row r="7050" spans="1:14" hidden="1" x14ac:dyDescent="0.35">
      <c r="A7050" s="52" t="s">
        <v>735</v>
      </c>
      <c r="B7050" s="52" t="s">
        <v>37</v>
      </c>
      <c r="C7050" s="52" t="s">
        <v>35</v>
      </c>
      <c r="D7050" s="52" t="s">
        <v>129</v>
      </c>
      <c r="E7050" s="52" t="s">
        <v>580</v>
      </c>
      <c r="F7050" s="52" t="s">
        <v>581</v>
      </c>
      <c r="G7050" s="195" t="s">
        <v>279</v>
      </c>
      <c r="H7050" s="195">
        <v>41.754330000000003</v>
      </c>
      <c r="I7050" s="195">
        <v>27.629079999999998</v>
      </c>
      <c r="J7050" s="195">
        <v>21.945049999999998</v>
      </c>
      <c r="K7050" s="195">
        <v>25.766780000000001</v>
      </c>
      <c r="L7050" s="195">
        <v>26.745100000000001</v>
      </c>
      <c r="M7050" s="195">
        <v>21.601320000000001</v>
      </c>
      <c r="N7050" s="195">
        <v>18.694790000000001</v>
      </c>
    </row>
    <row r="7051" spans="1:14" hidden="1" x14ac:dyDescent="0.35">
      <c r="A7051" s="52" t="s">
        <v>735</v>
      </c>
      <c r="B7051" s="52" t="s">
        <v>37</v>
      </c>
      <c r="C7051" s="52" t="s">
        <v>35</v>
      </c>
      <c r="D7051" s="52" t="s">
        <v>129</v>
      </c>
      <c r="E7051" s="52" t="s">
        <v>580</v>
      </c>
      <c r="F7051" s="52" t="s">
        <v>26</v>
      </c>
      <c r="G7051" s="195" t="s">
        <v>275</v>
      </c>
      <c r="H7051" s="195">
        <v>1.1138980000000001</v>
      </c>
      <c r="I7051" s="195">
        <v>0.32492680000000002</v>
      </c>
      <c r="J7051" s="195">
        <v>0.51585499999999995</v>
      </c>
      <c r="K7051" s="195">
        <v>0.51497420000000005</v>
      </c>
      <c r="L7051" s="195">
        <v>-6.7209409999999997E-2</v>
      </c>
      <c r="M7051" s="195">
        <v>1.06944E-2</v>
      </c>
      <c r="N7051" s="195">
        <v>2.698101E-2</v>
      </c>
    </row>
    <row r="7052" spans="1:14" hidden="1" x14ac:dyDescent="0.35">
      <c r="A7052" s="52" t="s">
        <v>735</v>
      </c>
      <c r="B7052" s="52" t="s">
        <v>37</v>
      </c>
      <c r="C7052" s="52" t="s">
        <v>35</v>
      </c>
      <c r="D7052" s="52" t="s">
        <v>129</v>
      </c>
      <c r="E7052" s="52" t="s">
        <v>580</v>
      </c>
      <c r="F7052" s="52" t="s">
        <v>26</v>
      </c>
      <c r="G7052" s="195" t="s">
        <v>276</v>
      </c>
      <c r="H7052" s="195">
        <v>0.296101</v>
      </c>
      <c r="I7052" s="195">
        <v>8.637359E-2</v>
      </c>
      <c r="J7052" s="195">
        <v>0.13712440000000001</v>
      </c>
      <c r="K7052" s="195">
        <v>0.13689080000000001</v>
      </c>
      <c r="L7052" s="195">
        <v>-1.7865200000000001E-2</v>
      </c>
      <c r="M7052" s="195">
        <v>2.8419999999999999E-3</v>
      </c>
      <c r="N7052" s="195">
        <v>7.1734010000000003E-3</v>
      </c>
    </row>
    <row r="7053" spans="1:14" hidden="1" x14ac:dyDescent="0.35">
      <c r="A7053" s="52" t="s">
        <v>735</v>
      </c>
      <c r="B7053" s="52" t="s">
        <v>37</v>
      </c>
      <c r="C7053" s="52" t="s">
        <v>35</v>
      </c>
      <c r="D7053" s="52" t="s">
        <v>129</v>
      </c>
      <c r="E7053" s="52" t="s">
        <v>580</v>
      </c>
      <c r="F7053" s="52" t="s">
        <v>26</v>
      </c>
      <c r="G7053" s="195" t="s">
        <v>279</v>
      </c>
      <c r="H7053" s="195">
        <v>7.3541619999999996</v>
      </c>
      <c r="I7053" s="195">
        <v>6.526662</v>
      </c>
      <c r="J7053" s="195">
        <v>5.2995720000000004</v>
      </c>
      <c r="K7053" s="195">
        <v>6.2253400000000001</v>
      </c>
      <c r="L7053" s="195">
        <v>6.4806429999999997</v>
      </c>
      <c r="M7053" s="195">
        <v>5.2213390000000004</v>
      </c>
      <c r="N7053" s="195">
        <v>4.5109649999999997</v>
      </c>
    </row>
    <row r="7054" spans="1:14" hidden="1" x14ac:dyDescent="0.35">
      <c r="A7054" s="52" t="s">
        <v>735</v>
      </c>
      <c r="B7054" s="52" t="s">
        <v>37</v>
      </c>
      <c r="C7054" s="52" t="s">
        <v>79</v>
      </c>
      <c r="D7054" s="52" t="s">
        <v>79</v>
      </c>
      <c r="E7054" s="52" t="s">
        <v>615</v>
      </c>
      <c r="F7054" s="52" t="s">
        <v>581</v>
      </c>
      <c r="G7054" s="195" t="s">
        <v>275</v>
      </c>
      <c r="H7054" s="195">
        <v>-6.3403580000000002</v>
      </c>
      <c r="I7054" s="195">
        <v>7.1983220000000001</v>
      </c>
      <c r="J7054" s="195">
        <v>-6.9714010000000002</v>
      </c>
      <c r="K7054" s="195">
        <v>-4.112209</v>
      </c>
      <c r="L7054" s="195">
        <v>-0.40336640000000001</v>
      </c>
      <c r="M7054" s="195">
        <v>7.8195990000000002</v>
      </c>
      <c r="N7054" s="195">
        <v>7.6151720000000003</v>
      </c>
    </row>
    <row r="7055" spans="1:14" hidden="1" x14ac:dyDescent="0.35">
      <c r="A7055" s="52" t="s">
        <v>735</v>
      </c>
      <c r="B7055" s="52" t="s">
        <v>37</v>
      </c>
      <c r="C7055" s="52" t="s">
        <v>79</v>
      </c>
      <c r="D7055" s="52" t="s">
        <v>79</v>
      </c>
      <c r="E7055" s="52" t="s">
        <v>615</v>
      </c>
      <c r="F7055" s="52" t="s">
        <v>581</v>
      </c>
      <c r="G7055" s="195" t="s">
        <v>276</v>
      </c>
      <c r="H7055" s="195">
        <v>-0.37338490000000002</v>
      </c>
      <c r="I7055" s="195">
        <v>-2.2780360000000002</v>
      </c>
      <c r="J7055" s="195">
        <v>-4.2362479999999998</v>
      </c>
      <c r="K7055" s="195">
        <v>-2.3335750000000002</v>
      </c>
      <c r="L7055" s="195">
        <v>-4.9442620000000002</v>
      </c>
      <c r="M7055" s="195">
        <v>-5.3271949999999998E-3</v>
      </c>
      <c r="N7055" s="195">
        <v>-1.489136</v>
      </c>
    </row>
    <row r="7056" spans="1:14" hidden="1" x14ac:dyDescent="0.35">
      <c r="A7056" s="52" t="s">
        <v>735</v>
      </c>
      <c r="B7056" s="52" t="s">
        <v>37</v>
      </c>
      <c r="C7056" s="52" t="s">
        <v>79</v>
      </c>
      <c r="D7056" s="52" t="s">
        <v>79</v>
      </c>
      <c r="E7056" s="52" t="s">
        <v>615</v>
      </c>
      <c r="F7056" s="52" t="s">
        <v>581</v>
      </c>
      <c r="G7056" s="195" t="s">
        <v>277</v>
      </c>
      <c r="H7056" s="195">
        <v>57.110770000000002</v>
      </c>
      <c r="I7056" s="195">
        <v>4.115132</v>
      </c>
      <c r="J7056" s="195">
        <v>21.225529999999999</v>
      </c>
      <c r="K7056" s="195">
        <v>17.988600000000002</v>
      </c>
      <c r="L7056" s="195">
        <v>15.945880000000001</v>
      </c>
      <c r="M7056" s="195">
        <v>1.093693</v>
      </c>
      <c r="N7056" s="195">
        <v>0</v>
      </c>
    </row>
    <row r="7057" spans="1:14" hidden="1" x14ac:dyDescent="0.35">
      <c r="A7057" s="52" t="s">
        <v>735</v>
      </c>
      <c r="B7057" s="52" t="s">
        <v>37</v>
      </c>
      <c r="C7057" s="52" t="s">
        <v>79</v>
      </c>
      <c r="D7057" s="52" t="s">
        <v>79</v>
      </c>
      <c r="E7057" s="52" t="s">
        <v>615</v>
      </c>
      <c r="F7057" s="52" t="s">
        <v>581</v>
      </c>
      <c r="G7057" s="195" t="s">
        <v>278</v>
      </c>
      <c r="H7057" s="195">
        <v>0</v>
      </c>
      <c r="I7057" s="195"/>
      <c r="J7057" s="195"/>
      <c r="K7057" s="195"/>
      <c r="L7057" s="195"/>
      <c r="M7057" s="195"/>
      <c r="N7057" s="195"/>
    </row>
    <row r="7058" spans="1:14" hidden="1" x14ac:dyDescent="0.35">
      <c r="A7058" s="52" t="s">
        <v>735</v>
      </c>
      <c r="B7058" s="52" t="s">
        <v>37</v>
      </c>
      <c r="C7058" s="52" t="s">
        <v>79</v>
      </c>
      <c r="D7058" s="52" t="s">
        <v>79</v>
      </c>
      <c r="E7058" s="52" t="s">
        <v>615</v>
      </c>
      <c r="F7058" s="52" t="s">
        <v>581</v>
      </c>
      <c r="G7058" s="195" t="s">
        <v>279</v>
      </c>
      <c r="H7058" s="195">
        <v>17.934830000000002</v>
      </c>
      <c r="I7058" s="195">
        <v>9.0174129999999995</v>
      </c>
      <c r="J7058" s="195">
        <v>11.73047</v>
      </c>
      <c r="K7058" s="195">
        <v>14.03021</v>
      </c>
      <c r="L7058" s="195">
        <v>16.481449999999999</v>
      </c>
      <c r="M7058" s="195">
        <v>13.50629</v>
      </c>
      <c r="N7058" s="195">
        <v>9.2830639999999995</v>
      </c>
    </row>
    <row r="7059" spans="1:14" hidden="1" x14ac:dyDescent="0.35">
      <c r="A7059" s="52" t="s">
        <v>735</v>
      </c>
      <c r="B7059" s="52" t="s">
        <v>37</v>
      </c>
      <c r="C7059" s="52" t="s">
        <v>79</v>
      </c>
      <c r="D7059" s="52" t="s">
        <v>79</v>
      </c>
      <c r="E7059" s="52" t="s">
        <v>615</v>
      </c>
      <c r="F7059" s="52" t="s">
        <v>26</v>
      </c>
      <c r="G7059" s="195" t="s">
        <v>275</v>
      </c>
      <c r="H7059" s="195">
        <v>1.2564040000000001</v>
      </c>
      <c r="I7059" s="195">
        <v>0.72162059999999995</v>
      </c>
      <c r="J7059" s="195">
        <v>1.1905840000000001</v>
      </c>
      <c r="K7059" s="195">
        <v>1.2651239999999999</v>
      </c>
      <c r="L7059" s="195">
        <v>0.82438040000000001</v>
      </c>
      <c r="M7059" s="195">
        <v>0.71776980000000001</v>
      </c>
      <c r="N7059" s="195">
        <v>0.49781540000000002</v>
      </c>
    </row>
    <row r="7060" spans="1:14" hidden="1" x14ac:dyDescent="0.35">
      <c r="A7060" s="52" t="s">
        <v>735</v>
      </c>
      <c r="B7060" s="52" t="s">
        <v>37</v>
      </c>
      <c r="C7060" s="52" t="s">
        <v>79</v>
      </c>
      <c r="D7060" s="52" t="s">
        <v>79</v>
      </c>
      <c r="E7060" s="52" t="s">
        <v>615</v>
      </c>
      <c r="F7060" s="52" t="s">
        <v>26</v>
      </c>
      <c r="G7060" s="195" t="s">
        <v>276</v>
      </c>
      <c r="H7060" s="195">
        <v>0.36421799999999999</v>
      </c>
      <c r="I7060" s="195">
        <v>0.20919080000000001</v>
      </c>
      <c r="J7060" s="195">
        <v>0.34513899999999997</v>
      </c>
      <c r="K7060" s="195">
        <v>0.36674679999999998</v>
      </c>
      <c r="L7060" s="195">
        <v>0.23897840000000001</v>
      </c>
      <c r="M7060" s="195">
        <v>0.20807400000000001</v>
      </c>
      <c r="N7060" s="195">
        <v>0.1443112</v>
      </c>
    </row>
    <row r="7061" spans="1:14" hidden="1" x14ac:dyDescent="0.35">
      <c r="A7061" s="52" t="s">
        <v>735</v>
      </c>
      <c r="B7061" s="52" t="s">
        <v>37</v>
      </c>
      <c r="C7061" s="52" t="s">
        <v>79</v>
      </c>
      <c r="D7061" s="52" t="s">
        <v>79</v>
      </c>
      <c r="E7061" s="52" t="s">
        <v>615</v>
      </c>
      <c r="F7061" s="52" t="s">
        <v>26</v>
      </c>
      <c r="G7061" s="195" t="s">
        <v>279</v>
      </c>
      <c r="H7061" s="195">
        <v>4.1702029999999999</v>
      </c>
      <c r="I7061" s="195">
        <v>3.8196330000000001</v>
      </c>
      <c r="J7061" s="195">
        <v>5.120463</v>
      </c>
      <c r="K7061" s="195">
        <v>6.1881729999999999</v>
      </c>
      <c r="L7061" s="195">
        <v>7.192526</v>
      </c>
      <c r="M7061" s="195">
        <v>5.9083249999999996</v>
      </c>
      <c r="N7061" s="195">
        <v>4.0617470000000004</v>
      </c>
    </row>
    <row r="7062" spans="1:14" hidden="1" x14ac:dyDescent="0.35">
      <c r="A7062" s="52" t="s">
        <v>735</v>
      </c>
      <c r="B7062" s="52" t="s">
        <v>37</v>
      </c>
      <c r="C7062" s="52" t="s">
        <v>46</v>
      </c>
      <c r="D7062" s="52" t="s">
        <v>46</v>
      </c>
      <c r="E7062" s="52" t="s">
        <v>641</v>
      </c>
      <c r="F7062" s="52" t="s">
        <v>26</v>
      </c>
      <c r="G7062" s="195" t="s">
        <v>275</v>
      </c>
      <c r="H7062" s="195">
        <v>-9.4000430000000001</v>
      </c>
      <c r="I7062" s="195">
        <v>2.5404010000000001</v>
      </c>
      <c r="J7062" s="195">
        <v>3.6368079999999998</v>
      </c>
      <c r="K7062" s="195">
        <v>0.70551600000000003</v>
      </c>
      <c r="L7062" s="195">
        <v>0.52508350000000004</v>
      </c>
      <c r="M7062" s="195">
        <v>2.1782900000000001</v>
      </c>
      <c r="N7062" s="195">
        <v>1.623745</v>
      </c>
    </row>
    <row r="7063" spans="1:14" hidden="1" x14ac:dyDescent="0.35">
      <c r="A7063" s="52" t="s">
        <v>735</v>
      </c>
      <c r="B7063" s="52" t="s">
        <v>37</v>
      </c>
      <c r="C7063" s="52" t="s">
        <v>46</v>
      </c>
      <c r="D7063" s="52" t="s">
        <v>46</v>
      </c>
      <c r="E7063" s="52" t="s">
        <v>641</v>
      </c>
      <c r="F7063" s="52" t="s">
        <v>26</v>
      </c>
      <c r="G7063" s="195" t="s">
        <v>276</v>
      </c>
      <c r="H7063" s="195">
        <v>-0.36619499999999999</v>
      </c>
      <c r="I7063" s="195">
        <v>-0.61631020000000003</v>
      </c>
      <c r="J7063" s="195">
        <v>-0.83274539999999997</v>
      </c>
      <c r="K7063" s="195">
        <v>-7.0025210000000004E-2</v>
      </c>
      <c r="L7063" s="195">
        <v>-1.542972</v>
      </c>
      <c r="M7063" s="195">
        <v>0.1781316</v>
      </c>
      <c r="N7063" s="195">
        <v>0.19646459999999999</v>
      </c>
    </row>
    <row r="7064" spans="1:14" hidden="1" x14ac:dyDescent="0.35">
      <c r="A7064" s="52" t="s">
        <v>735</v>
      </c>
      <c r="B7064" s="52" t="s">
        <v>37</v>
      </c>
      <c r="C7064" s="52" t="s">
        <v>46</v>
      </c>
      <c r="D7064" s="52" t="s">
        <v>46</v>
      </c>
      <c r="E7064" s="52" t="s">
        <v>641</v>
      </c>
      <c r="F7064" s="52" t="s">
        <v>26</v>
      </c>
      <c r="G7064" s="195" t="s">
        <v>277</v>
      </c>
      <c r="H7064" s="195">
        <v>19.53792</v>
      </c>
      <c r="I7064" s="195">
        <v>1.5400609999999999</v>
      </c>
      <c r="J7064" s="195">
        <v>0.60920909999999995</v>
      </c>
      <c r="K7064" s="195">
        <v>2.3761930000000002</v>
      </c>
      <c r="L7064" s="195">
        <v>3.5403820000000001</v>
      </c>
      <c r="M7064" s="195">
        <v>0</v>
      </c>
      <c r="N7064" s="195">
        <v>0</v>
      </c>
    </row>
    <row r="7065" spans="1:14" hidden="1" x14ac:dyDescent="0.35">
      <c r="A7065" s="52" t="s">
        <v>735</v>
      </c>
      <c r="B7065" s="52" t="s">
        <v>37</v>
      </c>
      <c r="C7065" s="52" t="s">
        <v>46</v>
      </c>
      <c r="D7065" s="52" t="s">
        <v>46</v>
      </c>
      <c r="E7065" s="52" t="s">
        <v>641</v>
      </c>
      <c r="F7065" s="52" t="s">
        <v>26</v>
      </c>
      <c r="G7065" s="195" t="s">
        <v>278</v>
      </c>
      <c r="H7065" s="195">
        <v>0.14991599999999999</v>
      </c>
      <c r="I7065" s="195">
        <v>0</v>
      </c>
      <c r="J7065" s="195"/>
      <c r="K7065" s="195"/>
      <c r="L7065" s="195"/>
      <c r="M7065" s="195"/>
      <c r="N7065" s="195"/>
    </row>
    <row r="7066" spans="1:14" hidden="1" x14ac:dyDescent="0.35">
      <c r="A7066" s="52" t="s">
        <v>735</v>
      </c>
      <c r="B7066" s="52" t="s">
        <v>37</v>
      </c>
      <c r="C7066" s="52" t="s">
        <v>46</v>
      </c>
      <c r="D7066" s="52" t="s">
        <v>46</v>
      </c>
      <c r="E7066" s="52" t="s">
        <v>641</v>
      </c>
      <c r="F7066" s="52" t="s">
        <v>26</v>
      </c>
      <c r="G7066" s="195" t="s">
        <v>279</v>
      </c>
      <c r="H7066" s="195">
        <v>20.103490000000001</v>
      </c>
      <c r="I7066" s="195">
        <v>10.20309</v>
      </c>
      <c r="J7066" s="195">
        <v>8.5954169999999994</v>
      </c>
      <c r="K7066" s="195">
        <v>8.4518850000000008</v>
      </c>
      <c r="L7066" s="195">
        <v>10.763769999999999</v>
      </c>
      <c r="M7066" s="195">
        <v>9.7047369999999997</v>
      </c>
      <c r="N7066" s="195">
        <v>7.4343630000000003</v>
      </c>
    </row>
    <row r="7067" spans="1:14" hidden="1" x14ac:dyDescent="0.35">
      <c r="A7067" s="52" t="s">
        <v>735</v>
      </c>
      <c r="B7067" s="52" t="s">
        <v>37</v>
      </c>
      <c r="C7067" s="52" t="s">
        <v>46</v>
      </c>
      <c r="D7067" s="52" t="s">
        <v>46</v>
      </c>
      <c r="E7067" s="52" t="s">
        <v>584</v>
      </c>
      <c r="F7067" s="52" t="s">
        <v>581</v>
      </c>
      <c r="G7067" s="195" t="s">
        <v>275</v>
      </c>
      <c r="H7067" s="195">
        <v>0.159223</v>
      </c>
      <c r="I7067" s="195">
        <v>2.8723800000000001E-2</v>
      </c>
      <c r="J7067" s="195">
        <v>1.5520600000000001E-2</v>
      </c>
      <c r="K7067" s="195">
        <v>9.8434000000000004E-3</v>
      </c>
      <c r="L7067" s="195">
        <v>6.2703999999999998E-3</v>
      </c>
      <c r="M7067" s="195">
        <v>-9.3431200000000006E-2</v>
      </c>
      <c r="N7067" s="195">
        <v>1.0709999999999999E-3</v>
      </c>
    </row>
    <row r="7068" spans="1:14" hidden="1" x14ac:dyDescent="0.35">
      <c r="A7068" s="52" t="s">
        <v>735</v>
      </c>
      <c r="B7068" s="52" t="s">
        <v>37</v>
      </c>
      <c r="C7068" s="52" t="s">
        <v>46</v>
      </c>
      <c r="D7068" s="52" t="s">
        <v>46</v>
      </c>
      <c r="E7068" s="52" t="s">
        <v>584</v>
      </c>
      <c r="F7068" s="52" t="s">
        <v>581</v>
      </c>
      <c r="G7068" s="195" t="s">
        <v>276</v>
      </c>
      <c r="H7068" s="195">
        <v>4.2325000000000002E-2</v>
      </c>
      <c r="I7068" s="195">
        <v>7.6351989999999996E-3</v>
      </c>
      <c r="J7068" s="195">
        <v>4.1260000000000003E-3</v>
      </c>
      <c r="K7068" s="195">
        <v>2.6161999999999999E-3</v>
      </c>
      <c r="L7068" s="195">
        <v>1.6668E-3</v>
      </c>
      <c r="M7068" s="195">
        <v>-2.4836400000000002E-2</v>
      </c>
      <c r="N7068" s="195">
        <v>2.8479999999999998E-4</v>
      </c>
    </row>
    <row r="7069" spans="1:14" hidden="1" x14ac:dyDescent="0.35">
      <c r="A7069" s="52" t="s">
        <v>735</v>
      </c>
      <c r="B7069" s="52" t="s">
        <v>37</v>
      </c>
      <c r="C7069" s="52" t="s">
        <v>46</v>
      </c>
      <c r="D7069" s="52" t="s">
        <v>46</v>
      </c>
      <c r="E7069" s="52" t="s">
        <v>584</v>
      </c>
      <c r="F7069" s="52" t="s">
        <v>581</v>
      </c>
      <c r="G7069" s="195" t="s">
        <v>279</v>
      </c>
      <c r="H7069" s="195">
        <v>6.7551E-2</v>
      </c>
      <c r="I7069" s="195">
        <v>3.2997800000000001E-2</v>
      </c>
      <c r="J7069" s="195">
        <v>2.1492399999999998E-2</v>
      </c>
      <c r="K7069" s="195">
        <v>1.59312E-2</v>
      </c>
      <c r="L7069" s="195">
        <v>1.1578400000000001E-2</v>
      </c>
      <c r="M7069" s="195">
        <v>0.12189659999999999</v>
      </c>
      <c r="N7069" s="195">
        <v>1.1424E-3</v>
      </c>
    </row>
    <row r="7070" spans="1:14" hidden="1" x14ac:dyDescent="0.35">
      <c r="A7070" s="52" t="s">
        <v>735</v>
      </c>
      <c r="B7070" s="52" t="s">
        <v>37</v>
      </c>
      <c r="C7070" s="52" t="s">
        <v>46</v>
      </c>
      <c r="D7070" s="52" t="s">
        <v>46</v>
      </c>
      <c r="E7070" s="52" t="s">
        <v>584</v>
      </c>
      <c r="F7070" s="52" t="s">
        <v>26</v>
      </c>
      <c r="G7070" s="195" t="s">
        <v>275</v>
      </c>
      <c r="H7070" s="195">
        <v>-9.4705999999999999E-2</v>
      </c>
      <c r="I7070" s="195">
        <v>-1.9232280000000001E-2</v>
      </c>
      <c r="J7070" s="195">
        <v>0.86281699999999995</v>
      </c>
      <c r="K7070" s="195">
        <v>-0.14561299999999999</v>
      </c>
      <c r="L7070" s="195">
        <v>0.16703319999999999</v>
      </c>
      <c r="M7070" s="195">
        <v>-5.9128530000000001</v>
      </c>
      <c r="N7070" s="195">
        <v>5.1768000000000002E-2</v>
      </c>
    </row>
    <row r="7071" spans="1:14" hidden="1" x14ac:dyDescent="0.35">
      <c r="A7071" s="52" t="s">
        <v>735</v>
      </c>
      <c r="B7071" s="52" t="s">
        <v>37</v>
      </c>
      <c r="C7071" s="52" t="s">
        <v>46</v>
      </c>
      <c r="D7071" s="52" t="s">
        <v>46</v>
      </c>
      <c r="E7071" s="52" t="s">
        <v>584</v>
      </c>
      <c r="F7071" s="52" t="s">
        <v>26</v>
      </c>
      <c r="G7071" s="195" t="s">
        <v>276</v>
      </c>
      <c r="H7071" s="195">
        <v>-1.48475</v>
      </c>
      <c r="I7071" s="195">
        <v>-0.95150659999999998</v>
      </c>
      <c r="J7071" s="195">
        <v>-1.4101109999999999</v>
      </c>
      <c r="K7071" s="195">
        <v>-9.3320189999999997E-2</v>
      </c>
      <c r="L7071" s="195">
        <v>-0.19191240000000001</v>
      </c>
      <c r="M7071" s="195">
        <v>-1.6986619999999999</v>
      </c>
      <c r="N7071" s="195">
        <v>-5.2471200000000003E-2</v>
      </c>
    </row>
    <row r="7072" spans="1:14" hidden="1" x14ac:dyDescent="0.35">
      <c r="A7072" s="52" t="s">
        <v>735</v>
      </c>
      <c r="B7072" s="52" t="s">
        <v>37</v>
      </c>
      <c r="C7072" s="52" t="s">
        <v>46</v>
      </c>
      <c r="D7072" s="52" t="s">
        <v>46</v>
      </c>
      <c r="E7072" s="52" t="s">
        <v>584</v>
      </c>
      <c r="F7072" s="52" t="s">
        <v>26</v>
      </c>
      <c r="G7072" s="195" t="s">
        <v>277</v>
      </c>
      <c r="H7072" s="195">
        <v>1.671694</v>
      </c>
      <c r="I7072" s="195">
        <v>0.9580708</v>
      </c>
      <c r="J7072" s="195">
        <v>0.55303159999999996</v>
      </c>
      <c r="K7072" s="195"/>
      <c r="L7072" s="195"/>
      <c r="M7072" s="195"/>
      <c r="N7072" s="195">
        <v>0</v>
      </c>
    </row>
    <row r="7073" spans="1:14" hidden="1" x14ac:dyDescent="0.35">
      <c r="A7073" s="52" t="s">
        <v>735</v>
      </c>
      <c r="B7073" s="52" t="s">
        <v>37</v>
      </c>
      <c r="C7073" s="52" t="s">
        <v>46</v>
      </c>
      <c r="D7073" s="52" t="s">
        <v>46</v>
      </c>
      <c r="E7073" s="52" t="s">
        <v>584</v>
      </c>
      <c r="F7073" s="52" t="s">
        <v>26</v>
      </c>
      <c r="G7073" s="195" t="s">
        <v>279</v>
      </c>
      <c r="H7073" s="195">
        <v>0.99232699999999996</v>
      </c>
      <c r="I7073" s="195">
        <v>0.58040040000000004</v>
      </c>
      <c r="J7073" s="195">
        <v>0.386737</v>
      </c>
      <c r="K7073" s="195">
        <v>0.28746060000000001</v>
      </c>
      <c r="L7073" s="195">
        <v>0.20995539999999999</v>
      </c>
      <c r="M7073" s="195">
        <v>7.6395200000000001</v>
      </c>
      <c r="N7073" s="195">
        <v>1.99288E-2</v>
      </c>
    </row>
    <row r="7074" spans="1:14" hidden="1" x14ac:dyDescent="0.35">
      <c r="A7074" s="52" t="s">
        <v>735</v>
      </c>
      <c r="B7074" s="52" t="s">
        <v>37</v>
      </c>
      <c r="C7074" s="52" t="s">
        <v>318</v>
      </c>
      <c r="D7074" s="52" t="s">
        <v>318</v>
      </c>
      <c r="E7074" s="52" t="s">
        <v>584</v>
      </c>
      <c r="F7074" s="52" t="s">
        <v>581</v>
      </c>
      <c r="G7074" s="195" t="s">
        <v>275</v>
      </c>
      <c r="H7074" s="195">
        <v>-9.9999999999999995E-7</v>
      </c>
      <c r="I7074" s="195">
        <v>0</v>
      </c>
      <c r="J7074" s="195"/>
      <c r="K7074" s="195"/>
      <c r="L7074" s="195"/>
      <c r="M7074" s="195"/>
      <c r="N7074" s="195"/>
    </row>
    <row r="7075" spans="1:14" hidden="1" x14ac:dyDescent="0.35">
      <c r="A7075" s="52" t="s">
        <v>735</v>
      </c>
      <c r="B7075" s="52" t="s">
        <v>37</v>
      </c>
      <c r="C7075" s="52" t="s">
        <v>318</v>
      </c>
      <c r="D7075" s="52" t="s">
        <v>318</v>
      </c>
      <c r="E7075" s="52" t="s">
        <v>584</v>
      </c>
      <c r="F7075" s="52" t="s">
        <v>581</v>
      </c>
      <c r="G7075" s="195" t="s">
        <v>278</v>
      </c>
      <c r="H7075" s="195">
        <v>9.9999999999999995E-7</v>
      </c>
      <c r="I7075" s="195">
        <v>0</v>
      </c>
      <c r="J7075" s="195"/>
      <c r="K7075" s="195"/>
      <c r="L7075" s="195"/>
      <c r="M7075" s="195"/>
      <c r="N7075" s="195"/>
    </row>
    <row r="7076" spans="1:14" hidden="1" x14ac:dyDescent="0.35">
      <c r="A7076" s="52" t="s">
        <v>735</v>
      </c>
      <c r="B7076" s="52" t="s">
        <v>37</v>
      </c>
      <c r="C7076" s="52" t="s">
        <v>318</v>
      </c>
      <c r="D7076" s="52" t="s">
        <v>318</v>
      </c>
      <c r="E7076" s="52" t="s">
        <v>584</v>
      </c>
      <c r="F7076" s="52" t="s">
        <v>26</v>
      </c>
      <c r="G7076" s="195" t="s">
        <v>275</v>
      </c>
      <c r="H7076" s="195">
        <v>-9.9999999999999995E-7</v>
      </c>
      <c r="I7076" s="195">
        <v>0</v>
      </c>
      <c r="J7076" s="195"/>
      <c r="K7076" s="195"/>
      <c r="L7076" s="195"/>
      <c r="M7076" s="195"/>
      <c r="N7076" s="195"/>
    </row>
    <row r="7077" spans="1:14" hidden="1" x14ac:dyDescent="0.35">
      <c r="A7077" s="52" t="s">
        <v>735</v>
      </c>
      <c r="B7077" s="52" t="s">
        <v>37</v>
      </c>
      <c r="C7077" s="52" t="s">
        <v>318</v>
      </c>
      <c r="D7077" s="52" t="s">
        <v>318</v>
      </c>
      <c r="E7077" s="52" t="s">
        <v>584</v>
      </c>
      <c r="F7077" s="52" t="s">
        <v>26</v>
      </c>
      <c r="G7077" s="195" t="s">
        <v>278</v>
      </c>
      <c r="H7077" s="195">
        <v>9.9999999999999995E-7</v>
      </c>
      <c r="I7077" s="195">
        <v>0</v>
      </c>
      <c r="J7077" s="195"/>
      <c r="K7077" s="195"/>
      <c r="L7077" s="195"/>
      <c r="M7077" s="195"/>
      <c r="N7077" s="195"/>
    </row>
    <row r="7078" spans="1:14" hidden="1" x14ac:dyDescent="0.35">
      <c r="A7078" s="52" t="s">
        <v>691</v>
      </c>
      <c r="B7078" s="52" t="s">
        <v>34</v>
      </c>
      <c r="C7078" s="52" t="s">
        <v>33</v>
      </c>
      <c r="D7078" s="52" t="s">
        <v>33</v>
      </c>
      <c r="E7078" s="52" t="s">
        <v>605</v>
      </c>
      <c r="F7078" s="52" t="s">
        <v>581</v>
      </c>
      <c r="G7078" s="195" t="s">
        <v>275</v>
      </c>
      <c r="H7078" s="195">
        <v>5.905189</v>
      </c>
      <c r="I7078" s="195">
        <v>-3.5043489999999999</v>
      </c>
      <c r="J7078" s="195">
        <v>11.657389999999999</v>
      </c>
      <c r="K7078" s="195">
        <v>11.3995</v>
      </c>
      <c r="L7078" s="195">
        <v>5.3271670000000002</v>
      </c>
      <c r="M7078" s="195">
        <v>5.5192430000000003</v>
      </c>
      <c r="N7078" s="195">
        <v>4.7045380000000003</v>
      </c>
    </row>
    <row r="7079" spans="1:14" hidden="1" x14ac:dyDescent="0.35">
      <c r="A7079" s="52" t="s">
        <v>691</v>
      </c>
      <c r="B7079" s="52" t="s">
        <v>34</v>
      </c>
      <c r="C7079" s="52" t="s">
        <v>33</v>
      </c>
      <c r="D7079" s="52" t="s">
        <v>33</v>
      </c>
      <c r="E7079" s="52" t="s">
        <v>605</v>
      </c>
      <c r="F7079" s="52" t="s">
        <v>581</v>
      </c>
      <c r="G7079" s="195" t="s">
        <v>276</v>
      </c>
      <c r="H7079" s="195">
        <v>12.145770000000001</v>
      </c>
      <c r="I7079" s="195">
        <v>-4.7882490000000004</v>
      </c>
      <c r="J7079" s="195">
        <v>-5.0802480000000001</v>
      </c>
      <c r="K7079" s="195">
        <v>-3.368363</v>
      </c>
      <c r="L7079" s="195">
        <v>-0.30843290000000001</v>
      </c>
      <c r="M7079" s="195">
        <v>1.397386</v>
      </c>
      <c r="N7079" s="195">
        <v>1.4394020000000001</v>
      </c>
    </row>
    <row r="7080" spans="1:14" hidden="1" x14ac:dyDescent="0.35">
      <c r="A7080" s="52" t="s">
        <v>691</v>
      </c>
      <c r="B7080" s="52" t="s">
        <v>34</v>
      </c>
      <c r="C7080" s="52" t="s">
        <v>33</v>
      </c>
      <c r="D7080" s="52" t="s">
        <v>33</v>
      </c>
      <c r="E7080" s="52" t="s">
        <v>605</v>
      </c>
      <c r="F7080" s="52" t="s">
        <v>581</v>
      </c>
      <c r="G7080" s="195" t="s">
        <v>277</v>
      </c>
      <c r="H7080" s="195">
        <v>37.119169999999997</v>
      </c>
      <c r="I7080" s="195">
        <v>21.61</v>
      </c>
      <c r="J7080" s="195">
        <v>0.36156139999999998</v>
      </c>
      <c r="K7080" s="195">
        <v>0.1444252</v>
      </c>
      <c r="L7080" s="195">
        <v>0.2002536</v>
      </c>
      <c r="M7080" s="195">
        <v>0</v>
      </c>
      <c r="N7080" s="195">
        <v>0</v>
      </c>
    </row>
    <row r="7081" spans="1:14" hidden="1" x14ac:dyDescent="0.35">
      <c r="A7081" s="52" t="s">
        <v>691</v>
      </c>
      <c r="B7081" s="52" t="s">
        <v>34</v>
      </c>
      <c r="C7081" s="52" t="s">
        <v>33</v>
      </c>
      <c r="D7081" s="52" t="s">
        <v>33</v>
      </c>
      <c r="E7081" s="52" t="s">
        <v>605</v>
      </c>
      <c r="F7081" s="52" t="s">
        <v>581</v>
      </c>
      <c r="G7081" s="195" t="s">
        <v>278</v>
      </c>
      <c r="H7081" s="195">
        <v>24.980830000000001</v>
      </c>
      <c r="I7081" s="195">
        <v>1</v>
      </c>
      <c r="J7081" s="195">
        <v>3.40143</v>
      </c>
      <c r="K7081" s="195">
        <v>0.67379750000000005</v>
      </c>
      <c r="L7081" s="195">
        <v>0.52687859999999997</v>
      </c>
      <c r="M7081" s="195">
        <v>0</v>
      </c>
      <c r="N7081" s="195">
        <v>0</v>
      </c>
    </row>
    <row r="7082" spans="1:14" hidden="1" x14ac:dyDescent="0.35">
      <c r="A7082" s="52" t="s">
        <v>691</v>
      </c>
      <c r="B7082" s="52" t="s">
        <v>34</v>
      </c>
      <c r="C7082" s="52" t="s">
        <v>33</v>
      </c>
      <c r="D7082" s="52" t="s">
        <v>33</v>
      </c>
      <c r="E7082" s="52" t="s">
        <v>605</v>
      </c>
      <c r="F7082" s="52" t="s">
        <v>581</v>
      </c>
      <c r="G7082" s="195" t="s">
        <v>279</v>
      </c>
      <c r="H7082" s="195">
        <v>23.874649999999999</v>
      </c>
      <c r="I7082" s="195">
        <v>22.503959999999999</v>
      </c>
      <c r="J7082" s="195">
        <v>21.77496</v>
      </c>
      <c r="K7082" s="195">
        <v>18.279810000000001</v>
      </c>
      <c r="L7082" s="195">
        <v>17.08859</v>
      </c>
      <c r="M7082" s="195">
        <v>13.279809999999999</v>
      </c>
      <c r="N7082" s="195">
        <v>11.71219</v>
      </c>
    </row>
    <row r="7083" spans="1:14" hidden="1" x14ac:dyDescent="0.35">
      <c r="A7083" s="52" t="s">
        <v>691</v>
      </c>
      <c r="B7083" s="52" t="s">
        <v>34</v>
      </c>
      <c r="C7083" s="52" t="s">
        <v>33</v>
      </c>
      <c r="D7083" s="52" t="s">
        <v>33</v>
      </c>
      <c r="E7083" s="52" t="s">
        <v>605</v>
      </c>
      <c r="F7083" s="52" t="s">
        <v>26</v>
      </c>
      <c r="G7083" s="195" t="s">
        <v>275</v>
      </c>
      <c r="H7083" s="195">
        <v>-175.25239999999999</v>
      </c>
      <c r="I7083" s="195">
        <v>-41.763800000000003</v>
      </c>
      <c r="J7083" s="195">
        <v>29.058540000000001</v>
      </c>
      <c r="K7083" s="195">
        <v>10.851850000000001</v>
      </c>
      <c r="L7083" s="195">
        <v>-19.863409999999998</v>
      </c>
      <c r="M7083" s="195">
        <v>-11.0991</v>
      </c>
      <c r="N7083" s="195">
        <v>-11.505750000000001</v>
      </c>
    </row>
    <row r="7084" spans="1:14" hidden="1" x14ac:dyDescent="0.35">
      <c r="A7084" s="52" t="s">
        <v>691</v>
      </c>
      <c r="B7084" s="52" t="s">
        <v>34</v>
      </c>
      <c r="C7084" s="52" t="s">
        <v>33</v>
      </c>
      <c r="D7084" s="52" t="s">
        <v>33</v>
      </c>
      <c r="E7084" s="52" t="s">
        <v>605</v>
      </c>
      <c r="F7084" s="52" t="s">
        <v>26</v>
      </c>
      <c r="G7084" s="195" t="s">
        <v>276</v>
      </c>
      <c r="H7084" s="195">
        <v>-30.167390000000001</v>
      </c>
      <c r="I7084" s="195">
        <v>-50.492469999999997</v>
      </c>
      <c r="J7084" s="195">
        <v>-51.872959999999999</v>
      </c>
      <c r="K7084" s="195">
        <v>-31.77337</v>
      </c>
      <c r="L7084" s="195">
        <v>-17.005379999999999</v>
      </c>
      <c r="M7084" s="195">
        <v>-4.1779869999999999</v>
      </c>
      <c r="N7084" s="195">
        <v>-3.9888509999999999</v>
      </c>
    </row>
    <row r="7085" spans="1:14" hidden="1" x14ac:dyDescent="0.35">
      <c r="A7085" s="52" t="s">
        <v>691</v>
      </c>
      <c r="B7085" s="52" t="s">
        <v>34</v>
      </c>
      <c r="C7085" s="52" t="s">
        <v>33</v>
      </c>
      <c r="D7085" s="52" t="s">
        <v>33</v>
      </c>
      <c r="E7085" s="52" t="s">
        <v>605</v>
      </c>
      <c r="F7085" s="52" t="s">
        <v>26</v>
      </c>
      <c r="G7085" s="195" t="s">
        <v>277</v>
      </c>
      <c r="H7085" s="195">
        <v>274.73050000000001</v>
      </c>
      <c r="I7085" s="195">
        <v>94.1721</v>
      </c>
      <c r="J7085" s="195">
        <v>0.5292268</v>
      </c>
      <c r="K7085" s="195">
        <v>0.3967734</v>
      </c>
      <c r="L7085" s="195"/>
      <c r="M7085" s="195">
        <v>0</v>
      </c>
      <c r="N7085" s="195">
        <v>0</v>
      </c>
    </row>
    <row r="7086" spans="1:14" hidden="1" x14ac:dyDescent="0.35">
      <c r="A7086" s="52" t="s">
        <v>691</v>
      </c>
      <c r="B7086" s="52" t="s">
        <v>34</v>
      </c>
      <c r="C7086" s="52" t="s">
        <v>33</v>
      </c>
      <c r="D7086" s="52" t="s">
        <v>33</v>
      </c>
      <c r="E7086" s="52" t="s">
        <v>605</v>
      </c>
      <c r="F7086" s="52" t="s">
        <v>26</v>
      </c>
      <c r="G7086" s="195" t="s">
        <v>278</v>
      </c>
      <c r="H7086" s="195">
        <v>29.169519999999999</v>
      </c>
      <c r="I7086" s="195">
        <v>26.727910000000001</v>
      </c>
      <c r="J7086" s="195">
        <v>3.3669500000000001</v>
      </c>
      <c r="K7086" s="195">
        <v>0.93934379999999995</v>
      </c>
      <c r="L7086" s="195"/>
      <c r="M7086" s="195">
        <v>0</v>
      </c>
      <c r="N7086" s="195">
        <v>0</v>
      </c>
    </row>
    <row r="7087" spans="1:14" hidden="1" x14ac:dyDescent="0.35">
      <c r="A7087" s="52" t="s">
        <v>691</v>
      </c>
      <c r="B7087" s="52" t="s">
        <v>34</v>
      </c>
      <c r="C7087" s="52" t="s">
        <v>33</v>
      </c>
      <c r="D7087" s="52" t="s">
        <v>33</v>
      </c>
      <c r="E7087" s="52" t="s">
        <v>605</v>
      </c>
      <c r="F7087" s="52" t="s">
        <v>26</v>
      </c>
      <c r="G7087" s="195" t="s">
        <v>279</v>
      </c>
      <c r="H7087" s="195">
        <v>217.79150000000001</v>
      </c>
      <c r="I7087" s="195">
        <v>234.3546</v>
      </c>
      <c r="J7087" s="195">
        <v>214.4973</v>
      </c>
      <c r="K7087" s="195">
        <v>184.8433</v>
      </c>
      <c r="L7087" s="195">
        <v>181.185</v>
      </c>
      <c r="M7087" s="195">
        <v>145.11750000000001</v>
      </c>
      <c r="N7087" s="195">
        <v>131.441</v>
      </c>
    </row>
    <row r="7088" spans="1:14" hidden="1" x14ac:dyDescent="0.35">
      <c r="A7088" s="52" t="s">
        <v>691</v>
      </c>
      <c r="B7088" s="52" t="s">
        <v>34</v>
      </c>
      <c r="C7088" s="52" t="s">
        <v>33</v>
      </c>
      <c r="D7088" s="52" t="s">
        <v>33</v>
      </c>
      <c r="E7088" s="52" t="s">
        <v>604</v>
      </c>
      <c r="F7088" s="52" t="s">
        <v>581</v>
      </c>
      <c r="G7088" s="195" t="s">
        <v>275</v>
      </c>
      <c r="H7088" s="195">
        <v>29.428629999999998</v>
      </c>
      <c r="I7088" s="195">
        <v>-7.7245439999999999</v>
      </c>
      <c r="J7088" s="195">
        <v>40.773000000000003</v>
      </c>
      <c r="K7088" s="195">
        <v>32.302160000000001</v>
      </c>
      <c r="L7088" s="195">
        <v>22.234950000000001</v>
      </c>
      <c r="M7088" s="195">
        <v>19.202169999999999</v>
      </c>
      <c r="N7088" s="195">
        <v>17.207730000000002</v>
      </c>
    </row>
    <row r="7089" spans="1:14" hidden="1" x14ac:dyDescent="0.35">
      <c r="A7089" s="52" t="s">
        <v>691</v>
      </c>
      <c r="B7089" s="52" t="s">
        <v>34</v>
      </c>
      <c r="C7089" s="52" t="s">
        <v>33</v>
      </c>
      <c r="D7089" s="52" t="s">
        <v>33</v>
      </c>
      <c r="E7089" s="52" t="s">
        <v>604</v>
      </c>
      <c r="F7089" s="52" t="s">
        <v>581</v>
      </c>
      <c r="G7089" s="195" t="s">
        <v>276</v>
      </c>
      <c r="H7089" s="195">
        <v>8.1501140000000003</v>
      </c>
      <c r="I7089" s="195">
        <v>-20.599129999999999</v>
      </c>
      <c r="J7089" s="195">
        <v>-11.748889999999999</v>
      </c>
      <c r="K7089" s="195">
        <v>-5.4098240000000004</v>
      </c>
      <c r="L7089" s="195">
        <v>0.81139669999999997</v>
      </c>
      <c r="M7089" s="195">
        <v>5.2460009999999997</v>
      </c>
      <c r="N7089" s="195">
        <v>5.0520180000000003</v>
      </c>
    </row>
    <row r="7090" spans="1:14" hidden="1" x14ac:dyDescent="0.35">
      <c r="A7090" s="52" t="s">
        <v>691</v>
      </c>
      <c r="B7090" s="52" t="s">
        <v>34</v>
      </c>
      <c r="C7090" s="52" t="s">
        <v>33</v>
      </c>
      <c r="D7090" s="52" t="s">
        <v>33</v>
      </c>
      <c r="E7090" s="52" t="s">
        <v>604</v>
      </c>
      <c r="F7090" s="52" t="s">
        <v>581</v>
      </c>
      <c r="G7090" s="195" t="s">
        <v>277</v>
      </c>
      <c r="H7090" s="195">
        <v>110.34099999999999</v>
      </c>
      <c r="I7090" s="195">
        <v>62.976170000000003</v>
      </c>
      <c r="J7090" s="195">
        <v>1.698331</v>
      </c>
      <c r="K7090" s="195">
        <v>1.4402379999999999</v>
      </c>
      <c r="L7090" s="195">
        <v>0.83594659999999998</v>
      </c>
      <c r="M7090" s="195">
        <v>0.30708380000000002</v>
      </c>
      <c r="N7090" s="195">
        <v>0.60262020000000005</v>
      </c>
    </row>
    <row r="7091" spans="1:14" hidden="1" x14ac:dyDescent="0.35">
      <c r="A7091" s="52" t="s">
        <v>691</v>
      </c>
      <c r="B7091" s="52" t="s">
        <v>34</v>
      </c>
      <c r="C7091" s="52" t="s">
        <v>33</v>
      </c>
      <c r="D7091" s="52" t="s">
        <v>33</v>
      </c>
      <c r="E7091" s="52" t="s">
        <v>604</v>
      </c>
      <c r="F7091" s="52" t="s">
        <v>581</v>
      </c>
      <c r="G7091" s="195" t="s">
        <v>278</v>
      </c>
      <c r="H7091" s="195">
        <v>19.73903</v>
      </c>
      <c r="I7091" s="195">
        <v>13.53382</v>
      </c>
      <c r="J7091" s="195">
        <v>5.3326830000000003</v>
      </c>
      <c r="K7091" s="195">
        <v>3.128749</v>
      </c>
      <c r="L7091" s="195">
        <v>1.8529739999999999</v>
      </c>
      <c r="M7091" s="195">
        <v>0.89329579999999997</v>
      </c>
      <c r="N7091" s="195">
        <v>0.5103278</v>
      </c>
    </row>
    <row r="7092" spans="1:14" hidden="1" x14ac:dyDescent="0.35">
      <c r="A7092" s="52" t="s">
        <v>691</v>
      </c>
      <c r="B7092" s="52" t="s">
        <v>34</v>
      </c>
      <c r="C7092" s="52" t="s">
        <v>33</v>
      </c>
      <c r="D7092" s="52" t="s">
        <v>33</v>
      </c>
      <c r="E7092" s="52" t="s">
        <v>604</v>
      </c>
      <c r="F7092" s="52" t="s">
        <v>581</v>
      </c>
      <c r="G7092" s="195" t="s">
        <v>279</v>
      </c>
      <c r="H7092" s="195">
        <v>31.711590000000001</v>
      </c>
      <c r="I7092" s="195">
        <v>28.729659999999999</v>
      </c>
      <c r="J7092" s="195">
        <v>25.831389999999999</v>
      </c>
      <c r="K7092" s="195">
        <v>22.406120000000001</v>
      </c>
      <c r="L7092" s="195">
        <v>22.386800000000001</v>
      </c>
      <c r="M7092" s="195">
        <v>17.619710000000001</v>
      </c>
      <c r="N7092" s="195">
        <v>15.938140000000001</v>
      </c>
    </row>
    <row r="7093" spans="1:14" hidden="1" x14ac:dyDescent="0.35">
      <c r="A7093" s="52" t="s">
        <v>691</v>
      </c>
      <c r="B7093" s="52" t="s">
        <v>34</v>
      </c>
      <c r="C7093" s="52" t="s">
        <v>33</v>
      </c>
      <c r="D7093" s="52" t="s">
        <v>33</v>
      </c>
      <c r="E7093" s="52" t="s">
        <v>604</v>
      </c>
      <c r="F7093" s="52" t="s">
        <v>26</v>
      </c>
      <c r="G7093" s="195" t="s">
        <v>275</v>
      </c>
      <c r="H7093" s="195">
        <v>21.52384</v>
      </c>
      <c r="I7093" s="195">
        <v>6.1114249999999997</v>
      </c>
      <c r="J7093" s="195">
        <v>-1.582152</v>
      </c>
      <c r="K7093" s="195">
        <v>-2.045385</v>
      </c>
      <c r="L7093" s="195">
        <v>-4.6457470000000001</v>
      </c>
      <c r="M7093" s="195">
        <v>-1.5514669999999999</v>
      </c>
      <c r="N7093" s="195">
        <v>-1.611494</v>
      </c>
    </row>
    <row r="7094" spans="1:14" hidden="1" x14ac:dyDescent="0.35">
      <c r="A7094" s="52" t="s">
        <v>691</v>
      </c>
      <c r="B7094" s="52" t="s">
        <v>34</v>
      </c>
      <c r="C7094" s="52" t="s">
        <v>33</v>
      </c>
      <c r="D7094" s="52" t="s">
        <v>33</v>
      </c>
      <c r="E7094" s="52" t="s">
        <v>604</v>
      </c>
      <c r="F7094" s="52" t="s">
        <v>26</v>
      </c>
      <c r="G7094" s="195" t="s">
        <v>276</v>
      </c>
      <c r="H7094" s="195">
        <v>7.3038290000000003</v>
      </c>
      <c r="I7094" s="195">
        <v>2.0371410000000001</v>
      </c>
      <c r="J7094" s="195">
        <v>-0.47074359999999998</v>
      </c>
      <c r="K7094" s="195">
        <v>-0.5740866</v>
      </c>
      <c r="L7094" s="195">
        <v>-1.3947020000000001</v>
      </c>
      <c r="M7094" s="195">
        <v>-0.43199579999999999</v>
      </c>
      <c r="N7094" s="195">
        <v>-0.4562949</v>
      </c>
    </row>
    <row r="7095" spans="1:14" hidden="1" x14ac:dyDescent="0.35">
      <c r="A7095" s="52" t="s">
        <v>691</v>
      </c>
      <c r="B7095" s="52" t="s">
        <v>34</v>
      </c>
      <c r="C7095" s="52" t="s">
        <v>33</v>
      </c>
      <c r="D7095" s="52" t="s">
        <v>33</v>
      </c>
      <c r="E7095" s="52" t="s">
        <v>604</v>
      </c>
      <c r="F7095" s="52" t="s">
        <v>26</v>
      </c>
      <c r="G7095" s="195" t="s">
        <v>279</v>
      </c>
      <c r="H7095" s="195">
        <v>51.090710000000001</v>
      </c>
      <c r="I7095" s="195">
        <v>44.650410000000001</v>
      </c>
      <c r="J7095" s="195">
        <v>40.442070000000001</v>
      </c>
      <c r="K7095" s="195">
        <v>35.542940000000002</v>
      </c>
      <c r="L7095" s="195">
        <v>35.00752</v>
      </c>
      <c r="M7095" s="195">
        <v>27.647929999999999</v>
      </c>
      <c r="N7095" s="195">
        <v>25.026260000000001</v>
      </c>
    </row>
    <row r="7096" spans="1:14" hidden="1" x14ac:dyDescent="0.35">
      <c r="A7096" s="52" t="s">
        <v>691</v>
      </c>
      <c r="B7096" s="52" t="s">
        <v>34</v>
      </c>
      <c r="C7096" s="52" t="s">
        <v>33</v>
      </c>
      <c r="D7096" s="52" t="s">
        <v>33</v>
      </c>
      <c r="E7096" s="52" t="s">
        <v>692</v>
      </c>
      <c r="F7096" s="52" t="s">
        <v>581</v>
      </c>
      <c r="G7096" s="195" t="s">
        <v>275</v>
      </c>
      <c r="H7096" s="195">
        <v>24.237850000000002</v>
      </c>
      <c r="I7096" s="195">
        <v>7.8440430000000001</v>
      </c>
      <c r="J7096" s="195">
        <v>6.6984519999999996</v>
      </c>
      <c r="K7096" s="195">
        <v>5.3244230000000003</v>
      </c>
      <c r="L7096" s="195">
        <v>3.1617739999999999</v>
      </c>
      <c r="M7096" s="195">
        <v>4.0198970000000003</v>
      </c>
      <c r="N7096" s="195">
        <v>3.496159</v>
      </c>
    </row>
    <row r="7097" spans="1:14" hidden="1" x14ac:dyDescent="0.35">
      <c r="A7097" s="52" t="s">
        <v>691</v>
      </c>
      <c r="B7097" s="52" t="s">
        <v>34</v>
      </c>
      <c r="C7097" s="52" t="s">
        <v>33</v>
      </c>
      <c r="D7097" s="52" t="s">
        <v>33</v>
      </c>
      <c r="E7097" s="52" t="s">
        <v>692</v>
      </c>
      <c r="F7097" s="52" t="s">
        <v>581</v>
      </c>
      <c r="G7097" s="195" t="s">
        <v>276</v>
      </c>
      <c r="H7097" s="195">
        <v>7.5009759999999996</v>
      </c>
      <c r="I7097" s="195">
        <v>-3.3305739999999999</v>
      </c>
      <c r="J7097" s="195">
        <v>-1.690995</v>
      </c>
      <c r="K7097" s="195">
        <v>-0.54700510000000002</v>
      </c>
      <c r="L7097" s="195">
        <v>0.44581680000000001</v>
      </c>
      <c r="M7097" s="195">
        <v>0.88923790000000003</v>
      </c>
      <c r="N7097" s="195">
        <v>0.87214239999999998</v>
      </c>
    </row>
    <row r="7098" spans="1:14" hidden="1" x14ac:dyDescent="0.35">
      <c r="A7098" s="52" t="s">
        <v>691</v>
      </c>
      <c r="B7098" s="52" t="s">
        <v>34</v>
      </c>
      <c r="C7098" s="52" t="s">
        <v>33</v>
      </c>
      <c r="D7098" s="52" t="s">
        <v>33</v>
      </c>
      <c r="E7098" s="52" t="s">
        <v>692</v>
      </c>
      <c r="F7098" s="52" t="s">
        <v>581</v>
      </c>
      <c r="G7098" s="195" t="s">
        <v>277</v>
      </c>
      <c r="H7098" s="195">
        <v>23.289339999999999</v>
      </c>
      <c r="I7098" s="195">
        <v>5.53</v>
      </c>
      <c r="J7098" s="195">
        <v>1.10056</v>
      </c>
      <c r="K7098" s="195">
        <v>0.80901420000000002</v>
      </c>
      <c r="L7098" s="195">
        <v>0.5936032</v>
      </c>
      <c r="M7098" s="195">
        <v>0</v>
      </c>
      <c r="N7098" s="195">
        <v>0</v>
      </c>
    </row>
    <row r="7099" spans="1:14" hidden="1" x14ac:dyDescent="0.35">
      <c r="A7099" s="52" t="s">
        <v>691</v>
      </c>
      <c r="B7099" s="52" t="s">
        <v>34</v>
      </c>
      <c r="C7099" s="52" t="s">
        <v>33</v>
      </c>
      <c r="D7099" s="52" t="s">
        <v>33</v>
      </c>
      <c r="E7099" s="52" t="s">
        <v>692</v>
      </c>
      <c r="F7099" s="52" t="s">
        <v>581</v>
      </c>
      <c r="G7099" s="195" t="s">
        <v>278</v>
      </c>
      <c r="H7099" s="195">
        <v>1.710661</v>
      </c>
      <c r="I7099" s="195">
        <v>0.49999900000000003</v>
      </c>
      <c r="J7099" s="195">
        <v>0.76544160000000006</v>
      </c>
      <c r="K7099" s="195">
        <v>0.6153824</v>
      </c>
      <c r="L7099" s="195">
        <v>0.2875142</v>
      </c>
      <c r="M7099" s="195">
        <v>0</v>
      </c>
      <c r="N7099" s="195">
        <v>0</v>
      </c>
    </row>
    <row r="7100" spans="1:14" hidden="1" x14ac:dyDescent="0.35">
      <c r="A7100" s="52" t="s">
        <v>691</v>
      </c>
      <c r="B7100" s="52" t="s">
        <v>34</v>
      </c>
      <c r="C7100" s="52" t="s">
        <v>33</v>
      </c>
      <c r="D7100" s="52" t="s">
        <v>33</v>
      </c>
      <c r="E7100" s="52" t="s">
        <v>692</v>
      </c>
      <c r="F7100" s="52" t="s">
        <v>581</v>
      </c>
      <c r="G7100" s="195" t="s">
        <v>279</v>
      </c>
      <c r="H7100" s="195">
        <v>15.41771</v>
      </c>
      <c r="I7100" s="195">
        <v>12.88517</v>
      </c>
      <c r="J7100" s="195">
        <v>10.56733</v>
      </c>
      <c r="K7100" s="195">
        <v>9.1710630000000002</v>
      </c>
      <c r="L7100" s="195">
        <v>9.1391659999999995</v>
      </c>
      <c r="M7100" s="195">
        <v>7.0168119999999998</v>
      </c>
      <c r="N7100" s="195">
        <v>6.2292949999999996</v>
      </c>
    </row>
    <row r="7101" spans="1:14" hidden="1" x14ac:dyDescent="0.35">
      <c r="A7101" s="52" t="s">
        <v>691</v>
      </c>
      <c r="B7101" s="52" t="s">
        <v>34</v>
      </c>
      <c r="C7101" s="52" t="s">
        <v>33</v>
      </c>
      <c r="D7101" s="52" t="s">
        <v>33</v>
      </c>
      <c r="E7101" s="52" t="s">
        <v>692</v>
      </c>
      <c r="F7101" s="52" t="s">
        <v>26</v>
      </c>
      <c r="G7101" s="195" t="s">
        <v>275</v>
      </c>
      <c r="H7101" s="195">
        <v>4.8056000000000001E-2</v>
      </c>
      <c r="I7101" s="195">
        <v>-0.3134864</v>
      </c>
      <c r="J7101" s="195">
        <v>-0.46029700000000001</v>
      </c>
      <c r="K7101" s="195">
        <v>-0.4183868</v>
      </c>
      <c r="L7101" s="195">
        <v>-0.49773279999999998</v>
      </c>
      <c r="M7101" s="195">
        <v>-0.32054159999999998</v>
      </c>
      <c r="N7101" s="195">
        <v>-0.29176340000000001</v>
      </c>
    </row>
    <row r="7102" spans="1:14" hidden="1" x14ac:dyDescent="0.35">
      <c r="A7102" s="52" t="s">
        <v>691</v>
      </c>
      <c r="B7102" s="52" t="s">
        <v>34</v>
      </c>
      <c r="C7102" s="52" t="s">
        <v>33</v>
      </c>
      <c r="D7102" s="52" t="s">
        <v>33</v>
      </c>
      <c r="E7102" s="52" t="s">
        <v>692</v>
      </c>
      <c r="F7102" s="52" t="s">
        <v>26</v>
      </c>
      <c r="G7102" s="195" t="s">
        <v>276</v>
      </c>
      <c r="H7102" s="195">
        <v>1.7326000000000001E-2</v>
      </c>
      <c r="I7102" s="195">
        <v>-0.1044952</v>
      </c>
      <c r="J7102" s="195">
        <v>-0.14535580000000001</v>
      </c>
      <c r="K7102" s="195">
        <v>-0.1249726</v>
      </c>
      <c r="L7102" s="195">
        <v>-0.14867279999999999</v>
      </c>
      <c r="M7102" s="195">
        <v>-9.5745800000000006E-2</v>
      </c>
      <c r="N7102" s="195">
        <v>-8.7149809999999994E-2</v>
      </c>
    </row>
    <row r="7103" spans="1:14" hidden="1" x14ac:dyDescent="0.35">
      <c r="A7103" s="52" t="s">
        <v>691</v>
      </c>
      <c r="B7103" s="52" t="s">
        <v>34</v>
      </c>
      <c r="C7103" s="52" t="s">
        <v>33</v>
      </c>
      <c r="D7103" s="52" t="s">
        <v>33</v>
      </c>
      <c r="E7103" s="52" t="s">
        <v>692</v>
      </c>
      <c r="F7103" s="52" t="s">
        <v>26</v>
      </c>
      <c r="G7103" s="195" t="s">
        <v>279</v>
      </c>
      <c r="H7103" s="195">
        <v>2.5344289999999998</v>
      </c>
      <c r="I7103" s="195">
        <v>2.1148359999999999</v>
      </c>
      <c r="J7103" s="195">
        <v>1.7517640000000001</v>
      </c>
      <c r="K7103" s="195">
        <v>1.5398890000000001</v>
      </c>
      <c r="L7103" s="195">
        <v>1.517382</v>
      </c>
      <c r="M7103" s="195">
        <v>1.168023</v>
      </c>
      <c r="N7103" s="195">
        <v>1.036978</v>
      </c>
    </row>
    <row r="7104" spans="1:14" hidden="1" x14ac:dyDescent="0.35">
      <c r="A7104" s="52" t="s">
        <v>691</v>
      </c>
      <c r="B7104" s="52" t="s">
        <v>34</v>
      </c>
      <c r="C7104" s="52" t="s">
        <v>33</v>
      </c>
      <c r="D7104" s="52" t="s">
        <v>33</v>
      </c>
      <c r="E7104" s="52" t="s">
        <v>584</v>
      </c>
      <c r="F7104" s="52" t="s">
        <v>581</v>
      </c>
      <c r="G7104" s="195" t="s">
        <v>275</v>
      </c>
      <c r="H7104" s="195">
        <v>43.045729999999999</v>
      </c>
      <c r="I7104" s="195">
        <v>25.703499999999998</v>
      </c>
      <c r="J7104" s="195">
        <v>-562.41849999999999</v>
      </c>
      <c r="K7104" s="195">
        <v>7.0192129999999997</v>
      </c>
      <c r="L7104" s="195">
        <v>-372.69420000000002</v>
      </c>
      <c r="M7104" s="195">
        <v>-4.4537709999999997</v>
      </c>
      <c r="N7104" s="195">
        <v>9.5866019999999996E-2</v>
      </c>
    </row>
    <row r="7105" spans="1:14" hidden="1" x14ac:dyDescent="0.35">
      <c r="A7105" s="52" t="s">
        <v>691</v>
      </c>
      <c r="B7105" s="52" t="s">
        <v>34</v>
      </c>
      <c r="C7105" s="52" t="s">
        <v>33</v>
      </c>
      <c r="D7105" s="52" t="s">
        <v>33</v>
      </c>
      <c r="E7105" s="52" t="s">
        <v>584</v>
      </c>
      <c r="F7105" s="52" t="s">
        <v>581</v>
      </c>
      <c r="G7105" s="195" t="s">
        <v>276</v>
      </c>
      <c r="H7105" s="195">
        <v>-18.790120000000002</v>
      </c>
      <c r="I7105" s="195">
        <v>-24.068739999999998</v>
      </c>
      <c r="J7105" s="195">
        <v>-149.41579999999999</v>
      </c>
      <c r="K7105" s="195">
        <v>-7.562837</v>
      </c>
      <c r="L7105" s="195">
        <v>-120.5732</v>
      </c>
      <c r="M7105" s="195">
        <v>-10.579269999999999</v>
      </c>
      <c r="N7105" s="195">
        <v>2.863601E-2</v>
      </c>
    </row>
    <row r="7106" spans="1:14" hidden="1" x14ac:dyDescent="0.35">
      <c r="A7106" s="52" t="s">
        <v>691</v>
      </c>
      <c r="B7106" s="52" t="s">
        <v>34</v>
      </c>
      <c r="C7106" s="52" t="s">
        <v>33</v>
      </c>
      <c r="D7106" s="52" t="s">
        <v>33</v>
      </c>
      <c r="E7106" s="52" t="s">
        <v>584</v>
      </c>
      <c r="F7106" s="52" t="s">
        <v>581</v>
      </c>
      <c r="G7106" s="195" t="s">
        <v>277</v>
      </c>
      <c r="H7106" s="195">
        <v>5.4980010000000004</v>
      </c>
      <c r="I7106" s="195">
        <v>0</v>
      </c>
      <c r="J7106" s="195"/>
      <c r="K7106" s="195">
        <v>0</v>
      </c>
      <c r="L7106" s="195"/>
      <c r="M7106" s="195"/>
      <c r="N7106" s="195"/>
    </row>
    <row r="7107" spans="1:14" hidden="1" x14ac:dyDescent="0.35">
      <c r="A7107" s="52" t="s">
        <v>691</v>
      </c>
      <c r="B7107" s="52" t="s">
        <v>34</v>
      </c>
      <c r="C7107" s="52" t="s">
        <v>33</v>
      </c>
      <c r="D7107" s="52" t="s">
        <v>33</v>
      </c>
      <c r="E7107" s="52" t="s">
        <v>584</v>
      </c>
      <c r="F7107" s="52" t="s">
        <v>581</v>
      </c>
      <c r="G7107" s="195" t="s">
        <v>279</v>
      </c>
      <c r="H7107" s="195">
        <v>17.32377</v>
      </c>
      <c r="I7107" s="195">
        <v>15.968769999999999</v>
      </c>
      <c r="J7107" s="195">
        <v>601.61929999999995</v>
      </c>
      <c r="K7107" s="195">
        <v>13.619400000000001</v>
      </c>
      <c r="L7107" s="195">
        <v>496.63799999999998</v>
      </c>
      <c r="M7107" s="195">
        <v>18.179580000000001</v>
      </c>
      <c r="N7107" s="195">
        <v>2.7857440000000002</v>
      </c>
    </row>
    <row r="7108" spans="1:14" hidden="1" x14ac:dyDescent="0.35">
      <c r="A7108" s="52" t="s">
        <v>691</v>
      </c>
      <c r="B7108" s="52" t="s">
        <v>34</v>
      </c>
      <c r="C7108" s="52" t="s">
        <v>33</v>
      </c>
      <c r="D7108" s="52" t="s">
        <v>33</v>
      </c>
      <c r="E7108" s="52" t="s">
        <v>584</v>
      </c>
      <c r="F7108" s="52" t="s">
        <v>26</v>
      </c>
      <c r="G7108" s="195" t="s">
        <v>275</v>
      </c>
      <c r="H7108" s="195">
        <v>-5.9795239999999996</v>
      </c>
      <c r="I7108" s="195">
        <v>-0.27689530000000001</v>
      </c>
      <c r="J7108" s="195">
        <v>-19.79599</v>
      </c>
      <c r="K7108" s="195">
        <v>-2.9006789999999998</v>
      </c>
      <c r="L7108" s="195">
        <v>-46.87603</v>
      </c>
      <c r="M7108" s="195">
        <v>-10.5617</v>
      </c>
      <c r="N7108" s="195">
        <v>-4.9172750000000001</v>
      </c>
    </row>
    <row r="7109" spans="1:14" hidden="1" x14ac:dyDescent="0.35">
      <c r="A7109" s="52" t="s">
        <v>691</v>
      </c>
      <c r="B7109" s="52" t="s">
        <v>34</v>
      </c>
      <c r="C7109" s="52" t="s">
        <v>33</v>
      </c>
      <c r="D7109" s="52" t="s">
        <v>33</v>
      </c>
      <c r="E7109" s="52" t="s">
        <v>584</v>
      </c>
      <c r="F7109" s="52" t="s">
        <v>26</v>
      </c>
      <c r="G7109" s="195" t="s">
        <v>276</v>
      </c>
      <c r="H7109" s="195">
        <v>-1.679986</v>
      </c>
      <c r="I7109" s="195">
        <v>-1.553601</v>
      </c>
      <c r="J7109" s="195">
        <v>-7.4414680000000004</v>
      </c>
      <c r="K7109" s="195">
        <v>-1.3182959999999999</v>
      </c>
      <c r="L7109" s="195">
        <v>-14.00193</v>
      </c>
      <c r="M7109" s="195">
        <v>-3.154792</v>
      </c>
      <c r="N7109" s="195">
        <v>-1.468796</v>
      </c>
    </row>
    <row r="7110" spans="1:14" hidden="1" x14ac:dyDescent="0.35">
      <c r="A7110" s="52" t="s">
        <v>691</v>
      </c>
      <c r="B7110" s="52" t="s">
        <v>34</v>
      </c>
      <c r="C7110" s="52" t="s">
        <v>33</v>
      </c>
      <c r="D7110" s="52" t="s">
        <v>33</v>
      </c>
      <c r="E7110" s="52" t="s">
        <v>584</v>
      </c>
      <c r="F7110" s="52" t="s">
        <v>26</v>
      </c>
      <c r="G7110" s="195" t="s">
        <v>277</v>
      </c>
      <c r="H7110" s="195">
        <v>6.050999</v>
      </c>
      <c r="I7110" s="195">
        <v>0</v>
      </c>
      <c r="J7110" s="195"/>
      <c r="K7110" s="195">
        <v>0</v>
      </c>
      <c r="L7110" s="195"/>
      <c r="M7110" s="195"/>
      <c r="N7110" s="195"/>
    </row>
    <row r="7111" spans="1:14" hidden="1" x14ac:dyDescent="0.35">
      <c r="A7111" s="52" t="s">
        <v>691</v>
      </c>
      <c r="B7111" s="52" t="s">
        <v>34</v>
      </c>
      <c r="C7111" s="52" t="s">
        <v>33</v>
      </c>
      <c r="D7111" s="52" t="s">
        <v>33</v>
      </c>
      <c r="E7111" s="52" t="s">
        <v>584</v>
      </c>
      <c r="F7111" s="52" t="s">
        <v>26</v>
      </c>
      <c r="G7111" s="195" t="s">
        <v>279</v>
      </c>
      <c r="H7111" s="195">
        <v>7.7618359999999997</v>
      </c>
      <c r="I7111" s="195">
        <v>5.5696450000000004</v>
      </c>
      <c r="J7111" s="195">
        <v>29.560829999999999</v>
      </c>
      <c r="K7111" s="195">
        <v>5.6115529999999998</v>
      </c>
      <c r="L7111" s="195">
        <v>61.381889999999999</v>
      </c>
      <c r="M7111" s="195">
        <v>14.07185</v>
      </c>
      <c r="N7111" s="195">
        <v>6.457516</v>
      </c>
    </row>
    <row r="7112" spans="1:14" hidden="1" x14ac:dyDescent="0.35">
      <c r="A7112" s="52" t="s">
        <v>734</v>
      </c>
      <c r="B7112" s="52" t="s">
        <v>37</v>
      </c>
      <c r="C7112" s="52" t="s">
        <v>51</v>
      </c>
      <c r="D7112" s="52" t="s">
        <v>51</v>
      </c>
      <c r="E7112" s="52" t="s">
        <v>602</v>
      </c>
      <c r="F7112" s="52" t="s">
        <v>581</v>
      </c>
      <c r="G7112" s="195" t="s">
        <v>275</v>
      </c>
      <c r="H7112" s="195">
        <v>-15.39762</v>
      </c>
      <c r="I7112" s="195">
        <v>-4.9183240000000001</v>
      </c>
      <c r="J7112" s="195">
        <v>11.23662</v>
      </c>
      <c r="K7112" s="195">
        <v>23.95025</v>
      </c>
      <c r="L7112" s="195">
        <v>13.10238</v>
      </c>
      <c r="M7112" s="195">
        <v>-8.3505540000000007</v>
      </c>
      <c r="N7112" s="195">
        <v>-8.8495369999999998</v>
      </c>
    </row>
    <row r="7113" spans="1:14" hidden="1" x14ac:dyDescent="0.35">
      <c r="A7113" s="52" t="s">
        <v>734</v>
      </c>
      <c r="B7113" s="52" t="s">
        <v>37</v>
      </c>
      <c r="C7113" s="52" t="s">
        <v>51</v>
      </c>
      <c r="D7113" s="52" t="s">
        <v>51</v>
      </c>
      <c r="E7113" s="52" t="s">
        <v>602</v>
      </c>
      <c r="F7113" s="52" t="s">
        <v>581</v>
      </c>
      <c r="G7113" s="195" t="s">
        <v>276</v>
      </c>
      <c r="H7113" s="195">
        <v>18.613759999999999</v>
      </c>
      <c r="I7113" s="195">
        <v>-35.339329999999997</v>
      </c>
      <c r="J7113" s="195">
        <v>-42.54748</v>
      </c>
      <c r="K7113" s="195">
        <v>-40.91778</v>
      </c>
      <c r="L7113" s="195">
        <v>-36.375430000000001</v>
      </c>
      <c r="M7113" s="195">
        <v>-8.1305650000000007</v>
      </c>
      <c r="N7113" s="195">
        <v>-4.766667</v>
      </c>
    </row>
    <row r="7114" spans="1:14" hidden="1" x14ac:dyDescent="0.35">
      <c r="A7114" s="52" t="s">
        <v>734</v>
      </c>
      <c r="B7114" s="52" t="s">
        <v>37</v>
      </c>
      <c r="C7114" s="52" t="s">
        <v>51</v>
      </c>
      <c r="D7114" s="52" t="s">
        <v>51</v>
      </c>
      <c r="E7114" s="52" t="s">
        <v>602</v>
      </c>
      <c r="F7114" s="52" t="s">
        <v>581</v>
      </c>
      <c r="G7114" s="195" t="s">
        <v>277</v>
      </c>
      <c r="H7114" s="195">
        <v>346.8426</v>
      </c>
      <c r="I7114" s="195">
        <v>47.035469999999997</v>
      </c>
      <c r="J7114" s="195">
        <v>8.9153110000000009</v>
      </c>
      <c r="K7114" s="195">
        <v>0.28928300000000001</v>
      </c>
      <c r="L7114" s="195"/>
      <c r="M7114" s="195">
        <v>0</v>
      </c>
      <c r="N7114" s="195">
        <v>0</v>
      </c>
    </row>
    <row r="7115" spans="1:14" hidden="1" x14ac:dyDescent="0.35">
      <c r="A7115" s="52" t="s">
        <v>734</v>
      </c>
      <c r="B7115" s="52" t="s">
        <v>37</v>
      </c>
      <c r="C7115" s="52" t="s">
        <v>51</v>
      </c>
      <c r="D7115" s="52" t="s">
        <v>51</v>
      </c>
      <c r="E7115" s="52" t="s">
        <v>602</v>
      </c>
      <c r="F7115" s="52" t="s">
        <v>581</v>
      </c>
      <c r="G7115" s="195" t="s">
        <v>278</v>
      </c>
      <c r="H7115" s="195">
        <v>0.29739300000000002</v>
      </c>
      <c r="I7115" s="195">
        <v>0.224937</v>
      </c>
      <c r="J7115" s="195">
        <v>11.748239999999999</v>
      </c>
      <c r="K7115" s="195">
        <v>4.8663179999999997</v>
      </c>
      <c r="L7115" s="195">
        <v>0.65049699999999999</v>
      </c>
      <c r="M7115" s="195">
        <v>1.09744E-2</v>
      </c>
      <c r="N7115" s="195">
        <v>0</v>
      </c>
    </row>
    <row r="7116" spans="1:14" hidden="1" x14ac:dyDescent="0.35">
      <c r="A7116" s="52" t="s">
        <v>734</v>
      </c>
      <c r="B7116" s="52" t="s">
        <v>37</v>
      </c>
      <c r="C7116" s="52" t="s">
        <v>51</v>
      </c>
      <c r="D7116" s="52" t="s">
        <v>51</v>
      </c>
      <c r="E7116" s="52" t="s">
        <v>602</v>
      </c>
      <c r="F7116" s="52" t="s">
        <v>581</v>
      </c>
      <c r="G7116" s="195" t="s">
        <v>279</v>
      </c>
      <c r="H7116" s="195">
        <v>266.05540000000002</v>
      </c>
      <c r="I7116" s="195">
        <v>209.86009999999999</v>
      </c>
      <c r="J7116" s="195">
        <v>188.0522</v>
      </c>
      <c r="K7116" s="195">
        <v>152.64439999999999</v>
      </c>
      <c r="L7116" s="195">
        <v>129.4196</v>
      </c>
      <c r="M7116" s="195">
        <v>100.896</v>
      </c>
      <c r="N7116" s="195">
        <v>84.109459999999999</v>
      </c>
    </row>
    <row r="7117" spans="1:14" hidden="1" x14ac:dyDescent="0.35">
      <c r="A7117" s="52" t="s">
        <v>734</v>
      </c>
      <c r="B7117" s="52" t="s">
        <v>37</v>
      </c>
      <c r="C7117" s="52" t="s">
        <v>51</v>
      </c>
      <c r="D7117" s="52" t="s">
        <v>51</v>
      </c>
      <c r="E7117" s="52" t="s">
        <v>602</v>
      </c>
      <c r="F7117" s="52" t="s">
        <v>26</v>
      </c>
      <c r="G7117" s="195" t="s">
        <v>275</v>
      </c>
      <c r="H7117" s="195">
        <v>-8.6376919999999995</v>
      </c>
      <c r="I7117" s="195">
        <v>-9.1784189999999999</v>
      </c>
      <c r="J7117" s="195">
        <v>-7.9253970000000002</v>
      </c>
      <c r="K7117" s="195">
        <v>-6.5966570000000004</v>
      </c>
      <c r="L7117" s="195">
        <v>-6.0953569999999999</v>
      </c>
      <c r="M7117" s="195">
        <v>-4.7179719999999996</v>
      </c>
      <c r="N7117" s="195">
        <v>-3.9289809999999998</v>
      </c>
    </row>
    <row r="7118" spans="1:14" hidden="1" x14ac:dyDescent="0.35">
      <c r="A7118" s="52" t="s">
        <v>734</v>
      </c>
      <c r="B7118" s="52" t="s">
        <v>37</v>
      </c>
      <c r="C7118" s="52" t="s">
        <v>51</v>
      </c>
      <c r="D7118" s="52" t="s">
        <v>51</v>
      </c>
      <c r="E7118" s="52" t="s">
        <v>602</v>
      </c>
      <c r="F7118" s="52" t="s">
        <v>26</v>
      </c>
      <c r="G7118" s="195" t="s">
        <v>276</v>
      </c>
      <c r="H7118" s="195">
        <v>-2.2961070000000001</v>
      </c>
      <c r="I7118" s="195">
        <v>-2.4398300000000002</v>
      </c>
      <c r="J7118" s="195">
        <v>-2.1067399999999998</v>
      </c>
      <c r="K7118" s="195">
        <v>-1.7535339999999999</v>
      </c>
      <c r="L7118" s="195">
        <v>-1.6202859999999999</v>
      </c>
      <c r="M7118" s="195">
        <v>-1.2541450000000001</v>
      </c>
      <c r="N7118" s="195">
        <v>-1.0444119999999999</v>
      </c>
    </row>
    <row r="7119" spans="1:14" hidden="1" x14ac:dyDescent="0.35">
      <c r="A7119" s="52" t="s">
        <v>734</v>
      </c>
      <c r="B7119" s="52" t="s">
        <v>37</v>
      </c>
      <c r="C7119" s="52" t="s">
        <v>51</v>
      </c>
      <c r="D7119" s="52" t="s">
        <v>51</v>
      </c>
      <c r="E7119" s="52" t="s">
        <v>602</v>
      </c>
      <c r="F7119" s="52" t="s">
        <v>26</v>
      </c>
      <c r="G7119" s="195" t="s">
        <v>279</v>
      </c>
      <c r="H7119" s="195">
        <v>21.30809</v>
      </c>
      <c r="I7119" s="195">
        <v>20.325369999999999</v>
      </c>
      <c r="J7119" s="195">
        <v>18.338200000000001</v>
      </c>
      <c r="K7119" s="195">
        <v>14.92544</v>
      </c>
      <c r="L7119" s="195">
        <v>12.69239</v>
      </c>
      <c r="M7119" s="195">
        <v>9.8921259999999993</v>
      </c>
      <c r="N7119" s="195">
        <v>8.2452609999999993</v>
      </c>
    </row>
    <row r="7120" spans="1:14" hidden="1" x14ac:dyDescent="0.35">
      <c r="A7120" s="52" t="s">
        <v>734</v>
      </c>
      <c r="B7120" s="52" t="s">
        <v>37</v>
      </c>
      <c r="C7120" s="52" t="s">
        <v>63</v>
      </c>
      <c r="D7120" s="52" t="s">
        <v>63</v>
      </c>
      <c r="E7120" s="52" t="s">
        <v>621</v>
      </c>
      <c r="F7120" s="52" t="s">
        <v>26</v>
      </c>
      <c r="G7120" s="195" t="s">
        <v>275</v>
      </c>
      <c r="H7120" s="195">
        <v>30.638809999999999</v>
      </c>
      <c r="I7120" s="195">
        <v>30.119479999999999</v>
      </c>
      <c r="J7120" s="195">
        <v>30.391680000000001</v>
      </c>
      <c r="K7120" s="195">
        <v>26.989650000000001</v>
      </c>
      <c r="L7120" s="195">
        <v>21.550599999999999</v>
      </c>
      <c r="M7120" s="195">
        <v>17.97551</v>
      </c>
      <c r="N7120" s="195">
        <v>9.7732419999999998</v>
      </c>
    </row>
    <row r="7121" spans="1:14" hidden="1" x14ac:dyDescent="0.35">
      <c r="A7121" s="52" t="s">
        <v>734</v>
      </c>
      <c r="B7121" s="52" t="s">
        <v>37</v>
      </c>
      <c r="C7121" s="52" t="s">
        <v>63</v>
      </c>
      <c r="D7121" s="52" t="s">
        <v>63</v>
      </c>
      <c r="E7121" s="52" t="s">
        <v>621</v>
      </c>
      <c r="F7121" s="52" t="s">
        <v>26</v>
      </c>
      <c r="G7121" s="195" t="s">
        <v>276</v>
      </c>
      <c r="H7121" s="195">
        <v>4.3289150000000003</v>
      </c>
      <c r="I7121" s="195">
        <v>-0.83051459999999999</v>
      </c>
      <c r="J7121" s="195">
        <v>3.368055</v>
      </c>
      <c r="K7121" s="195">
        <v>2.5965690000000001</v>
      </c>
      <c r="L7121" s="195">
        <v>1.1151979999999999</v>
      </c>
      <c r="M7121" s="195">
        <v>2.2661669999999998</v>
      </c>
      <c r="N7121" s="195">
        <v>3.7147039999999998</v>
      </c>
    </row>
    <row r="7122" spans="1:14" hidden="1" x14ac:dyDescent="0.35">
      <c r="A7122" s="52" t="s">
        <v>734</v>
      </c>
      <c r="B7122" s="52" t="s">
        <v>37</v>
      </c>
      <c r="C7122" s="52" t="s">
        <v>63</v>
      </c>
      <c r="D7122" s="52" t="s">
        <v>63</v>
      </c>
      <c r="E7122" s="52" t="s">
        <v>621</v>
      </c>
      <c r="F7122" s="52" t="s">
        <v>26</v>
      </c>
      <c r="G7122" s="195" t="s">
        <v>277</v>
      </c>
      <c r="H7122" s="195">
        <v>37.126959999999997</v>
      </c>
      <c r="I7122" s="195">
        <v>9.4632900000000006</v>
      </c>
      <c r="J7122" s="195">
        <v>4.2938929999999997</v>
      </c>
      <c r="K7122" s="195">
        <v>2.8268409999999999</v>
      </c>
      <c r="L7122" s="195">
        <v>2.98434</v>
      </c>
      <c r="M7122" s="195">
        <v>3.6269330000000002</v>
      </c>
      <c r="N7122" s="195">
        <v>9.6727059999999998</v>
      </c>
    </row>
    <row r="7123" spans="1:14" hidden="1" x14ac:dyDescent="0.35">
      <c r="A7123" s="52" t="s">
        <v>734</v>
      </c>
      <c r="B7123" s="52" t="s">
        <v>37</v>
      </c>
      <c r="C7123" s="52" t="s">
        <v>63</v>
      </c>
      <c r="D7123" s="52" t="s">
        <v>63</v>
      </c>
      <c r="E7123" s="52" t="s">
        <v>621</v>
      </c>
      <c r="F7123" s="52" t="s">
        <v>26</v>
      </c>
      <c r="G7123" s="195" t="s">
        <v>278</v>
      </c>
      <c r="H7123" s="195">
        <v>2.3045E-2</v>
      </c>
      <c r="I7123" s="195">
        <v>2.6383E-2</v>
      </c>
      <c r="J7123" s="195">
        <v>0.97416809999999998</v>
      </c>
      <c r="K7123" s="195">
        <v>0.90537199999999995</v>
      </c>
      <c r="L7123" s="195">
        <v>0.42719099999999999</v>
      </c>
      <c r="M7123" s="195">
        <v>0.268733</v>
      </c>
      <c r="N7123" s="195">
        <v>0.11956700000000001</v>
      </c>
    </row>
    <row r="7124" spans="1:14" hidden="1" x14ac:dyDescent="0.35">
      <c r="A7124" s="52" t="s">
        <v>734</v>
      </c>
      <c r="B7124" s="52" t="s">
        <v>37</v>
      </c>
      <c r="C7124" s="52" t="s">
        <v>63</v>
      </c>
      <c r="D7124" s="52" t="s">
        <v>63</v>
      </c>
      <c r="E7124" s="52" t="s">
        <v>621</v>
      </c>
      <c r="F7124" s="52" t="s">
        <v>26</v>
      </c>
      <c r="G7124" s="195" t="s">
        <v>279</v>
      </c>
      <c r="H7124" s="195">
        <v>83.161590000000004</v>
      </c>
      <c r="I7124" s="195">
        <v>59.632750000000001</v>
      </c>
      <c r="J7124" s="195">
        <v>56.234760000000001</v>
      </c>
      <c r="K7124" s="195">
        <v>55.71734</v>
      </c>
      <c r="L7124" s="195">
        <v>53.706850000000003</v>
      </c>
      <c r="M7124" s="195">
        <v>49.706890000000001</v>
      </c>
      <c r="N7124" s="195">
        <v>47.91395</v>
      </c>
    </row>
    <row r="7125" spans="1:14" hidden="1" x14ac:dyDescent="0.35">
      <c r="A7125" s="52" t="s">
        <v>734</v>
      </c>
      <c r="B7125" s="52" t="s">
        <v>37</v>
      </c>
      <c r="C7125" s="52" t="s">
        <v>248</v>
      </c>
      <c r="D7125" s="52" t="s">
        <v>248</v>
      </c>
      <c r="E7125" s="52" t="s">
        <v>584</v>
      </c>
      <c r="F7125" s="52" t="s">
        <v>581</v>
      </c>
      <c r="G7125" s="195" t="s">
        <v>275</v>
      </c>
      <c r="H7125" s="195">
        <v>19.711169999999999</v>
      </c>
      <c r="I7125" s="195">
        <v>1.5854999999999999</v>
      </c>
      <c r="J7125" s="195">
        <v>0.79151400000000005</v>
      </c>
      <c r="K7125" s="195">
        <v>0.53138300000000005</v>
      </c>
      <c r="L7125" s="195">
        <v>-4.9514550000000002</v>
      </c>
      <c r="M7125" s="195">
        <v>0.28194059999999999</v>
      </c>
      <c r="N7125" s="195"/>
    </row>
    <row r="7126" spans="1:14" hidden="1" x14ac:dyDescent="0.35">
      <c r="A7126" s="52" t="s">
        <v>734</v>
      </c>
      <c r="B7126" s="52" t="s">
        <v>37</v>
      </c>
      <c r="C7126" s="52" t="s">
        <v>248</v>
      </c>
      <c r="D7126" s="52" t="s">
        <v>248</v>
      </c>
      <c r="E7126" s="52" t="s">
        <v>584</v>
      </c>
      <c r="F7126" s="52" t="s">
        <v>581</v>
      </c>
      <c r="G7126" s="195" t="s">
        <v>276</v>
      </c>
      <c r="H7126" s="195">
        <v>4.9701610000000001</v>
      </c>
      <c r="I7126" s="195">
        <v>0.38586939999999997</v>
      </c>
      <c r="J7126" s="195">
        <v>-0.15927559999999999</v>
      </c>
      <c r="K7126" s="195">
        <v>0.10585120000000001</v>
      </c>
      <c r="L7126" s="195">
        <v>-1.3491850000000001</v>
      </c>
      <c r="M7126" s="195">
        <v>-3.8387190000000002E-2</v>
      </c>
      <c r="N7126" s="195"/>
    </row>
    <row r="7127" spans="1:14" hidden="1" x14ac:dyDescent="0.35">
      <c r="A7127" s="52" t="s">
        <v>734</v>
      </c>
      <c r="B7127" s="52" t="s">
        <v>37</v>
      </c>
      <c r="C7127" s="52" t="s">
        <v>248</v>
      </c>
      <c r="D7127" s="52" t="s">
        <v>248</v>
      </c>
      <c r="E7127" s="52" t="s">
        <v>584</v>
      </c>
      <c r="F7127" s="52" t="s">
        <v>581</v>
      </c>
      <c r="G7127" s="195" t="s">
        <v>277</v>
      </c>
      <c r="H7127" s="195">
        <v>0</v>
      </c>
      <c r="I7127" s="195">
        <v>0.93664400000000003</v>
      </c>
      <c r="J7127" s="195">
        <v>0.81492200000000004</v>
      </c>
      <c r="K7127" s="195"/>
      <c r="L7127" s="195"/>
      <c r="M7127" s="195"/>
      <c r="N7127" s="195"/>
    </row>
    <row r="7128" spans="1:14" hidden="1" x14ac:dyDescent="0.35">
      <c r="A7128" s="52" t="s">
        <v>734</v>
      </c>
      <c r="B7128" s="52" t="s">
        <v>37</v>
      </c>
      <c r="C7128" s="52" t="s">
        <v>248</v>
      </c>
      <c r="D7128" s="52" t="s">
        <v>248</v>
      </c>
      <c r="E7128" s="52" t="s">
        <v>584</v>
      </c>
      <c r="F7128" s="52" t="s">
        <v>581</v>
      </c>
      <c r="G7128" s="195" t="s">
        <v>278</v>
      </c>
      <c r="H7128" s="195">
        <v>0</v>
      </c>
      <c r="I7128" s="195"/>
      <c r="J7128" s="195"/>
      <c r="K7128" s="195"/>
      <c r="L7128" s="195"/>
      <c r="M7128" s="195"/>
      <c r="N7128" s="195"/>
    </row>
    <row r="7129" spans="1:14" hidden="1" x14ac:dyDescent="0.35">
      <c r="A7129" s="52" t="s">
        <v>734</v>
      </c>
      <c r="B7129" s="52" t="s">
        <v>37</v>
      </c>
      <c r="C7129" s="52" t="s">
        <v>248</v>
      </c>
      <c r="D7129" s="52" t="s">
        <v>248</v>
      </c>
      <c r="E7129" s="52" t="s">
        <v>584</v>
      </c>
      <c r="F7129" s="52" t="s">
        <v>581</v>
      </c>
      <c r="G7129" s="195" t="s">
        <v>279</v>
      </c>
      <c r="H7129" s="195">
        <v>13.06559</v>
      </c>
      <c r="I7129" s="195">
        <v>8.3669170000000008</v>
      </c>
      <c r="J7129" s="195">
        <v>6.8517049999999999</v>
      </c>
      <c r="K7129" s="195">
        <v>6.2745810000000004</v>
      </c>
      <c r="L7129" s="195">
        <v>7.7406600000000001</v>
      </c>
      <c r="M7129" s="195">
        <v>0.94945349999999995</v>
      </c>
      <c r="N7129" s="195"/>
    </row>
    <row r="7130" spans="1:14" hidden="1" x14ac:dyDescent="0.35">
      <c r="A7130" s="52" t="s">
        <v>734</v>
      </c>
      <c r="B7130" s="52" t="s">
        <v>37</v>
      </c>
      <c r="C7130" s="52" t="s">
        <v>248</v>
      </c>
      <c r="D7130" s="52" t="s">
        <v>248</v>
      </c>
      <c r="E7130" s="52" t="s">
        <v>584</v>
      </c>
      <c r="F7130" s="52" t="s">
        <v>26</v>
      </c>
      <c r="G7130" s="195" t="s">
        <v>275</v>
      </c>
      <c r="H7130" s="195">
        <v>-0.35545700000000002</v>
      </c>
      <c r="I7130" s="195">
        <v>-0.39217180000000001</v>
      </c>
      <c r="J7130" s="195">
        <v>-0.2211748</v>
      </c>
      <c r="K7130" s="195">
        <v>-0.2259022</v>
      </c>
      <c r="L7130" s="195">
        <v>-0.44698599999999999</v>
      </c>
      <c r="M7130" s="195"/>
      <c r="N7130" s="195"/>
    </row>
    <row r="7131" spans="1:14" hidden="1" x14ac:dyDescent="0.35">
      <c r="A7131" s="52" t="s">
        <v>734</v>
      </c>
      <c r="B7131" s="52" t="s">
        <v>37</v>
      </c>
      <c r="C7131" s="52" t="s">
        <v>248</v>
      </c>
      <c r="D7131" s="52" t="s">
        <v>248</v>
      </c>
      <c r="E7131" s="52" t="s">
        <v>584</v>
      </c>
      <c r="F7131" s="52" t="s">
        <v>26</v>
      </c>
      <c r="G7131" s="195" t="s">
        <v>276</v>
      </c>
      <c r="H7131" s="195">
        <v>-9.4489000000000004E-2</v>
      </c>
      <c r="I7131" s="195">
        <v>-0.1042478</v>
      </c>
      <c r="J7131" s="195">
        <v>-5.8792999999999998E-2</v>
      </c>
      <c r="K7131" s="195">
        <v>-6.0050199999999998E-2</v>
      </c>
      <c r="L7131" s="195">
        <v>-0.11881940000000001</v>
      </c>
      <c r="M7131" s="195"/>
      <c r="N7131" s="195"/>
    </row>
    <row r="7132" spans="1:14" hidden="1" x14ac:dyDescent="0.35">
      <c r="A7132" s="52" t="s">
        <v>734</v>
      </c>
      <c r="B7132" s="52" t="s">
        <v>37</v>
      </c>
      <c r="C7132" s="52" t="s">
        <v>248</v>
      </c>
      <c r="D7132" s="52" t="s">
        <v>248</v>
      </c>
      <c r="E7132" s="52" t="s">
        <v>584</v>
      </c>
      <c r="F7132" s="52" t="s">
        <v>26</v>
      </c>
      <c r="G7132" s="195" t="s">
        <v>279</v>
      </c>
      <c r="H7132" s="195">
        <v>4.2162569999999997</v>
      </c>
      <c r="I7132" s="195">
        <v>2.4679530000000001</v>
      </c>
      <c r="J7132" s="195">
        <v>1.6428959999999999</v>
      </c>
      <c r="K7132" s="195">
        <v>1.2221519999999999</v>
      </c>
      <c r="L7132" s="195">
        <v>0.70739719999999995</v>
      </c>
      <c r="M7132" s="195">
        <v>0.12325700000000001</v>
      </c>
      <c r="N7132" s="195"/>
    </row>
    <row r="7133" spans="1:14" hidden="1" x14ac:dyDescent="0.35">
      <c r="A7133" s="52" t="s">
        <v>734</v>
      </c>
      <c r="B7133" s="52" t="s">
        <v>37</v>
      </c>
      <c r="C7133" s="52" t="s">
        <v>218</v>
      </c>
      <c r="D7133" s="52" t="s">
        <v>218</v>
      </c>
      <c r="E7133" s="52" t="s">
        <v>593</v>
      </c>
      <c r="F7133" s="52" t="s">
        <v>581</v>
      </c>
      <c r="G7133" s="195" t="s">
        <v>275</v>
      </c>
      <c r="H7133" s="195">
        <v>-41.77948</v>
      </c>
      <c r="I7133" s="195">
        <v>4.5160140000000001E-2</v>
      </c>
      <c r="J7133" s="195">
        <v>3.566487</v>
      </c>
      <c r="K7133" s="195">
        <v>3.9568669999999999</v>
      </c>
      <c r="L7133" s="195">
        <v>4.7728450000000002</v>
      </c>
      <c r="M7133" s="195">
        <v>1.7300679999999999</v>
      </c>
      <c r="N7133" s="195">
        <v>1.1947099999999999</v>
      </c>
    </row>
    <row r="7134" spans="1:14" hidden="1" x14ac:dyDescent="0.35">
      <c r="A7134" s="52" t="s">
        <v>734</v>
      </c>
      <c r="B7134" s="52" t="s">
        <v>37</v>
      </c>
      <c r="C7134" s="52" t="s">
        <v>218</v>
      </c>
      <c r="D7134" s="52" t="s">
        <v>218</v>
      </c>
      <c r="E7134" s="52" t="s">
        <v>593</v>
      </c>
      <c r="F7134" s="52" t="s">
        <v>581</v>
      </c>
      <c r="G7134" s="195" t="s">
        <v>276</v>
      </c>
      <c r="H7134" s="195">
        <v>-1.4218649999999999</v>
      </c>
      <c r="I7134" s="195">
        <v>-2.3969049999999998</v>
      </c>
      <c r="J7134" s="195">
        <v>-2.816986</v>
      </c>
      <c r="K7134" s="195">
        <v>-3.679338</v>
      </c>
      <c r="L7134" s="195">
        <v>-4.5954449999999998</v>
      </c>
      <c r="M7134" s="195">
        <v>-0.3163474</v>
      </c>
      <c r="N7134" s="195">
        <v>3.7314399999999998E-2</v>
      </c>
    </row>
    <row r="7135" spans="1:14" hidden="1" x14ac:dyDescent="0.35">
      <c r="A7135" s="52" t="s">
        <v>734</v>
      </c>
      <c r="B7135" s="52" t="s">
        <v>37</v>
      </c>
      <c r="C7135" s="52" t="s">
        <v>218</v>
      </c>
      <c r="D7135" s="52" t="s">
        <v>218</v>
      </c>
      <c r="E7135" s="52" t="s">
        <v>593</v>
      </c>
      <c r="F7135" s="52" t="s">
        <v>581</v>
      </c>
      <c r="G7135" s="195" t="s">
        <v>277</v>
      </c>
      <c r="H7135" s="195">
        <v>53.368319999999997</v>
      </c>
      <c r="I7135" s="195">
        <v>5.6540549999999996</v>
      </c>
      <c r="J7135" s="195">
        <v>0.49221700000000002</v>
      </c>
      <c r="K7135" s="195">
        <v>0.41679919999999998</v>
      </c>
      <c r="L7135" s="195">
        <v>0.3183686</v>
      </c>
      <c r="M7135" s="195">
        <v>0</v>
      </c>
      <c r="N7135" s="195">
        <v>0</v>
      </c>
    </row>
    <row r="7136" spans="1:14" hidden="1" x14ac:dyDescent="0.35">
      <c r="A7136" s="52" t="s">
        <v>734</v>
      </c>
      <c r="B7136" s="52" t="s">
        <v>37</v>
      </c>
      <c r="C7136" s="52" t="s">
        <v>218</v>
      </c>
      <c r="D7136" s="52" t="s">
        <v>218</v>
      </c>
      <c r="E7136" s="52" t="s">
        <v>593</v>
      </c>
      <c r="F7136" s="52" t="s">
        <v>581</v>
      </c>
      <c r="G7136" s="195" t="s">
        <v>278</v>
      </c>
      <c r="H7136" s="195">
        <v>0.131687</v>
      </c>
      <c r="I7136" s="195">
        <v>8.7773009999999999E-2</v>
      </c>
      <c r="J7136" s="195">
        <v>1.337933</v>
      </c>
      <c r="K7136" s="195">
        <v>1.119521</v>
      </c>
      <c r="L7136" s="195">
        <v>0.83308079999999995</v>
      </c>
      <c r="M7136" s="195">
        <v>0</v>
      </c>
      <c r="N7136" s="195">
        <v>0</v>
      </c>
    </row>
    <row r="7137" spans="1:14" hidden="1" x14ac:dyDescent="0.35">
      <c r="A7137" s="52" t="s">
        <v>734</v>
      </c>
      <c r="B7137" s="52" t="s">
        <v>37</v>
      </c>
      <c r="C7137" s="52" t="s">
        <v>218</v>
      </c>
      <c r="D7137" s="52" t="s">
        <v>218</v>
      </c>
      <c r="E7137" s="52" t="s">
        <v>593</v>
      </c>
      <c r="F7137" s="52" t="s">
        <v>581</v>
      </c>
      <c r="G7137" s="195" t="s">
        <v>279</v>
      </c>
      <c r="H7137" s="195">
        <v>4.374485</v>
      </c>
      <c r="I7137" s="195">
        <v>4.528931</v>
      </c>
      <c r="J7137" s="195">
        <v>4.3640999999999996</v>
      </c>
      <c r="K7137" s="195">
        <v>3.697457</v>
      </c>
      <c r="L7137" s="195">
        <v>3.514319</v>
      </c>
      <c r="M7137" s="195">
        <v>2.627656</v>
      </c>
      <c r="N7137" s="195">
        <v>2.030046</v>
      </c>
    </row>
    <row r="7138" spans="1:14" hidden="1" x14ac:dyDescent="0.35">
      <c r="A7138" s="52" t="s">
        <v>734</v>
      </c>
      <c r="B7138" s="52" t="s">
        <v>34</v>
      </c>
      <c r="C7138" s="52" t="s">
        <v>33</v>
      </c>
      <c r="D7138" s="52" t="s">
        <v>33</v>
      </c>
      <c r="E7138" s="52" t="s">
        <v>584</v>
      </c>
      <c r="F7138" s="52" t="s">
        <v>581</v>
      </c>
      <c r="G7138" s="195" t="s">
        <v>275</v>
      </c>
      <c r="H7138" s="195">
        <v>16.07461</v>
      </c>
      <c r="I7138" s="195">
        <v>-1.729562</v>
      </c>
      <c r="J7138" s="195">
        <v>-14.33741</v>
      </c>
      <c r="K7138" s="195">
        <v>-4.4526479999999999</v>
      </c>
      <c r="L7138" s="195">
        <v>-3.7960859999999998</v>
      </c>
      <c r="M7138" s="195">
        <v>-15.773490000000001</v>
      </c>
      <c r="N7138" s="195">
        <v>-2.2790270000000001</v>
      </c>
    </row>
    <row r="7139" spans="1:14" hidden="1" x14ac:dyDescent="0.35">
      <c r="A7139" s="52" t="s">
        <v>734</v>
      </c>
      <c r="B7139" s="52" t="s">
        <v>34</v>
      </c>
      <c r="C7139" s="52" t="s">
        <v>33</v>
      </c>
      <c r="D7139" s="52" t="s">
        <v>33</v>
      </c>
      <c r="E7139" s="52" t="s">
        <v>584</v>
      </c>
      <c r="F7139" s="52" t="s">
        <v>581</v>
      </c>
      <c r="G7139" s="195" t="s">
        <v>276</v>
      </c>
      <c r="H7139" s="195">
        <v>-1.2827280000000001</v>
      </c>
      <c r="I7139" s="195">
        <v>-4.2222189999999999</v>
      </c>
      <c r="J7139" s="195">
        <v>-6.4746519999999999</v>
      </c>
      <c r="K7139" s="195">
        <v>-1.2975719999999999</v>
      </c>
      <c r="L7139" s="195">
        <v>-1.2781100000000001</v>
      </c>
      <c r="M7139" s="195">
        <v>-4.708723</v>
      </c>
      <c r="N7139" s="195">
        <v>-0.6680796</v>
      </c>
    </row>
    <row r="7140" spans="1:14" hidden="1" x14ac:dyDescent="0.35">
      <c r="A7140" s="52" t="s">
        <v>734</v>
      </c>
      <c r="B7140" s="52" t="s">
        <v>34</v>
      </c>
      <c r="C7140" s="52" t="s">
        <v>33</v>
      </c>
      <c r="D7140" s="52" t="s">
        <v>33</v>
      </c>
      <c r="E7140" s="52" t="s">
        <v>584</v>
      </c>
      <c r="F7140" s="52" t="s">
        <v>581</v>
      </c>
      <c r="G7140" s="195" t="s">
        <v>277</v>
      </c>
      <c r="H7140" s="195">
        <v>3.4589989999999999</v>
      </c>
      <c r="I7140" s="195">
        <v>3.0051329999999998</v>
      </c>
      <c r="J7140" s="195">
        <v>2.3828339999999999</v>
      </c>
      <c r="K7140" s="195">
        <v>3.0937860000000001</v>
      </c>
      <c r="L7140" s="195">
        <v>2.1835070000000001</v>
      </c>
      <c r="M7140" s="195">
        <v>2.5660470000000002</v>
      </c>
      <c r="N7140" s="195">
        <v>2.6709969999999998</v>
      </c>
    </row>
    <row r="7141" spans="1:14" hidden="1" x14ac:dyDescent="0.35">
      <c r="A7141" s="52" t="s">
        <v>734</v>
      </c>
      <c r="B7141" s="52" t="s">
        <v>34</v>
      </c>
      <c r="C7141" s="52" t="s">
        <v>33</v>
      </c>
      <c r="D7141" s="52" t="s">
        <v>33</v>
      </c>
      <c r="E7141" s="52" t="s">
        <v>584</v>
      </c>
      <c r="F7141" s="52" t="s">
        <v>581</v>
      </c>
      <c r="G7141" s="195" t="s">
        <v>278</v>
      </c>
      <c r="H7141" s="195">
        <v>0</v>
      </c>
      <c r="I7141" s="195"/>
      <c r="J7141" s="195"/>
      <c r="K7141" s="195"/>
      <c r="L7141" s="195"/>
      <c r="M7141" s="195"/>
      <c r="N7141" s="195"/>
    </row>
    <row r="7142" spans="1:14" hidden="1" x14ac:dyDescent="0.35">
      <c r="A7142" s="52" t="s">
        <v>734</v>
      </c>
      <c r="B7142" s="52" t="s">
        <v>34</v>
      </c>
      <c r="C7142" s="52" t="s">
        <v>33</v>
      </c>
      <c r="D7142" s="52" t="s">
        <v>33</v>
      </c>
      <c r="E7142" s="52" t="s">
        <v>584</v>
      </c>
      <c r="F7142" s="52" t="s">
        <v>581</v>
      </c>
      <c r="G7142" s="195" t="s">
        <v>279</v>
      </c>
      <c r="H7142" s="195">
        <v>14.992039999999999</v>
      </c>
      <c r="I7142" s="195">
        <v>13.963279999999999</v>
      </c>
      <c r="J7142" s="195">
        <v>28.04035</v>
      </c>
      <c r="K7142" s="195">
        <v>12.2515</v>
      </c>
      <c r="L7142" s="195">
        <v>12.213430000000001</v>
      </c>
      <c r="M7142" s="195">
        <v>23.371269999999999</v>
      </c>
      <c r="N7142" s="195">
        <v>5.7365849999999998</v>
      </c>
    </row>
    <row r="7143" spans="1:14" hidden="1" x14ac:dyDescent="0.35">
      <c r="A7143" s="52" t="s">
        <v>734</v>
      </c>
      <c r="B7143" s="52" t="s">
        <v>34</v>
      </c>
      <c r="C7143" s="52" t="s">
        <v>33</v>
      </c>
      <c r="D7143" s="52" t="s">
        <v>33</v>
      </c>
      <c r="E7143" s="52" t="s">
        <v>584</v>
      </c>
      <c r="F7143" s="52" t="s">
        <v>26</v>
      </c>
      <c r="G7143" s="195" t="s">
        <v>275</v>
      </c>
      <c r="H7143" s="195">
        <v>-7.5465330000000002</v>
      </c>
      <c r="I7143" s="195">
        <v>-4.5055160000000001</v>
      </c>
      <c r="J7143" s="195">
        <v>-16.101220000000001</v>
      </c>
      <c r="K7143" s="195">
        <v>-1.316478</v>
      </c>
      <c r="L7143" s="195">
        <v>-1.3618429999999999</v>
      </c>
      <c r="M7143" s="195">
        <v>-30.396039999999999</v>
      </c>
      <c r="N7143" s="195">
        <v>-4.887848</v>
      </c>
    </row>
    <row r="7144" spans="1:14" hidden="1" x14ac:dyDescent="0.35">
      <c r="A7144" s="52" t="s">
        <v>734</v>
      </c>
      <c r="B7144" s="52" t="s">
        <v>34</v>
      </c>
      <c r="C7144" s="52" t="s">
        <v>33</v>
      </c>
      <c r="D7144" s="52" t="s">
        <v>33</v>
      </c>
      <c r="E7144" s="52" t="s">
        <v>584</v>
      </c>
      <c r="F7144" s="52" t="s">
        <v>26</v>
      </c>
      <c r="G7144" s="195" t="s">
        <v>276</v>
      </c>
      <c r="H7144" s="195">
        <v>-3.4725609999999998</v>
      </c>
      <c r="I7144" s="195">
        <v>-2.9466350000000001</v>
      </c>
      <c r="J7144" s="195">
        <v>-6.4752039999999997</v>
      </c>
      <c r="K7144" s="195">
        <v>-1.0584519999999999</v>
      </c>
      <c r="L7144" s="195">
        <v>-0.71140199999999998</v>
      </c>
      <c r="M7144" s="195">
        <v>-9.1840580000000003</v>
      </c>
      <c r="N7144" s="195">
        <v>-1.457937</v>
      </c>
    </row>
    <row r="7145" spans="1:14" hidden="1" x14ac:dyDescent="0.35">
      <c r="A7145" s="52" t="s">
        <v>734</v>
      </c>
      <c r="B7145" s="52" t="s">
        <v>34</v>
      </c>
      <c r="C7145" s="52" t="s">
        <v>33</v>
      </c>
      <c r="D7145" s="52" t="s">
        <v>33</v>
      </c>
      <c r="E7145" s="52" t="s">
        <v>584</v>
      </c>
      <c r="F7145" s="52" t="s">
        <v>26</v>
      </c>
      <c r="G7145" s="195" t="s">
        <v>277</v>
      </c>
      <c r="H7145" s="195">
        <v>4.9399980000000001</v>
      </c>
      <c r="I7145" s="195">
        <v>2.7008830000000001</v>
      </c>
      <c r="J7145" s="195">
        <v>1.5100910000000001</v>
      </c>
      <c r="K7145" s="195">
        <v>8.09478E-2</v>
      </c>
      <c r="L7145" s="195">
        <v>7.0888999999999994E-2</v>
      </c>
      <c r="M7145" s="195">
        <v>8.6527999999999994E-2</v>
      </c>
      <c r="N7145" s="195">
        <v>8.8691999999999993E-2</v>
      </c>
    </row>
    <row r="7146" spans="1:14" hidden="1" x14ac:dyDescent="0.35">
      <c r="A7146" s="52" t="s">
        <v>734</v>
      </c>
      <c r="B7146" s="52" t="s">
        <v>34</v>
      </c>
      <c r="C7146" s="52" t="s">
        <v>33</v>
      </c>
      <c r="D7146" s="52" t="s">
        <v>33</v>
      </c>
      <c r="E7146" s="52" t="s">
        <v>584</v>
      </c>
      <c r="F7146" s="52" t="s">
        <v>26</v>
      </c>
      <c r="G7146" s="195" t="s">
        <v>279</v>
      </c>
      <c r="H7146" s="195">
        <v>13.662319999999999</v>
      </c>
      <c r="I7146" s="195">
        <v>10.0182</v>
      </c>
      <c r="J7146" s="195">
        <v>24.51707</v>
      </c>
      <c r="K7146" s="195">
        <v>5.3436599999999999</v>
      </c>
      <c r="L7146" s="195">
        <v>4.7819770000000004</v>
      </c>
      <c r="M7146" s="195">
        <v>41.596290000000003</v>
      </c>
      <c r="N7146" s="195">
        <v>8.1123510000000003</v>
      </c>
    </row>
    <row r="7147" spans="1:14" hidden="1" x14ac:dyDescent="0.35">
      <c r="A7147" s="52" t="s">
        <v>734</v>
      </c>
      <c r="B7147" s="52" t="s">
        <v>34</v>
      </c>
      <c r="C7147" s="52" t="s">
        <v>33</v>
      </c>
      <c r="D7147" s="52" t="s">
        <v>33</v>
      </c>
      <c r="E7147" s="52" t="s">
        <v>604</v>
      </c>
      <c r="F7147" s="52" t="s">
        <v>581</v>
      </c>
      <c r="G7147" s="195" t="s">
        <v>275</v>
      </c>
      <c r="H7147" s="195">
        <v>9.2483789999999999</v>
      </c>
      <c r="I7147" s="195">
        <v>2.8623970000000001</v>
      </c>
      <c r="J7147" s="195">
        <v>2.7496839999999998</v>
      </c>
      <c r="K7147" s="195">
        <v>3.0269110000000001</v>
      </c>
      <c r="L7147" s="195">
        <v>2.2534610000000002</v>
      </c>
      <c r="M7147" s="195">
        <v>2.5058720000000001</v>
      </c>
      <c r="N7147" s="195">
        <v>1.968915</v>
      </c>
    </row>
    <row r="7148" spans="1:14" hidden="1" x14ac:dyDescent="0.35">
      <c r="A7148" s="52" t="s">
        <v>734</v>
      </c>
      <c r="B7148" s="52" t="s">
        <v>34</v>
      </c>
      <c r="C7148" s="52" t="s">
        <v>33</v>
      </c>
      <c r="D7148" s="52" t="s">
        <v>33</v>
      </c>
      <c r="E7148" s="52" t="s">
        <v>604</v>
      </c>
      <c r="F7148" s="52" t="s">
        <v>581</v>
      </c>
      <c r="G7148" s="195" t="s">
        <v>276</v>
      </c>
      <c r="H7148" s="195">
        <v>2.7095410000000002</v>
      </c>
      <c r="I7148" s="195">
        <v>0.81362829999999997</v>
      </c>
      <c r="J7148" s="195">
        <v>0.76924680000000001</v>
      </c>
      <c r="K7148" s="195">
        <v>0.71624600000000005</v>
      </c>
      <c r="L7148" s="195">
        <v>0.57348080000000001</v>
      </c>
      <c r="M7148" s="195">
        <v>0.69433579999999995</v>
      </c>
      <c r="N7148" s="195">
        <v>0.65473380000000003</v>
      </c>
    </row>
    <row r="7149" spans="1:14" hidden="1" x14ac:dyDescent="0.35">
      <c r="A7149" s="52" t="s">
        <v>734</v>
      </c>
      <c r="B7149" s="52" t="s">
        <v>34</v>
      </c>
      <c r="C7149" s="52" t="s">
        <v>33</v>
      </c>
      <c r="D7149" s="52" t="s">
        <v>33</v>
      </c>
      <c r="E7149" s="52" t="s">
        <v>604</v>
      </c>
      <c r="F7149" s="52" t="s">
        <v>581</v>
      </c>
      <c r="G7149" s="195" t="s">
        <v>277</v>
      </c>
      <c r="H7149" s="195">
        <v>0</v>
      </c>
      <c r="I7149" s="195">
        <v>0.68050120000000003</v>
      </c>
      <c r="J7149" s="195">
        <v>6.0018000000000002E-2</v>
      </c>
      <c r="K7149" s="195">
        <v>2.67646E-2</v>
      </c>
      <c r="L7149" s="195">
        <v>0.1292692</v>
      </c>
      <c r="M7149" s="195">
        <v>1.37346E-2</v>
      </c>
      <c r="N7149" s="195">
        <v>0.21659880000000001</v>
      </c>
    </row>
    <row r="7150" spans="1:14" hidden="1" x14ac:dyDescent="0.35">
      <c r="A7150" s="52" t="s">
        <v>734</v>
      </c>
      <c r="B7150" s="52" t="s">
        <v>34</v>
      </c>
      <c r="C7150" s="52" t="s">
        <v>33</v>
      </c>
      <c r="D7150" s="52" t="s">
        <v>33</v>
      </c>
      <c r="E7150" s="52" t="s">
        <v>604</v>
      </c>
      <c r="F7150" s="52" t="s">
        <v>581</v>
      </c>
      <c r="G7150" s="195" t="s">
        <v>278</v>
      </c>
      <c r="H7150" s="195">
        <v>0.58899999999999997</v>
      </c>
      <c r="I7150" s="195">
        <v>0.92047299999999999</v>
      </c>
      <c r="J7150" s="195">
        <v>0.43497799999999998</v>
      </c>
      <c r="K7150" s="195">
        <v>2.9496999999999999E-2</v>
      </c>
      <c r="L7150" s="195">
        <v>0.14341000000000001</v>
      </c>
      <c r="M7150" s="195">
        <v>1.9099999999999999E-2</v>
      </c>
      <c r="N7150" s="195">
        <v>0.2013558</v>
      </c>
    </row>
    <row r="7151" spans="1:14" hidden="1" x14ac:dyDescent="0.35">
      <c r="A7151" s="52" t="s">
        <v>734</v>
      </c>
      <c r="B7151" s="52" t="s">
        <v>34</v>
      </c>
      <c r="C7151" s="52" t="s">
        <v>33</v>
      </c>
      <c r="D7151" s="52" t="s">
        <v>33</v>
      </c>
      <c r="E7151" s="52" t="s">
        <v>604</v>
      </c>
      <c r="F7151" s="52" t="s">
        <v>581</v>
      </c>
      <c r="G7151" s="195" t="s">
        <v>279</v>
      </c>
      <c r="H7151" s="195">
        <v>2.6114169999999999</v>
      </c>
      <c r="I7151" s="195">
        <v>4.011463</v>
      </c>
      <c r="J7151" s="195">
        <v>3.6852999999999998</v>
      </c>
      <c r="K7151" s="195">
        <v>3.4515750000000001</v>
      </c>
      <c r="L7151" s="195">
        <v>3.520305</v>
      </c>
      <c r="M7151" s="195">
        <v>2.8257490000000001</v>
      </c>
      <c r="N7151" s="195">
        <v>2.6245189999999998</v>
      </c>
    </row>
    <row r="7152" spans="1:14" hidden="1" x14ac:dyDescent="0.35">
      <c r="A7152" s="52" t="s">
        <v>734</v>
      </c>
      <c r="B7152" s="52" t="s">
        <v>34</v>
      </c>
      <c r="C7152" s="52" t="s">
        <v>33</v>
      </c>
      <c r="D7152" s="52" t="s">
        <v>33</v>
      </c>
      <c r="E7152" s="52" t="s">
        <v>604</v>
      </c>
      <c r="F7152" s="52" t="s">
        <v>26</v>
      </c>
      <c r="G7152" s="195" t="s">
        <v>275</v>
      </c>
      <c r="H7152" s="195">
        <v>-8.0520000000000001E-3</v>
      </c>
      <c r="I7152" s="195">
        <v>-0.176311</v>
      </c>
      <c r="J7152" s="195">
        <v>-0.23634279999999999</v>
      </c>
      <c r="K7152" s="195">
        <v>-0.2229392</v>
      </c>
      <c r="L7152" s="195">
        <v>-0.3363062</v>
      </c>
      <c r="M7152" s="195">
        <v>-0.1614302</v>
      </c>
      <c r="N7152" s="195">
        <v>-0.14715220000000001</v>
      </c>
    </row>
    <row r="7153" spans="1:14" hidden="1" x14ac:dyDescent="0.35">
      <c r="A7153" s="52" t="s">
        <v>734</v>
      </c>
      <c r="B7153" s="52" t="s">
        <v>34</v>
      </c>
      <c r="C7153" s="52" t="s">
        <v>33</v>
      </c>
      <c r="D7153" s="52" t="s">
        <v>33</v>
      </c>
      <c r="E7153" s="52" t="s">
        <v>604</v>
      </c>
      <c r="F7153" s="52" t="s">
        <v>26</v>
      </c>
      <c r="G7153" s="195" t="s">
        <v>276</v>
      </c>
      <c r="H7153" s="195">
        <v>-2.9030000000000002E-3</v>
      </c>
      <c r="I7153" s="195">
        <v>-5.8770599999999999E-2</v>
      </c>
      <c r="J7153" s="195">
        <v>-7.4633400000000003E-2</v>
      </c>
      <c r="K7153" s="195">
        <v>-6.6590999999999997E-2</v>
      </c>
      <c r="L7153" s="195">
        <v>-0.1004544</v>
      </c>
      <c r="M7153" s="195">
        <v>-4.82186E-2</v>
      </c>
      <c r="N7153" s="195">
        <v>-4.3955000000000001E-2</v>
      </c>
    </row>
    <row r="7154" spans="1:14" hidden="1" x14ac:dyDescent="0.35">
      <c r="A7154" s="52" t="s">
        <v>734</v>
      </c>
      <c r="B7154" s="52" t="s">
        <v>34</v>
      </c>
      <c r="C7154" s="52" t="s">
        <v>33</v>
      </c>
      <c r="D7154" s="52" t="s">
        <v>33</v>
      </c>
      <c r="E7154" s="52" t="s">
        <v>604</v>
      </c>
      <c r="F7154" s="52" t="s">
        <v>26</v>
      </c>
      <c r="G7154" s="195" t="s">
        <v>279</v>
      </c>
      <c r="H7154" s="195">
        <v>1.0175479999999999</v>
      </c>
      <c r="I7154" s="195">
        <v>1.9349179999999999</v>
      </c>
      <c r="J7154" s="195">
        <v>1.7838799999999999</v>
      </c>
      <c r="K7154" s="195">
        <v>1.678318</v>
      </c>
      <c r="L7154" s="195">
        <v>1.704615</v>
      </c>
      <c r="M7154" s="195">
        <v>1.369424</v>
      </c>
      <c r="N7154" s="195">
        <v>1.2717799999999999</v>
      </c>
    </row>
    <row r="7155" spans="1:14" hidden="1" x14ac:dyDescent="0.35">
      <c r="A7155" s="52" t="s">
        <v>734</v>
      </c>
      <c r="B7155" s="52" t="s">
        <v>34</v>
      </c>
      <c r="C7155" s="52" t="s">
        <v>33</v>
      </c>
      <c r="D7155" s="52" t="s">
        <v>33</v>
      </c>
      <c r="E7155" s="52" t="s">
        <v>636</v>
      </c>
      <c r="F7155" s="52" t="s">
        <v>581</v>
      </c>
      <c r="G7155" s="195" t="s">
        <v>275</v>
      </c>
      <c r="H7155" s="195">
        <v>9.5224000000000003E-2</v>
      </c>
      <c r="I7155" s="195">
        <v>4.6886009999999997E-3</v>
      </c>
      <c r="J7155" s="195">
        <v>-6.5556010000000003E-3</v>
      </c>
      <c r="K7155" s="195">
        <v>-6.7048000000000003E-3</v>
      </c>
      <c r="L7155" s="195">
        <v>-0.50961999999999996</v>
      </c>
      <c r="M7155" s="195">
        <v>3.08036E-2</v>
      </c>
      <c r="N7155" s="195">
        <v>4.2194000000000002E-2</v>
      </c>
    </row>
    <row r="7156" spans="1:14" hidden="1" x14ac:dyDescent="0.35">
      <c r="A7156" s="52" t="s">
        <v>734</v>
      </c>
      <c r="B7156" s="52" t="s">
        <v>34</v>
      </c>
      <c r="C7156" s="52" t="s">
        <v>33</v>
      </c>
      <c r="D7156" s="52" t="s">
        <v>33</v>
      </c>
      <c r="E7156" s="52" t="s">
        <v>636</v>
      </c>
      <c r="F7156" s="52" t="s">
        <v>581</v>
      </c>
      <c r="G7156" s="195" t="s">
        <v>276</v>
      </c>
      <c r="H7156" s="195">
        <v>3.4332000000000001E-2</v>
      </c>
      <c r="I7156" s="195">
        <v>1.5625999999999999E-3</v>
      </c>
      <c r="J7156" s="195">
        <v>-2.0698000000000001E-3</v>
      </c>
      <c r="K7156" s="195">
        <v>-2.0018000000000002E-3</v>
      </c>
      <c r="L7156" s="195">
        <v>-4.8626200000000001E-2</v>
      </c>
      <c r="M7156" s="195">
        <v>-2.5331800000000002E-2</v>
      </c>
      <c r="N7156" s="195">
        <v>-2.1928199999999998E-2</v>
      </c>
    </row>
    <row r="7157" spans="1:14" hidden="1" x14ac:dyDescent="0.35">
      <c r="A7157" s="52" t="s">
        <v>734</v>
      </c>
      <c r="B7157" s="52" t="s">
        <v>34</v>
      </c>
      <c r="C7157" s="52" t="s">
        <v>33</v>
      </c>
      <c r="D7157" s="52" t="s">
        <v>33</v>
      </c>
      <c r="E7157" s="52" t="s">
        <v>636</v>
      </c>
      <c r="F7157" s="52" t="s">
        <v>581</v>
      </c>
      <c r="G7157" s="195" t="s">
        <v>277</v>
      </c>
      <c r="H7157" s="195"/>
      <c r="I7157" s="195"/>
      <c r="J7157" s="195"/>
      <c r="K7157" s="195">
        <v>0</v>
      </c>
      <c r="L7157" s="195">
        <v>0.46243980000000001</v>
      </c>
      <c r="M7157" s="195">
        <v>0</v>
      </c>
      <c r="N7157" s="195">
        <v>0</v>
      </c>
    </row>
    <row r="7158" spans="1:14" hidden="1" x14ac:dyDescent="0.35">
      <c r="A7158" s="52" t="s">
        <v>734</v>
      </c>
      <c r="B7158" s="52" t="s">
        <v>34</v>
      </c>
      <c r="C7158" s="52" t="s">
        <v>33</v>
      </c>
      <c r="D7158" s="52" t="s">
        <v>33</v>
      </c>
      <c r="E7158" s="52" t="s">
        <v>636</v>
      </c>
      <c r="F7158" s="52" t="s">
        <v>581</v>
      </c>
      <c r="G7158" s="195" t="s">
        <v>279</v>
      </c>
      <c r="H7158" s="195">
        <v>7.7367000000000005E-2</v>
      </c>
      <c r="I7158" s="195">
        <v>0.119801</v>
      </c>
      <c r="J7158" s="195">
        <v>0.10616</v>
      </c>
      <c r="K7158" s="195">
        <v>9.8562999999999998E-2</v>
      </c>
      <c r="L7158" s="195">
        <v>0.22880539999999999</v>
      </c>
      <c r="M7158" s="195">
        <v>9.9703600000000003E-2</v>
      </c>
      <c r="N7158" s="195">
        <v>6.9105399999999997E-2</v>
      </c>
    </row>
    <row r="7159" spans="1:14" hidden="1" x14ac:dyDescent="0.35">
      <c r="A7159" s="52" t="s">
        <v>734</v>
      </c>
      <c r="B7159" s="52" t="s">
        <v>34</v>
      </c>
      <c r="C7159" s="52" t="s">
        <v>33</v>
      </c>
      <c r="D7159" s="52" t="s">
        <v>33</v>
      </c>
      <c r="E7159" s="52" t="s">
        <v>636</v>
      </c>
      <c r="F7159" s="52" t="s">
        <v>26</v>
      </c>
      <c r="G7159" s="195" t="s">
        <v>275</v>
      </c>
      <c r="H7159" s="195">
        <v>-1.2236E-2</v>
      </c>
      <c r="I7159" s="195">
        <v>-1.04574E-2</v>
      </c>
      <c r="J7159" s="195">
        <v>-1.8477400000000001E-2</v>
      </c>
      <c r="K7159" s="195">
        <v>-2.1950399999999998E-2</v>
      </c>
      <c r="L7159" s="195">
        <v>-2.5656600000000002E-2</v>
      </c>
      <c r="M7159" s="195">
        <v>-4.7774000000000002E-3</v>
      </c>
      <c r="N7159" s="195">
        <v>-2.5425999999999999E-3</v>
      </c>
    </row>
    <row r="7160" spans="1:14" hidden="1" x14ac:dyDescent="0.35">
      <c r="A7160" s="52" t="s">
        <v>734</v>
      </c>
      <c r="B7160" s="52" t="s">
        <v>34</v>
      </c>
      <c r="C7160" s="52" t="s">
        <v>33</v>
      </c>
      <c r="D7160" s="52" t="s">
        <v>33</v>
      </c>
      <c r="E7160" s="52" t="s">
        <v>636</v>
      </c>
      <c r="F7160" s="52" t="s">
        <v>26</v>
      </c>
      <c r="G7160" s="195" t="s">
        <v>276</v>
      </c>
      <c r="H7160" s="195">
        <v>-4.411E-3</v>
      </c>
      <c r="I7160" s="195">
        <v>-3.4856000000000002E-3</v>
      </c>
      <c r="J7160" s="195">
        <v>-5.8348000000000002E-3</v>
      </c>
      <c r="K7160" s="195">
        <v>-6.5564000000000004E-3</v>
      </c>
      <c r="L7160" s="195">
        <v>-7.6639999999999998E-3</v>
      </c>
      <c r="M7160" s="195">
        <v>-1.426E-3</v>
      </c>
      <c r="N7160" s="195">
        <v>-7.595999E-4</v>
      </c>
    </row>
    <row r="7161" spans="1:14" hidden="1" x14ac:dyDescent="0.35">
      <c r="A7161" s="52" t="s">
        <v>734</v>
      </c>
      <c r="B7161" s="52" t="s">
        <v>34</v>
      </c>
      <c r="C7161" s="52" t="s">
        <v>33</v>
      </c>
      <c r="D7161" s="52" t="s">
        <v>33</v>
      </c>
      <c r="E7161" s="52" t="s">
        <v>636</v>
      </c>
      <c r="F7161" s="52" t="s">
        <v>26</v>
      </c>
      <c r="G7161" s="195" t="s">
        <v>279</v>
      </c>
      <c r="H7161" s="195">
        <v>6.2269999999999999E-2</v>
      </c>
      <c r="I7161" s="195">
        <v>0.116065</v>
      </c>
      <c r="J7161" s="195">
        <v>0.10695300000000001</v>
      </c>
      <c r="K7161" s="195">
        <v>0.104726</v>
      </c>
      <c r="L7161" s="195">
        <v>0.14472779999999999</v>
      </c>
      <c r="M7161" s="195">
        <v>9.4560000000000005E-2</v>
      </c>
      <c r="N7161" s="195">
        <v>7.8453410000000001E-2</v>
      </c>
    </row>
    <row r="7162" spans="1:14" hidden="1" x14ac:dyDescent="0.35">
      <c r="A7162" s="52" t="s">
        <v>734</v>
      </c>
      <c r="B7162" s="52" t="s">
        <v>34</v>
      </c>
      <c r="C7162" s="52" t="s">
        <v>230</v>
      </c>
      <c r="D7162" s="52" t="s">
        <v>230</v>
      </c>
      <c r="E7162" s="52" t="s">
        <v>697</v>
      </c>
      <c r="F7162" s="52" t="s">
        <v>581</v>
      </c>
      <c r="G7162" s="195" t="s">
        <v>275</v>
      </c>
      <c r="H7162" s="195">
        <v>5.8445369999999999</v>
      </c>
      <c r="I7162" s="195">
        <v>2.1022530000000001</v>
      </c>
      <c r="J7162" s="195">
        <v>2.1454049999999998</v>
      </c>
      <c r="K7162" s="195">
        <v>0.87197740000000001</v>
      </c>
      <c r="L7162" s="195">
        <v>-0.49507640000000003</v>
      </c>
      <c r="M7162" s="195">
        <v>-9.2711000000000002E-2</v>
      </c>
      <c r="N7162" s="195">
        <v>-7.9587809999999995E-2</v>
      </c>
    </row>
    <row r="7163" spans="1:14" hidden="1" x14ac:dyDescent="0.35">
      <c r="A7163" s="52" t="s">
        <v>734</v>
      </c>
      <c r="B7163" s="52" t="s">
        <v>34</v>
      </c>
      <c r="C7163" s="52" t="s">
        <v>230</v>
      </c>
      <c r="D7163" s="52" t="s">
        <v>230</v>
      </c>
      <c r="E7163" s="52" t="s">
        <v>697</v>
      </c>
      <c r="F7163" s="52" t="s">
        <v>581</v>
      </c>
      <c r="G7163" s="195" t="s">
        <v>276</v>
      </c>
      <c r="H7163" s="195">
        <v>1.9693480000000001</v>
      </c>
      <c r="I7163" s="195">
        <v>-3.139812</v>
      </c>
      <c r="J7163" s="195">
        <v>-2.5808140000000002</v>
      </c>
      <c r="K7163" s="195">
        <v>-1.189103</v>
      </c>
      <c r="L7163" s="195">
        <v>-0.28489680000000001</v>
      </c>
      <c r="M7163" s="195">
        <v>-5.5157190000000002E-2</v>
      </c>
      <c r="N7163" s="195">
        <v>-4.3590400000000001E-2</v>
      </c>
    </row>
    <row r="7164" spans="1:14" hidden="1" x14ac:dyDescent="0.35">
      <c r="A7164" s="52" t="s">
        <v>734</v>
      </c>
      <c r="B7164" s="52" t="s">
        <v>34</v>
      </c>
      <c r="C7164" s="52" t="s">
        <v>230</v>
      </c>
      <c r="D7164" s="52" t="s">
        <v>230</v>
      </c>
      <c r="E7164" s="52" t="s">
        <v>697</v>
      </c>
      <c r="F7164" s="52" t="s">
        <v>581</v>
      </c>
      <c r="G7164" s="195" t="s">
        <v>277</v>
      </c>
      <c r="H7164" s="195">
        <v>15.4</v>
      </c>
      <c r="I7164" s="195">
        <v>1.1048290000000001</v>
      </c>
      <c r="J7164" s="195">
        <v>9.7398799999999994E-2</v>
      </c>
      <c r="K7164" s="195">
        <v>8.4799390000000002E-2</v>
      </c>
      <c r="L7164" s="195">
        <v>6.2073999999999997E-2</v>
      </c>
      <c r="M7164" s="195">
        <v>6.2009999999999999E-3</v>
      </c>
      <c r="N7164" s="195">
        <v>0</v>
      </c>
    </row>
    <row r="7165" spans="1:14" hidden="1" x14ac:dyDescent="0.35">
      <c r="A7165" s="52" t="s">
        <v>734</v>
      </c>
      <c r="B7165" s="52" t="s">
        <v>34</v>
      </c>
      <c r="C7165" s="52" t="s">
        <v>230</v>
      </c>
      <c r="D7165" s="52" t="s">
        <v>230</v>
      </c>
      <c r="E7165" s="52" t="s">
        <v>697</v>
      </c>
      <c r="F7165" s="52" t="s">
        <v>581</v>
      </c>
      <c r="G7165" s="195" t="s">
        <v>278</v>
      </c>
      <c r="H7165" s="195">
        <v>0</v>
      </c>
      <c r="I7165" s="195"/>
      <c r="J7165" s="195"/>
      <c r="K7165" s="195"/>
      <c r="L7165" s="195"/>
      <c r="M7165" s="195"/>
      <c r="N7165" s="195"/>
    </row>
    <row r="7166" spans="1:14" hidden="1" x14ac:dyDescent="0.35">
      <c r="A7166" s="52" t="s">
        <v>734</v>
      </c>
      <c r="B7166" s="52" t="s">
        <v>34</v>
      </c>
      <c r="C7166" s="52" t="s">
        <v>230</v>
      </c>
      <c r="D7166" s="52" t="s">
        <v>230</v>
      </c>
      <c r="E7166" s="52" t="s">
        <v>697</v>
      </c>
      <c r="F7166" s="52" t="s">
        <v>581</v>
      </c>
      <c r="G7166" s="195" t="s">
        <v>279</v>
      </c>
      <c r="H7166" s="195">
        <v>14.97706</v>
      </c>
      <c r="I7166" s="195">
        <v>6.1102480000000003</v>
      </c>
      <c r="J7166" s="195">
        <v>5.1359110000000001</v>
      </c>
      <c r="K7166" s="195">
        <v>4.4821239999999998</v>
      </c>
      <c r="L7166" s="195">
        <v>4.5321170000000004</v>
      </c>
      <c r="M7166" s="195">
        <v>3.5695800000000002</v>
      </c>
      <c r="N7166" s="195">
        <v>3.1969150000000002</v>
      </c>
    </row>
    <row r="7167" spans="1:14" hidden="1" x14ac:dyDescent="0.35">
      <c r="A7167" s="52" t="s">
        <v>734</v>
      </c>
      <c r="B7167" s="52" t="s">
        <v>34</v>
      </c>
      <c r="C7167" s="52" t="s">
        <v>230</v>
      </c>
      <c r="D7167" s="52" t="s">
        <v>230</v>
      </c>
      <c r="E7167" s="52" t="s">
        <v>584</v>
      </c>
      <c r="F7167" s="52" t="s">
        <v>581</v>
      </c>
      <c r="G7167" s="195" t="s">
        <v>275</v>
      </c>
      <c r="H7167" s="195">
        <v>5.7028930000000004</v>
      </c>
      <c r="I7167" s="195">
        <v>-5.547358</v>
      </c>
      <c r="J7167" s="195">
        <v>-3.7016100000000001</v>
      </c>
      <c r="K7167" s="195">
        <v>-1.5524180000000001</v>
      </c>
      <c r="L7167" s="195">
        <v>-1.3076319999999999</v>
      </c>
      <c r="M7167" s="195">
        <v>-0.74582720000000002</v>
      </c>
      <c r="N7167" s="195">
        <v>-0.58452219999999999</v>
      </c>
    </row>
    <row r="7168" spans="1:14" hidden="1" x14ac:dyDescent="0.35">
      <c r="A7168" s="52" t="s">
        <v>734</v>
      </c>
      <c r="B7168" s="52" t="s">
        <v>34</v>
      </c>
      <c r="C7168" s="52" t="s">
        <v>230</v>
      </c>
      <c r="D7168" s="52" t="s">
        <v>230</v>
      </c>
      <c r="E7168" s="52" t="s">
        <v>584</v>
      </c>
      <c r="F7168" s="52" t="s">
        <v>581</v>
      </c>
      <c r="G7168" s="195" t="s">
        <v>276</v>
      </c>
      <c r="H7168" s="195">
        <v>1.960982</v>
      </c>
      <c r="I7168" s="195">
        <v>-2.5143610000000001</v>
      </c>
      <c r="J7168" s="195">
        <v>-1.8363959999999999</v>
      </c>
      <c r="K7168" s="195">
        <v>-1.120927</v>
      </c>
      <c r="L7168" s="195">
        <v>-0.73999780000000004</v>
      </c>
      <c r="M7168" s="195">
        <v>-0.36406899999999998</v>
      </c>
      <c r="N7168" s="195">
        <v>-0.17459720000000001</v>
      </c>
    </row>
    <row r="7169" spans="1:14" hidden="1" x14ac:dyDescent="0.35">
      <c r="A7169" s="52" t="s">
        <v>734</v>
      </c>
      <c r="B7169" s="52" t="s">
        <v>34</v>
      </c>
      <c r="C7169" s="52" t="s">
        <v>230</v>
      </c>
      <c r="D7169" s="52" t="s">
        <v>230</v>
      </c>
      <c r="E7169" s="52" t="s">
        <v>584</v>
      </c>
      <c r="F7169" s="52" t="s">
        <v>581</v>
      </c>
      <c r="G7169" s="195" t="s">
        <v>277</v>
      </c>
      <c r="H7169" s="195">
        <v>4.1219999999999999</v>
      </c>
      <c r="I7169" s="195">
        <v>2.7869579999999998</v>
      </c>
      <c r="J7169" s="195">
        <v>1.8920490000000001</v>
      </c>
      <c r="K7169" s="195"/>
      <c r="L7169" s="195"/>
      <c r="M7169" s="195"/>
      <c r="N7169" s="195"/>
    </row>
    <row r="7170" spans="1:14" hidden="1" x14ac:dyDescent="0.35">
      <c r="A7170" s="52" t="s">
        <v>734</v>
      </c>
      <c r="B7170" s="52" t="s">
        <v>34</v>
      </c>
      <c r="C7170" s="52" t="s">
        <v>230</v>
      </c>
      <c r="D7170" s="52" t="s">
        <v>230</v>
      </c>
      <c r="E7170" s="52" t="s">
        <v>584</v>
      </c>
      <c r="F7170" s="52" t="s">
        <v>581</v>
      </c>
      <c r="G7170" s="195" t="s">
        <v>279</v>
      </c>
      <c r="H7170" s="195">
        <v>16.881530000000001</v>
      </c>
      <c r="I7170" s="195">
        <v>11.103960000000001</v>
      </c>
      <c r="J7170" s="195">
        <v>7.3281159999999996</v>
      </c>
      <c r="K7170" s="195">
        <v>5.3009930000000001</v>
      </c>
      <c r="L7170" s="195">
        <v>3.8608250000000002</v>
      </c>
      <c r="M7170" s="195">
        <v>2.360932</v>
      </c>
      <c r="N7170" s="195">
        <v>1.6221810000000001</v>
      </c>
    </row>
    <row r="7171" spans="1:14" hidden="1" x14ac:dyDescent="0.35">
      <c r="A7171" s="52" t="s">
        <v>734</v>
      </c>
      <c r="B7171" s="52" t="s">
        <v>34</v>
      </c>
      <c r="C7171" s="52" t="s">
        <v>230</v>
      </c>
      <c r="D7171" s="52" t="s">
        <v>230</v>
      </c>
      <c r="E7171" s="52" t="s">
        <v>584</v>
      </c>
      <c r="F7171" s="52" t="s">
        <v>26</v>
      </c>
      <c r="G7171" s="195" t="s">
        <v>275</v>
      </c>
      <c r="H7171" s="195">
        <v>-0.14385000000000001</v>
      </c>
      <c r="I7171" s="195">
        <v>-0.15315019999999999</v>
      </c>
      <c r="J7171" s="195">
        <v>-0.1581622</v>
      </c>
      <c r="K7171" s="195">
        <v>-1.3945000000000001</v>
      </c>
      <c r="L7171" s="195">
        <v>-0.96084020000000003</v>
      </c>
      <c r="M7171" s="195">
        <v>-0.62982139999999998</v>
      </c>
      <c r="N7171" s="195">
        <v>-0.4280602</v>
      </c>
    </row>
    <row r="7172" spans="1:14" hidden="1" x14ac:dyDescent="0.35">
      <c r="A7172" s="52" t="s">
        <v>734</v>
      </c>
      <c r="B7172" s="52" t="s">
        <v>34</v>
      </c>
      <c r="C7172" s="52" t="s">
        <v>230</v>
      </c>
      <c r="D7172" s="52" t="s">
        <v>230</v>
      </c>
      <c r="E7172" s="52" t="s">
        <v>584</v>
      </c>
      <c r="F7172" s="52" t="s">
        <v>26</v>
      </c>
      <c r="G7172" s="195" t="s">
        <v>276</v>
      </c>
      <c r="H7172" s="195">
        <v>-5.1865000000000001E-2</v>
      </c>
      <c r="I7172" s="195">
        <v>-5.1049799999999999E-2</v>
      </c>
      <c r="J7172" s="195">
        <v>-4.9946600000000001E-2</v>
      </c>
      <c r="K7172" s="195">
        <v>-0.12705839999999999</v>
      </c>
      <c r="L7172" s="195">
        <v>-0.1840996</v>
      </c>
      <c r="M7172" s="195">
        <v>-0.2120744</v>
      </c>
      <c r="N7172" s="195">
        <v>-0.23862259999999999</v>
      </c>
    </row>
    <row r="7173" spans="1:14" hidden="1" x14ac:dyDescent="0.35">
      <c r="A7173" s="52" t="s">
        <v>734</v>
      </c>
      <c r="B7173" s="52" t="s">
        <v>34</v>
      </c>
      <c r="C7173" s="52" t="s">
        <v>230</v>
      </c>
      <c r="D7173" s="52" t="s">
        <v>230</v>
      </c>
      <c r="E7173" s="52" t="s">
        <v>584</v>
      </c>
      <c r="F7173" s="52" t="s">
        <v>26</v>
      </c>
      <c r="G7173" s="195" t="s">
        <v>277</v>
      </c>
      <c r="H7173" s="195"/>
      <c r="I7173" s="195"/>
      <c r="J7173" s="195">
        <v>0</v>
      </c>
      <c r="K7173" s="195">
        <v>1.2921750000000001</v>
      </c>
      <c r="L7173" s="195">
        <v>0.89006839999999998</v>
      </c>
      <c r="M7173" s="195">
        <v>0.62052770000000002</v>
      </c>
      <c r="N7173" s="195">
        <v>0.43984839999999997</v>
      </c>
    </row>
    <row r="7174" spans="1:14" hidden="1" x14ac:dyDescent="0.35">
      <c r="A7174" s="52" t="s">
        <v>734</v>
      </c>
      <c r="B7174" s="52" t="s">
        <v>34</v>
      </c>
      <c r="C7174" s="52" t="s">
        <v>230</v>
      </c>
      <c r="D7174" s="52" t="s">
        <v>230</v>
      </c>
      <c r="E7174" s="52" t="s">
        <v>584</v>
      </c>
      <c r="F7174" s="52" t="s">
        <v>26</v>
      </c>
      <c r="G7174" s="195" t="s">
        <v>279</v>
      </c>
      <c r="H7174" s="195">
        <v>0.310423</v>
      </c>
      <c r="I7174" s="195">
        <v>0.30494500000000002</v>
      </c>
      <c r="J7174" s="195">
        <v>0.30056100000000002</v>
      </c>
      <c r="K7174" s="195">
        <v>0.324403</v>
      </c>
      <c r="L7174" s="195">
        <v>0.35245900000000002</v>
      </c>
      <c r="M7174" s="195">
        <v>0.321523</v>
      </c>
      <c r="N7174" s="195">
        <v>0.32955600000000002</v>
      </c>
    </row>
    <row r="7175" spans="1:14" hidden="1" x14ac:dyDescent="0.35">
      <c r="A7175" s="52" t="s">
        <v>734</v>
      </c>
      <c r="B7175" s="52" t="s">
        <v>34</v>
      </c>
      <c r="C7175" s="52" t="s">
        <v>318</v>
      </c>
      <c r="D7175" s="52" t="s">
        <v>318</v>
      </c>
      <c r="E7175" s="52" t="s">
        <v>584</v>
      </c>
      <c r="F7175" s="52" t="s">
        <v>581</v>
      </c>
      <c r="G7175" s="195" t="s">
        <v>275</v>
      </c>
      <c r="H7175" s="195">
        <v>0.41915000000000002</v>
      </c>
      <c r="I7175" s="195">
        <v>0</v>
      </c>
      <c r="J7175" s="195"/>
      <c r="K7175" s="195"/>
      <c r="L7175" s="195"/>
      <c r="M7175" s="195"/>
      <c r="N7175" s="195"/>
    </row>
    <row r="7176" spans="1:14" hidden="1" x14ac:dyDescent="0.35">
      <c r="A7176" s="52" t="s">
        <v>734</v>
      </c>
      <c r="B7176" s="52" t="s">
        <v>34</v>
      </c>
      <c r="C7176" s="52" t="s">
        <v>318</v>
      </c>
      <c r="D7176" s="52" t="s">
        <v>318</v>
      </c>
      <c r="E7176" s="52" t="s">
        <v>584</v>
      </c>
      <c r="F7176" s="52" t="s">
        <v>581</v>
      </c>
      <c r="G7176" s="195" t="s">
        <v>278</v>
      </c>
      <c r="H7176" s="195">
        <v>-0.41915000000000002</v>
      </c>
      <c r="I7176" s="195">
        <v>0</v>
      </c>
      <c r="J7176" s="195"/>
      <c r="K7176" s="195"/>
      <c r="L7176" s="195"/>
      <c r="M7176" s="195"/>
      <c r="N7176" s="195"/>
    </row>
    <row r="7177" spans="1:14" hidden="1" x14ac:dyDescent="0.35">
      <c r="A7177" s="52" t="s">
        <v>734</v>
      </c>
      <c r="B7177" s="52" t="s">
        <v>34</v>
      </c>
      <c r="C7177" s="52" t="s">
        <v>318</v>
      </c>
      <c r="D7177" s="52" t="s">
        <v>318</v>
      </c>
      <c r="E7177" s="52" t="s">
        <v>584</v>
      </c>
      <c r="F7177" s="52" t="s">
        <v>26</v>
      </c>
      <c r="G7177" s="195" t="s">
        <v>275</v>
      </c>
      <c r="H7177" s="195">
        <v>0.27943400000000002</v>
      </c>
      <c r="I7177" s="195">
        <v>0</v>
      </c>
      <c r="J7177" s="195"/>
      <c r="K7177" s="195"/>
      <c r="L7177" s="195"/>
      <c r="M7177" s="195"/>
      <c r="N7177" s="195"/>
    </row>
    <row r="7178" spans="1:14" hidden="1" x14ac:dyDescent="0.35">
      <c r="A7178" s="52" t="s">
        <v>734</v>
      </c>
      <c r="B7178" s="52" t="s">
        <v>34</v>
      </c>
      <c r="C7178" s="52" t="s">
        <v>318</v>
      </c>
      <c r="D7178" s="52" t="s">
        <v>318</v>
      </c>
      <c r="E7178" s="52" t="s">
        <v>584</v>
      </c>
      <c r="F7178" s="52" t="s">
        <v>26</v>
      </c>
      <c r="G7178" s="195" t="s">
        <v>278</v>
      </c>
      <c r="H7178" s="195">
        <v>-0.27943400000000002</v>
      </c>
      <c r="I7178" s="195">
        <v>0</v>
      </c>
      <c r="J7178" s="195"/>
      <c r="K7178" s="195"/>
      <c r="L7178" s="195"/>
      <c r="M7178" s="195"/>
      <c r="N7178" s="195"/>
    </row>
    <row r="7179" spans="1:14" hidden="1" x14ac:dyDescent="0.35">
      <c r="A7179" s="52" t="s">
        <v>744</v>
      </c>
      <c r="B7179" s="52" t="s">
        <v>34</v>
      </c>
      <c r="C7179" s="52" t="s">
        <v>33</v>
      </c>
      <c r="D7179" s="52" t="s">
        <v>33</v>
      </c>
      <c r="E7179" s="52" t="s">
        <v>584</v>
      </c>
      <c r="F7179" s="52" t="s">
        <v>581</v>
      </c>
      <c r="G7179" s="195" t="s">
        <v>275</v>
      </c>
      <c r="H7179" s="195">
        <v>38.532539999999997</v>
      </c>
      <c r="I7179" s="195">
        <v>1.606805</v>
      </c>
      <c r="J7179" s="195">
        <v>-1.8571770000000001</v>
      </c>
      <c r="K7179" s="195">
        <v>-5.7747070000000003</v>
      </c>
      <c r="L7179" s="195">
        <v>-9.5482340000000008</v>
      </c>
      <c r="M7179" s="195">
        <v>-10.599729999999999</v>
      </c>
      <c r="N7179" s="195">
        <v>-13.6831</v>
      </c>
    </row>
    <row r="7180" spans="1:14" hidden="1" x14ac:dyDescent="0.35">
      <c r="A7180" s="52" t="s">
        <v>744</v>
      </c>
      <c r="B7180" s="52" t="s">
        <v>34</v>
      </c>
      <c r="C7180" s="52" t="s">
        <v>33</v>
      </c>
      <c r="D7180" s="52" t="s">
        <v>33</v>
      </c>
      <c r="E7180" s="52" t="s">
        <v>584</v>
      </c>
      <c r="F7180" s="52" t="s">
        <v>581</v>
      </c>
      <c r="G7180" s="195" t="s">
        <v>276</v>
      </c>
      <c r="H7180" s="195">
        <v>2.0446219999999999</v>
      </c>
      <c r="I7180" s="195">
        <v>-8.5651460000000004</v>
      </c>
      <c r="J7180" s="195">
        <v>-3.192672</v>
      </c>
      <c r="K7180" s="195">
        <v>-2.4982410000000002</v>
      </c>
      <c r="L7180" s="195">
        <v>-2.0629490000000001</v>
      </c>
      <c r="M7180" s="195">
        <v>-1.8807799999999999</v>
      </c>
      <c r="N7180" s="195">
        <v>-3.235614</v>
      </c>
    </row>
    <row r="7181" spans="1:14" hidden="1" x14ac:dyDescent="0.35">
      <c r="A7181" s="52" t="s">
        <v>744</v>
      </c>
      <c r="B7181" s="52" t="s">
        <v>34</v>
      </c>
      <c r="C7181" s="52" t="s">
        <v>33</v>
      </c>
      <c r="D7181" s="52" t="s">
        <v>33</v>
      </c>
      <c r="E7181" s="52" t="s">
        <v>584</v>
      </c>
      <c r="F7181" s="52" t="s">
        <v>581</v>
      </c>
      <c r="G7181" s="195" t="s">
        <v>277</v>
      </c>
      <c r="H7181" s="195">
        <v>31.649360000000001</v>
      </c>
      <c r="I7181" s="195">
        <v>15.12514</v>
      </c>
      <c r="J7181" s="195">
        <v>14.83905</v>
      </c>
      <c r="K7181" s="195">
        <v>17.153690000000001</v>
      </c>
      <c r="L7181" s="195">
        <v>19.296220000000002</v>
      </c>
      <c r="M7181" s="195">
        <v>22.901730000000001</v>
      </c>
      <c r="N7181" s="195">
        <v>23.652799999999999</v>
      </c>
    </row>
    <row r="7182" spans="1:14" hidden="1" x14ac:dyDescent="0.35">
      <c r="A7182" s="52" t="s">
        <v>744</v>
      </c>
      <c r="B7182" s="52" t="s">
        <v>34</v>
      </c>
      <c r="C7182" s="52" t="s">
        <v>33</v>
      </c>
      <c r="D7182" s="52" t="s">
        <v>33</v>
      </c>
      <c r="E7182" s="52" t="s">
        <v>584</v>
      </c>
      <c r="F7182" s="52" t="s">
        <v>581</v>
      </c>
      <c r="G7182" s="195" t="s">
        <v>278</v>
      </c>
      <c r="H7182" s="195">
        <v>1.51904E-2</v>
      </c>
      <c r="I7182" s="195">
        <v>1.51904E-2</v>
      </c>
      <c r="J7182" s="195">
        <v>1.51904E-2</v>
      </c>
      <c r="K7182" s="195">
        <v>1.51904E-2</v>
      </c>
      <c r="L7182" s="195">
        <v>1.51904E-2</v>
      </c>
      <c r="M7182" s="195">
        <v>1.51904E-2</v>
      </c>
      <c r="N7182" s="195">
        <v>1.51904E-2</v>
      </c>
    </row>
    <row r="7183" spans="1:14" hidden="1" x14ac:dyDescent="0.35">
      <c r="A7183" s="52" t="s">
        <v>744</v>
      </c>
      <c r="B7183" s="52" t="s">
        <v>34</v>
      </c>
      <c r="C7183" s="52" t="s">
        <v>33</v>
      </c>
      <c r="D7183" s="52" t="s">
        <v>33</v>
      </c>
      <c r="E7183" s="52" t="s">
        <v>584</v>
      </c>
      <c r="F7183" s="52" t="s">
        <v>581</v>
      </c>
      <c r="G7183" s="195" t="s">
        <v>279</v>
      </c>
      <c r="H7183" s="195">
        <v>25.575790000000001</v>
      </c>
      <c r="I7183" s="195">
        <v>30.682009999999998</v>
      </c>
      <c r="J7183" s="195">
        <v>23.725899999999999</v>
      </c>
      <c r="K7183" s="195">
        <v>24.94313</v>
      </c>
      <c r="L7183" s="195">
        <v>26.380579999999998</v>
      </c>
      <c r="M7183" s="195">
        <v>23.70533</v>
      </c>
      <c r="N7183" s="195">
        <v>25.219719999999999</v>
      </c>
    </row>
    <row r="7184" spans="1:14" hidden="1" x14ac:dyDescent="0.35">
      <c r="A7184" s="52" t="s">
        <v>744</v>
      </c>
      <c r="B7184" s="52" t="s">
        <v>34</v>
      </c>
      <c r="C7184" s="52" t="s">
        <v>33</v>
      </c>
      <c r="D7184" s="52" t="s">
        <v>33</v>
      </c>
      <c r="E7184" s="52" t="s">
        <v>584</v>
      </c>
      <c r="F7184" s="52" t="s">
        <v>26</v>
      </c>
      <c r="G7184" s="195" t="s">
        <v>275</v>
      </c>
      <c r="H7184" s="195">
        <v>-3.9130950000000002</v>
      </c>
      <c r="I7184" s="195">
        <v>-4.6712309999999997</v>
      </c>
      <c r="J7184" s="195">
        <v>-4.1707239999999999</v>
      </c>
      <c r="K7184" s="195">
        <v>-4.3193619999999999</v>
      </c>
      <c r="L7184" s="195">
        <v>-4.4506420000000002</v>
      </c>
      <c r="M7184" s="195">
        <v>-3.2892220000000001</v>
      </c>
      <c r="N7184" s="195">
        <v>-7.9514829999999996</v>
      </c>
    </row>
    <row r="7185" spans="1:14" hidden="1" x14ac:dyDescent="0.35">
      <c r="A7185" s="52" t="s">
        <v>744</v>
      </c>
      <c r="B7185" s="52" t="s">
        <v>34</v>
      </c>
      <c r="C7185" s="52" t="s">
        <v>33</v>
      </c>
      <c r="D7185" s="52" t="s">
        <v>33</v>
      </c>
      <c r="E7185" s="52" t="s">
        <v>584</v>
      </c>
      <c r="F7185" s="52" t="s">
        <v>26</v>
      </c>
      <c r="G7185" s="195" t="s">
        <v>276</v>
      </c>
      <c r="H7185" s="195">
        <v>-1.618074</v>
      </c>
      <c r="I7185" s="195">
        <v>-1.6900759999999999</v>
      </c>
      <c r="J7185" s="195">
        <v>-1.426566</v>
      </c>
      <c r="K7185" s="195">
        <v>-1.3606860000000001</v>
      </c>
      <c r="L7185" s="195">
        <v>-1.3838889999999999</v>
      </c>
      <c r="M7185" s="195">
        <v>-1.0178910000000001</v>
      </c>
      <c r="N7185" s="195">
        <v>-2.3884219999999998</v>
      </c>
    </row>
    <row r="7186" spans="1:14" hidden="1" x14ac:dyDescent="0.35">
      <c r="A7186" s="52" t="s">
        <v>744</v>
      </c>
      <c r="B7186" s="52" t="s">
        <v>34</v>
      </c>
      <c r="C7186" s="52" t="s">
        <v>33</v>
      </c>
      <c r="D7186" s="52" t="s">
        <v>33</v>
      </c>
      <c r="E7186" s="52" t="s">
        <v>584</v>
      </c>
      <c r="F7186" s="52" t="s">
        <v>26</v>
      </c>
      <c r="G7186" s="195" t="s">
        <v>277</v>
      </c>
      <c r="H7186" s="195">
        <v>0.73487309999999995</v>
      </c>
      <c r="I7186" s="195">
        <v>0.64282300000000003</v>
      </c>
      <c r="J7186" s="195">
        <v>0.38224799999999998</v>
      </c>
      <c r="K7186" s="195">
        <v>0.25202760000000002</v>
      </c>
      <c r="L7186" s="195">
        <v>0.1838002</v>
      </c>
      <c r="M7186" s="195">
        <v>0.110318</v>
      </c>
      <c r="N7186" s="195">
        <v>0.114574</v>
      </c>
    </row>
    <row r="7187" spans="1:14" hidden="1" x14ac:dyDescent="0.35">
      <c r="A7187" s="52" t="s">
        <v>744</v>
      </c>
      <c r="B7187" s="52" t="s">
        <v>34</v>
      </c>
      <c r="C7187" s="52" t="s">
        <v>33</v>
      </c>
      <c r="D7187" s="52" t="s">
        <v>33</v>
      </c>
      <c r="E7187" s="52" t="s">
        <v>584</v>
      </c>
      <c r="F7187" s="52" t="s">
        <v>26</v>
      </c>
      <c r="G7187" s="195" t="s">
        <v>279</v>
      </c>
      <c r="H7187" s="195">
        <v>12.828390000000001</v>
      </c>
      <c r="I7187" s="195">
        <v>12.252560000000001</v>
      </c>
      <c r="J7187" s="195">
        <v>10.8332</v>
      </c>
      <c r="K7187" s="195">
        <v>10.868539999999999</v>
      </c>
      <c r="L7187" s="195">
        <v>10.92801</v>
      </c>
      <c r="M7187" s="195">
        <v>9.2994699999999995</v>
      </c>
      <c r="N7187" s="195">
        <v>13.629250000000001</v>
      </c>
    </row>
    <row r="7188" spans="1:14" hidden="1" x14ac:dyDescent="0.35">
      <c r="A7188" s="52" t="s">
        <v>744</v>
      </c>
      <c r="B7188" s="52" t="s">
        <v>34</v>
      </c>
      <c r="C7188" s="52" t="s">
        <v>33</v>
      </c>
      <c r="D7188" s="52" t="s">
        <v>33</v>
      </c>
      <c r="E7188" s="52" t="s">
        <v>699</v>
      </c>
      <c r="F7188" s="52" t="s">
        <v>581</v>
      </c>
      <c r="G7188" s="195" t="s">
        <v>275</v>
      </c>
      <c r="H7188" s="195">
        <v>21.720389999999998</v>
      </c>
      <c r="I7188" s="195">
        <v>29.766200000000001</v>
      </c>
      <c r="J7188" s="195">
        <v>16.116949999999999</v>
      </c>
      <c r="K7188" s="195">
        <v>9.5733300000000003</v>
      </c>
      <c r="L7188" s="195">
        <v>4.7038710000000004</v>
      </c>
      <c r="M7188" s="195">
        <v>6.3573579999999996</v>
      </c>
      <c r="N7188" s="195">
        <v>4.6300660000000002</v>
      </c>
    </row>
    <row r="7189" spans="1:14" hidden="1" x14ac:dyDescent="0.35">
      <c r="A7189" s="52" t="s">
        <v>744</v>
      </c>
      <c r="B7189" s="52" t="s">
        <v>34</v>
      </c>
      <c r="C7189" s="52" t="s">
        <v>33</v>
      </c>
      <c r="D7189" s="52" t="s">
        <v>33</v>
      </c>
      <c r="E7189" s="52" t="s">
        <v>699</v>
      </c>
      <c r="F7189" s="52" t="s">
        <v>581</v>
      </c>
      <c r="G7189" s="195" t="s">
        <v>276</v>
      </c>
      <c r="H7189" s="195">
        <v>8.0652779999999993</v>
      </c>
      <c r="I7189" s="195">
        <v>-11.21308</v>
      </c>
      <c r="J7189" s="195">
        <v>-8.2344249999999999</v>
      </c>
      <c r="K7189" s="195">
        <v>-2.9828950000000001</v>
      </c>
      <c r="L7189" s="195">
        <v>0.89036999999999999</v>
      </c>
      <c r="M7189" s="195">
        <v>0.77912689999999996</v>
      </c>
      <c r="N7189" s="195">
        <v>0.85442580000000001</v>
      </c>
    </row>
    <row r="7190" spans="1:14" hidden="1" x14ac:dyDescent="0.35">
      <c r="A7190" s="52" t="s">
        <v>744</v>
      </c>
      <c r="B7190" s="52" t="s">
        <v>34</v>
      </c>
      <c r="C7190" s="52" t="s">
        <v>33</v>
      </c>
      <c r="D7190" s="52" t="s">
        <v>33</v>
      </c>
      <c r="E7190" s="52" t="s">
        <v>699</v>
      </c>
      <c r="F7190" s="52" t="s">
        <v>581</v>
      </c>
      <c r="G7190" s="195" t="s">
        <v>277</v>
      </c>
      <c r="H7190" s="195">
        <v>73.005579999999995</v>
      </c>
      <c r="I7190" s="195">
        <v>3.2497579999999999</v>
      </c>
      <c r="J7190" s="195">
        <v>6.2154829999999999</v>
      </c>
      <c r="K7190" s="195">
        <v>5.4900460000000004</v>
      </c>
      <c r="L7190" s="195">
        <v>2.4619970000000002</v>
      </c>
      <c r="M7190" s="195">
        <v>0</v>
      </c>
      <c r="N7190" s="195">
        <v>0</v>
      </c>
    </row>
    <row r="7191" spans="1:14" hidden="1" x14ac:dyDescent="0.35">
      <c r="A7191" s="52" t="s">
        <v>744</v>
      </c>
      <c r="B7191" s="52" t="s">
        <v>34</v>
      </c>
      <c r="C7191" s="52" t="s">
        <v>33</v>
      </c>
      <c r="D7191" s="52" t="s">
        <v>33</v>
      </c>
      <c r="E7191" s="52" t="s">
        <v>699</v>
      </c>
      <c r="F7191" s="52" t="s">
        <v>581</v>
      </c>
      <c r="G7191" s="195" t="s">
        <v>278</v>
      </c>
      <c r="H7191" s="195">
        <v>4.5347390000000001</v>
      </c>
      <c r="I7191" s="195">
        <v>0.90201319999999996</v>
      </c>
      <c r="J7191" s="195">
        <v>1.508016</v>
      </c>
      <c r="K7191" s="195">
        <v>0.79756309999999997</v>
      </c>
      <c r="L7191" s="195">
        <v>0.53020199999999995</v>
      </c>
      <c r="M7191" s="195">
        <v>0</v>
      </c>
      <c r="N7191" s="195">
        <v>0</v>
      </c>
    </row>
    <row r="7192" spans="1:14" hidden="1" x14ac:dyDescent="0.35">
      <c r="A7192" s="52" t="s">
        <v>744</v>
      </c>
      <c r="B7192" s="52" t="s">
        <v>34</v>
      </c>
      <c r="C7192" s="52" t="s">
        <v>33</v>
      </c>
      <c r="D7192" s="52" t="s">
        <v>33</v>
      </c>
      <c r="E7192" s="52" t="s">
        <v>699</v>
      </c>
      <c r="F7192" s="52" t="s">
        <v>581</v>
      </c>
      <c r="G7192" s="195" t="s">
        <v>279</v>
      </c>
      <c r="H7192" s="195">
        <v>27.60051</v>
      </c>
      <c r="I7192" s="195">
        <v>20.117599999999999</v>
      </c>
      <c r="J7192" s="195">
        <v>15.51623</v>
      </c>
      <c r="K7192" s="195">
        <v>12.32926</v>
      </c>
      <c r="L7192" s="195">
        <v>10.418950000000001</v>
      </c>
      <c r="M7192" s="195">
        <v>6.6210290000000001</v>
      </c>
      <c r="N7192" s="195">
        <v>5.1070140000000004</v>
      </c>
    </row>
    <row r="7193" spans="1:14" hidden="1" x14ac:dyDescent="0.35">
      <c r="A7193" s="52" t="s">
        <v>744</v>
      </c>
      <c r="B7193" s="52" t="s">
        <v>34</v>
      </c>
      <c r="C7193" s="52" t="s">
        <v>33</v>
      </c>
      <c r="D7193" s="52" t="s">
        <v>33</v>
      </c>
      <c r="E7193" s="52" t="s">
        <v>699</v>
      </c>
      <c r="F7193" s="52" t="s">
        <v>26</v>
      </c>
      <c r="G7193" s="195" t="s">
        <v>275</v>
      </c>
      <c r="H7193" s="195">
        <v>1.1477170000000001</v>
      </c>
      <c r="I7193" s="195">
        <v>0.17341400000000001</v>
      </c>
      <c r="J7193" s="195">
        <v>0.26911040000000003</v>
      </c>
      <c r="K7193" s="195">
        <v>0.22693140000000001</v>
      </c>
      <c r="L7193" s="195">
        <v>2.10254E-2</v>
      </c>
      <c r="M7193" s="195">
        <v>0.13648840000000001</v>
      </c>
      <c r="N7193" s="195">
        <v>0.1053844</v>
      </c>
    </row>
    <row r="7194" spans="1:14" hidden="1" x14ac:dyDescent="0.35">
      <c r="A7194" s="52" t="s">
        <v>744</v>
      </c>
      <c r="B7194" s="52" t="s">
        <v>34</v>
      </c>
      <c r="C7194" s="52" t="s">
        <v>33</v>
      </c>
      <c r="D7194" s="52" t="s">
        <v>33</v>
      </c>
      <c r="E7194" s="52" t="s">
        <v>699</v>
      </c>
      <c r="F7194" s="52" t="s">
        <v>26</v>
      </c>
      <c r="G7194" s="195" t="s">
        <v>276</v>
      </c>
      <c r="H7194" s="195">
        <v>0.42450399999999999</v>
      </c>
      <c r="I7194" s="195">
        <v>6.4140199999999994E-2</v>
      </c>
      <c r="J7194" s="195">
        <v>9.9534200000000003E-2</v>
      </c>
      <c r="K7194" s="195">
        <v>8.3933400000000005E-2</v>
      </c>
      <c r="L7194" s="195">
        <v>7.7755999999999997E-3</v>
      </c>
      <c r="M7194" s="195">
        <v>5.0480999999999998E-2</v>
      </c>
      <c r="N7194" s="195">
        <v>3.8977400000000002E-2</v>
      </c>
    </row>
    <row r="7195" spans="1:14" hidden="1" x14ac:dyDescent="0.35">
      <c r="A7195" s="52" t="s">
        <v>744</v>
      </c>
      <c r="B7195" s="52" t="s">
        <v>34</v>
      </c>
      <c r="C7195" s="52" t="s">
        <v>33</v>
      </c>
      <c r="D7195" s="52" t="s">
        <v>33</v>
      </c>
      <c r="E7195" s="52" t="s">
        <v>699</v>
      </c>
      <c r="F7195" s="52" t="s">
        <v>26</v>
      </c>
      <c r="G7195" s="195" t="s">
        <v>279</v>
      </c>
      <c r="H7195" s="195">
        <v>4.3098609999999997</v>
      </c>
      <c r="I7195" s="195">
        <v>3.6965499999999998</v>
      </c>
      <c r="J7195" s="195">
        <v>2.8705500000000002</v>
      </c>
      <c r="K7195" s="195">
        <v>2.301177</v>
      </c>
      <c r="L7195" s="195">
        <v>1.92944</v>
      </c>
      <c r="M7195" s="195">
        <v>1.2282379999999999</v>
      </c>
      <c r="N7195" s="195">
        <v>0.94737059999999995</v>
      </c>
    </row>
    <row r="7196" spans="1:14" hidden="1" x14ac:dyDescent="0.35">
      <c r="A7196" s="52" t="s">
        <v>744</v>
      </c>
      <c r="B7196" s="52" t="s">
        <v>34</v>
      </c>
      <c r="C7196" s="52" t="s">
        <v>33</v>
      </c>
      <c r="D7196" s="52" t="s">
        <v>33</v>
      </c>
      <c r="E7196" s="52" t="s">
        <v>692</v>
      </c>
      <c r="F7196" s="52" t="s">
        <v>581</v>
      </c>
      <c r="G7196" s="195" t="s">
        <v>275</v>
      </c>
      <c r="H7196" s="195">
        <v>48.268140000000002</v>
      </c>
      <c r="I7196" s="195">
        <v>22.296050000000001</v>
      </c>
      <c r="J7196" s="195">
        <v>14.950089999999999</v>
      </c>
      <c r="K7196" s="195">
        <v>13.019500000000001</v>
      </c>
      <c r="L7196" s="195">
        <v>9.8676119999999994</v>
      </c>
      <c r="M7196" s="195">
        <v>9.5711879999999994</v>
      </c>
      <c r="N7196" s="195">
        <v>8.8391979999999997</v>
      </c>
    </row>
    <row r="7197" spans="1:14" hidden="1" x14ac:dyDescent="0.35">
      <c r="A7197" s="52" t="s">
        <v>744</v>
      </c>
      <c r="B7197" s="52" t="s">
        <v>34</v>
      </c>
      <c r="C7197" s="52" t="s">
        <v>33</v>
      </c>
      <c r="D7197" s="52" t="s">
        <v>33</v>
      </c>
      <c r="E7197" s="52" t="s">
        <v>692</v>
      </c>
      <c r="F7197" s="52" t="s">
        <v>581</v>
      </c>
      <c r="G7197" s="195" t="s">
        <v>276</v>
      </c>
      <c r="H7197" s="195">
        <v>14.98517</v>
      </c>
      <c r="I7197" s="195">
        <v>0.17404320000000001</v>
      </c>
      <c r="J7197" s="195">
        <v>1.273868</v>
      </c>
      <c r="K7197" s="195">
        <v>2.2114310000000001</v>
      </c>
      <c r="L7197" s="195">
        <v>2.961878</v>
      </c>
      <c r="M7197" s="195">
        <v>2.9427859999999999</v>
      </c>
      <c r="N7197" s="195">
        <v>2.720863</v>
      </c>
    </row>
    <row r="7198" spans="1:14" hidden="1" x14ac:dyDescent="0.35">
      <c r="A7198" s="52" t="s">
        <v>744</v>
      </c>
      <c r="B7198" s="52" t="s">
        <v>34</v>
      </c>
      <c r="C7198" s="52" t="s">
        <v>33</v>
      </c>
      <c r="D7198" s="52" t="s">
        <v>33</v>
      </c>
      <c r="E7198" s="52" t="s">
        <v>692</v>
      </c>
      <c r="F7198" s="52" t="s">
        <v>581</v>
      </c>
      <c r="G7198" s="195" t="s">
        <v>277</v>
      </c>
      <c r="H7198" s="195">
        <v>20.669339999999998</v>
      </c>
      <c r="I7198" s="195">
        <v>1.6845749999999999</v>
      </c>
      <c r="J7198" s="195">
        <v>1.367354</v>
      </c>
      <c r="K7198" s="195">
        <v>1.056325</v>
      </c>
      <c r="L7198" s="195">
        <v>1.5082340000000001</v>
      </c>
      <c r="M7198" s="195">
        <v>2.6590989999999999</v>
      </c>
      <c r="N7198" s="195">
        <v>2.748402</v>
      </c>
    </row>
    <row r="7199" spans="1:14" hidden="1" x14ac:dyDescent="0.35">
      <c r="A7199" s="52" t="s">
        <v>744</v>
      </c>
      <c r="B7199" s="52" t="s">
        <v>34</v>
      </c>
      <c r="C7199" s="52" t="s">
        <v>33</v>
      </c>
      <c r="D7199" s="52" t="s">
        <v>33</v>
      </c>
      <c r="E7199" s="52" t="s">
        <v>692</v>
      </c>
      <c r="F7199" s="52" t="s">
        <v>581</v>
      </c>
      <c r="G7199" s="195" t="s">
        <v>278</v>
      </c>
      <c r="H7199" s="195">
        <v>2.3106499999999999</v>
      </c>
      <c r="I7199" s="195">
        <v>1.3010839999999999</v>
      </c>
      <c r="J7199" s="195">
        <v>0.97996340000000004</v>
      </c>
      <c r="K7199" s="195">
        <v>0.94243679999999996</v>
      </c>
      <c r="L7199" s="195">
        <v>0.99999979999999999</v>
      </c>
      <c r="M7199" s="195">
        <v>0</v>
      </c>
      <c r="N7199" s="195"/>
    </row>
    <row r="7200" spans="1:14" hidden="1" x14ac:dyDescent="0.35">
      <c r="A7200" s="52" t="s">
        <v>744</v>
      </c>
      <c r="B7200" s="52" t="s">
        <v>34</v>
      </c>
      <c r="C7200" s="52" t="s">
        <v>33</v>
      </c>
      <c r="D7200" s="52" t="s">
        <v>33</v>
      </c>
      <c r="E7200" s="52" t="s">
        <v>692</v>
      </c>
      <c r="F7200" s="52" t="s">
        <v>581</v>
      </c>
      <c r="G7200" s="195" t="s">
        <v>279</v>
      </c>
      <c r="H7200" s="195">
        <v>9.2853709999999996</v>
      </c>
      <c r="I7200" s="195">
        <v>8.2914929999999991</v>
      </c>
      <c r="J7200" s="195">
        <v>7.0264179999999996</v>
      </c>
      <c r="K7200" s="195">
        <v>6.4407880000000004</v>
      </c>
      <c r="L7200" s="195">
        <v>6.718051</v>
      </c>
      <c r="M7200" s="195">
        <v>5.6339860000000002</v>
      </c>
      <c r="N7200" s="195">
        <v>5.3020149999999999</v>
      </c>
    </row>
    <row r="7201" spans="1:14" hidden="1" x14ac:dyDescent="0.35">
      <c r="A7201" s="52" t="s">
        <v>744</v>
      </c>
      <c r="B7201" s="52" t="s">
        <v>34</v>
      </c>
      <c r="C7201" s="52" t="s">
        <v>33</v>
      </c>
      <c r="D7201" s="52" t="s">
        <v>33</v>
      </c>
      <c r="E7201" s="52" t="s">
        <v>692</v>
      </c>
      <c r="F7201" s="52" t="s">
        <v>26</v>
      </c>
      <c r="G7201" s="195" t="s">
        <v>275</v>
      </c>
      <c r="H7201" s="195">
        <v>0.23840900000000001</v>
      </c>
      <c r="I7201" s="195">
        <v>6.9774799999999998E-2</v>
      </c>
      <c r="J7201" s="195">
        <v>-1.12076E-2</v>
      </c>
      <c r="K7201" s="195">
        <v>-1.7016400000000001E-2</v>
      </c>
      <c r="L7201" s="195">
        <v>-9.5496800000000007E-2</v>
      </c>
      <c r="M7201" s="195">
        <v>-5.7425999999999996E-3</v>
      </c>
      <c r="N7201" s="195">
        <v>-5.4408E-3</v>
      </c>
    </row>
    <row r="7202" spans="1:14" hidden="1" x14ac:dyDescent="0.35">
      <c r="A7202" s="52" t="s">
        <v>744</v>
      </c>
      <c r="B7202" s="52" t="s">
        <v>34</v>
      </c>
      <c r="C7202" s="52" t="s">
        <v>33</v>
      </c>
      <c r="D7202" s="52" t="s">
        <v>33</v>
      </c>
      <c r="E7202" s="52" t="s">
        <v>692</v>
      </c>
      <c r="F7202" s="52" t="s">
        <v>26</v>
      </c>
      <c r="G7202" s="195" t="s">
        <v>276</v>
      </c>
      <c r="H7202" s="195">
        <v>8.5958000000000007E-2</v>
      </c>
      <c r="I7202" s="195">
        <v>2.3258999999999998E-2</v>
      </c>
      <c r="J7202" s="195">
        <v>-3.5403990000000001E-3</v>
      </c>
      <c r="K7202" s="195">
        <v>-5.0838000000000003E-3</v>
      </c>
      <c r="L7202" s="195">
        <v>-2.8523799999999998E-2</v>
      </c>
      <c r="M7202" s="195">
        <v>-1.7144E-3</v>
      </c>
      <c r="N7202" s="195">
        <v>-1.6254010000000001E-3</v>
      </c>
    </row>
    <row r="7203" spans="1:14" hidden="1" x14ac:dyDescent="0.35">
      <c r="A7203" s="52" t="s">
        <v>744</v>
      </c>
      <c r="B7203" s="52" t="s">
        <v>34</v>
      </c>
      <c r="C7203" s="52" t="s">
        <v>33</v>
      </c>
      <c r="D7203" s="52" t="s">
        <v>33</v>
      </c>
      <c r="E7203" s="52" t="s">
        <v>692</v>
      </c>
      <c r="F7203" s="52" t="s">
        <v>26</v>
      </c>
      <c r="G7203" s="195" t="s">
        <v>279</v>
      </c>
      <c r="H7203" s="195">
        <v>1.4770540000000001</v>
      </c>
      <c r="I7203" s="195">
        <v>1.328006</v>
      </c>
      <c r="J7203" s="195">
        <v>1.141972</v>
      </c>
      <c r="K7203" s="195">
        <v>1.0636429999999999</v>
      </c>
      <c r="L7203" s="195">
        <v>1.094727</v>
      </c>
      <c r="M7203" s="195">
        <v>0.92349930000000002</v>
      </c>
      <c r="N7203" s="195">
        <v>0.86762170000000005</v>
      </c>
    </row>
    <row r="7204" spans="1:14" hidden="1" x14ac:dyDescent="0.35">
      <c r="A7204" s="52" t="s">
        <v>744</v>
      </c>
      <c r="B7204" s="52" t="s">
        <v>34</v>
      </c>
      <c r="C7204" s="52" t="s">
        <v>33</v>
      </c>
      <c r="D7204" s="52" t="s">
        <v>33</v>
      </c>
      <c r="E7204" s="52" t="s">
        <v>745</v>
      </c>
      <c r="F7204" s="52" t="s">
        <v>581</v>
      </c>
      <c r="G7204" s="195" t="s">
        <v>275</v>
      </c>
      <c r="H7204" s="195">
        <v>10.18863</v>
      </c>
      <c r="I7204" s="195">
        <v>13.69032</v>
      </c>
      <c r="J7204" s="195">
        <v>11.683249999999999</v>
      </c>
      <c r="K7204" s="195">
        <v>9.3593829999999993</v>
      </c>
      <c r="L7204" s="195">
        <v>5.1302180000000002</v>
      </c>
      <c r="M7204" s="195">
        <v>4.314533</v>
      </c>
      <c r="N7204" s="195">
        <v>7.0531949999999997</v>
      </c>
    </row>
    <row r="7205" spans="1:14" hidden="1" x14ac:dyDescent="0.35">
      <c r="A7205" s="52" t="s">
        <v>744</v>
      </c>
      <c r="B7205" s="52" t="s">
        <v>34</v>
      </c>
      <c r="C7205" s="52" t="s">
        <v>33</v>
      </c>
      <c r="D7205" s="52" t="s">
        <v>33</v>
      </c>
      <c r="E7205" s="52" t="s">
        <v>745</v>
      </c>
      <c r="F7205" s="52" t="s">
        <v>581</v>
      </c>
      <c r="G7205" s="195" t="s">
        <v>276</v>
      </c>
      <c r="H7205" s="195">
        <v>10.06043</v>
      </c>
      <c r="I7205" s="195">
        <v>-0.54912349999999999</v>
      </c>
      <c r="J7205" s="195">
        <v>-1.858222</v>
      </c>
      <c r="K7205" s="195">
        <v>-0.54838260000000005</v>
      </c>
      <c r="L7205" s="195">
        <v>1.28826</v>
      </c>
      <c r="M7205" s="195">
        <v>1.558622</v>
      </c>
      <c r="N7205" s="195">
        <v>1.4916579999999999</v>
      </c>
    </row>
    <row r="7206" spans="1:14" hidden="1" x14ac:dyDescent="0.35">
      <c r="A7206" s="52" t="s">
        <v>744</v>
      </c>
      <c r="B7206" s="52" t="s">
        <v>34</v>
      </c>
      <c r="C7206" s="52" t="s">
        <v>33</v>
      </c>
      <c r="D7206" s="52" t="s">
        <v>33</v>
      </c>
      <c r="E7206" s="52" t="s">
        <v>745</v>
      </c>
      <c r="F7206" s="52" t="s">
        <v>581</v>
      </c>
      <c r="G7206" s="195" t="s">
        <v>277</v>
      </c>
      <c r="H7206" s="195">
        <v>33.416730000000001</v>
      </c>
      <c r="I7206" s="195">
        <v>4.1239860000000004</v>
      </c>
      <c r="J7206" s="195">
        <v>1.6265130000000001</v>
      </c>
      <c r="K7206" s="195">
        <v>1.195967</v>
      </c>
      <c r="L7206" s="195">
        <v>1.584854</v>
      </c>
      <c r="M7206" s="195">
        <v>2.5628069999999998</v>
      </c>
      <c r="N7206" s="195">
        <v>0.30383060000000001</v>
      </c>
    </row>
    <row r="7207" spans="1:14" hidden="1" x14ac:dyDescent="0.35">
      <c r="A7207" s="52" t="s">
        <v>744</v>
      </c>
      <c r="B7207" s="52" t="s">
        <v>34</v>
      </c>
      <c r="C7207" s="52" t="s">
        <v>33</v>
      </c>
      <c r="D7207" s="52" t="s">
        <v>33</v>
      </c>
      <c r="E7207" s="52" t="s">
        <v>745</v>
      </c>
      <c r="F7207" s="52" t="s">
        <v>581</v>
      </c>
      <c r="G7207" s="195" t="s">
        <v>278</v>
      </c>
      <c r="H7207" s="195">
        <v>8.3872319999999991</v>
      </c>
      <c r="I7207" s="195">
        <v>3.1510570000000002</v>
      </c>
      <c r="J7207" s="195">
        <v>1.9336450000000001</v>
      </c>
      <c r="K7207" s="195">
        <v>1.423384</v>
      </c>
      <c r="L7207" s="195">
        <v>1.810203</v>
      </c>
      <c r="M7207" s="195">
        <v>1.833332</v>
      </c>
      <c r="N7207" s="195">
        <v>0.42050520000000002</v>
      </c>
    </row>
    <row r="7208" spans="1:14" hidden="1" x14ac:dyDescent="0.35">
      <c r="A7208" s="52" t="s">
        <v>744</v>
      </c>
      <c r="B7208" s="52" t="s">
        <v>34</v>
      </c>
      <c r="C7208" s="52" t="s">
        <v>33</v>
      </c>
      <c r="D7208" s="52" t="s">
        <v>33</v>
      </c>
      <c r="E7208" s="52" t="s">
        <v>745</v>
      </c>
      <c r="F7208" s="52" t="s">
        <v>581</v>
      </c>
      <c r="G7208" s="195" t="s">
        <v>279</v>
      </c>
      <c r="H7208" s="195">
        <v>7.0472460000000003</v>
      </c>
      <c r="I7208" s="195">
        <v>7.0716340000000004</v>
      </c>
      <c r="J7208" s="195">
        <v>5.3531380000000004</v>
      </c>
      <c r="K7208" s="195">
        <v>4.5645379999999998</v>
      </c>
      <c r="L7208" s="195">
        <v>4.541245</v>
      </c>
      <c r="M7208" s="195">
        <v>3.947489</v>
      </c>
      <c r="N7208" s="195">
        <v>3.54453</v>
      </c>
    </row>
    <row r="7209" spans="1:14" hidden="1" x14ac:dyDescent="0.35">
      <c r="A7209" s="52" t="s">
        <v>744</v>
      </c>
      <c r="B7209" s="52" t="s">
        <v>34</v>
      </c>
      <c r="C7209" s="52" t="s">
        <v>33</v>
      </c>
      <c r="D7209" s="52" t="s">
        <v>33</v>
      </c>
      <c r="E7209" s="52" t="s">
        <v>745</v>
      </c>
      <c r="F7209" s="52" t="s">
        <v>26</v>
      </c>
      <c r="G7209" s="195" t="s">
        <v>275</v>
      </c>
      <c r="H7209" s="195">
        <v>7.2069999999999995E-2</v>
      </c>
      <c r="I7209" s="195">
        <v>-0.20027420000000001</v>
      </c>
      <c r="J7209" s="195">
        <v>-0.27185959999999998</v>
      </c>
      <c r="K7209" s="195">
        <v>-0.26169039999999999</v>
      </c>
      <c r="L7209" s="195">
        <v>-0.35862860000000002</v>
      </c>
      <c r="M7209" s="195">
        <v>-0.18149000000000001</v>
      </c>
      <c r="N7209" s="195">
        <v>-0.16150419999999999</v>
      </c>
    </row>
    <row r="7210" spans="1:14" hidden="1" x14ac:dyDescent="0.35">
      <c r="A7210" s="52" t="s">
        <v>744</v>
      </c>
      <c r="B7210" s="52" t="s">
        <v>34</v>
      </c>
      <c r="C7210" s="52" t="s">
        <v>33</v>
      </c>
      <c r="D7210" s="52" t="s">
        <v>33</v>
      </c>
      <c r="E7210" s="52" t="s">
        <v>745</v>
      </c>
      <c r="F7210" s="52" t="s">
        <v>26</v>
      </c>
      <c r="G7210" s="195" t="s">
        <v>276</v>
      </c>
      <c r="H7210" s="195">
        <v>2.5985999999999999E-2</v>
      </c>
      <c r="I7210" s="195">
        <v>-6.6759600000000002E-2</v>
      </c>
      <c r="J7210" s="195">
        <v>-8.5850599999999999E-2</v>
      </c>
      <c r="K7210" s="195">
        <v>-7.8166600000000003E-2</v>
      </c>
      <c r="L7210" s="195">
        <v>-0.1071236</v>
      </c>
      <c r="M7210" s="195">
        <v>-5.4211200000000001E-2</v>
      </c>
      <c r="N7210" s="195">
        <v>-4.8242E-2</v>
      </c>
    </row>
    <row r="7211" spans="1:14" hidden="1" x14ac:dyDescent="0.35">
      <c r="A7211" s="52" t="s">
        <v>744</v>
      </c>
      <c r="B7211" s="52" t="s">
        <v>34</v>
      </c>
      <c r="C7211" s="52" t="s">
        <v>33</v>
      </c>
      <c r="D7211" s="52" t="s">
        <v>33</v>
      </c>
      <c r="E7211" s="52" t="s">
        <v>745</v>
      </c>
      <c r="F7211" s="52" t="s">
        <v>26</v>
      </c>
      <c r="G7211" s="195" t="s">
        <v>279</v>
      </c>
      <c r="H7211" s="195">
        <v>2.9237980000000001</v>
      </c>
      <c r="I7211" s="195">
        <v>2.9535110000000002</v>
      </c>
      <c r="J7211" s="195">
        <v>2.2682009999999999</v>
      </c>
      <c r="K7211" s="195">
        <v>1.970512</v>
      </c>
      <c r="L7211" s="195">
        <v>1.926526</v>
      </c>
      <c r="M7211" s="195">
        <v>1.6794009999999999</v>
      </c>
      <c r="N7211" s="195">
        <v>1.5071060000000001</v>
      </c>
    </row>
    <row r="7212" spans="1:14" hidden="1" x14ac:dyDescent="0.35">
      <c r="A7212" s="52" t="s">
        <v>744</v>
      </c>
      <c r="B7212" s="52" t="s">
        <v>34</v>
      </c>
      <c r="C7212" s="52" t="s">
        <v>33</v>
      </c>
      <c r="D7212" s="52" t="s">
        <v>33</v>
      </c>
      <c r="E7212" s="52" t="s">
        <v>746</v>
      </c>
      <c r="F7212" s="52" t="s">
        <v>581</v>
      </c>
      <c r="G7212" s="195" t="s">
        <v>275</v>
      </c>
      <c r="H7212" s="195">
        <v>5.1620100000000004</v>
      </c>
      <c r="I7212" s="195">
        <v>4.1423389999999998</v>
      </c>
      <c r="J7212" s="195">
        <v>3.4366880000000002</v>
      </c>
      <c r="K7212" s="195">
        <v>2.9051520000000002</v>
      </c>
      <c r="L7212" s="195">
        <v>0.45402969999999998</v>
      </c>
      <c r="M7212" s="195">
        <v>1.473187</v>
      </c>
      <c r="N7212" s="195">
        <v>1.2351319999999999</v>
      </c>
    </row>
    <row r="7213" spans="1:14" hidden="1" x14ac:dyDescent="0.35">
      <c r="A7213" s="52" t="s">
        <v>744</v>
      </c>
      <c r="B7213" s="52" t="s">
        <v>34</v>
      </c>
      <c r="C7213" s="52" t="s">
        <v>33</v>
      </c>
      <c r="D7213" s="52" t="s">
        <v>33</v>
      </c>
      <c r="E7213" s="52" t="s">
        <v>746</v>
      </c>
      <c r="F7213" s="52" t="s">
        <v>581</v>
      </c>
      <c r="G7213" s="195" t="s">
        <v>276</v>
      </c>
      <c r="H7213" s="195">
        <v>3.8016429999999999</v>
      </c>
      <c r="I7213" s="195">
        <v>-2.4482149999999998</v>
      </c>
      <c r="J7213" s="195">
        <v>-1.694153</v>
      </c>
      <c r="K7213" s="195">
        <v>-0.89074779999999998</v>
      </c>
      <c r="L7213" s="195">
        <v>4.6978000000000002E-3</v>
      </c>
      <c r="M7213" s="195">
        <v>0.3328412</v>
      </c>
      <c r="N7213" s="195">
        <v>0.30920180000000003</v>
      </c>
    </row>
    <row r="7214" spans="1:14" hidden="1" x14ac:dyDescent="0.35">
      <c r="A7214" s="52" t="s">
        <v>744</v>
      </c>
      <c r="B7214" s="52" t="s">
        <v>34</v>
      </c>
      <c r="C7214" s="52" t="s">
        <v>33</v>
      </c>
      <c r="D7214" s="52" t="s">
        <v>33</v>
      </c>
      <c r="E7214" s="52" t="s">
        <v>746</v>
      </c>
      <c r="F7214" s="52" t="s">
        <v>581</v>
      </c>
      <c r="G7214" s="195" t="s">
        <v>277</v>
      </c>
      <c r="H7214" s="195">
        <v>21.41215</v>
      </c>
      <c r="I7214" s="195">
        <v>2.0794350000000001</v>
      </c>
      <c r="J7214" s="195">
        <v>0.63568040000000003</v>
      </c>
      <c r="K7214" s="195">
        <v>0.35946060000000002</v>
      </c>
      <c r="L7214" s="195">
        <v>0.44045400000000001</v>
      </c>
      <c r="M7214" s="195">
        <v>0</v>
      </c>
      <c r="N7214" s="195"/>
    </row>
    <row r="7215" spans="1:14" hidden="1" x14ac:dyDescent="0.35">
      <c r="A7215" s="52" t="s">
        <v>744</v>
      </c>
      <c r="B7215" s="52" t="s">
        <v>34</v>
      </c>
      <c r="C7215" s="52" t="s">
        <v>33</v>
      </c>
      <c r="D7215" s="52" t="s">
        <v>33</v>
      </c>
      <c r="E7215" s="52" t="s">
        <v>746</v>
      </c>
      <c r="F7215" s="52" t="s">
        <v>581</v>
      </c>
      <c r="G7215" s="195" t="s">
        <v>278</v>
      </c>
      <c r="H7215" s="195">
        <v>0.5</v>
      </c>
      <c r="I7215" s="195">
        <v>0</v>
      </c>
      <c r="J7215" s="195"/>
      <c r="K7215" s="195"/>
      <c r="L7215" s="195"/>
      <c r="M7215" s="195"/>
      <c r="N7215" s="195"/>
    </row>
    <row r="7216" spans="1:14" hidden="1" x14ac:dyDescent="0.35">
      <c r="A7216" s="52" t="s">
        <v>744</v>
      </c>
      <c r="B7216" s="52" t="s">
        <v>34</v>
      </c>
      <c r="C7216" s="52" t="s">
        <v>33</v>
      </c>
      <c r="D7216" s="52" t="s">
        <v>33</v>
      </c>
      <c r="E7216" s="52" t="s">
        <v>746</v>
      </c>
      <c r="F7216" s="52" t="s">
        <v>581</v>
      </c>
      <c r="G7216" s="195" t="s">
        <v>279</v>
      </c>
      <c r="H7216" s="195">
        <v>13.1145</v>
      </c>
      <c r="I7216" s="195">
        <v>11.499180000000001</v>
      </c>
      <c r="J7216" s="195">
        <v>11.36347</v>
      </c>
      <c r="K7216" s="195">
        <v>10.411619999999999</v>
      </c>
      <c r="L7216" s="195">
        <v>10.46278</v>
      </c>
      <c r="M7216" s="195">
        <v>7.9914889999999996</v>
      </c>
      <c r="N7216" s="195">
        <v>7.0062179999999996</v>
      </c>
    </row>
    <row r="7217" spans="1:14" hidden="1" x14ac:dyDescent="0.35">
      <c r="A7217" s="52" t="s">
        <v>744</v>
      </c>
      <c r="B7217" s="52" t="s">
        <v>34</v>
      </c>
      <c r="C7217" s="52" t="s">
        <v>33</v>
      </c>
      <c r="D7217" s="52" t="s">
        <v>33</v>
      </c>
      <c r="E7217" s="52" t="s">
        <v>746</v>
      </c>
      <c r="F7217" s="52" t="s">
        <v>26</v>
      </c>
      <c r="G7217" s="195" t="s">
        <v>275</v>
      </c>
      <c r="H7217" s="195">
        <v>-3.274079</v>
      </c>
      <c r="I7217" s="195">
        <v>-3.2813810000000001</v>
      </c>
      <c r="J7217" s="195">
        <v>-3.443886</v>
      </c>
      <c r="K7217" s="195">
        <v>-3.1775570000000002</v>
      </c>
      <c r="L7217" s="195">
        <v>-3.456086</v>
      </c>
      <c r="M7217" s="195">
        <v>-2.3998219999999999</v>
      </c>
      <c r="N7217" s="195">
        <v>-2.1031049999999998</v>
      </c>
    </row>
    <row r="7218" spans="1:14" hidden="1" x14ac:dyDescent="0.35">
      <c r="A7218" s="52" t="s">
        <v>744</v>
      </c>
      <c r="B7218" s="52" t="s">
        <v>34</v>
      </c>
      <c r="C7218" s="52" t="s">
        <v>33</v>
      </c>
      <c r="D7218" s="52" t="s">
        <v>33</v>
      </c>
      <c r="E7218" s="52" t="s">
        <v>746</v>
      </c>
      <c r="F7218" s="52" t="s">
        <v>26</v>
      </c>
      <c r="G7218" s="195" t="s">
        <v>276</v>
      </c>
      <c r="H7218" s="195">
        <v>-1.1804490000000001</v>
      </c>
      <c r="I7218" s="195">
        <v>-1.0937939999999999</v>
      </c>
      <c r="J7218" s="195">
        <v>-1.087542</v>
      </c>
      <c r="K7218" s="195">
        <v>-0.94914169999999998</v>
      </c>
      <c r="L7218" s="195">
        <v>-1.0323370000000001</v>
      </c>
      <c r="M7218" s="195">
        <v>-0.71682999999999997</v>
      </c>
      <c r="N7218" s="195">
        <v>-0.62819999999999998</v>
      </c>
    </row>
    <row r="7219" spans="1:14" hidden="1" x14ac:dyDescent="0.35">
      <c r="A7219" s="52" t="s">
        <v>744</v>
      </c>
      <c r="B7219" s="52" t="s">
        <v>34</v>
      </c>
      <c r="C7219" s="52" t="s">
        <v>33</v>
      </c>
      <c r="D7219" s="52" t="s">
        <v>33</v>
      </c>
      <c r="E7219" s="52" t="s">
        <v>746</v>
      </c>
      <c r="F7219" s="52" t="s">
        <v>26</v>
      </c>
      <c r="G7219" s="195" t="s">
        <v>279</v>
      </c>
      <c r="H7219" s="195">
        <v>9.2202809999999999</v>
      </c>
      <c r="I7219" s="195">
        <v>8.0809180000000005</v>
      </c>
      <c r="J7219" s="195">
        <v>8.0174400000000006</v>
      </c>
      <c r="K7219" s="195">
        <v>7.3744019999999999</v>
      </c>
      <c r="L7219" s="195">
        <v>7.3750400000000003</v>
      </c>
      <c r="M7219" s="195">
        <v>5.6055960000000002</v>
      </c>
      <c r="N7219" s="195">
        <v>4.901688</v>
      </c>
    </row>
    <row r="7220" spans="1:14" hidden="1" x14ac:dyDescent="0.35">
      <c r="A7220" s="52" t="s">
        <v>744</v>
      </c>
      <c r="B7220" s="52" t="s">
        <v>34</v>
      </c>
      <c r="C7220" s="52" t="s">
        <v>33</v>
      </c>
      <c r="D7220" s="52" t="s">
        <v>33</v>
      </c>
      <c r="E7220" s="52" t="s">
        <v>747</v>
      </c>
      <c r="F7220" s="52" t="s">
        <v>581</v>
      </c>
      <c r="G7220" s="195" t="s">
        <v>275</v>
      </c>
      <c r="H7220" s="195">
        <v>15.756869999999999</v>
      </c>
      <c r="I7220" s="195">
        <v>9.4250469999999993</v>
      </c>
      <c r="J7220" s="195">
        <v>7.2748049999999997</v>
      </c>
      <c r="K7220" s="195">
        <v>6.2591830000000002</v>
      </c>
      <c r="L7220" s="195">
        <v>5.1112690000000001</v>
      </c>
      <c r="M7220" s="195">
        <v>5.1055260000000002</v>
      </c>
      <c r="N7220" s="195">
        <v>4.4152259999999997</v>
      </c>
    </row>
    <row r="7221" spans="1:14" hidden="1" x14ac:dyDescent="0.35">
      <c r="A7221" s="52" t="s">
        <v>744</v>
      </c>
      <c r="B7221" s="52" t="s">
        <v>34</v>
      </c>
      <c r="C7221" s="52" t="s">
        <v>33</v>
      </c>
      <c r="D7221" s="52" t="s">
        <v>33</v>
      </c>
      <c r="E7221" s="52" t="s">
        <v>747</v>
      </c>
      <c r="F7221" s="52" t="s">
        <v>581</v>
      </c>
      <c r="G7221" s="195" t="s">
        <v>276</v>
      </c>
      <c r="H7221" s="195">
        <v>4.9821759999999999</v>
      </c>
      <c r="I7221" s="195">
        <v>1.472364</v>
      </c>
      <c r="J7221" s="195">
        <v>1.257601</v>
      </c>
      <c r="K7221" s="195">
        <v>1.427732</v>
      </c>
      <c r="L7221" s="195">
        <v>1.5227889999999999</v>
      </c>
      <c r="M7221" s="195">
        <v>1.5970500000000001</v>
      </c>
      <c r="N7221" s="195">
        <v>1.55135</v>
      </c>
    </row>
    <row r="7222" spans="1:14" hidden="1" x14ac:dyDescent="0.35">
      <c r="A7222" s="52" t="s">
        <v>744</v>
      </c>
      <c r="B7222" s="52" t="s">
        <v>34</v>
      </c>
      <c r="C7222" s="52" t="s">
        <v>33</v>
      </c>
      <c r="D7222" s="52" t="s">
        <v>33</v>
      </c>
      <c r="E7222" s="52" t="s">
        <v>747</v>
      </c>
      <c r="F7222" s="52" t="s">
        <v>581</v>
      </c>
      <c r="G7222" s="195" t="s">
        <v>277</v>
      </c>
      <c r="H7222" s="195">
        <v>3.8107799999999998</v>
      </c>
      <c r="I7222" s="195">
        <v>0.51557399999999998</v>
      </c>
      <c r="J7222" s="195">
        <v>0.177201</v>
      </c>
      <c r="K7222" s="195">
        <v>0.20014180000000001</v>
      </c>
      <c r="L7222" s="195">
        <v>0.31464019999999998</v>
      </c>
      <c r="M7222" s="195">
        <v>0.41361379999999998</v>
      </c>
      <c r="N7222" s="195">
        <v>0.80260770000000003</v>
      </c>
    </row>
    <row r="7223" spans="1:14" hidden="1" x14ac:dyDescent="0.35">
      <c r="A7223" s="52" t="s">
        <v>744</v>
      </c>
      <c r="B7223" s="52" t="s">
        <v>34</v>
      </c>
      <c r="C7223" s="52" t="s">
        <v>33</v>
      </c>
      <c r="D7223" s="52" t="s">
        <v>33</v>
      </c>
      <c r="E7223" s="52" t="s">
        <v>747</v>
      </c>
      <c r="F7223" s="52" t="s">
        <v>581</v>
      </c>
      <c r="G7223" s="195" t="s">
        <v>278</v>
      </c>
      <c r="H7223" s="195">
        <v>1.7481850000000001</v>
      </c>
      <c r="I7223" s="195">
        <v>0.7204912</v>
      </c>
      <c r="J7223" s="195">
        <v>0.20983859999999999</v>
      </c>
      <c r="K7223" s="195">
        <v>0.2213736</v>
      </c>
      <c r="L7223" s="195">
        <v>0.3492516</v>
      </c>
      <c r="M7223" s="195">
        <v>0.39869640000000001</v>
      </c>
      <c r="N7223" s="195">
        <v>0.86786339999999995</v>
      </c>
    </row>
    <row r="7224" spans="1:14" hidden="1" x14ac:dyDescent="0.35">
      <c r="A7224" s="52" t="s">
        <v>744</v>
      </c>
      <c r="B7224" s="52" t="s">
        <v>34</v>
      </c>
      <c r="C7224" s="52" t="s">
        <v>33</v>
      </c>
      <c r="D7224" s="52" t="s">
        <v>33</v>
      </c>
      <c r="E7224" s="52" t="s">
        <v>747</v>
      </c>
      <c r="F7224" s="52" t="s">
        <v>581</v>
      </c>
      <c r="G7224" s="195" t="s">
        <v>279</v>
      </c>
      <c r="H7224" s="195">
        <v>4.202852</v>
      </c>
      <c r="I7224" s="195">
        <v>5.5065939999999998</v>
      </c>
      <c r="J7224" s="195">
        <v>4.9147210000000001</v>
      </c>
      <c r="K7224" s="195">
        <v>4.6088279999999999</v>
      </c>
      <c r="L7224" s="195">
        <v>4.7811709999999996</v>
      </c>
      <c r="M7224" s="195">
        <v>4.1634149999999996</v>
      </c>
      <c r="N7224" s="195">
        <v>4.1983819999999996</v>
      </c>
    </row>
    <row r="7225" spans="1:14" hidden="1" x14ac:dyDescent="0.35">
      <c r="A7225" s="52" t="s">
        <v>744</v>
      </c>
      <c r="B7225" s="52" t="s">
        <v>34</v>
      </c>
      <c r="C7225" s="52" t="s">
        <v>33</v>
      </c>
      <c r="D7225" s="52" t="s">
        <v>33</v>
      </c>
      <c r="E7225" s="52" t="s">
        <v>747</v>
      </c>
      <c r="F7225" s="52" t="s">
        <v>26</v>
      </c>
      <c r="G7225" s="195" t="s">
        <v>275</v>
      </c>
      <c r="H7225" s="195">
        <v>-4.5594000000000003E-2</v>
      </c>
      <c r="I7225" s="195">
        <v>-0.23604820000000001</v>
      </c>
      <c r="J7225" s="195">
        <v>-0.31158059999999999</v>
      </c>
      <c r="K7225" s="195">
        <v>-0.32631539999999998</v>
      </c>
      <c r="L7225" s="195">
        <v>-0.412329</v>
      </c>
      <c r="M7225" s="195">
        <v>-0.25950679999999998</v>
      </c>
      <c r="N7225" s="195">
        <v>-0.2597834</v>
      </c>
    </row>
    <row r="7226" spans="1:14" hidden="1" x14ac:dyDescent="0.35">
      <c r="A7226" s="52" t="s">
        <v>744</v>
      </c>
      <c r="B7226" s="52" t="s">
        <v>34</v>
      </c>
      <c r="C7226" s="52" t="s">
        <v>33</v>
      </c>
      <c r="D7226" s="52" t="s">
        <v>33</v>
      </c>
      <c r="E7226" s="52" t="s">
        <v>747</v>
      </c>
      <c r="F7226" s="52" t="s">
        <v>26</v>
      </c>
      <c r="G7226" s="195" t="s">
        <v>276</v>
      </c>
      <c r="H7226" s="195">
        <v>-1.6438999999999999E-2</v>
      </c>
      <c r="I7226" s="195">
        <v>-7.8682799999999997E-2</v>
      </c>
      <c r="J7226" s="195">
        <v>-9.8393599999999998E-2</v>
      </c>
      <c r="K7226" s="195">
        <v>-9.7470200000000007E-2</v>
      </c>
      <c r="L7226" s="195">
        <v>-0.1231628</v>
      </c>
      <c r="M7226" s="195">
        <v>-7.7514799999999995E-2</v>
      </c>
      <c r="N7226" s="195">
        <v>-7.7597799999999995E-2</v>
      </c>
    </row>
    <row r="7227" spans="1:14" hidden="1" x14ac:dyDescent="0.35">
      <c r="A7227" s="52" t="s">
        <v>744</v>
      </c>
      <c r="B7227" s="52" t="s">
        <v>34</v>
      </c>
      <c r="C7227" s="52" t="s">
        <v>33</v>
      </c>
      <c r="D7227" s="52" t="s">
        <v>33</v>
      </c>
      <c r="E7227" s="52" t="s">
        <v>747</v>
      </c>
      <c r="F7227" s="52" t="s">
        <v>26</v>
      </c>
      <c r="G7227" s="195" t="s">
        <v>279</v>
      </c>
      <c r="H7227" s="195">
        <v>2.0226679999999999</v>
      </c>
      <c r="I7227" s="195">
        <v>1.9962599999999999</v>
      </c>
      <c r="J7227" s="195">
        <v>1.788343</v>
      </c>
      <c r="K7227" s="195">
        <v>1.6917120000000001</v>
      </c>
      <c r="L7227" s="195">
        <v>1.7393510000000001</v>
      </c>
      <c r="M7227" s="195">
        <v>1.500604</v>
      </c>
      <c r="N7227" s="195">
        <v>1.51433</v>
      </c>
    </row>
    <row r="7228" spans="1:14" hidden="1" x14ac:dyDescent="0.35">
      <c r="A7228" s="52" t="s">
        <v>744</v>
      </c>
      <c r="B7228" s="52" t="s">
        <v>34</v>
      </c>
      <c r="C7228" s="52" t="s">
        <v>33</v>
      </c>
      <c r="D7228" s="52" t="s">
        <v>33</v>
      </c>
      <c r="E7228" s="52" t="s">
        <v>604</v>
      </c>
      <c r="F7228" s="52" t="s">
        <v>581</v>
      </c>
      <c r="G7228" s="195" t="s">
        <v>275</v>
      </c>
      <c r="H7228" s="195">
        <v>1.1412789999999999</v>
      </c>
      <c r="I7228" s="195">
        <v>0.54655989999999999</v>
      </c>
      <c r="J7228" s="195">
        <v>1.026894</v>
      </c>
      <c r="K7228" s="195">
        <v>0.72814060000000003</v>
      </c>
      <c r="L7228" s="195">
        <v>0.44711479999999998</v>
      </c>
      <c r="M7228" s="195">
        <v>0.50659100000000001</v>
      </c>
      <c r="N7228" s="195">
        <v>0.47258299999999998</v>
      </c>
    </row>
    <row r="7229" spans="1:14" hidden="1" x14ac:dyDescent="0.35">
      <c r="A7229" s="52" t="s">
        <v>744</v>
      </c>
      <c r="B7229" s="52" t="s">
        <v>34</v>
      </c>
      <c r="C7229" s="52" t="s">
        <v>33</v>
      </c>
      <c r="D7229" s="52" t="s">
        <v>33</v>
      </c>
      <c r="E7229" s="52" t="s">
        <v>604</v>
      </c>
      <c r="F7229" s="52" t="s">
        <v>581</v>
      </c>
      <c r="G7229" s="195" t="s">
        <v>276</v>
      </c>
      <c r="H7229" s="195">
        <v>0.32416800000000001</v>
      </c>
      <c r="I7229" s="195">
        <v>-0.29469800000000002</v>
      </c>
      <c r="J7229" s="195">
        <v>-0.23085020000000001</v>
      </c>
      <c r="K7229" s="195">
        <v>-2.5629599999999999E-2</v>
      </c>
      <c r="L7229" s="195">
        <v>7.5287999999999994E-2</v>
      </c>
      <c r="M7229" s="195">
        <v>0.13787679999999999</v>
      </c>
      <c r="N7229" s="195">
        <v>0.13004540000000001</v>
      </c>
    </row>
    <row r="7230" spans="1:14" hidden="1" x14ac:dyDescent="0.35">
      <c r="A7230" s="52" t="s">
        <v>744</v>
      </c>
      <c r="B7230" s="52" t="s">
        <v>34</v>
      </c>
      <c r="C7230" s="52" t="s">
        <v>33</v>
      </c>
      <c r="D7230" s="52" t="s">
        <v>33</v>
      </c>
      <c r="E7230" s="52" t="s">
        <v>604</v>
      </c>
      <c r="F7230" s="52" t="s">
        <v>581</v>
      </c>
      <c r="G7230" s="195" t="s">
        <v>277</v>
      </c>
      <c r="H7230" s="195">
        <v>0.96185900000000002</v>
      </c>
      <c r="I7230" s="195">
        <v>0.31745200000000001</v>
      </c>
      <c r="J7230" s="195">
        <v>4.91312E-2</v>
      </c>
      <c r="K7230" s="195">
        <v>4.3069200000000002E-2</v>
      </c>
      <c r="L7230" s="195">
        <v>6.48836E-2</v>
      </c>
      <c r="M7230" s="195">
        <v>2.7852399999999999E-2</v>
      </c>
      <c r="N7230" s="195">
        <v>2.6595799999999999E-2</v>
      </c>
    </row>
    <row r="7231" spans="1:14" hidden="1" x14ac:dyDescent="0.35">
      <c r="A7231" s="52" t="s">
        <v>744</v>
      </c>
      <c r="B7231" s="52" t="s">
        <v>34</v>
      </c>
      <c r="C7231" s="52" t="s">
        <v>33</v>
      </c>
      <c r="D7231" s="52" t="s">
        <v>33</v>
      </c>
      <c r="E7231" s="52" t="s">
        <v>604</v>
      </c>
      <c r="F7231" s="52" t="s">
        <v>581</v>
      </c>
      <c r="G7231" s="195" t="s">
        <v>278</v>
      </c>
      <c r="H7231" s="195">
        <v>1.440895</v>
      </c>
      <c r="I7231" s="195">
        <v>0.76824610000000004</v>
      </c>
      <c r="J7231" s="195">
        <v>9.5443200000000006E-2</v>
      </c>
      <c r="K7231" s="195">
        <v>8.2681000000000004E-2</v>
      </c>
      <c r="L7231" s="195">
        <v>0.12704879999999999</v>
      </c>
      <c r="M7231" s="195">
        <v>6.62296E-2</v>
      </c>
      <c r="N7231" s="195">
        <v>6.10384E-2</v>
      </c>
    </row>
    <row r="7232" spans="1:14" hidden="1" x14ac:dyDescent="0.35">
      <c r="A7232" s="52" t="s">
        <v>744</v>
      </c>
      <c r="B7232" s="52" t="s">
        <v>34</v>
      </c>
      <c r="C7232" s="52" t="s">
        <v>33</v>
      </c>
      <c r="D7232" s="52" t="s">
        <v>33</v>
      </c>
      <c r="E7232" s="52" t="s">
        <v>604</v>
      </c>
      <c r="F7232" s="52" t="s">
        <v>581</v>
      </c>
      <c r="G7232" s="195" t="s">
        <v>279</v>
      </c>
      <c r="H7232" s="195">
        <v>0.83565710000000004</v>
      </c>
      <c r="I7232" s="195">
        <v>0.85546279999999997</v>
      </c>
      <c r="J7232" s="195">
        <v>0.72074260000000001</v>
      </c>
      <c r="K7232" s="195">
        <v>0.63628600000000002</v>
      </c>
      <c r="L7232" s="195">
        <v>0.66211379999999997</v>
      </c>
      <c r="M7232" s="195">
        <v>0.54020140000000005</v>
      </c>
      <c r="N7232" s="195">
        <v>0.4978996</v>
      </c>
    </row>
    <row r="7233" spans="1:14" hidden="1" x14ac:dyDescent="0.35">
      <c r="A7233" s="52" t="s">
        <v>744</v>
      </c>
      <c r="B7233" s="52" t="s">
        <v>34</v>
      </c>
      <c r="C7233" s="52" t="s">
        <v>33</v>
      </c>
      <c r="D7233" s="52" t="s">
        <v>33</v>
      </c>
      <c r="E7233" s="52" t="s">
        <v>604</v>
      </c>
      <c r="F7233" s="52" t="s">
        <v>26</v>
      </c>
      <c r="G7233" s="195" t="s">
        <v>275</v>
      </c>
      <c r="H7233" s="195">
        <v>7.561E-3</v>
      </c>
      <c r="I7233" s="195">
        <v>-8.7457800000000002E-2</v>
      </c>
      <c r="J7233" s="195">
        <v>-0.11904820000000001</v>
      </c>
      <c r="K7233" s="195">
        <v>-0.11312319999999999</v>
      </c>
      <c r="L7233" s="195">
        <v>-0.16637260000000001</v>
      </c>
      <c r="M7233" s="195">
        <v>-8.1539600000000004E-2</v>
      </c>
      <c r="N7233" s="195">
        <v>-7.3530200000000004E-2</v>
      </c>
    </row>
    <row r="7234" spans="1:14" hidden="1" x14ac:dyDescent="0.35">
      <c r="A7234" s="52" t="s">
        <v>744</v>
      </c>
      <c r="B7234" s="52" t="s">
        <v>34</v>
      </c>
      <c r="C7234" s="52" t="s">
        <v>33</v>
      </c>
      <c r="D7234" s="52" t="s">
        <v>33</v>
      </c>
      <c r="E7234" s="52" t="s">
        <v>604</v>
      </c>
      <c r="F7234" s="52" t="s">
        <v>26</v>
      </c>
      <c r="G7234" s="195" t="s">
        <v>276</v>
      </c>
      <c r="H7234" s="195">
        <v>2.7260000000000001E-3</v>
      </c>
      <c r="I7234" s="195">
        <v>-2.9153399999999999E-2</v>
      </c>
      <c r="J7234" s="195">
        <v>-3.7594200000000001E-2</v>
      </c>
      <c r="K7234" s="195">
        <v>-3.3790000000000001E-2</v>
      </c>
      <c r="L7234" s="195">
        <v>-4.9695799999999998E-2</v>
      </c>
      <c r="M7234" s="195">
        <v>-2.43564E-2</v>
      </c>
      <c r="N7234" s="195">
        <v>-2.19636E-2</v>
      </c>
    </row>
    <row r="7235" spans="1:14" hidden="1" x14ac:dyDescent="0.35">
      <c r="A7235" s="52" t="s">
        <v>744</v>
      </c>
      <c r="B7235" s="52" t="s">
        <v>34</v>
      </c>
      <c r="C7235" s="52" t="s">
        <v>33</v>
      </c>
      <c r="D7235" s="52" t="s">
        <v>33</v>
      </c>
      <c r="E7235" s="52" t="s">
        <v>604</v>
      </c>
      <c r="F7235" s="52" t="s">
        <v>26</v>
      </c>
      <c r="G7235" s="195" t="s">
        <v>279</v>
      </c>
      <c r="H7235" s="195">
        <v>1.1360140000000001</v>
      </c>
      <c r="I7235" s="195">
        <v>1.108082</v>
      </c>
      <c r="J7235" s="195">
        <v>0.94070909999999996</v>
      </c>
      <c r="K7235" s="195">
        <v>0.83835740000000003</v>
      </c>
      <c r="L7235" s="195">
        <v>0.86496960000000001</v>
      </c>
      <c r="M7235" s="195">
        <v>0.70648200000000005</v>
      </c>
      <c r="N7235" s="195">
        <v>0.65120860000000003</v>
      </c>
    </row>
    <row r="7236" spans="1:14" hidden="1" x14ac:dyDescent="0.35">
      <c r="A7236" s="52" t="s">
        <v>744</v>
      </c>
      <c r="B7236" s="52" t="s">
        <v>34</v>
      </c>
      <c r="C7236" s="52" t="s">
        <v>230</v>
      </c>
      <c r="D7236" s="52" t="s">
        <v>230</v>
      </c>
      <c r="E7236" s="52" t="s">
        <v>584</v>
      </c>
      <c r="F7236" s="52" t="s">
        <v>581</v>
      </c>
      <c r="G7236" s="195" t="s">
        <v>275</v>
      </c>
      <c r="H7236" s="195">
        <v>119.9188</v>
      </c>
      <c r="I7236" s="195">
        <v>-55.366990000000001</v>
      </c>
      <c r="J7236" s="195">
        <v>-32.39432</v>
      </c>
      <c r="K7236" s="195">
        <v>-41.838050000000003</v>
      </c>
      <c r="L7236" s="195">
        <v>-46.60754</v>
      </c>
      <c r="M7236" s="195">
        <v>-48.431800000000003</v>
      </c>
      <c r="N7236" s="195">
        <v>-48.420380000000002</v>
      </c>
    </row>
    <row r="7237" spans="1:14" hidden="1" x14ac:dyDescent="0.35">
      <c r="A7237" s="52" t="s">
        <v>744</v>
      </c>
      <c r="B7237" s="52" t="s">
        <v>34</v>
      </c>
      <c r="C7237" s="52" t="s">
        <v>230</v>
      </c>
      <c r="D7237" s="52" t="s">
        <v>230</v>
      </c>
      <c r="E7237" s="52" t="s">
        <v>584</v>
      </c>
      <c r="F7237" s="52" t="s">
        <v>581</v>
      </c>
      <c r="G7237" s="195" t="s">
        <v>276</v>
      </c>
      <c r="H7237" s="195">
        <v>41.169469999999997</v>
      </c>
      <c r="I7237" s="195">
        <v>-16.787199999999999</v>
      </c>
      <c r="J7237" s="195">
        <v>-21.968900000000001</v>
      </c>
      <c r="K7237" s="195">
        <v>-19.309799999999999</v>
      </c>
      <c r="L7237" s="195">
        <v>-18.199159999999999</v>
      </c>
      <c r="M7237" s="195">
        <v>-13.448930000000001</v>
      </c>
      <c r="N7237" s="195">
        <v>-14.94455</v>
      </c>
    </row>
    <row r="7238" spans="1:14" hidden="1" x14ac:dyDescent="0.35">
      <c r="A7238" s="52" t="s">
        <v>744</v>
      </c>
      <c r="B7238" s="52" t="s">
        <v>34</v>
      </c>
      <c r="C7238" s="52" t="s">
        <v>230</v>
      </c>
      <c r="D7238" s="52" t="s">
        <v>230</v>
      </c>
      <c r="E7238" s="52" t="s">
        <v>584</v>
      </c>
      <c r="F7238" s="52" t="s">
        <v>581</v>
      </c>
      <c r="G7238" s="195" t="s">
        <v>277</v>
      </c>
      <c r="H7238" s="195">
        <v>80.017790000000005</v>
      </c>
      <c r="I7238" s="195">
        <v>96.540499999999994</v>
      </c>
      <c r="J7238" s="195">
        <v>59.500500000000002</v>
      </c>
      <c r="K7238" s="195">
        <v>64.817639999999997</v>
      </c>
      <c r="L7238" s="195">
        <v>70.156080000000003</v>
      </c>
      <c r="M7238" s="195">
        <v>80.917910000000006</v>
      </c>
      <c r="N7238" s="195">
        <v>82.650199999999998</v>
      </c>
    </row>
    <row r="7239" spans="1:14" hidden="1" x14ac:dyDescent="0.35">
      <c r="A7239" s="52" t="s">
        <v>744</v>
      </c>
      <c r="B7239" s="52" t="s">
        <v>34</v>
      </c>
      <c r="C7239" s="52" t="s">
        <v>230</v>
      </c>
      <c r="D7239" s="52" t="s">
        <v>230</v>
      </c>
      <c r="E7239" s="52" t="s">
        <v>584</v>
      </c>
      <c r="F7239" s="52" t="s">
        <v>581</v>
      </c>
      <c r="G7239" s="195" t="s">
        <v>279</v>
      </c>
      <c r="H7239" s="195">
        <v>115.5423</v>
      </c>
      <c r="I7239" s="195">
        <v>112.6649</v>
      </c>
      <c r="J7239" s="195">
        <v>120.6801</v>
      </c>
      <c r="K7239" s="195">
        <v>125.5534</v>
      </c>
      <c r="L7239" s="195">
        <v>126.06</v>
      </c>
      <c r="M7239" s="195">
        <v>114.2807</v>
      </c>
      <c r="N7239" s="195">
        <v>116.15770000000001</v>
      </c>
    </row>
    <row r="7240" spans="1:14" hidden="1" x14ac:dyDescent="0.35">
      <c r="A7240" s="52" t="s">
        <v>744</v>
      </c>
      <c r="B7240" s="52" t="s">
        <v>34</v>
      </c>
      <c r="C7240" s="52" t="s">
        <v>230</v>
      </c>
      <c r="D7240" s="52" t="s">
        <v>230</v>
      </c>
      <c r="E7240" s="52" t="s">
        <v>584</v>
      </c>
      <c r="F7240" s="52" t="s">
        <v>26</v>
      </c>
      <c r="G7240" s="195" t="s">
        <v>275</v>
      </c>
      <c r="H7240" s="195">
        <v>-9.0685370000000001E-2</v>
      </c>
      <c r="I7240" s="195">
        <v>-0.12156989999999999</v>
      </c>
      <c r="J7240" s="195">
        <v>-0.28084209999999998</v>
      </c>
      <c r="K7240" s="195">
        <v>-9.9572800000000003E-2</v>
      </c>
      <c r="L7240" s="195">
        <v>-9.867919E-2</v>
      </c>
      <c r="M7240" s="195">
        <v>-5.212551E-2</v>
      </c>
      <c r="N7240" s="195">
        <v>-4.1928449999999999E-2</v>
      </c>
    </row>
    <row r="7241" spans="1:14" hidden="1" x14ac:dyDescent="0.35">
      <c r="A7241" s="52" t="s">
        <v>744</v>
      </c>
      <c r="B7241" s="52" t="s">
        <v>34</v>
      </c>
      <c r="C7241" s="52" t="s">
        <v>230</v>
      </c>
      <c r="D7241" s="52" t="s">
        <v>230</v>
      </c>
      <c r="E7241" s="52" t="s">
        <v>584</v>
      </c>
      <c r="F7241" s="52" t="s">
        <v>26</v>
      </c>
      <c r="G7241" s="195" t="s">
        <v>276</v>
      </c>
      <c r="H7241" s="195">
        <v>-3.354186E-2</v>
      </c>
      <c r="I7241" s="195">
        <v>-4.4964259999999999E-2</v>
      </c>
      <c r="J7241" s="195">
        <v>-0.1038737</v>
      </c>
      <c r="K7241" s="195">
        <v>-3.6827650000000003E-2</v>
      </c>
      <c r="L7241" s="195">
        <v>-3.6499120000000003E-2</v>
      </c>
      <c r="M7241" s="195">
        <v>-1.927881E-2</v>
      </c>
      <c r="N7241" s="195">
        <v>-1.5506809999999999E-2</v>
      </c>
    </row>
    <row r="7242" spans="1:14" hidden="1" x14ac:dyDescent="0.35">
      <c r="A7242" s="52" t="s">
        <v>744</v>
      </c>
      <c r="B7242" s="52" t="s">
        <v>34</v>
      </c>
      <c r="C7242" s="52" t="s">
        <v>230</v>
      </c>
      <c r="D7242" s="52" t="s">
        <v>230</v>
      </c>
      <c r="E7242" s="52" t="s">
        <v>584</v>
      </c>
      <c r="F7242" s="52" t="s">
        <v>26</v>
      </c>
      <c r="G7242" s="195" t="s">
        <v>279</v>
      </c>
      <c r="H7242" s="195">
        <v>0.72302580000000005</v>
      </c>
      <c r="I7242" s="195">
        <v>0.62523960000000001</v>
      </c>
      <c r="J7242" s="195">
        <v>0.75162770000000001</v>
      </c>
      <c r="K7242" s="195">
        <v>0.46991569999999999</v>
      </c>
      <c r="L7242" s="195">
        <v>0.4333553</v>
      </c>
      <c r="M7242" s="195">
        <v>0.33107049999999999</v>
      </c>
      <c r="N7242" s="195">
        <v>0.28401300000000002</v>
      </c>
    </row>
    <row r="7243" spans="1:14" hidden="1" x14ac:dyDescent="0.35">
      <c r="A7243" s="52" t="s">
        <v>744</v>
      </c>
      <c r="B7243" s="52" t="s">
        <v>34</v>
      </c>
      <c r="C7243" s="52" t="s">
        <v>318</v>
      </c>
      <c r="D7243" s="52" t="s">
        <v>318</v>
      </c>
      <c r="E7243" s="52" t="s">
        <v>584</v>
      </c>
      <c r="F7243" s="52" t="s">
        <v>581</v>
      </c>
      <c r="G7243" s="195" t="s">
        <v>275</v>
      </c>
      <c r="H7243" s="195">
        <v>10.84671</v>
      </c>
      <c r="I7243" s="195">
        <v>0</v>
      </c>
      <c r="J7243" s="195"/>
      <c r="K7243" s="195"/>
      <c r="L7243" s="195"/>
      <c r="M7243" s="195"/>
      <c r="N7243" s="195"/>
    </row>
    <row r="7244" spans="1:14" hidden="1" x14ac:dyDescent="0.35">
      <c r="A7244" s="52" t="s">
        <v>744</v>
      </c>
      <c r="B7244" s="52" t="s">
        <v>34</v>
      </c>
      <c r="C7244" s="52" t="s">
        <v>318</v>
      </c>
      <c r="D7244" s="52" t="s">
        <v>318</v>
      </c>
      <c r="E7244" s="52" t="s">
        <v>584</v>
      </c>
      <c r="F7244" s="52" t="s">
        <v>581</v>
      </c>
      <c r="G7244" s="195" t="s">
        <v>278</v>
      </c>
      <c r="H7244" s="195">
        <v>-10.84671</v>
      </c>
      <c r="I7244" s="195">
        <v>0</v>
      </c>
      <c r="J7244" s="195"/>
      <c r="K7244" s="195"/>
      <c r="L7244" s="195"/>
      <c r="M7244" s="195"/>
      <c r="N7244" s="195"/>
    </row>
    <row r="7245" spans="1:14" hidden="1" x14ac:dyDescent="0.35">
      <c r="A7245" s="52" t="s">
        <v>744</v>
      </c>
      <c r="B7245" s="52" t="s">
        <v>34</v>
      </c>
      <c r="C7245" s="52" t="s">
        <v>318</v>
      </c>
      <c r="D7245" s="52" t="s">
        <v>318</v>
      </c>
      <c r="E7245" s="52" t="s">
        <v>584</v>
      </c>
      <c r="F7245" s="52" t="s">
        <v>26</v>
      </c>
      <c r="G7245" s="195" t="s">
        <v>275</v>
      </c>
      <c r="H7245" s="195">
        <v>7.2311430000000003</v>
      </c>
      <c r="I7245" s="195">
        <v>0</v>
      </c>
      <c r="J7245" s="195"/>
      <c r="K7245" s="195"/>
      <c r="L7245" s="195"/>
      <c r="M7245" s="195"/>
      <c r="N7245" s="195"/>
    </row>
    <row r="7246" spans="1:14" hidden="1" x14ac:dyDescent="0.35">
      <c r="A7246" s="52" t="s">
        <v>744</v>
      </c>
      <c r="B7246" s="52" t="s">
        <v>34</v>
      </c>
      <c r="C7246" s="52" t="s">
        <v>318</v>
      </c>
      <c r="D7246" s="52" t="s">
        <v>318</v>
      </c>
      <c r="E7246" s="52" t="s">
        <v>584</v>
      </c>
      <c r="F7246" s="52" t="s">
        <v>26</v>
      </c>
      <c r="G7246" s="195" t="s">
        <v>278</v>
      </c>
      <c r="H7246" s="195">
        <v>-7.2311430000000003</v>
      </c>
      <c r="I7246" s="195">
        <v>0</v>
      </c>
      <c r="J7246" s="195"/>
      <c r="K7246" s="195"/>
      <c r="L7246" s="195"/>
      <c r="M7246" s="195"/>
      <c r="N7246" s="195"/>
    </row>
    <row r="7247" spans="1:14" hidden="1" x14ac:dyDescent="0.35">
      <c r="A7247" s="52" t="s">
        <v>740</v>
      </c>
      <c r="B7247" s="52" t="s">
        <v>37</v>
      </c>
      <c r="C7247" s="52" t="s">
        <v>79</v>
      </c>
      <c r="D7247" s="52" t="s">
        <v>79</v>
      </c>
      <c r="E7247" s="52" t="s">
        <v>600</v>
      </c>
      <c r="F7247" s="52" t="s">
        <v>581</v>
      </c>
      <c r="G7247" s="195" t="s">
        <v>275</v>
      </c>
      <c r="H7247" s="195">
        <v>-17.393899999999999</v>
      </c>
      <c r="I7247" s="195">
        <v>40.867980000000003</v>
      </c>
      <c r="J7247" s="195">
        <v>51.28707</v>
      </c>
      <c r="K7247" s="195">
        <v>58.087110000000003</v>
      </c>
      <c r="L7247" s="195">
        <v>32.85745</v>
      </c>
      <c r="M7247" s="195">
        <v>4.2297900000000004</v>
      </c>
      <c r="N7247" s="195">
        <v>1.4242699999999999</v>
      </c>
    </row>
    <row r="7248" spans="1:14" hidden="1" x14ac:dyDescent="0.35">
      <c r="A7248" s="52" t="s">
        <v>740</v>
      </c>
      <c r="B7248" s="52" t="s">
        <v>37</v>
      </c>
      <c r="C7248" s="52" t="s">
        <v>79</v>
      </c>
      <c r="D7248" s="52" t="s">
        <v>79</v>
      </c>
      <c r="E7248" s="52" t="s">
        <v>600</v>
      </c>
      <c r="F7248" s="52" t="s">
        <v>581</v>
      </c>
      <c r="G7248" s="195" t="s">
        <v>276</v>
      </c>
      <c r="H7248" s="195">
        <v>-53.127859999999998</v>
      </c>
      <c r="I7248" s="195">
        <v>-45.354559999999999</v>
      </c>
      <c r="J7248" s="195">
        <v>-41.984819999999999</v>
      </c>
      <c r="K7248" s="195">
        <v>-51.260440000000003</v>
      </c>
      <c r="L7248" s="195">
        <v>-33.979370000000003</v>
      </c>
      <c r="M7248" s="195">
        <v>-2.8690989999999998</v>
      </c>
      <c r="N7248" s="195">
        <v>-0.26204359999999999</v>
      </c>
    </row>
    <row r="7249" spans="1:14" hidden="1" x14ac:dyDescent="0.35">
      <c r="A7249" s="52" t="s">
        <v>740</v>
      </c>
      <c r="B7249" s="52" t="s">
        <v>37</v>
      </c>
      <c r="C7249" s="52" t="s">
        <v>79</v>
      </c>
      <c r="D7249" s="52" t="s">
        <v>79</v>
      </c>
      <c r="E7249" s="52" t="s">
        <v>600</v>
      </c>
      <c r="F7249" s="52" t="s">
        <v>581</v>
      </c>
      <c r="G7249" s="195" t="s">
        <v>277</v>
      </c>
      <c r="H7249" s="195">
        <v>360</v>
      </c>
      <c r="I7249" s="195">
        <v>31.715009999999999</v>
      </c>
      <c r="J7249" s="195">
        <v>4.330419</v>
      </c>
      <c r="K7249" s="195">
        <v>2.8496549999999998</v>
      </c>
      <c r="L7249" s="195">
        <v>2.0520610000000001</v>
      </c>
      <c r="M7249" s="195">
        <v>0</v>
      </c>
      <c r="N7249" s="195">
        <v>0</v>
      </c>
    </row>
    <row r="7250" spans="1:14" hidden="1" x14ac:dyDescent="0.35">
      <c r="A7250" s="52" t="s">
        <v>740</v>
      </c>
      <c r="B7250" s="52" t="s">
        <v>37</v>
      </c>
      <c r="C7250" s="52" t="s">
        <v>79</v>
      </c>
      <c r="D7250" s="52" t="s">
        <v>79</v>
      </c>
      <c r="E7250" s="52" t="s">
        <v>600</v>
      </c>
      <c r="F7250" s="52" t="s">
        <v>581</v>
      </c>
      <c r="G7250" s="195" t="s">
        <v>279</v>
      </c>
      <c r="H7250" s="195">
        <v>185.98099999999999</v>
      </c>
      <c r="I7250" s="195">
        <v>107.2213</v>
      </c>
      <c r="J7250" s="195">
        <v>89.125900000000001</v>
      </c>
      <c r="K7250" s="195">
        <v>73.970290000000006</v>
      </c>
      <c r="L7250" s="195">
        <v>65.313800000000001</v>
      </c>
      <c r="M7250" s="195">
        <v>54.280160000000002</v>
      </c>
      <c r="N7250" s="195">
        <v>47.00414</v>
      </c>
    </row>
    <row r="7251" spans="1:14" hidden="1" x14ac:dyDescent="0.35">
      <c r="A7251" s="52" t="s">
        <v>740</v>
      </c>
      <c r="B7251" s="52" t="s">
        <v>37</v>
      </c>
      <c r="C7251" s="52" t="s">
        <v>79</v>
      </c>
      <c r="D7251" s="52" t="s">
        <v>79</v>
      </c>
      <c r="E7251" s="52" t="s">
        <v>600</v>
      </c>
      <c r="F7251" s="52" t="s">
        <v>26</v>
      </c>
      <c r="G7251" s="195" t="s">
        <v>275</v>
      </c>
      <c r="H7251" s="195">
        <v>-21.089739999999999</v>
      </c>
      <c r="I7251" s="195">
        <v>-13.106249999999999</v>
      </c>
      <c r="J7251" s="195">
        <v>-9.0552709999999994</v>
      </c>
      <c r="K7251" s="195">
        <v>-6.4612769999999999</v>
      </c>
      <c r="L7251" s="195">
        <v>-5.2511950000000001</v>
      </c>
      <c r="M7251" s="195">
        <v>-4.326568</v>
      </c>
      <c r="N7251" s="195">
        <v>-3.7408350000000001</v>
      </c>
    </row>
    <row r="7252" spans="1:14" hidden="1" x14ac:dyDescent="0.35">
      <c r="A7252" s="52" t="s">
        <v>740</v>
      </c>
      <c r="B7252" s="52" t="s">
        <v>37</v>
      </c>
      <c r="C7252" s="52" t="s">
        <v>79</v>
      </c>
      <c r="D7252" s="52" t="s">
        <v>79</v>
      </c>
      <c r="E7252" s="52" t="s">
        <v>600</v>
      </c>
      <c r="F7252" s="52" t="s">
        <v>26</v>
      </c>
      <c r="G7252" s="195" t="s">
        <v>276</v>
      </c>
      <c r="H7252" s="195">
        <v>-6.1136999999999997</v>
      </c>
      <c r="I7252" s="195">
        <v>-3.799369</v>
      </c>
      <c r="J7252" s="195">
        <v>-2.6250279999999999</v>
      </c>
      <c r="K7252" s="195">
        <v>-1.8730579999999999</v>
      </c>
      <c r="L7252" s="195">
        <v>-1.5222640000000001</v>
      </c>
      <c r="M7252" s="195">
        <v>-1.25423</v>
      </c>
      <c r="N7252" s="195">
        <v>-1.08443</v>
      </c>
    </row>
    <row r="7253" spans="1:14" hidden="1" x14ac:dyDescent="0.35">
      <c r="A7253" s="52" t="s">
        <v>740</v>
      </c>
      <c r="B7253" s="52" t="s">
        <v>37</v>
      </c>
      <c r="C7253" s="52" t="s">
        <v>79</v>
      </c>
      <c r="D7253" s="52" t="s">
        <v>79</v>
      </c>
      <c r="E7253" s="52" t="s">
        <v>600</v>
      </c>
      <c r="F7253" s="52" t="s">
        <v>26</v>
      </c>
      <c r="G7253" s="195" t="s">
        <v>279</v>
      </c>
      <c r="H7253" s="195">
        <v>38.875610000000002</v>
      </c>
      <c r="I7253" s="195">
        <v>26.828060000000001</v>
      </c>
      <c r="J7253" s="195">
        <v>23.125340000000001</v>
      </c>
      <c r="K7253" s="195">
        <v>19.739350000000002</v>
      </c>
      <c r="L7253" s="195">
        <v>17.4693</v>
      </c>
      <c r="M7253" s="195">
        <v>14.558730000000001</v>
      </c>
      <c r="N7253" s="195">
        <v>12.60946</v>
      </c>
    </row>
    <row r="7254" spans="1:14" hidden="1" x14ac:dyDescent="0.35">
      <c r="A7254" s="52" t="s">
        <v>740</v>
      </c>
      <c r="B7254" s="52" t="s">
        <v>37</v>
      </c>
      <c r="C7254" s="52" t="s">
        <v>79</v>
      </c>
      <c r="D7254" s="52" t="s">
        <v>79</v>
      </c>
      <c r="E7254" s="52" t="s">
        <v>615</v>
      </c>
      <c r="F7254" s="52" t="s">
        <v>581</v>
      </c>
      <c r="G7254" s="195" t="s">
        <v>275</v>
      </c>
      <c r="H7254" s="195">
        <v>9.0103109999999997</v>
      </c>
      <c r="I7254" s="195">
        <v>2.38002</v>
      </c>
      <c r="J7254" s="195">
        <v>1.1995290000000001</v>
      </c>
      <c r="K7254" s="195">
        <v>0.58882140000000005</v>
      </c>
      <c r="L7254" s="195">
        <v>-0.39731490000000003</v>
      </c>
      <c r="M7254" s="195">
        <v>0.86477139999999997</v>
      </c>
      <c r="N7254" s="195">
        <v>0.75088540000000004</v>
      </c>
    </row>
    <row r="7255" spans="1:14" hidden="1" x14ac:dyDescent="0.35">
      <c r="A7255" s="52" t="s">
        <v>740</v>
      </c>
      <c r="B7255" s="52" t="s">
        <v>37</v>
      </c>
      <c r="C7255" s="52" t="s">
        <v>79</v>
      </c>
      <c r="D7255" s="52" t="s">
        <v>79</v>
      </c>
      <c r="E7255" s="52" t="s">
        <v>615</v>
      </c>
      <c r="F7255" s="52" t="s">
        <v>581</v>
      </c>
      <c r="G7255" s="195" t="s">
        <v>276</v>
      </c>
      <c r="H7255" s="195">
        <v>2.4171969999999998</v>
      </c>
      <c r="I7255" s="195">
        <v>-8.9256409999999994E-2</v>
      </c>
      <c r="J7255" s="195">
        <v>0.34773140000000002</v>
      </c>
      <c r="K7255" s="195">
        <v>0.29227839999999999</v>
      </c>
      <c r="L7255" s="195">
        <v>0.1796452</v>
      </c>
      <c r="M7255" s="195">
        <v>0.167407</v>
      </c>
      <c r="N7255" s="195">
        <v>0.15104860000000001</v>
      </c>
    </row>
    <row r="7256" spans="1:14" hidden="1" x14ac:dyDescent="0.35">
      <c r="A7256" s="52" t="s">
        <v>740</v>
      </c>
      <c r="B7256" s="52" t="s">
        <v>37</v>
      </c>
      <c r="C7256" s="52" t="s">
        <v>79</v>
      </c>
      <c r="D7256" s="52" t="s">
        <v>79</v>
      </c>
      <c r="E7256" s="52" t="s">
        <v>615</v>
      </c>
      <c r="F7256" s="52" t="s">
        <v>581</v>
      </c>
      <c r="G7256" s="195" t="s">
        <v>277</v>
      </c>
      <c r="H7256" s="195"/>
      <c r="I7256" s="195">
        <v>0</v>
      </c>
      <c r="J7256" s="195">
        <v>3.9999999999999998E-7</v>
      </c>
      <c r="K7256" s="195">
        <v>0.52427299999999999</v>
      </c>
      <c r="L7256" s="195">
        <v>1.376125</v>
      </c>
      <c r="M7256" s="195">
        <v>0</v>
      </c>
      <c r="N7256" s="195">
        <v>0</v>
      </c>
    </row>
    <row r="7257" spans="1:14" hidden="1" x14ac:dyDescent="0.35">
      <c r="A7257" s="52" t="s">
        <v>740</v>
      </c>
      <c r="B7257" s="52" t="s">
        <v>37</v>
      </c>
      <c r="C7257" s="52" t="s">
        <v>79</v>
      </c>
      <c r="D7257" s="52" t="s">
        <v>79</v>
      </c>
      <c r="E7257" s="52" t="s">
        <v>615</v>
      </c>
      <c r="F7257" s="52" t="s">
        <v>581</v>
      </c>
      <c r="G7257" s="195" t="s">
        <v>279</v>
      </c>
      <c r="H7257" s="195">
        <v>5.0246320000000004</v>
      </c>
      <c r="I7257" s="195">
        <v>3.3627129999999998</v>
      </c>
      <c r="J7257" s="195">
        <v>2.8268499999999999</v>
      </c>
      <c r="K7257" s="195">
        <v>2.7150430000000001</v>
      </c>
      <c r="L7257" s="195">
        <v>3.1364510000000001</v>
      </c>
      <c r="M7257" s="195">
        <v>2.6983790000000001</v>
      </c>
      <c r="N7257" s="195">
        <v>2.356163</v>
      </c>
    </row>
    <row r="7258" spans="1:14" hidden="1" x14ac:dyDescent="0.35">
      <c r="A7258" s="52" t="s">
        <v>740</v>
      </c>
      <c r="B7258" s="52" t="s">
        <v>37</v>
      </c>
      <c r="C7258" s="52" t="s">
        <v>79</v>
      </c>
      <c r="D7258" s="52" t="s">
        <v>79</v>
      </c>
      <c r="E7258" s="52" t="s">
        <v>615</v>
      </c>
      <c r="F7258" s="52" t="s">
        <v>26</v>
      </c>
      <c r="G7258" s="195" t="s">
        <v>275</v>
      </c>
      <c r="H7258" s="195">
        <v>-0.55872999999999995</v>
      </c>
      <c r="I7258" s="195">
        <v>-0.44050440000000002</v>
      </c>
      <c r="J7258" s="195">
        <v>-0.31306980000000001</v>
      </c>
      <c r="K7258" s="195">
        <v>-0.26771479999999998</v>
      </c>
      <c r="L7258" s="195">
        <v>-0.2978286</v>
      </c>
      <c r="M7258" s="195">
        <v>-0.2540248</v>
      </c>
      <c r="N7258" s="195">
        <v>-0.2213928</v>
      </c>
    </row>
    <row r="7259" spans="1:14" hidden="1" x14ac:dyDescent="0.35">
      <c r="A7259" s="52" t="s">
        <v>740</v>
      </c>
      <c r="B7259" s="52" t="s">
        <v>37</v>
      </c>
      <c r="C7259" s="52" t="s">
        <v>79</v>
      </c>
      <c r="D7259" s="52" t="s">
        <v>79</v>
      </c>
      <c r="E7259" s="52" t="s">
        <v>615</v>
      </c>
      <c r="F7259" s="52" t="s">
        <v>26</v>
      </c>
      <c r="G7259" s="195" t="s">
        <v>276</v>
      </c>
      <c r="H7259" s="195">
        <v>-0.161971</v>
      </c>
      <c r="I7259" s="195">
        <v>-0.1276978</v>
      </c>
      <c r="J7259" s="195">
        <v>-9.07554E-2</v>
      </c>
      <c r="K7259" s="195">
        <v>-7.7608200000000002E-2</v>
      </c>
      <c r="L7259" s="195">
        <v>-8.6337399999999995E-2</v>
      </c>
      <c r="M7259" s="195">
        <v>-7.3639200000000002E-2</v>
      </c>
      <c r="N7259" s="195">
        <v>-6.4179810000000004E-2</v>
      </c>
    </row>
    <row r="7260" spans="1:14" hidden="1" x14ac:dyDescent="0.35">
      <c r="A7260" s="52" t="s">
        <v>740</v>
      </c>
      <c r="B7260" s="52" t="s">
        <v>37</v>
      </c>
      <c r="C7260" s="52" t="s">
        <v>79</v>
      </c>
      <c r="D7260" s="52" t="s">
        <v>79</v>
      </c>
      <c r="E7260" s="52" t="s">
        <v>615</v>
      </c>
      <c r="F7260" s="52" t="s">
        <v>26</v>
      </c>
      <c r="G7260" s="195" t="s">
        <v>279</v>
      </c>
      <c r="H7260" s="195">
        <v>1.1823570000000001</v>
      </c>
      <c r="I7260" s="195">
        <v>0.99358900000000006</v>
      </c>
      <c r="J7260" s="195">
        <v>0.86696119999999999</v>
      </c>
      <c r="K7260" s="195">
        <v>0.85465279999999999</v>
      </c>
      <c r="L7260" s="195">
        <v>0.99041500000000005</v>
      </c>
      <c r="M7260" s="195">
        <v>0.85427779999999998</v>
      </c>
      <c r="N7260" s="195">
        <v>0.74603600000000003</v>
      </c>
    </row>
    <row r="7261" spans="1:14" hidden="1" x14ac:dyDescent="0.35">
      <c r="A7261" s="52" t="s">
        <v>740</v>
      </c>
      <c r="B7261" s="52" t="s">
        <v>37</v>
      </c>
      <c r="C7261" s="52" t="s">
        <v>35</v>
      </c>
      <c r="D7261" s="52" t="s">
        <v>189</v>
      </c>
      <c r="E7261" s="52" t="s">
        <v>590</v>
      </c>
      <c r="F7261" s="52" t="s">
        <v>581</v>
      </c>
      <c r="G7261" s="195" t="s">
        <v>275</v>
      </c>
      <c r="H7261" s="195">
        <v>122.6382</v>
      </c>
      <c r="I7261" s="195">
        <v>42.484830000000002</v>
      </c>
      <c r="J7261" s="195">
        <v>22.11299</v>
      </c>
      <c r="K7261" s="195">
        <v>11.938689999999999</v>
      </c>
      <c r="L7261" s="195">
        <v>9.9276879999999998</v>
      </c>
      <c r="M7261" s="195">
        <v>12.120570000000001</v>
      </c>
      <c r="N7261" s="195">
        <v>11.18914</v>
      </c>
    </row>
    <row r="7262" spans="1:14" hidden="1" x14ac:dyDescent="0.35">
      <c r="A7262" s="52" t="s">
        <v>740</v>
      </c>
      <c r="B7262" s="52" t="s">
        <v>37</v>
      </c>
      <c r="C7262" s="52" t="s">
        <v>35</v>
      </c>
      <c r="D7262" s="52" t="s">
        <v>189</v>
      </c>
      <c r="E7262" s="52" t="s">
        <v>590</v>
      </c>
      <c r="F7262" s="52" t="s">
        <v>581</v>
      </c>
      <c r="G7262" s="195" t="s">
        <v>276</v>
      </c>
      <c r="H7262" s="195">
        <v>-12.43891</v>
      </c>
      <c r="I7262" s="195">
        <v>-21.207599999999999</v>
      </c>
      <c r="J7262" s="195">
        <v>-18.70016</v>
      </c>
      <c r="K7262" s="195">
        <v>-4.1620929999999996</v>
      </c>
      <c r="L7262" s="195">
        <v>1.879319</v>
      </c>
      <c r="M7262" s="195">
        <v>1.253795</v>
      </c>
      <c r="N7262" s="195">
        <v>0.4246991</v>
      </c>
    </row>
    <row r="7263" spans="1:14" hidden="1" x14ac:dyDescent="0.35">
      <c r="A7263" s="52" t="s">
        <v>740</v>
      </c>
      <c r="B7263" s="52" t="s">
        <v>37</v>
      </c>
      <c r="C7263" s="52" t="s">
        <v>35</v>
      </c>
      <c r="D7263" s="52" t="s">
        <v>189</v>
      </c>
      <c r="E7263" s="52" t="s">
        <v>590</v>
      </c>
      <c r="F7263" s="52" t="s">
        <v>581</v>
      </c>
      <c r="G7263" s="195" t="s">
        <v>277</v>
      </c>
      <c r="H7263" s="195">
        <v>0</v>
      </c>
      <c r="I7263" s="195">
        <v>7.5887339999999996</v>
      </c>
      <c r="J7263" s="195">
        <v>17.76634</v>
      </c>
      <c r="K7263" s="195">
        <v>14.421390000000001</v>
      </c>
      <c r="L7263" s="195">
        <v>3.2886649999999999</v>
      </c>
      <c r="M7263" s="195">
        <v>0</v>
      </c>
      <c r="N7263" s="195">
        <v>0</v>
      </c>
    </row>
    <row r="7264" spans="1:14" hidden="1" x14ac:dyDescent="0.35">
      <c r="A7264" s="52" t="s">
        <v>740</v>
      </c>
      <c r="B7264" s="52" t="s">
        <v>37</v>
      </c>
      <c r="C7264" s="52" t="s">
        <v>35</v>
      </c>
      <c r="D7264" s="52" t="s">
        <v>189</v>
      </c>
      <c r="E7264" s="52" t="s">
        <v>590</v>
      </c>
      <c r="F7264" s="52" t="s">
        <v>581</v>
      </c>
      <c r="G7264" s="195" t="s">
        <v>278</v>
      </c>
      <c r="H7264" s="195">
        <v>0</v>
      </c>
      <c r="I7264" s="195">
        <v>0</v>
      </c>
      <c r="J7264" s="195">
        <v>1.0172650000000001</v>
      </c>
      <c r="K7264" s="195">
        <v>0</v>
      </c>
      <c r="L7264" s="195"/>
      <c r="M7264" s="195"/>
      <c r="N7264" s="195"/>
    </row>
    <row r="7265" spans="1:14" hidden="1" x14ac:dyDescent="0.35">
      <c r="A7265" s="52" t="s">
        <v>740</v>
      </c>
      <c r="B7265" s="52" t="s">
        <v>37</v>
      </c>
      <c r="C7265" s="52" t="s">
        <v>35</v>
      </c>
      <c r="D7265" s="52" t="s">
        <v>189</v>
      </c>
      <c r="E7265" s="52" t="s">
        <v>590</v>
      </c>
      <c r="F7265" s="52" t="s">
        <v>581</v>
      </c>
      <c r="G7265" s="195" t="s">
        <v>279</v>
      </c>
      <c r="H7265" s="195">
        <v>66.372420000000005</v>
      </c>
      <c r="I7265" s="195">
        <v>50.834650000000003</v>
      </c>
      <c r="J7265" s="195">
        <v>50.315019999999997</v>
      </c>
      <c r="K7265" s="195">
        <v>54.632730000000002</v>
      </c>
      <c r="L7265" s="195">
        <v>56.192520000000002</v>
      </c>
      <c r="M7265" s="195">
        <v>47.100990000000003</v>
      </c>
      <c r="N7265" s="195">
        <v>40.688000000000002</v>
      </c>
    </row>
    <row r="7266" spans="1:14" hidden="1" x14ac:dyDescent="0.35">
      <c r="A7266" s="52" t="s">
        <v>740</v>
      </c>
      <c r="B7266" s="52" t="s">
        <v>37</v>
      </c>
      <c r="C7266" s="52" t="s">
        <v>35</v>
      </c>
      <c r="D7266" s="52" t="s">
        <v>189</v>
      </c>
      <c r="E7266" s="52" t="s">
        <v>590</v>
      </c>
      <c r="F7266" s="52" t="s">
        <v>26</v>
      </c>
      <c r="G7266" s="195" t="s">
        <v>275</v>
      </c>
      <c r="H7266" s="195">
        <v>-18.797689999999999</v>
      </c>
      <c r="I7266" s="195">
        <v>-13.11088</v>
      </c>
      <c r="J7266" s="195">
        <v>-9.5654400000000006</v>
      </c>
      <c r="K7266" s="195">
        <v>-8.169003</v>
      </c>
      <c r="L7266" s="195">
        <v>-7.4826750000000004</v>
      </c>
      <c r="M7266" s="195">
        <v>-6.150563</v>
      </c>
      <c r="N7266" s="195">
        <v>-5.2893850000000002</v>
      </c>
    </row>
    <row r="7267" spans="1:14" hidden="1" x14ac:dyDescent="0.35">
      <c r="A7267" s="52" t="s">
        <v>740</v>
      </c>
      <c r="B7267" s="52" t="s">
        <v>37</v>
      </c>
      <c r="C7267" s="52" t="s">
        <v>35</v>
      </c>
      <c r="D7267" s="52" t="s">
        <v>189</v>
      </c>
      <c r="E7267" s="52" t="s">
        <v>590</v>
      </c>
      <c r="F7267" s="52" t="s">
        <v>26</v>
      </c>
      <c r="G7267" s="195" t="s">
        <v>276</v>
      </c>
      <c r="H7267" s="195">
        <v>-4.9968570000000003</v>
      </c>
      <c r="I7267" s="195">
        <v>-3.4851730000000001</v>
      </c>
      <c r="J7267" s="195">
        <v>-2.5427119999999999</v>
      </c>
      <c r="K7267" s="195">
        <v>-2.1715059999999999</v>
      </c>
      <c r="L7267" s="195">
        <v>-1.989063</v>
      </c>
      <c r="M7267" s="195">
        <v>-1.634957</v>
      </c>
      <c r="N7267" s="195">
        <v>-1.406037</v>
      </c>
    </row>
    <row r="7268" spans="1:14" hidden="1" x14ac:dyDescent="0.35">
      <c r="A7268" s="52" t="s">
        <v>740</v>
      </c>
      <c r="B7268" s="52" t="s">
        <v>37</v>
      </c>
      <c r="C7268" s="52" t="s">
        <v>35</v>
      </c>
      <c r="D7268" s="52" t="s">
        <v>189</v>
      </c>
      <c r="E7268" s="52" t="s">
        <v>590</v>
      </c>
      <c r="F7268" s="52" t="s">
        <v>26</v>
      </c>
      <c r="G7268" s="195" t="s">
        <v>279</v>
      </c>
      <c r="H7268" s="195">
        <v>45.32976</v>
      </c>
      <c r="I7268" s="195">
        <v>35.361649999999997</v>
      </c>
      <c r="J7268" s="195">
        <v>36.400770000000001</v>
      </c>
      <c r="K7268" s="195">
        <v>40.70187</v>
      </c>
      <c r="L7268" s="195">
        <v>41.903239999999997</v>
      </c>
      <c r="M7268" s="195">
        <v>35.223100000000002</v>
      </c>
      <c r="N7268" s="195">
        <v>30.428599999999999</v>
      </c>
    </row>
    <row r="7269" spans="1:14" hidden="1" x14ac:dyDescent="0.35">
      <c r="A7269" s="52" t="s">
        <v>740</v>
      </c>
      <c r="B7269" s="52" t="s">
        <v>37</v>
      </c>
      <c r="C7269" s="52" t="s">
        <v>35</v>
      </c>
      <c r="D7269" s="52" t="s">
        <v>38</v>
      </c>
      <c r="E7269" s="52" t="s">
        <v>584</v>
      </c>
      <c r="F7269" s="52" t="s">
        <v>581</v>
      </c>
      <c r="G7269" s="195" t="s">
        <v>275</v>
      </c>
      <c r="H7269" s="195">
        <v>0.20960100000000001</v>
      </c>
      <c r="I7269" s="195">
        <v>5.59862E-2</v>
      </c>
      <c r="J7269" s="195">
        <v>4.0808200000000003E-2</v>
      </c>
      <c r="K7269" s="195">
        <v>3.6689800000000002E-2</v>
      </c>
      <c r="L7269" s="195">
        <v>2.9651799999999999E-2</v>
      </c>
      <c r="M7269" s="195">
        <v>2.7945600000000001E-2</v>
      </c>
      <c r="N7269" s="195">
        <v>2.57808E-2</v>
      </c>
    </row>
    <row r="7270" spans="1:14" hidden="1" x14ac:dyDescent="0.35">
      <c r="A7270" s="52" t="s">
        <v>740</v>
      </c>
      <c r="B7270" s="52" t="s">
        <v>37</v>
      </c>
      <c r="C7270" s="52" t="s">
        <v>35</v>
      </c>
      <c r="D7270" s="52" t="s">
        <v>38</v>
      </c>
      <c r="E7270" s="52" t="s">
        <v>584</v>
      </c>
      <c r="F7270" s="52" t="s">
        <v>581</v>
      </c>
      <c r="G7270" s="195" t="s">
        <v>276</v>
      </c>
      <c r="H7270" s="195">
        <v>5.5717000000000003E-2</v>
      </c>
      <c r="I7270" s="195">
        <v>1.48834E-2</v>
      </c>
      <c r="J7270" s="195">
        <v>1.0848200000000001E-2</v>
      </c>
      <c r="K7270" s="195">
        <v>9.7526000000000002E-3</v>
      </c>
      <c r="L7270" s="195">
        <v>7.8817999999999996E-3</v>
      </c>
      <c r="M7270" s="195">
        <v>7.4282000000000003E-3</v>
      </c>
      <c r="N7270" s="195">
        <v>6.8534010000000003E-3</v>
      </c>
    </row>
    <row r="7271" spans="1:14" hidden="1" x14ac:dyDescent="0.35">
      <c r="A7271" s="52" t="s">
        <v>740</v>
      </c>
      <c r="B7271" s="52" t="s">
        <v>37</v>
      </c>
      <c r="C7271" s="52" t="s">
        <v>35</v>
      </c>
      <c r="D7271" s="52" t="s">
        <v>38</v>
      </c>
      <c r="E7271" s="52" t="s">
        <v>584</v>
      </c>
      <c r="F7271" s="52" t="s">
        <v>581</v>
      </c>
      <c r="G7271" s="195" t="s">
        <v>279</v>
      </c>
      <c r="H7271" s="195">
        <v>8.5706000000000004E-2</v>
      </c>
      <c r="I7271" s="195">
        <v>6.7030199999999998E-2</v>
      </c>
      <c r="J7271" s="195">
        <v>5.7734000000000001E-2</v>
      </c>
      <c r="K7271" s="195">
        <v>5.4604800000000002E-2</v>
      </c>
      <c r="L7271" s="195">
        <v>5.5810199999999997E-2</v>
      </c>
      <c r="M7271" s="195">
        <v>5.1076999999999997E-2</v>
      </c>
      <c r="N7271" s="195">
        <v>4.6992800000000001E-2</v>
      </c>
    </row>
    <row r="7272" spans="1:14" hidden="1" x14ac:dyDescent="0.35">
      <c r="A7272" s="52" t="s">
        <v>740</v>
      </c>
      <c r="B7272" s="52" t="s">
        <v>37</v>
      </c>
      <c r="C7272" s="52" t="s">
        <v>35</v>
      </c>
      <c r="D7272" s="52" t="s">
        <v>38</v>
      </c>
      <c r="E7272" s="52" t="s">
        <v>584</v>
      </c>
      <c r="F7272" s="52" t="s">
        <v>26</v>
      </c>
      <c r="G7272" s="195" t="s">
        <v>275</v>
      </c>
      <c r="H7272" s="195">
        <v>-1.8582000000000001E-2</v>
      </c>
      <c r="I7272" s="195">
        <v>-1.2608599999999999E-2</v>
      </c>
      <c r="J7272" s="195">
        <v>-7.2278000000000004E-3</v>
      </c>
      <c r="K7272" s="195">
        <v>-4.7667999999999999E-3</v>
      </c>
      <c r="L7272" s="195">
        <v>-4.0905999999999998E-3</v>
      </c>
      <c r="M7272" s="195">
        <v>-3.6129999999999999E-3</v>
      </c>
      <c r="N7272" s="195">
        <v>-3.2978E-3</v>
      </c>
    </row>
    <row r="7273" spans="1:14" hidden="1" x14ac:dyDescent="0.35">
      <c r="A7273" s="52" t="s">
        <v>740</v>
      </c>
      <c r="B7273" s="52" t="s">
        <v>37</v>
      </c>
      <c r="C7273" s="52" t="s">
        <v>35</v>
      </c>
      <c r="D7273" s="52" t="s">
        <v>38</v>
      </c>
      <c r="E7273" s="52" t="s">
        <v>584</v>
      </c>
      <c r="F7273" s="52" t="s">
        <v>26</v>
      </c>
      <c r="G7273" s="195" t="s">
        <v>276</v>
      </c>
      <c r="H7273" s="195">
        <v>-4.9399999999999999E-3</v>
      </c>
      <c r="I7273" s="195">
        <v>-3.3517999999999998E-3</v>
      </c>
      <c r="J7273" s="195">
        <v>-1.9208000000000001E-3</v>
      </c>
      <c r="K7273" s="195">
        <v>-1.2673999999999999E-3</v>
      </c>
      <c r="L7273" s="195">
        <v>-1.0878000000000001E-3</v>
      </c>
      <c r="M7273" s="195">
        <v>-9.5999989999999999E-4</v>
      </c>
      <c r="N7273" s="195">
        <v>-8.7719999999999996E-4</v>
      </c>
    </row>
    <row r="7274" spans="1:14" hidden="1" x14ac:dyDescent="0.35">
      <c r="A7274" s="52" t="s">
        <v>740</v>
      </c>
      <c r="B7274" s="52" t="s">
        <v>37</v>
      </c>
      <c r="C7274" s="52" t="s">
        <v>35</v>
      </c>
      <c r="D7274" s="52" t="s">
        <v>38</v>
      </c>
      <c r="E7274" s="52" t="s">
        <v>584</v>
      </c>
      <c r="F7274" s="52" t="s">
        <v>26</v>
      </c>
      <c r="G7274" s="195" t="s">
        <v>279</v>
      </c>
      <c r="H7274" s="195">
        <v>4.8777000000000001E-2</v>
      </c>
      <c r="I7274" s="195">
        <v>3.7691200000000001E-2</v>
      </c>
      <c r="J7274" s="195">
        <v>3.3573600000000002E-2</v>
      </c>
      <c r="K7274" s="195">
        <v>3.2574199999999998E-2</v>
      </c>
      <c r="L7274" s="195">
        <v>3.3340599999999998E-2</v>
      </c>
      <c r="M7274" s="195">
        <v>3.05822E-2</v>
      </c>
      <c r="N7274" s="195">
        <v>2.81374E-2</v>
      </c>
    </row>
    <row r="7275" spans="1:14" hidden="1" x14ac:dyDescent="0.35">
      <c r="A7275" s="52" t="s">
        <v>740</v>
      </c>
      <c r="B7275" s="52" t="s">
        <v>37</v>
      </c>
      <c r="C7275" s="52" t="s">
        <v>99</v>
      </c>
      <c r="D7275" s="52" t="s">
        <v>101</v>
      </c>
      <c r="E7275" s="52" t="s">
        <v>634</v>
      </c>
      <c r="F7275" s="52" t="s">
        <v>581</v>
      </c>
      <c r="G7275" s="195" t="s">
        <v>275</v>
      </c>
      <c r="H7275" s="195">
        <v>-26.334540000000001</v>
      </c>
      <c r="I7275" s="195">
        <v>17.34966</v>
      </c>
      <c r="J7275" s="195">
        <v>18.19698</v>
      </c>
      <c r="K7275" s="195">
        <v>15.039210000000001</v>
      </c>
      <c r="L7275" s="195">
        <v>17.74869</v>
      </c>
      <c r="M7275" s="195">
        <v>10.6252</v>
      </c>
      <c r="N7275" s="195">
        <v>8.3500040000000002</v>
      </c>
    </row>
    <row r="7276" spans="1:14" hidden="1" x14ac:dyDescent="0.35">
      <c r="A7276" s="52" t="s">
        <v>740</v>
      </c>
      <c r="B7276" s="52" t="s">
        <v>37</v>
      </c>
      <c r="C7276" s="52" t="s">
        <v>99</v>
      </c>
      <c r="D7276" s="52" t="s">
        <v>101</v>
      </c>
      <c r="E7276" s="52" t="s">
        <v>634</v>
      </c>
      <c r="F7276" s="52" t="s">
        <v>581</v>
      </c>
      <c r="G7276" s="195" t="s">
        <v>276</v>
      </c>
      <c r="H7276" s="195">
        <v>-2.8375029999999999</v>
      </c>
      <c r="I7276" s="195">
        <v>-17.831810000000001</v>
      </c>
      <c r="J7276" s="195">
        <v>-17.261060000000001</v>
      </c>
      <c r="K7276" s="195">
        <v>-10.5246</v>
      </c>
      <c r="L7276" s="195">
        <v>-11.47611</v>
      </c>
      <c r="M7276" s="195">
        <v>-1.0171220000000001</v>
      </c>
      <c r="N7276" s="195">
        <v>-0.2432493</v>
      </c>
    </row>
    <row r="7277" spans="1:14" hidden="1" x14ac:dyDescent="0.35">
      <c r="A7277" s="52" t="s">
        <v>740</v>
      </c>
      <c r="B7277" s="52" t="s">
        <v>37</v>
      </c>
      <c r="C7277" s="52" t="s">
        <v>99</v>
      </c>
      <c r="D7277" s="52" t="s">
        <v>101</v>
      </c>
      <c r="E7277" s="52" t="s">
        <v>634</v>
      </c>
      <c r="F7277" s="52" t="s">
        <v>581</v>
      </c>
      <c r="G7277" s="195" t="s">
        <v>277</v>
      </c>
      <c r="H7277" s="195">
        <v>111.2266</v>
      </c>
      <c r="I7277" s="195">
        <v>13.588380000000001</v>
      </c>
      <c r="J7277" s="195">
        <v>8.6331539999999993</v>
      </c>
      <c r="K7277" s="195">
        <v>3.2723529999999998</v>
      </c>
      <c r="L7277" s="195">
        <v>3.0774330000000001</v>
      </c>
      <c r="M7277" s="195">
        <v>0</v>
      </c>
      <c r="N7277" s="195">
        <v>0</v>
      </c>
    </row>
    <row r="7278" spans="1:14" hidden="1" x14ac:dyDescent="0.35">
      <c r="A7278" s="52" t="s">
        <v>740</v>
      </c>
      <c r="B7278" s="52" t="s">
        <v>37</v>
      </c>
      <c r="C7278" s="52" t="s">
        <v>99</v>
      </c>
      <c r="D7278" s="52" t="s">
        <v>101</v>
      </c>
      <c r="E7278" s="52" t="s">
        <v>634</v>
      </c>
      <c r="F7278" s="52" t="s">
        <v>581</v>
      </c>
      <c r="G7278" s="195" t="s">
        <v>278</v>
      </c>
      <c r="H7278" s="195">
        <v>31.773399999999999</v>
      </c>
      <c r="I7278" s="195">
        <v>11.172000000000001</v>
      </c>
      <c r="J7278" s="195">
        <v>9.119999</v>
      </c>
      <c r="K7278" s="195">
        <v>9.2260650000000002</v>
      </c>
      <c r="L7278" s="195">
        <v>2.4971839999999998</v>
      </c>
      <c r="M7278" s="195">
        <v>0</v>
      </c>
      <c r="N7278" s="195"/>
    </row>
    <row r="7279" spans="1:14" hidden="1" x14ac:dyDescent="0.35">
      <c r="A7279" s="52" t="s">
        <v>740</v>
      </c>
      <c r="B7279" s="52" t="s">
        <v>37</v>
      </c>
      <c r="C7279" s="52" t="s">
        <v>99</v>
      </c>
      <c r="D7279" s="52" t="s">
        <v>101</v>
      </c>
      <c r="E7279" s="52" t="s">
        <v>634</v>
      </c>
      <c r="F7279" s="52" t="s">
        <v>581</v>
      </c>
      <c r="G7279" s="195" t="s">
        <v>279</v>
      </c>
      <c r="H7279" s="195">
        <v>48.02572</v>
      </c>
      <c r="I7279" s="195">
        <v>35.266710000000003</v>
      </c>
      <c r="J7279" s="195">
        <v>34.073909999999998</v>
      </c>
      <c r="K7279" s="195">
        <v>32.67474</v>
      </c>
      <c r="L7279" s="195">
        <v>32.048229999999997</v>
      </c>
      <c r="M7279" s="195">
        <v>25.490880000000001</v>
      </c>
      <c r="N7279" s="195">
        <v>21.693899999999999</v>
      </c>
    </row>
    <row r="7280" spans="1:14" hidden="1" x14ac:dyDescent="0.35">
      <c r="A7280" s="52" t="s">
        <v>740</v>
      </c>
      <c r="B7280" s="52" t="s">
        <v>37</v>
      </c>
      <c r="C7280" s="52" t="s">
        <v>99</v>
      </c>
      <c r="D7280" s="52" t="s">
        <v>101</v>
      </c>
      <c r="E7280" s="52" t="s">
        <v>634</v>
      </c>
      <c r="F7280" s="52" t="s">
        <v>26</v>
      </c>
      <c r="G7280" s="195" t="s">
        <v>275</v>
      </c>
      <c r="H7280" s="195">
        <v>-8.4141759999999994</v>
      </c>
      <c r="I7280" s="195">
        <v>-5.7883079999999998</v>
      </c>
      <c r="J7280" s="195">
        <v>-3.8057829999999999</v>
      </c>
      <c r="K7280" s="195">
        <v>-2.7491569999999999</v>
      </c>
      <c r="L7280" s="195">
        <v>-2.4479139999999999</v>
      </c>
      <c r="M7280" s="195">
        <v>-1.9771590000000001</v>
      </c>
      <c r="N7280" s="195">
        <v>-1.70936</v>
      </c>
    </row>
    <row r="7281" spans="1:14" hidden="1" x14ac:dyDescent="0.35">
      <c r="A7281" s="52" t="s">
        <v>740</v>
      </c>
      <c r="B7281" s="52" t="s">
        <v>37</v>
      </c>
      <c r="C7281" s="52" t="s">
        <v>99</v>
      </c>
      <c r="D7281" s="52" t="s">
        <v>101</v>
      </c>
      <c r="E7281" s="52" t="s">
        <v>634</v>
      </c>
      <c r="F7281" s="52" t="s">
        <v>26</v>
      </c>
      <c r="G7281" s="195" t="s">
        <v>276</v>
      </c>
      <c r="H7281" s="195">
        <v>-2.2366830000000002</v>
      </c>
      <c r="I7281" s="195">
        <v>-1.5386610000000001</v>
      </c>
      <c r="J7281" s="195">
        <v>-1.0116620000000001</v>
      </c>
      <c r="K7281" s="195">
        <v>-0.73078799999999999</v>
      </c>
      <c r="L7281" s="195">
        <v>-0.6507117</v>
      </c>
      <c r="M7281" s="195">
        <v>-0.52557359999999997</v>
      </c>
      <c r="N7281" s="195">
        <v>-0.45438719999999999</v>
      </c>
    </row>
    <row r="7282" spans="1:14" hidden="1" x14ac:dyDescent="0.35">
      <c r="A7282" s="52" t="s">
        <v>740</v>
      </c>
      <c r="B7282" s="52" t="s">
        <v>37</v>
      </c>
      <c r="C7282" s="52" t="s">
        <v>99</v>
      </c>
      <c r="D7282" s="52" t="s">
        <v>101</v>
      </c>
      <c r="E7282" s="52" t="s">
        <v>634</v>
      </c>
      <c r="F7282" s="52" t="s">
        <v>26</v>
      </c>
      <c r="G7282" s="195" t="s">
        <v>279</v>
      </c>
      <c r="H7282" s="195">
        <v>20.420010000000001</v>
      </c>
      <c r="I7282" s="195">
        <v>15.839869999999999</v>
      </c>
      <c r="J7282" s="195">
        <v>15.08747</v>
      </c>
      <c r="K7282" s="195">
        <v>14.763199999999999</v>
      </c>
      <c r="L7282" s="195">
        <v>14.803879999999999</v>
      </c>
      <c r="M7282" s="195">
        <v>12.252929999999999</v>
      </c>
      <c r="N7282" s="195">
        <v>10.631259999999999</v>
      </c>
    </row>
    <row r="7283" spans="1:14" hidden="1" x14ac:dyDescent="0.35">
      <c r="A7283" s="52" t="s">
        <v>740</v>
      </c>
      <c r="B7283" s="52" t="s">
        <v>37</v>
      </c>
      <c r="C7283" s="52" t="s">
        <v>99</v>
      </c>
      <c r="D7283" s="52" t="s">
        <v>101</v>
      </c>
      <c r="E7283" s="52" t="s">
        <v>584</v>
      </c>
      <c r="F7283" s="52" t="s">
        <v>581</v>
      </c>
      <c r="G7283" s="195" t="s">
        <v>275</v>
      </c>
      <c r="H7283" s="195">
        <v>19.632100000000001</v>
      </c>
      <c r="I7283" s="195">
        <v>1.4104840000000001</v>
      </c>
      <c r="J7283" s="195">
        <v>0.44375720000000002</v>
      </c>
      <c r="K7283" s="195">
        <v>0.2124566</v>
      </c>
      <c r="L7283" s="195">
        <v>4.0844650000000003E-2</v>
      </c>
      <c r="M7283" s="195">
        <v>0.39670480000000002</v>
      </c>
      <c r="N7283" s="195">
        <v>0.4699834</v>
      </c>
    </row>
    <row r="7284" spans="1:14" hidden="1" x14ac:dyDescent="0.35">
      <c r="A7284" s="52" t="s">
        <v>740</v>
      </c>
      <c r="B7284" s="52" t="s">
        <v>37</v>
      </c>
      <c r="C7284" s="52" t="s">
        <v>99</v>
      </c>
      <c r="D7284" s="52" t="s">
        <v>101</v>
      </c>
      <c r="E7284" s="52" t="s">
        <v>584</v>
      </c>
      <c r="F7284" s="52" t="s">
        <v>581</v>
      </c>
      <c r="G7284" s="195" t="s">
        <v>276</v>
      </c>
      <c r="H7284" s="195">
        <v>5.2186589999999997</v>
      </c>
      <c r="I7284" s="195">
        <v>1.0012179999999999</v>
      </c>
      <c r="J7284" s="195">
        <v>0.58825539999999998</v>
      </c>
      <c r="K7284" s="195">
        <v>0.39881660000000002</v>
      </c>
      <c r="L7284" s="195">
        <v>0.2458806</v>
      </c>
      <c r="M7284" s="195">
        <v>-1.05072E-2</v>
      </c>
      <c r="N7284" s="195">
        <v>3.1332E-3</v>
      </c>
    </row>
    <row r="7285" spans="1:14" hidden="1" x14ac:dyDescent="0.35">
      <c r="A7285" s="52" t="s">
        <v>740</v>
      </c>
      <c r="B7285" s="52" t="s">
        <v>37</v>
      </c>
      <c r="C7285" s="52" t="s">
        <v>99</v>
      </c>
      <c r="D7285" s="52" t="s">
        <v>101</v>
      </c>
      <c r="E7285" s="52" t="s">
        <v>584</v>
      </c>
      <c r="F7285" s="52" t="s">
        <v>581</v>
      </c>
      <c r="G7285" s="195" t="s">
        <v>277</v>
      </c>
      <c r="H7285" s="195">
        <v>0</v>
      </c>
      <c r="I7285" s="195">
        <v>2.9450029999999998</v>
      </c>
      <c r="J7285" s="195">
        <v>2.8005040000000001</v>
      </c>
      <c r="K7285" s="195">
        <v>2.6411199999999999</v>
      </c>
      <c r="L7285" s="195">
        <v>2.4584320000000002</v>
      </c>
      <c r="M7285" s="195">
        <v>2.235284</v>
      </c>
      <c r="N7285" s="195">
        <v>2.0395819999999998</v>
      </c>
    </row>
    <row r="7286" spans="1:14" hidden="1" x14ac:dyDescent="0.35">
      <c r="A7286" s="52" t="s">
        <v>740</v>
      </c>
      <c r="B7286" s="52" t="s">
        <v>37</v>
      </c>
      <c r="C7286" s="52" t="s">
        <v>99</v>
      </c>
      <c r="D7286" s="52" t="s">
        <v>101</v>
      </c>
      <c r="E7286" s="52" t="s">
        <v>584</v>
      </c>
      <c r="F7286" s="52" t="s">
        <v>581</v>
      </c>
      <c r="G7286" s="195" t="s">
        <v>279</v>
      </c>
      <c r="H7286" s="195">
        <v>10.310029999999999</v>
      </c>
      <c r="I7286" s="195">
        <v>7.4718479999999996</v>
      </c>
      <c r="J7286" s="195">
        <v>7.0468609999999998</v>
      </c>
      <c r="K7286" s="195">
        <v>7.4576019999999996</v>
      </c>
      <c r="L7286" s="195">
        <v>7.6663860000000001</v>
      </c>
      <c r="M7286" s="195">
        <v>7.2676670000000003</v>
      </c>
      <c r="N7286" s="195">
        <v>6.9154799999999996</v>
      </c>
    </row>
    <row r="7287" spans="1:14" hidden="1" x14ac:dyDescent="0.35">
      <c r="A7287" s="52" t="s">
        <v>740</v>
      </c>
      <c r="B7287" s="52" t="s">
        <v>37</v>
      </c>
      <c r="C7287" s="52" t="s">
        <v>99</v>
      </c>
      <c r="D7287" s="52" t="s">
        <v>101</v>
      </c>
      <c r="E7287" s="52" t="s">
        <v>584</v>
      </c>
      <c r="F7287" s="52" t="s">
        <v>26</v>
      </c>
      <c r="G7287" s="195" t="s">
        <v>275</v>
      </c>
      <c r="H7287" s="195">
        <v>-3.8714520000000001</v>
      </c>
      <c r="I7287" s="195">
        <v>-2.849647</v>
      </c>
      <c r="J7287" s="195">
        <v>-1.8465659999999999</v>
      </c>
      <c r="K7287" s="195">
        <v>-1.593434</v>
      </c>
      <c r="L7287" s="195">
        <v>-1.2684139999999999</v>
      </c>
      <c r="M7287" s="195">
        <v>-1.163314</v>
      </c>
      <c r="N7287" s="195">
        <v>-1.057701</v>
      </c>
    </row>
    <row r="7288" spans="1:14" hidden="1" x14ac:dyDescent="0.35">
      <c r="A7288" s="52" t="s">
        <v>740</v>
      </c>
      <c r="B7288" s="52" t="s">
        <v>37</v>
      </c>
      <c r="C7288" s="52" t="s">
        <v>99</v>
      </c>
      <c r="D7288" s="52" t="s">
        <v>101</v>
      </c>
      <c r="E7288" s="52" t="s">
        <v>584</v>
      </c>
      <c r="F7288" s="52" t="s">
        <v>26</v>
      </c>
      <c r="G7288" s="195" t="s">
        <v>276</v>
      </c>
      <c r="H7288" s="195">
        <v>-1.02912</v>
      </c>
      <c r="I7288" s="195">
        <v>-0.7575018</v>
      </c>
      <c r="J7288" s="195">
        <v>-0.49085889999999999</v>
      </c>
      <c r="K7288" s="195">
        <v>-0.42357159999999999</v>
      </c>
      <c r="L7288" s="195">
        <v>-0.33717259999999999</v>
      </c>
      <c r="M7288" s="195">
        <v>-0.3092356</v>
      </c>
      <c r="N7288" s="195">
        <v>-0.28116039999999998</v>
      </c>
    </row>
    <row r="7289" spans="1:14" hidden="1" x14ac:dyDescent="0.35">
      <c r="A7289" s="52" t="s">
        <v>740</v>
      </c>
      <c r="B7289" s="52" t="s">
        <v>37</v>
      </c>
      <c r="C7289" s="52" t="s">
        <v>99</v>
      </c>
      <c r="D7289" s="52" t="s">
        <v>101</v>
      </c>
      <c r="E7289" s="52" t="s">
        <v>584</v>
      </c>
      <c r="F7289" s="52" t="s">
        <v>26</v>
      </c>
      <c r="G7289" s="195" t="s">
        <v>279</v>
      </c>
      <c r="H7289" s="195">
        <v>10.13799</v>
      </c>
      <c r="I7289" s="195">
        <v>8.3862229999999993</v>
      </c>
      <c r="J7289" s="195">
        <v>7.8623079999999996</v>
      </c>
      <c r="K7289" s="195">
        <v>8.1325020000000006</v>
      </c>
      <c r="L7289" s="195">
        <v>8.1396999999999995</v>
      </c>
      <c r="M7289" s="195">
        <v>7.4289490000000002</v>
      </c>
      <c r="N7289" s="195">
        <v>6.7978379999999996</v>
      </c>
    </row>
    <row r="7290" spans="1:14" hidden="1" x14ac:dyDescent="0.35">
      <c r="A7290" s="52" t="s">
        <v>740</v>
      </c>
      <c r="B7290" s="52" t="s">
        <v>37</v>
      </c>
      <c r="C7290" s="52" t="s">
        <v>109</v>
      </c>
      <c r="D7290" s="52" t="s">
        <v>109</v>
      </c>
      <c r="E7290" s="52" t="s">
        <v>584</v>
      </c>
      <c r="F7290" s="52" t="s">
        <v>581</v>
      </c>
      <c r="G7290" s="195" t="s">
        <v>275</v>
      </c>
      <c r="H7290" s="195">
        <v>0</v>
      </c>
      <c r="I7290" s="195"/>
      <c r="J7290" s="195">
        <v>0</v>
      </c>
      <c r="K7290" s="195">
        <v>0</v>
      </c>
      <c r="L7290" s="195">
        <v>0</v>
      </c>
      <c r="M7290" s="195">
        <v>0</v>
      </c>
      <c r="N7290" s="195">
        <v>0</v>
      </c>
    </row>
    <row r="7291" spans="1:14" hidden="1" x14ac:dyDescent="0.35">
      <c r="A7291" s="52" t="s">
        <v>740</v>
      </c>
      <c r="B7291" s="52" t="s">
        <v>37</v>
      </c>
      <c r="C7291" s="52" t="s">
        <v>61</v>
      </c>
      <c r="D7291" s="52" t="s">
        <v>62</v>
      </c>
      <c r="E7291" s="52" t="s">
        <v>584</v>
      </c>
      <c r="F7291" s="52" t="s">
        <v>581</v>
      </c>
      <c r="G7291" s="195" t="s">
        <v>275</v>
      </c>
      <c r="H7291" s="195">
        <v>0</v>
      </c>
      <c r="I7291" s="195"/>
      <c r="J7291" s="195">
        <v>0</v>
      </c>
      <c r="K7291" s="195">
        <v>0</v>
      </c>
      <c r="L7291" s="195">
        <v>0</v>
      </c>
      <c r="M7291" s="195">
        <v>0</v>
      </c>
      <c r="N7291" s="195">
        <v>0</v>
      </c>
    </row>
    <row r="7292" spans="1:14" hidden="1" x14ac:dyDescent="0.35">
      <c r="A7292" s="52" t="s">
        <v>740</v>
      </c>
      <c r="B7292" s="52" t="s">
        <v>37</v>
      </c>
      <c r="C7292" s="52" t="s">
        <v>61</v>
      </c>
      <c r="D7292" s="52" t="s">
        <v>62</v>
      </c>
      <c r="E7292" s="52" t="s">
        <v>584</v>
      </c>
      <c r="F7292" s="52" t="s">
        <v>581</v>
      </c>
      <c r="G7292" s="195" t="s">
        <v>276</v>
      </c>
      <c r="H7292" s="195"/>
      <c r="I7292" s="195"/>
      <c r="J7292" s="195">
        <v>0</v>
      </c>
      <c r="K7292" s="195">
        <v>0</v>
      </c>
      <c r="L7292" s="195">
        <v>0</v>
      </c>
      <c r="M7292" s="195">
        <v>0</v>
      </c>
      <c r="N7292" s="195">
        <v>0</v>
      </c>
    </row>
    <row r="7293" spans="1:14" hidden="1" x14ac:dyDescent="0.35">
      <c r="A7293" s="52" t="s">
        <v>740</v>
      </c>
      <c r="B7293" s="52" t="s">
        <v>37</v>
      </c>
      <c r="C7293" s="52" t="s">
        <v>109</v>
      </c>
      <c r="D7293" s="52" t="s">
        <v>109</v>
      </c>
      <c r="E7293" s="52" t="s">
        <v>584</v>
      </c>
      <c r="F7293" s="52" t="s">
        <v>581</v>
      </c>
      <c r="G7293" s="195" t="s">
        <v>276</v>
      </c>
      <c r="H7293" s="195"/>
      <c r="I7293" s="195"/>
      <c r="J7293" s="195">
        <v>0</v>
      </c>
      <c r="K7293" s="195">
        <v>0</v>
      </c>
      <c r="L7293" s="195">
        <v>0</v>
      </c>
      <c r="M7293" s="195">
        <v>0</v>
      </c>
      <c r="N7293" s="195">
        <v>0</v>
      </c>
    </row>
    <row r="7294" spans="1:14" hidden="1" x14ac:dyDescent="0.35">
      <c r="A7294" s="52" t="s">
        <v>740</v>
      </c>
      <c r="B7294" s="52" t="s">
        <v>37</v>
      </c>
      <c r="C7294" s="52" t="s">
        <v>109</v>
      </c>
      <c r="D7294" s="52" t="s">
        <v>109</v>
      </c>
      <c r="E7294" s="52" t="s">
        <v>584</v>
      </c>
      <c r="F7294" s="52" t="s">
        <v>581</v>
      </c>
      <c r="G7294" s="195" t="s">
        <v>278</v>
      </c>
      <c r="H7294" s="195"/>
      <c r="I7294" s="195"/>
      <c r="J7294" s="195">
        <v>0</v>
      </c>
      <c r="K7294" s="195">
        <v>0</v>
      </c>
      <c r="L7294" s="195">
        <v>0</v>
      </c>
      <c r="M7294" s="195">
        <v>0</v>
      </c>
      <c r="N7294" s="195">
        <v>0</v>
      </c>
    </row>
    <row r="7295" spans="1:14" hidden="1" x14ac:dyDescent="0.35">
      <c r="A7295" s="52" t="s">
        <v>740</v>
      </c>
      <c r="B7295" s="52" t="s">
        <v>37</v>
      </c>
      <c r="C7295" s="52" t="s">
        <v>61</v>
      </c>
      <c r="D7295" s="52" t="s">
        <v>62</v>
      </c>
      <c r="E7295" s="52" t="s">
        <v>584</v>
      </c>
      <c r="F7295" s="52" t="s">
        <v>581</v>
      </c>
      <c r="G7295" s="195" t="s">
        <v>278</v>
      </c>
      <c r="H7295" s="195"/>
      <c r="I7295" s="195"/>
      <c r="J7295" s="195">
        <v>0</v>
      </c>
      <c r="K7295" s="195">
        <v>0</v>
      </c>
      <c r="L7295" s="195">
        <v>0</v>
      </c>
      <c r="M7295" s="195">
        <v>0</v>
      </c>
      <c r="N7295" s="195">
        <v>0</v>
      </c>
    </row>
    <row r="7296" spans="1:14" hidden="1" x14ac:dyDescent="0.35">
      <c r="A7296" s="52" t="s">
        <v>759</v>
      </c>
      <c r="B7296" s="52" t="s">
        <v>37</v>
      </c>
      <c r="C7296" s="52" t="s">
        <v>61</v>
      </c>
      <c r="D7296" s="52" t="s">
        <v>62</v>
      </c>
      <c r="E7296" s="52" t="s">
        <v>584</v>
      </c>
      <c r="F7296" s="52" t="s">
        <v>581</v>
      </c>
      <c r="G7296" s="195" t="s">
        <v>275</v>
      </c>
      <c r="H7296" s="195">
        <v>-168.05709999999999</v>
      </c>
      <c r="I7296" s="195">
        <v>-501.75650000000002</v>
      </c>
      <c r="J7296" s="195">
        <v>11.795730000000001</v>
      </c>
      <c r="K7296" s="195">
        <v>-20.008189999999999</v>
      </c>
      <c r="L7296" s="195">
        <v>-16.384550000000001</v>
      </c>
      <c r="M7296" s="195">
        <v>3.9363779999999999</v>
      </c>
      <c r="N7296" s="195">
        <v>-92.882900000000006</v>
      </c>
    </row>
    <row r="7297" spans="1:14" hidden="1" x14ac:dyDescent="0.35">
      <c r="A7297" s="52" t="s">
        <v>759</v>
      </c>
      <c r="B7297" s="52" t="s">
        <v>37</v>
      </c>
      <c r="C7297" s="52" t="s">
        <v>61</v>
      </c>
      <c r="D7297" s="52" t="s">
        <v>62</v>
      </c>
      <c r="E7297" s="52" t="s">
        <v>584</v>
      </c>
      <c r="F7297" s="52" t="s">
        <v>581</v>
      </c>
      <c r="G7297" s="195" t="s">
        <v>276</v>
      </c>
      <c r="H7297" s="195">
        <v>-0.8020642</v>
      </c>
      <c r="I7297" s="195">
        <v>-110.2302</v>
      </c>
      <c r="J7297" s="195">
        <v>-102.5284</v>
      </c>
      <c r="K7297" s="195">
        <v>-63.197119999999998</v>
      </c>
      <c r="L7297" s="195">
        <v>-77.248630000000006</v>
      </c>
      <c r="M7297" s="195">
        <v>-74.622529999999998</v>
      </c>
      <c r="N7297" s="195">
        <v>-91.645769999999999</v>
      </c>
    </row>
    <row r="7298" spans="1:14" hidden="1" x14ac:dyDescent="0.35">
      <c r="A7298" s="52" t="s">
        <v>759</v>
      </c>
      <c r="B7298" s="52" t="s">
        <v>37</v>
      </c>
      <c r="C7298" s="52" t="s">
        <v>61</v>
      </c>
      <c r="D7298" s="52" t="s">
        <v>62</v>
      </c>
      <c r="E7298" s="52" t="s">
        <v>584</v>
      </c>
      <c r="F7298" s="52" t="s">
        <v>581</v>
      </c>
      <c r="G7298" s="195" t="s">
        <v>277</v>
      </c>
      <c r="H7298" s="195">
        <v>304.5829</v>
      </c>
      <c r="I7298" s="195">
        <v>115.9727</v>
      </c>
      <c r="J7298" s="195">
        <v>27.992000000000001</v>
      </c>
      <c r="K7298" s="195">
        <v>23.407779999999999</v>
      </c>
      <c r="L7298" s="195">
        <v>18.383089999999999</v>
      </c>
      <c r="M7298" s="195">
        <v>16.383590000000002</v>
      </c>
      <c r="N7298" s="195">
        <v>11.448919999999999</v>
      </c>
    </row>
    <row r="7299" spans="1:14" hidden="1" x14ac:dyDescent="0.35">
      <c r="A7299" s="52" t="s">
        <v>759</v>
      </c>
      <c r="B7299" s="52" t="s">
        <v>37</v>
      </c>
      <c r="C7299" s="52" t="s">
        <v>61</v>
      </c>
      <c r="D7299" s="52" t="s">
        <v>62</v>
      </c>
      <c r="E7299" s="52" t="s">
        <v>584</v>
      </c>
      <c r="F7299" s="52" t="s">
        <v>581</v>
      </c>
      <c r="G7299" s="195" t="s">
        <v>278</v>
      </c>
      <c r="H7299" s="195">
        <v>270.06509999999997</v>
      </c>
      <c r="I7299" s="195">
        <v>539.74419999999998</v>
      </c>
      <c r="J7299" s="195">
        <v>84.406710000000004</v>
      </c>
      <c r="K7299" s="195">
        <v>8.2289270000000005</v>
      </c>
      <c r="L7299" s="195">
        <v>18.054849999999998</v>
      </c>
      <c r="M7299" s="195">
        <v>62.141240000000003</v>
      </c>
      <c r="N7299" s="195">
        <v>60.364460000000001</v>
      </c>
    </row>
    <row r="7300" spans="1:14" hidden="1" x14ac:dyDescent="0.35">
      <c r="A7300" s="52" t="s">
        <v>759</v>
      </c>
      <c r="B7300" s="52" t="s">
        <v>37</v>
      </c>
      <c r="C7300" s="52" t="s">
        <v>61</v>
      </c>
      <c r="D7300" s="52" t="s">
        <v>62</v>
      </c>
      <c r="E7300" s="52" t="s">
        <v>584</v>
      </c>
      <c r="F7300" s="52" t="s">
        <v>581</v>
      </c>
      <c r="G7300" s="195" t="s">
        <v>279</v>
      </c>
      <c r="H7300" s="195">
        <v>218.89410000000001</v>
      </c>
      <c r="I7300" s="195">
        <v>201.9776</v>
      </c>
      <c r="J7300" s="195">
        <v>200.01599999999999</v>
      </c>
      <c r="K7300" s="195">
        <v>218.11680000000001</v>
      </c>
      <c r="L7300" s="195">
        <v>198.44550000000001</v>
      </c>
      <c r="M7300" s="195">
        <v>77.413219999999995</v>
      </c>
      <c r="N7300" s="195">
        <v>181.08189999999999</v>
      </c>
    </row>
    <row r="7301" spans="1:14" hidden="1" x14ac:dyDescent="0.35">
      <c r="A7301" s="52" t="s">
        <v>759</v>
      </c>
      <c r="B7301" s="52" t="s">
        <v>37</v>
      </c>
      <c r="C7301" s="52" t="s">
        <v>61</v>
      </c>
      <c r="D7301" s="52" t="s">
        <v>62</v>
      </c>
      <c r="E7301" s="52" t="s">
        <v>584</v>
      </c>
      <c r="F7301" s="52" t="s">
        <v>26</v>
      </c>
      <c r="G7301" s="195" t="s">
        <v>275</v>
      </c>
      <c r="H7301" s="195">
        <v>5.0263640000000001</v>
      </c>
      <c r="I7301" s="195">
        <v>4.257765</v>
      </c>
      <c r="J7301" s="195">
        <v>-2.2693439999999998</v>
      </c>
      <c r="K7301" s="195">
        <v>-30.511340000000001</v>
      </c>
      <c r="L7301" s="195">
        <v>-82.911379999999994</v>
      </c>
      <c r="M7301" s="195">
        <v>-3.313796</v>
      </c>
      <c r="N7301" s="195">
        <v>-33.080019999999998</v>
      </c>
    </row>
    <row r="7302" spans="1:14" hidden="1" x14ac:dyDescent="0.35">
      <c r="A7302" s="52" t="s">
        <v>759</v>
      </c>
      <c r="B7302" s="52" t="s">
        <v>37</v>
      </c>
      <c r="C7302" s="52" t="s">
        <v>61</v>
      </c>
      <c r="D7302" s="52" t="s">
        <v>62</v>
      </c>
      <c r="E7302" s="52" t="s">
        <v>584</v>
      </c>
      <c r="F7302" s="52" t="s">
        <v>26</v>
      </c>
      <c r="G7302" s="195" t="s">
        <v>276</v>
      </c>
      <c r="H7302" s="195">
        <v>-9.8107469999999992</v>
      </c>
      <c r="I7302" s="195">
        <v>-1.6011770000000001</v>
      </c>
      <c r="J7302" s="195">
        <v>-1.263544</v>
      </c>
      <c r="K7302" s="195">
        <v>-8.2634399999999992</v>
      </c>
      <c r="L7302" s="195">
        <v>-22.37059</v>
      </c>
      <c r="M7302" s="195">
        <v>-0.99056840000000002</v>
      </c>
      <c r="N7302" s="195">
        <v>-8.8067480000000007</v>
      </c>
    </row>
    <row r="7303" spans="1:14" hidden="1" x14ac:dyDescent="0.35">
      <c r="A7303" s="52" t="s">
        <v>759</v>
      </c>
      <c r="B7303" s="52" t="s">
        <v>37</v>
      </c>
      <c r="C7303" s="52" t="s">
        <v>61</v>
      </c>
      <c r="D7303" s="52" t="s">
        <v>62</v>
      </c>
      <c r="E7303" s="52" t="s">
        <v>584</v>
      </c>
      <c r="F7303" s="52" t="s">
        <v>26</v>
      </c>
      <c r="G7303" s="195" t="s">
        <v>277</v>
      </c>
      <c r="H7303" s="195">
        <v>2.6677960000000001</v>
      </c>
      <c r="I7303" s="195">
        <v>0.88973639999999998</v>
      </c>
      <c r="J7303" s="195">
        <v>3.5330100000000003E-2</v>
      </c>
      <c r="K7303" s="195">
        <v>0.34824650000000001</v>
      </c>
      <c r="L7303" s="195">
        <v>0</v>
      </c>
      <c r="M7303" s="195">
        <v>0</v>
      </c>
      <c r="N7303" s="195">
        <v>0</v>
      </c>
    </row>
    <row r="7304" spans="1:14" hidden="1" x14ac:dyDescent="0.35">
      <c r="A7304" s="52" t="s">
        <v>759</v>
      </c>
      <c r="B7304" s="52" t="s">
        <v>37</v>
      </c>
      <c r="C7304" s="52" t="s">
        <v>61</v>
      </c>
      <c r="D7304" s="52" t="s">
        <v>62</v>
      </c>
      <c r="E7304" s="52" t="s">
        <v>584</v>
      </c>
      <c r="F7304" s="52" t="s">
        <v>26</v>
      </c>
      <c r="G7304" s="195" t="s">
        <v>278</v>
      </c>
      <c r="H7304" s="195"/>
      <c r="I7304" s="195"/>
      <c r="J7304" s="195">
        <v>0</v>
      </c>
      <c r="K7304" s="195">
        <v>0</v>
      </c>
      <c r="L7304" s="195">
        <v>0</v>
      </c>
      <c r="M7304" s="195">
        <v>0</v>
      </c>
      <c r="N7304" s="195">
        <v>0</v>
      </c>
    </row>
    <row r="7305" spans="1:14" hidden="1" x14ac:dyDescent="0.35">
      <c r="A7305" s="52" t="s">
        <v>759</v>
      </c>
      <c r="B7305" s="52" t="s">
        <v>37</v>
      </c>
      <c r="C7305" s="52" t="s">
        <v>61</v>
      </c>
      <c r="D7305" s="52" t="s">
        <v>62</v>
      </c>
      <c r="E7305" s="52" t="s">
        <v>584</v>
      </c>
      <c r="F7305" s="52" t="s">
        <v>26</v>
      </c>
      <c r="G7305" s="195" t="s">
        <v>279</v>
      </c>
      <c r="H7305" s="195">
        <v>47.876899999999999</v>
      </c>
      <c r="I7305" s="195">
        <v>30.73263</v>
      </c>
      <c r="J7305" s="195">
        <v>30.01585</v>
      </c>
      <c r="K7305" s="195">
        <v>60.378590000000003</v>
      </c>
      <c r="L7305" s="195">
        <v>123.66030000000001</v>
      </c>
      <c r="M7305" s="195">
        <v>13.121309999999999</v>
      </c>
      <c r="N7305" s="195">
        <v>48.635219999999997</v>
      </c>
    </row>
    <row r="7306" spans="1:14" hidden="1" x14ac:dyDescent="0.35">
      <c r="A7306" s="52" t="s">
        <v>759</v>
      </c>
      <c r="B7306" s="52" t="s">
        <v>37</v>
      </c>
      <c r="C7306" s="52" t="s">
        <v>109</v>
      </c>
      <c r="D7306" s="52" t="s">
        <v>109</v>
      </c>
      <c r="E7306" s="52" t="s">
        <v>584</v>
      </c>
      <c r="F7306" s="52" t="s">
        <v>581</v>
      </c>
      <c r="G7306" s="195" t="s">
        <v>275</v>
      </c>
      <c r="H7306" s="195">
        <v>43.311680000000003</v>
      </c>
      <c r="I7306" s="195">
        <v>-153.72909999999999</v>
      </c>
      <c r="J7306" s="195">
        <v>-67.394210000000001</v>
      </c>
      <c r="K7306" s="195">
        <v>-86.61224</v>
      </c>
      <c r="L7306" s="195">
        <v>-44.487299999999998</v>
      </c>
      <c r="M7306" s="195">
        <v>-12.39306</v>
      </c>
      <c r="N7306" s="195">
        <v>-2.2053129999999999</v>
      </c>
    </row>
    <row r="7307" spans="1:14" hidden="1" x14ac:dyDescent="0.35">
      <c r="A7307" s="52" t="s">
        <v>759</v>
      </c>
      <c r="B7307" s="52" t="s">
        <v>37</v>
      </c>
      <c r="C7307" s="52" t="s">
        <v>109</v>
      </c>
      <c r="D7307" s="52" t="s">
        <v>109</v>
      </c>
      <c r="E7307" s="52" t="s">
        <v>584</v>
      </c>
      <c r="F7307" s="52" t="s">
        <v>581</v>
      </c>
      <c r="G7307" s="195" t="s">
        <v>276</v>
      </c>
      <c r="H7307" s="195">
        <v>-1.8337909999999999E-2</v>
      </c>
      <c r="I7307" s="195">
        <v>-22.02167</v>
      </c>
      <c r="J7307" s="195">
        <v>-32.093040000000002</v>
      </c>
      <c r="K7307" s="195">
        <v>-57.771369999999997</v>
      </c>
      <c r="L7307" s="195">
        <v>-34.845910000000003</v>
      </c>
      <c r="M7307" s="195">
        <v>-8.7563250000000004</v>
      </c>
      <c r="N7307" s="195">
        <v>-25.904199999999999</v>
      </c>
    </row>
    <row r="7308" spans="1:14" hidden="1" x14ac:dyDescent="0.35">
      <c r="A7308" s="52" t="s">
        <v>759</v>
      </c>
      <c r="B7308" s="52" t="s">
        <v>37</v>
      </c>
      <c r="C7308" s="52" t="s">
        <v>109</v>
      </c>
      <c r="D7308" s="52" t="s">
        <v>109</v>
      </c>
      <c r="E7308" s="52" t="s">
        <v>584</v>
      </c>
      <c r="F7308" s="52" t="s">
        <v>581</v>
      </c>
      <c r="G7308" s="195" t="s">
        <v>277</v>
      </c>
      <c r="H7308" s="195">
        <v>32.753880000000002</v>
      </c>
      <c r="I7308" s="195">
        <v>26.52854</v>
      </c>
      <c r="J7308" s="195">
        <v>22.14265</v>
      </c>
      <c r="K7308" s="195">
        <v>17.904039999999998</v>
      </c>
      <c r="L7308" s="195">
        <v>14.58433</v>
      </c>
      <c r="M7308" s="195">
        <v>13.02758</v>
      </c>
      <c r="N7308" s="195">
        <v>12.13893</v>
      </c>
    </row>
    <row r="7309" spans="1:14" hidden="1" x14ac:dyDescent="0.35">
      <c r="A7309" s="52" t="s">
        <v>759</v>
      </c>
      <c r="B7309" s="52" t="s">
        <v>37</v>
      </c>
      <c r="C7309" s="52" t="s">
        <v>109</v>
      </c>
      <c r="D7309" s="52" t="s">
        <v>109</v>
      </c>
      <c r="E7309" s="52" t="s">
        <v>584</v>
      </c>
      <c r="F7309" s="52" t="s">
        <v>581</v>
      </c>
      <c r="G7309" s="195" t="s">
        <v>278</v>
      </c>
      <c r="H7309" s="195">
        <v>1.5675950000000001</v>
      </c>
      <c r="I7309" s="195">
        <v>129.31469999999999</v>
      </c>
      <c r="J7309" s="195">
        <v>61.457129999999999</v>
      </c>
      <c r="K7309" s="195">
        <v>12.796670000000001</v>
      </c>
      <c r="L7309" s="195">
        <v>14.37978</v>
      </c>
      <c r="M7309" s="195">
        <v>1.1919379999999999</v>
      </c>
      <c r="N7309" s="195">
        <v>16.767330000000001</v>
      </c>
    </row>
    <row r="7310" spans="1:14" hidden="1" x14ac:dyDescent="0.35">
      <c r="A7310" s="52" t="s">
        <v>759</v>
      </c>
      <c r="B7310" s="52" t="s">
        <v>37</v>
      </c>
      <c r="C7310" s="52" t="s">
        <v>109</v>
      </c>
      <c r="D7310" s="52" t="s">
        <v>109</v>
      </c>
      <c r="E7310" s="52" t="s">
        <v>584</v>
      </c>
      <c r="F7310" s="52" t="s">
        <v>581</v>
      </c>
      <c r="G7310" s="195" t="s">
        <v>279</v>
      </c>
      <c r="H7310" s="195">
        <v>95.786249999999995</v>
      </c>
      <c r="I7310" s="195">
        <v>80.863829999999993</v>
      </c>
      <c r="J7310" s="195">
        <v>55.406080000000003</v>
      </c>
      <c r="K7310" s="195">
        <v>152.18180000000001</v>
      </c>
      <c r="L7310" s="195">
        <v>82.574719999999999</v>
      </c>
      <c r="M7310" s="195">
        <v>21.325810000000001</v>
      </c>
      <c r="N7310" s="195">
        <v>8.6936099999999996</v>
      </c>
    </row>
    <row r="7311" spans="1:14" hidden="1" x14ac:dyDescent="0.35">
      <c r="A7311" s="52" t="s">
        <v>759</v>
      </c>
      <c r="B7311" s="52" t="s">
        <v>37</v>
      </c>
      <c r="C7311" s="52" t="s">
        <v>109</v>
      </c>
      <c r="D7311" s="52" t="s">
        <v>109</v>
      </c>
      <c r="E7311" s="52" t="s">
        <v>584</v>
      </c>
      <c r="F7311" s="52" t="s">
        <v>26</v>
      </c>
      <c r="G7311" s="195" t="s">
        <v>275</v>
      </c>
      <c r="H7311" s="195">
        <v>-36.975290000000001</v>
      </c>
      <c r="I7311" s="195">
        <v>-24.636109999999999</v>
      </c>
      <c r="J7311" s="195">
        <v>-13.980700000000001</v>
      </c>
      <c r="K7311" s="195">
        <v>-44.59742</v>
      </c>
      <c r="L7311" s="195">
        <v>-52.164619999999999</v>
      </c>
      <c r="M7311" s="195">
        <v>-15.812430000000001</v>
      </c>
      <c r="N7311" s="195">
        <v>-13.332649999999999</v>
      </c>
    </row>
    <row r="7312" spans="1:14" hidden="1" x14ac:dyDescent="0.35">
      <c r="A7312" s="52" t="s">
        <v>759</v>
      </c>
      <c r="B7312" s="52" t="s">
        <v>37</v>
      </c>
      <c r="C7312" s="52" t="s">
        <v>109</v>
      </c>
      <c r="D7312" s="52" t="s">
        <v>109</v>
      </c>
      <c r="E7312" s="52" t="s">
        <v>584</v>
      </c>
      <c r="F7312" s="52" t="s">
        <v>26</v>
      </c>
      <c r="G7312" s="195" t="s">
        <v>276</v>
      </c>
      <c r="H7312" s="195">
        <v>-11.49335</v>
      </c>
      <c r="I7312" s="195">
        <v>-8.6101139999999994</v>
      </c>
      <c r="J7312" s="195">
        <v>-5.4719610000000003</v>
      </c>
      <c r="K7312" s="195">
        <v>-13.88228</v>
      </c>
      <c r="L7312" s="195">
        <v>-14.226100000000001</v>
      </c>
      <c r="M7312" s="195">
        <v>-4.389024</v>
      </c>
      <c r="N7312" s="195">
        <v>-3.5722960000000001</v>
      </c>
    </row>
    <row r="7313" spans="1:14" hidden="1" x14ac:dyDescent="0.35">
      <c r="A7313" s="52" t="s">
        <v>759</v>
      </c>
      <c r="B7313" s="52" t="s">
        <v>37</v>
      </c>
      <c r="C7313" s="52" t="s">
        <v>109</v>
      </c>
      <c r="D7313" s="52" t="s">
        <v>109</v>
      </c>
      <c r="E7313" s="52" t="s">
        <v>584</v>
      </c>
      <c r="F7313" s="52" t="s">
        <v>26</v>
      </c>
      <c r="G7313" s="195" t="s">
        <v>277</v>
      </c>
      <c r="H7313" s="195">
        <v>13.139200000000001</v>
      </c>
      <c r="I7313" s="195">
        <v>4.8569149999999999</v>
      </c>
      <c r="J7313" s="195">
        <v>2.2290290000000001</v>
      </c>
      <c r="K7313" s="195">
        <v>2.339429</v>
      </c>
      <c r="L7313" s="195">
        <v>2.967203</v>
      </c>
      <c r="M7313" s="195">
        <v>2.8665069999999999</v>
      </c>
      <c r="N7313" s="195">
        <v>2.3562859999999999</v>
      </c>
    </row>
    <row r="7314" spans="1:14" hidden="1" x14ac:dyDescent="0.35">
      <c r="A7314" s="52" t="s">
        <v>759</v>
      </c>
      <c r="B7314" s="52" t="s">
        <v>37</v>
      </c>
      <c r="C7314" s="52" t="s">
        <v>109</v>
      </c>
      <c r="D7314" s="52" t="s">
        <v>109</v>
      </c>
      <c r="E7314" s="52" t="s">
        <v>584</v>
      </c>
      <c r="F7314" s="52" t="s">
        <v>26</v>
      </c>
      <c r="G7314" s="195" t="s">
        <v>278</v>
      </c>
      <c r="H7314" s="195">
        <v>4.525763E-2</v>
      </c>
      <c r="I7314" s="195">
        <v>4.5257619999999998E-2</v>
      </c>
      <c r="J7314" s="195">
        <v>0</v>
      </c>
      <c r="K7314" s="195">
        <v>0</v>
      </c>
      <c r="L7314" s="195">
        <v>0</v>
      </c>
      <c r="M7314" s="195">
        <v>0</v>
      </c>
      <c r="N7314" s="195">
        <v>0</v>
      </c>
    </row>
    <row r="7315" spans="1:14" hidden="1" x14ac:dyDescent="0.35">
      <c r="A7315" s="52" t="s">
        <v>759</v>
      </c>
      <c r="B7315" s="52" t="s">
        <v>37</v>
      </c>
      <c r="C7315" s="52" t="s">
        <v>109</v>
      </c>
      <c r="D7315" s="52" t="s">
        <v>109</v>
      </c>
      <c r="E7315" s="52" t="s">
        <v>584</v>
      </c>
      <c r="F7315" s="52" t="s">
        <v>26</v>
      </c>
      <c r="G7315" s="195" t="s">
        <v>279</v>
      </c>
      <c r="H7315" s="195">
        <v>56.049579999999999</v>
      </c>
      <c r="I7315" s="195">
        <v>43.007109999999997</v>
      </c>
      <c r="J7315" s="195">
        <v>28.286079999999998</v>
      </c>
      <c r="K7315" s="195">
        <v>76.351029999999994</v>
      </c>
      <c r="L7315" s="195">
        <v>71.200850000000003</v>
      </c>
      <c r="M7315" s="195">
        <v>23.08963</v>
      </c>
      <c r="N7315" s="195">
        <v>18.314139999999998</v>
      </c>
    </row>
    <row r="7316" spans="1:14" hidden="1" x14ac:dyDescent="0.35">
      <c r="A7316" s="52" t="s">
        <v>759</v>
      </c>
      <c r="B7316" s="52" t="s">
        <v>37</v>
      </c>
      <c r="C7316" s="52" t="s">
        <v>266</v>
      </c>
      <c r="D7316" s="52" t="s">
        <v>266</v>
      </c>
      <c r="E7316" s="52" t="s">
        <v>584</v>
      </c>
      <c r="F7316" s="52" t="s">
        <v>581</v>
      </c>
      <c r="G7316" s="195" t="s">
        <v>275</v>
      </c>
      <c r="H7316" s="195">
        <v>4.1966950000000001</v>
      </c>
      <c r="I7316" s="195">
        <v>-0.3002071</v>
      </c>
      <c r="J7316" s="195">
        <v>-0.21996080000000001</v>
      </c>
      <c r="K7316" s="195">
        <v>1.120466</v>
      </c>
      <c r="L7316" s="195">
        <v>-9.318564E-2</v>
      </c>
      <c r="M7316" s="195">
        <v>-0.1394118</v>
      </c>
      <c r="N7316" s="195">
        <v>0.44539260000000003</v>
      </c>
    </row>
    <row r="7317" spans="1:14" hidden="1" x14ac:dyDescent="0.35">
      <c r="A7317" s="52" t="s">
        <v>759</v>
      </c>
      <c r="B7317" s="52" t="s">
        <v>37</v>
      </c>
      <c r="C7317" s="52" t="s">
        <v>266</v>
      </c>
      <c r="D7317" s="52" t="s">
        <v>266</v>
      </c>
      <c r="E7317" s="52" t="s">
        <v>584</v>
      </c>
      <c r="F7317" s="52" t="s">
        <v>581</v>
      </c>
      <c r="G7317" s="195" t="s">
        <v>276</v>
      </c>
      <c r="H7317" s="195">
        <v>4.6698000000000003E-2</v>
      </c>
      <c r="I7317" s="195">
        <v>-1.8707990000000001</v>
      </c>
      <c r="J7317" s="195">
        <v>-1.5772040000000001</v>
      </c>
      <c r="K7317" s="195">
        <v>-2.401303</v>
      </c>
      <c r="L7317" s="195">
        <v>-0.8272794</v>
      </c>
      <c r="M7317" s="195">
        <v>-0.51586500000000002</v>
      </c>
      <c r="N7317" s="195">
        <v>-0.32990320000000001</v>
      </c>
    </row>
    <row r="7318" spans="1:14" hidden="1" x14ac:dyDescent="0.35">
      <c r="A7318" s="52" t="s">
        <v>759</v>
      </c>
      <c r="B7318" s="52" t="s">
        <v>37</v>
      </c>
      <c r="C7318" s="52" t="s">
        <v>266</v>
      </c>
      <c r="D7318" s="52" t="s">
        <v>266</v>
      </c>
      <c r="E7318" s="52" t="s">
        <v>584</v>
      </c>
      <c r="F7318" s="52" t="s">
        <v>581</v>
      </c>
      <c r="G7318" s="195" t="s">
        <v>277</v>
      </c>
      <c r="H7318" s="195">
        <v>7.1938930000000001</v>
      </c>
      <c r="I7318" s="195">
        <v>4.2821020000000001</v>
      </c>
      <c r="J7318" s="195">
        <v>2.8802219999999998</v>
      </c>
      <c r="K7318" s="195">
        <v>1.938879</v>
      </c>
      <c r="L7318" s="195">
        <v>1.30629</v>
      </c>
      <c r="M7318" s="195">
        <v>0.88105480000000003</v>
      </c>
      <c r="N7318" s="195"/>
    </row>
    <row r="7319" spans="1:14" hidden="1" x14ac:dyDescent="0.35">
      <c r="A7319" s="52" t="s">
        <v>759</v>
      </c>
      <c r="B7319" s="52" t="s">
        <v>37</v>
      </c>
      <c r="C7319" s="52" t="s">
        <v>266</v>
      </c>
      <c r="D7319" s="52" t="s">
        <v>266</v>
      </c>
      <c r="E7319" s="52" t="s">
        <v>584</v>
      </c>
      <c r="F7319" s="52" t="s">
        <v>581</v>
      </c>
      <c r="G7319" s="195" t="s">
        <v>279</v>
      </c>
      <c r="H7319" s="195">
        <v>3.2011120000000002</v>
      </c>
      <c r="I7319" s="195">
        <v>1.592136</v>
      </c>
      <c r="J7319" s="195">
        <v>1.09511</v>
      </c>
      <c r="K7319" s="195">
        <v>0.84086879999999997</v>
      </c>
      <c r="L7319" s="195">
        <v>0.64562399999999998</v>
      </c>
      <c r="M7319" s="195">
        <v>0.48396699999999998</v>
      </c>
      <c r="N7319" s="195">
        <v>0.3728706</v>
      </c>
    </row>
    <row r="7320" spans="1:14" hidden="1" x14ac:dyDescent="0.35">
      <c r="A7320" s="52" t="s">
        <v>759</v>
      </c>
      <c r="B7320" s="52" t="s">
        <v>37</v>
      </c>
      <c r="C7320" s="52" t="s">
        <v>266</v>
      </c>
      <c r="D7320" s="52" t="s">
        <v>266</v>
      </c>
      <c r="E7320" s="52" t="s">
        <v>584</v>
      </c>
      <c r="F7320" s="52" t="s">
        <v>26</v>
      </c>
      <c r="G7320" s="195" t="s">
        <v>275</v>
      </c>
      <c r="H7320" s="195">
        <v>1.1899E-2</v>
      </c>
      <c r="I7320" s="195">
        <v>4.4120000000000001E-3</v>
      </c>
      <c r="J7320" s="195">
        <v>3.859201E-3</v>
      </c>
      <c r="K7320" s="195">
        <v>1.7514E-3</v>
      </c>
      <c r="L7320" s="195">
        <v>3.412E-4</v>
      </c>
      <c r="M7320" s="195">
        <v>3.599998E-5</v>
      </c>
      <c r="N7320" s="195">
        <v>-1.8440000000000001E-4</v>
      </c>
    </row>
    <row r="7321" spans="1:14" hidden="1" x14ac:dyDescent="0.35">
      <c r="A7321" s="52" t="s">
        <v>759</v>
      </c>
      <c r="B7321" s="52" t="s">
        <v>37</v>
      </c>
      <c r="C7321" s="52" t="s">
        <v>266</v>
      </c>
      <c r="D7321" s="52" t="s">
        <v>266</v>
      </c>
      <c r="E7321" s="52" t="s">
        <v>584</v>
      </c>
      <c r="F7321" s="52" t="s">
        <v>26</v>
      </c>
      <c r="G7321" s="195" t="s">
        <v>276</v>
      </c>
      <c r="H7321" s="195">
        <v>3.163E-3</v>
      </c>
      <c r="I7321" s="195">
        <v>1.1728000000000001E-3</v>
      </c>
      <c r="J7321" s="195">
        <v>1.0261999999999999E-3</v>
      </c>
      <c r="K7321" s="195">
        <v>4.6579999999999999E-4</v>
      </c>
      <c r="L7321" s="195">
        <v>9.0400000000000002E-5</v>
      </c>
      <c r="M7321" s="195">
        <v>9.9999959999999999E-6</v>
      </c>
      <c r="N7321" s="195">
        <v>-4.8600010000000003E-5</v>
      </c>
    </row>
    <row r="7322" spans="1:14" hidden="1" x14ac:dyDescent="0.35">
      <c r="A7322" s="52" t="s">
        <v>759</v>
      </c>
      <c r="B7322" s="52" t="s">
        <v>37</v>
      </c>
      <c r="C7322" s="52" t="s">
        <v>266</v>
      </c>
      <c r="D7322" s="52" t="s">
        <v>266</v>
      </c>
      <c r="E7322" s="52" t="s">
        <v>584</v>
      </c>
      <c r="F7322" s="52" t="s">
        <v>26</v>
      </c>
      <c r="G7322" s="195" t="s">
        <v>279</v>
      </c>
      <c r="H7322" s="195">
        <v>4.1153000000000002E-2</v>
      </c>
      <c r="I7322" s="195">
        <v>3.0358599999999999E-2</v>
      </c>
      <c r="J7322" s="195">
        <v>2.5466200000000001E-2</v>
      </c>
      <c r="K7322" s="195">
        <v>2.33318E-2</v>
      </c>
      <c r="L7322" s="195">
        <v>2.0992199999999999E-2</v>
      </c>
      <c r="M7322" s="195">
        <v>1.7909999999999999E-2</v>
      </c>
      <c r="N7322" s="195">
        <v>1.5325E-2</v>
      </c>
    </row>
    <row r="7323" spans="1:14" hidden="1" x14ac:dyDescent="0.35">
      <c r="A7323" s="52" t="s">
        <v>759</v>
      </c>
      <c r="B7323" s="52" t="s">
        <v>37</v>
      </c>
      <c r="C7323" s="52" t="s">
        <v>79</v>
      </c>
      <c r="D7323" s="52" t="s">
        <v>79</v>
      </c>
      <c r="E7323" s="52" t="s">
        <v>600</v>
      </c>
      <c r="F7323" s="52" t="s">
        <v>581</v>
      </c>
      <c r="G7323" s="195" t="s">
        <v>275</v>
      </c>
      <c r="H7323" s="195">
        <v>2.5665800000000001</v>
      </c>
      <c r="I7323" s="195">
        <v>0.31574839999999998</v>
      </c>
      <c r="J7323" s="195">
        <v>0.46524320000000002</v>
      </c>
      <c r="K7323" s="195">
        <v>0.21105299999999999</v>
      </c>
      <c r="L7323" s="195">
        <v>0.1146948</v>
      </c>
      <c r="M7323" s="195">
        <v>0.28830359999999999</v>
      </c>
      <c r="N7323" s="195">
        <v>0.2129056</v>
      </c>
    </row>
    <row r="7324" spans="1:14" hidden="1" x14ac:dyDescent="0.35">
      <c r="A7324" s="52" t="s">
        <v>759</v>
      </c>
      <c r="B7324" s="52" t="s">
        <v>37</v>
      </c>
      <c r="C7324" s="52" t="s">
        <v>79</v>
      </c>
      <c r="D7324" s="52" t="s">
        <v>79</v>
      </c>
      <c r="E7324" s="52" t="s">
        <v>600</v>
      </c>
      <c r="F7324" s="52" t="s">
        <v>581</v>
      </c>
      <c r="G7324" s="195" t="s">
        <v>276</v>
      </c>
      <c r="H7324" s="195">
        <v>-0.50073599999999996</v>
      </c>
      <c r="I7324" s="195">
        <v>-0.38375419999999999</v>
      </c>
      <c r="J7324" s="195">
        <v>-0.17400479999999999</v>
      </c>
      <c r="K7324" s="195">
        <v>-2.0296999999999999E-2</v>
      </c>
      <c r="L7324" s="195">
        <v>2.649719E-2</v>
      </c>
      <c r="M7324" s="195">
        <v>-5.7130039999999998E-3</v>
      </c>
      <c r="N7324" s="195">
        <v>3.2384000000000003E-2</v>
      </c>
    </row>
    <row r="7325" spans="1:14" hidden="1" x14ac:dyDescent="0.35">
      <c r="A7325" s="52" t="s">
        <v>759</v>
      </c>
      <c r="B7325" s="52" t="s">
        <v>37</v>
      </c>
      <c r="C7325" s="52" t="s">
        <v>79</v>
      </c>
      <c r="D7325" s="52" t="s">
        <v>79</v>
      </c>
      <c r="E7325" s="52" t="s">
        <v>600</v>
      </c>
      <c r="F7325" s="52" t="s">
        <v>581</v>
      </c>
      <c r="G7325" s="195" t="s">
        <v>277</v>
      </c>
      <c r="H7325" s="195">
        <v>0.152196</v>
      </c>
      <c r="I7325" s="195">
        <v>0.58660999999999996</v>
      </c>
      <c r="J7325" s="195">
        <v>0.13758799999999999</v>
      </c>
      <c r="K7325" s="195">
        <v>0.20230200000000001</v>
      </c>
      <c r="L7325" s="195">
        <v>0.1863814</v>
      </c>
      <c r="M7325" s="195">
        <v>2.5828000000000001E-3</v>
      </c>
      <c r="N7325" s="195">
        <v>1.796E-4</v>
      </c>
    </row>
    <row r="7326" spans="1:14" hidden="1" x14ac:dyDescent="0.35">
      <c r="A7326" s="52" t="s">
        <v>759</v>
      </c>
      <c r="B7326" s="52" t="s">
        <v>37</v>
      </c>
      <c r="C7326" s="52" t="s">
        <v>79</v>
      </c>
      <c r="D7326" s="52" t="s">
        <v>79</v>
      </c>
      <c r="E7326" s="52" t="s">
        <v>600</v>
      </c>
      <c r="F7326" s="52" t="s">
        <v>581</v>
      </c>
      <c r="G7326" s="195" t="s">
        <v>279</v>
      </c>
      <c r="H7326" s="195">
        <v>0.75864299999999996</v>
      </c>
      <c r="I7326" s="195">
        <v>0.49310939999999998</v>
      </c>
      <c r="J7326" s="195">
        <v>0.47791040000000001</v>
      </c>
      <c r="K7326" s="195">
        <v>0.4587408</v>
      </c>
      <c r="L7326" s="195">
        <v>0.47569840000000002</v>
      </c>
      <c r="M7326" s="195">
        <v>0.4076168</v>
      </c>
      <c r="N7326" s="195">
        <v>0.35249399999999997</v>
      </c>
    </row>
    <row r="7327" spans="1:14" hidden="1" x14ac:dyDescent="0.35">
      <c r="A7327" s="52" t="s">
        <v>759</v>
      </c>
      <c r="B7327" s="52" t="s">
        <v>37</v>
      </c>
      <c r="C7327" s="52" t="s">
        <v>79</v>
      </c>
      <c r="D7327" s="52" t="s">
        <v>79</v>
      </c>
      <c r="E7327" s="52" t="s">
        <v>600</v>
      </c>
      <c r="F7327" s="52" t="s">
        <v>26</v>
      </c>
      <c r="G7327" s="195" t="s">
        <v>275</v>
      </c>
      <c r="H7327" s="195">
        <v>6.8757990000000005E-2</v>
      </c>
      <c r="I7327" s="195">
        <v>2.0971199999999999E-2</v>
      </c>
      <c r="J7327" s="195">
        <v>3.28122E-2</v>
      </c>
      <c r="K7327" s="195">
        <v>2.1703E-2</v>
      </c>
      <c r="L7327" s="195">
        <v>-1.8328000000000001E-3</v>
      </c>
      <c r="M7327" s="195">
        <v>-6.9979950000000003E-4</v>
      </c>
      <c r="N7327" s="195">
        <v>-7.4499989999999997E-4</v>
      </c>
    </row>
    <row r="7328" spans="1:14" hidden="1" x14ac:dyDescent="0.35">
      <c r="A7328" s="52" t="s">
        <v>759</v>
      </c>
      <c r="B7328" s="52" t="s">
        <v>37</v>
      </c>
      <c r="C7328" s="52" t="s">
        <v>79</v>
      </c>
      <c r="D7328" s="52" t="s">
        <v>79</v>
      </c>
      <c r="E7328" s="52" t="s">
        <v>600</v>
      </c>
      <c r="F7328" s="52" t="s">
        <v>26</v>
      </c>
      <c r="G7328" s="195" t="s">
        <v>276</v>
      </c>
      <c r="H7328" s="195">
        <v>1.9932999999999999E-2</v>
      </c>
      <c r="I7328" s="195">
        <v>6.0791999999999999E-3</v>
      </c>
      <c r="J7328" s="195">
        <v>9.5111989999999997E-3</v>
      </c>
      <c r="K7328" s="195">
        <v>6.2922000000000004E-3</v>
      </c>
      <c r="L7328" s="195">
        <v>-5.3200000000000003E-4</v>
      </c>
      <c r="M7328" s="195">
        <v>-2.0300010000000001E-4</v>
      </c>
      <c r="N7328" s="195">
        <v>-2.160001E-4</v>
      </c>
    </row>
    <row r="7329" spans="1:14" hidden="1" x14ac:dyDescent="0.35">
      <c r="A7329" s="52" t="s">
        <v>759</v>
      </c>
      <c r="B7329" s="52" t="s">
        <v>37</v>
      </c>
      <c r="C7329" s="52" t="s">
        <v>79</v>
      </c>
      <c r="D7329" s="52" t="s">
        <v>79</v>
      </c>
      <c r="E7329" s="52" t="s">
        <v>600</v>
      </c>
      <c r="F7329" s="52" t="s">
        <v>26</v>
      </c>
      <c r="G7329" s="195" t="s">
        <v>279</v>
      </c>
      <c r="H7329" s="195">
        <v>0.40836699999999998</v>
      </c>
      <c r="I7329" s="195">
        <v>0.33319799999999999</v>
      </c>
      <c r="J7329" s="195">
        <v>0.33425840000000001</v>
      </c>
      <c r="K7329" s="195">
        <v>0.32512400000000002</v>
      </c>
      <c r="L7329" s="195">
        <v>0.33409480000000003</v>
      </c>
      <c r="M7329" s="195">
        <v>0.28656399999999999</v>
      </c>
      <c r="N7329" s="195">
        <v>0.24796560000000001</v>
      </c>
    </row>
    <row r="7330" spans="1:14" hidden="1" x14ac:dyDescent="0.35">
      <c r="A7330" s="52" t="s">
        <v>759</v>
      </c>
      <c r="B7330" s="52" t="s">
        <v>37</v>
      </c>
      <c r="C7330" s="52" t="s">
        <v>46</v>
      </c>
      <c r="D7330" s="52" t="s">
        <v>46</v>
      </c>
      <c r="E7330" s="52" t="s">
        <v>584</v>
      </c>
      <c r="F7330" s="52" t="s">
        <v>581</v>
      </c>
      <c r="G7330" s="195" t="s">
        <v>275</v>
      </c>
      <c r="H7330" s="195">
        <v>0.53782799999999997</v>
      </c>
      <c r="I7330" s="195">
        <v>0.48114639999999997</v>
      </c>
      <c r="J7330" s="195">
        <v>8.47276E-2</v>
      </c>
      <c r="K7330" s="195">
        <v>8.0060999999999993E-2</v>
      </c>
      <c r="L7330" s="195">
        <v>7.51444E-2</v>
      </c>
      <c r="M7330" s="195">
        <v>7.3243390000000005E-2</v>
      </c>
      <c r="N7330" s="195">
        <v>7.0001999999999995E-2</v>
      </c>
    </row>
    <row r="7331" spans="1:14" hidden="1" x14ac:dyDescent="0.35">
      <c r="A7331" s="52" t="s">
        <v>759</v>
      </c>
      <c r="B7331" s="52" t="s">
        <v>37</v>
      </c>
      <c r="C7331" s="52" t="s">
        <v>46</v>
      </c>
      <c r="D7331" s="52" t="s">
        <v>46</v>
      </c>
      <c r="E7331" s="52" t="s">
        <v>584</v>
      </c>
      <c r="F7331" s="52" t="s">
        <v>581</v>
      </c>
      <c r="G7331" s="195" t="s">
        <v>276</v>
      </c>
      <c r="H7331" s="195">
        <v>0.14296600000000001</v>
      </c>
      <c r="I7331" s="195">
        <v>-0.33535480000000001</v>
      </c>
      <c r="J7331" s="195">
        <v>2.2521800000000002E-2</v>
      </c>
      <c r="K7331" s="195">
        <v>2.1281600000000001E-2</v>
      </c>
      <c r="L7331" s="195">
        <v>1.9975E-2</v>
      </c>
      <c r="M7331" s="195">
        <v>1.9470000000000001E-2</v>
      </c>
      <c r="N7331" s="195">
        <v>1.86074E-2</v>
      </c>
    </row>
    <row r="7332" spans="1:14" hidden="1" x14ac:dyDescent="0.35">
      <c r="A7332" s="52" t="s">
        <v>759</v>
      </c>
      <c r="B7332" s="52" t="s">
        <v>37</v>
      </c>
      <c r="C7332" s="52" t="s">
        <v>46</v>
      </c>
      <c r="D7332" s="52" t="s">
        <v>46</v>
      </c>
      <c r="E7332" s="52" t="s">
        <v>584</v>
      </c>
      <c r="F7332" s="52" t="s">
        <v>581</v>
      </c>
      <c r="G7332" s="195" t="s">
        <v>277</v>
      </c>
      <c r="H7332" s="195"/>
      <c r="I7332" s="195"/>
      <c r="J7332" s="195"/>
      <c r="K7332" s="195"/>
      <c r="L7332" s="195"/>
      <c r="M7332" s="195"/>
      <c r="N7332" s="195"/>
    </row>
    <row r="7333" spans="1:14" hidden="1" x14ac:dyDescent="0.35">
      <c r="A7333" s="52" t="s">
        <v>759</v>
      </c>
      <c r="B7333" s="52" t="s">
        <v>37</v>
      </c>
      <c r="C7333" s="52" t="s">
        <v>46</v>
      </c>
      <c r="D7333" s="52" t="s">
        <v>46</v>
      </c>
      <c r="E7333" s="52" t="s">
        <v>584</v>
      </c>
      <c r="F7333" s="52" t="s">
        <v>581</v>
      </c>
      <c r="G7333" s="195" t="s">
        <v>279</v>
      </c>
      <c r="H7333" s="195">
        <v>0.27556700000000001</v>
      </c>
      <c r="I7333" s="195">
        <v>0.19438620000000001</v>
      </c>
      <c r="J7333" s="195">
        <v>0.177783</v>
      </c>
      <c r="K7333" s="195">
        <v>0.17389560000000001</v>
      </c>
      <c r="L7333" s="195">
        <v>0.167629</v>
      </c>
      <c r="M7333" s="195">
        <v>0.15090000000000001</v>
      </c>
      <c r="N7333" s="195">
        <v>0.14005799999999999</v>
      </c>
    </row>
    <row r="7334" spans="1:14" hidden="1" x14ac:dyDescent="0.35">
      <c r="A7334" s="52" t="s">
        <v>759</v>
      </c>
      <c r="B7334" s="52" t="s">
        <v>37</v>
      </c>
      <c r="C7334" s="52" t="s">
        <v>46</v>
      </c>
      <c r="D7334" s="52" t="s">
        <v>46</v>
      </c>
      <c r="E7334" s="52" t="s">
        <v>584</v>
      </c>
      <c r="F7334" s="52" t="s">
        <v>26</v>
      </c>
      <c r="G7334" s="195" t="s">
        <v>275</v>
      </c>
      <c r="H7334" s="195">
        <v>-4.5549049999999998</v>
      </c>
      <c r="I7334" s="195">
        <v>-4.1997429999999998</v>
      </c>
      <c r="J7334" s="195">
        <v>-3.5832860000000002</v>
      </c>
      <c r="K7334" s="195">
        <v>-3.3022369999999999</v>
      </c>
      <c r="L7334" s="195">
        <v>-3.324805</v>
      </c>
      <c r="M7334" s="195">
        <v>-3.1099600000000001</v>
      </c>
      <c r="N7334" s="195">
        <v>-2.90747</v>
      </c>
    </row>
    <row r="7335" spans="1:14" hidden="1" x14ac:dyDescent="0.35">
      <c r="A7335" s="52" t="s">
        <v>759</v>
      </c>
      <c r="B7335" s="52" t="s">
        <v>37</v>
      </c>
      <c r="C7335" s="52" t="s">
        <v>46</v>
      </c>
      <c r="D7335" s="52" t="s">
        <v>46</v>
      </c>
      <c r="E7335" s="52" t="s">
        <v>584</v>
      </c>
      <c r="F7335" s="52" t="s">
        <v>26</v>
      </c>
      <c r="G7335" s="195" t="s">
        <v>276</v>
      </c>
      <c r="H7335" s="195">
        <v>-1.2327509999999999</v>
      </c>
      <c r="I7335" s="195">
        <v>-0.83243199999999995</v>
      </c>
      <c r="J7335" s="195">
        <v>-1.171273</v>
      </c>
      <c r="K7335" s="195">
        <v>-1.304929</v>
      </c>
      <c r="L7335" s="195">
        <v>-1.087971</v>
      </c>
      <c r="M7335" s="195">
        <v>-0.9852552</v>
      </c>
      <c r="N7335" s="195">
        <v>-0.93130950000000001</v>
      </c>
    </row>
    <row r="7336" spans="1:14" hidden="1" x14ac:dyDescent="0.35">
      <c r="A7336" s="52" t="s">
        <v>759</v>
      </c>
      <c r="B7336" s="52" t="s">
        <v>37</v>
      </c>
      <c r="C7336" s="52" t="s">
        <v>46</v>
      </c>
      <c r="D7336" s="52" t="s">
        <v>46</v>
      </c>
      <c r="E7336" s="52" t="s">
        <v>584</v>
      </c>
      <c r="F7336" s="52" t="s">
        <v>26</v>
      </c>
      <c r="G7336" s="195" t="s">
        <v>277</v>
      </c>
      <c r="H7336" s="195">
        <v>5.9054159999999998</v>
      </c>
      <c r="I7336" s="195">
        <v>5.0709400000000002</v>
      </c>
      <c r="J7336" s="195">
        <v>4.8065990000000003</v>
      </c>
      <c r="K7336" s="195">
        <v>4.6281040000000004</v>
      </c>
      <c r="L7336" s="195">
        <v>4.4072810000000002</v>
      </c>
      <c r="M7336" s="195">
        <v>4.0879219999999998</v>
      </c>
      <c r="N7336" s="195">
        <v>3.8310879999999998</v>
      </c>
    </row>
    <row r="7337" spans="1:14" hidden="1" x14ac:dyDescent="0.35">
      <c r="A7337" s="52" t="s">
        <v>759</v>
      </c>
      <c r="B7337" s="52" t="s">
        <v>37</v>
      </c>
      <c r="C7337" s="52" t="s">
        <v>46</v>
      </c>
      <c r="D7337" s="52" t="s">
        <v>46</v>
      </c>
      <c r="E7337" s="52" t="s">
        <v>584</v>
      </c>
      <c r="F7337" s="52" t="s">
        <v>26</v>
      </c>
      <c r="G7337" s="195" t="s">
        <v>279</v>
      </c>
      <c r="H7337" s="195">
        <v>0.53278800000000004</v>
      </c>
      <c r="I7337" s="195">
        <v>0.45919979999999999</v>
      </c>
      <c r="J7337" s="195">
        <v>0.45126660000000002</v>
      </c>
      <c r="K7337" s="195">
        <v>0.48055680000000001</v>
      </c>
      <c r="L7337" s="195">
        <v>0.49888139999999997</v>
      </c>
      <c r="M7337" s="195">
        <v>0.48154000000000002</v>
      </c>
      <c r="N7337" s="195">
        <v>0.46681519999999999</v>
      </c>
    </row>
    <row r="7338" spans="1:14" hidden="1" x14ac:dyDescent="0.35">
      <c r="A7338" s="52" t="s">
        <v>759</v>
      </c>
      <c r="B7338" s="52" t="s">
        <v>37</v>
      </c>
      <c r="C7338" s="52" t="s">
        <v>248</v>
      </c>
      <c r="D7338" s="52" t="s">
        <v>248</v>
      </c>
      <c r="E7338" s="52" t="s">
        <v>635</v>
      </c>
      <c r="F7338" s="52" t="s">
        <v>581</v>
      </c>
      <c r="G7338" s="195" t="s">
        <v>275</v>
      </c>
      <c r="H7338" s="195">
        <v>1.2333339999999999</v>
      </c>
      <c r="I7338" s="195">
        <v>-1.445819</v>
      </c>
      <c r="J7338" s="195">
        <v>-0.47418900000000003</v>
      </c>
      <c r="K7338" s="195">
        <v>-0.35812139999999998</v>
      </c>
      <c r="L7338" s="195">
        <v>-0.36166120000000002</v>
      </c>
      <c r="M7338" s="195">
        <v>0.32720359999999998</v>
      </c>
      <c r="N7338" s="195">
        <v>0.19555620000000001</v>
      </c>
    </row>
    <row r="7339" spans="1:14" hidden="1" x14ac:dyDescent="0.35">
      <c r="A7339" s="52" t="s">
        <v>759</v>
      </c>
      <c r="B7339" s="52" t="s">
        <v>37</v>
      </c>
      <c r="C7339" s="52" t="s">
        <v>248</v>
      </c>
      <c r="D7339" s="52" t="s">
        <v>248</v>
      </c>
      <c r="E7339" s="52" t="s">
        <v>635</v>
      </c>
      <c r="F7339" s="52" t="s">
        <v>581</v>
      </c>
      <c r="G7339" s="195" t="s">
        <v>276</v>
      </c>
      <c r="H7339" s="195">
        <v>-0.232489</v>
      </c>
      <c r="I7339" s="195">
        <v>-0.1059976</v>
      </c>
      <c r="J7339" s="195">
        <v>-4.3822399999999997E-2</v>
      </c>
      <c r="K7339" s="195">
        <v>-5.0555610000000001E-2</v>
      </c>
      <c r="L7339" s="195">
        <v>-7.15306E-2</v>
      </c>
      <c r="M7339" s="195">
        <v>-0.1798246</v>
      </c>
      <c r="N7339" s="195">
        <v>-6.8008810000000003E-2</v>
      </c>
    </row>
    <row r="7340" spans="1:14" hidden="1" x14ac:dyDescent="0.35">
      <c r="A7340" s="52" t="s">
        <v>759</v>
      </c>
      <c r="B7340" s="52" t="s">
        <v>37</v>
      </c>
      <c r="C7340" s="52" t="s">
        <v>248</v>
      </c>
      <c r="D7340" s="52" t="s">
        <v>248</v>
      </c>
      <c r="E7340" s="52" t="s">
        <v>635</v>
      </c>
      <c r="F7340" s="52" t="s">
        <v>581</v>
      </c>
      <c r="G7340" s="195" t="s">
        <v>277</v>
      </c>
      <c r="H7340" s="195">
        <v>0</v>
      </c>
      <c r="I7340" s="195">
        <v>1.8243879999999999</v>
      </c>
      <c r="J7340" s="195">
        <v>0.37130740000000001</v>
      </c>
      <c r="K7340" s="195">
        <v>0.34859899999999999</v>
      </c>
      <c r="L7340" s="195">
        <v>0.35243239999999998</v>
      </c>
      <c r="M7340" s="195">
        <v>0</v>
      </c>
      <c r="N7340" s="195">
        <v>0</v>
      </c>
    </row>
    <row r="7341" spans="1:14" hidden="1" x14ac:dyDescent="0.35">
      <c r="A7341" s="52" t="s">
        <v>759</v>
      </c>
      <c r="B7341" s="52" t="s">
        <v>37</v>
      </c>
      <c r="C7341" s="52" t="s">
        <v>248</v>
      </c>
      <c r="D7341" s="52" t="s">
        <v>248</v>
      </c>
      <c r="E7341" s="52" t="s">
        <v>635</v>
      </c>
      <c r="F7341" s="52" t="s">
        <v>581</v>
      </c>
      <c r="G7341" s="195" t="s">
        <v>278</v>
      </c>
      <c r="H7341" s="195"/>
      <c r="I7341" s="195">
        <v>0</v>
      </c>
      <c r="J7341" s="195">
        <v>0.38023980000000002</v>
      </c>
      <c r="K7341" s="195">
        <v>0.30353419999999998</v>
      </c>
      <c r="L7341" s="195">
        <v>0.24747259999999999</v>
      </c>
      <c r="M7341" s="195">
        <v>0</v>
      </c>
      <c r="N7341" s="195"/>
    </row>
    <row r="7342" spans="1:14" hidden="1" x14ac:dyDescent="0.35">
      <c r="A7342" s="52" t="s">
        <v>759</v>
      </c>
      <c r="B7342" s="52" t="s">
        <v>37</v>
      </c>
      <c r="C7342" s="52" t="s">
        <v>248</v>
      </c>
      <c r="D7342" s="52" t="s">
        <v>248</v>
      </c>
      <c r="E7342" s="52" t="s">
        <v>635</v>
      </c>
      <c r="F7342" s="52" t="s">
        <v>581</v>
      </c>
      <c r="G7342" s="195" t="s">
        <v>279</v>
      </c>
      <c r="H7342" s="195">
        <v>0.459397</v>
      </c>
      <c r="I7342" s="195">
        <v>0.55377339999999997</v>
      </c>
      <c r="J7342" s="195">
        <v>0.61222160000000003</v>
      </c>
      <c r="K7342" s="195">
        <v>0.62914879999999995</v>
      </c>
      <c r="L7342" s="195">
        <v>0.67383159999999998</v>
      </c>
      <c r="M7342" s="195">
        <v>0.55620099999999995</v>
      </c>
      <c r="N7342" s="195">
        <v>0.45248460000000001</v>
      </c>
    </row>
    <row r="7343" spans="1:14" hidden="1" x14ac:dyDescent="0.35">
      <c r="A7343" s="52" t="s">
        <v>759</v>
      </c>
      <c r="B7343" s="52" t="s">
        <v>37</v>
      </c>
      <c r="C7343" s="52" t="s">
        <v>248</v>
      </c>
      <c r="D7343" s="52" t="s">
        <v>248</v>
      </c>
      <c r="E7343" s="52" t="s">
        <v>635</v>
      </c>
      <c r="F7343" s="52" t="s">
        <v>26</v>
      </c>
      <c r="G7343" s="195" t="s">
        <v>275</v>
      </c>
      <c r="H7343" s="195">
        <v>-1.712E-3</v>
      </c>
      <c r="I7343" s="195">
        <v>-3.2881999999999998E-3</v>
      </c>
      <c r="J7343" s="195">
        <v>-3.3977999999999999E-3</v>
      </c>
      <c r="K7343" s="195">
        <v>-3.5731999999999999E-3</v>
      </c>
      <c r="L7343" s="195">
        <v>-3.6779999999999998E-3</v>
      </c>
      <c r="M7343" s="195">
        <v>-2.8075999999999999E-3</v>
      </c>
      <c r="N7343" s="195">
        <v>-1.2596E-3</v>
      </c>
    </row>
    <row r="7344" spans="1:14" hidden="1" x14ac:dyDescent="0.35">
      <c r="A7344" s="52" t="s">
        <v>759</v>
      </c>
      <c r="B7344" s="52" t="s">
        <v>37</v>
      </c>
      <c r="C7344" s="52" t="s">
        <v>248</v>
      </c>
      <c r="D7344" s="52" t="s">
        <v>248</v>
      </c>
      <c r="E7344" s="52" t="s">
        <v>635</v>
      </c>
      <c r="F7344" s="52" t="s">
        <v>26</v>
      </c>
      <c r="G7344" s="195" t="s">
        <v>276</v>
      </c>
      <c r="H7344" s="195">
        <v>-4.55E-4</v>
      </c>
      <c r="I7344" s="195">
        <v>-8.7399999999999999E-4</v>
      </c>
      <c r="J7344" s="195">
        <v>-9.0320000000000005E-4</v>
      </c>
      <c r="K7344" s="195">
        <v>-9.4919999999999998E-4</v>
      </c>
      <c r="L7344" s="195">
        <v>-9.7799999999999992E-4</v>
      </c>
      <c r="M7344" s="195">
        <v>-7.4759999999999996E-4</v>
      </c>
      <c r="N7344" s="195">
        <v>-3.3540000000000002E-4</v>
      </c>
    </row>
    <row r="7345" spans="1:14" hidden="1" x14ac:dyDescent="0.35">
      <c r="A7345" s="52" t="s">
        <v>759</v>
      </c>
      <c r="B7345" s="52" t="s">
        <v>37</v>
      </c>
      <c r="C7345" s="52" t="s">
        <v>248</v>
      </c>
      <c r="D7345" s="52" t="s">
        <v>248</v>
      </c>
      <c r="E7345" s="52" t="s">
        <v>635</v>
      </c>
      <c r="F7345" s="52" t="s">
        <v>26</v>
      </c>
      <c r="G7345" s="195" t="s">
        <v>279</v>
      </c>
      <c r="H7345" s="195">
        <v>6.3579999999999999E-3</v>
      </c>
      <c r="I7345" s="195">
        <v>9.3480000000000004E-3</v>
      </c>
      <c r="J7345" s="195">
        <v>1.04628E-2</v>
      </c>
      <c r="K7345" s="195">
        <v>1.07638E-2</v>
      </c>
      <c r="L7345" s="195">
        <v>1.06596E-2</v>
      </c>
      <c r="M7345" s="195">
        <v>8.5690000000000002E-3</v>
      </c>
      <c r="N7345" s="195">
        <v>5.7283999999999998E-3</v>
      </c>
    </row>
    <row r="7346" spans="1:14" hidden="1" x14ac:dyDescent="0.35">
      <c r="A7346" s="52" t="s">
        <v>759</v>
      </c>
      <c r="B7346" s="52" t="s">
        <v>37</v>
      </c>
      <c r="C7346" s="52" t="s">
        <v>318</v>
      </c>
      <c r="D7346" s="52" t="s">
        <v>318</v>
      </c>
      <c r="E7346" s="52" t="s">
        <v>584</v>
      </c>
      <c r="F7346" s="52" t="s">
        <v>581</v>
      </c>
      <c r="G7346" s="195" t="s">
        <v>275</v>
      </c>
      <c r="H7346" s="195">
        <v>86.669300000000007</v>
      </c>
      <c r="I7346" s="195">
        <v>0</v>
      </c>
      <c r="J7346" s="195"/>
      <c r="K7346" s="195"/>
      <c r="L7346" s="195"/>
      <c r="M7346" s="195"/>
      <c r="N7346" s="195"/>
    </row>
    <row r="7347" spans="1:14" hidden="1" x14ac:dyDescent="0.35">
      <c r="A7347" s="52" t="s">
        <v>759</v>
      </c>
      <c r="B7347" s="52" t="s">
        <v>37</v>
      </c>
      <c r="C7347" s="52" t="s">
        <v>318</v>
      </c>
      <c r="D7347" s="52" t="s">
        <v>318</v>
      </c>
      <c r="E7347" s="52" t="s">
        <v>584</v>
      </c>
      <c r="F7347" s="52" t="s">
        <v>581</v>
      </c>
      <c r="G7347" s="195" t="s">
        <v>276</v>
      </c>
      <c r="H7347" s="195">
        <v>-2.4019409999999999</v>
      </c>
      <c r="I7347" s="195">
        <v>0</v>
      </c>
      <c r="J7347" s="195"/>
      <c r="K7347" s="195"/>
      <c r="L7347" s="195"/>
      <c r="M7347" s="195"/>
      <c r="N7347" s="195"/>
    </row>
    <row r="7348" spans="1:14" hidden="1" x14ac:dyDescent="0.35">
      <c r="A7348" s="52" t="s">
        <v>759</v>
      </c>
      <c r="B7348" s="52" t="s">
        <v>37</v>
      </c>
      <c r="C7348" s="52" t="s">
        <v>318</v>
      </c>
      <c r="D7348" s="52" t="s">
        <v>318</v>
      </c>
      <c r="E7348" s="52" t="s">
        <v>584</v>
      </c>
      <c r="F7348" s="52" t="s">
        <v>581</v>
      </c>
      <c r="G7348" s="195" t="s">
        <v>278</v>
      </c>
      <c r="H7348" s="195">
        <v>-84.267359999999996</v>
      </c>
      <c r="I7348" s="195">
        <v>0</v>
      </c>
      <c r="J7348" s="195"/>
      <c r="K7348" s="195"/>
      <c r="L7348" s="195"/>
      <c r="M7348" s="195"/>
      <c r="N7348" s="195"/>
    </row>
    <row r="7349" spans="1:14" hidden="1" x14ac:dyDescent="0.35">
      <c r="A7349" s="52" t="s">
        <v>759</v>
      </c>
      <c r="B7349" s="52" t="s">
        <v>37</v>
      </c>
      <c r="C7349" s="52" t="s">
        <v>318</v>
      </c>
      <c r="D7349" s="52" t="s">
        <v>318</v>
      </c>
      <c r="E7349" s="52" t="s">
        <v>584</v>
      </c>
      <c r="F7349" s="52" t="s">
        <v>26</v>
      </c>
      <c r="G7349" s="195" t="s">
        <v>275</v>
      </c>
      <c r="H7349" s="195">
        <v>57.779539999999997</v>
      </c>
      <c r="I7349" s="195">
        <v>0</v>
      </c>
      <c r="J7349" s="195"/>
      <c r="K7349" s="195"/>
      <c r="L7349" s="195"/>
      <c r="M7349" s="195"/>
      <c r="N7349" s="195"/>
    </row>
    <row r="7350" spans="1:14" hidden="1" x14ac:dyDescent="0.35">
      <c r="A7350" s="52" t="s">
        <v>759</v>
      </c>
      <c r="B7350" s="52" t="s">
        <v>37</v>
      </c>
      <c r="C7350" s="52" t="s">
        <v>318</v>
      </c>
      <c r="D7350" s="52" t="s">
        <v>318</v>
      </c>
      <c r="E7350" s="52" t="s">
        <v>584</v>
      </c>
      <c r="F7350" s="52" t="s">
        <v>26</v>
      </c>
      <c r="G7350" s="195" t="s">
        <v>276</v>
      </c>
      <c r="H7350" s="195">
        <v>-1.6012949999999999</v>
      </c>
      <c r="I7350" s="195">
        <v>0</v>
      </c>
      <c r="J7350" s="195"/>
      <c r="K7350" s="195"/>
      <c r="L7350" s="195"/>
      <c r="M7350" s="195"/>
      <c r="N7350" s="195"/>
    </row>
    <row r="7351" spans="1:14" hidden="1" x14ac:dyDescent="0.35">
      <c r="A7351" s="52" t="s">
        <v>759</v>
      </c>
      <c r="B7351" s="52" t="s">
        <v>37</v>
      </c>
      <c r="C7351" s="52" t="s">
        <v>318</v>
      </c>
      <c r="D7351" s="52" t="s">
        <v>318</v>
      </c>
      <c r="E7351" s="52" t="s">
        <v>584</v>
      </c>
      <c r="F7351" s="52" t="s">
        <v>26</v>
      </c>
      <c r="G7351" s="195" t="s">
        <v>278</v>
      </c>
      <c r="H7351" s="195">
        <v>-56.178240000000002</v>
      </c>
      <c r="I7351" s="195">
        <v>0</v>
      </c>
      <c r="J7351" s="195"/>
      <c r="K7351" s="195"/>
      <c r="L7351" s="195"/>
      <c r="M7351" s="195"/>
      <c r="N7351" s="195"/>
    </row>
    <row r="7352" spans="1:14" hidden="1" x14ac:dyDescent="0.35">
      <c r="A7352" s="52" t="s">
        <v>759</v>
      </c>
      <c r="B7352" s="52" t="s">
        <v>150</v>
      </c>
      <c r="C7352" s="52" t="s">
        <v>148</v>
      </c>
      <c r="D7352" s="52" t="s">
        <v>149</v>
      </c>
      <c r="E7352" s="52" t="s">
        <v>584</v>
      </c>
      <c r="F7352" s="52" t="s">
        <v>581</v>
      </c>
      <c r="G7352" s="195" t="s">
        <v>275</v>
      </c>
      <c r="H7352" s="195">
        <v>-134.7792</v>
      </c>
      <c r="I7352" s="195">
        <v>-18.927969999999998</v>
      </c>
      <c r="J7352" s="195">
        <v>-10.62063</v>
      </c>
      <c r="K7352" s="195">
        <v>-42.06626</v>
      </c>
      <c r="L7352" s="195">
        <v>-184.01310000000001</v>
      </c>
      <c r="M7352" s="195">
        <v>-212.53880000000001</v>
      </c>
      <c r="N7352" s="195">
        <v>-97.409090000000006</v>
      </c>
    </row>
    <row r="7353" spans="1:14" hidden="1" x14ac:dyDescent="0.35">
      <c r="A7353" s="52" t="s">
        <v>759</v>
      </c>
      <c r="B7353" s="52" t="s">
        <v>150</v>
      </c>
      <c r="C7353" s="52" t="s">
        <v>148</v>
      </c>
      <c r="D7353" s="52" t="s">
        <v>149</v>
      </c>
      <c r="E7353" s="52" t="s">
        <v>584</v>
      </c>
      <c r="F7353" s="52" t="s">
        <v>581</v>
      </c>
      <c r="G7353" s="195" t="s">
        <v>276</v>
      </c>
      <c r="H7353" s="195"/>
      <c r="I7353" s="195"/>
      <c r="J7353" s="195">
        <v>-0.1178381</v>
      </c>
      <c r="K7353" s="195">
        <v>-8.5473199999999999E-2</v>
      </c>
      <c r="L7353" s="195">
        <v>-7.0537780000000003</v>
      </c>
      <c r="M7353" s="195">
        <v>-0.1029732</v>
      </c>
      <c r="N7353" s="195">
        <v>3.1106029999999998</v>
      </c>
    </row>
    <row r="7354" spans="1:14" hidden="1" x14ac:dyDescent="0.35">
      <c r="A7354" s="52" t="s">
        <v>759</v>
      </c>
      <c r="B7354" s="52" t="s">
        <v>150</v>
      </c>
      <c r="C7354" s="52" t="s">
        <v>148</v>
      </c>
      <c r="D7354" s="52" t="s">
        <v>149</v>
      </c>
      <c r="E7354" s="52" t="s">
        <v>584</v>
      </c>
      <c r="F7354" s="52" t="s">
        <v>581</v>
      </c>
      <c r="G7354" s="195" t="s">
        <v>277</v>
      </c>
      <c r="H7354" s="195">
        <v>14.308</v>
      </c>
      <c r="I7354" s="195">
        <v>0.125</v>
      </c>
      <c r="J7354" s="195">
        <v>10.5</v>
      </c>
      <c r="K7354" s="195">
        <v>41.978760000000001</v>
      </c>
      <c r="L7354" s="195">
        <v>184.01310000000001</v>
      </c>
      <c r="M7354" s="195">
        <v>212.55629999999999</v>
      </c>
      <c r="N7354" s="195">
        <v>127.4971</v>
      </c>
    </row>
    <row r="7355" spans="1:14" hidden="1" x14ac:dyDescent="0.35">
      <c r="A7355" s="52" t="s">
        <v>759</v>
      </c>
      <c r="B7355" s="52" t="s">
        <v>150</v>
      </c>
      <c r="C7355" s="52" t="s">
        <v>148</v>
      </c>
      <c r="D7355" s="52" t="s">
        <v>149</v>
      </c>
      <c r="E7355" s="52" t="s">
        <v>584</v>
      </c>
      <c r="F7355" s="52" t="s">
        <v>581</v>
      </c>
      <c r="G7355" s="195" t="s">
        <v>278</v>
      </c>
      <c r="H7355" s="195">
        <v>120.4712</v>
      </c>
      <c r="I7355" s="195">
        <v>18.802969999999998</v>
      </c>
      <c r="J7355" s="195">
        <v>0.2384705</v>
      </c>
      <c r="K7355" s="195">
        <v>0.17297319999999999</v>
      </c>
      <c r="L7355" s="195">
        <v>7.0537770000000002</v>
      </c>
      <c r="M7355" s="195">
        <v>8.5473199999999999E-2</v>
      </c>
      <c r="N7355" s="195">
        <v>8.5473199999999999E-2</v>
      </c>
    </row>
    <row r="7356" spans="1:14" hidden="1" x14ac:dyDescent="0.35">
      <c r="A7356" s="52" t="s">
        <v>759</v>
      </c>
      <c r="B7356" s="52" t="s">
        <v>150</v>
      </c>
      <c r="C7356" s="52" t="s">
        <v>148</v>
      </c>
      <c r="D7356" s="52" t="s">
        <v>149</v>
      </c>
      <c r="E7356" s="52" t="s">
        <v>584</v>
      </c>
      <c r="F7356" s="52" t="s">
        <v>581</v>
      </c>
      <c r="G7356" s="195" t="s">
        <v>279</v>
      </c>
      <c r="H7356" s="195"/>
      <c r="I7356" s="195"/>
      <c r="J7356" s="195"/>
      <c r="K7356" s="195"/>
      <c r="L7356" s="195"/>
      <c r="M7356" s="195">
        <v>0</v>
      </c>
      <c r="N7356" s="195">
        <v>54.901209999999999</v>
      </c>
    </row>
    <row r="7357" spans="1:14" hidden="1" x14ac:dyDescent="0.35">
      <c r="A7357" s="52" t="s">
        <v>759</v>
      </c>
      <c r="B7357" s="52" t="s">
        <v>150</v>
      </c>
      <c r="C7357" s="52" t="s">
        <v>148</v>
      </c>
      <c r="D7357" s="52" t="s">
        <v>149</v>
      </c>
      <c r="E7357" s="52" t="s">
        <v>584</v>
      </c>
      <c r="F7357" s="52" t="s">
        <v>26</v>
      </c>
      <c r="G7357" s="195" t="s">
        <v>275</v>
      </c>
      <c r="H7357" s="195"/>
      <c r="I7357" s="195"/>
      <c r="J7357" s="195">
        <v>0</v>
      </c>
      <c r="K7357" s="195">
        <v>-0.64274419999999999</v>
      </c>
      <c r="L7357" s="195">
        <v>-2.8174570000000001</v>
      </c>
      <c r="M7357" s="195">
        <v>-2.4221409999999999</v>
      </c>
      <c r="N7357" s="195">
        <v>-1.2923469999999999</v>
      </c>
    </row>
    <row r="7358" spans="1:14" hidden="1" x14ac:dyDescent="0.35">
      <c r="A7358" s="52" t="s">
        <v>759</v>
      </c>
      <c r="B7358" s="52" t="s">
        <v>150</v>
      </c>
      <c r="C7358" s="52" t="s">
        <v>148</v>
      </c>
      <c r="D7358" s="52" t="s">
        <v>149</v>
      </c>
      <c r="E7358" s="52" t="s">
        <v>584</v>
      </c>
      <c r="F7358" s="52" t="s">
        <v>26</v>
      </c>
      <c r="G7358" s="195" t="s">
        <v>276</v>
      </c>
      <c r="H7358" s="195"/>
      <c r="I7358" s="195"/>
      <c r="J7358" s="195"/>
      <c r="K7358" s="195"/>
      <c r="L7358" s="195"/>
      <c r="M7358" s="195">
        <v>0</v>
      </c>
      <c r="N7358" s="195">
        <v>0.68257469999999998</v>
      </c>
    </row>
    <row r="7359" spans="1:14" hidden="1" x14ac:dyDescent="0.35">
      <c r="A7359" s="52" t="s">
        <v>759</v>
      </c>
      <c r="B7359" s="52" t="s">
        <v>150</v>
      </c>
      <c r="C7359" s="52" t="s">
        <v>148</v>
      </c>
      <c r="D7359" s="52" t="s">
        <v>149</v>
      </c>
      <c r="E7359" s="52" t="s">
        <v>584</v>
      </c>
      <c r="F7359" s="52" t="s">
        <v>26</v>
      </c>
      <c r="G7359" s="195" t="s">
        <v>277</v>
      </c>
      <c r="H7359" s="195"/>
      <c r="I7359" s="195"/>
      <c r="J7359" s="195">
        <v>0</v>
      </c>
      <c r="K7359" s="195">
        <v>0.64274419999999999</v>
      </c>
      <c r="L7359" s="195">
        <v>2.8174570000000001</v>
      </c>
      <c r="M7359" s="195">
        <v>2.4221409999999999</v>
      </c>
      <c r="N7359" s="195">
        <v>1.03806</v>
      </c>
    </row>
    <row r="7360" spans="1:14" hidden="1" x14ac:dyDescent="0.35">
      <c r="A7360" s="52" t="s">
        <v>759</v>
      </c>
      <c r="B7360" s="52" t="s">
        <v>150</v>
      </c>
      <c r="C7360" s="52" t="s">
        <v>148</v>
      </c>
      <c r="D7360" s="52" t="s">
        <v>149</v>
      </c>
      <c r="E7360" s="52" t="s">
        <v>584</v>
      </c>
      <c r="F7360" s="52" t="s">
        <v>26</v>
      </c>
      <c r="G7360" s="195" t="s">
        <v>279</v>
      </c>
      <c r="H7360" s="195"/>
      <c r="I7360" s="195"/>
      <c r="J7360" s="195"/>
      <c r="K7360" s="195"/>
      <c r="L7360" s="195"/>
      <c r="M7360" s="195">
        <v>0</v>
      </c>
      <c r="N7360" s="195">
        <v>1.846962</v>
      </c>
    </row>
    <row r="7361" spans="1:14" hidden="1" x14ac:dyDescent="0.35">
      <c r="A7361" s="52" t="s">
        <v>759</v>
      </c>
      <c r="B7361" s="52" t="s">
        <v>150</v>
      </c>
      <c r="C7361" s="52" t="s">
        <v>318</v>
      </c>
      <c r="D7361" s="52" t="s">
        <v>318</v>
      </c>
      <c r="E7361" s="52" t="s">
        <v>584</v>
      </c>
      <c r="F7361" s="52" t="s">
        <v>581</v>
      </c>
      <c r="G7361" s="195" t="s">
        <v>275</v>
      </c>
      <c r="H7361" s="195">
        <v>33.026789999999998</v>
      </c>
      <c r="I7361" s="195">
        <v>0</v>
      </c>
      <c r="J7361" s="195"/>
      <c r="K7361" s="195"/>
      <c r="L7361" s="195"/>
      <c r="M7361" s="195"/>
      <c r="N7361" s="195"/>
    </row>
    <row r="7362" spans="1:14" hidden="1" x14ac:dyDescent="0.35">
      <c r="A7362" s="52" t="s">
        <v>759</v>
      </c>
      <c r="B7362" s="52" t="s">
        <v>150</v>
      </c>
      <c r="C7362" s="52" t="s">
        <v>318</v>
      </c>
      <c r="D7362" s="52" t="s">
        <v>318</v>
      </c>
      <c r="E7362" s="52" t="s">
        <v>584</v>
      </c>
      <c r="F7362" s="52" t="s">
        <v>581</v>
      </c>
      <c r="G7362" s="195" t="s">
        <v>278</v>
      </c>
      <c r="H7362" s="195">
        <v>-33.026789999999998</v>
      </c>
      <c r="I7362" s="195">
        <v>0</v>
      </c>
      <c r="J7362" s="195"/>
      <c r="K7362" s="195"/>
      <c r="L7362" s="195"/>
      <c r="M7362" s="195"/>
      <c r="N7362" s="195"/>
    </row>
    <row r="7363" spans="1:14" hidden="1" x14ac:dyDescent="0.35">
      <c r="A7363" s="52" t="s">
        <v>759</v>
      </c>
      <c r="B7363" s="52" t="s">
        <v>150</v>
      </c>
      <c r="C7363" s="52" t="s">
        <v>318</v>
      </c>
      <c r="D7363" s="52" t="s">
        <v>318</v>
      </c>
      <c r="E7363" s="52" t="s">
        <v>584</v>
      </c>
      <c r="F7363" s="52" t="s">
        <v>26</v>
      </c>
      <c r="G7363" s="195" t="s">
        <v>275</v>
      </c>
      <c r="H7363" s="195">
        <v>22.017859999999999</v>
      </c>
      <c r="I7363" s="195">
        <v>0</v>
      </c>
      <c r="J7363" s="195"/>
      <c r="K7363" s="195"/>
      <c r="L7363" s="195"/>
      <c r="M7363" s="195"/>
      <c r="N7363" s="195"/>
    </row>
    <row r="7364" spans="1:14" hidden="1" x14ac:dyDescent="0.35">
      <c r="A7364" s="52" t="s">
        <v>759</v>
      </c>
      <c r="B7364" s="52" t="s">
        <v>150</v>
      </c>
      <c r="C7364" s="52" t="s">
        <v>318</v>
      </c>
      <c r="D7364" s="52" t="s">
        <v>318</v>
      </c>
      <c r="E7364" s="52" t="s">
        <v>584</v>
      </c>
      <c r="F7364" s="52" t="s">
        <v>26</v>
      </c>
      <c r="G7364" s="195" t="s">
        <v>278</v>
      </c>
      <c r="H7364" s="195">
        <v>-22.017859999999999</v>
      </c>
      <c r="I7364" s="195">
        <v>0</v>
      </c>
      <c r="J7364" s="195"/>
      <c r="K7364" s="195"/>
      <c r="L7364" s="195"/>
      <c r="M7364" s="195"/>
      <c r="N7364" s="195"/>
    </row>
    <row r="7365" spans="1:14" hidden="1" x14ac:dyDescent="0.35">
      <c r="A7365" s="52" t="s">
        <v>743</v>
      </c>
      <c r="B7365" s="52" t="s">
        <v>37</v>
      </c>
      <c r="C7365" s="52" t="s">
        <v>35</v>
      </c>
      <c r="D7365" s="52" t="s">
        <v>129</v>
      </c>
      <c r="E7365" s="52" t="s">
        <v>580</v>
      </c>
      <c r="F7365" s="52" t="s">
        <v>581</v>
      </c>
      <c r="G7365" s="195" t="s">
        <v>275</v>
      </c>
      <c r="H7365" s="195">
        <v>-206.10599999999999</v>
      </c>
      <c r="I7365" s="195">
        <v>-86.205380000000005</v>
      </c>
      <c r="J7365" s="195">
        <v>112.9969</v>
      </c>
      <c r="K7365" s="195">
        <v>121.1666</v>
      </c>
      <c r="L7365" s="195">
        <v>94.090440000000001</v>
      </c>
      <c r="M7365" s="195">
        <v>49.275550000000003</v>
      </c>
      <c r="N7365" s="195">
        <v>27.018429999999999</v>
      </c>
    </row>
    <row r="7366" spans="1:14" hidden="1" x14ac:dyDescent="0.35">
      <c r="A7366" s="52" t="s">
        <v>743</v>
      </c>
      <c r="B7366" s="52" t="s">
        <v>37</v>
      </c>
      <c r="C7366" s="52" t="s">
        <v>35</v>
      </c>
      <c r="D7366" s="52" t="s">
        <v>129</v>
      </c>
      <c r="E7366" s="52" t="s">
        <v>580</v>
      </c>
      <c r="F7366" s="52" t="s">
        <v>581</v>
      </c>
      <c r="G7366" s="195" t="s">
        <v>276</v>
      </c>
      <c r="H7366" s="195">
        <v>34.659820000000003</v>
      </c>
      <c r="I7366" s="195">
        <v>-47.056269999999998</v>
      </c>
      <c r="J7366" s="195">
        <v>-76.441550000000007</v>
      </c>
      <c r="K7366" s="195">
        <v>-75.360939999999999</v>
      </c>
      <c r="L7366" s="195">
        <v>-58.866439999999997</v>
      </c>
      <c r="M7366" s="195">
        <v>-14.94753</v>
      </c>
      <c r="N7366" s="195">
        <v>2.2137120000000001</v>
      </c>
    </row>
    <row r="7367" spans="1:14" hidden="1" x14ac:dyDescent="0.35">
      <c r="A7367" s="52" t="s">
        <v>743</v>
      </c>
      <c r="B7367" s="52" t="s">
        <v>37</v>
      </c>
      <c r="C7367" s="52" t="s">
        <v>35</v>
      </c>
      <c r="D7367" s="52" t="s">
        <v>129</v>
      </c>
      <c r="E7367" s="52" t="s">
        <v>580</v>
      </c>
      <c r="F7367" s="52" t="s">
        <v>581</v>
      </c>
      <c r="G7367" s="195" t="s">
        <v>277</v>
      </c>
      <c r="H7367" s="195">
        <v>581.18370000000004</v>
      </c>
      <c r="I7367" s="195">
        <v>204.00919999999999</v>
      </c>
      <c r="J7367" s="195">
        <v>12.39235</v>
      </c>
      <c r="K7367" s="195">
        <v>2.28721</v>
      </c>
      <c r="L7367" s="195">
        <v>0.72883900000000001</v>
      </c>
      <c r="M7367" s="195">
        <v>0</v>
      </c>
      <c r="N7367" s="195">
        <v>0</v>
      </c>
    </row>
    <row r="7368" spans="1:14" hidden="1" x14ac:dyDescent="0.35">
      <c r="A7368" s="52" t="s">
        <v>743</v>
      </c>
      <c r="B7368" s="52" t="s">
        <v>37</v>
      </c>
      <c r="C7368" s="52" t="s">
        <v>35</v>
      </c>
      <c r="D7368" s="52" t="s">
        <v>129</v>
      </c>
      <c r="E7368" s="52" t="s">
        <v>580</v>
      </c>
      <c r="F7368" s="52" t="s">
        <v>581</v>
      </c>
      <c r="G7368" s="195" t="s">
        <v>278</v>
      </c>
      <c r="H7368" s="195">
        <v>122.1639</v>
      </c>
      <c r="I7368" s="195">
        <v>35.990780000000001</v>
      </c>
      <c r="J7368" s="195">
        <v>27.06213</v>
      </c>
      <c r="K7368" s="195">
        <v>14.757989999999999</v>
      </c>
      <c r="L7368" s="195">
        <v>5.4014290000000003</v>
      </c>
      <c r="M7368" s="195">
        <v>0</v>
      </c>
      <c r="N7368" s="195">
        <v>0</v>
      </c>
    </row>
    <row r="7369" spans="1:14" hidden="1" x14ac:dyDescent="0.35">
      <c r="A7369" s="52" t="s">
        <v>743</v>
      </c>
      <c r="B7369" s="52" t="s">
        <v>37</v>
      </c>
      <c r="C7369" s="52" t="s">
        <v>35</v>
      </c>
      <c r="D7369" s="52" t="s">
        <v>129</v>
      </c>
      <c r="E7369" s="52" t="s">
        <v>580</v>
      </c>
      <c r="F7369" s="52" t="s">
        <v>581</v>
      </c>
      <c r="G7369" s="195" t="s">
        <v>279</v>
      </c>
      <c r="H7369" s="195">
        <v>223.1962</v>
      </c>
      <c r="I7369" s="195">
        <v>148.31610000000001</v>
      </c>
      <c r="J7369" s="195">
        <v>129.19329999999999</v>
      </c>
      <c r="K7369" s="195">
        <v>113.2225</v>
      </c>
      <c r="L7369" s="195">
        <v>100.17910000000001</v>
      </c>
      <c r="M7369" s="195">
        <v>80.829740000000001</v>
      </c>
      <c r="N7369" s="195">
        <v>68.860979999999998</v>
      </c>
    </row>
    <row r="7370" spans="1:14" hidden="1" x14ac:dyDescent="0.35">
      <c r="A7370" s="52" t="s">
        <v>743</v>
      </c>
      <c r="B7370" s="52" t="s">
        <v>37</v>
      </c>
      <c r="C7370" s="52" t="s">
        <v>35</v>
      </c>
      <c r="D7370" s="52" t="s">
        <v>129</v>
      </c>
      <c r="E7370" s="52" t="s">
        <v>580</v>
      </c>
      <c r="F7370" s="52" t="s">
        <v>26</v>
      </c>
      <c r="G7370" s="195" t="s">
        <v>275</v>
      </c>
      <c r="H7370" s="195">
        <v>-20.506820000000001</v>
      </c>
      <c r="I7370" s="195">
        <v>-16.836310000000001</v>
      </c>
      <c r="J7370" s="195">
        <v>-14.150180000000001</v>
      </c>
      <c r="K7370" s="195">
        <v>-12.93777</v>
      </c>
      <c r="L7370" s="195">
        <v>-12.72109</v>
      </c>
      <c r="M7370" s="195">
        <v>-10.19725</v>
      </c>
      <c r="N7370" s="195">
        <v>-8.681476</v>
      </c>
    </row>
    <row r="7371" spans="1:14" hidden="1" x14ac:dyDescent="0.35">
      <c r="A7371" s="52" t="s">
        <v>743</v>
      </c>
      <c r="B7371" s="52" t="s">
        <v>37</v>
      </c>
      <c r="C7371" s="52" t="s">
        <v>35</v>
      </c>
      <c r="D7371" s="52" t="s">
        <v>129</v>
      </c>
      <c r="E7371" s="52" t="s">
        <v>580</v>
      </c>
      <c r="F7371" s="52" t="s">
        <v>26</v>
      </c>
      <c r="G7371" s="195" t="s">
        <v>276</v>
      </c>
      <c r="H7371" s="195">
        <v>-5.4511950000000002</v>
      </c>
      <c r="I7371" s="195">
        <v>-4.4754740000000002</v>
      </c>
      <c r="J7371" s="195">
        <v>-3.7614489999999998</v>
      </c>
      <c r="K7371" s="195">
        <v>-3.4391530000000001</v>
      </c>
      <c r="L7371" s="195">
        <v>-3.3815590000000002</v>
      </c>
      <c r="M7371" s="195">
        <v>-2.710658</v>
      </c>
      <c r="N7371" s="195">
        <v>-2.3077329999999998</v>
      </c>
    </row>
    <row r="7372" spans="1:14" hidden="1" x14ac:dyDescent="0.35">
      <c r="A7372" s="52" t="s">
        <v>743</v>
      </c>
      <c r="B7372" s="52" t="s">
        <v>37</v>
      </c>
      <c r="C7372" s="52" t="s">
        <v>35</v>
      </c>
      <c r="D7372" s="52" t="s">
        <v>129</v>
      </c>
      <c r="E7372" s="52" t="s">
        <v>580</v>
      </c>
      <c r="F7372" s="52" t="s">
        <v>26</v>
      </c>
      <c r="G7372" s="195" t="s">
        <v>279</v>
      </c>
      <c r="H7372" s="195">
        <v>61.699440000000003</v>
      </c>
      <c r="I7372" s="195">
        <v>43.631659999999997</v>
      </c>
      <c r="J7372" s="195">
        <v>38.750309999999999</v>
      </c>
      <c r="K7372" s="195">
        <v>34.1526</v>
      </c>
      <c r="L7372" s="195">
        <v>30.323589999999999</v>
      </c>
      <c r="M7372" s="195">
        <v>24.472989999999999</v>
      </c>
      <c r="N7372" s="195">
        <v>20.850909999999999</v>
      </c>
    </row>
    <row r="7373" spans="1:14" hidden="1" x14ac:dyDescent="0.35">
      <c r="A7373" s="52" t="s">
        <v>743</v>
      </c>
      <c r="B7373" s="52" t="s">
        <v>37</v>
      </c>
      <c r="C7373" s="52" t="s">
        <v>35</v>
      </c>
      <c r="D7373" s="52" t="s">
        <v>39</v>
      </c>
      <c r="E7373" s="52" t="s">
        <v>582</v>
      </c>
      <c r="F7373" s="52" t="s">
        <v>581</v>
      </c>
      <c r="G7373" s="195" t="s">
        <v>275</v>
      </c>
      <c r="H7373" s="195">
        <v>-79.215090000000004</v>
      </c>
      <c r="I7373" s="195">
        <v>8.4580830000000002</v>
      </c>
      <c r="J7373" s="195">
        <v>16.488440000000001</v>
      </c>
      <c r="K7373" s="195">
        <v>22.6647</v>
      </c>
      <c r="L7373" s="195">
        <v>18.026499999999999</v>
      </c>
      <c r="M7373" s="195">
        <v>5.720377</v>
      </c>
      <c r="N7373" s="195">
        <v>3.699646</v>
      </c>
    </row>
    <row r="7374" spans="1:14" hidden="1" x14ac:dyDescent="0.35">
      <c r="A7374" s="52" t="s">
        <v>743</v>
      </c>
      <c r="B7374" s="52" t="s">
        <v>37</v>
      </c>
      <c r="C7374" s="52" t="s">
        <v>35</v>
      </c>
      <c r="D7374" s="52" t="s">
        <v>39</v>
      </c>
      <c r="E7374" s="52" t="s">
        <v>582</v>
      </c>
      <c r="F7374" s="52" t="s">
        <v>581</v>
      </c>
      <c r="G7374" s="195" t="s">
        <v>276</v>
      </c>
      <c r="H7374" s="195">
        <v>4.7757350000000001</v>
      </c>
      <c r="I7374" s="195">
        <v>-10.794499999999999</v>
      </c>
      <c r="J7374" s="195">
        <v>-12.42212</v>
      </c>
      <c r="K7374" s="195">
        <v>-19.447310000000002</v>
      </c>
      <c r="L7374" s="195">
        <v>-15.674670000000001</v>
      </c>
      <c r="M7374" s="195">
        <v>-1.2878609999999999</v>
      </c>
      <c r="N7374" s="195">
        <v>-5.5049920000000002E-3</v>
      </c>
    </row>
    <row r="7375" spans="1:14" hidden="1" x14ac:dyDescent="0.35">
      <c r="A7375" s="52" t="s">
        <v>743</v>
      </c>
      <c r="B7375" s="52" t="s">
        <v>37</v>
      </c>
      <c r="C7375" s="52" t="s">
        <v>35</v>
      </c>
      <c r="D7375" s="52" t="s">
        <v>39</v>
      </c>
      <c r="E7375" s="52" t="s">
        <v>582</v>
      </c>
      <c r="F7375" s="52" t="s">
        <v>581</v>
      </c>
      <c r="G7375" s="195" t="s">
        <v>277</v>
      </c>
      <c r="H7375" s="195">
        <v>155.0164</v>
      </c>
      <c r="I7375" s="195">
        <v>11.21156</v>
      </c>
      <c r="J7375" s="195">
        <v>2.5449609999999998</v>
      </c>
      <c r="K7375" s="195">
        <v>0.74043040000000004</v>
      </c>
      <c r="L7375" s="195">
        <v>0.38164219999999999</v>
      </c>
      <c r="M7375" s="195">
        <v>0</v>
      </c>
      <c r="N7375" s="195">
        <v>0</v>
      </c>
    </row>
    <row r="7376" spans="1:14" hidden="1" x14ac:dyDescent="0.35">
      <c r="A7376" s="52" t="s">
        <v>743</v>
      </c>
      <c r="B7376" s="52" t="s">
        <v>37</v>
      </c>
      <c r="C7376" s="52" t="s">
        <v>35</v>
      </c>
      <c r="D7376" s="52" t="s">
        <v>39</v>
      </c>
      <c r="E7376" s="52" t="s">
        <v>582</v>
      </c>
      <c r="F7376" s="52" t="s">
        <v>581</v>
      </c>
      <c r="G7376" s="195" t="s">
        <v>278</v>
      </c>
      <c r="H7376" s="195">
        <v>28.936039999999998</v>
      </c>
      <c r="I7376" s="195">
        <v>10.09721</v>
      </c>
      <c r="J7376" s="195">
        <v>4.3235080000000004</v>
      </c>
      <c r="K7376" s="195">
        <v>4.577026</v>
      </c>
      <c r="L7376" s="195">
        <v>2.4505690000000002</v>
      </c>
      <c r="M7376" s="195">
        <v>0</v>
      </c>
      <c r="N7376" s="195">
        <v>0</v>
      </c>
    </row>
    <row r="7377" spans="1:14" hidden="1" x14ac:dyDescent="0.35">
      <c r="A7377" s="52" t="s">
        <v>743</v>
      </c>
      <c r="B7377" s="52" t="s">
        <v>37</v>
      </c>
      <c r="C7377" s="52" t="s">
        <v>35</v>
      </c>
      <c r="D7377" s="52" t="s">
        <v>39</v>
      </c>
      <c r="E7377" s="52" t="s">
        <v>582</v>
      </c>
      <c r="F7377" s="52" t="s">
        <v>581</v>
      </c>
      <c r="G7377" s="195" t="s">
        <v>279</v>
      </c>
      <c r="H7377" s="195">
        <v>54.855649999999997</v>
      </c>
      <c r="I7377" s="195">
        <v>38.670769999999997</v>
      </c>
      <c r="J7377" s="195">
        <v>28.57403</v>
      </c>
      <c r="K7377" s="195">
        <v>23.826080000000001</v>
      </c>
      <c r="L7377" s="195">
        <v>21.867650000000001</v>
      </c>
      <c r="M7377" s="195">
        <v>17.86017</v>
      </c>
      <c r="N7377" s="195">
        <v>15.08942</v>
      </c>
    </row>
    <row r="7378" spans="1:14" hidden="1" x14ac:dyDescent="0.35">
      <c r="A7378" s="52" t="s">
        <v>743</v>
      </c>
      <c r="B7378" s="52" t="s">
        <v>37</v>
      </c>
      <c r="C7378" s="52" t="s">
        <v>35</v>
      </c>
      <c r="D7378" s="52" t="s">
        <v>39</v>
      </c>
      <c r="E7378" s="52" t="s">
        <v>582</v>
      </c>
      <c r="F7378" s="52" t="s">
        <v>26</v>
      </c>
      <c r="G7378" s="195" t="s">
        <v>275</v>
      </c>
      <c r="H7378" s="195">
        <v>-5.435772</v>
      </c>
      <c r="I7378" s="195">
        <v>-4.5987289999999996</v>
      </c>
      <c r="J7378" s="195">
        <v>-3.271001</v>
      </c>
      <c r="K7378" s="195">
        <v>-2.8333919999999999</v>
      </c>
      <c r="L7378" s="195">
        <v>-2.868439</v>
      </c>
      <c r="M7378" s="195">
        <v>-2.3281170000000002</v>
      </c>
      <c r="N7378" s="195">
        <v>-1.9678070000000001</v>
      </c>
    </row>
    <row r="7379" spans="1:14" hidden="1" x14ac:dyDescent="0.35">
      <c r="A7379" s="52" t="s">
        <v>743</v>
      </c>
      <c r="B7379" s="52" t="s">
        <v>37</v>
      </c>
      <c r="C7379" s="52" t="s">
        <v>35</v>
      </c>
      <c r="D7379" s="52" t="s">
        <v>39</v>
      </c>
      <c r="E7379" s="52" t="s">
        <v>582</v>
      </c>
      <c r="F7379" s="52" t="s">
        <v>26</v>
      </c>
      <c r="G7379" s="195" t="s">
        <v>276</v>
      </c>
      <c r="H7379" s="195">
        <v>-1.444958</v>
      </c>
      <c r="I7379" s="195">
        <v>-1.2224470000000001</v>
      </c>
      <c r="J7379" s="195">
        <v>-0.869506</v>
      </c>
      <c r="K7379" s="195">
        <v>-0.75318030000000002</v>
      </c>
      <c r="L7379" s="195">
        <v>-0.76249659999999997</v>
      </c>
      <c r="M7379" s="195">
        <v>-0.61886620000000003</v>
      </c>
      <c r="N7379" s="195">
        <v>-0.52308699999999997</v>
      </c>
    </row>
    <row r="7380" spans="1:14" hidden="1" x14ac:dyDescent="0.35">
      <c r="A7380" s="52" t="s">
        <v>743</v>
      </c>
      <c r="B7380" s="52" t="s">
        <v>37</v>
      </c>
      <c r="C7380" s="52" t="s">
        <v>35</v>
      </c>
      <c r="D7380" s="52" t="s">
        <v>39</v>
      </c>
      <c r="E7380" s="52" t="s">
        <v>582</v>
      </c>
      <c r="F7380" s="52" t="s">
        <v>26</v>
      </c>
      <c r="G7380" s="195" t="s">
        <v>279</v>
      </c>
      <c r="H7380" s="195">
        <v>15.760870000000001</v>
      </c>
      <c r="I7380" s="195">
        <v>11.58371</v>
      </c>
      <c r="J7380" s="195">
        <v>8.7019669999999998</v>
      </c>
      <c r="K7380" s="195">
        <v>7.2909560000000004</v>
      </c>
      <c r="L7380" s="195">
        <v>6.7022089999999999</v>
      </c>
      <c r="M7380" s="195">
        <v>5.475625</v>
      </c>
      <c r="N7380" s="195">
        <v>4.6277109999999997</v>
      </c>
    </row>
    <row r="7381" spans="1:14" hidden="1" x14ac:dyDescent="0.35">
      <c r="A7381" s="52" t="s">
        <v>763</v>
      </c>
      <c r="B7381" s="52" t="s">
        <v>201</v>
      </c>
      <c r="C7381" s="52" t="s">
        <v>220</v>
      </c>
      <c r="D7381" s="52" t="s">
        <v>220</v>
      </c>
      <c r="E7381" s="52" t="s">
        <v>584</v>
      </c>
      <c r="F7381" s="52" t="s">
        <v>581</v>
      </c>
      <c r="G7381" s="195" t="s">
        <v>275</v>
      </c>
      <c r="H7381" s="195">
        <v>84.523570000000007</v>
      </c>
      <c r="I7381" s="195">
        <v>0.73887349999999996</v>
      </c>
      <c r="J7381" s="195">
        <v>13.940250000000001</v>
      </c>
      <c r="K7381" s="195">
        <v>11.134370000000001</v>
      </c>
      <c r="L7381" s="195">
        <v>7.3156169999999996</v>
      </c>
      <c r="M7381" s="195">
        <v>4.4523089999999996</v>
      </c>
      <c r="N7381" s="195">
        <v>1.424356</v>
      </c>
    </row>
    <row r="7382" spans="1:14" hidden="1" x14ac:dyDescent="0.35">
      <c r="A7382" s="52" t="s">
        <v>763</v>
      </c>
      <c r="B7382" s="52" t="s">
        <v>201</v>
      </c>
      <c r="C7382" s="52" t="s">
        <v>220</v>
      </c>
      <c r="D7382" s="52" t="s">
        <v>220</v>
      </c>
      <c r="E7382" s="52" t="s">
        <v>584</v>
      </c>
      <c r="F7382" s="52" t="s">
        <v>581</v>
      </c>
      <c r="G7382" s="195" t="s">
        <v>276</v>
      </c>
      <c r="H7382" s="195">
        <v>1.005787</v>
      </c>
      <c r="I7382" s="195">
        <v>7.6003029999999999E-2</v>
      </c>
      <c r="J7382" s="195">
        <v>-1.577647</v>
      </c>
      <c r="K7382" s="195">
        <v>-1.5320309999999999</v>
      </c>
      <c r="L7382" s="195">
        <v>-1.517193</v>
      </c>
      <c r="M7382" s="195">
        <v>-14.651</v>
      </c>
      <c r="N7382" s="195">
        <v>-3.4928849999999998</v>
      </c>
    </row>
    <row r="7383" spans="1:14" hidden="1" x14ac:dyDescent="0.35">
      <c r="A7383" s="52" t="s">
        <v>763</v>
      </c>
      <c r="B7383" s="52" t="s">
        <v>201</v>
      </c>
      <c r="C7383" s="52" t="s">
        <v>220</v>
      </c>
      <c r="D7383" s="52" t="s">
        <v>220</v>
      </c>
      <c r="E7383" s="52" t="s">
        <v>584</v>
      </c>
      <c r="F7383" s="52" t="s">
        <v>581</v>
      </c>
      <c r="G7383" s="195" t="s">
        <v>277</v>
      </c>
      <c r="H7383" s="195">
        <v>119.60680000000001</v>
      </c>
      <c r="I7383" s="195">
        <v>61.931710000000002</v>
      </c>
      <c r="J7383" s="195">
        <v>31.82687</v>
      </c>
      <c r="K7383" s="195">
        <v>33.046469999999999</v>
      </c>
      <c r="L7383" s="195">
        <v>37.132210000000001</v>
      </c>
      <c r="M7383" s="195">
        <v>39.424379999999999</v>
      </c>
      <c r="N7383" s="195">
        <v>41.059849999999997</v>
      </c>
    </row>
    <row r="7384" spans="1:14" hidden="1" x14ac:dyDescent="0.35">
      <c r="A7384" s="52" t="s">
        <v>763</v>
      </c>
      <c r="B7384" s="52" t="s">
        <v>201</v>
      </c>
      <c r="C7384" s="52" t="s">
        <v>220</v>
      </c>
      <c r="D7384" s="52" t="s">
        <v>220</v>
      </c>
      <c r="E7384" s="52" t="s">
        <v>584</v>
      </c>
      <c r="F7384" s="52" t="s">
        <v>581</v>
      </c>
      <c r="G7384" s="195" t="s">
        <v>278</v>
      </c>
      <c r="H7384" s="195">
        <v>21.52196</v>
      </c>
      <c r="I7384" s="195">
        <v>1.6329089999999999</v>
      </c>
      <c r="J7384" s="195">
        <v>1.6329089999999999</v>
      </c>
      <c r="K7384" s="195">
        <v>1.5960319999999999</v>
      </c>
      <c r="L7384" s="195">
        <v>1.5960319999999999</v>
      </c>
      <c r="M7384" s="195">
        <v>14.73761</v>
      </c>
      <c r="N7384" s="195">
        <v>3.5748009999999999</v>
      </c>
    </row>
    <row r="7385" spans="1:14" hidden="1" x14ac:dyDescent="0.35">
      <c r="A7385" s="52" t="s">
        <v>763</v>
      </c>
      <c r="B7385" s="52" t="s">
        <v>201</v>
      </c>
      <c r="C7385" s="52" t="s">
        <v>220</v>
      </c>
      <c r="D7385" s="52" t="s">
        <v>220</v>
      </c>
      <c r="E7385" s="52" t="s">
        <v>584</v>
      </c>
      <c r="F7385" s="52" t="s">
        <v>581</v>
      </c>
      <c r="G7385" s="195" t="s">
        <v>279</v>
      </c>
      <c r="H7385" s="195">
        <v>113.2831</v>
      </c>
      <c r="I7385" s="195">
        <v>95.377300000000005</v>
      </c>
      <c r="J7385" s="195">
        <v>92.388999999999996</v>
      </c>
      <c r="K7385" s="195">
        <v>99.015299999999996</v>
      </c>
      <c r="L7385" s="195">
        <v>100.02419999999999</v>
      </c>
      <c r="M7385" s="195">
        <v>100.1229</v>
      </c>
      <c r="N7385" s="195">
        <v>97.449169999999995</v>
      </c>
    </row>
    <row r="7386" spans="1:14" hidden="1" x14ac:dyDescent="0.35">
      <c r="A7386" s="52" t="s">
        <v>763</v>
      </c>
      <c r="B7386" s="52" t="s">
        <v>201</v>
      </c>
      <c r="C7386" s="52" t="s">
        <v>220</v>
      </c>
      <c r="D7386" s="52" t="s">
        <v>220</v>
      </c>
      <c r="E7386" s="52" t="s">
        <v>606</v>
      </c>
      <c r="F7386" s="52" t="s">
        <v>581</v>
      </c>
      <c r="G7386" s="195" t="s">
        <v>275</v>
      </c>
      <c r="H7386" s="195"/>
      <c r="I7386" s="195"/>
      <c r="J7386" s="195"/>
      <c r="K7386" s="195"/>
      <c r="L7386" s="195"/>
      <c r="M7386" s="195"/>
      <c r="N7386" s="195">
        <v>0</v>
      </c>
    </row>
    <row r="7387" spans="1:14" hidden="1" x14ac:dyDescent="0.35">
      <c r="A7387" s="52" t="s">
        <v>763</v>
      </c>
      <c r="B7387" s="52" t="s">
        <v>201</v>
      </c>
      <c r="C7387" s="52" t="s">
        <v>220</v>
      </c>
      <c r="D7387" s="52" t="s">
        <v>220</v>
      </c>
      <c r="E7387" s="52" t="s">
        <v>606</v>
      </c>
      <c r="F7387" s="52" t="s">
        <v>581</v>
      </c>
      <c r="G7387" s="195" t="s">
        <v>276</v>
      </c>
      <c r="H7387" s="195"/>
      <c r="I7387" s="195"/>
      <c r="J7387" s="195"/>
      <c r="K7387" s="195"/>
      <c r="L7387" s="195"/>
      <c r="M7387" s="195"/>
      <c r="N7387" s="195">
        <v>0</v>
      </c>
    </row>
    <row r="7388" spans="1:14" hidden="1" x14ac:dyDescent="0.35">
      <c r="A7388" s="52" t="s">
        <v>763</v>
      </c>
      <c r="B7388" s="52" t="s">
        <v>201</v>
      </c>
      <c r="C7388" s="52" t="s">
        <v>220</v>
      </c>
      <c r="D7388" s="52" t="s">
        <v>220</v>
      </c>
      <c r="E7388" s="52" t="s">
        <v>606</v>
      </c>
      <c r="F7388" s="52" t="s">
        <v>581</v>
      </c>
      <c r="G7388" s="195" t="s">
        <v>279</v>
      </c>
      <c r="H7388" s="195"/>
      <c r="I7388" s="195"/>
      <c r="J7388" s="195"/>
      <c r="K7388" s="195"/>
      <c r="L7388" s="195"/>
      <c r="M7388" s="195"/>
      <c r="N7388" s="195">
        <v>0</v>
      </c>
    </row>
    <row r="7389" spans="1:14" hidden="1" x14ac:dyDescent="0.35">
      <c r="A7389" s="52" t="s">
        <v>763</v>
      </c>
      <c r="B7389" s="52" t="s">
        <v>201</v>
      </c>
      <c r="C7389" s="52" t="s">
        <v>220</v>
      </c>
      <c r="D7389" s="52" t="s">
        <v>220</v>
      </c>
      <c r="E7389" s="52" t="s">
        <v>606</v>
      </c>
      <c r="F7389" s="52" t="s">
        <v>26</v>
      </c>
      <c r="G7389" s="195" t="s">
        <v>275</v>
      </c>
      <c r="H7389" s="195"/>
      <c r="I7389" s="195"/>
      <c r="J7389" s="195"/>
      <c r="K7389" s="195">
        <v>0</v>
      </c>
      <c r="L7389" s="195">
        <v>0</v>
      </c>
      <c r="M7389" s="195">
        <v>0</v>
      </c>
      <c r="N7389" s="195">
        <v>0</v>
      </c>
    </row>
    <row r="7390" spans="1:14" hidden="1" x14ac:dyDescent="0.35">
      <c r="A7390" s="52" t="s">
        <v>763</v>
      </c>
      <c r="B7390" s="52" t="s">
        <v>201</v>
      </c>
      <c r="C7390" s="52" t="s">
        <v>220</v>
      </c>
      <c r="D7390" s="52" t="s">
        <v>220</v>
      </c>
      <c r="E7390" s="52" t="s">
        <v>606</v>
      </c>
      <c r="F7390" s="52" t="s">
        <v>26</v>
      </c>
      <c r="G7390" s="195" t="s">
        <v>276</v>
      </c>
      <c r="H7390" s="195"/>
      <c r="I7390" s="195"/>
      <c r="J7390" s="195"/>
      <c r="K7390" s="195">
        <v>0</v>
      </c>
      <c r="L7390" s="195">
        <v>-0.17444499999999999</v>
      </c>
      <c r="M7390" s="195">
        <v>-1.2680290000000001</v>
      </c>
      <c r="N7390" s="195">
        <v>-1.108978</v>
      </c>
    </row>
    <row r="7391" spans="1:14" hidden="1" x14ac:dyDescent="0.35">
      <c r="A7391" s="52" t="s">
        <v>763</v>
      </c>
      <c r="B7391" s="52" t="s">
        <v>201</v>
      </c>
      <c r="C7391" s="52" t="s">
        <v>220</v>
      </c>
      <c r="D7391" s="52" t="s">
        <v>220</v>
      </c>
      <c r="E7391" s="52" t="s">
        <v>606</v>
      </c>
      <c r="F7391" s="52" t="s">
        <v>26</v>
      </c>
      <c r="G7391" s="195" t="s">
        <v>277</v>
      </c>
      <c r="H7391" s="195"/>
      <c r="I7391" s="195"/>
      <c r="J7391" s="195"/>
      <c r="K7391" s="195">
        <v>0</v>
      </c>
      <c r="L7391" s="195">
        <v>0.17444499999999999</v>
      </c>
      <c r="M7391" s="195">
        <v>0.42773099999999997</v>
      </c>
      <c r="N7391" s="195">
        <v>0.43722699999999998</v>
      </c>
    </row>
    <row r="7392" spans="1:14" hidden="1" x14ac:dyDescent="0.35">
      <c r="A7392" s="52" t="s">
        <v>763</v>
      </c>
      <c r="B7392" s="52" t="s">
        <v>201</v>
      </c>
      <c r="C7392" s="52" t="s">
        <v>220</v>
      </c>
      <c r="D7392" s="52" t="s">
        <v>220</v>
      </c>
      <c r="E7392" s="52" t="s">
        <v>606</v>
      </c>
      <c r="F7392" s="52" t="s">
        <v>26</v>
      </c>
      <c r="G7392" s="195" t="s">
        <v>278</v>
      </c>
      <c r="H7392" s="195"/>
      <c r="I7392" s="195"/>
      <c r="J7392" s="195"/>
      <c r="K7392" s="195"/>
      <c r="L7392" s="195">
        <v>0</v>
      </c>
      <c r="M7392" s="195">
        <v>0.84029759999999998</v>
      </c>
      <c r="N7392" s="195">
        <v>0.6717516</v>
      </c>
    </row>
    <row r="7393" spans="1:14" hidden="1" x14ac:dyDescent="0.35">
      <c r="A7393" s="52" t="s">
        <v>763</v>
      </c>
      <c r="B7393" s="52" t="s">
        <v>201</v>
      </c>
      <c r="C7393" s="52" t="s">
        <v>220</v>
      </c>
      <c r="D7393" s="52" t="s">
        <v>220</v>
      </c>
      <c r="E7393" s="52" t="s">
        <v>606</v>
      </c>
      <c r="F7393" s="52" t="s">
        <v>26</v>
      </c>
      <c r="G7393" s="195" t="s">
        <v>279</v>
      </c>
      <c r="H7393" s="195"/>
      <c r="I7393" s="195"/>
      <c r="J7393" s="195"/>
      <c r="K7393" s="195"/>
      <c r="L7393" s="195"/>
      <c r="M7393" s="195"/>
      <c r="N7393" s="195">
        <v>0</v>
      </c>
    </row>
    <row r="7394" spans="1:14" hidden="1" x14ac:dyDescent="0.35">
      <c r="A7394" s="52" t="s">
        <v>763</v>
      </c>
      <c r="B7394" s="52" t="s">
        <v>201</v>
      </c>
      <c r="C7394" s="52" t="s">
        <v>216</v>
      </c>
      <c r="D7394" s="52" t="s">
        <v>216</v>
      </c>
      <c r="E7394" s="52" t="s">
        <v>584</v>
      </c>
      <c r="F7394" s="52" t="s">
        <v>581</v>
      </c>
      <c r="G7394" s="195" t="s">
        <v>275</v>
      </c>
      <c r="H7394" s="195">
        <v>23.716699999999999</v>
      </c>
      <c r="I7394" s="195">
        <v>-9.8980409999999992</v>
      </c>
      <c r="J7394" s="195">
        <v>7.6733799999999999</v>
      </c>
      <c r="K7394" s="195">
        <v>4.520086</v>
      </c>
      <c r="L7394" s="195">
        <v>5.7740549999999997</v>
      </c>
      <c r="M7394" s="195">
        <v>8.3993839999999995</v>
      </c>
      <c r="N7394" s="195">
        <v>-100.0852</v>
      </c>
    </row>
    <row r="7395" spans="1:14" hidden="1" x14ac:dyDescent="0.35">
      <c r="A7395" s="52" t="s">
        <v>763</v>
      </c>
      <c r="B7395" s="52" t="s">
        <v>201</v>
      </c>
      <c r="C7395" s="52" t="s">
        <v>216</v>
      </c>
      <c r="D7395" s="52" t="s">
        <v>216</v>
      </c>
      <c r="E7395" s="52" t="s">
        <v>584</v>
      </c>
      <c r="F7395" s="52" t="s">
        <v>581</v>
      </c>
      <c r="G7395" s="195" t="s">
        <v>276</v>
      </c>
      <c r="H7395" s="195">
        <v>28.59384</v>
      </c>
      <c r="I7395" s="195">
        <v>0.82548109999999997</v>
      </c>
      <c r="J7395" s="195">
        <v>-7.7854950000000001</v>
      </c>
      <c r="K7395" s="195">
        <v>-17.85239</v>
      </c>
      <c r="L7395" s="195">
        <v>-24.732250000000001</v>
      </c>
      <c r="M7395" s="195">
        <v>-15.509650000000001</v>
      </c>
      <c r="N7395" s="195">
        <v>-53.457810000000002</v>
      </c>
    </row>
    <row r="7396" spans="1:14" hidden="1" x14ac:dyDescent="0.35">
      <c r="A7396" s="52" t="s">
        <v>763</v>
      </c>
      <c r="B7396" s="52" t="s">
        <v>201</v>
      </c>
      <c r="C7396" s="52" t="s">
        <v>216</v>
      </c>
      <c r="D7396" s="52" t="s">
        <v>216</v>
      </c>
      <c r="E7396" s="52" t="s">
        <v>584</v>
      </c>
      <c r="F7396" s="52" t="s">
        <v>581</v>
      </c>
      <c r="G7396" s="195" t="s">
        <v>277</v>
      </c>
      <c r="H7396" s="195">
        <v>81.917540000000002</v>
      </c>
      <c r="I7396" s="195">
        <v>18.84338</v>
      </c>
      <c r="J7396" s="195">
        <v>12.139900000000001</v>
      </c>
      <c r="K7396" s="195">
        <v>9.3362750000000005</v>
      </c>
      <c r="L7396" s="195">
        <v>7.6042050000000003</v>
      </c>
      <c r="M7396" s="195">
        <v>15.25475</v>
      </c>
      <c r="N7396" s="195">
        <v>56.579369999999997</v>
      </c>
    </row>
    <row r="7397" spans="1:14" hidden="1" x14ac:dyDescent="0.35">
      <c r="A7397" s="52" t="s">
        <v>763</v>
      </c>
      <c r="B7397" s="52" t="s">
        <v>201</v>
      </c>
      <c r="C7397" s="52" t="s">
        <v>216</v>
      </c>
      <c r="D7397" s="52" t="s">
        <v>216</v>
      </c>
      <c r="E7397" s="52" t="s">
        <v>584</v>
      </c>
      <c r="F7397" s="52" t="s">
        <v>581</v>
      </c>
      <c r="G7397" s="195" t="s">
        <v>278</v>
      </c>
      <c r="H7397" s="195">
        <v>48.606279999999998</v>
      </c>
      <c r="I7397" s="195">
        <v>27.198170000000001</v>
      </c>
      <c r="J7397" s="195">
        <v>8.1463970000000003</v>
      </c>
      <c r="K7397" s="195">
        <v>18.377739999999999</v>
      </c>
      <c r="L7397" s="195">
        <v>25.970009999999998</v>
      </c>
      <c r="M7397" s="195">
        <v>7.3384359999999997</v>
      </c>
      <c r="N7397" s="195">
        <v>4.0513579999999996</v>
      </c>
    </row>
    <row r="7398" spans="1:14" hidden="1" x14ac:dyDescent="0.35">
      <c r="A7398" s="52" t="s">
        <v>763</v>
      </c>
      <c r="B7398" s="52" t="s">
        <v>201</v>
      </c>
      <c r="C7398" s="52" t="s">
        <v>216</v>
      </c>
      <c r="D7398" s="52" t="s">
        <v>216</v>
      </c>
      <c r="E7398" s="52" t="s">
        <v>584</v>
      </c>
      <c r="F7398" s="52" t="s">
        <v>581</v>
      </c>
      <c r="G7398" s="195" t="s">
        <v>279</v>
      </c>
      <c r="H7398" s="195">
        <v>114.673</v>
      </c>
      <c r="I7398" s="195">
        <v>101.628</v>
      </c>
      <c r="J7398" s="195">
        <v>94.071830000000006</v>
      </c>
      <c r="K7398" s="195">
        <v>99.372619999999998</v>
      </c>
      <c r="L7398" s="195">
        <v>92.647189999999995</v>
      </c>
      <c r="M7398" s="195">
        <v>83.448359999999994</v>
      </c>
      <c r="N7398" s="195">
        <v>112.33750000000001</v>
      </c>
    </row>
    <row r="7399" spans="1:14" hidden="1" x14ac:dyDescent="0.35">
      <c r="A7399" s="52" t="s">
        <v>763</v>
      </c>
      <c r="B7399" s="52" t="s">
        <v>201</v>
      </c>
      <c r="C7399" s="52" t="s">
        <v>216</v>
      </c>
      <c r="D7399" s="52" t="s">
        <v>216</v>
      </c>
      <c r="E7399" s="52" t="s">
        <v>584</v>
      </c>
      <c r="F7399" s="52" t="s">
        <v>26</v>
      </c>
      <c r="G7399" s="195" t="s">
        <v>275</v>
      </c>
      <c r="H7399" s="195">
        <v>-5.3828000000000001E-2</v>
      </c>
      <c r="I7399" s="195">
        <v>-0.40843699999999999</v>
      </c>
      <c r="J7399" s="195">
        <v>-0.66556000000000004</v>
      </c>
      <c r="K7399" s="195">
        <v>-0.7329156</v>
      </c>
      <c r="L7399" s="195">
        <v>-0.5732912</v>
      </c>
      <c r="M7399" s="195">
        <v>-0.52828569999999997</v>
      </c>
      <c r="N7399" s="195">
        <v>-0.72423150000000003</v>
      </c>
    </row>
    <row r="7400" spans="1:14" hidden="1" x14ac:dyDescent="0.35">
      <c r="A7400" s="52" t="s">
        <v>763</v>
      </c>
      <c r="B7400" s="52" t="s">
        <v>201</v>
      </c>
      <c r="C7400" s="52" t="s">
        <v>216</v>
      </c>
      <c r="D7400" s="52" t="s">
        <v>216</v>
      </c>
      <c r="E7400" s="52" t="s">
        <v>584</v>
      </c>
      <c r="F7400" s="52" t="s">
        <v>26</v>
      </c>
      <c r="G7400" s="195" t="s">
        <v>276</v>
      </c>
      <c r="H7400" s="195">
        <v>7.1255009999999994E-2</v>
      </c>
      <c r="I7400" s="195">
        <v>6.9161009999999995E-2</v>
      </c>
      <c r="J7400" s="195">
        <v>2.9111000000000001E-2</v>
      </c>
      <c r="K7400" s="195">
        <v>2.6206799999999999E-2</v>
      </c>
      <c r="L7400" s="195">
        <v>2.0710200000000002E-2</v>
      </c>
      <c r="M7400" s="195">
        <v>-4.1140400000000001E-2</v>
      </c>
      <c r="N7400" s="195">
        <v>-0.26349099999999998</v>
      </c>
    </row>
    <row r="7401" spans="1:14" hidden="1" x14ac:dyDescent="0.35">
      <c r="A7401" s="52" t="s">
        <v>763</v>
      </c>
      <c r="B7401" s="52" t="s">
        <v>201</v>
      </c>
      <c r="C7401" s="52" t="s">
        <v>216</v>
      </c>
      <c r="D7401" s="52" t="s">
        <v>216</v>
      </c>
      <c r="E7401" s="52" t="s">
        <v>584</v>
      </c>
      <c r="F7401" s="52" t="s">
        <v>26</v>
      </c>
      <c r="G7401" s="195" t="s">
        <v>277</v>
      </c>
      <c r="H7401" s="195"/>
      <c r="I7401" s="195"/>
      <c r="J7401" s="195"/>
      <c r="K7401" s="195"/>
      <c r="L7401" s="195">
        <v>0</v>
      </c>
      <c r="M7401" s="195"/>
      <c r="N7401" s="195"/>
    </row>
    <row r="7402" spans="1:14" hidden="1" x14ac:dyDescent="0.35">
      <c r="A7402" s="52" t="s">
        <v>763</v>
      </c>
      <c r="B7402" s="52" t="s">
        <v>201</v>
      </c>
      <c r="C7402" s="52" t="s">
        <v>216</v>
      </c>
      <c r="D7402" s="52" t="s">
        <v>216</v>
      </c>
      <c r="E7402" s="52" t="s">
        <v>584</v>
      </c>
      <c r="F7402" s="52" t="s">
        <v>26</v>
      </c>
      <c r="G7402" s="195" t="s">
        <v>279</v>
      </c>
      <c r="H7402" s="195">
        <v>1.5100480000000001</v>
      </c>
      <c r="I7402" s="195">
        <v>1.419907</v>
      </c>
      <c r="J7402" s="195">
        <v>1.0912999999999999</v>
      </c>
      <c r="K7402" s="195">
        <v>1.116196</v>
      </c>
      <c r="L7402" s="195">
        <v>0.87618110000000005</v>
      </c>
      <c r="M7402" s="195">
        <v>0.81030449999999998</v>
      </c>
      <c r="N7402" s="195">
        <v>0.79573139999999998</v>
      </c>
    </row>
    <row r="7403" spans="1:14" hidden="1" x14ac:dyDescent="0.35">
      <c r="A7403" s="52" t="s">
        <v>763</v>
      </c>
      <c r="B7403" s="52" t="s">
        <v>201</v>
      </c>
      <c r="C7403" s="52" t="s">
        <v>257</v>
      </c>
      <c r="D7403" s="52" t="s">
        <v>257</v>
      </c>
      <c r="E7403" s="52" t="s">
        <v>584</v>
      </c>
      <c r="F7403" s="52" t="s">
        <v>581</v>
      </c>
      <c r="G7403" s="195" t="s">
        <v>275</v>
      </c>
      <c r="H7403" s="195">
        <v>-28.497389999999999</v>
      </c>
      <c r="I7403" s="195">
        <v>-2.7242510000000002</v>
      </c>
      <c r="J7403" s="195">
        <v>-1.7586459999999999</v>
      </c>
      <c r="K7403" s="195">
        <v>-1.600981E-3</v>
      </c>
      <c r="L7403" s="195">
        <v>0.63934729999999995</v>
      </c>
      <c r="M7403" s="195">
        <v>0.64582349999999999</v>
      </c>
      <c r="N7403" s="195">
        <v>0.64159770000000005</v>
      </c>
    </row>
    <row r="7404" spans="1:14" hidden="1" x14ac:dyDescent="0.35">
      <c r="A7404" s="52" t="s">
        <v>763</v>
      </c>
      <c r="B7404" s="52" t="s">
        <v>201</v>
      </c>
      <c r="C7404" s="52" t="s">
        <v>257</v>
      </c>
      <c r="D7404" s="52" t="s">
        <v>257</v>
      </c>
      <c r="E7404" s="52" t="s">
        <v>584</v>
      </c>
      <c r="F7404" s="52" t="s">
        <v>581</v>
      </c>
      <c r="G7404" s="195" t="s">
        <v>276</v>
      </c>
      <c r="H7404" s="195">
        <v>2.0830120000000001</v>
      </c>
      <c r="I7404" s="195">
        <v>0.37647190000000003</v>
      </c>
      <c r="J7404" s="195">
        <v>-14.888210000000001</v>
      </c>
      <c r="K7404" s="195">
        <v>-17.344799999999999</v>
      </c>
      <c r="L7404" s="195">
        <v>-21.094919999999998</v>
      </c>
      <c r="M7404" s="195">
        <v>-29.70974</v>
      </c>
      <c r="N7404" s="195">
        <v>-5.005795</v>
      </c>
    </row>
    <row r="7405" spans="1:14" hidden="1" x14ac:dyDescent="0.35">
      <c r="A7405" s="52" t="s">
        <v>763</v>
      </c>
      <c r="B7405" s="52" t="s">
        <v>201</v>
      </c>
      <c r="C7405" s="52" t="s">
        <v>257</v>
      </c>
      <c r="D7405" s="52" t="s">
        <v>257</v>
      </c>
      <c r="E7405" s="52" t="s">
        <v>584</v>
      </c>
      <c r="F7405" s="52" t="s">
        <v>581</v>
      </c>
      <c r="G7405" s="195" t="s">
        <v>277</v>
      </c>
      <c r="H7405" s="195">
        <v>4.0690460000000002</v>
      </c>
      <c r="I7405" s="195">
        <v>0.19195999999999999</v>
      </c>
      <c r="J7405" s="195">
        <v>2.4626619999999999</v>
      </c>
      <c r="K7405" s="195">
        <v>4.4511459999999996</v>
      </c>
      <c r="L7405" s="195">
        <v>3.3233619999999999</v>
      </c>
      <c r="M7405" s="195">
        <v>2.5023209999999998</v>
      </c>
      <c r="N7405" s="195">
        <v>2.5874579999999998</v>
      </c>
    </row>
    <row r="7406" spans="1:14" hidden="1" x14ac:dyDescent="0.35">
      <c r="A7406" s="52" t="s">
        <v>763</v>
      </c>
      <c r="B7406" s="52" t="s">
        <v>201</v>
      </c>
      <c r="C7406" s="52" t="s">
        <v>257</v>
      </c>
      <c r="D7406" s="52" t="s">
        <v>257</v>
      </c>
      <c r="E7406" s="52" t="s">
        <v>584</v>
      </c>
      <c r="F7406" s="52" t="s">
        <v>581</v>
      </c>
      <c r="G7406" s="195" t="s">
        <v>278</v>
      </c>
      <c r="H7406" s="195">
        <v>38.198419999999999</v>
      </c>
      <c r="I7406" s="195">
        <v>6.3320259999999999</v>
      </c>
      <c r="J7406" s="195">
        <v>14.908989999999999</v>
      </c>
      <c r="K7406" s="195">
        <v>15.74174</v>
      </c>
      <c r="L7406" s="195">
        <v>20.829170000000001</v>
      </c>
      <c r="M7406" s="195">
        <v>30.32377</v>
      </c>
      <c r="N7406" s="195">
        <v>5.2391870000000003</v>
      </c>
    </row>
    <row r="7407" spans="1:14" hidden="1" x14ac:dyDescent="0.35">
      <c r="A7407" s="52" t="s">
        <v>763</v>
      </c>
      <c r="B7407" s="52" t="s">
        <v>201</v>
      </c>
      <c r="C7407" s="52" t="s">
        <v>257</v>
      </c>
      <c r="D7407" s="52" t="s">
        <v>257</v>
      </c>
      <c r="E7407" s="52" t="s">
        <v>584</v>
      </c>
      <c r="F7407" s="52" t="s">
        <v>581</v>
      </c>
      <c r="G7407" s="195" t="s">
        <v>279</v>
      </c>
      <c r="H7407" s="195">
        <v>4.9895079999999998</v>
      </c>
      <c r="I7407" s="195">
        <v>2.4932750000000001</v>
      </c>
      <c r="J7407" s="195">
        <v>4.3324769999999999</v>
      </c>
      <c r="K7407" s="195">
        <v>1.8959060000000001</v>
      </c>
      <c r="L7407" s="195">
        <v>1.9162490000000001</v>
      </c>
      <c r="M7407" s="195">
        <v>1.9637420000000001</v>
      </c>
      <c r="N7407" s="195">
        <v>1.7127870000000001</v>
      </c>
    </row>
    <row r="7408" spans="1:14" hidden="1" x14ac:dyDescent="0.35">
      <c r="A7408" s="52" t="s">
        <v>763</v>
      </c>
      <c r="B7408" s="52" t="s">
        <v>201</v>
      </c>
      <c r="C7408" s="52" t="s">
        <v>257</v>
      </c>
      <c r="D7408" s="52" t="s">
        <v>257</v>
      </c>
      <c r="E7408" s="52" t="s">
        <v>584</v>
      </c>
      <c r="F7408" s="52" t="s">
        <v>26</v>
      </c>
      <c r="G7408" s="195" t="s">
        <v>275</v>
      </c>
      <c r="H7408" s="195">
        <v>0.41488649999999999</v>
      </c>
      <c r="I7408" s="195">
        <v>7.0316100000000006E-2</v>
      </c>
      <c r="J7408" s="195">
        <v>-8.8921810000000004E-2</v>
      </c>
      <c r="K7408" s="195">
        <v>-0.120628</v>
      </c>
      <c r="L7408" s="195">
        <v>-5.9209650000000003E-2</v>
      </c>
      <c r="M7408" s="195">
        <v>-5.6595510000000002E-2</v>
      </c>
      <c r="N7408" s="195">
        <v>-8.6570809999999998E-2</v>
      </c>
    </row>
    <row r="7409" spans="1:14" hidden="1" x14ac:dyDescent="0.35">
      <c r="A7409" s="52" t="s">
        <v>763</v>
      </c>
      <c r="B7409" s="52" t="s">
        <v>201</v>
      </c>
      <c r="C7409" s="52" t="s">
        <v>257</v>
      </c>
      <c r="D7409" s="52" t="s">
        <v>257</v>
      </c>
      <c r="E7409" s="52" t="s">
        <v>584</v>
      </c>
      <c r="F7409" s="52" t="s">
        <v>26</v>
      </c>
      <c r="G7409" s="195" t="s">
        <v>276</v>
      </c>
      <c r="H7409" s="195">
        <v>7.5610350000000007E-2</v>
      </c>
      <c r="I7409" s="195">
        <v>2.5955280000000001E-2</v>
      </c>
      <c r="J7409" s="195">
        <v>-2.43068E-2</v>
      </c>
      <c r="K7409" s="195">
        <v>-0.20475479999999999</v>
      </c>
      <c r="L7409" s="195">
        <v>-0.13386960000000001</v>
      </c>
      <c r="M7409" s="195">
        <v>-6.6003430000000002E-2</v>
      </c>
      <c r="N7409" s="195">
        <v>-4.7807719999999998E-2</v>
      </c>
    </row>
    <row r="7410" spans="1:14" hidden="1" x14ac:dyDescent="0.35">
      <c r="A7410" s="52" t="s">
        <v>763</v>
      </c>
      <c r="B7410" s="52" t="s">
        <v>201</v>
      </c>
      <c r="C7410" s="52" t="s">
        <v>257</v>
      </c>
      <c r="D7410" s="52" t="s">
        <v>257</v>
      </c>
      <c r="E7410" s="52" t="s">
        <v>584</v>
      </c>
      <c r="F7410" s="52" t="s">
        <v>26</v>
      </c>
      <c r="G7410" s="195" t="s">
        <v>277</v>
      </c>
      <c r="H7410" s="195"/>
      <c r="I7410" s="195">
        <v>0</v>
      </c>
      <c r="J7410" s="195"/>
      <c r="K7410" s="195"/>
      <c r="L7410" s="195"/>
      <c r="M7410" s="195">
        <v>0</v>
      </c>
      <c r="N7410" s="195">
        <v>1.6479400000000002E-2</v>
      </c>
    </row>
    <row r="7411" spans="1:14" hidden="1" x14ac:dyDescent="0.35">
      <c r="A7411" s="52" t="s">
        <v>763</v>
      </c>
      <c r="B7411" s="52" t="s">
        <v>201</v>
      </c>
      <c r="C7411" s="52" t="s">
        <v>257</v>
      </c>
      <c r="D7411" s="52" t="s">
        <v>257</v>
      </c>
      <c r="E7411" s="52" t="s">
        <v>584</v>
      </c>
      <c r="F7411" s="52" t="s">
        <v>26</v>
      </c>
      <c r="G7411" s="195" t="s">
        <v>279</v>
      </c>
      <c r="H7411" s="195">
        <v>0.69090969999999996</v>
      </c>
      <c r="I7411" s="195">
        <v>0.30927769999999999</v>
      </c>
      <c r="J7411" s="195">
        <v>0.29635099999999998</v>
      </c>
      <c r="K7411" s="195">
        <v>0.3203317</v>
      </c>
      <c r="L7411" s="195">
        <v>0.3461555</v>
      </c>
      <c r="M7411" s="195">
        <v>0.37639450000000002</v>
      </c>
      <c r="N7411" s="195">
        <v>0.3670272</v>
      </c>
    </row>
    <row r="7412" spans="1:14" hidden="1" x14ac:dyDescent="0.35">
      <c r="A7412" s="52" t="s">
        <v>763</v>
      </c>
      <c r="B7412" s="52" t="s">
        <v>201</v>
      </c>
      <c r="C7412" s="52" t="s">
        <v>367</v>
      </c>
      <c r="D7412" s="52" t="s">
        <v>367</v>
      </c>
      <c r="E7412" s="52" t="s">
        <v>584</v>
      </c>
      <c r="F7412" s="52" t="s">
        <v>581</v>
      </c>
      <c r="G7412" s="195" t="s">
        <v>275</v>
      </c>
      <c r="H7412" s="195">
        <v>-0.53547140000000004</v>
      </c>
      <c r="I7412" s="195">
        <v>-0.53547140000000004</v>
      </c>
      <c r="J7412" s="195">
        <v>0</v>
      </c>
      <c r="K7412" s="195">
        <v>0</v>
      </c>
      <c r="L7412" s="195">
        <v>0</v>
      </c>
      <c r="M7412" s="195">
        <v>0</v>
      </c>
      <c r="N7412" s="195">
        <v>0</v>
      </c>
    </row>
    <row r="7413" spans="1:14" hidden="1" x14ac:dyDescent="0.35">
      <c r="A7413" s="52" t="s">
        <v>763</v>
      </c>
      <c r="B7413" s="52" t="s">
        <v>201</v>
      </c>
      <c r="C7413" s="52" t="s">
        <v>867</v>
      </c>
      <c r="D7413" s="52" t="s">
        <v>867</v>
      </c>
      <c r="E7413" s="52" t="s">
        <v>584</v>
      </c>
      <c r="F7413" s="52" t="s">
        <v>581</v>
      </c>
      <c r="G7413" s="195" t="s">
        <v>275</v>
      </c>
      <c r="H7413" s="195"/>
      <c r="I7413" s="195"/>
      <c r="J7413" s="195">
        <v>0</v>
      </c>
      <c r="K7413" s="195">
        <v>0</v>
      </c>
      <c r="L7413" s="195">
        <v>0</v>
      </c>
      <c r="M7413" s="195">
        <v>0</v>
      </c>
      <c r="N7413" s="195">
        <v>0</v>
      </c>
    </row>
    <row r="7414" spans="1:14" hidden="1" x14ac:dyDescent="0.35">
      <c r="A7414" s="52" t="s">
        <v>763</v>
      </c>
      <c r="B7414" s="52" t="s">
        <v>201</v>
      </c>
      <c r="C7414" s="52" t="s">
        <v>367</v>
      </c>
      <c r="D7414" s="52" t="s">
        <v>367</v>
      </c>
      <c r="E7414" s="52" t="s">
        <v>584</v>
      </c>
      <c r="F7414" s="52" t="s">
        <v>581</v>
      </c>
      <c r="G7414" s="195" t="s">
        <v>276</v>
      </c>
      <c r="H7414" s="195"/>
      <c r="I7414" s="195"/>
      <c r="J7414" s="195">
        <v>-0.53547140000000004</v>
      </c>
      <c r="K7414" s="195">
        <v>-0.53547140000000004</v>
      </c>
      <c r="L7414" s="195">
        <v>-0.53547140000000004</v>
      </c>
      <c r="M7414" s="195">
        <v>-0.53547140000000004</v>
      </c>
      <c r="N7414" s="195">
        <v>-0.53547140000000004</v>
      </c>
    </row>
    <row r="7415" spans="1:14" hidden="1" x14ac:dyDescent="0.35">
      <c r="A7415" s="52" t="s">
        <v>763</v>
      </c>
      <c r="B7415" s="52" t="s">
        <v>201</v>
      </c>
      <c r="C7415" s="52" t="s">
        <v>867</v>
      </c>
      <c r="D7415" s="52" t="s">
        <v>867</v>
      </c>
      <c r="E7415" s="52" t="s">
        <v>584</v>
      </c>
      <c r="F7415" s="52" t="s">
        <v>581</v>
      </c>
      <c r="G7415" s="195" t="s">
        <v>278</v>
      </c>
      <c r="H7415" s="195"/>
      <c r="I7415" s="195"/>
      <c r="J7415" s="195">
        <v>0</v>
      </c>
      <c r="K7415" s="195">
        <v>0</v>
      </c>
      <c r="L7415" s="195">
        <v>0</v>
      </c>
      <c r="M7415" s="195">
        <v>0</v>
      </c>
      <c r="N7415" s="195">
        <v>0</v>
      </c>
    </row>
    <row r="7416" spans="1:14" hidden="1" x14ac:dyDescent="0.35">
      <c r="A7416" s="52" t="s">
        <v>763</v>
      </c>
      <c r="B7416" s="52" t="s">
        <v>201</v>
      </c>
      <c r="C7416" s="52" t="s">
        <v>367</v>
      </c>
      <c r="D7416" s="52" t="s">
        <v>367</v>
      </c>
      <c r="E7416" s="52" t="s">
        <v>584</v>
      </c>
      <c r="F7416" s="52" t="s">
        <v>581</v>
      </c>
      <c r="G7416" s="195" t="s">
        <v>278</v>
      </c>
      <c r="H7416" s="195">
        <v>0.53547140000000004</v>
      </c>
      <c r="I7416" s="195">
        <v>0.53547140000000004</v>
      </c>
      <c r="J7416" s="195">
        <v>0.53547140000000004</v>
      </c>
      <c r="K7416" s="195">
        <v>0.53547140000000004</v>
      </c>
      <c r="L7416" s="195">
        <v>0.53547140000000004</v>
      </c>
      <c r="M7416" s="195">
        <v>0.53547140000000004</v>
      </c>
      <c r="N7416" s="195">
        <v>0.53547140000000004</v>
      </c>
    </row>
    <row r="7417" spans="1:14" hidden="1" x14ac:dyDescent="0.35">
      <c r="A7417" s="52" t="s">
        <v>763</v>
      </c>
      <c r="B7417" s="52" t="s">
        <v>201</v>
      </c>
      <c r="C7417" s="52" t="s">
        <v>868</v>
      </c>
      <c r="D7417" s="52" t="s">
        <v>868</v>
      </c>
      <c r="E7417" s="52" t="s">
        <v>584</v>
      </c>
      <c r="F7417" s="52" t="s">
        <v>26</v>
      </c>
      <c r="G7417" s="195" t="s">
        <v>279</v>
      </c>
      <c r="H7417" s="195">
        <v>0</v>
      </c>
      <c r="I7417" s="195"/>
      <c r="J7417" s="195"/>
      <c r="K7417" s="195"/>
      <c r="L7417" s="195"/>
      <c r="M7417" s="195"/>
      <c r="N7417" s="195"/>
    </row>
    <row r="7418" spans="1:14" hidden="1" x14ac:dyDescent="0.35">
      <c r="A7418" s="52" t="s">
        <v>763</v>
      </c>
      <c r="B7418" s="52" t="s">
        <v>217</v>
      </c>
      <c r="C7418" s="52" t="s">
        <v>216</v>
      </c>
      <c r="D7418" s="52" t="s">
        <v>216</v>
      </c>
      <c r="E7418" s="52" t="s">
        <v>584</v>
      </c>
      <c r="F7418" s="52" t="s">
        <v>581</v>
      </c>
      <c r="G7418" s="195" t="s">
        <v>275</v>
      </c>
      <c r="H7418" s="195">
        <v>-0.70926699999999998</v>
      </c>
      <c r="I7418" s="195">
        <v>-11.86511</v>
      </c>
      <c r="J7418" s="195">
        <v>0</v>
      </c>
      <c r="K7418" s="195">
        <v>0</v>
      </c>
      <c r="L7418" s="195">
        <v>0</v>
      </c>
      <c r="M7418" s="195">
        <v>0</v>
      </c>
      <c r="N7418" s="195">
        <v>0</v>
      </c>
    </row>
    <row r="7419" spans="1:14" hidden="1" x14ac:dyDescent="0.35">
      <c r="A7419" s="52" t="s">
        <v>763</v>
      </c>
      <c r="B7419" s="52" t="s">
        <v>217</v>
      </c>
      <c r="C7419" s="52" t="s">
        <v>216</v>
      </c>
      <c r="D7419" s="52" t="s">
        <v>216</v>
      </c>
      <c r="E7419" s="52" t="s">
        <v>584</v>
      </c>
      <c r="F7419" s="52" t="s">
        <v>581</v>
      </c>
      <c r="G7419" s="195" t="s">
        <v>276</v>
      </c>
      <c r="H7419" s="195"/>
      <c r="I7419" s="195"/>
      <c r="J7419" s="195">
        <v>-23.42661</v>
      </c>
      <c r="K7419" s="195">
        <v>-16.96002</v>
      </c>
      <c r="L7419" s="195">
        <v>-6.191611</v>
      </c>
      <c r="M7419" s="195">
        <v>-0.70926699999999998</v>
      </c>
      <c r="N7419" s="195">
        <v>-16.194949999999999</v>
      </c>
    </row>
    <row r="7420" spans="1:14" hidden="1" x14ac:dyDescent="0.35">
      <c r="A7420" s="52" t="s">
        <v>763</v>
      </c>
      <c r="B7420" s="52" t="s">
        <v>217</v>
      </c>
      <c r="C7420" s="52" t="s">
        <v>216</v>
      </c>
      <c r="D7420" s="52" t="s">
        <v>216</v>
      </c>
      <c r="E7420" s="52" t="s">
        <v>584</v>
      </c>
      <c r="F7420" s="52" t="s">
        <v>581</v>
      </c>
      <c r="G7420" s="195" t="s">
        <v>277</v>
      </c>
      <c r="H7420" s="195"/>
      <c r="I7420" s="195"/>
      <c r="J7420" s="195"/>
      <c r="K7420" s="195"/>
      <c r="L7420" s="195"/>
      <c r="M7420" s="195">
        <v>0</v>
      </c>
      <c r="N7420" s="195"/>
    </row>
    <row r="7421" spans="1:14" hidden="1" x14ac:dyDescent="0.35">
      <c r="A7421" s="52" t="s">
        <v>763</v>
      </c>
      <c r="B7421" s="52" t="s">
        <v>217</v>
      </c>
      <c r="C7421" s="52" t="s">
        <v>216</v>
      </c>
      <c r="D7421" s="52" t="s">
        <v>216</v>
      </c>
      <c r="E7421" s="52" t="s">
        <v>584</v>
      </c>
      <c r="F7421" s="52" t="s">
        <v>581</v>
      </c>
      <c r="G7421" s="195" t="s">
        <v>278</v>
      </c>
      <c r="H7421" s="195">
        <v>0.70926699999999998</v>
      </c>
      <c r="I7421" s="195">
        <v>11.8651</v>
      </c>
      <c r="J7421" s="195">
        <v>23.42661</v>
      </c>
      <c r="K7421" s="195">
        <v>16.96002</v>
      </c>
      <c r="L7421" s="195">
        <v>6.191611</v>
      </c>
      <c r="M7421" s="195">
        <v>0.70926699999999998</v>
      </c>
      <c r="N7421" s="195">
        <v>4.3074769999999996</v>
      </c>
    </row>
    <row r="7422" spans="1:14" hidden="1" x14ac:dyDescent="0.35">
      <c r="A7422" s="52" t="s">
        <v>763</v>
      </c>
      <c r="B7422" s="52" t="s">
        <v>217</v>
      </c>
      <c r="C7422" s="52" t="s">
        <v>216</v>
      </c>
      <c r="D7422" s="52" t="s">
        <v>216</v>
      </c>
      <c r="E7422" s="52" t="s">
        <v>584</v>
      </c>
      <c r="F7422" s="52" t="s">
        <v>581</v>
      </c>
      <c r="G7422" s="195" t="s">
        <v>279</v>
      </c>
      <c r="H7422" s="195"/>
      <c r="I7422" s="195"/>
      <c r="J7422" s="195"/>
      <c r="K7422" s="195"/>
      <c r="L7422" s="195"/>
      <c r="M7422" s="195"/>
      <c r="N7422" s="195">
        <v>0</v>
      </c>
    </row>
    <row r="7423" spans="1:14" hidden="1" x14ac:dyDescent="0.35">
      <c r="A7423" s="52" t="s">
        <v>763</v>
      </c>
      <c r="B7423" s="52" t="s">
        <v>217</v>
      </c>
      <c r="C7423" s="52" t="s">
        <v>216</v>
      </c>
      <c r="D7423" s="52" t="s">
        <v>216</v>
      </c>
      <c r="E7423" s="52" t="s">
        <v>584</v>
      </c>
      <c r="F7423" s="52" t="s">
        <v>26</v>
      </c>
      <c r="G7423" s="195" t="s">
        <v>275</v>
      </c>
      <c r="H7423" s="195"/>
      <c r="I7423" s="195"/>
      <c r="J7423" s="195"/>
      <c r="K7423" s="195"/>
      <c r="L7423" s="195"/>
      <c r="M7423" s="195">
        <v>0</v>
      </c>
      <c r="N7423" s="195"/>
    </row>
    <row r="7424" spans="1:14" hidden="1" x14ac:dyDescent="0.35">
      <c r="A7424" s="52" t="s">
        <v>763</v>
      </c>
      <c r="B7424" s="52" t="s">
        <v>217</v>
      </c>
      <c r="C7424" s="52" t="s">
        <v>216</v>
      </c>
      <c r="D7424" s="52" t="s">
        <v>216</v>
      </c>
      <c r="E7424" s="52" t="s">
        <v>584</v>
      </c>
      <c r="F7424" s="52" t="s">
        <v>26</v>
      </c>
      <c r="G7424" s="195" t="s">
        <v>276</v>
      </c>
      <c r="H7424" s="195"/>
      <c r="I7424" s="195"/>
      <c r="J7424" s="195"/>
      <c r="K7424" s="195"/>
      <c r="L7424" s="195"/>
      <c r="M7424" s="195">
        <v>0</v>
      </c>
      <c r="N7424" s="195"/>
    </row>
    <row r="7425" spans="1:14" hidden="1" x14ac:dyDescent="0.35">
      <c r="A7425" s="52" t="s">
        <v>763</v>
      </c>
      <c r="B7425" s="52" t="s">
        <v>217</v>
      </c>
      <c r="C7425" s="52" t="s">
        <v>216</v>
      </c>
      <c r="D7425" s="52" t="s">
        <v>216</v>
      </c>
      <c r="E7425" s="52" t="s">
        <v>584</v>
      </c>
      <c r="F7425" s="52" t="s">
        <v>26</v>
      </c>
      <c r="G7425" s="195" t="s">
        <v>277</v>
      </c>
      <c r="H7425" s="195"/>
      <c r="I7425" s="195"/>
      <c r="J7425" s="195"/>
      <c r="K7425" s="195"/>
      <c r="L7425" s="195"/>
      <c r="M7425" s="195">
        <v>0</v>
      </c>
      <c r="N7425" s="195"/>
    </row>
    <row r="7426" spans="1:14" hidden="1" x14ac:dyDescent="0.35">
      <c r="A7426" s="52" t="s">
        <v>763</v>
      </c>
      <c r="B7426" s="52" t="s">
        <v>217</v>
      </c>
      <c r="C7426" s="52" t="s">
        <v>216</v>
      </c>
      <c r="D7426" s="52" t="s">
        <v>216</v>
      </c>
      <c r="E7426" s="52" t="s">
        <v>584</v>
      </c>
      <c r="F7426" s="52" t="s">
        <v>26</v>
      </c>
      <c r="G7426" s="195" t="s">
        <v>279</v>
      </c>
      <c r="H7426" s="195"/>
      <c r="I7426" s="195"/>
      <c r="J7426" s="195"/>
      <c r="K7426" s="195"/>
      <c r="L7426" s="195"/>
      <c r="M7426" s="195"/>
      <c r="N7426" s="195">
        <v>0</v>
      </c>
    </row>
    <row r="7427" spans="1:14" hidden="1" x14ac:dyDescent="0.35">
      <c r="A7427" s="52" t="s">
        <v>741</v>
      </c>
      <c r="B7427" s="52" t="s">
        <v>34</v>
      </c>
      <c r="C7427" s="52" t="s">
        <v>33</v>
      </c>
      <c r="D7427" s="52" t="s">
        <v>33</v>
      </c>
      <c r="E7427" s="52" t="s">
        <v>604</v>
      </c>
      <c r="F7427" s="52" t="s">
        <v>581</v>
      </c>
      <c r="G7427" s="195" t="s">
        <v>275</v>
      </c>
      <c r="H7427" s="195">
        <v>33.704610000000002</v>
      </c>
      <c r="I7427" s="195">
        <v>45.913849999999996</v>
      </c>
      <c r="J7427" s="195">
        <v>26.265820000000001</v>
      </c>
      <c r="K7427" s="195">
        <v>40.948810000000002</v>
      </c>
      <c r="L7427" s="195">
        <v>20.270659999999999</v>
      </c>
      <c r="M7427" s="195">
        <v>23.763629999999999</v>
      </c>
      <c r="N7427" s="195">
        <v>18.668890000000001</v>
      </c>
    </row>
    <row r="7428" spans="1:14" hidden="1" x14ac:dyDescent="0.35">
      <c r="A7428" s="52" t="s">
        <v>741</v>
      </c>
      <c r="B7428" s="52" t="s">
        <v>34</v>
      </c>
      <c r="C7428" s="52" t="s">
        <v>33</v>
      </c>
      <c r="D7428" s="52" t="s">
        <v>33</v>
      </c>
      <c r="E7428" s="52" t="s">
        <v>604</v>
      </c>
      <c r="F7428" s="52" t="s">
        <v>581</v>
      </c>
      <c r="G7428" s="195" t="s">
        <v>276</v>
      </c>
      <c r="H7428" s="195">
        <v>16.928180000000001</v>
      </c>
      <c r="I7428" s="195">
        <v>-38.635750000000002</v>
      </c>
      <c r="J7428" s="195">
        <v>-27.252330000000001</v>
      </c>
      <c r="K7428" s="195">
        <v>-11.427110000000001</v>
      </c>
      <c r="L7428" s="195">
        <v>-0.87901969999999996</v>
      </c>
      <c r="M7428" s="195">
        <v>3.036314</v>
      </c>
      <c r="N7428" s="195">
        <v>4.7314949999999998</v>
      </c>
    </row>
    <row r="7429" spans="1:14" hidden="1" x14ac:dyDescent="0.35">
      <c r="A7429" s="52" t="s">
        <v>741</v>
      </c>
      <c r="B7429" s="52" t="s">
        <v>34</v>
      </c>
      <c r="C7429" s="52" t="s">
        <v>33</v>
      </c>
      <c r="D7429" s="52" t="s">
        <v>33</v>
      </c>
      <c r="E7429" s="52" t="s">
        <v>604</v>
      </c>
      <c r="F7429" s="52" t="s">
        <v>581</v>
      </c>
      <c r="G7429" s="195" t="s">
        <v>277</v>
      </c>
      <c r="H7429" s="195">
        <v>178.68360000000001</v>
      </c>
      <c r="I7429" s="195">
        <v>17.946290000000001</v>
      </c>
      <c r="J7429" s="195">
        <v>4.5900280000000002</v>
      </c>
      <c r="K7429" s="195">
        <v>1.1801079999999999</v>
      </c>
      <c r="L7429" s="195">
        <v>0.43228</v>
      </c>
      <c r="M7429" s="195">
        <v>0</v>
      </c>
      <c r="N7429" s="195">
        <v>0</v>
      </c>
    </row>
    <row r="7430" spans="1:14" hidden="1" x14ac:dyDescent="0.35">
      <c r="A7430" s="52" t="s">
        <v>741</v>
      </c>
      <c r="B7430" s="52" t="s">
        <v>34</v>
      </c>
      <c r="C7430" s="52" t="s">
        <v>33</v>
      </c>
      <c r="D7430" s="52" t="s">
        <v>33</v>
      </c>
      <c r="E7430" s="52" t="s">
        <v>604</v>
      </c>
      <c r="F7430" s="52" t="s">
        <v>581</v>
      </c>
      <c r="G7430" s="195" t="s">
        <v>278</v>
      </c>
      <c r="H7430" s="195">
        <v>73.373379999999997</v>
      </c>
      <c r="I7430" s="195">
        <v>30.612020000000001</v>
      </c>
      <c r="J7430" s="195">
        <v>38.676009999999998</v>
      </c>
      <c r="K7430" s="195">
        <v>7.7954610000000004</v>
      </c>
      <c r="L7430" s="195">
        <v>2.1769020000000001</v>
      </c>
      <c r="M7430" s="195">
        <v>4.7240999999999998E-2</v>
      </c>
      <c r="N7430" s="195">
        <v>0</v>
      </c>
    </row>
    <row r="7431" spans="1:14" hidden="1" x14ac:dyDescent="0.35">
      <c r="A7431" s="52" t="s">
        <v>741</v>
      </c>
      <c r="B7431" s="52" t="s">
        <v>34</v>
      </c>
      <c r="C7431" s="52" t="s">
        <v>33</v>
      </c>
      <c r="D7431" s="52" t="s">
        <v>33</v>
      </c>
      <c r="E7431" s="52" t="s">
        <v>604</v>
      </c>
      <c r="F7431" s="52" t="s">
        <v>581</v>
      </c>
      <c r="G7431" s="195" t="s">
        <v>279</v>
      </c>
      <c r="H7431" s="195">
        <v>98.763469999999998</v>
      </c>
      <c r="I7431" s="195">
        <v>96.495829999999998</v>
      </c>
      <c r="J7431" s="195">
        <v>105.77370000000001</v>
      </c>
      <c r="K7431" s="195">
        <v>91.558700000000002</v>
      </c>
      <c r="L7431" s="195">
        <v>82.219409999999996</v>
      </c>
      <c r="M7431" s="195">
        <v>61.15343</v>
      </c>
      <c r="N7431" s="195">
        <v>53.563099999999999</v>
      </c>
    </row>
    <row r="7432" spans="1:14" hidden="1" x14ac:dyDescent="0.35">
      <c r="A7432" s="52" t="s">
        <v>741</v>
      </c>
      <c r="B7432" s="52" t="s">
        <v>34</v>
      </c>
      <c r="C7432" s="52" t="s">
        <v>33</v>
      </c>
      <c r="D7432" s="52" t="s">
        <v>33</v>
      </c>
      <c r="E7432" s="52" t="s">
        <v>604</v>
      </c>
      <c r="F7432" s="52" t="s">
        <v>26</v>
      </c>
      <c r="G7432" s="195" t="s">
        <v>275</v>
      </c>
      <c r="H7432" s="195">
        <v>-20.684249999999999</v>
      </c>
      <c r="I7432" s="195">
        <v>-31.655550000000002</v>
      </c>
      <c r="J7432" s="195">
        <v>-44.892609999999998</v>
      </c>
      <c r="K7432" s="195">
        <v>-40.276589999999999</v>
      </c>
      <c r="L7432" s="195">
        <v>-38.884430000000002</v>
      </c>
      <c r="M7432" s="195">
        <v>-26.587420000000002</v>
      </c>
      <c r="N7432" s="195">
        <v>-23.670970000000001</v>
      </c>
    </row>
    <row r="7433" spans="1:14" hidden="1" x14ac:dyDescent="0.35">
      <c r="A7433" s="52" t="s">
        <v>741</v>
      </c>
      <c r="B7433" s="52" t="s">
        <v>34</v>
      </c>
      <c r="C7433" s="52" t="s">
        <v>33</v>
      </c>
      <c r="D7433" s="52" t="s">
        <v>33</v>
      </c>
      <c r="E7433" s="52" t="s">
        <v>604</v>
      </c>
      <c r="F7433" s="52" t="s">
        <v>26</v>
      </c>
      <c r="G7433" s="195" t="s">
        <v>276</v>
      </c>
      <c r="H7433" s="195">
        <v>-7.4409349999999996</v>
      </c>
      <c r="I7433" s="195">
        <v>-10.55185</v>
      </c>
      <c r="J7433" s="195">
        <v>-14.208819999999999</v>
      </c>
      <c r="K7433" s="195">
        <v>-12.08943</v>
      </c>
      <c r="L7433" s="195">
        <v>-11.67938</v>
      </c>
      <c r="M7433" s="195">
        <v>-7.9867520000000001</v>
      </c>
      <c r="N7433" s="195">
        <v>-7.1122560000000004</v>
      </c>
    </row>
    <row r="7434" spans="1:14" hidden="1" x14ac:dyDescent="0.35">
      <c r="A7434" s="52" t="s">
        <v>741</v>
      </c>
      <c r="B7434" s="52" t="s">
        <v>34</v>
      </c>
      <c r="C7434" s="52" t="s">
        <v>33</v>
      </c>
      <c r="D7434" s="52" t="s">
        <v>33</v>
      </c>
      <c r="E7434" s="52" t="s">
        <v>604</v>
      </c>
      <c r="F7434" s="52" t="s">
        <v>26</v>
      </c>
      <c r="G7434" s="195" t="s">
        <v>279</v>
      </c>
      <c r="H7434" s="195">
        <v>93.602940000000004</v>
      </c>
      <c r="I7434" s="195">
        <v>99.950879999999998</v>
      </c>
      <c r="J7434" s="195">
        <v>112.41759999999999</v>
      </c>
      <c r="K7434" s="195">
        <v>97.9315</v>
      </c>
      <c r="L7434" s="195">
        <v>86.046999999999997</v>
      </c>
      <c r="M7434" s="195">
        <v>63.7226</v>
      </c>
      <c r="N7434" s="195">
        <v>55.577379999999998</v>
      </c>
    </row>
    <row r="7435" spans="1:14" hidden="1" x14ac:dyDescent="0.35">
      <c r="A7435" s="52" t="s">
        <v>741</v>
      </c>
      <c r="B7435" s="52" t="s">
        <v>34</v>
      </c>
      <c r="C7435" s="52" t="s">
        <v>33</v>
      </c>
      <c r="D7435" s="52" t="s">
        <v>33</v>
      </c>
      <c r="E7435" s="52" t="s">
        <v>584</v>
      </c>
      <c r="F7435" s="52" t="s">
        <v>581</v>
      </c>
      <c r="G7435" s="195" t="s">
        <v>275</v>
      </c>
      <c r="H7435" s="195">
        <v>22.00048</v>
      </c>
      <c r="I7435" s="195">
        <v>-122.6922</v>
      </c>
      <c r="J7435" s="195">
        <v>-6.8299859999999999</v>
      </c>
      <c r="K7435" s="195">
        <v>-80.283879999999996</v>
      </c>
      <c r="L7435" s="195">
        <v>-1.3511150000000001</v>
      </c>
      <c r="M7435" s="195">
        <v>-19.554359999999999</v>
      </c>
      <c r="N7435" s="195">
        <v>-3.3016200000000002</v>
      </c>
    </row>
    <row r="7436" spans="1:14" hidden="1" x14ac:dyDescent="0.35">
      <c r="A7436" s="52" t="s">
        <v>741</v>
      </c>
      <c r="B7436" s="52" t="s">
        <v>34</v>
      </c>
      <c r="C7436" s="52" t="s">
        <v>33</v>
      </c>
      <c r="D7436" s="52" t="s">
        <v>33</v>
      </c>
      <c r="E7436" s="52" t="s">
        <v>584</v>
      </c>
      <c r="F7436" s="52" t="s">
        <v>581</v>
      </c>
      <c r="G7436" s="195" t="s">
        <v>276</v>
      </c>
      <c r="H7436" s="195">
        <v>-6.9904469999999996</v>
      </c>
      <c r="I7436" s="195">
        <v>-45.617179999999998</v>
      </c>
      <c r="J7436" s="195">
        <v>-2.8248530000000001</v>
      </c>
      <c r="K7436" s="195">
        <v>-25.007259999999999</v>
      </c>
      <c r="L7436" s="195">
        <v>-0.8917214</v>
      </c>
      <c r="M7436" s="195">
        <v>-6.3007759999999999</v>
      </c>
      <c r="N7436" s="195">
        <v>-1.4376450000000001</v>
      </c>
    </row>
    <row r="7437" spans="1:14" hidden="1" x14ac:dyDescent="0.35">
      <c r="A7437" s="52" t="s">
        <v>741</v>
      </c>
      <c r="B7437" s="52" t="s">
        <v>34</v>
      </c>
      <c r="C7437" s="52" t="s">
        <v>33</v>
      </c>
      <c r="D7437" s="52" t="s">
        <v>33</v>
      </c>
      <c r="E7437" s="52" t="s">
        <v>584</v>
      </c>
      <c r="F7437" s="52" t="s">
        <v>581</v>
      </c>
      <c r="G7437" s="195" t="s">
        <v>277</v>
      </c>
      <c r="H7437" s="195">
        <v>0.32200000000000001</v>
      </c>
      <c r="I7437" s="195">
        <v>4.1682000000000004E-3</v>
      </c>
      <c r="J7437" s="195">
        <v>4.5854600000000002E-2</v>
      </c>
      <c r="K7437" s="195">
        <v>2.6019199999999999E-2</v>
      </c>
      <c r="L7437" s="195">
        <v>1.8990000000000001E-3</v>
      </c>
      <c r="M7437" s="195">
        <v>1.8749999999999999E-3</v>
      </c>
      <c r="N7437" s="195">
        <v>1.8519999999999999E-3</v>
      </c>
    </row>
    <row r="7438" spans="1:14" hidden="1" x14ac:dyDescent="0.35">
      <c r="A7438" s="52" t="s">
        <v>741</v>
      </c>
      <c r="B7438" s="52" t="s">
        <v>34</v>
      </c>
      <c r="C7438" s="52" t="s">
        <v>33</v>
      </c>
      <c r="D7438" s="52" t="s">
        <v>33</v>
      </c>
      <c r="E7438" s="52" t="s">
        <v>584</v>
      </c>
      <c r="F7438" s="52" t="s">
        <v>581</v>
      </c>
      <c r="G7438" s="195" t="s">
        <v>278</v>
      </c>
      <c r="H7438" s="195">
        <v>1.0862259999999999</v>
      </c>
      <c r="I7438" s="195">
        <v>1.447973</v>
      </c>
      <c r="J7438" s="195">
        <v>0.69209399999999999</v>
      </c>
      <c r="K7438" s="195">
        <v>1.05217</v>
      </c>
      <c r="L7438" s="195">
        <v>0.67773510000000003</v>
      </c>
      <c r="M7438" s="195">
        <v>0.51479759999999997</v>
      </c>
      <c r="N7438" s="195">
        <v>0.51479759999999997</v>
      </c>
    </row>
    <row r="7439" spans="1:14" hidden="1" x14ac:dyDescent="0.35">
      <c r="A7439" s="52" t="s">
        <v>741</v>
      </c>
      <c r="B7439" s="52" t="s">
        <v>34</v>
      </c>
      <c r="C7439" s="52" t="s">
        <v>33</v>
      </c>
      <c r="D7439" s="52" t="s">
        <v>33</v>
      </c>
      <c r="E7439" s="52" t="s">
        <v>584</v>
      </c>
      <c r="F7439" s="52" t="s">
        <v>581</v>
      </c>
      <c r="G7439" s="195" t="s">
        <v>279</v>
      </c>
      <c r="H7439" s="195">
        <v>11.06696</v>
      </c>
      <c r="I7439" s="195">
        <v>176.12430000000001</v>
      </c>
      <c r="J7439" s="195">
        <v>15.71771</v>
      </c>
      <c r="K7439" s="195">
        <v>106.90519999999999</v>
      </c>
      <c r="L7439" s="195">
        <v>3.914285</v>
      </c>
      <c r="M7439" s="195">
        <v>27.0306</v>
      </c>
      <c r="N7439" s="195">
        <v>5.2617149999999997</v>
      </c>
    </row>
    <row r="7440" spans="1:14" hidden="1" x14ac:dyDescent="0.35">
      <c r="A7440" s="52" t="s">
        <v>741</v>
      </c>
      <c r="B7440" s="52" t="s">
        <v>34</v>
      </c>
      <c r="C7440" s="52" t="s">
        <v>33</v>
      </c>
      <c r="D7440" s="52" t="s">
        <v>33</v>
      </c>
      <c r="E7440" s="52" t="s">
        <v>584</v>
      </c>
      <c r="F7440" s="52" t="s">
        <v>26</v>
      </c>
      <c r="G7440" s="195" t="s">
        <v>275</v>
      </c>
      <c r="H7440" s="195">
        <v>-5.9719559999999996</v>
      </c>
      <c r="I7440" s="195">
        <v>-174.25899999999999</v>
      </c>
      <c r="J7440" s="195">
        <v>-35.642409999999998</v>
      </c>
      <c r="K7440" s="195">
        <v>-170.7148</v>
      </c>
      <c r="L7440" s="195">
        <v>-21.345649999999999</v>
      </c>
      <c r="M7440" s="195">
        <v>-128.1576</v>
      </c>
      <c r="N7440" s="195">
        <v>-38.024279999999997</v>
      </c>
    </row>
    <row r="7441" spans="1:14" hidden="1" x14ac:dyDescent="0.35">
      <c r="A7441" s="52" t="s">
        <v>741</v>
      </c>
      <c r="B7441" s="52" t="s">
        <v>34</v>
      </c>
      <c r="C7441" s="52" t="s">
        <v>33</v>
      </c>
      <c r="D7441" s="52" t="s">
        <v>33</v>
      </c>
      <c r="E7441" s="52" t="s">
        <v>584</v>
      </c>
      <c r="F7441" s="52" t="s">
        <v>26</v>
      </c>
      <c r="G7441" s="195" t="s">
        <v>276</v>
      </c>
      <c r="H7441" s="195">
        <v>-30.844719999999999</v>
      </c>
      <c r="I7441" s="195">
        <v>-76.972759999999994</v>
      </c>
      <c r="J7441" s="195">
        <v>-13.92235</v>
      </c>
      <c r="K7441" s="195">
        <v>-52.405070000000002</v>
      </c>
      <c r="L7441" s="195">
        <v>-7.1832050000000001</v>
      </c>
      <c r="M7441" s="195">
        <v>-38.85857</v>
      </c>
      <c r="N7441" s="195">
        <v>-11.62102</v>
      </c>
    </row>
    <row r="7442" spans="1:14" hidden="1" x14ac:dyDescent="0.35">
      <c r="A7442" s="52" t="s">
        <v>741</v>
      </c>
      <c r="B7442" s="52" t="s">
        <v>34</v>
      </c>
      <c r="C7442" s="52" t="s">
        <v>33</v>
      </c>
      <c r="D7442" s="52" t="s">
        <v>33</v>
      </c>
      <c r="E7442" s="52" t="s">
        <v>584</v>
      </c>
      <c r="F7442" s="52" t="s">
        <v>26</v>
      </c>
      <c r="G7442" s="195" t="s">
        <v>277</v>
      </c>
      <c r="H7442" s="195">
        <v>14.439</v>
      </c>
      <c r="I7442" s="195">
        <v>8.2386330000000001</v>
      </c>
      <c r="J7442" s="195">
        <v>4.7575799999999999</v>
      </c>
      <c r="K7442" s="195">
        <v>2.8406920000000002</v>
      </c>
      <c r="L7442" s="195">
        <v>1.6756819999999999</v>
      </c>
      <c r="M7442" s="195">
        <v>0.51248839999999996</v>
      </c>
      <c r="N7442" s="195">
        <v>0.50177899999999998</v>
      </c>
    </row>
    <row r="7443" spans="1:14" hidden="1" x14ac:dyDescent="0.35">
      <c r="A7443" s="52" t="s">
        <v>741</v>
      </c>
      <c r="B7443" s="52" t="s">
        <v>34</v>
      </c>
      <c r="C7443" s="52" t="s">
        <v>33</v>
      </c>
      <c r="D7443" s="52" t="s">
        <v>33</v>
      </c>
      <c r="E7443" s="52" t="s">
        <v>584</v>
      </c>
      <c r="F7443" s="52" t="s">
        <v>26</v>
      </c>
      <c r="G7443" s="195" t="s">
        <v>279</v>
      </c>
      <c r="H7443" s="195">
        <v>177.595</v>
      </c>
      <c r="I7443" s="195">
        <v>277.36079999999998</v>
      </c>
      <c r="J7443" s="195">
        <v>71.481480000000005</v>
      </c>
      <c r="K7443" s="195">
        <v>238.96860000000001</v>
      </c>
      <c r="L7443" s="195">
        <v>43.112479999999998</v>
      </c>
      <c r="M7443" s="195">
        <v>174.27260000000001</v>
      </c>
      <c r="N7443" s="195">
        <v>51.637569999999997</v>
      </c>
    </row>
    <row r="7444" spans="1:14" hidden="1" x14ac:dyDescent="0.35">
      <c r="A7444" s="52" t="s">
        <v>741</v>
      </c>
      <c r="B7444" s="52" t="s">
        <v>34</v>
      </c>
      <c r="C7444" s="52" t="s">
        <v>33</v>
      </c>
      <c r="D7444" s="52" t="s">
        <v>33</v>
      </c>
      <c r="E7444" s="52" t="s">
        <v>605</v>
      </c>
      <c r="F7444" s="52" t="s">
        <v>581</v>
      </c>
      <c r="G7444" s="195" t="s">
        <v>275</v>
      </c>
      <c r="H7444" s="195">
        <v>-1.371032</v>
      </c>
      <c r="I7444" s="195">
        <v>-0.82418380000000002</v>
      </c>
      <c r="J7444" s="195">
        <v>-1.1934290000000001</v>
      </c>
      <c r="K7444" s="195">
        <v>-0.91017009999999998</v>
      </c>
      <c r="L7444" s="195">
        <v>-0.86862919999999999</v>
      </c>
      <c r="M7444" s="195">
        <v>-0.42955660000000001</v>
      </c>
      <c r="N7444" s="195">
        <v>-0.43087979999999998</v>
      </c>
    </row>
    <row r="7445" spans="1:14" hidden="1" x14ac:dyDescent="0.35">
      <c r="A7445" s="52" t="s">
        <v>741</v>
      </c>
      <c r="B7445" s="52" t="s">
        <v>34</v>
      </c>
      <c r="C7445" s="52" t="s">
        <v>33</v>
      </c>
      <c r="D7445" s="52" t="s">
        <v>33</v>
      </c>
      <c r="E7445" s="52" t="s">
        <v>605</v>
      </c>
      <c r="F7445" s="52" t="s">
        <v>581</v>
      </c>
      <c r="G7445" s="195" t="s">
        <v>276</v>
      </c>
      <c r="H7445" s="195">
        <v>0.22456799999999999</v>
      </c>
      <c r="I7445" s="195">
        <v>-0.64707320000000002</v>
      </c>
      <c r="J7445" s="195">
        <v>-0.74543090000000001</v>
      </c>
      <c r="K7445" s="195">
        <v>-0.724518</v>
      </c>
      <c r="L7445" s="195">
        <v>-0.43706499999999998</v>
      </c>
      <c r="M7445" s="195">
        <v>-0.2538242</v>
      </c>
      <c r="N7445" s="195">
        <v>-0.18604560000000001</v>
      </c>
    </row>
    <row r="7446" spans="1:14" hidden="1" x14ac:dyDescent="0.35">
      <c r="A7446" s="52" t="s">
        <v>741</v>
      </c>
      <c r="B7446" s="52" t="s">
        <v>34</v>
      </c>
      <c r="C7446" s="52" t="s">
        <v>33</v>
      </c>
      <c r="D7446" s="52" t="s">
        <v>33</v>
      </c>
      <c r="E7446" s="52" t="s">
        <v>605</v>
      </c>
      <c r="F7446" s="52" t="s">
        <v>581</v>
      </c>
      <c r="G7446" s="195" t="s">
        <v>277</v>
      </c>
      <c r="H7446" s="195">
        <v>5.2412729999999996</v>
      </c>
      <c r="I7446" s="195">
        <v>0</v>
      </c>
      <c r="J7446" s="195"/>
      <c r="K7446" s="195">
        <v>0</v>
      </c>
      <c r="L7446" s="195"/>
      <c r="M7446" s="195">
        <v>7.2459990000000001E-4</v>
      </c>
      <c r="N7446" s="195">
        <v>0</v>
      </c>
    </row>
    <row r="7447" spans="1:14" hidden="1" x14ac:dyDescent="0.35">
      <c r="A7447" s="52" t="s">
        <v>741</v>
      </c>
      <c r="B7447" s="52" t="s">
        <v>34</v>
      </c>
      <c r="C7447" s="52" t="s">
        <v>33</v>
      </c>
      <c r="D7447" s="52" t="s">
        <v>33</v>
      </c>
      <c r="E7447" s="52" t="s">
        <v>605</v>
      </c>
      <c r="F7447" s="52" t="s">
        <v>581</v>
      </c>
      <c r="G7447" s="195" t="s">
        <v>278</v>
      </c>
      <c r="H7447" s="195">
        <v>1.4377249999999999</v>
      </c>
      <c r="I7447" s="195">
        <v>0.7369464</v>
      </c>
      <c r="J7447" s="195">
        <v>0.91584940000000004</v>
      </c>
      <c r="K7447" s="195">
        <v>0.756749</v>
      </c>
      <c r="L7447" s="195">
        <v>1.0401799999999999E-2</v>
      </c>
      <c r="M7447" s="195">
        <v>0</v>
      </c>
      <c r="N7447" s="195"/>
    </row>
    <row r="7448" spans="1:14" hidden="1" x14ac:dyDescent="0.35">
      <c r="A7448" s="52" t="s">
        <v>741</v>
      </c>
      <c r="B7448" s="52" t="s">
        <v>34</v>
      </c>
      <c r="C7448" s="52" t="s">
        <v>33</v>
      </c>
      <c r="D7448" s="52" t="s">
        <v>33</v>
      </c>
      <c r="E7448" s="52" t="s">
        <v>605</v>
      </c>
      <c r="F7448" s="52" t="s">
        <v>581</v>
      </c>
      <c r="G7448" s="195" t="s">
        <v>279</v>
      </c>
      <c r="H7448" s="195">
        <v>4.902291</v>
      </c>
      <c r="I7448" s="195">
        <v>4.6013719999999996</v>
      </c>
      <c r="J7448" s="195">
        <v>4.5311360000000001</v>
      </c>
      <c r="K7448" s="195">
        <v>4.1463299999999998</v>
      </c>
      <c r="L7448" s="195">
        <v>4.2770429999999999</v>
      </c>
      <c r="M7448" s="195">
        <v>3.2886630000000001</v>
      </c>
      <c r="N7448" s="195">
        <v>2.967177</v>
      </c>
    </row>
    <row r="7449" spans="1:14" hidden="1" x14ac:dyDescent="0.35">
      <c r="A7449" s="52" t="s">
        <v>741</v>
      </c>
      <c r="B7449" s="52" t="s">
        <v>34</v>
      </c>
      <c r="C7449" s="52" t="s">
        <v>33</v>
      </c>
      <c r="D7449" s="52" t="s">
        <v>33</v>
      </c>
      <c r="E7449" s="52" t="s">
        <v>605</v>
      </c>
      <c r="F7449" s="52" t="s">
        <v>26</v>
      </c>
      <c r="G7449" s="195" t="s">
        <v>275</v>
      </c>
      <c r="H7449" s="195">
        <v>-5.2453380000000003</v>
      </c>
      <c r="I7449" s="195">
        <v>-7.584924</v>
      </c>
      <c r="J7449" s="195">
        <v>-9.2094470000000008</v>
      </c>
      <c r="K7449" s="195">
        <v>-8.6856779999999993</v>
      </c>
      <c r="L7449" s="195">
        <v>-9.9673449999999999</v>
      </c>
      <c r="M7449" s="195">
        <v>-7.2798499999999997</v>
      </c>
      <c r="N7449" s="195">
        <v>-6.777704</v>
      </c>
    </row>
    <row r="7450" spans="1:14" hidden="1" x14ac:dyDescent="0.35">
      <c r="A7450" s="52" t="s">
        <v>741</v>
      </c>
      <c r="B7450" s="52" t="s">
        <v>34</v>
      </c>
      <c r="C7450" s="52" t="s">
        <v>33</v>
      </c>
      <c r="D7450" s="52" t="s">
        <v>33</v>
      </c>
      <c r="E7450" s="52" t="s">
        <v>605</v>
      </c>
      <c r="F7450" s="52" t="s">
        <v>26</v>
      </c>
      <c r="G7450" s="195" t="s">
        <v>276</v>
      </c>
      <c r="H7450" s="195">
        <v>-3.2694009999999998</v>
      </c>
      <c r="I7450" s="195">
        <v>-3.4822950000000001</v>
      </c>
      <c r="J7450" s="195">
        <v>-2.9082469999999998</v>
      </c>
      <c r="K7450" s="195">
        <v>-2.5944229999999999</v>
      </c>
      <c r="L7450" s="195">
        <v>-2.9772590000000001</v>
      </c>
      <c r="M7450" s="195">
        <v>-2.1745019999999999</v>
      </c>
      <c r="N7450" s="195">
        <v>-2.024508</v>
      </c>
    </row>
    <row r="7451" spans="1:14" hidden="1" x14ac:dyDescent="0.35">
      <c r="A7451" s="52" t="s">
        <v>741</v>
      </c>
      <c r="B7451" s="52" t="s">
        <v>34</v>
      </c>
      <c r="C7451" s="52" t="s">
        <v>33</v>
      </c>
      <c r="D7451" s="52" t="s">
        <v>33</v>
      </c>
      <c r="E7451" s="52" t="s">
        <v>605</v>
      </c>
      <c r="F7451" s="52" t="s">
        <v>26</v>
      </c>
      <c r="G7451" s="195" t="s">
        <v>279</v>
      </c>
      <c r="H7451" s="195">
        <v>28.236550000000001</v>
      </c>
      <c r="I7451" s="195">
        <v>25.460380000000001</v>
      </c>
      <c r="J7451" s="195">
        <v>23.28144</v>
      </c>
      <c r="K7451" s="195">
        <v>21.360690000000002</v>
      </c>
      <c r="L7451" s="195">
        <v>21.987500000000001</v>
      </c>
      <c r="M7451" s="195">
        <v>17.455570000000002</v>
      </c>
      <c r="N7451" s="195">
        <v>15.925800000000001</v>
      </c>
    </row>
    <row r="7452" spans="1:14" hidden="1" x14ac:dyDescent="0.35">
      <c r="A7452" s="52" t="s">
        <v>741</v>
      </c>
      <c r="B7452" s="52" t="s">
        <v>34</v>
      </c>
      <c r="C7452" s="52" t="s">
        <v>33</v>
      </c>
      <c r="D7452" s="52" t="s">
        <v>33</v>
      </c>
      <c r="E7452" s="52" t="s">
        <v>636</v>
      </c>
      <c r="F7452" s="52" t="s">
        <v>581</v>
      </c>
      <c r="G7452" s="195" t="s">
        <v>275</v>
      </c>
      <c r="H7452" s="195">
        <v>14.805350000000001</v>
      </c>
      <c r="I7452" s="195">
        <v>8.2794489999999996</v>
      </c>
      <c r="J7452" s="195">
        <v>4.8260139999999998</v>
      </c>
      <c r="K7452" s="195">
        <v>2.9964430000000002</v>
      </c>
      <c r="L7452" s="195">
        <v>1.1092040000000001</v>
      </c>
      <c r="M7452" s="195">
        <v>3.1273490000000002</v>
      </c>
      <c r="N7452" s="195">
        <v>2.596025</v>
      </c>
    </row>
    <row r="7453" spans="1:14" hidden="1" x14ac:dyDescent="0.35">
      <c r="A7453" s="52" t="s">
        <v>741</v>
      </c>
      <c r="B7453" s="52" t="s">
        <v>34</v>
      </c>
      <c r="C7453" s="52" t="s">
        <v>33</v>
      </c>
      <c r="D7453" s="52" t="s">
        <v>33</v>
      </c>
      <c r="E7453" s="52" t="s">
        <v>636</v>
      </c>
      <c r="F7453" s="52" t="s">
        <v>581</v>
      </c>
      <c r="G7453" s="195" t="s">
        <v>276</v>
      </c>
      <c r="H7453" s="195">
        <v>0.72403600000000001</v>
      </c>
      <c r="I7453" s="195">
        <v>-2.9995949999999998</v>
      </c>
      <c r="J7453" s="195">
        <v>-2.1912159999999998</v>
      </c>
      <c r="K7453" s="195">
        <v>0.1386626</v>
      </c>
      <c r="L7453" s="195">
        <v>0.51106560000000001</v>
      </c>
      <c r="M7453" s="195">
        <v>0.55928199999999995</v>
      </c>
      <c r="N7453" s="195">
        <v>0.54048119999999999</v>
      </c>
    </row>
    <row r="7454" spans="1:14" hidden="1" x14ac:dyDescent="0.35">
      <c r="A7454" s="52" t="s">
        <v>741</v>
      </c>
      <c r="B7454" s="52" t="s">
        <v>34</v>
      </c>
      <c r="C7454" s="52" t="s">
        <v>33</v>
      </c>
      <c r="D7454" s="52" t="s">
        <v>33</v>
      </c>
      <c r="E7454" s="52" t="s">
        <v>636</v>
      </c>
      <c r="F7454" s="52" t="s">
        <v>581</v>
      </c>
      <c r="G7454" s="195" t="s">
        <v>277</v>
      </c>
      <c r="H7454" s="195">
        <v>5.2478280000000002</v>
      </c>
      <c r="I7454" s="195">
        <v>0</v>
      </c>
      <c r="J7454" s="195">
        <v>0.1611476</v>
      </c>
      <c r="K7454" s="195">
        <v>0.17512340000000001</v>
      </c>
      <c r="L7454" s="195">
        <v>0.36074460000000003</v>
      </c>
      <c r="M7454" s="195">
        <v>0</v>
      </c>
      <c r="N7454" s="195">
        <v>0</v>
      </c>
    </row>
    <row r="7455" spans="1:14" hidden="1" x14ac:dyDescent="0.35">
      <c r="A7455" s="52" t="s">
        <v>741</v>
      </c>
      <c r="B7455" s="52" t="s">
        <v>34</v>
      </c>
      <c r="C7455" s="52" t="s">
        <v>33</v>
      </c>
      <c r="D7455" s="52" t="s">
        <v>33</v>
      </c>
      <c r="E7455" s="52" t="s">
        <v>636</v>
      </c>
      <c r="F7455" s="52" t="s">
        <v>581</v>
      </c>
      <c r="G7455" s="195" t="s">
        <v>278</v>
      </c>
      <c r="H7455" s="195">
        <v>5.026173</v>
      </c>
      <c r="I7455" s="195">
        <v>1.057261</v>
      </c>
      <c r="J7455" s="195">
        <v>1.712402</v>
      </c>
      <c r="K7455" s="195">
        <v>0.85017759999999998</v>
      </c>
      <c r="L7455" s="195">
        <v>1.760305</v>
      </c>
      <c r="M7455" s="195">
        <v>0</v>
      </c>
      <c r="N7455" s="195">
        <v>0</v>
      </c>
    </row>
    <row r="7456" spans="1:14" hidden="1" x14ac:dyDescent="0.35">
      <c r="A7456" s="52" t="s">
        <v>741</v>
      </c>
      <c r="B7456" s="52" t="s">
        <v>34</v>
      </c>
      <c r="C7456" s="52" t="s">
        <v>33</v>
      </c>
      <c r="D7456" s="52" t="s">
        <v>33</v>
      </c>
      <c r="E7456" s="52" t="s">
        <v>636</v>
      </c>
      <c r="F7456" s="52" t="s">
        <v>581</v>
      </c>
      <c r="G7456" s="195" t="s">
        <v>279</v>
      </c>
      <c r="H7456" s="195">
        <v>3.1530649999999998</v>
      </c>
      <c r="I7456" s="195">
        <v>2.5562269999999998</v>
      </c>
      <c r="J7456" s="195">
        <v>2.065515</v>
      </c>
      <c r="K7456" s="195">
        <v>1.86825</v>
      </c>
      <c r="L7456" s="195">
        <v>1.9771989999999999</v>
      </c>
      <c r="M7456" s="195">
        <v>1.5932569999999999</v>
      </c>
      <c r="N7456" s="195">
        <v>1.3641289999999999</v>
      </c>
    </row>
    <row r="7457" spans="1:14" hidden="1" x14ac:dyDescent="0.35">
      <c r="A7457" s="52" t="s">
        <v>741</v>
      </c>
      <c r="B7457" s="52" t="s">
        <v>34</v>
      </c>
      <c r="C7457" s="52" t="s">
        <v>33</v>
      </c>
      <c r="D7457" s="52" t="s">
        <v>33</v>
      </c>
      <c r="E7457" s="52" t="s">
        <v>636</v>
      </c>
      <c r="F7457" s="52" t="s">
        <v>26</v>
      </c>
      <c r="G7457" s="195" t="s">
        <v>275</v>
      </c>
      <c r="H7457" s="195">
        <v>-6.2614010000000002</v>
      </c>
      <c r="I7457" s="195">
        <v>8.0055259999999997</v>
      </c>
      <c r="J7457" s="195">
        <v>3.76736</v>
      </c>
      <c r="K7457" s="195">
        <v>0.9543064</v>
      </c>
      <c r="L7457" s="195">
        <v>-1.167111</v>
      </c>
      <c r="M7457" s="195">
        <v>0.4087904</v>
      </c>
      <c r="N7457" s="195">
        <v>0.24915599999999999</v>
      </c>
    </row>
    <row r="7458" spans="1:14" hidden="1" x14ac:dyDescent="0.35">
      <c r="A7458" s="52" t="s">
        <v>741</v>
      </c>
      <c r="B7458" s="52" t="s">
        <v>34</v>
      </c>
      <c r="C7458" s="52" t="s">
        <v>33</v>
      </c>
      <c r="D7458" s="52" t="s">
        <v>33</v>
      </c>
      <c r="E7458" s="52" t="s">
        <v>636</v>
      </c>
      <c r="F7458" s="52" t="s">
        <v>26</v>
      </c>
      <c r="G7458" s="195" t="s">
        <v>276</v>
      </c>
      <c r="H7458" s="195">
        <v>-5.9474330000000002</v>
      </c>
      <c r="I7458" s="195">
        <v>-5.9266719999999999</v>
      </c>
      <c r="J7458" s="195">
        <v>-3.9424549999999998</v>
      </c>
      <c r="K7458" s="195">
        <v>-0.95682719999999999</v>
      </c>
      <c r="L7458" s="195">
        <v>-0.1665826</v>
      </c>
      <c r="M7458" s="195">
        <v>-7.2522799999999998E-2</v>
      </c>
      <c r="N7458" s="195">
        <v>-5.5492800000000002E-2</v>
      </c>
    </row>
    <row r="7459" spans="1:14" hidden="1" x14ac:dyDescent="0.35">
      <c r="A7459" s="52" t="s">
        <v>741</v>
      </c>
      <c r="B7459" s="52" t="s">
        <v>34</v>
      </c>
      <c r="C7459" s="52" t="s">
        <v>33</v>
      </c>
      <c r="D7459" s="52" t="s">
        <v>33</v>
      </c>
      <c r="E7459" s="52" t="s">
        <v>636</v>
      </c>
      <c r="F7459" s="52" t="s">
        <v>26</v>
      </c>
      <c r="G7459" s="195" t="s">
        <v>277</v>
      </c>
      <c r="H7459" s="195">
        <v>16.755559999999999</v>
      </c>
      <c r="I7459" s="195">
        <v>0</v>
      </c>
      <c r="J7459" s="195">
        <v>0.26025140000000002</v>
      </c>
      <c r="K7459" s="195">
        <v>0.13485320000000001</v>
      </c>
      <c r="L7459" s="195">
        <v>0.8165654</v>
      </c>
      <c r="M7459" s="195">
        <v>0</v>
      </c>
      <c r="N7459" s="195">
        <v>0</v>
      </c>
    </row>
    <row r="7460" spans="1:14" hidden="1" x14ac:dyDescent="0.35">
      <c r="A7460" s="52" t="s">
        <v>741</v>
      </c>
      <c r="B7460" s="52" t="s">
        <v>34</v>
      </c>
      <c r="C7460" s="52" t="s">
        <v>33</v>
      </c>
      <c r="D7460" s="52" t="s">
        <v>33</v>
      </c>
      <c r="E7460" s="52" t="s">
        <v>636</v>
      </c>
      <c r="F7460" s="52" t="s">
        <v>26</v>
      </c>
      <c r="G7460" s="195" t="s">
        <v>278</v>
      </c>
      <c r="H7460" s="195">
        <v>0.44444400000000001</v>
      </c>
      <c r="I7460" s="195">
        <v>0</v>
      </c>
      <c r="J7460" s="195">
        <v>0.60633700000000001</v>
      </c>
      <c r="K7460" s="195">
        <v>0.34387980000000001</v>
      </c>
      <c r="L7460" s="195">
        <v>0.44444400000000001</v>
      </c>
      <c r="M7460" s="195">
        <v>0</v>
      </c>
      <c r="N7460" s="195"/>
    </row>
    <row r="7461" spans="1:14" hidden="1" x14ac:dyDescent="0.35">
      <c r="A7461" s="52" t="s">
        <v>741</v>
      </c>
      <c r="B7461" s="52" t="s">
        <v>34</v>
      </c>
      <c r="C7461" s="52" t="s">
        <v>33</v>
      </c>
      <c r="D7461" s="52" t="s">
        <v>33</v>
      </c>
      <c r="E7461" s="52" t="s">
        <v>636</v>
      </c>
      <c r="F7461" s="52" t="s">
        <v>26</v>
      </c>
      <c r="G7461" s="195" t="s">
        <v>279</v>
      </c>
      <c r="H7461" s="195">
        <v>7.1889609999999999</v>
      </c>
      <c r="I7461" s="195">
        <v>5.8620590000000004</v>
      </c>
      <c r="J7461" s="195">
        <v>4.7646160000000002</v>
      </c>
      <c r="K7461" s="195">
        <v>4.3741300000000001</v>
      </c>
      <c r="L7461" s="195">
        <v>4.556629</v>
      </c>
      <c r="M7461" s="195">
        <v>3.6825770000000002</v>
      </c>
      <c r="N7461" s="195">
        <v>3.158811</v>
      </c>
    </row>
    <row r="7462" spans="1:14" hidden="1" x14ac:dyDescent="0.35">
      <c r="A7462" s="52" t="s">
        <v>741</v>
      </c>
      <c r="B7462" s="52" t="s">
        <v>34</v>
      </c>
      <c r="C7462" s="52" t="s">
        <v>33</v>
      </c>
      <c r="D7462" s="52" t="s">
        <v>33</v>
      </c>
      <c r="E7462" s="52" t="s">
        <v>727</v>
      </c>
      <c r="F7462" s="52" t="s">
        <v>581</v>
      </c>
      <c r="G7462" s="195" t="s">
        <v>275</v>
      </c>
      <c r="H7462" s="195">
        <v>0.84760489999999999</v>
      </c>
      <c r="I7462" s="195">
        <v>-1.3891709999999999</v>
      </c>
      <c r="J7462" s="195">
        <v>-1.314144</v>
      </c>
      <c r="K7462" s="195">
        <v>-1.183667</v>
      </c>
      <c r="L7462" s="195">
        <v>-1.368525</v>
      </c>
      <c r="M7462" s="195">
        <v>-0.98959909999999995</v>
      </c>
      <c r="N7462" s="195">
        <v>-0.90892859999999998</v>
      </c>
    </row>
    <row r="7463" spans="1:14" hidden="1" x14ac:dyDescent="0.35">
      <c r="A7463" s="52" t="s">
        <v>741</v>
      </c>
      <c r="B7463" s="52" t="s">
        <v>34</v>
      </c>
      <c r="C7463" s="52" t="s">
        <v>33</v>
      </c>
      <c r="D7463" s="52" t="s">
        <v>33</v>
      </c>
      <c r="E7463" s="52" t="s">
        <v>727</v>
      </c>
      <c r="F7463" s="52" t="s">
        <v>581</v>
      </c>
      <c r="G7463" s="195" t="s">
        <v>276</v>
      </c>
      <c r="H7463" s="195">
        <v>0.30559799999999998</v>
      </c>
      <c r="I7463" s="195">
        <v>-0.463057</v>
      </c>
      <c r="J7463" s="195">
        <v>-0.414993</v>
      </c>
      <c r="K7463" s="195">
        <v>-0.3535626</v>
      </c>
      <c r="L7463" s="195">
        <v>-0.40878059999999999</v>
      </c>
      <c r="M7463" s="195">
        <v>-0.29559419999999997</v>
      </c>
      <c r="N7463" s="195">
        <v>-0.27149879999999998</v>
      </c>
    </row>
    <row r="7464" spans="1:14" hidden="1" x14ac:dyDescent="0.35">
      <c r="A7464" s="52" t="s">
        <v>741</v>
      </c>
      <c r="B7464" s="52" t="s">
        <v>34</v>
      </c>
      <c r="C7464" s="52" t="s">
        <v>33</v>
      </c>
      <c r="D7464" s="52" t="s">
        <v>33</v>
      </c>
      <c r="E7464" s="52" t="s">
        <v>727</v>
      </c>
      <c r="F7464" s="52" t="s">
        <v>581</v>
      </c>
      <c r="G7464" s="195" t="s">
        <v>279</v>
      </c>
      <c r="H7464" s="195">
        <v>4.4469890000000003</v>
      </c>
      <c r="I7464" s="195">
        <v>3.8819720000000002</v>
      </c>
      <c r="J7464" s="195">
        <v>3.311947</v>
      </c>
      <c r="K7464" s="195">
        <v>2.9926550000000001</v>
      </c>
      <c r="L7464" s="195">
        <v>3.1197780000000002</v>
      </c>
      <c r="M7464" s="195">
        <v>2.5277400000000001</v>
      </c>
      <c r="N7464" s="195">
        <v>2.3248570000000002</v>
      </c>
    </row>
    <row r="7465" spans="1:14" hidden="1" x14ac:dyDescent="0.35">
      <c r="A7465" s="52" t="s">
        <v>741</v>
      </c>
      <c r="B7465" s="52" t="s">
        <v>34</v>
      </c>
      <c r="C7465" s="52" t="s">
        <v>33</v>
      </c>
      <c r="D7465" s="52" t="s">
        <v>33</v>
      </c>
      <c r="E7465" s="52" t="s">
        <v>727</v>
      </c>
      <c r="F7465" s="52" t="s">
        <v>26</v>
      </c>
      <c r="G7465" s="195" t="s">
        <v>275</v>
      </c>
      <c r="H7465" s="195">
        <v>-4.3564319999999999</v>
      </c>
      <c r="I7465" s="195">
        <v>-4.7385989999999998</v>
      </c>
      <c r="J7465" s="195">
        <v>-4.5608820000000003</v>
      </c>
      <c r="K7465" s="195">
        <v>-4.2390780000000001</v>
      </c>
      <c r="L7465" s="195">
        <v>-4.7125859999999999</v>
      </c>
      <c r="M7465" s="195">
        <v>-3.6292650000000002</v>
      </c>
      <c r="N7465" s="195">
        <v>-3.3829929999999999</v>
      </c>
    </row>
    <row r="7466" spans="1:14" hidden="1" x14ac:dyDescent="0.35">
      <c r="A7466" s="52" t="s">
        <v>741</v>
      </c>
      <c r="B7466" s="52" t="s">
        <v>34</v>
      </c>
      <c r="C7466" s="52" t="s">
        <v>33</v>
      </c>
      <c r="D7466" s="52" t="s">
        <v>33</v>
      </c>
      <c r="E7466" s="52" t="s">
        <v>727</v>
      </c>
      <c r="F7466" s="52" t="s">
        <v>26</v>
      </c>
      <c r="G7466" s="195" t="s">
        <v>276</v>
      </c>
      <c r="H7466" s="195">
        <v>-1.570686</v>
      </c>
      <c r="I7466" s="195">
        <v>-1.5795330000000001</v>
      </c>
      <c r="J7466" s="195">
        <v>-1.4402790000000001</v>
      </c>
      <c r="K7466" s="195">
        <v>-1.266219</v>
      </c>
      <c r="L7466" s="195">
        <v>-1.407656</v>
      </c>
      <c r="M7466" s="195">
        <v>-1.084066</v>
      </c>
      <c r="N7466" s="195">
        <v>-1.0105040000000001</v>
      </c>
    </row>
    <row r="7467" spans="1:14" hidden="1" x14ac:dyDescent="0.35">
      <c r="A7467" s="52" t="s">
        <v>741</v>
      </c>
      <c r="B7467" s="52" t="s">
        <v>34</v>
      </c>
      <c r="C7467" s="52" t="s">
        <v>33</v>
      </c>
      <c r="D7467" s="52" t="s">
        <v>33</v>
      </c>
      <c r="E7467" s="52" t="s">
        <v>727</v>
      </c>
      <c r="F7467" s="52" t="s">
        <v>26</v>
      </c>
      <c r="G7467" s="195" t="s">
        <v>277</v>
      </c>
      <c r="H7467" s="195"/>
      <c r="I7467" s="195"/>
      <c r="J7467" s="195"/>
      <c r="K7467" s="195"/>
      <c r="L7467" s="195"/>
      <c r="M7467" s="195">
        <v>0</v>
      </c>
      <c r="N7467" s="195"/>
    </row>
    <row r="7468" spans="1:14" hidden="1" x14ac:dyDescent="0.35">
      <c r="A7468" s="52" t="s">
        <v>741</v>
      </c>
      <c r="B7468" s="52" t="s">
        <v>34</v>
      </c>
      <c r="C7468" s="52" t="s">
        <v>33</v>
      </c>
      <c r="D7468" s="52" t="s">
        <v>33</v>
      </c>
      <c r="E7468" s="52" t="s">
        <v>727</v>
      </c>
      <c r="F7468" s="52" t="s">
        <v>26</v>
      </c>
      <c r="G7468" s="195" t="s">
        <v>279</v>
      </c>
      <c r="H7468" s="195">
        <v>12.649050000000001</v>
      </c>
      <c r="I7468" s="195">
        <v>11.01478</v>
      </c>
      <c r="J7468" s="195">
        <v>9.4523309999999992</v>
      </c>
      <c r="K7468" s="195">
        <v>8.6064559999999997</v>
      </c>
      <c r="L7468" s="195">
        <v>8.9119700000000002</v>
      </c>
      <c r="M7468" s="195">
        <v>7.2319050000000002</v>
      </c>
      <c r="N7468" s="195">
        <v>6.6516219999999997</v>
      </c>
    </row>
    <row r="7469" spans="1:14" hidden="1" x14ac:dyDescent="0.35">
      <c r="A7469" s="52" t="s">
        <v>741</v>
      </c>
      <c r="B7469" s="52" t="s">
        <v>34</v>
      </c>
      <c r="C7469" s="52" t="s">
        <v>33</v>
      </c>
      <c r="D7469" s="52" t="s">
        <v>33</v>
      </c>
      <c r="E7469" s="52" t="s">
        <v>638</v>
      </c>
      <c r="F7469" s="52" t="s">
        <v>581</v>
      </c>
      <c r="G7469" s="195" t="s">
        <v>275</v>
      </c>
      <c r="H7469" s="195">
        <v>3.7941099999999999</v>
      </c>
      <c r="I7469" s="195">
        <v>1.2239420000000001</v>
      </c>
      <c r="J7469" s="195">
        <v>-1.4281789999999999E-3</v>
      </c>
      <c r="K7469" s="195">
        <v>-0.47367399999999998</v>
      </c>
      <c r="L7469" s="195">
        <v>-1.2043250000000001</v>
      </c>
      <c r="M7469" s="195">
        <v>0.88459520000000003</v>
      </c>
      <c r="N7469" s="195">
        <v>0.71348319999999998</v>
      </c>
    </row>
    <row r="7470" spans="1:14" hidden="1" x14ac:dyDescent="0.35">
      <c r="A7470" s="52" t="s">
        <v>741</v>
      </c>
      <c r="B7470" s="52" t="s">
        <v>34</v>
      </c>
      <c r="C7470" s="52" t="s">
        <v>33</v>
      </c>
      <c r="D7470" s="52" t="s">
        <v>33</v>
      </c>
      <c r="E7470" s="52" t="s">
        <v>638</v>
      </c>
      <c r="F7470" s="52" t="s">
        <v>581</v>
      </c>
      <c r="G7470" s="195" t="s">
        <v>276</v>
      </c>
      <c r="H7470" s="195">
        <v>-0.40712100000000001</v>
      </c>
      <c r="I7470" s="195">
        <v>-0.42255999999999999</v>
      </c>
      <c r="J7470" s="195">
        <v>-0.50309250000000005</v>
      </c>
      <c r="K7470" s="195">
        <v>3.8653600000000003E-2</v>
      </c>
      <c r="L7470" s="195">
        <v>-6.0322609999999999E-2</v>
      </c>
      <c r="M7470" s="195">
        <v>-7.4930819999999995E-2</v>
      </c>
      <c r="N7470" s="195">
        <v>-3.6440800000000002E-2</v>
      </c>
    </row>
    <row r="7471" spans="1:14" hidden="1" x14ac:dyDescent="0.35">
      <c r="A7471" s="52" t="s">
        <v>741</v>
      </c>
      <c r="B7471" s="52" t="s">
        <v>34</v>
      </c>
      <c r="C7471" s="52" t="s">
        <v>33</v>
      </c>
      <c r="D7471" s="52" t="s">
        <v>33</v>
      </c>
      <c r="E7471" s="52" t="s">
        <v>638</v>
      </c>
      <c r="F7471" s="52" t="s">
        <v>581</v>
      </c>
      <c r="G7471" s="195" t="s">
        <v>277</v>
      </c>
      <c r="H7471" s="195">
        <v>0</v>
      </c>
      <c r="I7471" s="195">
        <v>0</v>
      </c>
      <c r="J7471" s="195">
        <v>0.31080419999999997</v>
      </c>
      <c r="K7471" s="195">
        <v>0.21478240000000001</v>
      </c>
      <c r="L7471" s="195">
        <v>1.428844</v>
      </c>
      <c r="M7471" s="195">
        <v>0</v>
      </c>
      <c r="N7471" s="195">
        <v>0</v>
      </c>
    </row>
    <row r="7472" spans="1:14" hidden="1" x14ac:dyDescent="0.35">
      <c r="A7472" s="52" t="s">
        <v>741</v>
      </c>
      <c r="B7472" s="52" t="s">
        <v>34</v>
      </c>
      <c r="C7472" s="52" t="s">
        <v>33</v>
      </c>
      <c r="D7472" s="52" t="s">
        <v>33</v>
      </c>
      <c r="E7472" s="52" t="s">
        <v>638</v>
      </c>
      <c r="F7472" s="52" t="s">
        <v>581</v>
      </c>
      <c r="G7472" s="195" t="s">
        <v>278</v>
      </c>
      <c r="H7472" s="195">
        <v>0</v>
      </c>
      <c r="I7472" s="195">
        <v>0</v>
      </c>
      <c r="J7472" s="195">
        <v>0.88910520000000004</v>
      </c>
      <c r="K7472" s="195">
        <v>0.98929279999999997</v>
      </c>
      <c r="L7472" s="195">
        <v>0.70899020000000001</v>
      </c>
      <c r="M7472" s="195">
        <v>0</v>
      </c>
      <c r="N7472" s="195"/>
    </row>
    <row r="7473" spans="1:14" hidden="1" x14ac:dyDescent="0.35">
      <c r="A7473" s="52" t="s">
        <v>741</v>
      </c>
      <c r="B7473" s="52" t="s">
        <v>34</v>
      </c>
      <c r="C7473" s="52" t="s">
        <v>33</v>
      </c>
      <c r="D7473" s="52" t="s">
        <v>33</v>
      </c>
      <c r="E7473" s="52" t="s">
        <v>638</v>
      </c>
      <c r="F7473" s="52" t="s">
        <v>581</v>
      </c>
      <c r="G7473" s="195" t="s">
        <v>279</v>
      </c>
      <c r="H7473" s="195">
        <v>0.42496299999999998</v>
      </c>
      <c r="I7473" s="195">
        <v>0.32478600000000002</v>
      </c>
      <c r="J7473" s="195">
        <v>0.32322459999999997</v>
      </c>
      <c r="K7473" s="195">
        <v>0.35060580000000002</v>
      </c>
      <c r="L7473" s="195">
        <v>0.47430879999999997</v>
      </c>
      <c r="M7473" s="195">
        <v>0.36478240000000001</v>
      </c>
      <c r="N7473" s="195">
        <v>0.30377559999999998</v>
      </c>
    </row>
    <row r="7474" spans="1:14" hidden="1" x14ac:dyDescent="0.35">
      <c r="A7474" s="52" t="s">
        <v>741</v>
      </c>
      <c r="B7474" s="52" t="s">
        <v>34</v>
      </c>
      <c r="C7474" s="52" t="s">
        <v>33</v>
      </c>
      <c r="D7474" s="52" t="s">
        <v>33</v>
      </c>
      <c r="E7474" s="52" t="s">
        <v>638</v>
      </c>
      <c r="F7474" s="52" t="s">
        <v>26</v>
      </c>
      <c r="G7474" s="195" t="s">
        <v>275</v>
      </c>
      <c r="H7474" s="195">
        <v>9.5133999999999996E-2</v>
      </c>
      <c r="I7474" s="195">
        <v>3.0430800000000001E-2</v>
      </c>
      <c r="J7474" s="195">
        <v>6.7873990000000004E-3</v>
      </c>
      <c r="K7474" s="195">
        <v>3.251E-3</v>
      </c>
      <c r="L7474" s="195">
        <v>-1.8663200000000001E-2</v>
      </c>
      <c r="M7474" s="195">
        <v>-6.1160049999999997E-4</v>
      </c>
      <c r="N7474" s="195">
        <v>-3.5152E-3</v>
      </c>
    </row>
    <row r="7475" spans="1:14" hidden="1" x14ac:dyDescent="0.35">
      <c r="A7475" s="52" t="s">
        <v>741</v>
      </c>
      <c r="B7475" s="52" t="s">
        <v>34</v>
      </c>
      <c r="C7475" s="52" t="s">
        <v>33</v>
      </c>
      <c r="D7475" s="52" t="s">
        <v>33</v>
      </c>
      <c r="E7475" s="52" t="s">
        <v>638</v>
      </c>
      <c r="F7475" s="52" t="s">
        <v>26</v>
      </c>
      <c r="G7475" s="195" t="s">
        <v>276</v>
      </c>
      <c r="H7475" s="195">
        <v>3.4299999999999997E-2</v>
      </c>
      <c r="I7475" s="195">
        <v>1.01434E-2</v>
      </c>
      <c r="J7475" s="195">
        <v>2.1432000000000001E-3</v>
      </c>
      <c r="K7475" s="195">
        <v>9.7120010000000001E-4</v>
      </c>
      <c r="L7475" s="195">
        <v>-5.5745999999999999E-3</v>
      </c>
      <c r="M7475" s="195">
        <v>-1.826001E-4</v>
      </c>
      <c r="N7475" s="195">
        <v>-1.0503999999999999E-3</v>
      </c>
    </row>
    <row r="7476" spans="1:14" hidden="1" x14ac:dyDescent="0.35">
      <c r="A7476" s="52" t="s">
        <v>741</v>
      </c>
      <c r="B7476" s="52" t="s">
        <v>34</v>
      </c>
      <c r="C7476" s="52" t="s">
        <v>33</v>
      </c>
      <c r="D7476" s="52" t="s">
        <v>33</v>
      </c>
      <c r="E7476" s="52" t="s">
        <v>638</v>
      </c>
      <c r="F7476" s="52" t="s">
        <v>26</v>
      </c>
      <c r="G7476" s="195" t="s">
        <v>279</v>
      </c>
      <c r="H7476" s="195">
        <v>0.23502000000000001</v>
      </c>
      <c r="I7476" s="195">
        <v>0.16717399999999999</v>
      </c>
      <c r="J7476" s="195">
        <v>0.1686194</v>
      </c>
      <c r="K7476" s="195">
        <v>0.18602579999999999</v>
      </c>
      <c r="L7476" s="195">
        <v>0.24796019999999999</v>
      </c>
      <c r="M7476" s="195">
        <v>0.19135959999999999</v>
      </c>
      <c r="N7476" s="195">
        <v>0.1593658</v>
      </c>
    </row>
    <row r="7477" spans="1:14" hidden="1" x14ac:dyDescent="0.35">
      <c r="A7477" s="52" t="s">
        <v>741</v>
      </c>
      <c r="B7477" s="52" t="s">
        <v>34</v>
      </c>
      <c r="C7477" s="52" t="s">
        <v>33</v>
      </c>
      <c r="D7477" s="52" t="s">
        <v>33</v>
      </c>
      <c r="E7477" s="52" t="s">
        <v>742</v>
      </c>
      <c r="F7477" s="52" t="s">
        <v>26</v>
      </c>
      <c r="G7477" s="195" t="s">
        <v>275</v>
      </c>
      <c r="H7477" s="195">
        <v>-0.8116719</v>
      </c>
      <c r="I7477" s="195">
        <v>-1.049383</v>
      </c>
      <c r="J7477" s="195">
        <v>-1.1333979999999999</v>
      </c>
      <c r="K7477" s="195">
        <v>-1.091181</v>
      </c>
      <c r="L7477" s="195">
        <v>-1.232067</v>
      </c>
      <c r="M7477" s="195">
        <v>-0.92403179999999996</v>
      </c>
      <c r="N7477" s="195">
        <v>-0.86938420000000005</v>
      </c>
    </row>
    <row r="7478" spans="1:14" hidden="1" x14ac:dyDescent="0.35">
      <c r="A7478" s="52" t="s">
        <v>741</v>
      </c>
      <c r="B7478" s="52" t="s">
        <v>34</v>
      </c>
      <c r="C7478" s="52" t="s">
        <v>33</v>
      </c>
      <c r="D7478" s="52" t="s">
        <v>33</v>
      </c>
      <c r="E7478" s="52" t="s">
        <v>742</v>
      </c>
      <c r="F7478" s="52" t="s">
        <v>26</v>
      </c>
      <c r="G7478" s="195" t="s">
        <v>276</v>
      </c>
      <c r="H7478" s="195">
        <v>-0.27055699999999999</v>
      </c>
      <c r="I7478" s="195">
        <v>-0.34979480000000002</v>
      </c>
      <c r="J7478" s="195">
        <v>-0.37779940000000001</v>
      </c>
      <c r="K7478" s="195">
        <v>-0.36372719999999997</v>
      </c>
      <c r="L7478" s="195">
        <v>-0.41068919999999998</v>
      </c>
      <c r="M7478" s="195">
        <v>-0.30801060000000002</v>
      </c>
      <c r="N7478" s="195">
        <v>-0.28979480000000002</v>
      </c>
    </row>
    <row r="7479" spans="1:14" hidden="1" x14ac:dyDescent="0.35">
      <c r="A7479" s="52" t="s">
        <v>741</v>
      </c>
      <c r="B7479" s="52" t="s">
        <v>34</v>
      </c>
      <c r="C7479" s="52" t="s">
        <v>33</v>
      </c>
      <c r="D7479" s="52" t="s">
        <v>33</v>
      </c>
      <c r="E7479" s="52" t="s">
        <v>742</v>
      </c>
      <c r="F7479" s="52" t="s">
        <v>26</v>
      </c>
      <c r="G7479" s="195" t="s">
        <v>277</v>
      </c>
      <c r="H7479" s="195"/>
      <c r="I7479" s="195"/>
      <c r="J7479" s="195"/>
      <c r="K7479" s="195"/>
      <c r="L7479" s="195"/>
      <c r="M7479" s="195">
        <v>0</v>
      </c>
      <c r="N7479" s="195"/>
    </row>
    <row r="7480" spans="1:14" hidden="1" x14ac:dyDescent="0.35">
      <c r="A7480" s="52" t="s">
        <v>741</v>
      </c>
      <c r="B7480" s="52" t="s">
        <v>34</v>
      </c>
      <c r="C7480" s="52" t="s">
        <v>33</v>
      </c>
      <c r="D7480" s="52" t="s">
        <v>33</v>
      </c>
      <c r="E7480" s="52" t="s">
        <v>742</v>
      </c>
      <c r="F7480" s="52" t="s">
        <v>26</v>
      </c>
      <c r="G7480" s="195" t="s">
        <v>279</v>
      </c>
      <c r="H7480" s="195">
        <v>4.2067870000000003</v>
      </c>
      <c r="I7480" s="195">
        <v>3.4338869999999999</v>
      </c>
      <c r="J7480" s="195">
        <v>3.0215290000000001</v>
      </c>
      <c r="K7480" s="195">
        <v>2.8178879999999999</v>
      </c>
      <c r="L7480" s="195">
        <v>2.8717100000000002</v>
      </c>
      <c r="M7480" s="195">
        <v>2.3415569999999999</v>
      </c>
      <c r="N7480" s="195">
        <v>2.1540750000000002</v>
      </c>
    </row>
    <row r="7481" spans="1:14" hidden="1" x14ac:dyDescent="0.35">
      <c r="A7481" s="52" t="s">
        <v>741</v>
      </c>
      <c r="B7481" s="52" t="s">
        <v>34</v>
      </c>
      <c r="C7481" s="52" t="s">
        <v>33</v>
      </c>
      <c r="D7481" s="52" t="s">
        <v>33</v>
      </c>
      <c r="E7481" s="52" t="s">
        <v>622</v>
      </c>
      <c r="F7481" s="52" t="s">
        <v>26</v>
      </c>
      <c r="G7481" s="195" t="s">
        <v>275</v>
      </c>
      <c r="H7481" s="195"/>
      <c r="I7481" s="195"/>
      <c r="J7481" s="195"/>
      <c r="K7481" s="195"/>
      <c r="L7481" s="195"/>
      <c r="M7481" s="195">
        <v>0</v>
      </c>
      <c r="N7481" s="195"/>
    </row>
    <row r="7482" spans="1:14" hidden="1" x14ac:dyDescent="0.35">
      <c r="A7482" s="52" t="s">
        <v>741</v>
      </c>
      <c r="B7482" s="52" t="s">
        <v>34</v>
      </c>
      <c r="C7482" s="52" t="s">
        <v>33</v>
      </c>
      <c r="D7482" s="52" t="s">
        <v>33</v>
      </c>
      <c r="E7482" s="52" t="s">
        <v>622</v>
      </c>
      <c r="F7482" s="52" t="s">
        <v>26</v>
      </c>
      <c r="G7482" s="195" t="s">
        <v>276</v>
      </c>
      <c r="H7482" s="195"/>
      <c r="I7482" s="195"/>
      <c r="J7482" s="195"/>
      <c r="K7482" s="195"/>
      <c r="L7482" s="195"/>
      <c r="M7482" s="195">
        <v>0</v>
      </c>
      <c r="N7482" s="195"/>
    </row>
    <row r="7483" spans="1:14" hidden="1" x14ac:dyDescent="0.35">
      <c r="A7483" s="52" t="s">
        <v>741</v>
      </c>
      <c r="B7483" s="52" t="s">
        <v>34</v>
      </c>
      <c r="C7483" s="52" t="s">
        <v>33</v>
      </c>
      <c r="D7483" s="52" t="s">
        <v>33</v>
      </c>
      <c r="E7483" s="52" t="s">
        <v>622</v>
      </c>
      <c r="F7483" s="52" t="s">
        <v>26</v>
      </c>
      <c r="G7483" s="195" t="s">
        <v>277</v>
      </c>
      <c r="H7483" s="195"/>
      <c r="I7483" s="195"/>
      <c r="J7483" s="195"/>
      <c r="K7483" s="195"/>
      <c r="L7483" s="195"/>
      <c r="M7483" s="195">
        <v>0</v>
      </c>
      <c r="N7483" s="195"/>
    </row>
    <row r="7484" spans="1:14" hidden="1" x14ac:dyDescent="0.35">
      <c r="A7484" s="52" t="s">
        <v>741</v>
      </c>
      <c r="B7484" s="52" t="s">
        <v>34</v>
      </c>
      <c r="C7484" s="52" t="s">
        <v>33</v>
      </c>
      <c r="D7484" s="52" t="s">
        <v>33</v>
      </c>
      <c r="E7484" s="52" t="s">
        <v>622</v>
      </c>
      <c r="F7484" s="52" t="s">
        <v>26</v>
      </c>
      <c r="G7484" s="195" t="s">
        <v>279</v>
      </c>
      <c r="H7484" s="195"/>
      <c r="I7484" s="195"/>
      <c r="J7484" s="195"/>
      <c r="K7484" s="195"/>
      <c r="L7484" s="195"/>
      <c r="M7484" s="195">
        <v>0</v>
      </c>
      <c r="N7484" s="195"/>
    </row>
    <row r="7485" spans="1:14" hidden="1" x14ac:dyDescent="0.35">
      <c r="A7485" s="52" t="s">
        <v>741</v>
      </c>
      <c r="B7485" s="52" t="s">
        <v>34</v>
      </c>
      <c r="C7485" s="52" t="s">
        <v>364</v>
      </c>
      <c r="D7485" s="52" t="s">
        <v>364</v>
      </c>
      <c r="E7485" s="52" t="s">
        <v>584</v>
      </c>
      <c r="F7485" s="52" t="s">
        <v>581</v>
      </c>
      <c r="G7485" s="195" t="s">
        <v>275</v>
      </c>
      <c r="H7485" s="195">
        <v>-0.33635999999999999</v>
      </c>
      <c r="I7485" s="195">
        <v>-0.36927399999999999</v>
      </c>
      <c r="J7485" s="195">
        <v>0</v>
      </c>
      <c r="K7485" s="195">
        <v>0</v>
      </c>
      <c r="L7485" s="195">
        <v>0</v>
      </c>
      <c r="M7485" s="195">
        <v>0</v>
      </c>
      <c r="N7485" s="195">
        <v>0</v>
      </c>
    </row>
    <row r="7486" spans="1:14" hidden="1" x14ac:dyDescent="0.35">
      <c r="A7486" s="52" t="s">
        <v>741</v>
      </c>
      <c r="B7486" s="52" t="s">
        <v>34</v>
      </c>
      <c r="C7486" s="52" t="s">
        <v>364</v>
      </c>
      <c r="D7486" s="52" t="s">
        <v>364</v>
      </c>
      <c r="E7486" s="52" t="s">
        <v>584</v>
      </c>
      <c r="F7486" s="52" t="s">
        <v>581</v>
      </c>
      <c r="G7486" s="195" t="s">
        <v>276</v>
      </c>
      <c r="H7486" s="195">
        <v>-0.124407</v>
      </c>
      <c r="I7486" s="195">
        <v>-0.12678900000000001</v>
      </c>
      <c r="J7486" s="195">
        <v>-0.46076899999999998</v>
      </c>
      <c r="K7486" s="195">
        <v>-0.46076899999999998</v>
      </c>
      <c r="L7486" s="195">
        <v>-0.46076800000000001</v>
      </c>
      <c r="M7486" s="195">
        <v>-0.46076800000000001</v>
      </c>
      <c r="N7486" s="195">
        <v>-0.46076699999999998</v>
      </c>
    </row>
    <row r="7487" spans="1:14" hidden="1" x14ac:dyDescent="0.35">
      <c r="A7487" s="52" t="s">
        <v>741</v>
      </c>
      <c r="B7487" s="52" t="s">
        <v>34</v>
      </c>
      <c r="C7487" s="52" t="s">
        <v>364</v>
      </c>
      <c r="D7487" s="52" t="s">
        <v>364</v>
      </c>
      <c r="E7487" s="52" t="s">
        <v>584</v>
      </c>
      <c r="F7487" s="52" t="s">
        <v>581</v>
      </c>
      <c r="G7487" s="195" t="s">
        <v>278</v>
      </c>
      <c r="H7487" s="195">
        <v>0.46076800000000001</v>
      </c>
      <c r="I7487" s="195">
        <v>0.49606600000000001</v>
      </c>
      <c r="J7487" s="195">
        <v>0.46076800000000001</v>
      </c>
      <c r="K7487" s="195">
        <v>0.46076800000000001</v>
      </c>
      <c r="L7487" s="195">
        <v>0.46076800000000001</v>
      </c>
      <c r="M7487" s="195">
        <v>0.46076800000000001</v>
      </c>
      <c r="N7487" s="195">
        <v>0.46076899999999998</v>
      </c>
    </row>
    <row r="7488" spans="1:14" hidden="1" x14ac:dyDescent="0.35">
      <c r="A7488" s="52" t="s">
        <v>741</v>
      </c>
      <c r="B7488" s="52" t="s">
        <v>34</v>
      </c>
      <c r="C7488" s="52" t="s">
        <v>381</v>
      </c>
      <c r="D7488" s="52" t="s">
        <v>381</v>
      </c>
      <c r="E7488" s="52" t="s">
        <v>584</v>
      </c>
      <c r="F7488" s="52" t="s">
        <v>581</v>
      </c>
      <c r="G7488" s="195" t="s">
        <v>275</v>
      </c>
      <c r="H7488" s="195">
        <v>-0.19106799999999999</v>
      </c>
      <c r="I7488" s="195">
        <v>-0.234957</v>
      </c>
      <c r="J7488" s="195">
        <v>0</v>
      </c>
      <c r="K7488" s="195">
        <v>0</v>
      </c>
      <c r="L7488" s="195">
        <v>0</v>
      </c>
      <c r="M7488" s="195">
        <v>0</v>
      </c>
      <c r="N7488" s="195">
        <v>0</v>
      </c>
    </row>
    <row r="7489" spans="1:14" hidden="1" x14ac:dyDescent="0.35">
      <c r="A7489" s="52" t="s">
        <v>741</v>
      </c>
      <c r="B7489" s="52" t="s">
        <v>34</v>
      </c>
      <c r="C7489" s="52" t="s">
        <v>381</v>
      </c>
      <c r="D7489" s="52" t="s">
        <v>381</v>
      </c>
      <c r="E7489" s="52" t="s">
        <v>584</v>
      </c>
      <c r="F7489" s="52" t="s">
        <v>581</v>
      </c>
      <c r="G7489" s="195" t="s">
        <v>276</v>
      </c>
      <c r="H7489" s="195">
        <v>-7.0668999999999996E-2</v>
      </c>
      <c r="I7489" s="195">
        <v>-7.384599E-2</v>
      </c>
      <c r="J7489" s="195">
        <v>-0.19365199999999999</v>
      </c>
      <c r="K7489" s="195">
        <v>-0.19365299999999999</v>
      </c>
      <c r="L7489" s="195">
        <v>-0.19365099999999999</v>
      </c>
      <c r="M7489" s="195">
        <v>-0.19365099999999999</v>
      </c>
      <c r="N7489" s="195">
        <v>-0.19365199999999999</v>
      </c>
    </row>
    <row r="7490" spans="1:14" hidden="1" x14ac:dyDescent="0.35">
      <c r="A7490" s="52" t="s">
        <v>741</v>
      </c>
      <c r="B7490" s="52" t="s">
        <v>34</v>
      </c>
      <c r="C7490" s="52" t="s">
        <v>381</v>
      </c>
      <c r="D7490" s="52" t="s">
        <v>381</v>
      </c>
      <c r="E7490" s="52" t="s">
        <v>584</v>
      </c>
      <c r="F7490" s="52" t="s">
        <v>581</v>
      </c>
      <c r="G7490" s="195" t="s">
        <v>278</v>
      </c>
      <c r="H7490" s="195">
        <v>0.261737</v>
      </c>
      <c r="I7490" s="195">
        <v>0.30880299999999999</v>
      </c>
      <c r="J7490" s="195">
        <v>0.19365199999999999</v>
      </c>
      <c r="K7490" s="195">
        <v>0.19365199999999999</v>
      </c>
      <c r="L7490" s="195">
        <v>0.19365199999999999</v>
      </c>
      <c r="M7490" s="195">
        <v>0.19365199999999999</v>
      </c>
      <c r="N7490" s="195">
        <v>0.19365199999999999</v>
      </c>
    </row>
    <row r="7491" spans="1:14" hidden="1" x14ac:dyDescent="0.35">
      <c r="A7491" s="52" t="s">
        <v>741</v>
      </c>
      <c r="B7491" s="52" t="s">
        <v>34</v>
      </c>
      <c r="C7491" s="52" t="s">
        <v>394</v>
      </c>
      <c r="D7491" s="52" t="s">
        <v>394</v>
      </c>
      <c r="E7491" s="52" t="s">
        <v>584</v>
      </c>
      <c r="F7491" s="52" t="s">
        <v>581</v>
      </c>
      <c r="G7491" s="195" t="s">
        <v>275</v>
      </c>
      <c r="H7491" s="195">
        <v>-4.2118500000000003E-2</v>
      </c>
      <c r="I7491" s="195">
        <v>-4.2978500000000003E-2</v>
      </c>
      <c r="J7491" s="195">
        <v>-8.7103000000000007E-3</v>
      </c>
      <c r="K7491" s="195">
        <v>-8.8249000000000001E-3</v>
      </c>
      <c r="L7491" s="195">
        <v>-0.1316959</v>
      </c>
      <c r="M7491" s="195">
        <v>-1.3288E-3</v>
      </c>
      <c r="N7491" s="195">
        <v>-1.3288E-3</v>
      </c>
    </row>
    <row r="7492" spans="1:14" hidden="1" x14ac:dyDescent="0.35">
      <c r="A7492" s="52" t="s">
        <v>741</v>
      </c>
      <c r="B7492" s="52" t="s">
        <v>34</v>
      </c>
      <c r="C7492" s="52" t="s">
        <v>394</v>
      </c>
      <c r="D7492" s="52" t="s">
        <v>394</v>
      </c>
      <c r="E7492" s="52" t="s">
        <v>584</v>
      </c>
      <c r="F7492" s="52" t="s">
        <v>581</v>
      </c>
      <c r="G7492" s="195" t="s">
        <v>276</v>
      </c>
      <c r="H7492" s="195">
        <v>-1.5185499999999999E-2</v>
      </c>
      <c r="I7492" s="195">
        <v>-1.4326E-2</v>
      </c>
      <c r="J7492" s="195">
        <v>-4.8594199999999997E-2</v>
      </c>
      <c r="K7492" s="195">
        <v>-4.8479599999999998E-2</v>
      </c>
      <c r="L7492" s="195">
        <v>-0.57744410000000002</v>
      </c>
      <c r="M7492" s="195">
        <v>-5.5975700000000003E-2</v>
      </c>
      <c r="N7492" s="195">
        <v>-5.5975700000000003E-2</v>
      </c>
    </row>
    <row r="7493" spans="1:14" hidden="1" x14ac:dyDescent="0.35">
      <c r="A7493" s="52" t="s">
        <v>741</v>
      </c>
      <c r="B7493" s="52" t="s">
        <v>34</v>
      </c>
      <c r="C7493" s="52" t="s">
        <v>394</v>
      </c>
      <c r="D7493" s="52" t="s">
        <v>394</v>
      </c>
      <c r="E7493" s="52" t="s">
        <v>584</v>
      </c>
      <c r="F7493" s="52" t="s">
        <v>581</v>
      </c>
      <c r="G7493" s="195" t="s">
        <v>278</v>
      </c>
      <c r="H7493" s="195">
        <v>5.7304500000000001E-2</v>
      </c>
      <c r="I7493" s="195">
        <v>5.7304500000000001E-2</v>
      </c>
      <c r="J7493" s="195">
        <v>5.7304500000000001E-2</v>
      </c>
      <c r="K7493" s="195">
        <v>5.7304500000000001E-2</v>
      </c>
      <c r="L7493" s="195">
        <v>0.70913990000000005</v>
      </c>
      <c r="M7493" s="195">
        <v>5.7304500000000001E-2</v>
      </c>
      <c r="N7493" s="195">
        <v>5.7304500000000001E-2</v>
      </c>
    </row>
    <row r="7494" spans="1:14" hidden="1" x14ac:dyDescent="0.35">
      <c r="A7494" s="52" t="s">
        <v>741</v>
      </c>
      <c r="B7494" s="52" t="s">
        <v>34</v>
      </c>
      <c r="C7494" s="52" t="s">
        <v>341</v>
      </c>
      <c r="D7494" s="52" t="s">
        <v>341</v>
      </c>
      <c r="E7494" s="52" t="s">
        <v>584</v>
      </c>
      <c r="F7494" s="52" t="s">
        <v>581</v>
      </c>
      <c r="G7494" s="195" t="s">
        <v>275</v>
      </c>
      <c r="H7494" s="195">
        <v>-8.9939430000000008E-3</v>
      </c>
      <c r="I7494" s="195">
        <v>-4.6971890000000002E-2</v>
      </c>
      <c r="J7494" s="195">
        <v>-2.0450220000000001E-3</v>
      </c>
      <c r="K7494" s="195">
        <v>-2.0450910000000002E-3</v>
      </c>
      <c r="L7494" s="195">
        <v>-2.0450910000000002E-3</v>
      </c>
      <c r="M7494" s="195">
        <v>-4.7941199999999998E-3</v>
      </c>
      <c r="N7494" s="195">
        <v>-4.7941889999999999E-3</v>
      </c>
    </row>
    <row r="7495" spans="1:14" hidden="1" x14ac:dyDescent="0.35">
      <c r="A7495" s="52" t="s">
        <v>741</v>
      </c>
      <c r="B7495" s="52" t="s">
        <v>34</v>
      </c>
      <c r="C7495" s="52" t="s">
        <v>341</v>
      </c>
      <c r="D7495" s="52" t="s">
        <v>341</v>
      </c>
      <c r="E7495" s="52" t="s">
        <v>584</v>
      </c>
      <c r="F7495" s="52" t="s">
        <v>581</v>
      </c>
      <c r="G7495" s="195" t="s">
        <v>276</v>
      </c>
      <c r="H7495" s="195">
        <v>-3.3264900000000001E-3</v>
      </c>
      <c r="I7495" s="195">
        <v>-6.0755879999999998E-3</v>
      </c>
      <c r="J7495" s="195">
        <v>-1.027548E-2</v>
      </c>
      <c r="K7495" s="195">
        <v>-1.027541E-2</v>
      </c>
      <c r="L7495" s="195">
        <v>-1.5547770000000001E-2</v>
      </c>
      <c r="M7495" s="195">
        <v>-7.5263129999999998E-3</v>
      </c>
      <c r="N7495" s="195">
        <v>-7.5262439999999996E-3</v>
      </c>
    </row>
    <row r="7496" spans="1:14" hidden="1" x14ac:dyDescent="0.35">
      <c r="A7496" s="52" t="s">
        <v>741</v>
      </c>
      <c r="B7496" s="52" t="s">
        <v>34</v>
      </c>
      <c r="C7496" s="52" t="s">
        <v>341</v>
      </c>
      <c r="D7496" s="52" t="s">
        <v>341</v>
      </c>
      <c r="E7496" s="52" t="s">
        <v>584</v>
      </c>
      <c r="F7496" s="52" t="s">
        <v>581</v>
      </c>
      <c r="G7496" s="195" t="s">
        <v>278</v>
      </c>
      <c r="H7496" s="195">
        <v>1.23205E-2</v>
      </c>
      <c r="I7496" s="195">
        <v>5.3047410000000003E-2</v>
      </c>
      <c r="J7496" s="195">
        <v>1.23205E-2</v>
      </c>
      <c r="K7496" s="195">
        <v>1.23205E-2</v>
      </c>
      <c r="L7496" s="195">
        <v>1.759293E-2</v>
      </c>
      <c r="M7496" s="195">
        <v>1.23205E-2</v>
      </c>
      <c r="N7496" s="195">
        <v>1.23205E-2</v>
      </c>
    </row>
    <row r="7497" spans="1:14" hidden="1" x14ac:dyDescent="0.35">
      <c r="A7497" s="52" t="s">
        <v>741</v>
      </c>
      <c r="B7497" s="52" t="s">
        <v>34</v>
      </c>
      <c r="C7497" s="52" t="s">
        <v>289</v>
      </c>
      <c r="D7497" s="52" t="s">
        <v>289</v>
      </c>
      <c r="E7497" s="52" t="s">
        <v>584</v>
      </c>
      <c r="F7497" s="52" t="s">
        <v>581</v>
      </c>
      <c r="G7497" s="195" t="s">
        <v>275</v>
      </c>
      <c r="H7497" s="195">
        <v>-1.250748E-2</v>
      </c>
      <c r="I7497" s="195">
        <v>-1.250748E-2</v>
      </c>
      <c r="J7497" s="195">
        <v>0</v>
      </c>
      <c r="K7497" s="195">
        <v>0</v>
      </c>
      <c r="L7497" s="195">
        <v>0</v>
      </c>
      <c r="M7497" s="195">
        <v>0</v>
      </c>
      <c r="N7497" s="195">
        <v>0</v>
      </c>
    </row>
    <row r="7498" spans="1:14" hidden="1" x14ac:dyDescent="0.35">
      <c r="A7498" s="52" t="s">
        <v>741</v>
      </c>
      <c r="B7498" s="52" t="s">
        <v>34</v>
      </c>
      <c r="C7498" s="52" t="s">
        <v>289</v>
      </c>
      <c r="D7498" s="52" t="s">
        <v>289</v>
      </c>
      <c r="E7498" s="52" t="s">
        <v>584</v>
      </c>
      <c r="F7498" s="52" t="s">
        <v>581</v>
      </c>
      <c r="G7498" s="195" t="s">
        <v>276</v>
      </c>
      <c r="H7498" s="195"/>
      <c r="I7498" s="195"/>
      <c r="J7498" s="195">
        <v>-1.250748E-2</v>
      </c>
      <c r="K7498" s="195">
        <v>-1.250748E-2</v>
      </c>
      <c r="L7498" s="195">
        <v>-5.4134130000000003E-2</v>
      </c>
      <c r="M7498" s="195">
        <v>-1.250748E-2</v>
      </c>
      <c r="N7498" s="195">
        <v>-1.250748E-2</v>
      </c>
    </row>
    <row r="7499" spans="1:14" hidden="1" x14ac:dyDescent="0.35">
      <c r="A7499" s="52" t="s">
        <v>741</v>
      </c>
      <c r="B7499" s="52" t="s">
        <v>34</v>
      </c>
      <c r="C7499" s="52" t="s">
        <v>289</v>
      </c>
      <c r="D7499" s="52" t="s">
        <v>289</v>
      </c>
      <c r="E7499" s="52" t="s">
        <v>584</v>
      </c>
      <c r="F7499" s="52" t="s">
        <v>581</v>
      </c>
      <c r="G7499" s="195" t="s">
        <v>278</v>
      </c>
      <c r="H7499" s="195">
        <v>1.250748E-2</v>
      </c>
      <c r="I7499" s="195">
        <v>1.250748E-2</v>
      </c>
      <c r="J7499" s="195">
        <v>1.250748E-2</v>
      </c>
      <c r="K7499" s="195">
        <v>1.250748E-2</v>
      </c>
      <c r="L7499" s="195">
        <v>5.4134130000000003E-2</v>
      </c>
      <c r="M7499" s="195">
        <v>1.250748E-2</v>
      </c>
      <c r="N7499" s="195">
        <v>1.250748E-2</v>
      </c>
    </row>
    <row r="7500" spans="1:14" hidden="1" x14ac:dyDescent="0.35">
      <c r="A7500" s="52" t="s">
        <v>741</v>
      </c>
      <c r="B7500" s="52" t="s">
        <v>34</v>
      </c>
      <c r="C7500" s="52" t="s">
        <v>289</v>
      </c>
      <c r="D7500" s="52" t="s">
        <v>289</v>
      </c>
      <c r="E7500" s="52" t="s">
        <v>584</v>
      </c>
      <c r="F7500" s="52" t="s">
        <v>26</v>
      </c>
      <c r="G7500" s="195" t="s">
        <v>275</v>
      </c>
      <c r="H7500" s="195">
        <v>-1.280768E-2</v>
      </c>
      <c r="I7500" s="195">
        <v>-1.280768E-2</v>
      </c>
      <c r="J7500" s="195">
        <v>0</v>
      </c>
      <c r="K7500" s="195">
        <v>0</v>
      </c>
      <c r="L7500" s="195">
        <v>0</v>
      </c>
      <c r="M7500" s="195">
        <v>0</v>
      </c>
      <c r="N7500" s="195">
        <v>0</v>
      </c>
    </row>
    <row r="7501" spans="1:14" hidden="1" x14ac:dyDescent="0.35">
      <c r="A7501" s="52" t="s">
        <v>741</v>
      </c>
      <c r="B7501" s="52" t="s">
        <v>34</v>
      </c>
      <c r="C7501" s="52" t="s">
        <v>289</v>
      </c>
      <c r="D7501" s="52" t="s">
        <v>289</v>
      </c>
      <c r="E7501" s="52" t="s">
        <v>584</v>
      </c>
      <c r="F7501" s="52" t="s">
        <v>26</v>
      </c>
      <c r="G7501" s="195" t="s">
        <v>277</v>
      </c>
      <c r="H7501" s="195"/>
      <c r="I7501" s="195"/>
      <c r="J7501" s="195"/>
      <c r="K7501" s="195"/>
      <c r="L7501" s="195"/>
      <c r="M7501" s="195"/>
      <c r="N7501" s="195">
        <v>0</v>
      </c>
    </row>
    <row r="7502" spans="1:14" hidden="1" x14ac:dyDescent="0.35">
      <c r="A7502" s="52" t="s">
        <v>741</v>
      </c>
      <c r="B7502" s="52" t="s">
        <v>34</v>
      </c>
      <c r="C7502" s="52" t="s">
        <v>289</v>
      </c>
      <c r="D7502" s="52" t="s">
        <v>289</v>
      </c>
      <c r="E7502" s="52" t="s">
        <v>584</v>
      </c>
      <c r="F7502" s="52" t="s">
        <v>26</v>
      </c>
      <c r="G7502" s="195" t="s">
        <v>278</v>
      </c>
      <c r="H7502" s="195">
        <v>1.280768E-2</v>
      </c>
      <c r="I7502" s="195">
        <v>1.280768E-2</v>
      </c>
      <c r="J7502" s="195">
        <v>0</v>
      </c>
      <c r="K7502" s="195">
        <v>0</v>
      </c>
      <c r="L7502" s="195">
        <v>0</v>
      </c>
      <c r="M7502" s="195">
        <v>0</v>
      </c>
      <c r="N7502" s="195">
        <v>0</v>
      </c>
    </row>
    <row r="7503" spans="1:14" hidden="1" x14ac:dyDescent="0.35">
      <c r="A7503" s="52" t="s">
        <v>728</v>
      </c>
      <c r="B7503" s="52" t="s">
        <v>37</v>
      </c>
      <c r="C7503" s="52" t="s">
        <v>63</v>
      </c>
      <c r="D7503" s="52" t="s">
        <v>63</v>
      </c>
      <c r="E7503" s="52" t="s">
        <v>584</v>
      </c>
      <c r="F7503" s="52" t="s">
        <v>581</v>
      </c>
      <c r="G7503" s="195" t="s">
        <v>275</v>
      </c>
      <c r="H7503" s="195">
        <v>19.24766</v>
      </c>
      <c r="I7503" s="195">
        <v>3.3381500000000002</v>
      </c>
      <c r="J7503" s="195">
        <v>1.824705</v>
      </c>
      <c r="K7503" s="195">
        <v>1.064262</v>
      </c>
      <c r="L7503" s="195">
        <v>0.49852410000000003</v>
      </c>
      <c r="M7503" s="195">
        <v>0.39214529999999997</v>
      </c>
      <c r="N7503" s="195">
        <v>0.2861978</v>
      </c>
    </row>
    <row r="7504" spans="1:14" hidden="1" x14ac:dyDescent="0.35">
      <c r="A7504" s="52" t="s">
        <v>728</v>
      </c>
      <c r="B7504" s="52" t="s">
        <v>37</v>
      </c>
      <c r="C7504" s="52" t="s">
        <v>63</v>
      </c>
      <c r="D7504" s="52" t="s">
        <v>63</v>
      </c>
      <c r="E7504" s="52" t="s">
        <v>584</v>
      </c>
      <c r="F7504" s="52" t="s">
        <v>581</v>
      </c>
      <c r="G7504" s="195" t="s">
        <v>276</v>
      </c>
      <c r="H7504" s="195">
        <v>6.1609850000000002</v>
      </c>
      <c r="I7504" s="195">
        <v>1.0606979999999999</v>
      </c>
      <c r="J7504" s="195">
        <v>0.69775379999999998</v>
      </c>
      <c r="K7504" s="195">
        <v>0.63871599999999995</v>
      </c>
      <c r="L7504" s="195">
        <v>0.50694380000000006</v>
      </c>
      <c r="M7504" s="195">
        <v>0.45156540000000001</v>
      </c>
      <c r="N7504" s="195">
        <v>0.40019900000000003</v>
      </c>
    </row>
    <row r="7505" spans="1:14" hidden="1" x14ac:dyDescent="0.35">
      <c r="A7505" s="52" t="s">
        <v>728</v>
      </c>
      <c r="B7505" s="52" t="s">
        <v>37</v>
      </c>
      <c r="C7505" s="52" t="s">
        <v>63</v>
      </c>
      <c r="D7505" s="52" t="s">
        <v>63</v>
      </c>
      <c r="E7505" s="52" t="s">
        <v>584</v>
      </c>
      <c r="F7505" s="52" t="s">
        <v>581</v>
      </c>
      <c r="G7505" s="195" t="s">
        <v>279</v>
      </c>
      <c r="H7505" s="195">
        <v>11.09206</v>
      </c>
      <c r="I7505" s="195">
        <v>8.1988749999999992</v>
      </c>
      <c r="J7505" s="195">
        <v>7.5038830000000001</v>
      </c>
      <c r="K7505" s="195">
        <v>7.6374740000000001</v>
      </c>
      <c r="L7505" s="195">
        <v>7.6605090000000002</v>
      </c>
      <c r="M7505" s="195">
        <v>7.1015220000000001</v>
      </c>
      <c r="N7505" s="195">
        <v>6.6189989999999996</v>
      </c>
    </row>
    <row r="7506" spans="1:14" hidden="1" x14ac:dyDescent="0.35">
      <c r="A7506" s="52" t="s">
        <v>728</v>
      </c>
      <c r="B7506" s="52" t="s">
        <v>37</v>
      </c>
      <c r="C7506" s="52" t="s">
        <v>63</v>
      </c>
      <c r="D7506" s="52" t="s">
        <v>63</v>
      </c>
      <c r="E7506" s="52" t="s">
        <v>584</v>
      </c>
      <c r="F7506" s="52" t="s">
        <v>26</v>
      </c>
      <c r="G7506" s="195" t="s">
        <v>275</v>
      </c>
      <c r="H7506" s="195">
        <v>-33.244419999999998</v>
      </c>
      <c r="I7506" s="195">
        <v>-39.611310000000003</v>
      </c>
      <c r="J7506" s="195">
        <v>-34.551780000000001</v>
      </c>
      <c r="K7506" s="195">
        <v>-45.852029999999999</v>
      </c>
      <c r="L7506" s="195">
        <v>-52.09055</v>
      </c>
      <c r="M7506" s="195">
        <v>-48.196179999999998</v>
      </c>
      <c r="N7506" s="195">
        <v>-48.215339999999998</v>
      </c>
    </row>
    <row r="7507" spans="1:14" hidden="1" x14ac:dyDescent="0.35">
      <c r="A7507" s="52" t="s">
        <v>728</v>
      </c>
      <c r="B7507" s="52" t="s">
        <v>37</v>
      </c>
      <c r="C7507" s="52" t="s">
        <v>63</v>
      </c>
      <c r="D7507" s="52" t="s">
        <v>63</v>
      </c>
      <c r="E7507" s="52" t="s">
        <v>584</v>
      </c>
      <c r="F7507" s="52" t="s">
        <v>26</v>
      </c>
      <c r="G7507" s="195" t="s">
        <v>276</v>
      </c>
      <c r="H7507" s="195">
        <v>4.381386</v>
      </c>
      <c r="I7507" s="195">
        <v>-7.7934790000000004E-2</v>
      </c>
      <c r="J7507" s="195">
        <v>-0.1078636</v>
      </c>
      <c r="K7507" s="195">
        <v>-1.0380910000000001</v>
      </c>
      <c r="L7507" s="195">
        <v>-2.591062</v>
      </c>
      <c r="M7507" s="195">
        <v>-3.6171500000000001</v>
      </c>
      <c r="N7507" s="195">
        <v>-4.6204210000000003</v>
      </c>
    </row>
    <row r="7508" spans="1:14" hidden="1" x14ac:dyDescent="0.35">
      <c r="A7508" s="52" t="s">
        <v>728</v>
      </c>
      <c r="B7508" s="52" t="s">
        <v>37</v>
      </c>
      <c r="C7508" s="52" t="s">
        <v>63</v>
      </c>
      <c r="D7508" s="52" t="s">
        <v>63</v>
      </c>
      <c r="E7508" s="52" t="s">
        <v>584</v>
      </c>
      <c r="F7508" s="52" t="s">
        <v>26</v>
      </c>
      <c r="G7508" s="195" t="s">
        <v>277</v>
      </c>
      <c r="H7508" s="195">
        <v>96.663929999999993</v>
      </c>
      <c r="I7508" s="195">
        <v>80.003770000000003</v>
      </c>
      <c r="J7508" s="195">
        <v>76.762450000000001</v>
      </c>
      <c r="K7508" s="195">
        <v>82.175190000000001</v>
      </c>
      <c r="L7508" s="195">
        <v>83.124880000000005</v>
      </c>
      <c r="M7508" s="195">
        <v>78.600610000000003</v>
      </c>
      <c r="N7508" s="195">
        <v>78.295969999999997</v>
      </c>
    </row>
    <row r="7509" spans="1:14" hidden="1" x14ac:dyDescent="0.35">
      <c r="A7509" s="52" t="s">
        <v>728</v>
      </c>
      <c r="B7509" s="52" t="s">
        <v>37</v>
      </c>
      <c r="C7509" s="52" t="s">
        <v>63</v>
      </c>
      <c r="D7509" s="52" t="s">
        <v>63</v>
      </c>
      <c r="E7509" s="52" t="s">
        <v>584</v>
      </c>
      <c r="F7509" s="52" t="s">
        <v>26</v>
      </c>
      <c r="G7509" s="195" t="s">
        <v>279</v>
      </c>
      <c r="H7509" s="195">
        <v>102.9225</v>
      </c>
      <c r="I7509" s="195">
        <v>86.133610000000004</v>
      </c>
      <c r="J7509" s="195">
        <v>81.638069999999999</v>
      </c>
      <c r="K7509" s="195">
        <v>84.710390000000004</v>
      </c>
      <c r="L7509" s="195">
        <v>87.110609999999994</v>
      </c>
      <c r="M7509" s="195">
        <v>83.103719999999996</v>
      </c>
      <c r="N7509" s="195">
        <v>79.612660000000005</v>
      </c>
    </row>
    <row r="7510" spans="1:14" hidden="1" x14ac:dyDescent="0.35">
      <c r="A7510" s="52" t="s">
        <v>728</v>
      </c>
      <c r="B7510" s="52" t="s">
        <v>37</v>
      </c>
      <c r="C7510" s="52" t="s">
        <v>63</v>
      </c>
      <c r="D7510" s="52" t="s">
        <v>63</v>
      </c>
      <c r="E7510" s="52" t="s">
        <v>608</v>
      </c>
      <c r="F7510" s="52" t="s">
        <v>581</v>
      </c>
      <c r="G7510" s="195" t="s">
        <v>275</v>
      </c>
      <c r="H7510" s="195">
        <v>7.0005449999999998</v>
      </c>
      <c r="I7510" s="195">
        <v>1.085998</v>
      </c>
      <c r="J7510" s="195">
        <v>0.72127640000000004</v>
      </c>
      <c r="K7510" s="195">
        <v>0.61214060000000003</v>
      </c>
      <c r="L7510" s="195">
        <v>0.366649</v>
      </c>
      <c r="M7510" s="195">
        <v>0.35255819999999999</v>
      </c>
      <c r="N7510" s="195">
        <v>0.35612379999999999</v>
      </c>
    </row>
    <row r="7511" spans="1:14" hidden="1" x14ac:dyDescent="0.35">
      <c r="A7511" s="52" t="s">
        <v>728</v>
      </c>
      <c r="B7511" s="52" t="s">
        <v>37</v>
      </c>
      <c r="C7511" s="52" t="s">
        <v>63</v>
      </c>
      <c r="D7511" s="52" t="s">
        <v>63</v>
      </c>
      <c r="E7511" s="52" t="s">
        <v>608</v>
      </c>
      <c r="F7511" s="52" t="s">
        <v>581</v>
      </c>
      <c r="G7511" s="195" t="s">
        <v>276</v>
      </c>
      <c r="H7511" s="195">
        <v>0.66003809999999996</v>
      </c>
      <c r="I7511" s="195">
        <v>0.25958419999999999</v>
      </c>
      <c r="J7511" s="195">
        <v>0.27178940000000001</v>
      </c>
      <c r="K7511" s="195">
        <v>0.2301358</v>
      </c>
      <c r="L7511" s="195">
        <v>0.1376646</v>
      </c>
      <c r="M7511" s="195">
        <v>0.13229279999999999</v>
      </c>
      <c r="N7511" s="195">
        <v>0.1336832</v>
      </c>
    </row>
    <row r="7512" spans="1:14" hidden="1" x14ac:dyDescent="0.35">
      <c r="A7512" s="52" t="s">
        <v>728</v>
      </c>
      <c r="B7512" s="52" t="s">
        <v>37</v>
      </c>
      <c r="C7512" s="52" t="s">
        <v>63</v>
      </c>
      <c r="D7512" s="52" t="s">
        <v>63</v>
      </c>
      <c r="E7512" s="52" t="s">
        <v>608</v>
      </c>
      <c r="F7512" s="52" t="s">
        <v>581</v>
      </c>
      <c r="G7512" s="195" t="s">
        <v>279</v>
      </c>
      <c r="H7512" s="195">
        <v>3.5650330000000001</v>
      </c>
      <c r="I7512" s="195">
        <v>2.646296</v>
      </c>
      <c r="J7512" s="195">
        <v>2.6774909999999998</v>
      </c>
      <c r="K7512" s="195">
        <v>2.5956090000000001</v>
      </c>
      <c r="L7512" s="195">
        <v>2.5470969999999999</v>
      </c>
      <c r="M7512" s="195">
        <v>2.3798189999999999</v>
      </c>
      <c r="N7512" s="195">
        <v>2.3757630000000001</v>
      </c>
    </row>
    <row r="7513" spans="1:14" hidden="1" x14ac:dyDescent="0.35">
      <c r="A7513" s="52" t="s">
        <v>728</v>
      </c>
      <c r="B7513" s="52" t="s">
        <v>37</v>
      </c>
      <c r="C7513" s="52" t="s">
        <v>63</v>
      </c>
      <c r="D7513" s="52" t="s">
        <v>63</v>
      </c>
      <c r="E7513" s="52" t="s">
        <v>608</v>
      </c>
      <c r="F7513" s="52" t="s">
        <v>26</v>
      </c>
      <c r="G7513" s="195" t="s">
        <v>275</v>
      </c>
      <c r="H7513" s="195">
        <v>46.847380000000001</v>
      </c>
      <c r="I7513" s="195">
        <v>26.712879999999998</v>
      </c>
      <c r="J7513" s="195">
        <v>22.720140000000001</v>
      </c>
      <c r="K7513" s="195">
        <v>20.663070000000001</v>
      </c>
      <c r="L7513" s="195">
        <v>15.940569999999999</v>
      </c>
      <c r="M7513" s="195">
        <v>10.380979999999999</v>
      </c>
      <c r="N7513" s="195">
        <v>4.0895970000000004</v>
      </c>
    </row>
    <row r="7514" spans="1:14" hidden="1" x14ac:dyDescent="0.35">
      <c r="A7514" s="52" t="s">
        <v>728</v>
      </c>
      <c r="B7514" s="52" t="s">
        <v>37</v>
      </c>
      <c r="C7514" s="52" t="s">
        <v>63</v>
      </c>
      <c r="D7514" s="52" t="s">
        <v>63</v>
      </c>
      <c r="E7514" s="52" t="s">
        <v>608</v>
      </c>
      <c r="F7514" s="52" t="s">
        <v>26</v>
      </c>
      <c r="G7514" s="195" t="s">
        <v>276</v>
      </c>
      <c r="H7514" s="195">
        <v>-1.4531989999999999</v>
      </c>
      <c r="I7514" s="195">
        <v>0.31665500000000002</v>
      </c>
      <c r="J7514" s="195">
        <v>7.0377549999999998</v>
      </c>
      <c r="K7514" s="195">
        <v>7.6181489999999998</v>
      </c>
      <c r="L7514" s="195">
        <v>5.863747</v>
      </c>
      <c r="M7514" s="195">
        <v>5.2891630000000003</v>
      </c>
      <c r="N7514" s="195">
        <v>4.8507360000000004</v>
      </c>
    </row>
    <row r="7515" spans="1:14" hidden="1" x14ac:dyDescent="0.35">
      <c r="A7515" s="52" t="s">
        <v>728</v>
      </c>
      <c r="B7515" s="52" t="s">
        <v>37</v>
      </c>
      <c r="C7515" s="52" t="s">
        <v>63</v>
      </c>
      <c r="D7515" s="52" t="s">
        <v>63</v>
      </c>
      <c r="E7515" s="52" t="s">
        <v>608</v>
      </c>
      <c r="F7515" s="52" t="s">
        <v>26</v>
      </c>
      <c r="G7515" s="195" t="s">
        <v>277</v>
      </c>
      <c r="H7515" s="195">
        <v>0</v>
      </c>
      <c r="I7515" s="195">
        <v>1.5062660000000001</v>
      </c>
      <c r="J7515" s="195">
        <v>2.6312449999999998</v>
      </c>
      <c r="K7515" s="195"/>
      <c r="L7515" s="195">
        <v>7.0637610000000003E-2</v>
      </c>
      <c r="M7515" s="195">
        <v>4.7969629999999999</v>
      </c>
      <c r="N7515" s="195">
        <v>11.57405</v>
      </c>
    </row>
    <row r="7516" spans="1:14" hidden="1" x14ac:dyDescent="0.35">
      <c r="A7516" s="52" t="s">
        <v>728</v>
      </c>
      <c r="B7516" s="52" t="s">
        <v>37</v>
      </c>
      <c r="C7516" s="52" t="s">
        <v>63</v>
      </c>
      <c r="D7516" s="52" t="s">
        <v>63</v>
      </c>
      <c r="E7516" s="52" t="s">
        <v>608</v>
      </c>
      <c r="F7516" s="52" t="s">
        <v>26</v>
      </c>
      <c r="G7516" s="195" t="s">
        <v>279</v>
      </c>
      <c r="H7516" s="195">
        <v>48.985860000000002</v>
      </c>
      <c r="I7516" s="195">
        <v>40.634650000000001</v>
      </c>
      <c r="J7516" s="195">
        <v>41.533009999999997</v>
      </c>
      <c r="K7516" s="195">
        <v>40.767110000000002</v>
      </c>
      <c r="L7516" s="195">
        <v>39.43038</v>
      </c>
      <c r="M7516" s="195">
        <v>36.903550000000003</v>
      </c>
      <c r="N7516" s="195">
        <v>36.8504</v>
      </c>
    </row>
    <row r="7517" spans="1:14" hidden="1" x14ac:dyDescent="0.35">
      <c r="A7517" s="52" t="s">
        <v>728</v>
      </c>
      <c r="B7517" s="52" t="s">
        <v>37</v>
      </c>
      <c r="C7517" s="52" t="s">
        <v>63</v>
      </c>
      <c r="D7517" s="52" t="s">
        <v>63</v>
      </c>
      <c r="E7517" s="52" t="s">
        <v>609</v>
      </c>
      <c r="F7517" s="52" t="s">
        <v>26</v>
      </c>
      <c r="G7517" s="195" t="s">
        <v>275</v>
      </c>
      <c r="H7517" s="195">
        <v>9.9117920000000002</v>
      </c>
      <c r="I7517" s="195">
        <v>10.446910000000001</v>
      </c>
      <c r="J7517" s="195">
        <v>16.426860000000001</v>
      </c>
      <c r="K7517" s="195">
        <v>14.545489999999999</v>
      </c>
      <c r="L7517" s="195">
        <v>10.533519999999999</v>
      </c>
      <c r="M7517" s="195">
        <v>6.4398559999999998</v>
      </c>
      <c r="N7517" s="195">
        <v>4.4078210000000002</v>
      </c>
    </row>
    <row r="7518" spans="1:14" hidden="1" x14ac:dyDescent="0.35">
      <c r="A7518" s="52" t="s">
        <v>728</v>
      </c>
      <c r="B7518" s="52" t="s">
        <v>37</v>
      </c>
      <c r="C7518" s="52" t="s">
        <v>63</v>
      </c>
      <c r="D7518" s="52" t="s">
        <v>63</v>
      </c>
      <c r="E7518" s="52" t="s">
        <v>609</v>
      </c>
      <c r="F7518" s="52" t="s">
        <v>26</v>
      </c>
      <c r="G7518" s="195" t="s">
        <v>276</v>
      </c>
      <c r="H7518" s="195">
        <v>2.5686490000000002</v>
      </c>
      <c r="I7518" s="195"/>
      <c r="J7518" s="195"/>
      <c r="K7518" s="195"/>
      <c r="L7518" s="195">
        <v>0</v>
      </c>
      <c r="M7518" s="195"/>
      <c r="N7518" s="195">
        <v>1.021725</v>
      </c>
    </row>
    <row r="7519" spans="1:14" hidden="1" x14ac:dyDescent="0.35">
      <c r="A7519" s="52" t="s">
        <v>728</v>
      </c>
      <c r="B7519" s="52" t="s">
        <v>37</v>
      </c>
      <c r="C7519" s="52" t="s">
        <v>63</v>
      </c>
      <c r="D7519" s="52" t="s">
        <v>63</v>
      </c>
      <c r="E7519" s="52" t="s">
        <v>609</v>
      </c>
      <c r="F7519" s="52" t="s">
        <v>26</v>
      </c>
      <c r="G7519" s="195" t="s">
        <v>277</v>
      </c>
      <c r="H7519" s="195">
        <v>16.840959999999999</v>
      </c>
      <c r="I7519" s="195">
        <v>6.5317189999999998</v>
      </c>
      <c r="J7519" s="195">
        <v>2.9428839999999998</v>
      </c>
      <c r="K7519" s="195">
        <v>0.89006640000000004</v>
      </c>
      <c r="L7519" s="195">
        <v>0</v>
      </c>
      <c r="M7519" s="195">
        <v>2.0221710000000002</v>
      </c>
      <c r="N7519" s="195">
        <v>2.945783</v>
      </c>
    </row>
    <row r="7520" spans="1:14" hidden="1" x14ac:dyDescent="0.35">
      <c r="A7520" s="52" t="s">
        <v>728</v>
      </c>
      <c r="B7520" s="52" t="s">
        <v>37</v>
      </c>
      <c r="C7520" s="52" t="s">
        <v>63</v>
      </c>
      <c r="D7520" s="52" t="s">
        <v>63</v>
      </c>
      <c r="E7520" s="52" t="s">
        <v>609</v>
      </c>
      <c r="F7520" s="52" t="s">
        <v>26</v>
      </c>
      <c r="G7520" s="195" t="s">
        <v>278</v>
      </c>
      <c r="H7520" s="195">
        <v>2.8327100000000001</v>
      </c>
      <c r="I7520" s="195">
        <v>0</v>
      </c>
      <c r="J7520" s="195"/>
      <c r="K7520" s="195"/>
      <c r="L7520" s="195">
        <v>0</v>
      </c>
      <c r="M7520" s="195">
        <v>1.050961</v>
      </c>
      <c r="N7520" s="195">
        <v>1.914571</v>
      </c>
    </row>
    <row r="7521" spans="1:14" hidden="1" x14ac:dyDescent="0.35">
      <c r="A7521" s="52" t="s">
        <v>728</v>
      </c>
      <c r="B7521" s="52" t="s">
        <v>37</v>
      </c>
      <c r="C7521" s="52" t="s">
        <v>63</v>
      </c>
      <c r="D7521" s="52" t="s">
        <v>63</v>
      </c>
      <c r="E7521" s="52" t="s">
        <v>609</v>
      </c>
      <c r="F7521" s="52" t="s">
        <v>26</v>
      </c>
      <c r="G7521" s="195" t="s">
        <v>279</v>
      </c>
      <c r="H7521" s="195">
        <v>27.5946</v>
      </c>
      <c r="I7521" s="195">
        <v>19.602409999999999</v>
      </c>
      <c r="J7521" s="195">
        <v>20.936910000000001</v>
      </c>
      <c r="K7521" s="195">
        <v>19.25019</v>
      </c>
      <c r="L7521" s="195">
        <v>16.318449999999999</v>
      </c>
      <c r="M7521" s="195">
        <v>14.882009999999999</v>
      </c>
      <c r="N7521" s="195">
        <v>15.819050000000001</v>
      </c>
    </row>
    <row r="7522" spans="1:14" hidden="1" x14ac:dyDescent="0.35">
      <c r="A7522" s="52" t="s">
        <v>728</v>
      </c>
      <c r="B7522" s="52" t="s">
        <v>37</v>
      </c>
      <c r="C7522" s="52" t="s">
        <v>63</v>
      </c>
      <c r="D7522" s="52" t="s">
        <v>63</v>
      </c>
      <c r="E7522" s="52" t="s">
        <v>668</v>
      </c>
      <c r="F7522" s="52" t="s">
        <v>581</v>
      </c>
      <c r="G7522" s="195" t="s">
        <v>275</v>
      </c>
      <c r="H7522" s="195">
        <v>10.67947</v>
      </c>
      <c r="I7522" s="195">
        <v>2.8004669999999998</v>
      </c>
      <c r="J7522" s="195">
        <v>2.0673460000000001</v>
      </c>
      <c r="K7522" s="195">
        <v>1.8614299999999999</v>
      </c>
      <c r="L7522" s="195">
        <v>1.5983909999999999</v>
      </c>
      <c r="M7522" s="195">
        <v>1.492597</v>
      </c>
      <c r="N7522" s="195">
        <v>1.3762300000000001</v>
      </c>
    </row>
    <row r="7523" spans="1:14" hidden="1" x14ac:dyDescent="0.35">
      <c r="A7523" s="52" t="s">
        <v>728</v>
      </c>
      <c r="B7523" s="52" t="s">
        <v>37</v>
      </c>
      <c r="C7523" s="52" t="s">
        <v>63</v>
      </c>
      <c r="D7523" s="52" t="s">
        <v>63</v>
      </c>
      <c r="E7523" s="52" t="s">
        <v>668</v>
      </c>
      <c r="F7523" s="52" t="s">
        <v>581</v>
      </c>
      <c r="G7523" s="195" t="s">
        <v>276</v>
      </c>
      <c r="H7523" s="195">
        <v>3.2677299999999998</v>
      </c>
      <c r="I7523" s="195">
        <v>0.85689459999999995</v>
      </c>
      <c r="J7523" s="195">
        <v>0.63257050000000004</v>
      </c>
      <c r="K7523" s="195">
        <v>0.56956490000000004</v>
      </c>
      <c r="L7523" s="195">
        <v>0.48908059999999998</v>
      </c>
      <c r="M7523" s="195">
        <v>0.45670820000000001</v>
      </c>
      <c r="N7523" s="195">
        <v>0.42110259999999999</v>
      </c>
    </row>
    <row r="7524" spans="1:14" hidden="1" x14ac:dyDescent="0.35">
      <c r="A7524" s="52" t="s">
        <v>728</v>
      </c>
      <c r="B7524" s="52" t="s">
        <v>37</v>
      </c>
      <c r="C7524" s="52" t="s">
        <v>63</v>
      </c>
      <c r="D7524" s="52" t="s">
        <v>63</v>
      </c>
      <c r="E7524" s="52" t="s">
        <v>668</v>
      </c>
      <c r="F7524" s="52" t="s">
        <v>581</v>
      </c>
      <c r="G7524" s="195" t="s">
        <v>279</v>
      </c>
      <c r="H7524" s="195">
        <v>3.3347790000000002</v>
      </c>
      <c r="I7524" s="195">
        <v>2.2032970000000001</v>
      </c>
      <c r="J7524" s="195">
        <v>1.910849</v>
      </c>
      <c r="K7524" s="195">
        <v>1.828908</v>
      </c>
      <c r="L7524" s="195">
        <v>1.8482400000000001</v>
      </c>
      <c r="M7524" s="195">
        <v>1.696196</v>
      </c>
      <c r="N7524" s="195">
        <v>1.560778</v>
      </c>
    </row>
    <row r="7525" spans="1:14" hidden="1" x14ac:dyDescent="0.35">
      <c r="A7525" s="52" t="s">
        <v>728</v>
      </c>
      <c r="B7525" s="52" t="s">
        <v>37</v>
      </c>
      <c r="C7525" s="52" t="s">
        <v>63</v>
      </c>
      <c r="D7525" s="52" t="s">
        <v>63</v>
      </c>
      <c r="E7525" s="52" t="s">
        <v>668</v>
      </c>
      <c r="F7525" s="52" t="s">
        <v>26</v>
      </c>
      <c r="G7525" s="195" t="s">
        <v>275</v>
      </c>
      <c r="H7525" s="195">
        <v>17.49436</v>
      </c>
      <c r="I7525" s="195">
        <v>8.1332269999999998</v>
      </c>
      <c r="J7525" s="195">
        <v>7.8471700000000002</v>
      </c>
      <c r="K7525" s="195">
        <v>6.6940179999999998</v>
      </c>
      <c r="L7525" s="195">
        <v>5.4094309999999997</v>
      </c>
      <c r="M7525" s="195">
        <v>5.0239719999999997</v>
      </c>
      <c r="N7525" s="195">
        <v>4.6375510000000002</v>
      </c>
    </row>
    <row r="7526" spans="1:14" hidden="1" x14ac:dyDescent="0.35">
      <c r="A7526" s="52" t="s">
        <v>728</v>
      </c>
      <c r="B7526" s="52" t="s">
        <v>37</v>
      </c>
      <c r="C7526" s="52" t="s">
        <v>63</v>
      </c>
      <c r="D7526" s="52" t="s">
        <v>63</v>
      </c>
      <c r="E7526" s="52" t="s">
        <v>668</v>
      </c>
      <c r="F7526" s="52" t="s">
        <v>26</v>
      </c>
      <c r="G7526" s="195" t="s">
        <v>276</v>
      </c>
      <c r="H7526" s="195">
        <v>7.5854000000000005E-2</v>
      </c>
      <c r="I7526" s="195">
        <v>2.4886249999999999</v>
      </c>
      <c r="J7526" s="195">
        <v>2.4010980000000002</v>
      </c>
      <c r="K7526" s="195">
        <v>2.0482529999999999</v>
      </c>
      <c r="L7526" s="195">
        <v>1.6551910000000001</v>
      </c>
      <c r="M7526" s="195">
        <v>1.5372479999999999</v>
      </c>
      <c r="N7526" s="195">
        <v>1.4190100000000001</v>
      </c>
    </row>
    <row r="7527" spans="1:14" hidden="1" x14ac:dyDescent="0.35">
      <c r="A7527" s="52" t="s">
        <v>728</v>
      </c>
      <c r="B7527" s="52" t="s">
        <v>37</v>
      </c>
      <c r="C7527" s="52" t="s">
        <v>63</v>
      </c>
      <c r="D7527" s="52" t="s">
        <v>63</v>
      </c>
      <c r="E7527" s="52" t="s">
        <v>668</v>
      </c>
      <c r="F7527" s="52" t="s">
        <v>26</v>
      </c>
      <c r="G7527" s="195" t="s">
        <v>279</v>
      </c>
      <c r="H7527" s="195">
        <v>18.93835</v>
      </c>
      <c r="I7527" s="195">
        <v>14.99536</v>
      </c>
      <c r="J7527" s="195">
        <v>13.438969999999999</v>
      </c>
      <c r="K7527" s="195">
        <v>13.102740000000001</v>
      </c>
      <c r="L7527" s="195">
        <v>13.070209999999999</v>
      </c>
      <c r="M7527" s="195">
        <v>12.03518</v>
      </c>
      <c r="N7527" s="195">
        <v>11.07521</v>
      </c>
    </row>
    <row r="7528" spans="1:14" hidden="1" x14ac:dyDescent="0.35">
      <c r="A7528" s="52" t="s">
        <v>728</v>
      </c>
      <c r="B7528" s="52" t="s">
        <v>37</v>
      </c>
      <c r="C7528" s="52" t="s">
        <v>63</v>
      </c>
      <c r="D7528" s="52" t="s">
        <v>63</v>
      </c>
      <c r="E7528" s="52" t="s">
        <v>667</v>
      </c>
      <c r="F7528" s="52" t="s">
        <v>26</v>
      </c>
      <c r="G7528" s="195" t="s">
        <v>275</v>
      </c>
      <c r="H7528" s="195">
        <v>-3.8862030000000001</v>
      </c>
      <c r="I7528" s="195">
        <v>-4.2261600000000001</v>
      </c>
      <c r="J7528" s="195">
        <v>-1.1890019999999999</v>
      </c>
      <c r="K7528" s="195">
        <v>-6.2065389999999998E-2</v>
      </c>
      <c r="L7528" s="195">
        <v>6.9421990000000003E-2</v>
      </c>
      <c r="M7528" s="195">
        <v>0.1665112</v>
      </c>
      <c r="N7528" s="195">
        <v>-0.1204006</v>
      </c>
    </row>
    <row r="7529" spans="1:14" hidden="1" x14ac:dyDescent="0.35">
      <c r="A7529" s="52" t="s">
        <v>728</v>
      </c>
      <c r="B7529" s="52" t="s">
        <v>37</v>
      </c>
      <c r="C7529" s="52" t="s">
        <v>63</v>
      </c>
      <c r="D7529" s="52" t="s">
        <v>63</v>
      </c>
      <c r="E7529" s="52" t="s">
        <v>667</v>
      </c>
      <c r="F7529" s="52" t="s">
        <v>26</v>
      </c>
      <c r="G7529" s="195" t="s">
        <v>276</v>
      </c>
      <c r="H7529" s="195">
        <v>-0.30808200000000002</v>
      </c>
      <c r="I7529" s="195">
        <v>-0.54822579999999999</v>
      </c>
      <c r="J7529" s="195">
        <v>-0.53806180000000003</v>
      </c>
      <c r="K7529" s="195">
        <v>-0.54979299999999998</v>
      </c>
      <c r="L7529" s="195">
        <v>-0.67444380000000004</v>
      </c>
      <c r="M7529" s="195">
        <v>-0.56230219999999997</v>
      </c>
      <c r="N7529" s="195">
        <v>-0.22610040000000001</v>
      </c>
    </row>
    <row r="7530" spans="1:14" hidden="1" x14ac:dyDescent="0.35">
      <c r="A7530" s="52" t="s">
        <v>728</v>
      </c>
      <c r="B7530" s="52" t="s">
        <v>37</v>
      </c>
      <c r="C7530" s="52" t="s">
        <v>63</v>
      </c>
      <c r="D7530" s="52" t="s">
        <v>63</v>
      </c>
      <c r="E7530" s="52" t="s">
        <v>667</v>
      </c>
      <c r="F7530" s="52" t="s">
        <v>26</v>
      </c>
      <c r="G7530" s="195" t="s">
        <v>277</v>
      </c>
      <c r="H7530" s="195">
        <v>3.1561360000000001</v>
      </c>
      <c r="I7530" s="195">
        <v>3.824767</v>
      </c>
      <c r="J7530" s="195">
        <v>1.0502290000000001</v>
      </c>
      <c r="K7530" s="195">
        <v>0.1669368</v>
      </c>
      <c r="L7530" s="195"/>
      <c r="M7530" s="195">
        <v>0</v>
      </c>
      <c r="N7530" s="195">
        <v>0</v>
      </c>
    </row>
    <row r="7531" spans="1:14" hidden="1" x14ac:dyDescent="0.35">
      <c r="A7531" s="52" t="s">
        <v>728</v>
      </c>
      <c r="B7531" s="52" t="s">
        <v>37</v>
      </c>
      <c r="C7531" s="52" t="s">
        <v>63</v>
      </c>
      <c r="D7531" s="52" t="s">
        <v>63</v>
      </c>
      <c r="E7531" s="52" t="s">
        <v>667</v>
      </c>
      <c r="F7531" s="52" t="s">
        <v>26</v>
      </c>
      <c r="G7531" s="195" t="s">
        <v>278</v>
      </c>
      <c r="H7531" s="195">
        <v>0.96065809999999996</v>
      </c>
      <c r="I7531" s="195">
        <v>0.57864879999999996</v>
      </c>
      <c r="J7531" s="195">
        <v>0.34773399999999999</v>
      </c>
      <c r="K7531" s="195">
        <v>0.1387774</v>
      </c>
      <c r="L7531" s="195"/>
      <c r="M7531" s="195">
        <v>0</v>
      </c>
      <c r="N7531" s="195"/>
    </row>
    <row r="7532" spans="1:14" hidden="1" x14ac:dyDescent="0.35">
      <c r="A7532" s="52" t="s">
        <v>728</v>
      </c>
      <c r="B7532" s="52" t="s">
        <v>37</v>
      </c>
      <c r="C7532" s="52" t="s">
        <v>63</v>
      </c>
      <c r="D7532" s="52" t="s">
        <v>63</v>
      </c>
      <c r="E7532" s="52" t="s">
        <v>667</v>
      </c>
      <c r="F7532" s="52" t="s">
        <v>26</v>
      </c>
      <c r="G7532" s="195" t="s">
        <v>279</v>
      </c>
      <c r="H7532" s="195">
        <v>1.425718</v>
      </c>
      <c r="I7532" s="195">
        <v>2.278165</v>
      </c>
      <c r="J7532" s="195">
        <v>3.0628989999999998</v>
      </c>
      <c r="K7532" s="195">
        <v>2.5537640000000001</v>
      </c>
      <c r="L7532" s="195">
        <v>2.2361200000000001</v>
      </c>
      <c r="M7532" s="195">
        <v>1.8710340000000001</v>
      </c>
      <c r="N7532" s="195">
        <v>1.6451750000000001</v>
      </c>
    </row>
    <row r="7533" spans="1:14" hidden="1" x14ac:dyDescent="0.35">
      <c r="A7533" s="52" t="s">
        <v>749</v>
      </c>
      <c r="B7533" s="52" t="s">
        <v>37</v>
      </c>
      <c r="C7533" s="52" t="s">
        <v>79</v>
      </c>
      <c r="D7533" s="52" t="s">
        <v>79</v>
      </c>
      <c r="E7533" s="52" t="s">
        <v>600</v>
      </c>
      <c r="F7533" s="52" t="s">
        <v>581</v>
      </c>
      <c r="G7533" s="195" t="s">
        <v>275</v>
      </c>
      <c r="H7533" s="195">
        <v>314.93729999999999</v>
      </c>
      <c r="I7533" s="195">
        <v>62.127450000000003</v>
      </c>
      <c r="J7533" s="195">
        <v>97.979089999999999</v>
      </c>
      <c r="K7533" s="195">
        <v>88.659880000000001</v>
      </c>
      <c r="L7533" s="195">
        <v>38.750680000000003</v>
      </c>
      <c r="M7533" s="195">
        <v>34.446210000000001</v>
      </c>
      <c r="N7533" s="195">
        <v>25.838470000000001</v>
      </c>
    </row>
    <row r="7534" spans="1:14" hidden="1" x14ac:dyDescent="0.35">
      <c r="A7534" s="52" t="s">
        <v>749</v>
      </c>
      <c r="B7534" s="52" t="s">
        <v>37</v>
      </c>
      <c r="C7534" s="52" t="s">
        <v>79</v>
      </c>
      <c r="D7534" s="52" t="s">
        <v>79</v>
      </c>
      <c r="E7534" s="52" t="s">
        <v>600</v>
      </c>
      <c r="F7534" s="52" t="s">
        <v>581</v>
      </c>
      <c r="G7534" s="195" t="s">
        <v>276</v>
      </c>
      <c r="H7534" s="195">
        <v>-7.5932719999999998</v>
      </c>
      <c r="I7534" s="195">
        <v>-36.461689999999997</v>
      </c>
      <c r="J7534" s="195">
        <v>-48.854030000000002</v>
      </c>
      <c r="K7534" s="195">
        <v>-46.705979999999997</v>
      </c>
      <c r="L7534" s="195">
        <v>-4.9773909999999999</v>
      </c>
      <c r="M7534" s="195">
        <v>1.161287</v>
      </c>
      <c r="N7534" s="195">
        <v>5.0429659999999998</v>
      </c>
    </row>
    <row r="7535" spans="1:14" hidden="1" x14ac:dyDescent="0.35">
      <c r="A7535" s="52" t="s">
        <v>749</v>
      </c>
      <c r="B7535" s="52" t="s">
        <v>37</v>
      </c>
      <c r="C7535" s="52" t="s">
        <v>79</v>
      </c>
      <c r="D7535" s="52" t="s">
        <v>79</v>
      </c>
      <c r="E7535" s="52" t="s">
        <v>600</v>
      </c>
      <c r="F7535" s="52" t="s">
        <v>581</v>
      </c>
      <c r="G7535" s="195" t="s">
        <v>277</v>
      </c>
      <c r="H7535" s="195">
        <v>122.67959999999999</v>
      </c>
      <c r="I7535" s="195">
        <v>65.361760000000004</v>
      </c>
      <c r="J7535" s="195">
        <v>15.789949999999999</v>
      </c>
      <c r="K7535" s="195">
        <v>10.59029</v>
      </c>
      <c r="L7535" s="195">
        <v>6.6484819999999996</v>
      </c>
      <c r="M7535" s="195">
        <v>0.59325220000000001</v>
      </c>
      <c r="N7535" s="195">
        <v>6.9514389999999995E-2</v>
      </c>
    </row>
    <row r="7536" spans="1:14" hidden="1" x14ac:dyDescent="0.35">
      <c r="A7536" s="52" t="s">
        <v>749</v>
      </c>
      <c r="B7536" s="52" t="s">
        <v>37</v>
      </c>
      <c r="C7536" s="52" t="s">
        <v>79</v>
      </c>
      <c r="D7536" s="52" t="s">
        <v>79</v>
      </c>
      <c r="E7536" s="52" t="s">
        <v>600</v>
      </c>
      <c r="F7536" s="52" t="s">
        <v>581</v>
      </c>
      <c r="G7536" s="195" t="s">
        <v>278</v>
      </c>
      <c r="H7536" s="195">
        <v>1.3540000000000001</v>
      </c>
      <c r="I7536" s="195">
        <v>0.25992080000000001</v>
      </c>
      <c r="J7536" s="195">
        <v>0</v>
      </c>
      <c r="K7536" s="195"/>
      <c r="L7536" s="195"/>
      <c r="M7536" s="195"/>
      <c r="N7536" s="195"/>
    </row>
    <row r="7537" spans="1:14" hidden="1" x14ac:dyDescent="0.35">
      <c r="A7537" s="52" t="s">
        <v>749</v>
      </c>
      <c r="B7537" s="52" t="s">
        <v>37</v>
      </c>
      <c r="C7537" s="52" t="s">
        <v>79</v>
      </c>
      <c r="D7537" s="52" t="s">
        <v>79</v>
      </c>
      <c r="E7537" s="52" t="s">
        <v>600</v>
      </c>
      <c r="F7537" s="52" t="s">
        <v>581</v>
      </c>
      <c r="G7537" s="195" t="s">
        <v>279</v>
      </c>
      <c r="H7537" s="195">
        <v>151.7987</v>
      </c>
      <c r="I7537" s="195">
        <v>90.212509999999995</v>
      </c>
      <c r="J7537" s="195">
        <v>77.812809999999999</v>
      </c>
      <c r="K7537" s="195">
        <v>67.843919999999997</v>
      </c>
      <c r="L7537" s="195">
        <v>64.143739999999994</v>
      </c>
      <c r="M7537" s="195">
        <v>55.84534</v>
      </c>
      <c r="N7537" s="195">
        <v>47.305680000000002</v>
      </c>
    </row>
    <row r="7538" spans="1:14" hidden="1" x14ac:dyDescent="0.35">
      <c r="A7538" s="52" t="s">
        <v>749</v>
      </c>
      <c r="B7538" s="52" t="s">
        <v>37</v>
      </c>
      <c r="C7538" s="52" t="s">
        <v>79</v>
      </c>
      <c r="D7538" s="52" t="s">
        <v>79</v>
      </c>
      <c r="E7538" s="52" t="s">
        <v>600</v>
      </c>
      <c r="F7538" s="52" t="s">
        <v>26</v>
      </c>
      <c r="G7538" s="195" t="s">
        <v>275</v>
      </c>
      <c r="H7538" s="195">
        <v>26.782509999999998</v>
      </c>
      <c r="I7538" s="195">
        <v>13.815469999999999</v>
      </c>
      <c r="J7538" s="195">
        <v>14.39569</v>
      </c>
      <c r="K7538" s="195">
        <v>10.293699999999999</v>
      </c>
      <c r="L7538" s="195">
        <v>5.9638109999999998</v>
      </c>
      <c r="M7538" s="195">
        <v>5.348484</v>
      </c>
      <c r="N7538" s="195">
        <v>4.5817810000000003</v>
      </c>
    </row>
    <row r="7539" spans="1:14" hidden="1" x14ac:dyDescent="0.35">
      <c r="A7539" s="52" t="s">
        <v>749</v>
      </c>
      <c r="B7539" s="52" t="s">
        <v>37</v>
      </c>
      <c r="C7539" s="52" t="s">
        <v>79</v>
      </c>
      <c r="D7539" s="52" t="s">
        <v>79</v>
      </c>
      <c r="E7539" s="52" t="s">
        <v>600</v>
      </c>
      <c r="F7539" s="52" t="s">
        <v>26</v>
      </c>
      <c r="G7539" s="195" t="s">
        <v>276</v>
      </c>
      <c r="H7539" s="195">
        <v>7.7639779999999998</v>
      </c>
      <c r="I7539" s="195">
        <v>4.0049630000000001</v>
      </c>
      <c r="J7539" s="195">
        <v>4.173165</v>
      </c>
      <c r="K7539" s="195">
        <v>2.984038</v>
      </c>
      <c r="L7539" s="195">
        <v>1.7288490000000001</v>
      </c>
      <c r="M7539" s="195">
        <v>1.5504709999999999</v>
      </c>
      <c r="N7539" s="195">
        <v>1.328211</v>
      </c>
    </row>
    <row r="7540" spans="1:14" hidden="1" x14ac:dyDescent="0.35">
      <c r="A7540" s="52" t="s">
        <v>749</v>
      </c>
      <c r="B7540" s="52" t="s">
        <v>37</v>
      </c>
      <c r="C7540" s="52" t="s">
        <v>79</v>
      </c>
      <c r="D7540" s="52" t="s">
        <v>79</v>
      </c>
      <c r="E7540" s="52" t="s">
        <v>600</v>
      </c>
      <c r="F7540" s="52" t="s">
        <v>26</v>
      </c>
      <c r="G7540" s="195" t="s">
        <v>279</v>
      </c>
      <c r="H7540" s="195">
        <v>81.132090000000005</v>
      </c>
      <c r="I7540" s="195">
        <v>64.927800000000005</v>
      </c>
      <c r="J7540" s="195">
        <v>58.69209</v>
      </c>
      <c r="K7540" s="195">
        <v>51.764859999999999</v>
      </c>
      <c r="L7540" s="195">
        <v>48.047759999999997</v>
      </c>
      <c r="M7540" s="195">
        <v>41.801560000000002</v>
      </c>
      <c r="N7540" s="195">
        <v>35.320959999999999</v>
      </c>
    </row>
    <row r="7541" spans="1:14" hidden="1" x14ac:dyDescent="0.35">
      <c r="A7541" s="52" t="s">
        <v>749</v>
      </c>
      <c r="B7541" s="52" t="s">
        <v>37</v>
      </c>
      <c r="C7541" s="52" t="s">
        <v>79</v>
      </c>
      <c r="D7541" s="52" t="s">
        <v>79</v>
      </c>
      <c r="E7541" s="52" t="s">
        <v>615</v>
      </c>
      <c r="F7541" s="52" t="s">
        <v>581</v>
      </c>
      <c r="G7541" s="195" t="s">
        <v>275</v>
      </c>
      <c r="H7541" s="195">
        <v>36.77422</v>
      </c>
      <c r="I7541" s="195">
        <v>12.2934</v>
      </c>
      <c r="J7541" s="195">
        <v>12.61492</v>
      </c>
      <c r="K7541" s="195">
        <v>2.9855969999999998</v>
      </c>
      <c r="L7541" s="195">
        <v>0.46236460000000001</v>
      </c>
      <c r="M7541" s="195">
        <v>1.101521</v>
      </c>
      <c r="N7541" s="195">
        <v>1.010051</v>
      </c>
    </row>
    <row r="7542" spans="1:14" hidden="1" x14ac:dyDescent="0.35">
      <c r="A7542" s="52" t="s">
        <v>749</v>
      </c>
      <c r="B7542" s="52" t="s">
        <v>37</v>
      </c>
      <c r="C7542" s="52" t="s">
        <v>79</v>
      </c>
      <c r="D7542" s="52" t="s">
        <v>79</v>
      </c>
      <c r="E7542" s="52" t="s">
        <v>615</v>
      </c>
      <c r="F7542" s="52" t="s">
        <v>581</v>
      </c>
      <c r="G7542" s="195" t="s">
        <v>276</v>
      </c>
      <c r="H7542" s="195">
        <v>-0.30920999999999998</v>
      </c>
      <c r="I7542" s="195">
        <v>-8.0765060000000002</v>
      </c>
      <c r="J7542" s="195">
        <v>-10.66287</v>
      </c>
      <c r="K7542" s="195">
        <v>-0.92875730000000001</v>
      </c>
      <c r="L7542" s="195">
        <v>0.27575139999999998</v>
      </c>
      <c r="M7542" s="195">
        <v>0.20899719999999999</v>
      </c>
      <c r="N7542" s="195">
        <v>0.14578720000000001</v>
      </c>
    </row>
    <row r="7543" spans="1:14" hidden="1" x14ac:dyDescent="0.35">
      <c r="A7543" s="52" t="s">
        <v>749</v>
      </c>
      <c r="B7543" s="52" t="s">
        <v>37</v>
      </c>
      <c r="C7543" s="52" t="s">
        <v>79</v>
      </c>
      <c r="D7543" s="52" t="s">
        <v>79</v>
      </c>
      <c r="E7543" s="52" t="s">
        <v>615</v>
      </c>
      <c r="F7543" s="52" t="s">
        <v>581</v>
      </c>
      <c r="G7543" s="195" t="s">
        <v>277</v>
      </c>
      <c r="H7543" s="195">
        <v>0</v>
      </c>
      <c r="I7543" s="195">
        <v>0.31366699999999997</v>
      </c>
      <c r="J7543" s="195">
        <v>0.93221399999999999</v>
      </c>
      <c r="K7543" s="195">
        <v>0.17856340000000001</v>
      </c>
      <c r="L7543" s="195">
        <v>0.83609339999999999</v>
      </c>
      <c r="M7543" s="195">
        <v>0</v>
      </c>
      <c r="N7543" s="195">
        <v>0</v>
      </c>
    </row>
    <row r="7544" spans="1:14" hidden="1" x14ac:dyDescent="0.35">
      <c r="A7544" s="52" t="s">
        <v>749</v>
      </c>
      <c r="B7544" s="52" t="s">
        <v>37</v>
      </c>
      <c r="C7544" s="52" t="s">
        <v>79</v>
      </c>
      <c r="D7544" s="52" t="s">
        <v>79</v>
      </c>
      <c r="E7544" s="52" t="s">
        <v>615</v>
      </c>
      <c r="F7544" s="52" t="s">
        <v>581</v>
      </c>
      <c r="G7544" s="195" t="s">
        <v>278</v>
      </c>
      <c r="H7544" s="195">
        <v>0</v>
      </c>
      <c r="I7544" s="195"/>
      <c r="J7544" s="195"/>
      <c r="K7544" s="195"/>
      <c r="L7544" s="195"/>
      <c r="M7544" s="195"/>
      <c r="N7544" s="195"/>
    </row>
    <row r="7545" spans="1:14" hidden="1" x14ac:dyDescent="0.35">
      <c r="A7545" s="52" t="s">
        <v>749</v>
      </c>
      <c r="B7545" s="52" t="s">
        <v>37</v>
      </c>
      <c r="C7545" s="52" t="s">
        <v>79</v>
      </c>
      <c r="D7545" s="52" t="s">
        <v>79</v>
      </c>
      <c r="E7545" s="52" t="s">
        <v>615</v>
      </c>
      <c r="F7545" s="52" t="s">
        <v>581</v>
      </c>
      <c r="G7545" s="195" t="s">
        <v>279</v>
      </c>
      <c r="H7545" s="195">
        <v>13.16076</v>
      </c>
      <c r="I7545" s="195">
        <v>4.7799990000000001</v>
      </c>
      <c r="J7545" s="195">
        <v>3.7288709999999998</v>
      </c>
      <c r="K7545" s="195">
        <v>3.106636</v>
      </c>
      <c r="L7545" s="195">
        <v>2.8643939999999999</v>
      </c>
      <c r="M7545" s="195">
        <v>2.2759130000000001</v>
      </c>
      <c r="N7545" s="195">
        <v>1.7707299999999999</v>
      </c>
    </row>
    <row r="7546" spans="1:14" hidden="1" x14ac:dyDescent="0.35">
      <c r="A7546" s="52" t="s">
        <v>749</v>
      </c>
      <c r="B7546" s="52" t="s">
        <v>37</v>
      </c>
      <c r="C7546" s="52" t="s">
        <v>79</v>
      </c>
      <c r="D7546" s="52" t="s">
        <v>79</v>
      </c>
      <c r="E7546" s="52" t="s">
        <v>615</v>
      </c>
      <c r="F7546" s="52" t="s">
        <v>26</v>
      </c>
      <c r="G7546" s="195" t="s">
        <v>275</v>
      </c>
      <c r="H7546" s="195">
        <v>3.3396000000000002E-2</v>
      </c>
      <c r="I7546" s="195">
        <v>-1.17708E-2</v>
      </c>
      <c r="J7546" s="195">
        <v>-4.9280000000000001E-3</v>
      </c>
      <c r="K7546" s="195">
        <v>-9.4463989999999994E-3</v>
      </c>
      <c r="L7546" s="195">
        <v>-1.8650799999999999E-2</v>
      </c>
      <c r="M7546" s="195">
        <v>-1.40386E-2</v>
      </c>
      <c r="N7546" s="195">
        <v>-8.3797990000000003E-3</v>
      </c>
    </row>
    <row r="7547" spans="1:14" hidden="1" x14ac:dyDescent="0.35">
      <c r="A7547" s="52" t="s">
        <v>749</v>
      </c>
      <c r="B7547" s="52" t="s">
        <v>37</v>
      </c>
      <c r="C7547" s="52" t="s">
        <v>79</v>
      </c>
      <c r="D7547" s="52" t="s">
        <v>79</v>
      </c>
      <c r="E7547" s="52" t="s">
        <v>615</v>
      </c>
      <c r="F7547" s="52" t="s">
        <v>26</v>
      </c>
      <c r="G7547" s="195" t="s">
        <v>276</v>
      </c>
      <c r="H7547" s="195">
        <v>9.6809989999999992E-3</v>
      </c>
      <c r="I7547" s="195">
        <v>-3.4128000000000001E-3</v>
      </c>
      <c r="J7547" s="195">
        <v>-1.4298E-3</v>
      </c>
      <c r="K7547" s="195">
        <v>-2.7382000000000001E-3</v>
      </c>
      <c r="L7547" s="195">
        <v>-5.4070000000000003E-3</v>
      </c>
      <c r="M7547" s="195">
        <v>-4.0689999999999997E-3</v>
      </c>
      <c r="N7547" s="195">
        <v>-2.4282000000000001E-3</v>
      </c>
    </row>
    <row r="7548" spans="1:14" hidden="1" x14ac:dyDescent="0.35">
      <c r="A7548" s="52" t="s">
        <v>749</v>
      </c>
      <c r="B7548" s="52" t="s">
        <v>37</v>
      </c>
      <c r="C7548" s="52" t="s">
        <v>79</v>
      </c>
      <c r="D7548" s="52" t="s">
        <v>79</v>
      </c>
      <c r="E7548" s="52" t="s">
        <v>615</v>
      </c>
      <c r="F7548" s="52" t="s">
        <v>26</v>
      </c>
      <c r="G7548" s="195" t="s">
        <v>279</v>
      </c>
      <c r="H7548" s="195">
        <v>0.54573499999999997</v>
      </c>
      <c r="I7548" s="195">
        <v>0.23943819999999999</v>
      </c>
      <c r="J7548" s="195">
        <v>0.19212580000000001</v>
      </c>
      <c r="K7548" s="195">
        <v>0.16213900000000001</v>
      </c>
      <c r="L7548" s="195">
        <v>0.14834459999999999</v>
      </c>
      <c r="M7548" s="195">
        <v>0.11848019999999999</v>
      </c>
      <c r="N7548" s="195">
        <v>9.2787209999999995E-2</v>
      </c>
    </row>
    <row r="7549" spans="1:14" hidden="1" x14ac:dyDescent="0.35">
      <c r="A7549" s="52" t="s">
        <v>749</v>
      </c>
      <c r="B7549" s="52" t="s">
        <v>37</v>
      </c>
      <c r="C7549" s="52" t="s">
        <v>79</v>
      </c>
      <c r="D7549" s="52" t="s">
        <v>79</v>
      </c>
      <c r="E7549" s="52" t="s">
        <v>614</v>
      </c>
      <c r="F7549" s="52" t="s">
        <v>581</v>
      </c>
      <c r="G7549" s="195" t="s">
        <v>275</v>
      </c>
      <c r="H7549" s="195">
        <v>9.3061290000000003</v>
      </c>
      <c r="I7549" s="195">
        <v>4.4739979999999999</v>
      </c>
      <c r="J7549" s="195">
        <v>1.911589</v>
      </c>
      <c r="K7549" s="195">
        <v>2.0755309999999998</v>
      </c>
      <c r="L7549" s="195">
        <v>0.66836640000000003</v>
      </c>
      <c r="M7549" s="195">
        <v>1.5696209999999999</v>
      </c>
      <c r="N7549" s="195">
        <v>1.469244</v>
      </c>
    </row>
    <row r="7550" spans="1:14" hidden="1" x14ac:dyDescent="0.35">
      <c r="A7550" s="52" t="s">
        <v>749</v>
      </c>
      <c r="B7550" s="52" t="s">
        <v>37</v>
      </c>
      <c r="C7550" s="52" t="s">
        <v>79</v>
      </c>
      <c r="D7550" s="52" t="s">
        <v>79</v>
      </c>
      <c r="E7550" s="52" t="s">
        <v>614</v>
      </c>
      <c r="F7550" s="52" t="s">
        <v>581</v>
      </c>
      <c r="G7550" s="195" t="s">
        <v>276</v>
      </c>
      <c r="H7550" s="195">
        <v>-0.57650599999999996</v>
      </c>
      <c r="I7550" s="195">
        <v>-1.0077449999999999</v>
      </c>
      <c r="J7550" s="195">
        <v>-0.78971449999999999</v>
      </c>
      <c r="K7550" s="195">
        <v>-0.48119220000000001</v>
      </c>
      <c r="L7550" s="195">
        <v>-0.2458446</v>
      </c>
      <c r="M7550" s="195">
        <v>0.28428740000000002</v>
      </c>
      <c r="N7550" s="195">
        <v>0.1203174</v>
      </c>
    </row>
    <row r="7551" spans="1:14" hidden="1" x14ac:dyDescent="0.35">
      <c r="A7551" s="52" t="s">
        <v>749</v>
      </c>
      <c r="B7551" s="52" t="s">
        <v>37</v>
      </c>
      <c r="C7551" s="52" t="s">
        <v>79</v>
      </c>
      <c r="D7551" s="52" t="s">
        <v>79</v>
      </c>
      <c r="E7551" s="52" t="s">
        <v>614</v>
      </c>
      <c r="F7551" s="52" t="s">
        <v>581</v>
      </c>
      <c r="G7551" s="195" t="s">
        <v>277</v>
      </c>
      <c r="H7551" s="195">
        <v>6.1888350000000001</v>
      </c>
      <c r="I7551" s="195">
        <v>0</v>
      </c>
      <c r="J7551" s="195">
        <v>1.7792969999999999</v>
      </c>
      <c r="K7551" s="195">
        <v>0.98432719999999996</v>
      </c>
      <c r="L7551" s="195">
        <v>1.754702</v>
      </c>
      <c r="M7551" s="195">
        <v>0</v>
      </c>
      <c r="N7551" s="195">
        <v>0</v>
      </c>
    </row>
    <row r="7552" spans="1:14" hidden="1" x14ac:dyDescent="0.35">
      <c r="A7552" s="52" t="s">
        <v>749</v>
      </c>
      <c r="B7552" s="52" t="s">
        <v>37</v>
      </c>
      <c r="C7552" s="52" t="s">
        <v>79</v>
      </c>
      <c r="D7552" s="52" t="s">
        <v>79</v>
      </c>
      <c r="E7552" s="52" t="s">
        <v>614</v>
      </c>
      <c r="F7552" s="52" t="s">
        <v>581</v>
      </c>
      <c r="G7552" s="195" t="s">
        <v>279</v>
      </c>
      <c r="H7552" s="195">
        <v>5.1481050000000002</v>
      </c>
      <c r="I7552" s="195">
        <v>3.4586760000000001</v>
      </c>
      <c r="J7552" s="195">
        <v>3.3898739999999998</v>
      </c>
      <c r="K7552" s="195">
        <v>3.1416680000000001</v>
      </c>
      <c r="L7552" s="195">
        <v>3.3640159999999999</v>
      </c>
      <c r="M7552" s="195">
        <v>2.7781739999999999</v>
      </c>
      <c r="N7552" s="195">
        <v>2.3447200000000001</v>
      </c>
    </row>
    <row r="7553" spans="1:14" hidden="1" x14ac:dyDescent="0.35">
      <c r="A7553" s="52" t="s">
        <v>749</v>
      </c>
      <c r="B7553" s="52" t="s">
        <v>37</v>
      </c>
      <c r="C7553" s="52" t="s">
        <v>79</v>
      </c>
      <c r="D7553" s="52" t="s">
        <v>79</v>
      </c>
      <c r="E7553" s="52" t="s">
        <v>614</v>
      </c>
      <c r="F7553" s="52" t="s">
        <v>26</v>
      </c>
      <c r="G7553" s="195" t="s">
        <v>275</v>
      </c>
      <c r="H7553" s="195">
        <v>5.5861000000000001E-2</v>
      </c>
      <c r="I7553" s="195">
        <v>-2.1243999999999999E-2</v>
      </c>
      <c r="J7553" s="195">
        <v>3.2979989999999998E-3</v>
      </c>
      <c r="K7553" s="195">
        <v>-1.4589400000000001E-2</v>
      </c>
      <c r="L7553" s="195">
        <v>-6.5381800000000004E-2</v>
      </c>
      <c r="M7553" s="195">
        <v>-5.09656E-2</v>
      </c>
      <c r="N7553" s="195">
        <v>-4.1876200000000002E-2</v>
      </c>
    </row>
    <row r="7554" spans="1:14" hidden="1" x14ac:dyDescent="0.35">
      <c r="A7554" s="52" t="s">
        <v>749</v>
      </c>
      <c r="B7554" s="52" t="s">
        <v>37</v>
      </c>
      <c r="C7554" s="52" t="s">
        <v>79</v>
      </c>
      <c r="D7554" s="52" t="s">
        <v>79</v>
      </c>
      <c r="E7554" s="52" t="s">
        <v>614</v>
      </c>
      <c r="F7554" s="52" t="s">
        <v>26</v>
      </c>
      <c r="G7554" s="195" t="s">
        <v>276</v>
      </c>
      <c r="H7554" s="195">
        <v>1.6192999999999999E-2</v>
      </c>
      <c r="I7554" s="195">
        <v>-6.1587999999999999E-3</v>
      </c>
      <c r="J7554" s="195">
        <v>9.5659979999999998E-4</v>
      </c>
      <c r="K7554" s="195">
        <v>-4.2287999999999996E-3</v>
      </c>
      <c r="L7554" s="195">
        <v>-1.8953999999999999E-2</v>
      </c>
      <c r="M7554" s="195">
        <v>-1.47736E-2</v>
      </c>
      <c r="N7554" s="195">
        <v>-1.21388E-2</v>
      </c>
    </row>
    <row r="7555" spans="1:14" hidden="1" x14ac:dyDescent="0.35">
      <c r="A7555" s="52" t="s">
        <v>749</v>
      </c>
      <c r="B7555" s="52" t="s">
        <v>37</v>
      </c>
      <c r="C7555" s="52" t="s">
        <v>79</v>
      </c>
      <c r="D7555" s="52" t="s">
        <v>79</v>
      </c>
      <c r="E7555" s="52" t="s">
        <v>614</v>
      </c>
      <c r="F7555" s="52" t="s">
        <v>26</v>
      </c>
      <c r="G7555" s="195" t="s">
        <v>279</v>
      </c>
      <c r="H7555" s="195">
        <v>0.86754600000000004</v>
      </c>
      <c r="I7555" s="195">
        <v>0.7209352</v>
      </c>
      <c r="J7555" s="195">
        <v>0.72881260000000003</v>
      </c>
      <c r="K7555" s="195">
        <v>0.68296780000000001</v>
      </c>
      <c r="L7555" s="195">
        <v>0.72721899999999995</v>
      </c>
      <c r="M7555" s="195">
        <v>0.6026186</v>
      </c>
      <c r="N7555" s="195">
        <v>0.51068380000000002</v>
      </c>
    </row>
    <row r="7556" spans="1:14" hidden="1" x14ac:dyDescent="0.35">
      <c r="A7556" s="52" t="s">
        <v>749</v>
      </c>
      <c r="B7556" s="52" t="s">
        <v>37</v>
      </c>
      <c r="C7556" s="52" t="s">
        <v>79</v>
      </c>
      <c r="D7556" s="52" t="s">
        <v>79</v>
      </c>
      <c r="E7556" s="52" t="s">
        <v>750</v>
      </c>
      <c r="F7556" s="52" t="s">
        <v>581</v>
      </c>
      <c r="G7556" s="195" t="s">
        <v>275</v>
      </c>
      <c r="H7556" s="195">
        <v>1.973983</v>
      </c>
      <c r="I7556" s="195">
        <v>0.1240584</v>
      </c>
      <c r="J7556" s="195">
        <v>8.5671200000000003E-2</v>
      </c>
      <c r="K7556" s="195">
        <v>7.5004399999999999E-2</v>
      </c>
      <c r="L7556" s="195">
        <v>5.5799599999999998E-2</v>
      </c>
      <c r="M7556" s="195">
        <v>5.27508E-2</v>
      </c>
      <c r="N7556" s="195">
        <v>4.8129400000000003E-2</v>
      </c>
    </row>
    <row r="7557" spans="1:14" hidden="1" x14ac:dyDescent="0.35">
      <c r="A7557" s="52" t="s">
        <v>749</v>
      </c>
      <c r="B7557" s="52" t="s">
        <v>37</v>
      </c>
      <c r="C7557" s="52" t="s">
        <v>79</v>
      </c>
      <c r="D7557" s="52" t="s">
        <v>79</v>
      </c>
      <c r="E7557" s="52" t="s">
        <v>750</v>
      </c>
      <c r="F7557" s="52" t="s">
        <v>581</v>
      </c>
      <c r="G7557" s="195" t="s">
        <v>276</v>
      </c>
      <c r="H7557" s="195">
        <v>-1.2088449999999999</v>
      </c>
      <c r="I7557" s="195">
        <v>3.5963599999999998E-2</v>
      </c>
      <c r="J7557" s="195">
        <v>2.4834999999999999E-2</v>
      </c>
      <c r="K7557" s="195">
        <v>2.1743599999999998E-2</v>
      </c>
      <c r="L7557" s="195">
        <v>1.6175800000000001E-2</v>
      </c>
      <c r="M7557" s="195">
        <v>1.5291600000000001E-2</v>
      </c>
      <c r="N7557" s="195">
        <v>1.39522E-2</v>
      </c>
    </row>
    <row r="7558" spans="1:14" hidden="1" x14ac:dyDescent="0.35">
      <c r="A7558" s="52" t="s">
        <v>749</v>
      </c>
      <c r="B7558" s="52" t="s">
        <v>37</v>
      </c>
      <c r="C7558" s="52" t="s">
        <v>79</v>
      </c>
      <c r="D7558" s="52" t="s">
        <v>79</v>
      </c>
      <c r="E7558" s="52" t="s">
        <v>750</v>
      </c>
      <c r="F7558" s="52" t="s">
        <v>581</v>
      </c>
      <c r="G7558" s="195" t="s">
        <v>277</v>
      </c>
      <c r="H7558" s="195"/>
      <c r="I7558" s="195"/>
      <c r="J7558" s="195"/>
      <c r="K7558" s="195"/>
      <c r="L7558" s="195">
        <v>0</v>
      </c>
      <c r="M7558" s="195">
        <v>0</v>
      </c>
      <c r="N7558" s="195">
        <v>0</v>
      </c>
    </row>
    <row r="7559" spans="1:14" hidden="1" x14ac:dyDescent="0.35">
      <c r="A7559" s="52" t="s">
        <v>749</v>
      </c>
      <c r="B7559" s="52" t="s">
        <v>37</v>
      </c>
      <c r="C7559" s="52" t="s">
        <v>79</v>
      </c>
      <c r="D7559" s="52" t="s">
        <v>79</v>
      </c>
      <c r="E7559" s="52" t="s">
        <v>750</v>
      </c>
      <c r="F7559" s="52" t="s">
        <v>581</v>
      </c>
      <c r="G7559" s="195" t="s">
        <v>279</v>
      </c>
      <c r="H7559" s="195">
        <v>0.30657499999999999</v>
      </c>
      <c r="I7559" s="195">
        <v>0.19501660000000001</v>
      </c>
      <c r="J7559" s="195">
        <v>0.16330459999999999</v>
      </c>
      <c r="K7559" s="195">
        <v>0.1502618</v>
      </c>
      <c r="L7559" s="195">
        <v>0.15092739999999999</v>
      </c>
      <c r="M7559" s="195">
        <v>0.1336204</v>
      </c>
      <c r="N7559" s="195">
        <v>0.1193644</v>
      </c>
    </row>
    <row r="7560" spans="1:14" hidden="1" x14ac:dyDescent="0.35">
      <c r="A7560" s="52" t="s">
        <v>749</v>
      </c>
      <c r="B7560" s="52" t="s">
        <v>37</v>
      </c>
      <c r="C7560" s="52" t="s">
        <v>79</v>
      </c>
      <c r="D7560" s="52" t="s">
        <v>79</v>
      </c>
      <c r="E7560" s="52" t="s">
        <v>750</v>
      </c>
      <c r="F7560" s="52" t="s">
        <v>26</v>
      </c>
      <c r="G7560" s="195" t="s">
        <v>275</v>
      </c>
      <c r="H7560" s="195">
        <v>-5.1269999999999996E-3</v>
      </c>
      <c r="I7560" s="195">
        <v>-6.7147999999999999E-3</v>
      </c>
      <c r="J7560" s="195">
        <v>-5.6095989999999998E-3</v>
      </c>
      <c r="K7560" s="195">
        <v>-5.8580000000000004E-3</v>
      </c>
      <c r="L7560" s="195">
        <v>-7.0980000000000001E-3</v>
      </c>
      <c r="M7560" s="195">
        <v>-5.1888000000000004E-3</v>
      </c>
      <c r="N7560" s="195">
        <v>-3.9462000000000004E-3</v>
      </c>
    </row>
    <row r="7561" spans="1:14" hidden="1" x14ac:dyDescent="0.35">
      <c r="A7561" s="52" t="s">
        <v>749</v>
      </c>
      <c r="B7561" s="52" t="s">
        <v>37</v>
      </c>
      <c r="C7561" s="52" t="s">
        <v>79</v>
      </c>
      <c r="D7561" s="52" t="s">
        <v>79</v>
      </c>
      <c r="E7561" s="52" t="s">
        <v>750</v>
      </c>
      <c r="F7561" s="52" t="s">
        <v>26</v>
      </c>
      <c r="G7561" s="195" t="s">
        <v>276</v>
      </c>
      <c r="H7561" s="195">
        <v>-1.4859999999999999E-3</v>
      </c>
      <c r="I7561" s="195">
        <v>-1.9465999999999999E-3</v>
      </c>
      <c r="J7561" s="195">
        <v>-1.6260000000000001E-3</v>
      </c>
      <c r="K7561" s="195">
        <v>-1.6984000000000001E-3</v>
      </c>
      <c r="L7561" s="195">
        <v>-2.0582E-3</v>
      </c>
      <c r="M7561" s="195">
        <v>-1.5038E-3</v>
      </c>
      <c r="N7561" s="195">
        <v>-1.1444000000000001E-3</v>
      </c>
    </row>
    <row r="7562" spans="1:14" hidden="1" x14ac:dyDescent="0.35">
      <c r="A7562" s="52" t="s">
        <v>749</v>
      </c>
      <c r="B7562" s="52" t="s">
        <v>37</v>
      </c>
      <c r="C7562" s="52" t="s">
        <v>79</v>
      </c>
      <c r="D7562" s="52" t="s">
        <v>79</v>
      </c>
      <c r="E7562" s="52" t="s">
        <v>750</v>
      </c>
      <c r="F7562" s="52" t="s">
        <v>26</v>
      </c>
      <c r="G7562" s="195" t="s">
        <v>279</v>
      </c>
      <c r="H7562" s="195">
        <v>3.6972999999999999E-2</v>
      </c>
      <c r="I7562" s="195">
        <v>2.9086799999999999E-2</v>
      </c>
      <c r="J7562" s="195">
        <v>2.5597600000000002E-2</v>
      </c>
      <c r="K7562" s="195">
        <v>2.4106800000000001E-2</v>
      </c>
      <c r="L7562" s="195">
        <v>2.4071200000000001E-2</v>
      </c>
      <c r="M7562" s="195">
        <v>2.0162599999999999E-2</v>
      </c>
      <c r="N7562" s="195">
        <v>1.72228E-2</v>
      </c>
    </row>
    <row r="7563" spans="1:14" hidden="1" x14ac:dyDescent="0.35">
      <c r="A7563" s="52" t="s">
        <v>749</v>
      </c>
      <c r="B7563" s="52" t="s">
        <v>37</v>
      </c>
      <c r="C7563" s="52" t="s">
        <v>46</v>
      </c>
      <c r="D7563" s="52" t="s">
        <v>46</v>
      </c>
      <c r="E7563" s="52" t="s">
        <v>750</v>
      </c>
      <c r="F7563" s="52" t="s">
        <v>581</v>
      </c>
      <c r="G7563" s="195" t="s">
        <v>275</v>
      </c>
      <c r="H7563" s="195">
        <v>2.306508</v>
      </c>
      <c r="I7563" s="195">
        <v>0.18033080000000001</v>
      </c>
      <c r="J7563" s="195">
        <v>-0.82662329999999995</v>
      </c>
      <c r="K7563" s="195">
        <v>-1.063394</v>
      </c>
      <c r="L7563" s="195">
        <v>-1.782546</v>
      </c>
      <c r="M7563" s="195">
        <v>0.317112</v>
      </c>
      <c r="N7563" s="195">
        <v>0.32713959999999997</v>
      </c>
    </row>
    <row r="7564" spans="1:14" hidden="1" x14ac:dyDescent="0.35">
      <c r="A7564" s="52" t="s">
        <v>749</v>
      </c>
      <c r="B7564" s="52" t="s">
        <v>37</v>
      </c>
      <c r="C7564" s="52" t="s">
        <v>46</v>
      </c>
      <c r="D7564" s="52" t="s">
        <v>46</v>
      </c>
      <c r="E7564" s="52" t="s">
        <v>750</v>
      </c>
      <c r="F7564" s="52" t="s">
        <v>581</v>
      </c>
      <c r="G7564" s="195" t="s">
        <v>276</v>
      </c>
      <c r="H7564" s="195">
        <v>-1.1124499999999999</v>
      </c>
      <c r="I7564" s="195">
        <v>5.2276400000000001E-2</v>
      </c>
      <c r="J7564" s="195">
        <v>2.7040020000000001E-3</v>
      </c>
      <c r="K7564" s="195">
        <v>-3.9846800000000002E-2</v>
      </c>
      <c r="L7564" s="195">
        <v>-0.112346</v>
      </c>
      <c r="M7564" s="195">
        <v>-9.1102000000000002E-2</v>
      </c>
      <c r="N7564" s="195">
        <v>-0.15084980000000001</v>
      </c>
    </row>
    <row r="7565" spans="1:14" hidden="1" x14ac:dyDescent="0.35">
      <c r="A7565" s="52" t="s">
        <v>749</v>
      </c>
      <c r="B7565" s="52" t="s">
        <v>37</v>
      </c>
      <c r="C7565" s="52" t="s">
        <v>46</v>
      </c>
      <c r="D7565" s="52" t="s">
        <v>46</v>
      </c>
      <c r="E7565" s="52" t="s">
        <v>750</v>
      </c>
      <c r="F7565" s="52" t="s">
        <v>581</v>
      </c>
      <c r="G7565" s="195" t="s">
        <v>277</v>
      </c>
      <c r="H7565" s="195"/>
      <c r="I7565" s="195">
        <v>0</v>
      </c>
      <c r="J7565" s="195">
        <v>0.34030060000000001</v>
      </c>
      <c r="K7565" s="195">
        <v>0.35858420000000002</v>
      </c>
      <c r="L7565" s="195">
        <v>1.1507529999999999</v>
      </c>
      <c r="M7565" s="195">
        <v>0</v>
      </c>
      <c r="N7565" s="195">
        <v>0</v>
      </c>
    </row>
    <row r="7566" spans="1:14" hidden="1" x14ac:dyDescent="0.35">
      <c r="A7566" s="52" t="s">
        <v>749</v>
      </c>
      <c r="B7566" s="52" t="s">
        <v>37</v>
      </c>
      <c r="C7566" s="52" t="s">
        <v>46</v>
      </c>
      <c r="D7566" s="52" t="s">
        <v>46</v>
      </c>
      <c r="E7566" s="52" t="s">
        <v>750</v>
      </c>
      <c r="F7566" s="52" t="s">
        <v>581</v>
      </c>
      <c r="G7566" s="195" t="s">
        <v>278</v>
      </c>
      <c r="H7566" s="195"/>
      <c r="I7566" s="195">
        <v>0</v>
      </c>
      <c r="J7566" s="195">
        <v>0.70463980000000004</v>
      </c>
      <c r="K7566" s="195">
        <v>1.00783</v>
      </c>
      <c r="L7566" s="195">
        <v>1.0334680000000001</v>
      </c>
      <c r="M7566" s="195">
        <v>0</v>
      </c>
      <c r="N7566" s="195"/>
    </row>
    <row r="7567" spans="1:14" hidden="1" x14ac:dyDescent="0.35">
      <c r="A7567" s="52" t="s">
        <v>749</v>
      </c>
      <c r="B7567" s="52" t="s">
        <v>37</v>
      </c>
      <c r="C7567" s="52" t="s">
        <v>46</v>
      </c>
      <c r="D7567" s="52" t="s">
        <v>46</v>
      </c>
      <c r="E7567" s="52" t="s">
        <v>750</v>
      </c>
      <c r="F7567" s="52" t="s">
        <v>581</v>
      </c>
      <c r="G7567" s="195" t="s">
        <v>279</v>
      </c>
      <c r="H7567" s="195">
        <v>0.49810300000000002</v>
      </c>
      <c r="I7567" s="195">
        <v>0.3185134</v>
      </c>
      <c r="J7567" s="195">
        <v>0.36361120000000002</v>
      </c>
      <c r="K7567" s="195">
        <v>0.44460519999999998</v>
      </c>
      <c r="L7567" s="195">
        <v>0.61770939999999996</v>
      </c>
      <c r="M7567" s="195">
        <v>0.46975860000000003</v>
      </c>
      <c r="N7567" s="195">
        <v>0.36821179999999998</v>
      </c>
    </row>
    <row r="7568" spans="1:14" hidden="1" x14ac:dyDescent="0.35">
      <c r="A7568" s="52" t="s">
        <v>749</v>
      </c>
      <c r="B7568" s="52" t="s">
        <v>37</v>
      </c>
      <c r="C7568" s="52" t="s">
        <v>46</v>
      </c>
      <c r="D7568" s="52" t="s">
        <v>46</v>
      </c>
      <c r="E7568" s="52" t="s">
        <v>750</v>
      </c>
      <c r="F7568" s="52" t="s">
        <v>26</v>
      </c>
      <c r="G7568" s="195" t="s">
        <v>275</v>
      </c>
      <c r="H7568" s="195">
        <v>-2.2265E-2</v>
      </c>
      <c r="I7568" s="195">
        <v>-2.4908599999999999E-2</v>
      </c>
      <c r="J7568" s="195">
        <v>-2.4302000000000001E-2</v>
      </c>
      <c r="K7568" s="195">
        <v>-2.6674E-2</v>
      </c>
      <c r="L7568" s="195">
        <v>-2.98018E-2</v>
      </c>
      <c r="M7568" s="195">
        <v>-2.0589400000000001E-2</v>
      </c>
      <c r="N7568" s="195">
        <v>-1.1749000000000001E-2</v>
      </c>
    </row>
    <row r="7569" spans="1:14" hidden="1" x14ac:dyDescent="0.35">
      <c r="A7569" s="52" t="s">
        <v>749</v>
      </c>
      <c r="B7569" s="52" t="s">
        <v>37</v>
      </c>
      <c r="C7569" s="52" t="s">
        <v>46</v>
      </c>
      <c r="D7569" s="52" t="s">
        <v>46</v>
      </c>
      <c r="E7569" s="52" t="s">
        <v>750</v>
      </c>
      <c r="F7569" s="52" t="s">
        <v>26</v>
      </c>
      <c r="G7569" s="195" t="s">
        <v>276</v>
      </c>
      <c r="H7569" s="195">
        <v>-6.4539999999999997E-3</v>
      </c>
      <c r="I7569" s="195">
        <v>-7.2205999999999998E-3</v>
      </c>
      <c r="J7569" s="195">
        <v>-7.0441999999999996E-3</v>
      </c>
      <c r="K7569" s="195">
        <v>-7.7330000000000003E-3</v>
      </c>
      <c r="L7569" s="195">
        <v>-8.6394000000000002E-3</v>
      </c>
      <c r="M7569" s="195">
        <v>-5.9683999999999996E-3</v>
      </c>
      <c r="N7569" s="195">
        <v>-3.4058000000000001E-3</v>
      </c>
    </row>
    <row r="7570" spans="1:14" hidden="1" x14ac:dyDescent="0.35">
      <c r="A7570" s="52" t="s">
        <v>749</v>
      </c>
      <c r="B7570" s="52" t="s">
        <v>37</v>
      </c>
      <c r="C7570" s="52" t="s">
        <v>46</v>
      </c>
      <c r="D7570" s="52" t="s">
        <v>46</v>
      </c>
      <c r="E7570" s="52" t="s">
        <v>750</v>
      </c>
      <c r="F7570" s="52" t="s">
        <v>26</v>
      </c>
      <c r="G7570" s="195" t="s">
        <v>279</v>
      </c>
      <c r="H7570" s="195">
        <v>7.8703999999999996E-2</v>
      </c>
      <c r="I7570" s="195">
        <v>6.5814789999999998E-2</v>
      </c>
      <c r="J7570" s="195">
        <v>7.2887789999999994E-2</v>
      </c>
      <c r="K7570" s="195">
        <v>8.4207199999999996E-2</v>
      </c>
      <c r="L7570" s="195">
        <v>0.1013628</v>
      </c>
      <c r="M7570" s="195">
        <v>7.4823600000000004E-2</v>
      </c>
      <c r="N7570" s="195">
        <v>5.3045000000000002E-2</v>
      </c>
    </row>
    <row r="7571" spans="1:14" hidden="1" x14ac:dyDescent="0.35">
      <c r="A7571" s="52" t="s">
        <v>749</v>
      </c>
      <c r="B7571" s="52" t="s">
        <v>37</v>
      </c>
      <c r="C7571" s="52" t="s">
        <v>318</v>
      </c>
      <c r="D7571" s="52" t="s">
        <v>318</v>
      </c>
      <c r="E7571" s="52" t="s">
        <v>584</v>
      </c>
      <c r="F7571" s="52" t="s">
        <v>581</v>
      </c>
      <c r="G7571" s="195" t="s">
        <v>275</v>
      </c>
      <c r="H7571" s="195">
        <v>0</v>
      </c>
      <c r="I7571" s="195"/>
      <c r="J7571" s="195"/>
      <c r="K7571" s="195"/>
      <c r="L7571" s="195"/>
      <c r="M7571" s="195"/>
      <c r="N7571" s="195"/>
    </row>
    <row r="7572" spans="1:14" hidden="1" x14ac:dyDescent="0.35">
      <c r="A7572" s="52" t="s">
        <v>749</v>
      </c>
      <c r="B7572" s="52" t="s">
        <v>37</v>
      </c>
      <c r="C7572" s="52" t="s">
        <v>318</v>
      </c>
      <c r="D7572" s="52" t="s">
        <v>318</v>
      </c>
      <c r="E7572" s="52" t="s">
        <v>584</v>
      </c>
      <c r="F7572" s="52" t="s">
        <v>581</v>
      </c>
      <c r="G7572" s="195" t="s">
        <v>276</v>
      </c>
      <c r="H7572" s="195">
        <v>0</v>
      </c>
      <c r="I7572" s="195"/>
      <c r="J7572" s="195"/>
      <c r="K7572" s="195"/>
      <c r="L7572" s="195"/>
      <c r="M7572" s="195"/>
      <c r="N7572" s="195"/>
    </row>
    <row r="7573" spans="1:14" hidden="1" x14ac:dyDescent="0.35">
      <c r="A7573" s="52" t="s">
        <v>749</v>
      </c>
      <c r="B7573" s="52" t="s">
        <v>37</v>
      </c>
      <c r="C7573" s="52" t="s">
        <v>318</v>
      </c>
      <c r="D7573" s="52" t="s">
        <v>318</v>
      </c>
      <c r="E7573" s="52" t="s">
        <v>584</v>
      </c>
      <c r="F7573" s="52" t="s">
        <v>581</v>
      </c>
      <c r="G7573" s="195" t="s">
        <v>278</v>
      </c>
      <c r="H7573" s="195">
        <v>0</v>
      </c>
      <c r="I7573" s="195"/>
      <c r="J7573" s="195"/>
      <c r="K7573" s="195"/>
      <c r="L7573" s="195"/>
      <c r="M7573" s="195"/>
      <c r="N7573" s="195"/>
    </row>
    <row r="7574" spans="1:14" hidden="1" x14ac:dyDescent="0.35">
      <c r="A7574" s="52" t="s">
        <v>749</v>
      </c>
      <c r="B7574" s="52" t="s">
        <v>37</v>
      </c>
      <c r="C7574" s="52" t="s">
        <v>318</v>
      </c>
      <c r="D7574" s="52" t="s">
        <v>318</v>
      </c>
      <c r="E7574" s="52" t="s">
        <v>584</v>
      </c>
      <c r="F7574" s="52" t="s">
        <v>26</v>
      </c>
      <c r="G7574" s="195" t="s">
        <v>275</v>
      </c>
      <c r="H7574" s="195">
        <v>0</v>
      </c>
      <c r="I7574" s="195"/>
      <c r="J7574" s="195"/>
      <c r="K7574" s="195"/>
      <c r="L7574" s="195"/>
      <c r="M7574" s="195"/>
      <c r="N7574" s="195"/>
    </row>
    <row r="7575" spans="1:14" hidden="1" x14ac:dyDescent="0.35">
      <c r="A7575" s="52" t="s">
        <v>749</v>
      </c>
      <c r="B7575" s="52" t="s">
        <v>37</v>
      </c>
      <c r="C7575" s="52" t="s">
        <v>318</v>
      </c>
      <c r="D7575" s="52" t="s">
        <v>318</v>
      </c>
      <c r="E7575" s="52" t="s">
        <v>584</v>
      </c>
      <c r="F7575" s="52" t="s">
        <v>26</v>
      </c>
      <c r="G7575" s="195" t="s">
        <v>276</v>
      </c>
      <c r="H7575" s="195">
        <v>0</v>
      </c>
      <c r="I7575" s="195"/>
      <c r="J7575" s="195"/>
      <c r="K7575" s="195"/>
      <c r="L7575" s="195"/>
      <c r="M7575" s="195"/>
      <c r="N7575" s="195"/>
    </row>
    <row r="7576" spans="1:14" hidden="1" x14ac:dyDescent="0.35">
      <c r="A7576" s="52" t="s">
        <v>749</v>
      </c>
      <c r="B7576" s="52" t="s">
        <v>37</v>
      </c>
      <c r="C7576" s="52" t="s">
        <v>318</v>
      </c>
      <c r="D7576" s="52" t="s">
        <v>318</v>
      </c>
      <c r="E7576" s="52" t="s">
        <v>584</v>
      </c>
      <c r="F7576" s="52" t="s">
        <v>26</v>
      </c>
      <c r="G7576" s="195" t="s">
        <v>278</v>
      </c>
      <c r="H7576" s="195">
        <v>0</v>
      </c>
      <c r="I7576" s="195"/>
      <c r="J7576" s="195"/>
      <c r="K7576" s="195"/>
      <c r="L7576" s="195"/>
      <c r="M7576" s="195"/>
      <c r="N7576" s="195"/>
    </row>
    <row r="7577" spans="1:14" hidden="1" x14ac:dyDescent="0.35">
      <c r="A7577" s="52" t="s">
        <v>762</v>
      </c>
      <c r="B7577" s="52" t="s">
        <v>37</v>
      </c>
      <c r="C7577" s="52" t="s">
        <v>79</v>
      </c>
      <c r="D7577" s="52" t="s">
        <v>79</v>
      </c>
      <c r="E7577" s="52" t="s">
        <v>614</v>
      </c>
      <c r="F7577" s="52" t="s">
        <v>581</v>
      </c>
      <c r="G7577" s="195" t="s">
        <v>275</v>
      </c>
      <c r="H7577" s="195">
        <v>24.65738</v>
      </c>
      <c r="I7577" s="195">
        <v>35.275449999999999</v>
      </c>
      <c r="J7577" s="195">
        <v>46.369880000000002</v>
      </c>
      <c r="K7577" s="195">
        <v>38.752870000000001</v>
      </c>
      <c r="L7577" s="195">
        <v>21.61195</v>
      </c>
      <c r="M7577" s="195">
        <v>23.261710000000001</v>
      </c>
      <c r="N7577" s="195">
        <v>15.49274</v>
      </c>
    </row>
    <row r="7578" spans="1:14" hidden="1" x14ac:dyDescent="0.35">
      <c r="A7578" s="52" t="s">
        <v>762</v>
      </c>
      <c r="B7578" s="52" t="s">
        <v>37</v>
      </c>
      <c r="C7578" s="52" t="s">
        <v>79</v>
      </c>
      <c r="D7578" s="52" t="s">
        <v>79</v>
      </c>
      <c r="E7578" s="52" t="s">
        <v>614</v>
      </c>
      <c r="F7578" s="52" t="s">
        <v>581</v>
      </c>
      <c r="G7578" s="195" t="s">
        <v>276</v>
      </c>
      <c r="H7578" s="195">
        <v>22.455249999999999</v>
      </c>
      <c r="I7578" s="195">
        <v>-6.9310790000000004</v>
      </c>
      <c r="J7578" s="195">
        <v>-18.637789999999999</v>
      </c>
      <c r="K7578" s="195">
        <v>-17.186050000000002</v>
      </c>
      <c r="L7578" s="195">
        <v>-12.23981</v>
      </c>
      <c r="M7578" s="195">
        <v>0.68109140000000001</v>
      </c>
      <c r="N7578" s="195">
        <v>1.68618</v>
      </c>
    </row>
    <row r="7579" spans="1:14" hidden="1" x14ac:dyDescent="0.35">
      <c r="A7579" s="52" t="s">
        <v>762</v>
      </c>
      <c r="B7579" s="52" t="s">
        <v>37</v>
      </c>
      <c r="C7579" s="52" t="s">
        <v>79</v>
      </c>
      <c r="D7579" s="52" t="s">
        <v>79</v>
      </c>
      <c r="E7579" s="52" t="s">
        <v>614</v>
      </c>
      <c r="F7579" s="52" t="s">
        <v>581</v>
      </c>
      <c r="G7579" s="195" t="s">
        <v>277</v>
      </c>
      <c r="H7579" s="195">
        <v>153.97149999999999</v>
      </c>
      <c r="I7579" s="195">
        <v>22.76427</v>
      </c>
      <c r="J7579" s="195">
        <v>5.8514660000000003</v>
      </c>
      <c r="K7579" s="195">
        <v>4.4459200000000001</v>
      </c>
      <c r="L7579" s="195">
        <v>9.7708549999999992</v>
      </c>
      <c r="M7579" s="195">
        <v>0.78402340000000004</v>
      </c>
      <c r="N7579" s="195">
        <v>0.9257436</v>
      </c>
    </row>
    <row r="7580" spans="1:14" hidden="1" x14ac:dyDescent="0.35">
      <c r="A7580" s="52" t="s">
        <v>762</v>
      </c>
      <c r="B7580" s="52" t="s">
        <v>37</v>
      </c>
      <c r="C7580" s="52" t="s">
        <v>79</v>
      </c>
      <c r="D7580" s="52" t="s">
        <v>79</v>
      </c>
      <c r="E7580" s="52" t="s">
        <v>614</v>
      </c>
      <c r="F7580" s="52" t="s">
        <v>581</v>
      </c>
      <c r="G7580" s="195" t="s">
        <v>278</v>
      </c>
      <c r="H7580" s="195">
        <v>28.350490000000001</v>
      </c>
      <c r="I7580" s="195">
        <v>13.584949999999999</v>
      </c>
      <c r="J7580" s="195">
        <v>9.0281699999999994</v>
      </c>
      <c r="K7580" s="195">
        <v>7.8021060000000002</v>
      </c>
      <c r="L7580" s="195">
        <v>13.26824</v>
      </c>
      <c r="M7580" s="195">
        <v>0.1585858</v>
      </c>
      <c r="N7580" s="195">
        <v>0.04</v>
      </c>
    </row>
    <row r="7581" spans="1:14" hidden="1" x14ac:dyDescent="0.35">
      <c r="A7581" s="52" t="s">
        <v>762</v>
      </c>
      <c r="B7581" s="52" t="s">
        <v>37</v>
      </c>
      <c r="C7581" s="52" t="s">
        <v>79</v>
      </c>
      <c r="D7581" s="52" t="s">
        <v>79</v>
      </c>
      <c r="E7581" s="52" t="s">
        <v>614</v>
      </c>
      <c r="F7581" s="52" t="s">
        <v>581</v>
      </c>
      <c r="G7581" s="195" t="s">
        <v>279</v>
      </c>
      <c r="H7581" s="195">
        <v>65.66986</v>
      </c>
      <c r="I7581" s="195">
        <v>40.383890000000001</v>
      </c>
      <c r="J7581" s="195">
        <v>28.729949999999999</v>
      </c>
      <c r="K7581" s="195">
        <v>24.263500000000001</v>
      </c>
      <c r="L7581" s="195">
        <v>26.62867</v>
      </c>
      <c r="M7581" s="195">
        <v>19.887280000000001</v>
      </c>
      <c r="N7581" s="195">
        <v>14.979559999999999</v>
      </c>
    </row>
    <row r="7582" spans="1:14" hidden="1" x14ac:dyDescent="0.35">
      <c r="A7582" s="52" t="s">
        <v>762</v>
      </c>
      <c r="B7582" s="52" t="s">
        <v>37</v>
      </c>
      <c r="C7582" s="52" t="s">
        <v>79</v>
      </c>
      <c r="D7582" s="52" t="s">
        <v>79</v>
      </c>
      <c r="E7582" s="52" t="s">
        <v>614</v>
      </c>
      <c r="F7582" s="52" t="s">
        <v>26</v>
      </c>
      <c r="G7582" s="195" t="s">
        <v>275</v>
      </c>
      <c r="H7582" s="195">
        <v>1.984335</v>
      </c>
      <c r="I7582" s="195">
        <v>0.97579459999999996</v>
      </c>
      <c r="J7582" s="195">
        <v>1.0369299999999999</v>
      </c>
      <c r="K7582" s="195">
        <v>0.66332919999999995</v>
      </c>
      <c r="L7582" s="195">
        <v>0.3619638</v>
      </c>
      <c r="M7582" s="195">
        <v>0.29363060000000002</v>
      </c>
      <c r="N7582" s="195">
        <v>0.1861312</v>
      </c>
    </row>
    <row r="7583" spans="1:14" hidden="1" x14ac:dyDescent="0.35">
      <c r="A7583" s="52" t="s">
        <v>762</v>
      </c>
      <c r="B7583" s="52" t="s">
        <v>37</v>
      </c>
      <c r="C7583" s="52" t="s">
        <v>79</v>
      </c>
      <c r="D7583" s="52" t="s">
        <v>79</v>
      </c>
      <c r="E7583" s="52" t="s">
        <v>614</v>
      </c>
      <c r="F7583" s="52" t="s">
        <v>26</v>
      </c>
      <c r="G7583" s="195" t="s">
        <v>276</v>
      </c>
      <c r="H7583" s="195">
        <v>0.57523400000000002</v>
      </c>
      <c r="I7583" s="195">
        <v>0.28287079999999998</v>
      </c>
      <c r="J7583" s="195">
        <v>0.3005968</v>
      </c>
      <c r="K7583" s="195">
        <v>0.19229060000000001</v>
      </c>
      <c r="L7583" s="195">
        <v>0.1049308</v>
      </c>
      <c r="M7583" s="195">
        <v>8.5120600000000005E-2</v>
      </c>
      <c r="N7583" s="195">
        <v>5.3959E-2</v>
      </c>
    </row>
    <row r="7584" spans="1:14" hidden="1" x14ac:dyDescent="0.35">
      <c r="A7584" s="52" t="s">
        <v>762</v>
      </c>
      <c r="B7584" s="52" t="s">
        <v>37</v>
      </c>
      <c r="C7584" s="52" t="s">
        <v>79</v>
      </c>
      <c r="D7584" s="52" t="s">
        <v>79</v>
      </c>
      <c r="E7584" s="52" t="s">
        <v>614</v>
      </c>
      <c r="F7584" s="52" t="s">
        <v>26</v>
      </c>
      <c r="G7584" s="195" t="s">
        <v>279</v>
      </c>
      <c r="H7584" s="195">
        <v>9.0940999999999992</v>
      </c>
      <c r="I7584" s="195">
        <v>7.3196469999999998</v>
      </c>
      <c r="J7584" s="195">
        <v>5.5382759999999998</v>
      </c>
      <c r="K7584" s="195">
        <v>4.6238450000000002</v>
      </c>
      <c r="L7584" s="195">
        <v>5.1157130000000004</v>
      </c>
      <c r="M7584" s="195">
        <v>3.8146089999999999</v>
      </c>
      <c r="N7584" s="195">
        <v>2.8099780000000001</v>
      </c>
    </row>
    <row r="7585" spans="1:14" hidden="1" x14ac:dyDescent="0.35">
      <c r="A7585" s="52" t="s">
        <v>762</v>
      </c>
      <c r="B7585" s="52" t="s">
        <v>37</v>
      </c>
      <c r="C7585" s="52" t="s">
        <v>79</v>
      </c>
      <c r="D7585" s="52" t="s">
        <v>79</v>
      </c>
      <c r="E7585" s="52" t="s">
        <v>601</v>
      </c>
      <c r="F7585" s="52" t="s">
        <v>581</v>
      </c>
      <c r="G7585" s="195" t="s">
        <v>275</v>
      </c>
      <c r="H7585" s="195">
        <v>38.871499999999997</v>
      </c>
      <c r="I7585" s="195">
        <v>33.26258</v>
      </c>
      <c r="J7585" s="195">
        <v>39.491540000000001</v>
      </c>
      <c r="K7585" s="195">
        <v>34.667140000000003</v>
      </c>
      <c r="L7585" s="195">
        <v>23.018630000000002</v>
      </c>
      <c r="M7585" s="195">
        <v>14.89377</v>
      </c>
      <c r="N7585" s="195">
        <v>11.46448</v>
      </c>
    </row>
    <row r="7586" spans="1:14" hidden="1" x14ac:dyDescent="0.35">
      <c r="A7586" s="52" t="s">
        <v>762</v>
      </c>
      <c r="B7586" s="52" t="s">
        <v>37</v>
      </c>
      <c r="C7586" s="52" t="s">
        <v>79</v>
      </c>
      <c r="D7586" s="52" t="s">
        <v>79</v>
      </c>
      <c r="E7586" s="52" t="s">
        <v>601</v>
      </c>
      <c r="F7586" s="52" t="s">
        <v>581</v>
      </c>
      <c r="G7586" s="195" t="s">
        <v>276</v>
      </c>
      <c r="H7586" s="195">
        <v>23.294899999999998</v>
      </c>
      <c r="I7586" s="195">
        <v>-1.320824</v>
      </c>
      <c r="J7586" s="195">
        <v>-9.0384309999999992</v>
      </c>
      <c r="K7586" s="195">
        <v>-9.6088459999999998</v>
      </c>
      <c r="L7586" s="195">
        <v>-6.4568029999999998</v>
      </c>
      <c r="M7586" s="195">
        <v>2.084527</v>
      </c>
      <c r="N7586" s="195">
        <v>3.378126</v>
      </c>
    </row>
    <row r="7587" spans="1:14" hidden="1" x14ac:dyDescent="0.35">
      <c r="A7587" s="52" t="s">
        <v>762</v>
      </c>
      <c r="B7587" s="52" t="s">
        <v>37</v>
      </c>
      <c r="C7587" s="52" t="s">
        <v>79</v>
      </c>
      <c r="D7587" s="52" t="s">
        <v>79</v>
      </c>
      <c r="E7587" s="52" t="s">
        <v>601</v>
      </c>
      <c r="F7587" s="52" t="s">
        <v>581</v>
      </c>
      <c r="G7587" s="195" t="s">
        <v>277</v>
      </c>
      <c r="H7587" s="195">
        <v>112.1965</v>
      </c>
      <c r="I7587" s="195">
        <v>18.57037</v>
      </c>
      <c r="J7587" s="195">
        <v>3.7705639999999998</v>
      </c>
      <c r="K7587" s="195">
        <v>1.9856279999999999</v>
      </c>
      <c r="L7587" s="195">
        <v>4.3872619999999998</v>
      </c>
      <c r="M7587" s="195">
        <v>4.0507419999999996</v>
      </c>
      <c r="N7587" s="195">
        <v>5.91568</v>
      </c>
    </row>
    <row r="7588" spans="1:14" hidden="1" x14ac:dyDescent="0.35">
      <c r="A7588" s="52" t="s">
        <v>762</v>
      </c>
      <c r="B7588" s="52" t="s">
        <v>37</v>
      </c>
      <c r="C7588" s="52" t="s">
        <v>79</v>
      </c>
      <c r="D7588" s="52" t="s">
        <v>79</v>
      </c>
      <c r="E7588" s="52" t="s">
        <v>601</v>
      </c>
      <c r="F7588" s="52" t="s">
        <v>581</v>
      </c>
      <c r="G7588" s="195" t="s">
        <v>278</v>
      </c>
      <c r="H7588" s="195">
        <v>15.66597</v>
      </c>
      <c r="I7588" s="195">
        <v>6.5853820000000001</v>
      </c>
      <c r="J7588" s="195">
        <v>3.9035980000000001</v>
      </c>
      <c r="K7588" s="195">
        <v>3.4459</v>
      </c>
      <c r="L7588" s="195">
        <v>5.5774249999999999</v>
      </c>
      <c r="M7588" s="195">
        <v>3.8583099999999999</v>
      </c>
      <c r="N7588" s="195">
        <v>3.4395180000000001</v>
      </c>
    </row>
    <row r="7589" spans="1:14" hidden="1" x14ac:dyDescent="0.35">
      <c r="A7589" s="52" t="s">
        <v>762</v>
      </c>
      <c r="B7589" s="52" t="s">
        <v>37</v>
      </c>
      <c r="C7589" s="52" t="s">
        <v>79</v>
      </c>
      <c r="D7589" s="52" t="s">
        <v>79</v>
      </c>
      <c r="E7589" s="52" t="s">
        <v>601</v>
      </c>
      <c r="F7589" s="52" t="s">
        <v>581</v>
      </c>
      <c r="G7589" s="195" t="s">
        <v>279</v>
      </c>
      <c r="H7589" s="195">
        <v>43.184780000000003</v>
      </c>
      <c r="I7589" s="195">
        <v>28.356670000000001</v>
      </c>
      <c r="J7589" s="195">
        <v>21.10932</v>
      </c>
      <c r="K7589" s="195">
        <v>17.289259999999999</v>
      </c>
      <c r="L7589" s="195">
        <v>17.62791</v>
      </c>
      <c r="M7589" s="195">
        <v>16.129339999999999</v>
      </c>
      <c r="N7589" s="195">
        <v>15.610150000000001</v>
      </c>
    </row>
    <row r="7590" spans="1:14" hidden="1" x14ac:dyDescent="0.35">
      <c r="A7590" s="52" t="s">
        <v>762</v>
      </c>
      <c r="B7590" s="52" t="s">
        <v>37</v>
      </c>
      <c r="C7590" s="52" t="s">
        <v>79</v>
      </c>
      <c r="D7590" s="52" t="s">
        <v>79</v>
      </c>
      <c r="E7590" s="52" t="s">
        <v>601</v>
      </c>
      <c r="F7590" s="52" t="s">
        <v>26</v>
      </c>
      <c r="G7590" s="195" t="s">
        <v>275</v>
      </c>
      <c r="H7590" s="195">
        <v>5.6718679999999999</v>
      </c>
      <c r="I7590" s="195">
        <v>3.4965769999999998</v>
      </c>
      <c r="J7590" s="195">
        <v>3.0465499999999999</v>
      </c>
      <c r="K7590" s="195">
        <v>2.3014939999999999</v>
      </c>
      <c r="L7590" s="195">
        <v>1.7354320000000001</v>
      </c>
      <c r="M7590" s="195">
        <v>1.6367560000000001</v>
      </c>
      <c r="N7590" s="195">
        <v>1.5934820000000001</v>
      </c>
    </row>
    <row r="7591" spans="1:14" hidden="1" x14ac:dyDescent="0.35">
      <c r="A7591" s="52" t="s">
        <v>762</v>
      </c>
      <c r="B7591" s="52" t="s">
        <v>37</v>
      </c>
      <c r="C7591" s="52" t="s">
        <v>79</v>
      </c>
      <c r="D7591" s="52" t="s">
        <v>79</v>
      </c>
      <c r="E7591" s="52" t="s">
        <v>601</v>
      </c>
      <c r="F7591" s="52" t="s">
        <v>26</v>
      </c>
      <c r="G7591" s="195" t="s">
        <v>276</v>
      </c>
      <c r="H7591" s="195">
        <v>1.5077160000000001</v>
      </c>
      <c r="I7591" s="195">
        <v>0.92946899999999999</v>
      </c>
      <c r="J7591" s="195">
        <v>0.80984279999999997</v>
      </c>
      <c r="K7591" s="195">
        <v>0.61178999999999994</v>
      </c>
      <c r="L7591" s="195">
        <v>0.46131680000000003</v>
      </c>
      <c r="M7591" s="195">
        <v>0.43508580000000002</v>
      </c>
      <c r="N7591" s="195">
        <v>0.42358499999999999</v>
      </c>
    </row>
    <row r="7592" spans="1:14" hidden="1" x14ac:dyDescent="0.35">
      <c r="A7592" s="52" t="s">
        <v>762</v>
      </c>
      <c r="B7592" s="52" t="s">
        <v>37</v>
      </c>
      <c r="C7592" s="52" t="s">
        <v>79</v>
      </c>
      <c r="D7592" s="52" t="s">
        <v>79</v>
      </c>
      <c r="E7592" s="52" t="s">
        <v>601</v>
      </c>
      <c r="F7592" s="52" t="s">
        <v>26</v>
      </c>
      <c r="G7592" s="195" t="s">
        <v>279</v>
      </c>
      <c r="H7592" s="195">
        <v>9.642887</v>
      </c>
      <c r="I7592" s="195">
        <v>8.0924990000000001</v>
      </c>
      <c r="J7592" s="195">
        <v>6.237825</v>
      </c>
      <c r="K7592" s="195">
        <v>5.190207</v>
      </c>
      <c r="L7592" s="195">
        <v>5.2890699999999997</v>
      </c>
      <c r="M7592" s="195">
        <v>4.8433409999999997</v>
      </c>
      <c r="N7592" s="195">
        <v>4.6856559999999998</v>
      </c>
    </row>
    <row r="7593" spans="1:14" hidden="1" x14ac:dyDescent="0.35">
      <c r="A7593" s="52" t="s">
        <v>762</v>
      </c>
      <c r="B7593" s="52" t="s">
        <v>37</v>
      </c>
      <c r="C7593" s="52" t="s">
        <v>79</v>
      </c>
      <c r="D7593" s="52" t="s">
        <v>79</v>
      </c>
      <c r="E7593" s="52" t="s">
        <v>584</v>
      </c>
      <c r="F7593" s="52" t="s">
        <v>581</v>
      </c>
      <c r="G7593" s="195" t="s">
        <v>275</v>
      </c>
      <c r="H7593" s="195">
        <v>-5.5503479999999996</v>
      </c>
      <c r="I7593" s="195">
        <v>2.6961560000000002</v>
      </c>
      <c r="J7593" s="195">
        <v>8.4946400000000004</v>
      </c>
      <c r="K7593" s="195">
        <v>11.449680000000001</v>
      </c>
      <c r="L7593" s="195">
        <v>9.4236330000000006</v>
      </c>
      <c r="M7593" s="195">
        <v>6.3733649999999997</v>
      </c>
      <c r="N7593" s="195">
        <v>4.9511419999999999</v>
      </c>
    </row>
    <row r="7594" spans="1:14" hidden="1" x14ac:dyDescent="0.35">
      <c r="A7594" s="52" t="s">
        <v>762</v>
      </c>
      <c r="B7594" s="52" t="s">
        <v>37</v>
      </c>
      <c r="C7594" s="52" t="s">
        <v>79</v>
      </c>
      <c r="D7594" s="52" t="s">
        <v>79</v>
      </c>
      <c r="E7594" s="52" t="s">
        <v>584</v>
      </c>
      <c r="F7594" s="52" t="s">
        <v>581</v>
      </c>
      <c r="G7594" s="195" t="s">
        <v>276</v>
      </c>
      <c r="H7594" s="195">
        <v>8.9589250000000007</v>
      </c>
      <c r="I7594" s="195">
        <v>-0.87052510000000005</v>
      </c>
      <c r="J7594" s="195">
        <v>-2.523479</v>
      </c>
      <c r="K7594" s="195">
        <v>-4.6692720000000003</v>
      </c>
      <c r="L7594" s="195">
        <v>-4.3061449999999999</v>
      </c>
      <c r="M7594" s="195">
        <v>-0.15024999999999999</v>
      </c>
      <c r="N7594" s="195">
        <v>0.60914500000000005</v>
      </c>
    </row>
    <row r="7595" spans="1:14" hidden="1" x14ac:dyDescent="0.35">
      <c r="A7595" s="52" t="s">
        <v>762</v>
      </c>
      <c r="B7595" s="52" t="s">
        <v>37</v>
      </c>
      <c r="C7595" s="52" t="s">
        <v>79</v>
      </c>
      <c r="D7595" s="52" t="s">
        <v>79</v>
      </c>
      <c r="E7595" s="52" t="s">
        <v>584</v>
      </c>
      <c r="F7595" s="52" t="s">
        <v>581</v>
      </c>
      <c r="G7595" s="195" t="s">
        <v>277</v>
      </c>
      <c r="H7595" s="195">
        <v>60.678899999999999</v>
      </c>
      <c r="I7595" s="195">
        <v>15.32272</v>
      </c>
      <c r="J7595" s="195">
        <v>7.188326</v>
      </c>
      <c r="K7595" s="195">
        <v>4.506907</v>
      </c>
      <c r="L7595" s="195">
        <v>4.6103889999999996</v>
      </c>
      <c r="M7595" s="195">
        <v>2.7087840000000001</v>
      </c>
      <c r="N7595" s="195">
        <v>2.7484899999999999</v>
      </c>
    </row>
    <row r="7596" spans="1:14" hidden="1" x14ac:dyDescent="0.35">
      <c r="A7596" s="52" t="s">
        <v>762</v>
      </c>
      <c r="B7596" s="52" t="s">
        <v>37</v>
      </c>
      <c r="C7596" s="52" t="s">
        <v>79</v>
      </c>
      <c r="D7596" s="52" t="s">
        <v>79</v>
      </c>
      <c r="E7596" s="52" t="s">
        <v>584</v>
      </c>
      <c r="F7596" s="52" t="s">
        <v>581</v>
      </c>
      <c r="G7596" s="195" t="s">
        <v>278</v>
      </c>
      <c r="H7596" s="195">
        <v>2.757066</v>
      </c>
      <c r="I7596" s="195">
        <v>1.3965350000000001</v>
      </c>
      <c r="J7596" s="195">
        <v>0.80438399999999999</v>
      </c>
      <c r="K7596" s="195">
        <v>0.61717299999999997</v>
      </c>
      <c r="L7596" s="195">
        <v>0.28386699999999998</v>
      </c>
      <c r="M7596" s="195">
        <v>0</v>
      </c>
      <c r="N7596" s="195"/>
    </row>
    <row r="7597" spans="1:14" hidden="1" x14ac:dyDescent="0.35">
      <c r="A7597" s="52" t="s">
        <v>762</v>
      </c>
      <c r="B7597" s="52" t="s">
        <v>37</v>
      </c>
      <c r="C7597" s="52" t="s">
        <v>79</v>
      </c>
      <c r="D7597" s="52" t="s">
        <v>79</v>
      </c>
      <c r="E7597" s="52" t="s">
        <v>584</v>
      </c>
      <c r="F7597" s="52" t="s">
        <v>581</v>
      </c>
      <c r="G7597" s="195" t="s">
        <v>279</v>
      </c>
      <c r="H7597" s="195">
        <v>20.050719999999998</v>
      </c>
      <c r="I7597" s="195">
        <v>14.11886</v>
      </c>
      <c r="J7597" s="195">
        <v>12.14709</v>
      </c>
      <c r="K7597" s="195">
        <v>10.627700000000001</v>
      </c>
      <c r="L7597" s="195">
        <v>10.827500000000001</v>
      </c>
      <c r="M7597" s="195">
        <v>9.155443</v>
      </c>
      <c r="N7597" s="195">
        <v>8.2084209999999995</v>
      </c>
    </row>
    <row r="7598" spans="1:14" hidden="1" x14ac:dyDescent="0.35">
      <c r="A7598" s="52" t="s">
        <v>762</v>
      </c>
      <c r="B7598" s="52" t="s">
        <v>37</v>
      </c>
      <c r="C7598" s="52" t="s">
        <v>79</v>
      </c>
      <c r="D7598" s="52" t="s">
        <v>79</v>
      </c>
      <c r="E7598" s="52" t="s">
        <v>584</v>
      </c>
      <c r="F7598" s="52" t="s">
        <v>26</v>
      </c>
      <c r="G7598" s="195" t="s">
        <v>275</v>
      </c>
      <c r="H7598" s="195">
        <v>7.6838110000000004</v>
      </c>
      <c r="I7598" s="195">
        <v>3.9594550000000002</v>
      </c>
      <c r="J7598" s="195">
        <v>4.9132920000000002</v>
      </c>
      <c r="K7598" s="195">
        <v>3.9347349999999999</v>
      </c>
      <c r="L7598" s="195">
        <v>2.3814199999999999</v>
      </c>
      <c r="M7598" s="195">
        <v>2.2019769999999999</v>
      </c>
      <c r="N7598" s="195">
        <v>2.0922719999999999</v>
      </c>
    </row>
    <row r="7599" spans="1:14" hidden="1" x14ac:dyDescent="0.35">
      <c r="A7599" s="52" t="s">
        <v>762</v>
      </c>
      <c r="B7599" s="52" t="s">
        <v>37</v>
      </c>
      <c r="C7599" s="52" t="s">
        <v>79</v>
      </c>
      <c r="D7599" s="52" t="s">
        <v>79</v>
      </c>
      <c r="E7599" s="52" t="s">
        <v>584</v>
      </c>
      <c r="F7599" s="52" t="s">
        <v>26</v>
      </c>
      <c r="G7599" s="195" t="s">
        <v>276</v>
      </c>
      <c r="H7599" s="195">
        <v>2.0286059999999999</v>
      </c>
      <c r="I7599" s="195">
        <v>0.83610770000000001</v>
      </c>
      <c r="J7599" s="195">
        <v>1.051186</v>
      </c>
      <c r="K7599" s="195">
        <v>0.71812390000000004</v>
      </c>
      <c r="L7599" s="195">
        <v>0.29511340000000003</v>
      </c>
      <c r="M7599" s="195">
        <v>0.32903559999999998</v>
      </c>
      <c r="N7599" s="195">
        <v>0.3588288</v>
      </c>
    </row>
    <row r="7600" spans="1:14" hidden="1" x14ac:dyDescent="0.35">
      <c r="A7600" s="52" t="s">
        <v>762</v>
      </c>
      <c r="B7600" s="52" t="s">
        <v>37</v>
      </c>
      <c r="C7600" s="52" t="s">
        <v>79</v>
      </c>
      <c r="D7600" s="52" t="s">
        <v>79</v>
      </c>
      <c r="E7600" s="52" t="s">
        <v>584</v>
      </c>
      <c r="F7600" s="52" t="s">
        <v>26</v>
      </c>
      <c r="G7600" s="195" t="s">
        <v>277</v>
      </c>
      <c r="H7600" s="195">
        <v>4.2993699999999997</v>
      </c>
      <c r="I7600" s="195">
        <v>3.4468770000000002</v>
      </c>
      <c r="J7600" s="195">
        <v>2.8129170000000001</v>
      </c>
      <c r="K7600" s="195">
        <v>2.3354240000000002</v>
      </c>
      <c r="L7600" s="195">
        <v>1.9705889999999999</v>
      </c>
      <c r="M7600" s="195">
        <v>1.687422</v>
      </c>
      <c r="N7600" s="195">
        <v>1.463938</v>
      </c>
    </row>
    <row r="7601" spans="1:14" hidden="1" x14ac:dyDescent="0.35">
      <c r="A7601" s="52" t="s">
        <v>762</v>
      </c>
      <c r="B7601" s="52" t="s">
        <v>37</v>
      </c>
      <c r="C7601" s="52" t="s">
        <v>79</v>
      </c>
      <c r="D7601" s="52" t="s">
        <v>79</v>
      </c>
      <c r="E7601" s="52" t="s">
        <v>584</v>
      </c>
      <c r="F7601" s="52" t="s">
        <v>26</v>
      </c>
      <c r="G7601" s="195" t="s">
        <v>279</v>
      </c>
      <c r="H7601" s="195">
        <v>26.788609999999998</v>
      </c>
      <c r="I7601" s="195">
        <v>23.509689999999999</v>
      </c>
      <c r="J7601" s="195">
        <v>21.133099999999999</v>
      </c>
      <c r="K7601" s="195">
        <v>18.975809999999999</v>
      </c>
      <c r="L7601" s="195">
        <v>19.47296</v>
      </c>
      <c r="M7601" s="195">
        <v>16.64012</v>
      </c>
      <c r="N7601" s="195">
        <v>15.0092</v>
      </c>
    </row>
    <row r="7602" spans="1:14" hidden="1" x14ac:dyDescent="0.35">
      <c r="A7602" s="52" t="s">
        <v>762</v>
      </c>
      <c r="B7602" s="52" t="s">
        <v>37</v>
      </c>
      <c r="C7602" s="52" t="s">
        <v>79</v>
      </c>
      <c r="D7602" s="52" t="s">
        <v>79</v>
      </c>
      <c r="E7602" s="52" t="s">
        <v>640</v>
      </c>
      <c r="F7602" s="52" t="s">
        <v>581</v>
      </c>
      <c r="G7602" s="195" t="s">
        <v>275</v>
      </c>
      <c r="H7602" s="195">
        <v>2.4337559999999998</v>
      </c>
      <c r="I7602" s="195">
        <v>3.7563949999999999</v>
      </c>
      <c r="J7602" s="195">
        <v>3.4553690000000001</v>
      </c>
      <c r="K7602" s="195">
        <v>4.4424239999999999</v>
      </c>
      <c r="L7602" s="195">
        <v>2.5836299999999999</v>
      </c>
      <c r="M7602" s="195">
        <v>2.0283899999999999</v>
      </c>
      <c r="N7602" s="195">
        <v>1.68736</v>
      </c>
    </row>
    <row r="7603" spans="1:14" hidden="1" x14ac:dyDescent="0.35">
      <c r="A7603" s="52" t="s">
        <v>762</v>
      </c>
      <c r="B7603" s="52" t="s">
        <v>37</v>
      </c>
      <c r="C7603" s="52" t="s">
        <v>79</v>
      </c>
      <c r="D7603" s="52" t="s">
        <v>79</v>
      </c>
      <c r="E7603" s="52" t="s">
        <v>640</v>
      </c>
      <c r="F7603" s="52" t="s">
        <v>581</v>
      </c>
      <c r="G7603" s="195" t="s">
        <v>276</v>
      </c>
      <c r="H7603" s="195">
        <v>2.5318170000000002</v>
      </c>
      <c r="I7603" s="195">
        <v>-0.60187520000000005</v>
      </c>
      <c r="J7603" s="195">
        <v>-1.219444</v>
      </c>
      <c r="K7603" s="195">
        <v>-2.0788449999999998</v>
      </c>
      <c r="L7603" s="195">
        <v>-1.164946</v>
      </c>
      <c r="M7603" s="195">
        <v>0.1938888</v>
      </c>
      <c r="N7603" s="195">
        <v>0.26111000000000001</v>
      </c>
    </row>
    <row r="7604" spans="1:14" hidden="1" x14ac:dyDescent="0.35">
      <c r="A7604" s="52" t="s">
        <v>762</v>
      </c>
      <c r="B7604" s="52" t="s">
        <v>37</v>
      </c>
      <c r="C7604" s="52" t="s">
        <v>79</v>
      </c>
      <c r="D7604" s="52" t="s">
        <v>79</v>
      </c>
      <c r="E7604" s="52" t="s">
        <v>640</v>
      </c>
      <c r="F7604" s="52" t="s">
        <v>581</v>
      </c>
      <c r="G7604" s="195" t="s">
        <v>277</v>
      </c>
      <c r="H7604" s="195">
        <v>12.95092</v>
      </c>
      <c r="I7604" s="195">
        <v>1.0863179999999999</v>
      </c>
      <c r="J7604" s="195">
        <v>0.45930120000000002</v>
      </c>
      <c r="K7604" s="195">
        <v>0.2242586</v>
      </c>
      <c r="L7604" s="195">
        <v>0.35389979999999999</v>
      </c>
      <c r="M7604" s="195">
        <v>0</v>
      </c>
      <c r="N7604" s="195">
        <v>0</v>
      </c>
    </row>
    <row r="7605" spans="1:14" hidden="1" x14ac:dyDescent="0.35">
      <c r="A7605" s="52" t="s">
        <v>762</v>
      </c>
      <c r="B7605" s="52" t="s">
        <v>37</v>
      </c>
      <c r="C7605" s="52" t="s">
        <v>79</v>
      </c>
      <c r="D7605" s="52" t="s">
        <v>79</v>
      </c>
      <c r="E7605" s="52" t="s">
        <v>640</v>
      </c>
      <c r="F7605" s="52" t="s">
        <v>581</v>
      </c>
      <c r="G7605" s="195" t="s">
        <v>278</v>
      </c>
      <c r="H7605" s="195">
        <v>4.0014409999999998</v>
      </c>
      <c r="I7605" s="195">
        <v>1.210348</v>
      </c>
      <c r="J7605" s="195">
        <v>0.91878539999999997</v>
      </c>
      <c r="K7605" s="195">
        <v>0.57018440000000004</v>
      </c>
      <c r="L7605" s="195">
        <v>0.74629699999999999</v>
      </c>
      <c r="M7605" s="195">
        <v>0</v>
      </c>
      <c r="N7605" s="195">
        <v>0</v>
      </c>
    </row>
    <row r="7606" spans="1:14" hidden="1" x14ac:dyDescent="0.35">
      <c r="A7606" s="52" t="s">
        <v>762</v>
      </c>
      <c r="B7606" s="52" t="s">
        <v>37</v>
      </c>
      <c r="C7606" s="52" t="s">
        <v>79</v>
      </c>
      <c r="D7606" s="52" t="s">
        <v>79</v>
      </c>
      <c r="E7606" s="52" t="s">
        <v>640</v>
      </c>
      <c r="F7606" s="52" t="s">
        <v>581</v>
      </c>
      <c r="G7606" s="195" t="s">
        <v>279</v>
      </c>
      <c r="H7606" s="195">
        <v>7.9058330000000003</v>
      </c>
      <c r="I7606" s="195">
        <v>5.3915129999999998</v>
      </c>
      <c r="J7606" s="195">
        <v>4.1733289999999998</v>
      </c>
      <c r="K7606" s="195">
        <v>3.7278449999999999</v>
      </c>
      <c r="L7606" s="195">
        <v>3.839493</v>
      </c>
      <c r="M7606" s="195">
        <v>3.2898640000000001</v>
      </c>
      <c r="N7606" s="195">
        <v>2.883575</v>
      </c>
    </row>
    <row r="7607" spans="1:14" hidden="1" x14ac:dyDescent="0.35">
      <c r="A7607" s="52" t="s">
        <v>762</v>
      </c>
      <c r="B7607" s="52" t="s">
        <v>37</v>
      </c>
      <c r="C7607" s="52" t="s">
        <v>79</v>
      </c>
      <c r="D7607" s="52" t="s">
        <v>79</v>
      </c>
      <c r="E7607" s="52" t="s">
        <v>640</v>
      </c>
      <c r="F7607" s="52" t="s">
        <v>26</v>
      </c>
      <c r="G7607" s="195" t="s">
        <v>275</v>
      </c>
      <c r="H7607" s="195">
        <v>7.1539999999999998E-3</v>
      </c>
      <c r="I7607" s="195">
        <v>-1.0534999999999999E-2</v>
      </c>
      <c r="J7607" s="195">
        <v>-3.1384E-3</v>
      </c>
      <c r="K7607" s="195">
        <v>-5.4479999999999997E-3</v>
      </c>
      <c r="L7607" s="195">
        <v>-1.5561999999999999E-2</v>
      </c>
      <c r="M7607" s="195">
        <v>-1.26614E-2</v>
      </c>
      <c r="N7607" s="195">
        <v>-1.10204E-2</v>
      </c>
    </row>
    <row r="7608" spans="1:14" hidden="1" x14ac:dyDescent="0.35">
      <c r="A7608" s="52" t="s">
        <v>762</v>
      </c>
      <c r="B7608" s="52" t="s">
        <v>37</v>
      </c>
      <c r="C7608" s="52" t="s">
        <v>79</v>
      </c>
      <c r="D7608" s="52" t="s">
        <v>79</v>
      </c>
      <c r="E7608" s="52" t="s">
        <v>640</v>
      </c>
      <c r="F7608" s="52" t="s">
        <v>26</v>
      </c>
      <c r="G7608" s="195" t="s">
        <v>276</v>
      </c>
      <c r="H7608" s="195">
        <v>2.0739999999999999E-3</v>
      </c>
      <c r="I7608" s="195">
        <v>-3.0547999999999999E-3</v>
      </c>
      <c r="J7608" s="195">
        <v>-9.1040010000000005E-4</v>
      </c>
      <c r="K7608" s="195">
        <v>-1.58E-3</v>
      </c>
      <c r="L7608" s="195">
        <v>-4.5102010000000001E-3</v>
      </c>
      <c r="M7608" s="195">
        <v>-3.6698E-3</v>
      </c>
      <c r="N7608" s="195">
        <v>-3.1954000000000001E-3</v>
      </c>
    </row>
    <row r="7609" spans="1:14" hidden="1" x14ac:dyDescent="0.35">
      <c r="A7609" s="52" t="s">
        <v>762</v>
      </c>
      <c r="B7609" s="52" t="s">
        <v>37</v>
      </c>
      <c r="C7609" s="52" t="s">
        <v>79</v>
      </c>
      <c r="D7609" s="52" t="s">
        <v>79</v>
      </c>
      <c r="E7609" s="52" t="s">
        <v>640</v>
      </c>
      <c r="F7609" s="52" t="s">
        <v>26</v>
      </c>
      <c r="G7609" s="195" t="s">
        <v>279</v>
      </c>
      <c r="H7609" s="195">
        <v>0.225776</v>
      </c>
      <c r="I7609" s="195">
        <v>0.18704419999999999</v>
      </c>
      <c r="J7609" s="195">
        <v>0.1490544</v>
      </c>
      <c r="K7609" s="195">
        <v>0.13445599999999999</v>
      </c>
      <c r="L7609" s="195">
        <v>0.13787820000000001</v>
      </c>
      <c r="M7609" s="195">
        <v>0.11833440000000001</v>
      </c>
      <c r="N7609" s="195">
        <v>0.1037424</v>
      </c>
    </row>
    <row r="7610" spans="1:14" hidden="1" x14ac:dyDescent="0.35">
      <c r="A7610" s="52" t="s">
        <v>762</v>
      </c>
      <c r="B7610" s="52" t="s">
        <v>37</v>
      </c>
      <c r="C7610" s="52" t="s">
        <v>46</v>
      </c>
      <c r="D7610" s="52" t="s">
        <v>46</v>
      </c>
      <c r="E7610" s="52" t="s">
        <v>584</v>
      </c>
      <c r="F7610" s="52" t="s">
        <v>581</v>
      </c>
      <c r="G7610" s="195" t="s">
        <v>275</v>
      </c>
      <c r="H7610" s="195">
        <v>4.7753290000000002</v>
      </c>
      <c r="I7610" s="195">
        <v>0.71449039999999997</v>
      </c>
      <c r="J7610" s="195">
        <v>0.4442623</v>
      </c>
      <c r="K7610" s="195">
        <v>0.38636399999999999</v>
      </c>
      <c r="L7610" s="195">
        <v>0.20267640000000001</v>
      </c>
      <c r="M7610" s="195">
        <v>0.20799580000000001</v>
      </c>
      <c r="N7610" s="195">
        <v>0.19394259999999999</v>
      </c>
    </row>
    <row r="7611" spans="1:14" hidden="1" x14ac:dyDescent="0.35">
      <c r="A7611" s="52" t="s">
        <v>762</v>
      </c>
      <c r="B7611" s="52" t="s">
        <v>37</v>
      </c>
      <c r="C7611" s="52" t="s">
        <v>46</v>
      </c>
      <c r="D7611" s="52" t="s">
        <v>46</v>
      </c>
      <c r="E7611" s="52" t="s">
        <v>584</v>
      </c>
      <c r="F7611" s="52" t="s">
        <v>581</v>
      </c>
      <c r="G7611" s="195" t="s">
        <v>276</v>
      </c>
      <c r="H7611" s="195">
        <v>1.26939</v>
      </c>
      <c r="I7611" s="195">
        <v>0.1899284</v>
      </c>
      <c r="J7611" s="195">
        <v>0.11809459999999999</v>
      </c>
      <c r="K7611" s="195">
        <v>0.10270559999999999</v>
      </c>
      <c r="L7611" s="195">
        <v>5.3875190000000003E-2</v>
      </c>
      <c r="M7611" s="195">
        <v>5.5291E-2</v>
      </c>
      <c r="N7611" s="195">
        <v>5.1554200000000001E-2</v>
      </c>
    </row>
    <row r="7612" spans="1:14" hidden="1" x14ac:dyDescent="0.35">
      <c r="A7612" s="52" t="s">
        <v>762</v>
      </c>
      <c r="B7612" s="52" t="s">
        <v>37</v>
      </c>
      <c r="C7612" s="52" t="s">
        <v>46</v>
      </c>
      <c r="D7612" s="52" t="s">
        <v>46</v>
      </c>
      <c r="E7612" s="52" t="s">
        <v>584</v>
      </c>
      <c r="F7612" s="52" t="s">
        <v>581</v>
      </c>
      <c r="G7612" s="195" t="s">
        <v>279</v>
      </c>
      <c r="H7612" s="195">
        <v>3.4214060000000002</v>
      </c>
      <c r="I7612" s="195">
        <v>2.3128120000000001</v>
      </c>
      <c r="J7612" s="195">
        <v>1.9603079999999999</v>
      </c>
      <c r="K7612" s="195">
        <v>1.8199320000000001</v>
      </c>
      <c r="L7612" s="195">
        <v>1.861799</v>
      </c>
      <c r="M7612" s="195">
        <v>1.6885190000000001</v>
      </c>
      <c r="N7612" s="195">
        <v>1.5456970000000001</v>
      </c>
    </row>
    <row r="7613" spans="1:14" hidden="1" x14ac:dyDescent="0.35">
      <c r="A7613" s="52" t="s">
        <v>762</v>
      </c>
      <c r="B7613" s="52" t="s">
        <v>37</v>
      </c>
      <c r="C7613" s="52" t="s">
        <v>46</v>
      </c>
      <c r="D7613" s="52" t="s">
        <v>46</v>
      </c>
      <c r="E7613" s="52" t="s">
        <v>584</v>
      </c>
      <c r="F7613" s="52" t="s">
        <v>26</v>
      </c>
      <c r="G7613" s="195" t="s">
        <v>275</v>
      </c>
      <c r="H7613" s="195">
        <v>-0.71608400000000005</v>
      </c>
      <c r="I7613" s="195">
        <v>-0.94206140000000005</v>
      </c>
      <c r="J7613" s="195">
        <v>-0.65070609999999995</v>
      </c>
      <c r="K7613" s="195">
        <v>-0.69117519999999999</v>
      </c>
      <c r="L7613" s="195">
        <v>-0.97903549999999995</v>
      </c>
      <c r="M7613" s="195">
        <v>-0.87295049999999996</v>
      </c>
      <c r="N7613" s="195">
        <v>-0.80147440000000003</v>
      </c>
    </row>
    <row r="7614" spans="1:14" hidden="1" x14ac:dyDescent="0.35">
      <c r="A7614" s="52" t="s">
        <v>762</v>
      </c>
      <c r="B7614" s="52" t="s">
        <v>37</v>
      </c>
      <c r="C7614" s="52" t="s">
        <v>46</v>
      </c>
      <c r="D7614" s="52" t="s">
        <v>46</v>
      </c>
      <c r="E7614" s="52" t="s">
        <v>584</v>
      </c>
      <c r="F7614" s="52" t="s">
        <v>26</v>
      </c>
      <c r="G7614" s="195" t="s">
        <v>276</v>
      </c>
      <c r="H7614" s="195">
        <v>-0.30139100000000002</v>
      </c>
      <c r="I7614" s="195">
        <v>-0.358987</v>
      </c>
      <c r="J7614" s="195">
        <v>-0.27508759999999999</v>
      </c>
      <c r="K7614" s="195">
        <v>-0.24103040000000001</v>
      </c>
      <c r="L7614" s="195">
        <v>-0.29913620000000002</v>
      </c>
      <c r="M7614" s="195">
        <v>-0.25857799999999997</v>
      </c>
      <c r="N7614" s="195">
        <v>-0.2314194</v>
      </c>
    </row>
    <row r="7615" spans="1:14" hidden="1" x14ac:dyDescent="0.35">
      <c r="A7615" s="52" t="s">
        <v>762</v>
      </c>
      <c r="B7615" s="52" t="s">
        <v>37</v>
      </c>
      <c r="C7615" s="52" t="s">
        <v>46</v>
      </c>
      <c r="D7615" s="52" t="s">
        <v>46</v>
      </c>
      <c r="E7615" s="52" t="s">
        <v>584</v>
      </c>
      <c r="F7615" s="52" t="s">
        <v>26</v>
      </c>
      <c r="G7615" s="195" t="s">
        <v>277</v>
      </c>
      <c r="H7615" s="195">
        <v>0.49007400000000001</v>
      </c>
      <c r="I7615" s="195">
        <v>0.37712400000000001</v>
      </c>
      <c r="J7615" s="195">
        <v>0.301678</v>
      </c>
      <c r="K7615" s="195">
        <v>0.25013099999999999</v>
      </c>
      <c r="L7615" s="195">
        <v>0.21462899999999999</v>
      </c>
      <c r="M7615" s="195">
        <v>0.18990000000000001</v>
      </c>
      <c r="N7615" s="195">
        <v>0.17241400000000001</v>
      </c>
    </row>
    <row r="7616" spans="1:14" hidden="1" x14ac:dyDescent="0.35">
      <c r="A7616" s="52" t="s">
        <v>762</v>
      </c>
      <c r="B7616" s="52" t="s">
        <v>37</v>
      </c>
      <c r="C7616" s="52" t="s">
        <v>46</v>
      </c>
      <c r="D7616" s="52" t="s">
        <v>46</v>
      </c>
      <c r="E7616" s="52" t="s">
        <v>584</v>
      </c>
      <c r="F7616" s="52" t="s">
        <v>26</v>
      </c>
      <c r="G7616" s="195" t="s">
        <v>279</v>
      </c>
      <c r="H7616" s="195">
        <v>6.2549679999999999</v>
      </c>
      <c r="I7616" s="195">
        <v>4.9745840000000001</v>
      </c>
      <c r="J7616" s="195">
        <v>4.3877059999999997</v>
      </c>
      <c r="K7616" s="195">
        <v>4.1673989999999996</v>
      </c>
      <c r="L7616" s="195">
        <v>4.2904210000000003</v>
      </c>
      <c r="M7616" s="195">
        <v>3.935988</v>
      </c>
      <c r="N7616" s="195">
        <v>3.634026</v>
      </c>
    </row>
    <row r="7617" spans="1:14" hidden="1" x14ac:dyDescent="0.35">
      <c r="A7617" s="52" t="s">
        <v>762</v>
      </c>
      <c r="B7617" s="52" t="s">
        <v>37</v>
      </c>
      <c r="C7617" s="52" t="s">
        <v>318</v>
      </c>
      <c r="D7617" s="52" t="s">
        <v>318</v>
      </c>
      <c r="E7617" s="52" t="s">
        <v>584</v>
      </c>
      <c r="F7617" s="52" t="s">
        <v>581</v>
      </c>
      <c r="G7617" s="195" t="s">
        <v>275</v>
      </c>
      <c r="H7617" s="195">
        <v>0</v>
      </c>
      <c r="I7617" s="195"/>
      <c r="J7617" s="195"/>
      <c r="K7617" s="195"/>
      <c r="L7617" s="195"/>
      <c r="M7617" s="195"/>
      <c r="N7617" s="195"/>
    </row>
    <row r="7618" spans="1:14" hidden="1" x14ac:dyDescent="0.35">
      <c r="A7618" s="52" t="s">
        <v>762</v>
      </c>
      <c r="B7618" s="52" t="s">
        <v>37</v>
      </c>
      <c r="C7618" s="52" t="s">
        <v>318</v>
      </c>
      <c r="D7618" s="52" t="s">
        <v>318</v>
      </c>
      <c r="E7618" s="52" t="s">
        <v>584</v>
      </c>
      <c r="F7618" s="52" t="s">
        <v>581</v>
      </c>
      <c r="G7618" s="195" t="s">
        <v>278</v>
      </c>
      <c r="H7618" s="195">
        <v>0</v>
      </c>
      <c r="I7618" s="195"/>
      <c r="J7618" s="195"/>
      <c r="K7618" s="195"/>
      <c r="L7618" s="195"/>
      <c r="M7618" s="195"/>
      <c r="N7618" s="195"/>
    </row>
    <row r="7619" spans="1:14" hidden="1" x14ac:dyDescent="0.35">
      <c r="A7619" s="52" t="s">
        <v>762</v>
      </c>
      <c r="B7619" s="52" t="s">
        <v>37</v>
      </c>
      <c r="C7619" s="52" t="s">
        <v>318</v>
      </c>
      <c r="D7619" s="52" t="s">
        <v>318</v>
      </c>
      <c r="E7619" s="52" t="s">
        <v>584</v>
      </c>
      <c r="F7619" s="52" t="s">
        <v>26</v>
      </c>
      <c r="G7619" s="195" t="s">
        <v>275</v>
      </c>
      <c r="H7619" s="195">
        <v>0</v>
      </c>
      <c r="I7619" s="195"/>
      <c r="J7619" s="195"/>
      <c r="K7619" s="195"/>
      <c r="L7619" s="195"/>
      <c r="M7619" s="195"/>
      <c r="N7619" s="195"/>
    </row>
    <row r="7620" spans="1:14" hidden="1" x14ac:dyDescent="0.35">
      <c r="A7620" s="52" t="s">
        <v>762</v>
      </c>
      <c r="B7620" s="52" t="s">
        <v>37</v>
      </c>
      <c r="C7620" s="52" t="s">
        <v>318</v>
      </c>
      <c r="D7620" s="52" t="s">
        <v>318</v>
      </c>
      <c r="E7620" s="52" t="s">
        <v>584</v>
      </c>
      <c r="F7620" s="52" t="s">
        <v>26</v>
      </c>
      <c r="G7620" s="195" t="s">
        <v>278</v>
      </c>
      <c r="H7620" s="195">
        <v>0</v>
      </c>
      <c r="I7620" s="195"/>
      <c r="J7620" s="195"/>
      <c r="K7620" s="195"/>
      <c r="L7620" s="195"/>
      <c r="M7620" s="195"/>
      <c r="N7620" s="195"/>
    </row>
    <row r="7621" spans="1:14" hidden="1" x14ac:dyDescent="0.35">
      <c r="A7621" s="52" t="s">
        <v>732</v>
      </c>
      <c r="B7621" s="52" t="s">
        <v>37</v>
      </c>
      <c r="C7621" s="52" t="s">
        <v>35</v>
      </c>
      <c r="D7621" s="52" t="s">
        <v>189</v>
      </c>
      <c r="E7621" s="52" t="s">
        <v>590</v>
      </c>
      <c r="F7621" s="52" t="s">
        <v>581</v>
      </c>
      <c r="G7621" s="195" t="s">
        <v>275</v>
      </c>
      <c r="H7621" s="195">
        <v>27.219149999999999</v>
      </c>
      <c r="I7621" s="195">
        <v>42.998309999999996</v>
      </c>
      <c r="J7621" s="195">
        <v>87.509190000000004</v>
      </c>
      <c r="K7621" s="195">
        <v>72.491010000000003</v>
      </c>
      <c r="L7621" s="195">
        <v>54.806100000000001</v>
      </c>
      <c r="M7621" s="195">
        <v>36.38982</v>
      </c>
      <c r="N7621" s="195">
        <v>27.77345</v>
      </c>
    </row>
    <row r="7622" spans="1:14" hidden="1" x14ac:dyDescent="0.35">
      <c r="A7622" s="52" t="s">
        <v>732</v>
      </c>
      <c r="B7622" s="52" t="s">
        <v>37</v>
      </c>
      <c r="C7622" s="52" t="s">
        <v>35</v>
      </c>
      <c r="D7622" s="52" t="s">
        <v>189</v>
      </c>
      <c r="E7622" s="52" t="s">
        <v>590</v>
      </c>
      <c r="F7622" s="52" t="s">
        <v>581</v>
      </c>
      <c r="G7622" s="195" t="s">
        <v>276</v>
      </c>
      <c r="H7622" s="195">
        <v>27.0029</v>
      </c>
      <c r="I7622" s="195">
        <v>-16.917449999999999</v>
      </c>
      <c r="J7622" s="195">
        <v>-41.425359999999998</v>
      </c>
      <c r="K7622" s="195">
        <v>-35.175939999999997</v>
      </c>
      <c r="L7622" s="195">
        <v>-20.101759999999999</v>
      </c>
      <c r="M7622" s="195">
        <v>1.854001</v>
      </c>
      <c r="N7622" s="195">
        <v>5.440842</v>
      </c>
    </row>
    <row r="7623" spans="1:14" hidden="1" x14ac:dyDescent="0.35">
      <c r="A7623" s="52" t="s">
        <v>732</v>
      </c>
      <c r="B7623" s="52" t="s">
        <v>37</v>
      </c>
      <c r="C7623" s="52" t="s">
        <v>35</v>
      </c>
      <c r="D7623" s="52" t="s">
        <v>189</v>
      </c>
      <c r="E7623" s="52" t="s">
        <v>590</v>
      </c>
      <c r="F7623" s="52" t="s">
        <v>581</v>
      </c>
      <c r="G7623" s="195" t="s">
        <v>277</v>
      </c>
      <c r="H7623" s="195">
        <v>281.56020000000001</v>
      </c>
      <c r="I7623" s="195">
        <v>52.723329999999997</v>
      </c>
      <c r="J7623" s="195">
        <v>6.1487150000000002</v>
      </c>
      <c r="K7623" s="195">
        <v>2.9231690000000001</v>
      </c>
      <c r="L7623" s="195">
        <v>1.773523</v>
      </c>
      <c r="M7623" s="195">
        <v>0</v>
      </c>
      <c r="N7623" s="195">
        <v>0</v>
      </c>
    </row>
    <row r="7624" spans="1:14" hidden="1" x14ac:dyDescent="0.35">
      <c r="A7624" s="52" t="s">
        <v>732</v>
      </c>
      <c r="B7624" s="52" t="s">
        <v>37</v>
      </c>
      <c r="C7624" s="52" t="s">
        <v>35</v>
      </c>
      <c r="D7624" s="52" t="s">
        <v>189</v>
      </c>
      <c r="E7624" s="52" t="s">
        <v>590</v>
      </c>
      <c r="F7624" s="52" t="s">
        <v>581</v>
      </c>
      <c r="G7624" s="195" t="s">
        <v>278</v>
      </c>
      <c r="H7624" s="195">
        <v>12.33943</v>
      </c>
      <c r="I7624" s="195">
        <v>8.8197469999999996</v>
      </c>
      <c r="J7624" s="195">
        <v>9.6465700000000005</v>
      </c>
      <c r="K7624" s="195">
        <v>11.186540000000001</v>
      </c>
      <c r="L7624" s="195">
        <v>6.743754</v>
      </c>
      <c r="M7624" s="195">
        <v>0</v>
      </c>
      <c r="N7624" s="195">
        <v>0</v>
      </c>
    </row>
    <row r="7625" spans="1:14" hidden="1" x14ac:dyDescent="0.35">
      <c r="A7625" s="52" t="s">
        <v>732</v>
      </c>
      <c r="B7625" s="52" t="s">
        <v>37</v>
      </c>
      <c r="C7625" s="52" t="s">
        <v>35</v>
      </c>
      <c r="D7625" s="52" t="s">
        <v>189</v>
      </c>
      <c r="E7625" s="52" t="s">
        <v>590</v>
      </c>
      <c r="F7625" s="52" t="s">
        <v>581</v>
      </c>
      <c r="G7625" s="195" t="s">
        <v>279</v>
      </c>
      <c r="H7625" s="195">
        <v>104.1601</v>
      </c>
      <c r="I7625" s="195">
        <v>64.16046</v>
      </c>
      <c r="J7625" s="195">
        <v>51.386299999999999</v>
      </c>
      <c r="K7625" s="195">
        <v>43.663760000000003</v>
      </c>
      <c r="L7625" s="195">
        <v>44.320869999999999</v>
      </c>
      <c r="M7625" s="195">
        <v>38.411659999999998</v>
      </c>
      <c r="N7625" s="195">
        <v>33.33099</v>
      </c>
    </row>
    <row r="7626" spans="1:14" hidden="1" x14ac:dyDescent="0.35">
      <c r="A7626" s="52" t="s">
        <v>732</v>
      </c>
      <c r="B7626" s="52" t="s">
        <v>37</v>
      </c>
      <c r="C7626" s="52" t="s">
        <v>35</v>
      </c>
      <c r="D7626" s="52" t="s">
        <v>189</v>
      </c>
      <c r="E7626" s="52" t="s">
        <v>590</v>
      </c>
      <c r="F7626" s="52" t="s">
        <v>26</v>
      </c>
      <c r="G7626" s="195" t="s">
        <v>275</v>
      </c>
      <c r="H7626" s="195">
        <v>-15.6275</v>
      </c>
      <c r="I7626" s="195">
        <v>-15.31043</v>
      </c>
      <c r="J7626" s="195">
        <v>-12.08408</v>
      </c>
      <c r="K7626" s="195">
        <v>-10.68629</v>
      </c>
      <c r="L7626" s="195">
        <v>-11.879569999999999</v>
      </c>
      <c r="M7626" s="195">
        <v>-10.23969</v>
      </c>
      <c r="N7626" s="195">
        <v>-8.8783250000000002</v>
      </c>
    </row>
    <row r="7627" spans="1:14" hidden="1" x14ac:dyDescent="0.35">
      <c r="A7627" s="52" t="s">
        <v>732</v>
      </c>
      <c r="B7627" s="52" t="s">
        <v>37</v>
      </c>
      <c r="C7627" s="52" t="s">
        <v>35</v>
      </c>
      <c r="D7627" s="52" t="s">
        <v>189</v>
      </c>
      <c r="E7627" s="52" t="s">
        <v>590</v>
      </c>
      <c r="F7627" s="52" t="s">
        <v>26</v>
      </c>
      <c r="G7627" s="195" t="s">
        <v>276</v>
      </c>
      <c r="H7627" s="195">
        <v>-4.5302509999999998</v>
      </c>
      <c r="I7627" s="195">
        <v>-4.4383369999999998</v>
      </c>
      <c r="J7627" s="195">
        <v>-3.503047</v>
      </c>
      <c r="K7627" s="195">
        <v>-3.0978469999999998</v>
      </c>
      <c r="L7627" s="195">
        <v>-3.4437639999999998</v>
      </c>
      <c r="M7627" s="195">
        <v>-2.9683799999999998</v>
      </c>
      <c r="N7627" s="195">
        <v>-2.5737359999999998</v>
      </c>
    </row>
    <row r="7628" spans="1:14" hidden="1" x14ac:dyDescent="0.35">
      <c r="A7628" s="52" t="s">
        <v>732</v>
      </c>
      <c r="B7628" s="52" t="s">
        <v>37</v>
      </c>
      <c r="C7628" s="52" t="s">
        <v>35</v>
      </c>
      <c r="D7628" s="52" t="s">
        <v>189</v>
      </c>
      <c r="E7628" s="52" t="s">
        <v>590</v>
      </c>
      <c r="F7628" s="52" t="s">
        <v>26</v>
      </c>
      <c r="G7628" s="195" t="s">
        <v>279</v>
      </c>
      <c r="H7628" s="195">
        <v>41.670450000000002</v>
      </c>
      <c r="I7628" s="195">
        <v>36.312100000000001</v>
      </c>
      <c r="J7628" s="195">
        <v>29.97418</v>
      </c>
      <c r="K7628" s="195">
        <v>25.80931</v>
      </c>
      <c r="L7628" s="195">
        <v>26.344180000000001</v>
      </c>
      <c r="M7628" s="195">
        <v>22.849979999999999</v>
      </c>
      <c r="N7628" s="195">
        <v>19.827770000000001</v>
      </c>
    </row>
    <row r="7629" spans="1:14" hidden="1" x14ac:dyDescent="0.35">
      <c r="A7629" s="52" t="s">
        <v>732</v>
      </c>
      <c r="B7629" s="52" t="s">
        <v>37</v>
      </c>
      <c r="C7629" s="52" t="s">
        <v>35</v>
      </c>
      <c r="D7629" s="52" t="s">
        <v>189</v>
      </c>
      <c r="E7629" s="52" t="s">
        <v>589</v>
      </c>
      <c r="F7629" s="52" t="s">
        <v>581</v>
      </c>
      <c r="G7629" s="195" t="s">
        <v>275</v>
      </c>
      <c r="H7629" s="195">
        <v>2.8987419999999999</v>
      </c>
      <c r="I7629" s="195">
        <v>50.130189999999999</v>
      </c>
      <c r="J7629" s="195">
        <v>43.938420000000001</v>
      </c>
      <c r="K7629" s="195">
        <v>36.774320000000003</v>
      </c>
      <c r="L7629" s="195">
        <v>30.269829999999999</v>
      </c>
      <c r="M7629" s="195">
        <v>20.262969999999999</v>
      </c>
      <c r="N7629" s="195">
        <v>15.781890000000001</v>
      </c>
    </row>
    <row r="7630" spans="1:14" hidden="1" x14ac:dyDescent="0.35">
      <c r="A7630" s="52" t="s">
        <v>732</v>
      </c>
      <c r="B7630" s="52" t="s">
        <v>37</v>
      </c>
      <c r="C7630" s="52" t="s">
        <v>35</v>
      </c>
      <c r="D7630" s="52" t="s">
        <v>189</v>
      </c>
      <c r="E7630" s="52" t="s">
        <v>589</v>
      </c>
      <c r="F7630" s="52" t="s">
        <v>581</v>
      </c>
      <c r="G7630" s="195" t="s">
        <v>276</v>
      </c>
      <c r="H7630" s="195">
        <v>-26.394310000000001</v>
      </c>
      <c r="I7630" s="195">
        <v>-36.63749</v>
      </c>
      <c r="J7630" s="195">
        <v>-24.556760000000001</v>
      </c>
      <c r="K7630" s="195">
        <v>-20.080020000000001</v>
      </c>
      <c r="L7630" s="195">
        <v>-12.658160000000001</v>
      </c>
      <c r="M7630" s="195">
        <v>1.055021</v>
      </c>
      <c r="N7630" s="195">
        <v>2.4523809999999999</v>
      </c>
    </row>
    <row r="7631" spans="1:14" hidden="1" x14ac:dyDescent="0.35">
      <c r="A7631" s="52" t="s">
        <v>732</v>
      </c>
      <c r="B7631" s="52" t="s">
        <v>37</v>
      </c>
      <c r="C7631" s="52" t="s">
        <v>35</v>
      </c>
      <c r="D7631" s="52" t="s">
        <v>189</v>
      </c>
      <c r="E7631" s="52" t="s">
        <v>589</v>
      </c>
      <c r="F7631" s="52" t="s">
        <v>581</v>
      </c>
      <c r="G7631" s="195" t="s">
        <v>277</v>
      </c>
      <c r="H7631" s="195">
        <v>168.9408</v>
      </c>
      <c r="I7631" s="195">
        <v>25.282820000000001</v>
      </c>
      <c r="J7631" s="195">
        <v>4.4283229999999998</v>
      </c>
      <c r="K7631" s="195">
        <v>2.3029329999999999</v>
      </c>
      <c r="L7631" s="195">
        <v>1.079718</v>
      </c>
      <c r="M7631" s="195">
        <v>0</v>
      </c>
      <c r="N7631" s="195">
        <v>0</v>
      </c>
    </row>
    <row r="7632" spans="1:14" hidden="1" x14ac:dyDescent="0.35">
      <c r="A7632" s="52" t="s">
        <v>732</v>
      </c>
      <c r="B7632" s="52" t="s">
        <v>37</v>
      </c>
      <c r="C7632" s="52" t="s">
        <v>35</v>
      </c>
      <c r="D7632" s="52" t="s">
        <v>189</v>
      </c>
      <c r="E7632" s="52" t="s">
        <v>589</v>
      </c>
      <c r="F7632" s="52" t="s">
        <v>581</v>
      </c>
      <c r="G7632" s="195" t="s">
        <v>278</v>
      </c>
      <c r="H7632" s="195">
        <v>7.6145630000000004</v>
      </c>
      <c r="I7632" s="195">
        <v>6.145753</v>
      </c>
      <c r="J7632" s="195">
        <v>8.7608580000000007</v>
      </c>
      <c r="K7632" s="195">
        <v>8.5859210000000008</v>
      </c>
      <c r="L7632" s="195">
        <v>5.2084349999999997</v>
      </c>
      <c r="M7632" s="195">
        <v>0</v>
      </c>
      <c r="N7632" s="195">
        <v>0</v>
      </c>
    </row>
    <row r="7633" spans="1:14" hidden="1" x14ac:dyDescent="0.35">
      <c r="A7633" s="52" t="s">
        <v>732</v>
      </c>
      <c r="B7633" s="52" t="s">
        <v>37</v>
      </c>
      <c r="C7633" s="52" t="s">
        <v>35</v>
      </c>
      <c r="D7633" s="52" t="s">
        <v>189</v>
      </c>
      <c r="E7633" s="52" t="s">
        <v>589</v>
      </c>
      <c r="F7633" s="52" t="s">
        <v>581</v>
      </c>
      <c r="G7633" s="195" t="s">
        <v>279</v>
      </c>
      <c r="H7633" s="195">
        <v>45.967329999999997</v>
      </c>
      <c r="I7633" s="195">
        <v>33.007309999999997</v>
      </c>
      <c r="J7633" s="195">
        <v>27.056090000000001</v>
      </c>
      <c r="K7633" s="195">
        <v>23.43188</v>
      </c>
      <c r="L7633" s="195">
        <v>24.41986</v>
      </c>
      <c r="M7633" s="195">
        <v>21.403009999999998</v>
      </c>
      <c r="N7633" s="195">
        <v>18.285879999999999</v>
      </c>
    </row>
    <row r="7634" spans="1:14" hidden="1" x14ac:dyDescent="0.35">
      <c r="A7634" s="52" t="s">
        <v>732</v>
      </c>
      <c r="B7634" s="52" t="s">
        <v>37</v>
      </c>
      <c r="C7634" s="52" t="s">
        <v>35</v>
      </c>
      <c r="D7634" s="52" t="s">
        <v>189</v>
      </c>
      <c r="E7634" s="52" t="s">
        <v>589</v>
      </c>
      <c r="F7634" s="52" t="s">
        <v>26</v>
      </c>
      <c r="G7634" s="195" t="s">
        <v>275</v>
      </c>
      <c r="H7634" s="195">
        <v>-6.6073339999999998</v>
      </c>
      <c r="I7634" s="195">
        <v>-7.5478430000000003</v>
      </c>
      <c r="J7634" s="195">
        <v>-6.0911390000000001</v>
      </c>
      <c r="K7634" s="195">
        <v>-5.4906119999999996</v>
      </c>
      <c r="L7634" s="195">
        <v>-6.2607819999999998</v>
      </c>
      <c r="M7634" s="195">
        <v>-5.4615020000000003</v>
      </c>
      <c r="N7634" s="195">
        <v>-4.6622500000000002</v>
      </c>
    </row>
    <row r="7635" spans="1:14" hidden="1" x14ac:dyDescent="0.35">
      <c r="A7635" s="52" t="s">
        <v>732</v>
      </c>
      <c r="B7635" s="52" t="s">
        <v>37</v>
      </c>
      <c r="C7635" s="52" t="s">
        <v>35</v>
      </c>
      <c r="D7635" s="52" t="s">
        <v>189</v>
      </c>
      <c r="E7635" s="52" t="s">
        <v>589</v>
      </c>
      <c r="F7635" s="52" t="s">
        <v>26</v>
      </c>
      <c r="G7635" s="195" t="s">
        <v>276</v>
      </c>
      <c r="H7635" s="195">
        <v>-1.9154070000000001</v>
      </c>
      <c r="I7635" s="195">
        <v>-2.188043</v>
      </c>
      <c r="J7635" s="195">
        <v>-1.765754</v>
      </c>
      <c r="K7635" s="195">
        <v>-1.591672</v>
      </c>
      <c r="L7635" s="195">
        <v>-1.8149360000000001</v>
      </c>
      <c r="M7635" s="195">
        <v>-1.5832349999999999</v>
      </c>
      <c r="N7635" s="195">
        <v>-1.3515379999999999</v>
      </c>
    </row>
    <row r="7636" spans="1:14" hidden="1" x14ac:dyDescent="0.35">
      <c r="A7636" s="52" t="s">
        <v>732</v>
      </c>
      <c r="B7636" s="52" t="s">
        <v>37</v>
      </c>
      <c r="C7636" s="52" t="s">
        <v>35</v>
      </c>
      <c r="D7636" s="52" t="s">
        <v>189</v>
      </c>
      <c r="E7636" s="52" t="s">
        <v>589</v>
      </c>
      <c r="F7636" s="52" t="s">
        <v>26</v>
      </c>
      <c r="G7636" s="195" t="s">
        <v>279</v>
      </c>
      <c r="H7636" s="195">
        <v>17.618359999999999</v>
      </c>
      <c r="I7636" s="195">
        <v>17.902460000000001</v>
      </c>
      <c r="J7636" s="195">
        <v>15.119759999999999</v>
      </c>
      <c r="K7636" s="195">
        <v>13.269019999999999</v>
      </c>
      <c r="L7636" s="195">
        <v>13.89902</v>
      </c>
      <c r="M7636" s="195">
        <v>12.19552</v>
      </c>
      <c r="N7636" s="195">
        <v>10.41911</v>
      </c>
    </row>
    <row r="7637" spans="1:14" hidden="1" x14ac:dyDescent="0.35">
      <c r="A7637" s="52" t="s">
        <v>732</v>
      </c>
      <c r="B7637" s="52" t="s">
        <v>37</v>
      </c>
      <c r="C7637" s="52" t="s">
        <v>35</v>
      </c>
      <c r="D7637" s="52" t="s">
        <v>267</v>
      </c>
      <c r="E7637" s="52" t="s">
        <v>587</v>
      </c>
      <c r="F7637" s="52" t="s">
        <v>581</v>
      </c>
      <c r="G7637" s="195" t="s">
        <v>275</v>
      </c>
      <c r="H7637" s="195">
        <v>24.69303</v>
      </c>
      <c r="I7637" s="195">
        <v>4.0078670000000001</v>
      </c>
      <c r="J7637" s="195">
        <v>2.5717840000000001</v>
      </c>
      <c r="K7637" s="195">
        <v>2.7157499999999999</v>
      </c>
      <c r="L7637" s="195">
        <v>1.308735</v>
      </c>
      <c r="M7637" s="195">
        <v>1.2314639999999999</v>
      </c>
      <c r="N7637" s="195">
        <v>1.1120369999999999</v>
      </c>
    </row>
    <row r="7638" spans="1:14" hidden="1" x14ac:dyDescent="0.35">
      <c r="A7638" s="52" t="s">
        <v>732</v>
      </c>
      <c r="B7638" s="52" t="s">
        <v>37</v>
      </c>
      <c r="C7638" s="52" t="s">
        <v>35</v>
      </c>
      <c r="D7638" s="52" t="s">
        <v>267</v>
      </c>
      <c r="E7638" s="52" t="s">
        <v>587</v>
      </c>
      <c r="F7638" s="52" t="s">
        <v>581</v>
      </c>
      <c r="G7638" s="195" t="s">
        <v>276</v>
      </c>
      <c r="H7638" s="195">
        <v>1.163629</v>
      </c>
      <c r="I7638" s="195">
        <v>7.0788240000000002E-2</v>
      </c>
      <c r="J7638" s="195">
        <v>0.26647460000000001</v>
      </c>
      <c r="K7638" s="195">
        <v>-0.248144</v>
      </c>
      <c r="L7638" s="195">
        <v>0.37938759999999999</v>
      </c>
      <c r="M7638" s="195">
        <v>0.35698920000000001</v>
      </c>
      <c r="N7638" s="195">
        <v>0.32236819999999999</v>
      </c>
    </row>
    <row r="7639" spans="1:14" hidden="1" x14ac:dyDescent="0.35">
      <c r="A7639" s="52" t="s">
        <v>732</v>
      </c>
      <c r="B7639" s="52" t="s">
        <v>37</v>
      </c>
      <c r="C7639" s="52" t="s">
        <v>35</v>
      </c>
      <c r="D7639" s="52" t="s">
        <v>267</v>
      </c>
      <c r="E7639" s="52" t="s">
        <v>587</v>
      </c>
      <c r="F7639" s="52" t="s">
        <v>581</v>
      </c>
      <c r="G7639" s="195" t="s">
        <v>277</v>
      </c>
      <c r="H7639" s="195">
        <v>0</v>
      </c>
      <c r="I7639" s="195"/>
      <c r="J7639" s="195"/>
      <c r="K7639" s="195"/>
      <c r="L7639" s="195"/>
      <c r="M7639" s="195">
        <v>0</v>
      </c>
      <c r="N7639" s="195">
        <v>0</v>
      </c>
    </row>
    <row r="7640" spans="1:14" hidden="1" x14ac:dyDescent="0.35">
      <c r="A7640" s="52" t="s">
        <v>732</v>
      </c>
      <c r="B7640" s="52" t="s">
        <v>37</v>
      </c>
      <c r="C7640" s="52" t="s">
        <v>35</v>
      </c>
      <c r="D7640" s="52" t="s">
        <v>267</v>
      </c>
      <c r="E7640" s="52" t="s">
        <v>587</v>
      </c>
      <c r="F7640" s="52" t="s">
        <v>581</v>
      </c>
      <c r="G7640" s="195" t="s">
        <v>279</v>
      </c>
      <c r="H7640" s="195">
        <v>11.377520000000001</v>
      </c>
      <c r="I7640" s="195">
        <v>6.4810489999999996</v>
      </c>
      <c r="J7640" s="195">
        <v>5.6039599999999998</v>
      </c>
      <c r="K7640" s="195">
        <v>5.0955219999999999</v>
      </c>
      <c r="L7640" s="195">
        <v>5.0949030000000004</v>
      </c>
      <c r="M7640" s="195">
        <v>4.5406319999999996</v>
      </c>
      <c r="N7640" s="195">
        <v>4.0820730000000003</v>
      </c>
    </row>
    <row r="7641" spans="1:14" hidden="1" x14ac:dyDescent="0.35">
      <c r="A7641" s="52" t="s">
        <v>732</v>
      </c>
      <c r="B7641" s="52" t="s">
        <v>37</v>
      </c>
      <c r="C7641" s="52" t="s">
        <v>35</v>
      </c>
      <c r="D7641" s="52" t="s">
        <v>267</v>
      </c>
      <c r="E7641" s="52" t="s">
        <v>587</v>
      </c>
      <c r="F7641" s="52" t="s">
        <v>26</v>
      </c>
      <c r="G7641" s="195" t="s">
        <v>275</v>
      </c>
      <c r="H7641" s="195">
        <v>-2.4186450000000002</v>
      </c>
      <c r="I7641" s="195">
        <v>-1.955335</v>
      </c>
      <c r="J7641" s="195">
        <v>-1.671152</v>
      </c>
      <c r="K7641" s="195">
        <v>-1.5671349999999999</v>
      </c>
      <c r="L7641" s="195">
        <v>-1.6811419999999999</v>
      </c>
      <c r="M7641" s="195">
        <v>-1.4907550000000001</v>
      </c>
      <c r="N7641" s="195">
        <v>-1.3390439999999999</v>
      </c>
    </row>
    <row r="7642" spans="1:14" hidden="1" x14ac:dyDescent="0.35">
      <c r="A7642" s="52" t="s">
        <v>732</v>
      </c>
      <c r="B7642" s="52" t="s">
        <v>37</v>
      </c>
      <c r="C7642" s="52" t="s">
        <v>35</v>
      </c>
      <c r="D7642" s="52" t="s">
        <v>267</v>
      </c>
      <c r="E7642" s="52" t="s">
        <v>587</v>
      </c>
      <c r="F7642" s="52" t="s">
        <v>26</v>
      </c>
      <c r="G7642" s="195" t="s">
        <v>276</v>
      </c>
      <c r="H7642" s="195">
        <v>-0.70114100000000001</v>
      </c>
      <c r="I7642" s="195">
        <v>-0.56683139999999999</v>
      </c>
      <c r="J7642" s="195">
        <v>-0.48444959999999998</v>
      </c>
      <c r="K7642" s="195">
        <v>-0.45429700000000001</v>
      </c>
      <c r="L7642" s="195">
        <v>-0.4873458</v>
      </c>
      <c r="M7642" s="195">
        <v>-0.43215559999999997</v>
      </c>
      <c r="N7642" s="195">
        <v>-0.38817580000000002</v>
      </c>
    </row>
    <row r="7643" spans="1:14" hidden="1" x14ac:dyDescent="0.35">
      <c r="A7643" s="52" t="s">
        <v>732</v>
      </c>
      <c r="B7643" s="52" t="s">
        <v>37</v>
      </c>
      <c r="C7643" s="52" t="s">
        <v>35</v>
      </c>
      <c r="D7643" s="52" t="s">
        <v>267</v>
      </c>
      <c r="E7643" s="52" t="s">
        <v>587</v>
      </c>
      <c r="F7643" s="52" t="s">
        <v>26</v>
      </c>
      <c r="G7643" s="195" t="s">
        <v>279</v>
      </c>
      <c r="H7643" s="195">
        <v>5.6071609999999996</v>
      </c>
      <c r="I7643" s="195">
        <v>4.1449040000000004</v>
      </c>
      <c r="J7643" s="195">
        <v>3.669645</v>
      </c>
      <c r="K7643" s="195">
        <v>3.3754900000000001</v>
      </c>
      <c r="L7643" s="195">
        <v>3.3801260000000002</v>
      </c>
      <c r="M7643" s="195">
        <v>3.0146850000000001</v>
      </c>
      <c r="N7643" s="195">
        <v>2.7100390000000001</v>
      </c>
    </row>
    <row r="7644" spans="1:14" hidden="1" x14ac:dyDescent="0.35">
      <c r="A7644" s="52" t="s">
        <v>765</v>
      </c>
      <c r="B7644" s="52" t="s">
        <v>37</v>
      </c>
      <c r="C7644" s="52" t="s">
        <v>51</v>
      </c>
      <c r="D7644" s="52" t="s">
        <v>51</v>
      </c>
      <c r="E7644" s="52" t="s">
        <v>602</v>
      </c>
      <c r="F7644" s="52" t="s">
        <v>581</v>
      </c>
      <c r="G7644" s="195" t="s">
        <v>275</v>
      </c>
      <c r="H7644" s="195">
        <v>92.692599999999999</v>
      </c>
      <c r="I7644" s="195">
        <v>53.82367</v>
      </c>
      <c r="J7644" s="195">
        <v>66.705719999999999</v>
      </c>
      <c r="K7644" s="195">
        <v>66.713840000000005</v>
      </c>
      <c r="L7644" s="195">
        <v>44.498069999999998</v>
      </c>
      <c r="M7644" s="195">
        <v>23.485720000000001</v>
      </c>
      <c r="N7644" s="195">
        <v>17.984259999999999</v>
      </c>
    </row>
    <row r="7645" spans="1:14" hidden="1" x14ac:dyDescent="0.35">
      <c r="A7645" s="52" t="s">
        <v>765</v>
      </c>
      <c r="B7645" s="52" t="s">
        <v>37</v>
      </c>
      <c r="C7645" s="52" t="s">
        <v>51</v>
      </c>
      <c r="D7645" s="52" t="s">
        <v>51</v>
      </c>
      <c r="E7645" s="52" t="s">
        <v>602</v>
      </c>
      <c r="F7645" s="52" t="s">
        <v>581</v>
      </c>
      <c r="G7645" s="195" t="s">
        <v>276</v>
      </c>
      <c r="H7645" s="195">
        <v>34.268709999999999</v>
      </c>
      <c r="I7645" s="195">
        <v>-22.160080000000001</v>
      </c>
      <c r="J7645" s="195">
        <v>-29.905850000000001</v>
      </c>
      <c r="K7645" s="195">
        <v>-33.474850000000004</v>
      </c>
      <c r="L7645" s="195">
        <v>-22.77976</v>
      </c>
      <c r="M7645" s="195">
        <v>0.1669427</v>
      </c>
      <c r="N7645" s="195">
        <v>3.0623019999999999</v>
      </c>
    </row>
    <row r="7646" spans="1:14" hidden="1" x14ac:dyDescent="0.35">
      <c r="A7646" s="52" t="s">
        <v>765</v>
      </c>
      <c r="B7646" s="52" t="s">
        <v>37</v>
      </c>
      <c r="C7646" s="52" t="s">
        <v>51</v>
      </c>
      <c r="D7646" s="52" t="s">
        <v>51</v>
      </c>
      <c r="E7646" s="52" t="s">
        <v>602</v>
      </c>
      <c r="F7646" s="52" t="s">
        <v>581</v>
      </c>
      <c r="G7646" s="195" t="s">
        <v>277</v>
      </c>
      <c r="H7646" s="195">
        <v>282.68939999999998</v>
      </c>
      <c r="I7646" s="195">
        <v>37.713819999999998</v>
      </c>
      <c r="J7646" s="195">
        <v>6.1585369999999999</v>
      </c>
      <c r="K7646" s="195">
        <v>2.5843690000000001</v>
      </c>
      <c r="L7646" s="195">
        <v>2.5272429999999999</v>
      </c>
      <c r="M7646" s="195">
        <v>0</v>
      </c>
      <c r="N7646" s="195">
        <v>0</v>
      </c>
    </row>
    <row r="7647" spans="1:14" hidden="1" x14ac:dyDescent="0.35">
      <c r="A7647" s="52" t="s">
        <v>765</v>
      </c>
      <c r="B7647" s="52" t="s">
        <v>37</v>
      </c>
      <c r="C7647" s="52" t="s">
        <v>51</v>
      </c>
      <c r="D7647" s="52" t="s">
        <v>51</v>
      </c>
      <c r="E7647" s="52" t="s">
        <v>602</v>
      </c>
      <c r="F7647" s="52" t="s">
        <v>581</v>
      </c>
      <c r="G7647" s="195" t="s">
        <v>278</v>
      </c>
      <c r="H7647" s="195">
        <v>24.703130000000002</v>
      </c>
      <c r="I7647" s="195">
        <v>11.08719</v>
      </c>
      <c r="J7647" s="195">
        <v>6.5646409999999999</v>
      </c>
      <c r="K7647" s="195">
        <v>4.277215</v>
      </c>
      <c r="L7647" s="195">
        <v>1.770553</v>
      </c>
      <c r="M7647" s="195">
        <v>0</v>
      </c>
      <c r="N7647" s="195">
        <v>0</v>
      </c>
    </row>
    <row r="7648" spans="1:14" hidden="1" x14ac:dyDescent="0.35">
      <c r="A7648" s="52" t="s">
        <v>765</v>
      </c>
      <c r="B7648" s="52" t="s">
        <v>37</v>
      </c>
      <c r="C7648" s="52" t="s">
        <v>51</v>
      </c>
      <c r="D7648" s="52" t="s">
        <v>51</v>
      </c>
      <c r="E7648" s="52" t="s">
        <v>602</v>
      </c>
      <c r="F7648" s="52" t="s">
        <v>581</v>
      </c>
      <c r="G7648" s="195" t="s">
        <v>279</v>
      </c>
      <c r="H7648" s="195">
        <v>179.86199999999999</v>
      </c>
      <c r="I7648" s="195">
        <v>130.0189</v>
      </c>
      <c r="J7648" s="195">
        <v>101.8378</v>
      </c>
      <c r="K7648" s="195">
        <v>86.800960000000003</v>
      </c>
      <c r="L7648" s="195">
        <v>84.122020000000006</v>
      </c>
      <c r="M7648" s="195">
        <v>72.425809999999998</v>
      </c>
      <c r="N7648" s="195">
        <v>64.103740000000002</v>
      </c>
    </row>
    <row r="7649" spans="1:14" hidden="1" x14ac:dyDescent="0.35">
      <c r="A7649" s="52" t="s">
        <v>765</v>
      </c>
      <c r="B7649" s="52" t="s">
        <v>37</v>
      </c>
      <c r="C7649" s="52" t="s">
        <v>51</v>
      </c>
      <c r="D7649" s="52" t="s">
        <v>51</v>
      </c>
      <c r="E7649" s="52" t="s">
        <v>602</v>
      </c>
      <c r="F7649" s="52" t="s">
        <v>26</v>
      </c>
      <c r="G7649" s="195" t="s">
        <v>275</v>
      </c>
      <c r="H7649" s="195">
        <v>4.4300129999999998</v>
      </c>
      <c r="I7649" s="195">
        <v>1.208866</v>
      </c>
      <c r="J7649" s="195">
        <v>1.7757689999999999</v>
      </c>
      <c r="K7649" s="195">
        <v>1.1291169999999999</v>
      </c>
      <c r="L7649" s="195">
        <v>-0.2335914</v>
      </c>
      <c r="M7649" s="195">
        <v>-0.1063552</v>
      </c>
      <c r="N7649" s="195">
        <v>-8.2976980000000006E-2</v>
      </c>
    </row>
    <row r="7650" spans="1:14" hidden="1" x14ac:dyDescent="0.35">
      <c r="A7650" s="52" t="s">
        <v>765</v>
      </c>
      <c r="B7650" s="52" t="s">
        <v>37</v>
      </c>
      <c r="C7650" s="52" t="s">
        <v>51</v>
      </c>
      <c r="D7650" s="52" t="s">
        <v>51</v>
      </c>
      <c r="E7650" s="52" t="s">
        <v>602</v>
      </c>
      <c r="F7650" s="52" t="s">
        <v>26</v>
      </c>
      <c r="G7650" s="195" t="s">
        <v>276</v>
      </c>
      <c r="H7650" s="195">
        <v>1.1776139999999999</v>
      </c>
      <c r="I7650" s="195">
        <v>0.32134180000000001</v>
      </c>
      <c r="J7650" s="195">
        <v>0.47203859999999997</v>
      </c>
      <c r="K7650" s="195">
        <v>0.30014479999999999</v>
      </c>
      <c r="L7650" s="195">
        <v>-6.2089800000000001E-2</v>
      </c>
      <c r="M7650" s="195">
        <v>-2.827081E-2</v>
      </c>
      <c r="N7650" s="195">
        <v>-2.2058399999999999E-2</v>
      </c>
    </row>
    <row r="7651" spans="1:14" hidden="1" x14ac:dyDescent="0.35">
      <c r="A7651" s="52" t="s">
        <v>765</v>
      </c>
      <c r="B7651" s="52" t="s">
        <v>37</v>
      </c>
      <c r="C7651" s="52" t="s">
        <v>51</v>
      </c>
      <c r="D7651" s="52" t="s">
        <v>51</v>
      </c>
      <c r="E7651" s="52" t="s">
        <v>602</v>
      </c>
      <c r="F7651" s="52" t="s">
        <v>26</v>
      </c>
      <c r="G7651" s="195" t="s">
        <v>279</v>
      </c>
      <c r="H7651" s="195">
        <v>26.793030000000002</v>
      </c>
      <c r="I7651" s="195">
        <v>22.417629999999999</v>
      </c>
      <c r="J7651" s="195">
        <v>18.029669999999999</v>
      </c>
      <c r="K7651" s="195">
        <v>15.599220000000001</v>
      </c>
      <c r="L7651" s="195">
        <v>15.116059999999999</v>
      </c>
      <c r="M7651" s="195">
        <v>13.06926</v>
      </c>
      <c r="N7651" s="195">
        <v>11.578150000000001</v>
      </c>
    </row>
    <row r="7652" spans="1:14" hidden="1" x14ac:dyDescent="0.35">
      <c r="A7652" s="52" t="s">
        <v>765</v>
      </c>
      <c r="B7652" s="52" t="s">
        <v>37</v>
      </c>
      <c r="C7652" s="52" t="s">
        <v>318</v>
      </c>
      <c r="D7652" s="52" t="s">
        <v>318</v>
      </c>
      <c r="E7652" s="52" t="s">
        <v>584</v>
      </c>
      <c r="F7652" s="52" t="s">
        <v>581</v>
      </c>
      <c r="G7652" s="195" t="s">
        <v>275</v>
      </c>
      <c r="H7652" s="195">
        <v>14.8172</v>
      </c>
      <c r="I7652" s="195">
        <v>0</v>
      </c>
      <c r="J7652" s="195"/>
      <c r="K7652" s="195"/>
      <c r="L7652" s="195"/>
      <c r="M7652" s="195"/>
      <c r="N7652" s="195"/>
    </row>
    <row r="7653" spans="1:14" hidden="1" x14ac:dyDescent="0.35">
      <c r="A7653" s="52" t="s">
        <v>765</v>
      </c>
      <c r="B7653" s="52" t="s">
        <v>37</v>
      </c>
      <c r="C7653" s="52" t="s">
        <v>318</v>
      </c>
      <c r="D7653" s="52" t="s">
        <v>318</v>
      </c>
      <c r="E7653" s="52" t="s">
        <v>584</v>
      </c>
      <c r="F7653" s="52" t="s">
        <v>581</v>
      </c>
      <c r="G7653" s="195" t="s">
        <v>278</v>
      </c>
      <c r="H7653" s="195">
        <v>-14.8172</v>
      </c>
      <c r="I7653" s="195">
        <v>0</v>
      </c>
      <c r="J7653" s="195"/>
      <c r="K7653" s="195"/>
      <c r="L7653" s="195"/>
      <c r="M7653" s="195"/>
      <c r="N7653" s="195"/>
    </row>
    <row r="7654" spans="1:14" hidden="1" x14ac:dyDescent="0.35">
      <c r="A7654" s="52" t="s">
        <v>765</v>
      </c>
      <c r="B7654" s="52" t="s">
        <v>37</v>
      </c>
      <c r="C7654" s="52" t="s">
        <v>318</v>
      </c>
      <c r="D7654" s="52" t="s">
        <v>318</v>
      </c>
      <c r="E7654" s="52" t="s">
        <v>584</v>
      </c>
      <c r="F7654" s="52" t="s">
        <v>26</v>
      </c>
      <c r="G7654" s="195" t="s">
        <v>275</v>
      </c>
      <c r="H7654" s="195">
        <v>9.8781330000000001</v>
      </c>
      <c r="I7654" s="195">
        <v>0</v>
      </c>
      <c r="J7654" s="195"/>
      <c r="K7654" s="195"/>
      <c r="L7654" s="195"/>
      <c r="M7654" s="195"/>
      <c r="N7654" s="195"/>
    </row>
    <row r="7655" spans="1:14" hidden="1" x14ac:dyDescent="0.35">
      <c r="A7655" s="52" t="s">
        <v>765</v>
      </c>
      <c r="B7655" s="52" t="s">
        <v>37</v>
      </c>
      <c r="C7655" s="52" t="s">
        <v>318</v>
      </c>
      <c r="D7655" s="52" t="s">
        <v>318</v>
      </c>
      <c r="E7655" s="52" t="s">
        <v>584</v>
      </c>
      <c r="F7655" s="52" t="s">
        <v>26</v>
      </c>
      <c r="G7655" s="195" t="s">
        <v>278</v>
      </c>
      <c r="H7655" s="195">
        <v>-9.8781330000000001</v>
      </c>
      <c r="I7655" s="195">
        <v>0</v>
      </c>
      <c r="J7655" s="195"/>
      <c r="K7655" s="195"/>
      <c r="L7655" s="195"/>
      <c r="M7655" s="195"/>
      <c r="N7655" s="195"/>
    </row>
    <row r="7656" spans="1:14" hidden="1" x14ac:dyDescent="0.35">
      <c r="A7656" s="52" t="s">
        <v>726</v>
      </c>
      <c r="B7656" s="52" t="s">
        <v>34</v>
      </c>
      <c r="C7656" s="52" t="s">
        <v>33</v>
      </c>
      <c r="D7656" s="52" t="s">
        <v>33</v>
      </c>
      <c r="E7656" s="52" t="s">
        <v>675</v>
      </c>
      <c r="F7656" s="52" t="s">
        <v>581</v>
      </c>
      <c r="G7656" s="195" t="s">
        <v>275</v>
      </c>
      <c r="H7656" s="195">
        <v>33.115729999999999</v>
      </c>
      <c r="I7656" s="195">
        <v>7.4970829999999999</v>
      </c>
      <c r="J7656" s="195">
        <v>6.1377959999999998</v>
      </c>
      <c r="K7656" s="195">
        <v>6.0254219999999998</v>
      </c>
      <c r="L7656" s="195">
        <v>5.6246400000000003</v>
      </c>
      <c r="M7656" s="195">
        <v>5.8617090000000003</v>
      </c>
      <c r="N7656" s="195">
        <v>5.789212</v>
      </c>
    </row>
    <row r="7657" spans="1:14" hidden="1" x14ac:dyDescent="0.35">
      <c r="A7657" s="52" t="s">
        <v>726</v>
      </c>
      <c r="B7657" s="52" t="s">
        <v>34</v>
      </c>
      <c r="C7657" s="52" t="s">
        <v>33</v>
      </c>
      <c r="D7657" s="52" t="s">
        <v>33</v>
      </c>
      <c r="E7657" s="52" t="s">
        <v>675</v>
      </c>
      <c r="F7657" s="52" t="s">
        <v>581</v>
      </c>
      <c r="G7657" s="195" t="s">
        <v>276</v>
      </c>
      <c r="H7657" s="195">
        <v>11.939679999999999</v>
      </c>
      <c r="I7657" s="195">
        <v>2.499028</v>
      </c>
      <c r="J7657" s="195">
        <v>1.9382520000000001</v>
      </c>
      <c r="K7657" s="195">
        <v>1.799803</v>
      </c>
      <c r="L7657" s="195">
        <v>1.6800889999999999</v>
      </c>
      <c r="M7657" s="195">
        <v>1.750899</v>
      </c>
      <c r="N7657" s="195">
        <v>1.7292449999999999</v>
      </c>
    </row>
    <row r="7658" spans="1:14" hidden="1" x14ac:dyDescent="0.35">
      <c r="A7658" s="52" t="s">
        <v>726</v>
      </c>
      <c r="B7658" s="52" t="s">
        <v>34</v>
      </c>
      <c r="C7658" s="52" t="s">
        <v>33</v>
      </c>
      <c r="D7658" s="52" t="s">
        <v>33</v>
      </c>
      <c r="E7658" s="52" t="s">
        <v>675</v>
      </c>
      <c r="F7658" s="52" t="s">
        <v>581</v>
      </c>
      <c r="G7658" s="195" t="s">
        <v>279</v>
      </c>
      <c r="H7658" s="195">
        <v>4.5646639999999996</v>
      </c>
      <c r="I7658" s="195">
        <v>3.137197</v>
      </c>
      <c r="J7658" s="195">
        <v>2.9782099999999998</v>
      </c>
      <c r="K7658" s="195">
        <v>2.9436469999999999</v>
      </c>
      <c r="L7658" s="195">
        <v>3.1199840000000001</v>
      </c>
      <c r="M7658" s="195">
        <v>2.7202570000000001</v>
      </c>
      <c r="N7658" s="195">
        <v>2.6744780000000001</v>
      </c>
    </row>
    <row r="7659" spans="1:14" hidden="1" x14ac:dyDescent="0.35">
      <c r="A7659" s="52" t="s">
        <v>726</v>
      </c>
      <c r="B7659" s="52" t="s">
        <v>34</v>
      </c>
      <c r="C7659" s="52" t="s">
        <v>33</v>
      </c>
      <c r="D7659" s="52" t="s">
        <v>33</v>
      </c>
      <c r="E7659" s="52" t="s">
        <v>675</v>
      </c>
      <c r="F7659" s="52" t="s">
        <v>26</v>
      </c>
      <c r="G7659" s="195" t="s">
        <v>275</v>
      </c>
      <c r="H7659" s="195">
        <v>102.8935</v>
      </c>
      <c r="I7659" s="195">
        <v>85.266850000000005</v>
      </c>
      <c r="J7659" s="195">
        <v>53.119639999999997</v>
      </c>
      <c r="K7659" s="195">
        <v>41.544269999999997</v>
      </c>
      <c r="L7659" s="195">
        <v>30.643889999999999</v>
      </c>
      <c r="M7659" s="195">
        <v>35.313839999999999</v>
      </c>
      <c r="N7659" s="195">
        <v>31.530429999999999</v>
      </c>
    </row>
    <row r="7660" spans="1:14" hidden="1" x14ac:dyDescent="0.35">
      <c r="A7660" s="52" t="s">
        <v>726</v>
      </c>
      <c r="B7660" s="52" t="s">
        <v>34</v>
      </c>
      <c r="C7660" s="52" t="s">
        <v>33</v>
      </c>
      <c r="D7660" s="52" t="s">
        <v>33</v>
      </c>
      <c r="E7660" s="52" t="s">
        <v>675</v>
      </c>
      <c r="F7660" s="52" t="s">
        <v>26</v>
      </c>
      <c r="G7660" s="195" t="s">
        <v>276</v>
      </c>
      <c r="H7660" s="195">
        <v>-20.38477</v>
      </c>
      <c r="I7660" s="195">
        <v>-4.8323419999999997</v>
      </c>
      <c r="J7660" s="195">
        <v>12.50038</v>
      </c>
      <c r="K7660" s="195">
        <v>13.372920000000001</v>
      </c>
      <c r="L7660" s="195">
        <v>11.852130000000001</v>
      </c>
      <c r="M7660" s="195">
        <v>11.61544</v>
      </c>
      <c r="N7660" s="195">
        <v>10.162369999999999</v>
      </c>
    </row>
    <row r="7661" spans="1:14" hidden="1" x14ac:dyDescent="0.35">
      <c r="A7661" s="52" t="s">
        <v>726</v>
      </c>
      <c r="B7661" s="52" t="s">
        <v>34</v>
      </c>
      <c r="C7661" s="52" t="s">
        <v>33</v>
      </c>
      <c r="D7661" s="52" t="s">
        <v>33</v>
      </c>
      <c r="E7661" s="52" t="s">
        <v>675</v>
      </c>
      <c r="F7661" s="52" t="s">
        <v>26</v>
      </c>
      <c r="G7661" s="195" t="s">
        <v>277</v>
      </c>
      <c r="H7661" s="195">
        <v>21.09198</v>
      </c>
      <c r="I7661" s="195">
        <v>5.8786440000000004</v>
      </c>
      <c r="J7661" s="195">
        <v>6.4240029999999999</v>
      </c>
      <c r="K7661" s="195">
        <v>9.8560940000000006</v>
      </c>
      <c r="L7661" s="195">
        <v>13.06461</v>
      </c>
      <c r="M7661" s="195">
        <v>14.99586</v>
      </c>
      <c r="N7661" s="195">
        <v>19.430879999999998</v>
      </c>
    </row>
    <row r="7662" spans="1:14" hidden="1" x14ac:dyDescent="0.35">
      <c r="A7662" s="52" t="s">
        <v>726</v>
      </c>
      <c r="B7662" s="52" t="s">
        <v>34</v>
      </c>
      <c r="C7662" s="52" t="s">
        <v>33</v>
      </c>
      <c r="D7662" s="52" t="s">
        <v>33</v>
      </c>
      <c r="E7662" s="52" t="s">
        <v>675</v>
      </c>
      <c r="F7662" s="52" t="s">
        <v>26</v>
      </c>
      <c r="G7662" s="195" t="s">
        <v>278</v>
      </c>
      <c r="H7662" s="195">
        <v>2.8620199999999998</v>
      </c>
      <c r="I7662" s="195">
        <v>2.7380990000000001</v>
      </c>
      <c r="J7662" s="195">
        <v>3.6087920000000002</v>
      </c>
      <c r="K7662" s="195">
        <v>8.6463549999999998</v>
      </c>
      <c r="L7662" s="195">
        <v>11.36603</v>
      </c>
      <c r="M7662" s="195">
        <v>7.4229560000000001</v>
      </c>
      <c r="N7662" s="195">
        <v>5.6749939999999999</v>
      </c>
    </row>
    <row r="7663" spans="1:14" hidden="1" x14ac:dyDescent="0.35">
      <c r="A7663" s="52" t="s">
        <v>726</v>
      </c>
      <c r="B7663" s="52" t="s">
        <v>34</v>
      </c>
      <c r="C7663" s="52" t="s">
        <v>33</v>
      </c>
      <c r="D7663" s="52" t="s">
        <v>33</v>
      </c>
      <c r="E7663" s="52" t="s">
        <v>675</v>
      </c>
      <c r="F7663" s="52" t="s">
        <v>26</v>
      </c>
      <c r="G7663" s="195" t="s">
        <v>279</v>
      </c>
      <c r="H7663" s="195">
        <v>36.945079999999997</v>
      </c>
      <c r="I7663" s="195">
        <v>37.412550000000003</v>
      </c>
      <c r="J7663" s="195">
        <v>35.252859999999998</v>
      </c>
      <c r="K7663" s="195">
        <v>34.58755</v>
      </c>
      <c r="L7663" s="195">
        <v>37.130830000000003</v>
      </c>
      <c r="M7663" s="195">
        <v>31.922550000000001</v>
      </c>
      <c r="N7663" s="195">
        <v>30.933599999999998</v>
      </c>
    </row>
    <row r="7664" spans="1:14" hidden="1" x14ac:dyDescent="0.35">
      <c r="A7664" s="52" t="s">
        <v>726</v>
      </c>
      <c r="B7664" s="52" t="s">
        <v>34</v>
      </c>
      <c r="C7664" s="52" t="s">
        <v>33</v>
      </c>
      <c r="D7664" s="52" t="s">
        <v>33</v>
      </c>
      <c r="E7664" s="52" t="s">
        <v>677</v>
      </c>
      <c r="F7664" s="52" t="s">
        <v>581</v>
      </c>
      <c r="G7664" s="195" t="s">
        <v>275</v>
      </c>
      <c r="H7664" s="195">
        <v>29.328610000000001</v>
      </c>
      <c r="I7664" s="195">
        <v>13.31072</v>
      </c>
      <c r="J7664" s="195">
        <v>10.08211</v>
      </c>
      <c r="K7664" s="195">
        <v>8.4684310000000007</v>
      </c>
      <c r="L7664" s="195">
        <v>7.4570829999999999</v>
      </c>
      <c r="M7664" s="195">
        <v>6.8241759999999996</v>
      </c>
      <c r="N7664" s="195">
        <v>6.1864189999999999</v>
      </c>
    </row>
    <row r="7665" spans="1:14" hidden="1" x14ac:dyDescent="0.35">
      <c r="A7665" s="52" t="s">
        <v>726</v>
      </c>
      <c r="B7665" s="52" t="s">
        <v>34</v>
      </c>
      <c r="C7665" s="52" t="s">
        <v>33</v>
      </c>
      <c r="D7665" s="52" t="s">
        <v>33</v>
      </c>
      <c r="E7665" s="52" t="s">
        <v>677</v>
      </c>
      <c r="F7665" s="52" t="s">
        <v>581</v>
      </c>
      <c r="G7665" s="195" t="s">
        <v>276</v>
      </c>
      <c r="H7665" s="195">
        <v>10.078329999999999</v>
      </c>
      <c r="I7665" s="195">
        <v>3.9784090000000001</v>
      </c>
      <c r="J7665" s="195">
        <v>2.7494540000000001</v>
      </c>
      <c r="K7665" s="195">
        <v>2.5295299999999998</v>
      </c>
      <c r="L7665" s="195">
        <v>2.2274400000000001</v>
      </c>
      <c r="M7665" s="195">
        <v>2.0383900000000001</v>
      </c>
      <c r="N7665" s="195">
        <v>1.8478920000000001</v>
      </c>
    </row>
    <row r="7666" spans="1:14" hidden="1" x14ac:dyDescent="0.35">
      <c r="A7666" s="52" t="s">
        <v>726</v>
      </c>
      <c r="B7666" s="52" t="s">
        <v>34</v>
      </c>
      <c r="C7666" s="52" t="s">
        <v>33</v>
      </c>
      <c r="D7666" s="52" t="s">
        <v>33</v>
      </c>
      <c r="E7666" s="52" t="s">
        <v>677</v>
      </c>
      <c r="F7666" s="52" t="s">
        <v>581</v>
      </c>
      <c r="G7666" s="195" t="s">
        <v>277</v>
      </c>
      <c r="H7666" s="195">
        <v>0</v>
      </c>
      <c r="I7666" s="195"/>
      <c r="J7666" s="195"/>
      <c r="K7666" s="195"/>
      <c r="L7666" s="195"/>
      <c r="M7666" s="195">
        <v>0</v>
      </c>
      <c r="N7666" s="195">
        <v>0</v>
      </c>
    </row>
    <row r="7667" spans="1:14" hidden="1" x14ac:dyDescent="0.35">
      <c r="A7667" s="52" t="s">
        <v>726</v>
      </c>
      <c r="B7667" s="52" t="s">
        <v>34</v>
      </c>
      <c r="C7667" s="52" t="s">
        <v>33</v>
      </c>
      <c r="D7667" s="52" t="s">
        <v>33</v>
      </c>
      <c r="E7667" s="52" t="s">
        <v>677</v>
      </c>
      <c r="F7667" s="52" t="s">
        <v>581</v>
      </c>
      <c r="G7667" s="195" t="s">
        <v>279</v>
      </c>
      <c r="H7667" s="195">
        <v>4.117591</v>
      </c>
      <c r="I7667" s="195">
        <v>4.9113249999999997</v>
      </c>
      <c r="J7667" s="195">
        <v>4.2445069999999996</v>
      </c>
      <c r="K7667" s="195">
        <v>3.7001400000000002</v>
      </c>
      <c r="L7667" s="195">
        <v>3.6604220000000001</v>
      </c>
      <c r="M7667" s="195">
        <v>2.7639339999999999</v>
      </c>
      <c r="N7667" s="195">
        <v>2.4571730000000001</v>
      </c>
    </row>
    <row r="7668" spans="1:14" hidden="1" x14ac:dyDescent="0.35">
      <c r="A7668" s="52" t="s">
        <v>726</v>
      </c>
      <c r="B7668" s="52" t="s">
        <v>34</v>
      </c>
      <c r="C7668" s="52" t="s">
        <v>33</v>
      </c>
      <c r="D7668" s="52" t="s">
        <v>33</v>
      </c>
      <c r="E7668" s="52" t="s">
        <v>677</v>
      </c>
      <c r="F7668" s="52" t="s">
        <v>26</v>
      </c>
      <c r="G7668" s="195" t="s">
        <v>275</v>
      </c>
      <c r="H7668" s="195">
        <v>-91.301329999999993</v>
      </c>
      <c r="I7668" s="195">
        <v>-6.4533319999999996</v>
      </c>
      <c r="J7668" s="195">
        <v>18.991689999999998</v>
      </c>
      <c r="K7668" s="195">
        <v>14.073399999999999</v>
      </c>
      <c r="L7668" s="195">
        <v>7.6467660000000004</v>
      </c>
      <c r="M7668" s="195">
        <v>8.4501570000000008</v>
      </c>
      <c r="N7668" s="195">
        <v>6.5560080000000003</v>
      </c>
    </row>
    <row r="7669" spans="1:14" hidden="1" x14ac:dyDescent="0.35">
      <c r="A7669" s="52" t="s">
        <v>726</v>
      </c>
      <c r="B7669" s="52" t="s">
        <v>34</v>
      </c>
      <c r="C7669" s="52" t="s">
        <v>33</v>
      </c>
      <c r="D7669" s="52" t="s">
        <v>33</v>
      </c>
      <c r="E7669" s="52" t="s">
        <v>677</v>
      </c>
      <c r="F7669" s="52" t="s">
        <v>26</v>
      </c>
      <c r="G7669" s="195" t="s">
        <v>276</v>
      </c>
      <c r="H7669" s="195">
        <v>-9.1330919999999995</v>
      </c>
      <c r="I7669" s="195">
        <v>-11.4704</v>
      </c>
      <c r="J7669" s="195">
        <v>-13.015499999999999</v>
      </c>
      <c r="K7669" s="195">
        <v>-7.2919179999999999</v>
      </c>
      <c r="L7669" s="195">
        <v>-1.040416</v>
      </c>
      <c r="M7669" s="195">
        <v>0.98050789999999999</v>
      </c>
      <c r="N7669" s="195">
        <v>1.2154529999999999</v>
      </c>
    </row>
    <row r="7670" spans="1:14" hidden="1" x14ac:dyDescent="0.35">
      <c r="A7670" s="52" t="s">
        <v>726</v>
      </c>
      <c r="B7670" s="52" t="s">
        <v>34</v>
      </c>
      <c r="C7670" s="52" t="s">
        <v>33</v>
      </c>
      <c r="D7670" s="52" t="s">
        <v>33</v>
      </c>
      <c r="E7670" s="52" t="s">
        <v>677</v>
      </c>
      <c r="F7670" s="52" t="s">
        <v>26</v>
      </c>
      <c r="G7670" s="195" t="s">
        <v>277</v>
      </c>
      <c r="H7670" s="195">
        <v>105.7039</v>
      </c>
      <c r="I7670" s="195">
        <v>29.055479999999999</v>
      </c>
      <c r="J7670" s="195">
        <v>6.3506840000000002</v>
      </c>
      <c r="K7670" s="195">
        <v>4.8274439999999998</v>
      </c>
      <c r="L7670" s="195">
        <v>3.989182</v>
      </c>
      <c r="M7670" s="195">
        <v>2.9753639999999999</v>
      </c>
      <c r="N7670" s="195">
        <v>3.8560349999999999</v>
      </c>
    </row>
    <row r="7671" spans="1:14" hidden="1" x14ac:dyDescent="0.35">
      <c r="A7671" s="52" t="s">
        <v>726</v>
      </c>
      <c r="B7671" s="52" t="s">
        <v>34</v>
      </c>
      <c r="C7671" s="52" t="s">
        <v>33</v>
      </c>
      <c r="D7671" s="52" t="s">
        <v>33</v>
      </c>
      <c r="E7671" s="52" t="s">
        <v>677</v>
      </c>
      <c r="F7671" s="52" t="s">
        <v>26</v>
      </c>
      <c r="G7671" s="195" t="s">
        <v>278</v>
      </c>
      <c r="H7671" s="195">
        <v>21.323090000000001</v>
      </c>
      <c r="I7671" s="195">
        <v>15.076829999999999</v>
      </c>
      <c r="J7671" s="195">
        <v>7.9459270000000002</v>
      </c>
      <c r="K7671" s="195">
        <v>5.6772270000000002</v>
      </c>
      <c r="L7671" s="195">
        <v>4.148809</v>
      </c>
      <c r="M7671" s="195">
        <v>1.114282</v>
      </c>
      <c r="N7671" s="195">
        <v>0.40555819999999998</v>
      </c>
    </row>
    <row r="7672" spans="1:14" hidden="1" x14ac:dyDescent="0.35">
      <c r="A7672" s="52" t="s">
        <v>726</v>
      </c>
      <c r="B7672" s="52" t="s">
        <v>34</v>
      </c>
      <c r="C7672" s="52" t="s">
        <v>33</v>
      </c>
      <c r="D7672" s="52" t="s">
        <v>33</v>
      </c>
      <c r="E7672" s="52" t="s">
        <v>677</v>
      </c>
      <c r="F7672" s="52" t="s">
        <v>26</v>
      </c>
      <c r="G7672" s="195" t="s">
        <v>279</v>
      </c>
      <c r="H7672" s="195">
        <v>9.4290970000000005</v>
      </c>
      <c r="I7672" s="195">
        <v>11.07795</v>
      </c>
      <c r="J7672" s="195">
        <v>9.4888110000000001</v>
      </c>
      <c r="K7672" s="195">
        <v>8.1754099999999994</v>
      </c>
      <c r="L7672" s="195">
        <v>8.1692540000000005</v>
      </c>
      <c r="M7672" s="195">
        <v>6.1547479999999997</v>
      </c>
      <c r="N7672" s="195">
        <v>5.4716120000000004</v>
      </c>
    </row>
    <row r="7673" spans="1:14" hidden="1" x14ac:dyDescent="0.35">
      <c r="A7673" s="52" t="s">
        <v>726</v>
      </c>
      <c r="B7673" s="52" t="s">
        <v>34</v>
      </c>
      <c r="C7673" s="52" t="s">
        <v>33</v>
      </c>
      <c r="D7673" s="52" t="s">
        <v>33</v>
      </c>
      <c r="E7673" s="52" t="s">
        <v>584</v>
      </c>
      <c r="F7673" s="52" t="s">
        <v>581</v>
      </c>
      <c r="G7673" s="195" t="s">
        <v>275</v>
      </c>
      <c r="H7673" s="195">
        <v>10.74376</v>
      </c>
      <c r="I7673" s="195">
        <v>2.6163880000000002</v>
      </c>
      <c r="J7673" s="195">
        <v>1.982942</v>
      </c>
      <c r="K7673" s="195">
        <v>1.8606640000000001</v>
      </c>
      <c r="L7673" s="195">
        <v>1.6953149999999999</v>
      </c>
      <c r="M7673" s="195">
        <v>1.8376509999999999</v>
      </c>
      <c r="N7673" s="195">
        <v>1.771938</v>
      </c>
    </row>
    <row r="7674" spans="1:14" hidden="1" x14ac:dyDescent="0.35">
      <c r="A7674" s="52" t="s">
        <v>726</v>
      </c>
      <c r="B7674" s="52" t="s">
        <v>34</v>
      </c>
      <c r="C7674" s="52" t="s">
        <v>33</v>
      </c>
      <c r="D7674" s="52" t="s">
        <v>33</v>
      </c>
      <c r="E7674" s="52" t="s">
        <v>584</v>
      </c>
      <c r="F7674" s="52" t="s">
        <v>581</v>
      </c>
      <c r="G7674" s="195" t="s">
        <v>276</v>
      </c>
      <c r="H7674" s="195">
        <v>3.8735979999999999</v>
      </c>
      <c r="I7674" s="195">
        <v>0.87392320000000001</v>
      </c>
      <c r="J7674" s="195">
        <v>0.62736080000000005</v>
      </c>
      <c r="K7674" s="195">
        <v>0.55643600000000004</v>
      </c>
      <c r="L7674" s="195">
        <v>0.50654359999999998</v>
      </c>
      <c r="M7674" s="195">
        <v>0.54922360000000003</v>
      </c>
      <c r="N7674" s="195">
        <v>0.52954999999999997</v>
      </c>
    </row>
    <row r="7675" spans="1:14" hidden="1" x14ac:dyDescent="0.35">
      <c r="A7675" s="52" t="s">
        <v>726</v>
      </c>
      <c r="B7675" s="52" t="s">
        <v>34</v>
      </c>
      <c r="C7675" s="52" t="s">
        <v>33</v>
      </c>
      <c r="D7675" s="52" t="s">
        <v>33</v>
      </c>
      <c r="E7675" s="52" t="s">
        <v>584</v>
      </c>
      <c r="F7675" s="52" t="s">
        <v>581</v>
      </c>
      <c r="G7675" s="195" t="s">
        <v>277</v>
      </c>
      <c r="H7675" s="195">
        <v>0</v>
      </c>
      <c r="I7675" s="195">
        <v>7.1729999999999997E-3</v>
      </c>
      <c r="J7675" s="195">
        <v>7.3229999999999996E-3</v>
      </c>
      <c r="K7675" s="195">
        <v>7.7418000000000001E-3</v>
      </c>
      <c r="L7675" s="195">
        <v>8.0888000000000002E-3</v>
      </c>
      <c r="M7675" s="195">
        <v>9.1252E-3</v>
      </c>
      <c r="N7675" s="195">
        <v>9.5267990000000007E-3</v>
      </c>
    </row>
    <row r="7676" spans="1:14" hidden="1" x14ac:dyDescent="0.35">
      <c r="A7676" s="52" t="s">
        <v>726</v>
      </c>
      <c r="B7676" s="52" t="s">
        <v>34</v>
      </c>
      <c r="C7676" s="52" t="s">
        <v>33</v>
      </c>
      <c r="D7676" s="52" t="s">
        <v>33</v>
      </c>
      <c r="E7676" s="52" t="s">
        <v>584</v>
      </c>
      <c r="F7676" s="52" t="s">
        <v>581</v>
      </c>
      <c r="G7676" s="195" t="s">
        <v>279</v>
      </c>
      <c r="H7676" s="195">
        <v>2.932051</v>
      </c>
      <c r="I7676" s="195">
        <v>2.7137549999999999</v>
      </c>
      <c r="J7676" s="195">
        <v>2.5461480000000001</v>
      </c>
      <c r="K7676" s="195">
        <v>2.601232</v>
      </c>
      <c r="L7676" s="195">
        <v>2.6562220000000001</v>
      </c>
      <c r="M7676" s="195">
        <v>2.237171</v>
      </c>
      <c r="N7676" s="195">
        <v>2.133108</v>
      </c>
    </row>
    <row r="7677" spans="1:14" hidden="1" x14ac:dyDescent="0.35">
      <c r="A7677" s="52" t="s">
        <v>726</v>
      </c>
      <c r="B7677" s="52" t="s">
        <v>34</v>
      </c>
      <c r="C7677" s="52" t="s">
        <v>33</v>
      </c>
      <c r="D7677" s="52" t="s">
        <v>33</v>
      </c>
      <c r="E7677" s="52" t="s">
        <v>584</v>
      </c>
      <c r="F7677" s="52" t="s">
        <v>26</v>
      </c>
      <c r="G7677" s="195" t="s">
        <v>275</v>
      </c>
      <c r="H7677" s="195">
        <v>3.7137910000000001</v>
      </c>
      <c r="I7677" s="195">
        <v>1.7738149999999999</v>
      </c>
      <c r="J7677" s="195">
        <v>0.74988259999999995</v>
      </c>
      <c r="K7677" s="195">
        <v>0.23523040000000001</v>
      </c>
      <c r="L7677" s="195">
        <v>-0.29725200000000002</v>
      </c>
      <c r="M7677" s="195">
        <v>0.64152500000000001</v>
      </c>
      <c r="N7677" s="195">
        <v>0.61435450000000003</v>
      </c>
    </row>
    <row r="7678" spans="1:14" hidden="1" x14ac:dyDescent="0.35">
      <c r="A7678" s="52" t="s">
        <v>726</v>
      </c>
      <c r="B7678" s="52" t="s">
        <v>34</v>
      </c>
      <c r="C7678" s="52" t="s">
        <v>33</v>
      </c>
      <c r="D7678" s="52" t="s">
        <v>33</v>
      </c>
      <c r="E7678" s="52" t="s">
        <v>584</v>
      </c>
      <c r="F7678" s="52" t="s">
        <v>26</v>
      </c>
      <c r="G7678" s="195" t="s">
        <v>276</v>
      </c>
      <c r="H7678" s="195">
        <v>1.3796980000000001</v>
      </c>
      <c r="I7678" s="195">
        <v>0.64077340000000005</v>
      </c>
      <c r="J7678" s="195">
        <v>0.25984819999999997</v>
      </c>
      <c r="K7678" s="195">
        <v>8.1721589999999997E-2</v>
      </c>
      <c r="L7678" s="195">
        <v>-7.3564599999999994E-2</v>
      </c>
      <c r="M7678" s="195">
        <v>0.2169992</v>
      </c>
      <c r="N7678" s="195">
        <v>0.20031160000000001</v>
      </c>
    </row>
    <row r="7679" spans="1:14" hidden="1" x14ac:dyDescent="0.35">
      <c r="A7679" s="52" t="s">
        <v>726</v>
      </c>
      <c r="B7679" s="52" t="s">
        <v>34</v>
      </c>
      <c r="C7679" s="52" t="s">
        <v>33</v>
      </c>
      <c r="D7679" s="52" t="s">
        <v>33</v>
      </c>
      <c r="E7679" s="52" t="s">
        <v>584</v>
      </c>
      <c r="F7679" s="52" t="s">
        <v>26</v>
      </c>
      <c r="G7679" s="195" t="s">
        <v>277</v>
      </c>
      <c r="H7679" s="195">
        <v>0.24399899999999999</v>
      </c>
      <c r="I7679" s="195">
        <v>0.27933599999999997</v>
      </c>
      <c r="J7679" s="195">
        <v>0.27174300000000001</v>
      </c>
      <c r="K7679" s="195">
        <v>0.3161696</v>
      </c>
      <c r="L7679" s="195">
        <v>0.3570448</v>
      </c>
      <c r="M7679" s="195">
        <v>0.428257</v>
      </c>
      <c r="N7679" s="195">
        <v>0.44216359999999999</v>
      </c>
    </row>
    <row r="7680" spans="1:14" hidden="1" x14ac:dyDescent="0.35">
      <c r="A7680" s="52" t="s">
        <v>726</v>
      </c>
      <c r="B7680" s="52" t="s">
        <v>34</v>
      </c>
      <c r="C7680" s="52" t="s">
        <v>33</v>
      </c>
      <c r="D7680" s="52" t="s">
        <v>33</v>
      </c>
      <c r="E7680" s="52" t="s">
        <v>584</v>
      </c>
      <c r="F7680" s="52" t="s">
        <v>26</v>
      </c>
      <c r="G7680" s="195" t="s">
        <v>279</v>
      </c>
      <c r="H7680" s="195">
        <v>15.16367</v>
      </c>
      <c r="I7680" s="195">
        <v>13.75121</v>
      </c>
      <c r="J7680" s="195">
        <v>12.544689999999999</v>
      </c>
      <c r="K7680" s="195">
        <v>12.343909999999999</v>
      </c>
      <c r="L7680" s="195">
        <v>12.093680000000001</v>
      </c>
      <c r="M7680" s="195">
        <v>9.7830440000000003</v>
      </c>
      <c r="N7680" s="195">
        <v>8.9328479999999999</v>
      </c>
    </row>
    <row r="7681" spans="1:14" hidden="1" x14ac:dyDescent="0.35">
      <c r="A7681" s="52" t="s">
        <v>726</v>
      </c>
      <c r="B7681" s="52" t="s">
        <v>34</v>
      </c>
      <c r="C7681" s="52" t="s">
        <v>33</v>
      </c>
      <c r="D7681" s="52" t="s">
        <v>33</v>
      </c>
      <c r="E7681" s="52" t="s">
        <v>727</v>
      </c>
      <c r="F7681" s="52" t="s">
        <v>581</v>
      </c>
      <c r="G7681" s="195" t="s">
        <v>275</v>
      </c>
      <c r="H7681" s="195">
        <v>2.623513</v>
      </c>
      <c r="I7681" s="195">
        <v>0.48039300000000001</v>
      </c>
      <c r="J7681" s="195">
        <v>0.41765619999999998</v>
      </c>
      <c r="K7681" s="195">
        <v>0.384131</v>
      </c>
      <c r="L7681" s="195">
        <v>0.31721159999999998</v>
      </c>
      <c r="M7681" s="195">
        <v>0.302485</v>
      </c>
      <c r="N7681" s="195">
        <v>0.27491159999999998</v>
      </c>
    </row>
    <row r="7682" spans="1:14" hidden="1" x14ac:dyDescent="0.35">
      <c r="A7682" s="52" t="s">
        <v>726</v>
      </c>
      <c r="B7682" s="52" t="s">
        <v>34</v>
      </c>
      <c r="C7682" s="52" t="s">
        <v>33</v>
      </c>
      <c r="D7682" s="52" t="s">
        <v>33</v>
      </c>
      <c r="E7682" s="52" t="s">
        <v>727</v>
      </c>
      <c r="F7682" s="52" t="s">
        <v>581</v>
      </c>
      <c r="G7682" s="195" t="s">
        <v>276</v>
      </c>
      <c r="H7682" s="195">
        <v>0.94589199999999996</v>
      </c>
      <c r="I7682" s="195">
        <v>0.1601312</v>
      </c>
      <c r="J7682" s="195">
        <v>0.1318916</v>
      </c>
      <c r="K7682" s="195">
        <v>0.114741</v>
      </c>
      <c r="L7682" s="195">
        <v>9.4750799999999996E-2</v>
      </c>
      <c r="M7682" s="195">
        <v>9.0352600000000005E-2</v>
      </c>
      <c r="N7682" s="195">
        <v>8.2116800000000004E-2</v>
      </c>
    </row>
    <row r="7683" spans="1:14" hidden="1" x14ac:dyDescent="0.35">
      <c r="A7683" s="52" t="s">
        <v>726</v>
      </c>
      <c r="B7683" s="52" t="s">
        <v>34</v>
      </c>
      <c r="C7683" s="52" t="s">
        <v>33</v>
      </c>
      <c r="D7683" s="52" t="s">
        <v>33</v>
      </c>
      <c r="E7683" s="52" t="s">
        <v>727</v>
      </c>
      <c r="F7683" s="52" t="s">
        <v>581</v>
      </c>
      <c r="G7683" s="195" t="s">
        <v>279</v>
      </c>
      <c r="H7683" s="195">
        <v>0.390677</v>
      </c>
      <c r="I7683" s="195">
        <v>0.22935700000000001</v>
      </c>
      <c r="J7683" s="195">
        <v>0.232796</v>
      </c>
      <c r="K7683" s="195">
        <v>0.2160532</v>
      </c>
      <c r="L7683" s="195">
        <v>0.204538</v>
      </c>
      <c r="M7683" s="195">
        <v>0.16231780000000001</v>
      </c>
      <c r="N7683" s="195">
        <v>0.1472446</v>
      </c>
    </row>
    <row r="7684" spans="1:14" hidden="1" x14ac:dyDescent="0.35">
      <c r="A7684" s="52" t="s">
        <v>726</v>
      </c>
      <c r="B7684" s="52" t="s">
        <v>34</v>
      </c>
      <c r="C7684" s="52" t="s">
        <v>33</v>
      </c>
      <c r="D7684" s="52" t="s">
        <v>33</v>
      </c>
      <c r="E7684" s="52" t="s">
        <v>727</v>
      </c>
      <c r="F7684" s="52" t="s">
        <v>26</v>
      </c>
      <c r="G7684" s="195" t="s">
        <v>275</v>
      </c>
      <c r="H7684" s="195">
        <v>3.7830900000000001</v>
      </c>
      <c r="I7684" s="195">
        <v>3.6667990000000001</v>
      </c>
      <c r="J7684" s="195">
        <v>2.8349220000000002</v>
      </c>
      <c r="K7684" s="195">
        <v>3.2293820000000002</v>
      </c>
      <c r="L7684" s="195">
        <v>2.5402960000000001</v>
      </c>
      <c r="M7684" s="195">
        <v>2.4156330000000001</v>
      </c>
      <c r="N7684" s="195">
        <v>2.1226940000000001</v>
      </c>
    </row>
    <row r="7685" spans="1:14" hidden="1" x14ac:dyDescent="0.35">
      <c r="A7685" s="52" t="s">
        <v>726</v>
      </c>
      <c r="B7685" s="52" t="s">
        <v>34</v>
      </c>
      <c r="C7685" s="52" t="s">
        <v>33</v>
      </c>
      <c r="D7685" s="52" t="s">
        <v>33</v>
      </c>
      <c r="E7685" s="52" t="s">
        <v>727</v>
      </c>
      <c r="F7685" s="52" t="s">
        <v>26</v>
      </c>
      <c r="G7685" s="195" t="s">
        <v>276</v>
      </c>
      <c r="H7685" s="195">
        <v>0.204397</v>
      </c>
      <c r="I7685" s="195">
        <v>0.57034940000000001</v>
      </c>
      <c r="J7685" s="195">
        <v>0.56527499999999997</v>
      </c>
      <c r="K7685" s="195">
        <v>0.73306570000000004</v>
      </c>
      <c r="L7685" s="195">
        <v>0.63962160000000001</v>
      </c>
      <c r="M7685" s="195">
        <v>0.64872600000000002</v>
      </c>
      <c r="N7685" s="195">
        <v>0.63405140000000004</v>
      </c>
    </row>
    <row r="7686" spans="1:14" hidden="1" x14ac:dyDescent="0.35">
      <c r="A7686" s="52" t="s">
        <v>726</v>
      </c>
      <c r="B7686" s="52" t="s">
        <v>34</v>
      </c>
      <c r="C7686" s="52" t="s">
        <v>33</v>
      </c>
      <c r="D7686" s="52" t="s">
        <v>33</v>
      </c>
      <c r="E7686" s="52" t="s">
        <v>727</v>
      </c>
      <c r="F7686" s="52" t="s">
        <v>26</v>
      </c>
      <c r="G7686" s="195" t="s">
        <v>277</v>
      </c>
      <c r="H7686" s="195">
        <v>1.254335</v>
      </c>
      <c r="I7686" s="195">
        <v>0.60944620000000005</v>
      </c>
      <c r="J7686" s="195">
        <v>0.96590469999999995</v>
      </c>
      <c r="K7686" s="195">
        <v>0</v>
      </c>
      <c r="L7686" s="195"/>
      <c r="M7686" s="195">
        <v>0</v>
      </c>
      <c r="N7686" s="195">
        <v>0</v>
      </c>
    </row>
    <row r="7687" spans="1:14" hidden="1" x14ac:dyDescent="0.35">
      <c r="A7687" s="52" t="s">
        <v>726</v>
      </c>
      <c r="B7687" s="52" t="s">
        <v>34</v>
      </c>
      <c r="C7687" s="52" t="s">
        <v>33</v>
      </c>
      <c r="D7687" s="52" t="s">
        <v>33</v>
      </c>
      <c r="E7687" s="52" t="s">
        <v>727</v>
      </c>
      <c r="F7687" s="52" t="s">
        <v>26</v>
      </c>
      <c r="G7687" s="195" t="s">
        <v>278</v>
      </c>
      <c r="H7687" s="195">
        <v>0.25066500000000003</v>
      </c>
      <c r="I7687" s="195">
        <v>1.1121000000000001E-2</v>
      </c>
      <c r="J7687" s="195">
        <v>9.3380000000000008E-3</v>
      </c>
      <c r="K7687" s="195">
        <v>0</v>
      </c>
      <c r="L7687" s="195"/>
      <c r="M7687" s="195">
        <v>0</v>
      </c>
      <c r="N7687" s="195">
        <v>0</v>
      </c>
    </row>
    <row r="7688" spans="1:14" hidden="1" x14ac:dyDescent="0.35">
      <c r="A7688" s="52" t="s">
        <v>726</v>
      </c>
      <c r="B7688" s="52" t="s">
        <v>34</v>
      </c>
      <c r="C7688" s="52" t="s">
        <v>33</v>
      </c>
      <c r="D7688" s="52" t="s">
        <v>33</v>
      </c>
      <c r="E7688" s="52" t="s">
        <v>727</v>
      </c>
      <c r="F7688" s="52" t="s">
        <v>26</v>
      </c>
      <c r="G7688" s="195" t="s">
        <v>279</v>
      </c>
      <c r="H7688" s="195">
        <v>2.208771</v>
      </c>
      <c r="I7688" s="195">
        <v>2.3918819999999998</v>
      </c>
      <c r="J7688" s="195">
        <v>2.4042210000000002</v>
      </c>
      <c r="K7688" s="195">
        <v>2.2042320000000002</v>
      </c>
      <c r="L7688" s="195">
        <v>2.109248</v>
      </c>
      <c r="M7688" s="195">
        <v>1.669678</v>
      </c>
      <c r="N7688" s="195">
        <v>1.514575</v>
      </c>
    </row>
    <row r="7689" spans="1:14" hidden="1" x14ac:dyDescent="0.35">
      <c r="A7689" s="52" t="s">
        <v>726</v>
      </c>
      <c r="B7689" s="52" t="s">
        <v>34</v>
      </c>
      <c r="C7689" s="52" t="s">
        <v>33</v>
      </c>
      <c r="D7689" s="52" t="s">
        <v>33</v>
      </c>
      <c r="E7689" s="52" t="s">
        <v>605</v>
      </c>
      <c r="F7689" s="52" t="s">
        <v>581</v>
      </c>
      <c r="G7689" s="195" t="s">
        <v>275</v>
      </c>
      <c r="H7689" s="195"/>
      <c r="I7689" s="195">
        <v>0</v>
      </c>
      <c r="J7689" s="195">
        <v>1.43348E-2</v>
      </c>
      <c r="K7689" s="195">
        <v>3.3087999999999999E-2</v>
      </c>
      <c r="L7689" s="195">
        <v>4.5302799999999997E-2</v>
      </c>
      <c r="M7689" s="195">
        <v>4.2781600000000003E-2</v>
      </c>
      <c r="N7689" s="195">
        <v>3.6469000000000001E-2</v>
      </c>
    </row>
    <row r="7690" spans="1:14" hidden="1" x14ac:dyDescent="0.35">
      <c r="A7690" s="52" t="s">
        <v>726</v>
      </c>
      <c r="B7690" s="52" t="s">
        <v>34</v>
      </c>
      <c r="C7690" s="52" t="s">
        <v>33</v>
      </c>
      <c r="D7690" s="52" t="s">
        <v>33</v>
      </c>
      <c r="E7690" s="52" t="s">
        <v>605</v>
      </c>
      <c r="F7690" s="52" t="s">
        <v>581</v>
      </c>
      <c r="G7690" s="195" t="s">
        <v>276</v>
      </c>
      <c r="H7690" s="195"/>
      <c r="I7690" s="195">
        <v>0</v>
      </c>
      <c r="J7690" s="195">
        <v>4.5274E-3</v>
      </c>
      <c r="K7690" s="195">
        <v>9.8837999999999999E-3</v>
      </c>
      <c r="L7690" s="195">
        <v>1.3531E-2</v>
      </c>
      <c r="M7690" s="195">
        <v>1.2778400000000001E-2</v>
      </c>
      <c r="N7690" s="195">
        <v>1.0892000000000001E-2</v>
      </c>
    </row>
    <row r="7691" spans="1:14" hidden="1" x14ac:dyDescent="0.35">
      <c r="A7691" s="52" t="s">
        <v>726</v>
      </c>
      <c r="B7691" s="52" t="s">
        <v>34</v>
      </c>
      <c r="C7691" s="52" t="s">
        <v>33</v>
      </c>
      <c r="D7691" s="52" t="s">
        <v>33</v>
      </c>
      <c r="E7691" s="52" t="s">
        <v>605</v>
      </c>
      <c r="F7691" s="52" t="s">
        <v>581</v>
      </c>
      <c r="G7691" s="195" t="s">
        <v>279</v>
      </c>
      <c r="H7691" s="195"/>
      <c r="I7691" s="195">
        <v>0</v>
      </c>
      <c r="J7691" s="195">
        <v>5.4638000000000004E-3</v>
      </c>
      <c r="K7691" s="195">
        <v>1.2603400000000001E-2</v>
      </c>
      <c r="L7691" s="195">
        <v>1.9853200000000001E-2</v>
      </c>
      <c r="M7691" s="195">
        <v>1.5907999999999999E-2</v>
      </c>
      <c r="N7691" s="195">
        <v>1.35046E-2</v>
      </c>
    </row>
    <row r="7692" spans="1:14" hidden="1" x14ac:dyDescent="0.35">
      <c r="A7692" s="52" t="s">
        <v>726</v>
      </c>
      <c r="B7692" s="52" t="s">
        <v>34</v>
      </c>
      <c r="C7692" s="52" t="s">
        <v>33</v>
      </c>
      <c r="D7692" s="52" t="s">
        <v>33</v>
      </c>
      <c r="E7692" s="52" t="s">
        <v>605</v>
      </c>
      <c r="F7692" s="52" t="s">
        <v>26</v>
      </c>
      <c r="G7692" s="195" t="s">
        <v>275</v>
      </c>
      <c r="H7692" s="195"/>
      <c r="I7692" s="195">
        <v>0</v>
      </c>
      <c r="J7692" s="195">
        <v>-0.75430059999999999</v>
      </c>
      <c r="K7692" s="195">
        <v>-0.85327629999999999</v>
      </c>
      <c r="L7692" s="195">
        <v>-0.69471439999999995</v>
      </c>
      <c r="M7692" s="195">
        <v>0.20532539999999999</v>
      </c>
      <c r="N7692" s="195">
        <v>0.14974699999999999</v>
      </c>
    </row>
    <row r="7693" spans="1:14" hidden="1" x14ac:dyDescent="0.35">
      <c r="A7693" s="52" t="s">
        <v>726</v>
      </c>
      <c r="B7693" s="52" t="s">
        <v>34</v>
      </c>
      <c r="C7693" s="52" t="s">
        <v>33</v>
      </c>
      <c r="D7693" s="52" t="s">
        <v>33</v>
      </c>
      <c r="E7693" s="52" t="s">
        <v>605</v>
      </c>
      <c r="F7693" s="52" t="s">
        <v>26</v>
      </c>
      <c r="G7693" s="195" t="s">
        <v>276</v>
      </c>
      <c r="H7693" s="195"/>
      <c r="I7693" s="195">
        <v>0</v>
      </c>
      <c r="J7693" s="195">
        <v>-4.37086E-2</v>
      </c>
      <c r="K7693" s="195">
        <v>-9.3432989999999994E-2</v>
      </c>
      <c r="L7693" s="195">
        <v>-0.14410519999999999</v>
      </c>
      <c r="M7693" s="195">
        <v>-0.14057420000000001</v>
      </c>
      <c r="N7693" s="195">
        <v>-9.5852400000000004E-2</v>
      </c>
    </row>
    <row r="7694" spans="1:14" hidden="1" x14ac:dyDescent="0.35">
      <c r="A7694" s="52" t="s">
        <v>726</v>
      </c>
      <c r="B7694" s="52" t="s">
        <v>34</v>
      </c>
      <c r="C7694" s="52" t="s">
        <v>33</v>
      </c>
      <c r="D7694" s="52" t="s">
        <v>33</v>
      </c>
      <c r="E7694" s="52" t="s">
        <v>605</v>
      </c>
      <c r="F7694" s="52" t="s">
        <v>26</v>
      </c>
      <c r="G7694" s="195" t="s">
        <v>277</v>
      </c>
      <c r="H7694" s="195"/>
      <c r="I7694" s="195">
        <v>0</v>
      </c>
      <c r="J7694" s="195">
        <v>0.1991976</v>
      </c>
      <c r="K7694" s="195">
        <v>0.24235180000000001</v>
      </c>
      <c r="L7694" s="195">
        <v>0.22313259999999999</v>
      </c>
      <c r="M7694" s="195">
        <v>0</v>
      </c>
      <c r="N7694" s="195">
        <v>0</v>
      </c>
    </row>
    <row r="7695" spans="1:14" hidden="1" x14ac:dyDescent="0.35">
      <c r="A7695" s="52" t="s">
        <v>726</v>
      </c>
      <c r="B7695" s="52" t="s">
        <v>34</v>
      </c>
      <c r="C7695" s="52" t="s">
        <v>33</v>
      </c>
      <c r="D7695" s="52" t="s">
        <v>33</v>
      </c>
      <c r="E7695" s="52" t="s">
        <v>605</v>
      </c>
      <c r="F7695" s="52" t="s">
        <v>26</v>
      </c>
      <c r="G7695" s="195" t="s">
        <v>278</v>
      </c>
      <c r="H7695" s="195"/>
      <c r="I7695" s="195">
        <v>0</v>
      </c>
      <c r="J7695" s="195">
        <v>0.62199059999999995</v>
      </c>
      <c r="K7695" s="195">
        <v>0.75201519999999999</v>
      </c>
      <c r="L7695" s="195">
        <v>0.6650836</v>
      </c>
      <c r="M7695" s="195">
        <v>0</v>
      </c>
      <c r="N7695" s="195"/>
    </row>
    <row r="7696" spans="1:14" hidden="1" x14ac:dyDescent="0.35">
      <c r="A7696" s="52" t="s">
        <v>726</v>
      </c>
      <c r="B7696" s="52" t="s">
        <v>34</v>
      </c>
      <c r="C7696" s="52" t="s">
        <v>33</v>
      </c>
      <c r="D7696" s="52" t="s">
        <v>33</v>
      </c>
      <c r="E7696" s="52" t="s">
        <v>605</v>
      </c>
      <c r="F7696" s="52" t="s">
        <v>26</v>
      </c>
      <c r="G7696" s="195" t="s">
        <v>279</v>
      </c>
      <c r="H7696" s="195"/>
      <c r="I7696" s="195">
        <v>0</v>
      </c>
      <c r="J7696" s="195">
        <v>5.6690600000000001E-2</v>
      </c>
      <c r="K7696" s="195">
        <v>0.1334072</v>
      </c>
      <c r="L7696" s="195">
        <v>0.2064928</v>
      </c>
      <c r="M7696" s="195">
        <v>0.16610220000000001</v>
      </c>
      <c r="N7696" s="195">
        <v>0.14100960000000001</v>
      </c>
    </row>
    <row r="7697" spans="1:14" hidden="1" x14ac:dyDescent="0.35">
      <c r="A7697" s="52" t="s">
        <v>736</v>
      </c>
      <c r="B7697" s="52" t="s">
        <v>34</v>
      </c>
      <c r="C7697" s="52" t="s">
        <v>33</v>
      </c>
      <c r="D7697" s="52" t="s">
        <v>33</v>
      </c>
      <c r="E7697" s="52" t="s">
        <v>605</v>
      </c>
      <c r="F7697" s="52" t="s">
        <v>581</v>
      </c>
      <c r="G7697" s="195" t="s">
        <v>275</v>
      </c>
      <c r="H7697" s="195">
        <v>21.842279999999999</v>
      </c>
      <c r="I7697" s="195">
        <v>4.0544960000000003</v>
      </c>
      <c r="J7697" s="195">
        <v>2.5616479999999999</v>
      </c>
      <c r="K7697" s="195">
        <v>2.1743929999999998</v>
      </c>
      <c r="L7697" s="195">
        <v>1.5662799999999999</v>
      </c>
      <c r="M7697" s="195">
        <v>1.926677</v>
      </c>
      <c r="N7697" s="195">
        <v>1.70814</v>
      </c>
    </row>
    <row r="7698" spans="1:14" hidden="1" x14ac:dyDescent="0.35">
      <c r="A7698" s="52" t="s">
        <v>736</v>
      </c>
      <c r="B7698" s="52" t="s">
        <v>34</v>
      </c>
      <c r="C7698" s="52" t="s">
        <v>33</v>
      </c>
      <c r="D7698" s="52" t="s">
        <v>33</v>
      </c>
      <c r="E7698" s="52" t="s">
        <v>605</v>
      </c>
      <c r="F7698" s="52" t="s">
        <v>581</v>
      </c>
      <c r="G7698" s="195" t="s">
        <v>276</v>
      </c>
      <c r="H7698" s="195">
        <v>7.875108</v>
      </c>
      <c r="I7698" s="195">
        <v>1.3514969999999999</v>
      </c>
      <c r="J7698" s="195">
        <v>0.80894719999999998</v>
      </c>
      <c r="K7698" s="195">
        <v>0.64949480000000004</v>
      </c>
      <c r="L7698" s="195">
        <v>0.46784959999999998</v>
      </c>
      <c r="M7698" s="195">
        <v>0.57549839999999997</v>
      </c>
      <c r="N7698" s="195">
        <v>0.51022380000000001</v>
      </c>
    </row>
    <row r="7699" spans="1:14" hidden="1" x14ac:dyDescent="0.35">
      <c r="A7699" s="52" t="s">
        <v>736</v>
      </c>
      <c r="B7699" s="52" t="s">
        <v>34</v>
      </c>
      <c r="C7699" s="52" t="s">
        <v>33</v>
      </c>
      <c r="D7699" s="52" t="s">
        <v>33</v>
      </c>
      <c r="E7699" s="52" t="s">
        <v>605</v>
      </c>
      <c r="F7699" s="52" t="s">
        <v>581</v>
      </c>
      <c r="G7699" s="195" t="s">
        <v>279</v>
      </c>
      <c r="H7699" s="195">
        <v>9.5978300000000001</v>
      </c>
      <c r="I7699" s="195">
        <v>8.6327200000000008</v>
      </c>
      <c r="J7699" s="195">
        <v>7.5762689999999999</v>
      </c>
      <c r="K7699" s="195">
        <v>6.7171029999999998</v>
      </c>
      <c r="L7699" s="195">
        <v>6.5880359999999998</v>
      </c>
      <c r="M7699" s="195">
        <v>5.1355199999999996</v>
      </c>
      <c r="N7699" s="195">
        <v>4.5427499999999998</v>
      </c>
    </row>
    <row r="7700" spans="1:14" hidden="1" x14ac:dyDescent="0.35">
      <c r="A7700" s="52" t="s">
        <v>736</v>
      </c>
      <c r="B7700" s="52" t="s">
        <v>34</v>
      </c>
      <c r="C7700" s="52" t="s">
        <v>33</v>
      </c>
      <c r="D7700" s="52" t="s">
        <v>33</v>
      </c>
      <c r="E7700" s="52" t="s">
        <v>605</v>
      </c>
      <c r="F7700" s="52" t="s">
        <v>26</v>
      </c>
      <c r="G7700" s="195" t="s">
        <v>275</v>
      </c>
      <c r="H7700" s="195">
        <v>-51.698860000000003</v>
      </c>
      <c r="I7700" s="195">
        <v>-19.903369999999999</v>
      </c>
      <c r="J7700" s="195">
        <v>22.772929999999999</v>
      </c>
      <c r="K7700" s="195">
        <v>11.48221</v>
      </c>
      <c r="L7700" s="195">
        <v>0.24856049999999999</v>
      </c>
      <c r="M7700" s="195">
        <v>4.3751550000000003</v>
      </c>
      <c r="N7700" s="195">
        <v>3.6714989999999998</v>
      </c>
    </row>
    <row r="7701" spans="1:14" hidden="1" x14ac:dyDescent="0.35">
      <c r="A7701" s="52" t="s">
        <v>736</v>
      </c>
      <c r="B7701" s="52" t="s">
        <v>34</v>
      </c>
      <c r="C7701" s="52" t="s">
        <v>33</v>
      </c>
      <c r="D7701" s="52" t="s">
        <v>33</v>
      </c>
      <c r="E7701" s="52" t="s">
        <v>605</v>
      </c>
      <c r="F7701" s="52" t="s">
        <v>26</v>
      </c>
      <c r="G7701" s="195" t="s">
        <v>276</v>
      </c>
      <c r="H7701" s="195">
        <v>-25.61506</v>
      </c>
      <c r="I7701" s="195">
        <v>-27.198049999999999</v>
      </c>
      <c r="J7701" s="195">
        <v>-16.775040000000001</v>
      </c>
      <c r="K7701" s="195">
        <v>-9.9466950000000001</v>
      </c>
      <c r="L7701" s="195">
        <v>-5.1693480000000003</v>
      </c>
      <c r="M7701" s="195">
        <v>0.63765450000000001</v>
      </c>
      <c r="N7701" s="195">
        <v>0.69763900000000001</v>
      </c>
    </row>
    <row r="7702" spans="1:14" hidden="1" x14ac:dyDescent="0.35">
      <c r="A7702" s="52" t="s">
        <v>736</v>
      </c>
      <c r="B7702" s="52" t="s">
        <v>34</v>
      </c>
      <c r="C7702" s="52" t="s">
        <v>33</v>
      </c>
      <c r="D7702" s="52" t="s">
        <v>33</v>
      </c>
      <c r="E7702" s="52" t="s">
        <v>605</v>
      </c>
      <c r="F7702" s="52" t="s">
        <v>26</v>
      </c>
      <c r="G7702" s="195" t="s">
        <v>277</v>
      </c>
      <c r="H7702" s="195">
        <v>100.8342</v>
      </c>
      <c r="I7702" s="195">
        <v>58.923450000000003</v>
      </c>
      <c r="J7702" s="195">
        <v>1.0292460000000001</v>
      </c>
      <c r="K7702" s="195">
        <v>1.0763450000000001</v>
      </c>
      <c r="L7702" s="195">
        <v>0.4639392</v>
      </c>
      <c r="M7702" s="195">
        <v>0</v>
      </c>
      <c r="N7702" s="195">
        <v>0</v>
      </c>
    </row>
    <row r="7703" spans="1:14" hidden="1" x14ac:dyDescent="0.35">
      <c r="A7703" s="52" t="s">
        <v>736</v>
      </c>
      <c r="B7703" s="52" t="s">
        <v>34</v>
      </c>
      <c r="C7703" s="52" t="s">
        <v>33</v>
      </c>
      <c r="D7703" s="52" t="s">
        <v>33</v>
      </c>
      <c r="E7703" s="52" t="s">
        <v>605</v>
      </c>
      <c r="F7703" s="52" t="s">
        <v>26</v>
      </c>
      <c r="G7703" s="195" t="s">
        <v>278</v>
      </c>
      <c r="H7703" s="195">
        <v>16.045770000000001</v>
      </c>
      <c r="I7703" s="195">
        <v>9.9930640000000004</v>
      </c>
      <c r="J7703" s="195">
        <v>2.5886619999999998</v>
      </c>
      <c r="K7703" s="195">
        <v>2.3524579999999999</v>
      </c>
      <c r="L7703" s="195">
        <v>1.45096</v>
      </c>
      <c r="M7703" s="195">
        <v>0</v>
      </c>
      <c r="N7703" s="195">
        <v>0</v>
      </c>
    </row>
    <row r="7704" spans="1:14" hidden="1" x14ac:dyDescent="0.35">
      <c r="A7704" s="52" t="s">
        <v>736</v>
      </c>
      <c r="B7704" s="52" t="s">
        <v>34</v>
      </c>
      <c r="C7704" s="52" t="s">
        <v>33</v>
      </c>
      <c r="D7704" s="52" t="s">
        <v>33</v>
      </c>
      <c r="E7704" s="52" t="s">
        <v>605</v>
      </c>
      <c r="F7704" s="52" t="s">
        <v>26</v>
      </c>
      <c r="G7704" s="195" t="s">
        <v>279</v>
      </c>
      <c r="H7704" s="195">
        <v>98.643420000000006</v>
      </c>
      <c r="I7704" s="195">
        <v>98.360439999999997</v>
      </c>
      <c r="J7704" s="195">
        <v>87.899680000000004</v>
      </c>
      <c r="K7704" s="195">
        <v>79.699830000000006</v>
      </c>
      <c r="L7704" s="195">
        <v>79.111310000000003</v>
      </c>
      <c r="M7704" s="195">
        <v>62.247410000000002</v>
      </c>
      <c r="N7704" s="195">
        <v>55.138919999999999</v>
      </c>
    </row>
    <row r="7705" spans="1:14" hidden="1" x14ac:dyDescent="0.35">
      <c r="A7705" s="52" t="s">
        <v>736</v>
      </c>
      <c r="B7705" s="52" t="s">
        <v>34</v>
      </c>
      <c r="C7705" s="52" t="s">
        <v>33</v>
      </c>
      <c r="D7705" s="52" t="s">
        <v>33</v>
      </c>
      <c r="E7705" s="52" t="s">
        <v>604</v>
      </c>
      <c r="F7705" s="52" t="s">
        <v>581</v>
      </c>
      <c r="G7705" s="195" t="s">
        <v>275</v>
      </c>
      <c r="H7705" s="195">
        <v>25.312390000000001</v>
      </c>
      <c r="I7705" s="195">
        <v>12.83278</v>
      </c>
      <c r="J7705" s="195">
        <v>20.750820000000001</v>
      </c>
      <c r="K7705" s="195">
        <v>13.320270000000001</v>
      </c>
      <c r="L7705" s="195">
        <v>6.7219189999999998</v>
      </c>
      <c r="M7705" s="195">
        <v>6.3083080000000002</v>
      </c>
      <c r="N7705" s="195">
        <v>5.773352</v>
      </c>
    </row>
    <row r="7706" spans="1:14" hidden="1" x14ac:dyDescent="0.35">
      <c r="A7706" s="52" t="s">
        <v>736</v>
      </c>
      <c r="B7706" s="52" t="s">
        <v>34</v>
      </c>
      <c r="C7706" s="52" t="s">
        <v>33</v>
      </c>
      <c r="D7706" s="52" t="s">
        <v>33</v>
      </c>
      <c r="E7706" s="52" t="s">
        <v>604</v>
      </c>
      <c r="F7706" s="52" t="s">
        <v>581</v>
      </c>
      <c r="G7706" s="195" t="s">
        <v>276</v>
      </c>
      <c r="H7706" s="195">
        <v>10.05274</v>
      </c>
      <c r="I7706" s="195">
        <v>-12.78858</v>
      </c>
      <c r="J7706" s="195">
        <v>-8.9188890000000001</v>
      </c>
      <c r="K7706" s="195">
        <v>-3.3907970000000001</v>
      </c>
      <c r="L7706" s="195">
        <v>0.1442137</v>
      </c>
      <c r="M7706" s="195">
        <v>1.822641</v>
      </c>
      <c r="N7706" s="195">
        <v>1.7331190000000001</v>
      </c>
    </row>
    <row r="7707" spans="1:14" hidden="1" x14ac:dyDescent="0.35">
      <c r="A7707" s="52" t="s">
        <v>736</v>
      </c>
      <c r="B7707" s="52" t="s">
        <v>34</v>
      </c>
      <c r="C7707" s="52" t="s">
        <v>33</v>
      </c>
      <c r="D7707" s="52" t="s">
        <v>33</v>
      </c>
      <c r="E7707" s="52" t="s">
        <v>604</v>
      </c>
      <c r="F7707" s="52" t="s">
        <v>581</v>
      </c>
      <c r="G7707" s="195" t="s">
        <v>277</v>
      </c>
      <c r="H7707" s="195">
        <v>63.962569999999999</v>
      </c>
      <c r="I7707" s="195">
        <v>20.685749999999999</v>
      </c>
      <c r="J7707" s="195">
        <v>0.64748700000000003</v>
      </c>
      <c r="K7707" s="195">
        <v>0.38308399999999998</v>
      </c>
      <c r="L7707" s="195"/>
      <c r="M7707" s="195">
        <v>0.35377599999999998</v>
      </c>
      <c r="N7707" s="195">
        <v>0.71666560000000001</v>
      </c>
    </row>
    <row r="7708" spans="1:14" hidden="1" x14ac:dyDescent="0.35">
      <c r="A7708" s="52" t="s">
        <v>736</v>
      </c>
      <c r="B7708" s="52" t="s">
        <v>34</v>
      </c>
      <c r="C7708" s="52" t="s">
        <v>33</v>
      </c>
      <c r="D7708" s="52" t="s">
        <v>33</v>
      </c>
      <c r="E7708" s="52" t="s">
        <v>604</v>
      </c>
      <c r="F7708" s="52" t="s">
        <v>581</v>
      </c>
      <c r="G7708" s="195" t="s">
        <v>278</v>
      </c>
      <c r="H7708" s="195">
        <v>12.347429999999999</v>
      </c>
      <c r="I7708" s="195">
        <v>3.5365709999999999</v>
      </c>
      <c r="J7708" s="195">
        <v>1.7046570000000001</v>
      </c>
      <c r="K7708" s="195">
        <v>1.015646</v>
      </c>
      <c r="L7708" s="195"/>
      <c r="M7708" s="195">
        <v>0.95647190000000004</v>
      </c>
      <c r="N7708" s="195">
        <v>0.55996179999999995</v>
      </c>
    </row>
    <row r="7709" spans="1:14" hidden="1" x14ac:dyDescent="0.35">
      <c r="A7709" s="52" t="s">
        <v>736</v>
      </c>
      <c r="B7709" s="52" t="s">
        <v>34</v>
      </c>
      <c r="C7709" s="52" t="s">
        <v>33</v>
      </c>
      <c r="D7709" s="52" t="s">
        <v>33</v>
      </c>
      <c r="E7709" s="52" t="s">
        <v>604</v>
      </c>
      <c r="F7709" s="52" t="s">
        <v>581</v>
      </c>
      <c r="G7709" s="195" t="s">
        <v>279</v>
      </c>
      <c r="H7709" s="195">
        <v>34.293379999999999</v>
      </c>
      <c r="I7709" s="195">
        <v>35.088949999999997</v>
      </c>
      <c r="J7709" s="195">
        <v>27.99813</v>
      </c>
      <c r="K7709" s="195">
        <v>23.03783</v>
      </c>
      <c r="L7709" s="195">
        <v>21.731639999999999</v>
      </c>
      <c r="M7709" s="195">
        <v>17.112880000000001</v>
      </c>
      <c r="N7709" s="195">
        <v>15.600490000000001</v>
      </c>
    </row>
    <row r="7710" spans="1:14" hidden="1" x14ac:dyDescent="0.35">
      <c r="A7710" s="52" t="s">
        <v>736</v>
      </c>
      <c r="B7710" s="52" t="s">
        <v>34</v>
      </c>
      <c r="C7710" s="52" t="s">
        <v>33</v>
      </c>
      <c r="D7710" s="52" t="s">
        <v>33</v>
      </c>
      <c r="E7710" s="52" t="s">
        <v>604</v>
      </c>
      <c r="F7710" s="52" t="s">
        <v>26</v>
      </c>
      <c r="G7710" s="195" t="s">
        <v>275</v>
      </c>
      <c r="H7710" s="195">
        <v>4.902749</v>
      </c>
      <c r="I7710" s="195">
        <v>0.85027070000000005</v>
      </c>
      <c r="J7710" s="195">
        <v>-1.080244</v>
      </c>
      <c r="K7710" s="195">
        <v>-1.0840719999999999</v>
      </c>
      <c r="L7710" s="195">
        <v>-2.681155</v>
      </c>
      <c r="M7710" s="195">
        <v>-0.28836240000000002</v>
      </c>
      <c r="N7710" s="195">
        <v>-0.21975500000000001</v>
      </c>
    </row>
    <row r="7711" spans="1:14" hidden="1" x14ac:dyDescent="0.35">
      <c r="A7711" s="52" t="s">
        <v>736</v>
      </c>
      <c r="B7711" s="52" t="s">
        <v>34</v>
      </c>
      <c r="C7711" s="52" t="s">
        <v>33</v>
      </c>
      <c r="D7711" s="52" t="s">
        <v>33</v>
      </c>
      <c r="E7711" s="52" t="s">
        <v>604</v>
      </c>
      <c r="F7711" s="52" t="s">
        <v>26</v>
      </c>
      <c r="G7711" s="195" t="s">
        <v>276</v>
      </c>
      <c r="H7711" s="195">
        <v>1.7676609999999999</v>
      </c>
      <c r="I7711" s="195">
        <v>0.28342420000000002</v>
      </c>
      <c r="J7711" s="195">
        <v>-0.34112940000000003</v>
      </c>
      <c r="K7711" s="195">
        <v>-0.32381450000000001</v>
      </c>
      <c r="L7711" s="195">
        <v>-0.80086230000000003</v>
      </c>
      <c r="M7711" s="195">
        <v>-8.6133989999999994E-2</v>
      </c>
      <c r="N7711" s="195">
        <v>-6.5640000000000004E-2</v>
      </c>
    </row>
    <row r="7712" spans="1:14" hidden="1" x14ac:dyDescent="0.35">
      <c r="A7712" s="52" t="s">
        <v>736</v>
      </c>
      <c r="B7712" s="52" t="s">
        <v>34</v>
      </c>
      <c r="C7712" s="52" t="s">
        <v>33</v>
      </c>
      <c r="D7712" s="52" t="s">
        <v>33</v>
      </c>
      <c r="E7712" s="52" t="s">
        <v>604</v>
      </c>
      <c r="F7712" s="52" t="s">
        <v>26</v>
      </c>
      <c r="G7712" s="195" t="s">
        <v>279</v>
      </c>
      <c r="H7712" s="195">
        <v>40.943730000000002</v>
      </c>
      <c r="I7712" s="195">
        <v>41.173470000000002</v>
      </c>
      <c r="J7712" s="195">
        <v>32.804250000000003</v>
      </c>
      <c r="K7712" s="195">
        <v>26.94285</v>
      </c>
      <c r="L7712" s="195">
        <v>25.456219999999998</v>
      </c>
      <c r="M7712" s="195">
        <v>20.038399999999999</v>
      </c>
      <c r="N7712" s="195">
        <v>18.267379999999999</v>
      </c>
    </row>
    <row r="7713" spans="1:14" hidden="1" x14ac:dyDescent="0.35">
      <c r="A7713" s="52" t="s">
        <v>736</v>
      </c>
      <c r="B7713" s="52" t="s">
        <v>34</v>
      </c>
      <c r="C7713" s="52" t="s">
        <v>33</v>
      </c>
      <c r="D7713" s="52" t="s">
        <v>33</v>
      </c>
      <c r="E7713" s="52" t="s">
        <v>584</v>
      </c>
      <c r="F7713" s="52" t="s">
        <v>581</v>
      </c>
      <c r="G7713" s="195" t="s">
        <v>275</v>
      </c>
      <c r="H7713" s="195">
        <v>0.55039800000000005</v>
      </c>
      <c r="I7713" s="195">
        <v>0.49652580000000002</v>
      </c>
      <c r="J7713" s="195">
        <v>6.3289200000000004E-2</v>
      </c>
      <c r="K7713" s="195">
        <v>-17.053090000000001</v>
      </c>
      <c r="L7713" s="195">
        <v>4.05552E-2</v>
      </c>
      <c r="M7713" s="195">
        <v>4.5964600000000001E-2</v>
      </c>
      <c r="N7713" s="195">
        <v>4.46842E-2</v>
      </c>
    </row>
    <row r="7714" spans="1:14" hidden="1" x14ac:dyDescent="0.35">
      <c r="A7714" s="52" t="s">
        <v>736</v>
      </c>
      <c r="B7714" s="52" t="s">
        <v>34</v>
      </c>
      <c r="C7714" s="52" t="s">
        <v>33</v>
      </c>
      <c r="D7714" s="52" t="s">
        <v>33</v>
      </c>
      <c r="E7714" s="52" t="s">
        <v>584</v>
      </c>
      <c r="F7714" s="52" t="s">
        <v>581</v>
      </c>
      <c r="G7714" s="195" t="s">
        <v>276</v>
      </c>
      <c r="H7714" s="195">
        <v>-8.999103E-2</v>
      </c>
      <c r="I7714" s="195">
        <v>-0.38449220000000001</v>
      </c>
      <c r="J7714" s="195">
        <v>1.99854E-2</v>
      </c>
      <c r="K7714" s="195">
        <v>-5.0937809999999999</v>
      </c>
      <c r="L7714" s="195">
        <v>1.21146E-2</v>
      </c>
      <c r="M7714" s="195">
        <v>1.37302E-2</v>
      </c>
      <c r="N7714" s="195">
        <v>1.3346999999999999E-2</v>
      </c>
    </row>
    <row r="7715" spans="1:14" hidden="1" x14ac:dyDescent="0.35">
      <c r="A7715" s="52" t="s">
        <v>736</v>
      </c>
      <c r="B7715" s="52" t="s">
        <v>34</v>
      </c>
      <c r="C7715" s="52" t="s">
        <v>33</v>
      </c>
      <c r="D7715" s="52" t="s">
        <v>33</v>
      </c>
      <c r="E7715" s="52" t="s">
        <v>584</v>
      </c>
      <c r="F7715" s="52" t="s">
        <v>581</v>
      </c>
      <c r="G7715" s="195" t="s">
        <v>279</v>
      </c>
      <c r="H7715" s="195">
        <v>9.5105999999999996E-2</v>
      </c>
      <c r="I7715" s="195">
        <v>8.9763999999999997E-2</v>
      </c>
      <c r="J7715" s="195">
        <v>8.5505600000000001E-2</v>
      </c>
      <c r="K7715" s="195">
        <v>22.290120000000002</v>
      </c>
      <c r="L7715" s="195">
        <v>8.1763009999999997E-2</v>
      </c>
      <c r="M7715" s="195">
        <v>7.0047399999999996E-2</v>
      </c>
      <c r="N7715" s="195">
        <v>6.7714200000000002E-2</v>
      </c>
    </row>
    <row r="7716" spans="1:14" hidden="1" x14ac:dyDescent="0.35">
      <c r="A7716" s="52" t="s">
        <v>736</v>
      </c>
      <c r="B7716" s="52" t="s">
        <v>34</v>
      </c>
      <c r="C7716" s="52" t="s">
        <v>33</v>
      </c>
      <c r="D7716" s="52" t="s">
        <v>33</v>
      </c>
      <c r="E7716" s="52" t="s">
        <v>584</v>
      </c>
      <c r="F7716" s="52" t="s">
        <v>26</v>
      </c>
      <c r="G7716" s="195" t="s">
        <v>275</v>
      </c>
      <c r="H7716" s="195">
        <v>1.786449</v>
      </c>
      <c r="I7716" s="195">
        <v>-8.9366190000000003</v>
      </c>
      <c r="J7716" s="195">
        <v>-1.526413</v>
      </c>
      <c r="K7716" s="195">
        <v>-13.21383</v>
      </c>
      <c r="L7716" s="195">
        <v>-2.7203599999999999</v>
      </c>
      <c r="M7716" s="195">
        <v>-3.5303179999999998</v>
      </c>
      <c r="N7716" s="195">
        <v>-3.549776</v>
      </c>
    </row>
    <row r="7717" spans="1:14" hidden="1" x14ac:dyDescent="0.35">
      <c r="A7717" s="52" t="s">
        <v>736</v>
      </c>
      <c r="B7717" s="52" t="s">
        <v>34</v>
      </c>
      <c r="C7717" s="52" t="s">
        <v>33</v>
      </c>
      <c r="D7717" s="52" t="s">
        <v>33</v>
      </c>
      <c r="E7717" s="52" t="s">
        <v>584</v>
      </c>
      <c r="F7717" s="52" t="s">
        <v>26</v>
      </c>
      <c r="G7717" s="195" t="s">
        <v>276</v>
      </c>
      <c r="H7717" s="195">
        <v>-1.6633880000000001</v>
      </c>
      <c r="I7717" s="195">
        <v>-1.610576</v>
      </c>
      <c r="J7717" s="195">
        <v>-1.397699</v>
      </c>
      <c r="K7717" s="195">
        <v>-4.9099950000000003</v>
      </c>
      <c r="L7717" s="195">
        <v>-1.2565029999999999</v>
      </c>
      <c r="M7717" s="195">
        <v>-0.81943730000000004</v>
      </c>
      <c r="N7717" s="195">
        <v>-0.91005029999999998</v>
      </c>
    </row>
    <row r="7718" spans="1:14" hidden="1" x14ac:dyDescent="0.35">
      <c r="A7718" s="52" t="s">
        <v>736</v>
      </c>
      <c r="B7718" s="52" t="s">
        <v>34</v>
      </c>
      <c r="C7718" s="52" t="s">
        <v>33</v>
      </c>
      <c r="D7718" s="52" t="s">
        <v>33</v>
      </c>
      <c r="E7718" s="52" t="s">
        <v>584</v>
      </c>
      <c r="F7718" s="52" t="s">
        <v>26</v>
      </c>
      <c r="G7718" s="195" t="s">
        <v>277</v>
      </c>
      <c r="H7718" s="195">
        <v>0</v>
      </c>
      <c r="I7718" s="195">
        <v>10.346360000000001</v>
      </c>
      <c r="J7718" s="195">
        <v>2.5224530000000001</v>
      </c>
      <c r="K7718" s="195">
        <v>2.9308179999999999</v>
      </c>
      <c r="L7718" s="195">
        <v>3.284951</v>
      </c>
      <c r="M7718" s="195">
        <v>3.9620510000000002</v>
      </c>
      <c r="N7718" s="195">
        <v>4.0633869999999996</v>
      </c>
    </row>
    <row r="7719" spans="1:14" hidden="1" x14ac:dyDescent="0.35">
      <c r="A7719" s="52" t="s">
        <v>736</v>
      </c>
      <c r="B7719" s="52" t="s">
        <v>34</v>
      </c>
      <c r="C7719" s="52" t="s">
        <v>33</v>
      </c>
      <c r="D7719" s="52" t="s">
        <v>33</v>
      </c>
      <c r="E7719" s="52" t="s">
        <v>584</v>
      </c>
      <c r="F7719" s="52" t="s">
        <v>26</v>
      </c>
      <c r="G7719" s="195" t="s">
        <v>279</v>
      </c>
      <c r="H7719" s="195">
        <v>2.4967280000000001</v>
      </c>
      <c r="I7719" s="195">
        <v>2.499425</v>
      </c>
      <c r="J7719" s="195">
        <v>2.5088979999999999</v>
      </c>
      <c r="K7719" s="195">
        <v>17.276060000000001</v>
      </c>
      <c r="L7719" s="195">
        <v>2.830349</v>
      </c>
      <c r="M7719" s="195">
        <v>2.580972</v>
      </c>
      <c r="N7719" s="195">
        <v>2.6446519999999998</v>
      </c>
    </row>
    <row r="7720" spans="1:14" hidden="1" x14ac:dyDescent="0.35">
      <c r="A7720" s="52" t="s">
        <v>769</v>
      </c>
      <c r="B7720" s="52" t="s">
        <v>37</v>
      </c>
      <c r="C7720" s="52" t="s">
        <v>109</v>
      </c>
      <c r="D7720" s="52" t="s">
        <v>109</v>
      </c>
      <c r="E7720" s="52" t="s">
        <v>584</v>
      </c>
      <c r="F7720" s="52" t="s">
        <v>581</v>
      </c>
      <c r="G7720" s="195" t="s">
        <v>275</v>
      </c>
      <c r="H7720" s="195">
        <v>84.079520000000002</v>
      </c>
      <c r="I7720" s="195">
        <v>-29.114170000000001</v>
      </c>
      <c r="J7720" s="195">
        <v>-26.072700000000001</v>
      </c>
      <c r="K7720" s="195">
        <v>-61.695749999999997</v>
      </c>
      <c r="L7720" s="195">
        <v>-46.937469999999998</v>
      </c>
      <c r="M7720" s="195">
        <v>-11.512119999999999</v>
      </c>
      <c r="N7720" s="195">
        <v>-9.7741439999999997</v>
      </c>
    </row>
    <row r="7721" spans="1:14" hidden="1" x14ac:dyDescent="0.35">
      <c r="A7721" s="52" t="s">
        <v>769</v>
      </c>
      <c r="B7721" s="52" t="s">
        <v>37</v>
      </c>
      <c r="C7721" s="52" t="s">
        <v>109</v>
      </c>
      <c r="D7721" s="52" t="s">
        <v>109</v>
      </c>
      <c r="E7721" s="52" t="s">
        <v>584</v>
      </c>
      <c r="F7721" s="52" t="s">
        <v>581</v>
      </c>
      <c r="G7721" s="195" t="s">
        <v>276</v>
      </c>
      <c r="H7721" s="195">
        <v>21.590579999999999</v>
      </c>
      <c r="I7721" s="195">
        <v>-14.984019999999999</v>
      </c>
      <c r="J7721" s="195">
        <v>-79.593149999999994</v>
      </c>
      <c r="K7721" s="195">
        <v>-61.902529999999999</v>
      </c>
      <c r="L7721" s="195">
        <v>-94.546329999999998</v>
      </c>
      <c r="M7721" s="195">
        <v>-173.1206</v>
      </c>
      <c r="N7721" s="195">
        <v>-13.02229</v>
      </c>
    </row>
    <row r="7722" spans="1:14" hidden="1" x14ac:dyDescent="0.35">
      <c r="A7722" s="52" t="s">
        <v>769</v>
      </c>
      <c r="B7722" s="52" t="s">
        <v>37</v>
      </c>
      <c r="C7722" s="52" t="s">
        <v>109</v>
      </c>
      <c r="D7722" s="52" t="s">
        <v>109</v>
      </c>
      <c r="E7722" s="52" t="s">
        <v>584</v>
      </c>
      <c r="F7722" s="52" t="s">
        <v>581</v>
      </c>
      <c r="G7722" s="195" t="s">
        <v>277</v>
      </c>
      <c r="H7722" s="195">
        <v>30.214659999999999</v>
      </c>
      <c r="I7722" s="195">
        <v>13.33783</v>
      </c>
      <c r="J7722" s="195">
        <v>6.8392030000000004</v>
      </c>
      <c r="K7722" s="195">
        <v>4.27752</v>
      </c>
      <c r="L7722" s="195">
        <v>4.4263729999999999</v>
      </c>
      <c r="M7722" s="195">
        <v>4.4624740000000003</v>
      </c>
      <c r="N7722" s="195">
        <v>4.6177429999999999</v>
      </c>
    </row>
    <row r="7723" spans="1:14" hidden="1" x14ac:dyDescent="0.35">
      <c r="A7723" s="52" t="s">
        <v>769</v>
      </c>
      <c r="B7723" s="52" t="s">
        <v>37</v>
      </c>
      <c r="C7723" s="52" t="s">
        <v>109</v>
      </c>
      <c r="D7723" s="52" t="s">
        <v>109</v>
      </c>
      <c r="E7723" s="52" t="s">
        <v>584</v>
      </c>
      <c r="F7723" s="52" t="s">
        <v>581</v>
      </c>
      <c r="G7723" s="195" t="s">
        <v>278</v>
      </c>
      <c r="H7723" s="195">
        <v>2.1308220000000002</v>
      </c>
      <c r="I7723" s="195">
        <v>5.1687810000000001</v>
      </c>
      <c r="J7723" s="195">
        <v>58.723219999999998</v>
      </c>
      <c r="K7723" s="195">
        <v>40.932690000000001</v>
      </c>
      <c r="L7723" s="195">
        <v>77.36524</v>
      </c>
      <c r="M7723" s="195">
        <v>166.9742</v>
      </c>
      <c r="N7723" s="195">
        <v>7.8591749999999996</v>
      </c>
    </row>
    <row r="7724" spans="1:14" hidden="1" x14ac:dyDescent="0.35">
      <c r="A7724" s="52" t="s">
        <v>769</v>
      </c>
      <c r="B7724" s="52" t="s">
        <v>37</v>
      </c>
      <c r="C7724" s="52" t="s">
        <v>109</v>
      </c>
      <c r="D7724" s="52" t="s">
        <v>109</v>
      </c>
      <c r="E7724" s="52" t="s">
        <v>584</v>
      </c>
      <c r="F7724" s="52" t="s">
        <v>581</v>
      </c>
      <c r="G7724" s="195" t="s">
        <v>279</v>
      </c>
      <c r="H7724" s="195">
        <v>140.6096</v>
      </c>
      <c r="I7724" s="195">
        <v>109.7449</v>
      </c>
      <c r="J7724" s="195">
        <v>95.836650000000006</v>
      </c>
      <c r="K7724" s="195">
        <v>121.2658</v>
      </c>
      <c r="L7724" s="195">
        <v>93.698809999999995</v>
      </c>
      <c r="M7724" s="195">
        <v>22.481269999999999</v>
      </c>
      <c r="N7724" s="195">
        <v>16.06317</v>
      </c>
    </row>
    <row r="7725" spans="1:14" hidden="1" x14ac:dyDescent="0.35">
      <c r="A7725" s="52" t="s">
        <v>769</v>
      </c>
      <c r="B7725" s="52" t="s">
        <v>37</v>
      </c>
      <c r="C7725" s="52" t="s">
        <v>109</v>
      </c>
      <c r="D7725" s="52" t="s">
        <v>109</v>
      </c>
      <c r="E7725" s="52" t="s">
        <v>584</v>
      </c>
      <c r="F7725" s="52" t="s">
        <v>26</v>
      </c>
      <c r="G7725" s="195" t="s">
        <v>275</v>
      </c>
      <c r="H7725" s="195">
        <v>-68.064059999999998</v>
      </c>
      <c r="I7725" s="195">
        <v>-31.874849999999999</v>
      </c>
      <c r="J7725" s="195">
        <v>-24.634599999999999</v>
      </c>
      <c r="K7725" s="195">
        <v>-27.968330000000002</v>
      </c>
      <c r="L7725" s="195">
        <v>-23.44999</v>
      </c>
      <c r="M7725" s="195">
        <v>-14.863060000000001</v>
      </c>
      <c r="N7725" s="195">
        <v>-6.8976220000000001</v>
      </c>
    </row>
    <row r="7726" spans="1:14" hidden="1" x14ac:dyDescent="0.35">
      <c r="A7726" s="52" t="s">
        <v>769</v>
      </c>
      <c r="B7726" s="52" t="s">
        <v>37</v>
      </c>
      <c r="C7726" s="52" t="s">
        <v>109</v>
      </c>
      <c r="D7726" s="52" t="s">
        <v>109</v>
      </c>
      <c r="E7726" s="52" t="s">
        <v>584</v>
      </c>
      <c r="F7726" s="52" t="s">
        <v>26</v>
      </c>
      <c r="G7726" s="195" t="s">
        <v>276</v>
      </c>
      <c r="H7726" s="195">
        <v>-18.940239999999999</v>
      </c>
      <c r="I7726" s="195">
        <v>-12.559839999999999</v>
      </c>
      <c r="J7726" s="195">
        <v>-9.2745960000000007</v>
      </c>
      <c r="K7726" s="195">
        <v>-10.821099999999999</v>
      </c>
      <c r="L7726" s="195">
        <v>-9.3183109999999996</v>
      </c>
      <c r="M7726" s="195">
        <v>-5.2481960000000001</v>
      </c>
      <c r="N7726" s="195">
        <v>-2.5079549999999999</v>
      </c>
    </row>
    <row r="7727" spans="1:14" hidden="1" x14ac:dyDescent="0.35">
      <c r="A7727" s="52" t="s">
        <v>769</v>
      </c>
      <c r="B7727" s="52" t="s">
        <v>37</v>
      </c>
      <c r="C7727" s="52" t="s">
        <v>109</v>
      </c>
      <c r="D7727" s="52" t="s">
        <v>109</v>
      </c>
      <c r="E7727" s="52" t="s">
        <v>584</v>
      </c>
      <c r="F7727" s="52" t="s">
        <v>26</v>
      </c>
      <c r="G7727" s="195" t="s">
        <v>277</v>
      </c>
      <c r="H7727" s="195">
        <v>25.59918</v>
      </c>
      <c r="I7727" s="195">
        <v>10.094810000000001</v>
      </c>
      <c r="J7727" s="195">
        <v>5.8403150000000004</v>
      </c>
      <c r="K7727" s="195">
        <v>3.196485</v>
      </c>
      <c r="L7727" s="195">
        <v>1.2015899999999999</v>
      </c>
      <c r="M7727" s="195">
        <v>0.55140889999999998</v>
      </c>
      <c r="N7727" s="195">
        <v>0.50541599999999998</v>
      </c>
    </row>
    <row r="7728" spans="1:14" hidden="1" x14ac:dyDescent="0.35">
      <c r="A7728" s="52" t="s">
        <v>769</v>
      </c>
      <c r="B7728" s="52" t="s">
        <v>37</v>
      </c>
      <c r="C7728" s="52" t="s">
        <v>109</v>
      </c>
      <c r="D7728" s="52" t="s">
        <v>109</v>
      </c>
      <c r="E7728" s="52" t="s">
        <v>584</v>
      </c>
      <c r="F7728" s="52" t="s">
        <v>26</v>
      </c>
      <c r="G7728" s="195" t="s">
        <v>279</v>
      </c>
      <c r="H7728" s="195">
        <v>143.65700000000001</v>
      </c>
      <c r="I7728" s="195">
        <v>88.034130000000005</v>
      </c>
      <c r="J7728" s="195">
        <v>75.498080000000002</v>
      </c>
      <c r="K7728" s="195">
        <v>79.856319999999997</v>
      </c>
      <c r="L7728" s="195">
        <v>69.163560000000004</v>
      </c>
      <c r="M7728" s="195">
        <v>35.585430000000002</v>
      </c>
      <c r="N7728" s="195">
        <v>17.428159999999998</v>
      </c>
    </row>
    <row r="7729" spans="1:14" hidden="1" x14ac:dyDescent="0.35">
      <c r="A7729" s="52" t="s">
        <v>769</v>
      </c>
      <c r="B7729" s="52" t="s">
        <v>37</v>
      </c>
      <c r="C7729" s="52" t="s">
        <v>61</v>
      </c>
      <c r="D7729" s="52" t="s">
        <v>62</v>
      </c>
      <c r="E7729" s="52" t="s">
        <v>584</v>
      </c>
      <c r="F7729" s="52" t="s">
        <v>581</v>
      </c>
      <c r="G7729" s="195" t="s">
        <v>275</v>
      </c>
      <c r="H7729" s="195">
        <v>-141.6404</v>
      </c>
      <c r="I7729" s="195">
        <v>-6.7720050000000001</v>
      </c>
      <c r="J7729" s="195">
        <v>-3.6518280000000001</v>
      </c>
      <c r="K7729" s="195">
        <v>-19.138159999999999</v>
      </c>
      <c r="L7729" s="195">
        <v>-15.599539999999999</v>
      </c>
      <c r="M7729" s="195">
        <v>-21.389679999999998</v>
      </c>
      <c r="N7729" s="195">
        <v>-81.178790000000006</v>
      </c>
    </row>
    <row r="7730" spans="1:14" hidden="1" x14ac:dyDescent="0.35">
      <c r="A7730" s="52" t="s">
        <v>769</v>
      </c>
      <c r="B7730" s="52" t="s">
        <v>37</v>
      </c>
      <c r="C7730" s="52" t="s">
        <v>61</v>
      </c>
      <c r="D7730" s="52" t="s">
        <v>62</v>
      </c>
      <c r="E7730" s="52" t="s">
        <v>584</v>
      </c>
      <c r="F7730" s="52" t="s">
        <v>581</v>
      </c>
      <c r="G7730" s="195" t="s">
        <v>276</v>
      </c>
      <c r="H7730" s="195">
        <v>-26.48047</v>
      </c>
      <c r="I7730" s="195">
        <v>-15.39043</v>
      </c>
      <c r="J7730" s="195">
        <v>-47.670879999999997</v>
      </c>
      <c r="K7730" s="195">
        <v>-38.037750000000003</v>
      </c>
      <c r="L7730" s="195">
        <v>-30.61788</v>
      </c>
      <c r="M7730" s="195">
        <v>-37.422499999999999</v>
      </c>
      <c r="N7730" s="195">
        <v>-22.911960000000001</v>
      </c>
    </row>
    <row r="7731" spans="1:14" hidden="1" x14ac:dyDescent="0.35">
      <c r="A7731" s="52" t="s">
        <v>769</v>
      </c>
      <c r="B7731" s="52" t="s">
        <v>37</v>
      </c>
      <c r="C7731" s="52" t="s">
        <v>61</v>
      </c>
      <c r="D7731" s="52" t="s">
        <v>62</v>
      </c>
      <c r="E7731" s="52" t="s">
        <v>584</v>
      </c>
      <c r="F7731" s="52" t="s">
        <v>581</v>
      </c>
      <c r="G7731" s="195" t="s">
        <v>277</v>
      </c>
      <c r="H7731" s="195">
        <v>58.926349999999999</v>
      </c>
      <c r="I7731" s="195">
        <v>17.43967</v>
      </c>
      <c r="J7731" s="195">
        <v>6.537496</v>
      </c>
      <c r="K7731" s="195">
        <v>4.6155299999999997</v>
      </c>
      <c r="L7731" s="195">
        <v>2.9643600000000001</v>
      </c>
      <c r="M7731" s="195">
        <v>2.0835699999999999</v>
      </c>
      <c r="N7731" s="195">
        <v>1.4473689999999999</v>
      </c>
    </row>
    <row r="7732" spans="1:14" hidden="1" x14ac:dyDescent="0.35">
      <c r="A7732" s="52" t="s">
        <v>769</v>
      </c>
      <c r="B7732" s="52" t="s">
        <v>37</v>
      </c>
      <c r="C7732" s="52" t="s">
        <v>61</v>
      </c>
      <c r="D7732" s="52" t="s">
        <v>62</v>
      </c>
      <c r="E7732" s="52" t="s">
        <v>584</v>
      </c>
      <c r="F7732" s="52" t="s">
        <v>581</v>
      </c>
      <c r="G7732" s="195" t="s">
        <v>278</v>
      </c>
      <c r="H7732" s="195">
        <v>171.4794</v>
      </c>
      <c r="I7732" s="195">
        <v>0.60712659999999996</v>
      </c>
      <c r="J7732" s="195">
        <v>34.24926</v>
      </c>
      <c r="K7732" s="195">
        <v>24.891960000000001</v>
      </c>
      <c r="L7732" s="195">
        <v>0.53156499999999995</v>
      </c>
      <c r="M7732" s="195">
        <v>29.350829999999998</v>
      </c>
      <c r="N7732" s="195">
        <v>0.53156499999999995</v>
      </c>
    </row>
    <row r="7733" spans="1:14" hidden="1" x14ac:dyDescent="0.35">
      <c r="A7733" s="52" t="s">
        <v>769</v>
      </c>
      <c r="B7733" s="52" t="s">
        <v>37</v>
      </c>
      <c r="C7733" s="52" t="s">
        <v>61</v>
      </c>
      <c r="D7733" s="52" t="s">
        <v>62</v>
      </c>
      <c r="E7733" s="52" t="s">
        <v>584</v>
      </c>
      <c r="F7733" s="52" t="s">
        <v>581</v>
      </c>
      <c r="G7733" s="195" t="s">
        <v>279</v>
      </c>
      <c r="H7733" s="195">
        <v>101.247</v>
      </c>
      <c r="I7733" s="195">
        <v>74.446920000000006</v>
      </c>
      <c r="J7733" s="195">
        <v>67.150440000000003</v>
      </c>
      <c r="K7733" s="195">
        <v>76.840289999999996</v>
      </c>
      <c r="L7733" s="195">
        <v>78.06711</v>
      </c>
      <c r="M7733" s="195">
        <v>48.984520000000003</v>
      </c>
      <c r="N7733" s="195">
        <v>114.2809</v>
      </c>
    </row>
    <row r="7734" spans="1:14" hidden="1" x14ac:dyDescent="0.35">
      <c r="A7734" s="52" t="s">
        <v>769</v>
      </c>
      <c r="B7734" s="52" t="s">
        <v>37</v>
      </c>
      <c r="C7734" s="52" t="s">
        <v>61</v>
      </c>
      <c r="D7734" s="52" t="s">
        <v>62</v>
      </c>
      <c r="E7734" s="52" t="s">
        <v>584</v>
      </c>
      <c r="F7734" s="52" t="s">
        <v>26</v>
      </c>
      <c r="G7734" s="195" t="s">
        <v>275</v>
      </c>
      <c r="H7734" s="195">
        <v>-23.163049999999998</v>
      </c>
      <c r="I7734" s="195">
        <v>-13.393269999999999</v>
      </c>
      <c r="J7734" s="195">
        <v>-3.55545</v>
      </c>
      <c r="K7734" s="195">
        <v>-6.4181290000000004</v>
      </c>
      <c r="L7734" s="195">
        <v>-26.91667</v>
      </c>
      <c r="M7734" s="195">
        <v>-6.5986099999999999</v>
      </c>
      <c r="N7734" s="195">
        <v>-21.907830000000001</v>
      </c>
    </row>
    <row r="7735" spans="1:14" hidden="1" x14ac:dyDescent="0.35">
      <c r="A7735" s="52" t="s">
        <v>769</v>
      </c>
      <c r="B7735" s="52" t="s">
        <v>37</v>
      </c>
      <c r="C7735" s="52" t="s">
        <v>61</v>
      </c>
      <c r="D7735" s="52" t="s">
        <v>62</v>
      </c>
      <c r="E7735" s="52" t="s">
        <v>584</v>
      </c>
      <c r="F7735" s="52" t="s">
        <v>26</v>
      </c>
      <c r="G7735" s="195" t="s">
        <v>276</v>
      </c>
      <c r="H7735" s="195">
        <v>-2.897192</v>
      </c>
      <c r="I7735" s="195">
        <v>-4.2404140000000003</v>
      </c>
      <c r="J7735" s="195">
        <v>-1.7102919999999999</v>
      </c>
      <c r="K7735" s="195">
        <v>-2.3489460000000002</v>
      </c>
      <c r="L7735" s="195">
        <v>-9.3582210000000003</v>
      </c>
      <c r="M7735" s="195">
        <v>-1.8899429999999999</v>
      </c>
      <c r="N7735" s="195">
        <v>-5.823601</v>
      </c>
    </row>
    <row r="7736" spans="1:14" hidden="1" x14ac:dyDescent="0.35">
      <c r="A7736" s="52" t="s">
        <v>769</v>
      </c>
      <c r="B7736" s="52" t="s">
        <v>37</v>
      </c>
      <c r="C7736" s="52" t="s">
        <v>61</v>
      </c>
      <c r="D7736" s="52" t="s">
        <v>62</v>
      </c>
      <c r="E7736" s="52" t="s">
        <v>584</v>
      </c>
      <c r="F7736" s="52" t="s">
        <v>26</v>
      </c>
      <c r="G7736" s="195" t="s">
        <v>277</v>
      </c>
      <c r="H7736" s="195">
        <v>19.907139999999998</v>
      </c>
      <c r="I7736" s="195">
        <v>1.232567</v>
      </c>
      <c r="J7736" s="195">
        <v>6.1630499999999998E-2</v>
      </c>
      <c r="K7736" s="195">
        <v>0</v>
      </c>
      <c r="L7736" s="195"/>
      <c r="M7736" s="195"/>
      <c r="N7736" s="195"/>
    </row>
    <row r="7737" spans="1:14" hidden="1" x14ac:dyDescent="0.35">
      <c r="A7737" s="52" t="s">
        <v>769</v>
      </c>
      <c r="B7737" s="52" t="s">
        <v>37</v>
      </c>
      <c r="C7737" s="52" t="s">
        <v>61</v>
      </c>
      <c r="D7737" s="52" t="s">
        <v>62</v>
      </c>
      <c r="E7737" s="52" t="s">
        <v>584</v>
      </c>
      <c r="F7737" s="52" t="s">
        <v>26</v>
      </c>
      <c r="G7737" s="195" t="s">
        <v>278</v>
      </c>
      <c r="H7737" s="195"/>
      <c r="I7737" s="195"/>
      <c r="J7737" s="195">
        <v>0</v>
      </c>
      <c r="K7737" s="195">
        <v>0</v>
      </c>
      <c r="L7737" s="195">
        <v>0</v>
      </c>
      <c r="M7737" s="195">
        <v>0</v>
      </c>
      <c r="N7737" s="195">
        <v>0</v>
      </c>
    </row>
    <row r="7738" spans="1:14" hidden="1" x14ac:dyDescent="0.35">
      <c r="A7738" s="52" t="s">
        <v>769</v>
      </c>
      <c r="B7738" s="52" t="s">
        <v>37</v>
      </c>
      <c r="C7738" s="52" t="s">
        <v>61</v>
      </c>
      <c r="D7738" s="52" t="s">
        <v>62</v>
      </c>
      <c r="E7738" s="52" t="s">
        <v>584</v>
      </c>
      <c r="F7738" s="52" t="s">
        <v>26</v>
      </c>
      <c r="G7738" s="195" t="s">
        <v>279</v>
      </c>
      <c r="H7738" s="195">
        <v>16.183450000000001</v>
      </c>
      <c r="I7738" s="195">
        <v>24.531829999999999</v>
      </c>
      <c r="J7738" s="195">
        <v>12.77725</v>
      </c>
      <c r="K7738" s="195">
        <v>15.63152</v>
      </c>
      <c r="L7738" s="195">
        <v>40.915819999999997</v>
      </c>
      <c r="M7738" s="195">
        <v>11.70482</v>
      </c>
      <c r="N7738" s="195">
        <v>29.678640000000001</v>
      </c>
    </row>
    <row r="7739" spans="1:14" hidden="1" x14ac:dyDescent="0.35">
      <c r="A7739" s="52" t="s">
        <v>769</v>
      </c>
      <c r="B7739" s="52" t="s">
        <v>37</v>
      </c>
      <c r="C7739" s="52" t="s">
        <v>79</v>
      </c>
      <c r="D7739" s="52" t="s">
        <v>79</v>
      </c>
      <c r="E7739" s="52" t="s">
        <v>584</v>
      </c>
      <c r="F7739" s="52" t="s">
        <v>581</v>
      </c>
      <c r="G7739" s="195" t="s">
        <v>275</v>
      </c>
      <c r="H7739" s="195">
        <v>-4.1889999999999997E-2</v>
      </c>
      <c r="I7739" s="195">
        <v>0</v>
      </c>
      <c r="J7739" s="195"/>
      <c r="K7739" s="195">
        <v>0</v>
      </c>
      <c r="L7739" s="195">
        <v>-1.023328</v>
      </c>
      <c r="M7739" s="195">
        <v>0</v>
      </c>
      <c r="N7739" s="195"/>
    </row>
    <row r="7740" spans="1:14" hidden="1" x14ac:dyDescent="0.35">
      <c r="A7740" s="52" t="s">
        <v>769</v>
      </c>
      <c r="B7740" s="52" t="s">
        <v>37</v>
      </c>
      <c r="C7740" s="52" t="s">
        <v>79</v>
      </c>
      <c r="D7740" s="52" t="s">
        <v>79</v>
      </c>
      <c r="E7740" s="52" t="s">
        <v>584</v>
      </c>
      <c r="F7740" s="52" t="s">
        <v>581</v>
      </c>
      <c r="G7740" s="195" t="s">
        <v>276</v>
      </c>
      <c r="H7740" s="195">
        <v>-1.1136E-2</v>
      </c>
      <c r="I7740" s="195">
        <v>0</v>
      </c>
      <c r="J7740" s="195"/>
      <c r="K7740" s="195">
        <v>0</v>
      </c>
      <c r="L7740" s="195">
        <v>-0.27202399999999999</v>
      </c>
      <c r="M7740" s="195">
        <v>0</v>
      </c>
      <c r="N7740" s="195"/>
    </row>
    <row r="7741" spans="1:14" hidden="1" x14ac:dyDescent="0.35">
      <c r="A7741" s="52" t="s">
        <v>769</v>
      </c>
      <c r="B7741" s="52" t="s">
        <v>37</v>
      </c>
      <c r="C7741" s="52" t="s">
        <v>79</v>
      </c>
      <c r="D7741" s="52" t="s">
        <v>79</v>
      </c>
      <c r="E7741" s="52" t="s">
        <v>584</v>
      </c>
      <c r="F7741" s="52" t="s">
        <v>581</v>
      </c>
      <c r="G7741" s="195" t="s">
        <v>279</v>
      </c>
      <c r="H7741" s="195">
        <v>0.188412</v>
      </c>
      <c r="I7741" s="195">
        <v>0</v>
      </c>
      <c r="J7741" s="195"/>
      <c r="K7741" s="195">
        <v>0</v>
      </c>
      <c r="L7741" s="195">
        <v>1.295353</v>
      </c>
      <c r="M7741" s="195">
        <v>0</v>
      </c>
      <c r="N7741" s="195"/>
    </row>
    <row r="7742" spans="1:14" hidden="1" x14ac:dyDescent="0.35">
      <c r="A7742" s="52" t="s">
        <v>769</v>
      </c>
      <c r="B7742" s="52" t="s">
        <v>37</v>
      </c>
      <c r="C7742" s="52" t="s">
        <v>79</v>
      </c>
      <c r="D7742" s="52" t="s">
        <v>79</v>
      </c>
      <c r="E7742" s="52" t="s">
        <v>584</v>
      </c>
      <c r="F7742" s="52" t="s">
        <v>26</v>
      </c>
      <c r="G7742" s="195" t="s">
        <v>275</v>
      </c>
      <c r="H7742" s="195">
        <v>-0.36889300000000003</v>
      </c>
      <c r="I7742" s="195">
        <v>-3.070581E-2</v>
      </c>
      <c r="J7742" s="195">
        <v>6.2713000000000005E-2</v>
      </c>
      <c r="K7742" s="195">
        <v>-0.1367758</v>
      </c>
      <c r="L7742" s="195">
        <v>-1.9775339999999999</v>
      </c>
      <c r="M7742" s="195">
        <v>0</v>
      </c>
      <c r="N7742" s="195"/>
    </row>
    <row r="7743" spans="1:14" hidden="1" x14ac:dyDescent="0.35">
      <c r="A7743" s="52" t="s">
        <v>769</v>
      </c>
      <c r="B7743" s="52" t="s">
        <v>37</v>
      </c>
      <c r="C7743" s="52" t="s">
        <v>79</v>
      </c>
      <c r="D7743" s="52" t="s">
        <v>79</v>
      </c>
      <c r="E7743" s="52" t="s">
        <v>584</v>
      </c>
      <c r="F7743" s="52" t="s">
        <v>26</v>
      </c>
      <c r="G7743" s="195" t="s">
        <v>276</v>
      </c>
      <c r="H7743" s="195">
        <v>-0.220863</v>
      </c>
      <c r="I7743" s="195">
        <v>-0.1604872</v>
      </c>
      <c r="J7743" s="195">
        <v>-0.26255899999999999</v>
      </c>
      <c r="K7743" s="195">
        <v>-9.5236009999999996E-2</v>
      </c>
      <c r="L7743" s="195">
        <v>-0.55408789999999997</v>
      </c>
      <c r="M7743" s="195">
        <v>0</v>
      </c>
      <c r="N7743" s="195"/>
    </row>
    <row r="7744" spans="1:14" hidden="1" x14ac:dyDescent="0.35">
      <c r="A7744" s="52" t="s">
        <v>769</v>
      </c>
      <c r="B7744" s="52" t="s">
        <v>37</v>
      </c>
      <c r="C7744" s="52" t="s">
        <v>79</v>
      </c>
      <c r="D7744" s="52" t="s">
        <v>79</v>
      </c>
      <c r="E7744" s="52" t="s">
        <v>584</v>
      </c>
      <c r="F7744" s="52" t="s">
        <v>26</v>
      </c>
      <c r="G7744" s="195" t="s">
        <v>277</v>
      </c>
      <c r="H7744" s="195">
        <v>0.26096599999999998</v>
      </c>
      <c r="I7744" s="195">
        <v>0</v>
      </c>
      <c r="J7744" s="195"/>
      <c r="K7744" s="195"/>
      <c r="L7744" s="195"/>
      <c r="M7744" s="195"/>
      <c r="N7744" s="195"/>
    </row>
    <row r="7745" spans="1:14" hidden="1" x14ac:dyDescent="0.35">
      <c r="A7745" s="52" t="s">
        <v>769</v>
      </c>
      <c r="B7745" s="52" t="s">
        <v>37</v>
      </c>
      <c r="C7745" s="52" t="s">
        <v>79</v>
      </c>
      <c r="D7745" s="52" t="s">
        <v>79</v>
      </c>
      <c r="E7745" s="52" t="s">
        <v>584</v>
      </c>
      <c r="F7745" s="52" t="s">
        <v>26</v>
      </c>
      <c r="G7745" s="195" t="s">
        <v>279</v>
      </c>
      <c r="H7745" s="195">
        <v>0.65028490000000005</v>
      </c>
      <c r="I7745" s="195">
        <v>0.37229699999999999</v>
      </c>
      <c r="J7745" s="195">
        <v>0.38292199999999998</v>
      </c>
      <c r="K7745" s="195">
        <v>0.41589999999999999</v>
      </c>
      <c r="L7745" s="195">
        <v>2.7162229999999998</v>
      </c>
      <c r="M7745" s="195">
        <v>0</v>
      </c>
      <c r="N7745" s="195"/>
    </row>
    <row r="7746" spans="1:14" hidden="1" x14ac:dyDescent="0.35">
      <c r="A7746" s="52" t="s">
        <v>769</v>
      </c>
      <c r="B7746" s="52" t="s">
        <v>37</v>
      </c>
      <c r="C7746" s="52" t="s">
        <v>318</v>
      </c>
      <c r="D7746" s="52" t="s">
        <v>318</v>
      </c>
      <c r="E7746" s="52" t="s">
        <v>584</v>
      </c>
      <c r="F7746" s="52" t="s">
        <v>581</v>
      </c>
      <c r="G7746" s="195" t="s">
        <v>275</v>
      </c>
      <c r="H7746" s="195">
        <v>102.32859999999999</v>
      </c>
      <c r="I7746" s="195">
        <v>0</v>
      </c>
      <c r="J7746" s="195"/>
      <c r="K7746" s="195"/>
      <c r="L7746" s="195"/>
      <c r="M7746" s="195"/>
      <c r="N7746" s="195"/>
    </row>
    <row r="7747" spans="1:14" hidden="1" x14ac:dyDescent="0.35">
      <c r="A7747" s="52" t="s">
        <v>769</v>
      </c>
      <c r="B7747" s="52" t="s">
        <v>37</v>
      </c>
      <c r="C7747" s="52" t="s">
        <v>318</v>
      </c>
      <c r="D7747" s="52" t="s">
        <v>318</v>
      </c>
      <c r="E7747" s="52" t="s">
        <v>584</v>
      </c>
      <c r="F7747" s="52" t="s">
        <v>581</v>
      </c>
      <c r="G7747" s="195" t="s">
        <v>276</v>
      </c>
      <c r="H7747" s="195">
        <v>-4.284872</v>
      </c>
      <c r="I7747" s="195">
        <v>0</v>
      </c>
      <c r="J7747" s="195"/>
      <c r="K7747" s="195"/>
      <c r="L7747" s="195"/>
      <c r="M7747" s="195"/>
      <c r="N7747" s="195"/>
    </row>
    <row r="7748" spans="1:14" hidden="1" x14ac:dyDescent="0.35">
      <c r="A7748" s="52" t="s">
        <v>769</v>
      </c>
      <c r="B7748" s="52" t="s">
        <v>37</v>
      </c>
      <c r="C7748" s="52" t="s">
        <v>318</v>
      </c>
      <c r="D7748" s="52" t="s">
        <v>318</v>
      </c>
      <c r="E7748" s="52" t="s">
        <v>584</v>
      </c>
      <c r="F7748" s="52" t="s">
        <v>581</v>
      </c>
      <c r="G7748" s="195" t="s">
        <v>278</v>
      </c>
      <c r="H7748" s="195">
        <v>-98.043700000000001</v>
      </c>
      <c r="I7748" s="195">
        <v>0</v>
      </c>
      <c r="J7748" s="195"/>
      <c r="K7748" s="195"/>
      <c r="L7748" s="195"/>
      <c r="M7748" s="195"/>
      <c r="N7748" s="195"/>
    </row>
    <row r="7749" spans="1:14" hidden="1" x14ac:dyDescent="0.35">
      <c r="A7749" s="52" t="s">
        <v>769</v>
      </c>
      <c r="B7749" s="52" t="s">
        <v>37</v>
      </c>
      <c r="C7749" s="52" t="s">
        <v>318</v>
      </c>
      <c r="D7749" s="52" t="s">
        <v>318</v>
      </c>
      <c r="E7749" s="52" t="s">
        <v>584</v>
      </c>
      <c r="F7749" s="52" t="s">
        <v>26</v>
      </c>
      <c r="G7749" s="195" t="s">
        <v>275</v>
      </c>
      <c r="H7749" s="195">
        <v>68.219040000000007</v>
      </c>
      <c r="I7749" s="195">
        <v>0</v>
      </c>
      <c r="J7749" s="195"/>
      <c r="K7749" s="195"/>
      <c r="L7749" s="195"/>
      <c r="M7749" s="195"/>
      <c r="N7749" s="195"/>
    </row>
    <row r="7750" spans="1:14" hidden="1" x14ac:dyDescent="0.35">
      <c r="A7750" s="52" t="s">
        <v>769</v>
      </c>
      <c r="B7750" s="52" t="s">
        <v>37</v>
      </c>
      <c r="C7750" s="52" t="s">
        <v>318</v>
      </c>
      <c r="D7750" s="52" t="s">
        <v>318</v>
      </c>
      <c r="E7750" s="52" t="s">
        <v>584</v>
      </c>
      <c r="F7750" s="52" t="s">
        <v>26</v>
      </c>
      <c r="G7750" s="195" t="s">
        <v>276</v>
      </c>
      <c r="H7750" s="195">
        <v>-2.856582</v>
      </c>
      <c r="I7750" s="195">
        <v>0</v>
      </c>
      <c r="J7750" s="195"/>
      <c r="K7750" s="195"/>
      <c r="L7750" s="195"/>
      <c r="M7750" s="195"/>
      <c r="N7750" s="195"/>
    </row>
    <row r="7751" spans="1:14" hidden="1" x14ac:dyDescent="0.35">
      <c r="A7751" s="52" t="s">
        <v>769</v>
      </c>
      <c r="B7751" s="52" t="s">
        <v>37</v>
      </c>
      <c r="C7751" s="52" t="s">
        <v>318</v>
      </c>
      <c r="D7751" s="52" t="s">
        <v>318</v>
      </c>
      <c r="E7751" s="52" t="s">
        <v>584</v>
      </c>
      <c r="F7751" s="52" t="s">
        <v>26</v>
      </c>
      <c r="G7751" s="195" t="s">
        <v>278</v>
      </c>
      <c r="H7751" s="195">
        <v>-65.362459999999999</v>
      </c>
      <c r="I7751" s="195">
        <v>0</v>
      </c>
      <c r="J7751" s="195"/>
      <c r="K7751" s="195"/>
      <c r="L7751" s="195"/>
      <c r="M7751" s="195"/>
      <c r="N7751" s="195"/>
    </row>
    <row r="7752" spans="1:14" hidden="1" x14ac:dyDescent="0.35">
      <c r="A7752" s="52" t="s">
        <v>764</v>
      </c>
      <c r="B7752" s="52" t="s">
        <v>37</v>
      </c>
      <c r="C7752" s="52" t="s">
        <v>79</v>
      </c>
      <c r="D7752" s="52" t="s">
        <v>79</v>
      </c>
      <c r="E7752" s="52" t="s">
        <v>617</v>
      </c>
      <c r="F7752" s="52" t="s">
        <v>581</v>
      </c>
      <c r="G7752" s="195" t="s">
        <v>275</v>
      </c>
      <c r="H7752" s="195">
        <v>2.627694</v>
      </c>
      <c r="I7752" s="195">
        <v>0.215445</v>
      </c>
      <c r="J7752" s="195">
        <v>8.4589399999999995E-2</v>
      </c>
      <c r="K7752" s="195">
        <v>4.5589999999999999E-2</v>
      </c>
      <c r="L7752" s="195">
        <v>-3.7460399999999998E-2</v>
      </c>
      <c r="M7752" s="195">
        <v>-2.5957190000000002E-2</v>
      </c>
      <c r="N7752" s="195">
        <v>-1.84934E-2</v>
      </c>
    </row>
    <row r="7753" spans="1:14" hidden="1" x14ac:dyDescent="0.35">
      <c r="A7753" s="52" t="s">
        <v>764</v>
      </c>
      <c r="B7753" s="52" t="s">
        <v>37</v>
      </c>
      <c r="C7753" s="52" t="s">
        <v>79</v>
      </c>
      <c r="D7753" s="52" t="s">
        <v>79</v>
      </c>
      <c r="E7753" s="52" t="s">
        <v>617</v>
      </c>
      <c r="F7753" s="52" t="s">
        <v>581</v>
      </c>
      <c r="G7753" s="195" t="s">
        <v>276</v>
      </c>
      <c r="H7753" s="195">
        <v>0.76174189999999997</v>
      </c>
      <c r="I7753" s="195">
        <v>6.2454999999999997E-2</v>
      </c>
      <c r="J7753" s="195">
        <v>2.4521999999999999E-2</v>
      </c>
      <c r="K7753" s="195">
        <v>1.3215599999999999E-2</v>
      </c>
      <c r="L7753" s="195">
        <v>-1.0859600000000001E-2</v>
      </c>
      <c r="M7753" s="195">
        <v>-7.5235989999999997E-3</v>
      </c>
      <c r="N7753" s="195">
        <v>-5.3624010000000001E-3</v>
      </c>
    </row>
    <row r="7754" spans="1:14" hidden="1" x14ac:dyDescent="0.35">
      <c r="A7754" s="52" t="s">
        <v>764</v>
      </c>
      <c r="B7754" s="52" t="s">
        <v>37</v>
      </c>
      <c r="C7754" s="52" t="s">
        <v>79</v>
      </c>
      <c r="D7754" s="52" t="s">
        <v>79</v>
      </c>
      <c r="E7754" s="52" t="s">
        <v>617</v>
      </c>
      <c r="F7754" s="52" t="s">
        <v>581</v>
      </c>
      <c r="G7754" s="195" t="s">
        <v>279</v>
      </c>
      <c r="H7754" s="195">
        <v>2.5528810000000002</v>
      </c>
      <c r="I7754" s="195">
        <v>1.483088</v>
      </c>
      <c r="J7754" s="195">
        <v>1.3075000000000001</v>
      </c>
      <c r="K7754" s="195">
        <v>1.1154729999999999</v>
      </c>
      <c r="L7754" s="195">
        <v>1.306548</v>
      </c>
      <c r="M7754" s="195">
        <v>1.1266989999999999</v>
      </c>
      <c r="N7754" s="195">
        <v>0.82177080000000002</v>
      </c>
    </row>
    <row r="7755" spans="1:14" hidden="1" x14ac:dyDescent="0.35">
      <c r="A7755" s="52" t="s">
        <v>764</v>
      </c>
      <c r="B7755" s="52" t="s">
        <v>37</v>
      </c>
      <c r="C7755" s="52" t="s">
        <v>79</v>
      </c>
      <c r="D7755" s="52" t="s">
        <v>79</v>
      </c>
      <c r="E7755" s="52" t="s">
        <v>617</v>
      </c>
      <c r="F7755" s="52" t="s">
        <v>26</v>
      </c>
      <c r="G7755" s="195" t="s">
        <v>275</v>
      </c>
      <c r="H7755" s="195">
        <v>-7.7644390000000003</v>
      </c>
      <c r="I7755" s="195">
        <v>46.620359999999998</v>
      </c>
      <c r="J7755" s="195">
        <v>47.351689999999998</v>
      </c>
      <c r="K7755" s="195">
        <v>43.145330000000001</v>
      </c>
      <c r="L7755" s="195">
        <v>20.672519999999999</v>
      </c>
      <c r="M7755" s="195">
        <v>18.01078</v>
      </c>
      <c r="N7755" s="195">
        <v>8.2328919999999997</v>
      </c>
    </row>
    <row r="7756" spans="1:14" hidden="1" x14ac:dyDescent="0.35">
      <c r="A7756" s="52" t="s">
        <v>764</v>
      </c>
      <c r="B7756" s="52" t="s">
        <v>37</v>
      </c>
      <c r="C7756" s="52" t="s">
        <v>79</v>
      </c>
      <c r="D7756" s="52" t="s">
        <v>79</v>
      </c>
      <c r="E7756" s="52" t="s">
        <v>617</v>
      </c>
      <c r="F7756" s="52" t="s">
        <v>26</v>
      </c>
      <c r="G7756" s="195" t="s">
        <v>276</v>
      </c>
      <c r="H7756" s="195">
        <v>-1.1951290000000001</v>
      </c>
      <c r="I7756" s="195">
        <v>-4.7293409999999998</v>
      </c>
      <c r="J7756" s="195">
        <v>-3.5867260000000001</v>
      </c>
      <c r="K7756" s="195">
        <v>-9.9585969999999993</v>
      </c>
      <c r="L7756" s="195">
        <v>0.29129179999999999</v>
      </c>
      <c r="M7756" s="195">
        <v>8.4289570000000005</v>
      </c>
      <c r="N7756" s="195">
        <v>8.4028170000000006</v>
      </c>
    </row>
    <row r="7757" spans="1:14" hidden="1" x14ac:dyDescent="0.35">
      <c r="A7757" s="52" t="s">
        <v>764</v>
      </c>
      <c r="B7757" s="52" t="s">
        <v>37</v>
      </c>
      <c r="C7757" s="52" t="s">
        <v>79</v>
      </c>
      <c r="D7757" s="52" t="s">
        <v>79</v>
      </c>
      <c r="E7757" s="52" t="s">
        <v>617</v>
      </c>
      <c r="F7757" s="52" t="s">
        <v>26</v>
      </c>
      <c r="G7757" s="195" t="s">
        <v>277</v>
      </c>
      <c r="H7757" s="195">
        <v>85.291970000000006</v>
      </c>
      <c r="I7757" s="195">
        <v>7.7971760000000003</v>
      </c>
      <c r="J7757" s="195">
        <v>7.6763640000000004</v>
      </c>
      <c r="K7757" s="195">
        <v>15.35497</v>
      </c>
      <c r="L7757" s="195">
        <v>27.018509999999999</v>
      </c>
      <c r="M7757" s="195">
        <v>28.171710000000001</v>
      </c>
      <c r="N7757" s="195">
        <v>43.649160000000002</v>
      </c>
    </row>
    <row r="7758" spans="1:14" hidden="1" x14ac:dyDescent="0.35">
      <c r="A7758" s="52" t="s">
        <v>764</v>
      </c>
      <c r="B7758" s="52" t="s">
        <v>37</v>
      </c>
      <c r="C7758" s="52" t="s">
        <v>79</v>
      </c>
      <c r="D7758" s="52" t="s">
        <v>79</v>
      </c>
      <c r="E7758" s="52" t="s">
        <v>617</v>
      </c>
      <c r="F7758" s="52" t="s">
        <v>26</v>
      </c>
      <c r="G7758" s="195" t="s">
        <v>278</v>
      </c>
      <c r="H7758" s="195">
        <v>6.7080330000000004</v>
      </c>
      <c r="I7758" s="195">
        <v>0.66400510000000001</v>
      </c>
      <c r="J7758" s="195">
        <v>2.2530429999999999</v>
      </c>
      <c r="K7758" s="195">
        <v>3.1368619999999998</v>
      </c>
      <c r="L7758" s="195">
        <v>1.870987</v>
      </c>
      <c r="M7758" s="195">
        <v>0</v>
      </c>
      <c r="N7758" s="195"/>
    </row>
    <row r="7759" spans="1:14" hidden="1" x14ac:dyDescent="0.35">
      <c r="A7759" s="52" t="s">
        <v>764</v>
      </c>
      <c r="B7759" s="52" t="s">
        <v>37</v>
      </c>
      <c r="C7759" s="52" t="s">
        <v>79</v>
      </c>
      <c r="D7759" s="52" t="s">
        <v>79</v>
      </c>
      <c r="E7759" s="52" t="s">
        <v>617</v>
      </c>
      <c r="F7759" s="52" t="s">
        <v>26</v>
      </c>
      <c r="G7759" s="195" t="s">
        <v>279</v>
      </c>
      <c r="H7759" s="195">
        <v>64.347970000000004</v>
      </c>
      <c r="I7759" s="195">
        <v>46.459359999999997</v>
      </c>
      <c r="J7759" s="195">
        <v>46.232810000000001</v>
      </c>
      <c r="K7759" s="195">
        <v>46.807209999999998</v>
      </c>
      <c r="L7759" s="195">
        <v>54.399520000000003</v>
      </c>
      <c r="M7759" s="195">
        <v>59.397239999999996</v>
      </c>
      <c r="N7759" s="195">
        <v>66.38064</v>
      </c>
    </row>
    <row r="7760" spans="1:14" hidden="1" x14ac:dyDescent="0.35">
      <c r="A7760" s="52" t="s">
        <v>764</v>
      </c>
      <c r="B7760" s="52" t="s">
        <v>37</v>
      </c>
      <c r="C7760" s="52" t="s">
        <v>79</v>
      </c>
      <c r="D7760" s="52" t="s">
        <v>79</v>
      </c>
      <c r="E7760" s="52" t="s">
        <v>600</v>
      </c>
      <c r="F7760" s="52" t="s">
        <v>581</v>
      </c>
      <c r="G7760" s="195" t="s">
        <v>275</v>
      </c>
      <c r="H7760" s="195">
        <v>-37.961329999999997</v>
      </c>
      <c r="I7760" s="195">
        <v>9.9830970000000008</v>
      </c>
      <c r="J7760" s="195">
        <v>8.4776500000000006</v>
      </c>
      <c r="K7760" s="195">
        <v>3.446523</v>
      </c>
      <c r="L7760" s="195">
        <v>7.1323999999999996</v>
      </c>
      <c r="M7760" s="195">
        <v>5.2757269999999998</v>
      </c>
      <c r="N7760" s="195">
        <v>4.6828880000000002</v>
      </c>
    </row>
    <row r="7761" spans="1:14" hidden="1" x14ac:dyDescent="0.35">
      <c r="A7761" s="52" t="s">
        <v>764</v>
      </c>
      <c r="B7761" s="52" t="s">
        <v>37</v>
      </c>
      <c r="C7761" s="52" t="s">
        <v>79</v>
      </c>
      <c r="D7761" s="52" t="s">
        <v>79</v>
      </c>
      <c r="E7761" s="52" t="s">
        <v>600</v>
      </c>
      <c r="F7761" s="52" t="s">
        <v>581</v>
      </c>
      <c r="G7761" s="195" t="s">
        <v>276</v>
      </c>
      <c r="H7761" s="195">
        <v>2.1062270000000001</v>
      </c>
      <c r="I7761" s="195">
        <v>-3.7259790000000002</v>
      </c>
      <c r="J7761" s="195">
        <v>-7.5697739999999998</v>
      </c>
      <c r="K7761" s="195">
        <v>-5.442488</v>
      </c>
      <c r="L7761" s="195">
        <v>-6.7646790000000001</v>
      </c>
      <c r="M7761" s="195">
        <v>-5.121858E-2</v>
      </c>
      <c r="N7761" s="195">
        <v>-7.3925580000000005E-2</v>
      </c>
    </row>
    <row r="7762" spans="1:14" hidden="1" x14ac:dyDescent="0.35">
      <c r="A7762" s="52" t="s">
        <v>764</v>
      </c>
      <c r="B7762" s="52" t="s">
        <v>37</v>
      </c>
      <c r="C7762" s="52" t="s">
        <v>79</v>
      </c>
      <c r="D7762" s="52" t="s">
        <v>79</v>
      </c>
      <c r="E7762" s="52" t="s">
        <v>600</v>
      </c>
      <c r="F7762" s="52" t="s">
        <v>581</v>
      </c>
      <c r="G7762" s="195" t="s">
        <v>277</v>
      </c>
      <c r="H7762" s="195">
        <v>75.135999999999996</v>
      </c>
      <c r="I7762" s="195">
        <v>5.734305</v>
      </c>
      <c r="J7762" s="195">
        <v>7.5057280000000004</v>
      </c>
      <c r="K7762" s="195">
        <v>9.7646540000000002</v>
      </c>
      <c r="L7762" s="195">
        <v>6.397068</v>
      </c>
      <c r="M7762" s="195">
        <v>0</v>
      </c>
      <c r="N7762" s="195">
        <v>0</v>
      </c>
    </row>
    <row r="7763" spans="1:14" hidden="1" x14ac:dyDescent="0.35">
      <c r="A7763" s="52" t="s">
        <v>764</v>
      </c>
      <c r="B7763" s="52" t="s">
        <v>37</v>
      </c>
      <c r="C7763" s="52" t="s">
        <v>79</v>
      </c>
      <c r="D7763" s="52" t="s">
        <v>79</v>
      </c>
      <c r="E7763" s="52" t="s">
        <v>600</v>
      </c>
      <c r="F7763" s="52" t="s">
        <v>581</v>
      </c>
      <c r="G7763" s="195" t="s">
        <v>278</v>
      </c>
      <c r="H7763" s="195">
        <v>4.0840019999999999</v>
      </c>
      <c r="I7763" s="195">
        <v>0.1231202</v>
      </c>
      <c r="J7763" s="195">
        <v>0.10944</v>
      </c>
      <c r="K7763" s="195">
        <v>0</v>
      </c>
      <c r="L7763" s="195"/>
      <c r="M7763" s="195"/>
      <c r="N7763" s="195"/>
    </row>
    <row r="7764" spans="1:14" hidden="1" x14ac:dyDescent="0.35">
      <c r="A7764" s="52" t="s">
        <v>764</v>
      </c>
      <c r="B7764" s="52" t="s">
        <v>37</v>
      </c>
      <c r="C7764" s="52" t="s">
        <v>79</v>
      </c>
      <c r="D7764" s="52" t="s">
        <v>79</v>
      </c>
      <c r="E7764" s="52" t="s">
        <v>600</v>
      </c>
      <c r="F7764" s="52" t="s">
        <v>581</v>
      </c>
      <c r="G7764" s="195" t="s">
        <v>279</v>
      </c>
      <c r="H7764" s="195">
        <v>12.82939</v>
      </c>
      <c r="I7764" s="195">
        <v>7.4043559999999999</v>
      </c>
      <c r="J7764" s="195">
        <v>5.9787429999999997</v>
      </c>
      <c r="K7764" s="195">
        <v>5.8574080000000004</v>
      </c>
      <c r="L7764" s="195">
        <v>6.0646190000000004</v>
      </c>
      <c r="M7764" s="195">
        <v>4.5699339999999999</v>
      </c>
      <c r="N7764" s="195">
        <v>4.4090400000000001</v>
      </c>
    </row>
    <row r="7765" spans="1:14" hidden="1" x14ac:dyDescent="0.35">
      <c r="A7765" s="52" t="s">
        <v>764</v>
      </c>
      <c r="B7765" s="52" t="s">
        <v>37</v>
      </c>
      <c r="C7765" s="52" t="s">
        <v>79</v>
      </c>
      <c r="D7765" s="52" t="s">
        <v>79</v>
      </c>
      <c r="E7765" s="52" t="s">
        <v>600</v>
      </c>
      <c r="F7765" s="52" t="s">
        <v>26</v>
      </c>
      <c r="G7765" s="195" t="s">
        <v>275</v>
      </c>
      <c r="H7765" s="195">
        <v>8.3296729999999997</v>
      </c>
      <c r="I7765" s="195">
        <v>5.0529219999999997</v>
      </c>
      <c r="J7765" s="195">
        <v>4.8209090000000003</v>
      </c>
      <c r="K7765" s="195">
        <v>4.1263579999999997</v>
      </c>
      <c r="L7765" s="195">
        <v>3.3518539999999999</v>
      </c>
      <c r="M7765" s="195">
        <v>2.591558</v>
      </c>
      <c r="N7765" s="195">
        <v>2.171891</v>
      </c>
    </row>
    <row r="7766" spans="1:14" hidden="1" x14ac:dyDescent="0.35">
      <c r="A7766" s="52" t="s">
        <v>764</v>
      </c>
      <c r="B7766" s="52" t="s">
        <v>37</v>
      </c>
      <c r="C7766" s="52" t="s">
        <v>79</v>
      </c>
      <c r="D7766" s="52" t="s">
        <v>79</v>
      </c>
      <c r="E7766" s="52" t="s">
        <v>600</v>
      </c>
      <c r="F7766" s="52" t="s">
        <v>26</v>
      </c>
      <c r="G7766" s="195" t="s">
        <v>276</v>
      </c>
      <c r="H7766" s="195">
        <v>2.4146869999999998</v>
      </c>
      <c r="I7766" s="195">
        <v>1.464791</v>
      </c>
      <c r="J7766" s="195">
        <v>1.397532</v>
      </c>
      <c r="K7766" s="195">
        <v>1.1961900000000001</v>
      </c>
      <c r="L7766" s="195">
        <v>0.97166799999999998</v>
      </c>
      <c r="M7766" s="195">
        <v>0.75126680000000001</v>
      </c>
      <c r="N7766" s="195">
        <v>0.62960819999999995</v>
      </c>
    </row>
    <row r="7767" spans="1:14" hidden="1" x14ac:dyDescent="0.35">
      <c r="A7767" s="52" t="s">
        <v>764</v>
      </c>
      <c r="B7767" s="52" t="s">
        <v>37</v>
      </c>
      <c r="C7767" s="52" t="s">
        <v>79</v>
      </c>
      <c r="D7767" s="52" t="s">
        <v>79</v>
      </c>
      <c r="E7767" s="52" t="s">
        <v>600</v>
      </c>
      <c r="F7767" s="52" t="s">
        <v>26</v>
      </c>
      <c r="G7767" s="195" t="s">
        <v>279</v>
      </c>
      <c r="H7767" s="195">
        <v>11.29754</v>
      </c>
      <c r="I7767" s="195">
        <v>8.5878540000000001</v>
      </c>
      <c r="J7767" s="195">
        <v>7.7051629999999998</v>
      </c>
      <c r="K7767" s="195">
        <v>7.4701959999999996</v>
      </c>
      <c r="L7767" s="195">
        <v>7.4983779999999998</v>
      </c>
      <c r="M7767" s="195">
        <v>5.6895410000000002</v>
      </c>
      <c r="N7767" s="195">
        <v>5.2060170000000001</v>
      </c>
    </row>
    <row r="7768" spans="1:14" hidden="1" x14ac:dyDescent="0.35">
      <c r="A7768" s="52" t="s">
        <v>764</v>
      </c>
      <c r="B7768" s="52" t="s">
        <v>37</v>
      </c>
      <c r="C7768" s="52" t="s">
        <v>79</v>
      </c>
      <c r="D7768" s="52" t="s">
        <v>79</v>
      </c>
      <c r="E7768" s="52" t="s">
        <v>614</v>
      </c>
      <c r="F7768" s="52" t="s">
        <v>581</v>
      </c>
      <c r="G7768" s="195" t="s">
        <v>275</v>
      </c>
      <c r="H7768" s="195">
        <v>-21.341950000000001</v>
      </c>
      <c r="I7768" s="195">
        <v>-2.589744</v>
      </c>
      <c r="J7768" s="195">
        <v>9.7877790000000005</v>
      </c>
      <c r="K7768" s="195">
        <v>13.427720000000001</v>
      </c>
      <c r="L7768" s="195">
        <v>9.3718869999999992</v>
      </c>
      <c r="M7768" s="195">
        <v>6.6911940000000003</v>
      </c>
      <c r="N7768" s="195">
        <v>3.8348520000000001</v>
      </c>
    </row>
    <row r="7769" spans="1:14" hidden="1" x14ac:dyDescent="0.35">
      <c r="A7769" s="52" t="s">
        <v>764</v>
      </c>
      <c r="B7769" s="52" t="s">
        <v>37</v>
      </c>
      <c r="C7769" s="52" t="s">
        <v>79</v>
      </c>
      <c r="D7769" s="52" t="s">
        <v>79</v>
      </c>
      <c r="E7769" s="52" t="s">
        <v>614</v>
      </c>
      <c r="F7769" s="52" t="s">
        <v>581</v>
      </c>
      <c r="G7769" s="195" t="s">
        <v>276</v>
      </c>
      <c r="H7769" s="195">
        <v>3.7260249999999999</v>
      </c>
      <c r="I7769" s="195">
        <v>-0.78264120000000004</v>
      </c>
      <c r="J7769" s="195">
        <v>-0.36157089999999997</v>
      </c>
      <c r="K7769" s="195">
        <v>-3.052915</v>
      </c>
      <c r="L7769" s="195">
        <v>-3.9948679999999999</v>
      </c>
      <c r="M7769" s="195">
        <v>-0.67229340000000004</v>
      </c>
      <c r="N7769" s="195">
        <v>0.65687249999999997</v>
      </c>
    </row>
    <row r="7770" spans="1:14" hidden="1" x14ac:dyDescent="0.35">
      <c r="A7770" s="52" t="s">
        <v>764</v>
      </c>
      <c r="B7770" s="52" t="s">
        <v>37</v>
      </c>
      <c r="C7770" s="52" t="s">
        <v>79</v>
      </c>
      <c r="D7770" s="52" t="s">
        <v>79</v>
      </c>
      <c r="E7770" s="52" t="s">
        <v>614</v>
      </c>
      <c r="F7770" s="52" t="s">
        <v>581</v>
      </c>
      <c r="G7770" s="195" t="s">
        <v>277</v>
      </c>
      <c r="H7770" s="195">
        <v>45.34104</v>
      </c>
      <c r="I7770" s="195">
        <v>10.63364</v>
      </c>
      <c r="J7770" s="195">
        <v>2.4118270000000002</v>
      </c>
      <c r="K7770" s="195">
        <v>0.59400200000000003</v>
      </c>
      <c r="L7770" s="195">
        <v>1.101958</v>
      </c>
      <c r="M7770" s="195">
        <v>0.46957919999999997</v>
      </c>
      <c r="N7770" s="195">
        <v>1.657243</v>
      </c>
    </row>
    <row r="7771" spans="1:14" hidden="1" x14ac:dyDescent="0.35">
      <c r="A7771" s="52" t="s">
        <v>764</v>
      </c>
      <c r="B7771" s="52" t="s">
        <v>37</v>
      </c>
      <c r="C7771" s="52" t="s">
        <v>79</v>
      </c>
      <c r="D7771" s="52" t="s">
        <v>79</v>
      </c>
      <c r="E7771" s="52" t="s">
        <v>614</v>
      </c>
      <c r="F7771" s="52" t="s">
        <v>581</v>
      </c>
      <c r="G7771" s="195" t="s">
        <v>278</v>
      </c>
      <c r="H7771" s="195">
        <v>9.6589550000000006</v>
      </c>
      <c r="I7771" s="195">
        <v>10.8528</v>
      </c>
      <c r="J7771" s="195">
        <v>4.5716489999999999</v>
      </c>
      <c r="K7771" s="195">
        <v>1.811766</v>
      </c>
      <c r="L7771" s="195">
        <v>2.4661499999999998</v>
      </c>
      <c r="M7771" s="195">
        <v>1.260999</v>
      </c>
      <c r="N7771" s="195">
        <v>1.182104</v>
      </c>
    </row>
    <row r="7772" spans="1:14" hidden="1" x14ac:dyDescent="0.35">
      <c r="A7772" s="52" t="s">
        <v>764</v>
      </c>
      <c r="B7772" s="52" t="s">
        <v>37</v>
      </c>
      <c r="C7772" s="52" t="s">
        <v>79</v>
      </c>
      <c r="D7772" s="52" t="s">
        <v>79</v>
      </c>
      <c r="E7772" s="52" t="s">
        <v>614</v>
      </c>
      <c r="F7772" s="52" t="s">
        <v>581</v>
      </c>
      <c r="G7772" s="195" t="s">
        <v>279</v>
      </c>
      <c r="H7772" s="195">
        <v>12.49971</v>
      </c>
      <c r="I7772" s="195">
        <v>15.18951</v>
      </c>
      <c r="J7772" s="195">
        <v>15.42404</v>
      </c>
      <c r="K7772" s="195">
        <v>12.38115</v>
      </c>
      <c r="L7772" s="195">
        <v>10.683020000000001</v>
      </c>
      <c r="M7772" s="195">
        <v>8.6819349999999993</v>
      </c>
      <c r="N7772" s="195">
        <v>7.7179970000000004</v>
      </c>
    </row>
    <row r="7773" spans="1:14" hidden="1" x14ac:dyDescent="0.35">
      <c r="A7773" s="52" t="s">
        <v>764</v>
      </c>
      <c r="B7773" s="52" t="s">
        <v>37</v>
      </c>
      <c r="C7773" s="52" t="s">
        <v>79</v>
      </c>
      <c r="D7773" s="52" t="s">
        <v>79</v>
      </c>
      <c r="E7773" s="52" t="s">
        <v>614</v>
      </c>
      <c r="F7773" s="52" t="s">
        <v>26</v>
      </c>
      <c r="G7773" s="195" t="s">
        <v>275</v>
      </c>
      <c r="H7773" s="195">
        <v>9.2896999999999993E-2</v>
      </c>
      <c r="I7773" s="195">
        <v>1.92984E-2</v>
      </c>
      <c r="J7773" s="195">
        <v>5.8979200000000002E-2</v>
      </c>
      <c r="K7773" s="195">
        <v>2.6688199999999999E-2</v>
      </c>
      <c r="L7773" s="195">
        <v>-2.8505800000000001E-2</v>
      </c>
      <c r="M7773" s="195">
        <v>-1.76008E-2</v>
      </c>
      <c r="N7773" s="195">
        <v>-1.1856999999999999E-2</v>
      </c>
    </row>
    <row r="7774" spans="1:14" hidden="1" x14ac:dyDescent="0.35">
      <c r="A7774" s="52" t="s">
        <v>764</v>
      </c>
      <c r="B7774" s="52" t="s">
        <v>37</v>
      </c>
      <c r="C7774" s="52" t="s">
        <v>79</v>
      </c>
      <c r="D7774" s="52" t="s">
        <v>79</v>
      </c>
      <c r="E7774" s="52" t="s">
        <v>614</v>
      </c>
      <c r="F7774" s="52" t="s">
        <v>26</v>
      </c>
      <c r="G7774" s="195" t="s">
        <v>276</v>
      </c>
      <c r="H7774" s="195">
        <v>2.6929999999999999E-2</v>
      </c>
      <c r="I7774" s="195">
        <v>5.5945999999999999E-3</v>
      </c>
      <c r="J7774" s="195">
        <v>1.70972E-2</v>
      </c>
      <c r="K7774" s="195">
        <v>7.7371999999999996E-3</v>
      </c>
      <c r="L7774" s="195">
        <v>-8.2632000000000001E-3</v>
      </c>
      <c r="M7774" s="195">
        <v>-5.1025999999999997E-3</v>
      </c>
      <c r="N7774" s="195">
        <v>-3.438001E-3</v>
      </c>
    </row>
    <row r="7775" spans="1:14" hidden="1" x14ac:dyDescent="0.35">
      <c r="A7775" s="52" t="s">
        <v>764</v>
      </c>
      <c r="B7775" s="52" t="s">
        <v>37</v>
      </c>
      <c r="C7775" s="52" t="s">
        <v>79</v>
      </c>
      <c r="D7775" s="52" t="s">
        <v>79</v>
      </c>
      <c r="E7775" s="52" t="s">
        <v>614</v>
      </c>
      <c r="F7775" s="52" t="s">
        <v>26</v>
      </c>
      <c r="G7775" s="195" t="s">
        <v>279</v>
      </c>
      <c r="H7775" s="195">
        <v>0.80079009999999995</v>
      </c>
      <c r="I7775" s="195">
        <v>0.97531239999999997</v>
      </c>
      <c r="J7775" s="195">
        <v>0.99864920000000001</v>
      </c>
      <c r="K7775" s="195">
        <v>0.81181499999999995</v>
      </c>
      <c r="L7775" s="195">
        <v>0.69582659999999996</v>
      </c>
      <c r="M7775" s="195">
        <v>0.56493179999999998</v>
      </c>
      <c r="N7775" s="195">
        <v>0.49981799999999998</v>
      </c>
    </row>
    <row r="7776" spans="1:14" hidden="1" x14ac:dyDescent="0.35">
      <c r="A7776" s="52" t="s">
        <v>764</v>
      </c>
      <c r="B7776" s="52" t="s">
        <v>37</v>
      </c>
      <c r="C7776" s="52" t="s">
        <v>79</v>
      </c>
      <c r="D7776" s="52" t="s">
        <v>79</v>
      </c>
      <c r="E7776" s="52" t="s">
        <v>615</v>
      </c>
      <c r="F7776" s="52" t="s">
        <v>581</v>
      </c>
      <c r="G7776" s="195" t="s">
        <v>275</v>
      </c>
      <c r="H7776" s="195">
        <v>-7.9892839999999996</v>
      </c>
      <c r="I7776" s="195">
        <v>-1.3204119999999999</v>
      </c>
      <c r="J7776" s="195">
        <v>-2.916639E-2</v>
      </c>
      <c r="K7776" s="195">
        <v>-0.73598399999999997</v>
      </c>
      <c r="L7776" s="195">
        <v>0.40354719999999999</v>
      </c>
      <c r="M7776" s="195">
        <v>0.83546880000000001</v>
      </c>
      <c r="N7776" s="195">
        <v>0.53473939999999998</v>
      </c>
    </row>
    <row r="7777" spans="1:14" hidden="1" x14ac:dyDescent="0.35">
      <c r="A7777" s="52" t="s">
        <v>764</v>
      </c>
      <c r="B7777" s="52" t="s">
        <v>37</v>
      </c>
      <c r="C7777" s="52" t="s">
        <v>79</v>
      </c>
      <c r="D7777" s="52" t="s">
        <v>79</v>
      </c>
      <c r="E7777" s="52" t="s">
        <v>615</v>
      </c>
      <c r="F7777" s="52" t="s">
        <v>581</v>
      </c>
      <c r="G7777" s="195" t="s">
        <v>276</v>
      </c>
      <c r="H7777" s="195">
        <v>3.107E-3</v>
      </c>
      <c r="I7777" s="195">
        <v>-0.24535080000000001</v>
      </c>
      <c r="J7777" s="195">
        <v>-0.25013780000000002</v>
      </c>
      <c r="K7777" s="195">
        <v>-0.23490939999999999</v>
      </c>
      <c r="L7777" s="195">
        <v>-0.95659400000000006</v>
      </c>
      <c r="M7777" s="195">
        <v>-0.22802059999999999</v>
      </c>
      <c r="N7777" s="195">
        <v>-7.7133389999999996E-2</v>
      </c>
    </row>
    <row r="7778" spans="1:14" hidden="1" x14ac:dyDescent="0.35">
      <c r="A7778" s="52" t="s">
        <v>764</v>
      </c>
      <c r="B7778" s="52" t="s">
        <v>37</v>
      </c>
      <c r="C7778" s="52" t="s">
        <v>79</v>
      </c>
      <c r="D7778" s="52" t="s">
        <v>79</v>
      </c>
      <c r="E7778" s="52" t="s">
        <v>615</v>
      </c>
      <c r="F7778" s="52" t="s">
        <v>581</v>
      </c>
      <c r="G7778" s="195" t="s">
        <v>277</v>
      </c>
      <c r="H7778" s="195">
        <v>2.9619330000000001</v>
      </c>
      <c r="I7778" s="195">
        <v>1.4981530000000001</v>
      </c>
      <c r="J7778" s="195">
        <v>0.34527659999999999</v>
      </c>
      <c r="K7778" s="195">
        <v>0.62963060000000004</v>
      </c>
      <c r="L7778" s="195">
        <v>0.40690920000000003</v>
      </c>
      <c r="M7778" s="195">
        <v>0</v>
      </c>
      <c r="N7778" s="195">
        <v>0</v>
      </c>
    </row>
    <row r="7779" spans="1:14" hidden="1" x14ac:dyDescent="0.35">
      <c r="A7779" s="52" t="s">
        <v>764</v>
      </c>
      <c r="B7779" s="52" t="s">
        <v>37</v>
      </c>
      <c r="C7779" s="52" t="s">
        <v>79</v>
      </c>
      <c r="D7779" s="52" t="s">
        <v>79</v>
      </c>
      <c r="E7779" s="52" t="s">
        <v>615</v>
      </c>
      <c r="F7779" s="52" t="s">
        <v>581</v>
      </c>
      <c r="G7779" s="195" t="s">
        <v>278</v>
      </c>
      <c r="H7779" s="195">
        <v>7.038068</v>
      </c>
      <c r="I7779" s="195">
        <v>1.0944</v>
      </c>
      <c r="J7779" s="195">
        <v>0.73110719999999996</v>
      </c>
      <c r="K7779" s="195">
        <v>1.187511</v>
      </c>
      <c r="L7779" s="195">
        <v>0.9513334</v>
      </c>
      <c r="M7779" s="195">
        <v>0</v>
      </c>
      <c r="N7779" s="195">
        <v>0</v>
      </c>
    </row>
    <row r="7780" spans="1:14" hidden="1" x14ac:dyDescent="0.35">
      <c r="A7780" s="52" t="s">
        <v>764</v>
      </c>
      <c r="B7780" s="52" t="s">
        <v>37</v>
      </c>
      <c r="C7780" s="52" t="s">
        <v>79</v>
      </c>
      <c r="D7780" s="52" t="s">
        <v>79</v>
      </c>
      <c r="E7780" s="52" t="s">
        <v>615</v>
      </c>
      <c r="F7780" s="52" t="s">
        <v>581</v>
      </c>
      <c r="G7780" s="195" t="s">
        <v>279</v>
      </c>
      <c r="H7780" s="195">
        <v>1.0726260000000001</v>
      </c>
      <c r="I7780" s="195">
        <v>1.4111480000000001</v>
      </c>
      <c r="J7780" s="195">
        <v>1.3206370000000001</v>
      </c>
      <c r="K7780" s="195">
        <v>1.429802</v>
      </c>
      <c r="L7780" s="195">
        <v>1.7448870000000001</v>
      </c>
      <c r="M7780" s="195">
        <v>1.296279</v>
      </c>
      <c r="N7780" s="195">
        <v>0.98256589999999999</v>
      </c>
    </row>
    <row r="7781" spans="1:14" hidden="1" x14ac:dyDescent="0.35">
      <c r="A7781" s="52" t="s">
        <v>764</v>
      </c>
      <c r="B7781" s="52" t="s">
        <v>37</v>
      </c>
      <c r="C7781" s="52" t="s">
        <v>79</v>
      </c>
      <c r="D7781" s="52" t="s">
        <v>79</v>
      </c>
      <c r="E7781" s="52" t="s">
        <v>615</v>
      </c>
      <c r="F7781" s="52" t="s">
        <v>26</v>
      </c>
      <c r="G7781" s="195" t="s">
        <v>275</v>
      </c>
      <c r="H7781" s="195">
        <v>8.2244990000000004E-2</v>
      </c>
      <c r="I7781" s="195">
        <v>1.41724E-2</v>
      </c>
      <c r="J7781" s="195">
        <v>2.9484799999999999E-2</v>
      </c>
      <c r="K7781" s="195">
        <v>2.09394E-2</v>
      </c>
      <c r="L7781" s="195">
        <v>-1.4215999999999999E-2</v>
      </c>
      <c r="M7781" s="195">
        <v>-8.8984010000000002E-3</v>
      </c>
      <c r="N7781" s="195">
        <v>-6.6855999999999999E-3</v>
      </c>
    </row>
    <row r="7782" spans="1:14" hidden="1" x14ac:dyDescent="0.35">
      <c r="A7782" s="52" t="s">
        <v>764</v>
      </c>
      <c r="B7782" s="52" t="s">
        <v>37</v>
      </c>
      <c r="C7782" s="52" t="s">
        <v>79</v>
      </c>
      <c r="D7782" s="52" t="s">
        <v>79</v>
      </c>
      <c r="E7782" s="52" t="s">
        <v>615</v>
      </c>
      <c r="F7782" s="52" t="s">
        <v>26</v>
      </c>
      <c r="G7782" s="195" t="s">
        <v>276</v>
      </c>
      <c r="H7782" s="195">
        <v>2.3841000000000001E-2</v>
      </c>
      <c r="I7782" s="195">
        <v>4.1082000000000002E-3</v>
      </c>
      <c r="J7782" s="195">
        <v>8.5459990000000003E-3</v>
      </c>
      <c r="K7782" s="195">
        <v>6.0699999999999999E-3</v>
      </c>
      <c r="L7782" s="195">
        <v>-4.1200000000000004E-3</v>
      </c>
      <c r="M7782" s="195">
        <v>-2.5801999999999999E-3</v>
      </c>
      <c r="N7782" s="195">
        <v>-1.9380000000000001E-3</v>
      </c>
    </row>
    <row r="7783" spans="1:14" hidden="1" x14ac:dyDescent="0.35">
      <c r="A7783" s="52" t="s">
        <v>764</v>
      </c>
      <c r="B7783" s="52" t="s">
        <v>37</v>
      </c>
      <c r="C7783" s="52" t="s">
        <v>79</v>
      </c>
      <c r="D7783" s="52" t="s">
        <v>79</v>
      </c>
      <c r="E7783" s="52" t="s">
        <v>615</v>
      </c>
      <c r="F7783" s="52" t="s">
        <v>26</v>
      </c>
      <c r="G7783" s="195" t="s">
        <v>279</v>
      </c>
      <c r="H7783" s="195">
        <v>0.63715489999999997</v>
      </c>
      <c r="I7783" s="195">
        <v>0.44100400000000001</v>
      </c>
      <c r="J7783" s="195">
        <v>0.42498659999999999</v>
      </c>
      <c r="K7783" s="195">
        <v>0.46510699999999999</v>
      </c>
      <c r="L7783" s="195">
        <v>0.56027819999999995</v>
      </c>
      <c r="M7783" s="195">
        <v>0.41750080000000001</v>
      </c>
      <c r="N7783" s="195">
        <v>0.316583</v>
      </c>
    </row>
    <row r="7784" spans="1:14" hidden="1" x14ac:dyDescent="0.35">
      <c r="A7784" s="52" t="s">
        <v>756</v>
      </c>
      <c r="B7784" s="52" t="s">
        <v>34</v>
      </c>
      <c r="C7784" s="52" t="s">
        <v>33</v>
      </c>
      <c r="D7784" s="52" t="s">
        <v>33</v>
      </c>
      <c r="E7784" s="52" t="s">
        <v>605</v>
      </c>
      <c r="F7784" s="52" t="s">
        <v>581</v>
      </c>
      <c r="G7784" s="195" t="s">
        <v>275</v>
      </c>
      <c r="H7784" s="195">
        <v>4.5875640000000004</v>
      </c>
      <c r="I7784" s="195">
        <v>21.78999</v>
      </c>
      <c r="J7784" s="195">
        <v>43.850499999999997</v>
      </c>
      <c r="K7784" s="195">
        <v>37.738570000000003</v>
      </c>
      <c r="L7784" s="195">
        <v>19.453710000000001</v>
      </c>
      <c r="M7784" s="195">
        <v>18.609269999999999</v>
      </c>
      <c r="N7784" s="195">
        <v>15.91953</v>
      </c>
    </row>
    <row r="7785" spans="1:14" hidden="1" x14ac:dyDescent="0.35">
      <c r="A7785" s="52" t="s">
        <v>756</v>
      </c>
      <c r="B7785" s="52" t="s">
        <v>34</v>
      </c>
      <c r="C7785" s="52" t="s">
        <v>33</v>
      </c>
      <c r="D7785" s="52" t="s">
        <v>33</v>
      </c>
      <c r="E7785" s="52" t="s">
        <v>605</v>
      </c>
      <c r="F7785" s="52" t="s">
        <v>581</v>
      </c>
      <c r="G7785" s="195" t="s">
        <v>276</v>
      </c>
      <c r="H7785" s="195">
        <v>-2.5381360000000002</v>
      </c>
      <c r="I7785" s="195">
        <v>-37.870809999999999</v>
      </c>
      <c r="J7785" s="195">
        <v>-26.194269999999999</v>
      </c>
      <c r="K7785" s="195">
        <v>-11.227969999999999</v>
      </c>
      <c r="L7785" s="195">
        <v>-0.49174990000000002</v>
      </c>
      <c r="M7785" s="195">
        <v>3.889011</v>
      </c>
      <c r="N7785" s="195">
        <v>4.404407</v>
      </c>
    </row>
    <row r="7786" spans="1:14" hidden="1" x14ac:dyDescent="0.35">
      <c r="A7786" s="52" t="s">
        <v>756</v>
      </c>
      <c r="B7786" s="52" t="s">
        <v>34</v>
      </c>
      <c r="C7786" s="52" t="s">
        <v>33</v>
      </c>
      <c r="D7786" s="52" t="s">
        <v>33</v>
      </c>
      <c r="E7786" s="52" t="s">
        <v>605</v>
      </c>
      <c r="F7786" s="52" t="s">
        <v>581</v>
      </c>
      <c r="G7786" s="195" t="s">
        <v>277</v>
      </c>
      <c r="H7786" s="195">
        <v>146.75239999999999</v>
      </c>
      <c r="I7786" s="195">
        <v>33.471400000000003</v>
      </c>
      <c r="J7786" s="195">
        <v>0.38421959999999999</v>
      </c>
      <c r="K7786" s="195">
        <v>0.34613120000000003</v>
      </c>
      <c r="L7786" s="195">
        <v>0.25909559999999998</v>
      </c>
      <c r="M7786" s="195">
        <v>0</v>
      </c>
      <c r="N7786" s="195">
        <v>0</v>
      </c>
    </row>
    <row r="7787" spans="1:14" hidden="1" x14ac:dyDescent="0.35">
      <c r="A7787" s="52" t="s">
        <v>756</v>
      </c>
      <c r="B7787" s="52" t="s">
        <v>34</v>
      </c>
      <c r="C7787" s="52" t="s">
        <v>33</v>
      </c>
      <c r="D7787" s="52" t="s">
        <v>33</v>
      </c>
      <c r="E7787" s="52" t="s">
        <v>605</v>
      </c>
      <c r="F7787" s="52" t="s">
        <v>581</v>
      </c>
      <c r="G7787" s="195" t="s">
        <v>278</v>
      </c>
      <c r="H7787" s="195">
        <v>79.555790000000002</v>
      </c>
      <c r="I7787" s="195">
        <v>34.151580000000003</v>
      </c>
      <c r="J7787" s="195">
        <v>17.759219999999999</v>
      </c>
      <c r="K7787" s="195">
        <v>3.2415989999999999</v>
      </c>
      <c r="L7787" s="195">
        <v>1.39228</v>
      </c>
      <c r="M7787" s="195">
        <v>0.34146300000000002</v>
      </c>
      <c r="N7787" s="195">
        <v>0.29439199999999999</v>
      </c>
    </row>
    <row r="7788" spans="1:14" hidden="1" x14ac:dyDescent="0.35">
      <c r="A7788" s="52" t="s">
        <v>756</v>
      </c>
      <c r="B7788" s="52" t="s">
        <v>34</v>
      </c>
      <c r="C7788" s="52" t="s">
        <v>33</v>
      </c>
      <c r="D7788" s="52" t="s">
        <v>33</v>
      </c>
      <c r="E7788" s="52" t="s">
        <v>605</v>
      </c>
      <c r="F7788" s="52" t="s">
        <v>581</v>
      </c>
      <c r="G7788" s="195" t="s">
        <v>279</v>
      </c>
      <c r="H7788" s="195">
        <v>63.901389999999999</v>
      </c>
      <c r="I7788" s="195">
        <v>65.775580000000005</v>
      </c>
      <c r="J7788" s="195">
        <v>57.753590000000003</v>
      </c>
      <c r="K7788" s="195">
        <v>47.141629999999999</v>
      </c>
      <c r="L7788" s="195">
        <v>44.73706</v>
      </c>
      <c r="M7788" s="195">
        <v>34.503839999999997</v>
      </c>
      <c r="N7788" s="195">
        <v>31.30613</v>
      </c>
    </row>
    <row r="7789" spans="1:14" hidden="1" x14ac:dyDescent="0.35">
      <c r="A7789" s="52" t="s">
        <v>756</v>
      </c>
      <c r="B7789" s="52" t="s">
        <v>34</v>
      </c>
      <c r="C7789" s="52" t="s">
        <v>33</v>
      </c>
      <c r="D7789" s="52" t="s">
        <v>33</v>
      </c>
      <c r="E7789" s="52" t="s">
        <v>605</v>
      </c>
      <c r="F7789" s="52" t="s">
        <v>26</v>
      </c>
      <c r="G7789" s="195" t="s">
        <v>275</v>
      </c>
      <c r="H7789" s="195">
        <v>-7.7074790000000002</v>
      </c>
      <c r="I7789" s="195">
        <v>-21.487110000000001</v>
      </c>
      <c r="J7789" s="195">
        <v>-26.580220000000001</v>
      </c>
      <c r="K7789" s="195">
        <v>-22.74325</v>
      </c>
      <c r="L7789" s="195">
        <v>-25.798839999999998</v>
      </c>
      <c r="M7789" s="195">
        <v>-16.577359999999999</v>
      </c>
      <c r="N7789" s="195">
        <v>-15.379339999999999</v>
      </c>
    </row>
    <row r="7790" spans="1:14" hidden="1" x14ac:dyDescent="0.35">
      <c r="A7790" s="52" t="s">
        <v>756</v>
      </c>
      <c r="B7790" s="52" t="s">
        <v>34</v>
      </c>
      <c r="C7790" s="52" t="s">
        <v>33</v>
      </c>
      <c r="D7790" s="52" t="s">
        <v>33</v>
      </c>
      <c r="E7790" s="52" t="s">
        <v>605</v>
      </c>
      <c r="F7790" s="52" t="s">
        <v>26</v>
      </c>
      <c r="G7790" s="195" t="s">
        <v>276</v>
      </c>
      <c r="H7790" s="195">
        <v>-2.778886</v>
      </c>
      <c r="I7790" s="195">
        <v>-7.1623679999999998</v>
      </c>
      <c r="J7790" s="195">
        <v>-8.3937519999999992</v>
      </c>
      <c r="K7790" s="195">
        <v>-6.7934390000000002</v>
      </c>
      <c r="L7790" s="195">
        <v>-7.7061469999999996</v>
      </c>
      <c r="M7790" s="195">
        <v>-4.9516799999999996</v>
      </c>
      <c r="N7790" s="195">
        <v>-4.5938299999999996</v>
      </c>
    </row>
    <row r="7791" spans="1:14" hidden="1" x14ac:dyDescent="0.35">
      <c r="A7791" s="52" t="s">
        <v>756</v>
      </c>
      <c r="B7791" s="52" t="s">
        <v>34</v>
      </c>
      <c r="C7791" s="52" t="s">
        <v>33</v>
      </c>
      <c r="D7791" s="52" t="s">
        <v>33</v>
      </c>
      <c r="E7791" s="52" t="s">
        <v>605</v>
      </c>
      <c r="F7791" s="52" t="s">
        <v>26</v>
      </c>
      <c r="G7791" s="195" t="s">
        <v>279</v>
      </c>
      <c r="H7791" s="195">
        <v>112.95650000000001</v>
      </c>
      <c r="I7791" s="195">
        <v>117.4187</v>
      </c>
      <c r="J7791" s="195">
        <v>103.49509999999999</v>
      </c>
      <c r="K7791" s="195">
        <v>85.105360000000005</v>
      </c>
      <c r="L7791" s="195">
        <v>79.675319999999999</v>
      </c>
      <c r="M7791" s="195">
        <v>61.42512</v>
      </c>
      <c r="N7791" s="195">
        <v>55.527830000000002</v>
      </c>
    </row>
    <row r="7792" spans="1:14" hidden="1" x14ac:dyDescent="0.35">
      <c r="A7792" s="52" t="s">
        <v>756</v>
      </c>
      <c r="B7792" s="52" t="s">
        <v>34</v>
      </c>
      <c r="C7792" s="52" t="s">
        <v>33</v>
      </c>
      <c r="D7792" s="52" t="s">
        <v>33</v>
      </c>
      <c r="E7792" s="52" t="s">
        <v>584</v>
      </c>
      <c r="F7792" s="52" t="s">
        <v>581</v>
      </c>
      <c r="G7792" s="195" t="s">
        <v>275</v>
      </c>
      <c r="H7792" s="195">
        <v>4.900773</v>
      </c>
      <c r="I7792" s="195">
        <v>-0.10315199999999999</v>
      </c>
      <c r="J7792" s="195">
        <v>-0.48331279999999999</v>
      </c>
      <c r="K7792" s="195">
        <v>-11.309290000000001</v>
      </c>
      <c r="L7792" s="195">
        <v>-4.3725779999999999</v>
      </c>
      <c r="M7792" s="195">
        <v>-3.149127</v>
      </c>
      <c r="N7792" s="195">
        <v>-2.4441120000000001</v>
      </c>
    </row>
    <row r="7793" spans="1:14" hidden="1" x14ac:dyDescent="0.35">
      <c r="A7793" s="52" t="s">
        <v>756</v>
      </c>
      <c r="B7793" s="52" t="s">
        <v>34</v>
      </c>
      <c r="C7793" s="52" t="s">
        <v>33</v>
      </c>
      <c r="D7793" s="52" t="s">
        <v>33</v>
      </c>
      <c r="E7793" s="52" t="s">
        <v>584</v>
      </c>
      <c r="F7793" s="52" t="s">
        <v>581</v>
      </c>
      <c r="G7793" s="195" t="s">
        <v>276</v>
      </c>
      <c r="H7793" s="195">
        <v>1.7669459999999999</v>
      </c>
      <c r="I7793" s="195">
        <v>-3.4384199999999997E-2</v>
      </c>
      <c r="J7793" s="195">
        <v>-0.1526248</v>
      </c>
      <c r="K7793" s="195">
        <v>-2.8284829999999999</v>
      </c>
      <c r="L7793" s="195">
        <v>-0.65246769999999998</v>
      </c>
      <c r="M7793" s="195">
        <v>-0.71039960000000002</v>
      </c>
      <c r="N7793" s="195">
        <v>-0.85373600000000005</v>
      </c>
    </row>
    <row r="7794" spans="1:14" hidden="1" x14ac:dyDescent="0.35">
      <c r="A7794" s="52" t="s">
        <v>756</v>
      </c>
      <c r="B7794" s="52" t="s">
        <v>34</v>
      </c>
      <c r="C7794" s="52" t="s">
        <v>33</v>
      </c>
      <c r="D7794" s="52" t="s">
        <v>33</v>
      </c>
      <c r="E7794" s="52" t="s">
        <v>584</v>
      </c>
      <c r="F7794" s="52" t="s">
        <v>581</v>
      </c>
      <c r="G7794" s="195" t="s">
        <v>277</v>
      </c>
      <c r="H7794" s="195">
        <v>0</v>
      </c>
      <c r="I7794" s="195">
        <v>0</v>
      </c>
      <c r="J7794" s="195">
        <v>0</v>
      </c>
      <c r="K7794" s="195"/>
      <c r="L7794" s="195">
        <v>3.8295669999999999</v>
      </c>
      <c r="M7794" s="195">
        <v>3.2162280000000001</v>
      </c>
      <c r="N7794" s="195">
        <v>2.7084619999999999</v>
      </c>
    </row>
    <row r="7795" spans="1:14" hidden="1" x14ac:dyDescent="0.35">
      <c r="A7795" s="52" t="s">
        <v>756</v>
      </c>
      <c r="B7795" s="52" t="s">
        <v>34</v>
      </c>
      <c r="C7795" s="52" t="s">
        <v>33</v>
      </c>
      <c r="D7795" s="52" t="s">
        <v>33</v>
      </c>
      <c r="E7795" s="52" t="s">
        <v>584</v>
      </c>
      <c r="F7795" s="52" t="s">
        <v>581</v>
      </c>
      <c r="G7795" s="195" t="s">
        <v>278</v>
      </c>
      <c r="H7795" s="195">
        <v>0</v>
      </c>
      <c r="I7795" s="195"/>
      <c r="J7795" s="195"/>
      <c r="K7795" s="195"/>
      <c r="L7795" s="195"/>
      <c r="M7795" s="195"/>
      <c r="N7795" s="195"/>
    </row>
    <row r="7796" spans="1:14" hidden="1" x14ac:dyDescent="0.35">
      <c r="A7796" s="52" t="s">
        <v>756</v>
      </c>
      <c r="B7796" s="52" t="s">
        <v>34</v>
      </c>
      <c r="C7796" s="52" t="s">
        <v>33</v>
      </c>
      <c r="D7796" s="52" t="s">
        <v>33</v>
      </c>
      <c r="E7796" s="52" t="s">
        <v>584</v>
      </c>
      <c r="F7796" s="52" t="s">
        <v>581</v>
      </c>
      <c r="G7796" s="195" t="s">
        <v>279</v>
      </c>
      <c r="H7796" s="195">
        <v>4.8018599999999996</v>
      </c>
      <c r="I7796" s="195">
        <v>4.7887110000000002</v>
      </c>
      <c r="J7796" s="195">
        <v>4.7929130000000004</v>
      </c>
      <c r="K7796" s="195">
        <v>15.19304</v>
      </c>
      <c r="L7796" s="195">
        <v>4.5036050000000003</v>
      </c>
      <c r="M7796" s="195">
        <v>3.4035169999999999</v>
      </c>
      <c r="N7796" s="195">
        <v>2.907438</v>
      </c>
    </row>
    <row r="7797" spans="1:14" hidden="1" x14ac:dyDescent="0.35">
      <c r="A7797" s="52" t="s">
        <v>756</v>
      </c>
      <c r="B7797" s="52" t="s">
        <v>34</v>
      </c>
      <c r="C7797" s="52" t="s">
        <v>33</v>
      </c>
      <c r="D7797" s="52" t="s">
        <v>33</v>
      </c>
      <c r="E7797" s="52" t="s">
        <v>584</v>
      </c>
      <c r="F7797" s="52" t="s">
        <v>26</v>
      </c>
      <c r="G7797" s="195" t="s">
        <v>275</v>
      </c>
      <c r="H7797" s="195">
        <v>-6.2478879999999997</v>
      </c>
      <c r="I7797" s="195">
        <v>-6.8993539999999998</v>
      </c>
      <c r="J7797" s="195">
        <v>-5.095199</v>
      </c>
      <c r="K7797" s="195">
        <v>-19.374919999999999</v>
      </c>
      <c r="L7797" s="195">
        <v>-2.9610690000000002</v>
      </c>
      <c r="M7797" s="195">
        <v>-2.3368009999999999</v>
      </c>
      <c r="N7797" s="195">
        <v>-2.167106</v>
      </c>
    </row>
    <row r="7798" spans="1:14" hidden="1" x14ac:dyDescent="0.35">
      <c r="A7798" s="52" t="s">
        <v>756</v>
      </c>
      <c r="B7798" s="52" t="s">
        <v>34</v>
      </c>
      <c r="C7798" s="52" t="s">
        <v>33</v>
      </c>
      <c r="D7798" s="52" t="s">
        <v>33</v>
      </c>
      <c r="E7798" s="52" t="s">
        <v>584</v>
      </c>
      <c r="F7798" s="52" t="s">
        <v>26</v>
      </c>
      <c r="G7798" s="195" t="s">
        <v>276</v>
      </c>
      <c r="H7798" s="195">
        <v>-4.1321500000000002</v>
      </c>
      <c r="I7798" s="195">
        <v>-3.2718419999999999</v>
      </c>
      <c r="J7798" s="195">
        <v>-2.539873</v>
      </c>
      <c r="K7798" s="195">
        <v>-6.8967700000000001</v>
      </c>
      <c r="L7798" s="195">
        <v>-1.5698080000000001</v>
      </c>
      <c r="M7798" s="195">
        <v>-0.95755290000000004</v>
      </c>
      <c r="N7798" s="195">
        <v>-0.6983914</v>
      </c>
    </row>
    <row r="7799" spans="1:14" hidden="1" x14ac:dyDescent="0.35">
      <c r="A7799" s="52" t="s">
        <v>756</v>
      </c>
      <c r="B7799" s="52" t="s">
        <v>34</v>
      </c>
      <c r="C7799" s="52" t="s">
        <v>33</v>
      </c>
      <c r="D7799" s="52" t="s">
        <v>33</v>
      </c>
      <c r="E7799" s="52" t="s">
        <v>584</v>
      </c>
      <c r="F7799" s="52" t="s">
        <v>26</v>
      </c>
      <c r="G7799" s="195" t="s">
        <v>277</v>
      </c>
      <c r="H7799" s="195">
        <v>6.0779420000000002</v>
      </c>
      <c r="I7799" s="195">
        <v>5.5205339999999996</v>
      </c>
      <c r="J7799" s="195">
        <v>2.791741</v>
      </c>
      <c r="K7799" s="195"/>
      <c r="L7799" s="195"/>
      <c r="M7799" s="195"/>
      <c r="N7799" s="195">
        <v>0</v>
      </c>
    </row>
    <row r="7800" spans="1:14" hidden="1" x14ac:dyDescent="0.35">
      <c r="A7800" s="52" t="s">
        <v>756</v>
      </c>
      <c r="B7800" s="52" t="s">
        <v>34</v>
      </c>
      <c r="C7800" s="52" t="s">
        <v>33</v>
      </c>
      <c r="D7800" s="52" t="s">
        <v>33</v>
      </c>
      <c r="E7800" s="52" t="s">
        <v>584</v>
      </c>
      <c r="F7800" s="52" t="s">
        <v>26</v>
      </c>
      <c r="G7800" s="195" t="s">
        <v>278</v>
      </c>
      <c r="H7800" s="195">
        <v>0</v>
      </c>
      <c r="I7800" s="195"/>
      <c r="J7800" s="195"/>
      <c r="K7800" s="195"/>
      <c r="L7800" s="195"/>
      <c r="M7800" s="195"/>
      <c r="N7800" s="195"/>
    </row>
    <row r="7801" spans="1:14" hidden="1" x14ac:dyDescent="0.35">
      <c r="A7801" s="52" t="s">
        <v>756</v>
      </c>
      <c r="B7801" s="52" t="s">
        <v>34</v>
      </c>
      <c r="C7801" s="52" t="s">
        <v>33</v>
      </c>
      <c r="D7801" s="52" t="s">
        <v>33</v>
      </c>
      <c r="E7801" s="52" t="s">
        <v>584</v>
      </c>
      <c r="F7801" s="52" t="s">
        <v>26</v>
      </c>
      <c r="G7801" s="195" t="s">
        <v>279</v>
      </c>
      <c r="H7801" s="195">
        <v>7.935829</v>
      </c>
      <c r="I7801" s="195">
        <v>7.8267049999999996</v>
      </c>
      <c r="J7801" s="195">
        <v>7.7443289999999996</v>
      </c>
      <c r="K7801" s="195">
        <v>28.12799</v>
      </c>
      <c r="L7801" s="195">
        <v>6.7453859999999999</v>
      </c>
      <c r="M7801" s="195">
        <v>5.2235550000000002</v>
      </c>
      <c r="N7801" s="195">
        <v>4.5450460000000001</v>
      </c>
    </row>
    <row r="7802" spans="1:14" hidden="1" x14ac:dyDescent="0.35">
      <c r="A7802" s="52" t="s">
        <v>766</v>
      </c>
      <c r="B7802" s="52" t="s">
        <v>37</v>
      </c>
      <c r="C7802" s="52" t="s">
        <v>218</v>
      </c>
      <c r="D7802" s="52" t="s">
        <v>218</v>
      </c>
      <c r="E7802" s="52" t="s">
        <v>593</v>
      </c>
      <c r="F7802" s="52" t="s">
        <v>581</v>
      </c>
      <c r="G7802" s="195" t="s">
        <v>275</v>
      </c>
      <c r="H7802" s="195">
        <v>99.299390000000002</v>
      </c>
      <c r="I7802" s="195">
        <v>20.85211</v>
      </c>
      <c r="J7802" s="195">
        <v>37.674190000000003</v>
      </c>
      <c r="K7802" s="195">
        <v>55.053759999999997</v>
      </c>
      <c r="L7802" s="195">
        <v>25.753740000000001</v>
      </c>
      <c r="M7802" s="195">
        <v>18.13541</v>
      </c>
      <c r="N7802" s="195">
        <v>12.357659999999999</v>
      </c>
    </row>
    <row r="7803" spans="1:14" hidden="1" x14ac:dyDescent="0.35">
      <c r="A7803" s="52" t="s">
        <v>766</v>
      </c>
      <c r="B7803" s="52" t="s">
        <v>37</v>
      </c>
      <c r="C7803" s="52" t="s">
        <v>218</v>
      </c>
      <c r="D7803" s="52" t="s">
        <v>218</v>
      </c>
      <c r="E7803" s="52" t="s">
        <v>593</v>
      </c>
      <c r="F7803" s="52" t="s">
        <v>581</v>
      </c>
      <c r="G7803" s="195" t="s">
        <v>276</v>
      </c>
      <c r="H7803" s="195">
        <v>2.2235779999999998</v>
      </c>
      <c r="I7803" s="195">
        <v>-17.22035</v>
      </c>
      <c r="J7803" s="195">
        <v>-24.255610000000001</v>
      </c>
      <c r="K7803" s="195">
        <v>-29.15099</v>
      </c>
      <c r="L7803" s="195">
        <v>-8.4885920000000006</v>
      </c>
      <c r="M7803" s="195">
        <v>-1.060346</v>
      </c>
      <c r="N7803" s="195">
        <v>0.701851</v>
      </c>
    </row>
    <row r="7804" spans="1:14" hidden="1" x14ac:dyDescent="0.35">
      <c r="A7804" s="52" t="s">
        <v>766</v>
      </c>
      <c r="B7804" s="52" t="s">
        <v>37</v>
      </c>
      <c r="C7804" s="52" t="s">
        <v>218</v>
      </c>
      <c r="D7804" s="52" t="s">
        <v>218</v>
      </c>
      <c r="E7804" s="52" t="s">
        <v>593</v>
      </c>
      <c r="F7804" s="52" t="s">
        <v>581</v>
      </c>
      <c r="G7804" s="195" t="s">
        <v>277</v>
      </c>
      <c r="H7804" s="195">
        <v>128.47550000000001</v>
      </c>
      <c r="I7804" s="195">
        <v>39.076149999999998</v>
      </c>
      <c r="J7804" s="195">
        <v>16.529450000000001</v>
      </c>
      <c r="K7804" s="195">
        <v>4.3002010000000004</v>
      </c>
      <c r="L7804" s="195">
        <v>3.1166800000000001</v>
      </c>
      <c r="M7804" s="195">
        <v>0</v>
      </c>
      <c r="N7804" s="195">
        <v>0</v>
      </c>
    </row>
    <row r="7805" spans="1:14" hidden="1" x14ac:dyDescent="0.35">
      <c r="A7805" s="52" t="s">
        <v>766</v>
      </c>
      <c r="B7805" s="52" t="s">
        <v>37</v>
      </c>
      <c r="C7805" s="52" t="s">
        <v>218</v>
      </c>
      <c r="D7805" s="52" t="s">
        <v>218</v>
      </c>
      <c r="E7805" s="52" t="s">
        <v>593</v>
      </c>
      <c r="F7805" s="52" t="s">
        <v>581</v>
      </c>
      <c r="G7805" s="195" t="s">
        <v>278</v>
      </c>
      <c r="H7805" s="195">
        <v>3.5407000000000001E-2</v>
      </c>
      <c r="I7805" s="195">
        <v>6.04617</v>
      </c>
      <c r="J7805" s="195">
        <v>4.2334379999999996</v>
      </c>
      <c r="K7805" s="195">
        <v>2.3889649999999998</v>
      </c>
      <c r="L7805" s="195">
        <v>1.0076689999999999</v>
      </c>
      <c r="M7805" s="195">
        <v>0</v>
      </c>
      <c r="N7805" s="195">
        <v>0</v>
      </c>
    </row>
    <row r="7806" spans="1:14" hidden="1" x14ac:dyDescent="0.35">
      <c r="A7806" s="52" t="s">
        <v>766</v>
      </c>
      <c r="B7806" s="52" t="s">
        <v>37</v>
      </c>
      <c r="C7806" s="52" t="s">
        <v>218</v>
      </c>
      <c r="D7806" s="52" t="s">
        <v>218</v>
      </c>
      <c r="E7806" s="52" t="s">
        <v>593</v>
      </c>
      <c r="F7806" s="52" t="s">
        <v>581</v>
      </c>
      <c r="G7806" s="195" t="s">
        <v>279</v>
      </c>
      <c r="H7806" s="195">
        <v>67.418469999999999</v>
      </c>
      <c r="I7806" s="195">
        <v>39.023589999999999</v>
      </c>
      <c r="J7806" s="195">
        <v>32.830950000000001</v>
      </c>
      <c r="K7806" s="195">
        <v>32.094819999999999</v>
      </c>
      <c r="L7806" s="195">
        <v>26.989409999999999</v>
      </c>
      <c r="M7806" s="195">
        <v>21.35868</v>
      </c>
      <c r="N7806" s="195">
        <v>16.335550000000001</v>
      </c>
    </row>
    <row r="7807" spans="1:14" hidden="1" x14ac:dyDescent="0.35">
      <c r="A7807" s="52" t="s">
        <v>766</v>
      </c>
      <c r="B7807" s="52" t="s">
        <v>37</v>
      </c>
      <c r="C7807" s="52" t="s">
        <v>218</v>
      </c>
      <c r="D7807" s="52" t="s">
        <v>218</v>
      </c>
      <c r="E7807" s="52" t="s">
        <v>593</v>
      </c>
      <c r="F7807" s="52" t="s">
        <v>26</v>
      </c>
      <c r="G7807" s="195" t="s">
        <v>275</v>
      </c>
      <c r="H7807" s="195">
        <v>3.8801779999999999</v>
      </c>
      <c r="I7807" s="195">
        <v>1.52928</v>
      </c>
      <c r="J7807" s="195">
        <v>1.670755</v>
      </c>
      <c r="K7807" s="195">
        <v>1.3383910000000001</v>
      </c>
      <c r="L7807" s="195">
        <v>5.2540789999999997E-2</v>
      </c>
      <c r="M7807" s="195">
        <v>3.9895E-2</v>
      </c>
      <c r="N7807" s="195">
        <v>2.9500209999999999E-2</v>
      </c>
    </row>
    <row r="7808" spans="1:14" hidden="1" x14ac:dyDescent="0.35">
      <c r="A7808" s="52" t="s">
        <v>766</v>
      </c>
      <c r="B7808" s="52" t="s">
        <v>37</v>
      </c>
      <c r="C7808" s="52" t="s">
        <v>218</v>
      </c>
      <c r="D7808" s="52" t="s">
        <v>218</v>
      </c>
      <c r="E7808" s="52" t="s">
        <v>593</v>
      </c>
      <c r="F7808" s="52" t="s">
        <v>26</v>
      </c>
      <c r="G7808" s="195" t="s">
        <v>276</v>
      </c>
      <c r="H7808" s="195">
        <v>1.0314430000000001</v>
      </c>
      <c r="I7808" s="195">
        <v>0.40651720000000002</v>
      </c>
      <c r="J7808" s="195">
        <v>0.44412560000000001</v>
      </c>
      <c r="K7808" s="195">
        <v>0.35577540000000002</v>
      </c>
      <c r="L7808" s="195">
        <v>1.39656E-2</v>
      </c>
      <c r="M7808" s="195">
        <v>1.0605E-2</v>
      </c>
      <c r="N7808" s="195">
        <v>7.8411939999999992E-3</v>
      </c>
    </row>
    <row r="7809" spans="1:14" hidden="1" x14ac:dyDescent="0.35">
      <c r="A7809" s="52" t="s">
        <v>766</v>
      </c>
      <c r="B7809" s="52" t="s">
        <v>37</v>
      </c>
      <c r="C7809" s="52" t="s">
        <v>218</v>
      </c>
      <c r="D7809" s="52" t="s">
        <v>218</v>
      </c>
      <c r="E7809" s="52" t="s">
        <v>593</v>
      </c>
      <c r="F7809" s="52" t="s">
        <v>26</v>
      </c>
      <c r="G7809" s="195" t="s">
        <v>279</v>
      </c>
      <c r="H7809" s="195">
        <v>16.485869999999998</v>
      </c>
      <c r="I7809" s="195">
        <v>14.59144</v>
      </c>
      <c r="J7809" s="195">
        <v>12.29997</v>
      </c>
      <c r="K7809" s="195">
        <v>12.037240000000001</v>
      </c>
      <c r="L7809" s="195">
        <v>10.129490000000001</v>
      </c>
      <c r="M7809" s="195">
        <v>7.9699460000000002</v>
      </c>
      <c r="N7809" s="195">
        <v>6.0902500000000002</v>
      </c>
    </row>
    <row r="7810" spans="1:14" hidden="1" x14ac:dyDescent="0.35">
      <c r="A7810" s="52" t="s">
        <v>766</v>
      </c>
      <c r="B7810" s="52" t="s">
        <v>37</v>
      </c>
      <c r="C7810" s="52" t="s">
        <v>218</v>
      </c>
      <c r="D7810" s="52" t="s">
        <v>218</v>
      </c>
      <c r="E7810" s="52" t="s">
        <v>594</v>
      </c>
      <c r="F7810" s="52" t="s">
        <v>581</v>
      </c>
      <c r="G7810" s="195" t="s">
        <v>275</v>
      </c>
      <c r="H7810" s="195">
        <v>-130.36009999999999</v>
      </c>
      <c r="I7810" s="195">
        <v>15.99339</v>
      </c>
      <c r="J7810" s="195">
        <v>3.7335630000000002</v>
      </c>
      <c r="K7810" s="195">
        <v>11.40765</v>
      </c>
      <c r="L7810" s="195">
        <v>26.767690000000002</v>
      </c>
      <c r="M7810" s="195">
        <v>8.3026140000000002</v>
      </c>
      <c r="N7810" s="195">
        <v>6.292923</v>
      </c>
    </row>
    <row r="7811" spans="1:14" hidden="1" x14ac:dyDescent="0.35">
      <c r="A7811" s="52" t="s">
        <v>766</v>
      </c>
      <c r="B7811" s="52" t="s">
        <v>37</v>
      </c>
      <c r="C7811" s="52" t="s">
        <v>218</v>
      </c>
      <c r="D7811" s="52" t="s">
        <v>218</v>
      </c>
      <c r="E7811" s="52" t="s">
        <v>594</v>
      </c>
      <c r="F7811" s="52" t="s">
        <v>581</v>
      </c>
      <c r="G7811" s="195" t="s">
        <v>276</v>
      </c>
      <c r="H7811" s="195">
        <v>2.124161</v>
      </c>
      <c r="I7811" s="195">
        <v>-11.06616</v>
      </c>
      <c r="J7811" s="195">
        <v>-13.561820000000001</v>
      </c>
      <c r="K7811" s="195">
        <v>-16.725090000000002</v>
      </c>
      <c r="L7811" s="195">
        <v>-17.6965</v>
      </c>
      <c r="M7811" s="195">
        <v>-0.22429170000000001</v>
      </c>
      <c r="N7811" s="195">
        <v>-1.00621</v>
      </c>
    </row>
    <row r="7812" spans="1:14" hidden="1" x14ac:dyDescent="0.35">
      <c r="A7812" s="52" t="s">
        <v>766</v>
      </c>
      <c r="B7812" s="52" t="s">
        <v>37</v>
      </c>
      <c r="C7812" s="52" t="s">
        <v>218</v>
      </c>
      <c r="D7812" s="52" t="s">
        <v>218</v>
      </c>
      <c r="E7812" s="52" t="s">
        <v>594</v>
      </c>
      <c r="F7812" s="52" t="s">
        <v>581</v>
      </c>
      <c r="G7812" s="195" t="s">
        <v>277</v>
      </c>
      <c r="H7812" s="195">
        <v>216.03569999999999</v>
      </c>
      <c r="I7812" s="195">
        <v>8.4972510000000003</v>
      </c>
      <c r="J7812" s="195">
        <v>16.360309999999998</v>
      </c>
      <c r="K7812" s="195">
        <v>16.85371</v>
      </c>
      <c r="L7812" s="195">
        <v>2.3529330000000002</v>
      </c>
      <c r="M7812" s="195">
        <v>0.63725500000000002</v>
      </c>
      <c r="N7812" s="195">
        <v>1.8237129999999999</v>
      </c>
    </row>
    <row r="7813" spans="1:14" hidden="1" x14ac:dyDescent="0.35">
      <c r="A7813" s="52" t="s">
        <v>766</v>
      </c>
      <c r="B7813" s="52" t="s">
        <v>37</v>
      </c>
      <c r="C7813" s="52" t="s">
        <v>218</v>
      </c>
      <c r="D7813" s="52" t="s">
        <v>218</v>
      </c>
      <c r="E7813" s="52" t="s">
        <v>594</v>
      </c>
      <c r="F7813" s="52" t="s">
        <v>581</v>
      </c>
      <c r="G7813" s="195" t="s">
        <v>278</v>
      </c>
      <c r="H7813" s="195">
        <v>7.7593999999999996E-2</v>
      </c>
      <c r="I7813" s="195">
        <v>2.0452889999999999</v>
      </c>
      <c r="J7813" s="195">
        <v>5.5050470000000002</v>
      </c>
      <c r="K7813" s="195">
        <v>3.692043</v>
      </c>
      <c r="L7813" s="195">
        <v>0.57885180000000003</v>
      </c>
      <c r="M7813" s="195">
        <v>0</v>
      </c>
      <c r="N7813" s="195"/>
    </row>
    <row r="7814" spans="1:14" hidden="1" x14ac:dyDescent="0.35">
      <c r="A7814" s="52" t="s">
        <v>766</v>
      </c>
      <c r="B7814" s="52" t="s">
        <v>37</v>
      </c>
      <c r="C7814" s="52" t="s">
        <v>218</v>
      </c>
      <c r="D7814" s="52" t="s">
        <v>218</v>
      </c>
      <c r="E7814" s="52" t="s">
        <v>594</v>
      </c>
      <c r="F7814" s="52" t="s">
        <v>581</v>
      </c>
      <c r="G7814" s="195" t="s">
        <v>279</v>
      </c>
      <c r="H7814" s="195">
        <v>33.364780000000003</v>
      </c>
      <c r="I7814" s="195">
        <v>19.204370000000001</v>
      </c>
      <c r="J7814" s="195">
        <v>18.526029999999999</v>
      </c>
      <c r="K7814" s="195">
        <v>24.74559</v>
      </c>
      <c r="L7814" s="195">
        <v>26.174160000000001</v>
      </c>
      <c r="M7814" s="195">
        <v>18.03546</v>
      </c>
      <c r="N7814" s="195">
        <v>14.576700000000001</v>
      </c>
    </row>
    <row r="7815" spans="1:14" hidden="1" x14ac:dyDescent="0.35">
      <c r="A7815" s="52" t="s">
        <v>766</v>
      </c>
      <c r="B7815" s="52" t="s">
        <v>37</v>
      </c>
      <c r="C7815" s="52" t="s">
        <v>218</v>
      </c>
      <c r="D7815" s="52" t="s">
        <v>218</v>
      </c>
      <c r="E7815" s="52" t="s">
        <v>594</v>
      </c>
      <c r="F7815" s="52" t="s">
        <v>26</v>
      </c>
      <c r="G7815" s="195" t="s">
        <v>275</v>
      </c>
      <c r="H7815" s="195">
        <v>-0.89644100000000004</v>
      </c>
      <c r="I7815" s="195">
        <v>-0.55682359999999997</v>
      </c>
      <c r="J7815" s="195">
        <v>-0.51203319999999997</v>
      </c>
      <c r="K7815" s="195">
        <v>-0.74175500000000005</v>
      </c>
      <c r="L7815" s="195">
        <v>-0.89390460000000005</v>
      </c>
      <c r="M7815" s="195">
        <v>-0.61037520000000001</v>
      </c>
      <c r="N7815" s="195">
        <v>-0.4920812</v>
      </c>
    </row>
    <row r="7816" spans="1:14" hidden="1" x14ac:dyDescent="0.35">
      <c r="A7816" s="52" t="s">
        <v>766</v>
      </c>
      <c r="B7816" s="52" t="s">
        <v>37</v>
      </c>
      <c r="C7816" s="52" t="s">
        <v>218</v>
      </c>
      <c r="D7816" s="52" t="s">
        <v>218</v>
      </c>
      <c r="E7816" s="52" t="s">
        <v>594</v>
      </c>
      <c r="F7816" s="52" t="s">
        <v>26</v>
      </c>
      <c r="G7816" s="195" t="s">
        <v>276</v>
      </c>
      <c r="H7816" s="195">
        <v>-0.23829500000000001</v>
      </c>
      <c r="I7816" s="195">
        <v>-0.14801839999999999</v>
      </c>
      <c r="J7816" s="195">
        <v>-0.13610920000000001</v>
      </c>
      <c r="K7816" s="195">
        <v>-0.19717380000000001</v>
      </c>
      <c r="L7816" s="195">
        <v>-0.237622</v>
      </c>
      <c r="M7816" s="195">
        <v>-0.16225100000000001</v>
      </c>
      <c r="N7816" s="195">
        <v>-0.13080639999999999</v>
      </c>
    </row>
    <row r="7817" spans="1:14" hidden="1" x14ac:dyDescent="0.35">
      <c r="A7817" s="52" t="s">
        <v>766</v>
      </c>
      <c r="B7817" s="52" t="s">
        <v>37</v>
      </c>
      <c r="C7817" s="52" t="s">
        <v>218</v>
      </c>
      <c r="D7817" s="52" t="s">
        <v>218</v>
      </c>
      <c r="E7817" s="52" t="s">
        <v>594</v>
      </c>
      <c r="F7817" s="52" t="s">
        <v>26</v>
      </c>
      <c r="G7817" s="195" t="s">
        <v>279</v>
      </c>
      <c r="H7817" s="195">
        <v>3.5420530000000001</v>
      </c>
      <c r="I7817" s="195">
        <v>1.7529939999999999</v>
      </c>
      <c r="J7817" s="195">
        <v>1.733781</v>
      </c>
      <c r="K7817" s="195">
        <v>2.3562729999999998</v>
      </c>
      <c r="L7817" s="195">
        <v>2.4780470000000001</v>
      </c>
      <c r="M7817" s="195">
        <v>1.7105490000000001</v>
      </c>
      <c r="N7817" s="195">
        <v>1.3821399999999999</v>
      </c>
    </row>
    <row r="7818" spans="1:14" hidden="1" x14ac:dyDescent="0.35">
      <c r="A7818" s="52" t="s">
        <v>766</v>
      </c>
      <c r="B7818" s="52" t="s">
        <v>37</v>
      </c>
      <c r="C7818" s="52" t="s">
        <v>218</v>
      </c>
      <c r="D7818" s="52" t="s">
        <v>218</v>
      </c>
      <c r="E7818" s="52" t="s">
        <v>584</v>
      </c>
      <c r="F7818" s="52" t="s">
        <v>581</v>
      </c>
      <c r="G7818" s="195" t="s">
        <v>275</v>
      </c>
      <c r="H7818" s="195">
        <v>1.102727</v>
      </c>
      <c r="I7818" s="195">
        <v>-3.0260899999999999</v>
      </c>
      <c r="J7818" s="195">
        <v>-3.229514</v>
      </c>
      <c r="K7818" s="195">
        <v>-3.9851649999999998</v>
      </c>
      <c r="L7818" s="195">
        <v>-3.8832369999999998</v>
      </c>
      <c r="M7818" s="195">
        <v>-3.9773649999999998</v>
      </c>
      <c r="N7818" s="195">
        <v>-3.9269729999999998</v>
      </c>
    </row>
    <row r="7819" spans="1:14" hidden="1" x14ac:dyDescent="0.35">
      <c r="A7819" s="52" t="s">
        <v>766</v>
      </c>
      <c r="B7819" s="52" t="s">
        <v>37</v>
      </c>
      <c r="C7819" s="52" t="s">
        <v>218</v>
      </c>
      <c r="D7819" s="52" t="s">
        <v>218</v>
      </c>
      <c r="E7819" s="52" t="s">
        <v>584</v>
      </c>
      <c r="F7819" s="52" t="s">
        <v>581</v>
      </c>
      <c r="G7819" s="195" t="s">
        <v>276</v>
      </c>
      <c r="H7819" s="195">
        <v>0.35618499999999997</v>
      </c>
      <c r="I7819" s="195">
        <v>-0.87336340000000001</v>
      </c>
      <c r="J7819" s="195">
        <v>-0.89807499999999996</v>
      </c>
      <c r="K7819" s="195">
        <v>-0.7344347</v>
      </c>
      <c r="L7819" s="195">
        <v>-1.092614</v>
      </c>
      <c r="M7819" s="195">
        <v>-0.9888633</v>
      </c>
      <c r="N7819" s="195">
        <v>-0.97838930000000002</v>
      </c>
    </row>
    <row r="7820" spans="1:14" hidden="1" x14ac:dyDescent="0.35">
      <c r="A7820" s="52" t="s">
        <v>766</v>
      </c>
      <c r="B7820" s="52" t="s">
        <v>37</v>
      </c>
      <c r="C7820" s="52" t="s">
        <v>218</v>
      </c>
      <c r="D7820" s="52" t="s">
        <v>218</v>
      </c>
      <c r="E7820" s="52" t="s">
        <v>584</v>
      </c>
      <c r="F7820" s="52" t="s">
        <v>581</v>
      </c>
      <c r="G7820" s="195" t="s">
        <v>277</v>
      </c>
      <c r="H7820" s="195">
        <v>7.0338440000000002</v>
      </c>
      <c r="I7820" s="195">
        <v>5.7805419999999996</v>
      </c>
      <c r="J7820" s="195">
        <v>5.5412999999999997</v>
      </c>
      <c r="K7820" s="195">
        <v>6.0019549999999997</v>
      </c>
      <c r="L7820" s="195">
        <v>6.1444000000000001</v>
      </c>
      <c r="M7820" s="195">
        <v>6.1798080000000004</v>
      </c>
      <c r="N7820" s="195">
        <v>6.1324149999999999</v>
      </c>
    </row>
    <row r="7821" spans="1:14" hidden="1" x14ac:dyDescent="0.35">
      <c r="A7821" s="52" t="s">
        <v>766</v>
      </c>
      <c r="B7821" s="52" t="s">
        <v>37</v>
      </c>
      <c r="C7821" s="52" t="s">
        <v>218</v>
      </c>
      <c r="D7821" s="52" t="s">
        <v>218</v>
      </c>
      <c r="E7821" s="52" t="s">
        <v>584</v>
      </c>
      <c r="F7821" s="52" t="s">
        <v>581</v>
      </c>
      <c r="G7821" s="195" t="s">
        <v>279</v>
      </c>
      <c r="H7821" s="195">
        <v>3.5758990000000002</v>
      </c>
      <c r="I7821" s="195">
        <v>2.5895570000000001</v>
      </c>
      <c r="J7821" s="195">
        <v>2.42713</v>
      </c>
      <c r="K7821" s="195">
        <v>2.584959</v>
      </c>
      <c r="L7821" s="195">
        <v>2.7307359999999998</v>
      </c>
      <c r="M7821" s="195">
        <v>2.7232259999999999</v>
      </c>
      <c r="N7821" s="195">
        <v>2.6678809999999999</v>
      </c>
    </row>
    <row r="7822" spans="1:14" hidden="1" x14ac:dyDescent="0.35">
      <c r="A7822" s="52" t="s">
        <v>766</v>
      </c>
      <c r="B7822" s="52" t="s">
        <v>37</v>
      </c>
      <c r="C7822" s="52" t="s">
        <v>218</v>
      </c>
      <c r="D7822" s="52" t="s">
        <v>218</v>
      </c>
      <c r="E7822" s="52" t="s">
        <v>584</v>
      </c>
      <c r="F7822" s="52" t="s">
        <v>26</v>
      </c>
      <c r="G7822" s="195" t="s">
        <v>275</v>
      </c>
      <c r="H7822" s="195">
        <v>-3.5132999999999998E-2</v>
      </c>
      <c r="I7822" s="195">
        <v>-0.16967940000000001</v>
      </c>
      <c r="J7822" s="195">
        <v>-0.11323279999999999</v>
      </c>
      <c r="K7822" s="195">
        <v>-0.224333</v>
      </c>
      <c r="L7822" s="195">
        <v>-0.30970379999999997</v>
      </c>
      <c r="M7822" s="195">
        <v>-0.29378779999999999</v>
      </c>
      <c r="N7822" s="195">
        <v>-0.27608719999999998</v>
      </c>
    </row>
    <row r="7823" spans="1:14" hidden="1" x14ac:dyDescent="0.35">
      <c r="A7823" s="52" t="s">
        <v>766</v>
      </c>
      <c r="B7823" s="52" t="s">
        <v>37</v>
      </c>
      <c r="C7823" s="52" t="s">
        <v>218</v>
      </c>
      <c r="D7823" s="52" t="s">
        <v>218</v>
      </c>
      <c r="E7823" s="52" t="s">
        <v>584</v>
      </c>
      <c r="F7823" s="52" t="s">
        <v>26</v>
      </c>
      <c r="G7823" s="195" t="s">
        <v>276</v>
      </c>
      <c r="H7823" s="195">
        <v>-9.3399989999999999E-3</v>
      </c>
      <c r="I7823" s="195">
        <v>-4.5104789999999999E-2</v>
      </c>
      <c r="J7823" s="195">
        <v>-3.0100399999999999E-2</v>
      </c>
      <c r="K7823" s="195">
        <v>-5.9633400000000003E-2</v>
      </c>
      <c r="L7823" s="195">
        <v>-8.2327010000000006E-2</v>
      </c>
      <c r="M7823" s="195">
        <v>-7.8096399999999996E-2</v>
      </c>
      <c r="N7823" s="195">
        <v>-7.3390800000000006E-2</v>
      </c>
    </row>
    <row r="7824" spans="1:14" hidden="1" x14ac:dyDescent="0.35">
      <c r="A7824" s="52" t="s">
        <v>766</v>
      </c>
      <c r="B7824" s="52" t="s">
        <v>37</v>
      </c>
      <c r="C7824" s="52" t="s">
        <v>218</v>
      </c>
      <c r="D7824" s="52" t="s">
        <v>218</v>
      </c>
      <c r="E7824" s="52" t="s">
        <v>584</v>
      </c>
      <c r="F7824" s="52" t="s">
        <v>26</v>
      </c>
      <c r="G7824" s="195" t="s">
        <v>279</v>
      </c>
      <c r="H7824" s="195">
        <v>2.0947309999999999</v>
      </c>
      <c r="I7824" s="195">
        <v>1.777166</v>
      </c>
      <c r="J7824" s="195">
        <v>1.723176</v>
      </c>
      <c r="K7824" s="195">
        <v>1.8758300000000001</v>
      </c>
      <c r="L7824" s="195">
        <v>1.9401619999999999</v>
      </c>
      <c r="M7824" s="195">
        <v>1.8369880000000001</v>
      </c>
      <c r="N7824" s="195">
        <v>1.7409870000000001</v>
      </c>
    </row>
    <row r="7825" spans="1:14" hidden="1" x14ac:dyDescent="0.35">
      <c r="A7825" s="52" t="s">
        <v>766</v>
      </c>
      <c r="B7825" s="52" t="s">
        <v>37</v>
      </c>
      <c r="C7825" s="52" t="s">
        <v>218</v>
      </c>
      <c r="D7825" s="52" t="s">
        <v>218</v>
      </c>
      <c r="E7825" s="52" t="s">
        <v>730</v>
      </c>
      <c r="F7825" s="52" t="s">
        <v>581</v>
      </c>
      <c r="G7825" s="195" t="s">
        <v>275</v>
      </c>
      <c r="H7825" s="195"/>
      <c r="I7825" s="195"/>
      <c r="J7825" s="195"/>
      <c r="K7825" s="195">
        <v>0</v>
      </c>
      <c r="L7825" s="195">
        <v>-7.9243599999999997E-2</v>
      </c>
      <c r="M7825" s="195">
        <v>1.6118E-3</v>
      </c>
      <c r="N7825" s="195">
        <v>1.0872E-3</v>
      </c>
    </row>
    <row r="7826" spans="1:14" hidden="1" x14ac:dyDescent="0.35">
      <c r="A7826" s="52" t="s">
        <v>766</v>
      </c>
      <c r="B7826" s="52" t="s">
        <v>37</v>
      </c>
      <c r="C7826" s="52" t="s">
        <v>218</v>
      </c>
      <c r="D7826" s="52" t="s">
        <v>218</v>
      </c>
      <c r="E7826" s="52" t="s">
        <v>730</v>
      </c>
      <c r="F7826" s="52" t="s">
        <v>581</v>
      </c>
      <c r="G7826" s="195" t="s">
        <v>276</v>
      </c>
      <c r="H7826" s="195"/>
      <c r="I7826" s="195"/>
      <c r="J7826" s="195"/>
      <c r="K7826" s="195">
        <v>0</v>
      </c>
      <c r="L7826" s="195">
        <v>-1.7417200000000001E-2</v>
      </c>
      <c r="M7826" s="195">
        <v>-3.0200000000000002E-4</v>
      </c>
      <c r="N7826" s="195">
        <v>-2.9559999999999998E-4</v>
      </c>
    </row>
    <row r="7827" spans="1:14" hidden="1" x14ac:dyDescent="0.35">
      <c r="A7827" s="52" t="s">
        <v>766</v>
      </c>
      <c r="B7827" s="52" t="s">
        <v>37</v>
      </c>
      <c r="C7827" s="52" t="s">
        <v>218</v>
      </c>
      <c r="D7827" s="52" t="s">
        <v>218</v>
      </c>
      <c r="E7827" s="52" t="s">
        <v>730</v>
      </c>
      <c r="F7827" s="52" t="s">
        <v>581</v>
      </c>
      <c r="G7827" s="195" t="s">
        <v>277</v>
      </c>
      <c r="H7827" s="195"/>
      <c r="I7827" s="195"/>
      <c r="J7827" s="195"/>
      <c r="K7827" s="195">
        <v>0</v>
      </c>
      <c r="L7827" s="195">
        <v>4.8091999999999996E-3</v>
      </c>
      <c r="M7827" s="195">
        <v>0</v>
      </c>
      <c r="N7827" s="195">
        <v>0</v>
      </c>
    </row>
    <row r="7828" spans="1:14" hidden="1" x14ac:dyDescent="0.35">
      <c r="A7828" s="52" t="s">
        <v>766</v>
      </c>
      <c r="B7828" s="52" t="s">
        <v>37</v>
      </c>
      <c r="C7828" s="52" t="s">
        <v>218</v>
      </c>
      <c r="D7828" s="52" t="s">
        <v>218</v>
      </c>
      <c r="E7828" s="52" t="s">
        <v>730</v>
      </c>
      <c r="F7828" s="52" t="s">
        <v>581</v>
      </c>
      <c r="G7828" s="195" t="s">
        <v>278</v>
      </c>
      <c r="H7828" s="195"/>
      <c r="I7828" s="195"/>
      <c r="J7828" s="195"/>
      <c r="K7828" s="195">
        <v>0</v>
      </c>
      <c r="L7828" s="195">
        <v>1.2342799999999999E-2</v>
      </c>
      <c r="M7828" s="195">
        <v>0</v>
      </c>
      <c r="N7828" s="195"/>
    </row>
    <row r="7829" spans="1:14" hidden="1" x14ac:dyDescent="0.35">
      <c r="A7829" s="52" t="s">
        <v>766</v>
      </c>
      <c r="B7829" s="52" t="s">
        <v>37</v>
      </c>
      <c r="C7829" s="52" t="s">
        <v>218</v>
      </c>
      <c r="D7829" s="52" t="s">
        <v>218</v>
      </c>
      <c r="E7829" s="52" t="s">
        <v>730</v>
      </c>
      <c r="F7829" s="52" t="s">
        <v>581</v>
      </c>
      <c r="G7829" s="195" t="s">
        <v>279</v>
      </c>
      <c r="H7829" s="195"/>
      <c r="I7829" s="195"/>
      <c r="J7829" s="195"/>
      <c r="K7829" s="195">
        <v>0</v>
      </c>
      <c r="L7829" s="195">
        <v>8.4101200000000001E-2</v>
      </c>
      <c r="M7829" s="195">
        <v>1.8408000000000001E-3</v>
      </c>
      <c r="N7829" s="195">
        <v>7.9779999999999998E-4</v>
      </c>
    </row>
    <row r="7830" spans="1:14" hidden="1" x14ac:dyDescent="0.35">
      <c r="A7830" s="52" t="s">
        <v>766</v>
      </c>
      <c r="B7830" s="52" t="s">
        <v>37</v>
      </c>
      <c r="C7830" s="52" t="s">
        <v>218</v>
      </c>
      <c r="D7830" s="52" t="s">
        <v>218</v>
      </c>
      <c r="E7830" s="52" t="s">
        <v>730</v>
      </c>
      <c r="F7830" s="52" t="s">
        <v>26</v>
      </c>
      <c r="G7830" s="195" t="s">
        <v>275</v>
      </c>
      <c r="H7830" s="195"/>
      <c r="I7830" s="195"/>
      <c r="J7830" s="195"/>
      <c r="K7830" s="195">
        <v>0</v>
      </c>
      <c r="L7830" s="195">
        <v>-5.7396000000000001E-3</v>
      </c>
      <c r="M7830" s="195">
        <v>3.7200000000000003E-5</v>
      </c>
      <c r="N7830" s="195">
        <v>3.7400000000000001E-5</v>
      </c>
    </row>
    <row r="7831" spans="1:14" hidden="1" x14ac:dyDescent="0.35">
      <c r="A7831" s="52" t="s">
        <v>766</v>
      </c>
      <c r="B7831" s="52" t="s">
        <v>37</v>
      </c>
      <c r="C7831" s="52" t="s">
        <v>218</v>
      </c>
      <c r="D7831" s="52" t="s">
        <v>218</v>
      </c>
      <c r="E7831" s="52" t="s">
        <v>730</v>
      </c>
      <c r="F7831" s="52" t="s">
        <v>26</v>
      </c>
      <c r="G7831" s="195" t="s">
        <v>276</v>
      </c>
      <c r="H7831" s="195"/>
      <c r="I7831" s="195"/>
      <c r="J7831" s="195"/>
      <c r="K7831" s="195">
        <v>0</v>
      </c>
      <c r="L7831" s="195">
        <v>-1.5256E-3</v>
      </c>
      <c r="M7831" s="195">
        <v>1.0200000000000001E-5</v>
      </c>
      <c r="N7831" s="195">
        <v>9.7999999999999993E-6</v>
      </c>
    </row>
    <row r="7832" spans="1:14" hidden="1" x14ac:dyDescent="0.35">
      <c r="A7832" s="52" t="s">
        <v>766</v>
      </c>
      <c r="B7832" s="52" t="s">
        <v>37</v>
      </c>
      <c r="C7832" s="52" t="s">
        <v>218</v>
      </c>
      <c r="D7832" s="52" t="s">
        <v>218</v>
      </c>
      <c r="E7832" s="52" t="s">
        <v>730</v>
      </c>
      <c r="F7832" s="52" t="s">
        <v>26</v>
      </c>
      <c r="G7832" s="195" t="s">
        <v>279</v>
      </c>
      <c r="H7832" s="195"/>
      <c r="I7832" s="195"/>
      <c r="J7832" s="195"/>
      <c r="K7832" s="195">
        <v>0</v>
      </c>
      <c r="L7832" s="195">
        <v>7.9203999999999993E-3</v>
      </c>
      <c r="M7832" s="195">
        <v>4.0079999999999998E-4</v>
      </c>
      <c r="N7832" s="195">
        <v>1.8019999999999999E-4</v>
      </c>
    </row>
    <row r="7833" spans="1:14" hidden="1" x14ac:dyDescent="0.35">
      <c r="A7833" s="52" t="s">
        <v>766</v>
      </c>
      <c r="B7833" s="52" t="s">
        <v>37</v>
      </c>
      <c r="C7833" s="52" t="s">
        <v>266</v>
      </c>
      <c r="D7833" s="52" t="s">
        <v>266</v>
      </c>
      <c r="E7833" s="52" t="s">
        <v>767</v>
      </c>
      <c r="F7833" s="52" t="s">
        <v>581</v>
      </c>
      <c r="G7833" s="195" t="s">
        <v>275</v>
      </c>
      <c r="H7833" s="195">
        <v>0.94505399999999995</v>
      </c>
      <c r="I7833" s="195">
        <v>0.27736280000000002</v>
      </c>
      <c r="J7833" s="195">
        <v>1.2310650000000001</v>
      </c>
      <c r="K7833" s="195">
        <v>-3.3587600000000002E-2</v>
      </c>
      <c r="L7833" s="195">
        <v>-3.7235600000000001E-2</v>
      </c>
      <c r="M7833" s="195">
        <v>-3.3698800000000001E-2</v>
      </c>
      <c r="N7833" s="195">
        <v>-3.0980799999999999E-2</v>
      </c>
    </row>
    <row r="7834" spans="1:14" hidden="1" x14ac:dyDescent="0.35">
      <c r="A7834" s="52" t="s">
        <v>766</v>
      </c>
      <c r="B7834" s="52" t="s">
        <v>37</v>
      </c>
      <c r="C7834" s="52" t="s">
        <v>266</v>
      </c>
      <c r="D7834" s="52" t="s">
        <v>266</v>
      </c>
      <c r="E7834" s="52" t="s">
        <v>767</v>
      </c>
      <c r="F7834" s="52" t="s">
        <v>581</v>
      </c>
      <c r="G7834" s="195" t="s">
        <v>276</v>
      </c>
      <c r="H7834" s="195">
        <v>-0.96726800000000002</v>
      </c>
      <c r="I7834" s="195">
        <v>-0.32872259999999998</v>
      </c>
      <c r="J7834" s="195">
        <v>-1.2776780000000001</v>
      </c>
      <c r="K7834" s="195">
        <v>-1.0277E-2</v>
      </c>
      <c r="L7834" s="195">
        <v>-1.1394E-2</v>
      </c>
      <c r="M7834" s="195">
        <v>-1.0312E-2</v>
      </c>
      <c r="N7834" s="195">
        <v>-9.4797990000000006E-3</v>
      </c>
    </row>
    <row r="7835" spans="1:14" hidden="1" x14ac:dyDescent="0.35">
      <c r="A7835" s="52" t="s">
        <v>766</v>
      </c>
      <c r="B7835" s="52" t="s">
        <v>37</v>
      </c>
      <c r="C7835" s="52" t="s">
        <v>266</v>
      </c>
      <c r="D7835" s="52" t="s">
        <v>266</v>
      </c>
      <c r="E7835" s="52" t="s">
        <v>767</v>
      </c>
      <c r="F7835" s="52" t="s">
        <v>581</v>
      </c>
      <c r="G7835" s="195" t="s">
        <v>279</v>
      </c>
      <c r="H7835" s="195">
        <v>0.11555600000000001</v>
      </c>
      <c r="I7835" s="195">
        <v>7.9291399999999998E-2</v>
      </c>
      <c r="J7835" s="195">
        <v>6.8577200000000005E-2</v>
      </c>
      <c r="K7835" s="195">
        <v>6.4158599999999996E-2</v>
      </c>
      <c r="L7835" s="195">
        <v>6.73792E-2</v>
      </c>
      <c r="M7835" s="195">
        <v>6.1376E-2</v>
      </c>
      <c r="N7835" s="195">
        <v>5.6458000000000001E-2</v>
      </c>
    </row>
    <row r="7836" spans="1:14" hidden="1" x14ac:dyDescent="0.35">
      <c r="A7836" s="52" t="s">
        <v>766</v>
      </c>
      <c r="B7836" s="52" t="s">
        <v>37</v>
      </c>
      <c r="C7836" s="52" t="s">
        <v>266</v>
      </c>
      <c r="D7836" s="52" t="s">
        <v>266</v>
      </c>
      <c r="E7836" s="52" t="s">
        <v>767</v>
      </c>
      <c r="F7836" s="52" t="s">
        <v>26</v>
      </c>
      <c r="G7836" s="195" t="s">
        <v>275</v>
      </c>
      <c r="H7836" s="195">
        <v>-1.7465000000000001E-2</v>
      </c>
      <c r="I7836" s="195">
        <v>-1.84688E-2</v>
      </c>
      <c r="J7836" s="195">
        <v>-1.42124E-2</v>
      </c>
      <c r="K7836" s="195">
        <v>-1.3879000000000001E-2</v>
      </c>
      <c r="L7836" s="195">
        <v>-1.8110600000000001E-2</v>
      </c>
      <c r="M7836" s="195">
        <v>-1.6194E-2</v>
      </c>
      <c r="N7836" s="195">
        <v>-1.48626E-2</v>
      </c>
    </row>
    <row r="7837" spans="1:14" hidden="1" x14ac:dyDescent="0.35">
      <c r="A7837" s="52" t="s">
        <v>766</v>
      </c>
      <c r="B7837" s="52" t="s">
        <v>37</v>
      </c>
      <c r="C7837" s="52" t="s">
        <v>266</v>
      </c>
      <c r="D7837" s="52" t="s">
        <v>266</v>
      </c>
      <c r="E7837" s="52" t="s">
        <v>767</v>
      </c>
      <c r="F7837" s="52" t="s">
        <v>26</v>
      </c>
      <c r="G7837" s="195" t="s">
        <v>276</v>
      </c>
      <c r="H7837" s="195">
        <v>-5.3440010000000001E-3</v>
      </c>
      <c r="I7837" s="195">
        <v>-5.6518000000000002E-3</v>
      </c>
      <c r="J7837" s="195">
        <v>-4.3487999999999999E-3</v>
      </c>
      <c r="K7837" s="195">
        <v>-4.2465999999999997E-3</v>
      </c>
      <c r="L7837" s="195">
        <v>-5.5418000000000004E-3</v>
      </c>
      <c r="M7837" s="195">
        <v>-4.9554000000000004E-3</v>
      </c>
      <c r="N7837" s="195">
        <v>-4.5477989999999999E-3</v>
      </c>
    </row>
    <row r="7838" spans="1:14" hidden="1" x14ac:dyDescent="0.35">
      <c r="A7838" s="52" t="s">
        <v>766</v>
      </c>
      <c r="B7838" s="52" t="s">
        <v>37</v>
      </c>
      <c r="C7838" s="52" t="s">
        <v>266</v>
      </c>
      <c r="D7838" s="52" t="s">
        <v>266</v>
      </c>
      <c r="E7838" s="52" t="s">
        <v>767</v>
      </c>
      <c r="F7838" s="52" t="s">
        <v>26</v>
      </c>
      <c r="G7838" s="195" t="s">
        <v>279</v>
      </c>
      <c r="H7838" s="195">
        <v>8.8383000000000003E-2</v>
      </c>
      <c r="I7838" s="195">
        <v>6.9799399999999998E-2</v>
      </c>
      <c r="J7838" s="195">
        <v>6.0779399999999997E-2</v>
      </c>
      <c r="K7838" s="195">
        <v>5.7059600000000002E-2</v>
      </c>
      <c r="L7838" s="195">
        <v>5.9538399999999998E-2</v>
      </c>
      <c r="M7838" s="195">
        <v>5.4291800000000001E-2</v>
      </c>
      <c r="N7838" s="195">
        <v>4.99432E-2</v>
      </c>
    </row>
    <row r="7839" spans="1:14" hidden="1" x14ac:dyDescent="0.35">
      <c r="A7839" s="52" t="s">
        <v>766</v>
      </c>
      <c r="B7839" s="52" t="s">
        <v>37</v>
      </c>
      <c r="C7839" s="52" t="s">
        <v>266</v>
      </c>
      <c r="D7839" s="52" t="s">
        <v>266</v>
      </c>
      <c r="E7839" s="52" t="s">
        <v>768</v>
      </c>
      <c r="F7839" s="52" t="s">
        <v>581</v>
      </c>
      <c r="G7839" s="195" t="s">
        <v>275</v>
      </c>
      <c r="H7839" s="195"/>
      <c r="I7839" s="195"/>
      <c r="J7839" s="195"/>
      <c r="K7839" s="195"/>
      <c r="L7839" s="195"/>
      <c r="M7839" s="195"/>
      <c r="N7839" s="195">
        <v>0</v>
      </c>
    </row>
    <row r="7840" spans="1:14" hidden="1" x14ac:dyDescent="0.35">
      <c r="A7840" s="52" t="s">
        <v>766</v>
      </c>
      <c r="B7840" s="52" t="s">
        <v>37</v>
      </c>
      <c r="C7840" s="52" t="s">
        <v>266</v>
      </c>
      <c r="D7840" s="52" t="s">
        <v>266</v>
      </c>
      <c r="E7840" s="52" t="s">
        <v>768</v>
      </c>
      <c r="F7840" s="52" t="s">
        <v>581</v>
      </c>
      <c r="G7840" s="195" t="s">
        <v>276</v>
      </c>
      <c r="H7840" s="195"/>
      <c r="I7840" s="195"/>
      <c r="J7840" s="195"/>
      <c r="K7840" s="195"/>
      <c r="L7840" s="195"/>
      <c r="M7840" s="195"/>
      <c r="N7840" s="195">
        <v>0</v>
      </c>
    </row>
    <row r="7841" spans="1:14" hidden="1" x14ac:dyDescent="0.35">
      <c r="A7841" s="52" t="s">
        <v>766</v>
      </c>
      <c r="B7841" s="52" t="s">
        <v>37</v>
      </c>
      <c r="C7841" s="52" t="s">
        <v>266</v>
      </c>
      <c r="D7841" s="52" t="s">
        <v>266</v>
      </c>
      <c r="E7841" s="52" t="s">
        <v>768</v>
      </c>
      <c r="F7841" s="52" t="s">
        <v>581</v>
      </c>
      <c r="G7841" s="195" t="s">
        <v>279</v>
      </c>
      <c r="H7841" s="195"/>
      <c r="I7841" s="195"/>
      <c r="J7841" s="195"/>
      <c r="K7841" s="195"/>
      <c r="L7841" s="195"/>
      <c r="M7841" s="195">
        <v>0</v>
      </c>
      <c r="N7841" s="195">
        <v>0</v>
      </c>
    </row>
    <row r="7842" spans="1:14" hidden="1" x14ac:dyDescent="0.35">
      <c r="A7842" s="52" t="s">
        <v>766</v>
      </c>
      <c r="B7842" s="52" t="s">
        <v>37</v>
      </c>
      <c r="C7842" s="52" t="s">
        <v>266</v>
      </c>
      <c r="D7842" s="52" t="s">
        <v>266</v>
      </c>
      <c r="E7842" s="52" t="s">
        <v>768</v>
      </c>
      <c r="F7842" s="52" t="s">
        <v>26</v>
      </c>
      <c r="G7842" s="195" t="s">
        <v>275</v>
      </c>
      <c r="H7842" s="195"/>
      <c r="I7842" s="195"/>
      <c r="J7842" s="195"/>
      <c r="K7842" s="195"/>
      <c r="L7842" s="195"/>
      <c r="M7842" s="195"/>
      <c r="N7842" s="195">
        <v>0</v>
      </c>
    </row>
    <row r="7843" spans="1:14" hidden="1" x14ac:dyDescent="0.35">
      <c r="A7843" s="52" t="s">
        <v>766</v>
      </c>
      <c r="B7843" s="52" t="s">
        <v>37</v>
      </c>
      <c r="C7843" s="52" t="s">
        <v>266</v>
      </c>
      <c r="D7843" s="52" t="s">
        <v>266</v>
      </c>
      <c r="E7843" s="52" t="s">
        <v>768</v>
      </c>
      <c r="F7843" s="52" t="s">
        <v>26</v>
      </c>
      <c r="G7843" s="195" t="s">
        <v>276</v>
      </c>
      <c r="H7843" s="195"/>
      <c r="I7843" s="195"/>
      <c r="J7843" s="195"/>
      <c r="K7843" s="195"/>
      <c r="L7843" s="195"/>
      <c r="M7843" s="195"/>
      <c r="N7843" s="195">
        <v>0</v>
      </c>
    </row>
    <row r="7844" spans="1:14" hidden="1" x14ac:dyDescent="0.35">
      <c r="A7844" s="52" t="s">
        <v>766</v>
      </c>
      <c r="B7844" s="52" t="s">
        <v>37</v>
      </c>
      <c r="C7844" s="52" t="s">
        <v>266</v>
      </c>
      <c r="D7844" s="52" t="s">
        <v>266</v>
      </c>
      <c r="E7844" s="52" t="s">
        <v>768</v>
      </c>
      <c r="F7844" s="52" t="s">
        <v>26</v>
      </c>
      <c r="G7844" s="195" t="s">
        <v>277</v>
      </c>
      <c r="H7844" s="195"/>
      <c r="I7844" s="195"/>
      <c r="J7844" s="195"/>
      <c r="K7844" s="195"/>
      <c r="L7844" s="195"/>
      <c r="M7844" s="195">
        <v>0</v>
      </c>
      <c r="N7844" s="195">
        <v>0</v>
      </c>
    </row>
    <row r="7845" spans="1:14" hidden="1" x14ac:dyDescent="0.35">
      <c r="A7845" s="52" t="s">
        <v>766</v>
      </c>
      <c r="B7845" s="52" t="s">
        <v>37</v>
      </c>
      <c r="C7845" s="52" t="s">
        <v>266</v>
      </c>
      <c r="D7845" s="52" t="s">
        <v>266</v>
      </c>
      <c r="E7845" s="52" t="s">
        <v>768</v>
      </c>
      <c r="F7845" s="52" t="s">
        <v>26</v>
      </c>
      <c r="G7845" s="195" t="s">
        <v>279</v>
      </c>
      <c r="H7845" s="195"/>
      <c r="I7845" s="195"/>
      <c r="J7845" s="195"/>
      <c r="K7845" s="195"/>
      <c r="L7845" s="195"/>
      <c r="M7845" s="195">
        <v>0</v>
      </c>
      <c r="N7845" s="195">
        <v>0</v>
      </c>
    </row>
    <row r="7846" spans="1:14" hidden="1" x14ac:dyDescent="0.35">
      <c r="A7846" s="52" t="s">
        <v>766</v>
      </c>
      <c r="B7846" s="52" t="s">
        <v>37</v>
      </c>
      <c r="C7846" s="52" t="s">
        <v>318</v>
      </c>
      <c r="D7846" s="52" t="s">
        <v>318</v>
      </c>
      <c r="E7846" s="52" t="s">
        <v>584</v>
      </c>
      <c r="F7846" s="52" t="s">
        <v>581</v>
      </c>
      <c r="G7846" s="195" t="s">
        <v>275</v>
      </c>
      <c r="H7846" s="195">
        <v>1.1E-4</v>
      </c>
      <c r="I7846" s="195">
        <v>0</v>
      </c>
      <c r="J7846" s="195"/>
      <c r="K7846" s="195"/>
      <c r="L7846" s="195"/>
      <c r="M7846" s="195"/>
      <c r="N7846" s="195"/>
    </row>
    <row r="7847" spans="1:14" hidden="1" x14ac:dyDescent="0.35">
      <c r="A7847" s="52" t="s">
        <v>766</v>
      </c>
      <c r="B7847" s="52" t="s">
        <v>37</v>
      </c>
      <c r="C7847" s="52" t="s">
        <v>318</v>
      </c>
      <c r="D7847" s="52" t="s">
        <v>318</v>
      </c>
      <c r="E7847" s="52" t="s">
        <v>584</v>
      </c>
      <c r="F7847" s="52" t="s">
        <v>581</v>
      </c>
      <c r="G7847" s="195" t="s">
        <v>276</v>
      </c>
      <c r="H7847" s="195">
        <v>-1.1E-4</v>
      </c>
      <c r="I7847" s="195">
        <v>0</v>
      </c>
      <c r="J7847" s="195"/>
      <c r="K7847" s="195"/>
      <c r="L7847" s="195"/>
      <c r="M7847" s="195"/>
      <c r="N7847" s="195"/>
    </row>
    <row r="7848" spans="1:14" hidden="1" x14ac:dyDescent="0.35">
      <c r="A7848" s="52" t="s">
        <v>766</v>
      </c>
      <c r="B7848" s="52" t="s">
        <v>37</v>
      </c>
      <c r="C7848" s="52" t="s">
        <v>318</v>
      </c>
      <c r="D7848" s="52" t="s">
        <v>318</v>
      </c>
      <c r="E7848" s="52" t="s">
        <v>584</v>
      </c>
      <c r="F7848" s="52" t="s">
        <v>581</v>
      </c>
      <c r="G7848" s="195" t="s">
        <v>278</v>
      </c>
      <c r="H7848" s="195">
        <v>0</v>
      </c>
      <c r="I7848" s="195"/>
      <c r="J7848" s="195"/>
      <c r="K7848" s="195"/>
      <c r="L7848" s="195"/>
      <c r="M7848" s="195"/>
      <c r="N7848" s="195"/>
    </row>
    <row r="7849" spans="1:14" hidden="1" x14ac:dyDescent="0.35">
      <c r="A7849" s="52" t="s">
        <v>766</v>
      </c>
      <c r="B7849" s="52" t="s">
        <v>37</v>
      </c>
      <c r="C7849" s="52" t="s">
        <v>318</v>
      </c>
      <c r="D7849" s="52" t="s">
        <v>318</v>
      </c>
      <c r="E7849" s="52" t="s">
        <v>584</v>
      </c>
      <c r="F7849" s="52" t="s">
        <v>26</v>
      </c>
      <c r="G7849" s="195" t="s">
        <v>275</v>
      </c>
      <c r="H7849" s="195">
        <v>7.3999999999999996E-5</v>
      </c>
      <c r="I7849" s="195">
        <v>0</v>
      </c>
      <c r="J7849" s="195"/>
      <c r="K7849" s="195"/>
      <c r="L7849" s="195"/>
      <c r="M7849" s="195"/>
      <c r="N7849" s="195"/>
    </row>
    <row r="7850" spans="1:14" hidden="1" x14ac:dyDescent="0.35">
      <c r="A7850" s="52" t="s">
        <v>766</v>
      </c>
      <c r="B7850" s="52" t="s">
        <v>37</v>
      </c>
      <c r="C7850" s="52" t="s">
        <v>318</v>
      </c>
      <c r="D7850" s="52" t="s">
        <v>318</v>
      </c>
      <c r="E7850" s="52" t="s">
        <v>584</v>
      </c>
      <c r="F7850" s="52" t="s">
        <v>26</v>
      </c>
      <c r="G7850" s="195" t="s">
        <v>276</v>
      </c>
      <c r="H7850" s="195">
        <v>-7.3999999999999996E-5</v>
      </c>
      <c r="I7850" s="195">
        <v>0</v>
      </c>
      <c r="J7850" s="195"/>
      <c r="K7850" s="195"/>
      <c r="L7850" s="195"/>
      <c r="M7850" s="195"/>
      <c r="N7850" s="195"/>
    </row>
    <row r="7851" spans="1:14" hidden="1" x14ac:dyDescent="0.35">
      <c r="A7851" s="52" t="s">
        <v>766</v>
      </c>
      <c r="B7851" s="52" t="s">
        <v>37</v>
      </c>
      <c r="C7851" s="52" t="s">
        <v>318</v>
      </c>
      <c r="D7851" s="52" t="s">
        <v>318</v>
      </c>
      <c r="E7851" s="52" t="s">
        <v>584</v>
      </c>
      <c r="F7851" s="52" t="s">
        <v>26</v>
      </c>
      <c r="G7851" s="195" t="s">
        <v>278</v>
      </c>
      <c r="H7851" s="195">
        <v>0</v>
      </c>
      <c r="I7851" s="195"/>
      <c r="J7851" s="195"/>
      <c r="K7851" s="195"/>
      <c r="L7851" s="195"/>
      <c r="M7851" s="195"/>
      <c r="N7851" s="195"/>
    </row>
    <row r="7852" spans="1:14" hidden="1" x14ac:dyDescent="0.35">
      <c r="A7852" s="52" t="s">
        <v>752</v>
      </c>
      <c r="B7852" s="52" t="s">
        <v>34</v>
      </c>
      <c r="C7852" s="52" t="s">
        <v>33</v>
      </c>
      <c r="D7852" s="52" t="s">
        <v>33</v>
      </c>
      <c r="E7852" s="52" t="s">
        <v>753</v>
      </c>
      <c r="F7852" s="52" t="s">
        <v>581</v>
      </c>
      <c r="G7852" s="195" t="s">
        <v>275</v>
      </c>
      <c r="H7852" s="195">
        <v>25.643319999999999</v>
      </c>
      <c r="I7852" s="195">
        <v>8.4697589999999998</v>
      </c>
      <c r="J7852" s="195">
        <v>7.0458420000000004</v>
      </c>
      <c r="K7852" s="195">
        <v>5.8786110000000003</v>
      </c>
      <c r="L7852" s="195">
        <v>3.581683</v>
      </c>
      <c r="M7852" s="195">
        <v>5.2746890000000004</v>
      </c>
      <c r="N7852" s="195">
        <v>4.6724480000000002</v>
      </c>
    </row>
    <row r="7853" spans="1:14" hidden="1" x14ac:dyDescent="0.35">
      <c r="A7853" s="52" t="s">
        <v>752</v>
      </c>
      <c r="B7853" s="52" t="s">
        <v>34</v>
      </c>
      <c r="C7853" s="52" t="s">
        <v>33</v>
      </c>
      <c r="D7853" s="52" t="s">
        <v>33</v>
      </c>
      <c r="E7853" s="52" t="s">
        <v>753</v>
      </c>
      <c r="F7853" s="52" t="s">
        <v>581</v>
      </c>
      <c r="G7853" s="195" t="s">
        <v>276</v>
      </c>
      <c r="H7853" s="195">
        <v>8.8039850000000008</v>
      </c>
      <c r="I7853" s="195">
        <v>-2.59287</v>
      </c>
      <c r="J7853" s="195">
        <v>-1.123041</v>
      </c>
      <c r="K7853" s="195">
        <v>-0.48440359999999999</v>
      </c>
      <c r="L7853" s="195">
        <v>0.60397089999999998</v>
      </c>
      <c r="M7853" s="195">
        <v>1.1306020000000001</v>
      </c>
      <c r="N7853" s="195">
        <v>1.116835</v>
      </c>
    </row>
    <row r="7854" spans="1:14" hidden="1" x14ac:dyDescent="0.35">
      <c r="A7854" s="52" t="s">
        <v>752</v>
      </c>
      <c r="B7854" s="52" t="s">
        <v>34</v>
      </c>
      <c r="C7854" s="52" t="s">
        <v>33</v>
      </c>
      <c r="D7854" s="52" t="s">
        <v>33</v>
      </c>
      <c r="E7854" s="52" t="s">
        <v>753</v>
      </c>
      <c r="F7854" s="52" t="s">
        <v>581</v>
      </c>
      <c r="G7854" s="195" t="s">
        <v>277</v>
      </c>
      <c r="H7854" s="195">
        <v>22.627050000000001</v>
      </c>
      <c r="I7854" s="195">
        <v>2.7218930000000001</v>
      </c>
      <c r="J7854" s="195">
        <v>1.1315649999999999</v>
      </c>
      <c r="K7854" s="195">
        <v>1.040467</v>
      </c>
      <c r="L7854" s="195">
        <v>0.57710419999999996</v>
      </c>
      <c r="M7854" s="195">
        <v>0</v>
      </c>
      <c r="N7854" s="195">
        <v>1.33624E-2</v>
      </c>
    </row>
    <row r="7855" spans="1:14" hidden="1" x14ac:dyDescent="0.35">
      <c r="A7855" s="52" t="s">
        <v>752</v>
      </c>
      <c r="B7855" s="52" t="s">
        <v>34</v>
      </c>
      <c r="C7855" s="52" t="s">
        <v>33</v>
      </c>
      <c r="D7855" s="52" t="s">
        <v>33</v>
      </c>
      <c r="E7855" s="52" t="s">
        <v>753</v>
      </c>
      <c r="F7855" s="52" t="s">
        <v>581</v>
      </c>
      <c r="G7855" s="195" t="s">
        <v>278</v>
      </c>
      <c r="H7855" s="195">
        <v>5.2079529999999998</v>
      </c>
      <c r="I7855" s="195">
        <v>3.7199059999999999</v>
      </c>
      <c r="J7855" s="195">
        <v>1.2268019999999999</v>
      </c>
      <c r="K7855" s="195">
        <v>1.1708400000000001</v>
      </c>
      <c r="L7855" s="195">
        <v>1.0138</v>
      </c>
      <c r="M7855" s="195">
        <v>6.7357799999999995E-2</v>
      </c>
      <c r="N7855" s="195">
        <v>3.1848799999999997E-2</v>
      </c>
    </row>
    <row r="7856" spans="1:14" hidden="1" x14ac:dyDescent="0.35">
      <c r="A7856" s="52" t="s">
        <v>752</v>
      </c>
      <c r="B7856" s="52" t="s">
        <v>34</v>
      </c>
      <c r="C7856" s="52" t="s">
        <v>33</v>
      </c>
      <c r="D7856" s="52" t="s">
        <v>33</v>
      </c>
      <c r="E7856" s="52" t="s">
        <v>753</v>
      </c>
      <c r="F7856" s="52" t="s">
        <v>581</v>
      </c>
      <c r="G7856" s="195" t="s">
        <v>279</v>
      </c>
      <c r="H7856" s="195">
        <v>16.328489999999999</v>
      </c>
      <c r="I7856" s="195">
        <v>15.326700000000001</v>
      </c>
      <c r="J7856" s="195">
        <v>12.76074</v>
      </c>
      <c r="K7856" s="195">
        <v>11.2417</v>
      </c>
      <c r="L7856" s="195">
        <v>11.469200000000001</v>
      </c>
      <c r="M7856" s="195">
        <v>9.0322379999999995</v>
      </c>
      <c r="N7856" s="195">
        <v>8.1294350000000009</v>
      </c>
    </row>
    <row r="7857" spans="1:14" hidden="1" x14ac:dyDescent="0.35">
      <c r="A7857" s="52" t="s">
        <v>752</v>
      </c>
      <c r="B7857" s="52" t="s">
        <v>34</v>
      </c>
      <c r="C7857" s="52" t="s">
        <v>33</v>
      </c>
      <c r="D7857" s="52" t="s">
        <v>33</v>
      </c>
      <c r="E7857" s="52" t="s">
        <v>753</v>
      </c>
      <c r="F7857" s="52" t="s">
        <v>26</v>
      </c>
      <c r="G7857" s="195" t="s">
        <v>275</v>
      </c>
      <c r="H7857" s="195">
        <v>-15.143599999999999</v>
      </c>
      <c r="I7857" s="195">
        <v>7.3743069999999999</v>
      </c>
      <c r="J7857" s="195">
        <v>5.0868159999999998</v>
      </c>
      <c r="K7857" s="195">
        <v>3.8497780000000001</v>
      </c>
      <c r="L7857" s="195">
        <v>0.1833494</v>
      </c>
      <c r="M7857" s="195">
        <v>1.538756</v>
      </c>
      <c r="N7857" s="195">
        <v>1.1916310000000001</v>
      </c>
    </row>
    <row r="7858" spans="1:14" hidden="1" x14ac:dyDescent="0.35">
      <c r="A7858" s="52" t="s">
        <v>752</v>
      </c>
      <c r="B7858" s="52" t="s">
        <v>34</v>
      </c>
      <c r="C7858" s="52" t="s">
        <v>33</v>
      </c>
      <c r="D7858" s="52" t="s">
        <v>33</v>
      </c>
      <c r="E7858" s="52" t="s">
        <v>753</v>
      </c>
      <c r="F7858" s="52" t="s">
        <v>26</v>
      </c>
      <c r="G7858" s="195" t="s">
        <v>276</v>
      </c>
      <c r="H7858" s="195">
        <v>-0.1148057</v>
      </c>
      <c r="I7858" s="195">
        <v>-2.197028</v>
      </c>
      <c r="J7858" s="195">
        <v>-2.7556039999999999</v>
      </c>
      <c r="K7858" s="195">
        <v>-1.6172470000000001</v>
      </c>
      <c r="L7858" s="195">
        <v>-0.2293306</v>
      </c>
      <c r="M7858" s="195">
        <v>0.39718920000000002</v>
      </c>
      <c r="N7858" s="195">
        <v>0.33337139999999998</v>
      </c>
    </row>
    <row r="7859" spans="1:14" hidden="1" x14ac:dyDescent="0.35">
      <c r="A7859" s="52" t="s">
        <v>752</v>
      </c>
      <c r="B7859" s="52" t="s">
        <v>34</v>
      </c>
      <c r="C7859" s="52" t="s">
        <v>33</v>
      </c>
      <c r="D7859" s="52" t="s">
        <v>33</v>
      </c>
      <c r="E7859" s="52" t="s">
        <v>753</v>
      </c>
      <c r="F7859" s="52" t="s">
        <v>26</v>
      </c>
      <c r="G7859" s="195" t="s">
        <v>277</v>
      </c>
      <c r="H7859" s="195">
        <v>24.60886</v>
      </c>
      <c r="I7859" s="195">
        <v>1.001431</v>
      </c>
      <c r="J7859" s="195">
        <v>3.8237800000000002E-2</v>
      </c>
      <c r="K7859" s="195">
        <v>4.4755000000000003E-2</v>
      </c>
      <c r="L7859" s="195">
        <v>3.6868999999999999E-2</v>
      </c>
      <c r="M7859" s="195">
        <v>0</v>
      </c>
      <c r="N7859" s="195">
        <v>0</v>
      </c>
    </row>
    <row r="7860" spans="1:14" hidden="1" x14ac:dyDescent="0.35">
      <c r="A7860" s="52" t="s">
        <v>752</v>
      </c>
      <c r="B7860" s="52" t="s">
        <v>34</v>
      </c>
      <c r="C7860" s="52" t="s">
        <v>33</v>
      </c>
      <c r="D7860" s="52" t="s">
        <v>33</v>
      </c>
      <c r="E7860" s="52" t="s">
        <v>753</v>
      </c>
      <c r="F7860" s="52" t="s">
        <v>26</v>
      </c>
      <c r="G7860" s="195" t="s">
        <v>278</v>
      </c>
      <c r="H7860" s="195">
        <v>8.9041409999999992</v>
      </c>
      <c r="I7860" s="195">
        <v>2.5084759999999999</v>
      </c>
      <c r="J7860" s="195">
        <v>0.4956334</v>
      </c>
      <c r="K7860" s="195">
        <v>0.1221144</v>
      </c>
      <c r="L7860" s="195">
        <v>9.8537799999999995E-2</v>
      </c>
      <c r="M7860" s="195">
        <v>0</v>
      </c>
      <c r="N7860" s="195">
        <v>0</v>
      </c>
    </row>
    <row r="7861" spans="1:14" hidden="1" x14ac:dyDescent="0.35">
      <c r="A7861" s="52" t="s">
        <v>752</v>
      </c>
      <c r="B7861" s="52" t="s">
        <v>34</v>
      </c>
      <c r="C7861" s="52" t="s">
        <v>33</v>
      </c>
      <c r="D7861" s="52" t="s">
        <v>33</v>
      </c>
      <c r="E7861" s="52" t="s">
        <v>753</v>
      </c>
      <c r="F7861" s="52" t="s">
        <v>26</v>
      </c>
      <c r="G7861" s="195" t="s">
        <v>279</v>
      </c>
      <c r="H7861" s="195">
        <v>26.793420000000001</v>
      </c>
      <c r="I7861" s="195">
        <v>27.590389999999999</v>
      </c>
      <c r="J7861" s="195">
        <v>22.366489999999999</v>
      </c>
      <c r="K7861" s="195">
        <v>19.47437</v>
      </c>
      <c r="L7861" s="195">
        <v>19.156759999999998</v>
      </c>
      <c r="M7861" s="195">
        <v>14.997339999999999</v>
      </c>
      <c r="N7861" s="195">
        <v>13.452809999999999</v>
      </c>
    </row>
    <row r="7862" spans="1:14" hidden="1" x14ac:dyDescent="0.35">
      <c r="A7862" s="52" t="s">
        <v>752</v>
      </c>
      <c r="B7862" s="52" t="s">
        <v>34</v>
      </c>
      <c r="C7862" s="52" t="s">
        <v>33</v>
      </c>
      <c r="D7862" s="52" t="s">
        <v>33</v>
      </c>
      <c r="E7862" s="52" t="s">
        <v>584</v>
      </c>
      <c r="F7862" s="52" t="s">
        <v>581</v>
      </c>
      <c r="G7862" s="195" t="s">
        <v>275</v>
      </c>
      <c r="H7862" s="195">
        <v>21.087029999999999</v>
      </c>
      <c r="I7862" s="195">
        <v>0.1478458</v>
      </c>
      <c r="J7862" s="195">
        <v>-1.1341270000000001</v>
      </c>
      <c r="K7862" s="195">
        <v>-1.503026</v>
      </c>
      <c r="L7862" s="195">
        <v>-8.0920760000000005</v>
      </c>
      <c r="M7862" s="195">
        <v>-40.158099999999997</v>
      </c>
      <c r="N7862" s="195">
        <v>-16.983499999999999</v>
      </c>
    </row>
    <row r="7863" spans="1:14" hidden="1" x14ac:dyDescent="0.35">
      <c r="A7863" s="52" t="s">
        <v>752</v>
      </c>
      <c r="B7863" s="52" t="s">
        <v>34</v>
      </c>
      <c r="C7863" s="52" t="s">
        <v>33</v>
      </c>
      <c r="D7863" s="52" t="s">
        <v>33</v>
      </c>
      <c r="E7863" s="52" t="s">
        <v>584</v>
      </c>
      <c r="F7863" s="52" t="s">
        <v>581</v>
      </c>
      <c r="G7863" s="195" t="s">
        <v>276</v>
      </c>
      <c r="H7863" s="195">
        <v>6.4005219999999996</v>
      </c>
      <c r="I7863" s="195">
        <v>-0.66064970000000001</v>
      </c>
      <c r="J7863" s="195">
        <v>-0.47105229999999998</v>
      </c>
      <c r="K7863" s="195">
        <v>-0.45485419999999999</v>
      </c>
      <c r="L7863" s="195">
        <v>-2.4239670000000002</v>
      </c>
      <c r="M7863" s="195">
        <v>-11.99483</v>
      </c>
      <c r="N7863" s="195">
        <v>-5.2995229999999998</v>
      </c>
    </row>
    <row r="7864" spans="1:14" hidden="1" x14ac:dyDescent="0.35">
      <c r="A7864" s="52" t="s">
        <v>752</v>
      </c>
      <c r="B7864" s="52" t="s">
        <v>34</v>
      </c>
      <c r="C7864" s="52" t="s">
        <v>33</v>
      </c>
      <c r="D7864" s="52" t="s">
        <v>33</v>
      </c>
      <c r="E7864" s="52" t="s">
        <v>584</v>
      </c>
      <c r="F7864" s="52" t="s">
        <v>581</v>
      </c>
      <c r="G7864" s="195" t="s">
        <v>277</v>
      </c>
      <c r="H7864" s="195">
        <v>2.8001999999999999E-2</v>
      </c>
      <c r="I7864" s="195">
        <v>6.3264399999999998E-2</v>
      </c>
      <c r="J7864" s="195">
        <v>1.07124E-2</v>
      </c>
      <c r="K7864" s="195">
        <v>7.1668000000000001E-3</v>
      </c>
      <c r="L7864" s="195"/>
      <c r="M7864" s="195">
        <v>2.8021999999999999E-3</v>
      </c>
      <c r="N7864" s="195"/>
    </row>
    <row r="7865" spans="1:14" hidden="1" x14ac:dyDescent="0.35">
      <c r="A7865" s="52" t="s">
        <v>752</v>
      </c>
      <c r="B7865" s="52" t="s">
        <v>34</v>
      </c>
      <c r="C7865" s="52" t="s">
        <v>33</v>
      </c>
      <c r="D7865" s="52" t="s">
        <v>33</v>
      </c>
      <c r="E7865" s="52" t="s">
        <v>584</v>
      </c>
      <c r="F7865" s="52" t="s">
        <v>581</v>
      </c>
      <c r="G7865" s="195" t="s">
        <v>279</v>
      </c>
      <c r="H7865" s="195">
        <v>19.143879999999999</v>
      </c>
      <c r="I7865" s="195">
        <v>15.515180000000001</v>
      </c>
      <c r="J7865" s="195">
        <v>12.88646</v>
      </c>
      <c r="K7865" s="195">
        <v>11.90671</v>
      </c>
      <c r="L7865" s="195">
        <v>18.77628</v>
      </c>
      <c r="M7865" s="195">
        <v>57.19303</v>
      </c>
      <c r="N7865" s="195">
        <v>23.042259999999999</v>
      </c>
    </row>
    <row r="7866" spans="1:14" hidden="1" x14ac:dyDescent="0.35">
      <c r="A7866" s="52" t="s">
        <v>752</v>
      </c>
      <c r="B7866" s="52" t="s">
        <v>34</v>
      </c>
      <c r="C7866" s="52" t="s">
        <v>33</v>
      </c>
      <c r="D7866" s="52" t="s">
        <v>33</v>
      </c>
      <c r="E7866" s="52" t="s">
        <v>584</v>
      </c>
      <c r="F7866" s="52" t="s">
        <v>26</v>
      </c>
      <c r="G7866" s="195" t="s">
        <v>275</v>
      </c>
      <c r="H7866" s="195">
        <v>-8.6877770000000005</v>
      </c>
      <c r="I7866" s="195">
        <v>-15.89202</v>
      </c>
      <c r="J7866" s="195">
        <v>-19.021249999999998</v>
      </c>
      <c r="K7866" s="195">
        <v>-20.86318</v>
      </c>
      <c r="L7866" s="195">
        <v>-50.621969999999997</v>
      </c>
      <c r="M7866" s="195">
        <v>-205.0789</v>
      </c>
      <c r="N7866" s="195">
        <v>-12.193210000000001</v>
      </c>
    </row>
    <row r="7867" spans="1:14" hidden="1" x14ac:dyDescent="0.35">
      <c r="A7867" s="52" t="s">
        <v>752</v>
      </c>
      <c r="B7867" s="52" t="s">
        <v>34</v>
      </c>
      <c r="C7867" s="52" t="s">
        <v>33</v>
      </c>
      <c r="D7867" s="52" t="s">
        <v>33</v>
      </c>
      <c r="E7867" s="52" t="s">
        <v>584</v>
      </c>
      <c r="F7867" s="52" t="s">
        <v>26</v>
      </c>
      <c r="G7867" s="195" t="s">
        <v>276</v>
      </c>
      <c r="H7867" s="195">
        <v>-18.064250000000001</v>
      </c>
      <c r="I7867" s="195">
        <v>-14.38476</v>
      </c>
      <c r="J7867" s="195">
        <v>-9.3684440000000002</v>
      </c>
      <c r="K7867" s="195">
        <v>-7.4937649999999998</v>
      </c>
      <c r="L7867" s="195">
        <v>-16.225249999999999</v>
      </c>
      <c r="M7867" s="195">
        <v>-61.873710000000003</v>
      </c>
      <c r="N7867" s="195">
        <v>-4.0584119999999997</v>
      </c>
    </row>
    <row r="7868" spans="1:14" hidden="1" x14ac:dyDescent="0.35">
      <c r="A7868" s="52" t="s">
        <v>752</v>
      </c>
      <c r="B7868" s="52" t="s">
        <v>34</v>
      </c>
      <c r="C7868" s="52" t="s">
        <v>33</v>
      </c>
      <c r="D7868" s="52" t="s">
        <v>33</v>
      </c>
      <c r="E7868" s="52" t="s">
        <v>584</v>
      </c>
      <c r="F7868" s="52" t="s">
        <v>26</v>
      </c>
      <c r="G7868" s="195" t="s">
        <v>277</v>
      </c>
      <c r="H7868" s="195">
        <v>10.632</v>
      </c>
      <c r="I7868" s="195">
        <v>8.2303519999999999</v>
      </c>
      <c r="J7868" s="195">
        <v>4.7018979999999999</v>
      </c>
      <c r="K7868" s="195">
        <v>2.740631</v>
      </c>
      <c r="L7868" s="195">
        <v>0.76221779999999995</v>
      </c>
      <c r="M7868" s="195">
        <v>0.31507360000000001</v>
      </c>
      <c r="N7868" s="195">
        <v>0.14299139999999999</v>
      </c>
    </row>
    <row r="7869" spans="1:14" hidden="1" x14ac:dyDescent="0.35">
      <c r="A7869" s="52" t="s">
        <v>752</v>
      </c>
      <c r="B7869" s="52" t="s">
        <v>34</v>
      </c>
      <c r="C7869" s="52" t="s">
        <v>33</v>
      </c>
      <c r="D7869" s="52" t="s">
        <v>33</v>
      </c>
      <c r="E7869" s="52" t="s">
        <v>584</v>
      </c>
      <c r="F7869" s="52" t="s">
        <v>26</v>
      </c>
      <c r="G7869" s="195" t="s">
        <v>279</v>
      </c>
      <c r="H7869" s="195">
        <v>81.714399999999998</v>
      </c>
      <c r="I7869" s="195">
        <v>69.851550000000003</v>
      </c>
      <c r="J7869" s="195">
        <v>60.375610000000002</v>
      </c>
      <c r="K7869" s="195">
        <v>56.97448</v>
      </c>
      <c r="L7869" s="195">
        <v>89.849080000000001</v>
      </c>
      <c r="M7869" s="195">
        <v>280.08640000000003</v>
      </c>
      <c r="N7869" s="195">
        <v>16.77534</v>
      </c>
    </row>
    <row r="7870" spans="1:14" hidden="1" x14ac:dyDescent="0.35">
      <c r="A7870" s="52" t="s">
        <v>752</v>
      </c>
      <c r="B7870" s="52" t="s">
        <v>34</v>
      </c>
      <c r="C7870" s="52" t="s">
        <v>33</v>
      </c>
      <c r="D7870" s="52" t="s">
        <v>33</v>
      </c>
      <c r="E7870" s="52" t="s">
        <v>675</v>
      </c>
      <c r="F7870" s="52" t="s">
        <v>581</v>
      </c>
      <c r="G7870" s="195" t="s">
        <v>275</v>
      </c>
      <c r="H7870" s="195">
        <v>13.77693</v>
      </c>
      <c r="I7870" s="195">
        <v>3.3095309999999998</v>
      </c>
      <c r="J7870" s="195">
        <v>2.2902399999999998</v>
      </c>
      <c r="K7870" s="195">
        <v>1.978675</v>
      </c>
      <c r="L7870" s="195">
        <v>1.5491239999999999</v>
      </c>
      <c r="M7870" s="195">
        <v>1.5495460000000001</v>
      </c>
      <c r="N7870" s="195">
        <v>1.394814</v>
      </c>
    </row>
    <row r="7871" spans="1:14" hidden="1" x14ac:dyDescent="0.35">
      <c r="A7871" s="52" t="s">
        <v>752</v>
      </c>
      <c r="B7871" s="52" t="s">
        <v>34</v>
      </c>
      <c r="C7871" s="52" t="s">
        <v>33</v>
      </c>
      <c r="D7871" s="52" t="s">
        <v>33</v>
      </c>
      <c r="E7871" s="52" t="s">
        <v>675</v>
      </c>
      <c r="F7871" s="52" t="s">
        <v>581</v>
      </c>
      <c r="G7871" s="195" t="s">
        <v>276</v>
      </c>
      <c r="H7871" s="195">
        <v>4.9671919999999998</v>
      </c>
      <c r="I7871" s="195">
        <v>1.1031789999999999</v>
      </c>
      <c r="J7871" s="195">
        <v>0.72323440000000006</v>
      </c>
      <c r="K7871" s="195">
        <v>0.59103329999999998</v>
      </c>
      <c r="L7871" s="195">
        <v>0.46272459999999999</v>
      </c>
      <c r="M7871" s="195">
        <v>0.46285359999999998</v>
      </c>
      <c r="N7871" s="195">
        <v>0.4166318</v>
      </c>
    </row>
    <row r="7872" spans="1:14" hidden="1" x14ac:dyDescent="0.35">
      <c r="A7872" s="52" t="s">
        <v>752</v>
      </c>
      <c r="B7872" s="52" t="s">
        <v>34</v>
      </c>
      <c r="C7872" s="52" t="s">
        <v>33</v>
      </c>
      <c r="D7872" s="52" t="s">
        <v>33</v>
      </c>
      <c r="E7872" s="52" t="s">
        <v>675</v>
      </c>
      <c r="F7872" s="52" t="s">
        <v>581</v>
      </c>
      <c r="G7872" s="195" t="s">
        <v>279</v>
      </c>
      <c r="H7872" s="195">
        <v>3.9329149999999999</v>
      </c>
      <c r="I7872" s="195">
        <v>3.4827170000000001</v>
      </c>
      <c r="J7872" s="195">
        <v>2.8568370000000001</v>
      </c>
      <c r="K7872" s="195">
        <v>2.3582000000000001</v>
      </c>
      <c r="L7872" s="195">
        <v>2.345583</v>
      </c>
      <c r="M7872" s="195">
        <v>1.781101</v>
      </c>
      <c r="N7872" s="195">
        <v>1.5636429999999999</v>
      </c>
    </row>
    <row r="7873" spans="1:14" hidden="1" x14ac:dyDescent="0.35">
      <c r="A7873" s="52" t="s">
        <v>752</v>
      </c>
      <c r="B7873" s="52" t="s">
        <v>34</v>
      </c>
      <c r="C7873" s="52" t="s">
        <v>33</v>
      </c>
      <c r="D7873" s="52" t="s">
        <v>33</v>
      </c>
      <c r="E7873" s="52" t="s">
        <v>675</v>
      </c>
      <c r="F7873" s="52" t="s">
        <v>26</v>
      </c>
      <c r="G7873" s="195" t="s">
        <v>275</v>
      </c>
      <c r="H7873" s="195">
        <v>22.554870000000001</v>
      </c>
      <c r="I7873" s="195">
        <v>19.036290000000001</v>
      </c>
      <c r="J7873" s="195">
        <v>11.645569999999999</v>
      </c>
      <c r="K7873" s="195">
        <v>6.8184519999999997</v>
      </c>
      <c r="L7873" s="195">
        <v>3.415232</v>
      </c>
      <c r="M7873" s="195">
        <v>5.4277199999999999</v>
      </c>
      <c r="N7873" s="195">
        <v>4.3979309999999998</v>
      </c>
    </row>
    <row r="7874" spans="1:14" hidden="1" x14ac:dyDescent="0.35">
      <c r="A7874" s="52" t="s">
        <v>752</v>
      </c>
      <c r="B7874" s="52" t="s">
        <v>34</v>
      </c>
      <c r="C7874" s="52" t="s">
        <v>33</v>
      </c>
      <c r="D7874" s="52" t="s">
        <v>33</v>
      </c>
      <c r="E7874" s="52" t="s">
        <v>675</v>
      </c>
      <c r="F7874" s="52" t="s">
        <v>26</v>
      </c>
      <c r="G7874" s="195" t="s">
        <v>276</v>
      </c>
      <c r="H7874" s="195">
        <v>-7.4898150000000001</v>
      </c>
      <c r="I7874" s="195">
        <v>-8.0499690000000008</v>
      </c>
      <c r="J7874" s="195">
        <v>-2.6055820000000001</v>
      </c>
      <c r="K7874" s="195">
        <v>-6.5611300000000005E-4</v>
      </c>
      <c r="L7874" s="195">
        <v>0.36871520000000002</v>
      </c>
      <c r="M7874" s="195">
        <v>1.12307</v>
      </c>
      <c r="N7874" s="195">
        <v>1.0282560000000001</v>
      </c>
    </row>
    <row r="7875" spans="1:14" hidden="1" x14ac:dyDescent="0.35">
      <c r="A7875" s="52" t="s">
        <v>752</v>
      </c>
      <c r="B7875" s="52" t="s">
        <v>34</v>
      </c>
      <c r="C7875" s="52" t="s">
        <v>33</v>
      </c>
      <c r="D7875" s="52" t="s">
        <v>33</v>
      </c>
      <c r="E7875" s="52" t="s">
        <v>675</v>
      </c>
      <c r="F7875" s="52" t="s">
        <v>26</v>
      </c>
      <c r="G7875" s="195" t="s">
        <v>277</v>
      </c>
      <c r="H7875" s="195">
        <v>15.31227</v>
      </c>
      <c r="I7875" s="195">
        <v>4.3219159999999999</v>
      </c>
      <c r="J7875" s="195">
        <v>1.1414059999999999</v>
      </c>
      <c r="K7875" s="195">
        <v>1.3059050000000001</v>
      </c>
      <c r="L7875" s="195">
        <v>1.1531739999999999</v>
      </c>
      <c r="M7875" s="195">
        <v>0.23319139999999999</v>
      </c>
      <c r="N7875" s="195">
        <v>0.266901</v>
      </c>
    </row>
    <row r="7876" spans="1:14" hidden="1" x14ac:dyDescent="0.35">
      <c r="A7876" s="52" t="s">
        <v>752</v>
      </c>
      <c r="B7876" s="52" t="s">
        <v>34</v>
      </c>
      <c r="C7876" s="52" t="s">
        <v>33</v>
      </c>
      <c r="D7876" s="52" t="s">
        <v>33</v>
      </c>
      <c r="E7876" s="52" t="s">
        <v>675</v>
      </c>
      <c r="F7876" s="52" t="s">
        <v>26</v>
      </c>
      <c r="G7876" s="195" t="s">
        <v>278</v>
      </c>
      <c r="H7876" s="195">
        <v>6.8437359999999998</v>
      </c>
      <c r="I7876" s="195">
        <v>6.9158410000000003</v>
      </c>
      <c r="J7876" s="195">
        <v>1.953751</v>
      </c>
      <c r="K7876" s="195">
        <v>1.7628729999999999</v>
      </c>
      <c r="L7876" s="195">
        <v>1.7395970000000001</v>
      </c>
      <c r="M7876" s="195">
        <v>0.56187279999999995</v>
      </c>
      <c r="N7876" s="195">
        <v>0.7112967</v>
      </c>
    </row>
    <row r="7877" spans="1:14" hidden="1" x14ac:dyDescent="0.35">
      <c r="A7877" s="52" t="s">
        <v>752</v>
      </c>
      <c r="B7877" s="52" t="s">
        <v>34</v>
      </c>
      <c r="C7877" s="52" t="s">
        <v>33</v>
      </c>
      <c r="D7877" s="52" t="s">
        <v>33</v>
      </c>
      <c r="E7877" s="52" t="s">
        <v>675</v>
      </c>
      <c r="F7877" s="52" t="s">
        <v>26</v>
      </c>
      <c r="G7877" s="195" t="s">
        <v>279</v>
      </c>
      <c r="H7877" s="195">
        <v>27.782869999999999</v>
      </c>
      <c r="I7877" s="195">
        <v>24.877700000000001</v>
      </c>
      <c r="J7877" s="195">
        <v>20.204059999999998</v>
      </c>
      <c r="K7877" s="195">
        <v>16.940519999999999</v>
      </c>
      <c r="L7877" s="195">
        <v>16.55593</v>
      </c>
      <c r="M7877" s="195">
        <v>12.662240000000001</v>
      </c>
      <c r="N7877" s="195">
        <v>11.1806</v>
      </c>
    </row>
    <row r="7878" spans="1:14" hidden="1" x14ac:dyDescent="0.35">
      <c r="A7878" s="52" t="s">
        <v>752</v>
      </c>
      <c r="B7878" s="52" t="s">
        <v>34</v>
      </c>
      <c r="C7878" s="52" t="s">
        <v>33</v>
      </c>
      <c r="D7878" s="52" t="s">
        <v>33</v>
      </c>
      <c r="E7878" s="52" t="s">
        <v>739</v>
      </c>
      <c r="F7878" s="52" t="s">
        <v>581</v>
      </c>
      <c r="G7878" s="195" t="s">
        <v>275</v>
      </c>
      <c r="H7878" s="195">
        <v>4.8042020000000001</v>
      </c>
      <c r="I7878" s="195">
        <v>1.629508</v>
      </c>
      <c r="J7878" s="195">
        <v>1.5058419999999999</v>
      </c>
      <c r="K7878" s="195">
        <v>1.256146</v>
      </c>
      <c r="L7878" s="195">
        <v>0.81766050000000001</v>
      </c>
      <c r="M7878" s="195">
        <v>1.229706</v>
      </c>
      <c r="N7878" s="195">
        <v>1.0729139999999999</v>
      </c>
    </row>
    <row r="7879" spans="1:14" hidden="1" x14ac:dyDescent="0.35">
      <c r="A7879" s="52" t="s">
        <v>752</v>
      </c>
      <c r="B7879" s="52" t="s">
        <v>34</v>
      </c>
      <c r="C7879" s="52" t="s">
        <v>33</v>
      </c>
      <c r="D7879" s="52" t="s">
        <v>33</v>
      </c>
      <c r="E7879" s="52" t="s">
        <v>739</v>
      </c>
      <c r="F7879" s="52" t="s">
        <v>581</v>
      </c>
      <c r="G7879" s="195" t="s">
        <v>276</v>
      </c>
      <c r="H7879" s="195">
        <v>2.2962929999999999</v>
      </c>
      <c r="I7879" s="195">
        <v>9.8124400000000001E-2</v>
      </c>
      <c r="J7879" s="195">
        <v>3.9760799999999999E-2</v>
      </c>
      <c r="K7879" s="195">
        <v>8.7663389999999994E-2</v>
      </c>
      <c r="L7879" s="195">
        <v>0.2165832</v>
      </c>
      <c r="M7879" s="195">
        <v>0.2675862</v>
      </c>
      <c r="N7879" s="195">
        <v>0.25078400000000001</v>
      </c>
    </row>
    <row r="7880" spans="1:14" hidden="1" x14ac:dyDescent="0.35">
      <c r="A7880" s="52" t="s">
        <v>752</v>
      </c>
      <c r="B7880" s="52" t="s">
        <v>34</v>
      </c>
      <c r="C7880" s="52" t="s">
        <v>33</v>
      </c>
      <c r="D7880" s="52" t="s">
        <v>33</v>
      </c>
      <c r="E7880" s="52" t="s">
        <v>739</v>
      </c>
      <c r="F7880" s="52" t="s">
        <v>581</v>
      </c>
      <c r="G7880" s="195" t="s">
        <v>277</v>
      </c>
      <c r="H7880" s="195">
        <v>3.2977630000000002</v>
      </c>
      <c r="I7880" s="195">
        <v>0.27267039999999998</v>
      </c>
      <c r="J7880" s="195">
        <v>0.221859</v>
      </c>
      <c r="K7880" s="195">
        <v>0.28717399999999998</v>
      </c>
      <c r="L7880" s="195">
        <v>0.32720159999999998</v>
      </c>
      <c r="M7880" s="195">
        <v>0</v>
      </c>
      <c r="N7880" s="195">
        <v>0</v>
      </c>
    </row>
    <row r="7881" spans="1:14" hidden="1" x14ac:dyDescent="0.35">
      <c r="A7881" s="52" t="s">
        <v>752</v>
      </c>
      <c r="B7881" s="52" t="s">
        <v>34</v>
      </c>
      <c r="C7881" s="52" t="s">
        <v>33</v>
      </c>
      <c r="D7881" s="52" t="s">
        <v>33</v>
      </c>
      <c r="E7881" s="52" t="s">
        <v>739</v>
      </c>
      <c r="F7881" s="52" t="s">
        <v>581</v>
      </c>
      <c r="G7881" s="195" t="s">
        <v>278</v>
      </c>
      <c r="H7881" s="195">
        <v>0.63923700000000006</v>
      </c>
      <c r="I7881" s="195">
        <v>0.63450879999999998</v>
      </c>
      <c r="J7881" s="195">
        <v>0.18031759999999999</v>
      </c>
      <c r="K7881" s="195">
        <v>0.1780564</v>
      </c>
      <c r="L7881" s="195">
        <v>0.14088580000000001</v>
      </c>
      <c r="M7881" s="195">
        <v>0</v>
      </c>
      <c r="N7881" s="195">
        <v>0</v>
      </c>
    </row>
    <row r="7882" spans="1:14" hidden="1" x14ac:dyDescent="0.35">
      <c r="A7882" s="52" t="s">
        <v>752</v>
      </c>
      <c r="B7882" s="52" t="s">
        <v>34</v>
      </c>
      <c r="C7882" s="52" t="s">
        <v>33</v>
      </c>
      <c r="D7882" s="52" t="s">
        <v>33</v>
      </c>
      <c r="E7882" s="52" t="s">
        <v>739</v>
      </c>
      <c r="F7882" s="52" t="s">
        <v>581</v>
      </c>
      <c r="G7882" s="195" t="s">
        <v>279</v>
      </c>
      <c r="H7882" s="195">
        <v>2.3093460000000001</v>
      </c>
      <c r="I7882" s="195">
        <v>2.0762330000000002</v>
      </c>
      <c r="J7882" s="195">
        <v>1.812311</v>
      </c>
      <c r="K7882" s="195">
        <v>1.632145</v>
      </c>
      <c r="L7882" s="195">
        <v>1.699557</v>
      </c>
      <c r="M7882" s="195">
        <v>1.312638</v>
      </c>
      <c r="N7882" s="195">
        <v>1.1635789999999999</v>
      </c>
    </row>
    <row r="7883" spans="1:14" hidden="1" x14ac:dyDescent="0.35">
      <c r="A7883" s="52" t="s">
        <v>752</v>
      </c>
      <c r="B7883" s="52" t="s">
        <v>34</v>
      </c>
      <c r="C7883" s="52" t="s">
        <v>33</v>
      </c>
      <c r="D7883" s="52" t="s">
        <v>33</v>
      </c>
      <c r="E7883" s="52" t="s">
        <v>739</v>
      </c>
      <c r="F7883" s="52" t="s">
        <v>26</v>
      </c>
      <c r="G7883" s="195" t="s">
        <v>275</v>
      </c>
      <c r="H7883" s="195">
        <v>0.85340300000000002</v>
      </c>
      <c r="I7883" s="195">
        <v>0.33427059999999997</v>
      </c>
      <c r="J7883" s="195">
        <v>4.7822999999999997E-2</v>
      </c>
      <c r="K7883" s="195">
        <v>3.5983599999999998E-2</v>
      </c>
      <c r="L7883" s="195">
        <v>-0.1184144</v>
      </c>
      <c r="M7883" s="195">
        <v>2.0206999999999999E-2</v>
      </c>
      <c r="N7883" s="195">
        <v>4.0377989999999999E-3</v>
      </c>
    </row>
    <row r="7884" spans="1:14" hidden="1" x14ac:dyDescent="0.35">
      <c r="A7884" s="52" t="s">
        <v>752</v>
      </c>
      <c r="B7884" s="52" t="s">
        <v>34</v>
      </c>
      <c r="C7884" s="52" t="s">
        <v>33</v>
      </c>
      <c r="D7884" s="52" t="s">
        <v>33</v>
      </c>
      <c r="E7884" s="52" t="s">
        <v>739</v>
      </c>
      <c r="F7884" s="52" t="s">
        <v>26</v>
      </c>
      <c r="G7884" s="195" t="s">
        <v>276</v>
      </c>
      <c r="H7884" s="195">
        <v>0.30769099999999999</v>
      </c>
      <c r="I7884" s="195">
        <v>0.1114246</v>
      </c>
      <c r="J7884" s="195">
        <v>1.5101E-2</v>
      </c>
      <c r="K7884" s="195">
        <v>1.07466E-2</v>
      </c>
      <c r="L7884" s="195">
        <v>-3.5370400000000003E-2</v>
      </c>
      <c r="M7884" s="195">
        <v>6.0359990000000002E-3</v>
      </c>
      <c r="N7884" s="195">
        <v>1.205998E-3</v>
      </c>
    </row>
    <row r="7885" spans="1:14" hidden="1" x14ac:dyDescent="0.35">
      <c r="A7885" s="52" t="s">
        <v>752</v>
      </c>
      <c r="B7885" s="52" t="s">
        <v>34</v>
      </c>
      <c r="C7885" s="52" t="s">
        <v>33</v>
      </c>
      <c r="D7885" s="52" t="s">
        <v>33</v>
      </c>
      <c r="E7885" s="52" t="s">
        <v>739</v>
      </c>
      <c r="F7885" s="52" t="s">
        <v>26</v>
      </c>
      <c r="G7885" s="195" t="s">
        <v>279</v>
      </c>
      <c r="H7885" s="195">
        <v>2.369777</v>
      </c>
      <c r="I7885" s="195">
        <v>2.0929030000000002</v>
      </c>
      <c r="J7885" s="195">
        <v>1.826986</v>
      </c>
      <c r="K7885" s="195">
        <v>1.6575610000000001</v>
      </c>
      <c r="L7885" s="195">
        <v>1.708053</v>
      </c>
      <c r="M7885" s="195">
        <v>1.324263</v>
      </c>
      <c r="N7885" s="195">
        <v>1.1759440000000001</v>
      </c>
    </row>
    <row r="7886" spans="1:14" hidden="1" x14ac:dyDescent="0.35">
      <c r="A7886" s="52" t="s">
        <v>752</v>
      </c>
      <c r="B7886" s="52" t="s">
        <v>34</v>
      </c>
      <c r="C7886" s="52" t="s">
        <v>33</v>
      </c>
      <c r="D7886" s="52" t="s">
        <v>33</v>
      </c>
      <c r="E7886" s="52" t="s">
        <v>727</v>
      </c>
      <c r="F7886" s="52" t="s">
        <v>581</v>
      </c>
      <c r="G7886" s="195" t="s">
        <v>275</v>
      </c>
      <c r="H7886" s="195">
        <v>0.86484799999999995</v>
      </c>
      <c r="I7886" s="195">
        <v>-0.30827019999999999</v>
      </c>
      <c r="J7886" s="195">
        <v>-0.3132026</v>
      </c>
      <c r="K7886" s="195">
        <v>-0.2811514</v>
      </c>
      <c r="L7886" s="195">
        <v>-0.33505420000000002</v>
      </c>
      <c r="M7886" s="195">
        <v>-0.200349</v>
      </c>
      <c r="N7886" s="195">
        <v>-0.17837800000000001</v>
      </c>
    </row>
    <row r="7887" spans="1:14" hidden="1" x14ac:dyDescent="0.35">
      <c r="A7887" s="52" t="s">
        <v>752</v>
      </c>
      <c r="B7887" s="52" t="s">
        <v>34</v>
      </c>
      <c r="C7887" s="52" t="s">
        <v>33</v>
      </c>
      <c r="D7887" s="52" t="s">
        <v>33</v>
      </c>
      <c r="E7887" s="52" t="s">
        <v>727</v>
      </c>
      <c r="F7887" s="52" t="s">
        <v>581</v>
      </c>
      <c r="G7887" s="195" t="s">
        <v>276</v>
      </c>
      <c r="H7887" s="195">
        <v>0.31181599999999998</v>
      </c>
      <c r="I7887" s="195">
        <v>-0.10275720000000001</v>
      </c>
      <c r="J7887" s="195">
        <v>-9.8905800000000002E-2</v>
      </c>
      <c r="K7887" s="195">
        <v>-8.3979600000000001E-2</v>
      </c>
      <c r="L7887" s="195">
        <v>-0.1000812</v>
      </c>
      <c r="M7887" s="195">
        <v>-5.9845799999999998E-2</v>
      </c>
      <c r="N7887" s="195">
        <v>-5.3281589999999997E-2</v>
      </c>
    </row>
    <row r="7888" spans="1:14" hidden="1" x14ac:dyDescent="0.35">
      <c r="A7888" s="52" t="s">
        <v>752</v>
      </c>
      <c r="B7888" s="52" t="s">
        <v>34</v>
      </c>
      <c r="C7888" s="52" t="s">
        <v>33</v>
      </c>
      <c r="D7888" s="52" t="s">
        <v>33</v>
      </c>
      <c r="E7888" s="52" t="s">
        <v>727</v>
      </c>
      <c r="F7888" s="52" t="s">
        <v>581</v>
      </c>
      <c r="G7888" s="195" t="s">
        <v>279</v>
      </c>
      <c r="H7888" s="195">
        <v>1.2895939999999999</v>
      </c>
      <c r="I7888" s="195">
        <v>1.556589</v>
      </c>
      <c r="J7888" s="195">
        <v>1.2561100000000001</v>
      </c>
      <c r="K7888" s="195">
        <v>1.1517120000000001</v>
      </c>
      <c r="L7888" s="195">
        <v>1.0990070000000001</v>
      </c>
      <c r="M7888" s="195">
        <v>0.8393621</v>
      </c>
      <c r="N7888" s="195">
        <v>0.74961619999999995</v>
      </c>
    </row>
    <row r="7889" spans="1:14" hidden="1" x14ac:dyDescent="0.35">
      <c r="A7889" s="52" t="s">
        <v>752</v>
      </c>
      <c r="B7889" s="52" t="s">
        <v>34</v>
      </c>
      <c r="C7889" s="52" t="s">
        <v>33</v>
      </c>
      <c r="D7889" s="52" t="s">
        <v>33</v>
      </c>
      <c r="E7889" s="52" t="s">
        <v>727</v>
      </c>
      <c r="F7889" s="52" t="s">
        <v>26</v>
      </c>
      <c r="G7889" s="195" t="s">
        <v>275</v>
      </c>
      <c r="H7889" s="195">
        <v>-1.3742000000000001E-2</v>
      </c>
      <c r="I7889" s="195">
        <v>-4.753692</v>
      </c>
      <c r="J7889" s="195">
        <v>-2.528111</v>
      </c>
      <c r="K7889" s="195">
        <v>-2.582573</v>
      </c>
      <c r="L7889" s="195">
        <v>-2.8120750000000001</v>
      </c>
      <c r="M7889" s="195">
        <v>-2.0236519999999998</v>
      </c>
      <c r="N7889" s="195">
        <v>-1.8348009999999999</v>
      </c>
    </row>
    <row r="7890" spans="1:14" hidden="1" x14ac:dyDescent="0.35">
      <c r="A7890" s="52" t="s">
        <v>752</v>
      </c>
      <c r="B7890" s="52" t="s">
        <v>34</v>
      </c>
      <c r="C7890" s="52" t="s">
        <v>33</v>
      </c>
      <c r="D7890" s="52" t="s">
        <v>33</v>
      </c>
      <c r="E7890" s="52" t="s">
        <v>727</v>
      </c>
      <c r="F7890" s="52" t="s">
        <v>26</v>
      </c>
      <c r="G7890" s="195" t="s">
        <v>276</v>
      </c>
      <c r="H7890" s="195">
        <v>-1.846422</v>
      </c>
      <c r="I7890" s="195">
        <v>-1.8895709999999999</v>
      </c>
      <c r="J7890" s="195">
        <v>-1.3324400000000001</v>
      </c>
      <c r="K7890" s="195">
        <v>-0.9807534</v>
      </c>
      <c r="L7890" s="195">
        <v>-1.0493049999999999</v>
      </c>
      <c r="M7890" s="195">
        <v>-0.60446759999999999</v>
      </c>
      <c r="N7890" s="195">
        <v>-0.54805789999999999</v>
      </c>
    </row>
    <row r="7891" spans="1:14" hidden="1" x14ac:dyDescent="0.35">
      <c r="A7891" s="52" t="s">
        <v>752</v>
      </c>
      <c r="B7891" s="52" t="s">
        <v>34</v>
      </c>
      <c r="C7891" s="52" t="s">
        <v>33</v>
      </c>
      <c r="D7891" s="52" t="s">
        <v>33</v>
      </c>
      <c r="E7891" s="52" t="s">
        <v>727</v>
      </c>
      <c r="F7891" s="52" t="s">
        <v>26</v>
      </c>
      <c r="G7891" s="195" t="s">
        <v>277</v>
      </c>
      <c r="H7891" s="195">
        <v>0</v>
      </c>
      <c r="I7891" s="195">
        <v>1.6036239999999999</v>
      </c>
      <c r="J7891" s="195">
        <v>0</v>
      </c>
      <c r="K7891" s="195">
        <v>0</v>
      </c>
      <c r="L7891" s="195"/>
      <c r="M7891" s="195">
        <v>0</v>
      </c>
      <c r="N7891" s="195">
        <v>0</v>
      </c>
    </row>
    <row r="7892" spans="1:14" hidden="1" x14ac:dyDescent="0.35">
      <c r="A7892" s="52" t="s">
        <v>752</v>
      </c>
      <c r="B7892" s="52" t="s">
        <v>34</v>
      </c>
      <c r="C7892" s="52" t="s">
        <v>33</v>
      </c>
      <c r="D7892" s="52" t="s">
        <v>33</v>
      </c>
      <c r="E7892" s="52" t="s">
        <v>727</v>
      </c>
      <c r="F7892" s="52" t="s">
        <v>26</v>
      </c>
      <c r="G7892" s="195" t="s">
        <v>278</v>
      </c>
      <c r="H7892" s="195">
        <v>0</v>
      </c>
      <c r="I7892" s="195">
        <v>1.1996420000000001</v>
      </c>
      <c r="J7892" s="195">
        <v>0</v>
      </c>
      <c r="K7892" s="195">
        <v>0</v>
      </c>
      <c r="L7892" s="195"/>
      <c r="M7892" s="195"/>
      <c r="N7892" s="195"/>
    </row>
    <row r="7893" spans="1:14" hidden="1" x14ac:dyDescent="0.35">
      <c r="A7893" s="52" t="s">
        <v>752</v>
      </c>
      <c r="B7893" s="52" t="s">
        <v>34</v>
      </c>
      <c r="C7893" s="52" t="s">
        <v>33</v>
      </c>
      <c r="D7893" s="52" t="s">
        <v>33</v>
      </c>
      <c r="E7893" s="52" t="s">
        <v>727</v>
      </c>
      <c r="F7893" s="52" t="s">
        <v>26</v>
      </c>
      <c r="G7893" s="195" t="s">
        <v>279</v>
      </c>
      <c r="H7893" s="195">
        <v>8.4839439999999993</v>
      </c>
      <c r="I7893" s="195">
        <v>10.231529999999999</v>
      </c>
      <c r="J7893" s="195">
        <v>8.2901469999999993</v>
      </c>
      <c r="K7893" s="195">
        <v>7.641858</v>
      </c>
      <c r="L7893" s="195">
        <v>7.2577749999999996</v>
      </c>
      <c r="M7893" s="195">
        <v>5.5490339999999998</v>
      </c>
      <c r="N7893" s="195">
        <v>4.9557789999999997</v>
      </c>
    </row>
    <row r="7894" spans="1:14" hidden="1" x14ac:dyDescent="0.35">
      <c r="A7894" s="52" t="s">
        <v>752</v>
      </c>
      <c r="B7894" s="52" t="s">
        <v>34</v>
      </c>
      <c r="C7894" s="52" t="s">
        <v>33</v>
      </c>
      <c r="D7894" s="52" t="s">
        <v>33</v>
      </c>
      <c r="E7894" s="52" t="s">
        <v>754</v>
      </c>
      <c r="F7894" s="52" t="s">
        <v>581</v>
      </c>
      <c r="G7894" s="195" t="s">
        <v>275</v>
      </c>
      <c r="H7894" s="195">
        <v>3.1852849999999999</v>
      </c>
      <c r="I7894" s="195">
        <v>-0.933612</v>
      </c>
      <c r="J7894" s="195">
        <v>0.33336739999999998</v>
      </c>
      <c r="K7894" s="195">
        <v>2.6764380000000001E-2</v>
      </c>
      <c r="L7894" s="195">
        <v>-6.713102E-2</v>
      </c>
      <c r="M7894" s="195">
        <v>0.51255580000000001</v>
      </c>
      <c r="N7894" s="195">
        <v>0.43508400000000003</v>
      </c>
    </row>
    <row r="7895" spans="1:14" hidden="1" x14ac:dyDescent="0.35">
      <c r="A7895" s="52" t="s">
        <v>752</v>
      </c>
      <c r="B7895" s="52" t="s">
        <v>34</v>
      </c>
      <c r="C7895" s="52" t="s">
        <v>33</v>
      </c>
      <c r="D7895" s="52" t="s">
        <v>33</v>
      </c>
      <c r="E7895" s="52" t="s">
        <v>754</v>
      </c>
      <c r="F7895" s="52" t="s">
        <v>581</v>
      </c>
      <c r="G7895" s="195" t="s">
        <v>276</v>
      </c>
      <c r="H7895" s="195">
        <v>0.44366299999999997</v>
      </c>
      <c r="I7895" s="195">
        <v>-0.35182039999999998</v>
      </c>
      <c r="J7895" s="195">
        <v>-0.27777220000000002</v>
      </c>
      <c r="K7895" s="195">
        <v>-5.4228600000000002E-2</v>
      </c>
      <c r="L7895" s="195">
        <v>-0.1219846</v>
      </c>
      <c r="M7895" s="195">
        <v>1.48092E-2</v>
      </c>
      <c r="N7895" s="195">
        <v>3.4585200000000003E-2</v>
      </c>
    </row>
    <row r="7896" spans="1:14" hidden="1" x14ac:dyDescent="0.35">
      <c r="A7896" s="52" t="s">
        <v>752</v>
      </c>
      <c r="B7896" s="52" t="s">
        <v>34</v>
      </c>
      <c r="C7896" s="52" t="s">
        <v>33</v>
      </c>
      <c r="D7896" s="52" t="s">
        <v>33</v>
      </c>
      <c r="E7896" s="52" t="s">
        <v>754</v>
      </c>
      <c r="F7896" s="52" t="s">
        <v>581</v>
      </c>
      <c r="G7896" s="195" t="s">
        <v>277</v>
      </c>
      <c r="H7896" s="195">
        <v>0</v>
      </c>
      <c r="I7896" s="195">
        <v>0.72685290000000002</v>
      </c>
      <c r="J7896" s="195">
        <v>0.1997014</v>
      </c>
      <c r="K7896" s="195">
        <v>0.218169</v>
      </c>
      <c r="L7896" s="195">
        <v>0.23360239999999999</v>
      </c>
      <c r="M7896" s="195">
        <v>0</v>
      </c>
      <c r="N7896" s="195">
        <v>0</v>
      </c>
    </row>
    <row r="7897" spans="1:14" hidden="1" x14ac:dyDescent="0.35">
      <c r="A7897" s="52" t="s">
        <v>752</v>
      </c>
      <c r="B7897" s="52" t="s">
        <v>34</v>
      </c>
      <c r="C7897" s="52" t="s">
        <v>33</v>
      </c>
      <c r="D7897" s="52" t="s">
        <v>33</v>
      </c>
      <c r="E7897" s="52" t="s">
        <v>754</v>
      </c>
      <c r="F7897" s="52" t="s">
        <v>581</v>
      </c>
      <c r="G7897" s="195" t="s">
        <v>278</v>
      </c>
      <c r="H7897" s="195">
        <v>0</v>
      </c>
      <c r="I7897" s="195">
        <v>1.4016869999999999</v>
      </c>
      <c r="J7897" s="195">
        <v>0.37501400000000001</v>
      </c>
      <c r="K7897" s="195">
        <v>0.40515800000000002</v>
      </c>
      <c r="L7897" s="195">
        <v>0.42025560000000001</v>
      </c>
      <c r="M7897" s="195">
        <v>0</v>
      </c>
      <c r="N7897" s="195">
        <v>0</v>
      </c>
    </row>
    <row r="7898" spans="1:14" hidden="1" x14ac:dyDescent="0.35">
      <c r="A7898" s="52" t="s">
        <v>752</v>
      </c>
      <c r="B7898" s="52" t="s">
        <v>34</v>
      </c>
      <c r="C7898" s="52" t="s">
        <v>33</v>
      </c>
      <c r="D7898" s="52" t="s">
        <v>33</v>
      </c>
      <c r="E7898" s="52" t="s">
        <v>754</v>
      </c>
      <c r="F7898" s="52" t="s">
        <v>581</v>
      </c>
      <c r="G7898" s="195" t="s">
        <v>279</v>
      </c>
      <c r="H7898" s="195">
        <v>0.96923400000000004</v>
      </c>
      <c r="I7898" s="195">
        <v>1.013663</v>
      </c>
      <c r="J7898" s="195">
        <v>0.96828530000000002</v>
      </c>
      <c r="K7898" s="195">
        <v>0.89275760000000004</v>
      </c>
      <c r="L7898" s="195">
        <v>0.97193980000000002</v>
      </c>
      <c r="M7898" s="195">
        <v>0.76911260000000004</v>
      </c>
      <c r="N7898" s="195">
        <v>0.680562</v>
      </c>
    </row>
    <row r="7899" spans="1:14" hidden="1" x14ac:dyDescent="0.35">
      <c r="A7899" s="52" t="s">
        <v>752</v>
      </c>
      <c r="B7899" s="52" t="s">
        <v>34</v>
      </c>
      <c r="C7899" s="52" t="s">
        <v>33</v>
      </c>
      <c r="D7899" s="52" t="s">
        <v>33</v>
      </c>
      <c r="E7899" s="52" t="s">
        <v>754</v>
      </c>
      <c r="F7899" s="52" t="s">
        <v>26</v>
      </c>
      <c r="G7899" s="195" t="s">
        <v>275</v>
      </c>
      <c r="H7899" s="195">
        <v>0.48768899999999998</v>
      </c>
      <c r="I7899" s="195">
        <v>0.31907340000000001</v>
      </c>
      <c r="J7899" s="195">
        <v>0.13561300000000001</v>
      </c>
      <c r="K7899" s="195">
        <v>0.11839379999999999</v>
      </c>
      <c r="L7899" s="195">
        <v>8.2399989999999996E-3</v>
      </c>
      <c r="M7899" s="195">
        <v>9.6647590000000005E-2</v>
      </c>
      <c r="N7899" s="195">
        <v>7.3429800000000003E-2</v>
      </c>
    </row>
    <row r="7900" spans="1:14" hidden="1" x14ac:dyDescent="0.35">
      <c r="A7900" s="52" t="s">
        <v>752</v>
      </c>
      <c r="B7900" s="52" t="s">
        <v>34</v>
      </c>
      <c r="C7900" s="52" t="s">
        <v>33</v>
      </c>
      <c r="D7900" s="52" t="s">
        <v>33</v>
      </c>
      <c r="E7900" s="52" t="s">
        <v>754</v>
      </c>
      <c r="F7900" s="52" t="s">
        <v>26</v>
      </c>
      <c r="G7900" s="195" t="s">
        <v>276</v>
      </c>
      <c r="H7900" s="195">
        <v>0.17583199999999999</v>
      </c>
      <c r="I7900" s="195">
        <v>0.1063582</v>
      </c>
      <c r="J7900" s="195">
        <v>4.2825000000000002E-2</v>
      </c>
      <c r="K7900" s="195">
        <v>3.5364399999999997E-2</v>
      </c>
      <c r="L7900" s="195">
        <v>2.4607990000000001E-3</v>
      </c>
      <c r="M7900" s="195">
        <v>2.8868999999999999E-2</v>
      </c>
      <c r="N7900" s="195">
        <v>2.1932799999999999E-2</v>
      </c>
    </row>
    <row r="7901" spans="1:14" hidden="1" x14ac:dyDescent="0.35">
      <c r="A7901" s="52" t="s">
        <v>752</v>
      </c>
      <c r="B7901" s="52" t="s">
        <v>34</v>
      </c>
      <c r="C7901" s="52" t="s">
        <v>33</v>
      </c>
      <c r="D7901" s="52" t="s">
        <v>33</v>
      </c>
      <c r="E7901" s="52" t="s">
        <v>754</v>
      </c>
      <c r="F7901" s="52" t="s">
        <v>26</v>
      </c>
      <c r="G7901" s="195" t="s">
        <v>279</v>
      </c>
      <c r="H7901" s="195">
        <v>1.038778</v>
      </c>
      <c r="I7901" s="195">
        <v>1.2539560000000001</v>
      </c>
      <c r="J7901" s="195">
        <v>1.213133</v>
      </c>
      <c r="K7901" s="195">
        <v>1.1322909999999999</v>
      </c>
      <c r="L7901" s="195">
        <v>1.2223170000000001</v>
      </c>
      <c r="M7901" s="195">
        <v>0.96918439999999995</v>
      </c>
      <c r="N7901" s="195">
        <v>0.8571396</v>
      </c>
    </row>
    <row r="7902" spans="1:14" hidden="1" x14ac:dyDescent="0.35">
      <c r="A7902" s="52" t="s">
        <v>752</v>
      </c>
      <c r="B7902" s="52" t="s">
        <v>34</v>
      </c>
      <c r="C7902" s="52" t="s">
        <v>33</v>
      </c>
      <c r="D7902" s="52" t="s">
        <v>33</v>
      </c>
      <c r="E7902" s="52" t="s">
        <v>746</v>
      </c>
      <c r="F7902" s="52" t="s">
        <v>581</v>
      </c>
      <c r="G7902" s="195" t="s">
        <v>275</v>
      </c>
      <c r="H7902" s="195">
        <v>0.13416900000000001</v>
      </c>
      <c r="I7902" s="195">
        <v>1.8639979999999999E-4</v>
      </c>
      <c r="J7902" s="195">
        <v>-7.0493989999999996E-3</v>
      </c>
      <c r="K7902" s="195">
        <v>-5.1590009999999999E-3</v>
      </c>
      <c r="L7902" s="195">
        <v>-1.3101399999999999E-2</v>
      </c>
      <c r="M7902" s="195">
        <v>-3.6058000000000002E-3</v>
      </c>
      <c r="N7902" s="195">
        <v>-3.1720009999999998E-3</v>
      </c>
    </row>
    <row r="7903" spans="1:14" hidden="1" x14ac:dyDescent="0.35">
      <c r="A7903" s="52" t="s">
        <v>752</v>
      </c>
      <c r="B7903" s="52" t="s">
        <v>34</v>
      </c>
      <c r="C7903" s="52" t="s">
        <v>33</v>
      </c>
      <c r="D7903" s="52" t="s">
        <v>33</v>
      </c>
      <c r="E7903" s="52" t="s">
        <v>746</v>
      </c>
      <c r="F7903" s="52" t="s">
        <v>581</v>
      </c>
      <c r="G7903" s="195" t="s">
        <v>276</v>
      </c>
      <c r="H7903" s="195">
        <v>4.8372989999999998E-2</v>
      </c>
      <c r="I7903" s="195">
        <v>6.1799999999999998E-5</v>
      </c>
      <c r="J7903" s="195">
        <v>-2.2257990000000001E-3</v>
      </c>
      <c r="K7903" s="195">
        <v>-1.5407999999999999E-3</v>
      </c>
      <c r="L7903" s="195">
        <v>-3.9132000000000004E-3</v>
      </c>
      <c r="M7903" s="195">
        <v>-1.0774000000000001E-3</v>
      </c>
      <c r="N7903" s="195">
        <v>-9.4740009999999997E-4</v>
      </c>
    </row>
    <row r="7904" spans="1:14" hidden="1" x14ac:dyDescent="0.35">
      <c r="A7904" s="52" t="s">
        <v>752</v>
      </c>
      <c r="B7904" s="52" t="s">
        <v>34</v>
      </c>
      <c r="C7904" s="52" t="s">
        <v>33</v>
      </c>
      <c r="D7904" s="52" t="s">
        <v>33</v>
      </c>
      <c r="E7904" s="52" t="s">
        <v>746</v>
      </c>
      <c r="F7904" s="52" t="s">
        <v>581</v>
      </c>
      <c r="G7904" s="195" t="s">
        <v>277</v>
      </c>
      <c r="H7904" s="195"/>
      <c r="I7904" s="195"/>
      <c r="J7904" s="195"/>
      <c r="K7904" s="195"/>
      <c r="L7904" s="195"/>
      <c r="M7904" s="195">
        <v>0</v>
      </c>
      <c r="N7904" s="195">
        <v>0</v>
      </c>
    </row>
    <row r="7905" spans="1:14" hidden="1" x14ac:dyDescent="0.35">
      <c r="A7905" s="52" t="s">
        <v>752</v>
      </c>
      <c r="B7905" s="52" t="s">
        <v>34</v>
      </c>
      <c r="C7905" s="52" t="s">
        <v>33</v>
      </c>
      <c r="D7905" s="52" t="s">
        <v>33</v>
      </c>
      <c r="E7905" s="52" t="s">
        <v>746</v>
      </c>
      <c r="F7905" s="52" t="s">
        <v>581</v>
      </c>
      <c r="G7905" s="195" t="s">
        <v>279</v>
      </c>
      <c r="H7905" s="195">
        <v>0.116119</v>
      </c>
      <c r="I7905" s="195">
        <v>0.123934</v>
      </c>
      <c r="J7905" s="195">
        <v>0.10483099999999999</v>
      </c>
      <c r="K7905" s="195">
        <v>9.3016399999999999E-2</v>
      </c>
      <c r="L7905" s="195">
        <v>9.4996399999999995E-2</v>
      </c>
      <c r="M7905" s="195">
        <v>7.5298599999999993E-2</v>
      </c>
      <c r="N7905" s="195">
        <v>6.7721199999999995E-2</v>
      </c>
    </row>
    <row r="7906" spans="1:14" hidden="1" x14ac:dyDescent="0.35">
      <c r="A7906" s="52" t="s">
        <v>752</v>
      </c>
      <c r="B7906" s="52" t="s">
        <v>34</v>
      </c>
      <c r="C7906" s="52" t="s">
        <v>33</v>
      </c>
      <c r="D7906" s="52" t="s">
        <v>33</v>
      </c>
      <c r="E7906" s="52" t="s">
        <v>746</v>
      </c>
      <c r="F7906" s="52" t="s">
        <v>26</v>
      </c>
      <c r="G7906" s="195" t="s">
        <v>275</v>
      </c>
      <c r="H7906" s="195">
        <v>-3.7377000000000001E-2</v>
      </c>
      <c r="I7906" s="195">
        <v>-3.7449000000000003E-2</v>
      </c>
      <c r="J7906" s="195">
        <v>-3.60404E-2</v>
      </c>
      <c r="K7906" s="195">
        <v>-3.2886400000000003E-2</v>
      </c>
      <c r="L7906" s="195">
        <v>-3.6057400000000003E-2</v>
      </c>
      <c r="M7906" s="195">
        <v>-2.70438E-2</v>
      </c>
      <c r="N7906" s="195">
        <v>-2.4677999999999999E-2</v>
      </c>
    </row>
    <row r="7907" spans="1:14" hidden="1" x14ac:dyDescent="0.35">
      <c r="A7907" s="52" t="s">
        <v>752</v>
      </c>
      <c r="B7907" s="52" t="s">
        <v>34</v>
      </c>
      <c r="C7907" s="52" t="s">
        <v>33</v>
      </c>
      <c r="D7907" s="52" t="s">
        <v>33</v>
      </c>
      <c r="E7907" s="52" t="s">
        <v>746</v>
      </c>
      <c r="F7907" s="52" t="s">
        <v>26</v>
      </c>
      <c r="G7907" s="195" t="s">
        <v>276</v>
      </c>
      <c r="H7907" s="195">
        <v>-1.3476E-2</v>
      </c>
      <c r="I7907" s="195">
        <v>-1.24826E-2</v>
      </c>
      <c r="J7907" s="195">
        <v>-1.13814E-2</v>
      </c>
      <c r="K7907" s="195">
        <v>-9.8227999999999996E-3</v>
      </c>
      <c r="L7907" s="195">
        <v>-1.0770399999999999E-2</v>
      </c>
      <c r="M7907" s="195">
        <v>-8.0786E-3</v>
      </c>
      <c r="N7907" s="195">
        <v>-7.3715999999999999E-3</v>
      </c>
    </row>
    <row r="7908" spans="1:14" hidden="1" x14ac:dyDescent="0.35">
      <c r="A7908" s="52" t="s">
        <v>752</v>
      </c>
      <c r="B7908" s="52" t="s">
        <v>34</v>
      </c>
      <c r="C7908" s="52" t="s">
        <v>33</v>
      </c>
      <c r="D7908" s="52" t="s">
        <v>33</v>
      </c>
      <c r="E7908" s="52" t="s">
        <v>746</v>
      </c>
      <c r="F7908" s="52" t="s">
        <v>26</v>
      </c>
      <c r="G7908" s="195" t="s">
        <v>279</v>
      </c>
      <c r="H7908" s="195">
        <v>0.113804</v>
      </c>
      <c r="I7908" s="195">
        <v>9.0629989999999994E-2</v>
      </c>
      <c r="J7908" s="195">
        <v>7.7086000000000002E-2</v>
      </c>
      <c r="K7908" s="195">
        <v>6.8895209999999998E-2</v>
      </c>
      <c r="L7908" s="195">
        <v>6.9914199999999996E-2</v>
      </c>
      <c r="M7908" s="195">
        <v>5.5499800000000002E-2</v>
      </c>
      <c r="N7908" s="195">
        <v>4.99164E-2</v>
      </c>
    </row>
    <row r="7909" spans="1:14" hidden="1" x14ac:dyDescent="0.35">
      <c r="A7909" s="52" t="s">
        <v>761</v>
      </c>
      <c r="B7909" s="52" t="s">
        <v>34</v>
      </c>
      <c r="C7909" s="52" t="s">
        <v>33</v>
      </c>
      <c r="D7909" s="52" t="s">
        <v>33</v>
      </c>
      <c r="E7909" s="52" t="s">
        <v>605</v>
      </c>
      <c r="F7909" s="52" t="s">
        <v>581</v>
      </c>
      <c r="G7909" s="195" t="s">
        <v>275</v>
      </c>
      <c r="H7909" s="195">
        <v>35.45872</v>
      </c>
      <c r="I7909" s="195">
        <v>8.8054290000000002</v>
      </c>
      <c r="J7909" s="195">
        <v>6.2638429999999996</v>
      </c>
      <c r="K7909" s="195">
        <v>5.524559</v>
      </c>
      <c r="L7909" s="195">
        <v>4.5715849999999998</v>
      </c>
      <c r="M7909" s="195">
        <v>4.5949450000000001</v>
      </c>
      <c r="N7909" s="195">
        <v>4.199249</v>
      </c>
    </row>
    <row r="7910" spans="1:14" hidden="1" x14ac:dyDescent="0.35">
      <c r="A7910" s="52" t="s">
        <v>761</v>
      </c>
      <c r="B7910" s="52" t="s">
        <v>34</v>
      </c>
      <c r="C7910" s="52" t="s">
        <v>33</v>
      </c>
      <c r="D7910" s="52" t="s">
        <v>33</v>
      </c>
      <c r="E7910" s="52" t="s">
        <v>605</v>
      </c>
      <c r="F7910" s="52" t="s">
        <v>581</v>
      </c>
      <c r="G7910" s="195" t="s">
        <v>276</v>
      </c>
      <c r="H7910" s="195">
        <v>11.819570000000001</v>
      </c>
      <c r="I7910" s="195">
        <v>2.9351430000000001</v>
      </c>
      <c r="J7910" s="195">
        <v>2.0879470000000002</v>
      </c>
      <c r="K7910" s="195">
        <v>1.8415170000000001</v>
      </c>
      <c r="L7910" s="195">
        <v>1.52386</v>
      </c>
      <c r="M7910" s="195">
        <v>1.5316479999999999</v>
      </c>
      <c r="N7910" s="195">
        <v>1.39975</v>
      </c>
    </row>
    <row r="7911" spans="1:14" hidden="1" x14ac:dyDescent="0.35">
      <c r="A7911" s="52" t="s">
        <v>761</v>
      </c>
      <c r="B7911" s="52" t="s">
        <v>34</v>
      </c>
      <c r="C7911" s="52" t="s">
        <v>33</v>
      </c>
      <c r="D7911" s="52" t="s">
        <v>33</v>
      </c>
      <c r="E7911" s="52" t="s">
        <v>605</v>
      </c>
      <c r="F7911" s="52" t="s">
        <v>581</v>
      </c>
      <c r="G7911" s="195" t="s">
        <v>279</v>
      </c>
      <c r="H7911" s="195">
        <v>7.8330510000000002</v>
      </c>
      <c r="I7911" s="195">
        <v>7.1615609999999998</v>
      </c>
      <c r="J7911" s="195">
        <v>6.1698579999999996</v>
      </c>
      <c r="K7911" s="195">
        <v>5.5142569999999997</v>
      </c>
      <c r="L7911" s="195">
        <v>5.4344020000000004</v>
      </c>
      <c r="M7911" s="195">
        <v>4.3530329999999999</v>
      </c>
      <c r="N7911" s="195">
        <v>3.973487</v>
      </c>
    </row>
    <row r="7912" spans="1:14" hidden="1" x14ac:dyDescent="0.35">
      <c r="A7912" s="52" t="s">
        <v>761</v>
      </c>
      <c r="B7912" s="52" t="s">
        <v>34</v>
      </c>
      <c r="C7912" s="52" t="s">
        <v>33</v>
      </c>
      <c r="D7912" s="52" t="s">
        <v>33</v>
      </c>
      <c r="E7912" s="52" t="s">
        <v>605</v>
      </c>
      <c r="F7912" s="52" t="s">
        <v>26</v>
      </c>
      <c r="G7912" s="195" t="s">
        <v>275</v>
      </c>
      <c r="H7912" s="195">
        <v>29.82273</v>
      </c>
      <c r="I7912" s="195">
        <v>38.173029999999997</v>
      </c>
      <c r="J7912" s="195">
        <v>7.9456290000000003</v>
      </c>
      <c r="K7912" s="195">
        <v>0.50987450000000001</v>
      </c>
      <c r="L7912" s="195">
        <v>-7.9882</v>
      </c>
      <c r="M7912" s="195">
        <v>-1.542921</v>
      </c>
      <c r="N7912" s="195">
        <v>-2.1630720000000001</v>
      </c>
    </row>
    <row r="7913" spans="1:14" hidden="1" x14ac:dyDescent="0.35">
      <c r="A7913" s="52" t="s">
        <v>761</v>
      </c>
      <c r="B7913" s="52" t="s">
        <v>34</v>
      </c>
      <c r="C7913" s="52" t="s">
        <v>33</v>
      </c>
      <c r="D7913" s="52" t="s">
        <v>33</v>
      </c>
      <c r="E7913" s="52" t="s">
        <v>605</v>
      </c>
      <c r="F7913" s="52" t="s">
        <v>26</v>
      </c>
      <c r="G7913" s="195" t="s">
        <v>276</v>
      </c>
      <c r="H7913" s="195">
        <v>-17.276350000000001</v>
      </c>
      <c r="I7913" s="195">
        <v>-19.664069999999999</v>
      </c>
      <c r="J7913" s="195">
        <v>-12.29026</v>
      </c>
      <c r="K7913" s="195">
        <v>-5.5960460000000003</v>
      </c>
      <c r="L7913" s="195">
        <v>-3.5871059999999999</v>
      </c>
      <c r="M7913" s="195">
        <v>-0.90892700000000004</v>
      </c>
      <c r="N7913" s="195">
        <v>-0.8706545</v>
      </c>
    </row>
    <row r="7914" spans="1:14" hidden="1" x14ac:dyDescent="0.35">
      <c r="A7914" s="52" t="s">
        <v>761</v>
      </c>
      <c r="B7914" s="52" t="s">
        <v>34</v>
      </c>
      <c r="C7914" s="52" t="s">
        <v>33</v>
      </c>
      <c r="D7914" s="52" t="s">
        <v>33</v>
      </c>
      <c r="E7914" s="52" t="s">
        <v>605</v>
      </c>
      <c r="F7914" s="52" t="s">
        <v>26</v>
      </c>
      <c r="G7914" s="195" t="s">
        <v>277</v>
      </c>
      <c r="H7914" s="195">
        <v>46.91525</v>
      </c>
      <c r="I7914" s="195">
        <v>2.6129380000000002</v>
      </c>
      <c r="J7914" s="195">
        <v>0.370533</v>
      </c>
      <c r="K7914" s="195">
        <v>0.33908440000000001</v>
      </c>
      <c r="L7914" s="195">
        <v>0.12904760000000001</v>
      </c>
      <c r="M7914" s="195">
        <v>0</v>
      </c>
      <c r="N7914" s="195">
        <v>0</v>
      </c>
    </row>
    <row r="7915" spans="1:14" hidden="1" x14ac:dyDescent="0.35">
      <c r="A7915" s="52" t="s">
        <v>761</v>
      </c>
      <c r="B7915" s="52" t="s">
        <v>34</v>
      </c>
      <c r="C7915" s="52" t="s">
        <v>33</v>
      </c>
      <c r="D7915" s="52" t="s">
        <v>33</v>
      </c>
      <c r="E7915" s="52" t="s">
        <v>605</v>
      </c>
      <c r="F7915" s="52" t="s">
        <v>26</v>
      </c>
      <c r="G7915" s="195" t="s">
        <v>278</v>
      </c>
      <c r="H7915" s="195">
        <v>14.274749999999999</v>
      </c>
      <c r="I7915" s="195">
        <v>6.0823029999999996</v>
      </c>
      <c r="J7915" s="195">
        <v>2.5693429999999999</v>
      </c>
      <c r="K7915" s="195">
        <v>0.87192400000000003</v>
      </c>
      <c r="L7915" s="195">
        <v>0.4555054</v>
      </c>
      <c r="M7915" s="195">
        <v>0</v>
      </c>
      <c r="N7915" s="195">
        <v>0</v>
      </c>
    </row>
    <row r="7916" spans="1:14" hidden="1" x14ac:dyDescent="0.35">
      <c r="A7916" s="52" t="s">
        <v>761</v>
      </c>
      <c r="B7916" s="52" t="s">
        <v>34</v>
      </c>
      <c r="C7916" s="52" t="s">
        <v>33</v>
      </c>
      <c r="D7916" s="52" t="s">
        <v>33</v>
      </c>
      <c r="E7916" s="52" t="s">
        <v>605</v>
      </c>
      <c r="F7916" s="52" t="s">
        <v>26</v>
      </c>
      <c r="G7916" s="195" t="s">
        <v>279</v>
      </c>
      <c r="H7916" s="195">
        <v>109.52979999999999</v>
      </c>
      <c r="I7916" s="195">
        <v>104.43129999999999</v>
      </c>
      <c r="J7916" s="195">
        <v>90.162999999999997</v>
      </c>
      <c r="K7916" s="195">
        <v>81.202110000000005</v>
      </c>
      <c r="L7916" s="195">
        <v>79.307720000000003</v>
      </c>
      <c r="M7916" s="195">
        <v>63.718760000000003</v>
      </c>
      <c r="N7916" s="195">
        <v>58.18788</v>
      </c>
    </row>
    <row r="7917" spans="1:14" hidden="1" x14ac:dyDescent="0.35">
      <c r="A7917" s="52" t="s">
        <v>760</v>
      </c>
      <c r="B7917" s="52" t="s">
        <v>34</v>
      </c>
      <c r="C7917" s="52" t="s">
        <v>33</v>
      </c>
      <c r="D7917" s="52" t="s">
        <v>33</v>
      </c>
      <c r="E7917" s="52" t="s">
        <v>605</v>
      </c>
      <c r="F7917" s="52" t="s">
        <v>581</v>
      </c>
      <c r="G7917" s="195" t="s">
        <v>275</v>
      </c>
      <c r="H7917" s="195">
        <v>8.3999830000000006</v>
      </c>
      <c r="I7917" s="195">
        <v>0.33572479999999999</v>
      </c>
      <c r="J7917" s="195">
        <v>8.6714600000000003E-2</v>
      </c>
      <c r="K7917" s="195">
        <v>2.4884799999999999E-2</v>
      </c>
      <c r="L7917" s="195">
        <v>-7.4597990000000003E-2</v>
      </c>
      <c r="M7917" s="195">
        <v>7.3709189999999994E-2</v>
      </c>
      <c r="N7917" s="195">
        <v>6.6406209999999993E-2</v>
      </c>
    </row>
    <row r="7918" spans="1:14" hidden="1" x14ac:dyDescent="0.35">
      <c r="A7918" s="52" t="s">
        <v>760</v>
      </c>
      <c r="B7918" s="52" t="s">
        <v>34</v>
      </c>
      <c r="C7918" s="52" t="s">
        <v>33</v>
      </c>
      <c r="D7918" s="52" t="s">
        <v>33</v>
      </c>
      <c r="E7918" s="52" t="s">
        <v>605</v>
      </c>
      <c r="F7918" s="52" t="s">
        <v>581</v>
      </c>
      <c r="G7918" s="195" t="s">
        <v>276</v>
      </c>
      <c r="H7918" s="195">
        <v>3.028565</v>
      </c>
      <c r="I7918" s="195">
        <v>0.1119076</v>
      </c>
      <c r="J7918" s="195">
        <v>2.7381599999999999E-2</v>
      </c>
      <c r="K7918" s="195">
        <v>7.434001E-3</v>
      </c>
      <c r="L7918" s="195">
        <v>-2.22814E-2</v>
      </c>
      <c r="M7918" s="195">
        <v>2.2017800000000001E-2</v>
      </c>
      <c r="N7918" s="195">
        <v>1.98348E-2</v>
      </c>
    </row>
    <row r="7919" spans="1:14" hidden="1" x14ac:dyDescent="0.35">
      <c r="A7919" s="52" t="s">
        <v>760</v>
      </c>
      <c r="B7919" s="52" t="s">
        <v>34</v>
      </c>
      <c r="C7919" s="52" t="s">
        <v>33</v>
      </c>
      <c r="D7919" s="52" t="s">
        <v>33</v>
      </c>
      <c r="E7919" s="52" t="s">
        <v>605</v>
      </c>
      <c r="F7919" s="52" t="s">
        <v>581</v>
      </c>
      <c r="G7919" s="195" t="s">
        <v>279</v>
      </c>
      <c r="H7919" s="195">
        <v>5.3161839999999998</v>
      </c>
      <c r="I7919" s="195">
        <v>2.2077089999999999</v>
      </c>
      <c r="J7919" s="195">
        <v>2.2189019999999999</v>
      </c>
      <c r="K7919" s="195">
        <v>1.904325</v>
      </c>
      <c r="L7919" s="195">
        <v>1.8215969999999999</v>
      </c>
      <c r="M7919" s="195">
        <v>1.4171229999999999</v>
      </c>
      <c r="N7919" s="195">
        <v>1.2695749999999999</v>
      </c>
    </row>
    <row r="7920" spans="1:14" hidden="1" x14ac:dyDescent="0.35">
      <c r="A7920" s="52" t="s">
        <v>760</v>
      </c>
      <c r="B7920" s="52" t="s">
        <v>34</v>
      </c>
      <c r="C7920" s="52" t="s">
        <v>33</v>
      </c>
      <c r="D7920" s="52" t="s">
        <v>33</v>
      </c>
      <c r="E7920" s="52" t="s">
        <v>605</v>
      </c>
      <c r="F7920" s="52" t="s">
        <v>26</v>
      </c>
      <c r="G7920" s="195" t="s">
        <v>275</v>
      </c>
      <c r="H7920" s="195">
        <v>29.82591</v>
      </c>
      <c r="I7920" s="195">
        <v>35.565359999999998</v>
      </c>
      <c r="J7920" s="195">
        <v>26.258959999999998</v>
      </c>
      <c r="K7920" s="195">
        <v>17.233309999999999</v>
      </c>
      <c r="L7920" s="195">
        <v>10.26695</v>
      </c>
      <c r="M7920" s="195">
        <v>13.00258</v>
      </c>
      <c r="N7920" s="195">
        <v>10.754630000000001</v>
      </c>
    </row>
    <row r="7921" spans="1:14" hidden="1" x14ac:dyDescent="0.35">
      <c r="A7921" s="52" t="s">
        <v>760</v>
      </c>
      <c r="B7921" s="52" t="s">
        <v>34</v>
      </c>
      <c r="C7921" s="52" t="s">
        <v>33</v>
      </c>
      <c r="D7921" s="52" t="s">
        <v>33</v>
      </c>
      <c r="E7921" s="52" t="s">
        <v>605</v>
      </c>
      <c r="F7921" s="52" t="s">
        <v>26</v>
      </c>
      <c r="G7921" s="195" t="s">
        <v>276</v>
      </c>
      <c r="H7921" s="195">
        <v>-3.282422</v>
      </c>
      <c r="I7921" s="195">
        <v>-6.671157</v>
      </c>
      <c r="J7921" s="195">
        <v>-5.3207230000000001</v>
      </c>
      <c r="K7921" s="195">
        <v>0.51363760000000003</v>
      </c>
      <c r="L7921" s="195">
        <v>1.932178</v>
      </c>
      <c r="M7921" s="195">
        <v>3.408941</v>
      </c>
      <c r="N7921" s="195">
        <v>3.0687310000000001</v>
      </c>
    </row>
    <row r="7922" spans="1:14" hidden="1" x14ac:dyDescent="0.35">
      <c r="A7922" s="52" t="s">
        <v>760</v>
      </c>
      <c r="B7922" s="52" t="s">
        <v>34</v>
      </c>
      <c r="C7922" s="52" t="s">
        <v>33</v>
      </c>
      <c r="D7922" s="52" t="s">
        <v>33</v>
      </c>
      <c r="E7922" s="52" t="s">
        <v>605</v>
      </c>
      <c r="F7922" s="52" t="s">
        <v>26</v>
      </c>
      <c r="G7922" s="195" t="s">
        <v>277</v>
      </c>
      <c r="H7922" s="195">
        <v>51.675339999999998</v>
      </c>
      <c r="I7922" s="195">
        <v>4.7389619999999999</v>
      </c>
      <c r="J7922" s="195">
        <v>0.77968459999999995</v>
      </c>
      <c r="K7922" s="195">
        <v>0.83226880000000003</v>
      </c>
      <c r="L7922" s="195">
        <v>0.60587880000000005</v>
      </c>
      <c r="M7922" s="195">
        <v>0.1801084</v>
      </c>
      <c r="N7922" s="195">
        <v>0.3145696</v>
      </c>
    </row>
    <row r="7923" spans="1:14" hidden="1" x14ac:dyDescent="0.35">
      <c r="A7923" s="52" t="s">
        <v>760</v>
      </c>
      <c r="B7923" s="52" t="s">
        <v>34</v>
      </c>
      <c r="C7923" s="52" t="s">
        <v>33</v>
      </c>
      <c r="D7923" s="52" t="s">
        <v>33</v>
      </c>
      <c r="E7923" s="52" t="s">
        <v>605</v>
      </c>
      <c r="F7923" s="52" t="s">
        <v>26</v>
      </c>
      <c r="G7923" s="195" t="s">
        <v>278</v>
      </c>
      <c r="H7923" s="195">
        <v>0.57142999999999999</v>
      </c>
      <c r="I7923" s="195">
        <v>9.5382719999999992</v>
      </c>
      <c r="J7923" s="195">
        <v>2.9046419999999999</v>
      </c>
      <c r="K7923" s="195">
        <v>1.8855200000000001</v>
      </c>
      <c r="L7923" s="195">
        <v>1.222772</v>
      </c>
      <c r="M7923" s="195">
        <v>0.4434244</v>
      </c>
      <c r="N7923" s="195">
        <v>0.76735920000000002</v>
      </c>
    </row>
    <row r="7924" spans="1:14" hidden="1" x14ac:dyDescent="0.35">
      <c r="A7924" s="52" t="s">
        <v>760</v>
      </c>
      <c r="B7924" s="52" t="s">
        <v>34</v>
      </c>
      <c r="C7924" s="52" t="s">
        <v>33</v>
      </c>
      <c r="D7924" s="52" t="s">
        <v>33</v>
      </c>
      <c r="E7924" s="52" t="s">
        <v>605</v>
      </c>
      <c r="F7924" s="52" t="s">
        <v>26</v>
      </c>
      <c r="G7924" s="195" t="s">
        <v>279</v>
      </c>
      <c r="H7924" s="195">
        <v>62.360860000000002</v>
      </c>
      <c r="I7924" s="195">
        <v>53.478940000000001</v>
      </c>
      <c r="J7924" s="195">
        <v>50.657710000000002</v>
      </c>
      <c r="K7924" s="195">
        <v>47.14893</v>
      </c>
      <c r="L7924" s="195">
        <v>46.842350000000003</v>
      </c>
      <c r="M7924" s="195">
        <v>37.66619</v>
      </c>
      <c r="N7924" s="195">
        <v>34.371780000000001</v>
      </c>
    </row>
    <row r="7925" spans="1:14" hidden="1" x14ac:dyDescent="0.35">
      <c r="A7925" s="52" t="s">
        <v>760</v>
      </c>
      <c r="B7925" s="52" t="s">
        <v>34</v>
      </c>
      <c r="C7925" s="52" t="s">
        <v>33</v>
      </c>
      <c r="D7925" s="52" t="s">
        <v>33</v>
      </c>
      <c r="E7925" s="52" t="s">
        <v>604</v>
      </c>
      <c r="F7925" s="52" t="s">
        <v>581</v>
      </c>
      <c r="G7925" s="195" t="s">
        <v>275</v>
      </c>
      <c r="H7925" s="195">
        <v>-73.345470000000006</v>
      </c>
      <c r="I7925" s="195">
        <v>-36.87724</v>
      </c>
      <c r="J7925" s="195">
        <v>13.35722</v>
      </c>
      <c r="K7925" s="195">
        <v>11.114979999999999</v>
      </c>
      <c r="L7925" s="195">
        <v>5.3578900000000003</v>
      </c>
      <c r="M7925" s="195">
        <v>3.243039</v>
      </c>
      <c r="N7925" s="195">
        <v>1.2253229999999999</v>
      </c>
    </row>
    <row r="7926" spans="1:14" hidden="1" x14ac:dyDescent="0.35">
      <c r="A7926" s="52" t="s">
        <v>760</v>
      </c>
      <c r="B7926" s="52" t="s">
        <v>34</v>
      </c>
      <c r="C7926" s="52" t="s">
        <v>33</v>
      </c>
      <c r="D7926" s="52" t="s">
        <v>33</v>
      </c>
      <c r="E7926" s="52" t="s">
        <v>604</v>
      </c>
      <c r="F7926" s="52" t="s">
        <v>581</v>
      </c>
      <c r="G7926" s="195" t="s">
        <v>276</v>
      </c>
      <c r="H7926" s="195">
        <v>-8.097092</v>
      </c>
      <c r="I7926" s="195">
        <v>-9.6565980000000007</v>
      </c>
      <c r="J7926" s="195">
        <v>-9.1804039999999993</v>
      </c>
      <c r="K7926" s="195">
        <v>-7.0559839999999996</v>
      </c>
      <c r="L7926" s="195">
        <v>-2.5788340000000001</v>
      </c>
      <c r="M7926" s="195">
        <v>0.64779699999999996</v>
      </c>
      <c r="N7926" s="195">
        <v>0.59960780000000002</v>
      </c>
    </row>
    <row r="7927" spans="1:14" hidden="1" x14ac:dyDescent="0.35">
      <c r="A7927" s="52" t="s">
        <v>760</v>
      </c>
      <c r="B7927" s="52" t="s">
        <v>34</v>
      </c>
      <c r="C7927" s="52" t="s">
        <v>33</v>
      </c>
      <c r="D7927" s="52" t="s">
        <v>33</v>
      </c>
      <c r="E7927" s="52" t="s">
        <v>604</v>
      </c>
      <c r="F7927" s="52" t="s">
        <v>581</v>
      </c>
      <c r="G7927" s="195" t="s">
        <v>277</v>
      </c>
      <c r="H7927" s="195">
        <v>63.702950000000001</v>
      </c>
      <c r="I7927" s="195">
        <v>46</v>
      </c>
      <c r="J7927" s="195">
        <v>0.92635500000000004</v>
      </c>
      <c r="K7927" s="195">
        <v>0.70643040000000001</v>
      </c>
      <c r="L7927" s="195">
        <v>0.67124220000000001</v>
      </c>
      <c r="M7927" s="195">
        <v>0.33045659999999999</v>
      </c>
      <c r="N7927" s="195">
        <v>0.87585259999999998</v>
      </c>
    </row>
    <row r="7928" spans="1:14" hidden="1" x14ac:dyDescent="0.35">
      <c r="A7928" s="52" t="s">
        <v>760</v>
      </c>
      <c r="B7928" s="52" t="s">
        <v>34</v>
      </c>
      <c r="C7928" s="52" t="s">
        <v>33</v>
      </c>
      <c r="D7928" s="52" t="s">
        <v>33</v>
      </c>
      <c r="E7928" s="52" t="s">
        <v>604</v>
      </c>
      <c r="F7928" s="52" t="s">
        <v>581</v>
      </c>
      <c r="G7928" s="195" t="s">
        <v>278</v>
      </c>
      <c r="H7928" s="195">
        <v>21.774809999999999</v>
      </c>
      <c r="I7928" s="195">
        <v>10.66361</v>
      </c>
      <c r="J7928" s="195">
        <v>2.562541</v>
      </c>
      <c r="K7928" s="195">
        <v>1.5207329999999999</v>
      </c>
      <c r="L7928" s="195">
        <v>1.466815</v>
      </c>
      <c r="M7928" s="195">
        <v>0.85514639999999997</v>
      </c>
      <c r="N7928" s="195">
        <v>2.0171700000000001</v>
      </c>
    </row>
    <row r="7929" spans="1:14" hidden="1" x14ac:dyDescent="0.35">
      <c r="A7929" s="52" t="s">
        <v>760</v>
      </c>
      <c r="B7929" s="52" t="s">
        <v>34</v>
      </c>
      <c r="C7929" s="52" t="s">
        <v>33</v>
      </c>
      <c r="D7929" s="52" t="s">
        <v>33</v>
      </c>
      <c r="E7929" s="52" t="s">
        <v>604</v>
      </c>
      <c r="F7929" s="52" t="s">
        <v>581</v>
      </c>
      <c r="G7929" s="195" t="s">
        <v>279</v>
      </c>
      <c r="H7929" s="195">
        <v>1.687001</v>
      </c>
      <c r="I7929" s="195">
        <v>9.9175620000000002</v>
      </c>
      <c r="J7929" s="195">
        <v>9.9782419999999998</v>
      </c>
      <c r="K7929" s="195">
        <v>8.8030209999999993</v>
      </c>
      <c r="L7929" s="195">
        <v>8.2191469999999995</v>
      </c>
      <c r="M7929" s="195">
        <v>6.1614829999999996</v>
      </c>
      <c r="N7929" s="195">
        <v>5.4584609999999998</v>
      </c>
    </row>
    <row r="7930" spans="1:14" hidden="1" x14ac:dyDescent="0.35">
      <c r="A7930" s="52" t="s">
        <v>760</v>
      </c>
      <c r="B7930" s="52" t="s">
        <v>34</v>
      </c>
      <c r="C7930" s="52" t="s">
        <v>33</v>
      </c>
      <c r="D7930" s="52" t="s">
        <v>33</v>
      </c>
      <c r="E7930" s="52" t="s">
        <v>604</v>
      </c>
      <c r="F7930" s="52" t="s">
        <v>26</v>
      </c>
      <c r="G7930" s="195" t="s">
        <v>275</v>
      </c>
      <c r="H7930" s="195">
        <v>6.8023030000000002</v>
      </c>
      <c r="I7930" s="195">
        <v>6.881329</v>
      </c>
      <c r="J7930" s="195">
        <v>3.8057750000000001</v>
      </c>
      <c r="K7930" s="195">
        <v>3.0211480000000002</v>
      </c>
      <c r="L7930" s="195">
        <v>1.9906520000000001</v>
      </c>
      <c r="M7930" s="195">
        <v>2.2614369999999999</v>
      </c>
      <c r="N7930" s="195">
        <v>1.9787589999999999</v>
      </c>
    </row>
    <row r="7931" spans="1:14" hidden="1" x14ac:dyDescent="0.35">
      <c r="A7931" s="52" t="s">
        <v>760</v>
      </c>
      <c r="B7931" s="52" t="s">
        <v>34</v>
      </c>
      <c r="C7931" s="52" t="s">
        <v>33</v>
      </c>
      <c r="D7931" s="52" t="s">
        <v>33</v>
      </c>
      <c r="E7931" s="52" t="s">
        <v>604</v>
      </c>
      <c r="F7931" s="52" t="s">
        <v>26</v>
      </c>
      <c r="G7931" s="195" t="s">
        <v>276</v>
      </c>
      <c r="H7931" s="195">
        <v>2.452531</v>
      </c>
      <c r="I7931" s="195">
        <v>2.293777</v>
      </c>
      <c r="J7931" s="195">
        <v>1.2018260000000001</v>
      </c>
      <c r="K7931" s="195">
        <v>0.90242040000000001</v>
      </c>
      <c r="L7931" s="195">
        <v>0.59461079999999999</v>
      </c>
      <c r="M7931" s="195">
        <v>0.67549499999999996</v>
      </c>
      <c r="N7931" s="195">
        <v>0.59105759999999996</v>
      </c>
    </row>
    <row r="7932" spans="1:14" hidden="1" x14ac:dyDescent="0.35">
      <c r="A7932" s="52" t="s">
        <v>760</v>
      </c>
      <c r="B7932" s="52" t="s">
        <v>34</v>
      </c>
      <c r="C7932" s="52" t="s">
        <v>33</v>
      </c>
      <c r="D7932" s="52" t="s">
        <v>33</v>
      </c>
      <c r="E7932" s="52" t="s">
        <v>604</v>
      </c>
      <c r="F7932" s="52" t="s">
        <v>26</v>
      </c>
      <c r="G7932" s="195" t="s">
        <v>279</v>
      </c>
      <c r="H7932" s="195">
        <v>6.312964</v>
      </c>
      <c r="I7932" s="195">
        <v>10.27713</v>
      </c>
      <c r="J7932" s="195">
        <v>10.233739999999999</v>
      </c>
      <c r="K7932" s="195">
        <v>8.9172609999999999</v>
      </c>
      <c r="L7932" s="195">
        <v>8.4163449999999997</v>
      </c>
      <c r="M7932" s="195">
        <v>6.293539</v>
      </c>
      <c r="N7932" s="195">
        <v>5.5754799999999998</v>
      </c>
    </row>
    <row r="7933" spans="1:14" hidden="1" x14ac:dyDescent="0.35">
      <c r="A7933" s="52" t="s">
        <v>772</v>
      </c>
      <c r="B7933" s="52" t="s">
        <v>37</v>
      </c>
      <c r="C7933" s="52" t="s">
        <v>46</v>
      </c>
      <c r="D7933" s="52" t="s">
        <v>46</v>
      </c>
      <c r="E7933" s="52" t="s">
        <v>584</v>
      </c>
      <c r="F7933" s="52" t="s">
        <v>581</v>
      </c>
      <c r="G7933" s="195" t="s">
        <v>275</v>
      </c>
      <c r="H7933" s="195">
        <v>2.0924930000000002</v>
      </c>
      <c r="I7933" s="195">
        <v>0.15578159999999999</v>
      </c>
      <c r="J7933" s="195">
        <v>3.9893820000000003E-2</v>
      </c>
      <c r="K7933" s="195">
        <v>1.773158E-2</v>
      </c>
      <c r="L7933" s="195">
        <v>-8.0096399999999998E-2</v>
      </c>
      <c r="M7933" s="195">
        <v>-5.8903400000000002E-2</v>
      </c>
      <c r="N7933" s="195">
        <v>-5.128601E-2</v>
      </c>
    </row>
    <row r="7934" spans="1:14" hidden="1" x14ac:dyDescent="0.35">
      <c r="A7934" s="52" t="s">
        <v>772</v>
      </c>
      <c r="B7934" s="52" t="s">
        <v>37</v>
      </c>
      <c r="C7934" s="52" t="s">
        <v>46</v>
      </c>
      <c r="D7934" s="52" t="s">
        <v>46</v>
      </c>
      <c r="E7934" s="52" t="s">
        <v>584</v>
      </c>
      <c r="F7934" s="52" t="s">
        <v>581</v>
      </c>
      <c r="G7934" s="195" t="s">
        <v>276</v>
      </c>
      <c r="H7934" s="195">
        <v>0.589167</v>
      </c>
      <c r="I7934" s="195">
        <v>4.8110390000000003E-2</v>
      </c>
      <c r="J7934" s="195">
        <v>1.50318E-2</v>
      </c>
      <c r="K7934" s="195">
        <v>8.5975970000000002E-3</v>
      </c>
      <c r="L7934" s="195">
        <v>-1.88106E-2</v>
      </c>
      <c r="M7934" s="195">
        <v>-1.3236599999999999E-2</v>
      </c>
      <c r="N7934" s="195">
        <v>-1.13998E-2</v>
      </c>
    </row>
    <row r="7935" spans="1:14" hidden="1" x14ac:dyDescent="0.35">
      <c r="A7935" s="52" t="s">
        <v>772</v>
      </c>
      <c r="B7935" s="52" t="s">
        <v>37</v>
      </c>
      <c r="C7935" s="52" t="s">
        <v>46</v>
      </c>
      <c r="D7935" s="52" t="s">
        <v>46</v>
      </c>
      <c r="E7935" s="52" t="s">
        <v>584</v>
      </c>
      <c r="F7935" s="52" t="s">
        <v>581</v>
      </c>
      <c r="G7935" s="195" t="s">
        <v>279</v>
      </c>
      <c r="H7935" s="195">
        <v>1.801156</v>
      </c>
      <c r="I7935" s="195">
        <v>1.448407</v>
      </c>
      <c r="J7935" s="195">
        <v>1.256529</v>
      </c>
      <c r="K7935" s="195">
        <v>1.1846909999999999</v>
      </c>
      <c r="L7935" s="195">
        <v>1.2110019999999999</v>
      </c>
      <c r="M7935" s="195">
        <v>1.0946659999999999</v>
      </c>
      <c r="N7935" s="195">
        <v>0.99905219999999995</v>
      </c>
    </row>
    <row r="7936" spans="1:14" hidden="1" x14ac:dyDescent="0.35">
      <c r="A7936" s="52" t="s">
        <v>772</v>
      </c>
      <c r="B7936" s="52" t="s">
        <v>37</v>
      </c>
      <c r="C7936" s="52" t="s">
        <v>46</v>
      </c>
      <c r="D7936" s="52" t="s">
        <v>46</v>
      </c>
      <c r="E7936" s="52" t="s">
        <v>584</v>
      </c>
      <c r="F7936" s="52" t="s">
        <v>26</v>
      </c>
      <c r="G7936" s="195" t="s">
        <v>275</v>
      </c>
      <c r="H7936" s="195">
        <v>-1.5218449999999999</v>
      </c>
      <c r="I7936" s="195">
        <v>-3.5570810000000002</v>
      </c>
      <c r="J7936" s="195">
        <v>-2.315429</v>
      </c>
      <c r="K7936" s="195">
        <v>-4.7849130000000004</v>
      </c>
      <c r="L7936" s="195">
        <v>-7.102328</v>
      </c>
      <c r="M7936" s="195">
        <v>-6.295992</v>
      </c>
      <c r="N7936" s="195">
        <v>-5.6056340000000002</v>
      </c>
    </row>
    <row r="7937" spans="1:14" hidden="1" x14ac:dyDescent="0.35">
      <c r="A7937" s="52" t="s">
        <v>772</v>
      </c>
      <c r="B7937" s="52" t="s">
        <v>37</v>
      </c>
      <c r="C7937" s="52" t="s">
        <v>46</v>
      </c>
      <c r="D7937" s="52" t="s">
        <v>46</v>
      </c>
      <c r="E7937" s="52" t="s">
        <v>584</v>
      </c>
      <c r="F7937" s="52" t="s">
        <v>26</v>
      </c>
      <c r="G7937" s="195" t="s">
        <v>276</v>
      </c>
      <c r="H7937" s="195">
        <v>-5.5470430000000004</v>
      </c>
      <c r="I7937" s="195">
        <v>-3.8088470000000001</v>
      </c>
      <c r="J7937" s="195">
        <v>-4.095485</v>
      </c>
      <c r="K7937" s="195">
        <v>-1.917578</v>
      </c>
      <c r="L7937" s="195">
        <v>-2.5084029999999999</v>
      </c>
      <c r="M7937" s="195">
        <v>-1.8417110000000001</v>
      </c>
      <c r="N7937" s="195">
        <v>-1.76925</v>
      </c>
    </row>
    <row r="7938" spans="1:14" hidden="1" x14ac:dyDescent="0.35">
      <c r="A7938" s="52" t="s">
        <v>772</v>
      </c>
      <c r="B7938" s="52" t="s">
        <v>37</v>
      </c>
      <c r="C7938" s="52" t="s">
        <v>46</v>
      </c>
      <c r="D7938" s="52" t="s">
        <v>46</v>
      </c>
      <c r="E7938" s="52" t="s">
        <v>584</v>
      </c>
      <c r="F7938" s="52" t="s">
        <v>26</v>
      </c>
      <c r="G7938" s="195" t="s">
        <v>277</v>
      </c>
      <c r="H7938" s="195">
        <v>4.205241</v>
      </c>
      <c r="I7938" s="195">
        <v>0</v>
      </c>
      <c r="J7938" s="195">
        <v>1.2136309999999999</v>
      </c>
      <c r="K7938" s="195">
        <v>0.4031846</v>
      </c>
      <c r="L7938" s="195">
        <v>0.24136759999999999</v>
      </c>
      <c r="M7938" s="195">
        <v>0</v>
      </c>
      <c r="N7938" s="195">
        <v>0</v>
      </c>
    </row>
    <row r="7939" spans="1:14" hidden="1" x14ac:dyDescent="0.35">
      <c r="A7939" s="52" t="s">
        <v>772</v>
      </c>
      <c r="B7939" s="52" t="s">
        <v>37</v>
      </c>
      <c r="C7939" s="52" t="s">
        <v>46</v>
      </c>
      <c r="D7939" s="52" t="s">
        <v>46</v>
      </c>
      <c r="E7939" s="52" t="s">
        <v>584</v>
      </c>
      <c r="F7939" s="52" t="s">
        <v>26</v>
      </c>
      <c r="G7939" s="195" t="s">
        <v>278</v>
      </c>
      <c r="H7939" s="195">
        <v>0.48664299999999999</v>
      </c>
      <c r="I7939" s="195">
        <v>0</v>
      </c>
      <c r="J7939" s="195">
        <v>0.33392680000000002</v>
      </c>
      <c r="K7939" s="195">
        <v>0.404499</v>
      </c>
      <c r="L7939" s="195">
        <v>9.3083200000000005E-2</v>
      </c>
      <c r="M7939" s="195">
        <v>0</v>
      </c>
      <c r="N7939" s="195"/>
    </row>
    <row r="7940" spans="1:14" hidden="1" x14ac:dyDescent="0.35">
      <c r="A7940" s="52" t="s">
        <v>772</v>
      </c>
      <c r="B7940" s="52" t="s">
        <v>37</v>
      </c>
      <c r="C7940" s="52" t="s">
        <v>46</v>
      </c>
      <c r="D7940" s="52" t="s">
        <v>46</v>
      </c>
      <c r="E7940" s="52" t="s">
        <v>584</v>
      </c>
      <c r="F7940" s="52" t="s">
        <v>26</v>
      </c>
      <c r="G7940" s="195" t="s">
        <v>279</v>
      </c>
      <c r="H7940" s="195">
        <v>61.371000000000002</v>
      </c>
      <c r="I7940" s="195">
        <v>47.562019999999997</v>
      </c>
      <c r="J7940" s="195">
        <v>42.521079999999998</v>
      </c>
      <c r="K7940" s="195">
        <v>40.836820000000003</v>
      </c>
      <c r="L7940" s="195">
        <v>40.96716</v>
      </c>
      <c r="M7940" s="195">
        <v>36.79833</v>
      </c>
      <c r="N7940" s="195">
        <v>33.35183</v>
      </c>
    </row>
    <row r="7941" spans="1:14" hidden="1" x14ac:dyDescent="0.35">
      <c r="A7941" s="52" t="s">
        <v>772</v>
      </c>
      <c r="B7941" s="52" t="s">
        <v>37</v>
      </c>
      <c r="C7941" s="52" t="s">
        <v>105</v>
      </c>
      <c r="D7941" s="52" t="s">
        <v>105</v>
      </c>
      <c r="E7941" s="52" t="s">
        <v>633</v>
      </c>
      <c r="F7941" s="52" t="s">
        <v>581</v>
      </c>
      <c r="G7941" s="195" t="s">
        <v>275</v>
      </c>
      <c r="H7941" s="195">
        <v>-36.368810000000003</v>
      </c>
      <c r="I7941" s="195">
        <v>1.5817699999999999</v>
      </c>
      <c r="J7941" s="195">
        <v>3.2133940000000001</v>
      </c>
      <c r="K7941" s="195">
        <v>3.9067690000000002</v>
      </c>
      <c r="L7941" s="195">
        <v>5.7603039999999996</v>
      </c>
      <c r="M7941" s="195">
        <v>2.01248</v>
      </c>
      <c r="N7941" s="195">
        <v>1.362087</v>
      </c>
    </row>
    <row r="7942" spans="1:14" hidden="1" x14ac:dyDescent="0.35">
      <c r="A7942" s="52" t="s">
        <v>772</v>
      </c>
      <c r="B7942" s="52" t="s">
        <v>37</v>
      </c>
      <c r="C7942" s="52" t="s">
        <v>105</v>
      </c>
      <c r="D7942" s="52" t="s">
        <v>105</v>
      </c>
      <c r="E7942" s="52" t="s">
        <v>633</v>
      </c>
      <c r="F7942" s="52" t="s">
        <v>581</v>
      </c>
      <c r="G7942" s="195" t="s">
        <v>276</v>
      </c>
      <c r="H7942" s="195">
        <v>2.0553900000000001</v>
      </c>
      <c r="I7942" s="195">
        <v>-2.6154899999999999</v>
      </c>
      <c r="J7942" s="195">
        <v>-2.8795489999999999</v>
      </c>
      <c r="K7942" s="195">
        <v>-4.6407790000000002</v>
      </c>
      <c r="L7942" s="195">
        <v>-6.3390250000000004</v>
      </c>
      <c r="M7942" s="195">
        <v>-0.5149125</v>
      </c>
      <c r="N7942" s="195">
        <v>-0.10197779999999999</v>
      </c>
    </row>
    <row r="7943" spans="1:14" hidden="1" x14ac:dyDescent="0.35">
      <c r="A7943" s="52" t="s">
        <v>772</v>
      </c>
      <c r="B7943" s="52" t="s">
        <v>37</v>
      </c>
      <c r="C7943" s="52" t="s">
        <v>105</v>
      </c>
      <c r="D7943" s="52" t="s">
        <v>105</v>
      </c>
      <c r="E7943" s="52" t="s">
        <v>633</v>
      </c>
      <c r="F7943" s="52" t="s">
        <v>581</v>
      </c>
      <c r="G7943" s="195" t="s">
        <v>277</v>
      </c>
      <c r="H7943" s="195">
        <v>48.592640000000003</v>
      </c>
      <c r="I7943" s="195">
        <v>3.6517919999999999</v>
      </c>
      <c r="J7943" s="195">
        <v>0.96406959999999997</v>
      </c>
      <c r="K7943" s="195">
        <v>0.86669660000000004</v>
      </c>
      <c r="L7943" s="195">
        <v>0.44784020000000002</v>
      </c>
      <c r="M7943" s="195">
        <v>0</v>
      </c>
      <c r="N7943" s="195">
        <v>0</v>
      </c>
    </row>
    <row r="7944" spans="1:14" hidden="1" x14ac:dyDescent="0.35">
      <c r="A7944" s="52" t="s">
        <v>772</v>
      </c>
      <c r="B7944" s="52" t="s">
        <v>37</v>
      </c>
      <c r="C7944" s="52" t="s">
        <v>105</v>
      </c>
      <c r="D7944" s="52" t="s">
        <v>105</v>
      </c>
      <c r="E7944" s="52" t="s">
        <v>633</v>
      </c>
      <c r="F7944" s="52" t="s">
        <v>581</v>
      </c>
      <c r="G7944" s="195" t="s">
        <v>278</v>
      </c>
      <c r="H7944" s="195">
        <v>11.11788</v>
      </c>
      <c r="I7944" s="195">
        <v>2.3507769999999999</v>
      </c>
      <c r="J7944" s="195">
        <v>1.553056</v>
      </c>
      <c r="K7944" s="195">
        <v>2.3359580000000002</v>
      </c>
      <c r="L7944" s="195">
        <v>1.875027</v>
      </c>
      <c r="M7944" s="195">
        <v>0</v>
      </c>
      <c r="N7944" s="195">
        <v>0</v>
      </c>
    </row>
    <row r="7945" spans="1:14" hidden="1" x14ac:dyDescent="0.35">
      <c r="A7945" s="52" t="s">
        <v>772</v>
      </c>
      <c r="B7945" s="52" t="s">
        <v>37</v>
      </c>
      <c r="C7945" s="52" t="s">
        <v>105</v>
      </c>
      <c r="D7945" s="52" t="s">
        <v>105</v>
      </c>
      <c r="E7945" s="52" t="s">
        <v>633</v>
      </c>
      <c r="F7945" s="52" t="s">
        <v>581</v>
      </c>
      <c r="G7945" s="195" t="s">
        <v>279</v>
      </c>
      <c r="H7945" s="195">
        <v>11.384639999999999</v>
      </c>
      <c r="I7945" s="195">
        <v>8.7086749999999995</v>
      </c>
      <c r="J7945" s="195">
        <v>6.4894850000000002</v>
      </c>
      <c r="K7945" s="195">
        <v>5.9355880000000001</v>
      </c>
      <c r="L7945" s="195">
        <v>6.3674470000000003</v>
      </c>
      <c r="M7945" s="195">
        <v>5.170598</v>
      </c>
      <c r="N7945" s="195">
        <v>4.3460840000000003</v>
      </c>
    </row>
    <row r="7946" spans="1:14" hidden="1" x14ac:dyDescent="0.35">
      <c r="A7946" s="52" t="s">
        <v>772</v>
      </c>
      <c r="B7946" s="52" t="s">
        <v>37</v>
      </c>
      <c r="C7946" s="52" t="s">
        <v>105</v>
      </c>
      <c r="D7946" s="52" t="s">
        <v>105</v>
      </c>
      <c r="E7946" s="52" t="s">
        <v>633</v>
      </c>
      <c r="F7946" s="52" t="s">
        <v>26</v>
      </c>
      <c r="G7946" s="195" t="s">
        <v>275</v>
      </c>
      <c r="H7946" s="195">
        <v>3.2654809999999999</v>
      </c>
      <c r="I7946" s="195">
        <v>1.3644320000000001</v>
      </c>
      <c r="J7946" s="195">
        <v>1.4277260000000001</v>
      </c>
      <c r="K7946" s="195">
        <v>1.038653</v>
      </c>
      <c r="L7946" s="195">
        <v>0.31110779999999999</v>
      </c>
      <c r="M7946" s="195">
        <v>0.2990718</v>
      </c>
      <c r="N7946" s="195">
        <v>0.25604860000000002</v>
      </c>
    </row>
    <row r="7947" spans="1:14" hidden="1" x14ac:dyDescent="0.35">
      <c r="A7947" s="52" t="s">
        <v>772</v>
      </c>
      <c r="B7947" s="52" t="s">
        <v>37</v>
      </c>
      <c r="C7947" s="52" t="s">
        <v>105</v>
      </c>
      <c r="D7947" s="52" t="s">
        <v>105</v>
      </c>
      <c r="E7947" s="52" t="s">
        <v>633</v>
      </c>
      <c r="F7947" s="52" t="s">
        <v>26</v>
      </c>
      <c r="G7947" s="195" t="s">
        <v>276</v>
      </c>
      <c r="H7947" s="195">
        <v>1.1318809999999999</v>
      </c>
      <c r="I7947" s="195">
        <v>0.47294039999999998</v>
      </c>
      <c r="J7947" s="195">
        <v>0.49487759999999997</v>
      </c>
      <c r="K7947" s="195">
        <v>0.36001820000000001</v>
      </c>
      <c r="L7947" s="195">
        <v>0.1078364</v>
      </c>
      <c r="M7947" s="195">
        <v>0.1036632</v>
      </c>
      <c r="N7947" s="195">
        <v>8.8751410000000003E-2</v>
      </c>
    </row>
    <row r="7948" spans="1:14" hidden="1" x14ac:dyDescent="0.35">
      <c r="A7948" s="52" t="s">
        <v>772</v>
      </c>
      <c r="B7948" s="52" t="s">
        <v>37</v>
      </c>
      <c r="C7948" s="52" t="s">
        <v>105</v>
      </c>
      <c r="D7948" s="52" t="s">
        <v>105</v>
      </c>
      <c r="E7948" s="52" t="s">
        <v>633</v>
      </c>
      <c r="F7948" s="52" t="s">
        <v>26</v>
      </c>
      <c r="G7948" s="195" t="s">
        <v>279</v>
      </c>
      <c r="H7948" s="195">
        <v>15.294560000000001</v>
      </c>
      <c r="I7948" s="195">
        <v>13.17573</v>
      </c>
      <c r="J7948" s="195">
        <v>9.974342</v>
      </c>
      <c r="K7948" s="195">
        <v>9.2495309999999993</v>
      </c>
      <c r="L7948" s="195">
        <v>9.8043069999999997</v>
      </c>
      <c r="M7948" s="195">
        <v>7.983447</v>
      </c>
      <c r="N7948" s="195">
        <v>6.7110960000000004</v>
      </c>
    </row>
    <row r="7949" spans="1:14" hidden="1" x14ac:dyDescent="0.35">
      <c r="A7949" s="52" t="s">
        <v>772</v>
      </c>
      <c r="B7949" s="52" t="s">
        <v>37</v>
      </c>
      <c r="C7949" s="52" t="s">
        <v>99</v>
      </c>
      <c r="D7949" s="52" t="s">
        <v>101</v>
      </c>
      <c r="E7949" s="52" t="s">
        <v>584</v>
      </c>
      <c r="F7949" s="52" t="s">
        <v>581</v>
      </c>
      <c r="G7949" s="195" t="s">
        <v>275</v>
      </c>
      <c r="H7949" s="195">
        <v>0.69793490000000002</v>
      </c>
      <c r="I7949" s="195">
        <v>-0.44069779999999997</v>
      </c>
      <c r="J7949" s="195">
        <v>-0.44706360000000001</v>
      </c>
      <c r="K7949" s="195">
        <v>-0.4250814</v>
      </c>
      <c r="L7949" s="195">
        <v>-0.49868499999999999</v>
      </c>
      <c r="M7949" s="195">
        <v>-0.44714920000000002</v>
      </c>
      <c r="N7949" s="195">
        <v>-0.4101342</v>
      </c>
    </row>
    <row r="7950" spans="1:14" hidden="1" x14ac:dyDescent="0.35">
      <c r="A7950" s="52" t="s">
        <v>772</v>
      </c>
      <c r="B7950" s="52" t="s">
        <v>37</v>
      </c>
      <c r="C7950" s="52" t="s">
        <v>99</v>
      </c>
      <c r="D7950" s="52" t="s">
        <v>101</v>
      </c>
      <c r="E7950" s="52" t="s">
        <v>584</v>
      </c>
      <c r="F7950" s="52" t="s">
        <v>581</v>
      </c>
      <c r="G7950" s="195" t="s">
        <v>276</v>
      </c>
      <c r="H7950" s="195">
        <v>0.185526</v>
      </c>
      <c r="I7950" s="195">
        <v>-0.11714819999999999</v>
      </c>
      <c r="J7950" s="195">
        <v>-0.11884</v>
      </c>
      <c r="K7950" s="195">
        <v>-0.11299579999999999</v>
      </c>
      <c r="L7950" s="195">
        <v>-0.13256180000000001</v>
      </c>
      <c r="M7950" s="195">
        <v>-0.1188628</v>
      </c>
      <c r="N7950" s="195">
        <v>-0.1090226</v>
      </c>
    </row>
    <row r="7951" spans="1:14" hidden="1" x14ac:dyDescent="0.35">
      <c r="A7951" s="52" t="s">
        <v>772</v>
      </c>
      <c r="B7951" s="52" t="s">
        <v>37</v>
      </c>
      <c r="C7951" s="52" t="s">
        <v>99</v>
      </c>
      <c r="D7951" s="52" t="s">
        <v>101</v>
      </c>
      <c r="E7951" s="52" t="s">
        <v>584</v>
      </c>
      <c r="F7951" s="52" t="s">
        <v>581</v>
      </c>
      <c r="G7951" s="195" t="s">
        <v>279</v>
      </c>
      <c r="H7951" s="195">
        <v>2.1480969999999999</v>
      </c>
      <c r="I7951" s="195">
        <v>1.501241</v>
      </c>
      <c r="J7951" s="195">
        <v>1.316978</v>
      </c>
      <c r="K7951" s="195">
        <v>1.2181070000000001</v>
      </c>
      <c r="L7951" s="195">
        <v>1.2525299999999999</v>
      </c>
      <c r="M7951" s="195">
        <v>1.1390819999999999</v>
      </c>
      <c r="N7951" s="195">
        <v>1.046141</v>
      </c>
    </row>
    <row r="7952" spans="1:14" hidden="1" x14ac:dyDescent="0.35">
      <c r="A7952" s="52" t="s">
        <v>772</v>
      </c>
      <c r="B7952" s="52" t="s">
        <v>37</v>
      </c>
      <c r="C7952" s="52" t="s">
        <v>99</v>
      </c>
      <c r="D7952" s="52" t="s">
        <v>101</v>
      </c>
      <c r="E7952" s="52" t="s">
        <v>584</v>
      </c>
      <c r="F7952" s="52" t="s">
        <v>26</v>
      </c>
      <c r="G7952" s="195" t="s">
        <v>275</v>
      </c>
      <c r="H7952" s="195">
        <v>-1.7192860000000001</v>
      </c>
      <c r="I7952" s="195">
        <v>-5.8347030000000002</v>
      </c>
      <c r="J7952" s="195">
        <v>-2.3449390000000001</v>
      </c>
      <c r="K7952" s="195">
        <v>-1.9186540000000001</v>
      </c>
      <c r="L7952" s="195">
        <v>-2.499406</v>
      </c>
      <c r="M7952" s="195">
        <v>-2.0166379999999999</v>
      </c>
      <c r="N7952" s="195">
        <v>-2.0922930000000002</v>
      </c>
    </row>
    <row r="7953" spans="1:14" hidden="1" x14ac:dyDescent="0.35">
      <c r="A7953" s="52" t="s">
        <v>772</v>
      </c>
      <c r="B7953" s="52" t="s">
        <v>37</v>
      </c>
      <c r="C7953" s="52" t="s">
        <v>99</v>
      </c>
      <c r="D7953" s="52" t="s">
        <v>101</v>
      </c>
      <c r="E7953" s="52" t="s">
        <v>584</v>
      </c>
      <c r="F7953" s="52" t="s">
        <v>26</v>
      </c>
      <c r="G7953" s="195" t="s">
        <v>276</v>
      </c>
      <c r="H7953" s="195">
        <v>-1.271577</v>
      </c>
      <c r="I7953" s="195">
        <v>-0.92765220000000004</v>
      </c>
      <c r="J7953" s="195">
        <v>-0.70287960000000005</v>
      </c>
      <c r="K7953" s="195">
        <v>-0.65961800000000004</v>
      </c>
      <c r="L7953" s="195">
        <v>-0.79452880000000004</v>
      </c>
      <c r="M7953" s="195">
        <v>-0.94214580000000003</v>
      </c>
      <c r="N7953" s="195">
        <v>-0.61835899999999999</v>
      </c>
    </row>
    <row r="7954" spans="1:14" hidden="1" x14ac:dyDescent="0.35">
      <c r="A7954" s="52" t="s">
        <v>772</v>
      </c>
      <c r="B7954" s="52" t="s">
        <v>37</v>
      </c>
      <c r="C7954" s="52" t="s">
        <v>99</v>
      </c>
      <c r="D7954" s="52" t="s">
        <v>101</v>
      </c>
      <c r="E7954" s="52" t="s">
        <v>584</v>
      </c>
      <c r="F7954" s="52" t="s">
        <v>26</v>
      </c>
      <c r="G7954" s="195" t="s">
        <v>277</v>
      </c>
      <c r="H7954" s="195">
        <v>0.11999899999999999</v>
      </c>
      <c r="I7954" s="195">
        <v>3.5867789999999999</v>
      </c>
      <c r="J7954" s="195">
        <v>0.57108559999999997</v>
      </c>
      <c r="K7954" s="195">
        <v>0</v>
      </c>
      <c r="L7954" s="195"/>
      <c r="M7954" s="195">
        <v>0</v>
      </c>
      <c r="N7954" s="195"/>
    </row>
    <row r="7955" spans="1:14" hidden="1" x14ac:dyDescent="0.35">
      <c r="A7955" s="52" t="s">
        <v>772</v>
      </c>
      <c r="B7955" s="52" t="s">
        <v>37</v>
      </c>
      <c r="C7955" s="52" t="s">
        <v>99</v>
      </c>
      <c r="D7955" s="52" t="s">
        <v>101</v>
      </c>
      <c r="E7955" s="52" t="s">
        <v>584</v>
      </c>
      <c r="F7955" s="52" t="s">
        <v>26</v>
      </c>
      <c r="G7955" s="195" t="s">
        <v>279</v>
      </c>
      <c r="H7955" s="195">
        <v>15.31298</v>
      </c>
      <c r="I7955" s="195">
        <v>11.17497</v>
      </c>
      <c r="J7955" s="195">
        <v>9.9502179999999996</v>
      </c>
      <c r="K7955" s="195">
        <v>9.3313000000000006</v>
      </c>
      <c r="L7955" s="195">
        <v>9.4525330000000007</v>
      </c>
      <c r="M7955" s="195">
        <v>8.6240740000000002</v>
      </c>
      <c r="N7955" s="195">
        <v>7.9209630000000004</v>
      </c>
    </row>
    <row r="7956" spans="1:14" hidden="1" x14ac:dyDescent="0.35">
      <c r="A7956" s="52" t="s">
        <v>770</v>
      </c>
      <c r="B7956" s="52" t="s">
        <v>34</v>
      </c>
      <c r="C7956" s="52" t="s">
        <v>33</v>
      </c>
      <c r="D7956" s="52" t="s">
        <v>33</v>
      </c>
      <c r="E7956" s="52" t="s">
        <v>675</v>
      </c>
      <c r="F7956" s="52" t="s">
        <v>581</v>
      </c>
      <c r="G7956" s="195" t="s">
        <v>275</v>
      </c>
      <c r="H7956" s="195">
        <v>16.31596</v>
      </c>
      <c r="I7956" s="195">
        <v>-3.072991</v>
      </c>
      <c r="J7956" s="195">
        <v>-3.4567580000000002</v>
      </c>
      <c r="K7956" s="195">
        <v>-2.6735389999999999</v>
      </c>
      <c r="L7956" s="195">
        <v>-3.1907160000000001</v>
      </c>
      <c r="M7956" s="195">
        <v>-1.796745</v>
      </c>
      <c r="N7956" s="195">
        <v>-1.58992</v>
      </c>
    </row>
    <row r="7957" spans="1:14" hidden="1" x14ac:dyDescent="0.35">
      <c r="A7957" s="52" t="s">
        <v>770</v>
      </c>
      <c r="B7957" s="52" t="s">
        <v>34</v>
      </c>
      <c r="C7957" s="52" t="s">
        <v>33</v>
      </c>
      <c r="D7957" s="52" t="s">
        <v>33</v>
      </c>
      <c r="E7957" s="52" t="s">
        <v>675</v>
      </c>
      <c r="F7957" s="52" t="s">
        <v>581</v>
      </c>
      <c r="G7957" s="195" t="s">
        <v>276</v>
      </c>
      <c r="H7957" s="195">
        <v>5.8826210000000003</v>
      </c>
      <c r="I7957" s="195">
        <v>-1.02433</v>
      </c>
      <c r="J7957" s="195">
        <v>-1.0916090000000001</v>
      </c>
      <c r="K7957" s="195">
        <v>-0.79858819999999997</v>
      </c>
      <c r="L7957" s="195">
        <v>-0.95307019999999998</v>
      </c>
      <c r="M7957" s="195">
        <v>-0.53668859999999996</v>
      </c>
      <c r="N7957" s="195">
        <v>-0.47491080000000002</v>
      </c>
    </row>
    <row r="7958" spans="1:14" hidden="1" x14ac:dyDescent="0.35">
      <c r="A7958" s="52" t="s">
        <v>770</v>
      </c>
      <c r="B7958" s="52" t="s">
        <v>34</v>
      </c>
      <c r="C7958" s="52" t="s">
        <v>33</v>
      </c>
      <c r="D7958" s="52" t="s">
        <v>33</v>
      </c>
      <c r="E7958" s="52" t="s">
        <v>675</v>
      </c>
      <c r="F7958" s="52" t="s">
        <v>581</v>
      </c>
      <c r="G7958" s="195" t="s">
        <v>279</v>
      </c>
      <c r="H7958" s="195">
        <v>21.52375</v>
      </c>
      <c r="I7958" s="195">
        <v>19.10641</v>
      </c>
      <c r="J7958" s="195">
        <v>15.857139999999999</v>
      </c>
      <c r="K7958" s="195">
        <v>12.53951</v>
      </c>
      <c r="L7958" s="195">
        <v>11.74647</v>
      </c>
      <c r="M7958" s="195">
        <v>8.9562830000000009</v>
      </c>
      <c r="N7958" s="195">
        <v>7.9621890000000004</v>
      </c>
    </row>
    <row r="7959" spans="1:14" hidden="1" x14ac:dyDescent="0.35">
      <c r="A7959" s="52" t="s">
        <v>770</v>
      </c>
      <c r="B7959" s="52" t="s">
        <v>34</v>
      </c>
      <c r="C7959" s="52" t="s">
        <v>33</v>
      </c>
      <c r="D7959" s="52" t="s">
        <v>33</v>
      </c>
      <c r="E7959" s="52" t="s">
        <v>675</v>
      </c>
      <c r="F7959" s="52" t="s">
        <v>26</v>
      </c>
      <c r="G7959" s="195" t="s">
        <v>275</v>
      </c>
      <c r="H7959" s="195">
        <v>-9.609477</v>
      </c>
      <c r="I7959" s="195">
        <v>0.7824835</v>
      </c>
      <c r="J7959" s="195">
        <v>-0.74959620000000005</v>
      </c>
      <c r="K7959" s="195">
        <v>-1.492321</v>
      </c>
      <c r="L7959" s="195">
        <v>-4.695112</v>
      </c>
      <c r="M7959" s="195">
        <v>-1.649624</v>
      </c>
      <c r="N7959" s="195">
        <v>-1.4806060000000001</v>
      </c>
    </row>
    <row r="7960" spans="1:14" hidden="1" x14ac:dyDescent="0.35">
      <c r="A7960" s="52" t="s">
        <v>770</v>
      </c>
      <c r="B7960" s="52" t="s">
        <v>34</v>
      </c>
      <c r="C7960" s="52" t="s">
        <v>33</v>
      </c>
      <c r="D7960" s="52" t="s">
        <v>33</v>
      </c>
      <c r="E7960" s="52" t="s">
        <v>675</v>
      </c>
      <c r="F7960" s="52" t="s">
        <v>26</v>
      </c>
      <c r="G7960" s="195" t="s">
        <v>276</v>
      </c>
      <c r="H7960" s="195">
        <v>-10.69472</v>
      </c>
      <c r="I7960" s="195">
        <v>-9.0045199999999994</v>
      </c>
      <c r="J7960" s="195">
        <v>-4.4172560000000001</v>
      </c>
      <c r="K7960" s="195">
        <v>-2.6184120000000002</v>
      </c>
      <c r="L7960" s="195">
        <v>-1.787582</v>
      </c>
      <c r="M7960" s="195">
        <v>-0.55210360000000003</v>
      </c>
      <c r="N7960" s="195">
        <v>-0.47886879999999998</v>
      </c>
    </row>
    <row r="7961" spans="1:14" hidden="1" x14ac:dyDescent="0.35">
      <c r="A7961" s="52" t="s">
        <v>770</v>
      </c>
      <c r="B7961" s="52" t="s">
        <v>34</v>
      </c>
      <c r="C7961" s="52" t="s">
        <v>33</v>
      </c>
      <c r="D7961" s="52" t="s">
        <v>33</v>
      </c>
      <c r="E7961" s="52" t="s">
        <v>675</v>
      </c>
      <c r="F7961" s="52" t="s">
        <v>26</v>
      </c>
      <c r="G7961" s="195" t="s">
        <v>277</v>
      </c>
      <c r="H7961" s="195">
        <v>17.4466</v>
      </c>
      <c r="I7961" s="195">
        <v>1.8528709999999999</v>
      </c>
      <c r="J7961" s="195">
        <v>0.1103826</v>
      </c>
      <c r="K7961" s="195">
        <v>0.12768779999999999</v>
      </c>
      <c r="L7961" s="195">
        <v>0.12990599999999999</v>
      </c>
      <c r="M7961" s="195">
        <v>3.4574000000000001E-2</v>
      </c>
      <c r="N7961" s="195">
        <v>3.5217600000000002E-2</v>
      </c>
    </row>
    <row r="7962" spans="1:14" hidden="1" x14ac:dyDescent="0.35">
      <c r="A7962" s="52" t="s">
        <v>770</v>
      </c>
      <c r="B7962" s="52" t="s">
        <v>34</v>
      </c>
      <c r="C7962" s="52" t="s">
        <v>33</v>
      </c>
      <c r="D7962" s="52" t="s">
        <v>33</v>
      </c>
      <c r="E7962" s="52" t="s">
        <v>675</v>
      </c>
      <c r="F7962" s="52" t="s">
        <v>26</v>
      </c>
      <c r="G7962" s="195" t="s">
        <v>278</v>
      </c>
      <c r="H7962" s="195">
        <v>7.02182</v>
      </c>
      <c r="I7962" s="195">
        <v>3.4831509999999999</v>
      </c>
      <c r="J7962" s="195">
        <v>0.2810916</v>
      </c>
      <c r="K7962" s="195">
        <v>0.23939460000000001</v>
      </c>
      <c r="L7962" s="195">
        <v>0.18241060000000001</v>
      </c>
      <c r="M7962" s="195">
        <v>5.7414600000000003E-2</v>
      </c>
      <c r="N7962" s="195">
        <v>5.8485799999999998E-2</v>
      </c>
    </row>
    <row r="7963" spans="1:14" hidden="1" x14ac:dyDescent="0.35">
      <c r="A7963" s="52" t="s">
        <v>770</v>
      </c>
      <c r="B7963" s="52" t="s">
        <v>34</v>
      </c>
      <c r="C7963" s="52" t="s">
        <v>33</v>
      </c>
      <c r="D7963" s="52" t="s">
        <v>33</v>
      </c>
      <c r="E7963" s="52" t="s">
        <v>675</v>
      </c>
      <c r="F7963" s="52" t="s">
        <v>26</v>
      </c>
      <c r="G7963" s="195" t="s">
        <v>279</v>
      </c>
      <c r="H7963" s="195">
        <v>55.525950000000002</v>
      </c>
      <c r="I7963" s="195">
        <v>49.400019999999998</v>
      </c>
      <c r="J7963" s="195">
        <v>41.618549999999999</v>
      </c>
      <c r="K7963" s="195">
        <v>33.168109999999999</v>
      </c>
      <c r="L7963" s="195">
        <v>30.76371</v>
      </c>
      <c r="M7963" s="195">
        <v>23.535450000000001</v>
      </c>
      <c r="N7963" s="195">
        <v>20.935669999999998</v>
      </c>
    </row>
    <row r="7964" spans="1:14" hidden="1" x14ac:dyDescent="0.35">
      <c r="A7964" s="52" t="s">
        <v>770</v>
      </c>
      <c r="B7964" s="52" t="s">
        <v>34</v>
      </c>
      <c r="C7964" s="52" t="s">
        <v>33</v>
      </c>
      <c r="D7964" s="52" t="s">
        <v>33</v>
      </c>
      <c r="E7964" s="52" t="s">
        <v>771</v>
      </c>
      <c r="F7964" s="52" t="s">
        <v>581</v>
      </c>
      <c r="G7964" s="195" t="s">
        <v>275</v>
      </c>
      <c r="H7964" s="195">
        <v>5.9769769999999998</v>
      </c>
      <c r="I7964" s="195">
        <v>1.2193849999999999</v>
      </c>
      <c r="J7964" s="195">
        <v>0.87471279999999996</v>
      </c>
      <c r="K7964" s="195">
        <v>0.82445100000000004</v>
      </c>
      <c r="L7964" s="195">
        <v>0.58806060000000004</v>
      </c>
      <c r="M7964" s="195">
        <v>0.66041660000000002</v>
      </c>
      <c r="N7964" s="195">
        <v>0.58873059999999999</v>
      </c>
    </row>
    <row r="7965" spans="1:14" hidden="1" x14ac:dyDescent="0.35">
      <c r="A7965" s="52" t="s">
        <v>770</v>
      </c>
      <c r="B7965" s="52" t="s">
        <v>34</v>
      </c>
      <c r="C7965" s="52" t="s">
        <v>33</v>
      </c>
      <c r="D7965" s="52" t="s">
        <v>33</v>
      </c>
      <c r="E7965" s="52" t="s">
        <v>771</v>
      </c>
      <c r="F7965" s="52" t="s">
        <v>581</v>
      </c>
      <c r="G7965" s="195" t="s">
        <v>276</v>
      </c>
      <c r="H7965" s="195">
        <v>2.1549649999999998</v>
      </c>
      <c r="I7965" s="195">
        <v>0.40646179999999998</v>
      </c>
      <c r="J7965" s="195">
        <v>0.27622600000000003</v>
      </c>
      <c r="K7965" s="195">
        <v>0.2462654</v>
      </c>
      <c r="L7965" s="195">
        <v>0.17565520000000001</v>
      </c>
      <c r="M7965" s="195">
        <v>0.19726779999999999</v>
      </c>
      <c r="N7965" s="195">
        <v>0.1758556</v>
      </c>
    </row>
    <row r="7966" spans="1:14" hidden="1" x14ac:dyDescent="0.35">
      <c r="A7966" s="52" t="s">
        <v>770</v>
      </c>
      <c r="B7966" s="52" t="s">
        <v>34</v>
      </c>
      <c r="C7966" s="52" t="s">
        <v>33</v>
      </c>
      <c r="D7966" s="52" t="s">
        <v>33</v>
      </c>
      <c r="E7966" s="52" t="s">
        <v>771</v>
      </c>
      <c r="F7966" s="52" t="s">
        <v>581</v>
      </c>
      <c r="G7966" s="195" t="s">
        <v>279</v>
      </c>
      <c r="H7966" s="195">
        <v>2.2702659999999999</v>
      </c>
      <c r="I7966" s="195">
        <v>2.1411669999999998</v>
      </c>
      <c r="J7966" s="195">
        <v>1.927594</v>
      </c>
      <c r="K7966" s="195">
        <v>1.7278469999999999</v>
      </c>
      <c r="L7966" s="195">
        <v>1.7149300000000001</v>
      </c>
      <c r="M7966" s="195">
        <v>1.326449</v>
      </c>
      <c r="N7966" s="195">
        <v>1.180501</v>
      </c>
    </row>
    <row r="7967" spans="1:14" hidden="1" x14ac:dyDescent="0.35">
      <c r="A7967" s="52" t="s">
        <v>770</v>
      </c>
      <c r="B7967" s="52" t="s">
        <v>34</v>
      </c>
      <c r="C7967" s="52" t="s">
        <v>33</v>
      </c>
      <c r="D7967" s="52" t="s">
        <v>33</v>
      </c>
      <c r="E7967" s="52" t="s">
        <v>771</v>
      </c>
      <c r="F7967" s="52" t="s">
        <v>26</v>
      </c>
      <c r="G7967" s="195" t="s">
        <v>275</v>
      </c>
      <c r="H7967" s="195">
        <v>-2.849548</v>
      </c>
      <c r="I7967" s="195">
        <v>2.479276E-2</v>
      </c>
      <c r="J7967" s="195">
        <v>-0.76129349999999996</v>
      </c>
      <c r="K7967" s="195">
        <v>-0.16961860000000001</v>
      </c>
      <c r="L7967" s="195">
        <v>-1.11819</v>
      </c>
      <c r="M7967" s="195">
        <v>2.1644610000000002E-2</v>
      </c>
      <c r="N7967" s="195">
        <v>-4.0377410000000002E-2</v>
      </c>
    </row>
    <row r="7968" spans="1:14" hidden="1" x14ac:dyDescent="0.35">
      <c r="A7968" s="52" t="s">
        <v>770</v>
      </c>
      <c r="B7968" s="52" t="s">
        <v>34</v>
      </c>
      <c r="C7968" s="52" t="s">
        <v>33</v>
      </c>
      <c r="D7968" s="52" t="s">
        <v>33</v>
      </c>
      <c r="E7968" s="52" t="s">
        <v>771</v>
      </c>
      <c r="F7968" s="52" t="s">
        <v>26</v>
      </c>
      <c r="G7968" s="195" t="s">
        <v>276</v>
      </c>
      <c r="H7968" s="195">
        <v>-1.0150760000000001</v>
      </c>
      <c r="I7968" s="195">
        <v>-1.219705</v>
      </c>
      <c r="J7968" s="195">
        <v>-0.93535120000000005</v>
      </c>
      <c r="K7968" s="195">
        <v>-0.56714580000000003</v>
      </c>
      <c r="L7968" s="195">
        <v>-0.45961259999999998</v>
      </c>
      <c r="M7968" s="195">
        <v>-0.1499268</v>
      </c>
      <c r="N7968" s="195">
        <v>-7.3215000000000002E-2</v>
      </c>
    </row>
    <row r="7969" spans="1:14" hidden="1" x14ac:dyDescent="0.35">
      <c r="A7969" s="52" t="s">
        <v>770</v>
      </c>
      <c r="B7969" s="52" t="s">
        <v>34</v>
      </c>
      <c r="C7969" s="52" t="s">
        <v>33</v>
      </c>
      <c r="D7969" s="52" t="s">
        <v>33</v>
      </c>
      <c r="E7969" s="52" t="s">
        <v>771</v>
      </c>
      <c r="F7969" s="52" t="s">
        <v>26</v>
      </c>
      <c r="G7969" s="195" t="s">
        <v>277</v>
      </c>
      <c r="H7969" s="195">
        <v>5.4292350000000003</v>
      </c>
      <c r="I7969" s="195">
        <v>1.3482430000000001</v>
      </c>
      <c r="J7969" s="195">
        <v>1.275334</v>
      </c>
      <c r="K7969" s="195">
        <v>0.37882480000000002</v>
      </c>
      <c r="L7969" s="195"/>
      <c r="M7969" s="195">
        <v>0</v>
      </c>
      <c r="N7969" s="195">
        <v>0</v>
      </c>
    </row>
    <row r="7970" spans="1:14" hidden="1" x14ac:dyDescent="0.35">
      <c r="A7970" s="52" t="s">
        <v>770</v>
      </c>
      <c r="B7970" s="52" t="s">
        <v>34</v>
      </c>
      <c r="C7970" s="52" t="s">
        <v>33</v>
      </c>
      <c r="D7970" s="52" t="s">
        <v>33</v>
      </c>
      <c r="E7970" s="52" t="s">
        <v>771</v>
      </c>
      <c r="F7970" s="52" t="s">
        <v>26</v>
      </c>
      <c r="G7970" s="195" t="s">
        <v>278</v>
      </c>
      <c r="H7970" s="195">
        <v>0</v>
      </c>
      <c r="I7970" s="195"/>
      <c r="J7970" s="195"/>
      <c r="K7970" s="195"/>
      <c r="L7970" s="195"/>
      <c r="M7970" s="195"/>
      <c r="N7970" s="195"/>
    </row>
    <row r="7971" spans="1:14" hidden="1" x14ac:dyDescent="0.35">
      <c r="A7971" s="52" t="s">
        <v>770</v>
      </c>
      <c r="B7971" s="52" t="s">
        <v>34</v>
      </c>
      <c r="C7971" s="52" t="s">
        <v>33</v>
      </c>
      <c r="D7971" s="52" t="s">
        <v>33</v>
      </c>
      <c r="E7971" s="52" t="s">
        <v>771</v>
      </c>
      <c r="F7971" s="52" t="s">
        <v>26</v>
      </c>
      <c r="G7971" s="195" t="s">
        <v>279</v>
      </c>
      <c r="H7971" s="195">
        <v>10.73376</v>
      </c>
      <c r="I7971" s="195">
        <v>10.162599999999999</v>
      </c>
      <c r="J7971" s="195">
        <v>9.234477</v>
      </c>
      <c r="K7971" s="195">
        <v>8.3774499999999996</v>
      </c>
      <c r="L7971" s="195">
        <v>8.227373</v>
      </c>
      <c r="M7971" s="195">
        <v>6.3789150000000001</v>
      </c>
      <c r="N7971" s="195">
        <v>5.6771820000000002</v>
      </c>
    </row>
    <row r="7972" spans="1:14" hidden="1" x14ac:dyDescent="0.35">
      <c r="A7972" s="52" t="s">
        <v>770</v>
      </c>
      <c r="B7972" s="52" t="s">
        <v>34</v>
      </c>
      <c r="C7972" s="52" t="s">
        <v>33</v>
      </c>
      <c r="D7972" s="52" t="s">
        <v>33</v>
      </c>
      <c r="E7972" s="52" t="s">
        <v>584</v>
      </c>
      <c r="F7972" s="52" t="s">
        <v>581</v>
      </c>
      <c r="G7972" s="195" t="s">
        <v>275</v>
      </c>
      <c r="H7972" s="195">
        <v>0.92692699999999995</v>
      </c>
      <c r="I7972" s="195">
        <v>-3.0585680000000002</v>
      </c>
      <c r="J7972" s="195">
        <v>-2.7482859999999998</v>
      </c>
      <c r="K7972" s="195">
        <v>-7.9188219999999996</v>
      </c>
      <c r="L7972" s="195">
        <v>-8.5944190000000003</v>
      </c>
      <c r="M7972" s="195">
        <v>-3.8327049999999998</v>
      </c>
      <c r="N7972" s="195">
        <v>-1.2370760000000001</v>
      </c>
    </row>
    <row r="7973" spans="1:14" hidden="1" x14ac:dyDescent="0.35">
      <c r="A7973" s="52" t="s">
        <v>770</v>
      </c>
      <c r="B7973" s="52" t="s">
        <v>34</v>
      </c>
      <c r="C7973" s="52" t="s">
        <v>33</v>
      </c>
      <c r="D7973" s="52" t="s">
        <v>33</v>
      </c>
      <c r="E7973" s="52" t="s">
        <v>584</v>
      </c>
      <c r="F7973" s="52" t="s">
        <v>581</v>
      </c>
      <c r="G7973" s="195" t="s">
        <v>276</v>
      </c>
      <c r="H7973" s="195">
        <v>-0.89711510000000005</v>
      </c>
      <c r="I7973" s="195">
        <v>-1.1701299999999999</v>
      </c>
      <c r="J7973" s="195">
        <v>-0.97432319999999994</v>
      </c>
      <c r="K7973" s="195">
        <v>-2.426466</v>
      </c>
      <c r="L7973" s="195">
        <v>-2.6451440000000002</v>
      </c>
      <c r="M7973" s="195">
        <v>-1.17519</v>
      </c>
      <c r="N7973" s="195">
        <v>-0.3737354</v>
      </c>
    </row>
    <row r="7974" spans="1:14" hidden="1" x14ac:dyDescent="0.35">
      <c r="A7974" s="52" t="s">
        <v>770</v>
      </c>
      <c r="B7974" s="52" t="s">
        <v>34</v>
      </c>
      <c r="C7974" s="52" t="s">
        <v>33</v>
      </c>
      <c r="D7974" s="52" t="s">
        <v>33</v>
      </c>
      <c r="E7974" s="52" t="s">
        <v>584</v>
      </c>
      <c r="F7974" s="52" t="s">
        <v>581</v>
      </c>
      <c r="G7974" s="195" t="s">
        <v>277</v>
      </c>
      <c r="H7974" s="195">
        <v>0</v>
      </c>
      <c r="I7974" s="195">
        <v>0.63775599999999999</v>
      </c>
      <c r="J7974" s="195">
        <v>0.35001100000000002</v>
      </c>
      <c r="K7974" s="195">
        <v>5.6495999999999998E-2</v>
      </c>
      <c r="L7974" s="195"/>
      <c r="M7974" s="195">
        <v>0</v>
      </c>
      <c r="N7974" s="195">
        <v>0</v>
      </c>
    </row>
    <row r="7975" spans="1:14" hidden="1" x14ac:dyDescent="0.35">
      <c r="A7975" s="52" t="s">
        <v>770</v>
      </c>
      <c r="B7975" s="52" t="s">
        <v>34</v>
      </c>
      <c r="C7975" s="52" t="s">
        <v>33</v>
      </c>
      <c r="D7975" s="52" t="s">
        <v>33</v>
      </c>
      <c r="E7975" s="52" t="s">
        <v>584</v>
      </c>
      <c r="F7975" s="52" t="s">
        <v>581</v>
      </c>
      <c r="G7975" s="195" t="s">
        <v>279</v>
      </c>
      <c r="H7975" s="195">
        <v>6.8978219999999997</v>
      </c>
      <c r="I7975" s="195">
        <v>5.9337280000000003</v>
      </c>
      <c r="J7975" s="195">
        <v>5.1864249999999998</v>
      </c>
      <c r="K7975" s="195">
        <v>11.931990000000001</v>
      </c>
      <c r="L7975" s="195">
        <v>12.29105</v>
      </c>
      <c r="M7975" s="195">
        <v>5.9564870000000001</v>
      </c>
      <c r="N7975" s="195">
        <v>2.5344359999999999</v>
      </c>
    </row>
    <row r="7976" spans="1:14" hidden="1" x14ac:dyDescent="0.35">
      <c r="A7976" s="52" t="s">
        <v>770</v>
      </c>
      <c r="B7976" s="52" t="s">
        <v>34</v>
      </c>
      <c r="C7976" s="52" t="s">
        <v>33</v>
      </c>
      <c r="D7976" s="52" t="s">
        <v>33</v>
      </c>
      <c r="E7976" s="52" t="s">
        <v>584</v>
      </c>
      <c r="F7976" s="52" t="s">
        <v>26</v>
      </c>
      <c r="G7976" s="195" t="s">
        <v>275</v>
      </c>
      <c r="H7976" s="195">
        <v>-8.7065590000000004</v>
      </c>
      <c r="I7976" s="195">
        <v>-11.911709999999999</v>
      </c>
      <c r="J7976" s="195">
        <v>-11.95566</v>
      </c>
      <c r="K7976" s="195">
        <v>-26.134150000000002</v>
      </c>
      <c r="L7976" s="195">
        <v>-22.270389999999999</v>
      </c>
      <c r="M7976" s="195">
        <v>-17.078320000000001</v>
      </c>
      <c r="N7976" s="195">
        <v>-8.4215610000000005</v>
      </c>
    </row>
    <row r="7977" spans="1:14" hidden="1" x14ac:dyDescent="0.35">
      <c r="A7977" s="52" t="s">
        <v>770</v>
      </c>
      <c r="B7977" s="52" t="s">
        <v>34</v>
      </c>
      <c r="C7977" s="52" t="s">
        <v>33</v>
      </c>
      <c r="D7977" s="52" t="s">
        <v>33</v>
      </c>
      <c r="E7977" s="52" t="s">
        <v>584</v>
      </c>
      <c r="F7977" s="52" t="s">
        <v>26</v>
      </c>
      <c r="G7977" s="195" t="s">
        <v>276</v>
      </c>
      <c r="H7977" s="195">
        <v>-5.2364009999999999</v>
      </c>
      <c r="I7977" s="195">
        <v>-4.6198620000000004</v>
      </c>
      <c r="J7977" s="195">
        <v>-4.0497420000000002</v>
      </c>
      <c r="K7977" s="195">
        <v>-7.6209930000000004</v>
      </c>
      <c r="L7977" s="195">
        <v>-6.5631719999999998</v>
      </c>
      <c r="M7977" s="195">
        <v>-4.875108</v>
      </c>
      <c r="N7977" s="195">
        <v>-2.3453369999999998</v>
      </c>
    </row>
    <row r="7978" spans="1:14" hidden="1" x14ac:dyDescent="0.35">
      <c r="A7978" s="52" t="s">
        <v>770</v>
      </c>
      <c r="B7978" s="52" t="s">
        <v>34</v>
      </c>
      <c r="C7978" s="52" t="s">
        <v>33</v>
      </c>
      <c r="D7978" s="52" t="s">
        <v>33</v>
      </c>
      <c r="E7978" s="52" t="s">
        <v>584</v>
      </c>
      <c r="F7978" s="52" t="s">
        <v>26</v>
      </c>
      <c r="G7978" s="195" t="s">
        <v>277</v>
      </c>
      <c r="H7978" s="195">
        <v>0</v>
      </c>
      <c r="I7978" s="195">
        <v>2.7055630000000002</v>
      </c>
      <c r="J7978" s="195">
        <v>2.3998750000000002</v>
      </c>
      <c r="K7978" s="195">
        <v>2.5289969999999999</v>
      </c>
      <c r="L7978" s="195">
        <v>2.9421930000000001</v>
      </c>
      <c r="M7978" s="195">
        <v>3.6334270000000002</v>
      </c>
      <c r="N7978" s="195">
        <v>3.7945850000000001</v>
      </c>
    </row>
    <row r="7979" spans="1:14" hidden="1" x14ac:dyDescent="0.35">
      <c r="A7979" s="52" t="s">
        <v>770</v>
      </c>
      <c r="B7979" s="52" t="s">
        <v>34</v>
      </c>
      <c r="C7979" s="52" t="s">
        <v>33</v>
      </c>
      <c r="D7979" s="52" t="s">
        <v>33</v>
      </c>
      <c r="E7979" s="52" t="s">
        <v>584</v>
      </c>
      <c r="F7979" s="52" t="s">
        <v>26</v>
      </c>
      <c r="G7979" s="195" t="s">
        <v>279</v>
      </c>
      <c r="H7979" s="195">
        <v>22.06617</v>
      </c>
      <c r="I7979" s="195">
        <v>20.666129999999999</v>
      </c>
      <c r="J7979" s="195">
        <v>19.743449999999999</v>
      </c>
      <c r="K7979" s="195">
        <v>36.990810000000003</v>
      </c>
      <c r="L7979" s="195">
        <v>30.93702</v>
      </c>
      <c r="M7979" s="195">
        <v>22.135999999999999</v>
      </c>
      <c r="N7979" s="195">
        <v>10.684839999999999</v>
      </c>
    </row>
    <row r="7980" spans="1:14" hidden="1" x14ac:dyDescent="0.35">
      <c r="A7980" s="52" t="s">
        <v>770</v>
      </c>
      <c r="B7980" s="52" t="s">
        <v>34</v>
      </c>
      <c r="C7980" s="52" t="s">
        <v>33</v>
      </c>
      <c r="D7980" s="52" t="s">
        <v>33</v>
      </c>
      <c r="E7980" s="52" t="s">
        <v>739</v>
      </c>
      <c r="F7980" s="52" t="s">
        <v>581</v>
      </c>
      <c r="G7980" s="195" t="s">
        <v>275</v>
      </c>
      <c r="H7980" s="195">
        <v>0.64732800000000001</v>
      </c>
      <c r="I7980" s="195">
        <v>0.14529520000000001</v>
      </c>
      <c r="J7980" s="195">
        <v>0.1014316</v>
      </c>
      <c r="K7980" s="195">
        <v>9.2150389999999999E-2</v>
      </c>
      <c r="L7980" s="195">
        <v>7.347099E-2</v>
      </c>
      <c r="M7980" s="195">
        <v>7.7651399999999995E-2</v>
      </c>
      <c r="N7980" s="195">
        <v>7.0040199999999997E-2</v>
      </c>
    </row>
    <row r="7981" spans="1:14" hidden="1" x14ac:dyDescent="0.35">
      <c r="A7981" s="52" t="s">
        <v>770</v>
      </c>
      <c r="B7981" s="52" t="s">
        <v>34</v>
      </c>
      <c r="C7981" s="52" t="s">
        <v>33</v>
      </c>
      <c r="D7981" s="52" t="s">
        <v>33</v>
      </c>
      <c r="E7981" s="52" t="s">
        <v>739</v>
      </c>
      <c r="F7981" s="52" t="s">
        <v>581</v>
      </c>
      <c r="G7981" s="195" t="s">
        <v>276</v>
      </c>
      <c r="H7981" s="195">
        <v>0.23339099999999999</v>
      </c>
      <c r="I7981" s="195">
        <v>4.8431799999999997E-2</v>
      </c>
      <c r="J7981" s="195">
        <v>3.20316E-2</v>
      </c>
      <c r="K7981" s="195">
        <v>2.7526200000000001E-2</v>
      </c>
      <c r="L7981" s="195">
        <v>2.1945200000000002E-2</v>
      </c>
      <c r="M7981" s="195">
        <v>2.3194800000000002E-2</v>
      </c>
      <c r="N7981" s="195">
        <v>2.09208E-2</v>
      </c>
    </row>
    <row r="7982" spans="1:14" hidden="1" x14ac:dyDescent="0.35">
      <c r="A7982" s="52" t="s">
        <v>770</v>
      </c>
      <c r="B7982" s="52" t="s">
        <v>34</v>
      </c>
      <c r="C7982" s="52" t="s">
        <v>33</v>
      </c>
      <c r="D7982" s="52" t="s">
        <v>33</v>
      </c>
      <c r="E7982" s="52" t="s">
        <v>739</v>
      </c>
      <c r="F7982" s="52" t="s">
        <v>581</v>
      </c>
      <c r="G7982" s="195" t="s">
        <v>279</v>
      </c>
      <c r="H7982" s="195">
        <v>0.19176699999999999</v>
      </c>
      <c r="I7982" s="195">
        <v>0.16908699999999999</v>
      </c>
      <c r="J7982" s="195">
        <v>0.14580000000000001</v>
      </c>
      <c r="K7982" s="195">
        <v>0.13260379999999999</v>
      </c>
      <c r="L7982" s="195">
        <v>0.1324842</v>
      </c>
      <c r="M7982" s="195">
        <v>0.1055494</v>
      </c>
      <c r="N7982" s="195">
        <v>9.4928600000000002E-2</v>
      </c>
    </row>
    <row r="7983" spans="1:14" hidden="1" x14ac:dyDescent="0.35">
      <c r="A7983" s="52" t="s">
        <v>770</v>
      </c>
      <c r="B7983" s="52" t="s">
        <v>34</v>
      </c>
      <c r="C7983" s="52" t="s">
        <v>33</v>
      </c>
      <c r="D7983" s="52" t="s">
        <v>33</v>
      </c>
      <c r="E7983" s="52" t="s">
        <v>739</v>
      </c>
      <c r="F7983" s="52" t="s">
        <v>26</v>
      </c>
      <c r="G7983" s="195" t="s">
        <v>275</v>
      </c>
      <c r="H7983" s="195">
        <v>-5.2507999999999999E-2</v>
      </c>
      <c r="I7983" s="195">
        <v>-0.1047472</v>
      </c>
      <c r="J7983" s="195">
        <v>-0.12282460000000001</v>
      </c>
      <c r="K7983" s="195">
        <v>-0.1236358</v>
      </c>
      <c r="L7983" s="195">
        <v>-0.144955</v>
      </c>
      <c r="M7983" s="195">
        <v>-8.6885589999999999E-2</v>
      </c>
      <c r="N7983" s="195">
        <v>-7.8026209999999999E-2</v>
      </c>
    </row>
    <row r="7984" spans="1:14" hidden="1" x14ac:dyDescent="0.35">
      <c r="A7984" s="52" t="s">
        <v>770</v>
      </c>
      <c r="B7984" s="52" t="s">
        <v>34</v>
      </c>
      <c r="C7984" s="52" t="s">
        <v>33</v>
      </c>
      <c r="D7984" s="52" t="s">
        <v>33</v>
      </c>
      <c r="E7984" s="52" t="s">
        <v>739</v>
      </c>
      <c r="F7984" s="52" t="s">
        <v>26</v>
      </c>
      <c r="G7984" s="195" t="s">
        <v>276</v>
      </c>
      <c r="H7984" s="195">
        <v>-1.8931E-2</v>
      </c>
      <c r="I7984" s="195">
        <v>-3.4915599999999998E-2</v>
      </c>
      <c r="J7984" s="195">
        <v>-3.8787200000000001E-2</v>
      </c>
      <c r="K7984" s="195">
        <v>-3.6929999999999998E-2</v>
      </c>
      <c r="L7984" s="195">
        <v>-4.32986E-2</v>
      </c>
      <c r="M7984" s="195">
        <v>-2.5952800000000002E-2</v>
      </c>
      <c r="N7984" s="195">
        <v>-2.3306799999999999E-2</v>
      </c>
    </row>
    <row r="7985" spans="1:14" hidden="1" x14ac:dyDescent="0.35">
      <c r="A7985" s="52" t="s">
        <v>770</v>
      </c>
      <c r="B7985" s="52" t="s">
        <v>34</v>
      </c>
      <c r="C7985" s="52" t="s">
        <v>33</v>
      </c>
      <c r="D7985" s="52" t="s">
        <v>33</v>
      </c>
      <c r="E7985" s="52" t="s">
        <v>739</v>
      </c>
      <c r="F7985" s="52" t="s">
        <v>26</v>
      </c>
      <c r="G7985" s="195" t="s">
        <v>279</v>
      </c>
      <c r="H7985" s="195">
        <v>0.77037500000000003</v>
      </c>
      <c r="I7985" s="195">
        <v>0.684222</v>
      </c>
      <c r="J7985" s="195">
        <v>0.59996799999999995</v>
      </c>
      <c r="K7985" s="195">
        <v>0.55702039999999997</v>
      </c>
      <c r="L7985" s="195">
        <v>0.54655719999999997</v>
      </c>
      <c r="M7985" s="195">
        <v>0.43726559999999998</v>
      </c>
      <c r="N7985" s="195">
        <v>0.39328839999999998</v>
      </c>
    </row>
    <row r="7986" spans="1:14" hidden="1" x14ac:dyDescent="0.35">
      <c r="A7986" s="52" t="s">
        <v>770</v>
      </c>
      <c r="B7986" s="52" t="s">
        <v>34</v>
      </c>
      <c r="C7986" s="52" t="s">
        <v>33</v>
      </c>
      <c r="D7986" s="52" t="s">
        <v>33</v>
      </c>
      <c r="E7986" s="52" t="s">
        <v>638</v>
      </c>
      <c r="F7986" s="52" t="s">
        <v>581</v>
      </c>
      <c r="G7986" s="195" t="s">
        <v>275</v>
      </c>
      <c r="H7986" s="195">
        <v>0.190249</v>
      </c>
      <c r="I7986" s="195">
        <v>4.6851999999999996E-3</v>
      </c>
      <c r="J7986" s="195">
        <v>-4.1403999999999998E-3</v>
      </c>
      <c r="K7986" s="195">
        <v>-2.346E-3</v>
      </c>
      <c r="L7986" s="195">
        <v>-1.1974E-2</v>
      </c>
      <c r="M7986" s="195">
        <v>-1.298001E-3</v>
      </c>
      <c r="N7986" s="195">
        <v>-1.1035999999999999E-3</v>
      </c>
    </row>
    <row r="7987" spans="1:14" hidden="1" x14ac:dyDescent="0.35">
      <c r="A7987" s="52" t="s">
        <v>770</v>
      </c>
      <c r="B7987" s="52" t="s">
        <v>34</v>
      </c>
      <c r="C7987" s="52" t="s">
        <v>33</v>
      </c>
      <c r="D7987" s="52" t="s">
        <v>33</v>
      </c>
      <c r="E7987" s="52" t="s">
        <v>638</v>
      </c>
      <c r="F7987" s="52" t="s">
        <v>581</v>
      </c>
      <c r="G7987" s="195" t="s">
        <v>276</v>
      </c>
      <c r="H7987" s="195">
        <v>6.8592E-2</v>
      </c>
      <c r="I7987" s="195">
        <v>1.5612E-3</v>
      </c>
      <c r="J7987" s="195">
        <v>-1.3074E-3</v>
      </c>
      <c r="K7987" s="195">
        <v>-6.9960010000000002E-4</v>
      </c>
      <c r="L7987" s="195">
        <v>-3.5766000000000001E-3</v>
      </c>
      <c r="M7987" s="195">
        <v>-3.873999E-4</v>
      </c>
      <c r="N7987" s="195">
        <v>-3.3020020000000002E-4</v>
      </c>
    </row>
    <row r="7988" spans="1:14" hidden="1" x14ac:dyDescent="0.35">
      <c r="A7988" s="52" t="s">
        <v>770</v>
      </c>
      <c r="B7988" s="52" t="s">
        <v>34</v>
      </c>
      <c r="C7988" s="52" t="s">
        <v>33</v>
      </c>
      <c r="D7988" s="52" t="s">
        <v>33</v>
      </c>
      <c r="E7988" s="52" t="s">
        <v>638</v>
      </c>
      <c r="F7988" s="52" t="s">
        <v>581</v>
      </c>
      <c r="G7988" s="195" t="s">
        <v>277</v>
      </c>
      <c r="H7988" s="195"/>
      <c r="I7988" s="195"/>
      <c r="J7988" s="195"/>
      <c r="K7988" s="195"/>
      <c r="L7988" s="195">
        <v>0</v>
      </c>
      <c r="M7988" s="195">
        <v>0</v>
      </c>
      <c r="N7988" s="195">
        <v>0</v>
      </c>
    </row>
    <row r="7989" spans="1:14" hidden="1" x14ac:dyDescent="0.35">
      <c r="A7989" s="52" t="s">
        <v>770</v>
      </c>
      <c r="B7989" s="52" t="s">
        <v>34</v>
      </c>
      <c r="C7989" s="52" t="s">
        <v>33</v>
      </c>
      <c r="D7989" s="52" t="s">
        <v>33</v>
      </c>
      <c r="E7989" s="52" t="s">
        <v>638</v>
      </c>
      <c r="F7989" s="52" t="s">
        <v>581</v>
      </c>
      <c r="G7989" s="195" t="s">
        <v>279</v>
      </c>
      <c r="H7989" s="195">
        <v>0.14940700000000001</v>
      </c>
      <c r="I7989" s="195">
        <v>0.13434299999999999</v>
      </c>
      <c r="J7989" s="195">
        <v>0.11615300000000001</v>
      </c>
      <c r="K7989" s="195">
        <v>0.10533140000000001</v>
      </c>
      <c r="L7989" s="195">
        <v>0.1100496</v>
      </c>
      <c r="M7989" s="195">
        <v>8.9216809999999994E-2</v>
      </c>
      <c r="N7989" s="195">
        <v>8.2065990000000005E-2</v>
      </c>
    </row>
    <row r="7990" spans="1:14" hidden="1" x14ac:dyDescent="0.35">
      <c r="A7990" s="52" t="s">
        <v>770</v>
      </c>
      <c r="B7990" s="52" t="s">
        <v>34</v>
      </c>
      <c r="C7990" s="52" t="s">
        <v>33</v>
      </c>
      <c r="D7990" s="52" t="s">
        <v>33</v>
      </c>
      <c r="E7990" s="52" t="s">
        <v>638</v>
      </c>
      <c r="F7990" s="52" t="s">
        <v>26</v>
      </c>
      <c r="G7990" s="195" t="s">
        <v>275</v>
      </c>
      <c r="H7990" s="195">
        <v>-8.3256999999999998E-2</v>
      </c>
      <c r="I7990" s="195">
        <v>-9.1414800000000004E-2</v>
      </c>
      <c r="J7990" s="195">
        <v>-8.5710999999999996E-2</v>
      </c>
      <c r="K7990" s="195">
        <v>-7.8145400000000004E-2</v>
      </c>
      <c r="L7990" s="195">
        <v>-9.121021E-2</v>
      </c>
      <c r="M7990" s="195">
        <v>-6.4755800000000002E-2</v>
      </c>
      <c r="N7990" s="195">
        <v>-5.9523199999999998E-2</v>
      </c>
    </row>
    <row r="7991" spans="1:14" hidden="1" x14ac:dyDescent="0.35">
      <c r="A7991" s="52" t="s">
        <v>770</v>
      </c>
      <c r="B7991" s="52" t="s">
        <v>34</v>
      </c>
      <c r="C7991" s="52" t="s">
        <v>33</v>
      </c>
      <c r="D7991" s="52" t="s">
        <v>33</v>
      </c>
      <c r="E7991" s="52" t="s">
        <v>638</v>
      </c>
      <c r="F7991" s="52" t="s">
        <v>26</v>
      </c>
      <c r="G7991" s="195" t="s">
        <v>276</v>
      </c>
      <c r="H7991" s="195">
        <v>-3.0018E-2</v>
      </c>
      <c r="I7991" s="195">
        <v>-3.0471600000000001E-2</v>
      </c>
      <c r="J7991" s="195">
        <v>-2.7066400000000001E-2</v>
      </c>
      <c r="K7991" s="195">
        <v>-2.3341799999999999E-2</v>
      </c>
      <c r="L7991" s="195">
        <v>-2.7244999999999998E-2</v>
      </c>
      <c r="M7991" s="195">
        <v>-1.9342399999999999E-2</v>
      </c>
      <c r="N7991" s="195">
        <v>-1.77796E-2</v>
      </c>
    </row>
    <row r="7992" spans="1:14" hidden="1" x14ac:dyDescent="0.35">
      <c r="A7992" s="52" t="s">
        <v>770</v>
      </c>
      <c r="B7992" s="52" t="s">
        <v>34</v>
      </c>
      <c r="C7992" s="52" t="s">
        <v>33</v>
      </c>
      <c r="D7992" s="52" t="s">
        <v>33</v>
      </c>
      <c r="E7992" s="52" t="s">
        <v>638</v>
      </c>
      <c r="F7992" s="52" t="s">
        <v>26</v>
      </c>
      <c r="G7992" s="195" t="s">
        <v>279</v>
      </c>
      <c r="H7992" s="195">
        <v>0.301618</v>
      </c>
      <c r="I7992" s="195">
        <v>0.27180799999999999</v>
      </c>
      <c r="J7992" s="195">
        <v>0.23624000000000001</v>
      </c>
      <c r="K7992" s="195">
        <v>0.21568960000000001</v>
      </c>
      <c r="L7992" s="195">
        <v>0.2240134</v>
      </c>
      <c r="M7992" s="195">
        <v>0.18185319999999999</v>
      </c>
      <c r="N7992" s="195">
        <v>0.16727620000000001</v>
      </c>
    </row>
    <row r="7993" spans="1:14" hidden="1" x14ac:dyDescent="0.35">
      <c r="A7993" s="52" t="s">
        <v>770</v>
      </c>
      <c r="B7993" s="52" t="s">
        <v>34</v>
      </c>
      <c r="C7993" s="52" t="s">
        <v>318</v>
      </c>
      <c r="D7993" s="52" t="s">
        <v>318</v>
      </c>
      <c r="E7993" s="52" t="s">
        <v>584</v>
      </c>
      <c r="F7993" s="52" t="s">
        <v>581</v>
      </c>
      <c r="G7993" s="195" t="s">
        <v>275</v>
      </c>
      <c r="H7993" s="195">
        <v>0</v>
      </c>
      <c r="I7993" s="195"/>
      <c r="J7993" s="195"/>
      <c r="K7993" s="195"/>
      <c r="L7993" s="195"/>
      <c r="M7993" s="195"/>
      <c r="N7993" s="195"/>
    </row>
    <row r="7994" spans="1:14" hidden="1" x14ac:dyDescent="0.35">
      <c r="A7994" s="52" t="s">
        <v>770</v>
      </c>
      <c r="B7994" s="52" t="s">
        <v>34</v>
      </c>
      <c r="C7994" s="52" t="s">
        <v>318</v>
      </c>
      <c r="D7994" s="52" t="s">
        <v>318</v>
      </c>
      <c r="E7994" s="52" t="s">
        <v>584</v>
      </c>
      <c r="F7994" s="52" t="s">
        <v>581</v>
      </c>
      <c r="G7994" s="195" t="s">
        <v>278</v>
      </c>
      <c r="H7994" s="195">
        <v>0</v>
      </c>
      <c r="I7994" s="195"/>
      <c r="J7994" s="195"/>
      <c r="K7994" s="195"/>
      <c r="L7994" s="195"/>
      <c r="M7994" s="195"/>
      <c r="N7994" s="195"/>
    </row>
    <row r="7995" spans="1:14" hidden="1" x14ac:dyDescent="0.35">
      <c r="A7995" s="52" t="s">
        <v>770</v>
      </c>
      <c r="B7995" s="52" t="s">
        <v>34</v>
      </c>
      <c r="C7995" s="52" t="s">
        <v>318</v>
      </c>
      <c r="D7995" s="52" t="s">
        <v>318</v>
      </c>
      <c r="E7995" s="52" t="s">
        <v>584</v>
      </c>
      <c r="F7995" s="52" t="s">
        <v>26</v>
      </c>
      <c r="G7995" s="195" t="s">
        <v>275</v>
      </c>
      <c r="H7995" s="195">
        <v>0</v>
      </c>
      <c r="I7995" s="195"/>
      <c r="J7995" s="195"/>
      <c r="K7995" s="195"/>
      <c r="L7995" s="195"/>
      <c r="M7995" s="195"/>
      <c r="N7995" s="195"/>
    </row>
    <row r="7996" spans="1:14" hidden="1" x14ac:dyDescent="0.35">
      <c r="A7996" s="52" t="s">
        <v>770</v>
      </c>
      <c r="B7996" s="52" t="s">
        <v>34</v>
      </c>
      <c r="C7996" s="52" t="s">
        <v>318</v>
      </c>
      <c r="D7996" s="52" t="s">
        <v>318</v>
      </c>
      <c r="E7996" s="52" t="s">
        <v>584</v>
      </c>
      <c r="F7996" s="52" t="s">
        <v>26</v>
      </c>
      <c r="G7996" s="195" t="s">
        <v>278</v>
      </c>
      <c r="H7996" s="195">
        <v>0</v>
      </c>
      <c r="I7996" s="195"/>
      <c r="J7996" s="195"/>
      <c r="K7996" s="195"/>
      <c r="L7996" s="195"/>
      <c r="M7996" s="195"/>
      <c r="N7996" s="195"/>
    </row>
    <row r="7997" spans="1:14" hidden="1" x14ac:dyDescent="0.35">
      <c r="A7997" s="52" t="s">
        <v>869</v>
      </c>
      <c r="B7997" s="52" t="s">
        <v>37</v>
      </c>
      <c r="C7997" s="52" t="s">
        <v>318</v>
      </c>
      <c r="D7997" s="52" t="s">
        <v>318</v>
      </c>
      <c r="E7997" s="52" t="s">
        <v>584</v>
      </c>
      <c r="F7997" s="52" t="s">
        <v>581</v>
      </c>
      <c r="G7997" s="195" t="s">
        <v>275</v>
      </c>
      <c r="H7997" s="195">
        <v>0</v>
      </c>
      <c r="I7997" s="195"/>
      <c r="J7997" s="195"/>
      <c r="K7997" s="195"/>
      <c r="L7997" s="195"/>
      <c r="M7997" s="195"/>
      <c r="N7997" s="195"/>
    </row>
    <row r="7998" spans="1:14" hidden="1" x14ac:dyDescent="0.35">
      <c r="A7998" s="52" t="s">
        <v>869</v>
      </c>
      <c r="B7998" s="52" t="s">
        <v>37</v>
      </c>
      <c r="C7998" s="52" t="s">
        <v>318</v>
      </c>
      <c r="D7998" s="52" t="s">
        <v>318</v>
      </c>
      <c r="E7998" s="52" t="s">
        <v>584</v>
      </c>
      <c r="F7998" s="52" t="s">
        <v>581</v>
      </c>
      <c r="G7998" s="195" t="s">
        <v>276</v>
      </c>
      <c r="H7998" s="195">
        <v>0</v>
      </c>
      <c r="I7998" s="195"/>
      <c r="J7998" s="195"/>
      <c r="K7998" s="195"/>
      <c r="L7998" s="195"/>
      <c r="M7998" s="195"/>
      <c r="N7998" s="195"/>
    </row>
    <row r="7999" spans="1:14" hidden="1" x14ac:dyDescent="0.35">
      <c r="A7999" s="52" t="s">
        <v>869</v>
      </c>
      <c r="B7999" s="52" t="s">
        <v>37</v>
      </c>
      <c r="C7999" s="52" t="s">
        <v>318</v>
      </c>
      <c r="D7999" s="52" t="s">
        <v>318</v>
      </c>
      <c r="E7999" s="52" t="s">
        <v>584</v>
      </c>
      <c r="F7999" s="52" t="s">
        <v>581</v>
      </c>
      <c r="G7999" s="195" t="s">
        <v>278</v>
      </c>
      <c r="H7999" s="195">
        <v>0</v>
      </c>
      <c r="I7999" s="195"/>
      <c r="J7999" s="195"/>
      <c r="K7999" s="195"/>
      <c r="L7999" s="195"/>
      <c r="M7999" s="195"/>
      <c r="N7999" s="195"/>
    </row>
    <row r="8000" spans="1:14" hidden="1" x14ac:dyDescent="0.35">
      <c r="A8000" s="52" t="s">
        <v>869</v>
      </c>
      <c r="B8000" s="52" t="s">
        <v>37</v>
      </c>
      <c r="C8000" s="52" t="s">
        <v>318</v>
      </c>
      <c r="D8000" s="52" t="s">
        <v>318</v>
      </c>
      <c r="E8000" s="52" t="s">
        <v>584</v>
      </c>
      <c r="F8000" s="52" t="s">
        <v>26</v>
      </c>
      <c r="G8000" s="195" t="s">
        <v>275</v>
      </c>
      <c r="H8000" s="195">
        <v>0</v>
      </c>
      <c r="I8000" s="195"/>
      <c r="J8000" s="195"/>
      <c r="K8000" s="195"/>
      <c r="L8000" s="195"/>
      <c r="M8000" s="195"/>
      <c r="N8000" s="195"/>
    </row>
    <row r="8001" spans="1:14" hidden="1" x14ac:dyDescent="0.35">
      <c r="A8001" s="52" t="s">
        <v>869</v>
      </c>
      <c r="B8001" s="52" t="s">
        <v>37</v>
      </c>
      <c r="C8001" s="52" t="s">
        <v>318</v>
      </c>
      <c r="D8001" s="52" t="s">
        <v>318</v>
      </c>
      <c r="E8001" s="52" t="s">
        <v>584</v>
      </c>
      <c r="F8001" s="52" t="s">
        <v>26</v>
      </c>
      <c r="G8001" s="195" t="s">
        <v>276</v>
      </c>
      <c r="H8001" s="195">
        <v>0</v>
      </c>
      <c r="I8001" s="195"/>
      <c r="J8001" s="195"/>
      <c r="K8001" s="195"/>
      <c r="L8001" s="195"/>
      <c r="M8001" s="195"/>
      <c r="N8001" s="195"/>
    </row>
    <row r="8002" spans="1:14" hidden="1" x14ac:dyDescent="0.35">
      <c r="A8002" s="52" t="s">
        <v>869</v>
      </c>
      <c r="B8002" s="52" t="s">
        <v>37</v>
      </c>
      <c r="C8002" s="52" t="s">
        <v>318</v>
      </c>
      <c r="D8002" s="52" t="s">
        <v>318</v>
      </c>
      <c r="E8002" s="52" t="s">
        <v>584</v>
      </c>
      <c r="F8002" s="52" t="s">
        <v>26</v>
      </c>
      <c r="G8002" s="195" t="s">
        <v>278</v>
      </c>
      <c r="H8002" s="195">
        <v>0</v>
      </c>
      <c r="I8002" s="195"/>
      <c r="J8002" s="195"/>
      <c r="K8002" s="195"/>
      <c r="L8002" s="195"/>
      <c r="M8002" s="195"/>
      <c r="N8002" s="195"/>
    </row>
    <row r="8003" spans="1:14" x14ac:dyDescent="0.35">
      <c r="G8003" s="196"/>
      <c r="H8003" s="196"/>
      <c r="I8003" s="196"/>
      <c r="J8003" s="196"/>
      <c r="K8003" s="196"/>
      <c r="L8003" s="196"/>
      <c r="M8003" s="196"/>
      <c r="N8003" s="196"/>
    </row>
    <row r="8004" spans="1:14" x14ac:dyDescent="0.35">
      <c r="G8004" s="196"/>
      <c r="H8004" s="196"/>
      <c r="I8004" s="196"/>
      <c r="J8004" s="196"/>
      <c r="K8004" s="196"/>
      <c r="L8004" s="196"/>
      <c r="M8004" s="196"/>
      <c r="N8004" s="196"/>
    </row>
    <row r="8005" spans="1:14" x14ac:dyDescent="0.35">
      <c r="G8005" s="196"/>
      <c r="H8005" s="196"/>
      <c r="I8005" s="196"/>
      <c r="J8005" s="196"/>
      <c r="K8005" s="196"/>
      <c r="L8005" s="196"/>
      <c r="M8005" s="196"/>
      <c r="N8005" s="196"/>
    </row>
    <row r="8006" spans="1:14" x14ac:dyDescent="0.35">
      <c r="G8006" s="196"/>
      <c r="H8006" s="196"/>
      <c r="I8006" s="196">
        <f>SUM(I4977:I5085)</f>
        <v>912.91660147160064</v>
      </c>
      <c r="J8006" s="196"/>
      <c r="K8006" s="196"/>
      <c r="L8006" s="196"/>
      <c r="M8006" s="196"/>
      <c r="N8006" s="196"/>
    </row>
    <row r="8007" spans="1:14" x14ac:dyDescent="0.35">
      <c r="G8007" s="196"/>
      <c r="H8007" s="196"/>
      <c r="I8007" s="196"/>
      <c r="J8007" s="196"/>
      <c r="K8007" s="196"/>
      <c r="L8007" s="196"/>
      <c r="M8007" s="196"/>
      <c r="N8007" s="196"/>
    </row>
    <row r="8008" spans="1:14" x14ac:dyDescent="0.35">
      <c r="G8008" s="196"/>
      <c r="H8008" s="196"/>
      <c r="I8008" s="196"/>
      <c r="J8008" s="196"/>
      <c r="K8008" s="196"/>
      <c r="L8008" s="196"/>
      <c r="M8008" s="196"/>
      <c r="N8008" s="196"/>
    </row>
    <row r="8009" spans="1:14" x14ac:dyDescent="0.35">
      <c r="G8009" s="196"/>
      <c r="H8009" s="196"/>
      <c r="I8009" s="196"/>
      <c r="J8009" s="196"/>
      <c r="K8009" s="196"/>
      <c r="L8009" s="196"/>
      <c r="M8009" s="196"/>
      <c r="N8009" s="196"/>
    </row>
    <row r="8010" spans="1:14" x14ac:dyDescent="0.35">
      <c r="G8010" s="196"/>
      <c r="H8010" s="196"/>
      <c r="I8010" s="196"/>
      <c r="J8010" s="196"/>
      <c r="K8010" s="196"/>
      <c r="L8010" s="196"/>
      <c r="M8010" s="196"/>
      <c r="N8010" s="196"/>
    </row>
    <row r="8011" spans="1:14" x14ac:dyDescent="0.35">
      <c r="G8011" s="196"/>
      <c r="H8011" s="196"/>
      <c r="I8011" s="196"/>
      <c r="J8011" s="196"/>
      <c r="K8011" s="196"/>
      <c r="L8011" s="196"/>
      <c r="M8011" s="196"/>
      <c r="N8011" s="196"/>
    </row>
    <row r="8012" spans="1:14" x14ac:dyDescent="0.35">
      <c r="G8012" s="196"/>
      <c r="H8012" s="196"/>
      <c r="I8012" s="196"/>
      <c r="J8012" s="196"/>
      <c r="K8012" s="196"/>
      <c r="L8012" s="196"/>
      <c r="M8012" s="196"/>
      <c r="N8012" s="196"/>
    </row>
    <row r="8013" spans="1:14" x14ac:dyDescent="0.35">
      <c r="G8013" s="196"/>
      <c r="H8013" s="196"/>
      <c r="I8013" s="196"/>
      <c r="J8013" s="196"/>
      <c r="K8013" s="196"/>
      <c r="L8013" s="196"/>
      <c r="M8013" s="196"/>
      <c r="N8013" s="196"/>
    </row>
    <row r="8014" spans="1:14" x14ac:dyDescent="0.35">
      <c r="G8014" s="196"/>
      <c r="H8014" s="196"/>
      <c r="I8014" s="196"/>
      <c r="J8014" s="196"/>
      <c r="K8014" s="196"/>
      <c r="L8014" s="196"/>
      <c r="M8014" s="196"/>
      <c r="N8014" s="196"/>
    </row>
    <row r="8015" spans="1:14" x14ac:dyDescent="0.35">
      <c r="G8015" s="196"/>
      <c r="H8015" s="196"/>
      <c r="I8015" s="196"/>
      <c r="J8015" s="196"/>
      <c r="K8015" s="196"/>
      <c r="L8015" s="196"/>
      <c r="M8015" s="196"/>
      <c r="N8015" s="196"/>
    </row>
    <row r="8016" spans="1:14" x14ac:dyDescent="0.35">
      <c r="G8016" s="196"/>
      <c r="H8016" s="196"/>
      <c r="I8016" s="196"/>
      <c r="J8016" s="196"/>
      <c r="K8016" s="196"/>
      <c r="L8016" s="196"/>
      <c r="M8016" s="196"/>
      <c r="N8016" s="196"/>
    </row>
    <row r="8017" spans="1:15" x14ac:dyDescent="0.35">
      <c r="G8017" s="196"/>
      <c r="H8017" s="196"/>
      <c r="I8017" s="196"/>
      <c r="J8017" s="196"/>
      <c r="K8017" s="196"/>
      <c r="L8017" s="196"/>
      <c r="M8017" s="196"/>
      <c r="N8017" s="196"/>
    </row>
    <row r="8019" spans="1:15" x14ac:dyDescent="0.35">
      <c r="A8019" s="484" t="s">
        <v>873</v>
      </c>
      <c r="B8019" s="485"/>
      <c r="C8019" s="485"/>
      <c r="D8019" s="485"/>
      <c r="E8019" s="485"/>
      <c r="F8019" s="485"/>
      <c r="G8019" s="485"/>
      <c r="H8019" s="485"/>
      <c r="I8019" s="485"/>
      <c r="J8019" s="485"/>
      <c r="K8019" s="485"/>
      <c r="L8019" s="485"/>
      <c r="M8019" s="485"/>
      <c r="N8019" s="485"/>
    </row>
    <row r="8021" spans="1:15" ht="15" thickBot="1" x14ac:dyDescent="0.4"/>
    <row r="8022" spans="1:15" ht="15.5" thickTop="1" thickBot="1" x14ac:dyDescent="0.4">
      <c r="A8022" s="162" t="s">
        <v>773</v>
      </c>
      <c r="C8022" s="486" t="s">
        <v>774</v>
      </c>
      <c r="D8022" s="487"/>
      <c r="E8022" s="487"/>
      <c r="F8022" s="487"/>
      <c r="G8022" s="487"/>
      <c r="H8022" s="487"/>
      <c r="I8022" s="488"/>
      <c r="K8022" s="486" t="s">
        <v>775</v>
      </c>
      <c r="L8022" s="488"/>
      <c r="N8022" s="486" t="s">
        <v>776</v>
      </c>
      <c r="O8022" s="488"/>
    </row>
    <row r="8023" spans="1:15" ht="15" thickBot="1" x14ac:dyDescent="0.4">
      <c r="A8023" s="164" t="s">
        <v>874</v>
      </c>
      <c r="C8023" s="165" t="s">
        <v>576</v>
      </c>
      <c r="D8023" s="166" t="s">
        <v>29</v>
      </c>
      <c r="E8023" s="166" t="s">
        <v>27</v>
      </c>
      <c r="F8023" s="166" t="s">
        <v>28</v>
      </c>
      <c r="G8023" s="166" t="s">
        <v>577</v>
      </c>
      <c r="H8023" s="166" t="s">
        <v>578</v>
      </c>
      <c r="I8023" s="167" t="s">
        <v>274</v>
      </c>
      <c r="K8023" s="165" t="s">
        <v>22</v>
      </c>
      <c r="L8023" s="167" t="s">
        <v>778</v>
      </c>
      <c r="N8023" s="165" t="s">
        <v>23</v>
      </c>
      <c r="O8023" s="167" t="s">
        <v>779</v>
      </c>
    </row>
    <row r="8024" spans="1:15" ht="15.5" thickTop="1" thickBot="1" x14ac:dyDescent="0.4">
      <c r="C8024" s="169" t="s">
        <v>780</v>
      </c>
      <c r="D8024" s="170" t="s">
        <v>781</v>
      </c>
      <c r="E8024" s="170" t="s">
        <v>782</v>
      </c>
      <c r="F8024" s="170" t="s">
        <v>783</v>
      </c>
      <c r="G8024" s="170" t="s">
        <v>784</v>
      </c>
      <c r="H8024" s="170" t="s">
        <v>785</v>
      </c>
      <c r="I8024" s="172" t="s">
        <v>870</v>
      </c>
      <c r="K8024" s="169" t="s">
        <v>787</v>
      </c>
      <c r="L8024" s="172" t="s">
        <v>788</v>
      </c>
      <c r="N8024" s="183" t="s">
        <v>786</v>
      </c>
      <c r="O8024" s="172" t="s">
        <v>789</v>
      </c>
    </row>
    <row r="8025" spans="1:15" ht="15.5" thickTop="1" thickBot="1" x14ac:dyDescent="0.4">
      <c r="A8025" s="174" t="s">
        <v>790</v>
      </c>
      <c r="C8025" s="175" t="s">
        <v>206</v>
      </c>
      <c r="D8025" s="176"/>
      <c r="E8025" s="176"/>
      <c r="F8025" s="176"/>
      <c r="G8025" s="176"/>
      <c r="H8025" s="176"/>
      <c r="I8025" s="178"/>
      <c r="K8025" s="175" t="s">
        <v>792</v>
      </c>
      <c r="L8025" s="178"/>
      <c r="N8025" s="191" t="s">
        <v>791</v>
      </c>
      <c r="O8025" s="192" t="s">
        <v>576</v>
      </c>
    </row>
    <row r="8026" spans="1:15" ht="15" thickTop="1" x14ac:dyDescent="0.35">
      <c r="C8026" s="175" t="s">
        <v>623</v>
      </c>
      <c r="D8026" s="176"/>
      <c r="E8026" s="176"/>
      <c r="F8026" s="176"/>
      <c r="G8026" s="176"/>
      <c r="H8026" s="176"/>
      <c r="I8026" s="178"/>
      <c r="K8026" s="175" t="s">
        <v>794</v>
      </c>
      <c r="L8026" s="178"/>
      <c r="N8026" s="191" t="s">
        <v>793</v>
      </c>
      <c r="O8026" s="171" t="s">
        <v>795</v>
      </c>
    </row>
    <row r="8027" spans="1:15" x14ac:dyDescent="0.35">
      <c r="C8027" s="175" t="s">
        <v>222</v>
      </c>
      <c r="D8027" s="176"/>
      <c r="E8027" s="176"/>
      <c r="F8027" s="176"/>
      <c r="G8027" s="176"/>
      <c r="H8027" s="176"/>
      <c r="I8027" s="178"/>
      <c r="K8027" s="175" t="s">
        <v>797</v>
      </c>
      <c r="L8027" s="178"/>
      <c r="N8027" s="191" t="s">
        <v>796</v>
      </c>
      <c r="O8027" s="178"/>
    </row>
    <row r="8028" spans="1:15" x14ac:dyDescent="0.35">
      <c r="C8028" s="175" t="s">
        <v>226</v>
      </c>
      <c r="D8028" s="176"/>
      <c r="E8028" s="176"/>
      <c r="F8028" s="176"/>
      <c r="G8028" s="176"/>
      <c r="H8028" s="176"/>
      <c r="I8028" s="178"/>
      <c r="K8028" s="175" t="s">
        <v>799</v>
      </c>
      <c r="L8028" s="178"/>
      <c r="N8028" s="191" t="s">
        <v>798</v>
      </c>
      <c r="O8028" s="178"/>
    </row>
    <row r="8029" spans="1:15" ht="15" thickBot="1" x14ac:dyDescent="0.4">
      <c r="C8029" s="175" t="s">
        <v>682</v>
      </c>
      <c r="D8029" s="176"/>
      <c r="E8029" s="176"/>
      <c r="F8029" s="176"/>
      <c r="G8029" s="176"/>
      <c r="H8029" s="176"/>
      <c r="I8029" s="178"/>
      <c r="K8029" s="175" t="s">
        <v>801</v>
      </c>
      <c r="L8029" s="178"/>
      <c r="N8029" s="193" t="s">
        <v>800</v>
      </c>
      <c r="O8029" s="182"/>
    </row>
    <row r="8030" spans="1:15" ht="15" thickTop="1" x14ac:dyDescent="0.35">
      <c r="C8030" s="175" t="s">
        <v>607</v>
      </c>
      <c r="D8030" s="176"/>
      <c r="E8030" s="176"/>
      <c r="F8030" s="176"/>
      <c r="G8030" s="176"/>
      <c r="H8030" s="176"/>
      <c r="I8030" s="178"/>
      <c r="K8030" s="175" t="s">
        <v>802</v>
      </c>
      <c r="L8030" s="178"/>
    </row>
    <row r="8031" spans="1:15" x14ac:dyDescent="0.35">
      <c r="C8031" s="175" t="s">
        <v>231</v>
      </c>
      <c r="D8031" s="176"/>
      <c r="E8031" s="176"/>
      <c r="F8031" s="176"/>
      <c r="G8031" s="176"/>
      <c r="H8031" s="176"/>
      <c r="I8031" s="178"/>
      <c r="K8031" s="175" t="s">
        <v>803</v>
      </c>
      <c r="L8031" s="178"/>
    </row>
    <row r="8032" spans="1:15" ht="15" thickBot="1" x14ac:dyDescent="0.4">
      <c r="C8032" s="175" t="s">
        <v>232</v>
      </c>
      <c r="D8032" s="176"/>
      <c r="E8032" s="176"/>
      <c r="F8032" s="176"/>
      <c r="G8032" s="176"/>
      <c r="H8032" s="176"/>
      <c r="I8032" s="178"/>
      <c r="K8032" s="181" t="s">
        <v>804</v>
      </c>
      <c r="L8032" s="182"/>
    </row>
    <row r="8033" spans="3:9" ht="15" thickTop="1" x14ac:dyDescent="0.35">
      <c r="C8033" s="175" t="s">
        <v>240</v>
      </c>
      <c r="D8033" s="176"/>
      <c r="E8033" s="176"/>
      <c r="F8033" s="176"/>
      <c r="G8033" s="176"/>
      <c r="H8033" s="176"/>
      <c r="I8033" s="178"/>
    </row>
    <row r="8034" spans="3:9" x14ac:dyDescent="0.35">
      <c r="C8034" s="175" t="s">
        <v>242</v>
      </c>
      <c r="D8034" s="176"/>
      <c r="E8034" s="176"/>
      <c r="F8034" s="176"/>
      <c r="G8034" s="176"/>
      <c r="H8034" s="176"/>
      <c r="I8034" s="178"/>
    </row>
    <row r="8035" spans="3:9" x14ac:dyDescent="0.35">
      <c r="C8035" s="175" t="s">
        <v>669</v>
      </c>
      <c r="D8035" s="176"/>
      <c r="E8035" s="176"/>
      <c r="F8035" s="176"/>
      <c r="G8035" s="176"/>
      <c r="H8035" s="176"/>
      <c r="I8035" s="178"/>
    </row>
    <row r="8036" spans="3:9" x14ac:dyDescent="0.35">
      <c r="C8036" s="175" t="s">
        <v>243</v>
      </c>
      <c r="D8036" s="176"/>
      <c r="E8036" s="176"/>
      <c r="F8036" s="176"/>
      <c r="G8036" s="176"/>
      <c r="H8036" s="176"/>
      <c r="I8036" s="178"/>
    </row>
    <row r="8037" spans="3:9" x14ac:dyDescent="0.35">
      <c r="C8037" s="175" t="s">
        <v>250</v>
      </c>
      <c r="D8037" s="176"/>
      <c r="E8037" s="176"/>
      <c r="F8037" s="176"/>
      <c r="G8037" s="176"/>
      <c r="H8037" s="176"/>
      <c r="I8037" s="178"/>
    </row>
    <row r="8038" spans="3:9" x14ac:dyDescent="0.35">
      <c r="C8038" s="175" t="s">
        <v>722</v>
      </c>
      <c r="D8038" s="176"/>
      <c r="E8038" s="176"/>
      <c r="F8038" s="176"/>
      <c r="G8038" s="176"/>
      <c r="H8038" s="176"/>
      <c r="I8038" s="178"/>
    </row>
    <row r="8039" spans="3:9" x14ac:dyDescent="0.35">
      <c r="C8039" s="175" t="s">
        <v>648</v>
      </c>
      <c r="D8039" s="176"/>
      <c r="E8039" s="176"/>
      <c r="F8039" s="176"/>
      <c r="G8039" s="176"/>
      <c r="H8039" s="176"/>
      <c r="I8039" s="178"/>
    </row>
    <row r="8040" spans="3:9" x14ac:dyDescent="0.35">
      <c r="C8040" s="175" t="s">
        <v>690</v>
      </c>
      <c r="D8040" s="176"/>
      <c r="E8040" s="176"/>
      <c r="F8040" s="176"/>
      <c r="G8040" s="176"/>
      <c r="H8040" s="176"/>
      <c r="I8040" s="178"/>
    </row>
    <row r="8041" spans="3:9" x14ac:dyDescent="0.35">
      <c r="C8041" s="175" t="s">
        <v>711</v>
      </c>
      <c r="D8041" s="176"/>
      <c r="E8041" s="176"/>
      <c r="F8041" s="176"/>
      <c r="G8041" s="176"/>
      <c r="H8041" s="176"/>
      <c r="I8041" s="178"/>
    </row>
    <row r="8042" spans="3:9" x14ac:dyDescent="0.35">
      <c r="C8042" s="175" t="s">
        <v>680</v>
      </c>
      <c r="D8042" s="176"/>
      <c r="E8042" s="176"/>
      <c r="F8042" s="176"/>
      <c r="G8042" s="176"/>
      <c r="H8042" s="176"/>
      <c r="I8042" s="178"/>
    </row>
    <row r="8043" spans="3:9" x14ac:dyDescent="0.35">
      <c r="C8043" s="175" t="s">
        <v>645</v>
      </c>
      <c r="D8043" s="176"/>
      <c r="E8043" s="176"/>
      <c r="F8043" s="176"/>
      <c r="G8043" s="176"/>
      <c r="H8043" s="176"/>
      <c r="I8043" s="178"/>
    </row>
    <row r="8044" spans="3:9" x14ac:dyDescent="0.35">
      <c r="C8044" s="175" t="s">
        <v>694</v>
      </c>
      <c r="D8044" s="176"/>
      <c r="E8044" s="176"/>
      <c r="F8044" s="176"/>
      <c r="G8044" s="176"/>
      <c r="H8044" s="176"/>
      <c r="I8044" s="178"/>
    </row>
    <row r="8045" spans="3:9" x14ac:dyDescent="0.35">
      <c r="C8045" s="175" t="s">
        <v>805</v>
      </c>
      <c r="D8045" s="176"/>
      <c r="E8045" s="176"/>
      <c r="F8045" s="176"/>
      <c r="G8045" s="176"/>
      <c r="H8045" s="176"/>
      <c r="I8045" s="178"/>
    </row>
    <row r="8046" spans="3:9" x14ac:dyDescent="0.35">
      <c r="C8046" s="183" t="s">
        <v>806</v>
      </c>
      <c r="D8046" s="176"/>
      <c r="E8046" s="176"/>
      <c r="F8046" s="176"/>
      <c r="G8046" s="176"/>
      <c r="H8046" s="176"/>
      <c r="I8046" s="178"/>
    </row>
    <row r="8047" spans="3:9" x14ac:dyDescent="0.35">
      <c r="C8047" s="184"/>
      <c r="D8047" s="176"/>
      <c r="E8047" s="176"/>
      <c r="F8047" s="176"/>
      <c r="G8047" s="176"/>
      <c r="H8047" s="176"/>
      <c r="I8047" s="178"/>
    </row>
    <row r="8048" spans="3:9" x14ac:dyDescent="0.35">
      <c r="C8048" s="184"/>
      <c r="D8048" s="176"/>
      <c r="E8048" s="176"/>
      <c r="F8048" s="176"/>
      <c r="G8048" s="176"/>
      <c r="H8048" s="176"/>
      <c r="I8048" s="178"/>
    </row>
    <row r="8049" spans="3:9" x14ac:dyDescent="0.35">
      <c r="C8049" s="184"/>
      <c r="D8049" s="176"/>
      <c r="E8049" s="176"/>
      <c r="F8049" s="176"/>
      <c r="G8049" s="176"/>
      <c r="H8049" s="176"/>
      <c r="I8049" s="178"/>
    </row>
    <row r="8050" spans="3:9" x14ac:dyDescent="0.35">
      <c r="C8050" s="184"/>
      <c r="D8050" s="176"/>
      <c r="E8050" s="176"/>
      <c r="F8050" s="176"/>
      <c r="G8050" s="176"/>
      <c r="H8050" s="176"/>
      <c r="I8050" s="178"/>
    </row>
    <row r="8051" spans="3:9" x14ac:dyDescent="0.35">
      <c r="C8051" s="184"/>
      <c r="D8051" s="176"/>
      <c r="E8051" s="176"/>
      <c r="F8051" s="176"/>
      <c r="G8051" s="176"/>
      <c r="H8051" s="176"/>
      <c r="I8051" s="178"/>
    </row>
    <row r="8052" spans="3:9" x14ac:dyDescent="0.35">
      <c r="C8052" s="184"/>
      <c r="D8052" s="176"/>
      <c r="E8052" s="176"/>
      <c r="F8052" s="176"/>
      <c r="G8052" s="176"/>
      <c r="H8052" s="176"/>
      <c r="I8052" s="178"/>
    </row>
    <row r="8053" spans="3:9" x14ac:dyDescent="0.35">
      <c r="C8053" s="184"/>
      <c r="D8053" s="176"/>
      <c r="E8053" s="176"/>
      <c r="F8053" s="176"/>
      <c r="G8053" s="176"/>
      <c r="H8053" s="176"/>
      <c r="I8053" s="178"/>
    </row>
    <row r="8054" spans="3:9" x14ac:dyDescent="0.35">
      <c r="C8054" s="184"/>
      <c r="D8054" s="176"/>
      <c r="E8054" s="176"/>
      <c r="F8054" s="176"/>
      <c r="G8054" s="176"/>
      <c r="H8054" s="176"/>
      <c r="I8054" s="178"/>
    </row>
    <row r="8055" spans="3:9" x14ac:dyDescent="0.35">
      <c r="C8055" s="184"/>
      <c r="D8055" s="176"/>
      <c r="E8055" s="176"/>
      <c r="F8055" s="176"/>
      <c r="G8055" s="176"/>
      <c r="H8055" s="176"/>
      <c r="I8055" s="178"/>
    </row>
    <row r="8056" spans="3:9" x14ac:dyDescent="0.35">
      <c r="C8056" s="184"/>
      <c r="D8056" s="176"/>
      <c r="E8056" s="176"/>
      <c r="F8056" s="176"/>
      <c r="G8056" s="176"/>
      <c r="H8056" s="176"/>
      <c r="I8056" s="178"/>
    </row>
    <row r="8057" spans="3:9" x14ac:dyDescent="0.35">
      <c r="C8057" s="184"/>
      <c r="D8057" s="176"/>
      <c r="E8057" s="176"/>
      <c r="F8057" s="176"/>
      <c r="G8057" s="176"/>
      <c r="H8057" s="176"/>
      <c r="I8057" s="178"/>
    </row>
    <row r="8058" spans="3:9" x14ac:dyDescent="0.35">
      <c r="C8058" s="184"/>
      <c r="D8058" s="176"/>
      <c r="E8058" s="176"/>
      <c r="F8058" s="176"/>
      <c r="G8058" s="176"/>
      <c r="H8058" s="176"/>
      <c r="I8058" s="178"/>
    </row>
    <row r="8059" spans="3:9" x14ac:dyDescent="0.35">
      <c r="C8059" s="184"/>
      <c r="D8059" s="176"/>
      <c r="E8059" s="176"/>
      <c r="F8059" s="176"/>
      <c r="G8059" s="176"/>
      <c r="H8059" s="176"/>
      <c r="I8059" s="178"/>
    </row>
    <row r="8060" spans="3:9" x14ac:dyDescent="0.35">
      <c r="C8060" s="184"/>
      <c r="D8060" s="176"/>
      <c r="E8060" s="176"/>
      <c r="F8060" s="176"/>
      <c r="G8060" s="176"/>
      <c r="H8060" s="176"/>
      <c r="I8060" s="178"/>
    </row>
    <row r="8061" spans="3:9" x14ac:dyDescent="0.35">
      <c r="C8061" s="184"/>
      <c r="D8061" s="176"/>
      <c r="E8061" s="176"/>
      <c r="F8061" s="176"/>
      <c r="G8061" s="176"/>
      <c r="H8061" s="176"/>
      <c r="I8061" s="178"/>
    </row>
    <row r="8062" spans="3:9" x14ac:dyDescent="0.35">
      <c r="C8062" s="184"/>
      <c r="D8062" s="176"/>
      <c r="E8062" s="176"/>
      <c r="F8062" s="176"/>
      <c r="G8062" s="176"/>
      <c r="H8062" s="176"/>
      <c r="I8062" s="178"/>
    </row>
    <row r="8063" spans="3:9" x14ac:dyDescent="0.35">
      <c r="C8063" s="184"/>
      <c r="D8063" s="176"/>
      <c r="E8063" s="176"/>
      <c r="F8063" s="176"/>
      <c r="G8063" s="176"/>
      <c r="H8063" s="176"/>
      <c r="I8063" s="178"/>
    </row>
    <row r="8064" spans="3:9" x14ac:dyDescent="0.35">
      <c r="C8064" s="184"/>
      <c r="D8064" s="176"/>
      <c r="E8064" s="176"/>
      <c r="F8064" s="176"/>
      <c r="G8064" s="176"/>
      <c r="H8064" s="176"/>
      <c r="I8064" s="178"/>
    </row>
    <row r="8065" spans="3:9" x14ac:dyDescent="0.35">
      <c r="C8065" s="184"/>
      <c r="D8065" s="176"/>
      <c r="E8065" s="176"/>
      <c r="F8065" s="176"/>
      <c r="G8065" s="176"/>
      <c r="H8065" s="176"/>
      <c r="I8065" s="178"/>
    </row>
    <row r="8066" spans="3:9" x14ac:dyDescent="0.35">
      <c r="C8066" s="184"/>
      <c r="D8066" s="176"/>
      <c r="E8066" s="176"/>
      <c r="F8066" s="176"/>
      <c r="G8066" s="176"/>
      <c r="H8066" s="176"/>
      <c r="I8066" s="178"/>
    </row>
    <row r="8067" spans="3:9" x14ac:dyDescent="0.35">
      <c r="C8067" s="184"/>
      <c r="D8067" s="176"/>
      <c r="E8067" s="176"/>
      <c r="F8067" s="176"/>
      <c r="G8067" s="176"/>
      <c r="H8067" s="176"/>
      <c r="I8067" s="178"/>
    </row>
    <row r="8068" spans="3:9" x14ac:dyDescent="0.35">
      <c r="C8068" s="184"/>
      <c r="D8068" s="176"/>
      <c r="E8068" s="176"/>
      <c r="F8068" s="176"/>
      <c r="G8068" s="176"/>
      <c r="H8068" s="176"/>
      <c r="I8068" s="178"/>
    </row>
    <row r="8069" spans="3:9" x14ac:dyDescent="0.35">
      <c r="C8069" s="184"/>
      <c r="D8069" s="176"/>
      <c r="E8069" s="176"/>
      <c r="F8069" s="176"/>
      <c r="G8069" s="176"/>
      <c r="H8069" s="176"/>
      <c r="I8069" s="178"/>
    </row>
    <row r="8070" spans="3:9" x14ac:dyDescent="0.35">
      <c r="C8070" s="184"/>
      <c r="D8070" s="176"/>
      <c r="E8070" s="176"/>
      <c r="F8070" s="176"/>
      <c r="G8070" s="176"/>
      <c r="H8070" s="176"/>
      <c r="I8070" s="178"/>
    </row>
    <row r="8071" spans="3:9" x14ac:dyDescent="0.35">
      <c r="C8071" s="184"/>
      <c r="D8071" s="176"/>
      <c r="E8071" s="176"/>
      <c r="F8071" s="176"/>
      <c r="G8071" s="176"/>
      <c r="H8071" s="176"/>
      <c r="I8071" s="178"/>
    </row>
    <row r="8072" spans="3:9" x14ac:dyDescent="0.35">
      <c r="C8072" s="184"/>
      <c r="D8072" s="176"/>
      <c r="E8072" s="176"/>
      <c r="F8072" s="176"/>
      <c r="G8072" s="176"/>
      <c r="H8072" s="176"/>
      <c r="I8072" s="178"/>
    </row>
    <row r="8073" spans="3:9" x14ac:dyDescent="0.35">
      <c r="C8073" s="184"/>
      <c r="D8073" s="176"/>
      <c r="E8073" s="176"/>
      <c r="F8073" s="176"/>
      <c r="G8073" s="176"/>
      <c r="H8073" s="176"/>
      <c r="I8073" s="178"/>
    </row>
    <row r="8074" spans="3:9" x14ac:dyDescent="0.35">
      <c r="C8074" s="184"/>
      <c r="D8074" s="176"/>
      <c r="E8074" s="176"/>
      <c r="F8074" s="176"/>
      <c r="G8074" s="176"/>
      <c r="H8074" s="176"/>
      <c r="I8074" s="178"/>
    </row>
    <row r="8075" spans="3:9" x14ac:dyDescent="0.35">
      <c r="C8075" s="184"/>
      <c r="D8075" s="176"/>
      <c r="E8075" s="176"/>
      <c r="F8075" s="176"/>
      <c r="G8075" s="176"/>
      <c r="H8075" s="176"/>
      <c r="I8075" s="178"/>
    </row>
    <row r="8076" spans="3:9" x14ac:dyDescent="0.35">
      <c r="C8076" s="184"/>
      <c r="D8076" s="176"/>
      <c r="E8076" s="176"/>
      <c r="F8076" s="176"/>
      <c r="G8076" s="176"/>
      <c r="H8076" s="176"/>
      <c r="I8076" s="178"/>
    </row>
    <row r="8077" spans="3:9" x14ac:dyDescent="0.35">
      <c r="C8077" s="184"/>
      <c r="D8077" s="176"/>
      <c r="E8077" s="176"/>
      <c r="F8077" s="176"/>
      <c r="G8077" s="176"/>
      <c r="H8077" s="176"/>
      <c r="I8077" s="178"/>
    </row>
    <row r="8078" spans="3:9" x14ac:dyDescent="0.35">
      <c r="C8078" s="184"/>
      <c r="D8078" s="176"/>
      <c r="E8078" s="176"/>
      <c r="F8078" s="176"/>
      <c r="G8078" s="176"/>
      <c r="H8078" s="176"/>
      <c r="I8078" s="178"/>
    </row>
    <row r="8079" spans="3:9" x14ac:dyDescent="0.35">
      <c r="C8079" s="184"/>
      <c r="D8079" s="176"/>
      <c r="E8079" s="176"/>
      <c r="F8079" s="176"/>
      <c r="G8079" s="176"/>
      <c r="H8079" s="176"/>
      <c r="I8079" s="178"/>
    </row>
    <row r="8080" spans="3:9" x14ac:dyDescent="0.35">
      <c r="C8080" s="184"/>
      <c r="D8080" s="176"/>
      <c r="E8080" s="176"/>
      <c r="F8080" s="176"/>
      <c r="G8080" s="176"/>
      <c r="H8080" s="176"/>
      <c r="I8080" s="178"/>
    </row>
    <row r="8081" spans="3:9" x14ac:dyDescent="0.35">
      <c r="C8081" s="184"/>
      <c r="D8081" s="176"/>
      <c r="E8081" s="176"/>
      <c r="F8081" s="176"/>
      <c r="G8081" s="176"/>
      <c r="H8081" s="176"/>
      <c r="I8081" s="178"/>
    </row>
    <row r="8082" spans="3:9" x14ac:dyDescent="0.35">
      <c r="C8082" s="184"/>
      <c r="D8082" s="176"/>
      <c r="E8082" s="176"/>
      <c r="F8082" s="176"/>
      <c r="G8082" s="176"/>
      <c r="H8082" s="176"/>
      <c r="I8082" s="178"/>
    </row>
    <row r="8083" spans="3:9" x14ac:dyDescent="0.35">
      <c r="C8083" s="184"/>
      <c r="D8083" s="176"/>
      <c r="E8083" s="176"/>
      <c r="F8083" s="176"/>
      <c r="G8083" s="176"/>
      <c r="H8083" s="176"/>
      <c r="I8083" s="178"/>
    </row>
    <row r="8084" spans="3:9" x14ac:dyDescent="0.35">
      <c r="C8084" s="184"/>
      <c r="D8084" s="176"/>
      <c r="E8084" s="176"/>
      <c r="F8084" s="176"/>
      <c r="G8084" s="176"/>
      <c r="H8084" s="176"/>
      <c r="I8084" s="178"/>
    </row>
    <row r="8085" spans="3:9" x14ac:dyDescent="0.35">
      <c r="C8085" s="184"/>
      <c r="D8085" s="176"/>
      <c r="E8085" s="176"/>
      <c r="F8085" s="176"/>
      <c r="G8085" s="176"/>
      <c r="H8085" s="176"/>
      <c r="I8085" s="178"/>
    </row>
    <row r="8086" spans="3:9" x14ac:dyDescent="0.35">
      <c r="C8086" s="184"/>
      <c r="D8086" s="176"/>
      <c r="E8086" s="176"/>
      <c r="F8086" s="176"/>
      <c r="G8086" s="176"/>
      <c r="H8086" s="176"/>
      <c r="I8086" s="178"/>
    </row>
    <row r="8087" spans="3:9" x14ac:dyDescent="0.35">
      <c r="C8087" s="184"/>
      <c r="D8087" s="176"/>
      <c r="E8087" s="176"/>
      <c r="F8087" s="176"/>
      <c r="G8087" s="176"/>
      <c r="H8087" s="176"/>
      <c r="I8087" s="178"/>
    </row>
    <row r="8088" spans="3:9" x14ac:dyDescent="0.35">
      <c r="C8088" s="184"/>
      <c r="D8088" s="176"/>
      <c r="E8088" s="176"/>
      <c r="F8088" s="176"/>
      <c r="G8088" s="176"/>
      <c r="H8088" s="176"/>
      <c r="I8088" s="178"/>
    </row>
    <row r="8089" spans="3:9" x14ac:dyDescent="0.35">
      <c r="C8089" s="184"/>
      <c r="D8089" s="176"/>
      <c r="E8089" s="176"/>
      <c r="F8089" s="176"/>
      <c r="G8089" s="176"/>
      <c r="H8089" s="176"/>
      <c r="I8089" s="178"/>
    </row>
    <row r="8090" spans="3:9" x14ac:dyDescent="0.35">
      <c r="C8090" s="184"/>
      <c r="D8090" s="176"/>
      <c r="E8090" s="176"/>
      <c r="F8090" s="176"/>
      <c r="G8090" s="176"/>
      <c r="H8090" s="176"/>
      <c r="I8090" s="178"/>
    </row>
    <row r="8091" spans="3:9" x14ac:dyDescent="0.35">
      <c r="C8091" s="184"/>
      <c r="D8091" s="176"/>
      <c r="E8091" s="176"/>
      <c r="F8091" s="176"/>
      <c r="G8091" s="176"/>
      <c r="H8091" s="176"/>
      <c r="I8091" s="178"/>
    </row>
    <row r="8092" spans="3:9" x14ac:dyDescent="0.35">
      <c r="C8092" s="184"/>
      <c r="D8092" s="176"/>
      <c r="E8092" s="176"/>
      <c r="F8092" s="176"/>
      <c r="G8092" s="176"/>
      <c r="H8092" s="176"/>
      <c r="I8092" s="178"/>
    </row>
    <row r="8093" spans="3:9" x14ac:dyDescent="0.35">
      <c r="C8093" s="184"/>
      <c r="D8093" s="176"/>
      <c r="E8093" s="176"/>
      <c r="F8093" s="176"/>
      <c r="G8093" s="176"/>
      <c r="H8093" s="176"/>
      <c r="I8093" s="178"/>
    </row>
    <row r="8094" spans="3:9" x14ac:dyDescent="0.35">
      <c r="C8094" s="184"/>
      <c r="D8094" s="176"/>
      <c r="E8094" s="176"/>
      <c r="F8094" s="176"/>
      <c r="G8094" s="176"/>
      <c r="H8094" s="176"/>
      <c r="I8094" s="178"/>
    </row>
    <row r="8095" spans="3:9" x14ac:dyDescent="0.35">
      <c r="C8095" s="184"/>
      <c r="D8095" s="176"/>
      <c r="E8095" s="176"/>
      <c r="F8095" s="176"/>
      <c r="G8095" s="176"/>
      <c r="H8095" s="176"/>
      <c r="I8095" s="178"/>
    </row>
    <row r="8096" spans="3:9" x14ac:dyDescent="0.35">
      <c r="C8096" s="184"/>
      <c r="D8096" s="176"/>
      <c r="E8096" s="176"/>
      <c r="F8096" s="176"/>
      <c r="G8096" s="176"/>
      <c r="H8096" s="176"/>
      <c r="I8096" s="178"/>
    </row>
    <row r="8097" spans="3:9" x14ac:dyDescent="0.35">
      <c r="C8097" s="184"/>
      <c r="D8097" s="176"/>
      <c r="E8097" s="176"/>
      <c r="F8097" s="176"/>
      <c r="G8097" s="176"/>
      <c r="H8097" s="176"/>
      <c r="I8097" s="178"/>
    </row>
    <row r="8098" spans="3:9" x14ac:dyDescent="0.35">
      <c r="C8098" s="184"/>
      <c r="D8098" s="176"/>
      <c r="E8098" s="176"/>
      <c r="F8098" s="176"/>
      <c r="G8098" s="176"/>
      <c r="H8098" s="176"/>
      <c r="I8098" s="178"/>
    </row>
    <row r="8099" spans="3:9" x14ac:dyDescent="0.35">
      <c r="C8099" s="184"/>
      <c r="D8099" s="176"/>
      <c r="E8099" s="176"/>
      <c r="F8099" s="176"/>
      <c r="G8099" s="176"/>
      <c r="H8099" s="176"/>
      <c r="I8099" s="178"/>
    </row>
    <row r="8100" spans="3:9" x14ac:dyDescent="0.35">
      <c r="C8100" s="184"/>
      <c r="D8100" s="176"/>
      <c r="E8100" s="176"/>
      <c r="F8100" s="176"/>
      <c r="G8100" s="176"/>
      <c r="H8100" s="176"/>
      <c r="I8100" s="178"/>
    </row>
    <row r="8101" spans="3:9" x14ac:dyDescent="0.35">
      <c r="C8101" s="184"/>
      <c r="D8101" s="176"/>
      <c r="E8101" s="176"/>
      <c r="F8101" s="176"/>
      <c r="G8101" s="176"/>
      <c r="H8101" s="176"/>
      <c r="I8101" s="178"/>
    </row>
    <row r="8102" spans="3:9" x14ac:dyDescent="0.35">
      <c r="C8102" s="184"/>
      <c r="D8102" s="176"/>
      <c r="E8102" s="176"/>
      <c r="F8102" s="176"/>
      <c r="G8102" s="176"/>
      <c r="H8102" s="176"/>
      <c r="I8102" s="178"/>
    </row>
    <row r="8103" spans="3:9" x14ac:dyDescent="0.35">
      <c r="C8103" s="184"/>
      <c r="D8103" s="176"/>
      <c r="E8103" s="176"/>
      <c r="F8103" s="176"/>
      <c r="G8103" s="176"/>
      <c r="H8103" s="176"/>
      <c r="I8103" s="178"/>
    </row>
    <row r="8104" spans="3:9" x14ac:dyDescent="0.35">
      <c r="C8104" s="184"/>
      <c r="D8104" s="176"/>
      <c r="E8104" s="176"/>
      <c r="F8104" s="176"/>
      <c r="G8104" s="176"/>
      <c r="H8104" s="176"/>
      <c r="I8104" s="178"/>
    </row>
    <row r="8105" spans="3:9" x14ac:dyDescent="0.35">
      <c r="C8105" s="184"/>
      <c r="D8105" s="176"/>
      <c r="E8105" s="176"/>
      <c r="F8105" s="176"/>
      <c r="G8105" s="176"/>
      <c r="H8105" s="176"/>
      <c r="I8105" s="178"/>
    </row>
    <row r="8106" spans="3:9" x14ac:dyDescent="0.35">
      <c r="C8106" s="184"/>
      <c r="D8106" s="176"/>
      <c r="E8106" s="176"/>
      <c r="F8106" s="176"/>
      <c r="G8106" s="176"/>
      <c r="H8106" s="176"/>
      <c r="I8106" s="178"/>
    </row>
    <row r="8107" spans="3:9" ht="15" thickBot="1" x14ac:dyDescent="0.4">
      <c r="C8107" s="185"/>
      <c r="D8107" s="186"/>
      <c r="E8107" s="186"/>
      <c r="F8107" s="186"/>
      <c r="G8107" s="186"/>
      <c r="H8107" s="186"/>
      <c r="I8107" s="182"/>
    </row>
    <row r="8108" spans="3:9" ht="15" thickTop="1" x14ac:dyDescent="0.35"/>
  </sheetData>
  <autoFilter ref="A8:N8002" xr:uid="{7E86351D-D3B7-45C9-936D-41AFCF44BCA5}">
    <filterColumn colId="0">
      <filters>
        <filter val="Concho Resources"/>
      </filters>
    </filterColumn>
    <filterColumn colId="6">
      <filters>
        <filter val="Capex"/>
        <filter val="Exploration Capex"/>
      </filters>
    </filterColumn>
  </autoFilter>
  <mergeCells count="4">
    <mergeCell ref="A8019:N8019"/>
    <mergeCell ref="C8022:I8022"/>
    <mergeCell ref="K8022:L8022"/>
    <mergeCell ref="N8022:O8022"/>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AC78-5738-4CB3-B62E-BB69C330E424}">
  <sheetPr filterMode="1"/>
  <dimension ref="A1:O8092"/>
  <sheetViews>
    <sheetView showGridLines="0" topLeftCell="A3" zoomScale="84" workbookViewId="0">
      <selection activeCell="H4946" sqref="H4946"/>
    </sheetView>
  </sheetViews>
  <sheetFormatPr defaultRowHeight="14.5" x14ac:dyDescent="0.35"/>
  <cols>
    <col min="1" max="1" width="12.54296875" bestFit="1" customWidth="1"/>
    <col min="3" max="3" width="22.90625" bestFit="1" customWidth="1"/>
    <col min="4" max="5" width="14.90625" bestFit="1" customWidth="1"/>
    <col min="6" max="6" width="15.90625" bestFit="1" customWidth="1"/>
    <col min="7" max="7" width="14.90625" bestFit="1" customWidth="1"/>
    <col min="8" max="8" width="15.81640625" bestFit="1" customWidth="1"/>
    <col min="9" max="9" width="15.453125" bestFit="1" customWidth="1"/>
    <col min="10" max="10" width="9.08984375" bestFit="1" customWidth="1"/>
    <col min="11" max="11" width="14.81640625" bestFit="1" customWidth="1"/>
    <col min="12" max="12" width="12.90625" bestFit="1" customWidth="1"/>
    <col min="13" max="13" width="9.08984375" bestFit="1" customWidth="1"/>
    <col min="14" max="14" width="18.453125" bestFit="1" customWidth="1"/>
    <col min="15" max="15" width="12.54296875" bestFit="1" customWidth="1"/>
  </cols>
  <sheetData>
    <row r="1" spans="1:14" x14ac:dyDescent="0.35">
      <c r="A1" t="s">
        <v>573</v>
      </c>
    </row>
    <row r="2" spans="1:14" x14ac:dyDescent="0.35">
      <c r="A2" t="s">
        <v>871</v>
      </c>
    </row>
    <row r="3" spans="1:14" x14ac:dyDescent="0.35">
      <c r="A3" t="s">
        <v>875</v>
      </c>
    </row>
    <row r="7" spans="1:14" s="35" customFormat="1" x14ac:dyDescent="0.35">
      <c r="A7" s="54" t="s">
        <v>576</v>
      </c>
      <c r="B7" s="54" t="s">
        <v>29</v>
      </c>
      <c r="C7" s="54" t="s">
        <v>27</v>
      </c>
      <c r="D7" s="54" t="s">
        <v>28</v>
      </c>
      <c r="E7" s="54" t="s">
        <v>577</v>
      </c>
      <c r="F7" s="54" t="s">
        <v>578</v>
      </c>
      <c r="G7" s="54" t="s">
        <v>274</v>
      </c>
      <c r="H7" s="54">
        <v>2019</v>
      </c>
      <c r="I7" s="54">
        <v>2020</v>
      </c>
      <c r="J7" s="54">
        <v>2021</v>
      </c>
      <c r="K7" s="54">
        <v>2022</v>
      </c>
      <c r="L7" s="54">
        <v>2023</v>
      </c>
      <c r="M7" s="54">
        <v>2024</v>
      </c>
      <c r="N7" s="54">
        <v>2025</v>
      </c>
    </row>
    <row r="8" spans="1:14" hidden="1" x14ac:dyDescent="0.35">
      <c r="A8" s="52" t="s">
        <v>206</v>
      </c>
      <c r="B8" s="52" t="s">
        <v>37</v>
      </c>
      <c r="C8" s="52" t="s">
        <v>57</v>
      </c>
      <c r="D8" s="52" t="s">
        <v>57</v>
      </c>
      <c r="E8" s="52" t="s">
        <v>584</v>
      </c>
      <c r="F8" s="52" t="s">
        <v>581</v>
      </c>
      <c r="G8" s="55" t="s">
        <v>275</v>
      </c>
      <c r="H8" s="55">
        <v>1447.8630000000001</v>
      </c>
      <c r="I8" s="55">
        <v>-347.41340000000002</v>
      </c>
      <c r="J8" s="55">
        <v>148.95849999999999</v>
      </c>
      <c r="K8" s="55">
        <v>133.35130000000001</v>
      </c>
      <c r="L8" s="55">
        <v>-21.779509999999998</v>
      </c>
      <c r="M8" s="55">
        <v>178.76939999999999</v>
      </c>
      <c r="N8" s="55">
        <v>130.55600000000001</v>
      </c>
    </row>
    <row r="9" spans="1:14" hidden="1" x14ac:dyDescent="0.35">
      <c r="A9" s="52" t="s">
        <v>206</v>
      </c>
      <c r="B9" s="52" t="s">
        <v>37</v>
      </c>
      <c r="C9" s="52" t="s">
        <v>57</v>
      </c>
      <c r="D9" s="52" t="s">
        <v>57</v>
      </c>
      <c r="E9" s="52" t="s">
        <v>584</v>
      </c>
      <c r="F9" s="52" t="s">
        <v>581</v>
      </c>
      <c r="G9" s="55" t="s">
        <v>276</v>
      </c>
      <c r="H9" s="55">
        <v>472.58249999999998</v>
      </c>
      <c r="I9" s="55">
        <v>-131.1994</v>
      </c>
      <c r="J9" s="55">
        <v>-84.582819999999998</v>
      </c>
      <c r="K9" s="55">
        <v>-41.68956</v>
      </c>
      <c r="L9" s="55">
        <v>-46.597520000000003</v>
      </c>
      <c r="M9" s="55">
        <v>-30.146619999999999</v>
      </c>
      <c r="N9" s="55">
        <v>13.511150000000001</v>
      </c>
    </row>
    <row r="10" spans="1:14" hidden="1" x14ac:dyDescent="0.35">
      <c r="A10" s="52" t="s">
        <v>206</v>
      </c>
      <c r="B10" s="52" t="s">
        <v>37</v>
      </c>
      <c r="C10" s="52" t="s">
        <v>57</v>
      </c>
      <c r="D10" s="52" t="s">
        <v>57</v>
      </c>
      <c r="E10" s="52" t="s">
        <v>584</v>
      </c>
      <c r="F10" s="52" t="s">
        <v>581</v>
      </c>
      <c r="G10" s="55" t="s">
        <v>277</v>
      </c>
      <c r="H10" s="55">
        <v>1122.204</v>
      </c>
      <c r="I10" s="55">
        <v>1552.337</v>
      </c>
      <c r="J10" s="55">
        <v>1054.837</v>
      </c>
      <c r="K10" s="55">
        <v>985.38220000000001</v>
      </c>
      <c r="L10" s="55">
        <v>1114.6790000000001</v>
      </c>
      <c r="M10" s="55">
        <v>915.36789999999996</v>
      </c>
      <c r="N10" s="55">
        <v>960.33010000000002</v>
      </c>
    </row>
    <row r="11" spans="1:14" hidden="1" x14ac:dyDescent="0.35">
      <c r="A11" s="52" t="s">
        <v>206</v>
      </c>
      <c r="B11" s="52" t="s">
        <v>37</v>
      </c>
      <c r="C11" s="52" t="s">
        <v>57</v>
      </c>
      <c r="D11" s="52" t="s">
        <v>57</v>
      </c>
      <c r="E11" s="52" t="s">
        <v>584</v>
      </c>
      <c r="F11" s="52" t="s">
        <v>581</v>
      </c>
      <c r="G11" s="55" t="s">
        <v>278</v>
      </c>
      <c r="H11" s="55">
        <v>5.1917549999999997</v>
      </c>
      <c r="I11" s="55">
        <v>25.316749999999999</v>
      </c>
      <c r="J11" s="55">
        <v>10.40033</v>
      </c>
      <c r="K11" s="55">
        <v>9.8124610000000008</v>
      </c>
      <c r="L11" s="55">
        <v>12.798019999999999</v>
      </c>
      <c r="M11" s="55">
        <v>10.734590000000001</v>
      </c>
      <c r="N11" s="55">
        <v>12.0443</v>
      </c>
    </row>
    <row r="12" spans="1:14" hidden="1" x14ac:dyDescent="0.35">
      <c r="A12" s="52" t="s">
        <v>206</v>
      </c>
      <c r="B12" s="52" t="s">
        <v>37</v>
      </c>
      <c r="C12" s="52" t="s">
        <v>57</v>
      </c>
      <c r="D12" s="52" t="s">
        <v>57</v>
      </c>
      <c r="E12" s="52" t="s">
        <v>584</v>
      </c>
      <c r="F12" s="52" t="s">
        <v>581</v>
      </c>
      <c r="G12" s="55" t="s">
        <v>279</v>
      </c>
      <c r="H12" s="55">
        <v>1680.3679999999999</v>
      </c>
      <c r="I12" s="55">
        <v>1376.0709999999999</v>
      </c>
      <c r="J12" s="55">
        <v>1350.8620000000001</v>
      </c>
      <c r="K12" s="55">
        <v>1461.248</v>
      </c>
      <c r="L12" s="55">
        <v>1523.598</v>
      </c>
      <c r="M12" s="55">
        <v>1476.201</v>
      </c>
      <c r="N12" s="55">
        <v>1448.5319999999999</v>
      </c>
    </row>
    <row r="13" spans="1:14" hidden="1" x14ac:dyDescent="0.35">
      <c r="A13" s="52" t="s">
        <v>206</v>
      </c>
      <c r="B13" s="52" t="s">
        <v>37</v>
      </c>
      <c r="C13" s="52" t="s">
        <v>57</v>
      </c>
      <c r="D13" s="52" t="s">
        <v>57</v>
      </c>
      <c r="E13" s="52" t="s">
        <v>584</v>
      </c>
      <c r="F13" s="52" t="s">
        <v>26</v>
      </c>
      <c r="G13" s="55" t="s">
        <v>275</v>
      </c>
      <c r="H13" s="55">
        <v>0.63533470000000003</v>
      </c>
      <c r="I13" s="55">
        <v>-0.37557420000000002</v>
      </c>
      <c r="J13" s="55">
        <v>3.1755539999999999E-2</v>
      </c>
      <c r="K13" s="55">
        <v>-6.6655290000000006E-2</v>
      </c>
      <c r="L13" s="55">
        <v>-4.7078200000000001E-2</v>
      </c>
      <c r="M13" s="55">
        <v>-3.2819760000000003E-2</v>
      </c>
      <c r="N13" s="55">
        <v>-3.4640990000000003E-2</v>
      </c>
    </row>
    <row r="14" spans="1:14" hidden="1" x14ac:dyDescent="0.35">
      <c r="A14" s="52" t="s">
        <v>206</v>
      </c>
      <c r="B14" s="52" t="s">
        <v>37</v>
      </c>
      <c r="C14" s="52" t="s">
        <v>57</v>
      </c>
      <c r="D14" s="52" t="s">
        <v>57</v>
      </c>
      <c r="E14" s="52" t="s">
        <v>584</v>
      </c>
      <c r="F14" s="52" t="s">
        <v>26</v>
      </c>
      <c r="G14" s="55" t="s">
        <v>276</v>
      </c>
      <c r="H14" s="55">
        <v>0.19913239999999999</v>
      </c>
      <c r="I14" s="55">
        <v>8.719381E-3</v>
      </c>
      <c r="J14" s="55">
        <v>-0.42694460000000001</v>
      </c>
      <c r="K14" s="55">
        <v>-0.39155859999999998</v>
      </c>
      <c r="L14" s="55">
        <v>-1.893513</v>
      </c>
      <c r="M14" s="55">
        <v>-0.92285050000000002</v>
      </c>
      <c r="N14" s="55">
        <v>-0.37757420000000003</v>
      </c>
    </row>
    <row r="15" spans="1:14" hidden="1" x14ac:dyDescent="0.35">
      <c r="A15" s="52" t="s">
        <v>206</v>
      </c>
      <c r="B15" s="52" t="s">
        <v>37</v>
      </c>
      <c r="C15" s="52" t="s">
        <v>57</v>
      </c>
      <c r="D15" s="52" t="s">
        <v>57</v>
      </c>
      <c r="E15" s="52" t="s">
        <v>584</v>
      </c>
      <c r="F15" s="52" t="s">
        <v>26</v>
      </c>
      <c r="G15" s="55" t="s">
        <v>278</v>
      </c>
      <c r="H15" s="55">
        <v>0</v>
      </c>
      <c r="I15" s="55">
        <v>0.79230270000000003</v>
      </c>
      <c r="J15" s="55">
        <v>0.36244520000000002</v>
      </c>
      <c r="K15" s="55">
        <v>0.36244520000000002</v>
      </c>
      <c r="L15" s="55">
        <v>1.8729469999999999</v>
      </c>
      <c r="M15" s="55">
        <v>0.9085162</v>
      </c>
      <c r="N15" s="55">
        <v>0.36244520000000002</v>
      </c>
    </row>
    <row r="16" spans="1:14" hidden="1" x14ac:dyDescent="0.35">
      <c r="A16" s="52" t="s">
        <v>206</v>
      </c>
      <c r="B16" s="52" t="s">
        <v>37</v>
      </c>
      <c r="C16" s="52" t="s">
        <v>57</v>
      </c>
      <c r="D16" s="52" t="s">
        <v>57</v>
      </c>
      <c r="E16" s="52" t="s">
        <v>584</v>
      </c>
      <c r="F16" s="52" t="s">
        <v>26</v>
      </c>
      <c r="G16" s="55" t="s">
        <v>279</v>
      </c>
      <c r="H16" s="55">
        <v>5.601458</v>
      </c>
      <c r="I16" s="55">
        <v>4.0025019999999998</v>
      </c>
      <c r="J16" s="55">
        <v>3.092546</v>
      </c>
      <c r="K16" s="55">
        <v>2.2137250000000002</v>
      </c>
      <c r="L16" s="55">
        <v>1.53413</v>
      </c>
      <c r="M16" s="55">
        <v>1.0621579999999999</v>
      </c>
      <c r="N16" s="55">
        <v>0.75488719999999998</v>
      </c>
    </row>
    <row r="17" spans="1:14" hidden="1" x14ac:dyDescent="0.35">
      <c r="A17" s="52" t="s">
        <v>206</v>
      </c>
      <c r="B17" s="52" t="s">
        <v>37</v>
      </c>
      <c r="C17" s="52" t="s">
        <v>79</v>
      </c>
      <c r="D17" s="52" t="s">
        <v>79</v>
      </c>
      <c r="E17" s="52" t="s">
        <v>600</v>
      </c>
      <c r="F17" s="52" t="s">
        <v>581</v>
      </c>
      <c r="G17" s="55" t="s">
        <v>275</v>
      </c>
      <c r="H17" s="55">
        <v>-19.203240000000001</v>
      </c>
      <c r="I17" s="55">
        <v>298.31670000000003</v>
      </c>
      <c r="J17" s="55">
        <v>469.2672</v>
      </c>
      <c r="K17" s="55">
        <v>514.84659999999997</v>
      </c>
      <c r="L17" s="55">
        <v>410.2337</v>
      </c>
      <c r="M17" s="55">
        <v>253.1953</v>
      </c>
      <c r="N17" s="55">
        <v>181.0609</v>
      </c>
    </row>
    <row r="18" spans="1:14" hidden="1" x14ac:dyDescent="0.35">
      <c r="A18" s="52" t="s">
        <v>206</v>
      </c>
      <c r="B18" s="52" t="s">
        <v>37</v>
      </c>
      <c r="C18" s="52" t="s">
        <v>79</v>
      </c>
      <c r="D18" s="52" t="s">
        <v>79</v>
      </c>
      <c r="E18" s="52" t="s">
        <v>600</v>
      </c>
      <c r="F18" s="52" t="s">
        <v>581</v>
      </c>
      <c r="G18" s="55" t="s">
        <v>276</v>
      </c>
      <c r="H18" s="55">
        <v>79.168189999999996</v>
      </c>
      <c r="I18" s="55">
        <v>-65.602289999999996</v>
      </c>
      <c r="J18" s="55">
        <v>-87.686040000000006</v>
      </c>
      <c r="K18" s="55">
        <v>-125.08159999999999</v>
      </c>
      <c r="L18" s="55">
        <v>-97.310829999999996</v>
      </c>
      <c r="M18" s="55">
        <v>8.1393009999999997</v>
      </c>
      <c r="N18" s="55">
        <v>13.27406</v>
      </c>
    </row>
    <row r="19" spans="1:14" hidden="1" x14ac:dyDescent="0.35">
      <c r="A19" s="52" t="s">
        <v>206</v>
      </c>
      <c r="B19" s="52" t="s">
        <v>37</v>
      </c>
      <c r="C19" s="52" t="s">
        <v>79</v>
      </c>
      <c r="D19" s="52" t="s">
        <v>79</v>
      </c>
      <c r="E19" s="52" t="s">
        <v>600</v>
      </c>
      <c r="F19" s="52" t="s">
        <v>581</v>
      </c>
      <c r="G19" s="55" t="s">
        <v>277</v>
      </c>
      <c r="H19" s="55">
        <v>1668.2840000000001</v>
      </c>
      <c r="I19" s="55">
        <v>325.88510000000002</v>
      </c>
      <c r="J19" s="55">
        <v>297.54160000000002</v>
      </c>
      <c r="K19" s="55">
        <v>152.3811</v>
      </c>
      <c r="L19" s="55">
        <v>157.04079999999999</v>
      </c>
      <c r="M19" s="55">
        <v>53.496490000000001</v>
      </c>
      <c r="N19" s="55">
        <v>57.601089999999999</v>
      </c>
    </row>
    <row r="20" spans="1:14" hidden="1" x14ac:dyDescent="0.35">
      <c r="A20" s="52" t="s">
        <v>206</v>
      </c>
      <c r="B20" s="52" t="s">
        <v>37</v>
      </c>
      <c r="C20" s="52" t="s">
        <v>79</v>
      </c>
      <c r="D20" s="52" t="s">
        <v>79</v>
      </c>
      <c r="E20" s="52" t="s">
        <v>600</v>
      </c>
      <c r="F20" s="52" t="s">
        <v>581</v>
      </c>
      <c r="G20" s="55" t="s">
        <v>278</v>
      </c>
      <c r="H20" s="55">
        <v>205.64510000000001</v>
      </c>
      <c r="I20" s="55">
        <v>131.44820000000001</v>
      </c>
      <c r="J20" s="55">
        <v>25.45316</v>
      </c>
      <c r="K20" s="55">
        <v>22.82593</v>
      </c>
      <c r="L20" s="55">
        <v>15.275449999999999</v>
      </c>
      <c r="M20" s="55">
        <v>3.100279</v>
      </c>
      <c r="N20" s="55">
        <v>0</v>
      </c>
    </row>
    <row r="21" spans="1:14" hidden="1" x14ac:dyDescent="0.35">
      <c r="A21" s="52" t="s">
        <v>206</v>
      </c>
      <c r="B21" s="52" t="s">
        <v>37</v>
      </c>
      <c r="C21" s="52" t="s">
        <v>79</v>
      </c>
      <c r="D21" s="52" t="s">
        <v>79</v>
      </c>
      <c r="E21" s="52" t="s">
        <v>600</v>
      </c>
      <c r="F21" s="52" t="s">
        <v>581</v>
      </c>
      <c r="G21" s="55" t="s">
        <v>279</v>
      </c>
      <c r="H21" s="55">
        <v>897.83439999999996</v>
      </c>
      <c r="I21" s="55">
        <v>656.2056</v>
      </c>
      <c r="J21" s="55">
        <v>624.61850000000004</v>
      </c>
      <c r="K21" s="55">
        <v>525.57380000000001</v>
      </c>
      <c r="L21" s="55">
        <v>400.19380000000001</v>
      </c>
      <c r="M21" s="55">
        <v>338.23719999999997</v>
      </c>
      <c r="N21" s="55">
        <v>260.51650000000001</v>
      </c>
    </row>
    <row r="22" spans="1:14" hidden="1" x14ac:dyDescent="0.35">
      <c r="A22" s="52" t="s">
        <v>206</v>
      </c>
      <c r="B22" s="52" t="s">
        <v>37</v>
      </c>
      <c r="C22" s="52" t="s">
        <v>79</v>
      </c>
      <c r="D22" s="52" t="s">
        <v>79</v>
      </c>
      <c r="E22" s="52" t="s">
        <v>600</v>
      </c>
      <c r="F22" s="52" t="s">
        <v>26</v>
      </c>
      <c r="G22" s="55" t="s">
        <v>275</v>
      </c>
      <c r="H22" s="55">
        <v>3.209641</v>
      </c>
      <c r="I22" s="55">
        <v>-2.5179390000000001</v>
      </c>
      <c r="J22" s="55">
        <v>8.6382519999999996</v>
      </c>
      <c r="K22" s="55">
        <v>2.4728029999999999</v>
      </c>
      <c r="L22" s="55">
        <v>5.4493200000000002</v>
      </c>
      <c r="M22" s="55">
        <v>-4.2421449999999998</v>
      </c>
      <c r="N22" s="55">
        <v>-3.0094150000000002</v>
      </c>
    </row>
    <row r="23" spans="1:14" hidden="1" x14ac:dyDescent="0.35">
      <c r="A23" s="52" t="s">
        <v>206</v>
      </c>
      <c r="B23" s="52" t="s">
        <v>37</v>
      </c>
      <c r="C23" s="52" t="s">
        <v>79</v>
      </c>
      <c r="D23" s="52" t="s">
        <v>79</v>
      </c>
      <c r="E23" s="52" t="s">
        <v>600</v>
      </c>
      <c r="F23" s="52" t="s">
        <v>26</v>
      </c>
      <c r="G23" s="55" t="s">
        <v>276</v>
      </c>
      <c r="H23" s="55">
        <v>0.93043799999999999</v>
      </c>
      <c r="I23" s="55">
        <v>-0.72992500000000005</v>
      </c>
      <c r="J23" s="55">
        <v>2.5041380000000002</v>
      </c>
      <c r="K23" s="55">
        <v>0.71683580000000002</v>
      </c>
      <c r="L23" s="55">
        <v>1.5796969999999999</v>
      </c>
      <c r="M23" s="55">
        <v>-1.2297560000000001</v>
      </c>
      <c r="N23" s="55">
        <v>-0.87239520000000004</v>
      </c>
    </row>
    <row r="24" spans="1:14" hidden="1" x14ac:dyDescent="0.35">
      <c r="A24" s="52" t="s">
        <v>206</v>
      </c>
      <c r="B24" s="52" t="s">
        <v>37</v>
      </c>
      <c r="C24" s="52" t="s">
        <v>79</v>
      </c>
      <c r="D24" s="52" t="s">
        <v>79</v>
      </c>
      <c r="E24" s="52" t="s">
        <v>600</v>
      </c>
      <c r="F24" s="52" t="s">
        <v>26</v>
      </c>
      <c r="G24" s="55" t="s">
        <v>279</v>
      </c>
      <c r="H24" s="55">
        <v>218.68629999999999</v>
      </c>
      <c r="I24" s="55">
        <v>186.3974</v>
      </c>
      <c r="J24" s="55">
        <v>182.7413</v>
      </c>
      <c r="K24" s="55">
        <v>156.44229999999999</v>
      </c>
      <c r="L24" s="55">
        <v>122.1138</v>
      </c>
      <c r="M24" s="55">
        <v>101.0102</v>
      </c>
      <c r="N24" s="55">
        <v>77.873930000000001</v>
      </c>
    </row>
    <row r="25" spans="1:14" hidden="1" x14ac:dyDescent="0.35">
      <c r="A25" s="52" t="s">
        <v>206</v>
      </c>
      <c r="B25" s="52" t="s">
        <v>37</v>
      </c>
      <c r="C25" s="52" t="s">
        <v>79</v>
      </c>
      <c r="D25" s="52" t="s">
        <v>79</v>
      </c>
      <c r="E25" s="52" t="s">
        <v>601</v>
      </c>
      <c r="F25" s="52" t="s">
        <v>581</v>
      </c>
      <c r="G25" s="55" t="s">
        <v>275</v>
      </c>
      <c r="H25" s="55">
        <v>-42.965069999999997</v>
      </c>
      <c r="I25" s="55">
        <v>28.012270000000001</v>
      </c>
      <c r="J25" s="55">
        <v>29.679089999999999</v>
      </c>
      <c r="K25" s="55">
        <v>30.452089999999998</v>
      </c>
      <c r="L25" s="55">
        <v>23.82029</v>
      </c>
      <c r="M25" s="55">
        <v>3.5144259999999998</v>
      </c>
      <c r="N25" s="55">
        <v>-6.4479639999999998</v>
      </c>
    </row>
    <row r="26" spans="1:14" hidden="1" x14ac:dyDescent="0.35">
      <c r="A26" s="52" t="s">
        <v>206</v>
      </c>
      <c r="B26" s="52" t="s">
        <v>37</v>
      </c>
      <c r="C26" s="52" t="s">
        <v>79</v>
      </c>
      <c r="D26" s="52" t="s">
        <v>79</v>
      </c>
      <c r="E26" s="52" t="s">
        <v>601</v>
      </c>
      <c r="F26" s="52" t="s">
        <v>581</v>
      </c>
      <c r="G26" s="55" t="s">
        <v>276</v>
      </c>
      <c r="H26" s="55">
        <v>14.36199</v>
      </c>
      <c r="I26" s="55">
        <v>1.9344809999999999</v>
      </c>
      <c r="J26" s="55">
        <v>-1.3257760000000001</v>
      </c>
      <c r="K26" s="55">
        <v>-6.8765070000000001</v>
      </c>
      <c r="L26" s="55">
        <v>-7.8998790000000003</v>
      </c>
      <c r="M26" s="55">
        <v>3.1628259999999999</v>
      </c>
      <c r="N26" s="55">
        <v>5.4428799999999997</v>
      </c>
    </row>
    <row r="27" spans="1:14" hidden="1" x14ac:dyDescent="0.35">
      <c r="A27" s="52" t="s">
        <v>206</v>
      </c>
      <c r="B27" s="52" t="s">
        <v>37</v>
      </c>
      <c r="C27" s="52" t="s">
        <v>79</v>
      </c>
      <c r="D27" s="52" t="s">
        <v>79</v>
      </c>
      <c r="E27" s="52" t="s">
        <v>601</v>
      </c>
      <c r="F27" s="52" t="s">
        <v>581</v>
      </c>
      <c r="G27" s="55" t="s">
        <v>277</v>
      </c>
      <c r="H27" s="55">
        <v>55.55153</v>
      </c>
      <c r="I27" s="55">
        <v>3.2833939999999999</v>
      </c>
      <c r="J27" s="55">
        <v>8.1379909999999995</v>
      </c>
      <c r="K27" s="55">
        <v>3.7047219999999998</v>
      </c>
      <c r="L27" s="55">
        <v>5.7311649999999998</v>
      </c>
      <c r="M27" s="55">
        <v>11.207050000000001</v>
      </c>
      <c r="N27" s="55">
        <v>32.474510000000002</v>
      </c>
    </row>
    <row r="28" spans="1:14" hidden="1" x14ac:dyDescent="0.35">
      <c r="A28" s="52" t="s">
        <v>206</v>
      </c>
      <c r="B28" s="52" t="s">
        <v>37</v>
      </c>
      <c r="C28" s="52" t="s">
        <v>79</v>
      </c>
      <c r="D28" s="52" t="s">
        <v>79</v>
      </c>
      <c r="E28" s="52" t="s">
        <v>601</v>
      </c>
      <c r="F28" s="52" t="s">
        <v>581</v>
      </c>
      <c r="G28" s="55" t="s">
        <v>278</v>
      </c>
      <c r="H28" s="55">
        <v>94.891260000000003</v>
      </c>
      <c r="I28" s="55">
        <v>25.10416</v>
      </c>
      <c r="J28" s="55">
        <v>8.6941459999999999</v>
      </c>
      <c r="K28" s="55">
        <v>9.1910939999999997</v>
      </c>
      <c r="L28" s="55">
        <v>13.277839999999999</v>
      </c>
      <c r="M28" s="55">
        <v>21.826799999999999</v>
      </c>
      <c r="N28" s="55">
        <v>21.09686</v>
      </c>
    </row>
    <row r="29" spans="1:14" hidden="1" x14ac:dyDescent="0.35">
      <c r="A29" s="52" t="s">
        <v>206</v>
      </c>
      <c r="B29" s="52" t="s">
        <v>37</v>
      </c>
      <c r="C29" s="52" t="s">
        <v>79</v>
      </c>
      <c r="D29" s="52" t="s">
        <v>79</v>
      </c>
      <c r="E29" s="52" t="s">
        <v>601</v>
      </c>
      <c r="F29" s="52" t="s">
        <v>581</v>
      </c>
      <c r="G29" s="55" t="s">
        <v>279</v>
      </c>
      <c r="H29" s="55">
        <v>34.13335</v>
      </c>
      <c r="I29" s="55">
        <v>28.568200000000001</v>
      </c>
      <c r="J29" s="55">
        <v>20.975770000000001</v>
      </c>
      <c r="K29" s="55">
        <v>17.62115</v>
      </c>
      <c r="L29" s="55">
        <v>15.92902</v>
      </c>
      <c r="M29" s="55">
        <v>21.201499999999999</v>
      </c>
      <c r="N29" s="55">
        <v>27.437159999999999</v>
      </c>
    </row>
    <row r="30" spans="1:14" hidden="1" x14ac:dyDescent="0.35">
      <c r="A30" s="52" t="s">
        <v>206</v>
      </c>
      <c r="B30" s="52" t="s">
        <v>37</v>
      </c>
      <c r="C30" s="52" t="s">
        <v>79</v>
      </c>
      <c r="D30" s="52" t="s">
        <v>79</v>
      </c>
      <c r="E30" s="52" t="s">
        <v>601</v>
      </c>
      <c r="F30" s="52" t="s">
        <v>26</v>
      </c>
      <c r="G30" s="55" t="s">
        <v>275</v>
      </c>
      <c r="H30" s="55">
        <v>2.8932600000000002</v>
      </c>
      <c r="I30" s="55">
        <v>2.4369480000000001</v>
      </c>
      <c r="J30" s="55">
        <v>2.3749319999999998</v>
      </c>
      <c r="K30" s="55">
        <v>1.7116070000000001</v>
      </c>
      <c r="L30" s="55">
        <v>1.684034</v>
      </c>
      <c r="M30" s="55">
        <v>1.511128</v>
      </c>
      <c r="N30" s="55">
        <v>1.987387</v>
      </c>
    </row>
    <row r="31" spans="1:14" hidden="1" x14ac:dyDescent="0.35">
      <c r="A31" s="52" t="s">
        <v>206</v>
      </c>
      <c r="B31" s="52" t="s">
        <v>37</v>
      </c>
      <c r="C31" s="52" t="s">
        <v>79</v>
      </c>
      <c r="D31" s="52" t="s">
        <v>79</v>
      </c>
      <c r="E31" s="52" t="s">
        <v>601</v>
      </c>
      <c r="F31" s="52" t="s">
        <v>26</v>
      </c>
      <c r="G31" s="55" t="s">
        <v>276</v>
      </c>
      <c r="H31" s="55">
        <v>0.7690939</v>
      </c>
      <c r="I31" s="55">
        <v>0.64779549999999997</v>
      </c>
      <c r="J31" s="55">
        <v>0.63130949999999997</v>
      </c>
      <c r="K31" s="55">
        <v>0.4549858</v>
      </c>
      <c r="L31" s="55">
        <v>0.44765329999999998</v>
      </c>
      <c r="M31" s="55">
        <v>0.4016922</v>
      </c>
      <c r="N31" s="55">
        <v>0.52828810000000004</v>
      </c>
    </row>
    <row r="32" spans="1:14" hidden="1" x14ac:dyDescent="0.35">
      <c r="A32" s="52" t="s">
        <v>206</v>
      </c>
      <c r="B32" s="52" t="s">
        <v>37</v>
      </c>
      <c r="C32" s="52" t="s">
        <v>79</v>
      </c>
      <c r="D32" s="52" t="s">
        <v>79</v>
      </c>
      <c r="E32" s="52" t="s">
        <v>601</v>
      </c>
      <c r="F32" s="52" t="s">
        <v>26</v>
      </c>
      <c r="G32" s="55" t="s">
        <v>279</v>
      </c>
      <c r="H32" s="55">
        <v>10.28914</v>
      </c>
      <c r="I32" s="55">
        <v>9.905519</v>
      </c>
      <c r="J32" s="55">
        <v>7.3454540000000001</v>
      </c>
      <c r="K32" s="55">
        <v>6.1934769999999997</v>
      </c>
      <c r="L32" s="55">
        <v>5.7242879999999996</v>
      </c>
      <c r="M32" s="55">
        <v>7.54983</v>
      </c>
      <c r="N32" s="55">
        <v>9.7217979999999997</v>
      </c>
    </row>
    <row r="33" spans="1:14" hidden="1" x14ac:dyDescent="0.35">
      <c r="A33" s="52" t="s">
        <v>206</v>
      </c>
      <c r="B33" s="52" t="s">
        <v>37</v>
      </c>
      <c r="C33" s="52" t="s">
        <v>79</v>
      </c>
      <c r="D33" s="52" t="s">
        <v>79</v>
      </c>
      <c r="E33" s="52" t="s">
        <v>584</v>
      </c>
      <c r="F33" s="52" t="s">
        <v>581</v>
      </c>
      <c r="G33" s="55" t="s">
        <v>275</v>
      </c>
      <c r="H33" s="55">
        <v>39.073090000000001</v>
      </c>
      <c r="I33" s="55">
        <v>12.49818</v>
      </c>
      <c r="J33" s="55">
        <v>9.9946730000000006</v>
      </c>
      <c r="K33" s="55">
        <v>6.2191000000000001</v>
      </c>
      <c r="L33" s="55">
        <v>3.2177289999999998</v>
      </c>
      <c r="M33" s="55">
        <v>2.2163469999999998</v>
      </c>
      <c r="N33" s="55">
        <v>1.5263359999999999</v>
      </c>
    </row>
    <row r="34" spans="1:14" hidden="1" x14ac:dyDescent="0.35">
      <c r="A34" s="52" t="s">
        <v>206</v>
      </c>
      <c r="B34" s="52" t="s">
        <v>37</v>
      </c>
      <c r="C34" s="52" t="s">
        <v>79</v>
      </c>
      <c r="D34" s="52" t="s">
        <v>79</v>
      </c>
      <c r="E34" s="52" t="s">
        <v>584</v>
      </c>
      <c r="F34" s="52" t="s">
        <v>581</v>
      </c>
      <c r="G34" s="55" t="s">
        <v>276</v>
      </c>
      <c r="H34" s="55">
        <v>10.386520000000001</v>
      </c>
      <c r="I34" s="55">
        <v>0.97163690000000003</v>
      </c>
      <c r="J34" s="55">
        <v>-0.66849000000000003</v>
      </c>
      <c r="K34" s="55">
        <v>-6.8936349999999993E-2</v>
      </c>
      <c r="L34" s="55">
        <v>0.85534619999999995</v>
      </c>
      <c r="M34" s="55">
        <v>0.58915479999999998</v>
      </c>
      <c r="N34" s="55">
        <v>0.40573540000000002</v>
      </c>
    </row>
    <row r="35" spans="1:14" hidden="1" x14ac:dyDescent="0.35">
      <c r="A35" s="52" t="s">
        <v>206</v>
      </c>
      <c r="B35" s="52" t="s">
        <v>37</v>
      </c>
      <c r="C35" s="52" t="s">
        <v>79</v>
      </c>
      <c r="D35" s="52" t="s">
        <v>79</v>
      </c>
      <c r="E35" s="52" t="s">
        <v>584</v>
      </c>
      <c r="F35" s="52" t="s">
        <v>581</v>
      </c>
      <c r="G35" s="55" t="s">
        <v>277</v>
      </c>
      <c r="H35" s="55"/>
      <c r="I35" s="55">
        <v>0</v>
      </c>
      <c r="J35" s="55"/>
      <c r="K35" s="55"/>
      <c r="L35" s="55"/>
      <c r="M35" s="55"/>
      <c r="N35" s="55"/>
    </row>
    <row r="36" spans="1:14" hidden="1" x14ac:dyDescent="0.35">
      <c r="A36" s="52" t="s">
        <v>206</v>
      </c>
      <c r="B36" s="52" t="s">
        <v>37</v>
      </c>
      <c r="C36" s="52" t="s">
        <v>79</v>
      </c>
      <c r="D36" s="52" t="s">
        <v>79</v>
      </c>
      <c r="E36" s="52" t="s">
        <v>584</v>
      </c>
      <c r="F36" s="52" t="s">
        <v>581</v>
      </c>
      <c r="G36" s="55" t="s">
        <v>279</v>
      </c>
      <c r="H36" s="55">
        <v>17.21547</v>
      </c>
      <c r="I36" s="55">
        <v>8.8425030000000007</v>
      </c>
      <c r="J36" s="55">
        <v>5.8919290000000002</v>
      </c>
      <c r="K36" s="55">
        <v>4.3390979999999999</v>
      </c>
      <c r="L36" s="55">
        <v>3.144841</v>
      </c>
      <c r="M36" s="55">
        <v>2.161314</v>
      </c>
      <c r="N36" s="55">
        <v>1.485355</v>
      </c>
    </row>
    <row r="37" spans="1:14" hidden="1" x14ac:dyDescent="0.35">
      <c r="A37" s="52" t="s">
        <v>206</v>
      </c>
      <c r="B37" s="52" t="s">
        <v>37</v>
      </c>
      <c r="C37" s="52" t="s">
        <v>79</v>
      </c>
      <c r="D37" s="52" t="s">
        <v>79</v>
      </c>
      <c r="E37" s="52" t="s">
        <v>584</v>
      </c>
      <c r="F37" s="52" t="s">
        <v>26</v>
      </c>
      <c r="G37" s="55" t="s">
        <v>275</v>
      </c>
      <c r="H37" s="55">
        <v>-9.2464139999999997</v>
      </c>
      <c r="I37" s="55">
        <v>-9.1966239999999999</v>
      </c>
      <c r="J37" s="55">
        <v>-7.0035910000000001</v>
      </c>
      <c r="K37" s="55">
        <v>-5.4978860000000003</v>
      </c>
      <c r="L37" s="55">
        <v>-4.0180249999999997</v>
      </c>
      <c r="M37" s="55">
        <v>-3.552454</v>
      </c>
      <c r="N37" s="55">
        <v>-3.1837680000000002</v>
      </c>
    </row>
    <row r="38" spans="1:14" hidden="1" x14ac:dyDescent="0.35">
      <c r="A38" s="52" t="s">
        <v>206</v>
      </c>
      <c r="B38" s="52" t="s">
        <v>37</v>
      </c>
      <c r="C38" s="52" t="s">
        <v>79</v>
      </c>
      <c r="D38" s="52" t="s">
        <v>79</v>
      </c>
      <c r="E38" s="52" t="s">
        <v>584</v>
      </c>
      <c r="F38" s="52" t="s">
        <v>26</v>
      </c>
      <c r="G38" s="55" t="s">
        <v>276</v>
      </c>
      <c r="H38" s="55">
        <v>-3.6940089999999999</v>
      </c>
      <c r="I38" s="55">
        <v>-0.9428626</v>
      </c>
      <c r="J38" s="55">
        <v>-0.95683910000000005</v>
      </c>
      <c r="K38" s="55">
        <v>-1.381694</v>
      </c>
      <c r="L38" s="55">
        <v>-2.151081</v>
      </c>
      <c r="M38" s="55">
        <v>-1.728111</v>
      </c>
      <c r="N38" s="55">
        <v>-1.4619519999999999</v>
      </c>
    </row>
    <row r="39" spans="1:14" hidden="1" x14ac:dyDescent="0.35">
      <c r="A39" s="52" t="s">
        <v>206</v>
      </c>
      <c r="B39" s="52" t="s">
        <v>37</v>
      </c>
      <c r="C39" s="52" t="s">
        <v>79</v>
      </c>
      <c r="D39" s="52" t="s">
        <v>79</v>
      </c>
      <c r="E39" s="52" t="s">
        <v>584</v>
      </c>
      <c r="F39" s="52" t="s">
        <v>26</v>
      </c>
      <c r="G39" s="55" t="s">
        <v>277</v>
      </c>
      <c r="H39" s="55">
        <v>13.904400000000001</v>
      </c>
      <c r="I39" s="55">
        <v>10.779960000000001</v>
      </c>
      <c r="J39" s="55">
        <v>9.0848069999999996</v>
      </c>
      <c r="K39" s="55">
        <v>7.4927919999999997</v>
      </c>
      <c r="L39" s="55">
        <v>6.3583420000000004</v>
      </c>
      <c r="M39" s="55">
        <v>5.4670389999999998</v>
      </c>
      <c r="N39" s="55">
        <v>4.826295</v>
      </c>
    </row>
    <row r="40" spans="1:14" hidden="1" x14ac:dyDescent="0.35">
      <c r="A40" s="52" t="s">
        <v>206</v>
      </c>
      <c r="B40" s="52" t="s">
        <v>37</v>
      </c>
      <c r="C40" s="52" t="s">
        <v>79</v>
      </c>
      <c r="D40" s="52" t="s">
        <v>79</v>
      </c>
      <c r="E40" s="52" t="s">
        <v>584</v>
      </c>
      <c r="F40" s="52" t="s">
        <v>26</v>
      </c>
      <c r="G40" s="55" t="s">
        <v>279</v>
      </c>
      <c r="H40" s="55">
        <v>7.5550660000000001</v>
      </c>
      <c r="I40" s="55">
        <v>6.5006760000000003</v>
      </c>
      <c r="J40" s="55">
        <v>6.3547659999999997</v>
      </c>
      <c r="K40" s="55">
        <v>6.8878769999999996</v>
      </c>
      <c r="L40" s="55">
        <v>7.2810079999999999</v>
      </c>
      <c r="M40" s="55">
        <v>7.0847559999999996</v>
      </c>
      <c r="N40" s="55">
        <v>6.9242879999999998</v>
      </c>
    </row>
    <row r="41" spans="1:14" hidden="1" x14ac:dyDescent="0.35">
      <c r="A41" s="52" t="s">
        <v>206</v>
      </c>
      <c r="B41" s="52" t="s">
        <v>37</v>
      </c>
      <c r="C41" s="52" t="s">
        <v>51</v>
      </c>
      <c r="D41" s="52" t="s">
        <v>51</v>
      </c>
      <c r="E41" s="52" t="s">
        <v>602</v>
      </c>
      <c r="F41" s="52" t="s">
        <v>581</v>
      </c>
      <c r="G41" s="55" t="s">
        <v>275</v>
      </c>
      <c r="H41" s="55">
        <v>389.71839999999997</v>
      </c>
      <c r="I41" s="55">
        <v>133.30959999999999</v>
      </c>
      <c r="J41" s="55">
        <v>259.14729999999997</v>
      </c>
      <c r="K41" s="55">
        <v>249.5608</v>
      </c>
      <c r="L41" s="55">
        <v>219.56100000000001</v>
      </c>
      <c r="M41" s="55">
        <v>147.48589999999999</v>
      </c>
      <c r="N41" s="55">
        <v>148.0445</v>
      </c>
    </row>
    <row r="42" spans="1:14" hidden="1" x14ac:dyDescent="0.35">
      <c r="A42" s="52" t="s">
        <v>206</v>
      </c>
      <c r="B42" s="52" t="s">
        <v>37</v>
      </c>
      <c r="C42" s="52" t="s">
        <v>51</v>
      </c>
      <c r="D42" s="52" t="s">
        <v>51</v>
      </c>
      <c r="E42" s="52" t="s">
        <v>602</v>
      </c>
      <c r="F42" s="52" t="s">
        <v>581</v>
      </c>
      <c r="G42" s="55" t="s">
        <v>276</v>
      </c>
      <c r="H42" s="55">
        <v>106.434</v>
      </c>
      <c r="I42" s="55">
        <v>3.268859</v>
      </c>
      <c r="J42" s="55">
        <v>4.3575869999999997</v>
      </c>
      <c r="K42" s="55">
        <v>-3.5302690000000001</v>
      </c>
      <c r="L42" s="55">
        <v>6.5342320000000003</v>
      </c>
      <c r="M42" s="55">
        <v>28.656079999999999</v>
      </c>
      <c r="N42" s="55">
        <v>41.73601</v>
      </c>
    </row>
    <row r="43" spans="1:14" hidden="1" x14ac:dyDescent="0.35">
      <c r="A43" s="52" t="s">
        <v>206</v>
      </c>
      <c r="B43" s="52" t="s">
        <v>37</v>
      </c>
      <c r="C43" s="52" t="s">
        <v>51</v>
      </c>
      <c r="D43" s="52" t="s">
        <v>51</v>
      </c>
      <c r="E43" s="52" t="s">
        <v>602</v>
      </c>
      <c r="F43" s="52" t="s">
        <v>581</v>
      </c>
      <c r="G43" s="55" t="s">
        <v>277</v>
      </c>
      <c r="H43" s="55">
        <v>385.66309999999999</v>
      </c>
      <c r="I43" s="55">
        <v>43.654400000000003</v>
      </c>
      <c r="J43" s="55">
        <v>45.659329999999997</v>
      </c>
      <c r="K43" s="55">
        <v>21.58569</v>
      </c>
      <c r="L43" s="55">
        <v>34.072270000000003</v>
      </c>
      <c r="M43" s="55">
        <v>42.820189999999997</v>
      </c>
      <c r="N43" s="55">
        <v>60.453290000000003</v>
      </c>
    </row>
    <row r="44" spans="1:14" hidden="1" x14ac:dyDescent="0.35">
      <c r="A44" s="52" t="s">
        <v>206</v>
      </c>
      <c r="B44" s="52" t="s">
        <v>37</v>
      </c>
      <c r="C44" s="52" t="s">
        <v>51</v>
      </c>
      <c r="D44" s="52" t="s">
        <v>51</v>
      </c>
      <c r="E44" s="52" t="s">
        <v>602</v>
      </c>
      <c r="F44" s="52" t="s">
        <v>581</v>
      </c>
      <c r="G44" s="55" t="s">
        <v>278</v>
      </c>
      <c r="H44" s="55">
        <v>139.67590000000001</v>
      </c>
      <c r="I44" s="55">
        <v>142.2971</v>
      </c>
      <c r="J44" s="55">
        <v>27.89743</v>
      </c>
      <c r="K44" s="55">
        <v>30.927070000000001</v>
      </c>
      <c r="L44" s="55">
        <v>37.250070000000001</v>
      </c>
      <c r="M44" s="55">
        <v>34.863230000000001</v>
      </c>
      <c r="N44" s="55">
        <v>22.080829999999999</v>
      </c>
    </row>
    <row r="45" spans="1:14" hidden="1" x14ac:dyDescent="0.35">
      <c r="A45" s="52" t="s">
        <v>206</v>
      </c>
      <c r="B45" s="52" t="s">
        <v>37</v>
      </c>
      <c r="C45" s="52" t="s">
        <v>51</v>
      </c>
      <c r="D45" s="52" t="s">
        <v>51</v>
      </c>
      <c r="E45" s="52" t="s">
        <v>602</v>
      </c>
      <c r="F45" s="52" t="s">
        <v>581</v>
      </c>
      <c r="G45" s="55" t="s">
        <v>279</v>
      </c>
      <c r="H45" s="55">
        <v>469.3005</v>
      </c>
      <c r="I45" s="55">
        <v>390.5532</v>
      </c>
      <c r="J45" s="55">
        <v>376.80549999999999</v>
      </c>
      <c r="K45" s="55">
        <v>352.85739999999998</v>
      </c>
      <c r="L45" s="55">
        <v>307.0351</v>
      </c>
      <c r="M45" s="55">
        <v>346.36509999999998</v>
      </c>
      <c r="N45" s="55">
        <v>355.83150000000001</v>
      </c>
    </row>
    <row r="46" spans="1:14" hidden="1" x14ac:dyDescent="0.35">
      <c r="A46" s="52" t="s">
        <v>206</v>
      </c>
      <c r="B46" s="52" t="s">
        <v>37</v>
      </c>
      <c r="C46" s="52" t="s">
        <v>51</v>
      </c>
      <c r="D46" s="52" t="s">
        <v>51</v>
      </c>
      <c r="E46" s="52" t="s">
        <v>602</v>
      </c>
      <c r="F46" s="52" t="s">
        <v>26</v>
      </c>
      <c r="G46" s="55" t="s">
        <v>275</v>
      </c>
      <c r="H46" s="55">
        <v>-0.28475099999999998</v>
      </c>
      <c r="I46" s="55">
        <v>-2.3466710000000002</v>
      </c>
      <c r="J46" s="55">
        <v>2.3291629999999999</v>
      </c>
      <c r="K46" s="55">
        <v>1.2412370000000001E-2</v>
      </c>
      <c r="L46" s="55">
        <v>1.663235</v>
      </c>
      <c r="M46" s="55">
        <v>-4.1302830000000004</v>
      </c>
      <c r="N46" s="55">
        <v>-4.0620880000000001</v>
      </c>
    </row>
    <row r="47" spans="1:14" hidden="1" x14ac:dyDescent="0.35">
      <c r="A47" s="52" t="s">
        <v>206</v>
      </c>
      <c r="B47" s="52" t="s">
        <v>37</v>
      </c>
      <c r="C47" s="52" t="s">
        <v>51</v>
      </c>
      <c r="D47" s="52" t="s">
        <v>51</v>
      </c>
      <c r="E47" s="52" t="s">
        <v>602</v>
      </c>
      <c r="F47" s="52" t="s">
        <v>26</v>
      </c>
      <c r="G47" s="55" t="s">
        <v>276</v>
      </c>
      <c r="H47" s="55">
        <v>-7.5665999999999997E-2</v>
      </c>
      <c r="I47" s="55">
        <v>-0.62381580000000003</v>
      </c>
      <c r="J47" s="55">
        <v>0.61913940000000001</v>
      </c>
      <c r="K47" s="55">
        <v>3.3260289999999999E-3</v>
      </c>
      <c r="L47" s="55">
        <v>0.44214629999999999</v>
      </c>
      <c r="M47" s="55">
        <v>-1.0979220000000001</v>
      </c>
      <c r="N47" s="55">
        <v>-1.079817</v>
      </c>
    </row>
    <row r="48" spans="1:14" hidden="1" x14ac:dyDescent="0.35">
      <c r="A48" s="52" t="s">
        <v>206</v>
      </c>
      <c r="B48" s="52" t="s">
        <v>37</v>
      </c>
      <c r="C48" s="52" t="s">
        <v>51</v>
      </c>
      <c r="D48" s="52" t="s">
        <v>51</v>
      </c>
      <c r="E48" s="52" t="s">
        <v>602</v>
      </c>
      <c r="F48" s="52" t="s">
        <v>26</v>
      </c>
      <c r="G48" s="55" t="s">
        <v>279</v>
      </c>
      <c r="H48" s="55">
        <v>81.391149999999996</v>
      </c>
      <c r="I48" s="55">
        <v>71.251099999999994</v>
      </c>
      <c r="J48" s="55">
        <v>68.850719999999995</v>
      </c>
      <c r="K48" s="55">
        <v>65.174220000000005</v>
      </c>
      <c r="L48" s="55">
        <v>57.567079999999997</v>
      </c>
      <c r="M48" s="55">
        <v>63.757939999999998</v>
      </c>
      <c r="N48" s="55">
        <v>65.371920000000003</v>
      </c>
    </row>
    <row r="49" spans="1:14" hidden="1" x14ac:dyDescent="0.35">
      <c r="A49" s="52" t="s">
        <v>206</v>
      </c>
      <c r="B49" s="52" t="s">
        <v>37</v>
      </c>
      <c r="C49" s="52" t="s">
        <v>51</v>
      </c>
      <c r="D49" s="52" t="s">
        <v>51</v>
      </c>
      <c r="E49" s="52" t="s">
        <v>584</v>
      </c>
      <c r="F49" s="52" t="s">
        <v>581</v>
      </c>
      <c r="G49" s="55" t="s">
        <v>275</v>
      </c>
      <c r="H49" s="55">
        <v>-1.874576</v>
      </c>
      <c r="I49" s="55">
        <v>-3.6016789999999999</v>
      </c>
      <c r="J49" s="55">
        <v>-3.5540400000000001</v>
      </c>
      <c r="K49" s="55">
        <v>-3.4790770000000002</v>
      </c>
      <c r="L49" s="55">
        <v>-3.7800669999999998</v>
      </c>
      <c r="M49" s="55">
        <v>-3.4450690000000002</v>
      </c>
      <c r="N49" s="55">
        <v>-3.1628690000000002</v>
      </c>
    </row>
    <row r="50" spans="1:14" hidden="1" x14ac:dyDescent="0.35">
      <c r="A50" s="52" t="s">
        <v>206</v>
      </c>
      <c r="B50" s="52" t="s">
        <v>37</v>
      </c>
      <c r="C50" s="52" t="s">
        <v>51</v>
      </c>
      <c r="D50" s="52" t="s">
        <v>51</v>
      </c>
      <c r="E50" s="52" t="s">
        <v>584</v>
      </c>
      <c r="F50" s="52" t="s">
        <v>581</v>
      </c>
      <c r="G50" s="55" t="s">
        <v>276</v>
      </c>
      <c r="H50" s="55">
        <v>-2.075313</v>
      </c>
      <c r="I50" s="55">
        <v>-2.1670319999999998</v>
      </c>
      <c r="J50" s="55">
        <v>-1.931454</v>
      </c>
      <c r="K50" s="55">
        <v>-1.7659959999999999</v>
      </c>
      <c r="L50" s="55">
        <v>-1.187921</v>
      </c>
      <c r="M50" s="55">
        <v>-1.1212340000000001</v>
      </c>
      <c r="N50" s="55">
        <v>-1.0543979999999999</v>
      </c>
    </row>
    <row r="51" spans="1:14" hidden="1" x14ac:dyDescent="0.35">
      <c r="A51" s="52" t="s">
        <v>206</v>
      </c>
      <c r="B51" s="52" t="s">
        <v>37</v>
      </c>
      <c r="C51" s="52" t="s">
        <v>51</v>
      </c>
      <c r="D51" s="52" t="s">
        <v>51</v>
      </c>
      <c r="E51" s="52" t="s">
        <v>584</v>
      </c>
      <c r="F51" s="52" t="s">
        <v>581</v>
      </c>
      <c r="G51" s="55" t="s">
        <v>277</v>
      </c>
      <c r="H51" s="55">
        <v>6.8131870000000001</v>
      </c>
      <c r="I51" s="55">
        <v>6.5079510000000003</v>
      </c>
      <c r="J51" s="55">
        <v>6.2246319999999997</v>
      </c>
      <c r="K51" s="55">
        <v>5.9507050000000001</v>
      </c>
      <c r="L51" s="55">
        <v>5.6464790000000002</v>
      </c>
      <c r="M51" s="55">
        <v>5.2440959999999999</v>
      </c>
      <c r="N51" s="55">
        <v>4.8963619999999999</v>
      </c>
    </row>
    <row r="52" spans="1:14" hidden="1" x14ac:dyDescent="0.35">
      <c r="A52" s="52" t="s">
        <v>206</v>
      </c>
      <c r="B52" s="52" t="s">
        <v>37</v>
      </c>
      <c r="C52" s="52" t="s">
        <v>51</v>
      </c>
      <c r="D52" s="52" t="s">
        <v>51</v>
      </c>
      <c r="E52" s="52" t="s">
        <v>584</v>
      </c>
      <c r="F52" s="52" t="s">
        <v>581</v>
      </c>
      <c r="G52" s="55" t="s">
        <v>279</v>
      </c>
      <c r="H52" s="55">
        <v>1.5242370000000001</v>
      </c>
      <c r="I52" s="55">
        <v>1.206323</v>
      </c>
      <c r="J52" s="55">
        <v>1.153273</v>
      </c>
      <c r="K52" s="55">
        <v>1.17665</v>
      </c>
      <c r="L52" s="55">
        <v>1.180328</v>
      </c>
      <c r="M52" s="55">
        <v>1.1184460000000001</v>
      </c>
      <c r="N52" s="55">
        <v>1.065199</v>
      </c>
    </row>
    <row r="53" spans="1:14" hidden="1" x14ac:dyDescent="0.35">
      <c r="A53" s="52" t="s">
        <v>206</v>
      </c>
      <c r="B53" s="52" t="s">
        <v>37</v>
      </c>
      <c r="C53" s="52" t="s">
        <v>51</v>
      </c>
      <c r="D53" s="52" t="s">
        <v>51</v>
      </c>
      <c r="E53" s="52" t="s">
        <v>584</v>
      </c>
      <c r="F53" s="52" t="s">
        <v>26</v>
      </c>
      <c r="G53" s="55" t="s">
        <v>275</v>
      </c>
      <c r="H53" s="55">
        <v>0.19159399999999999</v>
      </c>
      <c r="I53" s="55">
        <v>0.1367958</v>
      </c>
      <c r="J53" s="55">
        <v>0.1723827</v>
      </c>
      <c r="K53" s="55">
        <v>0.14250940000000001</v>
      </c>
      <c r="L53" s="55">
        <v>0.1165346</v>
      </c>
      <c r="M53" s="55">
        <v>0.1115145</v>
      </c>
      <c r="N53" s="55">
        <v>0.1071037</v>
      </c>
    </row>
    <row r="54" spans="1:14" hidden="1" x14ac:dyDescent="0.35">
      <c r="A54" s="52" t="s">
        <v>206</v>
      </c>
      <c r="B54" s="52" t="s">
        <v>37</v>
      </c>
      <c r="C54" s="52" t="s">
        <v>51</v>
      </c>
      <c r="D54" s="52" t="s">
        <v>51</v>
      </c>
      <c r="E54" s="52" t="s">
        <v>584</v>
      </c>
      <c r="F54" s="52" t="s">
        <v>26</v>
      </c>
      <c r="G54" s="55" t="s">
        <v>276</v>
      </c>
      <c r="H54" s="55">
        <v>5.0930000000000003E-2</v>
      </c>
      <c r="I54" s="55">
        <v>3.6363399999999997E-2</v>
      </c>
      <c r="J54" s="55">
        <v>4.5823099999999999E-2</v>
      </c>
      <c r="K54" s="55">
        <v>3.7882100000000002E-2</v>
      </c>
      <c r="L54" s="55">
        <v>3.0977399999999999E-2</v>
      </c>
      <c r="M54" s="55">
        <v>2.96429E-2</v>
      </c>
      <c r="N54" s="55">
        <v>2.84704E-2</v>
      </c>
    </row>
    <row r="55" spans="1:14" hidden="1" x14ac:dyDescent="0.35">
      <c r="A55" s="52" t="s">
        <v>206</v>
      </c>
      <c r="B55" s="52" t="s">
        <v>37</v>
      </c>
      <c r="C55" s="52" t="s">
        <v>51</v>
      </c>
      <c r="D55" s="52" t="s">
        <v>51</v>
      </c>
      <c r="E55" s="52" t="s">
        <v>584</v>
      </c>
      <c r="F55" s="52" t="s">
        <v>26</v>
      </c>
      <c r="G55" s="55" t="s">
        <v>279</v>
      </c>
      <c r="H55" s="55">
        <v>0.67856300000000003</v>
      </c>
      <c r="I55" s="55">
        <v>0.59894809999999998</v>
      </c>
      <c r="J55" s="55">
        <v>0.59044560000000001</v>
      </c>
      <c r="K55" s="55">
        <v>0.63063270000000005</v>
      </c>
      <c r="L55" s="55">
        <v>0.66017749999999997</v>
      </c>
      <c r="M55" s="55">
        <v>0.64501540000000002</v>
      </c>
      <c r="N55" s="55">
        <v>0.63261009999999995</v>
      </c>
    </row>
    <row r="56" spans="1:14" hidden="1" x14ac:dyDescent="0.35">
      <c r="A56" s="52" t="s">
        <v>206</v>
      </c>
      <c r="B56" s="52" t="s">
        <v>37</v>
      </c>
      <c r="C56" s="52" t="s">
        <v>35</v>
      </c>
      <c r="D56" s="52" t="s">
        <v>38</v>
      </c>
      <c r="E56" s="52" t="s">
        <v>584</v>
      </c>
      <c r="F56" s="52" t="s">
        <v>581</v>
      </c>
      <c r="G56" s="55" t="s">
        <v>275</v>
      </c>
      <c r="H56" s="55">
        <v>77.776889999999995</v>
      </c>
      <c r="I56" s="55">
        <v>-36.156440000000003</v>
      </c>
      <c r="J56" s="55">
        <v>-25.608709999999999</v>
      </c>
      <c r="K56" s="55">
        <v>-18.562519999999999</v>
      </c>
      <c r="L56" s="55">
        <v>-18.27618</v>
      </c>
      <c r="M56" s="55">
        <v>-17.65485</v>
      </c>
      <c r="N56" s="55">
        <v>-15.94617</v>
      </c>
    </row>
    <row r="57" spans="1:14" hidden="1" x14ac:dyDescent="0.35">
      <c r="A57" s="52" t="s">
        <v>206</v>
      </c>
      <c r="B57" s="52" t="s">
        <v>37</v>
      </c>
      <c r="C57" s="52" t="s">
        <v>35</v>
      </c>
      <c r="D57" s="52" t="s">
        <v>38</v>
      </c>
      <c r="E57" s="52" t="s">
        <v>584</v>
      </c>
      <c r="F57" s="52" t="s">
        <v>581</v>
      </c>
      <c r="G57" s="55" t="s">
        <v>276</v>
      </c>
      <c r="H57" s="55">
        <v>25.101649999999999</v>
      </c>
      <c r="I57" s="55">
        <v>-7.1870770000000004</v>
      </c>
      <c r="J57" s="55">
        <v>-6.6304109999999996</v>
      </c>
      <c r="K57" s="55">
        <v>-15.103960000000001</v>
      </c>
      <c r="L57" s="55">
        <v>-15.01723</v>
      </c>
      <c r="M57" s="55">
        <v>-11.208640000000001</v>
      </c>
      <c r="N57" s="55">
        <v>-9.6999739999999992</v>
      </c>
    </row>
    <row r="58" spans="1:14" hidden="1" x14ac:dyDescent="0.35">
      <c r="A58" s="52" t="s">
        <v>206</v>
      </c>
      <c r="B58" s="52" t="s">
        <v>37</v>
      </c>
      <c r="C58" s="52" t="s">
        <v>35</v>
      </c>
      <c r="D58" s="52" t="s">
        <v>38</v>
      </c>
      <c r="E58" s="52" t="s">
        <v>584</v>
      </c>
      <c r="F58" s="52" t="s">
        <v>581</v>
      </c>
      <c r="G58" s="55" t="s">
        <v>277</v>
      </c>
      <c r="H58" s="55">
        <v>162.12280000000001</v>
      </c>
      <c r="I58" s="55">
        <v>120.185</v>
      </c>
      <c r="J58" s="55">
        <v>104.3746</v>
      </c>
      <c r="K58" s="55">
        <v>95.521910000000005</v>
      </c>
      <c r="L58" s="55">
        <v>86.423320000000004</v>
      </c>
      <c r="M58" s="55">
        <v>76.824060000000003</v>
      </c>
      <c r="N58" s="55">
        <v>69.178899999999999</v>
      </c>
    </row>
    <row r="59" spans="1:14" hidden="1" x14ac:dyDescent="0.35">
      <c r="A59" s="52" t="s">
        <v>206</v>
      </c>
      <c r="B59" s="52" t="s">
        <v>37</v>
      </c>
      <c r="C59" s="52" t="s">
        <v>35</v>
      </c>
      <c r="D59" s="52" t="s">
        <v>38</v>
      </c>
      <c r="E59" s="52" t="s">
        <v>584</v>
      </c>
      <c r="F59" s="52" t="s">
        <v>581</v>
      </c>
      <c r="G59" s="55" t="s">
        <v>279</v>
      </c>
      <c r="H59" s="55">
        <v>125.07980000000001</v>
      </c>
      <c r="I59" s="55">
        <v>85.866720000000001</v>
      </c>
      <c r="J59" s="55">
        <v>76.046570000000003</v>
      </c>
      <c r="K59" s="55">
        <v>74.846109999999996</v>
      </c>
      <c r="L59" s="55">
        <v>71.959789999999998</v>
      </c>
      <c r="M59" s="55">
        <v>64.123919999999998</v>
      </c>
      <c r="N59" s="55">
        <v>57.498980000000003</v>
      </c>
    </row>
    <row r="60" spans="1:14" hidden="1" x14ac:dyDescent="0.35">
      <c r="A60" s="52" t="s">
        <v>206</v>
      </c>
      <c r="B60" s="52" t="s">
        <v>37</v>
      </c>
      <c r="C60" s="52" t="s">
        <v>35</v>
      </c>
      <c r="D60" s="52" t="s">
        <v>38</v>
      </c>
      <c r="E60" s="52" t="s">
        <v>584</v>
      </c>
      <c r="F60" s="52" t="s">
        <v>26</v>
      </c>
      <c r="G60" s="55" t="s">
        <v>275</v>
      </c>
      <c r="H60" s="55">
        <v>-7.2385999999999999</v>
      </c>
      <c r="I60" s="55">
        <v>-7.209022</v>
      </c>
      <c r="J60" s="55">
        <v>-4.1193660000000003</v>
      </c>
      <c r="K60" s="55">
        <v>-7.8425440000000002</v>
      </c>
      <c r="L60" s="55">
        <v>-10.81476</v>
      </c>
      <c r="M60" s="55">
        <v>-10.47504</v>
      </c>
      <c r="N60" s="55">
        <v>-10.2089</v>
      </c>
    </row>
    <row r="61" spans="1:14" hidden="1" x14ac:dyDescent="0.35">
      <c r="A61" s="52" t="s">
        <v>206</v>
      </c>
      <c r="B61" s="52" t="s">
        <v>37</v>
      </c>
      <c r="C61" s="52" t="s">
        <v>35</v>
      </c>
      <c r="D61" s="52" t="s">
        <v>38</v>
      </c>
      <c r="E61" s="52" t="s">
        <v>584</v>
      </c>
      <c r="F61" s="52" t="s">
        <v>26</v>
      </c>
      <c r="G61" s="55" t="s">
        <v>276</v>
      </c>
      <c r="H61" s="55">
        <v>-1.924185</v>
      </c>
      <c r="I61" s="55">
        <v>-1.9163220000000001</v>
      </c>
      <c r="J61" s="55">
        <v>-1.095021</v>
      </c>
      <c r="K61" s="55">
        <v>-2.0847280000000001</v>
      </c>
      <c r="L61" s="55">
        <v>-2.8748079999999998</v>
      </c>
      <c r="M61" s="55">
        <v>-2.7845040000000001</v>
      </c>
      <c r="N61" s="55">
        <v>-2.7137609999999999</v>
      </c>
    </row>
    <row r="62" spans="1:14" hidden="1" x14ac:dyDescent="0.35">
      <c r="A62" s="52" t="s">
        <v>206</v>
      </c>
      <c r="B62" s="52" t="s">
        <v>37</v>
      </c>
      <c r="C62" s="52" t="s">
        <v>35</v>
      </c>
      <c r="D62" s="52" t="s">
        <v>38</v>
      </c>
      <c r="E62" s="52" t="s">
        <v>584</v>
      </c>
      <c r="F62" s="52" t="s">
        <v>26</v>
      </c>
      <c r="G62" s="55" t="s">
        <v>277</v>
      </c>
      <c r="H62" s="55"/>
      <c r="I62" s="55"/>
      <c r="J62" s="55"/>
      <c r="K62" s="55"/>
      <c r="L62" s="55">
        <v>0</v>
      </c>
      <c r="M62" s="55"/>
      <c r="N62" s="55">
        <v>0</v>
      </c>
    </row>
    <row r="63" spans="1:14" hidden="1" x14ac:dyDescent="0.35">
      <c r="A63" s="52" t="s">
        <v>206</v>
      </c>
      <c r="B63" s="52" t="s">
        <v>37</v>
      </c>
      <c r="C63" s="52" t="s">
        <v>35</v>
      </c>
      <c r="D63" s="52" t="s">
        <v>38</v>
      </c>
      <c r="E63" s="52" t="s">
        <v>584</v>
      </c>
      <c r="F63" s="52" t="s">
        <v>26</v>
      </c>
      <c r="G63" s="55" t="s">
        <v>279</v>
      </c>
      <c r="H63" s="55">
        <v>72.944760000000002</v>
      </c>
      <c r="I63" s="55">
        <v>62.311100000000003</v>
      </c>
      <c r="J63" s="55">
        <v>60.634279999999997</v>
      </c>
      <c r="K63" s="55">
        <v>65.292850000000001</v>
      </c>
      <c r="L63" s="55">
        <v>68.632019999999997</v>
      </c>
      <c r="M63" s="55">
        <v>66.758399999999995</v>
      </c>
      <c r="N63" s="55">
        <v>65.193899999999999</v>
      </c>
    </row>
    <row r="64" spans="1:14" hidden="1" x14ac:dyDescent="0.35">
      <c r="A64" s="52" t="s">
        <v>206</v>
      </c>
      <c r="B64" s="52" t="s">
        <v>37</v>
      </c>
      <c r="C64" s="52" t="s">
        <v>35</v>
      </c>
      <c r="D64" s="52" t="s">
        <v>38</v>
      </c>
      <c r="E64" s="52" t="s">
        <v>603</v>
      </c>
      <c r="F64" s="52" t="s">
        <v>581</v>
      </c>
      <c r="G64" s="55" t="s">
        <v>275</v>
      </c>
      <c r="H64" s="55">
        <v>48.563079999999999</v>
      </c>
      <c r="I64" s="55">
        <v>9.5250599999999999</v>
      </c>
      <c r="J64" s="55">
        <v>8.4692539999999994</v>
      </c>
      <c r="K64" s="55">
        <v>7.4735930000000002</v>
      </c>
      <c r="L64" s="55">
        <v>6.8568879999999996</v>
      </c>
      <c r="M64" s="55">
        <v>5.4069349999999998</v>
      </c>
      <c r="N64" s="55">
        <v>4.91031</v>
      </c>
    </row>
    <row r="65" spans="1:14" hidden="1" x14ac:dyDescent="0.35">
      <c r="A65" s="52" t="s">
        <v>206</v>
      </c>
      <c r="B65" s="52" t="s">
        <v>37</v>
      </c>
      <c r="C65" s="52" t="s">
        <v>35</v>
      </c>
      <c r="D65" s="52" t="s">
        <v>38</v>
      </c>
      <c r="E65" s="52" t="s">
        <v>603</v>
      </c>
      <c r="F65" s="52" t="s">
        <v>581</v>
      </c>
      <c r="G65" s="55" t="s">
        <v>276</v>
      </c>
      <c r="H65" s="55">
        <v>-3.5607449999999998</v>
      </c>
      <c r="I65" s="55">
        <v>1.9859869999999999</v>
      </c>
      <c r="J65" s="55">
        <v>2.0188809999999999</v>
      </c>
      <c r="K65" s="55">
        <v>1.6965889999999999</v>
      </c>
      <c r="L65" s="55">
        <v>1.8227169999999999</v>
      </c>
      <c r="M65" s="55">
        <v>1.4372860000000001</v>
      </c>
      <c r="N65" s="55">
        <v>1.3052710000000001</v>
      </c>
    </row>
    <row r="66" spans="1:14" hidden="1" x14ac:dyDescent="0.35">
      <c r="A66" s="52" t="s">
        <v>206</v>
      </c>
      <c r="B66" s="52" t="s">
        <v>37</v>
      </c>
      <c r="C66" s="52" t="s">
        <v>35</v>
      </c>
      <c r="D66" s="52" t="s">
        <v>38</v>
      </c>
      <c r="E66" s="52" t="s">
        <v>603</v>
      </c>
      <c r="F66" s="52" t="s">
        <v>581</v>
      </c>
      <c r="G66" s="55" t="s">
        <v>277</v>
      </c>
      <c r="H66" s="55">
        <v>0</v>
      </c>
      <c r="I66" s="55"/>
      <c r="J66" s="55"/>
      <c r="K66" s="55"/>
      <c r="L66" s="55"/>
      <c r="M66" s="55">
        <v>0</v>
      </c>
      <c r="N66" s="55">
        <v>0</v>
      </c>
    </row>
    <row r="67" spans="1:14" hidden="1" x14ac:dyDescent="0.35">
      <c r="A67" s="52" t="s">
        <v>206</v>
      </c>
      <c r="B67" s="52" t="s">
        <v>37</v>
      </c>
      <c r="C67" s="52" t="s">
        <v>35</v>
      </c>
      <c r="D67" s="52" t="s">
        <v>38</v>
      </c>
      <c r="E67" s="52" t="s">
        <v>603</v>
      </c>
      <c r="F67" s="52" t="s">
        <v>581</v>
      </c>
      <c r="G67" s="55" t="s">
        <v>278</v>
      </c>
      <c r="H67" s="55">
        <v>0</v>
      </c>
      <c r="I67" s="55"/>
      <c r="J67" s="55"/>
      <c r="K67" s="55"/>
      <c r="L67" s="55"/>
      <c r="M67" s="55"/>
      <c r="N67" s="55"/>
    </row>
    <row r="68" spans="1:14" hidden="1" x14ac:dyDescent="0.35">
      <c r="A68" s="52" t="s">
        <v>206</v>
      </c>
      <c r="B68" s="52" t="s">
        <v>37</v>
      </c>
      <c r="C68" s="52" t="s">
        <v>35</v>
      </c>
      <c r="D68" s="52" t="s">
        <v>38</v>
      </c>
      <c r="E68" s="52" t="s">
        <v>603</v>
      </c>
      <c r="F68" s="52" t="s">
        <v>581</v>
      </c>
      <c r="G68" s="55" t="s">
        <v>279</v>
      </c>
      <c r="H68" s="55">
        <v>21.3611</v>
      </c>
      <c r="I68" s="55">
        <v>13.43017</v>
      </c>
      <c r="J68" s="55">
        <v>11.22747</v>
      </c>
      <c r="K68" s="55">
        <v>10.374129999999999</v>
      </c>
      <c r="L68" s="55">
        <v>9.0259300000000007</v>
      </c>
      <c r="M68" s="55">
        <v>9.2875399999999999</v>
      </c>
      <c r="N68" s="55">
        <v>8.3577200000000005</v>
      </c>
    </row>
    <row r="69" spans="1:14" hidden="1" x14ac:dyDescent="0.35">
      <c r="A69" s="52" t="s">
        <v>206</v>
      </c>
      <c r="B69" s="52" t="s">
        <v>37</v>
      </c>
      <c r="C69" s="52" t="s">
        <v>35</v>
      </c>
      <c r="D69" s="52" t="s">
        <v>38</v>
      </c>
      <c r="E69" s="52" t="s">
        <v>603</v>
      </c>
      <c r="F69" s="52" t="s">
        <v>26</v>
      </c>
      <c r="G69" s="55" t="s">
        <v>275</v>
      </c>
      <c r="H69" s="55">
        <v>1.244494</v>
      </c>
      <c r="I69" s="55">
        <v>0.60607420000000001</v>
      </c>
      <c r="J69" s="55">
        <v>0.84641599999999995</v>
      </c>
      <c r="K69" s="55">
        <v>0.62403569999999997</v>
      </c>
      <c r="L69" s="55">
        <v>0.61362899999999998</v>
      </c>
      <c r="M69" s="55">
        <v>0.2681482</v>
      </c>
      <c r="N69" s="55">
        <v>0.23995559999999999</v>
      </c>
    </row>
    <row r="70" spans="1:14" hidden="1" x14ac:dyDescent="0.35">
      <c r="A70" s="52" t="s">
        <v>206</v>
      </c>
      <c r="B70" s="52" t="s">
        <v>37</v>
      </c>
      <c r="C70" s="52" t="s">
        <v>35</v>
      </c>
      <c r="D70" s="52" t="s">
        <v>38</v>
      </c>
      <c r="E70" s="52" t="s">
        <v>603</v>
      </c>
      <c r="F70" s="52" t="s">
        <v>26</v>
      </c>
      <c r="G70" s="55" t="s">
        <v>276</v>
      </c>
      <c r="H70" s="55">
        <v>0.33081300000000002</v>
      </c>
      <c r="I70" s="55">
        <v>0.16110869999999999</v>
      </c>
      <c r="J70" s="55">
        <v>0.22499669999999999</v>
      </c>
      <c r="K70" s="55">
        <v>0.16588259999999999</v>
      </c>
      <c r="L70" s="55">
        <v>0.16311639999999999</v>
      </c>
      <c r="M70" s="55">
        <v>7.1279899999999993E-2</v>
      </c>
      <c r="N70" s="55">
        <v>6.3786099999999998E-2</v>
      </c>
    </row>
    <row r="71" spans="1:14" hidden="1" x14ac:dyDescent="0.35">
      <c r="A71" s="52" t="s">
        <v>206</v>
      </c>
      <c r="B71" s="52" t="s">
        <v>37</v>
      </c>
      <c r="C71" s="52" t="s">
        <v>35</v>
      </c>
      <c r="D71" s="52" t="s">
        <v>38</v>
      </c>
      <c r="E71" s="52" t="s">
        <v>603</v>
      </c>
      <c r="F71" s="52" t="s">
        <v>26</v>
      </c>
      <c r="G71" s="55" t="s">
        <v>279</v>
      </c>
      <c r="H71" s="55">
        <v>8.1949660000000009</v>
      </c>
      <c r="I71" s="55">
        <v>5.2192920000000003</v>
      </c>
      <c r="J71" s="55">
        <v>4.3929220000000004</v>
      </c>
      <c r="K71" s="55">
        <v>4.1048109999999998</v>
      </c>
      <c r="L71" s="55">
        <v>3.6399530000000002</v>
      </c>
      <c r="M71" s="55">
        <v>3.6666310000000002</v>
      </c>
      <c r="N71" s="55">
        <v>3.2976350000000001</v>
      </c>
    </row>
    <row r="72" spans="1:14" hidden="1" x14ac:dyDescent="0.35">
      <c r="A72" s="52" t="s">
        <v>206</v>
      </c>
      <c r="B72" s="52" t="s">
        <v>37</v>
      </c>
      <c r="C72" s="52" t="s">
        <v>35</v>
      </c>
      <c r="D72" s="52" t="s">
        <v>38</v>
      </c>
      <c r="E72" s="52" t="s">
        <v>586</v>
      </c>
      <c r="F72" s="52" t="s">
        <v>581</v>
      </c>
      <c r="G72" s="55" t="s">
        <v>275</v>
      </c>
      <c r="H72" s="55">
        <v>17.002140000000001</v>
      </c>
      <c r="I72" s="55">
        <v>-0.47938229999999998</v>
      </c>
      <c r="J72" s="55">
        <v>3.2030949999999998</v>
      </c>
      <c r="K72" s="55">
        <v>7.0282489999999997</v>
      </c>
      <c r="L72" s="55">
        <v>3.7470970000000001</v>
      </c>
      <c r="M72" s="55">
        <v>2.7862490000000002</v>
      </c>
      <c r="N72" s="55">
        <v>1.0778179999999999</v>
      </c>
    </row>
    <row r="73" spans="1:14" hidden="1" x14ac:dyDescent="0.35">
      <c r="A73" s="52" t="s">
        <v>206</v>
      </c>
      <c r="B73" s="52" t="s">
        <v>37</v>
      </c>
      <c r="C73" s="52" t="s">
        <v>35</v>
      </c>
      <c r="D73" s="52" t="s">
        <v>38</v>
      </c>
      <c r="E73" s="52" t="s">
        <v>586</v>
      </c>
      <c r="F73" s="52" t="s">
        <v>581</v>
      </c>
      <c r="G73" s="55" t="s">
        <v>276</v>
      </c>
      <c r="H73" s="55">
        <v>0.60669799999999996</v>
      </c>
      <c r="I73" s="55">
        <v>-1.100374</v>
      </c>
      <c r="J73" s="55">
        <v>-0.82007220000000003</v>
      </c>
      <c r="K73" s="55">
        <v>-2.3285070000000001</v>
      </c>
      <c r="L73" s="55">
        <v>-0.15285209999999999</v>
      </c>
      <c r="M73" s="55">
        <v>-2.1271959999999999E-2</v>
      </c>
      <c r="N73" s="55">
        <v>0.2597042</v>
      </c>
    </row>
    <row r="74" spans="1:14" hidden="1" x14ac:dyDescent="0.35">
      <c r="A74" s="52" t="s">
        <v>206</v>
      </c>
      <c r="B74" s="52" t="s">
        <v>37</v>
      </c>
      <c r="C74" s="52" t="s">
        <v>35</v>
      </c>
      <c r="D74" s="52" t="s">
        <v>38</v>
      </c>
      <c r="E74" s="52" t="s">
        <v>586</v>
      </c>
      <c r="F74" s="52" t="s">
        <v>581</v>
      </c>
      <c r="G74" s="55" t="s">
        <v>277</v>
      </c>
      <c r="H74" s="55">
        <v>9.0701230000000006</v>
      </c>
      <c r="I74" s="55">
        <v>2.822927</v>
      </c>
      <c r="J74" s="55">
        <v>4.3896660000000001</v>
      </c>
      <c r="K74" s="55">
        <v>1.3685989999999999</v>
      </c>
      <c r="L74" s="55">
        <v>2.369367</v>
      </c>
      <c r="M74" s="55">
        <v>2.5036019999999999</v>
      </c>
      <c r="N74" s="55">
        <v>3.6233059999999999</v>
      </c>
    </row>
    <row r="75" spans="1:14" hidden="1" x14ac:dyDescent="0.35">
      <c r="A75" s="52" t="s">
        <v>206</v>
      </c>
      <c r="B75" s="52" t="s">
        <v>37</v>
      </c>
      <c r="C75" s="52" t="s">
        <v>35</v>
      </c>
      <c r="D75" s="52" t="s">
        <v>38</v>
      </c>
      <c r="E75" s="52" t="s">
        <v>586</v>
      </c>
      <c r="F75" s="52" t="s">
        <v>581</v>
      </c>
      <c r="G75" s="55" t="s">
        <v>278</v>
      </c>
      <c r="H75" s="55">
        <v>3.8663310000000002</v>
      </c>
      <c r="I75" s="55">
        <v>7.0588980000000001</v>
      </c>
      <c r="J75" s="55">
        <v>2.1042860000000001</v>
      </c>
      <c r="K75" s="55">
        <v>2.0963029999999998</v>
      </c>
      <c r="L75" s="55">
        <v>1.8483350000000001</v>
      </c>
      <c r="M75" s="55">
        <v>1.2022040000000001</v>
      </c>
      <c r="N75" s="55">
        <v>1.4350480000000001</v>
      </c>
    </row>
    <row r="76" spans="1:14" hidden="1" x14ac:dyDescent="0.35">
      <c r="A76" s="52" t="s">
        <v>206</v>
      </c>
      <c r="B76" s="52" t="s">
        <v>37</v>
      </c>
      <c r="C76" s="52" t="s">
        <v>35</v>
      </c>
      <c r="D76" s="52" t="s">
        <v>38</v>
      </c>
      <c r="E76" s="52" t="s">
        <v>586</v>
      </c>
      <c r="F76" s="52" t="s">
        <v>581</v>
      </c>
      <c r="G76" s="55" t="s">
        <v>279</v>
      </c>
      <c r="H76" s="55">
        <v>12.798690000000001</v>
      </c>
      <c r="I76" s="55">
        <v>8.3658339999999995</v>
      </c>
      <c r="J76" s="55">
        <v>8.1516169999999999</v>
      </c>
      <c r="K76" s="55">
        <v>7.8468999999999998</v>
      </c>
      <c r="L76" s="55">
        <v>6.5446429999999998</v>
      </c>
      <c r="M76" s="55">
        <v>6.8415169999999996</v>
      </c>
      <c r="N76" s="55">
        <v>6.3857569999999999</v>
      </c>
    </row>
    <row r="77" spans="1:14" hidden="1" x14ac:dyDescent="0.35">
      <c r="A77" s="52" t="s">
        <v>206</v>
      </c>
      <c r="B77" s="52" t="s">
        <v>37</v>
      </c>
      <c r="C77" s="52" t="s">
        <v>35</v>
      </c>
      <c r="D77" s="52" t="s">
        <v>38</v>
      </c>
      <c r="E77" s="52" t="s">
        <v>586</v>
      </c>
      <c r="F77" s="52" t="s">
        <v>26</v>
      </c>
      <c r="G77" s="55" t="s">
        <v>275</v>
      </c>
      <c r="H77" s="55">
        <v>0.43459799999999998</v>
      </c>
      <c r="I77" s="55">
        <v>0.16993620000000001</v>
      </c>
      <c r="J77" s="55">
        <v>0.39224249999999999</v>
      </c>
      <c r="K77" s="55">
        <v>0.26744639999999997</v>
      </c>
      <c r="L77" s="55">
        <v>0.32411279999999998</v>
      </c>
      <c r="M77" s="55">
        <v>6.289981E-2</v>
      </c>
      <c r="N77" s="55">
        <v>7.4758199999999997E-2</v>
      </c>
    </row>
    <row r="78" spans="1:14" hidden="1" x14ac:dyDescent="0.35">
      <c r="A78" s="52" t="s">
        <v>206</v>
      </c>
      <c r="B78" s="52" t="s">
        <v>37</v>
      </c>
      <c r="C78" s="52" t="s">
        <v>35</v>
      </c>
      <c r="D78" s="52" t="s">
        <v>38</v>
      </c>
      <c r="E78" s="52" t="s">
        <v>586</v>
      </c>
      <c r="F78" s="52" t="s">
        <v>26</v>
      </c>
      <c r="G78" s="55" t="s">
        <v>276</v>
      </c>
      <c r="H78" s="55">
        <v>0.115526</v>
      </c>
      <c r="I78" s="55">
        <v>4.5172400000000001E-2</v>
      </c>
      <c r="J78" s="55">
        <v>0.1042666</v>
      </c>
      <c r="K78" s="55">
        <v>7.1094299999999999E-2</v>
      </c>
      <c r="L78" s="55">
        <v>8.6156700000000003E-2</v>
      </c>
      <c r="M78" s="55">
        <v>1.6719399999999999E-2</v>
      </c>
      <c r="N78" s="55">
        <v>1.9872299999999999E-2</v>
      </c>
    </row>
    <row r="79" spans="1:14" hidden="1" x14ac:dyDescent="0.35">
      <c r="A79" s="52" t="s">
        <v>206</v>
      </c>
      <c r="B79" s="52" t="s">
        <v>37</v>
      </c>
      <c r="C79" s="52" t="s">
        <v>35</v>
      </c>
      <c r="D79" s="52" t="s">
        <v>38</v>
      </c>
      <c r="E79" s="52" t="s">
        <v>586</v>
      </c>
      <c r="F79" s="52" t="s">
        <v>26</v>
      </c>
      <c r="G79" s="55" t="s">
        <v>279</v>
      </c>
      <c r="H79" s="55">
        <v>5.2879230000000002</v>
      </c>
      <c r="I79" s="55">
        <v>3.3325459999999998</v>
      </c>
      <c r="J79" s="55">
        <v>3.2784900000000001</v>
      </c>
      <c r="K79" s="55">
        <v>3.186801</v>
      </c>
      <c r="L79" s="55">
        <v>2.7204030000000001</v>
      </c>
      <c r="M79" s="55">
        <v>2.7546210000000002</v>
      </c>
      <c r="N79" s="55">
        <v>2.558697</v>
      </c>
    </row>
    <row r="80" spans="1:14" hidden="1" x14ac:dyDescent="0.35">
      <c r="A80" s="52" t="s">
        <v>206</v>
      </c>
      <c r="B80" s="52" t="s">
        <v>37</v>
      </c>
      <c r="C80" s="52" t="s">
        <v>35</v>
      </c>
      <c r="D80" s="52" t="s">
        <v>129</v>
      </c>
      <c r="E80" s="52" t="s">
        <v>582</v>
      </c>
      <c r="F80" s="52" t="s">
        <v>581</v>
      </c>
      <c r="G80" s="55" t="s">
        <v>275</v>
      </c>
      <c r="H80" s="55">
        <v>-30.427990000000001</v>
      </c>
      <c r="I80" s="55">
        <v>-6.7959170000000002</v>
      </c>
      <c r="J80" s="55">
        <v>58.384889999999999</v>
      </c>
      <c r="K80" s="55">
        <v>73.857650000000007</v>
      </c>
      <c r="L80" s="55">
        <v>73.242900000000006</v>
      </c>
      <c r="M80" s="55">
        <v>52.376690000000004</v>
      </c>
      <c r="N80" s="55">
        <v>38.89978</v>
      </c>
    </row>
    <row r="81" spans="1:14" hidden="1" x14ac:dyDescent="0.35">
      <c r="A81" s="52" t="s">
        <v>206</v>
      </c>
      <c r="B81" s="52" t="s">
        <v>37</v>
      </c>
      <c r="C81" s="52" t="s">
        <v>35</v>
      </c>
      <c r="D81" s="52" t="s">
        <v>129</v>
      </c>
      <c r="E81" s="52" t="s">
        <v>582</v>
      </c>
      <c r="F81" s="52" t="s">
        <v>581</v>
      </c>
      <c r="G81" s="55" t="s">
        <v>276</v>
      </c>
      <c r="H81" s="55">
        <v>26.285049999999998</v>
      </c>
      <c r="I81" s="55">
        <v>-3.7565750000000002</v>
      </c>
      <c r="J81" s="55">
        <v>-3.0940789999999998</v>
      </c>
      <c r="K81" s="55">
        <v>-20.565860000000001</v>
      </c>
      <c r="L81" s="55">
        <v>-11.568049999999999</v>
      </c>
      <c r="M81" s="55">
        <v>0.82139169999999995</v>
      </c>
      <c r="N81" s="55">
        <v>5.3460850000000004</v>
      </c>
    </row>
    <row r="82" spans="1:14" hidden="1" x14ac:dyDescent="0.35">
      <c r="A82" s="52" t="s">
        <v>206</v>
      </c>
      <c r="B82" s="52" t="s">
        <v>37</v>
      </c>
      <c r="C82" s="52" t="s">
        <v>35</v>
      </c>
      <c r="D82" s="52" t="s">
        <v>129</v>
      </c>
      <c r="E82" s="52" t="s">
        <v>582</v>
      </c>
      <c r="F82" s="52" t="s">
        <v>581</v>
      </c>
      <c r="G82" s="55" t="s">
        <v>277</v>
      </c>
      <c r="H82" s="55">
        <v>143.47139999999999</v>
      </c>
      <c r="I82" s="55">
        <v>13.64081</v>
      </c>
      <c r="J82" s="55">
        <v>20.042390000000001</v>
      </c>
      <c r="K82" s="55">
        <v>7.2260580000000001</v>
      </c>
      <c r="L82" s="55">
        <v>6.4987690000000002</v>
      </c>
      <c r="M82" s="55">
        <v>0</v>
      </c>
      <c r="N82" s="55">
        <v>0</v>
      </c>
    </row>
    <row r="83" spans="1:14" hidden="1" x14ac:dyDescent="0.35">
      <c r="A83" s="52" t="s">
        <v>206</v>
      </c>
      <c r="B83" s="52" t="s">
        <v>37</v>
      </c>
      <c r="C83" s="52" t="s">
        <v>35</v>
      </c>
      <c r="D83" s="52" t="s">
        <v>129</v>
      </c>
      <c r="E83" s="52" t="s">
        <v>582</v>
      </c>
      <c r="F83" s="52" t="s">
        <v>581</v>
      </c>
      <c r="G83" s="55" t="s">
        <v>278</v>
      </c>
      <c r="H83" s="55">
        <v>126.83280000000001</v>
      </c>
      <c r="I83" s="55">
        <v>84.809020000000004</v>
      </c>
      <c r="J83" s="55">
        <v>15.41596</v>
      </c>
      <c r="K83" s="55">
        <v>15.37128</v>
      </c>
      <c r="L83" s="55">
        <v>8.7403449999999996</v>
      </c>
      <c r="M83" s="55">
        <v>0</v>
      </c>
      <c r="N83" s="55">
        <v>0</v>
      </c>
    </row>
    <row r="84" spans="1:14" hidden="1" x14ac:dyDescent="0.35">
      <c r="A84" s="52" t="s">
        <v>206</v>
      </c>
      <c r="B84" s="52" t="s">
        <v>37</v>
      </c>
      <c r="C84" s="52" t="s">
        <v>35</v>
      </c>
      <c r="D84" s="52" t="s">
        <v>129</v>
      </c>
      <c r="E84" s="52" t="s">
        <v>582</v>
      </c>
      <c r="F84" s="52" t="s">
        <v>581</v>
      </c>
      <c r="G84" s="55" t="s">
        <v>279</v>
      </c>
      <c r="H84" s="55">
        <v>143.07679999999999</v>
      </c>
      <c r="I84" s="55">
        <v>137.3083</v>
      </c>
      <c r="J84" s="55">
        <v>126.9455</v>
      </c>
      <c r="K84" s="55">
        <v>112.8537</v>
      </c>
      <c r="L84" s="55">
        <v>96.802949999999996</v>
      </c>
      <c r="M84" s="55">
        <v>95.391459999999995</v>
      </c>
      <c r="N84" s="55">
        <v>79.118390000000005</v>
      </c>
    </row>
    <row r="85" spans="1:14" hidden="1" x14ac:dyDescent="0.35">
      <c r="A85" s="52" t="s">
        <v>206</v>
      </c>
      <c r="B85" s="52" t="s">
        <v>37</v>
      </c>
      <c r="C85" s="52" t="s">
        <v>35</v>
      </c>
      <c r="D85" s="52" t="s">
        <v>129</v>
      </c>
      <c r="E85" s="52" t="s">
        <v>582</v>
      </c>
      <c r="F85" s="52" t="s">
        <v>26</v>
      </c>
      <c r="G85" s="55" t="s">
        <v>275</v>
      </c>
      <c r="H85" s="55">
        <v>-3.764662</v>
      </c>
      <c r="I85" s="55">
        <v>-4.6152030000000002</v>
      </c>
      <c r="J85" s="55">
        <v>-1.729741</v>
      </c>
      <c r="K85" s="55">
        <v>-2.6652079999999998</v>
      </c>
      <c r="L85" s="55">
        <v>-1.2730189999999999</v>
      </c>
      <c r="M85" s="55">
        <v>-4.1555799999999996</v>
      </c>
      <c r="N85" s="55">
        <v>-3.4676279999999999</v>
      </c>
    </row>
    <row r="86" spans="1:14" hidden="1" x14ac:dyDescent="0.35">
      <c r="A86" s="52" t="s">
        <v>206</v>
      </c>
      <c r="B86" s="52" t="s">
        <v>37</v>
      </c>
      <c r="C86" s="52" t="s">
        <v>35</v>
      </c>
      <c r="D86" s="52" t="s">
        <v>129</v>
      </c>
      <c r="E86" s="52" t="s">
        <v>582</v>
      </c>
      <c r="F86" s="52" t="s">
        <v>26</v>
      </c>
      <c r="G86" s="55" t="s">
        <v>276</v>
      </c>
      <c r="H86" s="55">
        <v>-1.0007360000000001</v>
      </c>
      <c r="I86" s="55">
        <v>-1.2268300000000001</v>
      </c>
      <c r="J86" s="55">
        <v>-0.45980929999999998</v>
      </c>
      <c r="K86" s="55">
        <v>-0.70847740000000003</v>
      </c>
      <c r="L86" s="55">
        <v>-0.33839950000000002</v>
      </c>
      <c r="M86" s="55">
        <v>-1.1046530000000001</v>
      </c>
      <c r="N86" s="55">
        <v>-0.9217746</v>
      </c>
    </row>
    <row r="87" spans="1:14" hidden="1" x14ac:dyDescent="0.35">
      <c r="A87" s="52" t="s">
        <v>206</v>
      </c>
      <c r="B87" s="52" t="s">
        <v>37</v>
      </c>
      <c r="C87" s="52" t="s">
        <v>35</v>
      </c>
      <c r="D87" s="52" t="s">
        <v>129</v>
      </c>
      <c r="E87" s="52" t="s">
        <v>582</v>
      </c>
      <c r="F87" s="52" t="s">
        <v>26</v>
      </c>
      <c r="G87" s="55" t="s">
        <v>279</v>
      </c>
      <c r="H87" s="55">
        <v>52.246519999999997</v>
      </c>
      <c r="I87" s="55">
        <v>47.197929999999999</v>
      </c>
      <c r="J87" s="55">
        <v>43.954929999999997</v>
      </c>
      <c r="K87" s="55">
        <v>39.414070000000002</v>
      </c>
      <c r="L87" s="55">
        <v>34.436450000000001</v>
      </c>
      <c r="M87" s="55">
        <v>33.154910000000001</v>
      </c>
      <c r="N87" s="55">
        <v>27.491669999999999</v>
      </c>
    </row>
    <row r="88" spans="1:14" hidden="1" x14ac:dyDescent="0.35">
      <c r="A88" s="52" t="s">
        <v>206</v>
      </c>
      <c r="B88" s="52" t="s">
        <v>37</v>
      </c>
      <c r="C88" s="52" t="s">
        <v>35</v>
      </c>
      <c r="D88" s="52" t="s">
        <v>39</v>
      </c>
      <c r="E88" s="52" t="s">
        <v>582</v>
      </c>
      <c r="F88" s="52" t="s">
        <v>581</v>
      </c>
      <c r="G88" s="55" t="s">
        <v>275</v>
      </c>
      <c r="H88" s="55">
        <v>-74.178520000000006</v>
      </c>
      <c r="I88" s="55">
        <v>-19.420850000000002</v>
      </c>
      <c r="J88" s="55">
        <v>19.54297</v>
      </c>
      <c r="K88" s="55">
        <v>19.606839999999998</v>
      </c>
      <c r="L88" s="55">
        <v>35.030250000000002</v>
      </c>
      <c r="M88" s="55">
        <v>28.783740000000002</v>
      </c>
      <c r="N88" s="55">
        <v>21.041920000000001</v>
      </c>
    </row>
    <row r="89" spans="1:14" hidden="1" x14ac:dyDescent="0.35">
      <c r="A89" s="52" t="s">
        <v>206</v>
      </c>
      <c r="B89" s="52" t="s">
        <v>37</v>
      </c>
      <c r="C89" s="52" t="s">
        <v>35</v>
      </c>
      <c r="D89" s="52" t="s">
        <v>39</v>
      </c>
      <c r="E89" s="52" t="s">
        <v>582</v>
      </c>
      <c r="F89" s="52" t="s">
        <v>581</v>
      </c>
      <c r="G89" s="55" t="s">
        <v>276</v>
      </c>
      <c r="H89" s="55">
        <v>4.8273679999999999</v>
      </c>
      <c r="I89" s="55">
        <v>-2.7757149999999999</v>
      </c>
      <c r="J89" s="55">
        <v>-4.2629590000000004</v>
      </c>
      <c r="K89" s="55">
        <v>0.41536489999999998</v>
      </c>
      <c r="L89" s="55">
        <v>-8.6974119999999999</v>
      </c>
      <c r="M89" s="55">
        <v>-1.3491390000000001</v>
      </c>
      <c r="N89" s="55">
        <v>1.0602780000000001</v>
      </c>
    </row>
    <row r="90" spans="1:14" hidden="1" x14ac:dyDescent="0.35">
      <c r="A90" s="52" t="s">
        <v>206</v>
      </c>
      <c r="B90" s="52" t="s">
        <v>37</v>
      </c>
      <c r="C90" s="52" t="s">
        <v>35</v>
      </c>
      <c r="D90" s="52" t="s">
        <v>39</v>
      </c>
      <c r="E90" s="52" t="s">
        <v>582</v>
      </c>
      <c r="F90" s="52" t="s">
        <v>581</v>
      </c>
      <c r="G90" s="55" t="s">
        <v>277</v>
      </c>
      <c r="H90" s="55">
        <v>102.25539999999999</v>
      </c>
      <c r="I90" s="55">
        <v>6.6051190000000002</v>
      </c>
      <c r="J90" s="55">
        <v>15.7774</v>
      </c>
      <c r="K90" s="55">
        <v>11.46105</v>
      </c>
      <c r="L90" s="55">
        <v>6.1119830000000004</v>
      </c>
      <c r="M90" s="55">
        <v>0</v>
      </c>
      <c r="N90" s="55">
        <v>0</v>
      </c>
    </row>
    <row r="91" spans="1:14" hidden="1" x14ac:dyDescent="0.35">
      <c r="A91" s="52" t="s">
        <v>206</v>
      </c>
      <c r="B91" s="52" t="s">
        <v>37</v>
      </c>
      <c r="C91" s="52" t="s">
        <v>35</v>
      </c>
      <c r="D91" s="52" t="s">
        <v>39</v>
      </c>
      <c r="E91" s="52" t="s">
        <v>582</v>
      </c>
      <c r="F91" s="52" t="s">
        <v>581</v>
      </c>
      <c r="G91" s="55" t="s">
        <v>278</v>
      </c>
      <c r="H91" s="55">
        <v>60.724299999999999</v>
      </c>
      <c r="I91" s="55">
        <v>55.16854</v>
      </c>
      <c r="J91" s="55">
        <v>15.374879999999999</v>
      </c>
      <c r="K91" s="55">
        <v>10.42956</v>
      </c>
      <c r="L91" s="55">
        <v>9.9167280000000009</v>
      </c>
      <c r="M91" s="55">
        <v>0</v>
      </c>
      <c r="N91" s="55">
        <v>0</v>
      </c>
    </row>
    <row r="92" spans="1:14" hidden="1" x14ac:dyDescent="0.35">
      <c r="A92" s="52" t="s">
        <v>206</v>
      </c>
      <c r="B92" s="52" t="s">
        <v>37</v>
      </c>
      <c r="C92" s="52" t="s">
        <v>35</v>
      </c>
      <c r="D92" s="52" t="s">
        <v>39</v>
      </c>
      <c r="E92" s="52" t="s">
        <v>582</v>
      </c>
      <c r="F92" s="52" t="s">
        <v>581</v>
      </c>
      <c r="G92" s="55" t="s">
        <v>279</v>
      </c>
      <c r="H92" s="55">
        <v>45.366050000000001</v>
      </c>
      <c r="I92" s="55">
        <v>52.59216</v>
      </c>
      <c r="J92" s="55">
        <v>55.047620000000002</v>
      </c>
      <c r="K92" s="55">
        <v>52.240200000000002</v>
      </c>
      <c r="L92" s="55">
        <v>44.681269999999998</v>
      </c>
      <c r="M92" s="55">
        <v>41.081319999999998</v>
      </c>
      <c r="N92" s="55">
        <v>32.981699999999996</v>
      </c>
    </row>
    <row r="93" spans="1:14" hidden="1" x14ac:dyDescent="0.35">
      <c r="A93" s="52" t="s">
        <v>206</v>
      </c>
      <c r="B93" s="52" t="s">
        <v>37</v>
      </c>
      <c r="C93" s="52" t="s">
        <v>35</v>
      </c>
      <c r="D93" s="52" t="s">
        <v>39</v>
      </c>
      <c r="E93" s="52" t="s">
        <v>582</v>
      </c>
      <c r="F93" s="52" t="s">
        <v>26</v>
      </c>
      <c r="G93" s="55" t="s">
        <v>275</v>
      </c>
      <c r="H93" s="55">
        <v>0.63331499999999996</v>
      </c>
      <c r="I93" s="55">
        <v>0.20589730000000001</v>
      </c>
      <c r="J93" s="55">
        <v>1.4080919999999999</v>
      </c>
      <c r="K93" s="55">
        <v>0.80291310000000005</v>
      </c>
      <c r="L93" s="55">
        <v>1.298357</v>
      </c>
      <c r="M93" s="55">
        <v>-0.25284390000000001</v>
      </c>
      <c r="N93" s="55">
        <v>-0.21147750000000001</v>
      </c>
    </row>
    <row r="94" spans="1:14" hidden="1" x14ac:dyDescent="0.35">
      <c r="A94" s="52" t="s">
        <v>206</v>
      </c>
      <c r="B94" s="52" t="s">
        <v>37</v>
      </c>
      <c r="C94" s="52" t="s">
        <v>35</v>
      </c>
      <c r="D94" s="52" t="s">
        <v>39</v>
      </c>
      <c r="E94" s="52" t="s">
        <v>582</v>
      </c>
      <c r="F94" s="52" t="s">
        <v>26</v>
      </c>
      <c r="G94" s="55" t="s">
        <v>276</v>
      </c>
      <c r="H94" s="55">
        <v>0.168354</v>
      </c>
      <c r="I94" s="55">
        <v>5.4729899999999998E-2</v>
      </c>
      <c r="J94" s="55">
        <v>0.37430439999999998</v>
      </c>
      <c r="K94" s="55">
        <v>0.21343239999999999</v>
      </c>
      <c r="L94" s="55">
        <v>0.34513339999999998</v>
      </c>
      <c r="M94" s="55">
        <v>-6.72098E-2</v>
      </c>
      <c r="N94" s="55">
        <v>-5.6216599999999999E-2</v>
      </c>
    </row>
    <row r="95" spans="1:14" hidden="1" x14ac:dyDescent="0.35">
      <c r="A95" s="52" t="s">
        <v>206</v>
      </c>
      <c r="B95" s="52" t="s">
        <v>37</v>
      </c>
      <c r="C95" s="52" t="s">
        <v>35</v>
      </c>
      <c r="D95" s="52" t="s">
        <v>39</v>
      </c>
      <c r="E95" s="52" t="s">
        <v>582</v>
      </c>
      <c r="F95" s="52" t="s">
        <v>26</v>
      </c>
      <c r="G95" s="55" t="s">
        <v>279</v>
      </c>
      <c r="H95" s="55">
        <v>14.49267</v>
      </c>
      <c r="I95" s="55">
        <v>15.8529</v>
      </c>
      <c r="J95" s="55">
        <v>16.598710000000001</v>
      </c>
      <c r="K95" s="55">
        <v>15.908379999999999</v>
      </c>
      <c r="L95" s="55">
        <v>13.88897</v>
      </c>
      <c r="M95" s="55">
        <v>12.489459999999999</v>
      </c>
      <c r="N95" s="55">
        <v>10.02459</v>
      </c>
    </row>
    <row r="96" spans="1:14" hidden="1" x14ac:dyDescent="0.35">
      <c r="A96" s="52" t="s">
        <v>206</v>
      </c>
      <c r="B96" s="52" t="s">
        <v>37</v>
      </c>
      <c r="C96" s="52" t="s">
        <v>35</v>
      </c>
      <c r="D96" s="52" t="s">
        <v>207</v>
      </c>
      <c r="E96" s="52" t="s">
        <v>583</v>
      </c>
      <c r="F96" s="52" t="s">
        <v>581</v>
      </c>
      <c r="G96" s="55" t="s">
        <v>275</v>
      </c>
      <c r="H96" s="55">
        <v>17.69736</v>
      </c>
      <c r="I96" s="55">
        <v>6.1680339999999996</v>
      </c>
      <c r="J96" s="55">
        <v>6.4941579999999997</v>
      </c>
      <c r="K96" s="55">
        <v>5.1018140000000001</v>
      </c>
      <c r="L96" s="55">
        <v>4.3969100000000001</v>
      </c>
      <c r="M96" s="55">
        <v>3.591685</v>
      </c>
      <c r="N96" s="55">
        <v>3.2466970000000002</v>
      </c>
    </row>
    <row r="97" spans="1:14" hidden="1" x14ac:dyDescent="0.35">
      <c r="A97" s="52" t="s">
        <v>206</v>
      </c>
      <c r="B97" s="52" t="s">
        <v>37</v>
      </c>
      <c r="C97" s="52" t="s">
        <v>35</v>
      </c>
      <c r="D97" s="52" t="s">
        <v>207</v>
      </c>
      <c r="E97" s="52" t="s">
        <v>583</v>
      </c>
      <c r="F97" s="52" t="s">
        <v>581</v>
      </c>
      <c r="G97" s="55" t="s">
        <v>276</v>
      </c>
      <c r="H97" s="55">
        <v>3.717489</v>
      </c>
      <c r="I97" s="55">
        <v>1.1134919999999999</v>
      </c>
      <c r="J97" s="55">
        <v>0.32925729999999997</v>
      </c>
      <c r="K97" s="55">
        <v>0.81821460000000001</v>
      </c>
      <c r="L97" s="55">
        <v>0.99935099999999999</v>
      </c>
      <c r="M97" s="55">
        <v>0.95475189999999999</v>
      </c>
      <c r="N97" s="55">
        <v>0.86304559999999997</v>
      </c>
    </row>
    <row r="98" spans="1:14" hidden="1" x14ac:dyDescent="0.35">
      <c r="A98" s="52" t="s">
        <v>206</v>
      </c>
      <c r="B98" s="52" t="s">
        <v>37</v>
      </c>
      <c r="C98" s="52" t="s">
        <v>35</v>
      </c>
      <c r="D98" s="52" t="s">
        <v>207</v>
      </c>
      <c r="E98" s="52" t="s">
        <v>583</v>
      </c>
      <c r="F98" s="52" t="s">
        <v>581</v>
      </c>
      <c r="G98" s="55" t="s">
        <v>277</v>
      </c>
      <c r="H98" s="55">
        <v>1.556265</v>
      </c>
      <c r="I98" s="55">
        <v>1.3E-6</v>
      </c>
      <c r="J98" s="55">
        <v>0</v>
      </c>
      <c r="K98" s="55"/>
      <c r="L98" s="55"/>
      <c r="M98" s="55">
        <v>0</v>
      </c>
      <c r="N98" s="55">
        <v>0</v>
      </c>
    </row>
    <row r="99" spans="1:14" hidden="1" x14ac:dyDescent="0.35">
      <c r="A99" s="52" t="s">
        <v>206</v>
      </c>
      <c r="B99" s="52" t="s">
        <v>37</v>
      </c>
      <c r="C99" s="52" t="s">
        <v>35</v>
      </c>
      <c r="D99" s="52" t="s">
        <v>207</v>
      </c>
      <c r="E99" s="52" t="s">
        <v>583</v>
      </c>
      <c r="F99" s="52" t="s">
        <v>581</v>
      </c>
      <c r="G99" s="55" t="s">
        <v>279</v>
      </c>
      <c r="H99" s="55">
        <v>7.1279110000000001</v>
      </c>
      <c r="I99" s="55">
        <v>4.5255159999999997</v>
      </c>
      <c r="J99" s="55">
        <v>3.9872100000000001</v>
      </c>
      <c r="K99" s="55">
        <v>3.5996510000000002</v>
      </c>
      <c r="L99" s="55">
        <v>3.0970409999999999</v>
      </c>
      <c r="M99" s="55">
        <v>3.1300240000000001</v>
      </c>
      <c r="N99" s="55">
        <v>2.8124030000000002</v>
      </c>
    </row>
    <row r="100" spans="1:14" hidden="1" x14ac:dyDescent="0.35">
      <c r="A100" s="52" t="s">
        <v>206</v>
      </c>
      <c r="B100" s="52" t="s">
        <v>37</v>
      </c>
      <c r="C100" s="52" t="s">
        <v>61</v>
      </c>
      <c r="D100" s="52" t="s">
        <v>62</v>
      </c>
      <c r="E100" s="52" t="s">
        <v>584</v>
      </c>
      <c r="F100" s="52" t="s">
        <v>581</v>
      </c>
      <c r="G100" s="55" t="s">
        <v>275</v>
      </c>
      <c r="H100" s="55">
        <v>154.44460000000001</v>
      </c>
      <c r="I100" s="55">
        <v>72.252350000000007</v>
      </c>
      <c r="J100" s="55">
        <v>52.328989999999997</v>
      </c>
      <c r="K100" s="55">
        <v>33.965699999999998</v>
      </c>
      <c r="L100" s="55">
        <v>22.803059999999999</v>
      </c>
      <c r="M100" s="55">
        <v>19.994199999999999</v>
      </c>
      <c r="N100" s="55">
        <v>14.47636</v>
      </c>
    </row>
    <row r="101" spans="1:14" hidden="1" x14ac:dyDescent="0.35">
      <c r="A101" s="52" t="s">
        <v>206</v>
      </c>
      <c r="B101" s="52" t="s">
        <v>37</v>
      </c>
      <c r="C101" s="52" t="s">
        <v>61</v>
      </c>
      <c r="D101" s="52" t="s">
        <v>62</v>
      </c>
      <c r="E101" s="52" t="s">
        <v>584</v>
      </c>
      <c r="F101" s="52" t="s">
        <v>581</v>
      </c>
      <c r="G101" s="55" t="s">
        <v>276</v>
      </c>
      <c r="H101" s="55">
        <v>35.9041</v>
      </c>
      <c r="I101" s="55">
        <v>12.04405</v>
      </c>
      <c r="J101" s="55">
        <v>9.7857869999999991</v>
      </c>
      <c r="K101" s="55">
        <v>5.5633189999999999</v>
      </c>
      <c r="L101" s="55">
        <v>3.3694829999999998</v>
      </c>
      <c r="M101" s="55">
        <v>3.2034570000000002</v>
      </c>
      <c r="N101" s="55">
        <v>2.271598</v>
      </c>
    </row>
    <row r="102" spans="1:14" hidden="1" x14ac:dyDescent="0.35">
      <c r="A102" s="52" t="s">
        <v>206</v>
      </c>
      <c r="B102" s="52" t="s">
        <v>37</v>
      </c>
      <c r="C102" s="52" t="s">
        <v>61</v>
      </c>
      <c r="D102" s="52" t="s">
        <v>62</v>
      </c>
      <c r="E102" s="52" t="s">
        <v>584</v>
      </c>
      <c r="F102" s="52" t="s">
        <v>581</v>
      </c>
      <c r="G102" s="55" t="s">
        <v>277</v>
      </c>
      <c r="H102" s="55">
        <v>24.99427</v>
      </c>
      <c r="I102" s="55">
        <v>19.426359999999999</v>
      </c>
      <c r="J102" s="55">
        <v>17.065149999999999</v>
      </c>
      <c r="K102" s="55">
        <v>20.389469999999999</v>
      </c>
      <c r="L102" s="55">
        <v>20.210429999999999</v>
      </c>
      <c r="M102" s="55">
        <v>9.5750659999999996</v>
      </c>
      <c r="N102" s="55">
        <v>9.1512569999999993</v>
      </c>
    </row>
    <row r="103" spans="1:14" hidden="1" x14ac:dyDescent="0.35">
      <c r="A103" s="52" t="s">
        <v>206</v>
      </c>
      <c r="B103" s="52" t="s">
        <v>37</v>
      </c>
      <c r="C103" s="52" t="s">
        <v>61</v>
      </c>
      <c r="D103" s="52" t="s">
        <v>62</v>
      </c>
      <c r="E103" s="52" t="s">
        <v>584</v>
      </c>
      <c r="F103" s="52" t="s">
        <v>581</v>
      </c>
      <c r="G103" s="55" t="s">
        <v>278</v>
      </c>
      <c r="H103" s="55">
        <v>20.93027</v>
      </c>
      <c r="I103" s="55">
        <v>1.46523E-2</v>
      </c>
      <c r="J103" s="55">
        <v>1.46523E-2</v>
      </c>
      <c r="K103" s="55">
        <v>1.46523E-2</v>
      </c>
      <c r="L103" s="55">
        <v>1.46523E-2</v>
      </c>
      <c r="M103" s="55">
        <v>1.46523E-2</v>
      </c>
      <c r="N103" s="55">
        <v>1.46523E-2</v>
      </c>
    </row>
    <row r="104" spans="1:14" hidden="1" x14ac:dyDescent="0.35">
      <c r="A104" s="52" t="s">
        <v>206</v>
      </c>
      <c r="B104" s="52" t="s">
        <v>37</v>
      </c>
      <c r="C104" s="52" t="s">
        <v>61</v>
      </c>
      <c r="D104" s="52" t="s">
        <v>62</v>
      </c>
      <c r="E104" s="52" t="s">
        <v>584</v>
      </c>
      <c r="F104" s="52" t="s">
        <v>581</v>
      </c>
      <c r="G104" s="55" t="s">
        <v>279</v>
      </c>
      <c r="H104" s="55">
        <v>39.511099999999999</v>
      </c>
      <c r="I104" s="55">
        <v>36.24953</v>
      </c>
      <c r="J104" s="55">
        <v>33.435339999999997</v>
      </c>
      <c r="K104" s="55">
        <v>32.825859999999999</v>
      </c>
      <c r="L104" s="55">
        <v>30.776199999999999</v>
      </c>
      <c r="M104" s="55">
        <v>31.235939999999999</v>
      </c>
      <c r="N104" s="55">
        <v>27.924029999999998</v>
      </c>
    </row>
    <row r="105" spans="1:14" hidden="1" x14ac:dyDescent="0.35">
      <c r="A105" s="52" t="s">
        <v>206</v>
      </c>
      <c r="B105" s="52" t="s">
        <v>37</v>
      </c>
      <c r="C105" s="52" t="s">
        <v>61</v>
      </c>
      <c r="D105" s="52" t="s">
        <v>62</v>
      </c>
      <c r="E105" s="52" t="s">
        <v>584</v>
      </c>
      <c r="F105" s="52" t="s">
        <v>26</v>
      </c>
      <c r="G105" s="55" t="s">
        <v>275</v>
      </c>
      <c r="H105" s="55">
        <v>3.8194650000000001</v>
      </c>
      <c r="I105" s="55">
        <v>2.1611449999999999</v>
      </c>
      <c r="J105" s="55">
        <v>1.7622390000000001</v>
      </c>
      <c r="K105" s="55">
        <v>1.1839360000000001</v>
      </c>
      <c r="L105" s="55">
        <v>1.3707320000000001</v>
      </c>
      <c r="M105" s="55">
        <v>0.348777</v>
      </c>
      <c r="N105" s="55">
        <v>0.86132620000000004</v>
      </c>
    </row>
    <row r="106" spans="1:14" hidden="1" x14ac:dyDescent="0.35">
      <c r="A106" s="52" t="s">
        <v>206</v>
      </c>
      <c r="B106" s="52" t="s">
        <v>37</v>
      </c>
      <c r="C106" s="52" t="s">
        <v>61</v>
      </c>
      <c r="D106" s="52" t="s">
        <v>62</v>
      </c>
      <c r="E106" s="52" t="s">
        <v>584</v>
      </c>
      <c r="F106" s="52" t="s">
        <v>26</v>
      </c>
      <c r="G106" s="55" t="s">
        <v>276</v>
      </c>
      <c r="H106" s="55">
        <v>1.0153049999999999</v>
      </c>
      <c r="I106" s="55">
        <v>0.57447959999999998</v>
      </c>
      <c r="J106" s="55">
        <v>0.46844209999999997</v>
      </c>
      <c r="K106" s="55">
        <v>0.31471710000000003</v>
      </c>
      <c r="L106" s="55">
        <v>0.36437180000000002</v>
      </c>
      <c r="M106" s="55">
        <v>9.2713279999999995E-2</v>
      </c>
      <c r="N106" s="55">
        <v>0.22895960000000001</v>
      </c>
    </row>
    <row r="107" spans="1:14" hidden="1" x14ac:dyDescent="0.35">
      <c r="A107" s="52" t="s">
        <v>206</v>
      </c>
      <c r="B107" s="52" t="s">
        <v>37</v>
      </c>
      <c r="C107" s="52" t="s">
        <v>61</v>
      </c>
      <c r="D107" s="52" t="s">
        <v>62</v>
      </c>
      <c r="E107" s="52" t="s">
        <v>584</v>
      </c>
      <c r="F107" s="52" t="s">
        <v>26</v>
      </c>
      <c r="G107" s="55" t="s">
        <v>279</v>
      </c>
      <c r="H107" s="55">
        <v>5.0008460000000001</v>
      </c>
      <c r="I107" s="55">
        <v>4.0208380000000004</v>
      </c>
      <c r="J107" s="55">
        <v>3.6065160000000001</v>
      </c>
      <c r="K107" s="55">
        <v>3.4044180000000002</v>
      </c>
      <c r="L107" s="55">
        <v>2.3933390000000001</v>
      </c>
      <c r="M107" s="55">
        <v>3.0038689999999999</v>
      </c>
      <c r="N107" s="55">
        <v>1.838152</v>
      </c>
    </row>
    <row r="108" spans="1:14" hidden="1" x14ac:dyDescent="0.35">
      <c r="A108" s="52" t="s">
        <v>206</v>
      </c>
      <c r="B108" s="52" t="s">
        <v>37</v>
      </c>
      <c r="C108" s="52" t="s">
        <v>105</v>
      </c>
      <c r="D108" s="52" t="s">
        <v>105</v>
      </c>
      <c r="E108" s="52" t="s">
        <v>584</v>
      </c>
      <c r="F108" s="52" t="s">
        <v>581</v>
      </c>
      <c r="G108" s="55" t="s">
        <v>275</v>
      </c>
      <c r="H108" s="55">
        <v>16.373349999999999</v>
      </c>
      <c r="I108" s="55">
        <v>-0.55042429999999998</v>
      </c>
      <c r="J108" s="55">
        <v>-0.65652080000000002</v>
      </c>
      <c r="K108" s="55">
        <v>-0.82227570000000005</v>
      </c>
      <c r="L108" s="55">
        <v>-0.62625869999999995</v>
      </c>
      <c r="M108" s="55">
        <v>-0.63921950000000005</v>
      </c>
      <c r="N108" s="55">
        <v>-0.38204320000000003</v>
      </c>
    </row>
    <row r="109" spans="1:14" hidden="1" x14ac:dyDescent="0.35">
      <c r="A109" s="52" t="s">
        <v>206</v>
      </c>
      <c r="B109" s="52" t="s">
        <v>37</v>
      </c>
      <c r="C109" s="52" t="s">
        <v>105</v>
      </c>
      <c r="D109" s="52" t="s">
        <v>105</v>
      </c>
      <c r="E109" s="52" t="s">
        <v>584</v>
      </c>
      <c r="F109" s="52" t="s">
        <v>581</v>
      </c>
      <c r="G109" s="55" t="s">
        <v>276</v>
      </c>
      <c r="H109" s="55">
        <v>6.7397799999999997</v>
      </c>
      <c r="I109" s="55">
        <v>-7.1023760000000005E-2</v>
      </c>
      <c r="J109" s="55">
        <v>-0.171434</v>
      </c>
      <c r="K109" s="55">
        <v>-0.6428372</v>
      </c>
      <c r="L109" s="55">
        <v>-1.0364370000000001</v>
      </c>
      <c r="M109" s="55">
        <v>-0.62788440000000001</v>
      </c>
      <c r="N109" s="55">
        <v>-0.4979672</v>
      </c>
    </row>
    <row r="110" spans="1:14" hidden="1" x14ac:dyDescent="0.35">
      <c r="A110" s="52" t="s">
        <v>206</v>
      </c>
      <c r="B110" s="52" t="s">
        <v>37</v>
      </c>
      <c r="C110" s="52" t="s">
        <v>105</v>
      </c>
      <c r="D110" s="52" t="s">
        <v>105</v>
      </c>
      <c r="E110" s="52" t="s">
        <v>584</v>
      </c>
      <c r="F110" s="52" t="s">
        <v>581</v>
      </c>
      <c r="G110" s="55" t="s">
        <v>277</v>
      </c>
      <c r="H110" s="55">
        <v>10.70337</v>
      </c>
      <c r="I110" s="55">
        <v>7.3526540000000002</v>
      </c>
      <c r="J110" s="55">
        <v>6.7316469999999997</v>
      </c>
      <c r="K110" s="55">
        <v>6.175281</v>
      </c>
      <c r="L110" s="55">
        <v>5.721088</v>
      </c>
      <c r="M110" s="55">
        <v>5.262956</v>
      </c>
      <c r="N110" s="55">
        <v>4.8669840000000004</v>
      </c>
    </row>
    <row r="111" spans="1:14" hidden="1" x14ac:dyDescent="0.35">
      <c r="A111" s="52" t="s">
        <v>206</v>
      </c>
      <c r="B111" s="52" t="s">
        <v>37</v>
      </c>
      <c r="C111" s="52" t="s">
        <v>105</v>
      </c>
      <c r="D111" s="52" t="s">
        <v>105</v>
      </c>
      <c r="E111" s="52" t="s">
        <v>584</v>
      </c>
      <c r="F111" s="52" t="s">
        <v>581</v>
      </c>
      <c r="G111" s="55" t="s">
        <v>279</v>
      </c>
      <c r="H111" s="55">
        <v>24.365960000000001</v>
      </c>
      <c r="I111" s="55">
        <v>14.17507</v>
      </c>
      <c r="J111" s="55">
        <v>10.293659999999999</v>
      </c>
      <c r="K111" s="55">
        <v>8.603999</v>
      </c>
      <c r="L111" s="55">
        <v>7.3220929999999997</v>
      </c>
      <c r="M111" s="55">
        <v>6.1142760000000003</v>
      </c>
      <c r="N111" s="55">
        <v>5.311782</v>
      </c>
    </row>
    <row r="112" spans="1:14" hidden="1" x14ac:dyDescent="0.35">
      <c r="A112" s="52" t="s">
        <v>206</v>
      </c>
      <c r="B112" s="52" t="s">
        <v>37</v>
      </c>
      <c r="C112" s="52" t="s">
        <v>105</v>
      </c>
      <c r="D112" s="52" t="s">
        <v>105</v>
      </c>
      <c r="E112" s="52" t="s">
        <v>584</v>
      </c>
      <c r="F112" s="52" t="s">
        <v>26</v>
      </c>
      <c r="G112" s="55" t="s">
        <v>275</v>
      </c>
      <c r="H112" s="55">
        <v>-0.12386999999999999</v>
      </c>
      <c r="I112" s="55">
        <v>-0.87159450000000005</v>
      </c>
      <c r="J112" s="55">
        <v>0.90748649999999997</v>
      </c>
      <c r="K112" s="55">
        <v>-1.704901</v>
      </c>
      <c r="L112" s="55">
        <v>-3.8159179999999999</v>
      </c>
      <c r="M112" s="55">
        <v>-3.6800480000000002</v>
      </c>
      <c r="N112" s="55">
        <v>-3.5813679999999999</v>
      </c>
    </row>
    <row r="113" spans="1:14" hidden="1" x14ac:dyDescent="0.35">
      <c r="A113" s="52" t="s">
        <v>206</v>
      </c>
      <c r="B113" s="52" t="s">
        <v>37</v>
      </c>
      <c r="C113" s="52" t="s">
        <v>105</v>
      </c>
      <c r="D113" s="52" t="s">
        <v>105</v>
      </c>
      <c r="E113" s="52" t="s">
        <v>584</v>
      </c>
      <c r="F113" s="52" t="s">
        <v>26</v>
      </c>
      <c r="G113" s="55" t="s">
        <v>276</v>
      </c>
      <c r="H113" s="55">
        <v>-0.67654590000000003</v>
      </c>
      <c r="I113" s="55">
        <v>-0.95128259999999998</v>
      </c>
      <c r="J113" s="55">
        <v>0.3143782</v>
      </c>
      <c r="K113" s="55">
        <v>-0.59108510000000003</v>
      </c>
      <c r="L113" s="55">
        <v>-1.3227720000000001</v>
      </c>
      <c r="M113" s="55">
        <v>-1.275676</v>
      </c>
      <c r="N113" s="55">
        <v>-1.241468</v>
      </c>
    </row>
    <row r="114" spans="1:14" hidden="1" x14ac:dyDescent="0.35">
      <c r="A114" s="52" t="s">
        <v>206</v>
      </c>
      <c r="B114" s="52" t="s">
        <v>37</v>
      </c>
      <c r="C114" s="52" t="s">
        <v>105</v>
      </c>
      <c r="D114" s="52" t="s">
        <v>105</v>
      </c>
      <c r="E114" s="52" t="s">
        <v>584</v>
      </c>
      <c r="F114" s="52" t="s">
        <v>26</v>
      </c>
      <c r="G114" s="55" t="s">
        <v>279</v>
      </c>
      <c r="H114" s="55">
        <v>52.464039999999997</v>
      </c>
      <c r="I114" s="55">
        <v>44.882719999999999</v>
      </c>
      <c r="J114" s="55">
        <v>43.619199999999999</v>
      </c>
      <c r="K114" s="55">
        <v>47.064360000000001</v>
      </c>
      <c r="L114" s="55">
        <v>49.458599999999997</v>
      </c>
      <c r="M114" s="55">
        <v>47.832940000000001</v>
      </c>
      <c r="N114" s="55">
        <v>46.458489999999998</v>
      </c>
    </row>
    <row r="115" spans="1:14" hidden="1" x14ac:dyDescent="0.35">
      <c r="A115" s="52" t="s">
        <v>206</v>
      </c>
      <c r="B115" s="52" t="s">
        <v>37</v>
      </c>
      <c r="C115" s="52" t="s">
        <v>115</v>
      </c>
      <c r="D115" s="52" t="s">
        <v>115</v>
      </c>
      <c r="E115" s="52" t="s">
        <v>584</v>
      </c>
      <c r="F115" s="52" t="s">
        <v>26</v>
      </c>
      <c r="G115" s="55" t="s">
        <v>275</v>
      </c>
      <c r="H115" s="55">
        <v>-1.709303</v>
      </c>
      <c r="I115" s="55">
        <v>-2.4347530000000002</v>
      </c>
      <c r="J115" s="55">
        <v>-1.0202469999999999</v>
      </c>
      <c r="K115" s="55">
        <v>-1.436796</v>
      </c>
      <c r="L115" s="55">
        <v>-1.338606</v>
      </c>
      <c r="M115" s="55">
        <v>-3.105038</v>
      </c>
      <c r="N115" s="55">
        <v>-2.8618549999999998</v>
      </c>
    </row>
    <row r="116" spans="1:14" hidden="1" x14ac:dyDescent="0.35">
      <c r="A116" s="52" t="s">
        <v>206</v>
      </c>
      <c r="B116" s="52" t="s">
        <v>37</v>
      </c>
      <c r="C116" s="52" t="s">
        <v>115</v>
      </c>
      <c r="D116" s="52" t="s">
        <v>115</v>
      </c>
      <c r="E116" s="52" t="s">
        <v>584</v>
      </c>
      <c r="F116" s="52" t="s">
        <v>26</v>
      </c>
      <c r="G116" s="55" t="s">
        <v>276</v>
      </c>
      <c r="H116" s="55">
        <v>-0.78367100000000001</v>
      </c>
      <c r="I116" s="55">
        <v>-1.346176</v>
      </c>
      <c r="J116" s="55">
        <v>-0.39485120000000001</v>
      </c>
      <c r="K116" s="55">
        <v>-0.87652050000000004</v>
      </c>
      <c r="L116" s="55">
        <v>-0.35583219999999999</v>
      </c>
      <c r="M116" s="55">
        <v>-0.82539030000000002</v>
      </c>
      <c r="N116" s="55">
        <v>-0.76074600000000003</v>
      </c>
    </row>
    <row r="117" spans="1:14" hidden="1" x14ac:dyDescent="0.35">
      <c r="A117" s="52" t="s">
        <v>206</v>
      </c>
      <c r="B117" s="52" t="s">
        <v>37</v>
      </c>
      <c r="C117" s="52" t="s">
        <v>115</v>
      </c>
      <c r="D117" s="52" t="s">
        <v>115</v>
      </c>
      <c r="E117" s="52" t="s">
        <v>584</v>
      </c>
      <c r="F117" s="52" t="s">
        <v>26</v>
      </c>
      <c r="G117" s="55" t="s">
        <v>277</v>
      </c>
      <c r="H117" s="55">
        <v>0</v>
      </c>
      <c r="I117" s="55"/>
      <c r="J117" s="55"/>
      <c r="K117" s="55"/>
      <c r="L117" s="55"/>
      <c r="M117" s="55">
        <v>0</v>
      </c>
      <c r="N117" s="55">
        <v>0</v>
      </c>
    </row>
    <row r="118" spans="1:14" hidden="1" x14ac:dyDescent="0.35">
      <c r="A118" s="52" t="s">
        <v>206</v>
      </c>
      <c r="B118" s="52" t="s">
        <v>37</v>
      </c>
      <c r="C118" s="52" t="s">
        <v>115</v>
      </c>
      <c r="D118" s="52" t="s">
        <v>115</v>
      </c>
      <c r="E118" s="52" t="s">
        <v>584</v>
      </c>
      <c r="F118" s="52" t="s">
        <v>26</v>
      </c>
      <c r="G118" s="55" t="s">
        <v>279</v>
      </c>
      <c r="H118" s="55">
        <v>28.263539999999999</v>
      </c>
      <c r="I118" s="55">
        <v>31.391629999999999</v>
      </c>
      <c r="J118" s="55">
        <v>27.851179999999999</v>
      </c>
      <c r="K118" s="55">
        <v>26.68826</v>
      </c>
      <c r="L118" s="55">
        <v>24.18892</v>
      </c>
      <c r="M118" s="55">
        <v>24.7376</v>
      </c>
      <c r="N118" s="55">
        <v>22.752389999999998</v>
      </c>
    </row>
    <row r="119" spans="1:14" hidden="1" x14ac:dyDescent="0.35">
      <c r="A119" s="52" t="s">
        <v>206</v>
      </c>
      <c r="B119" s="52" t="s">
        <v>37</v>
      </c>
      <c r="C119" s="52" t="s">
        <v>109</v>
      </c>
      <c r="D119" s="52" t="s">
        <v>109</v>
      </c>
      <c r="E119" s="52" t="s">
        <v>584</v>
      </c>
      <c r="F119" s="52" t="s">
        <v>581</v>
      </c>
      <c r="G119" s="55" t="s">
        <v>275</v>
      </c>
      <c r="H119" s="55">
        <v>1.1639900000000001</v>
      </c>
      <c r="I119" s="55">
        <v>-3.3575599999999999</v>
      </c>
      <c r="J119" s="55">
        <v>0.30311709999999997</v>
      </c>
      <c r="K119" s="55">
        <v>0.20909900000000001</v>
      </c>
      <c r="L119" s="55">
        <v>0.2076501</v>
      </c>
      <c r="M119" s="55">
        <v>0.1651089</v>
      </c>
      <c r="N119" s="55">
        <v>0.128021</v>
      </c>
    </row>
    <row r="120" spans="1:14" hidden="1" x14ac:dyDescent="0.35">
      <c r="A120" s="52" t="s">
        <v>206</v>
      </c>
      <c r="B120" s="52" t="s">
        <v>37</v>
      </c>
      <c r="C120" s="52" t="s">
        <v>109</v>
      </c>
      <c r="D120" s="52" t="s">
        <v>109</v>
      </c>
      <c r="E120" s="52" t="s">
        <v>584</v>
      </c>
      <c r="F120" s="52" t="s">
        <v>581</v>
      </c>
      <c r="G120" s="55" t="s">
        <v>276</v>
      </c>
      <c r="H120" s="55">
        <v>0.3033013</v>
      </c>
      <c r="I120" s="55">
        <v>-0.95027950000000005</v>
      </c>
      <c r="J120" s="55">
        <v>2.9503950000000001E-2</v>
      </c>
      <c r="K120" s="55">
        <v>1.8507260000000001E-2</v>
      </c>
      <c r="L120" s="55">
        <v>5.0013759999999997E-2</v>
      </c>
      <c r="M120" s="55">
        <v>4.3153270000000001E-2</v>
      </c>
      <c r="N120" s="55">
        <v>3.5722360000000002E-2</v>
      </c>
    </row>
    <row r="121" spans="1:14" hidden="1" x14ac:dyDescent="0.35">
      <c r="A121" s="52" t="s">
        <v>206</v>
      </c>
      <c r="B121" s="52" t="s">
        <v>37</v>
      </c>
      <c r="C121" s="52" t="s">
        <v>109</v>
      </c>
      <c r="D121" s="52" t="s">
        <v>109</v>
      </c>
      <c r="E121" s="52" t="s">
        <v>584</v>
      </c>
      <c r="F121" s="52" t="s">
        <v>581</v>
      </c>
      <c r="G121" s="55" t="s">
        <v>277</v>
      </c>
      <c r="H121" s="55">
        <v>0.48066540000000002</v>
      </c>
      <c r="I121" s="55">
        <v>0.17272299999999999</v>
      </c>
      <c r="J121" s="55">
        <v>0.15404699999999999</v>
      </c>
      <c r="K121" s="55">
        <v>0.1614004</v>
      </c>
      <c r="L121" s="55">
        <v>0.16465369999999999</v>
      </c>
      <c r="M121" s="55">
        <v>0.1634475</v>
      </c>
      <c r="N121" s="55">
        <v>0.1665181</v>
      </c>
    </row>
    <row r="122" spans="1:14" hidden="1" x14ac:dyDescent="0.35">
      <c r="A122" s="52" t="s">
        <v>206</v>
      </c>
      <c r="B122" s="52" t="s">
        <v>37</v>
      </c>
      <c r="C122" s="52" t="s">
        <v>109</v>
      </c>
      <c r="D122" s="52" t="s">
        <v>109</v>
      </c>
      <c r="E122" s="52" t="s">
        <v>584</v>
      </c>
      <c r="F122" s="52" t="s">
        <v>581</v>
      </c>
      <c r="G122" s="55" t="s">
        <v>278</v>
      </c>
      <c r="H122" s="55"/>
      <c r="I122" s="55"/>
      <c r="J122" s="55">
        <v>0</v>
      </c>
      <c r="K122" s="55">
        <v>0</v>
      </c>
      <c r="L122" s="55">
        <v>0</v>
      </c>
      <c r="M122" s="55">
        <v>0</v>
      </c>
      <c r="N122" s="55">
        <v>0</v>
      </c>
    </row>
    <row r="123" spans="1:14" hidden="1" x14ac:dyDescent="0.35">
      <c r="A123" s="52" t="s">
        <v>206</v>
      </c>
      <c r="B123" s="52" t="s">
        <v>37</v>
      </c>
      <c r="C123" s="52" t="s">
        <v>109</v>
      </c>
      <c r="D123" s="52" t="s">
        <v>109</v>
      </c>
      <c r="E123" s="52" t="s">
        <v>584</v>
      </c>
      <c r="F123" s="52" t="s">
        <v>581</v>
      </c>
      <c r="G123" s="55" t="s">
        <v>279</v>
      </c>
      <c r="H123" s="55">
        <v>0.74106609999999995</v>
      </c>
      <c r="I123" s="55">
        <v>5.3762169999999996</v>
      </c>
      <c r="J123" s="55">
        <v>0.64684870000000005</v>
      </c>
      <c r="K123" s="55">
        <v>0.66172600000000004</v>
      </c>
      <c r="L123" s="55">
        <v>0.28867039999999999</v>
      </c>
      <c r="M123" s="55">
        <v>0.26844790000000002</v>
      </c>
      <c r="N123" s="55">
        <v>0.25197409999999998</v>
      </c>
    </row>
    <row r="124" spans="1:14" hidden="1" x14ac:dyDescent="0.35">
      <c r="A124" s="52" t="s">
        <v>206</v>
      </c>
      <c r="B124" s="52" t="s">
        <v>37</v>
      </c>
      <c r="C124" s="52" t="s">
        <v>109</v>
      </c>
      <c r="D124" s="52" t="s">
        <v>109</v>
      </c>
      <c r="E124" s="52" t="s">
        <v>584</v>
      </c>
      <c r="F124" s="52" t="s">
        <v>26</v>
      </c>
      <c r="G124" s="55" t="s">
        <v>275</v>
      </c>
      <c r="H124" s="55">
        <v>0.40401100000000001</v>
      </c>
      <c r="I124" s="55">
        <v>1.588322E-2</v>
      </c>
      <c r="J124" s="55">
        <v>0.25667050000000002</v>
      </c>
      <c r="K124" s="55">
        <v>0.16919319999999999</v>
      </c>
      <c r="L124" s="55">
        <v>0.11896519999999999</v>
      </c>
      <c r="M124" s="55">
        <v>7.2726490000000005E-2</v>
      </c>
      <c r="N124" s="55">
        <v>2.893283E-2</v>
      </c>
    </row>
    <row r="125" spans="1:14" hidden="1" x14ac:dyDescent="0.35">
      <c r="A125" s="52" t="s">
        <v>206</v>
      </c>
      <c r="B125" s="52" t="s">
        <v>37</v>
      </c>
      <c r="C125" s="52" t="s">
        <v>109</v>
      </c>
      <c r="D125" s="52" t="s">
        <v>109</v>
      </c>
      <c r="E125" s="52" t="s">
        <v>584</v>
      </c>
      <c r="F125" s="52" t="s">
        <v>26</v>
      </c>
      <c r="G125" s="55" t="s">
        <v>276</v>
      </c>
      <c r="H125" s="55">
        <v>9.175353E-2</v>
      </c>
      <c r="I125" s="55">
        <v>-8.5296380000000008E-3</v>
      </c>
      <c r="J125" s="55">
        <v>3.4413220000000001E-2</v>
      </c>
      <c r="K125" s="55">
        <v>1.7923560000000002E-2</v>
      </c>
      <c r="L125" s="55">
        <v>1.397786E-2</v>
      </c>
      <c r="M125" s="55">
        <v>7.2414180000000003E-3</v>
      </c>
      <c r="N125" s="55">
        <v>7.6907169999999997E-3</v>
      </c>
    </row>
    <row r="126" spans="1:14" hidden="1" x14ac:dyDescent="0.35">
      <c r="A126" s="52" t="s">
        <v>206</v>
      </c>
      <c r="B126" s="52" t="s">
        <v>37</v>
      </c>
      <c r="C126" s="52" t="s">
        <v>109</v>
      </c>
      <c r="D126" s="52" t="s">
        <v>109</v>
      </c>
      <c r="E126" s="52" t="s">
        <v>584</v>
      </c>
      <c r="F126" s="52" t="s">
        <v>26</v>
      </c>
      <c r="G126" s="55" t="s">
        <v>277</v>
      </c>
      <c r="H126" s="55">
        <v>0.1343067</v>
      </c>
      <c r="I126" s="55">
        <v>0.1110433</v>
      </c>
      <c r="J126" s="55">
        <v>0</v>
      </c>
      <c r="K126" s="55"/>
      <c r="L126" s="55"/>
      <c r="M126" s="55"/>
      <c r="N126" s="55"/>
    </row>
    <row r="127" spans="1:14" hidden="1" x14ac:dyDescent="0.35">
      <c r="A127" s="52" t="s">
        <v>206</v>
      </c>
      <c r="B127" s="52" t="s">
        <v>37</v>
      </c>
      <c r="C127" s="52" t="s">
        <v>109</v>
      </c>
      <c r="D127" s="52" t="s">
        <v>109</v>
      </c>
      <c r="E127" s="52" t="s">
        <v>584</v>
      </c>
      <c r="F127" s="52" t="s">
        <v>26</v>
      </c>
      <c r="G127" s="55" t="s">
        <v>279</v>
      </c>
      <c r="H127" s="55">
        <v>1.117175</v>
      </c>
      <c r="I127" s="55">
        <v>1.1224099999999999</v>
      </c>
      <c r="J127" s="55">
        <v>0.81023860000000003</v>
      </c>
      <c r="K127" s="55">
        <v>0.74926669999999995</v>
      </c>
      <c r="L127" s="55">
        <v>0.63051869999999999</v>
      </c>
      <c r="M127" s="55">
        <v>0.5419505</v>
      </c>
      <c r="N127" s="55">
        <v>0.47001890000000002</v>
      </c>
    </row>
    <row r="128" spans="1:14" hidden="1" x14ac:dyDescent="0.35">
      <c r="A128" s="52" t="s">
        <v>206</v>
      </c>
      <c r="B128" s="52" t="s">
        <v>37</v>
      </c>
      <c r="C128" s="52" t="s">
        <v>99</v>
      </c>
      <c r="D128" s="52" t="s">
        <v>101</v>
      </c>
      <c r="E128" s="52" t="s">
        <v>584</v>
      </c>
      <c r="F128" s="52" t="s">
        <v>26</v>
      </c>
      <c r="G128" s="55" t="s">
        <v>275</v>
      </c>
      <c r="H128" s="55">
        <v>-1.8455839999999999</v>
      </c>
      <c r="I128" s="55">
        <v>-3.2482980000000002E-2</v>
      </c>
      <c r="J128" s="55">
        <v>-0.74635660000000004</v>
      </c>
      <c r="K128" s="55">
        <v>-0.56039709999999998</v>
      </c>
      <c r="L128" s="55">
        <v>-0.53649530000000001</v>
      </c>
      <c r="M128" s="55">
        <v>-0.29596640000000002</v>
      </c>
      <c r="N128" s="55">
        <v>-20.18948</v>
      </c>
    </row>
    <row r="129" spans="1:14" hidden="1" x14ac:dyDescent="0.35">
      <c r="A129" s="52" t="s">
        <v>206</v>
      </c>
      <c r="B129" s="52" t="s">
        <v>37</v>
      </c>
      <c r="C129" s="52" t="s">
        <v>99</v>
      </c>
      <c r="D129" s="52" t="s">
        <v>101</v>
      </c>
      <c r="E129" s="52" t="s">
        <v>584</v>
      </c>
      <c r="F129" s="52" t="s">
        <v>26</v>
      </c>
      <c r="G129" s="55" t="s">
        <v>276</v>
      </c>
      <c r="H129" s="55">
        <v>-1.5887690000000001</v>
      </c>
      <c r="I129" s="55">
        <v>-2.6278480000000002</v>
      </c>
      <c r="J129" s="55">
        <v>-0.81735400000000002</v>
      </c>
      <c r="K129" s="55">
        <v>-0.66040650000000001</v>
      </c>
      <c r="L129" s="55">
        <v>-0.51923799999999998</v>
      </c>
      <c r="M129" s="55">
        <v>-0.3832023</v>
      </c>
      <c r="N129" s="55">
        <v>-5.5379490000000002</v>
      </c>
    </row>
    <row r="130" spans="1:14" hidden="1" x14ac:dyDescent="0.35">
      <c r="A130" s="52" t="s">
        <v>206</v>
      </c>
      <c r="B130" s="52" t="s">
        <v>37</v>
      </c>
      <c r="C130" s="52" t="s">
        <v>99</v>
      </c>
      <c r="D130" s="52" t="s">
        <v>101</v>
      </c>
      <c r="E130" s="52" t="s">
        <v>584</v>
      </c>
      <c r="F130" s="52" t="s">
        <v>26</v>
      </c>
      <c r="G130" s="55" t="s">
        <v>277</v>
      </c>
      <c r="H130" s="55">
        <v>3.680984</v>
      </c>
      <c r="I130" s="55">
        <v>2.8027899999999999</v>
      </c>
      <c r="J130" s="55">
        <v>1.8618380000000001</v>
      </c>
      <c r="K130" s="55">
        <v>1.3427450000000001</v>
      </c>
      <c r="L130" s="55">
        <v>1.0388280000000001</v>
      </c>
      <c r="M130" s="55"/>
      <c r="N130" s="55"/>
    </row>
    <row r="131" spans="1:14" hidden="1" x14ac:dyDescent="0.35">
      <c r="A131" s="52" t="s">
        <v>206</v>
      </c>
      <c r="B131" s="52" t="s">
        <v>37</v>
      </c>
      <c r="C131" s="52" t="s">
        <v>99</v>
      </c>
      <c r="D131" s="52" t="s">
        <v>101</v>
      </c>
      <c r="E131" s="52" t="s">
        <v>584</v>
      </c>
      <c r="F131" s="52" t="s">
        <v>26</v>
      </c>
      <c r="G131" s="55" t="s">
        <v>279</v>
      </c>
      <c r="H131" s="55">
        <v>2.690887</v>
      </c>
      <c r="I131" s="55">
        <v>2.2539349999999998</v>
      </c>
      <c r="J131" s="55">
        <v>2.1444450000000002</v>
      </c>
      <c r="K131" s="55">
        <v>2.264481</v>
      </c>
      <c r="L131" s="55">
        <v>2.327353</v>
      </c>
      <c r="M131" s="55">
        <v>2.199967</v>
      </c>
      <c r="N131" s="55">
        <v>25.794160000000002</v>
      </c>
    </row>
    <row r="132" spans="1:14" hidden="1" x14ac:dyDescent="0.35">
      <c r="A132" s="52" t="s">
        <v>206</v>
      </c>
      <c r="B132" s="52" t="s">
        <v>37</v>
      </c>
      <c r="C132" s="52" t="s">
        <v>118</v>
      </c>
      <c r="D132" s="52" t="s">
        <v>118</v>
      </c>
      <c r="E132" s="52" t="s">
        <v>584</v>
      </c>
      <c r="F132" s="52" t="s">
        <v>26</v>
      </c>
      <c r="G132" s="55" t="s">
        <v>275</v>
      </c>
      <c r="H132" s="55">
        <v>-1.213138</v>
      </c>
      <c r="I132" s="55">
        <v>-0.84298879999999998</v>
      </c>
      <c r="J132" s="55">
        <v>-0.7868058</v>
      </c>
      <c r="K132" s="55">
        <v>-0.89017120000000005</v>
      </c>
      <c r="L132" s="55">
        <v>-0.95679820000000004</v>
      </c>
      <c r="M132" s="55">
        <v>-0.92370459999999999</v>
      </c>
      <c r="N132" s="55">
        <v>-0.86548290000000005</v>
      </c>
    </row>
    <row r="133" spans="1:14" hidden="1" x14ac:dyDescent="0.35">
      <c r="A133" s="52" t="s">
        <v>206</v>
      </c>
      <c r="B133" s="52" t="s">
        <v>37</v>
      </c>
      <c r="C133" s="52" t="s">
        <v>118</v>
      </c>
      <c r="D133" s="52" t="s">
        <v>118</v>
      </c>
      <c r="E133" s="52" t="s">
        <v>584</v>
      </c>
      <c r="F133" s="52" t="s">
        <v>26</v>
      </c>
      <c r="G133" s="55" t="s">
        <v>276</v>
      </c>
      <c r="H133" s="55">
        <v>-0.65099799999999997</v>
      </c>
      <c r="I133" s="55">
        <v>-0.5906787</v>
      </c>
      <c r="J133" s="55">
        <v>-0.4709777</v>
      </c>
      <c r="K133" s="55">
        <v>-0.40307130000000002</v>
      </c>
      <c r="L133" s="55">
        <v>-0.34527930000000001</v>
      </c>
      <c r="M133" s="55">
        <v>-0.29285650000000002</v>
      </c>
      <c r="N133" s="55">
        <v>-0.2764588</v>
      </c>
    </row>
    <row r="134" spans="1:14" hidden="1" x14ac:dyDescent="0.35">
      <c r="A134" s="52" t="s">
        <v>206</v>
      </c>
      <c r="B134" s="52" t="s">
        <v>37</v>
      </c>
      <c r="C134" s="52" t="s">
        <v>118</v>
      </c>
      <c r="D134" s="52" t="s">
        <v>118</v>
      </c>
      <c r="E134" s="52" t="s">
        <v>584</v>
      </c>
      <c r="F134" s="52" t="s">
        <v>26</v>
      </c>
      <c r="G134" s="55" t="s">
        <v>277</v>
      </c>
      <c r="H134" s="55">
        <v>2.1688399999999999</v>
      </c>
      <c r="I134" s="55">
        <v>1.655251</v>
      </c>
      <c r="J134" s="55">
        <v>1.55854</v>
      </c>
      <c r="K134" s="55">
        <v>1.5080340000000001</v>
      </c>
      <c r="L134" s="55">
        <v>1.4456519999999999</v>
      </c>
      <c r="M134" s="55">
        <v>1.3549070000000001</v>
      </c>
      <c r="N134" s="55">
        <v>1.275126</v>
      </c>
    </row>
    <row r="135" spans="1:14" hidden="1" x14ac:dyDescent="0.35">
      <c r="A135" s="52" t="s">
        <v>206</v>
      </c>
      <c r="B135" s="52" t="s">
        <v>37</v>
      </c>
      <c r="C135" s="52" t="s">
        <v>118</v>
      </c>
      <c r="D135" s="52" t="s">
        <v>118</v>
      </c>
      <c r="E135" s="52" t="s">
        <v>584</v>
      </c>
      <c r="F135" s="52" t="s">
        <v>26</v>
      </c>
      <c r="G135" s="55" t="s">
        <v>279</v>
      </c>
      <c r="H135" s="55">
        <v>1.435616</v>
      </c>
      <c r="I135" s="55">
        <v>1.2198450000000001</v>
      </c>
      <c r="J135" s="55">
        <v>1.1909149999999999</v>
      </c>
      <c r="K135" s="55">
        <v>1.265069</v>
      </c>
      <c r="L135" s="55">
        <v>1.311939</v>
      </c>
      <c r="M135" s="55">
        <v>1.260399</v>
      </c>
      <c r="N135" s="55">
        <v>1.215792</v>
      </c>
    </row>
    <row r="136" spans="1:14" hidden="1" x14ac:dyDescent="0.35">
      <c r="A136" s="52" t="s">
        <v>206</v>
      </c>
      <c r="B136" s="52" t="s">
        <v>37</v>
      </c>
      <c r="C136" s="52" t="s">
        <v>46</v>
      </c>
      <c r="D136" s="52" t="s">
        <v>46</v>
      </c>
      <c r="E136" s="52" t="s">
        <v>584</v>
      </c>
      <c r="F136" s="52" t="s">
        <v>26</v>
      </c>
      <c r="G136" s="55" t="s">
        <v>275</v>
      </c>
      <c r="H136" s="55">
        <v>-2.6016999999999998E-2</v>
      </c>
      <c r="I136" s="55">
        <v>-1.7625999999999999E-2</v>
      </c>
      <c r="J136" s="55">
        <v>-1.4867099999999999E-2</v>
      </c>
      <c r="K136" s="55">
        <v>-1.62857E-2</v>
      </c>
      <c r="L136" s="55">
        <v>-1.6448000000000001E-2</v>
      </c>
      <c r="M136" s="55">
        <v>-1.6849200000000002E-2</v>
      </c>
      <c r="N136" s="55">
        <v>-1.6427899999999999E-2</v>
      </c>
    </row>
    <row r="137" spans="1:14" hidden="1" x14ac:dyDescent="0.35">
      <c r="A137" s="52" t="s">
        <v>206</v>
      </c>
      <c r="B137" s="52" t="s">
        <v>37</v>
      </c>
      <c r="C137" s="52" t="s">
        <v>46</v>
      </c>
      <c r="D137" s="52" t="s">
        <v>46</v>
      </c>
      <c r="E137" s="52" t="s">
        <v>584</v>
      </c>
      <c r="F137" s="52" t="s">
        <v>26</v>
      </c>
      <c r="G137" s="55" t="s">
        <v>276</v>
      </c>
      <c r="H137" s="55">
        <v>-7.0590000000000002E-3</v>
      </c>
      <c r="I137" s="55">
        <v>-7.0828000000000002E-3</v>
      </c>
      <c r="J137" s="55">
        <v>-5.2686E-3</v>
      </c>
      <c r="K137" s="55">
        <v>-5.3203E-3</v>
      </c>
      <c r="L137" s="55">
        <v>-6.2525999999999997E-3</v>
      </c>
      <c r="M137" s="55">
        <v>-5.0654999999999997E-3</v>
      </c>
      <c r="N137" s="55">
        <v>-4.7987999999999998E-3</v>
      </c>
    </row>
    <row r="138" spans="1:14" hidden="1" x14ac:dyDescent="0.35">
      <c r="A138" s="52" t="s">
        <v>206</v>
      </c>
      <c r="B138" s="52" t="s">
        <v>37</v>
      </c>
      <c r="C138" s="52" t="s">
        <v>46</v>
      </c>
      <c r="D138" s="52" t="s">
        <v>46</v>
      </c>
      <c r="E138" s="52" t="s">
        <v>584</v>
      </c>
      <c r="F138" s="52" t="s">
        <v>26</v>
      </c>
      <c r="G138" s="55" t="s">
        <v>277</v>
      </c>
      <c r="H138" s="55">
        <v>5.1915000000000003E-2</v>
      </c>
      <c r="I138" s="55">
        <v>3.9627999999999997E-2</v>
      </c>
      <c r="J138" s="55">
        <v>3.7718000000000002E-2</v>
      </c>
      <c r="K138" s="55">
        <v>3.6970999999999997E-2</v>
      </c>
      <c r="L138" s="55">
        <v>3.6239E-2</v>
      </c>
      <c r="M138" s="55">
        <v>3.5521999999999998E-2</v>
      </c>
      <c r="N138" s="55">
        <v>3.4916000000000003E-2</v>
      </c>
    </row>
    <row r="139" spans="1:14" hidden="1" x14ac:dyDescent="0.35">
      <c r="A139" s="52" t="s">
        <v>206</v>
      </c>
      <c r="B139" s="52" t="s">
        <v>37</v>
      </c>
      <c r="C139" s="52" t="s">
        <v>46</v>
      </c>
      <c r="D139" s="52" t="s">
        <v>46</v>
      </c>
      <c r="E139" s="52" t="s">
        <v>584</v>
      </c>
      <c r="F139" s="52" t="s">
        <v>26</v>
      </c>
      <c r="G139" s="55" t="s">
        <v>279</v>
      </c>
      <c r="H139" s="55">
        <v>3.4509999999999999E-2</v>
      </c>
      <c r="I139" s="55">
        <v>2.96961E-2</v>
      </c>
      <c r="J139" s="55">
        <v>2.9163399999999999E-2</v>
      </c>
      <c r="K139" s="55">
        <v>3.1607900000000001E-2</v>
      </c>
      <c r="L139" s="55">
        <v>3.3691400000000003E-2</v>
      </c>
      <c r="M139" s="55">
        <v>3.3849600000000001E-2</v>
      </c>
      <c r="N139" s="55">
        <v>3.4102E-2</v>
      </c>
    </row>
    <row r="140" spans="1:14" hidden="1" x14ac:dyDescent="0.35">
      <c r="A140" s="52" t="s">
        <v>206</v>
      </c>
      <c r="B140" s="52" t="s">
        <v>37</v>
      </c>
      <c r="C140" s="52" t="s">
        <v>114</v>
      </c>
      <c r="D140" s="52" t="s">
        <v>114</v>
      </c>
      <c r="E140" s="52" t="s">
        <v>584</v>
      </c>
      <c r="F140" s="52" t="s">
        <v>581</v>
      </c>
      <c r="G140" s="55" t="s">
        <v>275</v>
      </c>
      <c r="H140" s="55"/>
      <c r="I140" s="55"/>
      <c r="J140" s="55"/>
      <c r="K140" s="55"/>
      <c r="L140" s="55"/>
      <c r="M140" s="55">
        <v>0</v>
      </c>
      <c r="N140" s="55">
        <v>0</v>
      </c>
    </row>
    <row r="141" spans="1:14" hidden="1" x14ac:dyDescent="0.35">
      <c r="A141" s="52" t="s">
        <v>206</v>
      </c>
      <c r="B141" s="52" t="s">
        <v>37</v>
      </c>
      <c r="C141" s="52" t="s">
        <v>114</v>
      </c>
      <c r="D141" s="52" t="s">
        <v>114</v>
      </c>
      <c r="E141" s="52" t="s">
        <v>584</v>
      </c>
      <c r="F141" s="52" t="s">
        <v>581</v>
      </c>
      <c r="G141" s="55" t="s">
        <v>276</v>
      </c>
      <c r="H141" s="55"/>
      <c r="I141" s="55"/>
      <c r="J141" s="55"/>
      <c r="K141" s="55"/>
      <c r="L141" s="55"/>
      <c r="M141" s="55">
        <v>0</v>
      </c>
      <c r="N141" s="55">
        <v>0</v>
      </c>
    </row>
    <row r="142" spans="1:14" hidden="1" x14ac:dyDescent="0.35">
      <c r="A142" s="52" t="s">
        <v>206</v>
      </c>
      <c r="B142" s="52" t="s">
        <v>37</v>
      </c>
      <c r="C142" s="52" t="s">
        <v>114</v>
      </c>
      <c r="D142" s="52" t="s">
        <v>114</v>
      </c>
      <c r="E142" s="52" t="s">
        <v>584</v>
      </c>
      <c r="F142" s="52" t="s">
        <v>581</v>
      </c>
      <c r="G142" s="55" t="s">
        <v>277</v>
      </c>
      <c r="H142" s="55"/>
      <c r="I142" s="55"/>
      <c r="J142" s="55"/>
      <c r="K142" s="55"/>
      <c r="L142" s="55"/>
      <c r="M142" s="55">
        <v>0</v>
      </c>
      <c r="N142" s="55">
        <v>0</v>
      </c>
    </row>
    <row r="143" spans="1:14" hidden="1" x14ac:dyDescent="0.35">
      <c r="A143" s="52" t="s">
        <v>206</v>
      </c>
      <c r="B143" s="52" t="s">
        <v>37</v>
      </c>
      <c r="C143" s="52" t="s">
        <v>114</v>
      </c>
      <c r="D143" s="52" t="s">
        <v>114</v>
      </c>
      <c r="E143" s="52" t="s">
        <v>584</v>
      </c>
      <c r="F143" s="52" t="s">
        <v>26</v>
      </c>
      <c r="G143" s="55" t="s">
        <v>275</v>
      </c>
      <c r="H143" s="55">
        <v>3.9053740000000001E-3</v>
      </c>
      <c r="I143" s="55">
        <v>-3.9544990000000002E-3</v>
      </c>
      <c r="J143" s="55">
        <v>1.23375E-3</v>
      </c>
      <c r="K143" s="55">
        <v>9.869999E-4</v>
      </c>
      <c r="L143" s="55">
        <v>7.4037500000000004E-4</v>
      </c>
      <c r="M143" s="55">
        <v>4.9350000000000002E-4</v>
      </c>
      <c r="N143" s="55">
        <v>2.4675000000000001E-4</v>
      </c>
    </row>
    <row r="144" spans="1:14" hidden="1" x14ac:dyDescent="0.35">
      <c r="A144" s="52" t="s">
        <v>206</v>
      </c>
      <c r="B144" s="52" t="s">
        <v>37</v>
      </c>
      <c r="C144" s="52" t="s">
        <v>114</v>
      </c>
      <c r="D144" s="52" t="s">
        <v>114</v>
      </c>
      <c r="E144" s="52" t="s">
        <v>584</v>
      </c>
      <c r="F144" s="52" t="s">
        <v>26</v>
      </c>
      <c r="G144" s="55" t="s">
        <v>276</v>
      </c>
      <c r="H144" s="55">
        <v>-9.5873750000000004E-3</v>
      </c>
      <c r="I144" s="55">
        <v>-1.7272500000000001E-3</v>
      </c>
      <c r="J144" s="55">
        <v>0</v>
      </c>
      <c r="K144" s="55">
        <v>0</v>
      </c>
      <c r="L144" s="55">
        <v>0</v>
      </c>
      <c r="M144" s="55">
        <v>0</v>
      </c>
      <c r="N144" s="55">
        <v>0</v>
      </c>
    </row>
    <row r="145" spans="1:14" hidden="1" x14ac:dyDescent="0.35">
      <c r="A145" s="52" t="s">
        <v>206</v>
      </c>
      <c r="B145" s="52" t="s">
        <v>37</v>
      </c>
      <c r="C145" s="52" t="s">
        <v>114</v>
      </c>
      <c r="D145" s="52" t="s">
        <v>114</v>
      </c>
      <c r="E145" s="52" t="s">
        <v>584</v>
      </c>
      <c r="F145" s="52" t="s">
        <v>26</v>
      </c>
      <c r="G145" s="55" t="s">
        <v>278</v>
      </c>
      <c r="H145" s="55">
        <v>5.6818750000000003E-3</v>
      </c>
      <c r="I145" s="55">
        <v>5.6818750000000003E-3</v>
      </c>
      <c r="J145" s="55">
        <v>0</v>
      </c>
      <c r="K145" s="55">
        <v>0</v>
      </c>
      <c r="L145" s="55">
        <v>0</v>
      </c>
      <c r="M145" s="55">
        <v>0</v>
      </c>
      <c r="N145" s="55"/>
    </row>
    <row r="146" spans="1:14" hidden="1" x14ac:dyDescent="0.35">
      <c r="A146" s="52" t="s">
        <v>206</v>
      </c>
      <c r="B146" s="52" t="s">
        <v>37</v>
      </c>
      <c r="C146" s="52" t="s">
        <v>114</v>
      </c>
      <c r="D146" s="52" t="s">
        <v>114</v>
      </c>
      <c r="E146" s="52" t="s">
        <v>584</v>
      </c>
      <c r="F146" s="52" t="s">
        <v>26</v>
      </c>
      <c r="G146" s="55" t="s">
        <v>279</v>
      </c>
      <c r="H146" s="55">
        <v>0</v>
      </c>
      <c r="I146" s="55"/>
      <c r="J146" s="55"/>
      <c r="K146" s="55"/>
      <c r="L146" s="55"/>
      <c r="M146" s="55"/>
      <c r="N146" s="55"/>
    </row>
    <row r="147" spans="1:14" hidden="1" x14ac:dyDescent="0.35">
      <c r="A147" s="52" t="s">
        <v>206</v>
      </c>
      <c r="B147" s="52" t="s">
        <v>37</v>
      </c>
      <c r="C147" s="52" t="s">
        <v>318</v>
      </c>
      <c r="D147" s="52" t="s">
        <v>318</v>
      </c>
      <c r="E147" s="52" t="s">
        <v>584</v>
      </c>
      <c r="F147" s="52" t="s">
        <v>581</v>
      </c>
      <c r="G147" s="55" t="s">
        <v>275</v>
      </c>
      <c r="H147" s="55">
        <v>58.39931</v>
      </c>
      <c r="I147" s="55">
        <v>0</v>
      </c>
      <c r="J147" s="55"/>
      <c r="K147" s="55"/>
      <c r="L147" s="55"/>
      <c r="M147" s="55"/>
      <c r="N147" s="55"/>
    </row>
    <row r="148" spans="1:14" hidden="1" x14ac:dyDescent="0.35">
      <c r="A148" s="52" t="s">
        <v>206</v>
      </c>
      <c r="B148" s="52" t="s">
        <v>37</v>
      </c>
      <c r="C148" s="52" t="s">
        <v>318</v>
      </c>
      <c r="D148" s="52" t="s">
        <v>318</v>
      </c>
      <c r="E148" s="52" t="s">
        <v>584</v>
      </c>
      <c r="F148" s="52" t="s">
        <v>581</v>
      </c>
      <c r="G148" s="55" t="s">
        <v>276</v>
      </c>
      <c r="H148" s="55">
        <v>-25.237760000000002</v>
      </c>
      <c r="I148" s="55">
        <v>0</v>
      </c>
      <c r="J148" s="55"/>
      <c r="K148" s="55"/>
      <c r="L148" s="55"/>
      <c r="M148" s="55"/>
      <c r="N148" s="55"/>
    </row>
    <row r="149" spans="1:14" hidden="1" x14ac:dyDescent="0.35">
      <c r="A149" s="52" t="s">
        <v>206</v>
      </c>
      <c r="B149" s="52" t="s">
        <v>37</v>
      </c>
      <c r="C149" s="52" t="s">
        <v>318</v>
      </c>
      <c r="D149" s="52" t="s">
        <v>318</v>
      </c>
      <c r="E149" s="52" t="s">
        <v>584</v>
      </c>
      <c r="F149" s="52" t="s">
        <v>581</v>
      </c>
      <c r="G149" s="55" t="s">
        <v>278</v>
      </c>
      <c r="H149" s="55">
        <v>-33.161549999999998</v>
      </c>
      <c r="I149" s="55">
        <v>0</v>
      </c>
      <c r="J149" s="55"/>
      <c r="K149" s="55"/>
      <c r="L149" s="55"/>
      <c r="M149" s="55"/>
      <c r="N149" s="55"/>
    </row>
    <row r="150" spans="1:14" hidden="1" x14ac:dyDescent="0.35">
      <c r="A150" s="52" t="s">
        <v>206</v>
      </c>
      <c r="B150" s="52" t="s">
        <v>37</v>
      </c>
      <c r="C150" s="52" t="s">
        <v>318</v>
      </c>
      <c r="D150" s="52" t="s">
        <v>318</v>
      </c>
      <c r="E150" s="52" t="s">
        <v>584</v>
      </c>
      <c r="F150" s="52" t="s">
        <v>26</v>
      </c>
      <c r="G150" s="55" t="s">
        <v>275</v>
      </c>
      <c r="H150" s="55">
        <v>38.932879999999997</v>
      </c>
      <c r="I150" s="55">
        <v>0</v>
      </c>
      <c r="J150" s="55"/>
      <c r="K150" s="55"/>
      <c r="L150" s="55"/>
      <c r="M150" s="55"/>
      <c r="N150" s="55"/>
    </row>
    <row r="151" spans="1:14" hidden="1" x14ac:dyDescent="0.35">
      <c r="A151" s="52" t="s">
        <v>206</v>
      </c>
      <c r="B151" s="52" t="s">
        <v>37</v>
      </c>
      <c r="C151" s="52" t="s">
        <v>318</v>
      </c>
      <c r="D151" s="52" t="s">
        <v>318</v>
      </c>
      <c r="E151" s="52" t="s">
        <v>584</v>
      </c>
      <c r="F151" s="52" t="s">
        <v>26</v>
      </c>
      <c r="G151" s="55" t="s">
        <v>276</v>
      </c>
      <c r="H151" s="55">
        <v>-16.82517</v>
      </c>
      <c r="I151" s="55">
        <v>0</v>
      </c>
      <c r="J151" s="55"/>
      <c r="K151" s="55"/>
      <c r="L151" s="55"/>
      <c r="M151" s="55"/>
      <c r="N151" s="55"/>
    </row>
    <row r="152" spans="1:14" hidden="1" x14ac:dyDescent="0.35">
      <c r="A152" s="52" t="s">
        <v>206</v>
      </c>
      <c r="B152" s="52" t="s">
        <v>37</v>
      </c>
      <c r="C152" s="52" t="s">
        <v>318</v>
      </c>
      <c r="D152" s="52" t="s">
        <v>318</v>
      </c>
      <c r="E152" s="52" t="s">
        <v>584</v>
      </c>
      <c r="F152" s="52" t="s">
        <v>26</v>
      </c>
      <c r="G152" s="55" t="s">
        <v>278</v>
      </c>
      <c r="H152" s="55">
        <v>-22.107700000000001</v>
      </c>
      <c r="I152" s="55">
        <v>0</v>
      </c>
      <c r="J152" s="55"/>
      <c r="K152" s="55"/>
      <c r="L152" s="55"/>
      <c r="M152" s="55"/>
      <c r="N152" s="55"/>
    </row>
    <row r="153" spans="1:14" hidden="1" x14ac:dyDescent="0.35">
      <c r="A153" s="52" t="s">
        <v>206</v>
      </c>
      <c r="B153" s="52" t="s">
        <v>53</v>
      </c>
      <c r="C153" s="52" t="s">
        <v>186</v>
      </c>
      <c r="D153" s="52" t="s">
        <v>186</v>
      </c>
      <c r="E153" s="52" t="s">
        <v>584</v>
      </c>
      <c r="F153" s="52" t="s">
        <v>26</v>
      </c>
      <c r="G153" s="55" t="s">
        <v>275</v>
      </c>
      <c r="H153" s="55">
        <v>427.89319999999998</v>
      </c>
      <c r="I153" s="55">
        <v>490.19150000000002</v>
      </c>
      <c r="J153" s="55">
        <v>497.63</v>
      </c>
      <c r="K153" s="55">
        <v>489.05889999999999</v>
      </c>
      <c r="L153" s="55">
        <v>495.9744</v>
      </c>
      <c r="M153" s="55">
        <v>503.43090000000001</v>
      </c>
      <c r="N153" s="55">
        <v>329.81729999999999</v>
      </c>
    </row>
    <row r="154" spans="1:14" hidden="1" x14ac:dyDescent="0.35">
      <c r="A154" s="52" t="s">
        <v>206</v>
      </c>
      <c r="B154" s="52" t="s">
        <v>53</v>
      </c>
      <c r="C154" s="52" t="s">
        <v>186</v>
      </c>
      <c r="D154" s="52" t="s">
        <v>186</v>
      </c>
      <c r="E154" s="52" t="s">
        <v>584</v>
      </c>
      <c r="F154" s="52" t="s">
        <v>26</v>
      </c>
      <c r="G154" s="55" t="s">
        <v>276</v>
      </c>
      <c r="H154" s="55">
        <v>288.09780000000001</v>
      </c>
      <c r="I154" s="55">
        <v>324.01990000000001</v>
      </c>
      <c r="J154" s="55">
        <v>330.05630000000002</v>
      </c>
      <c r="K154" s="55">
        <v>329.30259999999998</v>
      </c>
      <c r="L154" s="55">
        <v>335.25900000000001</v>
      </c>
      <c r="M154" s="55">
        <v>341.5222</v>
      </c>
      <c r="N154" s="55">
        <v>532.02009999999996</v>
      </c>
    </row>
    <row r="155" spans="1:14" hidden="1" x14ac:dyDescent="0.35">
      <c r="A155" s="52" t="s">
        <v>206</v>
      </c>
      <c r="B155" s="52" t="s">
        <v>53</v>
      </c>
      <c r="C155" s="52" t="s">
        <v>186</v>
      </c>
      <c r="D155" s="52" t="s">
        <v>186</v>
      </c>
      <c r="E155" s="52" t="s">
        <v>584</v>
      </c>
      <c r="F155" s="52" t="s">
        <v>26</v>
      </c>
      <c r="G155" s="55" t="s">
        <v>277</v>
      </c>
      <c r="H155" s="55">
        <v>7.5</v>
      </c>
      <c r="I155" s="55">
        <v>9.8850829999999998</v>
      </c>
      <c r="J155" s="55">
        <v>13.86628</v>
      </c>
      <c r="K155" s="55">
        <v>21.901039999999998</v>
      </c>
      <c r="L155" s="55">
        <v>30.003990000000002</v>
      </c>
      <c r="M155" s="55">
        <v>37.783200000000001</v>
      </c>
      <c r="N155" s="55">
        <v>42.93365</v>
      </c>
    </row>
    <row r="156" spans="1:14" hidden="1" x14ac:dyDescent="0.35">
      <c r="A156" s="52" t="s">
        <v>206</v>
      </c>
      <c r="B156" s="52" t="s">
        <v>53</v>
      </c>
      <c r="C156" s="52" t="s">
        <v>186</v>
      </c>
      <c r="D156" s="52" t="s">
        <v>186</v>
      </c>
      <c r="E156" s="52" t="s">
        <v>584</v>
      </c>
      <c r="F156" s="52" t="s">
        <v>26</v>
      </c>
      <c r="G156" s="55" t="s">
        <v>279</v>
      </c>
      <c r="H156" s="55">
        <v>323.65890000000002</v>
      </c>
      <c r="I156" s="55">
        <v>315.28160000000003</v>
      </c>
      <c r="J156" s="55">
        <v>326.30990000000003</v>
      </c>
      <c r="K156" s="55">
        <v>356.79660000000001</v>
      </c>
      <c r="L156" s="55">
        <v>365.74810000000002</v>
      </c>
      <c r="M156" s="55">
        <v>374.92399999999998</v>
      </c>
      <c r="N156" s="55">
        <v>384.3306</v>
      </c>
    </row>
    <row r="157" spans="1:14" hidden="1" x14ac:dyDescent="0.35">
      <c r="A157" s="52" t="s">
        <v>206</v>
      </c>
      <c r="B157" s="52" t="s">
        <v>53</v>
      </c>
      <c r="C157" s="52" t="s">
        <v>166</v>
      </c>
      <c r="D157" s="52" t="s">
        <v>166</v>
      </c>
      <c r="E157" s="52" t="s">
        <v>584</v>
      </c>
      <c r="F157" s="52" t="s">
        <v>26</v>
      </c>
      <c r="G157" s="55" t="s">
        <v>275</v>
      </c>
      <c r="H157" s="55">
        <v>294.78859999999997</v>
      </c>
      <c r="I157" s="55">
        <v>351.91699999999997</v>
      </c>
      <c r="J157" s="55">
        <v>379.50200000000001</v>
      </c>
      <c r="K157" s="55">
        <v>369.27190000000002</v>
      </c>
      <c r="L157" s="55">
        <v>379.92059999999998</v>
      </c>
      <c r="M157" s="55">
        <v>373.36970000000002</v>
      </c>
      <c r="N157" s="55">
        <v>344.6386</v>
      </c>
    </row>
    <row r="158" spans="1:14" hidden="1" x14ac:dyDescent="0.35">
      <c r="A158" s="52" t="s">
        <v>206</v>
      </c>
      <c r="B158" s="52" t="s">
        <v>53</v>
      </c>
      <c r="C158" s="52" t="s">
        <v>166</v>
      </c>
      <c r="D158" s="52" t="s">
        <v>166</v>
      </c>
      <c r="E158" s="52" t="s">
        <v>584</v>
      </c>
      <c r="F158" s="52" t="s">
        <v>26</v>
      </c>
      <c r="G158" s="55" t="s">
        <v>276</v>
      </c>
      <c r="H158" s="55">
        <v>283.82490000000001</v>
      </c>
      <c r="I158" s="55">
        <v>310.9581</v>
      </c>
      <c r="J158" s="55">
        <v>334.45460000000003</v>
      </c>
      <c r="K158" s="55">
        <v>367.61200000000002</v>
      </c>
      <c r="L158" s="55">
        <v>383.71589999999998</v>
      </c>
      <c r="M158" s="55">
        <v>387.00099999999998</v>
      </c>
      <c r="N158" s="55">
        <v>362.08109999999999</v>
      </c>
    </row>
    <row r="159" spans="1:14" hidden="1" x14ac:dyDescent="0.35">
      <c r="A159" s="52" t="s">
        <v>206</v>
      </c>
      <c r="B159" s="52" t="s">
        <v>53</v>
      </c>
      <c r="C159" s="52" t="s">
        <v>166</v>
      </c>
      <c r="D159" s="52" t="s">
        <v>166</v>
      </c>
      <c r="E159" s="52" t="s">
        <v>584</v>
      </c>
      <c r="F159" s="52" t="s">
        <v>26</v>
      </c>
      <c r="G159" s="55" t="s">
        <v>277</v>
      </c>
      <c r="H159" s="55">
        <v>174.78970000000001</v>
      </c>
      <c r="I159" s="55">
        <v>133.33619999999999</v>
      </c>
      <c r="J159" s="55">
        <v>107.2757</v>
      </c>
      <c r="K159" s="55">
        <v>71.032039999999995</v>
      </c>
      <c r="L159" s="55">
        <v>52.059780000000003</v>
      </c>
      <c r="M159" s="55">
        <v>25.822859999999999</v>
      </c>
      <c r="N159" s="55">
        <v>26.009530000000002</v>
      </c>
    </row>
    <row r="160" spans="1:14" hidden="1" x14ac:dyDescent="0.35">
      <c r="A160" s="52" t="s">
        <v>206</v>
      </c>
      <c r="B160" s="52" t="s">
        <v>53</v>
      </c>
      <c r="C160" s="52" t="s">
        <v>166</v>
      </c>
      <c r="D160" s="52" t="s">
        <v>166</v>
      </c>
      <c r="E160" s="52" t="s">
        <v>584</v>
      </c>
      <c r="F160" s="52" t="s">
        <v>26</v>
      </c>
      <c r="G160" s="55" t="s">
        <v>278</v>
      </c>
      <c r="H160" s="55">
        <v>2.0241639999999999</v>
      </c>
      <c r="I160" s="55">
        <v>2.5880010000000002</v>
      </c>
      <c r="J160" s="55">
        <v>5.7043270000000001</v>
      </c>
      <c r="K160" s="55">
        <v>7.4589189999999999</v>
      </c>
      <c r="L160" s="55">
        <v>4.359534</v>
      </c>
      <c r="M160" s="55">
        <v>3.534008</v>
      </c>
      <c r="N160" s="55">
        <v>4.2629960000000002</v>
      </c>
    </row>
    <row r="161" spans="1:14" hidden="1" x14ac:dyDescent="0.35">
      <c r="A161" s="52" t="s">
        <v>206</v>
      </c>
      <c r="B161" s="52" t="s">
        <v>53</v>
      </c>
      <c r="C161" s="52" t="s">
        <v>166</v>
      </c>
      <c r="D161" s="52" t="s">
        <v>166</v>
      </c>
      <c r="E161" s="52" t="s">
        <v>584</v>
      </c>
      <c r="F161" s="52" t="s">
        <v>26</v>
      </c>
      <c r="G161" s="55" t="s">
        <v>279</v>
      </c>
      <c r="H161" s="55">
        <v>255.67509999999999</v>
      </c>
      <c r="I161" s="55">
        <v>239.62520000000001</v>
      </c>
      <c r="J161" s="55">
        <v>250.3245</v>
      </c>
      <c r="K161" s="55">
        <v>261.42430000000002</v>
      </c>
      <c r="L161" s="55">
        <v>249.13210000000001</v>
      </c>
      <c r="M161" s="55">
        <v>261.66950000000003</v>
      </c>
      <c r="N161" s="55">
        <v>244.76859999999999</v>
      </c>
    </row>
    <row r="162" spans="1:14" hidden="1" x14ac:dyDescent="0.35">
      <c r="A162" s="52" t="s">
        <v>206</v>
      </c>
      <c r="B162" s="52" t="s">
        <v>53</v>
      </c>
      <c r="C162" s="52" t="s">
        <v>178</v>
      </c>
      <c r="D162" s="52" t="s">
        <v>178</v>
      </c>
      <c r="E162" s="52" t="s">
        <v>584</v>
      </c>
      <c r="F162" s="52" t="s">
        <v>581</v>
      </c>
      <c r="G162" s="55" t="s">
        <v>275</v>
      </c>
      <c r="H162" s="55"/>
      <c r="I162" s="55"/>
      <c r="J162" s="55"/>
      <c r="K162" s="55"/>
      <c r="L162" s="55"/>
      <c r="M162" s="55"/>
      <c r="N162" s="55">
        <v>0</v>
      </c>
    </row>
    <row r="163" spans="1:14" hidden="1" x14ac:dyDescent="0.35">
      <c r="A163" s="52" t="s">
        <v>206</v>
      </c>
      <c r="B163" s="52" t="s">
        <v>53</v>
      </c>
      <c r="C163" s="52" t="s">
        <v>178</v>
      </c>
      <c r="D163" s="52" t="s">
        <v>178</v>
      </c>
      <c r="E163" s="52" t="s">
        <v>584</v>
      </c>
      <c r="F163" s="52" t="s">
        <v>581</v>
      </c>
      <c r="G163" s="55" t="s">
        <v>276</v>
      </c>
      <c r="H163" s="55"/>
      <c r="I163" s="55"/>
      <c r="J163" s="55"/>
      <c r="K163" s="55"/>
      <c r="L163" s="55"/>
      <c r="M163" s="55"/>
      <c r="N163" s="55">
        <v>0</v>
      </c>
    </row>
    <row r="164" spans="1:14" hidden="1" x14ac:dyDescent="0.35">
      <c r="A164" s="52" t="s">
        <v>206</v>
      </c>
      <c r="B164" s="52" t="s">
        <v>53</v>
      </c>
      <c r="C164" s="52" t="s">
        <v>178</v>
      </c>
      <c r="D164" s="52" t="s">
        <v>178</v>
      </c>
      <c r="E164" s="52" t="s">
        <v>584</v>
      </c>
      <c r="F164" s="52" t="s">
        <v>581</v>
      </c>
      <c r="G164" s="55" t="s">
        <v>279</v>
      </c>
      <c r="H164" s="55"/>
      <c r="I164" s="55"/>
      <c r="J164" s="55"/>
      <c r="K164" s="55"/>
      <c r="L164" s="55"/>
      <c r="M164" s="55"/>
      <c r="N164" s="55">
        <v>0</v>
      </c>
    </row>
    <row r="165" spans="1:14" hidden="1" x14ac:dyDescent="0.35">
      <c r="A165" s="52" t="s">
        <v>206</v>
      </c>
      <c r="B165" s="52" t="s">
        <v>53</v>
      </c>
      <c r="C165" s="52" t="s">
        <v>178</v>
      </c>
      <c r="D165" s="52" t="s">
        <v>178</v>
      </c>
      <c r="E165" s="52" t="s">
        <v>584</v>
      </c>
      <c r="F165" s="52" t="s">
        <v>26</v>
      </c>
      <c r="G165" s="55" t="s">
        <v>275</v>
      </c>
      <c r="H165" s="55">
        <v>7.2923749999999998</v>
      </c>
      <c r="I165" s="55">
        <v>6.3281619999999998</v>
      </c>
      <c r="J165" s="55">
        <v>6.7935819999999998</v>
      </c>
      <c r="K165" s="55">
        <v>7.2411599999999998</v>
      </c>
      <c r="L165" s="55">
        <v>8.0046660000000003</v>
      </c>
      <c r="M165" s="55">
        <v>8.3449159999999996</v>
      </c>
      <c r="N165" s="55">
        <v>9.8066600000000008</v>
      </c>
    </row>
    <row r="166" spans="1:14" hidden="1" x14ac:dyDescent="0.35">
      <c r="A166" s="52" t="s">
        <v>206</v>
      </c>
      <c r="B166" s="52" t="s">
        <v>53</v>
      </c>
      <c r="C166" s="52" t="s">
        <v>178</v>
      </c>
      <c r="D166" s="52" t="s">
        <v>178</v>
      </c>
      <c r="E166" s="52" t="s">
        <v>584</v>
      </c>
      <c r="F166" s="52" t="s">
        <v>26</v>
      </c>
      <c r="G166" s="55" t="s">
        <v>276</v>
      </c>
      <c r="H166" s="55">
        <v>5.0294480000000004</v>
      </c>
      <c r="I166" s="55">
        <v>4.5223659999999999</v>
      </c>
      <c r="J166" s="55">
        <v>4.7777820000000002</v>
      </c>
      <c r="K166" s="55">
        <v>5.1060990000000004</v>
      </c>
      <c r="L166" s="55">
        <v>4.8054740000000002</v>
      </c>
      <c r="M166" s="55">
        <v>5.858225</v>
      </c>
      <c r="N166" s="55">
        <v>6.610004</v>
      </c>
    </row>
    <row r="167" spans="1:14" hidden="1" x14ac:dyDescent="0.35">
      <c r="A167" s="52" t="s">
        <v>206</v>
      </c>
      <c r="B167" s="52" t="s">
        <v>53</v>
      </c>
      <c r="C167" s="52" t="s">
        <v>178</v>
      </c>
      <c r="D167" s="52" t="s">
        <v>178</v>
      </c>
      <c r="E167" s="52" t="s">
        <v>584</v>
      </c>
      <c r="F167" s="52" t="s">
        <v>26</v>
      </c>
      <c r="G167" s="55" t="s">
        <v>277</v>
      </c>
      <c r="H167" s="55">
        <v>1.566128</v>
      </c>
      <c r="I167" s="55">
        <v>2.4893070000000002</v>
      </c>
      <c r="J167" s="55">
        <v>2.4882460000000002</v>
      </c>
      <c r="K167" s="55">
        <v>2.5520719999999999</v>
      </c>
      <c r="L167" s="55">
        <v>2.617918</v>
      </c>
      <c r="M167" s="55">
        <v>2.6930010000000002</v>
      </c>
      <c r="N167" s="55">
        <v>1.417794</v>
      </c>
    </row>
    <row r="168" spans="1:14" hidden="1" x14ac:dyDescent="0.35">
      <c r="A168" s="52" t="s">
        <v>206</v>
      </c>
      <c r="B168" s="52" t="s">
        <v>53</v>
      </c>
      <c r="C168" s="52" t="s">
        <v>178</v>
      </c>
      <c r="D168" s="52" t="s">
        <v>178</v>
      </c>
      <c r="E168" s="52" t="s">
        <v>584</v>
      </c>
      <c r="F168" s="52" t="s">
        <v>26</v>
      </c>
      <c r="G168" s="55" t="s">
        <v>278</v>
      </c>
      <c r="H168" s="55">
        <v>1.6453430000000002E-2</v>
      </c>
      <c r="I168" s="55">
        <v>0.14928350000000001</v>
      </c>
      <c r="J168" s="55">
        <v>9.7272300000000006E-2</v>
      </c>
      <c r="K168" s="55">
        <v>9.7272310000000001E-2</v>
      </c>
      <c r="L168" s="55">
        <v>0.86287879999999995</v>
      </c>
      <c r="M168" s="55">
        <v>9.7272300000000006E-2</v>
      </c>
      <c r="N168" s="55">
        <v>9.7272310000000001E-2</v>
      </c>
    </row>
    <row r="169" spans="1:14" hidden="1" x14ac:dyDescent="0.35">
      <c r="A169" s="52" t="s">
        <v>206</v>
      </c>
      <c r="B169" s="52" t="s">
        <v>53</v>
      </c>
      <c r="C169" s="52" t="s">
        <v>178</v>
      </c>
      <c r="D169" s="52" t="s">
        <v>178</v>
      </c>
      <c r="E169" s="52" t="s">
        <v>584</v>
      </c>
      <c r="F169" s="52" t="s">
        <v>26</v>
      </c>
      <c r="G169" s="55" t="s">
        <v>279</v>
      </c>
      <c r="H169" s="55">
        <v>5.1341299999999999</v>
      </c>
      <c r="I169" s="55">
        <v>4.4187950000000003</v>
      </c>
      <c r="J169" s="55">
        <v>4.668005</v>
      </c>
      <c r="K169" s="55">
        <v>5.193244</v>
      </c>
      <c r="L169" s="55">
        <v>5.2765719999999998</v>
      </c>
      <c r="M169" s="55">
        <v>5.987317</v>
      </c>
      <c r="N169" s="55">
        <v>6.3021760000000002</v>
      </c>
    </row>
    <row r="170" spans="1:14" hidden="1" x14ac:dyDescent="0.35">
      <c r="A170" s="52" t="s">
        <v>206</v>
      </c>
      <c r="B170" s="52" t="s">
        <v>53</v>
      </c>
      <c r="C170" s="52" t="s">
        <v>318</v>
      </c>
      <c r="D170" s="52" t="s">
        <v>318</v>
      </c>
      <c r="E170" s="52" t="s">
        <v>584</v>
      </c>
      <c r="F170" s="52" t="s">
        <v>581</v>
      </c>
      <c r="G170" s="55" t="s">
        <v>275</v>
      </c>
      <c r="H170" s="55">
        <v>-9.1834939999999996</v>
      </c>
      <c r="I170" s="55">
        <v>0</v>
      </c>
      <c r="J170" s="55"/>
      <c r="K170" s="55"/>
      <c r="L170" s="55"/>
      <c r="M170" s="55"/>
      <c r="N170" s="55"/>
    </row>
    <row r="171" spans="1:14" hidden="1" x14ac:dyDescent="0.35">
      <c r="A171" s="52" t="s">
        <v>206</v>
      </c>
      <c r="B171" s="52" t="s">
        <v>53</v>
      </c>
      <c r="C171" s="52" t="s">
        <v>318</v>
      </c>
      <c r="D171" s="52" t="s">
        <v>318</v>
      </c>
      <c r="E171" s="52" t="s">
        <v>584</v>
      </c>
      <c r="F171" s="52" t="s">
        <v>581</v>
      </c>
      <c r="G171" s="55" t="s">
        <v>276</v>
      </c>
      <c r="H171" s="55">
        <v>-4.0301619999999998</v>
      </c>
      <c r="I171" s="55">
        <v>0</v>
      </c>
      <c r="J171" s="55"/>
      <c r="K171" s="55"/>
      <c r="L171" s="55"/>
      <c r="M171" s="55"/>
      <c r="N171" s="55"/>
    </row>
    <row r="172" spans="1:14" hidden="1" x14ac:dyDescent="0.35">
      <c r="A172" s="52" t="s">
        <v>206</v>
      </c>
      <c r="B172" s="52" t="s">
        <v>53</v>
      </c>
      <c r="C172" s="52" t="s">
        <v>318</v>
      </c>
      <c r="D172" s="52" t="s">
        <v>318</v>
      </c>
      <c r="E172" s="52" t="s">
        <v>584</v>
      </c>
      <c r="F172" s="52" t="s">
        <v>581</v>
      </c>
      <c r="G172" s="55" t="s">
        <v>278</v>
      </c>
      <c r="H172" s="55">
        <v>13.213660000000001</v>
      </c>
      <c r="I172" s="55">
        <v>0</v>
      </c>
      <c r="J172" s="55"/>
      <c r="K172" s="55"/>
      <c r="L172" s="55"/>
      <c r="M172" s="55"/>
      <c r="N172" s="55"/>
    </row>
    <row r="173" spans="1:14" hidden="1" x14ac:dyDescent="0.35">
      <c r="A173" s="52" t="s">
        <v>206</v>
      </c>
      <c r="B173" s="52" t="s">
        <v>53</v>
      </c>
      <c r="C173" s="52" t="s">
        <v>318</v>
      </c>
      <c r="D173" s="52" t="s">
        <v>318</v>
      </c>
      <c r="E173" s="52" t="s">
        <v>584</v>
      </c>
      <c r="F173" s="52" t="s">
        <v>26</v>
      </c>
      <c r="G173" s="55" t="s">
        <v>275</v>
      </c>
      <c r="H173" s="55">
        <v>-6.1223280000000004</v>
      </c>
      <c r="I173" s="55">
        <v>0</v>
      </c>
      <c r="J173" s="55"/>
      <c r="K173" s="55"/>
      <c r="L173" s="55"/>
      <c r="M173" s="55"/>
      <c r="N173" s="55"/>
    </row>
    <row r="174" spans="1:14" hidden="1" x14ac:dyDescent="0.35">
      <c r="A174" s="52" t="s">
        <v>206</v>
      </c>
      <c r="B174" s="52" t="s">
        <v>53</v>
      </c>
      <c r="C174" s="52" t="s">
        <v>318</v>
      </c>
      <c r="D174" s="52" t="s">
        <v>318</v>
      </c>
      <c r="E174" s="52" t="s">
        <v>584</v>
      </c>
      <c r="F174" s="52" t="s">
        <v>26</v>
      </c>
      <c r="G174" s="55" t="s">
        <v>276</v>
      </c>
      <c r="H174" s="55">
        <v>-2.6867779999999999</v>
      </c>
      <c r="I174" s="55">
        <v>0</v>
      </c>
      <c r="J174" s="55"/>
      <c r="K174" s="55"/>
      <c r="L174" s="55"/>
      <c r="M174" s="55"/>
      <c r="N174" s="55"/>
    </row>
    <row r="175" spans="1:14" hidden="1" x14ac:dyDescent="0.35">
      <c r="A175" s="52" t="s">
        <v>206</v>
      </c>
      <c r="B175" s="52" t="s">
        <v>53</v>
      </c>
      <c r="C175" s="52" t="s">
        <v>318</v>
      </c>
      <c r="D175" s="52" t="s">
        <v>318</v>
      </c>
      <c r="E175" s="52" t="s">
        <v>584</v>
      </c>
      <c r="F175" s="52" t="s">
        <v>26</v>
      </c>
      <c r="G175" s="55" t="s">
        <v>278</v>
      </c>
      <c r="H175" s="55">
        <v>8.8091069999999991</v>
      </c>
      <c r="I175" s="55">
        <v>0</v>
      </c>
      <c r="J175" s="55"/>
      <c r="K175" s="55"/>
      <c r="L175" s="55"/>
      <c r="M175" s="55"/>
      <c r="N175" s="55"/>
    </row>
    <row r="176" spans="1:14" hidden="1" x14ac:dyDescent="0.35">
      <c r="A176" s="52" t="s">
        <v>206</v>
      </c>
      <c r="B176" s="52" t="s">
        <v>53</v>
      </c>
      <c r="C176" s="52" t="s">
        <v>52</v>
      </c>
      <c r="D176" s="52" t="s">
        <v>52</v>
      </c>
      <c r="E176" s="52" t="s">
        <v>584</v>
      </c>
      <c r="F176" s="52" t="s">
        <v>26</v>
      </c>
      <c r="G176" s="55" t="s">
        <v>275</v>
      </c>
      <c r="H176" s="55">
        <v>-2.3809500000000001E-2</v>
      </c>
      <c r="I176" s="55">
        <v>-2.3809500000000001E-2</v>
      </c>
      <c r="J176" s="55">
        <v>0</v>
      </c>
      <c r="K176" s="55">
        <v>0</v>
      </c>
      <c r="L176" s="55">
        <v>0</v>
      </c>
      <c r="M176" s="55">
        <v>0</v>
      </c>
      <c r="N176" s="55">
        <v>0</v>
      </c>
    </row>
    <row r="177" spans="1:14" hidden="1" x14ac:dyDescent="0.35">
      <c r="A177" s="52" t="s">
        <v>206</v>
      </c>
      <c r="B177" s="52" t="s">
        <v>53</v>
      </c>
      <c r="C177" s="52" t="s">
        <v>52</v>
      </c>
      <c r="D177" s="52" t="s">
        <v>52</v>
      </c>
      <c r="E177" s="52" t="s">
        <v>584</v>
      </c>
      <c r="F177" s="52" t="s">
        <v>26</v>
      </c>
      <c r="G177" s="55" t="s">
        <v>276</v>
      </c>
      <c r="H177" s="55">
        <v>-1.0204E-2</v>
      </c>
      <c r="I177" s="55">
        <v>-1.0204E-2</v>
      </c>
      <c r="J177" s="55">
        <v>-3.4013500000000002E-2</v>
      </c>
      <c r="K177" s="55">
        <v>-3.4013500000000002E-2</v>
      </c>
      <c r="L177" s="55">
        <v>-3.4013000000000002E-2</v>
      </c>
      <c r="M177" s="55">
        <v>-3.4013500000000002E-2</v>
      </c>
      <c r="N177" s="55">
        <v>-3.4013000000000002E-2</v>
      </c>
    </row>
    <row r="178" spans="1:14" hidden="1" x14ac:dyDescent="0.35">
      <c r="A178" s="52" t="s">
        <v>206</v>
      </c>
      <c r="B178" s="52" t="s">
        <v>53</v>
      </c>
      <c r="C178" s="52" t="s">
        <v>52</v>
      </c>
      <c r="D178" s="52" t="s">
        <v>52</v>
      </c>
      <c r="E178" s="52" t="s">
        <v>584</v>
      </c>
      <c r="F178" s="52" t="s">
        <v>26</v>
      </c>
      <c r="G178" s="55" t="s">
        <v>278</v>
      </c>
      <c r="H178" s="55">
        <v>3.4013500000000002E-2</v>
      </c>
      <c r="I178" s="55">
        <v>3.4013500000000002E-2</v>
      </c>
      <c r="J178" s="55">
        <v>3.4013500000000002E-2</v>
      </c>
      <c r="K178" s="55">
        <v>3.4013500000000002E-2</v>
      </c>
      <c r="L178" s="55">
        <v>3.4013500000000002E-2</v>
      </c>
      <c r="M178" s="55">
        <v>3.4013500000000002E-2</v>
      </c>
      <c r="N178" s="55">
        <v>3.4013500000000002E-2</v>
      </c>
    </row>
    <row r="179" spans="1:14" hidden="1" x14ac:dyDescent="0.35">
      <c r="A179" s="52" t="s">
        <v>206</v>
      </c>
      <c r="B179" s="52" t="s">
        <v>53</v>
      </c>
      <c r="C179" s="52" t="s">
        <v>214</v>
      </c>
      <c r="D179" s="52" t="s">
        <v>214</v>
      </c>
      <c r="E179" s="52" t="s">
        <v>584</v>
      </c>
      <c r="F179" s="52" t="s">
        <v>26</v>
      </c>
      <c r="G179" s="55" t="s">
        <v>275</v>
      </c>
      <c r="H179" s="55">
        <v>-9.3891749999999996E-2</v>
      </c>
      <c r="I179" s="55">
        <v>-9.3891740000000001E-2</v>
      </c>
      <c r="J179" s="55">
        <v>0</v>
      </c>
      <c r="K179" s="55">
        <v>0</v>
      </c>
      <c r="L179" s="55">
        <v>0</v>
      </c>
      <c r="M179" s="55">
        <v>0</v>
      </c>
      <c r="N179" s="55">
        <v>0</v>
      </c>
    </row>
    <row r="180" spans="1:14" hidden="1" x14ac:dyDescent="0.35">
      <c r="A180" s="52" t="s">
        <v>206</v>
      </c>
      <c r="B180" s="52" t="s">
        <v>53</v>
      </c>
      <c r="C180" s="52" t="s">
        <v>214</v>
      </c>
      <c r="D180" s="52" t="s">
        <v>214</v>
      </c>
      <c r="E180" s="52" t="s">
        <v>584</v>
      </c>
      <c r="F180" s="52" t="s">
        <v>26</v>
      </c>
      <c r="G180" s="55" t="s">
        <v>276</v>
      </c>
      <c r="H180" s="55">
        <v>-4.0239370000000003E-2</v>
      </c>
      <c r="I180" s="55">
        <v>-4.0238999999999997E-2</v>
      </c>
      <c r="J180" s="55">
        <v>-0.1341311</v>
      </c>
      <c r="K180" s="55">
        <v>-1.031477</v>
      </c>
      <c r="L180" s="55">
        <v>-0.84316310000000005</v>
      </c>
      <c r="M180" s="55">
        <v>-0.13413040000000001</v>
      </c>
      <c r="N180" s="55">
        <v>-0.13667180000000001</v>
      </c>
    </row>
    <row r="181" spans="1:14" hidden="1" x14ac:dyDescent="0.35">
      <c r="A181" s="52" t="s">
        <v>206</v>
      </c>
      <c r="B181" s="52" t="s">
        <v>53</v>
      </c>
      <c r="C181" s="52" t="s">
        <v>214</v>
      </c>
      <c r="D181" s="52" t="s">
        <v>214</v>
      </c>
      <c r="E181" s="52" t="s">
        <v>584</v>
      </c>
      <c r="F181" s="52" t="s">
        <v>26</v>
      </c>
      <c r="G181" s="55" t="s">
        <v>277</v>
      </c>
      <c r="H181" s="55"/>
      <c r="I181" s="55"/>
      <c r="J181" s="55">
        <v>0</v>
      </c>
      <c r="K181" s="55">
        <v>2.5406249999999999E-3</v>
      </c>
      <c r="L181" s="55">
        <v>2.5406249999999999E-3</v>
      </c>
      <c r="M181" s="55">
        <v>0</v>
      </c>
      <c r="N181" s="55">
        <v>2.54025E-3</v>
      </c>
    </row>
    <row r="182" spans="1:14" hidden="1" x14ac:dyDescent="0.35">
      <c r="A182" s="52" t="s">
        <v>206</v>
      </c>
      <c r="B182" s="52" t="s">
        <v>53</v>
      </c>
      <c r="C182" s="52" t="s">
        <v>214</v>
      </c>
      <c r="D182" s="52" t="s">
        <v>214</v>
      </c>
      <c r="E182" s="52" t="s">
        <v>584</v>
      </c>
      <c r="F182" s="52" t="s">
        <v>26</v>
      </c>
      <c r="G182" s="55" t="s">
        <v>278</v>
      </c>
      <c r="H182" s="55">
        <v>0.1341311</v>
      </c>
      <c r="I182" s="55">
        <v>0.1341311</v>
      </c>
      <c r="J182" s="55">
        <v>0.1341311</v>
      </c>
      <c r="K182" s="55">
        <v>1.0289360000000001</v>
      </c>
      <c r="L182" s="55">
        <v>0.84062239999999999</v>
      </c>
      <c r="M182" s="55">
        <v>0.1341311</v>
      </c>
      <c r="N182" s="55">
        <v>0.1341311</v>
      </c>
    </row>
    <row r="183" spans="1:14" hidden="1" x14ac:dyDescent="0.35">
      <c r="A183" s="52" t="s">
        <v>206</v>
      </c>
      <c r="B183" s="52" t="s">
        <v>53</v>
      </c>
      <c r="C183" s="52" t="s">
        <v>181</v>
      </c>
      <c r="D183" s="52" t="s">
        <v>181</v>
      </c>
      <c r="E183" s="52" t="s">
        <v>584</v>
      </c>
      <c r="F183" s="52" t="s">
        <v>26</v>
      </c>
      <c r="G183" s="55" t="s">
        <v>275</v>
      </c>
      <c r="H183" s="55">
        <v>0</v>
      </c>
      <c r="I183" s="55"/>
      <c r="J183" s="55">
        <v>0</v>
      </c>
      <c r="K183" s="55">
        <v>0</v>
      </c>
      <c r="L183" s="55">
        <v>0</v>
      </c>
      <c r="M183" s="55">
        <v>0</v>
      </c>
      <c r="N183" s="55">
        <v>0</v>
      </c>
    </row>
    <row r="184" spans="1:14" hidden="1" x14ac:dyDescent="0.35">
      <c r="A184" s="52" t="s">
        <v>206</v>
      </c>
      <c r="B184" s="52" t="s">
        <v>53</v>
      </c>
      <c r="C184" s="52" t="s">
        <v>181</v>
      </c>
      <c r="D184" s="52" t="s">
        <v>181</v>
      </c>
      <c r="E184" s="52" t="s">
        <v>584</v>
      </c>
      <c r="F184" s="52" t="s">
        <v>26</v>
      </c>
      <c r="G184" s="55" t="s">
        <v>276</v>
      </c>
      <c r="H184" s="55"/>
      <c r="I184" s="55"/>
      <c r="J184" s="55">
        <v>0</v>
      </c>
      <c r="K184" s="55">
        <v>0</v>
      </c>
      <c r="L184" s="55">
        <v>0</v>
      </c>
      <c r="M184" s="55">
        <v>0</v>
      </c>
      <c r="N184" s="55">
        <v>0</v>
      </c>
    </row>
    <row r="185" spans="1:14" hidden="1" x14ac:dyDescent="0.35">
      <c r="A185" s="52" t="s">
        <v>206</v>
      </c>
      <c r="B185" s="52" t="s">
        <v>53</v>
      </c>
      <c r="C185" s="52" t="s">
        <v>181</v>
      </c>
      <c r="D185" s="52" t="s">
        <v>181</v>
      </c>
      <c r="E185" s="52" t="s">
        <v>584</v>
      </c>
      <c r="F185" s="52" t="s">
        <v>26</v>
      </c>
      <c r="G185" s="55" t="s">
        <v>278</v>
      </c>
      <c r="H185" s="55"/>
      <c r="I185" s="55"/>
      <c r="J185" s="55">
        <v>0</v>
      </c>
      <c r="K185" s="55">
        <v>0</v>
      </c>
      <c r="L185" s="55">
        <v>0</v>
      </c>
      <c r="M185" s="55">
        <v>0</v>
      </c>
      <c r="N185" s="55"/>
    </row>
    <row r="186" spans="1:14" hidden="1" x14ac:dyDescent="0.35">
      <c r="A186" s="52" t="s">
        <v>206</v>
      </c>
      <c r="B186" s="52" t="s">
        <v>73</v>
      </c>
      <c r="C186" s="52" t="s">
        <v>87</v>
      </c>
      <c r="D186" s="52" t="s">
        <v>88</v>
      </c>
      <c r="E186" s="52" t="s">
        <v>584</v>
      </c>
      <c r="F186" s="52" t="s">
        <v>581</v>
      </c>
      <c r="G186" s="55" t="s">
        <v>275</v>
      </c>
      <c r="H186" s="55">
        <v>204.6215</v>
      </c>
      <c r="I186" s="55">
        <v>88.391739999999999</v>
      </c>
      <c r="J186" s="55">
        <v>81.400570000000002</v>
      </c>
      <c r="K186" s="55">
        <v>-34.565860000000001</v>
      </c>
      <c r="L186" s="55">
        <v>-32.584580000000003</v>
      </c>
      <c r="M186" s="55">
        <v>7.0023059999999998E-2</v>
      </c>
      <c r="N186" s="55">
        <v>36.267600000000002</v>
      </c>
    </row>
    <row r="187" spans="1:14" hidden="1" x14ac:dyDescent="0.35">
      <c r="A187" s="52" t="s">
        <v>206</v>
      </c>
      <c r="B187" s="52" t="s">
        <v>73</v>
      </c>
      <c r="C187" s="52" t="s">
        <v>87</v>
      </c>
      <c r="D187" s="52" t="s">
        <v>88</v>
      </c>
      <c r="E187" s="52" t="s">
        <v>584</v>
      </c>
      <c r="F187" s="52" t="s">
        <v>581</v>
      </c>
      <c r="G187" s="55" t="s">
        <v>276</v>
      </c>
      <c r="H187" s="55">
        <v>293.40769999999998</v>
      </c>
      <c r="I187" s="55">
        <v>65.166259999999994</v>
      </c>
      <c r="J187" s="55">
        <v>114.3493</v>
      </c>
      <c r="K187" s="55">
        <v>16.677849999999999</v>
      </c>
      <c r="L187" s="55">
        <v>-30.312380000000001</v>
      </c>
      <c r="M187" s="55">
        <v>-34.792450000000002</v>
      </c>
      <c r="N187" s="55">
        <v>-22.795570000000001</v>
      </c>
    </row>
    <row r="188" spans="1:14" hidden="1" x14ac:dyDescent="0.35">
      <c r="A188" s="52" t="s">
        <v>206</v>
      </c>
      <c r="B188" s="52" t="s">
        <v>73</v>
      </c>
      <c r="C188" s="52" t="s">
        <v>87</v>
      </c>
      <c r="D188" s="52" t="s">
        <v>88</v>
      </c>
      <c r="E188" s="52" t="s">
        <v>584</v>
      </c>
      <c r="F188" s="52" t="s">
        <v>581</v>
      </c>
      <c r="G188" s="55" t="s">
        <v>277</v>
      </c>
      <c r="H188" s="55">
        <v>150.9546</v>
      </c>
      <c r="I188" s="55">
        <v>149.36080000000001</v>
      </c>
      <c r="J188" s="55">
        <v>141.5171</v>
      </c>
      <c r="K188" s="55">
        <v>242.36410000000001</v>
      </c>
      <c r="L188" s="55">
        <v>245.42769999999999</v>
      </c>
      <c r="M188" s="55">
        <v>211.06809999999999</v>
      </c>
      <c r="N188" s="55">
        <v>185.64019999999999</v>
      </c>
    </row>
    <row r="189" spans="1:14" hidden="1" x14ac:dyDescent="0.35">
      <c r="A189" s="52" t="s">
        <v>206</v>
      </c>
      <c r="B189" s="52" t="s">
        <v>73</v>
      </c>
      <c r="C189" s="52" t="s">
        <v>87</v>
      </c>
      <c r="D189" s="52" t="s">
        <v>88</v>
      </c>
      <c r="E189" s="52" t="s">
        <v>584</v>
      </c>
      <c r="F189" s="52" t="s">
        <v>581</v>
      </c>
      <c r="G189" s="55" t="s">
        <v>278</v>
      </c>
      <c r="H189" s="55">
        <v>5.6288930000000001E-2</v>
      </c>
      <c r="I189" s="55">
        <v>8.3338330000000006E-3</v>
      </c>
      <c r="J189" s="55">
        <v>1.001113E-2</v>
      </c>
      <c r="K189" s="55">
        <v>8.4542669999999997E-3</v>
      </c>
      <c r="L189" s="55">
        <v>7.5848950000000004E-3</v>
      </c>
      <c r="M189" s="55">
        <v>1.5581650000000001E-2</v>
      </c>
      <c r="N189" s="55">
        <v>1.5581650000000001E-2</v>
      </c>
    </row>
    <row r="190" spans="1:14" hidden="1" x14ac:dyDescent="0.35">
      <c r="A190" s="52" t="s">
        <v>206</v>
      </c>
      <c r="B190" s="52" t="s">
        <v>73</v>
      </c>
      <c r="C190" s="52" t="s">
        <v>87</v>
      </c>
      <c r="D190" s="52" t="s">
        <v>88</v>
      </c>
      <c r="E190" s="52" t="s">
        <v>584</v>
      </c>
      <c r="F190" s="52" t="s">
        <v>581</v>
      </c>
      <c r="G190" s="55" t="s">
        <v>279</v>
      </c>
      <c r="H190" s="55">
        <v>165.20179999999999</v>
      </c>
      <c r="I190" s="55">
        <v>170.524</v>
      </c>
      <c r="J190" s="55">
        <v>172.11240000000001</v>
      </c>
      <c r="K190" s="55">
        <v>195.94309999999999</v>
      </c>
      <c r="L190" s="55">
        <v>194.8629</v>
      </c>
      <c r="M190" s="55">
        <v>208.2483</v>
      </c>
      <c r="N190" s="55">
        <v>215.54650000000001</v>
      </c>
    </row>
    <row r="191" spans="1:14" hidden="1" x14ac:dyDescent="0.35">
      <c r="A191" s="52" t="s">
        <v>206</v>
      </c>
      <c r="B191" s="52" t="s">
        <v>73</v>
      </c>
      <c r="C191" s="52" t="s">
        <v>87</v>
      </c>
      <c r="D191" s="52" t="s">
        <v>88</v>
      </c>
      <c r="E191" s="52" t="s">
        <v>584</v>
      </c>
      <c r="F191" s="52" t="s">
        <v>26</v>
      </c>
      <c r="G191" s="55" t="s">
        <v>275</v>
      </c>
      <c r="H191" s="55">
        <v>10.263920000000001</v>
      </c>
      <c r="I191" s="55">
        <v>11.81296</v>
      </c>
      <c r="J191" s="55">
        <v>13.982200000000001</v>
      </c>
      <c r="K191" s="55">
        <v>-67.780779999999993</v>
      </c>
      <c r="L191" s="55">
        <v>-58.024189999999997</v>
      </c>
      <c r="M191" s="55">
        <v>-38.20702</v>
      </c>
      <c r="N191" s="55">
        <v>61.764690000000002</v>
      </c>
    </row>
    <row r="192" spans="1:14" hidden="1" x14ac:dyDescent="0.35">
      <c r="A192" s="52" t="s">
        <v>206</v>
      </c>
      <c r="B192" s="52" t="s">
        <v>73</v>
      </c>
      <c r="C192" s="52" t="s">
        <v>87</v>
      </c>
      <c r="D192" s="52" t="s">
        <v>88</v>
      </c>
      <c r="E192" s="52" t="s">
        <v>584</v>
      </c>
      <c r="F192" s="52" t="s">
        <v>26</v>
      </c>
      <c r="G192" s="55" t="s">
        <v>276</v>
      </c>
      <c r="H192" s="55">
        <v>37.095529999999997</v>
      </c>
      <c r="I192" s="55">
        <v>42.51681</v>
      </c>
      <c r="J192" s="55">
        <v>48.567540000000001</v>
      </c>
      <c r="K192" s="55">
        <v>32.09984</v>
      </c>
      <c r="L192" s="55">
        <v>12.630229999999999</v>
      </c>
      <c r="M192" s="55">
        <v>-11.664070000000001</v>
      </c>
      <c r="N192" s="55">
        <v>28.880929999999999</v>
      </c>
    </row>
    <row r="193" spans="1:14" hidden="1" x14ac:dyDescent="0.35">
      <c r="A193" s="52" t="s">
        <v>206</v>
      </c>
      <c r="B193" s="52" t="s">
        <v>73</v>
      </c>
      <c r="C193" s="52" t="s">
        <v>87</v>
      </c>
      <c r="D193" s="52" t="s">
        <v>88</v>
      </c>
      <c r="E193" s="52" t="s">
        <v>584</v>
      </c>
      <c r="F193" s="52" t="s">
        <v>26</v>
      </c>
      <c r="G193" s="55" t="s">
        <v>277</v>
      </c>
      <c r="H193" s="55">
        <v>0.14130000000000001</v>
      </c>
      <c r="I193" s="55">
        <v>0.14130000000000001</v>
      </c>
      <c r="J193" s="55">
        <v>2.9584990000000002</v>
      </c>
      <c r="K193" s="55">
        <v>97.232569999999996</v>
      </c>
      <c r="L193" s="55">
        <v>103.0017</v>
      </c>
      <c r="M193" s="55">
        <v>95.914630000000002</v>
      </c>
      <c r="N193" s="55">
        <v>8.9988659999999996</v>
      </c>
    </row>
    <row r="194" spans="1:14" hidden="1" x14ac:dyDescent="0.35">
      <c r="A194" s="52" t="s">
        <v>206</v>
      </c>
      <c r="B194" s="52" t="s">
        <v>73</v>
      </c>
      <c r="C194" s="52" t="s">
        <v>87</v>
      </c>
      <c r="D194" s="52" t="s">
        <v>88</v>
      </c>
      <c r="E194" s="52" t="s">
        <v>584</v>
      </c>
      <c r="F194" s="52" t="s">
        <v>26</v>
      </c>
      <c r="G194" s="55" t="s">
        <v>278</v>
      </c>
      <c r="H194" s="55"/>
      <c r="I194" s="55">
        <v>2.8437629999999998E-2</v>
      </c>
      <c r="J194" s="55">
        <v>9.609534</v>
      </c>
      <c r="K194" s="55">
        <v>2.8848349999999998E-2</v>
      </c>
      <c r="L194" s="55">
        <v>2.588126E-2</v>
      </c>
      <c r="M194" s="55">
        <v>5.3168859999999998E-2</v>
      </c>
      <c r="N194" s="55">
        <v>5.3168859999999998E-2</v>
      </c>
    </row>
    <row r="195" spans="1:14" hidden="1" x14ac:dyDescent="0.35">
      <c r="A195" s="52" t="s">
        <v>206</v>
      </c>
      <c r="B195" s="52" t="s">
        <v>73</v>
      </c>
      <c r="C195" s="52" t="s">
        <v>87</v>
      </c>
      <c r="D195" s="52" t="s">
        <v>88</v>
      </c>
      <c r="E195" s="52" t="s">
        <v>584</v>
      </c>
      <c r="F195" s="52" t="s">
        <v>26</v>
      </c>
      <c r="G195" s="55" t="s">
        <v>279</v>
      </c>
      <c r="H195" s="55">
        <v>13.77746</v>
      </c>
      <c r="I195" s="55">
        <v>18.918330000000001</v>
      </c>
      <c r="J195" s="55">
        <v>16.654440000000001</v>
      </c>
      <c r="K195" s="55">
        <v>14.148949999999999</v>
      </c>
      <c r="L195" s="55">
        <v>10.331709999999999</v>
      </c>
      <c r="M195" s="55">
        <v>12.42042</v>
      </c>
      <c r="N195" s="55">
        <v>19.384830000000001</v>
      </c>
    </row>
    <row r="196" spans="1:14" hidden="1" x14ac:dyDescent="0.35">
      <c r="A196" s="52" t="s">
        <v>206</v>
      </c>
      <c r="B196" s="52" t="s">
        <v>73</v>
      </c>
      <c r="C196" s="52" t="s">
        <v>87</v>
      </c>
      <c r="D196" s="52" t="s">
        <v>132</v>
      </c>
      <c r="E196" s="52" t="s">
        <v>584</v>
      </c>
      <c r="F196" s="52" t="s">
        <v>581</v>
      </c>
      <c r="G196" s="55" t="s">
        <v>275</v>
      </c>
      <c r="H196" s="55">
        <v>120.0291</v>
      </c>
      <c r="I196" s="55">
        <v>45.678710000000002</v>
      </c>
      <c r="J196" s="55">
        <v>23.191929999999999</v>
      </c>
      <c r="K196" s="55">
        <v>4.9428679999999998</v>
      </c>
      <c r="L196" s="55">
        <v>-6.9643179999999996</v>
      </c>
      <c r="M196" s="55">
        <v>-11.89127</v>
      </c>
      <c r="N196" s="55">
        <v>-16.750679999999999</v>
      </c>
    </row>
    <row r="197" spans="1:14" hidden="1" x14ac:dyDescent="0.35">
      <c r="A197" s="52" t="s">
        <v>206</v>
      </c>
      <c r="B197" s="52" t="s">
        <v>73</v>
      </c>
      <c r="C197" s="52" t="s">
        <v>87</v>
      </c>
      <c r="D197" s="52" t="s">
        <v>132</v>
      </c>
      <c r="E197" s="52" t="s">
        <v>584</v>
      </c>
      <c r="F197" s="52" t="s">
        <v>581</v>
      </c>
      <c r="G197" s="55" t="s">
        <v>276</v>
      </c>
      <c r="H197" s="55">
        <v>51.020029999999998</v>
      </c>
      <c r="I197" s="55">
        <v>-23.130849999999999</v>
      </c>
      <c r="J197" s="55">
        <v>-18.376139999999999</v>
      </c>
      <c r="K197" s="55">
        <v>-47.896079999999998</v>
      </c>
      <c r="L197" s="55">
        <v>-51.906669999999998</v>
      </c>
      <c r="M197" s="55">
        <v>-66.364159999999998</v>
      </c>
      <c r="N197" s="55">
        <v>-82.780879999999996</v>
      </c>
    </row>
    <row r="198" spans="1:14" hidden="1" x14ac:dyDescent="0.35">
      <c r="A198" s="52" t="s">
        <v>206</v>
      </c>
      <c r="B198" s="52" t="s">
        <v>73</v>
      </c>
      <c r="C198" s="52" t="s">
        <v>87</v>
      </c>
      <c r="D198" s="52" t="s">
        <v>132</v>
      </c>
      <c r="E198" s="52" t="s">
        <v>584</v>
      </c>
      <c r="F198" s="52" t="s">
        <v>581</v>
      </c>
      <c r="G198" s="55" t="s">
        <v>277</v>
      </c>
      <c r="H198" s="55">
        <v>89.899519999999995</v>
      </c>
      <c r="I198" s="55">
        <v>79.307370000000006</v>
      </c>
      <c r="J198" s="55">
        <v>81.215029999999999</v>
      </c>
      <c r="K198" s="55">
        <v>85.450130000000001</v>
      </c>
      <c r="L198" s="55">
        <v>89.592299999999994</v>
      </c>
      <c r="M198" s="55">
        <v>92.344880000000003</v>
      </c>
      <c r="N198" s="55">
        <v>93.703180000000003</v>
      </c>
    </row>
    <row r="199" spans="1:14" hidden="1" x14ac:dyDescent="0.35">
      <c r="A199" s="52" t="s">
        <v>206</v>
      </c>
      <c r="B199" s="52" t="s">
        <v>73</v>
      </c>
      <c r="C199" s="52" t="s">
        <v>87</v>
      </c>
      <c r="D199" s="52" t="s">
        <v>132</v>
      </c>
      <c r="E199" s="52" t="s">
        <v>584</v>
      </c>
      <c r="F199" s="52" t="s">
        <v>581</v>
      </c>
      <c r="G199" s="55" t="s">
        <v>279</v>
      </c>
      <c r="H199" s="55">
        <v>79.751480000000001</v>
      </c>
      <c r="I199" s="55">
        <v>80.358829999999998</v>
      </c>
      <c r="J199" s="55">
        <v>77.472570000000005</v>
      </c>
      <c r="K199" s="55">
        <v>88.132800000000003</v>
      </c>
      <c r="L199" s="55">
        <v>88.502790000000005</v>
      </c>
      <c r="M199" s="55">
        <v>88.239230000000006</v>
      </c>
      <c r="N199" s="55">
        <v>87.549310000000006</v>
      </c>
    </row>
    <row r="200" spans="1:14" hidden="1" x14ac:dyDescent="0.35">
      <c r="A200" s="52" t="s">
        <v>206</v>
      </c>
      <c r="B200" s="52" t="s">
        <v>73</v>
      </c>
      <c r="C200" s="52" t="s">
        <v>87</v>
      </c>
      <c r="D200" s="52" t="s">
        <v>132</v>
      </c>
      <c r="E200" s="52" t="s">
        <v>584</v>
      </c>
      <c r="F200" s="52" t="s">
        <v>26</v>
      </c>
      <c r="G200" s="55" t="s">
        <v>275</v>
      </c>
      <c r="H200" s="55">
        <v>2.8453490000000001</v>
      </c>
      <c r="I200" s="55">
        <v>2.3059599999999998</v>
      </c>
      <c r="J200" s="55">
        <v>2.5670160000000002</v>
      </c>
      <c r="K200" s="55">
        <v>2.042081</v>
      </c>
      <c r="L200" s="55">
        <v>1.9392720000000001</v>
      </c>
      <c r="M200" s="55">
        <v>1.6362810000000001</v>
      </c>
      <c r="N200" s="55">
        <v>1.266837</v>
      </c>
    </row>
    <row r="201" spans="1:14" hidden="1" x14ac:dyDescent="0.35">
      <c r="A201" s="52" t="s">
        <v>206</v>
      </c>
      <c r="B201" s="52" t="s">
        <v>73</v>
      </c>
      <c r="C201" s="52" t="s">
        <v>87</v>
      </c>
      <c r="D201" s="52" t="s">
        <v>132</v>
      </c>
      <c r="E201" s="52" t="s">
        <v>584</v>
      </c>
      <c r="F201" s="52" t="s">
        <v>26</v>
      </c>
      <c r="G201" s="55" t="s">
        <v>276</v>
      </c>
      <c r="H201" s="55">
        <v>10.174379999999999</v>
      </c>
      <c r="I201" s="55">
        <v>8.2509230000000002</v>
      </c>
      <c r="J201" s="55">
        <v>9.1770259999999997</v>
      </c>
      <c r="K201" s="55">
        <v>7.3013190000000003</v>
      </c>
      <c r="L201" s="55">
        <v>6.9313140000000004</v>
      </c>
      <c r="M201" s="55">
        <v>5.8491200000000001</v>
      </c>
      <c r="N201" s="55">
        <v>4.5296810000000001</v>
      </c>
    </row>
    <row r="202" spans="1:14" hidden="1" x14ac:dyDescent="0.35">
      <c r="A202" s="52" t="s">
        <v>206</v>
      </c>
      <c r="B202" s="52" t="s">
        <v>73</v>
      </c>
      <c r="C202" s="52" t="s">
        <v>87</v>
      </c>
      <c r="D202" s="52" t="s">
        <v>132</v>
      </c>
      <c r="E202" s="52" t="s">
        <v>584</v>
      </c>
      <c r="F202" s="52" t="s">
        <v>26</v>
      </c>
      <c r="G202" s="55" t="s">
        <v>279</v>
      </c>
      <c r="H202" s="55">
        <v>4.2356579999999999</v>
      </c>
      <c r="I202" s="55">
        <v>4.4855320000000001</v>
      </c>
      <c r="J202" s="55">
        <v>3.4196960000000001</v>
      </c>
      <c r="K202" s="55">
        <v>2.893005</v>
      </c>
      <c r="L202" s="55">
        <v>2.277914</v>
      </c>
      <c r="M202" s="55">
        <v>2.0763029999999998</v>
      </c>
      <c r="N202" s="55">
        <v>1.8320080000000001</v>
      </c>
    </row>
    <row r="203" spans="1:14" hidden="1" x14ac:dyDescent="0.35">
      <c r="A203" s="52" t="s">
        <v>206</v>
      </c>
      <c r="B203" s="52" t="s">
        <v>73</v>
      </c>
      <c r="C203" s="52" t="s">
        <v>87</v>
      </c>
      <c r="D203" s="52" t="s">
        <v>208</v>
      </c>
      <c r="E203" s="52" t="s">
        <v>584</v>
      </c>
      <c r="F203" s="52" t="s">
        <v>581</v>
      </c>
      <c r="G203" s="55" t="s">
        <v>275</v>
      </c>
      <c r="H203" s="55">
        <v>-58.607030000000002</v>
      </c>
      <c r="I203" s="55">
        <v>-43.899769999999997</v>
      </c>
      <c r="J203" s="55">
        <v>10.03177</v>
      </c>
      <c r="K203" s="55">
        <v>3.9727329999999998</v>
      </c>
      <c r="L203" s="55">
        <v>35.522300000000001</v>
      </c>
      <c r="M203" s="55">
        <v>34.771320000000003</v>
      </c>
      <c r="N203" s="55">
        <v>23.81146</v>
      </c>
    </row>
    <row r="204" spans="1:14" hidden="1" x14ac:dyDescent="0.35">
      <c r="A204" s="52" t="s">
        <v>206</v>
      </c>
      <c r="B204" s="52" t="s">
        <v>73</v>
      </c>
      <c r="C204" s="52" t="s">
        <v>87</v>
      </c>
      <c r="D204" s="52" t="s">
        <v>208</v>
      </c>
      <c r="E204" s="52" t="s">
        <v>584</v>
      </c>
      <c r="F204" s="52" t="s">
        <v>581</v>
      </c>
      <c r="G204" s="55" t="s">
        <v>276</v>
      </c>
      <c r="H204" s="55">
        <v>-12.326180000000001</v>
      </c>
      <c r="I204" s="55">
        <v>-21.95411</v>
      </c>
      <c r="J204" s="55">
        <v>18.600100000000001</v>
      </c>
      <c r="K204" s="55">
        <v>-3.3808940000000001</v>
      </c>
      <c r="L204" s="55">
        <v>-11.400930000000001</v>
      </c>
      <c r="M204" s="55">
        <v>-1.907144</v>
      </c>
      <c r="N204" s="55">
        <v>2.6013670000000002</v>
      </c>
    </row>
    <row r="205" spans="1:14" hidden="1" x14ac:dyDescent="0.35">
      <c r="A205" s="52" t="s">
        <v>206</v>
      </c>
      <c r="B205" s="52" t="s">
        <v>73</v>
      </c>
      <c r="C205" s="52" t="s">
        <v>87</v>
      </c>
      <c r="D205" s="52" t="s">
        <v>208</v>
      </c>
      <c r="E205" s="52" t="s">
        <v>584</v>
      </c>
      <c r="F205" s="52" t="s">
        <v>581</v>
      </c>
      <c r="G205" s="55" t="s">
        <v>277</v>
      </c>
      <c r="H205" s="55">
        <v>70.585489999999993</v>
      </c>
      <c r="I205" s="55">
        <v>66.495679999999993</v>
      </c>
      <c r="J205" s="55">
        <v>30.028369999999999</v>
      </c>
      <c r="K205" s="55">
        <v>37.35772</v>
      </c>
      <c r="L205" s="55">
        <v>1.169705</v>
      </c>
      <c r="M205" s="55">
        <v>1.2936460000000001</v>
      </c>
      <c r="N205" s="55">
        <v>1.3601909999999999</v>
      </c>
    </row>
    <row r="206" spans="1:14" hidden="1" x14ac:dyDescent="0.35">
      <c r="A206" s="52" t="s">
        <v>206</v>
      </c>
      <c r="B206" s="52" t="s">
        <v>73</v>
      </c>
      <c r="C206" s="52" t="s">
        <v>87</v>
      </c>
      <c r="D206" s="52" t="s">
        <v>208</v>
      </c>
      <c r="E206" s="52" t="s">
        <v>584</v>
      </c>
      <c r="F206" s="52" t="s">
        <v>581</v>
      </c>
      <c r="G206" s="55" t="s">
        <v>279</v>
      </c>
      <c r="H206" s="55">
        <v>0.34772320000000001</v>
      </c>
      <c r="I206" s="55">
        <v>2.9509340000000002</v>
      </c>
      <c r="J206" s="55">
        <v>8.5525249999999993</v>
      </c>
      <c r="K206" s="55">
        <v>28.39631</v>
      </c>
      <c r="L206" s="55">
        <v>26.731100000000001</v>
      </c>
      <c r="M206" s="55">
        <v>8.7415070000000004</v>
      </c>
      <c r="N206" s="55">
        <v>7.954205</v>
      </c>
    </row>
    <row r="207" spans="1:14" hidden="1" x14ac:dyDescent="0.35">
      <c r="A207" s="52" t="s">
        <v>206</v>
      </c>
      <c r="B207" s="52" t="s">
        <v>73</v>
      </c>
      <c r="C207" s="52" t="s">
        <v>87</v>
      </c>
      <c r="D207" s="52" t="s">
        <v>87</v>
      </c>
      <c r="E207" s="52" t="s">
        <v>584</v>
      </c>
      <c r="F207" s="52" t="s">
        <v>581</v>
      </c>
      <c r="G207" s="55" t="s">
        <v>275</v>
      </c>
      <c r="H207" s="55">
        <v>1.857704</v>
      </c>
      <c r="I207" s="55">
        <v>-1.027204E-2</v>
      </c>
      <c r="J207" s="55">
        <v>-0.23547090000000001</v>
      </c>
      <c r="K207" s="55">
        <v>0.26102710000000001</v>
      </c>
      <c r="L207" s="55">
        <v>0.44842919999999997</v>
      </c>
      <c r="M207" s="55">
        <v>0.79167849999999995</v>
      </c>
      <c r="N207" s="55">
        <v>0.7342843</v>
      </c>
    </row>
    <row r="208" spans="1:14" hidden="1" x14ac:dyDescent="0.35">
      <c r="A208" s="52" t="s">
        <v>206</v>
      </c>
      <c r="B208" s="52" t="s">
        <v>73</v>
      </c>
      <c r="C208" s="52" t="s">
        <v>87</v>
      </c>
      <c r="D208" s="52" t="s">
        <v>87</v>
      </c>
      <c r="E208" s="52" t="s">
        <v>584</v>
      </c>
      <c r="F208" s="52" t="s">
        <v>581</v>
      </c>
      <c r="G208" s="55" t="s">
        <v>276</v>
      </c>
      <c r="H208" s="55">
        <v>6.7620529999999999</v>
      </c>
      <c r="I208" s="55">
        <v>1.36964</v>
      </c>
      <c r="J208" s="55">
        <v>1.939263</v>
      </c>
      <c r="K208" s="55">
        <v>0.53257549999999998</v>
      </c>
      <c r="L208" s="55">
        <v>0.42897449999999998</v>
      </c>
      <c r="M208" s="55">
        <v>-0.1497965</v>
      </c>
      <c r="N208" s="55">
        <v>-0.61021259999999999</v>
      </c>
    </row>
    <row r="209" spans="1:14" hidden="1" x14ac:dyDescent="0.35">
      <c r="A209" s="52" t="s">
        <v>206</v>
      </c>
      <c r="B209" s="52" t="s">
        <v>73</v>
      </c>
      <c r="C209" s="52" t="s">
        <v>87</v>
      </c>
      <c r="D209" s="52" t="s">
        <v>87</v>
      </c>
      <c r="E209" s="52" t="s">
        <v>584</v>
      </c>
      <c r="F209" s="52" t="s">
        <v>581</v>
      </c>
      <c r="G209" s="55" t="s">
        <v>277</v>
      </c>
      <c r="H209" s="55">
        <v>3.0351819999999998</v>
      </c>
      <c r="I209" s="55">
        <v>2.7217709999999999</v>
      </c>
      <c r="J209" s="55">
        <v>2.7430300000000001</v>
      </c>
      <c r="K209" s="55">
        <v>2.3076210000000001</v>
      </c>
      <c r="L209" s="55">
        <v>2.2411560000000001</v>
      </c>
      <c r="M209" s="55">
        <v>2.0154359999999998</v>
      </c>
      <c r="N209" s="55">
        <v>1.678115</v>
      </c>
    </row>
    <row r="210" spans="1:14" hidden="1" x14ac:dyDescent="0.35">
      <c r="A210" s="52" t="s">
        <v>206</v>
      </c>
      <c r="B210" s="52" t="s">
        <v>73</v>
      </c>
      <c r="C210" s="52" t="s">
        <v>87</v>
      </c>
      <c r="D210" s="52" t="s">
        <v>87</v>
      </c>
      <c r="E210" s="52" t="s">
        <v>584</v>
      </c>
      <c r="F210" s="52" t="s">
        <v>581</v>
      </c>
      <c r="G210" s="55" t="s">
        <v>278</v>
      </c>
      <c r="H210" s="55">
        <v>4.9051549999999999E-2</v>
      </c>
      <c r="I210" s="55">
        <v>8.1730199999999996E-3</v>
      </c>
      <c r="J210" s="55">
        <v>2.9454049999999999E-3</v>
      </c>
      <c r="K210" s="55">
        <v>2.4872990000000001E-3</v>
      </c>
      <c r="L210" s="55">
        <v>2.2315429999999999E-3</v>
      </c>
      <c r="M210" s="55">
        <v>0</v>
      </c>
      <c r="N210" s="55"/>
    </row>
    <row r="211" spans="1:14" hidden="1" x14ac:dyDescent="0.35">
      <c r="A211" s="52" t="s">
        <v>206</v>
      </c>
      <c r="B211" s="52" t="s">
        <v>73</v>
      </c>
      <c r="C211" s="52" t="s">
        <v>87</v>
      </c>
      <c r="D211" s="52" t="s">
        <v>87</v>
      </c>
      <c r="E211" s="52" t="s">
        <v>584</v>
      </c>
      <c r="F211" s="52" t="s">
        <v>581</v>
      </c>
      <c r="G211" s="55" t="s">
        <v>279</v>
      </c>
      <c r="H211" s="55">
        <v>3.3543850000000002</v>
      </c>
      <c r="I211" s="55">
        <v>3.2445309999999998</v>
      </c>
      <c r="J211" s="55">
        <v>3.1694830000000001</v>
      </c>
      <c r="K211" s="55">
        <v>3.6600380000000001</v>
      </c>
      <c r="L211" s="55">
        <v>3.7420179999999998</v>
      </c>
      <c r="M211" s="55">
        <v>3.7881300000000002</v>
      </c>
      <c r="N211" s="55">
        <v>3.7996819999999998</v>
      </c>
    </row>
    <row r="212" spans="1:14" hidden="1" x14ac:dyDescent="0.35">
      <c r="A212" s="52" t="s">
        <v>206</v>
      </c>
      <c r="B212" s="52" t="s">
        <v>73</v>
      </c>
      <c r="C212" s="52" t="s">
        <v>87</v>
      </c>
      <c r="D212" s="52" t="s">
        <v>87</v>
      </c>
      <c r="E212" s="52" t="s">
        <v>584</v>
      </c>
      <c r="F212" s="52" t="s">
        <v>26</v>
      </c>
      <c r="G212" s="55" t="s">
        <v>275</v>
      </c>
      <c r="H212" s="55">
        <v>1.3052299999999999</v>
      </c>
      <c r="I212" s="55">
        <v>0.84713519999999998</v>
      </c>
      <c r="J212" s="55">
        <v>0.91581520000000005</v>
      </c>
      <c r="K212" s="55">
        <v>0.7623238</v>
      </c>
      <c r="L212" s="55">
        <v>0.77030069999999995</v>
      </c>
      <c r="M212" s="55">
        <v>0.68629479999999998</v>
      </c>
      <c r="N212" s="55">
        <v>0.56240730000000005</v>
      </c>
    </row>
    <row r="213" spans="1:14" hidden="1" x14ac:dyDescent="0.35">
      <c r="A213" s="52" t="s">
        <v>206</v>
      </c>
      <c r="B213" s="52" t="s">
        <v>73</v>
      </c>
      <c r="C213" s="52" t="s">
        <v>87</v>
      </c>
      <c r="D213" s="52" t="s">
        <v>87</v>
      </c>
      <c r="E213" s="52" t="s">
        <v>584</v>
      </c>
      <c r="F213" s="52" t="s">
        <v>26</v>
      </c>
      <c r="G213" s="55" t="s">
        <v>276</v>
      </c>
      <c r="H213" s="55">
        <v>4.6647270000000001</v>
      </c>
      <c r="I213" s="55">
        <v>3.003765</v>
      </c>
      <c r="J213" s="55">
        <v>3.24308</v>
      </c>
      <c r="K213" s="55">
        <v>2.6990959999999999</v>
      </c>
      <c r="L213" s="55">
        <v>2.7292019999999999</v>
      </c>
      <c r="M213" s="55">
        <v>2.4063880000000002</v>
      </c>
      <c r="N213" s="55">
        <v>1.964099</v>
      </c>
    </row>
    <row r="214" spans="1:14" hidden="1" x14ac:dyDescent="0.35">
      <c r="A214" s="52" t="s">
        <v>206</v>
      </c>
      <c r="B214" s="52" t="s">
        <v>73</v>
      </c>
      <c r="C214" s="52" t="s">
        <v>87</v>
      </c>
      <c r="D214" s="52" t="s">
        <v>87</v>
      </c>
      <c r="E214" s="52" t="s">
        <v>584</v>
      </c>
      <c r="F214" s="52" t="s">
        <v>26</v>
      </c>
      <c r="G214" s="55" t="s">
        <v>278</v>
      </c>
      <c r="H214" s="55"/>
      <c r="I214" s="55">
        <v>2.38704E-2</v>
      </c>
      <c r="J214" s="55">
        <v>2.8675200000000001E-2</v>
      </c>
      <c r="K214" s="55">
        <v>2.4216000000000001E-2</v>
      </c>
      <c r="L214" s="55">
        <v>2.1725600000000001E-2</v>
      </c>
      <c r="M214" s="55">
        <v>4.4630400000000001E-2</v>
      </c>
      <c r="N214" s="55">
        <v>4.4630400000000001E-2</v>
      </c>
    </row>
    <row r="215" spans="1:14" hidden="1" x14ac:dyDescent="0.35">
      <c r="A215" s="52" t="s">
        <v>206</v>
      </c>
      <c r="B215" s="52" t="s">
        <v>73</v>
      </c>
      <c r="C215" s="52" t="s">
        <v>87</v>
      </c>
      <c r="D215" s="52" t="s">
        <v>87</v>
      </c>
      <c r="E215" s="52" t="s">
        <v>584</v>
      </c>
      <c r="F215" s="52" t="s">
        <v>26</v>
      </c>
      <c r="G215" s="55" t="s">
        <v>279</v>
      </c>
      <c r="H215" s="55">
        <v>1.4502520000000001</v>
      </c>
      <c r="I215" s="55">
        <v>1.0946549999999999</v>
      </c>
      <c r="J215" s="55">
        <v>0.76729910000000001</v>
      </c>
      <c r="K215" s="55">
        <v>0.61956389999999995</v>
      </c>
      <c r="L215" s="55">
        <v>0.45065650000000002</v>
      </c>
      <c r="M215" s="55">
        <v>0.42111579999999998</v>
      </c>
      <c r="N215" s="55">
        <v>0.37695260000000003</v>
      </c>
    </row>
    <row r="216" spans="1:14" hidden="1" x14ac:dyDescent="0.35">
      <c r="A216" s="52" t="s">
        <v>206</v>
      </c>
      <c r="B216" s="52" t="s">
        <v>73</v>
      </c>
      <c r="C216" s="52" t="s">
        <v>80</v>
      </c>
      <c r="D216" s="52" t="s">
        <v>152</v>
      </c>
      <c r="E216" s="52" t="s">
        <v>584</v>
      </c>
      <c r="F216" s="52" t="s">
        <v>581</v>
      </c>
      <c r="G216" s="55" t="s">
        <v>275</v>
      </c>
      <c r="H216" s="55">
        <v>19.008389999999999</v>
      </c>
      <c r="I216" s="55">
        <v>-4.0930809999999997</v>
      </c>
      <c r="J216" s="55">
        <v>30.79824</v>
      </c>
      <c r="K216" s="55">
        <v>40.820700000000002</v>
      </c>
      <c r="L216" s="55">
        <v>38.148560000000003</v>
      </c>
      <c r="M216" s="55">
        <v>3.9474670000000001</v>
      </c>
      <c r="N216" s="55">
        <v>-0.29545830000000001</v>
      </c>
    </row>
    <row r="217" spans="1:14" hidden="1" x14ac:dyDescent="0.35">
      <c r="A217" s="52" t="s">
        <v>206</v>
      </c>
      <c r="B217" s="52" t="s">
        <v>73</v>
      </c>
      <c r="C217" s="52" t="s">
        <v>80</v>
      </c>
      <c r="D217" s="52" t="s">
        <v>152</v>
      </c>
      <c r="E217" s="52" t="s">
        <v>584</v>
      </c>
      <c r="F217" s="52" t="s">
        <v>581</v>
      </c>
      <c r="G217" s="55" t="s">
        <v>276</v>
      </c>
      <c r="H217" s="55">
        <v>116.84990000000001</v>
      </c>
      <c r="I217" s="55">
        <v>18.07741</v>
      </c>
      <c r="J217" s="55">
        <v>15.404859999999999</v>
      </c>
      <c r="K217" s="55">
        <v>19.010619999999999</v>
      </c>
      <c r="L217" s="55">
        <v>37.148859999999999</v>
      </c>
      <c r="M217" s="55">
        <v>-70.894170000000003</v>
      </c>
      <c r="N217" s="55">
        <v>-50.584580000000003</v>
      </c>
    </row>
    <row r="218" spans="1:14" hidden="1" x14ac:dyDescent="0.35">
      <c r="A218" s="52" t="s">
        <v>206</v>
      </c>
      <c r="B218" s="52" t="s">
        <v>73</v>
      </c>
      <c r="C218" s="52" t="s">
        <v>80</v>
      </c>
      <c r="D218" s="52" t="s">
        <v>152</v>
      </c>
      <c r="E218" s="52" t="s">
        <v>584</v>
      </c>
      <c r="F218" s="52" t="s">
        <v>581</v>
      </c>
      <c r="G218" s="55" t="s">
        <v>277</v>
      </c>
      <c r="H218" s="55">
        <v>99.790909999999997</v>
      </c>
      <c r="I218" s="55">
        <v>87.943700000000007</v>
      </c>
      <c r="J218" s="55">
        <v>52.709960000000002</v>
      </c>
      <c r="K218" s="55">
        <v>41.852730000000001</v>
      </c>
      <c r="L218" s="55">
        <v>43.436039999999998</v>
      </c>
      <c r="M218" s="55">
        <v>44.55294</v>
      </c>
      <c r="N218" s="55">
        <v>45.106389999999998</v>
      </c>
    </row>
    <row r="219" spans="1:14" hidden="1" x14ac:dyDescent="0.35">
      <c r="A219" s="52" t="s">
        <v>206</v>
      </c>
      <c r="B219" s="52" t="s">
        <v>73</v>
      </c>
      <c r="C219" s="52" t="s">
        <v>80</v>
      </c>
      <c r="D219" s="52" t="s">
        <v>152</v>
      </c>
      <c r="E219" s="52" t="s">
        <v>584</v>
      </c>
      <c r="F219" s="52" t="s">
        <v>581</v>
      </c>
      <c r="G219" s="55" t="s">
        <v>278</v>
      </c>
      <c r="H219" s="55">
        <v>6.8474199999999999E-2</v>
      </c>
      <c r="I219" s="55">
        <v>1.7784350000000001E-2</v>
      </c>
      <c r="J219" s="55">
        <v>3.4072290000000001</v>
      </c>
      <c r="K219" s="55">
        <v>1.9266570000000001</v>
      </c>
      <c r="L219" s="55"/>
      <c r="M219" s="55">
        <v>1.5208019999999999E-2</v>
      </c>
      <c r="N219" s="55"/>
    </row>
    <row r="220" spans="1:14" hidden="1" x14ac:dyDescent="0.35">
      <c r="A220" s="52" t="s">
        <v>206</v>
      </c>
      <c r="B220" s="52" t="s">
        <v>73</v>
      </c>
      <c r="C220" s="52" t="s">
        <v>80</v>
      </c>
      <c r="D220" s="52" t="s">
        <v>152</v>
      </c>
      <c r="E220" s="52" t="s">
        <v>584</v>
      </c>
      <c r="F220" s="52" t="s">
        <v>581</v>
      </c>
      <c r="G220" s="55" t="s">
        <v>279</v>
      </c>
      <c r="H220" s="55">
        <v>51.598990000000001</v>
      </c>
      <c r="I220" s="55">
        <v>50.510550000000002</v>
      </c>
      <c r="J220" s="55">
        <v>50.008069999999996</v>
      </c>
      <c r="K220" s="55">
        <v>60.656559999999999</v>
      </c>
      <c r="L220" s="55">
        <v>63.438279999999999</v>
      </c>
      <c r="M220" s="55">
        <v>49.143599999999999</v>
      </c>
      <c r="N220" s="55">
        <v>52.114849999999997</v>
      </c>
    </row>
    <row r="221" spans="1:14" hidden="1" x14ac:dyDescent="0.35">
      <c r="A221" s="52" t="s">
        <v>206</v>
      </c>
      <c r="B221" s="52" t="s">
        <v>73</v>
      </c>
      <c r="C221" s="52" t="s">
        <v>80</v>
      </c>
      <c r="D221" s="52" t="s">
        <v>152</v>
      </c>
      <c r="E221" s="52" t="s">
        <v>584</v>
      </c>
      <c r="F221" s="52" t="s">
        <v>26</v>
      </c>
      <c r="G221" s="55" t="s">
        <v>275</v>
      </c>
      <c r="H221" s="55">
        <v>5.0691800000000002</v>
      </c>
      <c r="I221" s="55">
        <v>11.07648</v>
      </c>
      <c r="J221" s="55">
        <v>15.872590000000001</v>
      </c>
      <c r="K221" s="55">
        <v>17.139040000000001</v>
      </c>
      <c r="L221" s="55">
        <v>18.910270000000001</v>
      </c>
      <c r="M221" s="55">
        <v>2.3836879999999998</v>
      </c>
      <c r="N221" s="55">
        <v>4.102589</v>
      </c>
    </row>
    <row r="222" spans="1:14" hidden="1" x14ac:dyDescent="0.35">
      <c r="A222" s="52" t="s">
        <v>206</v>
      </c>
      <c r="B222" s="52" t="s">
        <v>73</v>
      </c>
      <c r="C222" s="52" t="s">
        <v>80</v>
      </c>
      <c r="D222" s="52" t="s">
        <v>152</v>
      </c>
      <c r="E222" s="52" t="s">
        <v>584</v>
      </c>
      <c r="F222" s="52" t="s">
        <v>26</v>
      </c>
      <c r="G222" s="55" t="s">
        <v>276</v>
      </c>
      <c r="H222" s="55">
        <v>14.09104</v>
      </c>
      <c r="I222" s="55">
        <v>35.42313</v>
      </c>
      <c r="J222" s="55">
        <v>45.173220000000001</v>
      </c>
      <c r="K222" s="55">
        <v>53.131360000000001</v>
      </c>
      <c r="L222" s="55">
        <v>64.448769999999996</v>
      </c>
      <c r="M222" s="55">
        <v>8.5606139999999993</v>
      </c>
      <c r="N222" s="55">
        <v>14.68464</v>
      </c>
    </row>
    <row r="223" spans="1:14" hidden="1" x14ac:dyDescent="0.35">
      <c r="A223" s="52" t="s">
        <v>206</v>
      </c>
      <c r="B223" s="52" t="s">
        <v>73</v>
      </c>
      <c r="C223" s="52" t="s">
        <v>80</v>
      </c>
      <c r="D223" s="52" t="s">
        <v>152</v>
      </c>
      <c r="E223" s="52" t="s">
        <v>584</v>
      </c>
      <c r="F223" s="52" t="s">
        <v>26</v>
      </c>
      <c r="G223" s="55" t="s">
        <v>277</v>
      </c>
      <c r="H223" s="55"/>
      <c r="I223" s="55"/>
      <c r="J223" s="55"/>
      <c r="K223" s="55"/>
      <c r="L223" s="55">
        <v>0</v>
      </c>
      <c r="M223" s="55">
        <v>4.4999999999999998E-2</v>
      </c>
      <c r="N223" s="55">
        <v>6.181743E-2</v>
      </c>
    </row>
    <row r="224" spans="1:14" hidden="1" x14ac:dyDescent="0.35">
      <c r="A224" s="52" t="s">
        <v>206</v>
      </c>
      <c r="B224" s="52" t="s">
        <v>73</v>
      </c>
      <c r="C224" s="52" t="s">
        <v>80</v>
      </c>
      <c r="D224" s="52" t="s">
        <v>152</v>
      </c>
      <c r="E224" s="52" t="s">
        <v>584</v>
      </c>
      <c r="F224" s="52" t="s">
        <v>26</v>
      </c>
      <c r="G224" s="55" t="s">
        <v>278</v>
      </c>
      <c r="H224" s="55">
        <v>22.98893</v>
      </c>
      <c r="I224" s="55">
        <v>2.694713E-2</v>
      </c>
      <c r="J224" s="55">
        <v>8.2162310000000005</v>
      </c>
      <c r="K224" s="55">
        <v>4.5036160000000001</v>
      </c>
      <c r="L224" s="55">
        <v>3.0638049999999999</v>
      </c>
      <c r="M224" s="55">
        <v>5.0382860000000002E-2</v>
      </c>
      <c r="N224" s="55">
        <v>5.0382860000000002E-2</v>
      </c>
    </row>
    <row r="225" spans="1:14" hidden="1" x14ac:dyDescent="0.35">
      <c r="A225" s="52" t="s">
        <v>206</v>
      </c>
      <c r="B225" s="52" t="s">
        <v>73</v>
      </c>
      <c r="C225" s="52" t="s">
        <v>80</v>
      </c>
      <c r="D225" s="52" t="s">
        <v>152</v>
      </c>
      <c r="E225" s="52" t="s">
        <v>584</v>
      </c>
      <c r="F225" s="52" t="s">
        <v>26</v>
      </c>
      <c r="G225" s="55" t="s">
        <v>279</v>
      </c>
      <c r="H225" s="55">
        <v>29.20513</v>
      </c>
      <c r="I225" s="55">
        <v>37.070770000000003</v>
      </c>
      <c r="J225" s="55">
        <v>26.80058</v>
      </c>
      <c r="K225" s="55">
        <v>23.660509999999999</v>
      </c>
      <c r="L225" s="55">
        <v>13.786060000000001</v>
      </c>
      <c r="M225" s="55">
        <v>2.2917969999999999</v>
      </c>
      <c r="N225" s="55">
        <v>3.470758</v>
      </c>
    </row>
    <row r="226" spans="1:14" hidden="1" x14ac:dyDescent="0.35">
      <c r="A226" s="52" t="s">
        <v>206</v>
      </c>
      <c r="B226" s="52" t="s">
        <v>73</v>
      </c>
      <c r="C226" s="52" t="s">
        <v>80</v>
      </c>
      <c r="D226" s="52" t="s">
        <v>211</v>
      </c>
      <c r="E226" s="52" t="s">
        <v>584</v>
      </c>
      <c r="F226" s="52" t="s">
        <v>581</v>
      </c>
      <c r="G226" s="55" t="s">
        <v>275</v>
      </c>
      <c r="H226" s="55">
        <v>1.8146119999999999</v>
      </c>
      <c r="I226" s="55">
        <v>0.91183899999999996</v>
      </c>
      <c r="J226" s="55">
        <v>0.58414129999999997</v>
      </c>
      <c r="K226" s="55">
        <v>0.40214509999999998</v>
      </c>
      <c r="L226" s="55">
        <v>0.13845859999999999</v>
      </c>
      <c r="M226" s="55">
        <v>7.4915960000000004E-2</v>
      </c>
      <c r="N226" s="55">
        <v>3.2749109999999998E-2</v>
      </c>
    </row>
    <row r="227" spans="1:14" hidden="1" x14ac:dyDescent="0.35">
      <c r="A227" s="52" t="s">
        <v>206</v>
      </c>
      <c r="B227" s="52" t="s">
        <v>73</v>
      </c>
      <c r="C227" s="52" t="s">
        <v>80</v>
      </c>
      <c r="D227" s="52" t="s">
        <v>211</v>
      </c>
      <c r="E227" s="52" t="s">
        <v>584</v>
      </c>
      <c r="F227" s="52" t="s">
        <v>581</v>
      </c>
      <c r="G227" s="55" t="s">
        <v>276</v>
      </c>
      <c r="H227" s="55">
        <v>4.5847340000000001</v>
      </c>
      <c r="I227" s="55">
        <v>2.0527980000000001</v>
      </c>
      <c r="J227" s="55">
        <v>1.456631</v>
      </c>
      <c r="K227" s="55">
        <v>1.1406810000000001</v>
      </c>
      <c r="L227" s="55">
        <v>0.48328549999999998</v>
      </c>
      <c r="M227" s="55">
        <v>0.2676055</v>
      </c>
      <c r="N227" s="55">
        <v>0.11702460000000001</v>
      </c>
    </row>
    <row r="228" spans="1:14" hidden="1" x14ac:dyDescent="0.35">
      <c r="A228" s="52" t="s">
        <v>206</v>
      </c>
      <c r="B228" s="52" t="s">
        <v>73</v>
      </c>
      <c r="C228" s="52" t="s">
        <v>80</v>
      </c>
      <c r="D228" s="52" t="s">
        <v>211</v>
      </c>
      <c r="E228" s="52" t="s">
        <v>584</v>
      </c>
      <c r="F228" s="52" t="s">
        <v>581</v>
      </c>
      <c r="G228" s="55" t="s">
        <v>277</v>
      </c>
      <c r="H228" s="55">
        <v>0</v>
      </c>
      <c r="I228" s="55"/>
      <c r="J228" s="55"/>
      <c r="K228" s="55"/>
      <c r="L228" s="55"/>
      <c r="M228" s="55"/>
      <c r="N228" s="55"/>
    </row>
    <row r="229" spans="1:14" hidden="1" x14ac:dyDescent="0.35">
      <c r="A229" s="52" t="s">
        <v>206</v>
      </c>
      <c r="B229" s="52" t="s">
        <v>73</v>
      </c>
      <c r="C229" s="52" t="s">
        <v>80</v>
      </c>
      <c r="D229" s="52" t="s">
        <v>211</v>
      </c>
      <c r="E229" s="52" t="s">
        <v>584</v>
      </c>
      <c r="F229" s="52" t="s">
        <v>581</v>
      </c>
      <c r="G229" s="55" t="s">
        <v>279</v>
      </c>
      <c r="H229" s="55">
        <v>0.33561350000000001</v>
      </c>
      <c r="I229" s="55">
        <v>0.28827720000000001</v>
      </c>
      <c r="J229" s="55">
        <v>0.19825780000000001</v>
      </c>
      <c r="K229" s="55">
        <v>0.1908234</v>
      </c>
      <c r="L229" s="55">
        <v>8.90759E-2</v>
      </c>
      <c r="M229" s="55">
        <v>5.8230499999999998E-2</v>
      </c>
      <c r="N229" s="55">
        <v>3.6941399999999999E-2</v>
      </c>
    </row>
    <row r="230" spans="1:14" hidden="1" x14ac:dyDescent="0.35">
      <c r="A230" s="52" t="s">
        <v>206</v>
      </c>
      <c r="B230" s="52" t="s">
        <v>73</v>
      </c>
      <c r="C230" s="52" t="s">
        <v>80</v>
      </c>
      <c r="D230" s="52" t="s">
        <v>211</v>
      </c>
      <c r="E230" s="52" t="s">
        <v>584</v>
      </c>
      <c r="F230" s="52" t="s">
        <v>26</v>
      </c>
      <c r="G230" s="55" t="s">
        <v>275</v>
      </c>
      <c r="H230" s="55">
        <v>79.247590000000002</v>
      </c>
      <c r="I230" s="55">
        <v>59.13785</v>
      </c>
      <c r="J230" s="55">
        <v>46.527119999999996</v>
      </c>
      <c r="K230" s="55">
        <v>32.170529999999999</v>
      </c>
      <c r="L230" s="55">
        <v>24.62013</v>
      </c>
      <c r="M230" s="55">
        <v>15.522539999999999</v>
      </c>
      <c r="N230" s="55">
        <v>10.77455</v>
      </c>
    </row>
    <row r="231" spans="1:14" hidden="1" x14ac:dyDescent="0.35">
      <c r="A231" s="52" t="s">
        <v>206</v>
      </c>
      <c r="B231" s="52" t="s">
        <v>73</v>
      </c>
      <c r="C231" s="52" t="s">
        <v>80</v>
      </c>
      <c r="D231" s="52" t="s">
        <v>211</v>
      </c>
      <c r="E231" s="52" t="s">
        <v>584</v>
      </c>
      <c r="F231" s="52" t="s">
        <v>26</v>
      </c>
      <c r="G231" s="55" t="s">
        <v>276</v>
      </c>
      <c r="H231" s="55">
        <v>6.7881099999999996</v>
      </c>
      <c r="I231" s="55">
        <v>20.756810000000002</v>
      </c>
      <c r="J231" s="55">
        <v>48.97833</v>
      </c>
      <c r="K231" s="55">
        <v>52.159329999999997</v>
      </c>
      <c r="L231" s="55">
        <v>61.359679999999997</v>
      </c>
      <c r="M231" s="55">
        <v>60.813479999999998</v>
      </c>
      <c r="N231" s="55">
        <v>44.739899999999999</v>
      </c>
    </row>
    <row r="232" spans="1:14" hidden="1" x14ac:dyDescent="0.35">
      <c r="A232" s="52" t="s">
        <v>206</v>
      </c>
      <c r="B232" s="52" t="s">
        <v>73</v>
      </c>
      <c r="C232" s="52" t="s">
        <v>80</v>
      </c>
      <c r="D232" s="52" t="s">
        <v>211</v>
      </c>
      <c r="E232" s="52" t="s">
        <v>584</v>
      </c>
      <c r="F232" s="52" t="s">
        <v>26</v>
      </c>
      <c r="G232" s="55" t="s">
        <v>277</v>
      </c>
      <c r="H232" s="55">
        <v>0</v>
      </c>
      <c r="I232" s="55">
        <v>3.6273E-3</v>
      </c>
      <c r="J232" s="55">
        <v>0.6812416</v>
      </c>
      <c r="K232" s="55">
        <v>1.9163209999999999</v>
      </c>
      <c r="L232" s="55">
        <v>2.646433</v>
      </c>
      <c r="M232" s="55">
        <v>3.1943389999999998</v>
      </c>
      <c r="N232" s="55">
        <v>4.4961279999999997</v>
      </c>
    </row>
    <row r="233" spans="1:14" hidden="1" x14ac:dyDescent="0.35">
      <c r="A233" s="52" t="s">
        <v>206</v>
      </c>
      <c r="B233" s="52" t="s">
        <v>73</v>
      </c>
      <c r="C233" s="52" t="s">
        <v>80</v>
      </c>
      <c r="D233" s="52" t="s">
        <v>211</v>
      </c>
      <c r="E233" s="52" t="s">
        <v>584</v>
      </c>
      <c r="F233" s="52" t="s">
        <v>26</v>
      </c>
      <c r="G233" s="55" t="s">
        <v>278</v>
      </c>
      <c r="H233" s="55">
        <v>1.54374E-2</v>
      </c>
      <c r="I233" s="55">
        <v>1.0084600000000001E-2</v>
      </c>
      <c r="J233" s="55">
        <v>1.8876500000000001E-2</v>
      </c>
      <c r="K233" s="55">
        <v>0.15704560000000001</v>
      </c>
      <c r="L233" s="55">
        <v>9.1781999999999992E-3</v>
      </c>
      <c r="M233" s="55">
        <v>1.88551E-2</v>
      </c>
      <c r="N233" s="55">
        <v>1.88551E-2</v>
      </c>
    </row>
    <row r="234" spans="1:14" hidden="1" x14ac:dyDescent="0.35">
      <c r="A234" s="52" t="s">
        <v>206</v>
      </c>
      <c r="B234" s="52" t="s">
        <v>73</v>
      </c>
      <c r="C234" s="52" t="s">
        <v>80</v>
      </c>
      <c r="D234" s="52" t="s">
        <v>211</v>
      </c>
      <c r="E234" s="52" t="s">
        <v>584</v>
      </c>
      <c r="F234" s="52" t="s">
        <v>26</v>
      </c>
      <c r="G234" s="55" t="s">
        <v>279</v>
      </c>
      <c r="H234" s="55">
        <v>41.899479999999997</v>
      </c>
      <c r="I234" s="55">
        <v>37.392800000000001</v>
      </c>
      <c r="J234" s="55">
        <v>37.670639999999999</v>
      </c>
      <c r="K234" s="55">
        <v>50.801160000000003</v>
      </c>
      <c r="L234" s="55">
        <v>51.974580000000003</v>
      </c>
      <c r="M234" s="55">
        <v>47.100619999999999</v>
      </c>
      <c r="N234" s="55">
        <v>36.784329999999997</v>
      </c>
    </row>
    <row r="235" spans="1:14" hidden="1" x14ac:dyDescent="0.35">
      <c r="A235" s="52" t="s">
        <v>206</v>
      </c>
      <c r="B235" s="52" t="s">
        <v>73</v>
      </c>
      <c r="C235" s="52" t="s">
        <v>80</v>
      </c>
      <c r="D235" s="52" t="s">
        <v>83</v>
      </c>
      <c r="E235" s="52" t="s">
        <v>584</v>
      </c>
      <c r="F235" s="52" t="s">
        <v>26</v>
      </c>
      <c r="G235" s="55" t="s">
        <v>275</v>
      </c>
      <c r="H235" s="55">
        <v>-1.6651999999999999E-3</v>
      </c>
      <c r="I235" s="55">
        <v>4.5144E-3</v>
      </c>
      <c r="J235" s="55">
        <v>2.8724000000000002E-3</v>
      </c>
      <c r="K235" s="55">
        <v>-0.2008028</v>
      </c>
      <c r="L235" s="55">
        <v>-0.1639572</v>
      </c>
      <c r="M235" s="55">
        <v>7.6534000000000005E-2</v>
      </c>
      <c r="N235" s="55">
        <v>-3.9679440000000001</v>
      </c>
    </row>
    <row r="236" spans="1:14" hidden="1" x14ac:dyDescent="0.35">
      <c r="A236" s="52" t="s">
        <v>206</v>
      </c>
      <c r="B236" s="52" t="s">
        <v>73</v>
      </c>
      <c r="C236" s="52" t="s">
        <v>80</v>
      </c>
      <c r="D236" s="52" t="s">
        <v>83</v>
      </c>
      <c r="E236" s="52" t="s">
        <v>584</v>
      </c>
      <c r="F236" s="52" t="s">
        <v>26</v>
      </c>
      <c r="G236" s="55" t="s">
        <v>276</v>
      </c>
      <c r="H236" s="55">
        <v>-3.3372400000000003E-2</v>
      </c>
      <c r="I236" s="55">
        <v>-4.5139990000000003E-3</v>
      </c>
      <c r="J236" s="55">
        <v>-2.872E-3</v>
      </c>
      <c r="K236" s="55">
        <v>-3.9688399999999999E-2</v>
      </c>
      <c r="L236" s="55">
        <v>-7.6533599999999993E-2</v>
      </c>
      <c r="M236" s="55">
        <v>-7.6533599999999993E-2</v>
      </c>
      <c r="N236" s="55">
        <v>-0.84187199999999995</v>
      </c>
    </row>
    <row r="237" spans="1:14" hidden="1" x14ac:dyDescent="0.35">
      <c r="A237" s="52" t="s">
        <v>206</v>
      </c>
      <c r="B237" s="52" t="s">
        <v>73</v>
      </c>
      <c r="C237" s="52" t="s">
        <v>80</v>
      </c>
      <c r="D237" s="52" t="s">
        <v>83</v>
      </c>
      <c r="E237" s="52" t="s">
        <v>584</v>
      </c>
      <c r="F237" s="52" t="s">
        <v>26</v>
      </c>
      <c r="G237" s="55" t="s">
        <v>277</v>
      </c>
      <c r="H237" s="55"/>
      <c r="I237" s="55"/>
      <c r="J237" s="55">
        <v>0</v>
      </c>
      <c r="K237" s="55">
        <v>0.2404908</v>
      </c>
      <c r="L237" s="55">
        <v>0.2404908</v>
      </c>
      <c r="M237" s="55">
        <v>0</v>
      </c>
      <c r="N237" s="55">
        <v>4.8098150000000004</v>
      </c>
    </row>
    <row r="238" spans="1:14" hidden="1" x14ac:dyDescent="0.35">
      <c r="A238" s="52" t="s">
        <v>206</v>
      </c>
      <c r="B238" s="52" t="s">
        <v>73</v>
      </c>
      <c r="C238" s="52" t="s">
        <v>80</v>
      </c>
      <c r="D238" s="52" t="s">
        <v>83</v>
      </c>
      <c r="E238" s="52" t="s">
        <v>584</v>
      </c>
      <c r="F238" s="52" t="s">
        <v>26</v>
      </c>
      <c r="G238" s="55" t="s">
        <v>278</v>
      </c>
      <c r="H238" s="55">
        <v>3.5037600000000002E-2</v>
      </c>
      <c r="I238" s="55">
        <v>0</v>
      </c>
      <c r="J238" s="55"/>
      <c r="K238" s="55"/>
      <c r="L238" s="55"/>
      <c r="M238" s="55"/>
      <c r="N238" s="55"/>
    </row>
    <row r="239" spans="1:14" hidden="1" x14ac:dyDescent="0.35">
      <c r="A239" s="52" t="s">
        <v>206</v>
      </c>
      <c r="B239" s="52" t="s">
        <v>73</v>
      </c>
      <c r="C239" s="52" t="s">
        <v>80</v>
      </c>
      <c r="D239" s="52" t="s">
        <v>83</v>
      </c>
      <c r="E239" s="52" t="s">
        <v>584</v>
      </c>
      <c r="F239" s="52" t="s">
        <v>26</v>
      </c>
      <c r="G239" s="55" t="s">
        <v>279</v>
      </c>
      <c r="H239" s="55"/>
      <c r="I239" s="55"/>
      <c r="J239" s="55"/>
      <c r="K239" s="55"/>
      <c r="L239" s="55"/>
      <c r="M239" s="55"/>
      <c r="N239" s="55">
        <v>0</v>
      </c>
    </row>
    <row r="240" spans="1:14" hidden="1" x14ac:dyDescent="0.35">
      <c r="A240" s="52" t="s">
        <v>206</v>
      </c>
      <c r="B240" s="52" t="s">
        <v>73</v>
      </c>
      <c r="C240" s="52" t="s">
        <v>80</v>
      </c>
      <c r="D240" s="52" t="s">
        <v>82</v>
      </c>
      <c r="E240" s="52" t="s">
        <v>584</v>
      </c>
      <c r="F240" s="52" t="s">
        <v>581</v>
      </c>
      <c r="G240" s="55" t="s">
        <v>275</v>
      </c>
      <c r="H240" s="55">
        <v>-4.4035999999999997E-3</v>
      </c>
      <c r="I240" s="55"/>
      <c r="J240" s="55"/>
      <c r="K240" s="55"/>
      <c r="L240" s="55">
        <v>0</v>
      </c>
      <c r="M240" s="55"/>
      <c r="N240" s="55">
        <v>0</v>
      </c>
    </row>
    <row r="241" spans="1:14" hidden="1" x14ac:dyDescent="0.35">
      <c r="A241" s="52" t="s">
        <v>206</v>
      </c>
      <c r="B241" s="52" t="s">
        <v>73</v>
      </c>
      <c r="C241" s="52" t="s">
        <v>80</v>
      </c>
      <c r="D241" s="52" t="s">
        <v>82</v>
      </c>
      <c r="E241" s="52" t="s">
        <v>584</v>
      </c>
      <c r="F241" s="52" t="s">
        <v>581</v>
      </c>
      <c r="G241" s="55" t="s">
        <v>276</v>
      </c>
      <c r="H241" s="55">
        <v>-2.75024E-2</v>
      </c>
      <c r="I241" s="55"/>
      <c r="J241" s="55"/>
      <c r="K241" s="55"/>
      <c r="L241" s="55"/>
      <c r="M241" s="55"/>
      <c r="N241" s="55">
        <v>0</v>
      </c>
    </row>
    <row r="242" spans="1:14" hidden="1" x14ac:dyDescent="0.35">
      <c r="A242" s="52" t="s">
        <v>206</v>
      </c>
      <c r="B242" s="52" t="s">
        <v>73</v>
      </c>
      <c r="C242" s="52" t="s">
        <v>80</v>
      </c>
      <c r="D242" s="52" t="s">
        <v>82</v>
      </c>
      <c r="E242" s="52" t="s">
        <v>584</v>
      </c>
      <c r="F242" s="52" t="s">
        <v>581</v>
      </c>
      <c r="G242" s="55" t="s">
        <v>277</v>
      </c>
      <c r="H242" s="55"/>
      <c r="I242" s="55"/>
      <c r="J242" s="55"/>
      <c r="K242" s="55">
        <v>0</v>
      </c>
      <c r="L242" s="55"/>
      <c r="M242" s="55">
        <v>0</v>
      </c>
      <c r="N242" s="55">
        <v>0</v>
      </c>
    </row>
    <row r="243" spans="1:14" hidden="1" x14ac:dyDescent="0.35">
      <c r="A243" s="52" t="s">
        <v>206</v>
      </c>
      <c r="B243" s="52" t="s">
        <v>73</v>
      </c>
      <c r="C243" s="52" t="s">
        <v>80</v>
      </c>
      <c r="D243" s="52" t="s">
        <v>82</v>
      </c>
      <c r="E243" s="52" t="s">
        <v>584</v>
      </c>
      <c r="F243" s="52" t="s">
        <v>581</v>
      </c>
      <c r="G243" s="55" t="s">
        <v>278</v>
      </c>
      <c r="H243" s="55">
        <v>3.1906200000000003E-2</v>
      </c>
      <c r="I243" s="55">
        <v>0</v>
      </c>
      <c r="J243" s="55"/>
      <c r="K243" s="55">
        <v>0</v>
      </c>
      <c r="L243" s="55"/>
      <c r="M243" s="55"/>
      <c r="N243" s="55"/>
    </row>
    <row r="244" spans="1:14" hidden="1" x14ac:dyDescent="0.35">
      <c r="A244" s="52" t="s">
        <v>206</v>
      </c>
      <c r="B244" s="52" t="s">
        <v>73</v>
      </c>
      <c r="C244" s="52" t="s">
        <v>80</v>
      </c>
      <c r="D244" s="52" t="s">
        <v>82</v>
      </c>
      <c r="E244" s="52" t="s">
        <v>584</v>
      </c>
      <c r="F244" s="52" t="s">
        <v>581</v>
      </c>
      <c r="G244" s="55" t="s">
        <v>279</v>
      </c>
      <c r="H244" s="55"/>
      <c r="I244" s="55"/>
      <c r="J244" s="55"/>
      <c r="K244" s="55"/>
      <c r="L244" s="55"/>
      <c r="M244" s="55"/>
      <c r="N244" s="55">
        <v>0</v>
      </c>
    </row>
    <row r="245" spans="1:14" hidden="1" x14ac:dyDescent="0.35">
      <c r="A245" s="52" t="s">
        <v>206</v>
      </c>
      <c r="B245" s="52" t="s">
        <v>73</v>
      </c>
      <c r="C245" s="52" t="s">
        <v>80</v>
      </c>
      <c r="D245" s="52" t="s">
        <v>82</v>
      </c>
      <c r="E245" s="52" t="s">
        <v>584</v>
      </c>
      <c r="F245" s="52" t="s">
        <v>26</v>
      </c>
      <c r="G245" s="55" t="s">
        <v>275</v>
      </c>
      <c r="H245" s="55">
        <v>0</v>
      </c>
      <c r="I245" s="55">
        <v>-1.3630000000000001E-3</v>
      </c>
      <c r="J245" s="55">
        <v>0</v>
      </c>
      <c r="K245" s="55">
        <v>0</v>
      </c>
      <c r="L245" s="55">
        <v>0</v>
      </c>
      <c r="M245" s="55">
        <v>0</v>
      </c>
      <c r="N245" s="55">
        <v>0</v>
      </c>
    </row>
    <row r="246" spans="1:14" hidden="1" x14ac:dyDescent="0.35">
      <c r="A246" s="52" t="s">
        <v>206</v>
      </c>
      <c r="B246" s="52" t="s">
        <v>73</v>
      </c>
      <c r="C246" s="52" t="s">
        <v>80</v>
      </c>
      <c r="D246" s="52" t="s">
        <v>84</v>
      </c>
      <c r="E246" s="52" t="s">
        <v>584</v>
      </c>
      <c r="F246" s="52" t="s">
        <v>26</v>
      </c>
      <c r="G246" s="55" t="s">
        <v>275</v>
      </c>
      <c r="H246" s="55">
        <v>0.37290689999999999</v>
      </c>
      <c r="I246" s="55">
        <v>0.37428699999999998</v>
      </c>
      <c r="J246" s="55">
        <v>-1.938349E-3</v>
      </c>
      <c r="K246" s="55">
        <v>-2.0243119999999999E-3</v>
      </c>
      <c r="L246" s="55">
        <v>-0.1194422</v>
      </c>
      <c r="M246" s="55">
        <v>-1.2704420000000001</v>
      </c>
      <c r="N246" s="55">
        <v>-6.7355600000000004</v>
      </c>
    </row>
    <row r="247" spans="1:14" hidden="1" x14ac:dyDescent="0.35">
      <c r="A247" s="52" t="s">
        <v>206</v>
      </c>
      <c r="B247" s="52" t="s">
        <v>73</v>
      </c>
      <c r="C247" s="52" t="s">
        <v>80</v>
      </c>
      <c r="D247" s="52" t="s">
        <v>84</v>
      </c>
      <c r="E247" s="52" t="s">
        <v>584</v>
      </c>
      <c r="F247" s="52" t="s">
        <v>26</v>
      </c>
      <c r="G247" s="55" t="s">
        <v>276</v>
      </c>
      <c r="H247" s="55">
        <v>-0.399621</v>
      </c>
      <c r="I247" s="55">
        <v>-0.39173859999999999</v>
      </c>
      <c r="J247" s="55">
        <v>-2.543103E-2</v>
      </c>
      <c r="K247" s="55">
        <v>-2.3874490000000002E-2</v>
      </c>
      <c r="L247" s="55">
        <v>-4.5185169999999997E-2</v>
      </c>
      <c r="M247" s="55">
        <v>-0.2972359</v>
      </c>
      <c r="N247" s="55">
        <v>-1.6545190000000001</v>
      </c>
    </row>
    <row r="248" spans="1:14" hidden="1" x14ac:dyDescent="0.35">
      <c r="A248" s="52" t="s">
        <v>206</v>
      </c>
      <c r="B248" s="52" t="s">
        <v>73</v>
      </c>
      <c r="C248" s="52" t="s">
        <v>80</v>
      </c>
      <c r="D248" s="52" t="s">
        <v>82</v>
      </c>
      <c r="E248" s="52" t="s">
        <v>584</v>
      </c>
      <c r="F248" s="52" t="s">
        <v>26</v>
      </c>
      <c r="G248" s="55" t="s">
        <v>276</v>
      </c>
      <c r="H248" s="55"/>
      <c r="I248" s="55">
        <v>-1.94802E-2</v>
      </c>
      <c r="J248" s="55">
        <v>-3.9308010000000002</v>
      </c>
      <c r="K248" s="55">
        <v>-2.1144E-2</v>
      </c>
      <c r="L248" s="55">
        <v>-4.7969610000000003E-2</v>
      </c>
      <c r="M248" s="55">
        <v>-6.797019E-2</v>
      </c>
      <c r="N248" s="55">
        <v>-0.32897019999999999</v>
      </c>
    </row>
    <row r="249" spans="1:14" hidden="1" x14ac:dyDescent="0.35">
      <c r="A249" s="52" t="s">
        <v>206</v>
      </c>
      <c r="B249" s="52" t="s">
        <v>73</v>
      </c>
      <c r="C249" s="52" t="s">
        <v>80</v>
      </c>
      <c r="D249" s="52" t="s">
        <v>84</v>
      </c>
      <c r="E249" s="52" t="s">
        <v>584</v>
      </c>
      <c r="F249" s="52" t="s">
        <v>26</v>
      </c>
      <c r="G249" s="55" t="s">
        <v>277</v>
      </c>
      <c r="H249" s="55"/>
      <c r="I249" s="55"/>
      <c r="J249" s="55"/>
      <c r="K249" s="55">
        <v>0</v>
      </c>
      <c r="L249" s="55">
        <v>0.13955000000000001</v>
      </c>
      <c r="M249" s="55">
        <v>1.53505</v>
      </c>
      <c r="N249" s="55">
        <v>8.3132479999999997</v>
      </c>
    </row>
    <row r="250" spans="1:14" hidden="1" x14ac:dyDescent="0.35">
      <c r="A250" s="52" t="s">
        <v>206</v>
      </c>
      <c r="B250" s="52" t="s">
        <v>73</v>
      </c>
      <c r="C250" s="52" t="s">
        <v>80</v>
      </c>
      <c r="D250" s="52" t="s">
        <v>82</v>
      </c>
      <c r="E250" s="52" t="s">
        <v>584</v>
      </c>
      <c r="F250" s="52" t="s">
        <v>26</v>
      </c>
      <c r="G250" s="55" t="s">
        <v>277</v>
      </c>
      <c r="H250" s="55"/>
      <c r="I250" s="55"/>
      <c r="J250" s="55"/>
      <c r="K250" s="55">
        <v>0</v>
      </c>
      <c r="L250" s="55">
        <v>2.9000000000000001E-2</v>
      </c>
      <c r="M250" s="55">
        <v>2.9000000000000001E-2</v>
      </c>
      <c r="N250" s="55">
        <v>0.28999999999999998</v>
      </c>
    </row>
    <row r="251" spans="1:14" hidden="1" x14ac:dyDescent="0.35">
      <c r="A251" s="52" t="s">
        <v>206</v>
      </c>
      <c r="B251" s="52" t="s">
        <v>73</v>
      </c>
      <c r="C251" s="52" t="s">
        <v>80</v>
      </c>
      <c r="D251" s="52" t="s">
        <v>84</v>
      </c>
      <c r="E251" s="52" t="s">
        <v>584</v>
      </c>
      <c r="F251" s="52" t="s">
        <v>26</v>
      </c>
      <c r="G251" s="55" t="s">
        <v>278</v>
      </c>
      <c r="H251" s="55">
        <v>2.6714060000000001E-2</v>
      </c>
      <c r="I251" s="55">
        <v>1.7451290000000001E-2</v>
      </c>
      <c r="J251" s="55">
        <v>2.7368819999999999E-2</v>
      </c>
      <c r="K251" s="55">
        <v>2.5898529999999999E-2</v>
      </c>
      <c r="L251" s="55">
        <v>2.507769E-2</v>
      </c>
      <c r="M251" s="55">
        <v>3.2628459999999998E-2</v>
      </c>
      <c r="N251" s="55">
        <v>3.2628459999999998E-2</v>
      </c>
    </row>
    <row r="252" spans="1:14" hidden="1" x14ac:dyDescent="0.35">
      <c r="A252" s="52" t="s">
        <v>206</v>
      </c>
      <c r="B252" s="52" t="s">
        <v>73</v>
      </c>
      <c r="C252" s="52" t="s">
        <v>80</v>
      </c>
      <c r="D252" s="52" t="s">
        <v>82</v>
      </c>
      <c r="E252" s="52" t="s">
        <v>584</v>
      </c>
      <c r="F252" s="52" t="s">
        <v>26</v>
      </c>
      <c r="G252" s="55" t="s">
        <v>278</v>
      </c>
      <c r="H252" s="55"/>
      <c r="I252" s="55">
        <v>2.0843E-2</v>
      </c>
      <c r="J252" s="55">
        <v>3.9308010000000002</v>
      </c>
      <c r="K252" s="55">
        <v>2.1144199999999998E-2</v>
      </c>
      <c r="L252" s="55">
        <v>1.89696E-2</v>
      </c>
      <c r="M252" s="55">
        <v>3.8969999999999998E-2</v>
      </c>
      <c r="N252" s="55">
        <v>3.8969999999999998E-2</v>
      </c>
    </row>
    <row r="253" spans="1:14" hidden="1" x14ac:dyDescent="0.35">
      <c r="A253" s="52" t="s">
        <v>206</v>
      </c>
      <c r="B253" s="52" t="s">
        <v>73</v>
      </c>
      <c r="C253" s="52" t="s">
        <v>80</v>
      </c>
      <c r="D253" s="52" t="s">
        <v>84</v>
      </c>
      <c r="E253" s="52" t="s">
        <v>584</v>
      </c>
      <c r="F253" s="52" t="s">
        <v>26</v>
      </c>
      <c r="G253" s="55" t="s">
        <v>279</v>
      </c>
      <c r="H253" s="55"/>
      <c r="I253" s="55"/>
      <c r="J253" s="55"/>
      <c r="K253" s="55"/>
      <c r="L253" s="55"/>
      <c r="M253" s="55">
        <v>0</v>
      </c>
      <c r="N253" s="55">
        <v>4.4204130000000001E-2</v>
      </c>
    </row>
    <row r="254" spans="1:14" hidden="1" x14ac:dyDescent="0.35">
      <c r="A254" s="52" t="s">
        <v>206</v>
      </c>
      <c r="B254" s="52" t="s">
        <v>73</v>
      </c>
      <c r="C254" s="52" t="s">
        <v>80</v>
      </c>
      <c r="D254" s="52" t="s">
        <v>82</v>
      </c>
      <c r="E254" s="52" t="s">
        <v>584</v>
      </c>
      <c r="F254" s="52" t="s">
        <v>26</v>
      </c>
      <c r="G254" s="55" t="s">
        <v>279</v>
      </c>
      <c r="H254" s="55"/>
      <c r="I254" s="55"/>
      <c r="J254" s="55"/>
      <c r="K254" s="55"/>
      <c r="L254" s="55"/>
      <c r="M254" s="55"/>
      <c r="N254" s="55">
        <v>0</v>
      </c>
    </row>
    <row r="255" spans="1:14" hidden="1" x14ac:dyDescent="0.35">
      <c r="A255" s="52" t="s">
        <v>206</v>
      </c>
      <c r="B255" s="52" t="s">
        <v>73</v>
      </c>
      <c r="C255" s="52" t="s">
        <v>80</v>
      </c>
      <c r="D255" s="52" t="s">
        <v>347</v>
      </c>
      <c r="E255" s="52" t="s">
        <v>584</v>
      </c>
      <c r="F255" s="52" t="s">
        <v>581</v>
      </c>
      <c r="G255" s="55" t="s">
        <v>275</v>
      </c>
      <c r="H255" s="55">
        <v>-2.5273299999999999E-2</v>
      </c>
      <c r="I255" s="55"/>
      <c r="J255" s="55"/>
      <c r="K255" s="55"/>
      <c r="L255" s="55">
        <v>0</v>
      </c>
      <c r="M255" s="55"/>
      <c r="N255" s="55"/>
    </row>
    <row r="256" spans="1:14" hidden="1" x14ac:dyDescent="0.35">
      <c r="A256" s="52" t="s">
        <v>206</v>
      </c>
      <c r="B256" s="52" t="s">
        <v>73</v>
      </c>
      <c r="C256" s="52" t="s">
        <v>80</v>
      </c>
      <c r="D256" s="52" t="s">
        <v>347</v>
      </c>
      <c r="E256" s="52" t="s">
        <v>584</v>
      </c>
      <c r="F256" s="52" t="s">
        <v>581</v>
      </c>
      <c r="G256" s="55" t="s">
        <v>276</v>
      </c>
      <c r="H256" s="55">
        <v>-0.1155713</v>
      </c>
      <c r="I256" s="55"/>
      <c r="J256" s="55"/>
      <c r="K256" s="55"/>
      <c r="L256" s="55"/>
      <c r="M256" s="55"/>
      <c r="N256" s="55"/>
    </row>
    <row r="257" spans="1:14" hidden="1" x14ac:dyDescent="0.35">
      <c r="A257" s="52" t="s">
        <v>206</v>
      </c>
      <c r="B257" s="52" t="s">
        <v>73</v>
      </c>
      <c r="C257" s="52" t="s">
        <v>80</v>
      </c>
      <c r="D257" s="52" t="s">
        <v>347</v>
      </c>
      <c r="E257" s="52" t="s">
        <v>584</v>
      </c>
      <c r="F257" s="52" t="s">
        <v>581</v>
      </c>
      <c r="G257" s="55" t="s">
        <v>277</v>
      </c>
      <c r="H257" s="55"/>
      <c r="I257" s="55"/>
      <c r="J257" s="55"/>
      <c r="K257" s="55">
        <v>0</v>
      </c>
      <c r="L257" s="55"/>
      <c r="M257" s="55"/>
      <c r="N257" s="55">
        <v>0</v>
      </c>
    </row>
    <row r="258" spans="1:14" hidden="1" x14ac:dyDescent="0.35">
      <c r="A258" s="52" t="s">
        <v>206</v>
      </c>
      <c r="B258" s="52" t="s">
        <v>73</v>
      </c>
      <c r="C258" s="52" t="s">
        <v>80</v>
      </c>
      <c r="D258" s="52" t="s">
        <v>347</v>
      </c>
      <c r="E258" s="52" t="s">
        <v>584</v>
      </c>
      <c r="F258" s="52" t="s">
        <v>581</v>
      </c>
      <c r="G258" s="55" t="s">
        <v>278</v>
      </c>
      <c r="H258" s="55">
        <v>0.14084459999999999</v>
      </c>
      <c r="I258" s="55"/>
      <c r="J258" s="55">
        <v>0</v>
      </c>
      <c r="K258" s="55"/>
      <c r="L258" s="55"/>
      <c r="M258" s="55"/>
      <c r="N258" s="55"/>
    </row>
    <row r="259" spans="1:14" hidden="1" x14ac:dyDescent="0.35">
      <c r="A259" s="52" t="s">
        <v>206</v>
      </c>
      <c r="B259" s="52" t="s">
        <v>73</v>
      </c>
      <c r="C259" s="52" t="s">
        <v>80</v>
      </c>
      <c r="D259" s="52" t="s">
        <v>347</v>
      </c>
      <c r="E259" s="52" t="s">
        <v>584</v>
      </c>
      <c r="F259" s="52" t="s">
        <v>26</v>
      </c>
      <c r="G259" s="55" t="s">
        <v>275</v>
      </c>
      <c r="H259" s="55">
        <v>0</v>
      </c>
      <c r="I259" s="55">
        <v>-8.8456200000000003</v>
      </c>
      <c r="J259" s="55">
        <v>0</v>
      </c>
      <c r="K259" s="55">
        <v>0</v>
      </c>
      <c r="L259" s="55">
        <v>0</v>
      </c>
      <c r="M259" s="55">
        <v>0</v>
      </c>
      <c r="N259" s="55">
        <v>0</v>
      </c>
    </row>
    <row r="260" spans="1:14" hidden="1" x14ac:dyDescent="0.35">
      <c r="A260" s="52" t="s">
        <v>206</v>
      </c>
      <c r="B260" s="52" t="s">
        <v>73</v>
      </c>
      <c r="C260" s="52" t="s">
        <v>80</v>
      </c>
      <c r="D260" s="52" t="s">
        <v>347</v>
      </c>
      <c r="E260" s="52" t="s">
        <v>584</v>
      </c>
      <c r="F260" s="52" t="s">
        <v>26</v>
      </c>
      <c r="G260" s="55" t="s">
        <v>276</v>
      </c>
      <c r="H260" s="55"/>
      <c r="I260" s="55">
        <v>-37.525570000000002</v>
      </c>
      <c r="J260" s="55">
        <v>-0.1105275</v>
      </c>
      <c r="K260" s="55">
        <v>-9.3339439999999996E-2</v>
      </c>
      <c r="L260" s="55">
        <v>-0.17798829999999999</v>
      </c>
      <c r="M260" s="55">
        <v>-0.26627699999999999</v>
      </c>
      <c r="N260" s="55">
        <v>-0.17202709999999999</v>
      </c>
    </row>
    <row r="261" spans="1:14" hidden="1" x14ac:dyDescent="0.35">
      <c r="A261" s="52" t="s">
        <v>206</v>
      </c>
      <c r="B261" s="52" t="s">
        <v>73</v>
      </c>
      <c r="C261" s="52" t="s">
        <v>80</v>
      </c>
      <c r="D261" s="52" t="s">
        <v>347</v>
      </c>
      <c r="E261" s="52" t="s">
        <v>584</v>
      </c>
      <c r="F261" s="52" t="s">
        <v>26</v>
      </c>
      <c r="G261" s="55" t="s">
        <v>277</v>
      </c>
      <c r="H261" s="55"/>
      <c r="I261" s="55"/>
      <c r="J261" s="55"/>
      <c r="K261" s="55">
        <v>0</v>
      </c>
      <c r="L261" s="55">
        <v>9.4250009999999995E-2</v>
      </c>
      <c r="M261" s="55">
        <v>9.4250009999999995E-2</v>
      </c>
      <c r="N261" s="55">
        <v>0</v>
      </c>
    </row>
    <row r="262" spans="1:14" hidden="1" x14ac:dyDescent="0.35">
      <c r="A262" s="52" t="s">
        <v>206</v>
      </c>
      <c r="B262" s="52" t="s">
        <v>73</v>
      </c>
      <c r="C262" s="52" t="s">
        <v>80</v>
      </c>
      <c r="D262" s="52" t="s">
        <v>347</v>
      </c>
      <c r="E262" s="52" t="s">
        <v>584</v>
      </c>
      <c r="F262" s="52" t="s">
        <v>26</v>
      </c>
      <c r="G262" s="55" t="s">
        <v>278</v>
      </c>
      <c r="H262" s="55">
        <v>0</v>
      </c>
      <c r="I262" s="55">
        <v>46.371189999999999</v>
      </c>
      <c r="J262" s="55">
        <v>0.11052729999999999</v>
      </c>
      <c r="K262" s="55">
        <v>9.333806E-2</v>
      </c>
      <c r="L262" s="55">
        <v>8.3738850000000004E-2</v>
      </c>
      <c r="M262" s="55">
        <v>0.17202700000000001</v>
      </c>
      <c r="N262" s="55">
        <v>0.17202700000000001</v>
      </c>
    </row>
    <row r="263" spans="1:14" hidden="1" x14ac:dyDescent="0.35">
      <c r="A263" s="52" t="s">
        <v>206</v>
      </c>
      <c r="B263" s="52" t="s">
        <v>73</v>
      </c>
      <c r="C263" s="52" t="s">
        <v>71</v>
      </c>
      <c r="D263" s="52" t="s">
        <v>72</v>
      </c>
      <c r="E263" s="52" t="s">
        <v>584</v>
      </c>
      <c r="F263" s="52" t="s">
        <v>581</v>
      </c>
      <c r="G263" s="55" t="s">
        <v>275</v>
      </c>
      <c r="H263" s="55">
        <v>17.313230000000001</v>
      </c>
      <c r="I263" s="55">
        <v>8.5808009999999992</v>
      </c>
      <c r="J263" s="55">
        <v>7.9511890000000003</v>
      </c>
      <c r="K263" s="55">
        <v>-1.2964469999999999</v>
      </c>
      <c r="L263" s="55">
        <v>10.02473</v>
      </c>
      <c r="M263" s="55">
        <v>8.5249050000000004</v>
      </c>
      <c r="N263" s="55">
        <v>7.2560510000000003</v>
      </c>
    </row>
    <row r="264" spans="1:14" hidden="1" x14ac:dyDescent="0.35">
      <c r="A264" s="52" t="s">
        <v>206</v>
      </c>
      <c r="B264" s="52" t="s">
        <v>73</v>
      </c>
      <c r="C264" s="52" t="s">
        <v>71</v>
      </c>
      <c r="D264" s="52" t="s">
        <v>72</v>
      </c>
      <c r="E264" s="52" t="s">
        <v>584</v>
      </c>
      <c r="F264" s="52" t="s">
        <v>581</v>
      </c>
      <c r="G264" s="55" t="s">
        <v>276</v>
      </c>
      <c r="H264" s="55">
        <v>61.06326</v>
      </c>
      <c r="I264" s="55">
        <v>30.340440000000001</v>
      </c>
      <c r="J264" s="55">
        <v>29.904990000000002</v>
      </c>
      <c r="K264" s="55">
        <v>26.632359999999998</v>
      </c>
      <c r="L264" s="55">
        <v>27.70945</v>
      </c>
      <c r="M264" s="55">
        <v>22.180759999999999</v>
      </c>
      <c r="N264" s="55">
        <v>18.003799999999998</v>
      </c>
    </row>
    <row r="265" spans="1:14" hidden="1" x14ac:dyDescent="0.35">
      <c r="A265" s="52" t="s">
        <v>206</v>
      </c>
      <c r="B265" s="52" t="s">
        <v>73</v>
      </c>
      <c r="C265" s="52" t="s">
        <v>71</v>
      </c>
      <c r="D265" s="52" t="s">
        <v>72</v>
      </c>
      <c r="E265" s="52" t="s">
        <v>584</v>
      </c>
      <c r="F265" s="52" t="s">
        <v>581</v>
      </c>
      <c r="G265" s="55" t="s">
        <v>277</v>
      </c>
      <c r="H265" s="55">
        <v>0</v>
      </c>
      <c r="I265" s="55">
        <v>6.5000000000000002E-2</v>
      </c>
      <c r="J265" s="55">
        <v>0.71888600000000002</v>
      </c>
      <c r="K265" s="55">
        <v>11.36246</v>
      </c>
      <c r="L265" s="55">
        <v>0.2639283</v>
      </c>
      <c r="M265" s="55">
        <v>0.26712669999999999</v>
      </c>
      <c r="N265" s="55">
        <v>0.42576560000000002</v>
      </c>
    </row>
    <row r="266" spans="1:14" hidden="1" x14ac:dyDescent="0.35">
      <c r="A266" s="52" t="s">
        <v>206</v>
      </c>
      <c r="B266" s="52" t="s">
        <v>73</v>
      </c>
      <c r="C266" s="52" t="s">
        <v>71</v>
      </c>
      <c r="D266" s="52" t="s">
        <v>72</v>
      </c>
      <c r="E266" s="52" t="s">
        <v>584</v>
      </c>
      <c r="F266" s="52" t="s">
        <v>581</v>
      </c>
      <c r="G266" s="55" t="s">
        <v>278</v>
      </c>
      <c r="H266" s="55">
        <v>2.5549550000000001</v>
      </c>
      <c r="I266" s="55">
        <v>4.6981999999999996E-3</v>
      </c>
      <c r="J266" s="55">
        <v>5.6438199999999999E-3</v>
      </c>
      <c r="K266" s="55">
        <v>4.7660599999999999E-3</v>
      </c>
      <c r="L266" s="55">
        <v>0</v>
      </c>
      <c r="M266" s="55"/>
      <c r="N266" s="55"/>
    </row>
    <row r="267" spans="1:14" hidden="1" x14ac:dyDescent="0.35">
      <c r="A267" s="52" t="s">
        <v>206</v>
      </c>
      <c r="B267" s="52" t="s">
        <v>73</v>
      </c>
      <c r="C267" s="52" t="s">
        <v>71</v>
      </c>
      <c r="D267" s="52" t="s">
        <v>72</v>
      </c>
      <c r="E267" s="52" t="s">
        <v>584</v>
      </c>
      <c r="F267" s="52" t="s">
        <v>581</v>
      </c>
      <c r="G267" s="55" t="s">
        <v>279</v>
      </c>
      <c r="H267" s="55">
        <v>2.7860200000000002</v>
      </c>
      <c r="I267" s="55">
        <v>2.444016</v>
      </c>
      <c r="J267" s="55">
        <v>2.3769770000000001</v>
      </c>
      <c r="K267" s="55">
        <v>3.3701150000000002</v>
      </c>
      <c r="L267" s="55">
        <v>3.8939490000000001</v>
      </c>
      <c r="M267" s="55">
        <v>3.217365</v>
      </c>
      <c r="N267" s="55">
        <v>2.7836729999999998</v>
      </c>
    </row>
    <row r="268" spans="1:14" hidden="1" x14ac:dyDescent="0.35">
      <c r="A268" s="52" t="s">
        <v>206</v>
      </c>
      <c r="B268" s="52" t="s">
        <v>73</v>
      </c>
      <c r="C268" s="52" t="s">
        <v>71</v>
      </c>
      <c r="D268" s="52" t="s">
        <v>72</v>
      </c>
      <c r="E268" s="52" t="s">
        <v>584</v>
      </c>
      <c r="F268" s="52" t="s">
        <v>26</v>
      </c>
      <c r="G268" s="55" t="s">
        <v>275</v>
      </c>
      <c r="H268" s="55">
        <v>11.22878</v>
      </c>
      <c r="I268" s="55">
        <v>17.801770000000001</v>
      </c>
      <c r="J268" s="55">
        <v>20.053090000000001</v>
      </c>
      <c r="K268" s="55">
        <v>16.118310000000001</v>
      </c>
      <c r="L268" s="55">
        <v>16.08043</v>
      </c>
      <c r="M268" s="55">
        <v>13.583629999999999</v>
      </c>
      <c r="N268" s="55">
        <v>8.6190759999999997</v>
      </c>
    </row>
    <row r="269" spans="1:14" hidden="1" x14ac:dyDescent="0.35">
      <c r="A269" s="52" t="s">
        <v>206</v>
      </c>
      <c r="B269" s="52" t="s">
        <v>73</v>
      </c>
      <c r="C269" s="52" t="s">
        <v>71</v>
      </c>
      <c r="D269" s="52" t="s">
        <v>72</v>
      </c>
      <c r="E269" s="52" t="s">
        <v>584</v>
      </c>
      <c r="F269" s="52" t="s">
        <v>26</v>
      </c>
      <c r="G269" s="55" t="s">
        <v>276</v>
      </c>
      <c r="H269" s="55">
        <v>32.846510000000002</v>
      </c>
      <c r="I269" s="55">
        <v>29.338370000000001</v>
      </c>
      <c r="J269" s="55">
        <v>40.020940000000003</v>
      </c>
      <c r="K269" s="55">
        <v>37.273490000000002</v>
      </c>
      <c r="L269" s="55">
        <v>38.615819999999999</v>
      </c>
      <c r="M269" s="55">
        <v>39.434649999999998</v>
      </c>
      <c r="N269" s="55">
        <v>39.980080000000001</v>
      </c>
    </row>
    <row r="270" spans="1:14" hidden="1" x14ac:dyDescent="0.35">
      <c r="A270" s="52" t="s">
        <v>206</v>
      </c>
      <c r="B270" s="52" t="s">
        <v>73</v>
      </c>
      <c r="C270" s="52" t="s">
        <v>71</v>
      </c>
      <c r="D270" s="52" t="s">
        <v>72</v>
      </c>
      <c r="E270" s="52" t="s">
        <v>584</v>
      </c>
      <c r="F270" s="52" t="s">
        <v>26</v>
      </c>
      <c r="G270" s="55" t="s">
        <v>277</v>
      </c>
      <c r="H270" s="55">
        <v>20.490320000000001</v>
      </c>
      <c r="I270" s="55">
        <v>6.4293820000000004</v>
      </c>
      <c r="J270" s="55">
        <v>6.2706410000000004</v>
      </c>
      <c r="K270" s="55">
        <v>8.3582850000000004</v>
      </c>
      <c r="L270" s="55">
        <v>7.4283469999999996</v>
      </c>
      <c r="M270" s="55">
        <v>8.0190870000000007</v>
      </c>
      <c r="N270" s="55">
        <v>11.921279999999999</v>
      </c>
    </row>
    <row r="271" spans="1:14" hidden="1" x14ac:dyDescent="0.35">
      <c r="A271" s="52" t="s">
        <v>206</v>
      </c>
      <c r="B271" s="52" t="s">
        <v>73</v>
      </c>
      <c r="C271" s="52" t="s">
        <v>71</v>
      </c>
      <c r="D271" s="52" t="s">
        <v>72</v>
      </c>
      <c r="E271" s="52" t="s">
        <v>584</v>
      </c>
      <c r="F271" s="52" t="s">
        <v>26</v>
      </c>
      <c r="G271" s="55" t="s">
        <v>278</v>
      </c>
      <c r="H271" s="55">
        <v>1.252589E-2</v>
      </c>
      <c r="I271" s="55">
        <v>1.3710969999999999E-2</v>
      </c>
      <c r="J271" s="55">
        <v>6.6409199999999998E-3</v>
      </c>
      <c r="K271" s="55">
        <v>5.6081999999999998E-3</v>
      </c>
      <c r="L271" s="55">
        <v>5.0313900000000002E-3</v>
      </c>
      <c r="M271" s="55">
        <v>1.033617E-2</v>
      </c>
      <c r="N271" s="55">
        <v>1.033617E-2</v>
      </c>
    </row>
    <row r="272" spans="1:14" hidden="1" x14ac:dyDescent="0.35">
      <c r="A272" s="52" t="s">
        <v>206</v>
      </c>
      <c r="B272" s="52" t="s">
        <v>73</v>
      </c>
      <c r="C272" s="52" t="s">
        <v>71</v>
      </c>
      <c r="D272" s="52" t="s">
        <v>72</v>
      </c>
      <c r="E272" s="52" t="s">
        <v>584</v>
      </c>
      <c r="F272" s="52" t="s">
        <v>26</v>
      </c>
      <c r="G272" s="55" t="s">
        <v>279</v>
      </c>
      <c r="H272" s="55">
        <v>36.825879999999998</v>
      </c>
      <c r="I272" s="55">
        <v>35.23986</v>
      </c>
      <c r="J272" s="55">
        <v>35.994750000000003</v>
      </c>
      <c r="K272" s="55">
        <v>42.903289999999998</v>
      </c>
      <c r="L272" s="55">
        <v>43.523290000000003</v>
      </c>
      <c r="M272" s="55">
        <v>42.756010000000003</v>
      </c>
      <c r="N272" s="55">
        <v>42.365110000000001</v>
      </c>
    </row>
    <row r="273" spans="1:14" hidden="1" x14ac:dyDescent="0.35">
      <c r="A273" s="52" t="s">
        <v>206</v>
      </c>
      <c r="B273" s="52" t="s">
        <v>73</v>
      </c>
      <c r="C273" s="52" t="s">
        <v>71</v>
      </c>
      <c r="D273" s="52" t="s">
        <v>140</v>
      </c>
      <c r="E273" s="52" t="s">
        <v>584</v>
      </c>
      <c r="F273" s="52" t="s">
        <v>581</v>
      </c>
      <c r="G273" s="55" t="s">
        <v>275</v>
      </c>
      <c r="H273" s="55">
        <v>51.265540000000001</v>
      </c>
      <c r="I273" s="55">
        <v>24.96227</v>
      </c>
      <c r="J273" s="55">
        <v>19.065550000000002</v>
      </c>
      <c r="K273" s="55">
        <v>11.508430000000001</v>
      </c>
      <c r="L273" s="55">
        <v>11.14564</v>
      </c>
      <c r="M273" s="55">
        <v>10.045809999999999</v>
      </c>
      <c r="N273" s="55">
        <v>19.926010000000002</v>
      </c>
    </row>
    <row r="274" spans="1:14" hidden="1" x14ac:dyDescent="0.35">
      <c r="A274" s="52" t="s">
        <v>206</v>
      </c>
      <c r="B274" s="52" t="s">
        <v>73</v>
      </c>
      <c r="C274" s="52" t="s">
        <v>71</v>
      </c>
      <c r="D274" s="52" t="s">
        <v>140</v>
      </c>
      <c r="E274" s="52" t="s">
        <v>584</v>
      </c>
      <c r="F274" s="52" t="s">
        <v>581</v>
      </c>
      <c r="G274" s="55" t="s">
        <v>276</v>
      </c>
      <c r="H274" s="55">
        <v>132.95650000000001</v>
      </c>
      <c r="I274" s="55">
        <v>31.377800000000001</v>
      </c>
      <c r="J274" s="55">
        <v>31.956810000000001</v>
      </c>
      <c r="K274" s="55">
        <v>23.214089999999999</v>
      </c>
      <c r="L274" s="55">
        <v>15.63998</v>
      </c>
      <c r="M274" s="55">
        <v>9.1112680000000008</v>
      </c>
      <c r="N274" s="55">
        <v>5.6747589999999999</v>
      </c>
    </row>
    <row r="275" spans="1:14" hidden="1" x14ac:dyDescent="0.35">
      <c r="A275" s="52" t="s">
        <v>206</v>
      </c>
      <c r="B275" s="52" t="s">
        <v>73</v>
      </c>
      <c r="C275" s="52" t="s">
        <v>71</v>
      </c>
      <c r="D275" s="52" t="s">
        <v>140</v>
      </c>
      <c r="E275" s="52" t="s">
        <v>584</v>
      </c>
      <c r="F275" s="52" t="s">
        <v>581</v>
      </c>
      <c r="G275" s="55" t="s">
        <v>277</v>
      </c>
      <c r="H275" s="55">
        <v>22.62058</v>
      </c>
      <c r="I275" s="55">
        <v>21.885110000000001</v>
      </c>
      <c r="J275" s="55">
        <v>20.957799999999999</v>
      </c>
      <c r="K275" s="55">
        <v>21.529949999999999</v>
      </c>
      <c r="L275" s="55">
        <v>18.309999999999999</v>
      </c>
      <c r="M275" s="55">
        <v>15.389290000000001</v>
      </c>
      <c r="N275" s="55">
        <v>0</v>
      </c>
    </row>
    <row r="276" spans="1:14" hidden="1" x14ac:dyDescent="0.35">
      <c r="A276" s="52" t="s">
        <v>206</v>
      </c>
      <c r="B276" s="52" t="s">
        <v>73</v>
      </c>
      <c r="C276" s="52" t="s">
        <v>71</v>
      </c>
      <c r="D276" s="52" t="s">
        <v>140</v>
      </c>
      <c r="E276" s="52" t="s">
        <v>584</v>
      </c>
      <c r="F276" s="52" t="s">
        <v>581</v>
      </c>
      <c r="G276" s="55" t="s">
        <v>278</v>
      </c>
      <c r="H276" s="55">
        <v>1.3557E-2</v>
      </c>
      <c r="I276" s="55">
        <v>0</v>
      </c>
      <c r="J276" s="55"/>
      <c r="K276" s="55">
        <v>0</v>
      </c>
      <c r="L276" s="55"/>
      <c r="M276" s="55"/>
      <c r="N276" s="55"/>
    </row>
    <row r="277" spans="1:14" hidden="1" x14ac:dyDescent="0.35">
      <c r="A277" s="52" t="s">
        <v>206</v>
      </c>
      <c r="B277" s="52" t="s">
        <v>73</v>
      </c>
      <c r="C277" s="52" t="s">
        <v>71</v>
      </c>
      <c r="D277" s="52" t="s">
        <v>140</v>
      </c>
      <c r="E277" s="52" t="s">
        <v>584</v>
      </c>
      <c r="F277" s="52" t="s">
        <v>581</v>
      </c>
      <c r="G277" s="55" t="s">
        <v>279</v>
      </c>
      <c r="H277" s="55">
        <v>31.170839999999998</v>
      </c>
      <c r="I277" s="55">
        <v>29.063120000000001</v>
      </c>
      <c r="J277" s="55">
        <v>28.280819999999999</v>
      </c>
      <c r="K277" s="55">
        <v>32.988590000000002</v>
      </c>
      <c r="L277" s="55">
        <v>32.698590000000003</v>
      </c>
      <c r="M277" s="55">
        <v>32.477550000000001</v>
      </c>
      <c r="N277" s="55">
        <v>32.41236</v>
      </c>
    </row>
    <row r="278" spans="1:14" hidden="1" x14ac:dyDescent="0.35">
      <c r="A278" s="52" t="s">
        <v>206</v>
      </c>
      <c r="B278" s="52" t="s">
        <v>73</v>
      </c>
      <c r="C278" s="52" t="s">
        <v>71</v>
      </c>
      <c r="D278" s="52" t="s">
        <v>140</v>
      </c>
      <c r="E278" s="52" t="s">
        <v>584</v>
      </c>
      <c r="F278" s="52" t="s">
        <v>26</v>
      </c>
      <c r="G278" s="55" t="s">
        <v>275</v>
      </c>
      <c r="H278" s="55">
        <v>4.4536100000000003</v>
      </c>
      <c r="I278" s="55">
        <v>3.2022879999999998</v>
      </c>
      <c r="J278" s="55">
        <v>3.6414580000000001</v>
      </c>
      <c r="K278" s="55">
        <v>3.5047060000000001</v>
      </c>
      <c r="L278" s="55">
        <v>3.188393</v>
      </c>
      <c r="M278" s="55">
        <v>2.7441559999999998</v>
      </c>
      <c r="N278" s="55">
        <v>2.3708809999999998</v>
      </c>
    </row>
    <row r="279" spans="1:14" hidden="1" x14ac:dyDescent="0.35">
      <c r="A279" s="52" t="s">
        <v>206</v>
      </c>
      <c r="B279" s="52" t="s">
        <v>73</v>
      </c>
      <c r="C279" s="52" t="s">
        <v>71</v>
      </c>
      <c r="D279" s="52" t="s">
        <v>140</v>
      </c>
      <c r="E279" s="52" t="s">
        <v>584</v>
      </c>
      <c r="F279" s="52" t="s">
        <v>26</v>
      </c>
      <c r="G279" s="55" t="s">
        <v>276</v>
      </c>
      <c r="H279" s="55">
        <v>15.91517</v>
      </c>
      <c r="I279" s="55">
        <v>11.43637</v>
      </c>
      <c r="J279" s="55">
        <v>12.92891</v>
      </c>
      <c r="K279" s="55">
        <v>12.50883</v>
      </c>
      <c r="L279" s="55">
        <v>11.37499</v>
      </c>
      <c r="M279" s="55">
        <v>9.7803920000000009</v>
      </c>
      <c r="N279" s="55">
        <v>8.4201110000000003</v>
      </c>
    </row>
    <row r="280" spans="1:14" hidden="1" x14ac:dyDescent="0.35">
      <c r="A280" s="52" t="s">
        <v>206</v>
      </c>
      <c r="B280" s="52" t="s">
        <v>73</v>
      </c>
      <c r="C280" s="52" t="s">
        <v>71</v>
      </c>
      <c r="D280" s="52" t="s">
        <v>140</v>
      </c>
      <c r="E280" s="52" t="s">
        <v>584</v>
      </c>
      <c r="F280" s="52" t="s">
        <v>26</v>
      </c>
      <c r="G280" s="55" t="s">
        <v>277</v>
      </c>
      <c r="H280" s="55"/>
      <c r="I280" s="55"/>
      <c r="J280" s="55"/>
      <c r="K280" s="55">
        <v>0</v>
      </c>
      <c r="L280" s="55">
        <v>1.4499999999999999E-3</v>
      </c>
      <c r="M280" s="55">
        <v>1.4499999999999999E-3</v>
      </c>
      <c r="N280" s="55">
        <v>2.9000000000000001E-2</v>
      </c>
    </row>
    <row r="281" spans="1:14" hidden="1" x14ac:dyDescent="0.35">
      <c r="A281" s="52" t="s">
        <v>206</v>
      </c>
      <c r="B281" s="52" t="s">
        <v>73</v>
      </c>
      <c r="C281" s="52" t="s">
        <v>71</v>
      </c>
      <c r="D281" s="52" t="s">
        <v>140</v>
      </c>
      <c r="E281" s="52" t="s">
        <v>584</v>
      </c>
      <c r="F281" s="52" t="s">
        <v>26</v>
      </c>
      <c r="G281" s="55" t="s">
        <v>278</v>
      </c>
      <c r="H281" s="55"/>
      <c r="I281" s="55">
        <v>8.8561999999999998E-3</v>
      </c>
      <c r="J281" s="55">
        <v>7.8279600000000005E-2</v>
      </c>
      <c r="K281" s="55">
        <v>8.9841999999999995E-3</v>
      </c>
      <c r="L281" s="55">
        <v>8.0601990000000005E-3</v>
      </c>
      <c r="M281" s="55">
        <v>1.6558400000000001E-2</v>
      </c>
      <c r="N281" s="55">
        <v>1.6558400000000001E-2</v>
      </c>
    </row>
    <row r="282" spans="1:14" hidden="1" x14ac:dyDescent="0.35">
      <c r="A282" s="52" t="s">
        <v>206</v>
      </c>
      <c r="B282" s="52" t="s">
        <v>73</v>
      </c>
      <c r="C282" s="52" t="s">
        <v>71</v>
      </c>
      <c r="D282" s="52" t="s">
        <v>140</v>
      </c>
      <c r="E282" s="52" t="s">
        <v>584</v>
      </c>
      <c r="F282" s="52" t="s">
        <v>26</v>
      </c>
      <c r="G282" s="55" t="s">
        <v>279</v>
      </c>
      <c r="H282" s="55">
        <v>4.6547739999999997</v>
      </c>
      <c r="I282" s="55">
        <v>3.7369889999999999</v>
      </c>
      <c r="J282" s="55">
        <v>2.652177</v>
      </c>
      <c r="K282" s="55">
        <v>2.3796089999999999</v>
      </c>
      <c r="L282" s="55">
        <v>1.4655279999999999</v>
      </c>
      <c r="M282" s="55">
        <v>1.281307</v>
      </c>
      <c r="N282" s="55">
        <v>1.127265</v>
      </c>
    </row>
    <row r="283" spans="1:14" hidden="1" x14ac:dyDescent="0.35">
      <c r="A283" s="52" t="s">
        <v>206</v>
      </c>
      <c r="B283" s="52" t="s">
        <v>73</v>
      </c>
      <c r="C283" s="52" t="s">
        <v>71</v>
      </c>
      <c r="D283" s="52" t="s">
        <v>139</v>
      </c>
      <c r="E283" s="52" t="s">
        <v>584</v>
      </c>
      <c r="F283" s="52" t="s">
        <v>581</v>
      </c>
      <c r="G283" s="55" t="s">
        <v>275</v>
      </c>
      <c r="H283" s="55">
        <v>-9.0175219999999996</v>
      </c>
      <c r="I283" s="55">
        <v>1.7555940000000001</v>
      </c>
      <c r="J283" s="55">
        <v>1.5869880000000001</v>
      </c>
      <c r="K283" s="55">
        <v>1.6188119999999999</v>
      </c>
      <c r="L283" s="55">
        <v>-0.22070519999999999</v>
      </c>
      <c r="M283" s="55">
        <v>-2.321383</v>
      </c>
      <c r="N283" s="55">
        <v>-0.59665109999999999</v>
      </c>
    </row>
    <row r="284" spans="1:14" hidden="1" x14ac:dyDescent="0.35">
      <c r="A284" s="52" t="s">
        <v>206</v>
      </c>
      <c r="B284" s="52" t="s">
        <v>73</v>
      </c>
      <c r="C284" s="52" t="s">
        <v>71</v>
      </c>
      <c r="D284" s="52" t="s">
        <v>139</v>
      </c>
      <c r="E284" s="52" t="s">
        <v>584</v>
      </c>
      <c r="F284" s="52" t="s">
        <v>581</v>
      </c>
      <c r="G284" s="55" t="s">
        <v>276</v>
      </c>
      <c r="H284" s="55">
        <v>-41.378140000000002</v>
      </c>
      <c r="I284" s="55">
        <v>-1.823207</v>
      </c>
      <c r="J284" s="55">
        <v>-2.3195440000000001</v>
      </c>
      <c r="K284" s="55">
        <v>-14.51505</v>
      </c>
      <c r="L284" s="55">
        <v>-0.22872219999999999</v>
      </c>
      <c r="M284" s="55">
        <v>-0.75177070000000001</v>
      </c>
      <c r="N284" s="55">
        <v>3.0649860000000002</v>
      </c>
    </row>
    <row r="285" spans="1:14" hidden="1" x14ac:dyDescent="0.35">
      <c r="A285" s="52" t="s">
        <v>206</v>
      </c>
      <c r="B285" s="52" t="s">
        <v>73</v>
      </c>
      <c r="C285" s="52" t="s">
        <v>71</v>
      </c>
      <c r="D285" s="52" t="s">
        <v>139</v>
      </c>
      <c r="E285" s="52" t="s">
        <v>584</v>
      </c>
      <c r="F285" s="52" t="s">
        <v>581</v>
      </c>
      <c r="G285" s="55" t="s">
        <v>277</v>
      </c>
      <c r="H285" s="55"/>
      <c r="I285" s="55">
        <v>0</v>
      </c>
      <c r="J285" s="55">
        <v>0.2</v>
      </c>
      <c r="K285" s="55">
        <v>0.2</v>
      </c>
      <c r="L285" s="55">
        <v>0.32054080000000001</v>
      </c>
      <c r="M285" s="55">
        <v>2.8793869999999999</v>
      </c>
      <c r="N285" s="55">
        <v>2.848967</v>
      </c>
    </row>
    <row r="286" spans="1:14" hidden="1" x14ac:dyDescent="0.35">
      <c r="A286" s="52" t="s">
        <v>206</v>
      </c>
      <c r="B286" s="52" t="s">
        <v>73</v>
      </c>
      <c r="C286" s="52" t="s">
        <v>71</v>
      </c>
      <c r="D286" s="52" t="s">
        <v>139</v>
      </c>
      <c r="E286" s="52" t="s">
        <v>584</v>
      </c>
      <c r="F286" s="52" t="s">
        <v>581</v>
      </c>
      <c r="G286" s="55" t="s">
        <v>278</v>
      </c>
      <c r="H286" s="55">
        <v>50.395670000000003</v>
      </c>
      <c r="I286" s="55">
        <v>6.7613599999999996E-2</v>
      </c>
      <c r="J286" s="55">
        <v>0.53255520000000001</v>
      </c>
      <c r="K286" s="55">
        <v>12.69623</v>
      </c>
      <c r="L286" s="55">
        <v>6.1536800000000003E-2</v>
      </c>
      <c r="M286" s="55">
        <v>0.1264168</v>
      </c>
      <c r="N286" s="55">
        <v>0.12641720000000001</v>
      </c>
    </row>
    <row r="287" spans="1:14" hidden="1" x14ac:dyDescent="0.35">
      <c r="A287" s="52" t="s">
        <v>206</v>
      </c>
      <c r="B287" s="52" t="s">
        <v>73</v>
      </c>
      <c r="C287" s="52" t="s">
        <v>71</v>
      </c>
      <c r="D287" s="52" t="s">
        <v>139</v>
      </c>
      <c r="E287" s="52" t="s">
        <v>584</v>
      </c>
      <c r="F287" s="52" t="s">
        <v>581</v>
      </c>
      <c r="G287" s="55" t="s">
        <v>279</v>
      </c>
      <c r="H287" s="55"/>
      <c r="I287" s="55"/>
      <c r="J287" s="55"/>
      <c r="K287" s="55">
        <v>0</v>
      </c>
      <c r="L287" s="55">
        <v>6.7350599999999997E-2</v>
      </c>
      <c r="M287" s="55">
        <v>6.7350599999999997E-2</v>
      </c>
      <c r="N287" s="55">
        <v>0.75354679999999996</v>
      </c>
    </row>
    <row r="288" spans="1:14" hidden="1" x14ac:dyDescent="0.35">
      <c r="A288" s="52" t="s">
        <v>206</v>
      </c>
      <c r="B288" s="52" t="s">
        <v>73</v>
      </c>
      <c r="C288" s="52" t="s">
        <v>71</v>
      </c>
      <c r="D288" s="52" t="s">
        <v>139</v>
      </c>
      <c r="E288" s="52" t="s">
        <v>584</v>
      </c>
      <c r="F288" s="52" t="s">
        <v>26</v>
      </c>
      <c r="G288" s="55" t="s">
        <v>275</v>
      </c>
      <c r="H288" s="55">
        <v>1.379632</v>
      </c>
      <c r="I288" s="55">
        <v>1.660809</v>
      </c>
      <c r="J288" s="55">
        <v>1.5784180000000001</v>
      </c>
      <c r="K288" s="55">
        <v>-0.62803450000000005</v>
      </c>
      <c r="L288" s="55">
        <v>-10.98409</v>
      </c>
      <c r="M288" s="55">
        <v>-26.150729999999999</v>
      </c>
      <c r="N288" s="55">
        <v>-4.0645689999999997</v>
      </c>
    </row>
    <row r="289" spans="1:14" hidden="1" x14ac:dyDescent="0.35">
      <c r="A289" s="52" t="s">
        <v>206</v>
      </c>
      <c r="B289" s="52" t="s">
        <v>73</v>
      </c>
      <c r="C289" s="52" t="s">
        <v>71</v>
      </c>
      <c r="D289" s="52" t="s">
        <v>139</v>
      </c>
      <c r="E289" s="52" t="s">
        <v>584</v>
      </c>
      <c r="F289" s="52" t="s">
        <v>26</v>
      </c>
      <c r="G289" s="55" t="s">
        <v>276</v>
      </c>
      <c r="H289" s="55">
        <v>-1.387276</v>
      </c>
      <c r="I289" s="55">
        <v>-1.7358100000000001</v>
      </c>
      <c r="J289" s="55">
        <v>-1.735387</v>
      </c>
      <c r="K289" s="55">
        <v>-12.424950000000001</v>
      </c>
      <c r="L289" s="55">
        <v>-2.4225449999999999</v>
      </c>
      <c r="M289" s="55">
        <v>-7.8474130000000004</v>
      </c>
      <c r="N289" s="55">
        <v>2.6188560000000001</v>
      </c>
    </row>
    <row r="290" spans="1:14" hidden="1" x14ac:dyDescent="0.35">
      <c r="A290" s="52" t="s">
        <v>206</v>
      </c>
      <c r="B290" s="52" t="s">
        <v>73</v>
      </c>
      <c r="C290" s="52" t="s">
        <v>71</v>
      </c>
      <c r="D290" s="52" t="s">
        <v>139</v>
      </c>
      <c r="E290" s="52" t="s">
        <v>584</v>
      </c>
      <c r="F290" s="52" t="s">
        <v>26</v>
      </c>
      <c r="G290" s="55" t="s">
        <v>277</v>
      </c>
      <c r="H290" s="55"/>
      <c r="I290" s="55">
        <v>0</v>
      </c>
      <c r="J290" s="55">
        <v>9.9999989999999997E-2</v>
      </c>
      <c r="K290" s="55">
        <v>1.1000000000000001</v>
      </c>
      <c r="L290" s="55">
        <v>13.26272</v>
      </c>
      <c r="M290" s="55">
        <v>33.806220000000003</v>
      </c>
      <c r="N290" s="55">
        <v>18.455880000000001</v>
      </c>
    </row>
    <row r="291" spans="1:14" hidden="1" x14ac:dyDescent="0.35">
      <c r="A291" s="52" t="s">
        <v>206</v>
      </c>
      <c r="B291" s="52" t="s">
        <v>73</v>
      </c>
      <c r="C291" s="52" t="s">
        <v>71</v>
      </c>
      <c r="D291" s="52" t="s">
        <v>139</v>
      </c>
      <c r="E291" s="52" t="s">
        <v>584</v>
      </c>
      <c r="F291" s="52" t="s">
        <v>26</v>
      </c>
      <c r="G291" s="55" t="s">
        <v>278</v>
      </c>
      <c r="H291" s="55">
        <v>7.6445990000000002E-3</v>
      </c>
      <c r="I291" s="55">
        <v>7.5000990000000003E-2</v>
      </c>
      <c r="J291" s="55">
        <v>6.0101399999999999E-2</v>
      </c>
      <c r="K291" s="55">
        <v>11.95453</v>
      </c>
      <c r="L291" s="55">
        <v>4.5534400000000003E-2</v>
      </c>
      <c r="M291" s="55">
        <v>9.3543200000000007E-2</v>
      </c>
      <c r="N291" s="55">
        <v>9.3543200000000007E-2</v>
      </c>
    </row>
    <row r="292" spans="1:14" hidden="1" x14ac:dyDescent="0.35">
      <c r="A292" s="52" t="s">
        <v>206</v>
      </c>
      <c r="B292" s="52" t="s">
        <v>73</v>
      </c>
      <c r="C292" s="52" t="s">
        <v>71</v>
      </c>
      <c r="D292" s="52" t="s">
        <v>139</v>
      </c>
      <c r="E292" s="52" t="s">
        <v>584</v>
      </c>
      <c r="F292" s="52" t="s">
        <v>26</v>
      </c>
      <c r="G292" s="55" t="s">
        <v>279</v>
      </c>
      <c r="H292" s="55"/>
      <c r="I292" s="55"/>
      <c r="J292" s="55"/>
      <c r="K292" s="55">
        <v>0</v>
      </c>
      <c r="L292" s="55">
        <v>9.8374199999999995E-2</v>
      </c>
      <c r="M292" s="55">
        <v>9.8374199999999995E-2</v>
      </c>
      <c r="N292" s="55">
        <v>2.8395609999999998</v>
      </c>
    </row>
    <row r="293" spans="1:14" hidden="1" x14ac:dyDescent="0.35">
      <c r="A293" s="52" t="s">
        <v>206</v>
      </c>
      <c r="B293" s="52" t="s">
        <v>73</v>
      </c>
      <c r="C293" s="52" t="s">
        <v>71</v>
      </c>
      <c r="D293" s="52" t="s">
        <v>336</v>
      </c>
      <c r="E293" s="52" t="s">
        <v>584</v>
      </c>
      <c r="F293" s="52" t="s">
        <v>581</v>
      </c>
      <c r="G293" s="55" t="s">
        <v>275</v>
      </c>
      <c r="H293" s="55">
        <v>-4.1599999999999996E-3</v>
      </c>
      <c r="I293" s="55">
        <v>-1.145E-3</v>
      </c>
      <c r="J293" s="55">
        <v>0</v>
      </c>
      <c r="K293" s="55">
        <v>0</v>
      </c>
      <c r="L293" s="55">
        <v>0</v>
      </c>
      <c r="M293" s="55">
        <v>0</v>
      </c>
      <c r="N293" s="55">
        <v>0</v>
      </c>
    </row>
    <row r="294" spans="1:14" hidden="1" x14ac:dyDescent="0.35">
      <c r="A294" s="52" t="s">
        <v>206</v>
      </c>
      <c r="B294" s="52" t="s">
        <v>73</v>
      </c>
      <c r="C294" s="52" t="s">
        <v>71</v>
      </c>
      <c r="D294" s="52" t="s">
        <v>336</v>
      </c>
      <c r="E294" s="52" t="s">
        <v>584</v>
      </c>
      <c r="F294" s="52" t="s">
        <v>581</v>
      </c>
      <c r="G294" s="55" t="s">
        <v>276</v>
      </c>
      <c r="H294" s="55">
        <v>-3.2326000000000001E-2</v>
      </c>
      <c r="I294" s="55">
        <v>-1.6367199999999998E-2</v>
      </c>
      <c r="J294" s="55">
        <v>-1.272724</v>
      </c>
      <c r="K294" s="55">
        <v>-1.7765199999999998E-2</v>
      </c>
      <c r="L294" s="55">
        <v>-2.1738400000000001E-2</v>
      </c>
      <c r="M294" s="55">
        <v>-3.8542399999999997E-2</v>
      </c>
      <c r="N294" s="55">
        <v>-0.1487424</v>
      </c>
    </row>
    <row r="295" spans="1:14" hidden="1" x14ac:dyDescent="0.35">
      <c r="A295" s="52" t="s">
        <v>206</v>
      </c>
      <c r="B295" s="52" t="s">
        <v>73</v>
      </c>
      <c r="C295" s="52" t="s">
        <v>71</v>
      </c>
      <c r="D295" s="52" t="s">
        <v>336</v>
      </c>
      <c r="E295" s="52" t="s">
        <v>584</v>
      </c>
      <c r="F295" s="52" t="s">
        <v>581</v>
      </c>
      <c r="G295" s="55" t="s">
        <v>277</v>
      </c>
      <c r="H295" s="55"/>
      <c r="I295" s="55"/>
      <c r="J295" s="55"/>
      <c r="K295" s="55">
        <v>0</v>
      </c>
      <c r="L295" s="55">
        <v>5.7999999999999996E-3</v>
      </c>
      <c r="M295" s="55">
        <v>5.7999999999999996E-3</v>
      </c>
      <c r="N295" s="55">
        <v>0.11600000000000001</v>
      </c>
    </row>
    <row r="296" spans="1:14" hidden="1" x14ac:dyDescent="0.35">
      <c r="A296" s="52" t="s">
        <v>206</v>
      </c>
      <c r="B296" s="52" t="s">
        <v>73</v>
      </c>
      <c r="C296" s="52" t="s">
        <v>71</v>
      </c>
      <c r="D296" s="52" t="s">
        <v>336</v>
      </c>
      <c r="E296" s="52" t="s">
        <v>584</v>
      </c>
      <c r="F296" s="52" t="s">
        <v>581</v>
      </c>
      <c r="G296" s="55" t="s">
        <v>278</v>
      </c>
      <c r="H296" s="55">
        <v>3.6485999999999998E-2</v>
      </c>
      <c r="I296" s="55">
        <v>1.7512199999999999E-2</v>
      </c>
      <c r="J296" s="55">
        <v>1.2727250000000001</v>
      </c>
      <c r="K296" s="55">
        <v>1.7765400000000001E-2</v>
      </c>
      <c r="L296" s="55">
        <v>1.5938399999999998E-2</v>
      </c>
      <c r="M296" s="55">
        <v>3.2742599999999997E-2</v>
      </c>
      <c r="N296" s="55">
        <v>3.2742599999999997E-2</v>
      </c>
    </row>
    <row r="297" spans="1:14" hidden="1" x14ac:dyDescent="0.35">
      <c r="A297" s="52" t="s">
        <v>206</v>
      </c>
      <c r="B297" s="52" t="s">
        <v>73</v>
      </c>
      <c r="C297" s="52" t="s">
        <v>71</v>
      </c>
      <c r="D297" s="52" t="s">
        <v>336</v>
      </c>
      <c r="E297" s="52" t="s">
        <v>584</v>
      </c>
      <c r="F297" s="52" t="s">
        <v>581</v>
      </c>
      <c r="G297" s="55" t="s">
        <v>279</v>
      </c>
      <c r="H297" s="55"/>
      <c r="I297" s="55"/>
      <c r="J297" s="55"/>
      <c r="K297" s="55"/>
      <c r="L297" s="55"/>
      <c r="M297" s="55"/>
      <c r="N297" s="55">
        <v>0</v>
      </c>
    </row>
    <row r="298" spans="1:14" hidden="1" x14ac:dyDescent="0.35">
      <c r="A298" s="52" t="s">
        <v>206</v>
      </c>
      <c r="B298" s="52" t="s">
        <v>73</v>
      </c>
      <c r="C298" s="52" t="s">
        <v>71</v>
      </c>
      <c r="D298" s="52" t="s">
        <v>336</v>
      </c>
      <c r="E298" s="52" t="s">
        <v>584</v>
      </c>
      <c r="F298" s="52" t="s">
        <v>26</v>
      </c>
      <c r="G298" s="55" t="s">
        <v>275</v>
      </c>
      <c r="H298" s="55">
        <v>0</v>
      </c>
      <c r="I298" s="55">
        <v>3.999996E-5</v>
      </c>
      <c r="J298" s="55">
        <v>0</v>
      </c>
      <c r="K298" s="55">
        <v>0</v>
      </c>
      <c r="L298" s="55">
        <v>0</v>
      </c>
      <c r="M298" s="55">
        <v>0</v>
      </c>
      <c r="N298" s="55">
        <v>0</v>
      </c>
    </row>
    <row r="299" spans="1:14" hidden="1" x14ac:dyDescent="0.35">
      <c r="A299" s="52" t="s">
        <v>206</v>
      </c>
      <c r="B299" s="52" t="s">
        <v>73</v>
      </c>
      <c r="C299" s="52" t="s">
        <v>71</v>
      </c>
      <c r="D299" s="52" t="s">
        <v>336</v>
      </c>
      <c r="E299" s="52" t="s">
        <v>584</v>
      </c>
      <c r="F299" s="52" t="s">
        <v>26</v>
      </c>
      <c r="G299" s="55" t="s">
        <v>276</v>
      </c>
      <c r="H299" s="55"/>
      <c r="I299" s="55">
        <v>-6.3628000000000001E-3</v>
      </c>
      <c r="J299" s="55">
        <v>-1.27396E-2</v>
      </c>
      <c r="K299" s="55">
        <v>-6.4140000000000004E-3</v>
      </c>
      <c r="L299" s="55">
        <v>-7.2043999999999997E-3</v>
      </c>
      <c r="M299" s="55">
        <v>-1.32712E-2</v>
      </c>
      <c r="N299" s="55">
        <v>-4.082119E-2</v>
      </c>
    </row>
    <row r="300" spans="1:14" hidden="1" x14ac:dyDescent="0.35">
      <c r="A300" s="52" t="s">
        <v>206</v>
      </c>
      <c r="B300" s="52" t="s">
        <v>73</v>
      </c>
      <c r="C300" s="52" t="s">
        <v>71</v>
      </c>
      <c r="D300" s="52" t="s">
        <v>336</v>
      </c>
      <c r="E300" s="52" t="s">
        <v>584</v>
      </c>
      <c r="F300" s="52" t="s">
        <v>26</v>
      </c>
      <c r="G300" s="55" t="s">
        <v>277</v>
      </c>
      <c r="H300" s="55"/>
      <c r="I300" s="55"/>
      <c r="J300" s="55"/>
      <c r="K300" s="55">
        <v>0</v>
      </c>
      <c r="L300" s="55">
        <v>1.4499999999999999E-3</v>
      </c>
      <c r="M300" s="55">
        <v>1.4499999999999999E-3</v>
      </c>
      <c r="N300" s="55">
        <v>2.9000000000000001E-2</v>
      </c>
    </row>
    <row r="301" spans="1:14" hidden="1" x14ac:dyDescent="0.35">
      <c r="A301" s="52" t="s">
        <v>206</v>
      </c>
      <c r="B301" s="52" t="s">
        <v>73</v>
      </c>
      <c r="C301" s="52" t="s">
        <v>71</v>
      </c>
      <c r="D301" s="52" t="s">
        <v>336</v>
      </c>
      <c r="E301" s="52" t="s">
        <v>584</v>
      </c>
      <c r="F301" s="52" t="s">
        <v>26</v>
      </c>
      <c r="G301" s="55" t="s">
        <v>278</v>
      </c>
      <c r="H301" s="55"/>
      <c r="I301" s="55">
        <v>6.3226000000000003E-3</v>
      </c>
      <c r="J301" s="55">
        <v>1.27396E-2</v>
      </c>
      <c r="K301" s="55">
        <v>6.4140000000000004E-3</v>
      </c>
      <c r="L301" s="55">
        <v>5.7543999999999998E-3</v>
      </c>
      <c r="M301" s="55">
        <v>1.18212E-2</v>
      </c>
      <c r="N301" s="55">
        <v>1.18212E-2</v>
      </c>
    </row>
    <row r="302" spans="1:14" hidden="1" x14ac:dyDescent="0.35">
      <c r="A302" s="52" t="s">
        <v>206</v>
      </c>
      <c r="B302" s="52" t="s">
        <v>73</v>
      </c>
      <c r="C302" s="52" t="s">
        <v>71</v>
      </c>
      <c r="D302" s="52" t="s">
        <v>336</v>
      </c>
      <c r="E302" s="52" t="s">
        <v>584</v>
      </c>
      <c r="F302" s="52" t="s">
        <v>26</v>
      </c>
      <c r="G302" s="55" t="s">
        <v>279</v>
      </c>
      <c r="H302" s="55"/>
      <c r="I302" s="55"/>
      <c r="J302" s="55"/>
      <c r="K302" s="55"/>
      <c r="L302" s="55"/>
      <c r="M302" s="55"/>
      <c r="N302" s="55">
        <v>0</v>
      </c>
    </row>
    <row r="303" spans="1:14" hidden="1" x14ac:dyDescent="0.35">
      <c r="A303" s="52" t="s">
        <v>206</v>
      </c>
      <c r="B303" s="52" t="s">
        <v>73</v>
      </c>
      <c r="C303" s="52" t="s">
        <v>71</v>
      </c>
      <c r="D303" s="52" t="s">
        <v>335</v>
      </c>
      <c r="E303" s="52" t="s">
        <v>584</v>
      </c>
      <c r="F303" s="52" t="s">
        <v>581</v>
      </c>
      <c r="G303" s="55" t="s">
        <v>275</v>
      </c>
      <c r="H303" s="55">
        <v>-1.084784E-4</v>
      </c>
      <c r="I303" s="55">
        <v>9.4531279999999993E-6</v>
      </c>
      <c r="J303" s="55">
        <v>0</v>
      </c>
      <c r="K303" s="55">
        <v>0</v>
      </c>
      <c r="L303" s="55">
        <v>0</v>
      </c>
      <c r="M303" s="55">
        <v>0</v>
      </c>
      <c r="N303" s="55">
        <v>0</v>
      </c>
    </row>
    <row r="304" spans="1:14" hidden="1" x14ac:dyDescent="0.35">
      <c r="A304" s="52" t="s">
        <v>206</v>
      </c>
      <c r="B304" s="52" t="s">
        <v>73</v>
      </c>
      <c r="C304" s="52" t="s">
        <v>71</v>
      </c>
      <c r="D304" s="52" t="s">
        <v>335</v>
      </c>
      <c r="E304" s="52" t="s">
        <v>584</v>
      </c>
      <c r="F304" s="52" t="s">
        <v>581</v>
      </c>
      <c r="G304" s="55" t="s">
        <v>276</v>
      </c>
      <c r="H304" s="55">
        <v>-2.173908E-3</v>
      </c>
      <c r="I304" s="55">
        <v>-1.500438E-3</v>
      </c>
      <c r="J304" s="55">
        <v>-1.791134E-3</v>
      </c>
      <c r="K304" s="55">
        <v>-5.9052170000000001E-2</v>
      </c>
      <c r="L304" s="55">
        <v>-1.356962E-3</v>
      </c>
      <c r="M304" s="55">
        <v>-2.7876630000000001E-3</v>
      </c>
      <c r="N304" s="55">
        <v>-2.7876889999999999E-3</v>
      </c>
    </row>
    <row r="305" spans="1:14" hidden="1" x14ac:dyDescent="0.35">
      <c r="A305" s="52" t="s">
        <v>206</v>
      </c>
      <c r="B305" s="52" t="s">
        <v>73</v>
      </c>
      <c r="C305" s="52" t="s">
        <v>71</v>
      </c>
      <c r="D305" s="52" t="s">
        <v>335</v>
      </c>
      <c r="E305" s="52" t="s">
        <v>584</v>
      </c>
      <c r="F305" s="52" t="s">
        <v>581</v>
      </c>
      <c r="G305" s="55" t="s">
        <v>277</v>
      </c>
      <c r="H305" s="55"/>
      <c r="I305" s="55"/>
      <c r="J305" s="55"/>
      <c r="K305" s="55"/>
      <c r="L305" s="55"/>
      <c r="M305" s="55"/>
      <c r="N305" s="55">
        <v>0</v>
      </c>
    </row>
    <row r="306" spans="1:14" hidden="1" x14ac:dyDescent="0.35">
      <c r="A306" s="52" t="s">
        <v>206</v>
      </c>
      <c r="B306" s="52" t="s">
        <v>73</v>
      </c>
      <c r="C306" s="52" t="s">
        <v>71</v>
      </c>
      <c r="D306" s="52" t="s">
        <v>335</v>
      </c>
      <c r="E306" s="52" t="s">
        <v>584</v>
      </c>
      <c r="F306" s="52" t="s">
        <v>581</v>
      </c>
      <c r="G306" s="55" t="s">
        <v>278</v>
      </c>
      <c r="H306" s="55">
        <v>2.282386E-3</v>
      </c>
      <c r="I306" s="55">
        <v>1.4909840000000001E-3</v>
      </c>
      <c r="J306" s="55">
        <v>1.791082E-3</v>
      </c>
      <c r="K306" s="55">
        <v>5.9052149999999998E-2</v>
      </c>
      <c r="L306" s="55">
        <v>1.3569879999999999E-3</v>
      </c>
      <c r="M306" s="55">
        <v>2.7876889999999999E-3</v>
      </c>
      <c r="N306" s="55">
        <v>2.7876889999999999E-3</v>
      </c>
    </row>
    <row r="307" spans="1:14" hidden="1" x14ac:dyDescent="0.35">
      <c r="A307" s="52" t="s">
        <v>206</v>
      </c>
      <c r="B307" s="52" t="s">
        <v>73</v>
      </c>
      <c r="C307" s="52" t="s">
        <v>71</v>
      </c>
      <c r="D307" s="52" t="s">
        <v>335</v>
      </c>
      <c r="E307" s="52" t="s">
        <v>584</v>
      </c>
      <c r="F307" s="52" t="s">
        <v>26</v>
      </c>
      <c r="G307" s="55" t="s">
        <v>275</v>
      </c>
      <c r="H307" s="55">
        <v>-1.032095E-4</v>
      </c>
      <c r="I307" s="55">
        <v>9.0398829999999998E-6</v>
      </c>
      <c r="J307" s="55">
        <v>-2.8697720000000001E-4</v>
      </c>
      <c r="K307" s="55">
        <v>-2.9968459999999997E-4</v>
      </c>
      <c r="L307" s="55">
        <v>-3.105583E-4</v>
      </c>
      <c r="M307" s="55">
        <v>-1.1133809999999999E-2</v>
      </c>
      <c r="N307" s="55">
        <v>-9.0789229999999992E-3</v>
      </c>
    </row>
    <row r="308" spans="1:14" hidden="1" x14ac:dyDescent="0.35">
      <c r="A308" s="52" t="s">
        <v>206</v>
      </c>
      <c r="B308" s="52" t="s">
        <v>73</v>
      </c>
      <c r="C308" s="52" t="s">
        <v>71</v>
      </c>
      <c r="D308" s="52" t="s">
        <v>335</v>
      </c>
      <c r="E308" s="52" t="s">
        <v>584</v>
      </c>
      <c r="F308" s="52" t="s">
        <v>26</v>
      </c>
      <c r="G308" s="55" t="s">
        <v>276</v>
      </c>
      <c r="H308" s="55">
        <v>-2.0686839999999999E-3</v>
      </c>
      <c r="I308" s="55">
        <v>-1.4278089999999999E-3</v>
      </c>
      <c r="J308" s="55">
        <v>-2.365734E-3</v>
      </c>
      <c r="K308" s="55">
        <v>-2.353052E-3</v>
      </c>
      <c r="L308" s="55">
        <v>-2.3421779999999999E-3</v>
      </c>
      <c r="M308" s="55">
        <v>-4.4330230000000003E-3</v>
      </c>
      <c r="N308" s="55">
        <v>-6.487914E-3</v>
      </c>
    </row>
    <row r="309" spans="1:14" hidden="1" x14ac:dyDescent="0.35">
      <c r="A309" s="52" t="s">
        <v>206</v>
      </c>
      <c r="B309" s="52" t="s">
        <v>73</v>
      </c>
      <c r="C309" s="52" t="s">
        <v>71</v>
      </c>
      <c r="D309" s="52" t="s">
        <v>335</v>
      </c>
      <c r="E309" s="52" t="s">
        <v>584</v>
      </c>
      <c r="F309" s="52" t="s">
        <v>26</v>
      </c>
      <c r="G309" s="55" t="s">
        <v>277</v>
      </c>
      <c r="H309" s="55"/>
      <c r="I309" s="55"/>
      <c r="J309" s="55"/>
      <c r="K309" s="55"/>
      <c r="L309" s="55">
        <v>0</v>
      </c>
      <c r="M309" s="55">
        <v>1.29141E-2</v>
      </c>
      <c r="N309" s="55">
        <v>1.29141E-2</v>
      </c>
    </row>
    <row r="310" spans="1:14" hidden="1" x14ac:dyDescent="0.35">
      <c r="A310" s="52" t="s">
        <v>206</v>
      </c>
      <c r="B310" s="52" t="s">
        <v>73</v>
      </c>
      <c r="C310" s="52" t="s">
        <v>71</v>
      </c>
      <c r="D310" s="52" t="s">
        <v>335</v>
      </c>
      <c r="E310" s="52" t="s">
        <v>584</v>
      </c>
      <c r="F310" s="52" t="s">
        <v>26</v>
      </c>
      <c r="G310" s="55" t="s">
        <v>278</v>
      </c>
      <c r="H310" s="55">
        <v>2.1718929999999998E-3</v>
      </c>
      <c r="I310" s="55">
        <v>1.4188200000000001E-3</v>
      </c>
      <c r="J310" s="55">
        <v>2.6527370000000001E-3</v>
      </c>
      <c r="K310" s="55">
        <v>2.6527370000000001E-3</v>
      </c>
      <c r="L310" s="55">
        <v>2.6527370000000001E-3</v>
      </c>
      <c r="M310" s="55">
        <v>2.6527370000000001E-3</v>
      </c>
      <c r="N310" s="55">
        <v>2.6527370000000001E-3</v>
      </c>
    </row>
    <row r="311" spans="1:14" hidden="1" x14ac:dyDescent="0.35">
      <c r="A311" s="52" t="s">
        <v>206</v>
      </c>
      <c r="B311" s="52" t="s">
        <v>73</v>
      </c>
      <c r="C311" s="52" t="s">
        <v>71</v>
      </c>
      <c r="D311" s="52" t="s">
        <v>143</v>
      </c>
      <c r="E311" s="52" t="s">
        <v>584</v>
      </c>
      <c r="F311" s="52" t="s">
        <v>581</v>
      </c>
      <c r="G311" s="55" t="s">
        <v>275</v>
      </c>
      <c r="H311" s="55">
        <v>-2.1668799999999998E-2</v>
      </c>
      <c r="I311" s="55">
        <v>-6.7854900000000002</v>
      </c>
      <c r="J311" s="55">
        <v>0</v>
      </c>
      <c r="K311" s="55">
        <v>0</v>
      </c>
      <c r="L311" s="55">
        <v>0</v>
      </c>
      <c r="M311" s="55">
        <v>0</v>
      </c>
      <c r="N311" s="55">
        <v>0</v>
      </c>
    </row>
    <row r="312" spans="1:14" hidden="1" x14ac:dyDescent="0.35">
      <c r="A312" s="52" t="s">
        <v>206</v>
      </c>
      <c r="B312" s="52" t="s">
        <v>73</v>
      </c>
      <c r="C312" s="52" t="s">
        <v>71</v>
      </c>
      <c r="D312" s="52" t="s">
        <v>143</v>
      </c>
      <c r="E312" s="52" t="s">
        <v>584</v>
      </c>
      <c r="F312" s="52" t="s">
        <v>581</v>
      </c>
      <c r="G312" s="55" t="s">
        <v>276</v>
      </c>
      <c r="H312" s="55">
        <v>-0.1123108</v>
      </c>
      <c r="I312" s="55">
        <v>-28.80387</v>
      </c>
      <c r="J312" s="55">
        <v>-2.608514</v>
      </c>
      <c r="K312" s="55">
        <v>-8.8788019999999995E-2</v>
      </c>
      <c r="L312" s="55">
        <v>-9.1257229999999995E-2</v>
      </c>
      <c r="M312" s="55">
        <v>-0.1752416</v>
      </c>
      <c r="N312" s="55">
        <v>-0.45364159999999998</v>
      </c>
    </row>
    <row r="313" spans="1:14" hidden="1" x14ac:dyDescent="0.35">
      <c r="A313" s="52" t="s">
        <v>206</v>
      </c>
      <c r="B313" s="52" t="s">
        <v>73</v>
      </c>
      <c r="C313" s="52" t="s">
        <v>71</v>
      </c>
      <c r="D313" s="52" t="s">
        <v>143</v>
      </c>
      <c r="E313" s="52" t="s">
        <v>584</v>
      </c>
      <c r="F313" s="52" t="s">
        <v>581</v>
      </c>
      <c r="G313" s="55" t="s">
        <v>277</v>
      </c>
      <c r="H313" s="55"/>
      <c r="I313" s="55"/>
      <c r="J313" s="55"/>
      <c r="K313" s="55">
        <v>0</v>
      </c>
      <c r="L313" s="55">
        <v>1.1599999999999999E-2</v>
      </c>
      <c r="M313" s="55">
        <v>1.1599999999999999E-2</v>
      </c>
      <c r="N313" s="55">
        <v>0.28999999999999998</v>
      </c>
    </row>
    <row r="314" spans="1:14" hidden="1" x14ac:dyDescent="0.35">
      <c r="A314" s="52" t="s">
        <v>206</v>
      </c>
      <c r="B314" s="52" t="s">
        <v>73</v>
      </c>
      <c r="C314" s="52" t="s">
        <v>71</v>
      </c>
      <c r="D314" s="52" t="s">
        <v>143</v>
      </c>
      <c r="E314" s="52" t="s">
        <v>584</v>
      </c>
      <c r="F314" s="52" t="s">
        <v>581</v>
      </c>
      <c r="G314" s="55" t="s">
        <v>278</v>
      </c>
      <c r="H314" s="55">
        <v>0.13397919999999999</v>
      </c>
      <c r="I314" s="55">
        <v>35.589359999999999</v>
      </c>
      <c r="J314" s="55">
        <v>2.608514</v>
      </c>
      <c r="K314" s="55">
        <v>8.8788409999999998E-2</v>
      </c>
      <c r="L314" s="55">
        <v>7.9656790000000005E-2</v>
      </c>
      <c r="M314" s="55">
        <v>0.1636416</v>
      </c>
      <c r="N314" s="55">
        <v>0.1636416</v>
      </c>
    </row>
    <row r="315" spans="1:14" hidden="1" x14ac:dyDescent="0.35">
      <c r="A315" s="52" t="s">
        <v>206</v>
      </c>
      <c r="B315" s="52" t="s">
        <v>73</v>
      </c>
      <c r="C315" s="52" t="s">
        <v>71</v>
      </c>
      <c r="D315" s="52" t="s">
        <v>143</v>
      </c>
      <c r="E315" s="52" t="s">
        <v>584</v>
      </c>
      <c r="F315" s="52" t="s">
        <v>581</v>
      </c>
      <c r="G315" s="55" t="s">
        <v>279</v>
      </c>
      <c r="H315" s="55"/>
      <c r="I315" s="55"/>
      <c r="J315" s="55"/>
      <c r="K315" s="55"/>
      <c r="L315" s="55"/>
      <c r="M315" s="55"/>
      <c r="N315" s="55">
        <v>0</v>
      </c>
    </row>
    <row r="316" spans="1:14" hidden="1" x14ac:dyDescent="0.35">
      <c r="A316" s="52" t="s">
        <v>206</v>
      </c>
      <c r="B316" s="52" t="s">
        <v>73</v>
      </c>
      <c r="C316" s="52" t="s">
        <v>71</v>
      </c>
      <c r="D316" s="52" t="s">
        <v>143</v>
      </c>
      <c r="E316" s="52" t="s">
        <v>584</v>
      </c>
      <c r="F316" s="52" t="s">
        <v>26</v>
      </c>
      <c r="G316" s="55" t="s">
        <v>275</v>
      </c>
      <c r="H316" s="55"/>
      <c r="I316" s="55"/>
      <c r="J316" s="55"/>
      <c r="K316" s="55"/>
      <c r="L316" s="55"/>
      <c r="M316" s="55"/>
      <c r="N316" s="55">
        <v>0</v>
      </c>
    </row>
    <row r="317" spans="1:14" hidden="1" x14ac:dyDescent="0.35">
      <c r="A317" s="52" t="s">
        <v>206</v>
      </c>
      <c r="B317" s="52" t="s">
        <v>73</v>
      </c>
      <c r="C317" s="52" t="s">
        <v>71</v>
      </c>
      <c r="D317" s="52" t="s">
        <v>143</v>
      </c>
      <c r="E317" s="52" t="s">
        <v>584</v>
      </c>
      <c r="F317" s="52" t="s">
        <v>26</v>
      </c>
      <c r="G317" s="55" t="s">
        <v>276</v>
      </c>
      <c r="H317" s="55"/>
      <c r="I317" s="55"/>
      <c r="J317" s="55"/>
      <c r="K317" s="55"/>
      <c r="L317" s="55"/>
      <c r="M317" s="55"/>
      <c r="N317" s="55">
        <v>0</v>
      </c>
    </row>
    <row r="318" spans="1:14" hidden="1" x14ac:dyDescent="0.35">
      <c r="A318" s="52" t="s">
        <v>206</v>
      </c>
      <c r="B318" s="52" t="s">
        <v>73</v>
      </c>
      <c r="C318" s="52" t="s">
        <v>71</v>
      </c>
      <c r="D318" s="52" t="s">
        <v>143</v>
      </c>
      <c r="E318" s="52" t="s">
        <v>584</v>
      </c>
      <c r="F318" s="52" t="s">
        <v>26</v>
      </c>
      <c r="G318" s="55" t="s">
        <v>279</v>
      </c>
      <c r="H318" s="55"/>
      <c r="I318" s="55"/>
      <c r="J318" s="55"/>
      <c r="K318" s="55"/>
      <c r="L318" s="55"/>
      <c r="M318" s="55"/>
      <c r="N318" s="55">
        <v>0</v>
      </c>
    </row>
    <row r="319" spans="1:14" hidden="1" x14ac:dyDescent="0.35">
      <c r="A319" s="52" t="s">
        <v>206</v>
      </c>
      <c r="B319" s="52" t="s">
        <v>73</v>
      </c>
      <c r="C319" s="52" t="s">
        <v>97</v>
      </c>
      <c r="D319" s="52" t="s">
        <v>170</v>
      </c>
      <c r="E319" s="52" t="s">
        <v>584</v>
      </c>
      <c r="F319" s="52" t="s">
        <v>581</v>
      </c>
      <c r="G319" s="55" t="s">
        <v>275</v>
      </c>
      <c r="H319" s="55">
        <v>1.016856</v>
      </c>
      <c r="I319" s="55">
        <v>0.51390089999999999</v>
      </c>
      <c r="J319" s="55">
        <v>0.57474060000000005</v>
      </c>
      <c r="K319" s="55">
        <v>0.63701669999999999</v>
      </c>
      <c r="L319" s="55">
        <v>0.66145670000000001</v>
      </c>
      <c r="M319" s="55">
        <v>0.67680200000000001</v>
      </c>
      <c r="N319" s="55">
        <v>0.68176239999999999</v>
      </c>
    </row>
    <row r="320" spans="1:14" hidden="1" x14ac:dyDescent="0.35">
      <c r="A320" s="52" t="s">
        <v>206</v>
      </c>
      <c r="B320" s="52" t="s">
        <v>73</v>
      </c>
      <c r="C320" s="52" t="s">
        <v>97</v>
      </c>
      <c r="D320" s="52" t="s">
        <v>170</v>
      </c>
      <c r="E320" s="52" t="s">
        <v>584</v>
      </c>
      <c r="F320" s="52" t="s">
        <v>581</v>
      </c>
      <c r="G320" s="55" t="s">
        <v>276</v>
      </c>
      <c r="H320" s="55">
        <v>3.8006500000000001</v>
      </c>
      <c r="I320" s="55">
        <v>1.9490769999999999</v>
      </c>
      <c r="J320" s="55">
        <v>2.0200119999999999</v>
      </c>
      <c r="K320" s="55">
        <v>2.1500840000000001</v>
      </c>
      <c r="L320" s="55">
        <v>2.2460499999999999</v>
      </c>
      <c r="M320" s="55">
        <v>2.3212199999999998</v>
      </c>
      <c r="N320" s="55">
        <v>2.3812959999999999</v>
      </c>
    </row>
    <row r="321" spans="1:14" hidden="1" x14ac:dyDescent="0.35">
      <c r="A321" s="52" t="s">
        <v>206</v>
      </c>
      <c r="B321" s="52" t="s">
        <v>73</v>
      </c>
      <c r="C321" s="52" t="s">
        <v>97</v>
      </c>
      <c r="D321" s="52" t="s">
        <v>170</v>
      </c>
      <c r="E321" s="52" t="s">
        <v>584</v>
      </c>
      <c r="F321" s="52" t="s">
        <v>581</v>
      </c>
      <c r="G321" s="55" t="s">
        <v>277</v>
      </c>
      <c r="H321" s="55">
        <v>6.5474939999999995E-2</v>
      </c>
      <c r="I321" s="55">
        <v>6.2189010000000003E-2</v>
      </c>
      <c r="J321" s="55">
        <v>2.6652450000000001E-2</v>
      </c>
      <c r="K321" s="55">
        <v>0</v>
      </c>
      <c r="L321" s="55"/>
      <c r="M321" s="55"/>
      <c r="N321" s="55"/>
    </row>
    <row r="322" spans="1:14" hidden="1" x14ac:dyDescent="0.35">
      <c r="A322" s="52" t="s">
        <v>206</v>
      </c>
      <c r="B322" s="52" t="s">
        <v>73</v>
      </c>
      <c r="C322" s="52" t="s">
        <v>97</v>
      </c>
      <c r="D322" s="52" t="s">
        <v>170</v>
      </c>
      <c r="E322" s="52" t="s">
        <v>584</v>
      </c>
      <c r="F322" s="52" t="s">
        <v>581</v>
      </c>
      <c r="G322" s="55" t="s">
        <v>279</v>
      </c>
      <c r="H322" s="55">
        <v>0.20243949999999999</v>
      </c>
      <c r="I322" s="55">
        <v>0.20949180000000001</v>
      </c>
      <c r="J322" s="55">
        <v>0.21645220000000001</v>
      </c>
      <c r="K322" s="55">
        <v>0.25202809999999998</v>
      </c>
      <c r="L322" s="55">
        <v>0.26505099999999998</v>
      </c>
      <c r="M322" s="55">
        <v>0.2708335</v>
      </c>
      <c r="N322" s="55">
        <v>0.27052290000000001</v>
      </c>
    </row>
    <row r="323" spans="1:14" hidden="1" x14ac:dyDescent="0.35">
      <c r="A323" s="52" t="s">
        <v>206</v>
      </c>
      <c r="B323" s="52" t="s">
        <v>73</v>
      </c>
      <c r="C323" s="52" t="s">
        <v>97</v>
      </c>
      <c r="D323" s="52" t="s">
        <v>170</v>
      </c>
      <c r="E323" s="52" t="s">
        <v>584</v>
      </c>
      <c r="F323" s="52" t="s">
        <v>26</v>
      </c>
      <c r="G323" s="55" t="s">
        <v>275</v>
      </c>
      <c r="H323" s="55">
        <v>12.10708</v>
      </c>
      <c r="I323" s="55">
        <v>13.604100000000001</v>
      </c>
      <c r="J323" s="55">
        <v>20.328510000000001</v>
      </c>
      <c r="K323" s="55">
        <v>23.01793</v>
      </c>
      <c r="L323" s="55">
        <v>23.779050000000002</v>
      </c>
      <c r="M323" s="55">
        <v>26.05564</v>
      </c>
      <c r="N323" s="55">
        <v>25.398669999999999</v>
      </c>
    </row>
    <row r="324" spans="1:14" hidden="1" x14ac:dyDescent="0.35">
      <c r="A324" s="52" t="s">
        <v>206</v>
      </c>
      <c r="B324" s="52" t="s">
        <v>73</v>
      </c>
      <c r="C324" s="52" t="s">
        <v>97</v>
      </c>
      <c r="D324" s="52" t="s">
        <v>170</v>
      </c>
      <c r="E324" s="52" t="s">
        <v>584</v>
      </c>
      <c r="F324" s="52" t="s">
        <v>26</v>
      </c>
      <c r="G324" s="55" t="s">
        <v>276</v>
      </c>
      <c r="H324" s="55">
        <v>64.860150000000004</v>
      </c>
      <c r="I324" s="55">
        <v>57.954889999999999</v>
      </c>
      <c r="J324" s="55">
        <v>69.676439999999999</v>
      </c>
      <c r="K324" s="55">
        <v>74.124470000000002</v>
      </c>
      <c r="L324" s="55">
        <v>77.117829999999998</v>
      </c>
      <c r="M324" s="55">
        <v>79.668819999999997</v>
      </c>
      <c r="N324" s="55">
        <v>83.264480000000006</v>
      </c>
    </row>
    <row r="325" spans="1:14" hidden="1" x14ac:dyDescent="0.35">
      <c r="A325" s="52" t="s">
        <v>206</v>
      </c>
      <c r="B325" s="52" t="s">
        <v>73</v>
      </c>
      <c r="C325" s="52" t="s">
        <v>97</v>
      </c>
      <c r="D325" s="52" t="s">
        <v>170</v>
      </c>
      <c r="E325" s="52" t="s">
        <v>584</v>
      </c>
      <c r="F325" s="52" t="s">
        <v>26</v>
      </c>
      <c r="G325" s="55" t="s">
        <v>277</v>
      </c>
      <c r="H325" s="55">
        <v>10.17849</v>
      </c>
      <c r="I325" s="55">
        <v>6.8164189999999998</v>
      </c>
      <c r="J325" s="55">
        <v>3.7962020000000001</v>
      </c>
      <c r="K325" s="55">
        <v>2.842959</v>
      </c>
      <c r="L325" s="55">
        <v>3.0853969999999999</v>
      </c>
      <c r="M325" s="55">
        <v>1.322184</v>
      </c>
      <c r="N325" s="55">
        <v>1.4456169999999999</v>
      </c>
    </row>
    <row r="326" spans="1:14" hidden="1" x14ac:dyDescent="0.35">
      <c r="A326" s="52" t="s">
        <v>206</v>
      </c>
      <c r="B326" s="52" t="s">
        <v>73</v>
      </c>
      <c r="C326" s="52" t="s">
        <v>97</v>
      </c>
      <c r="D326" s="52" t="s">
        <v>170</v>
      </c>
      <c r="E326" s="52" t="s">
        <v>584</v>
      </c>
      <c r="F326" s="52" t="s">
        <v>26</v>
      </c>
      <c r="G326" s="55" t="s">
        <v>279</v>
      </c>
      <c r="H326" s="55">
        <v>16.498629999999999</v>
      </c>
      <c r="I326" s="55">
        <v>18.185279999999999</v>
      </c>
      <c r="J326" s="55">
        <v>18.598990000000001</v>
      </c>
      <c r="K326" s="55">
        <v>19.87574</v>
      </c>
      <c r="L326" s="55">
        <v>19.712019999999999</v>
      </c>
      <c r="M326" s="55">
        <v>19.802399999999999</v>
      </c>
      <c r="N326" s="55">
        <v>19.895060000000001</v>
      </c>
    </row>
    <row r="327" spans="1:14" hidden="1" x14ac:dyDescent="0.35">
      <c r="A327" s="52" t="s">
        <v>206</v>
      </c>
      <c r="B327" s="52" t="s">
        <v>73</v>
      </c>
      <c r="C327" s="52" t="s">
        <v>97</v>
      </c>
      <c r="D327" s="52" t="s">
        <v>212</v>
      </c>
      <c r="E327" s="52" t="s">
        <v>584</v>
      </c>
      <c r="F327" s="52" t="s">
        <v>581</v>
      </c>
      <c r="G327" s="55" t="s">
        <v>275</v>
      </c>
      <c r="H327" s="55">
        <v>12.71565</v>
      </c>
      <c r="I327" s="55">
        <v>8.9488330000000005</v>
      </c>
      <c r="J327" s="55">
        <v>9.6093679999999999</v>
      </c>
      <c r="K327" s="55">
        <v>6.8910530000000003</v>
      </c>
      <c r="L327" s="55">
        <v>12.33428</v>
      </c>
      <c r="M327" s="55">
        <v>2.730054</v>
      </c>
      <c r="N327" s="55">
        <v>1.430234</v>
      </c>
    </row>
    <row r="328" spans="1:14" hidden="1" x14ac:dyDescent="0.35">
      <c r="A328" s="52" t="s">
        <v>206</v>
      </c>
      <c r="B328" s="52" t="s">
        <v>73</v>
      </c>
      <c r="C328" s="52" t="s">
        <v>97</v>
      </c>
      <c r="D328" s="52" t="s">
        <v>212</v>
      </c>
      <c r="E328" s="52" t="s">
        <v>584</v>
      </c>
      <c r="F328" s="52" t="s">
        <v>581</v>
      </c>
      <c r="G328" s="55" t="s">
        <v>276</v>
      </c>
      <c r="H328" s="55">
        <v>14.107559999999999</v>
      </c>
      <c r="I328" s="55">
        <v>2.279954</v>
      </c>
      <c r="J328" s="55">
        <v>7.446625</v>
      </c>
      <c r="K328" s="55">
        <v>5.5813119999999996</v>
      </c>
      <c r="L328" s="55">
        <v>13.82485</v>
      </c>
      <c r="M328" s="55">
        <v>7.8703010000000004</v>
      </c>
      <c r="N328" s="55">
        <v>6.2127840000000001</v>
      </c>
    </row>
    <row r="329" spans="1:14" hidden="1" x14ac:dyDescent="0.35">
      <c r="A329" s="52" t="s">
        <v>206</v>
      </c>
      <c r="B329" s="52" t="s">
        <v>73</v>
      </c>
      <c r="C329" s="52" t="s">
        <v>97</v>
      </c>
      <c r="D329" s="52" t="s">
        <v>212</v>
      </c>
      <c r="E329" s="52" t="s">
        <v>584</v>
      </c>
      <c r="F329" s="52" t="s">
        <v>581</v>
      </c>
      <c r="G329" s="55" t="s">
        <v>277</v>
      </c>
      <c r="H329" s="55">
        <v>11.78444</v>
      </c>
      <c r="I329" s="55">
        <v>9.6143879999999999</v>
      </c>
      <c r="J329" s="55">
        <v>7.7807469999999999</v>
      </c>
      <c r="K329" s="55">
        <v>7.9665900000000001</v>
      </c>
      <c r="L329" s="55">
        <v>1.373704</v>
      </c>
      <c r="M329" s="55">
        <v>8.1751129999999996</v>
      </c>
      <c r="N329" s="55">
        <v>8.4884330000000006</v>
      </c>
    </row>
    <row r="330" spans="1:14" hidden="1" x14ac:dyDescent="0.35">
      <c r="A330" s="52" t="s">
        <v>206</v>
      </c>
      <c r="B330" s="52" t="s">
        <v>73</v>
      </c>
      <c r="C330" s="52" t="s">
        <v>97</v>
      </c>
      <c r="D330" s="52" t="s">
        <v>212</v>
      </c>
      <c r="E330" s="52" t="s">
        <v>584</v>
      </c>
      <c r="F330" s="52" t="s">
        <v>581</v>
      </c>
      <c r="G330" s="55" t="s">
        <v>278</v>
      </c>
      <c r="H330" s="55">
        <v>4.9384320000000004E-3</v>
      </c>
      <c r="I330" s="55">
        <v>0.79844809999999999</v>
      </c>
      <c r="J330" s="55">
        <v>3.6301609999999998E-2</v>
      </c>
      <c r="K330" s="55">
        <v>2.6201280000000002E-3</v>
      </c>
      <c r="L330" s="55">
        <v>2.350656E-3</v>
      </c>
      <c r="M330" s="55">
        <v>4.8290399999999997E-3</v>
      </c>
      <c r="N330" s="55">
        <v>4.8290399999999997E-3</v>
      </c>
    </row>
    <row r="331" spans="1:14" hidden="1" x14ac:dyDescent="0.35">
      <c r="A331" s="52" t="s">
        <v>206</v>
      </c>
      <c r="B331" s="52" t="s">
        <v>73</v>
      </c>
      <c r="C331" s="52" t="s">
        <v>97</v>
      </c>
      <c r="D331" s="52" t="s">
        <v>212</v>
      </c>
      <c r="E331" s="52" t="s">
        <v>584</v>
      </c>
      <c r="F331" s="52" t="s">
        <v>581</v>
      </c>
      <c r="G331" s="55" t="s">
        <v>279</v>
      </c>
      <c r="H331" s="55">
        <v>9.0386539999999993</v>
      </c>
      <c r="I331" s="55">
        <v>9.4691200000000002</v>
      </c>
      <c r="J331" s="55">
        <v>9.6062399999999997</v>
      </c>
      <c r="K331" s="55">
        <v>11.275359999999999</v>
      </c>
      <c r="L331" s="55">
        <v>4.2969330000000001</v>
      </c>
      <c r="M331" s="55">
        <v>11.64645</v>
      </c>
      <c r="N331" s="55">
        <v>11.610749999999999</v>
      </c>
    </row>
    <row r="332" spans="1:14" hidden="1" x14ac:dyDescent="0.35">
      <c r="A332" s="52" t="s">
        <v>206</v>
      </c>
      <c r="B332" s="52" t="s">
        <v>73</v>
      </c>
      <c r="C332" s="52" t="s">
        <v>97</v>
      </c>
      <c r="D332" s="52" t="s">
        <v>212</v>
      </c>
      <c r="E332" s="52" t="s">
        <v>584</v>
      </c>
      <c r="F332" s="52" t="s">
        <v>26</v>
      </c>
      <c r="G332" s="55" t="s">
        <v>275</v>
      </c>
      <c r="H332" s="55">
        <v>3.5936170000000001</v>
      </c>
      <c r="I332" s="55">
        <v>4.053102</v>
      </c>
      <c r="J332" s="55">
        <v>5.4653840000000002</v>
      </c>
      <c r="K332" s="55">
        <v>6.2989670000000002</v>
      </c>
      <c r="L332" s="55">
        <v>2.5024660000000001</v>
      </c>
      <c r="M332" s="55">
        <v>9.8198869999999996</v>
      </c>
      <c r="N332" s="55">
        <v>8.9543359999999996</v>
      </c>
    </row>
    <row r="333" spans="1:14" hidden="1" x14ac:dyDescent="0.35">
      <c r="A333" s="52" t="s">
        <v>206</v>
      </c>
      <c r="B333" s="52" t="s">
        <v>73</v>
      </c>
      <c r="C333" s="52" t="s">
        <v>97</v>
      </c>
      <c r="D333" s="52" t="s">
        <v>212</v>
      </c>
      <c r="E333" s="52" t="s">
        <v>584</v>
      </c>
      <c r="F333" s="52" t="s">
        <v>26</v>
      </c>
      <c r="G333" s="55" t="s">
        <v>276</v>
      </c>
      <c r="H333" s="55">
        <v>12.50367</v>
      </c>
      <c r="I333" s="55">
        <v>14.4847</v>
      </c>
      <c r="J333" s="55">
        <v>19.520610000000001</v>
      </c>
      <c r="K333" s="55">
        <v>22.496359999999999</v>
      </c>
      <c r="L333" s="55">
        <v>23.192509999999999</v>
      </c>
      <c r="M333" s="55">
        <v>31.423220000000001</v>
      </c>
      <c r="N333" s="55">
        <v>28.332830000000001</v>
      </c>
    </row>
    <row r="334" spans="1:14" hidden="1" x14ac:dyDescent="0.35">
      <c r="A334" s="52" t="s">
        <v>206</v>
      </c>
      <c r="B334" s="52" t="s">
        <v>73</v>
      </c>
      <c r="C334" s="52" t="s">
        <v>97</v>
      </c>
      <c r="D334" s="52" t="s">
        <v>212</v>
      </c>
      <c r="E334" s="52" t="s">
        <v>584</v>
      </c>
      <c r="F334" s="52" t="s">
        <v>26</v>
      </c>
      <c r="G334" s="55" t="s">
        <v>277</v>
      </c>
      <c r="H334" s="55"/>
      <c r="I334" s="55"/>
      <c r="J334" s="55">
        <v>0</v>
      </c>
      <c r="K334" s="55"/>
      <c r="L334" s="55">
        <v>5.0008949999999999</v>
      </c>
      <c r="M334" s="55">
        <v>0</v>
      </c>
      <c r="N334" s="55">
        <v>0</v>
      </c>
    </row>
    <row r="335" spans="1:14" hidden="1" x14ac:dyDescent="0.35">
      <c r="A335" s="52" t="s">
        <v>206</v>
      </c>
      <c r="B335" s="52" t="s">
        <v>73</v>
      </c>
      <c r="C335" s="52" t="s">
        <v>97</v>
      </c>
      <c r="D335" s="52" t="s">
        <v>212</v>
      </c>
      <c r="E335" s="52" t="s">
        <v>584</v>
      </c>
      <c r="F335" s="52" t="s">
        <v>26</v>
      </c>
      <c r="G335" s="55" t="s">
        <v>278</v>
      </c>
      <c r="H335" s="55">
        <v>1.1212080000000001E-3</v>
      </c>
      <c r="I335" s="55">
        <v>1.3757039999999999E-3</v>
      </c>
      <c r="J335" s="55">
        <v>7.7275200000000003E-4</v>
      </c>
      <c r="K335" s="55">
        <v>6.52584E-4</v>
      </c>
      <c r="L335" s="55">
        <v>5.8545600000000004E-4</v>
      </c>
      <c r="M335" s="55">
        <v>1.202736E-3</v>
      </c>
      <c r="N335" s="55">
        <v>1.202736E-3</v>
      </c>
    </row>
    <row r="336" spans="1:14" hidden="1" x14ac:dyDescent="0.35">
      <c r="A336" s="52" t="s">
        <v>206</v>
      </c>
      <c r="B336" s="52" t="s">
        <v>73</v>
      </c>
      <c r="C336" s="52" t="s">
        <v>97</v>
      </c>
      <c r="D336" s="52" t="s">
        <v>212</v>
      </c>
      <c r="E336" s="52" t="s">
        <v>584</v>
      </c>
      <c r="F336" s="52" t="s">
        <v>26</v>
      </c>
      <c r="G336" s="55" t="s">
        <v>279</v>
      </c>
      <c r="H336" s="55">
        <v>3.4310839999999998</v>
      </c>
      <c r="I336" s="55">
        <v>4.6676650000000004</v>
      </c>
      <c r="J336" s="55">
        <v>3.9012389999999999</v>
      </c>
      <c r="K336" s="55">
        <v>4.0971399999999996</v>
      </c>
      <c r="L336" s="55">
        <v>10.761889999999999</v>
      </c>
      <c r="M336" s="55">
        <v>3.8495729999999999</v>
      </c>
      <c r="N336" s="55">
        <v>3.4825089999999999</v>
      </c>
    </row>
    <row r="337" spans="1:14" hidden="1" x14ac:dyDescent="0.35">
      <c r="A337" s="52" t="s">
        <v>206</v>
      </c>
      <c r="B337" s="52" t="s">
        <v>73</v>
      </c>
      <c r="C337" s="52" t="s">
        <v>97</v>
      </c>
      <c r="D337" s="52" t="s">
        <v>98</v>
      </c>
      <c r="E337" s="52" t="s">
        <v>584</v>
      </c>
      <c r="F337" s="52" t="s">
        <v>581</v>
      </c>
      <c r="G337" s="55" t="s">
        <v>275</v>
      </c>
      <c r="H337" s="55">
        <v>20.692070000000001</v>
      </c>
      <c r="I337" s="55">
        <v>5.3675709999999999</v>
      </c>
      <c r="J337" s="55">
        <v>7.2826089999999999</v>
      </c>
      <c r="K337" s="55">
        <v>-0.29449350000000002</v>
      </c>
      <c r="L337" s="55">
        <v>-13.60234</v>
      </c>
      <c r="M337" s="55">
        <v>-3.3431410000000001</v>
      </c>
      <c r="N337" s="55">
        <v>17.762910000000002</v>
      </c>
    </row>
    <row r="338" spans="1:14" hidden="1" x14ac:dyDescent="0.35">
      <c r="A338" s="52" t="s">
        <v>206</v>
      </c>
      <c r="B338" s="52" t="s">
        <v>73</v>
      </c>
      <c r="C338" s="52" t="s">
        <v>97</v>
      </c>
      <c r="D338" s="52" t="s">
        <v>98</v>
      </c>
      <c r="E338" s="52" t="s">
        <v>584</v>
      </c>
      <c r="F338" s="52" t="s">
        <v>581</v>
      </c>
      <c r="G338" s="55" t="s">
        <v>276</v>
      </c>
      <c r="H338" s="55">
        <v>63.91357</v>
      </c>
      <c r="I338" s="55">
        <v>15.60317</v>
      </c>
      <c r="J338" s="55">
        <v>9.3140129999999992</v>
      </c>
      <c r="K338" s="55">
        <v>4.8069350000000002</v>
      </c>
      <c r="L338" s="55">
        <v>-0.36481609999999998</v>
      </c>
      <c r="M338" s="55">
        <v>-1.6765399999999999</v>
      </c>
      <c r="N338" s="55">
        <v>24.94145</v>
      </c>
    </row>
    <row r="339" spans="1:14" hidden="1" x14ac:dyDescent="0.35">
      <c r="A339" s="52" t="s">
        <v>206</v>
      </c>
      <c r="B339" s="52" t="s">
        <v>73</v>
      </c>
      <c r="C339" s="52" t="s">
        <v>97</v>
      </c>
      <c r="D339" s="52" t="s">
        <v>98</v>
      </c>
      <c r="E339" s="52" t="s">
        <v>584</v>
      </c>
      <c r="F339" s="52" t="s">
        <v>581</v>
      </c>
      <c r="G339" s="55" t="s">
        <v>277</v>
      </c>
      <c r="H339" s="55">
        <v>9.054138</v>
      </c>
      <c r="I339" s="55">
        <v>9.7561149999999994</v>
      </c>
      <c r="J339" s="55">
        <v>6.4258699999999997</v>
      </c>
      <c r="K339" s="55">
        <v>12.24475</v>
      </c>
      <c r="L339" s="55">
        <v>27.89415</v>
      </c>
      <c r="M339" s="55">
        <v>19.463930000000001</v>
      </c>
      <c r="N339" s="55">
        <v>5.4716620000000002</v>
      </c>
    </row>
    <row r="340" spans="1:14" hidden="1" x14ac:dyDescent="0.35">
      <c r="A340" s="52" t="s">
        <v>206</v>
      </c>
      <c r="B340" s="52" t="s">
        <v>73</v>
      </c>
      <c r="C340" s="52" t="s">
        <v>97</v>
      </c>
      <c r="D340" s="52" t="s">
        <v>98</v>
      </c>
      <c r="E340" s="52" t="s">
        <v>584</v>
      </c>
      <c r="F340" s="52" t="s">
        <v>581</v>
      </c>
      <c r="G340" s="55" t="s">
        <v>278</v>
      </c>
      <c r="H340" s="55">
        <v>0.10203379999999999</v>
      </c>
      <c r="I340" s="55">
        <v>6.6654599999999994E-2</v>
      </c>
      <c r="J340" s="55">
        <v>4.3137189999999999</v>
      </c>
      <c r="K340" s="55">
        <v>5.9702400000000003E-2</v>
      </c>
      <c r="L340" s="55">
        <v>5.3562400000000003E-2</v>
      </c>
      <c r="M340" s="55">
        <v>0.1100348</v>
      </c>
      <c r="N340" s="55">
        <v>0.1100348</v>
      </c>
    </row>
    <row r="341" spans="1:14" hidden="1" x14ac:dyDescent="0.35">
      <c r="A341" s="52" t="s">
        <v>206</v>
      </c>
      <c r="B341" s="52" t="s">
        <v>73</v>
      </c>
      <c r="C341" s="52" t="s">
        <v>97</v>
      </c>
      <c r="D341" s="52" t="s">
        <v>98</v>
      </c>
      <c r="E341" s="52" t="s">
        <v>584</v>
      </c>
      <c r="F341" s="52" t="s">
        <v>581</v>
      </c>
      <c r="G341" s="55" t="s">
        <v>279</v>
      </c>
      <c r="H341" s="55">
        <v>21.644449999999999</v>
      </c>
      <c r="I341" s="55">
        <v>20.038019999999999</v>
      </c>
      <c r="J341" s="55">
        <v>19.590669999999999</v>
      </c>
      <c r="K341" s="55">
        <v>22.317979999999999</v>
      </c>
      <c r="L341" s="55">
        <v>22.38531</v>
      </c>
      <c r="M341" s="55">
        <v>24.65615</v>
      </c>
      <c r="N341" s="55">
        <v>29.817070000000001</v>
      </c>
    </row>
    <row r="342" spans="1:14" hidden="1" x14ac:dyDescent="0.35">
      <c r="A342" s="52" t="s">
        <v>206</v>
      </c>
      <c r="B342" s="52" t="s">
        <v>73</v>
      </c>
      <c r="C342" s="52" t="s">
        <v>97</v>
      </c>
      <c r="D342" s="52" t="s">
        <v>98</v>
      </c>
      <c r="E342" s="52" t="s">
        <v>584</v>
      </c>
      <c r="F342" s="52" t="s">
        <v>26</v>
      </c>
      <c r="G342" s="55" t="s">
        <v>275</v>
      </c>
      <c r="H342" s="55">
        <v>-3.9916000000000002E-4</v>
      </c>
      <c r="I342" s="55">
        <v>3.4664959999999998E-5</v>
      </c>
      <c r="J342" s="55">
        <v>0</v>
      </c>
      <c r="K342" s="55">
        <v>0</v>
      </c>
      <c r="L342" s="55">
        <v>0</v>
      </c>
      <c r="M342" s="55">
        <v>0</v>
      </c>
      <c r="N342" s="55">
        <v>0</v>
      </c>
    </row>
    <row r="343" spans="1:14" hidden="1" x14ac:dyDescent="0.35">
      <c r="A343" s="52" t="s">
        <v>206</v>
      </c>
      <c r="B343" s="52" t="s">
        <v>73</v>
      </c>
      <c r="C343" s="52" t="s">
        <v>97</v>
      </c>
      <c r="D343" s="52" t="s">
        <v>98</v>
      </c>
      <c r="E343" s="52" t="s">
        <v>584</v>
      </c>
      <c r="F343" s="52" t="s">
        <v>26</v>
      </c>
      <c r="G343" s="55" t="s">
        <v>276</v>
      </c>
      <c r="H343" s="55">
        <v>-7.9972150000000002E-3</v>
      </c>
      <c r="I343" s="55">
        <v>-5.5198249999999999E-3</v>
      </c>
      <c r="J343" s="55">
        <v>-2.182402E-2</v>
      </c>
      <c r="K343" s="55">
        <v>-8.7252070000000001E-2</v>
      </c>
      <c r="L343" s="55">
        <v>-4.9918150000000001E-3</v>
      </c>
      <c r="M343" s="55">
        <v>-1.4786250000000001E-2</v>
      </c>
      <c r="N343" s="55">
        <v>-1.4786219999999999E-2</v>
      </c>
    </row>
    <row r="344" spans="1:14" hidden="1" x14ac:dyDescent="0.35">
      <c r="A344" s="52" t="s">
        <v>206</v>
      </c>
      <c r="B344" s="52" t="s">
        <v>73</v>
      </c>
      <c r="C344" s="52" t="s">
        <v>97</v>
      </c>
      <c r="D344" s="52" t="s">
        <v>98</v>
      </c>
      <c r="E344" s="52" t="s">
        <v>584</v>
      </c>
      <c r="F344" s="52" t="s">
        <v>26</v>
      </c>
      <c r="G344" s="55" t="s">
        <v>277</v>
      </c>
      <c r="H344" s="55"/>
      <c r="I344" s="55"/>
      <c r="J344" s="55"/>
      <c r="K344" s="55"/>
      <c r="L344" s="55">
        <v>0</v>
      </c>
      <c r="M344" s="55">
        <v>4.5312499999999997E-3</v>
      </c>
      <c r="N344" s="55">
        <v>4.5312499999999997E-3</v>
      </c>
    </row>
    <row r="345" spans="1:14" hidden="1" x14ac:dyDescent="0.35">
      <c r="A345" s="52" t="s">
        <v>206</v>
      </c>
      <c r="B345" s="52" t="s">
        <v>73</v>
      </c>
      <c r="C345" s="52" t="s">
        <v>97</v>
      </c>
      <c r="D345" s="52" t="s">
        <v>98</v>
      </c>
      <c r="E345" s="52" t="s">
        <v>584</v>
      </c>
      <c r="F345" s="52" t="s">
        <v>26</v>
      </c>
      <c r="G345" s="55" t="s">
        <v>278</v>
      </c>
      <c r="H345" s="55">
        <v>8.3961239999999996E-3</v>
      </c>
      <c r="I345" s="55">
        <v>5.48491E-3</v>
      </c>
      <c r="J345" s="55">
        <v>2.182402E-2</v>
      </c>
      <c r="K345" s="55">
        <v>8.7251830000000002E-2</v>
      </c>
      <c r="L345" s="55">
        <v>4.9918139999999998E-3</v>
      </c>
      <c r="M345" s="55">
        <v>1.0254920000000001E-2</v>
      </c>
      <c r="N345" s="55">
        <v>1.0254920000000001E-2</v>
      </c>
    </row>
    <row r="346" spans="1:14" hidden="1" x14ac:dyDescent="0.35">
      <c r="A346" s="52" t="s">
        <v>206</v>
      </c>
      <c r="B346" s="52" t="s">
        <v>73</v>
      </c>
      <c r="C346" s="52" t="s">
        <v>97</v>
      </c>
      <c r="D346" s="52" t="s">
        <v>98</v>
      </c>
      <c r="E346" s="52" t="s">
        <v>584</v>
      </c>
      <c r="F346" s="52" t="s">
        <v>26</v>
      </c>
      <c r="G346" s="55" t="s">
        <v>279</v>
      </c>
      <c r="H346" s="55"/>
      <c r="I346" s="55"/>
      <c r="J346" s="55"/>
      <c r="K346" s="55"/>
      <c r="L346" s="55"/>
      <c r="M346" s="55"/>
      <c r="N346" s="55">
        <v>0</v>
      </c>
    </row>
    <row r="347" spans="1:14" hidden="1" x14ac:dyDescent="0.35">
      <c r="A347" s="52" t="s">
        <v>206</v>
      </c>
      <c r="B347" s="52" t="s">
        <v>73</v>
      </c>
      <c r="C347" s="52" t="s">
        <v>97</v>
      </c>
      <c r="D347" s="52" t="s">
        <v>171</v>
      </c>
      <c r="E347" s="52" t="s">
        <v>584</v>
      </c>
      <c r="F347" s="52" t="s">
        <v>581</v>
      </c>
      <c r="G347" s="55" t="s">
        <v>275</v>
      </c>
      <c r="H347" s="55">
        <v>11.426019999999999</v>
      </c>
      <c r="I347" s="55">
        <v>1.6590259999999999</v>
      </c>
      <c r="J347" s="55">
        <v>0.64474430000000005</v>
      </c>
      <c r="K347" s="55">
        <v>0.91006520000000002</v>
      </c>
      <c r="L347" s="55">
        <v>0.87730909999999995</v>
      </c>
      <c r="M347" s="55">
        <v>0.86662349999999999</v>
      </c>
      <c r="N347" s="55">
        <v>1.2300709999999999</v>
      </c>
    </row>
    <row r="348" spans="1:14" hidden="1" x14ac:dyDescent="0.35">
      <c r="A348" s="52" t="s">
        <v>206</v>
      </c>
      <c r="B348" s="52" t="s">
        <v>73</v>
      </c>
      <c r="C348" s="52" t="s">
        <v>97</v>
      </c>
      <c r="D348" s="52" t="s">
        <v>171</v>
      </c>
      <c r="E348" s="52" t="s">
        <v>584</v>
      </c>
      <c r="F348" s="52" t="s">
        <v>581</v>
      </c>
      <c r="G348" s="55" t="s">
        <v>276</v>
      </c>
      <c r="H348" s="55">
        <v>15.085369999999999</v>
      </c>
      <c r="I348" s="55">
        <v>-3.1867570000000001</v>
      </c>
      <c r="J348" s="55">
        <v>-6.2590469999999998</v>
      </c>
      <c r="K348" s="55">
        <v>-4.1420909999999997</v>
      </c>
      <c r="L348" s="55">
        <v>-4.0543110000000002</v>
      </c>
      <c r="M348" s="55">
        <v>-4.3329779999999998</v>
      </c>
      <c r="N348" s="55">
        <v>-5.0019280000000004</v>
      </c>
    </row>
    <row r="349" spans="1:14" hidden="1" x14ac:dyDescent="0.35">
      <c r="A349" s="52" t="s">
        <v>206</v>
      </c>
      <c r="B349" s="52" t="s">
        <v>73</v>
      </c>
      <c r="C349" s="52" t="s">
        <v>97</v>
      </c>
      <c r="D349" s="52" t="s">
        <v>171</v>
      </c>
      <c r="E349" s="52" t="s">
        <v>584</v>
      </c>
      <c r="F349" s="52" t="s">
        <v>581</v>
      </c>
      <c r="G349" s="55" t="s">
        <v>277</v>
      </c>
      <c r="H349" s="55">
        <v>14.79574</v>
      </c>
      <c r="I349" s="55">
        <v>18.053149999999999</v>
      </c>
      <c r="J349" s="55">
        <v>18.07563</v>
      </c>
      <c r="K349" s="55">
        <v>18.109719999999999</v>
      </c>
      <c r="L349" s="55">
        <v>18.14096</v>
      </c>
      <c r="M349" s="55">
        <v>18.144919999999999</v>
      </c>
      <c r="N349" s="55">
        <v>18.156949999999998</v>
      </c>
    </row>
    <row r="350" spans="1:14" hidden="1" x14ac:dyDescent="0.35">
      <c r="A350" s="52" t="s">
        <v>206</v>
      </c>
      <c r="B350" s="52" t="s">
        <v>73</v>
      </c>
      <c r="C350" s="52" t="s">
        <v>97</v>
      </c>
      <c r="D350" s="52" t="s">
        <v>171</v>
      </c>
      <c r="E350" s="52" t="s">
        <v>584</v>
      </c>
      <c r="F350" s="52" t="s">
        <v>581</v>
      </c>
      <c r="G350" s="55" t="s">
        <v>278</v>
      </c>
      <c r="H350" s="55">
        <v>6.6095980000000004E-3</v>
      </c>
      <c r="I350" s="55">
        <v>2.9539290000000001E-3</v>
      </c>
      <c r="J350" s="55">
        <v>3.5484869999999999E-3</v>
      </c>
      <c r="K350" s="55">
        <v>0.28002850000000001</v>
      </c>
      <c r="L350" s="55">
        <v>2.6884650000000001E-3</v>
      </c>
      <c r="M350" s="55">
        <v>5.5229340000000002E-3</v>
      </c>
      <c r="N350" s="55">
        <v>2.6253589999999999E-3</v>
      </c>
    </row>
    <row r="351" spans="1:14" hidden="1" x14ac:dyDescent="0.35">
      <c r="A351" s="52" t="s">
        <v>206</v>
      </c>
      <c r="B351" s="52" t="s">
        <v>73</v>
      </c>
      <c r="C351" s="52" t="s">
        <v>97</v>
      </c>
      <c r="D351" s="52" t="s">
        <v>171</v>
      </c>
      <c r="E351" s="52" t="s">
        <v>584</v>
      </c>
      <c r="F351" s="52" t="s">
        <v>581</v>
      </c>
      <c r="G351" s="55" t="s">
        <v>279</v>
      </c>
      <c r="H351" s="55">
        <v>3.584724</v>
      </c>
      <c r="I351" s="55">
        <v>3.2871320000000002</v>
      </c>
      <c r="J351" s="55">
        <v>3.0240719999999999</v>
      </c>
      <c r="K351" s="55">
        <v>3.8610609999999999</v>
      </c>
      <c r="L351" s="55">
        <v>3.9171149999999999</v>
      </c>
      <c r="M351" s="55">
        <v>3.9690919999999998</v>
      </c>
      <c r="N351" s="55">
        <v>4.022113</v>
      </c>
    </row>
    <row r="352" spans="1:14" hidden="1" x14ac:dyDescent="0.35">
      <c r="A352" s="52" t="s">
        <v>206</v>
      </c>
      <c r="B352" s="52" t="s">
        <v>73</v>
      </c>
      <c r="C352" s="52" t="s">
        <v>97</v>
      </c>
      <c r="D352" s="52" t="s">
        <v>171</v>
      </c>
      <c r="E352" s="52" t="s">
        <v>584</v>
      </c>
      <c r="F352" s="52" t="s">
        <v>26</v>
      </c>
      <c r="G352" s="55" t="s">
        <v>275</v>
      </c>
      <c r="H352" s="55">
        <v>-9.9252299999999998E-5</v>
      </c>
      <c r="I352" s="55">
        <v>1.733298E-5</v>
      </c>
      <c r="J352" s="55">
        <v>0</v>
      </c>
      <c r="K352" s="55">
        <v>0</v>
      </c>
      <c r="L352" s="55">
        <v>0</v>
      </c>
      <c r="M352" s="55">
        <v>0</v>
      </c>
      <c r="N352" s="55">
        <v>0</v>
      </c>
    </row>
    <row r="353" spans="1:14" hidden="1" x14ac:dyDescent="0.35">
      <c r="A353" s="52" t="s">
        <v>206</v>
      </c>
      <c r="B353" s="52" t="s">
        <v>73</v>
      </c>
      <c r="C353" s="52" t="s">
        <v>97</v>
      </c>
      <c r="D353" s="52" t="s">
        <v>171</v>
      </c>
      <c r="E353" s="52" t="s">
        <v>584</v>
      </c>
      <c r="F353" s="52" t="s">
        <v>26</v>
      </c>
      <c r="G353" s="55" t="s">
        <v>276</v>
      </c>
      <c r="H353" s="55">
        <v>-1.9893549999999999E-3</v>
      </c>
      <c r="I353" s="55">
        <v>-2.745637E-3</v>
      </c>
      <c r="J353" s="55">
        <v>-3.277421E-3</v>
      </c>
      <c r="K353" s="55">
        <v>-2.767706E-3</v>
      </c>
      <c r="L353" s="55">
        <v>-2.7266959999999998E-3</v>
      </c>
      <c r="M353" s="55">
        <v>-5.3445430000000002E-3</v>
      </c>
      <c r="N353" s="55">
        <v>-1.114153E-2</v>
      </c>
    </row>
    <row r="354" spans="1:14" hidden="1" x14ac:dyDescent="0.35">
      <c r="A354" s="52" t="s">
        <v>206</v>
      </c>
      <c r="B354" s="52" t="s">
        <v>73</v>
      </c>
      <c r="C354" s="52" t="s">
        <v>97</v>
      </c>
      <c r="D354" s="52" t="s">
        <v>171</v>
      </c>
      <c r="E354" s="52" t="s">
        <v>584</v>
      </c>
      <c r="F354" s="52" t="s">
        <v>26</v>
      </c>
      <c r="G354" s="55" t="s">
        <v>277</v>
      </c>
      <c r="H354" s="55"/>
      <c r="I354" s="55"/>
      <c r="J354" s="55"/>
      <c r="K354" s="55">
        <v>0</v>
      </c>
      <c r="L354" s="55">
        <v>2.4360000000000001E-4</v>
      </c>
      <c r="M354" s="55">
        <v>2.4360000000000001E-4</v>
      </c>
      <c r="N354" s="55">
        <v>0</v>
      </c>
    </row>
    <row r="355" spans="1:14" hidden="1" x14ac:dyDescent="0.35">
      <c r="A355" s="52" t="s">
        <v>206</v>
      </c>
      <c r="B355" s="52" t="s">
        <v>73</v>
      </c>
      <c r="C355" s="52" t="s">
        <v>97</v>
      </c>
      <c r="D355" s="52" t="s">
        <v>171</v>
      </c>
      <c r="E355" s="52" t="s">
        <v>584</v>
      </c>
      <c r="F355" s="52" t="s">
        <v>26</v>
      </c>
      <c r="G355" s="55" t="s">
        <v>278</v>
      </c>
      <c r="H355" s="55">
        <v>2.0885550000000002E-3</v>
      </c>
      <c r="I355" s="55">
        <v>2.7282280000000001E-3</v>
      </c>
      <c r="J355" s="55">
        <v>3.277397E-3</v>
      </c>
      <c r="K355" s="55">
        <v>2.767682E-3</v>
      </c>
      <c r="L355" s="55">
        <v>2.4830479999999999E-3</v>
      </c>
      <c r="M355" s="55">
        <v>5.1009949999999997E-3</v>
      </c>
      <c r="N355" s="55">
        <v>1.114156E-2</v>
      </c>
    </row>
    <row r="356" spans="1:14" hidden="1" x14ac:dyDescent="0.35">
      <c r="A356" s="52" t="s">
        <v>206</v>
      </c>
      <c r="B356" s="52" t="s">
        <v>73</v>
      </c>
      <c r="C356" s="52" t="s">
        <v>97</v>
      </c>
      <c r="D356" s="52" t="s">
        <v>213</v>
      </c>
      <c r="E356" s="52" t="s">
        <v>584</v>
      </c>
      <c r="F356" s="52" t="s">
        <v>581</v>
      </c>
      <c r="G356" s="55" t="s">
        <v>275</v>
      </c>
      <c r="H356" s="55">
        <v>1.6217680000000001</v>
      </c>
      <c r="I356" s="55">
        <v>1.825852</v>
      </c>
      <c r="J356" s="55">
        <v>1.5733410000000001</v>
      </c>
      <c r="K356" s="55">
        <v>0.72415289999999999</v>
      </c>
      <c r="L356" s="55">
        <v>0.30027209999999999</v>
      </c>
      <c r="M356" s="55">
        <v>-0.1812029</v>
      </c>
      <c r="N356" s="55">
        <v>-0.36770730000000001</v>
      </c>
    </row>
    <row r="357" spans="1:14" hidden="1" x14ac:dyDescent="0.35">
      <c r="A357" s="52" t="s">
        <v>206</v>
      </c>
      <c r="B357" s="52" t="s">
        <v>73</v>
      </c>
      <c r="C357" s="52" t="s">
        <v>97</v>
      </c>
      <c r="D357" s="52" t="s">
        <v>213</v>
      </c>
      <c r="E357" s="52" t="s">
        <v>584</v>
      </c>
      <c r="F357" s="52" t="s">
        <v>581</v>
      </c>
      <c r="G357" s="55" t="s">
        <v>276</v>
      </c>
      <c r="H357" s="55">
        <v>-1.331698</v>
      </c>
      <c r="I357" s="55">
        <v>-2.868331</v>
      </c>
      <c r="J357" s="55">
        <v>-2.8585150000000001</v>
      </c>
      <c r="K357" s="55">
        <v>-2.639748</v>
      </c>
      <c r="L357" s="55">
        <v>-1.97401</v>
      </c>
      <c r="M357" s="55">
        <v>-1.863092</v>
      </c>
      <c r="N357" s="55">
        <v>-1.9204319999999999</v>
      </c>
    </row>
    <row r="358" spans="1:14" hidden="1" x14ac:dyDescent="0.35">
      <c r="A358" s="52" t="s">
        <v>206</v>
      </c>
      <c r="B358" s="52" t="s">
        <v>73</v>
      </c>
      <c r="C358" s="52" t="s">
        <v>97</v>
      </c>
      <c r="D358" s="52" t="s">
        <v>213</v>
      </c>
      <c r="E358" s="52" t="s">
        <v>584</v>
      </c>
      <c r="F358" s="52" t="s">
        <v>581</v>
      </c>
      <c r="G358" s="55" t="s">
        <v>277</v>
      </c>
      <c r="H358" s="55">
        <v>2.5144850000000001</v>
      </c>
      <c r="I358" s="55">
        <v>1.7124600000000001</v>
      </c>
      <c r="J358" s="55">
        <v>1.8097909999999999</v>
      </c>
      <c r="K358" s="55">
        <v>1.9943789999999999</v>
      </c>
      <c r="L358" s="55">
        <v>1.6611180000000001</v>
      </c>
      <c r="M358" s="55">
        <v>1.850597</v>
      </c>
      <c r="N358" s="55">
        <v>1.927775</v>
      </c>
    </row>
    <row r="359" spans="1:14" hidden="1" x14ac:dyDescent="0.35">
      <c r="A359" s="52" t="s">
        <v>206</v>
      </c>
      <c r="B359" s="52" t="s">
        <v>73</v>
      </c>
      <c r="C359" s="52" t="s">
        <v>97</v>
      </c>
      <c r="D359" s="52" t="s">
        <v>213</v>
      </c>
      <c r="E359" s="52" t="s">
        <v>584</v>
      </c>
      <c r="F359" s="52" t="s">
        <v>581</v>
      </c>
      <c r="G359" s="55" t="s">
        <v>278</v>
      </c>
      <c r="H359" s="55">
        <v>4.4692799999999997E-4</v>
      </c>
      <c r="I359" s="55">
        <v>2.9196000000000002E-4</v>
      </c>
      <c r="J359" s="55">
        <v>3.8628009999999999E-3</v>
      </c>
      <c r="K359" s="55">
        <v>2.9618400000000001E-4</v>
      </c>
      <c r="L359" s="55">
        <v>2.6572800000000001E-4</v>
      </c>
      <c r="M359" s="55">
        <v>5.4588E-4</v>
      </c>
      <c r="N359" s="55">
        <v>5.4587989999999996E-4</v>
      </c>
    </row>
    <row r="360" spans="1:14" hidden="1" x14ac:dyDescent="0.35">
      <c r="A360" s="52" t="s">
        <v>206</v>
      </c>
      <c r="B360" s="52" t="s">
        <v>73</v>
      </c>
      <c r="C360" s="52" t="s">
        <v>97</v>
      </c>
      <c r="D360" s="52" t="s">
        <v>213</v>
      </c>
      <c r="E360" s="52" t="s">
        <v>584</v>
      </c>
      <c r="F360" s="52" t="s">
        <v>581</v>
      </c>
      <c r="G360" s="55" t="s">
        <v>279</v>
      </c>
      <c r="H360" s="55">
        <v>1.5828089999999999</v>
      </c>
      <c r="I360" s="55">
        <v>1.5451170000000001</v>
      </c>
      <c r="J360" s="55">
        <v>1.5021819999999999</v>
      </c>
      <c r="K360" s="55">
        <v>1.7323249999999999</v>
      </c>
      <c r="L360" s="55">
        <v>1.752793</v>
      </c>
      <c r="M360" s="55">
        <v>1.755328</v>
      </c>
      <c r="N360" s="55">
        <v>1.7619009999999999</v>
      </c>
    </row>
    <row r="361" spans="1:14" hidden="1" x14ac:dyDescent="0.35">
      <c r="A361" s="52" t="s">
        <v>206</v>
      </c>
      <c r="B361" s="52" t="s">
        <v>73</v>
      </c>
      <c r="C361" s="52" t="s">
        <v>97</v>
      </c>
      <c r="D361" s="52" t="s">
        <v>213</v>
      </c>
      <c r="E361" s="52" t="s">
        <v>584</v>
      </c>
      <c r="F361" s="52" t="s">
        <v>26</v>
      </c>
      <c r="G361" s="55" t="s">
        <v>275</v>
      </c>
      <c r="H361" s="55">
        <v>6.1272490000000004E-3</v>
      </c>
      <c r="I361" s="55">
        <v>3.715922E-3</v>
      </c>
      <c r="J361" s="55">
        <v>3.3534390000000002E-3</v>
      </c>
      <c r="K361" s="55">
        <v>2.2774150000000001E-3</v>
      </c>
      <c r="L361" s="55">
        <v>1.9282419999999999E-3</v>
      </c>
      <c r="M361" s="55">
        <v>1.5009050000000001E-3</v>
      </c>
      <c r="N361" s="55">
        <v>1.1670739999999999E-3</v>
      </c>
    </row>
    <row r="362" spans="1:14" hidden="1" x14ac:dyDescent="0.35">
      <c r="A362" s="52" t="s">
        <v>206</v>
      </c>
      <c r="B362" s="52" t="s">
        <v>73</v>
      </c>
      <c r="C362" s="52" t="s">
        <v>97</v>
      </c>
      <c r="D362" s="52" t="s">
        <v>213</v>
      </c>
      <c r="E362" s="52" t="s">
        <v>584</v>
      </c>
      <c r="F362" s="52" t="s">
        <v>26</v>
      </c>
      <c r="G362" s="55" t="s">
        <v>276</v>
      </c>
      <c r="H362" s="55">
        <v>2.193022E-2</v>
      </c>
      <c r="I362" s="55">
        <v>1.3311150000000001E-2</v>
      </c>
      <c r="J362" s="55">
        <v>1.2001319999999999E-2</v>
      </c>
      <c r="K362" s="55">
        <v>8.1548839999999994E-3</v>
      </c>
      <c r="L362" s="55">
        <v>6.9040250000000003E-3</v>
      </c>
      <c r="M362" s="55">
        <v>5.3728819999999998E-3</v>
      </c>
      <c r="N362" s="55">
        <v>4.1766800000000003E-3</v>
      </c>
    </row>
    <row r="363" spans="1:14" hidden="1" x14ac:dyDescent="0.35">
      <c r="A363" s="52" t="s">
        <v>206</v>
      </c>
      <c r="B363" s="52" t="s">
        <v>73</v>
      </c>
      <c r="C363" s="52" t="s">
        <v>97</v>
      </c>
      <c r="D363" s="52" t="s">
        <v>213</v>
      </c>
      <c r="E363" s="52" t="s">
        <v>584</v>
      </c>
      <c r="F363" s="52" t="s">
        <v>26</v>
      </c>
      <c r="G363" s="55" t="s">
        <v>279</v>
      </c>
      <c r="H363" s="55">
        <v>1.3173499999999999E-2</v>
      </c>
      <c r="I363" s="55">
        <v>1.015949E-2</v>
      </c>
      <c r="J363" s="55">
        <v>6.8966399999999999E-3</v>
      </c>
      <c r="K363" s="55">
        <v>5.6217359999999996E-3</v>
      </c>
      <c r="L363" s="55">
        <v>4.4708880000000001E-3</v>
      </c>
      <c r="M363" s="55">
        <v>3.4190399999999999E-3</v>
      </c>
      <c r="N363" s="55">
        <v>2.6150399999999999E-3</v>
      </c>
    </row>
    <row r="364" spans="1:14" hidden="1" x14ac:dyDescent="0.35">
      <c r="A364" s="52" t="s">
        <v>206</v>
      </c>
      <c r="B364" s="52" t="s">
        <v>73</v>
      </c>
      <c r="C364" s="52" t="s">
        <v>184</v>
      </c>
      <c r="D364" s="52" t="s">
        <v>356</v>
      </c>
      <c r="E364" s="52" t="s">
        <v>584</v>
      </c>
      <c r="F364" s="52" t="s">
        <v>581</v>
      </c>
      <c r="G364" s="55" t="s">
        <v>275</v>
      </c>
      <c r="H364" s="55">
        <v>-1.39928E-2</v>
      </c>
      <c r="I364" s="55"/>
      <c r="J364" s="55"/>
      <c r="K364" s="55"/>
      <c r="L364" s="55">
        <v>0</v>
      </c>
      <c r="M364" s="55"/>
      <c r="N364" s="55">
        <v>0</v>
      </c>
    </row>
    <row r="365" spans="1:14" hidden="1" x14ac:dyDescent="0.35">
      <c r="A365" s="52" t="s">
        <v>206</v>
      </c>
      <c r="B365" s="52" t="s">
        <v>73</v>
      </c>
      <c r="C365" s="52" t="s">
        <v>184</v>
      </c>
      <c r="D365" s="52" t="s">
        <v>356</v>
      </c>
      <c r="E365" s="52" t="s">
        <v>584</v>
      </c>
      <c r="F365" s="52" t="s">
        <v>581</v>
      </c>
      <c r="G365" s="55" t="s">
        <v>276</v>
      </c>
      <c r="H365" s="55">
        <v>-0.13950319999999999</v>
      </c>
      <c r="I365" s="55"/>
      <c r="J365" s="55"/>
      <c r="K365" s="55"/>
      <c r="L365" s="55">
        <v>-6.217872E-2</v>
      </c>
      <c r="M365" s="55"/>
      <c r="N365" s="55">
        <v>-0.40424399999999999</v>
      </c>
    </row>
    <row r="366" spans="1:14" hidden="1" x14ac:dyDescent="0.35">
      <c r="A366" s="52" t="s">
        <v>206</v>
      </c>
      <c r="B366" s="52" t="s">
        <v>73</v>
      </c>
      <c r="C366" s="52" t="s">
        <v>184</v>
      </c>
      <c r="D366" s="52" t="s">
        <v>356</v>
      </c>
      <c r="E366" s="52" t="s">
        <v>584</v>
      </c>
      <c r="F366" s="52" t="s">
        <v>581</v>
      </c>
      <c r="G366" s="55" t="s">
        <v>277</v>
      </c>
      <c r="H366" s="55"/>
      <c r="I366" s="55"/>
      <c r="J366" s="55"/>
      <c r="K366" s="55">
        <v>0</v>
      </c>
      <c r="L366" s="55"/>
      <c r="M366" s="55">
        <v>3.4799999999999998E-2</v>
      </c>
      <c r="N366" s="55">
        <v>0.34799999999999998</v>
      </c>
    </row>
    <row r="367" spans="1:14" hidden="1" x14ac:dyDescent="0.35">
      <c r="A367" s="52" t="s">
        <v>206</v>
      </c>
      <c r="B367" s="52" t="s">
        <v>73</v>
      </c>
      <c r="C367" s="52" t="s">
        <v>184</v>
      </c>
      <c r="D367" s="52" t="s">
        <v>356</v>
      </c>
      <c r="E367" s="52" t="s">
        <v>584</v>
      </c>
      <c r="F367" s="52" t="s">
        <v>581</v>
      </c>
      <c r="G367" s="55" t="s">
        <v>278</v>
      </c>
      <c r="H367" s="55">
        <v>0.15349599999999999</v>
      </c>
      <c r="I367" s="55">
        <v>10.56359</v>
      </c>
      <c r="J367" s="55">
        <v>0.47553499999999999</v>
      </c>
      <c r="K367" s="55">
        <v>3.0516479999999999E-2</v>
      </c>
      <c r="L367" s="55"/>
      <c r="M367" s="55"/>
      <c r="N367" s="55"/>
    </row>
    <row r="368" spans="1:14" hidden="1" x14ac:dyDescent="0.35">
      <c r="A368" s="52" t="s">
        <v>206</v>
      </c>
      <c r="B368" s="52" t="s">
        <v>73</v>
      </c>
      <c r="C368" s="52" t="s">
        <v>184</v>
      </c>
      <c r="D368" s="52" t="s">
        <v>356</v>
      </c>
      <c r="E368" s="52" t="s">
        <v>584</v>
      </c>
      <c r="F368" s="52" t="s">
        <v>581</v>
      </c>
      <c r="G368" s="55" t="s">
        <v>279</v>
      </c>
      <c r="H368" s="55"/>
      <c r="I368" s="55"/>
      <c r="J368" s="55"/>
      <c r="K368" s="55"/>
      <c r="L368" s="55"/>
      <c r="M368" s="55"/>
      <c r="N368" s="55">
        <v>0</v>
      </c>
    </row>
    <row r="369" spans="1:14" hidden="1" x14ac:dyDescent="0.35">
      <c r="A369" s="52" t="s">
        <v>206</v>
      </c>
      <c r="B369" s="52" t="s">
        <v>73</v>
      </c>
      <c r="C369" s="52" t="s">
        <v>184</v>
      </c>
      <c r="D369" s="52" t="s">
        <v>356</v>
      </c>
      <c r="E369" s="52" t="s">
        <v>584</v>
      </c>
      <c r="F369" s="52" t="s">
        <v>26</v>
      </c>
      <c r="G369" s="55" t="s">
        <v>275</v>
      </c>
      <c r="H369" s="55">
        <v>0</v>
      </c>
      <c r="I369" s="55"/>
      <c r="J369" s="55"/>
      <c r="K369" s="55"/>
      <c r="L369" s="55">
        <v>0</v>
      </c>
      <c r="M369" s="55"/>
      <c r="N369" s="55"/>
    </row>
    <row r="370" spans="1:14" hidden="1" x14ac:dyDescent="0.35">
      <c r="A370" s="52" t="s">
        <v>206</v>
      </c>
      <c r="B370" s="52" t="s">
        <v>73</v>
      </c>
      <c r="C370" s="52" t="s">
        <v>184</v>
      </c>
      <c r="D370" s="52" t="s">
        <v>356</v>
      </c>
      <c r="E370" s="52" t="s">
        <v>584</v>
      </c>
      <c r="F370" s="52" t="s">
        <v>26</v>
      </c>
      <c r="G370" s="55" t="s">
        <v>276</v>
      </c>
      <c r="H370" s="55"/>
      <c r="I370" s="55"/>
      <c r="J370" s="55"/>
      <c r="K370" s="55"/>
      <c r="L370" s="55">
        <v>-0.14508370000000001</v>
      </c>
      <c r="M370" s="55"/>
      <c r="N370" s="55"/>
    </row>
    <row r="371" spans="1:14" hidden="1" x14ac:dyDescent="0.35">
      <c r="A371" s="52" t="s">
        <v>206</v>
      </c>
      <c r="B371" s="52" t="s">
        <v>73</v>
      </c>
      <c r="C371" s="52" t="s">
        <v>184</v>
      </c>
      <c r="D371" s="52" t="s">
        <v>356</v>
      </c>
      <c r="E371" s="52" t="s">
        <v>584</v>
      </c>
      <c r="F371" s="52" t="s">
        <v>26</v>
      </c>
      <c r="G371" s="55" t="s">
        <v>277</v>
      </c>
      <c r="H371" s="55"/>
      <c r="I371" s="55"/>
      <c r="J371" s="55"/>
      <c r="K371" s="55">
        <v>0</v>
      </c>
      <c r="L371" s="55"/>
      <c r="M371" s="55">
        <v>8.1199999999999994E-2</v>
      </c>
      <c r="N371" s="55">
        <v>0.81200000000000006</v>
      </c>
    </row>
    <row r="372" spans="1:14" hidden="1" x14ac:dyDescent="0.35">
      <c r="A372" s="52" t="s">
        <v>206</v>
      </c>
      <c r="B372" s="52" t="s">
        <v>73</v>
      </c>
      <c r="C372" s="52" t="s">
        <v>184</v>
      </c>
      <c r="D372" s="52" t="s">
        <v>356</v>
      </c>
      <c r="E372" s="52" t="s">
        <v>584</v>
      </c>
      <c r="F372" s="52" t="s">
        <v>26</v>
      </c>
      <c r="G372" s="55" t="s">
        <v>278</v>
      </c>
      <c r="H372" s="55">
        <v>0</v>
      </c>
      <c r="I372" s="55">
        <v>24.64838</v>
      </c>
      <c r="J372" s="55">
        <v>1.1095820000000001</v>
      </c>
      <c r="K372" s="55">
        <v>7.1205119999999997E-2</v>
      </c>
      <c r="L372" s="55"/>
      <c r="M372" s="55"/>
      <c r="N372" s="55"/>
    </row>
    <row r="373" spans="1:14" hidden="1" x14ac:dyDescent="0.35">
      <c r="A373" s="52" t="s">
        <v>206</v>
      </c>
      <c r="B373" s="52" t="s">
        <v>73</v>
      </c>
      <c r="C373" s="52" t="s">
        <v>184</v>
      </c>
      <c r="D373" s="52" t="s">
        <v>356</v>
      </c>
      <c r="E373" s="52" t="s">
        <v>584</v>
      </c>
      <c r="F373" s="52" t="s">
        <v>26</v>
      </c>
      <c r="G373" s="55" t="s">
        <v>279</v>
      </c>
      <c r="H373" s="55"/>
      <c r="I373" s="55"/>
      <c r="J373" s="55"/>
      <c r="K373" s="55"/>
      <c r="L373" s="55"/>
      <c r="M373" s="55"/>
      <c r="N373" s="55">
        <v>0</v>
      </c>
    </row>
    <row r="374" spans="1:14" hidden="1" x14ac:dyDescent="0.35">
      <c r="A374" s="52" t="s">
        <v>206</v>
      </c>
      <c r="B374" s="52" t="s">
        <v>73</v>
      </c>
      <c r="C374" s="52" t="s">
        <v>184</v>
      </c>
      <c r="D374" s="52" t="s">
        <v>185</v>
      </c>
      <c r="E374" s="52" t="s">
        <v>584</v>
      </c>
      <c r="F374" s="52" t="s">
        <v>581</v>
      </c>
      <c r="G374" s="55" t="s">
        <v>275</v>
      </c>
      <c r="H374" s="55">
        <v>-2.1686400000000002E-2</v>
      </c>
      <c r="I374" s="55"/>
      <c r="J374" s="55"/>
      <c r="K374" s="55"/>
      <c r="L374" s="55">
        <v>0</v>
      </c>
      <c r="M374" s="55"/>
      <c r="N374" s="55"/>
    </row>
    <row r="375" spans="1:14" hidden="1" x14ac:dyDescent="0.35">
      <c r="A375" s="52" t="s">
        <v>206</v>
      </c>
      <c r="B375" s="52" t="s">
        <v>73</v>
      </c>
      <c r="C375" s="52" t="s">
        <v>184</v>
      </c>
      <c r="D375" s="52" t="s">
        <v>185</v>
      </c>
      <c r="E375" s="52" t="s">
        <v>584</v>
      </c>
      <c r="F375" s="52" t="s">
        <v>581</v>
      </c>
      <c r="G375" s="55" t="s">
        <v>276</v>
      </c>
      <c r="H375" s="55">
        <v>-9.9168599999999996E-2</v>
      </c>
      <c r="I375" s="55"/>
      <c r="J375" s="55"/>
      <c r="K375" s="55"/>
      <c r="L375" s="55"/>
      <c r="M375" s="55"/>
      <c r="N375" s="55"/>
    </row>
    <row r="376" spans="1:14" hidden="1" x14ac:dyDescent="0.35">
      <c r="A376" s="52" t="s">
        <v>206</v>
      </c>
      <c r="B376" s="52" t="s">
        <v>73</v>
      </c>
      <c r="C376" s="52" t="s">
        <v>184</v>
      </c>
      <c r="D376" s="52" t="s">
        <v>185</v>
      </c>
      <c r="E376" s="52" t="s">
        <v>584</v>
      </c>
      <c r="F376" s="52" t="s">
        <v>581</v>
      </c>
      <c r="G376" s="55" t="s">
        <v>277</v>
      </c>
      <c r="H376" s="55"/>
      <c r="I376" s="55"/>
      <c r="J376" s="55"/>
      <c r="K376" s="55"/>
      <c r="L376" s="55">
        <v>0</v>
      </c>
      <c r="M376" s="55"/>
      <c r="N376" s="55">
        <v>0</v>
      </c>
    </row>
    <row r="377" spans="1:14" hidden="1" x14ac:dyDescent="0.35">
      <c r="A377" s="52" t="s">
        <v>206</v>
      </c>
      <c r="B377" s="52" t="s">
        <v>73</v>
      </c>
      <c r="C377" s="52" t="s">
        <v>184</v>
      </c>
      <c r="D377" s="52" t="s">
        <v>185</v>
      </c>
      <c r="E377" s="52" t="s">
        <v>584</v>
      </c>
      <c r="F377" s="52" t="s">
        <v>581</v>
      </c>
      <c r="G377" s="55" t="s">
        <v>278</v>
      </c>
      <c r="H377" s="55">
        <v>0.120855</v>
      </c>
      <c r="I377" s="55"/>
      <c r="J377" s="55">
        <v>0</v>
      </c>
      <c r="K377" s="55"/>
      <c r="L377" s="55">
        <v>0</v>
      </c>
      <c r="M377" s="55"/>
      <c r="N377" s="55"/>
    </row>
    <row r="378" spans="1:14" hidden="1" x14ac:dyDescent="0.35">
      <c r="A378" s="52" t="s">
        <v>206</v>
      </c>
      <c r="B378" s="52" t="s">
        <v>73</v>
      </c>
      <c r="C378" s="52" t="s">
        <v>184</v>
      </c>
      <c r="D378" s="52" t="s">
        <v>185</v>
      </c>
      <c r="E378" s="52" t="s">
        <v>584</v>
      </c>
      <c r="F378" s="52" t="s">
        <v>26</v>
      </c>
      <c r="G378" s="55" t="s">
        <v>275</v>
      </c>
      <c r="H378" s="55">
        <v>0</v>
      </c>
      <c r="I378" s="55">
        <v>-1.0167600000000001E-2</v>
      </c>
      <c r="J378" s="55">
        <v>0</v>
      </c>
      <c r="K378" s="55">
        <v>0</v>
      </c>
      <c r="L378" s="55">
        <v>0</v>
      </c>
      <c r="M378" s="55">
        <v>0</v>
      </c>
      <c r="N378" s="55">
        <v>0</v>
      </c>
    </row>
    <row r="379" spans="1:14" hidden="1" x14ac:dyDescent="0.35">
      <c r="A379" s="52" t="s">
        <v>206</v>
      </c>
      <c r="B379" s="52" t="s">
        <v>73</v>
      </c>
      <c r="C379" s="52" t="s">
        <v>184</v>
      </c>
      <c r="D379" s="52" t="s">
        <v>185</v>
      </c>
      <c r="E379" s="52" t="s">
        <v>584</v>
      </c>
      <c r="F379" s="52" t="s">
        <v>26</v>
      </c>
      <c r="G379" s="55" t="s">
        <v>276</v>
      </c>
      <c r="H379" s="55"/>
      <c r="I379" s="55">
        <v>-6.8782200000000002E-2</v>
      </c>
      <c r="J379" s="55">
        <v>-9.48402E-2</v>
      </c>
      <c r="K379" s="55">
        <v>-4.946523</v>
      </c>
      <c r="L379" s="55">
        <v>-7.1853589999999995E-2</v>
      </c>
      <c r="M379" s="55">
        <v>-0.16501199999999999</v>
      </c>
      <c r="N379" s="55">
        <v>-0.16501199999999999</v>
      </c>
    </row>
    <row r="380" spans="1:14" hidden="1" x14ac:dyDescent="0.35">
      <c r="A380" s="52" t="s">
        <v>206</v>
      </c>
      <c r="B380" s="52" t="s">
        <v>73</v>
      </c>
      <c r="C380" s="52" t="s">
        <v>184</v>
      </c>
      <c r="D380" s="52" t="s">
        <v>185</v>
      </c>
      <c r="E380" s="52" t="s">
        <v>584</v>
      </c>
      <c r="F380" s="52" t="s">
        <v>26</v>
      </c>
      <c r="G380" s="55" t="s">
        <v>277</v>
      </c>
      <c r="H380" s="55"/>
      <c r="I380" s="55"/>
      <c r="J380" s="55"/>
      <c r="K380" s="55"/>
      <c r="L380" s="55">
        <v>0</v>
      </c>
      <c r="M380" s="55">
        <v>1.7399999999999999E-2</v>
      </c>
      <c r="N380" s="55">
        <v>1.7399999999999999E-2</v>
      </c>
    </row>
    <row r="381" spans="1:14" hidden="1" x14ac:dyDescent="0.35">
      <c r="A381" s="52" t="s">
        <v>206</v>
      </c>
      <c r="B381" s="52" t="s">
        <v>73</v>
      </c>
      <c r="C381" s="52" t="s">
        <v>184</v>
      </c>
      <c r="D381" s="52" t="s">
        <v>185</v>
      </c>
      <c r="E381" s="52" t="s">
        <v>584</v>
      </c>
      <c r="F381" s="52" t="s">
        <v>26</v>
      </c>
      <c r="G381" s="55" t="s">
        <v>278</v>
      </c>
      <c r="H381" s="55"/>
      <c r="I381" s="55">
        <v>7.8949800000000001E-2</v>
      </c>
      <c r="J381" s="55">
        <v>9.48402E-2</v>
      </c>
      <c r="K381" s="55">
        <v>4.9465219999999999</v>
      </c>
      <c r="L381" s="55">
        <v>7.1854199999999993E-2</v>
      </c>
      <c r="M381" s="55">
        <v>0.14761199999999999</v>
      </c>
      <c r="N381" s="55">
        <v>0.14761199999999999</v>
      </c>
    </row>
    <row r="382" spans="1:14" hidden="1" x14ac:dyDescent="0.35">
      <c r="A382" s="52" t="s">
        <v>206</v>
      </c>
      <c r="B382" s="52" t="s">
        <v>73</v>
      </c>
      <c r="C382" s="52" t="s">
        <v>184</v>
      </c>
      <c r="D382" s="52" t="s">
        <v>378</v>
      </c>
      <c r="E382" s="52" t="s">
        <v>584</v>
      </c>
      <c r="F382" s="52" t="s">
        <v>581</v>
      </c>
      <c r="G382" s="55" t="s">
        <v>275</v>
      </c>
      <c r="H382" s="55">
        <v>-1.1698800000000001E-2</v>
      </c>
      <c r="I382" s="55"/>
      <c r="J382" s="55"/>
      <c r="K382" s="55"/>
      <c r="L382" s="55">
        <v>0</v>
      </c>
      <c r="M382" s="55"/>
      <c r="N382" s="55">
        <v>0</v>
      </c>
    </row>
    <row r="383" spans="1:14" hidden="1" x14ac:dyDescent="0.35">
      <c r="A383" s="52" t="s">
        <v>206</v>
      </c>
      <c r="B383" s="52" t="s">
        <v>73</v>
      </c>
      <c r="C383" s="52" t="s">
        <v>184</v>
      </c>
      <c r="D383" s="52" t="s">
        <v>378</v>
      </c>
      <c r="E383" s="52" t="s">
        <v>584</v>
      </c>
      <c r="F383" s="52" t="s">
        <v>581</v>
      </c>
      <c r="G383" s="55" t="s">
        <v>276</v>
      </c>
      <c r="H383" s="55">
        <v>-7.30624E-2</v>
      </c>
      <c r="I383" s="55"/>
      <c r="J383" s="55"/>
      <c r="K383" s="55"/>
      <c r="L383" s="55"/>
      <c r="M383" s="55"/>
      <c r="N383" s="55">
        <v>0</v>
      </c>
    </row>
    <row r="384" spans="1:14" hidden="1" x14ac:dyDescent="0.35">
      <c r="A384" s="52" t="s">
        <v>206</v>
      </c>
      <c r="B384" s="52" t="s">
        <v>73</v>
      </c>
      <c r="C384" s="52" t="s">
        <v>184</v>
      </c>
      <c r="D384" s="52" t="s">
        <v>378</v>
      </c>
      <c r="E384" s="52" t="s">
        <v>584</v>
      </c>
      <c r="F384" s="52" t="s">
        <v>581</v>
      </c>
      <c r="G384" s="55" t="s">
        <v>277</v>
      </c>
      <c r="H384" s="55"/>
      <c r="I384" s="55"/>
      <c r="J384" s="55"/>
      <c r="K384" s="55">
        <v>0</v>
      </c>
      <c r="L384" s="55"/>
      <c r="M384" s="55">
        <v>0</v>
      </c>
      <c r="N384" s="55">
        <v>0</v>
      </c>
    </row>
    <row r="385" spans="1:14" hidden="1" x14ac:dyDescent="0.35">
      <c r="A385" s="52" t="s">
        <v>206</v>
      </c>
      <c r="B385" s="52" t="s">
        <v>73</v>
      </c>
      <c r="C385" s="52" t="s">
        <v>184</v>
      </c>
      <c r="D385" s="52" t="s">
        <v>378</v>
      </c>
      <c r="E385" s="52" t="s">
        <v>584</v>
      </c>
      <c r="F385" s="52" t="s">
        <v>581</v>
      </c>
      <c r="G385" s="55" t="s">
        <v>278</v>
      </c>
      <c r="H385" s="55">
        <v>8.4761989999999995E-2</v>
      </c>
      <c r="I385" s="55">
        <v>0</v>
      </c>
      <c r="J385" s="55"/>
      <c r="K385" s="55">
        <v>0</v>
      </c>
      <c r="L385" s="55"/>
      <c r="M385" s="55"/>
      <c r="N385" s="55"/>
    </row>
    <row r="386" spans="1:14" hidden="1" x14ac:dyDescent="0.35">
      <c r="A386" s="52" t="s">
        <v>206</v>
      </c>
      <c r="B386" s="52" t="s">
        <v>73</v>
      </c>
      <c r="C386" s="52" t="s">
        <v>184</v>
      </c>
      <c r="D386" s="52" t="s">
        <v>378</v>
      </c>
      <c r="E386" s="52" t="s">
        <v>584</v>
      </c>
      <c r="F386" s="52" t="s">
        <v>581</v>
      </c>
      <c r="G386" s="55" t="s">
        <v>279</v>
      </c>
      <c r="H386" s="55"/>
      <c r="I386" s="55"/>
      <c r="J386" s="55"/>
      <c r="K386" s="55"/>
      <c r="L386" s="55"/>
      <c r="M386" s="55"/>
      <c r="N386" s="55">
        <v>0</v>
      </c>
    </row>
    <row r="387" spans="1:14" hidden="1" x14ac:dyDescent="0.35">
      <c r="A387" s="52" t="s">
        <v>206</v>
      </c>
      <c r="B387" s="52" t="s">
        <v>73</v>
      </c>
      <c r="C387" s="52" t="s">
        <v>184</v>
      </c>
      <c r="D387" s="52" t="s">
        <v>378</v>
      </c>
      <c r="E387" s="52" t="s">
        <v>584</v>
      </c>
      <c r="F387" s="52" t="s">
        <v>26</v>
      </c>
      <c r="G387" s="55" t="s">
        <v>275</v>
      </c>
      <c r="H387" s="55">
        <v>0</v>
      </c>
      <c r="I387" s="55">
        <v>-3.6203989999999998E-3</v>
      </c>
      <c r="J387" s="55">
        <v>0</v>
      </c>
      <c r="K387" s="55">
        <v>0</v>
      </c>
      <c r="L387" s="55">
        <v>0</v>
      </c>
      <c r="M387" s="55">
        <v>0</v>
      </c>
      <c r="N387" s="55">
        <v>0</v>
      </c>
    </row>
    <row r="388" spans="1:14" hidden="1" x14ac:dyDescent="0.35">
      <c r="A388" s="52" t="s">
        <v>206</v>
      </c>
      <c r="B388" s="52" t="s">
        <v>73</v>
      </c>
      <c r="C388" s="52" t="s">
        <v>184</v>
      </c>
      <c r="D388" s="52" t="s">
        <v>378</v>
      </c>
      <c r="E388" s="52" t="s">
        <v>584</v>
      </c>
      <c r="F388" s="52" t="s">
        <v>26</v>
      </c>
      <c r="G388" s="55" t="s">
        <v>276</v>
      </c>
      <c r="H388" s="55"/>
      <c r="I388" s="55">
        <v>-5.17508E-2</v>
      </c>
      <c r="J388" s="55">
        <v>-20.463280000000001</v>
      </c>
      <c r="K388" s="55">
        <v>-5.617171E-2</v>
      </c>
      <c r="L388" s="55">
        <v>-0.1083948</v>
      </c>
      <c r="M388" s="55">
        <v>-0.1615277</v>
      </c>
      <c r="N388" s="55">
        <v>-0.68352760000000001</v>
      </c>
    </row>
    <row r="389" spans="1:14" hidden="1" x14ac:dyDescent="0.35">
      <c r="A389" s="52" t="s">
        <v>206</v>
      </c>
      <c r="B389" s="52" t="s">
        <v>73</v>
      </c>
      <c r="C389" s="52" t="s">
        <v>184</v>
      </c>
      <c r="D389" s="52" t="s">
        <v>378</v>
      </c>
      <c r="E389" s="52" t="s">
        <v>584</v>
      </c>
      <c r="F389" s="52" t="s">
        <v>26</v>
      </c>
      <c r="G389" s="55" t="s">
        <v>277</v>
      </c>
      <c r="H389" s="55"/>
      <c r="I389" s="55"/>
      <c r="J389" s="55"/>
      <c r="K389" s="55">
        <v>0</v>
      </c>
      <c r="L389" s="55">
        <v>5.8000009999999998E-2</v>
      </c>
      <c r="M389" s="55">
        <v>5.8000000000000003E-2</v>
      </c>
      <c r="N389" s="55">
        <v>0.57999999999999996</v>
      </c>
    </row>
    <row r="390" spans="1:14" hidden="1" x14ac:dyDescent="0.35">
      <c r="A390" s="52" t="s">
        <v>206</v>
      </c>
      <c r="B390" s="52" t="s">
        <v>73</v>
      </c>
      <c r="C390" s="52" t="s">
        <v>184</v>
      </c>
      <c r="D390" s="52" t="s">
        <v>378</v>
      </c>
      <c r="E390" s="52" t="s">
        <v>584</v>
      </c>
      <c r="F390" s="52" t="s">
        <v>26</v>
      </c>
      <c r="G390" s="55" t="s">
        <v>278</v>
      </c>
      <c r="H390" s="55"/>
      <c r="I390" s="55">
        <v>5.5371200000000002E-2</v>
      </c>
      <c r="J390" s="55">
        <v>20.463280000000001</v>
      </c>
      <c r="K390" s="55">
        <v>5.6171600000000002E-2</v>
      </c>
      <c r="L390" s="55">
        <v>5.0394799999999997E-2</v>
      </c>
      <c r="M390" s="55">
        <v>0.1035276</v>
      </c>
      <c r="N390" s="55">
        <v>0.1035276</v>
      </c>
    </row>
    <row r="391" spans="1:14" hidden="1" x14ac:dyDescent="0.35">
      <c r="A391" s="52" t="s">
        <v>206</v>
      </c>
      <c r="B391" s="52" t="s">
        <v>73</v>
      </c>
      <c r="C391" s="52" t="s">
        <v>184</v>
      </c>
      <c r="D391" s="52" t="s">
        <v>378</v>
      </c>
      <c r="E391" s="52" t="s">
        <v>584</v>
      </c>
      <c r="F391" s="52" t="s">
        <v>26</v>
      </c>
      <c r="G391" s="55" t="s">
        <v>279</v>
      </c>
      <c r="H391" s="55"/>
      <c r="I391" s="55"/>
      <c r="J391" s="55"/>
      <c r="K391" s="55"/>
      <c r="L391" s="55"/>
      <c r="M391" s="55"/>
      <c r="N391" s="55">
        <v>0</v>
      </c>
    </row>
    <row r="392" spans="1:14" hidden="1" x14ac:dyDescent="0.35">
      <c r="A392" s="52" t="s">
        <v>206</v>
      </c>
      <c r="B392" s="52" t="s">
        <v>73</v>
      </c>
      <c r="C392" s="52" t="s">
        <v>324</v>
      </c>
      <c r="D392" s="52" t="s">
        <v>370</v>
      </c>
      <c r="E392" s="52" t="s">
        <v>584</v>
      </c>
      <c r="F392" s="52" t="s">
        <v>581</v>
      </c>
      <c r="G392" s="55" t="s">
        <v>275</v>
      </c>
      <c r="H392" s="55">
        <v>-1.4036230000000001</v>
      </c>
      <c r="I392" s="55"/>
      <c r="J392" s="55"/>
      <c r="K392" s="55"/>
      <c r="L392" s="55">
        <v>0</v>
      </c>
      <c r="M392" s="55">
        <v>-2.7290399999999999E-3</v>
      </c>
      <c r="N392" s="55">
        <v>-2.7290399999999999E-3</v>
      </c>
    </row>
    <row r="393" spans="1:14" hidden="1" x14ac:dyDescent="0.35">
      <c r="A393" s="52" t="s">
        <v>206</v>
      </c>
      <c r="B393" s="52" t="s">
        <v>73</v>
      </c>
      <c r="C393" s="52" t="s">
        <v>324</v>
      </c>
      <c r="D393" s="52" t="s">
        <v>370</v>
      </c>
      <c r="E393" s="52" t="s">
        <v>584</v>
      </c>
      <c r="F393" s="52" t="s">
        <v>581</v>
      </c>
      <c r="G393" s="55" t="s">
        <v>276</v>
      </c>
      <c r="H393" s="55">
        <v>-6.4540579999999999</v>
      </c>
      <c r="I393" s="55"/>
      <c r="J393" s="55"/>
      <c r="K393" s="55"/>
      <c r="L393" s="55">
        <v>0</v>
      </c>
      <c r="M393" s="55">
        <v>-1.017441E-2</v>
      </c>
      <c r="N393" s="55">
        <v>-1.0174559999999999E-2</v>
      </c>
    </row>
    <row r="394" spans="1:14" hidden="1" x14ac:dyDescent="0.35">
      <c r="A394" s="52" t="s">
        <v>206</v>
      </c>
      <c r="B394" s="52" t="s">
        <v>73</v>
      </c>
      <c r="C394" s="52" t="s">
        <v>324</v>
      </c>
      <c r="D394" s="52" t="s">
        <v>370</v>
      </c>
      <c r="E394" s="52" t="s">
        <v>584</v>
      </c>
      <c r="F394" s="52" t="s">
        <v>581</v>
      </c>
      <c r="G394" s="55" t="s">
        <v>277</v>
      </c>
      <c r="H394" s="55"/>
      <c r="I394" s="55"/>
      <c r="J394" s="55">
        <v>0</v>
      </c>
      <c r="K394" s="55">
        <v>0</v>
      </c>
      <c r="L394" s="55"/>
      <c r="M394" s="55">
        <v>0</v>
      </c>
      <c r="N394" s="55"/>
    </row>
    <row r="395" spans="1:14" hidden="1" x14ac:dyDescent="0.35">
      <c r="A395" s="52" t="s">
        <v>206</v>
      </c>
      <c r="B395" s="52" t="s">
        <v>73</v>
      </c>
      <c r="C395" s="52" t="s">
        <v>324</v>
      </c>
      <c r="D395" s="52" t="s">
        <v>370</v>
      </c>
      <c r="E395" s="52" t="s">
        <v>584</v>
      </c>
      <c r="F395" s="52" t="s">
        <v>581</v>
      </c>
      <c r="G395" s="55" t="s">
        <v>278</v>
      </c>
      <c r="H395" s="55">
        <v>7.8576810000000004</v>
      </c>
      <c r="I395" s="55">
        <v>0</v>
      </c>
      <c r="J395" s="55"/>
      <c r="K395" s="55"/>
      <c r="L395" s="55"/>
      <c r="M395" s="55"/>
      <c r="N395" s="55">
        <v>0</v>
      </c>
    </row>
    <row r="396" spans="1:14" hidden="1" x14ac:dyDescent="0.35">
      <c r="A396" s="52" t="s">
        <v>206</v>
      </c>
      <c r="B396" s="52" t="s">
        <v>73</v>
      </c>
      <c r="C396" s="52" t="s">
        <v>324</v>
      </c>
      <c r="D396" s="52" t="s">
        <v>370</v>
      </c>
      <c r="E396" s="52" t="s">
        <v>584</v>
      </c>
      <c r="F396" s="52" t="s">
        <v>581</v>
      </c>
      <c r="G396" s="55" t="s">
        <v>279</v>
      </c>
      <c r="H396" s="55"/>
      <c r="I396" s="55"/>
      <c r="J396" s="55"/>
      <c r="K396" s="55"/>
      <c r="L396" s="55">
        <v>0</v>
      </c>
      <c r="M396" s="55">
        <v>1.290375E-2</v>
      </c>
      <c r="N396" s="55">
        <v>1.290375E-2</v>
      </c>
    </row>
    <row r="397" spans="1:14" hidden="1" x14ac:dyDescent="0.35">
      <c r="A397" s="52" t="s">
        <v>206</v>
      </c>
      <c r="B397" s="52" t="s">
        <v>73</v>
      </c>
      <c r="C397" s="52" t="s">
        <v>324</v>
      </c>
      <c r="D397" s="52" t="s">
        <v>370</v>
      </c>
      <c r="E397" s="52" t="s">
        <v>584</v>
      </c>
      <c r="F397" s="52" t="s">
        <v>26</v>
      </c>
      <c r="G397" s="55" t="s">
        <v>275</v>
      </c>
      <c r="H397" s="55">
        <v>0.24182680000000001</v>
      </c>
      <c r="I397" s="55">
        <v>0.5598651</v>
      </c>
      <c r="J397" s="55">
        <v>0.2218039</v>
      </c>
      <c r="K397" s="55">
        <v>0.2188851</v>
      </c>
      <c r="L397" s="55">
        <v>-2.5627980000000002E-2</v>
      </c>
      <c r="M397" s="55">
        <v>-1.79886E-3</v>
      </c>
      <c r="N397" s="55">
        <v>6.4972950000000002E-3</v>
      </c>
    </row>
    <row r="398" spans="1:14" hidden="1" x14ac:dyDescent="0.35">
      <c r="A398" s="52" t="s">
        <v>206</v>
      </c>
      <c r="B398" s="52" t="s">
        <v>73</v>
      </c>
      <c r="C398" s="52" t="s">
        <v>324</v>
      </c>
      <c r="D398" s="52" t="s">
        <v>370</v>
      </c>
      <c r="E398" s="52" t="s">
        <v>584</v>
      </c>
      <c r="F398" s="52" t="s">
        <v>26</v>
      </c>
      <c r="G398" s="55" t="s">
        <v>276</v>
      </c>
      <c r="H398" s="55">
        <v>-0.26284950000000001</v>
      </c>
      <c r="I398" s="55">
        <v>-0.60508919999999999</v>
      </c>
      <c r="J398" s="55">
        <v>-0.25790940000000001</v>
      </c>
      <c r="K398" s="55">
        <v>-0.25372840000000002</v>
      </c>
      <c r="L398" s="55">
        <v>-4.4282519999999999E-2</v>
      </c>
      <c r="M398" s="55">
        <v>-6.3251790000000002E-2</v>
      </c>
      <c r="N398" s="55">
        <v>-1.2669639999999999E-2</v>
      </c>
    </row>
    <row r="399" spans="1:14" hidden="1" x14ac:dyDescent="0.35">
      <c r="A399" s="52" t="s">
        <v>206</v>
      </c>
      <c r="B399" s="52" t="s">
        <v>73</v>
      </c>
      <c r="C399" s="52" t="s">
        <v>324</v>
      </c>
      <c r="D399" s="52" t="s">
        <v>370</v>
      </c>
      <c r="E399" s="52" t="s">
        <v>584</v>
      </c>
      <c r="F399" s="52" t="s">
        <v>26</v>
      </c>
      <c r="G399" s="55" t="s">
        <v>277</v>
      </c>
      <c r="H399" s="55"/>
      <c r="I399" s="55"/>
      <c r="J399" s="55">
        <v>0</v>
      </c>
      <c r="K399" s="55">
        <v>3.7499999999999999E-3</v>
      </c>
      <c r="L399" s="55">
        <v>4.1250000000000002E-2</v>
      </c>
      <c r="M399" s="55">
        <v>0</v>
      </c>
      <c r="N399" s="55">
        <v>0</v>
      </c>
    </row>
    <row r="400" spans="1:14" hidden="1" x14ac:dyDescent="0.35">
      <c r="A400" s="52" t="s">
        <v>206</v>
      </c>
      <c r="B400" s="52" t="s">
        <v>73</v>
      </c>
      <c r="C400" s="52" t="s">
        <v>324</v>
      </c>
      <c r="D400" s="52" t="s">
        <v>370</v>
      </c>
      <c r="E400" s="52" t="s">
        <v>584</v>
      </c>
      <c r="F400" s="52" t="s">
        <v>26</v>
      </c>
      <c r="G400" s="55" t="s">
        <v>278</v>
      </c>
      <c r="H400" s="55">
        <v>2.10225E-2</v>
      </c>
      <c r="I400" s="55">
        <v>4.5223949999999999E-2</v>
      </c>
      <c r="J400" s="55">
        <v>3.7829099999999997E-2</v>
      </c>
      <c r="K400" s="55">
        <v>3.1945950000000001E-2</v>
      </c>
      <c r="L400" s="55">
        <v>2.8660499999999998E-2</v>
      </c>
      <c r="M400" s="55">
        <v>5.8878E-2</v>
      </c>
      <c r="N400" s="55">
        <v>0</v>
      </c>
    </row>
    <row r="401" spans="1:14" hidden="1" x14ac:dyDescent="0.35">
      <c r="A401" s="52" t="s">
        <v>206</v>
      </c>
      <c r="B401" s="52" t="s">
        <v>73</v>
      </c>
      <c r="C401" s="52" t="s">
        <v>324</v>
      </c>
      <c r="D401" s="52" t="s">
        <v>370</v>
      </c>
      <c r="E401" s="52" t="s">
        <v>584</v>
      </c>
      <c r="F401" s="52" t="s">
        <v>26</v>
      </c>
      <c r="G401" s="55" t="s">
        <v>279</v>
      </c>
      <c r="H401" s="55"/>
      <c r="I401" s="55"/>
      <c r="J401" s="55"/>
      <c r="K401" s="55"/>
      <c r="L401" s="55">
        <v>0</v>
      </c>
      <c r="M401" s="55">
        <v>6.1725E-3</v>
      </c>
      <c r="N401" s="55">
        <v>6.1725E-3</v>
      </c>
    </row>
    <row r="402" spans="1:14" hidden="1" x14ac:dyDescent="0.35">
      <c r="A402" s="52" t="s">
        <v>206</v>
      </c>
      <c r="B402" s="52" t="s">
        <v>73</v>
      </c>
      <c r="C402" s="52" t="s">
        <v>262</v>
      </c>
      <c r="D402" s="52" t="s">
        <v>375</v>
      </c>
      <c r="E402" s="52" t="s">
        <v>584</v>
      </c>
      <c r="F402" s="52" t="s">
        <v>581</v>
      </c>
      <c r="G402" s="55" t="s">
        <v>275</v>
      </c>
      <c r="H402" s="55">
        <v>-1.23164E-2</v>
      </c>
      <c r="I402" s="55">
        <v>-3.8111999999999998E-3</v>
      </c>
      <c r="J402" s="55">
        <v>0</v>
      </c>
      <c r="K402" s="55">
        <v>0</v>
      </c>
      <c r="L402" s="55">
        <v>0</v>
      </c>
      <c r="M402" s="55">
        <v>0</v>
      </c>
      <c r="N402" s="55">
        <v>0</v>
      </c>
    </row>
    <row r="403" spans="1:14" hidden="1" x14ac:dyDescent="0.35">
      <c r="A403" s="52" t="s">
        <v>206</v>
      </c>
      <c r="B403" s="52" t="s">
        <v>73</v>
      </c>
      <c r="C403" s="52" t="s">
        <v>262</v>
      </c>
      <c r="D403" s="52" t="s">
        <v>375</v>
      </c>
      <c r="E403" s="52" t="s">
        <v>584</v>
      </c>
      <c r="F403" s="52" t="s">
        <v>581</v>
      </c>
      <c r="G403" s="55" t="s">
        <v>276</v>
      </c>
      <c r="H403" s="55">
        <v>-7.6920790000000003E-2</v>
      </c>
      <c r="I403" s="55">
        <v>-5.4483200000000002E-2</v>
      </c>
      <c r="J403" s="55">
        <v>-3.6778339999999998</v>
      </c>
      <c r="K403" s="55">
        <v>-5.913761E-2</v>
      </c>
      <c r="L403" s="55">
        <v>-6.4655589999999999E-2</v>
      </c>
      <c r="M403" s="55">
        <v>-0.1205936</v>
      </c>
      <c r="N403" s="55">
        <v>-0.34099400000000002</v>
      </c>
    </row>
    <row r="404" spans="1:14" hidden="1" x14ac:dyDescent="0.35">
      <c r="A404" s="52" t="s">
        <v>206</v>
      </c>
      <c r="B404" s="52" t="s">
        <v>73</v>
      </c>
      <c r="C404" s="52" t="s">
        <v>262</v>
      </c>
      <c r="D404" s="52" t="s">
        <v>375</v>
      </c>
      <c r="E404" s="52" t="s">
        <v>584</v>
      </c>
      <c r="F404" s="52" t="s">
        <v>581</v>
      </c>
      <c r="G404" s="55" t="s">
        <v>277</v>
      </c>
      <c r="H404" s="55"/>
      <c r="I404" s="55"/>
      <c r="J404" s="55"/>
      <c r="K404" s="55">
        <v>0</v>
      </c>
      <c r="L404" s="55">
        <v>1.1599999999999999E-2</v>
      </c>
      <c r="M404" s="55">
        <v>1.1599999999999999E-2</v>
      </c>
      <c r="N404" s="55">
        <v>0.23200000000000001</v>
      </c>
    </row>
    <row r="405" spans="1:14" hidden="1" x14ac:dyDescent="0.35">
      <c r="A405" s="52" t="s">
        <v>206</v>
      </c>
      <c r="B405" s="52" t="s">
        <v>73</v>
      </c>
      <c r="C405" s="52" t="s">
        <v>262</v>
      </c>
      <c r="D405" s="52" t="s">
        <v>375</v>
      </c>
      <c r="E405" s="52" t="s">
        <v>584</v>
      </c>
      <c r="F405" s="52" t="s">
        <v>581</v>
      </c>
      <c r="G405" s="55" t="s">
        <v>278</v>
      </c>
      <c r="H405" s="55">
        <v>8.9237200000000003E-2</v>
      </c>
      <c r="I405" s="55">
        <v>5.8295199999999998E-2</v>
      </c>
      <c r="J405" s="55">
        <v>3.6778330000000001</v>
      </c>
      <c r="K405" s="55">
        <v>5.9137599999999999E-2</v>
      </c>
      <c r="L405" s="55">
        <v>5.305559E-2</v>
      </c>
      <c r="M405" s="55">
        <v>0.10899399999999999</v>
      </c>
      <c r="N405" s="55">
        <v>0.10899399999999999</v>
      </c>
    </row>
    <row r="406" spans="1:14" hidden="1" x14ac:dyDescent="0.35">
      <c r="A406" s="52" t="s">
        <v>206</v>
      </c>
      <c r="B406" s="52" t="s">
        <v>73</v>
      </c>
      <c r="C406" s="52" t="s">
        <v>262</v>
      </c>
      <c r="D406" s="52" t="s">
        <v>375</v>
      </c>
      <c r="E406" s="52" t="s">
        <v>584</v>
      </c>
      <c r="F406" s="52" t="s">
        <v>581</v>
      </c>
      <c r="G406" s="55" t="s">
        <v>279</v>
      </c>
      <c r="H406" s="55"/>
      <c r="I406" s="55"/>
      <c r="J406" s="55"/>
      <c r="K406" s="55"/>
      <c r="L406" s="55"/>
      <c r="M406" s="55"/>
      <c r="N406" s="55">
        <v>0</v>
      </c>
    </row>
    <row r="407" spans="1:14" hidden="1" x14ac:dyDescent="0.35">
      <c r="A407" s="52" t="s">
        <v>206</v>
      </c>
      <c r="B407" s="52" t="s">
        <v>73</v>
      </c>
      <c r="C407" s="52" t="s">
        <v>262</v>
      </c>
      <c r="D407" s="52" t="s">
        <v>375</v>
      </c>
      <c r="E407" s="52" t="s">
        <v>584</v>
      </c>
      <c r="F407" s="52" t="s">
        <v>26</v>
      </c>
      <c r="G407" s="55" t="s">
        <v>275</v>
      </c>
      <c r="H407" s="55"/>
      <c r="I407" s="55"/>
      <c r="J407" s="55"/>
      <c r="K407" s="55"/>
      <c r="L407" s="55"/>
      <c r="M407" s="55"/>
      <c r="N407" s="55">
        <v>0</v>
      </c>
    </row>
    <row r="408" spans="1:14" hidden="1" x14ac:dyDescent="0.35">
      <c r="A408" s="52" t="s">
        <v>206</v>
      </c>
      <c r="B408" s="52" t="s">
        <v>73</v>
      </c>
      <c r="C408" s="52" t="s">
        <v>262</v>
      </c>
      <c r="D408" s="52" t="s">
        <v>375</v>
      </c>
      <c r="E408" s="52" t="s">
        <v>584</v>
      </c>
      <c r="F408" s="52" t="s">
        <v>26</v>
      </c>
      <c r="G408" s="55" t="s">
        <v>276</v>
      </c>
      <c r="H408" s="55"/>
      <c r="I408" s="55"/>
      <c r="J408" s="55"/>
      <c r="K408" s="55"/>
      <c r="L408" s="55"/>
      <c r="M408" s="55"/>
      <c r="N408" s="55">
        <v>0</v>
      </c>
    </row>
    <row r="409" spans="1:14" hidden="1" x14ac:dyDescent="0.35">
      <c r="A409" s="52" t="s">
        <v>206</v>
      </c>
      <c r="B409" s="52" t="s">
        <v>73</v>
      </c>
      <c r="C409" s="52" t="s">
        <v>262</v>
      </c>
      <c r="D409" s="52" t="s">
        <v>375</v>
      </c>
      <c r="E409" s="52" t="s">
        <v>584</v>
      </c>
      <c r="F409" s="52" t="s">
        <v>26</v>
      </c>
      <c r="G409" s="55" t="s">
        <v>279</v>
      </c>
      <c r="H409" s="55"/>
      <c r="I409" s="55"/>
      <c r="J409" s="55"/>
      <c r="K409" s="55"/>
      <c r="L409" s="55"/>
      <c r="M409" s="55"/>
      <c r="N409" s="55">
        <v>0</v>
      </c>
    </row>
    <row r="410" spans="1:14" hidden="1" x14ac:dyDescent="0.35">
      <c r="A410" s="52" t="s">
        <v>206</v>
      </c>
      <c r="B410" s="52" t="s">
        <v>73</v>
      </c>
      <c r="C410" s="52" t="s">
        <v>318</v>
      </c>
      <c r="D410" s="52" t="s">
        <v>318</v>
      </c>
      <c r="E410" s="52" t="s">
        <v>584</v>
      </c>
      <c r="F410" s="52" t="s">
        <v>581</v>
      </c>
      <c r="G410" s="55" t="s">
        <v>275</v>
      </c>
      <c r="H410" s="55">
        <v>-1.216315</v>
      </c>
      <c r="I410" s="55">
        <v>0</v>
      </c>
      <c r="J410" s="55"/>
      <c r="K410" s="55"/>
      <c r="L410" s="55"/>
      <c r="M410" s="55"/>
      <c r="N410" s="55"/>
    </row>
    <row r="411" spans="1:14" hidden="1" x14ac:dyDescent="0.35">
      <c r="A411" s="52" t="s">
        <v>206</v>
      </c>
      <c r="B411" s="52" t="s">
        <v>73</v>
      </c>
      <c r="C411" s="52" t="s">
        <v>318</v>
      </c>
      <c r="D411" s="52" t="s">
        <v>318</v>
      </c>
      <c r="E411" s="52" t="s">
        <v>584</v>
      </c>
      <c r="F411" s="52" t="s">
        <v>581</v>
      </c>
      <c r="G411" s="55" t="s">
        <v>276</v>
      </c>
      <c r="H411" s="55">
        <v>-6.0234399999999999</v>
      </c>
      <c r="I411" s="55">
        <v>0</v>
      </c>
      <c r="J411" s="55"/>
      <c r="K411" s="55"/>
      <c r="L411" s="55"/>
      <c r="M411" s="55"/>
      <c r="N411" s="55"/>
    </row>
    <row r="412" spans="1:14" hidden="1" x14ac:dyDescent="0.35">
      <c r="A412" s="52" t="s">
        <v>206</v>
      </c>
      <c r="B412" s="52" t="s">
        <v>73</v>
      </c>
      <c r="C412" s="52" t="s">
        <v>318</v>
      </c>
      <c r="D412" s="52" t="s">
        <v>318</v>
      </c>
      <c r="E412" s="52" t="s">
        <v>584</v>
      </c>
      <c r="F412" s="52" t="s">
        <v>581</v>
      </c>
      <c r="G412" s="55" t="s">
        <v>278</v>
      </c>
      <c r="H412" s="55">
        <v>7.2397520000000002</v>
      </c>
      <c r="I412" s="55">
        <v>0</v>
      </c>
      <c r="J412" s="55"/>
      <c r="K412" s="55"/>
      <c r="L412" s="55"/>
      <c r="M412" s="55"/>
      <c r="N412" s="55"/>
    </row>
    <row r="413" spans="1:14" hidden="1" x14ac:dyDescent="0.35">
      <c r="A413" s="52" t="s">
        <v>206</v>
      </c>
      <c r="B413" s="52" t="s">
        <v>73</v>
      </c>
      <c r="C413" s="52" t="s">
        <v>318</v>
      </c>
      <c r="D413" s="52" t="s">
        <v>318</v>
      </c>
      <c r="E413" s="52" t="s">
        <v>584</v>
      </c>
      <c r="F413" s="52" t="s">
        <v>26</v>
      </c>
      <c r="G413" s="55" t="s">
        <v>275</v>
      </c>
      <c r="H413" s="55">
        <v>-0.81087500000000001</v>
      </c>
      <c r="I413" s="55">
        <v>0</v>
      </c>
      <c r="J413" s="55"/>
      <c r="K413" s="55"/>
      <c r="L413" s="55"/>
      <c r="M413" s="55"/>
      <c r="N413" s="55"/>
    </row>
    <row r="414" spans="1:14" hidden="1" x14ac:dyDescent="0.35">
      <c r="A414" s="52" t="s">
        <v>206</v>
      </c>
      <c r="B414" s="52" t="s">
        <v>73</v>
      </c>
      <c r="C414" s="52" t="s">
        <v>318</v>
      </c>
      <c r="D414" s="52" t="s">
        <v>318</v>
      </c>
      <c r="E414" s="52" t="s">
        <v>584</v>
      </c>
      <c r="F414" s="52" t="s">
        <v>26</v>
      </c>
      <c r="G414" s="55" t="s">
        <v>276</v>
      </c>
      <c r="H414" s="55">
        <v>-4.0156260000000001</v>
      </c>
      <c r="I414" s="55">
        <v>0</v>
      </c>
      <c r="J414" s="55"/>
      <c r="K414" s="55"/>
      <c r="L414" s="55"/>
      <c r="M414" s="55"/>
      <c r="N414" s="55"/>
    </row>
    <row r="415" spans="1:14" hidden="1" x14ac:dyDescent="0.35">
      <c r="A415" s="52" t="s">
        <v>206</v>
      </c>
      <c r="B415" s="52" t="s">
        <v>73</v>
      </c>
      <c r="C415" s="52" t="s">
        <v>318</v>
      </c>
      <c r="D415" s="52" t="s">
        <v>318</v>
      </c>
      <c r="E415" s="52" t="s">
        <v>584</v>
      </c>
      <c r="F415" s="52" t="s">
        <v>26</v>
      </c>
      <c r="G415" s="55" t="s">
        <v>278</v>
      </c>
      <c r="H415" s="55">
        <v>4.8265039999999999</v>
      </c>
      <c r="I415" s="55">
        <v>0</v>
      </c>
      <c r="J415" s="55"/>
      <c r="K415" s="55"/>
      <c r="L415" s="55"/>
      <c r="M415" s="55"/>
      <c r="N415" s="55"/>
    </row>
    <row r="416" spans="1:14" hidden="1" x14ac:dyDescent="0.35">
      <c r="A416" s="52" t="s">
        <v>206</v>
      </c>
      <c r="B416" s="52" t="s">
        <v>31</v>
      </c>
      <c r="C416" s="52" t="s">
        <v>30</v>
      </c>
      <c r="D416" s="52" t="s">
        <v>30</v>
      </c>
      <c r="E416" s="52" t="s">
        <v>584</v>
      </c>
      <c r="F416" s="52" t="s">
        <v>581</v>
      </c>
      <c r="G416" s="55" t="s">
        <v>275</v>
      </c>
      <c r="H416" s="55">
        <v>109.41200000000001</v>
      </c>
      <c r="I416" s="55">
        <v>52.837330000000001</v>
      </c>
      <c r="J416" s="55">
        <v>53.481960000000001</v>
      </c>
      <c r="K416" s="55">
        <v>54.071800000000003</v>
      </c>
      <c r="L416" s="55">
        <v>55.313429999999997</v>
      </c>
      <c r="M416" s="55">
        <v>56.668660000000003</v>
      </c>
      <c r="N416" s="55">
        <v>58.044170000000001</v>
      </c>
    </row>
    <row r="417" spans="1:14" hidden="1" x14ac:dyDescent="0.35">
      <c r="A417" s="52" t="s">
        <v>206</v>
      </c>
      <c r="B417" s="52" t="s">
        <v>31</v>
      </c>
      <c r="C417" s="52" t="s">
        <v>30</v>
      </c>
      <c r="D417" s="52" t="s">
        <v>30</v>
      </c>
      <c r="E417" s="52" t="s">
        <v>584</v>
      </c>
      <c r="F417" s="52" t="s">
        <v>581</v>
      </c>
      <c r="G417" s="55" t="s">
        <v>276</v>
      </c>
      <c r="H417" s="55">
        <v>328.79360000000003</v>
      </c>
      <c r="I417" s="55">
        <v>158.39869999999999</v>
      </c>
      <c r="J417" s="55">
        <v>160.16579999999999</v>
      </c>
      <c r="K417" s="55">
        <v>162.33009999999999</v>
      </c>
      <c r="L417" s="55">
        <v>166.43870000000001</v>
      </c>
      <c r="M417" s="55">
        <v>170.61840000000001</v>
      </c>
      <c r="N417" s="55">
        <v>174.85239999999999</v>
      </c>
    </row>
    <row r="418" spans="1:14" hidden="1" x14ac:dyDescent="0.35">
      <c r="A418" s="52" t="s">
        <v>206</v>
      </c>
      <c r="B418" s="52" t="s">
        <v>31</v>
      </c>
      <c r="C418" s="52" t="s">
        <v>30</v>
      </c>
      <c r="D418" s="52" t="s">
        <v>30</v>
      </c>
      <c r="E418" s="52" t="s">
        <v>584</v>
      </c>
      <c r="F418" s="52" t="s">
        <v>581</v>
      </c>
      <c r="G418" s="55" t="s">
        <v>277</v>
      </c>
      <c r="H418" s="55">
        <v>0.64428359999999996</v>
      </c>
      <c r="I418" s="55">
        <v>0.52445850000000005</v>
      </c>
      <c r="J418" s="55">
        <v>0.53392890000000004</v>
      </c>
      <c r="K418" s="55">
        <v>0.67754789999999998</v>
      </c>
      <c r="L418" s="55">
        <v>0.80275229999999997</v>
      </c>
      <c r="M418" s="55">
        <v>0.88983959999999995</v>
      </c>
      <c r="N418" s="55">
        <v>1.0259579999999999</v>
      </c>
    </row>
    <row r="419" spans="1:14" hidden="1" x14ac:dyDescent="0.35">
      <c r="A419" s="52" t="s">
        <v>206</v>
      </c>
      <c r="B419" s="52" t="s">
        <v>31</v>
      </c>
      <c r="C419" s="52" t="s">
        <v>30</v>
      </c>
      <c r="D419" s="52" t="s">
        <v>30</v>
      </c>
      <c r="E419" s="52" t="s">
        <v>584</v>
      </c>
      <c r="F419" s="52" t="s">
        <v>581</v>
      </c>
      <c r="G419" s="55" t="s">
        <v>279</v>
      </c>
      <c r="H419" s="55">
        <v>39.212589999999999</v>
      </c>
      <c r="I419" s="55">
        <v>36.843890000000002</v>
      </c>
      <c r="J419" s="55">
        <v>38.379429999999999</v>
      </c>
      <c r="K419" s="55">
        <v>41.813409999999998</v>
      </c>
      <c r="L419" s="55">
        <v>42.819070000000004</v>
      </c>
      <c r="M419" s="55">
        <v>43.849829999999997</v>
      </c>
      <c r="N419" s="55">
        <v>44.906440000000003</v>
      </c>
    </row>
    <row r="420" spans="1:14" hidden="1" x14ac:dyDescent="0.35">
      <c r="A420" s="52" t="s">
        <v>206</v>
      </c>
      <c r="B420" s="52" t="s">
        <v>31</v>
      </c>
      <c r="C420" s="52" t="s">
        <v>30</v>
      </c>
      <c r="D420" s="52" t="s">
        <v>30</v>
      </c>
      <c r="E420" s="52" t="s">
        <v>584</v>
      </c>
      <c r="F420" s="52" t="s">
        <v>26</v>
      </c>
      <c r="G420" s="55" t="s">
        <v>275</v>
      </c>
      <c r="H420" s="55">
        <v>102.6686</v>
      </c>
      <c r="I420" s="55">
        <v>96.298630000000003</v>
      </c>
      <c r="J420" s="55">
        <v>110.23099999999999</v>
      </c>
      <c r="K420" s="55">
        <v>109.15519999999999</v>
      </c>
      <c r="L420" s="55">
        <v>111.89230000000001</v>
      </c>
      <c r="M420" s="55">
        <v>114.7859</v>
      </c>
      <c r="N420" s="55">
        <v>117.66849999999999</v>
      </c>
    </row>
    <row r="421" spans="1:14" hidden="1" x14ac:dyDescent="0.35">
      <c r="A421" s="52" t="s">
        <v>206</v>
      </c>
      <c r="B421" s="52" t="s">
        <v>31</v>
      </c>
      <c r="C421" s="52" t="s">
        <v>30</v>
      </c>
      <c r="D421" s="52" t="s">
        <v>30</v>
      </c>
      <c r="E421" s="52" t="s">
        <v>584</v>
      </c>
      <c r="F421" s="52" t="s">
        <v>26</v>
      </c>
      <c r="G421" s="55" t="s">
        <v>276</v>
      </c>
      <c r="H421" s="55">
        <v>307.60989999999998</v>
      </c>
      <c r="I421" s="55">
        <v>288.50009999999997</v>
      </c>
      <c r="J421" s="55">
        <v>330.29719999999998</v>
      </c>
      <c r="K421" s="55">
        <v>327.46559999999999</v>
      </c>
      <c r="L421" s="55">
        <v>335.67680000000001</v>
      </c>
      <c r="M421" s="55">
        <v>344.35759999999999</v>
      </c>
      <c r="N421" s="55">
        <v>353.00549999999998</v>
      </c>
    </row>
    <row r="422" spans="1:14" hidden="1" x14ac:dyDescent="0.35">
      <c r="A422" s="52" t="s">
        <v>206</v>
      </c>
      <c r="B422" s="52" t="s">
        <v>31</v>
      </c>
      <c r="C422" s="52" t="s">
        <v>30</v>
      </c>
      <c r="D422" s="52" t="s">
        <v>30</v>
      </c>
      <c r="E422" s="52" t="s">
        <v>584</v>
      </c>
      <c r="F422" s="52" t="s">
        <v>26</v>
      </c>
      <c r="G422" s="55" t="s">
        <v>279</v>
      </c>
      <c r="H422" s="55">
        <v>231.5883</v>
      </c>
      <c r="I422" s="55">
        <v>215.94159999999999</v>
      </c>
      <c r="J422" s="55">
        <v>225.7062</v>
      </c>
      <c r="K422" s="55">
        <v>246.2003</v>
      </c>
      <c r="L422" s="55">
        <v>252.23179999999999</v>
      </c>
      <c r="M422" s="55">
        <v>258.41500000000002</v>
      </c>
      <c r="N422" s="55">
        <v>264.75420000000003</v>
      </c>
    </row>
    <row r="423" spans="1:14" hidden="1" x14ac:dyDescent="0.35">
      <c r="A423" s="52" t="s">
        <v>206</v>
      </c>
      <c r="B423" s="52" t="s">
        <v>59</v>
      </c>
      <c r="C423" s="52" t="s">
        <v>161</v>
      </c>
      <c r="D423" s="52" t="s">
        <v>161</v>
      </c>
      <c r="E423" s="52" t="s">
        <v>584</v>
      </c>
      <c r="F423" s="52" t="s">
        <v>581</v>
      </c>
      <c r="G423" s="55" t="s">
        <v>275</v>
      </c>
      <c r="H423" s="55">
        <v>420.69260000000003</v>
      </c>
      <c r="I423" s="55">
        <v>195.11259999999999</v>
      </c>
      <c r="J423" s="55">
        <v>160.99160000000001</v>
      </c>
      <c r="K423" s="55">
        <v>118.932</v>
      </c>
      <c r="L423" s="55">
        <v>159.2139</v>
      </c>
      <c r="M423" s="55">
        <v>182.49690000000001</v>
      </c>
      <c r="N423" s="55">
        <v>167.648</v>
      </c>
    </row>
    <row r="424" spans="1:14" hidden="1" x14ac:dyDescent="0.35">
      <c r="A424" s="52" t="s">
        <v>206</v>
      </c>
      <c r="B424" s="52" t="s">
        <v>59</v>
      </c>
      <c r="C424" s="52" t="s">
        <v>161</v>
      </c>
      <c r="D424" s="52" t="s">
        <v>161</v>
      </c>
      <c r="E424" s="52" t="s">
        <v>584</v>
      </c>
      <c r="F424" s="52" t="s">
        <v>581</v>
      </c>
      <c r="G424" s="55" t="s">
        <v>276</v>
      </c>
      <c r="H424" s="55">
        <v>220.6026</v>
      </c>
      <c r="I424" s="55">
        <v>105.63420000000001</v>
      </c>
      <c r="J424" s="55">
        <v>121.6966</v>
      </c>
      <c r="K424" s="55">
        <v>112.8498</v>
      </c>
      <c r="L424" s="55">
        <v>106.1088</v>
      </c>
      <c r="M424" s="55">
        <v>89.014330000000001</v>
      </c>
      <c r="N424" s="55">
        <v>87.708619999999996</v>
      </c>
    </row>
    <row r="425" spans="1:14" hidden="1" x14ac:dyDescent="0.35">
      <c r="A425" s="52" t="s">
        <v>206</v>
      </c>
      <c r="B425" s="52" t="s">
        <v>59</v>
      </c>
      <c r="C425" s="52" t="s">
        <v>161</v>
      </c>
      <c r="D425" s="52" t="s">
        <v>161</v>
      </c>
      <c r="E425" s="52" t="s">
        <v>584</v>
      </c>
      <c r="F425" s="52" t="s">
        <v>581</v>
      </c>
      <c r="G425" s="55" t="s">
        <v>277</v>
      </c>
      <c r="H425" s="55">
        <v>109.8258</v>
      </c>
      <c r="I425" s="55">
        <v>96.041690000000003</v>
      </c>
      <c r="J425" s="55">
        <v>165.3347</v>
      </c>
      <c r="K425" s="55">
        <v>236.66329999999999</v>
      </c>
      <c r="L425" s="55">
        <v>145.79650000000001</v>
      </c>
      <c r="M425" s="55">
        <v>107.492</v>
      </c>
      <c r="N425" s="55">
        <v>101.2132</v>
      </c>
    </row>
    <row r="426" spans="1:14" hidden="1" x14ac:dyDescent="0.35">
      <c r="A426" s="52" t="s">
        <v>206</v>
      </c>
      <c r="B426" s="52" t="s">
        <v>59</v>
      </c>
      <c r="C426" s="52" t="s">
        <v>161</v>
      </c>
      <c r="D426" s="52" t="s">
        <v>161</v>
      </c>
      <c r="E426" s="52" t="s">
        <v>584</v>
      </c>
      <c r="F426" s="52" t="s">
        <v>581</v>
      </c>
      <c r="G426" s="55" t="s">
        <v>278</v>
      </c>
      <c r="H426" s="55">
        <v>0.1099189</v>
      </c>
      <c r="I426" s="55">
        <v>0.1099189</v>
      </c>
      <c r="J426" s="55">
        <v>5.495945E-2</v>
      </c>
      <c r="K426" s="55">
        <v>5.495945E-2</v>
      </c>
      <c r="L426" s="55">
        <v>5.495945E-2</v>
      </c>
      <c r="M426" s="55">
        <v>5.495945E-2</v>
      </c>
      <c r="N426" s="55">
        <v>0</v>
      </c>
    </row>
    <row r="427" spans="1:14" hidden="1" x14ac:dyDescent="0.35">
      <c r="A427" s="52" t="s">
        <v>206</v>
      </c>
      <c r="B427" s="52" t="s">
        <v>59</v>
      </c>
      <c r="C427" s="52" t="s">
        <v>161</v>
      </c>
      <c r="D427" s="52" t="s">
        <v>161</v>
      </c>
      <c r="E427" s="52" t="s">
        <v>584</v>
      </c>
      <c r="F427" s="52" t="s">
        <v>581</v>
      </c>
      <c r="G427" s="55" t="s">
        <v>279</v>
      </c>
      <c r="H427" s="55">
        <v>135.29239999999999</v>
      </c>
      <c r="I427" s="55">
        <v>133.9881</v>
      </c>
      <c r="J427" s="55">
        <v>155.83600000000001</v>
      </c>
      <c r="K427" s="55">
        <v>164.13419999999999</v>
      </c>
      <c r="L427" s="55">
        <v>163.9734</v>
      </c>
      <c r="M427" s="55">
        <v>166.51329999999999</v>
      </c>
      <c r="N427" s="55">
        <v>166.10749999999999</v>
      </c>
    </row>
    <row r="428" spans="1:14" hidden="1" x14ac:dyDescent="0.35">
      <c r="A428" s="52" t="s">
        <v>206</v>
      </c>
      <c r="B428" s="52" t="s">
        <v>59</v>
      </c>
      <c r="C428" s="52" t="s">
        <v>161</v>
      </c>
      <c r="D428" s="52" t="s">
        <v>161</v>
      </c>
      <c r="E428" s="52" t="s">
        <v>584</v>
      </c>
      <c r="F428" s="52" t="s">
        <v>26</v>
      </c>
      <c r="G428" s="55" t="s">
        <v>275</v>
      </c>
      <c r="H428" s="55">
        <v>7.8607209999999998</v>
      </c>
      <c r="I428" s="55">
        <v>114.1039</v>
      </c>
      <c r="J428" s="55">
        <v>116.49930000000001</v>
      </c>
      <c r="K428" s="55">
        <v>115.79640000000001</v>
      </c>
      <c r="L428" s="55">
        <v>31.889320000000001</v>
      </c>
      <c r="M428" s="55">
        <v>-96.405889999999999</v>
      </c>
      <c r="N428" s="55">
        <v>-81.734099999999998</v>
      </c>
    </row>
    <row r="429" spans="1:14" hidden="1" x14ac:dyDescent="0.35">
      <c r="A429" s="52" t="s">
        <v>206</v>
      </c>
      <c r="B429" s="52" t="s">
        <v>59</v>
      </c>
      <c r="C429" s="52" t="s">
        <v>161</v>
      </c>
      <c r="D429" s="52" t="s">
        <v>161</v>
      </c>
      <c r="E429" s="52" t="s">
        <v>584</v>
      </c>
      <c r="F429" s="52" t="s">
        <v>26</v>
      </c>
      <c r="G429" s="55" t="s">
        <v>276</v>
      </c>
      <c r="H429" s="55">
        <v>-8.8281910000000003</v>
      </c>
      <c r="I429" s="55">
        <v>-4.0100090000000002</v>
      </c>
      <c r="J429" s="55">
        <v>-10.84995</v>
      </c>
      <c r="K429" s="55">
        <v>-4.6823519999999998</v>
      </c>
      <c r="L429" s="55">
        <v>-1.3093410000000001</v>
      </c>
      <c r="M429" s="55">
        <v>-1.562548</v>
      </c>
      <c r="N429" s="55">
        <v>1.9422870000000001</v>
      </c>
    </row>
    <row r="430" spans="1:14" hidden="1" x14ac:dyDescent="0.35">
      <c r="A430" s="52" t="s">
        <v>206</v>
      </c>
      <c r="B430" s="52" t="s">
        <v>59</v>
      </c>
      <c r="C430" s="52" t="s">
        <v>161</v>
      </c>
      <c r="D430" s="52" t="s">
        <v>161</v>
      </c>
      <c r="E430" s="52" t="s">
        <v>584</v>
      </c>
      <c r="F430" s="52" t="s">
        <v>26</v>
      </c>
      <c r="G430" s="55" t="s">
        <v>277</v>
      </c>
      <c r="H430" s="55">
        <v>111.26130000000001</v>
      </c>
      <c r="I430" s="55">
        <v>20.3794</v>
      </c>
      <c r="J430" s="55">
        <v>22.103120000000001</v>
      </c>
      <c r="K430" s="55">
        <v>18.57705</v>
      </c>
      <c r="L430" s="55">
        <v>18.66845</v>
      </c>
      <c r="M430" s="55">
        <v>140.15559999999999</v>
      </c>
      <c r="N430" s="55">
        <v>117.7115</v>
      </c>
    </row>
    <row r="431" spans="1:14" hidden="1" x14ac:dyDescent="0.35">
      <c r="A431" s="52" t="s">
        <v>206</v>
      </c>
      <c r="B431" s="52" t="s">
        <v>59</v>
      </c>
      <c r="C431" s="52" t="s">
        <v>161</v>
      </c>
      <c r="D431" s="52" t="s">
        <v>161</v>
      </c>
      <c r="E431" s="52" t="s">
        <v>584</v>
      </c>
      <c r="F431" s="52" t="s">
        <v>26</v>
      </c>
      <c r="G431" s="55" t="s">
        <v>278</v>
      </c>
      <c r="H431" s="55">
        <v>3.5276849999999998E-2</v>
      </c>
      <c r="I431" s="55">
        <v>3.5276849999999998E-2</v>
      </c>
      <c r="J431" s="55">
        <v>3.5276849999999998E-2</v>
      </c>
      <c r="K431" s="55">
        <v>3.5276849999999998E-2</v>
      </c>
      <c r="L431" s="55">
        <v>3.5276849999999998E-2</v>
      </c>
      <c r="M431" s="55">
        <v>3.5276849999999998E-2</v>
      </c>
      <c r="N431" s="55">
        <v>3.5276849999999998E-2</v>
      </c>
    </row>
    <row r="432" spans="1:14" hidden="1" x14ac:dyDescent="0.35">
      <c r="A432" s="52" t="s">
        <v>206</v>
      </c>
      <c r="B432" s="52" t="s">
        <v>59</v>
      </c>
      <c r="C432" s="52" t="s">
        <v>161</v>
      </c>
      <c r="D432" s="52" t="s">
        <v>161</v>
      </c>
      <c r="E432" s="52" t="s">
        <v>584</v>
      </c>
      <c r="F432" s="52" t="s">
        <v>26</v>
      </c>
      <c r="G432" s="55" t="s">
        <v>279</v>
      </c>
      <c r="H432" s="55">
        <v>22.196750000000002</v>
      </c>
      <c r="I432" s="55">
        <v>22.339729999999999</v>
      </c>
      <c r="J432" s="55">
        <v>24.45655</v>
      </c>
      <c r="K432" s="55">
        <v>24.28969</v>
      </c>
      <c r="L432" s="55">
        <v>23.892410000000002</v>
      </c>
      <c r="M432" s="55">
        <v>21.519290000000002</v>
      </c>
      <c r="N432" s="55">
        <v>19.070029999999999</v>
      </c>
    </row>
    <row r="433" spans="1:14" hidden="1" x14ac:dyDescent="0.35">
      <c r="A433" s="52" t="s">
        <v>206</v>
      </c>
      <c r="B433" s="52" t="s">
        <v>59</v>
      </c>
      <c r="C433" s="52" t="s">
        <v>318</v>
      </c>
      <c r="D433" s="52" t="s">
        <v>318</v>
      </c>
      <c r="E433" s="52" t="s">
        <v>584</v>
      </c>
      <c r="F433" s="52" t="s">
        <v>581</v>
      </c>
      <c r="G433" s="55" t="s">
        <v>275</v>
      </c>
      <c r="H433" s="55">
        <v>-8.4636399999999998</v>
      </c>
      <c r="I433" s="55">
        <v>0</v>
      </c>
      <c r="J433" s="55"/>
      <c r="K433" s="55"/>
      <c r="L433" s="55"/>
      <c r="M433" s="55"/>
      <c r="N433" s="55"/>
    </row>
    <row r="434" spans="1:14" hidden="1" x14ac:dyDescent="0.35">
      <c r="A434" s="52" t="s">
        <v>206</v>
      </c>
      <c r="B434" s="52" t="s">
        <v>59</v>
      </c>
      <c r="C434" s="52" t="s">
        <v>318</v>
      </c>
      <c r="D434" s="52" t="s">
        <v>318</v>
      </c>
      <c r="E434" s="52" t="s">
        <v>584</v>
      </c>
      <c r="F434" s="52" t="s">
        <v>581</v>
      </c>
      <c r="G434" s="55" t="s">
        <v>278</v>
      </c>
      <c r="H434" s="55">
        <v>8.4636399999999998</v>
      </c>
      <c r="I434" s="55">
        <v>0</v>
      </c>
      <c r="J434" s="55"/>
      <c r="K434" s="55"/>
      <c r="L434" s="55"/>
      <c r="M434" s="55"/>
      <c r="N434" s="55"/>
    </row>
    <row r="435" spans="1:14" hidden="1" x14ac:dyDescent="0.35">
      <c r="A435" s="52" t="s">
        <v>206</v>
      </c>
      <c r="B435" s="52" t="s">
        <v>59</v>
      </c>
      <c r="C435" s="52" t="s">
        <v>318</v>
      </c>
      <c r="D435" s="52" t="s">
        <v>318</v>
      </c>
      <c r="E435" s="52" t="s">
        <v>584</v>
      </c>
      <c r="F435" s="52" t="s">
        <v>26</v>
      </c>
      <c r="G435" s="55" t="s">
        <v>275</v>
      </c>
      <c r="H435" s="55">
        <v>-5.6424260000000004</v>
      </c>
      <c r="I435" s="55">
        <v>0</v>
      </c>
      <c r="J435" s="55"/>
      <c r="K435" s="55"/>
      <c r="L435" s="55"/>
      <c r="M435" s="55"/>
      <c r="N435" s="55"/>
    </row>
    <row r="436" spans="1:14" hidden="1" x14ac:dyDescent="0.35">
      <c r="A436" s="52" t="s">
        <v>206</v>
      </c>
      <c r="B436" s="52" t="s">
        <v>59</v>
      </c>
      <c r="C436" s="52" t="s">
        <v>318</v>
      </c>
      <c r="D436" s="52" t="s">
        <v>318</v>
      </c>
      <c r="E436" s="52" t="s">
        <v>584</v>
      </c>
      <c r="F436" s="52" t="s">
        <v>26</v>
      </c>
      <c r="G436" s="55" t="s">
        <v>278</v>
      </c>
      <c r="H436" s="55">
        <v>5.6424260000000004</v>
      </c>
      <c r="I436" s="55">
        <v>0</v>
      </c>
      <c r="J436" s="55"/>
      <c r="K436" s="55"/>
      <c r="L436" s="55"/>
      <c r="M436" s="55"/>
      <c r="N436" s="55"/>
    </row>
    <row r="437" spans="1:14" hidden="1" x14ac:dyDescent="0.35">
      <c r="A437" s="52" t="s">
        <v>206</v>
      </c>
      <c r="B437" s="52" t="s">
        <v>59</v>
      </c>
      <c r="C437" s="52" t="s">
        <v>165</v>
      </c>
      <c r="D437" s="52" t="s">
        <v>165</v>
      </c>
      <c r="E437" s="52" t="s">
        <v>584</v>
      </c>
      <c r="F437" s="52" t="s">
        <v>581</v>
      </c>
      <c r="G437" s="55" t="s">
        <v>275</v>
      </c>
      <c r="H437" s="55">
        <v>-19.18751</v>
      </c>
      <c r="I437" s="55">
        <v>-0.70796899999999996</v>
      </c>
      <c r="J437" s="55">
        <v>0</v>
      </c>
      <c r="K437" s="55">
        <v>0</v>
      </c>
      <c r="L437" s="55">
        <v>0</v>
      </c>
      <c r="M437" s="55">
        <v>0</v>
      </c>
      <c r="N437" s="55">
        <v>0</v>
      </c>
    </row>
    <row r="438" spans="1:14" hidden="1" x14ac:dyDescent="0.35">
      <c r="A438" s="52" t="s">
        <v>206</v>
      </c>
      <c r="B438" s="52" t="s">
        <v>59</v>
      </c>
      <c r="C438" s="52" t="s">
        <v>165</v>
      </c>
      <c r="D438" s="52" t="s">
        <v>165</v>
      </c>
      <c r="E438" s="52" t="s">
        <v>584</v>
      </c>
      <c r="F438" s="52" t="s">
        <v>581</v>
      </c>
      <c r="G438" s="55" t="s">
        <v>277</v>
      </c>
      <c r="H438" s="55">
        <v>0.5</v>
      </c>
      <c r="I438" s="55">
        <v>0.5</v>
      </c>
      <c r="J438" s="55">
        <v>0</v>
      </c>
      <c r="K438" s="55"/>
      <c r="L438" s="55"/>
      <c r="M438" s="55"/>
      <c r="N438" s="55"/>
    </row>
    <row r="439" spans="1:14" hidden="1" x14ac:dyDescent="0.35">
      <c r="A439" s="52" t="s">
        <v>206</v>
      </c>
      <c r="B439" s="52" t="s">
        <v>59</v>
      </c>
      <c r="C439" s="52" t="s">
        <v>165</v>
      </c>
      <c r="D439" s="52" t="s">
        <v>165</v>
      </c>
      <c r="E439" s="52" t="s">
        <v>584</v>
      </c>
      <c r="F439" s="52" t="s">
        <v>581</v>
      </c>
      <c r="G439" s="55" t="s">
        <v>278</v>
      </c>
      <c r="H439" s="55">
        <v>18.68751</v>
      </c>
      <c r="I439" s="55">
        <v>0.20796899999999999</v>
      </c>
      <c r="J439" s="55">
        <v>0</v>
      </c>
      <c r="K439" s="55">
        <v>0</v>
      </c>
      <c r="L439" s="55">
        <v>0</v>
      </c>
      <c r="M439" s="55">
        <v>0</v>
      </c>
      <c r="N439" s="55">
        <v>0</v>
      </c>
    </row>
    <row r="440" spans="1:14" hidden="1" x14ac:dyDescent="0.35">
      <c r="A440" s="52" t="s">
        <v>206</v>
      </c>
      <c r="B440" s="52" t="s">
        <v>59</v>
      </c>
      <c r="C440" s="52" t="s">
        <v>165</v>
      </c>
      <c r="D440" s="52" t="s">
        <v>165</v>
      </c>
      <c r="E440" s="52" t="s">
        <v>584</v>
      </c>
      <c r="F440" s="52" t="s">
        <v>26</v>
      </c>
      <c r="G440" s="55" t="s">
        <v>275</v>
      </c>
      <c r="H440" s="55">
        <v>-16.651409999999998</v>
      </c>
      <c r="I440" s="55">
        <v>-0.29595549999999998</v>
      </c>
      <c r="J440" s="55">
        <v>0</v>
      </c>
      <c r="K440" s="55">
        <v>0</v>
      </c>
      <c r="L440" s="55">
        <v>0</v>
      </c>
      <c r="M440" s="55">
        <v>0</v>
      </c>
      <c r="N440" s="55">
        <v>0</v>
      </c>
    </row>
    <row r="441" spans="1:14" hidden="1" x14ac:dyDescent="0.35">
      <c r="A441" s="52" t="s">
        <v>206</v>
      </c>
      <c r="B441" s="52" t="s">
        <v>59</v>
      </c>
      <c r="C441" s="52" t="s">
        <v>165</v>
      </c>
      <c r="D441" s="52" t="s">
        <v>165</v>
      </c>
      <c r="E441" s="52" t="s">
        <v>584</v>
      </c>
      <c r="F441" s="52" t="s">
        <v>26</v>
      </c>
      <c r="G441" s="55" t="s">
        <v>276</v>
      </c>
      <c r="H441" s="55"/>
      <c r="I441" s="55"/>
      <c r="J441" s="55">
        <v>-0.29595549999999998</v>
      </c>
      <c r="K441" s="55">
        <v>-0.29595549999999998</v>
      </c>
      <c r="L441" s="55">
        <v>-0.29595549999999998</v>
      </c>
      <c r="M441" s="55">
        <v>-10.403130000000001</v>
      </c>
      <c r="N441" s="55">
        <v>-0.29595549999999998</v>
      </c>
    </row>
    <row r="442" spans="1:14" hidden="1" x14ac:dyDescent="0.35">
      <c r="A442" s="52" t="s">
        <v>206</v>
      </c>
      <c r="B442" s="52" t="s">
        <v>59</v>
      </c>
      <c r="C442" s="52" t="s">
        <v>165</v>
      </c>
      <c r="D442" s="52" t="s">
        <v>165</v>
      </c>
      <c r="E442" s="52" t="s">
        <v>584</v>
      </c>
      <c r="F442" s="52" t="s">
        <v>26</v>
      </c>
      <c r="G442" s="55" t="s">
        <v>277</v>
      </c>
      <c r="H442" s="55"/>
      <c r="I442" s="55"/>
      <c r="J442" s="55"/>
      <c r="K442" s="55"/>
      <c r="L442" s="55"/>
      <c r="M442" s="55"/>
      <c r="N442" s="55">
        <v>0</v>
      </c>
    </row>
    <row r="443" spans="1:14" hidden="1" x14ac:dyDescent="0.35">
      <c r="A443" s="52" t="s">
        <v>206</v>
      </c>
      <c r="B443" s="52" t="s">
        <v>59</v>
      </c>
      <c r="C443" s="52" t="s">
        <v>165</v>
      </c>
      <c r="D443" s="52" t="s">
        <v>165</v>
      </c>
      <c r="E443" s="52" t="s">
        <v>584</v>
      </c>
      <c r="F443" s="52" t="s">
        <v>26</v>
      </c>
      <c r="G443" s="55" t="s">
        <v>278</v>
      </c>
      <c r="H443" s="55">
        <v>16.651409999999998</v>
      </c>
      <c r="I443" s="55">
        <v>0.29595549999999998</v>
      </c>
      <c r="J443" s="55">
        <v>0.29595549999999998</v>
      </c>
      <c r="K443" s="55">
        <v>0.29595549999999998</v>
      </c>
      <c r="L443" s="55">
        <v>0.29595549999999998</v>
      </c>
      <c r="M443" s="55">
        <v>10.403119999999999</v>
      </c>
      <c r="N443" s="55">
        <v>0.29595549999999998</v>
      </c>
    </row>
    <row r="444" spans="1:14" hidden="1" x14ac:dyDescent="0.35">
      <c r="A444" s="52" t="s">
        <v>206</v>
      </c>
      <c r="B444" s="52" t="s">
        <v>34</v>
      </c>
      <c r="C444" s="52" t="s">
        <v>33</v>
      </c>
      <c r="D444" s="52" t="s">
        <v>33</v>
      </c>
      <c r="E444" s="52" t="s">
        <v>584</v>
      </c>
      <c r="F444" s="52" t="s">
        <v>581</v>
      </c>
      <c r="G444" s="55" t="s">
        <v>275</v>
      </c>
      <c r="H444" s="55">
        <v>126.7157</v>
      </c>
      <c r="I444" s="55">
        <v>-36.602789999999999</v>
      </c>
      <c r="J444" s="55">
        <v>-22.025379999999998</v>
      </c>
      <c r="K444" s="55">
        <v>-61.919609999999999</v>
      </c>
      <c r="L444" s="55">
        <v>-89.920199999999994</v>
      </c>
      <c r="M444" s="55">
        <v>-51.117849999999997</v>
      </c>
      <c r="N444" s="55">
        <v>-44.035060000000001</v>
      </c>
    </row>
    <row r="445" spans="1:14" hidden="1" x14ac:dyDescent="0.35">
      <c r="A445" s="52" t="s">
        <v>206</v>
      </c>
      <c r="B445" s="52" t="s">
        <v>34</v>
      </c>
      <c r="C445" s="52" t="s">
        <v>33</v>
      </c>
      <c r="D445" s="52" t="s">
        <v>33</v>
      </c>
      <c r="E445" s="52" t="s">
        <v>584</v>
      </c>
      <c r="F445" s="52" t="s">
        <v>581</v>
      </c>
      <c r="G445" s="55" t="s">
        <v>276</v>
      </c>
      <c r="H445" s="55">
        <v>54.375720000000001</v>
      </c>
      <c r="I445" s="55">
        <v>-46.500520000000002</v>
      </c>
      <c r="J445" s="55">
        <v>-29.53593</v>
      </c>
      <c r="K445" s="55">
        <v>-28.754169999999998</v>
      </c>
      <c r="L445" s="55">
        <v>-29.765429999999999</v>
      </c>
      <c r="M445" s="55">
        <v>-8.4775569999999991</v>
      </c>
      <c r="N445" s="55">
        <v>-9.0489300000000004</v>
      </c>
    </row>
    <row r="446" spans="1:14" hidden="1" x14ac:dyDescent="0.35">
      <c r="A446" s="52" t="s">
        <v>206</v>
      </c>
      <c r="B446" s="52" t="s">
        <v>34</v>
      </c>
      <c r="C446" s="52" t="s">
        <v>33</v>
      </c>
      <c r="D446" s="52" t="s">
        <v>33</v>
      </c>
      <c r="E446" s="52" t="s">
        <v>584</v>
      </c>
      <c r="F446" s="52" t="s">
        <v>581</v>
      </c>
      <c r="G446" s="55" t="s">
        <v>277</v>
      </c>
      <c r="H446" s="55">
        <v>205</v>
      </c>
      <c r="I446" s="55">
        <v>22.5</v>
      </c>
      <c r="J446" s="55">
        <v>33</v>
      </c>
      <c r="K446" s="55">
        <v>62.199330000000003</v>
      </c>
      <c r="L446" s="55">
        <v>68.516450000000006</v>
      </c>
      <c r="M446" s="55">
        <v>74.976079999999996</v>
      </c>
      <c r="N446" s="55">
        <v>76.850560000000002</v>
      </c>
    </row>
    <row r="447" spans="1:14" hidden="1" x14ac:dyDescent="0.35">
      <c r="A447" s="52" t="s">
        <v>206</v>
      </c>
      <c r="B447" s="52" t="s">
        <v>34</v>
      </c>
      <c r="C447" s="52" t="s">
        <v>33</v>
      </c>
      <c r="D447" s="52" t="s">
        <v>33</v>
      </c>
      <c r="E447" s="52" t="s">
        <v>584</v>
      </c>
      <c r="F447" s="52" t="s">
        <v>581</v>
      </c>
      <c r="G447" s="55" t="s">
        <v>278</v>
      </c>
      <c r="H447" s="55">
        <v>2.6494940000000002E-2</v>
      </c>
      <c r="I447" s="55">
        <v>2.8260360000000002E-2</v>
      </c>
      <c r="J447" s="55">
        <v>5.2094339999999998E-4</v>
      </c>
      <c r="K447" s="55">
        <v>5.2094339999999998E-4</v>
      </c>
      <c r="L447" s="55">
        <v>5.2094339999999998E-4</v>
      </c>
      <c r="M447" s="55">
        <v>5.2094339999999998E-4</v>
      </c>
      <c r="N447" s="55">
        <v>5.2094339999999998E-4</v>
      </c>
    </row>
    <row r="448" spans="1:14" hidden="1" x14ac:dyDescent="0.35">
      <c r="A448" s="52" t="s">
        <v>206</v>
      </c>
      <c r="B448" s="52" t="s">
        <v>34</v>
      </c>
      <c r="C448" s="52" t="s">
        <v>33</v>
      </c>
      <c r="D448" s="52" t="s">
        <v>33</v>
      </c>
      <c r="E448" s="52" t="s">
        <v>584</v>
      </c>
      <c r="F448" s="52" t="s">
        <v>581</v>
      </c>
      <c r="G448" s="55" t="s">
        <v>279</v>
      </c>
      <c r="H448" s="55">
        <v>470.28219999999999</v>
      </c>
      <c r="I448" s="55">
        <v>283.19720000000001</v>
      </c>
      <c r="J448" s="55">
        <v>357.97489999999999</v>
      </c>
      <c r="K448" s="55">
        <v>492.57150000000001</v>
      </c>
      <c r="L448" s="55">
        <v>534.84870000000001</v>
      </c>
      <c r="M448" s="55">
        <v>488.39839999999998</v>
      </c>
      <c r="N448" s="55">
        <v>500.56290000000001</v>
      </c>
    </row>
    <row r="449" spans="1:14" hidden="1" x14ac:dyDescent="0.35">
      <c r="A449" s="52" t="s">
        <v>206</v>
      </c>
      <c r="B449" s="52" t="s">
        <v>34</v>
      </c>
      <c r="C449" s="52" t="s">
        <v>33</v>
      </c>
      <c r="D449" s="52" t="s">
        <v>33</v>
      </c>
      <c r="E449" s="52" t="s">
        <v>584</v>
      </c>
      <c r="F449" s="52" t="s">
        <v>26</v>
      </c>
      <c r="G449" s="55" t="s">
        <v>275</v>
      </c>
      <c r="H449" s="55"/>
      <c r="I449" s="55"/>
      <c r="J449" s="55"/>
      <c r="K449" s="55"/>
      <c r="L449" s="55"/>
      <c r="M449" s="55"/>
      <c r="N449" s="55">
        <v>0</v>
      </c>
    </row>
    <row r="450" spans="1:14" hidden="1" x14ac:dyDescent="0.35">
      <c r="A450" s="52" t="s">
        <v>206</v>
      </c>
      <c r="B450" s="52" t="s">
        <v>34</v>
      </c>
      <c r="C450" s="52" t="s">
        <v>33</v>
      </c>
      <c r="D450" s="52" t="s">
        <v>33</v>
      </c>
      <c r="E450" s="52" t="s">
        <v>584</v>
      </c>
      <c r="F450" s="52" t="s">
        <v>26</v>
      </c>
      <c r="G450" s="55" t="s">
        <v>276</v>
      </c>
      <c r="H450" s="55"/>
      <c r="I450" s="55"/>
      <c r="J450" s="55"/>
      <c r="K450" s="55"/>
      <c r="L450" s="55"/>
      <c r="M450" s="55"/>
      <c r="N450" s="55">
        <v>0</v>
      </c>
    </row>
    <row r="451" spans="1:14" hidden="1" x14ac:dyDescent="0.35">
      <c r="A451" s="52" t="s">
        <v>206</v>
      </c>
      <c r="B451" s="52" t="s">
        <v>34</v>
      </c>
      <c r="C451" s="52" t="s">
        <v>33</v>
      </c>
      <c r="D451" s="52" t="s">
        <v>33</v>
      </c>
      <c r="E451" s="52" t="s">
        <v>584</v>
      </c>
      <c r="F451" s="52" t="s">
        <v>26</v>
      </c>
      <c r="G451" s="55" t="s">
        <v>279</v>
      </c>
      <c r="H451" s="55"/>
      <c r="I451" s="55"/>
      <c r="J451" s="55"/>
      <c r="K451" s="55"/>
      <c r="L451" s="55"/>
      <c r="M451" s="55"/>
      <c r="N451" s="55">
        <v>0</v>
      </c>
    </row>
    <row r="452" spans="1:14" hidden="1" x14ac:dyDescent="0.35">
      <c r="A452" s="52" t="s">
        <v>206</v>
      </c>
      <c r="B452" s="52" t="s">
        <v>34</v>
      </c>
      <c r="C452" s="52" t="s">
        <v>33</v>
      </c>
      <c r="D452" s="52" t="s">
        <v>33</v>
      </c>
      <c r="E452" s="52" t="s">
        <v>604</v>
      </c>
      <c r="F452" s="52" t="s">
        <v>581</v>
      </c>
      <c r="G452" s="55" t="s">
        <v>275</v>
      </c>
      <c r="H452" s="55">
        <v>-141.18950000000001</v>
      </c>
      <c r="I452" s="55">
        <v>10.96513</v>
      </c>
      <c r="J452" s="55">
        <v>15.16628</v>
      </c>
      <c r="K452" s="55">
        <v>28.91986</v>
      </c>
      <c r="L452" s="55">
        <v>16.705819999999999</v>
      </c>
      <c r="M452" s="55">
        <v>13.82569</v>
      </c>
      <c r="N452" s="55">
        <v>1.9346179999999999</v>
      </c>
    </row>
    <row r="453" spans="1:14" hidden="1" x14ac:dyDescent="0.35">
      <c r="A453" s="52" t="s">
        <v>206</v>
      </c>
      <c r="B453" s="52" t="s">
        <v>34</v>
      </c>
      <c r="C453" s="52" t="s">
        <v>33</v>
      </c>
      <c r="D453" s="52" t="s">
        <v>33</v>
      </c>
      <c r="E453" s="52" t="s">
        <v>604</v>
      </c>
      <c r="F453" s="52" t="s">
        <v>581</v>
      </c>
      <c r="G453" s="55" t="s">
        <v>276</v>
      </c>
      <c r="H453" s="55">
        <v>-13.376580000000001</v>
      </c>
      <c r="I453" s="55">
        <v>-11.245710000000001</v>
      </c>
      <c r="J453" s="55">
        <v>-10.19336</v>
      </c>
      <c r="K453" s="55">
        <v>-5.8497519999999996</v>
      </c>
      <c r="L453" s="55">
        <v>3.256529</v>
      </c>
      <c r="M453" s="55">
        <v>3.5924909999999999</v>
      </c>
      <c r="N453" s="55">
        <v>4.1523709999999996</v>
      </c>
    </row>
    <row r="454" spans="1:14" hidden="1" x14ac:dyDescent="0.35">
      <c r="A454" s="52" t="s">
        <v>206</v>
      </c>
      <c r="B454" s="52" t="s">
        <v>34</v>
      </c>
      <c r="C454" s="52" t="s">
        <v>33</v>
      </c>
      <c r="D454" s="52" t="s">
        <v>33</v>
      </c>
      <c r="E454" s="52" t="s">
        <v>604</v>
      </c>
      <c r="F454" s="52" t="s">
        <v>581</v>
      </c>
      <c r="G454" s="55" t="s">
        <v>277</v>
      </c>
      <c r="H454" s="55">
        <v>139.98490000000001</v>
      </c>
      <c r="I454" s="55">
        <v>7.3431360000000003</v>
      </c>
      <c r="J454" s="55">
        <v>5.3417789999999998</v>
      </c>
      <c r="K454" s="55">
        <v>2.112787</v>
      </c>
      <c r="L454" s="55">
        <v>2.580171</v>
      </c>
      <c r="M454" s="55">
        <v>2.8821599999999998</v>
      </c>
      <c r="N454" s="55">
        <v>8.4319190000000006</v>
      </c>
    </row>
    <row r="455" spans="1:14" hidden="1" x14ac:dyDescent="0.35">
      <c r="A455" s="52" t="s">
        <v>206</v>
      </c>
      <c r="B455" s="52" t="s">
        <v>34</v>
      </c>
      <c r="C455" s="52" t="s">
        <v>33</v>
      </c>
      <c r="D455" s="52" t="s">
        <v>33</v>
      </c>
      <c r="E455" s="52" t="s">
        <v>604</v>
      </c>
      <c r="F455" s="52" t="s">
        <v>581</v>
      </c>
      <c r="G455" s="55" t="s">
        <v>278</v>
      </c>
      <c r="H455" s="55">
        <v>26.987749999999998</v>
      </c>
      <c r="I455" s="55">
        <v>14.74527</v>
      </c>
      <c r="J455" s="55">
        <v>21.139119999999998</v>
      </c>
      <c r="K455" s="55">
        <v>7.7757180000000004</v>
      </c>
      <c r="L455" s="55">
        <v>7.6574580000000001</v>
      </c>
      <c r="M455" s="55">
        <v>8.5892250000000008</v>
      </c>
      <c r="N455" s="55">
        <v>16.130579999999998</v>
      </c>
    </row>
    <row r="456" spans="1:14" hidden="1" x14ac:dyDescent="0.35">
      <c r="A456" s="52" t="s">
        <v>206</v>
      </c>
      <c r="B456" s="52" t="s">
        <v>34</v>
      </c>
      <c r="C456" s="52" t="s">
        <v>33</v>
      </c>
      <c r="D456" s="52" t="s">
        <v>33</v>
      </c>
      <c r="E456" s="52" t="s">
        <v>604</v>
      </c>
      <c r="F456" s="52" t="s">
        <v>581</v>
      </c>
      <c r="G456" s="55" t="s">
        <v>279</v>
      </c>
      <c r="H456" s="55">
        <v>3.113178</v>
      </c>
      <c r="I456" s="55">
        <v>14.230700000000001</v>
      </c>
      <c r="J456" s="55">
        <v>18.61083</v>
      </c>
      <c r="K456" s="55">
        <v>19.365919999999999</v>
      </c>
      <c r="L456" s="55">
        <v>16.05359</v>
      </c>
      <c r="M456" s="55">
        <v>16.132210000000001</v>
      </c>
      <c r="N456" s="55">
        <v>16.71632</v>
      </c>
    </row>
    <row r="457" spans="1:14" hidden="1" x14ac:dyDescent="0.35">
      <c r="A457" s="52" t="s">
        <v>206</v>
      </c>
      <c r="B457" s="52" t="s">
        <v>34</v>
      </c>
      <c r="C457" s="52" t="s">
        <v>33</v>
      </c>
      <c r="D457" s="52" t="s">
        <v>33</v>
      </c>
      <c r="E457" s="52" t="s">
        <v>604</v>
      </c>
      <c r="F457" s="52" t="s">
        <v>26</v>
      </c>
      <c r="G457" s="55" t="s">
        <v>275</v>
      </c>
      <c r="H457" s="55">
        <v>-0.50517299999999998</v>
      </c>
      <c r="I457" s="55">
        <v>-0.92346360000000005</v>
      </c>
      <c r="J457" s="55">
        <v>-0.85612140000000003</v>
      </c>
      <c r="K457" s="55">
        <v>-0.99857949999999995</v>
      </c>
      <c r="L457" s="55">
        <v>-0.21498220000000001</v>
      </c>
      <c r="M457" s="55">
        <v>9.3287889999999998E-2</v>
      </c>
      <c r="N457" s="55">
        <v>0.34271679999999999</v>
      </c>
    </row>
    <row r="458" spans="1:14" hidden="1" x14ac:dyDescent="0.35">
      <c r="A458" s="52" t="s">
        <v>206</v>
      </c>
      <c r="B458" s="52" t="s">
        <v>34</v>
      </c>
      <c r="C458" s="52" t="s">
        <v>33</v>
      </c>
      <c r="D458" s="52" t="s">
        <v>33</v>
      </c>
      <c r="E458" s="52" t="s">
        <v>604</v>
      </c>
      <c r="F458" s="52" t="s">
        <v>26</v>
      </c>
      <c r="G458" s="55" t="s">
        <v>276</v>
      </c>
      <c r="H458" s="55">
        <v>-0.16839000000000001</v>
      </c>
      <c r="I458" s="55">
        <v>-0.30782120000000002</v>
      </c>
      <c r="J458" s="55">
        <v>-0.28537400000000002</v>
      </c>
      <c r="K458" s="55">
        <v>-0.33285979999999998</v>
      </c>
      <c r="L458" s="55">
        <v>-7.1662779999999995E-2</v>
      </c>
      <c r="M458" s="55">
        <v>3.1095500000000002E-2</v>
      </c>
      <c r="N458" s="55">
        <v>0.1142383</v>
      </c>
    </row>
    <row r="459" spans="1:14" hidden="1" x14ac:dyDescent="0.35">
      <c r="A459" s="52" t="s">
        <v>206</v>
      </c>
      <c r="B459" s="52" t="s">
        <v>34</v>
      </c>
      <c r="C459" s="52" t="s">
        <v>33</v>
      </c>
      <c r="D459" s="52" t="s">
        <v>33</v>
      </c>
      <c r="E459" s="52" t="s">
        <v>604</v>
      </c>
      <c r="F459" s="52" t="s">
        <v>26</v>
      </c>
      <c r="G459" s="55" t="s">
        <v>279</v>
      </c>
      <c r="H459" s="55">
        <v>5.9227340000000002</v>
      </c>
      <c r="I459" s="55">
        <v>16.878530000000001</v>
      </c>
      <c r="J459" s="55">
        <v>22.73573</v>
      </c>
      <c r="K459" s="55">
        <v>24.042840000000002</v>
      </c>
      <c r="L459" s="55">
        <v>20.483989999999999</v>
      </c>
      <c r="M459" s="55">
        <v>19.637429999999998</v>
      </c>
      <c r="N459" s="55">
        <v>20.427050000000001</v>
      </c>
    </row>
    <row r="460" spans="1:14" hidden="1" x14ac:dyDescent="0.35">
      <c r="A460" s="52" t="s">
        <v>206</v>
      </c>
      <c r="B460" s="52" t="s">
        <v>34</v>
      </c>
      <c r="C460" s="52" t="s">
        <v>33</v>
      </c>
      <c r="D460" s="52" t="s">
        <v>33</v>
      </c>
      <c r="E460" s="52" t="s">
        <v>605</v>
      </c>
      <c r="F460" s="52" t="s">
        <v>581</v>
      </c>
      <c r="G460" s="55" t="s">
        <v>275</v>
      </c>
      <c r="H460" s="55"/>
      <c r="I460" s="55">
        <v>0</v>
      </c>
      <c r="J460" s="55">
        <v>9.3038190000000007E-2</v>
      </c>
      <c r="K460" s="55">
        <v>0.18909190000000001</v>
      </c>
      <c r="L460" s="55">
        <v>0.37997399999999998</v>
      </c>
      <c r="M460" s="55">
        <v>0.5645945</v>
      </c>
      <c r="N460" s="55">
        <v>0.58008899999999997</v>
      </c>
    </row>
    <row r="461" spans="1:14" hidden="1" x14ac:dyDescent="0.35">
      <c r="A461" s="52" t="s">
        <v>206</v>
      </c>
      <c r="B461" s="52" t="s">
        <v>34</v>
      </c>
      <c r="C461" s="52" t="s">
        <v>33</v>
      </c>
      <c r="D461" s="52" t="s">
        <v>33</v>
      </c>
      <c r="E461" s="52" t="s">
        <v>605</v>
      </c>
      <c r="F461" s="52" t="s">
        <v>581</v>
      </c>
      <c r="G461" s="55" t="s">
        <v>276</v>
      </c>
      <c r="H461" s="55"/>
      <c r="I461" s="55">
        <v>0</v>
      </c>
      <c r="J461" s="55">
        <v>3.1012600000000001E-2</v>
      </c>
      <c r="K461" s="55">
        <v>6.3031409999999996E-2</v>
      </c>
      <c r="L461" s="55">
        <v>0.12665870000000001</v>
      </c>
      <c r="M461" s="55">
        <v>0.18819959999999999</v>
      </c>
      <c r="N461" s="55">
        <v>0.19336310000000001</v>
      </c>
    </row>
    <row r="462" spans="1:14" hidden="1" x14ac:dyDescent="0.35">
      <c r="A462" s="52" t="s">
        <v>206</v>
      </c>
      <c r="B462" s="52" t="s">
        <v>34</v>
      </c>
      <c r="C462" s="52" t="s">
        <v>33</v>
      </c>
      <c r="D462" s="52" t="s">
        <v>33</v>
      </c>
      <c r="E462" s="52" t="s">
        <v>605</v>
      </c>
      <c r="F462" s="52" t="s">
        <v>581</v>
      </c>
      <c r="G462" s="55" t="s">
        <v>279</v>
      </c>
      <c r="H462" s="55"/>
      <c r="I462" s="55">
        <v>0</v>
      </c>
      <c r="J462" s="55">
        <v>0.20482590000000001</v>
      </c>
      <c r="K462" s="55">
        <v>0.40699560000000001</v>
      </c>
      <c r="L462" s="55">
        <v>0.78652999999999995</v>
      </c>
      <c r="M462" s="55">
        <v>1.0346109999999999</v>
      </c>
      <c r="N462" s="55">
        <v>1.065043</v>
      </c>
    </row>
    <row r="463" spans="1:14" hidden="1" x14ac:dyDescent="0.35">
      <c r="A463" s="52" t="s">
        <v>206</v>
      </c>
      <c r="B463" s="52" t="s">
        <v>34</v>
      </c>
      <c r="C463" s="52" t="s">
        <v>33</v>
      </c>
      <c r="D463" s="52" t="s">
        <v>33</v>
      </c>
      <c r="E463" s="52" t="s">
        <v>605</v>
      </c>
      <c r="F463" s="52" t="s">
        <v>26</v>
      </c>
      <c r="G463" s="55" t="s">
        <v>275</v>
      </c>
      <c r="H463" s="55">
        <v>-102.9375</v>
      </c>
      <c r="I463" s="55">
        <v>9.7875080000000008</v>
      </c>
      <c r="J463" s="55">
        <v>8.8200489999999991</v>
      </c>
      <c r="K463" s="55">
        <v>5.0654269999999997</v>
      </c>
      <c r="L463" s="55">
        <v>-2.524006</v>
      </c>
      <c r="M463" s="55">
        <v>0.63552070000000005</v>
      </c>
      <c r="N463" s="55">
        <v>-1.6197889999999999</v>
      </c>
    </row>
    <row r="464" spans="1:14" hidden="1" x14ac:dyDescent="0.35">
      <c r="A464" s="52" t="s">
        <v>206</v>
      </c>
      <c r="B464" s="52" t="s">
        <v>34</v>
      </c>
      <c r="C464" s="52" t="s">
        <v>33</v>
      </c>
      <c r="D464" s="52" t="s">
        <v>33</v>
      </c>
      <c r="E464" s="52" t="s">
        <v>605</v>
      </c>
      <c r="F464" s="52" t="s">
        <v>26</v>
      </c>
      <c r="G464" s="55" t="s">
        <v>276</v>
      </c>
      <c r="H464" s="55">
        <v>-10.0625</v>
      </c>
      <c r="I464" s="55">
        <v>-10.080830000000001</v>
      </c>
      <c r="J464" s="55">
        <v>-9.980124</v>
      </c>
      <c r="K464" s="55">
        <v>-7.0157850000000002</v>
      </c>
      <c r="L464" s="55">
        <v>7.8752100000000005E-2</v>
      </c>
      <c r="M464" s="55">
        <v>0.1172289</v>
      </c>
      <c r="N464" s="55">
        <v>-0.16382140000000001</v>
      </c>
    </row>
    <row r="465" spans="1:14" hidden="1" x14ac:dyDescent="0.35">
      <c r="A465" s="52" t="s">
        <v>206</v>
      </c>
      <c r="B465" s="52" t="s">
        <v>34</v>
      </c>
      <c r="C465" s="52" t="s">
        <v>33</v>
      </c>
      <c r="D465" s="52" t="s">
        <v>33</v>
      </c>
      <c r="E465" s="52" t="s">
        <v>605</v>
      </c>
      <c r="F465" s="52" t="s">
        <v>26</v>
      </c>
      <c r="G465" s="55" t="s">
        <v>277</v>
      </c>
      <c r="H465" s="55">
        <v>113</v>
      </c>
      <c r="I465" s="55">
        <v>0.136987</v>
      </c>
      <c r="J465" s="55">
        <v>0.45855059999999997</v>
      </c>
      <c r="K465" s="55">
        <v>0.99477210000000005</v>
      </c>
      <c r="L465" s="55">
        <v>1.641594</v>
      </c>
      <c r="M465" s="55">
        <v>0.7329426</v>
      </c>
      <c r="N465" s="55">
        <v>1.4740519999999999</v>
      </c>
    </row>
    <row r="466" spans="1:14" hidden="1" x14ac:dyDescent="0.35">
      <c r="A466" s="52" t="s">
        <v>206</v>
      </c>
      <c r="B466" s="52" t="s">
        <v>34</v>
      </c>
      <c r="C466" s="52" t="s">
        <v>33</v>
      </c>
      <c r="D466" s="52" t="s">
        <v>33</v>
      </c>
      <c r="E466" s="52" t="s">
        <v>605</v>
      </c>
      <c r="F466" s="52" t="s">
        <v>26</v>
      </c>
      <c r="G466" s="55" t="s">
        <v>278</v>
      </c>
      <c r="H466" s="55">
        <v>0</v>
      </c>
      <c r="I466" s="55">
        <v>0.15633839999999999</v>
      </c>
      <c r="J466" s="55">
        <v>1.625329</v>
      </c>
      <c r="K466" s="55">
        <v>2.6472509999999998</v>
      </c>
      <c r="L466" s="55">
        <v>4.0451680000000003</v>
      </c>
      <c r="M466" s="55">
        <v>2.6928299999999998</v>
      </c>
      <c r="N466" s="55">
        <v>4.2819000000000003</v>
      </c>
    </row>
    <row r="467" spans="1:14" hidden="1" x14ac:dyDescent="0.35">
      <c r="A467" s="52" t="s">
        <v>206</v>
      </c>
      <c r="B467" s="52" t="s">
        <v>34</v>
      </c>
      <c r="C467" s="52" t="s">
        <v>33</v>
      </c>
      <c r="D467" s="52" t="s">
        <v>33</v>
      </c>
      <c r="E467" s="52" t="s">
        <v>605</v>
      </c>
      <c r="F467" s="52" t="s">
        <v>26</v>
      </c>
      <c r="G467" s="55" t="s">
        <v>279</v>
      </c>
      <c r="H467" s="55"/>
      <c r="I467" s="55">
        <v>0</v>
      </c>
      <c r="J467" s="55">
        <v>1.0642450000000001</v>
      </c>
      <c r="K467" s="55">
        <v>2.0948000000000002</v>
      </c>
      <c r="L467" s="55">
        <v>3.932572</v>
      </c>
      <c r="M467" s="55">
        <v>5.3611250000000004</v>
      </c>
      <c r="N467" s="55">
        <v>5.518802</v>
      </c>
    </row>
    <row r="468" spans="1:14" hidden="1" x14ac:dyDescent="0.35">
      <c r="A468" s="52" t="s">
        <v>206</v>
      </c>
      <c r="B468" s="52" t="s">
        <v>34</v>
      </c>
      <c r="C468" s="52" t="s">
        <v>263</v>
      </c>
      <c r="D468" s="52" t="s">
        <v>263</v>
      </c>
      <c r="E468" s="52" t="s">
        <v>584</v>
      </c>
      <c r="F468" s="52" t="s">
        <v>581</v>
      </c>
      <c r="G468" s="55" t="s">
        <v>275</v>
      </c>
      <c r="H468" s="55">
        <v>-0.57761770000000001</v>
      </c>
      <c r="I468" s="55">
        <v>-0.68104339999999997</v>
      </c>
      <c r="J468" s="55">
        <v>-7.726826E-3</v>
      </c>
      <c r="K468" s="55">
        <v>1.328175E-3</v>
      </c>
      <c r="L468" s="55">
        <v>-3.9498249999999997E-3</v>
      </c>
      <c r="M468" s="55">
        <v>-3.9498249999999997E-3</v>
      </c>
      <c r="N468" s="55">
        <v>-5.0248000000000003E-3</v>
      </c>
    </row>
    <row r="469" spans="1:14" hidden="1" x14ac:dyDescent="0.35">
      <c r="A469" s="52" t="s">
        <v>206</v>
      </c>
      <c r="B469" s="52" t="s">
        <v>34</v>
      </c>
      <c r="C469" s="52" t="s">
        <v>263</v>
      </c>
      <c r="D469" s="52" t="s">
        <v>263</v>
      </c>
      <c r="E469" s="52" t="s">
        <v>584</v>
      </c>
      <c r="F469" s="52" t="s">
        <v>581</v>
      </c>
      <c r="G469" s="55" t="s">
        <v>276</v>
      </c>
      <c r="H469" s="55">
        <v>-0.21393429999999999</v>
      </c>
      <c r="I469" s="55">
        <v>-0.2214198</v>
      </c>
      <c r="J469" s="55">
        <v>-1.099585</v>
      </c>
      <c r="K469" s="55">
        <v>-1.0021690000000001</v>
      </c>
      <c r="L469" s="55">
        <v>-4.0403589999999996</v>
      </c>
      <c r="M469" s="55">
        <v>-0.70947000000000005</v>
      </c>
      <c r="N469" s="55">
        <v>-0.7096751</v>
      </c>
    </row>
    <row r="470" spans="1:14" hidden="1" x14ac:dyDescent="0.35">
      <c r="A470" s="52" t="s">
        <v>206</v>
      </c>
      <c r="B470" s="52" t="s">
        <v>34</v>
      </c>
      <c r="C470" s="52" t="s">
        <v>263</v>
      </c>
      <c r="D470" s="52" t="s">
        <v>263</v>
      </c>
      <c r="E470" s="52" t="s">
        <v>584</v>
      </c>
      <c r="F470" s="52" t="s">
        <v>581</v>
      </c>
      <c r="G470" s="55" t="s">
        <v>277</v>
      </c>
      <c r="H470" s="55"/>
      <c r="I470" s="55"/>
      <c r="J470" s="55"/>
      <c r="K470" s="55"/>
      <c r="L470" s="55">
        <v>0</v>
      </c>
      <c r="M470" s="55">
        <v>6.3625000000000002E-5</v>
      </c>
      <c r="N470" s="55">
        <v>1.3464900000000001E-3</v>
      </c>
    </row>
    <row r="471" spans="1:14" hidden="1" x14ac:dyDescent="0.35">
      <c r="A471" s="52" t="s">
        <v>206</v>
      </c>
      <c r="B471" s="52" t="s">
        <v>34</v>
      </c>
      <c r="C471" s="52" t="s">
        <v>263</v>
      </c>
      <c r="D471" s="52" t="s">
        <v>263</v>
      </c>
      <c r="E471" s="52" t="s">
        <v>584</v>
      </c>
      <c r="F471" s="52" t="s">
        <v>581</v>
      </c>
      <c r="G471" s="55" t="s">
        <v>278</v>
      </c>
      <c r="H471" s="55">
        <v>0.79154899999999995</v>
      </c>
      <c r="I471" s="55">
        <v>0.90246300000000002</v>
      </c>
      <c r="J471" s="55">
        <v>1.1178680000000001</v>
      </c>
      <c r="K471" s="55">
        <v>1.006119</v>
      </c>
      <c r="L471" s="55">
        <v>4.0443119999999997</v>
      </c>
      <c r="M471" s="55">
        <v>0.71335499999999996</v>
      </c>
      <c r="N471" s="55">
        <v>0.71335499999999996</v>
      </c>
    </row>
    <row r="472" spans="1:14" hidden="1" x14ac:dyDescent="0.35">
      <c r="A472" s="52" t="s">
        <v>206</v>
      </c>
      <c r="B472" s="52" t="s">
        <v>34</v>
      </c>
      <c r="C472" s="52" t="s">
        <v>263</v>
      </c>
      <c r="D472" s="52" t="s">
        <v>263</v>
      </c>
      <c r="E472" s="52" t="s">
        <v>584</v>
      </c>
      <c r="F472" s="52" t="s">
        <v>26</v>
      </c>
      <c r="G472" s="55" t="s">
        <v>275</v>
      </c>
      <c r="H472" s="55">
        <v>-0.10814799999999999</v>
      </c>
      <c r="I472" s="55">
        <v>-0.10814799999999999</v>
      </c>
      <c r="J472" s="55">
        <v>0.02</v>
      </c>
      <c r="K472" s="55">
        <v>0.01</v>
      </c>
      <c r="L472" s="55">
        <v>0</v>
      </c>
      <c r="M472" s="55">
        <v>0</v>
      </c>
      <c r="N472" s="55">
        <v>0</v>
      </c>
    </row>
    <row r="473" spans="1:14" hidden="1" x14ac:dyDescent="0.35">
      <c r="A473" s="52" t="s">
        <v>206</v>
      </c>
      <c r="B473" s="52" t="s">
        <v>34</v>
      </c>
      <c r="C473" s="52" t="s">
        <v>263</v>
      </c>
      <c r="D473" s="52" t="s">
        <v>263</v>
      </c>
      <c r="E473" s="52" t="s">
        <v>584</v>
      </c>
      <c r="F473" s="52" t="s">
        <v>26</v>
      </c>
      <c r="G473" s="55" t="s">
        <v>276</v>
      </c>
      <c r="H473" s="55">
        <v>-0.04</v>
      </c>
      <c r="I473" s="55">
        <v>-0.04</v>
      </c>
      <c r="J473" s="55">
        <v>0</v>
      </c>
      <c r="K473" s="55">
        <v>0</v>
      </c>
      <c r="L473" s="55">
        <v>0</v>
      </c>
      <c r="M473" s="55">
        <v>0</v>
      </c>
      <c r="N473" s="55">
        <v>0</v>
      </c>
    </row>
    <row r="474" spans="1:14" hidden="1" x14ac:dyDescent="0.35">
      <c r="A474" s="52" t="s">
        <v>206</v>
      </c>
      <c r="B474" s="52" t="s">
        <v>34</v>
      </c>
      <c r="C474" s="52" t="s">
        <v>263</v>
      </c>
      <c r="D474" s="52" t="s">
        <v>263</v>
      </c>
      <c r="E474" s="52" t="s">
        <v>584</v>
      </c>
      <c r="F474" s="52" t="s">
        <v>26</v>
      </c>
      <c r="G474" s="55" t="s">
        <v>277</v>
      </c>
      <c r="H474" s="55"/>
      <c r="I474" s="55"/>
      <c r="J474" s="55">
        <v>0</v>
      </c>
      <c r="K474" s="55"/>
      <c r="L474" s="55"/>
      <c r="M474" s="55"/>
      <c r="N474" s="55"/>
    </row>
    <row r="475" spans="1:14" hidden="1" x14ac:dyDescent="0.35">
      <c r="A475" s="52" t="s">
        <v>206</v>
      </c>
      <c r="B475" s="52" t="s">
        <v>34</v>
      </c>
      <c r="C475" s="52" t="s">
        <v>263</v>
      </c>
      <c r="D475" s="52" t="s">
        <v>263</v>
      </c>
      <c r="E475" s="52" t="s">
        <v>584</v>
      </c>
      <c r="F475" s="52" t="s">
        <v>26</v>
      </c>
      <c r="G475" s="55" t="s">
        <v>278</v>
      </c>
      <c r="H475" s="55">
        <v>0.148148</v>
      </c>
      <c r="I475" s="55">
        <v>0.148148</v>
      </c>
      <c r="J475" s="55">
        <v>0</v>
      </c>
      <c r="K475" s="55">
        <v>0</v>
      </c>
      <c r="L475" s="55">
        <v>0</v>
      </c>
      <c r="M475" s="55">
        <v>0</v>
      </c>
      <c r="N475" s="55"/>
    </row>
    <row r="476" spans="1:14" hidden="1" x14ac:dyDescent="0.35">
      <c r="A476" s="52" t="s">
        <v>206</v>
      </c>
      <c r="B476" s="52" t="s">
        <v>34</v>
      </c>
      <c r="C476" s="52" t="s">
        <v>302</v>
      </c>
      <c r="D476" s="52" t="s">
        <v>302</v>
      </c>
      <c r="E476" s="52" t="s">
        <v>584</v>
      </c>
      <c r="F476" s="52" t="s">
        <v>581</v>
      </c>
      <c r="G476" s="55" t="s">
        <v>275</v>
      </c>
      <c r="H476" s="55">
        <v>-3.9125829999999999E-3</v>
      </c>
      <c r="I476" s="55">
        <v>-3.9125840000000002E-3</v>
      </c>
      <c r="J476" s="55">
        <v>1.2361169999999999E-3</v>
      </c>
      <c r="K476" s="55">
        <v>6.1808670000000003E-4</v>
      </c>
      <c r="L476" s="55">
        <v>0</v>
      </c>
      <c r="M476" s="55">
        <v>0</v>
      </c>
      <c r="N476" s="55">
        <v>0</v>
      </c>
    </row>
    <row r="477" spans="1:14" hidden="1" x14ac:dyDescent="0.35">
      <c r="A477" s="52" t="s">
        <v>206</v>
      </c>
      <c r="B477" s="52" t="s">
        <v>34</v>
      </c>
      <c r="C477" s="52" t="s">
        <v>302</v>
      </c>
      <c r="D477" s="52" t="s">
        <v>302</v>
      </c>
      <c r="E477" s="52" t="s">
        <v>584</v>
      </c>
      <c r="F477" s="52" t="s">
        <v>581</v>
      </c>
      <c r="G477" s="55" t="s">
        <v>276</v>
      </c>
      <c r="H477" s="55">
        <v>-3.2296320000000001E-3</v>
      </c>
      <c r="I477" s="55">
        <v>-3.2295190000000001E-3</v>
      </c>
      <c r="J477" s="55">
        <v>-2.8049490000000002E-3</v>
      </c>
      <c r="K477" s="55">
        <v>-4.1072570000000003E-2</v>
      </c>
      <c r="L477" s="55">
        <v>-2.8048919999999998E-3</v>
      </c>
      <c r="M477" s="55">
        <v>-2.8048919999999998E-3</v>
      </c>
      <c r="N477" s="55">
        <v>-2.8049490000000002E-3</v>
      </c>
    </row>
    <row r="478" spans="1:14" hidden="1" x14ac:dyDescent="0.35">
      <c r="A478" s="52" t="s">
        <v>206</v>
      </c>
      <c r="B478" s="52" t="s">
        <v>34</v>
      </c>
      <c r="C478" s="52" t="s">
        <v>302</v>
      </c>
      <c r="D478" s="52" t="s">
        <v>302</v>
      </c>
      <c r="E478" s="52" t="s">
        <v>584</v>
      </c>
      <c r="F478" s="52" t="s">
        <v>581</v>
      </c>
      <c r="G478" s="55" t="s">
        <v>278</v>
      </c>
      <c r="H478" s="55">
        <v>7.1421590000000004E-3</v>
      </c>
      <c r="I478" s="55">
        <v>7.1421590000000004E-3</v>
      </c>
      <c r="J478" s="55">
        <v>2.8048930000000001E-3</v>
      </c>
      <c r="K478" s="55">
        <v>4.1072459999999998E-2</v>
      </c>
      <c r="L478" s="55">
        <v>2.8048919999999998E-3</v>
      </c>
      <c r="M478" s="55">
        <v>2.8048930000000001E-3</v>
      </c>
      <c r="N478" s="55">
        <v>2.8048930000000001E-3</v>
      </c>
    </row>
    <row r="479" spans="1:14" hidden="1" x14ac:dyDescent="0.35">
      <c r="A479" s="52" t="s">
        <v>206</v>
      </c>
      <c r="B479" s="52" t="s">
        <v>34</v>
      </c>
      <c r="C479" s="52" t="s">
        <v>380</v>
      </c>
      <c r="D479" s="52" t="s">
        <v>380</v>
      </c>
      <c r="E479" s="52" t="s">
        <v>584</v>
      </c>
      <c r="F479" s="52" t="s">
        <v>581</v>
      </c>
      <c r="G479" s="55" t="s">
        <v>275</v>
      </c>
      <c r="H479" s="55">
        <v>-4.9217150000000001E-2</v>
      </c>
      <c r="I479" s="55">
        <v>-4.9217150000000001E-2</v>
      </c>
      <c r="J479" s="55">
        <v>0</v>
      </c>
      <c r="K479" s="55">
        <v>0</v>
      </c>
      <c r="L479" s="55">
        <v>0</v>
      </c>
      <c r="M479" s="55">
        <v>0</v>
      </c>
      <c r="N479" s="55">
        <v>0</v>
      </c>
    </row>
    <row r="480" spans="1:14" hidden="1" x14ac:dyDescent="0.35">
      <c r="A480" s="52" t="s">
        <v>206</v>
      </c>
      <c r="B480" s="52" t="s">
        <v>34</v>
      </c>
      <c r="C480" s="52" t="s">
        <v>380</v>
      </c>
      <c r="D480" s="52" t="s">
        <v>380</v>
      </c>
      <c r="E480" s="52" t="s">
        <v>584</v>
      </c>
      <c r="F480" s="52" t="s">
        <v>581</v>
      </c>
      <c r="G480" s="55" t="s">
        <v>276</v>
      </c>
      <c r="H480" s="55"/>
      <c r="I480" s="55"/>
      <c r="J480" s="55">
        <v>-3.0037310000000002</v>
      </c>
      <c r="K480" s="55">
        <v>-1.6737470000000001</v>
      </c>
      <c r="L480" s="55">
        <v>-4.9217150000000001E-2</v>
      </c>
      <c r="M480" s="55">
        <v>-6.6522150000000002E-2</v>
      </c>
      <c r="N480" s="55">
        <v>-7.8203030000000007E-2</v>
      </c>
    </row>
    <row r="481" spans="1:14" hidden="1" x14ac:dyDescent="0.35">
      <c r="A481" s="52" t="s">
        <v>206</v>
      </c>
      <c r="B481" s="52" t="s">
        <v>34</v>
      </c>
      <c r="C481" s="52" t="s">
        <v>380</v>
      </c>
      <c r="D481" s="52" t="s">
        <v>380</v>
      </c>
      <c r="E481" s="52" t="s">
        <v>584</v>
      </c>
      <c r="F481" s="52" t="s">
        <v>581</v>
      </c>
      <c r="G481" s="55" t="s">
        <v>277</v>
      </c>
      <c r="H481" s="55"/>
      <c r="I481" s="55"/>
      <c r="J481" s="55"/>
      <c r="K481" s="55"/>
      <c r="L481" s="55">
        <v>0</v>
      </c>
      <c r="M481" s="55">
        <v>1.7305000000000001E-2</v>
      </c>
      <c r="N481" s="55">
        <v>2.898587E-2</v>
      </c>
    </row>
    <row r="482" spans="1:14" hidden="1" x14ac:dyDescent="0.35">
      <c r="A482" s="52" t="s">
        <v>206</v>
      </c>
      <c r="B482" s="52" t="s">
        <v>34</v>
      </c>
      <c r="C482" s="52" t="s">
        <v>380</v>
      </c>
      <c r="D482" s="52" t="s">
        <v>380</v>
      </c>
      <c r="E482" s="52" t="s">
        <v>584</v>
      </c>
      <c r="F482" s="52" t="s">
        <v>581</v>
      </c>
      <c r="G482" s="55" t="s">
        <v>278</v>
      </c>
      <c r="H482" s="55">
        <v>4.9217150000000001E-2</v>
      </c>
      <c r="I482" s="55">
        <v>4.9217150000000001E-2</v>
      </c>
      <c r="J482" s="55">
        <v>3.0037310000000002</v>
      </c>
      <c r="K482" s="55">
        <v>1.6737470000000001</v>
      </c>
      <c r="L482" s="55">
        <v>4.9217150000000001E-2</v>
      </c>
      <c r="M482" s="55">
        <v>4.9217150000000001E-2</v>
      </c>
      <c r="N482" s="55">
        <v>4.9217150000000001E-2</v>
      </c>
    </row>
    <row r="483" spans="1:14" hidden="1" x14ac:dyDescent="0.35">
      <c r="A483" s="52" t="s">
        <v>206</v>
      </c>
      <c r="B483" s="52" t="s">
        <v>34</v>
      </c>
      <c r="C483" s="52" t="s">
        <v>380</v>
      </c>
      <c r="D483" s="52" t="s">
        <v>380</v>
      </c>
      <c r="E483" s="52" t="s">
        <v>584</v>
      </c>
      <c r="F483" s="52" t="s">
        <v>26</v>
      </c>
      <c r="G483" s="55" t="s">
        <v>275</v>
      </c>
      <c r="H483" s="55"/>
      <c r="I483" s="55">
        <v>0</v>
      </c>
      <c r="J483" s="55">
        <v>0</v>
      </c>
      <c r="K483" s="55">
        <v>0</v>
      </c>
      <c r="L483" s="55">
        <v>0</v>
      </c>
      <c r="M483" s="55">
        <v>0</v>
      </c>
      <c r="N483" s="55">
        <v>0</v>
      </c>
    </row>
    <row r="484" spans="1:14" hidden="1" x14ac:dyDescent="0.35">
      <c r="A484" s="52" t="s">
        <v>206</v>
      </c>
      <c r="B484" s="52" t="s">
        <v>34</v>
      </c>
      <c r="C484" s="52" t="s">
        <v>380</v>
      </c>
      <c r="D484" s="52" t="s">
        <v>380</v>
      </c>
      <c r="E484" s="52" t="s">
        <v>584</v>
      </c>
      <c r="F484" s="52" t="s">
        <v>26</v>
      </c>
      <c r="G484" s="55" t="s">
        <v>277</v>
      </c>
      <c r="H484" s="55"/>
      <c r="I484" s="55"/>
      <c r="J484" s="55"/>
      <c r="K484" s="55"/>
      <c r="L484" s="55"/>
      <c r="M484" s="55">
        <v>0</v>
      </c>
      <c r="N484" s="55">
        <v>0</v>
      </c>
    </row>
    <row r="485" spans="1:14" hidden="1" x14ac:dyDescent="0.35">
      <c r="A485" s="52" t="s">
        <v>206</v>
      </c>
      <c r="B485" s="52" t="s">
        <v>34</v>
      </c>
      <c r="C485" s="52" t="s">
        <v>380</v>
      </c>
      <c r="D485" s="52" t="s">
        <v>380</v>
      </c>
      <c r="E485" s="52" t="s">
        <v>584</v>
      </c>
      <c r="F485" s="52" t="s">
        <v>26</v>
      </c>
      <c r="G485" s="55" t="s">
        <v>278</v>
      </c>
      <c r="H485" s="55"/>
      <c r="I485" s="55">
        <v>0</v>
      </c>
      <c r="J485" s="55">
        <v>0</v>
      </c>
      <c r="K485" s="55">
        <v>0</v>
      </c>
      <c r="L485" s="55">
        <v>0</v>
      </c>
      <c r="M485" s="55">
        <v>0</v>
      </c>
      <c r="N485" s="55">
        <v>0</v>
      </c>
    </row>
    <row r="486" spans="1:14" hidden="1" x14ac:dyDescent="0.35">
      <c r="A486" s="52" t="s">
        <v>206</v>
      </c>
      <c r="B486" s="52" t="s">
        <v>34</v>
      </c>
      <c r="C486" s="52" t="s">
        <v>292</v>
      </c>
      <c r="D486" s="52" t="s">
        <v>292</v>
      </c>
      <c r="E486" s="52" t="s">
        <v>584</v>
      </c>
      <c r="F486" s="52" t="s">
        <v>581</v>
      </c>
      <c r="G486" s="55" t="s">
        <v>275</v>
      </c>
      <c r="H486" s="55">
        <v>-2.63152E-3</v>
      </c>
      <c r="I486" s="55">
        <v>-2.6314419999999999E-3</v>
      </c>
      <c r="J486" s="55">
        <v>0</v>
      </c>
      <c r="K486" s="55">
        <v>0</v>
      </c>
      <c r="L486" s="55">
        <v>0</v>
      </c>
      <c r="M486" s="55">
        <v>0</v>
      </c>
      <c r="N486" s="55">
        <v>0</v>
      </c>
    </row>
    <row r="487" spans="1:14" hidden="1" x14ac:dyDescent="0.35">
      <c r="A487" s="52" t="s">
        <v>206</v>
      </c>
      <c r="B487" s="52" t="s">
        <v>34</v>
      </c>
      <c r="C487" s="52" t="s">
        <v>292</v>
      </c>
      <c r="D487" s="52" t="s">
        <v>292</v>
      </c>
      <c r="E487" s="52" t="s">
        <v>584</v>
      </c>
      <c r="F487" s="52" t="s">
        <v>581</v>
      </c>
      <c r="G487" s="55" t="s">
        <v>276</v>
      </c>
      <c r="H487" s="55">
        <v>-9.7324330000000004E-4</v>
      </c>
      <c r="I487" s="55">
        <v>-9.7324330000000004E-4</v>
      </c>
      <c r="J487" s="55">
        <v>-9.5660910000000002E-2</v>
      </c>
      <c r="K487" s="55">
        <v>-3.604763E-3</v>
      </c>
      <c r="L487" s="55">
        <v>-3.604763E-3</v>
      </c>
      <c r="M487" s="55">
        <v>-3.604763E-3</v>
      </c>
      <c r="N487" s="55">
        <v>-3.6047639999999999E-3</v>
      </c>
    </row>
    <row r="488" spans="1:14" hidden="1" x14ac:dyDescent="0.35">
      <c r="A488" s="52" t="s">
        <v>206</v>
      </c>
      <c r="B488" s="52" t="s">
        <v>34</v>
      </c>
      <c r="C488" s="52" t="s">
        <v>292</v>
      </c>
      <c r="D488" s="52" t="s">
        <v>292</v>
      </c>
      <c r="E488" s="52" t="s">
        <v>584</v>
      </c>
      <c r="F488" s="52" t="s">
        <v>581</v>
      </c>
      <c r="G488" s="55" t="s">
        <v>278</v>
      </c>
      <c r="H488" s="55">
        <v>3.604763E-3</v>
      </c>
      <c r="I488" s="55">
        <v>3.604763E-3</v>
      </c>
      <c r="J488" s="55">
        <v>9.5660919999999997E-2</v>
      </c>
      <c r="K488" s="55">
        <v>3.604763E-3</v>
      </c>
      <c r="L488" s="55">
        <v>3.604763E-3</v>
      </c>
      <c r="M488" s="55">
        <v>3.604763E-3</v>
      </c>
      <c r="N488" s="55">
        <v>3.604763E-3</v>
      </c>
    </row>
    <row r="489" spans="1:14" hidden="1" x14ac:dyDescent="0.35">
      <c r="A489" s="52" t="s">
        <v>206</v>
      </c>
      <c r="B489" s="52" t="s">
        <v>34</v>
      </c>
      <c r="C489" s="52" t="s">
        <v>300</v>
      </c>
      <c r="D489" s="52" t="s">
        <v>300</v>
      </c>
      <c r="E489" s="52" t="s">
        <v>584</v>
      </c>
      <c r="F489" s="52" t="s">
        <v>581</v>
      </c>
      <c r="G489" s="55" t="s">
        <v>275</v>
      </c>
      <c r="H489" s="55">
        <v>-0.1258975</v>
      </c>
      <c r="I489" s="55">
        <v>-0.1258975</v>
      </c>
      <c r="J489" s="55">
        <v>0</v>
      </c>
      <c r="K489" s="55">
        <v>0</v>
      </c>
      <c r="L489" s="55">
        <v>0</v>
      </c>
      <c r="M489" s="55">
        <v>0</v>
      </c>
      <c r="N489" s="55">
        <v>0</v>
      </c>
    </row>
    <row r="490" spans="1:14" hidden="1" x14ac:dyDescent="0.35">
      <c r="A490" s="52" t="s">
        <v>206</v>
      </c>
      <c r="B490" s="52" t="s">
        <v>34</v>
      </c>
      <c r="C490" s="52" t="s">
        <v>300</v>
      </c>
      <c r="D490" s="52" t="s">
        <v>300</v>
      </c>
      <c r="E490" s="52" t="s">
        <v>584</v>
      </c>
      <c r="F490" s="52" t="s">
        <v>581</v>
      </c>
      <c r="G490" s="55" t="s">
        <v>276</v>
      </c>
      <c r="H490" s="55"/>
      <c r="I490" s="55"/>
      <c r="J490" s="55">
        <v>-0.1258975</v>
      </c>
      <c r="K490" s="55">
        <v>-0.1258975</v>
      </c>
      <c r="L490" s="55">
        <v>-0.1258975</v>
      </c>
      <c r="M490" s="55">
        <v>-0.1258975</v>
      </c>
      <c r="N490" s="55">
        <v>-0.1258975</v>
      </c>
    </row>
    <row r="491" spans="1:14" hidden="1" x14ac:dyDescent="0.35">
      <c r="A491" s="52" t="s">
        <v>206</v>
      </c>
      <c r="B491" s="52" t="s">
        <v>34</v>
      </c>
      <c r="C491" s="52" t="s">
        <v>300</v>
      </c>
      <c r="D491" s="52" t="s">
        <v>300</v>
      </c>
      <c r="E491" s="52" t="s">
        <v>584</v>
      </c>
      <c r="F491" s="52" t="s">
        <v>581</v>
      </c>
      <c r="G491" s="55" t="s">
        <v>278</v>
      </c>
      <c r="H491" s="55">
        <v>0.1258975</v>
      </c>
      <c r="I491" s="55">
        <v>0.1258975</v>
      </c>
      <c r="J491" s="55">
        <v>0.1258975</v>
      </c>
      <c r="K491" s="55">
        <v>0.1258975</v>
      </c>
      <c r="L491" s="55">
        <v>0.1258975</v>
      </c>
      <c r="M491" s="55">
        <v>0.1258975</v>
      </c>
      <c r="N491" s="55">
        <v>0.1258975</v>
      </c>
    </row>
    <row r="492" spans="1:14" hidden="1" x14ac:dyDescent="0.35">
      <c r="A492" s="52" t="s">
        <v>206</v>
      </c>
      <c r="B492" s="52" t="s">
        <v>34</v>
      </c>
      <c r="C492" s="52" t="s">
        <v>341</v>
      </c>
      <c r="D492" s="52" t="s">
        <v>341</v>
      </c>
      <c r="E492" s="52" t="s">
        <v>584</v>
      </c>
      <c r="F492" s="52" t="s">
        <v>581</v>
      </c>
      <c r="G492" s="55" t="s">
        <v>275</v>
      </c>
      <c r="H492" s="55">
        <v>-2.6637600000000001E-2</v>
      </c>
      <c r="I492" s="55">
        <v>-5.1465919999999998E-2</v>
      </c>
      <c r="J492" s="55">
        <v>0</v>
      </c>
      <c r="K492" s="55">
        <v>0</v>
      </c>
      <c r="L492" s="55">
        <v>0</v>
      </c>
      <c r="M492" s="55">
        <v>0</v>
      </c>
      <c r="N492" s="55">
        <v>0</v>
      </c>
    </row>
    <row r="493" spans="1:14" hidden="1" x14ac:dyDescent="0.35">
      <c r="A493" s="52" t="s">
        <v>206</v>
      </c>
      <c r="B493" s="52" t="s">
        <v>34</v>
      </c>
      <c r="C493" s="52" t="s">
        <v>341</v>
      </c>
      <c r="D493" s="52" t="s">
        <v>341</v>
      </c>
      <c r="E493" s="52" t="s">
        <v>584</v>
      </c>
      <c r="F493" s="52" t="s">
        <v>581</v>
      </c>
      <c r="G493" s="55" t="s">
        <v>276</v>
      </c>
      <c r="H493" s="55">
        <v>-9.8524800000000003E-3</v>
      </c>
      <c r="I493" s="55">
        <v>-1.164944E-2</v>
      </c>
      <c r="J493" s="55">
        <v>-3.6490960000000003E-2</v>
      </c>
      <c r="K493" s="55">
        <v>-3.6490080000000001E-2</v>
      </c>
      <c r="L493" s="55">
        <v>-3.6490080000000001E-2</v>
      </c>
      <c r="M493" s="55">
        <v>-3.6489639999999997E-2</v>
      </c>
      <c r="N493" s="55">
        <v>-3.6490080000000001E-2</v>
      </c>
    </row>
    <row r="494" spans="1:14" hidden="1" x14ac:dyDescent="0.35">
      <c r="A494" s="52" t="s">
        <v>206</v>
      </c>
      <c r="B494" s="52" t="s">
        <v>34</v>
      </c>
      <c r="C494" s="52" t="s">
        <v>341</v>
      </c>
      <c r="D494" s="52" t="s">
        <v>341</v>
      </c>
      <c r="E494" s="52" t="s">
        <v>584</v>
      </c>
      <c r="F494" s="52" t="s">
        <v>581</v>
      </c>
      <c r="G494" s="55" t="s">
        <v>278</v>
      </c>
      <c r="H494" s="55">
        <v>3.6490080000000001E-2</v>
      </c>
      <c r="I494" s="55">
        <v>6.31158E-2</v>
      </c>
      <c r="J494" s="55">
        <v>3.6490080000000001E-2</v>
      </c>
      <c r="K494" s="55">
        <v>3.6490080000000001E-2</v>
      </c>
      <c r="L494" s="55">
        <v>3.6490080000000001E-2</v>
      </c>
      <c r="M494" s="55">
        <v>3.6490080000000001E-2</v>
      </c>
      <c r="N494" s="55">
        <v>3.6490080000000001E-2</v>
      </c>
    </row>
    <row r="495" spans="1:14" hidden="1" x14ac:dyDescent="0.35">
      <c r="A495" s="52" t="s">
        <v>206</v>
      </c>
      <c r="B495" s="52" t="s">
        <v>34</v>
      </c>
      <c r="C495" s="52" t="s">
        <v>308</v>
      </c>
      <c r="D495" s="52" t="s">
        <v>308</v>
      </c>
      <c r="E495" s="52" t="s">
        <v>584</v>
      </c>
      <c r="F495" s="52" t="s">
        <v>581</v>
      </c>
      <c r="G495" s="55" t="s">
        <v>275</v>
      </c>
      <c r="H495" s="55">
        <v>-4.4503520000000003E-3</v>
      </c>
      <c r="I495" s="55">
        <v>-4.4503520000000003E-3</v>
      </c>
      <c r="J495" s="55">
        <v>0</v>
      </c>
      <c r="K495" s="55">
        <v>0</v>
      </c>
      <c r="L495" s="55">
        <v>0</v>
      </c>
      <c r="M495" s="55">
        <v>0</v>
      </c>
      <c r="N495" s="55">
        <v>0</v>
      </c>
    </row>
    <row r="496" spans="1:14" hidden="1" x14ac:dyDescent="0.35">
      <c r="A496" s="52" t="s">
        <v>206</v>
      </c>
      <c r="B496" s="52" t="s">
        <v>34</v>
      </c>
      <c r="C496" s="52" t="s">
        <v>308</v>
      </c>
      <c r="D496" s="52" t="s">
        <v>308</v>
      </c>
      <c r="E496" s="52" t="s">
        <v>584</v>
      </c>
      <c r="F496" s="52" t="s">
        <v>581</v>
      </c>
      <c r="G496" s="55" t="s">
        <v>276</v>
      </c>
      <c r="H496" s="55">
        <v>-1.6459700000000001E-3</v>
      </c>
      <c r="I496" s="55">
        <v>-1.646034E-3</v>
      </c>
      <c r="J496" s="55">
        <v>-6.0963859999999996E-3</v>
      </c>
      <c r="K496" s="55">
        <v>-6.0963859999999996E-3</v>
      </c>
      <c r="L496" s="55">
        <v>-6.0963850000000002E-3</v>
      </c>
      <c r="M496" s="55">
        <v>-6.0963850000000002E-3</v>
      </c>
      <c r="N496" s="55">
        <v>-0.8601183</v>
      </c>
    </row>
    <row r="497" spans="1:14" hidden="1" x14ac:dyDescent="0.35">
      <c r="A497" s="52" t="s">
        <v>206</v>
      </c>
      <c r="B497" s="52" t="s">
        <v>34</v>
      </c>
      <c r="C497" s="52" t="s">
        <v>308</v>
      </c>
      <c r="D497" s="52" t="s">
        <v>308</v>
      </c>
      <c r="E497" s="52" t="s">
        <v>584</v>
      </c>
      <c r="F497" s="52" t="s">
        <v>581</v>
      </c>
      <c r="G497" s="55" t="s">
        <v>278</v>
      </c>
      <c r="H497" s="55">
        <v>6.0963859999999996E-3</v>
      </c>
      <c r="I497" s="55">
        <v>6.0963859999999996E-3</v>
      </c>
      <c r="J497" s="55">
        <v>6.0963859999999996E-3</v>
      </c>
      <c r="K497" s="55">
        <v>6.0963859999999996E-3</v>
      </c>
      <c r="L497" s="55">
        <v>6.0963859999999996E-3</v>
      </c>
      <c r="M497" s="55">
        <v>6.0963859999999996E-3</v>
      </c>
      <c r="N497" s="55">
        <v>0.86011820000000005</v>
      </c>
    </row>
    <row r="498" spans="1:14" hidden="1" x14ac:dyDescent="0.35">
      <c r="A498" s="52" t="s">
        <v>206</v>
      </c>
      <c r="B498" s="52" t="s">
        <v>34</v>
      </c>
      <c r="C498" s="52" t="s">
        <v>57</v>
      </c>
      <c r="D498" s="52" t="s">
        <v>57</v>
      </c>
      <c r="E498" s="52" t="s">
        <v>584</v>
      </c>
      <c r="F498" s="52" t="s">
        <v>581</v>
      </c>
      <c r="G498" s="55" t="s">
        <v>275</v>
      </c>
      <c r="H498" s="55">
        <v>-4.4267359999999999E-2</v>
      </c>
      <c r="I498" s="55">
        <v>-4.4267359999999999E-2</v>
      </c>
      <c r="J498" s="55">
        <v>-2.5801629999999999E-2</v>
      </c>
      <c r="K498" s="55">
        <v>-1.2373790000000001E-2</v>
      </c>
      <c r="L498" s="55">
        <v>-1.2373790000000001E-2</v>
      </c>
      <c r="M498" s="55">
        <v>-1.2373790000000001E-2</v>
      </c>
      <c r="N498" s="55">
        <v>-1.327999E-2</v>
      </c>
    </row>
    <row r="499" spans="1:14" hidden="1" x14ac:dyDescent="0.35">
      <c r="A499" s="52" t="s">
        <v>206</v>
      </c>
      <c r="B499" s="52" t="s">
        <v>34</v>
      </c>
      <c r="C499" s="52" t="s">
        <v>57</v>
      </c>
      <c r="D499" s="52" t="s">
        <v>57</v>
      </c>
      <c r="E499" s="52" t="s">
        <v>584</v>
      </c>
      <c r="F499" s="52" t="s">
        <v>581</v>
      </c>
      <c r="G499" s="55" t="s">
        <v>276</v>
      </c>
      <c r="H499" s="55">
        <v>-1.6373059999999998E-2</v>
      </c>
      <c r="I499" s="55">
        <v>-1.6373059999999998E-2</v>
      </c>
      <c r="J499" s="55">
        <v>-7.9597550000000003E-2</v>
      </c>
      <c r="K499" s="55">
        <v>-4.8266629999999998E-2</v>
      </c>
      <c r="L499" s="55">
        <v>-4.8265919999999997E-2</v>
      </c>
      <c r="M499" s="55">
        <v>-4.8266629999999998E-2</v>
      </c>
      <c r="N499" s="55">
        <v>-4.7359709999999999E-2</v>
      </c>
    </row>
    <row r="500" spans="1:14" hidden="1" x14ac:dyDescent="0.35">
      <c r="A500" s="52" t="s">
        <v>206</v>
      </c>
      <c r="B500" s="52" t="s">
        <v>34</v>
      </c>
      <c r="C500" s="52" t="s">
        <v>57</v>
      </c>
      <c r="D500" s="52" t="s">
        <v>57</v>
      </c>
      <c r="E500" s="52" t="s">
        <v>584</v>
      </c>
      <c r="F500" s="52" t="s">
        <v>581</v>
      </c>
      <c r="G500" s="55" t="s">
        <v>278</v>
      </c>
      <c r="H500" s="55">
        <v>6.0639709999999999E-2</v>
      </c>
      <c r="I500" s="55">
        <v>6.0639709999999999E-2</v>
      </c>
      <c r="J500" s="55">
        <v>0.1053999</v>
      </c>
      <c r="K500" s="55">
        <v>6.0639709999999999E-2</v>
      </c>
      <c r="L500" s="55">
        <v>6.0639709999999999E-2</v>
      </c>
      <c r="M500" s="55">
        <v>6.0639709999999999E-2</v>
      </c>
      <c r="N500" s="55">
        <v>6.0639709999999999E-2</v>
      </c>
    </row>
    <row r="501" spans="1:14" hidden="1" x14ac:dyDescent="0.35">
      <c r="A501" s="52" t="s">
        <v>206</v>
      </c>
      <c r="B501" s="52" t="s">
        <v>34</v>
      </c>
      <c r="C501" s="52" t="s">
        <v>318</v>
      </c>
      <c r="D501" s="52" t="s">
        <v>318</v>
      </c>
      <c r="E501" s="52" t="s">
        <v>584</v>
      </c>
      <c r="F501" s="52" t="s">
        <v>581</v>
      </c>
      <c r="G501" s="55" t="s">
        <v>275</v>
      </c>
      <c r="H501" s="55">
        <v>-86.255650000000003</v>
      </c>
      <c r="I501" s="55">
        <v>0</v>
      </c>
      <c r="J501" s="55"/>
      <c r="K501" s="55"/>
      <c r="L501" s="55"/>
      <c r="M501" s="55"/>
      <c r="N501" s="55"/>
    </row>
    <row r="502" spans="1:14" hidden="1" x14ac:dyDescent="0.35">
      <c r="A502" s="52" t="s">
        <v>206</v>
      </c>
      <c r="B502" s="52" t="s">
        <v>34</v>
      </c>
      <c r="C502" s="52" t="s">
        <v>318</v>
      </c>
      <c r="D502" s="52" t="s">
        <v>318</v>
      </c>
      <c r="E502" s="52" t="s">
        <v>584</v>
      </c>
      <c r="F502" s="52" t="s">
        <v>581</v>
      </c>
      <c r="G502" s="55" t="s">
        <v>276</v>
      </c>
      <c r="H502" s="55">
        <v>-16.541709999999998</v>
      </c>
      <c r="I502" s="55">
        <v>0</v>
      </c>
      <c r="J502" s="55"/>
      <c r="K502" s="55"/>
      <c r="L502" s="55"/>
      <c r="M502" s="55"/>
      <c r="N502" s="55"/>
    </row>
    <row r="503" spans="1:14" hidden="1" x14ac:dyDescent="0.35">
      <c r="A503" s="52" t="s">
        <v>206</v>
      </c>
      <c r="B503" s="52" t="s">
        <v>34</v>
      </c>
      <c r="C503" s="52" t="s">
        <v>318</v>
      </c>
      <c r="D503" s="52" t="s">
        <v>318</v>
      </c>
      <c r="E503" s="52" t="s">
        <v>584</v>
      </c>
      <c r="F503" s="52" t="s">
        <v>581</v>
      </c>
      <c r="G503" s="55" t="s">
        <v>278</v>
      </c>
      <c r="H503" s="55">
        <v>102.7974</v>
      </c>
      <c r="I503" s="55">
        <v>0</v>
      </c>
      <c r="J503" s="55"/>
      <c r="K503" s="55"/>
      <c r="L503" s="55"/>
      <c r="M503" s="55"/>
      <c r="N503" s="55"/>
    </row>
    <row r="504" spans="1:14" hidden="1" x14ac:dyDescent="0.35">
      <c r="A504" s="52" t="s">
        <v>206</v>
      </c>
      <c r="B504" s="52" t="s">
        <v>34</v>
      </c>
      <c r="C504" s="52" t="s">
        <v>318</v>
      </c>
      <c r="D504" s="52" t="s">
        <v>318</v>
      </c>
      <c r="E504" s="52" t="s">
        <v>584</v>
      </c>
      <c r="F504" s="52" t="s">
        <v>26</v>
      </c>
      <c r="G504" s="55" t="s">
        <v>275</v>
      </c>
      <c r="H504" s="55">
        <v>-57.503770000000003</v>
      </c>
      <c r="I504" s="55">
        <v>0</v>
      </c>
      <c r="J504" s="55"/>
      <c r="K504" s="55"/>
      <c r="L504" s="55"/>
      <c r="M504" s="55"/>
      <c r="N504" s="55"/>
    </row>
    <row r="505" spans="1:14" hidden="1" x14ac:dyDescent="0.35">
      <c r="A505" s="52" t="s">
        <v>206</v>
      </c>
      <c r="B505" s="52" t="s">
        <v>34</v>
      </c>
      <c r="C505" s="52" t="s">
        <v>318</v>
      </c>
      <c r="D505" s="52" t="s">
        <v>318</v>
      </c>
      <c r="E505" s="52" t="s">
        <v>584</v>
      </c>
      <c r="F505" s="52" t="s">
        <v>26</v>
      </c>
      <c r="G505" s="55" t="s">
        <v>276</v>
      </c>
      <c r="H505" s="55">
        <v>-11.027810000000001</v>
      </c>
      <c r="I505" s="55">
        <v>0</v>
      </c>
      <c r="J505" s="55"/>
      <c r="K505" s="55"/>
      <c r="L505" s="55"/>
      <c r="M505" s="55"/>
      <c r="N505" s="55"/>
    </row>
    <row r="506" spans="1:14" hidden="1" x14ac:dyDescent="0.35">
      <c r="A506" s="52" t="s">
        <v>206</v>
      </c>
      <c r="B506" s="52" t="s">
        <v>34</v>
      </c>
      <c r="C506" s="52" t="s">
        <v>318</v>
      </c>
      <c r="D506" s="52" t="s">
        <v>318</v>
      </c>
      <c r="E506" s="52" t="s">
        <v>584</v>
      </c>
      <c r="F506" s="52" t="s">
        <v>26</v>
      </c>
      <c r="G506" s="55" t="s">
        <v>278</v>
      </c>
      <c r="H506" s="55">
        <v>68.531570000000002</v>
      </c>
      <c r="I506" s="55">
        <v>0</v>
      </c>
      <c r="J506" s="55"/>
      <c r="K506" s="55"/>
      <c r="L506" s="55"/>
      <c r="M506" s="55"/>
      <c r="N506" s="55"/>
    </row>
    <row r="507" spans="1:14" hidden="1" x14ac:dyDescent="0.35">
      <c r="A507" s="52" t="s">
        <v>206</v>
      </c>
      <c r="B507" s="52" t="s">
        <v>174</v>
      </c>
      <c r="C507" s="52" t="s">
        <v>198</v>
      </c>
      <c r="D507" s="52" t="s">
        <v>198</v>
      </c>
      <c r="E507" s="52" t="s">
        <v>584</v>
      </c>
      <c r="F507" s="52" t="s">
        <v>581</v>
      </c>
      <c r="G507" s="55" t="s">
        <v>275</v>
      </c>
      <c r="H507" s="55">
        <v>203.1251</v>
      </c>
      <c r="I507" s="55">
        <v>115.00700000000001</v>
      </c>
      <c r="J507" s="55">
        <v>113.71120000000001</v>
      </c>
      <c r="K507" s="55">
        <v>167.45</v>
      </c>
      <c r="L507" s="55">
        <v>176.9427</v>
      </c>
      <c r="M507" s="55">
        <v>155.19929999999999</v>
      </c>
      <c r="N507" s="55">
        <v>111.7788</v>
      </c>
    </row>
    <row r="508" spans="1:14" hidden="1" x14ac:dyDescent="0.35">
      <c r="A508" s="52" t="s">
        <v>206</v>
      </c>
      <c r="B508" s="52" t="s">
        <v>174</v>
      </c>
      <c r="C508" s="52" t="s">
        <v>198</v>
      </c>
      <c r="D508" s="52" t="s">
        <v>198</v>
      </c>
      <c r="E508" s="52" t="s">
        <v>584</v>
      </c>
      <c r="F508" s="52" t="s">
        <v>581</v>
      </c>
      <c r="G508" s="55" t="s">
        <v>276</v>
      </c>
      <c r="H508" s="55">
        <v>139.05459999999999</v>
      </c>
      <c r="I508" s="55">
        <v>68.769490000000005</v>
      </c>
      <c r="J508" s="55">
        <v>80.034620000000004</v>
      </c>
      <c r="K508" s="55">
        <v>83.945539999999994</v>
      </c>
      <c r="L508" s="55">
        <v>87.857219999999998</v>
      </c>
      <c r="M508" s="55">
        <v>80.343519999999998</v>
      </c>
      <c r="N508" s="55">
        <v>72.682010000000005</v>
      </c>
    </row>
    <row r="509" spans="1:14" hidden="1" x14ac:dyDescent="0.35">
      <c r="A509" s="52" t="s">
        <v>206</v>
      </c>
      <c r="B509" s="52" t="s">
        <v>174</v>
      </c>
      <c r="C509" s="52" t="s">
        <v>198</v>
      </c>
      <c r="D509" s="52" t="s">
        <v>198</v>
      </c>
      <c r="E509" s="52" t="s">
        <v>584</v>
      </c>
      <c r="F509" s="52" t="s">
        <v>581</v>
      </c>
      <c r="G509" s="55" t="s">
        <v>277</v>
      </c>
      <c r="H509" s="55">
        <v>170.48929999999999</v>
      </c>
      <c r="I509" s="55">
        <v>102.5497</v>
      </c>
      <c r="J509" s="55">
        <v>113.9649</v>
      </c>
      <c r="K509" s="55">
        <v>65.994519999999994</v>
      </c>
      <c r="L509" s="55">
        <v>71.107119999999995</v>
      </c>
      <c r="M509" s="55">
        <v>62.417639999999999</v>
      </c>
      <c r="N509" s="55">
        <v>72.603560000000002</v>
      </c>
    </row>
    <row r="510" spans="1:14" hidden="1" x14ac:dyDescent="0.35">
      <c r="A510" s="52" t="s">
        <v>206</v>
      </c>
      <c r="B510" s="52" t="s">
        <v>174</v>
      </c>
      <c r="C510" s="52" t="s">
        <v>198</v>
      </c>
      <c r="D510" s="52" t="s">
        <v>198</v>
      </c>
      <c r="E510" s="52" t="s">
        <v>584</v>
      </c>
      <c r="F510" s="52" t="s">
        <v>581</v>
      </c>
      <c r="G510" s="55" t="s">
        <v>278</v>
      </c>
      <c r="H510" s="55">
        <v>5.0590820000000001</v>
      </c>
      <c r="I510" s="55">
        <v>8.4043539999999997</v>
      </c>
      <c r="J510" s="55">
        <v>2.3917980000000001</v>
      </c>
      <c r="K510" s="55">
        <v>0.57151540000000001</v>
      </c>
      <c r="L510" s="55">
        <v>5.3299260000000001E-2</v>
      </c>
      <c r="M510" s="55">
        <v>4.9801640000000001E-2</v>
      </c>
      <c r="N510" s="55">
        <v>4.9801640000000001E-2</v>
      </c>
    </row>
    <row r="511" spans="1:14" hidden="1" x14ac:dyDescent="0.35">
      <c r="A511" s="52" t="s">
        <v>206</v>
      </c>
      <c r="B511" s="52" t="s">
        <v>174</v>
      </c>
      <c r="C511" s="52" t="s">
        <v>198</v>
      </c>
      <c r="D511" s="52" t="s">
        <v>198</v>
      </c>
      <c r="E511" s="52" t="s">
        <v>584</v>
      </c>
      <c r="F511" s="52" t="s">
        <v>581</v>
      </c>
      <c r="G511" s="55" t="s">
        <v>279</v>
      </c>
      <c r="H511" s="55">
        <v>171.29589999999999</v>
      </c>
      <c r="I511" s="55">
        <v>168.25839999999999</v>
      </c>
      <c r="J511" s="55">
        <v>185.6995</v>
      </c>
      <c r="K511" s="55">
        <v>208.4256</v>
      </c>
      <c r="L511" s="55">
        <v>218.4521</v>
      </c>
      <c r="M511" s="55">
        <v>201.98159999999999</v>
      </c>
      <c r="N511" s="55">
        <v>186.52699999999999</v>
      </c>
    </row>
    <row r="512" spans="1:14" hidden="1" x14ac:dyDescent="0.35">
      <c r="A512" s="52" t="s">
        <v>206</v>
      </c>
      <c r="B512" s="52" t="s">
        <v>174</v>
      </c>
      <c r="C512" s="52" t="s">
        <v>198</v>
      </c>
      <c r="D512" s="52" t="s">
        <v>198</v>
      </c>
      <c r="E512" s="52" t="s">
        <v>584</v>
      </c>
      <c r="F512" s="52" t="s">
        <v>26</v>
      </c>
      <c r="G512" s="55" t="s">
        <v>275</v>
      </c>
      <c r="H512" s="55">
        <v>3.5922070000000001</v>
      </c>
      <c r="I512" s="55">
        <v>5.915896</v>
      </c>
      <c r="J512" s="55">
        <v>2.9900950000000002</v>
      </c>
      <c r="K512" s="55">
        <v>4.2021930000000003</v>
      </c>
      <c r="L512" s="55">
        <v>4.2704009999999997</v>
      </c>
      <c r="M512" s="55">
        <v>3.94855</v>
      </c>
      <c r="N512" s="55">
        <v>3.1796790000000001</v>
      </c>
    </row>
    <row r="513" spans="1:14" hidden="1" x14ac:dyDescent="0.35">
      <c r="A513" s="52" t="s">
        <v>206</v>
      </c>
      <c r="B513" s="52" t="s">
        <v>174</v>
      </c>
      <c r="C513" s="52" t="s">
        <v>198</v>
      </c>
      <c r="D513" s="52" t="s">
        <v>198</v>
      </c>
      <c r="E513" s="52" t="s">
        <v>584</v>
      </c>
      <c r="F513" s="52" t="s">
        <v>26</v>
      </c>
      <c r="G513" s="55" t="s">
        <v>276</v>
      </c>
      <c r="H513" s="55">
        <v>2.0992860000000002</v>
      </c>
      <c r="I513" s="55">
        <v>1.5385260000000001</v>
      </c>
      <c r="J513" s="55">
        <v>1.8615729999999999</v>
      </c>
      <c r="K513" s="55">
        <v>1.8411580000000001</v>
      </c>
      <c r="L513" s="55">
        <v>1.8763700000000001</v>
      </c>
      <c r="M513" s="55">
        <v>1.71939</v>
      </c>
      <c r="N513" s="55">
        <v>1.389942</v>
      </c>
    </row>
    <row r="514" spans="1:14" hidden="1" x14ac:dyDescent="0.35">
      <c r="A514" s="52" t="s">
        <v>206</v>
      </c>
      <c r="B514" s="52" t="s">
        <v>174</v>
      </c>
      <c r="C514" s="52" t="s">
        <v>198</v>
      </c>
      <c r="D514" s="52" t="s">
        <v>198</v>
      </c>
      <c r="E514" s="52" t="s">
        <v>584</v>
      </c>
      <c r="F514" s="52" t="s">
        <v>26</v>
      </c>
      <c r="G514" s="55" t="s">
        <v>277</v>
      </c>
      <c r="H514" s="55">
        <v>0</v>
      </c>
      <c r="I514" s="55">
        <v>0</v>
      </c>
      <c r="J514" s="55">
        <v>1.3013969999999999</v>
      </c>
      <c r="K514" s="55">
        <v>9.7999999999999993E-7</v>
      </c>
      <c r="L514" s="55">
        <v>0</v>
      </c>
      <c r="M514" s="55"/>
      <c r="N514" s="55">
        <v>0</v>
      </c>
    </row>
    <row r="515" spans="1:14" hidden="1" x14ac:dyDescent="0.35">
      <c r="A515" s="52" t="s">
        <v>206</v>
      </c>
      <c r="B515" s="52" t="s">
        <v>174</v>
      </c>
      <c r="C515" s="52" t="s">
        <v>198</v>
      </c>
      <c r="D515" s="52" t="s">
        <v>198</v>
      </c>
      <c r="E515" s="52" t="s">
        <v>584</v>
      </c>
      <c r="F515" s="52" t="s">
        <v>26</v>
      </c>
      <c r="G515" s="55" t="s">
        <v>278</v>
      </c>
      <c r="H515" s="55">
        <v>5.2569999999999999E-2</v>
      </c>
      <c r="I515" s="55">
        <v>6.467299E-2</v>
      </c>
      <c r="J515" s="55">
        <v>0</v>
      </c>
      <c r="K515" s="55">
        <v>0</v>
      </c>
      <c r="L515" s="55">
        <v>0</v>
      </c>
      <c r="M515" s="55">
        <v>0</v>
      </c>
      <c r="N515" s="55">
        <v>0</v>
      </c>
    </row>
    <row r="516" spans="1:14" hidden="1" x14ac:dyDescent="0.35">
      <c r="A516" s="52" t="s">
        <v>206</v>
      </c>
      <c r="B516" s="52" t="s">
        <v>174</v>
      </c>
      <c r="C516" s="52" t="s">
        <v>198</v>
      </c>
      <c r="D516" s="52" t="s">
        <v>198</v>
      </c>
      <c r="E516" s="52" t="s">
        <v>584</v>
      </c>
      <c r="F516" s="52" t="s">
        <v>26</v>
      </c>
      <c r="G516" s="55" t="s">
        <v>279</v>
      </c>
      <c r="H516" s="55">
        <v>1.369224</v>
      </c>
      <c r="I516" s="55">
        <v>2.5932680000000001</v>
      </c>
      <c r="J516" s="55">
        <v>3.337742</v>
      </c>
      <c r="K516" s="55">
        <v>3.6408100000000001</v>
      </c>
      <c r="L516" s="55">
        <v>3.7295630000000002</v>
      </c>
      <c r="M516" s="55">
        <v>3.4794459999999998</v>
      </c>
      <c r="N516" s="55">
        <v>2.8369040000000001</v>
      </c>
    </row>
    <row r="517" spans="1:14" hidden="1" x14ac:dyDescent="0.35">
      <c r="A517" s="52" t="s">
        <v>206</v>
      </c>
      <c r="B517" s="52" t="s">
        <v>174</v>
      </c>
      <c r="C517" s="52" t="s">
        <v>318</v>
      </c>
      <c r="D517" s="52" t="s">
        <v>318</v>
      </c>
      <c r="E517" s="52" t="s">
        <v>584</v>
      </c>
      <c r="F517" s="52" t="s">
        <v>581</v>
      </c>
      <c r="G517" s="55" t="s">
        <v>275</v>
      </c>
      <c r="H517" s="55">
        <v>-1.219228</v>
      </c>
      <c r="I517" s="55">
        <v>0</v>
      </c>
      <c r="J517" s="55"/>
      <c r="K517" s="55"/>
      <c r="L517" s="55"/>
      <c r="M517" s="55"/>
      <c r="N517" s="55"/>
    </row>
    <row r="518" spans="1:14" hidden="1" x14ac:dyDescent="0.35">
      <c r="A518" s="52" t="s">
        <v>206</v>
      </c>
      <c r="B518" s="52" t="s">
        <v>174</v>
      </c>
      <c r="C518" s="52" t="s">
        <v>318</v>
      </c>
      <c r="D518" s="52" t="s">
        <v>318</v>
      </c>
      <c r="E518" s="52" t="s">
        <v>584</v>
      </c>
      <c r="F518" s="52" t="s">
        <v>581</v>
      </c>
      <c r="G518" s="55" t="s">
        <v>278</v>
      </c>
      <c r="H518" s="55">
        <v>1.219228</v>
      </c>
      <c r="I518" s="55">
        <v>0</v>
      </c>
      <c r="J518" s="55"/>
      <c r="K518" s="55"/>
      <c r="L518" s="55"/>
      <c r="M518" s="55"/>
      <c r="N518" s="55"/>
    </row>
    <row r="519" spans="1:14" hidden="1" x14ac:dyDescent="0.35">
      <c r="A519" s="52" t="s">
        <v>206</v>
      </c>
      <c r="B519" s="52" t="s">
        <v>174</v>
      </c>
      <c r="C519" s="52" t="s">
        <v>318</v>
      </c>
      <c r="D519" s="52" t="s">
        <v>318</v>
      </c>
      <c r="E519" s="52" t="s">
        <v>584</v>
      </c>
      <c r="F519" s="52" t="s">
        <v>26</v>
      </c>
      <c r="G519" s="55" t="s">
        <v>275</v>
      </c>
      <c r="H519" s="55">
        <v>-0.81281800000000004</v>
      </c>
      <c r="I519" s="55">
        <v>0</v>
      </c>
      <c r="J519" s="55"/>
      <c r="K519" s="55"/>
      <c r="L519" s="55"/>
      <c r="M519" s="55"/>
      <c r="N519" s="55"/>
    </row>
    <row r="520" spans="1:14" hidden="1" x14ac:dyDescent="0.35">
      <c r="A520" s="52" t="s">
        <v>206</v>
      </c>
      <c r="B520" s="52" t="s">
        <v>174</v>
      </c>
      <c r="C520" s="52" t="s">
        <v>318</v>
      </c>
      <c r="D520" s="52" t="s">
        <v>318</v>
      </c>
      <c r="E520" s="52" t="s">
        <v>584</v>
      </c>
      <c r="F520" s="52" t="s">
        <v>26</v>
      </c>
      <c r="G520" s="55" t="s">
        <v>278</v>
      </c>
      <c r="H520" s="55">
        <v>0.81281800000000004</v>
      </c>
      <c r="I520" s="55">
        <v>0</v>
      </c>
      <c r="J520" s="55"/>
      <c r="K520" s="55"/>
      <c r="L520" s="55"/>
      <c r="M520" s="55"/>
      <c r="N520" s="55"/>
    </row>
    <row r="521" spans="1:14" hidden="1" x14ac:dyDescent="0.35">
      <c r="A521" s="52" t="s">
        <v>206</v>
      </c>
      <c r="B521" s="52" t="s">
        <v>174</v>
      </c>
      <c r="C521" s="52" t="s">
        <v>377</v>
      </c>
      <c r="D521" s="52" t="s">
        <v>377</v>
      </c>
      <c r="E521" s="52" t="s">
        <v>584</v>
      </c>
      <c r="F521" s="52" t="s">
        <v>26</v>
      </c>
      <c r="G521" s="55" t="s">
        <v>279</v>
      </c>
      <c r="H521" s="55">
        <v>0</v>
      </c>
      <c r="I521" s="55"/>
      <c r="J521" s="55"/>
      <c r="K521" s="55"/>
      <c r="L521" s="55"/>
      <c r="M521" s="55"/>
      <c r="N521" s="55"/>
    </row>
    <row r="522" spans="1:14" hidden="1" x14ac:dyDescent="0.35">
      <c r="A522" s="52" t="s">
        <v>206</v>
      </c>
      <c r="B522" s="52" t="s">
        <v>60</v>
      </c>
      <c r="C522" s="52" t="s">
        <v>202</v>
      </c>
      <c r="D522" s="52" t="s">
        <v>202</v>
      </c>
      <c r="E522" s="52" t="s">
        <v>584</v>
      </c>
      <c r="F522" s="52" t="s">
        <v>581</v>
      </c>
      <c r="G522" s="55" t="s">
        <v>275</v>
      </c>
      <c r="H522" s="55">
        <v>16.297560000000001</v>
      </c>
      <c r="I522" s="55">
        <v>7.1115240000000002</v>
      </c>
      <c r="J522" s="55">
        <v>-6.5672100000000002</v>
      </c>
      <c r="K522" s="55">
        <v>-11.31822</v>
      </c>
      <c r="L522" s="55">
        <v>-12.82399</v>
      </c>
      <c r="M522" s="55">
        <v>40.602040000000002</v>
      </c>
      <c r="N522" s="55">
        <v>35.454500000000003</v>
      </c>
    </row>
    <row r="523" spans="1:14" hidden="1" x14ac:dyDescent="0.35">
      <c r="A523" s="52" t="s">
        <v>206</v>
      </c>
      <c r="B523" s="52" t="s">
        <v>60</v>
      </c>
      <c r="C523" s="52" t="s">
        <v>202</v>
      </c>
      <c r="D523" s="52" t="s">
        <v>202</v>
      </c>
      <c r="E523" s="52" t="s">
        <v>584</v>
      </c>
      <c r="F523" s="52" t="s">
        <v>581</v>
      </c>
      <c r="G523" s="55" t="s">
        <v>276</v>
      </c>
      <c r="H523" s="55">
        <v>27.630939999999999</v>
      </c>
      <c r="I523" s="55">
        <v>12.82896</v>
      </c>
      <c r="J523" s="55">
        <v>13.5847</v>
      </c>
      <c r="K523" s="55">
        <v>13.103249999999999</v>
      </c>
      <c r="L523" s="55">
        <v>12.609909999999999</v>
      </c>
      <c r="M523" s="55">
        <v>53.71313</v>
      </c>
      <c r="N523" s="55">
        <v>50.887050000000002</v>
      </c>
    </row>
    <row r="524" spans="1:14" hidden="1" x14ac:dyDescent="0.35">
      <c r="A524" s="52" t="s">
        <v>206</v>
      </c>
      <c r="B524" s="52" t="s">
        <v>60</v>
      </c>
      <c r="C524" s="52" t="s">
        <v>202</v>
      </c>
      <c r="D524" s="52" t="s">
        <v>202</v>
      </c>
      <c r="E524" s="52" t="s">
        <v>584</v>
      </c>
      <c r="F524" s="52" t="s">
        <v>581</v>
      </c>
      <c r="G524" s="55" t="s">
        <v>277</v>
      </c>
      <c r="H524" s="55">
        <v>7.5522200000000002</v>
      </c>
      <c r="I524" s="55">
        <v>3.7478259999999999</v>
      </c>
      <c r="J524" s="55">
        <v>17.925660000000001</v>
      </c>
      <c r="K524" s="55">
        <v>22.21462</v>
      </c>
      <c r="L524" s="55">
        <v>23.191800000000001</v>
      </c>
      <c r="M524" s="55">
        <v>22.614360000000001</v>
      </c>
      <c r="N524" s="55">
        <v>23.59637</v>
      </c>
    </row>
    <row r="525" spans="1:14" hidden="1" x14ac:dyDescent="0.35">
      <c r="A525" s="52" t="s">
        <v>206</v>
      </c>
      <c r="B525" s="52" t="s">
        <v>60</v>
      </c>
      <c r="C525" s="52" t="s">
        <v>202</v>
      </c>
      <c r="D525" s="52" t="s">
        <v>202</v>
      </c>
      <c r="E525" s="52" t="s">
        <v>584</v>
      </c>
      <c r="F525" s="52" t="s">
        <v>581</v>
      </c>
      <c r="G525" s="55" t="s">
        <v>279</v>
      </c>
      <c r="H525" s="55">
        <v>5.9148820000000004</v>
      </c>
      <c r="I525" s="55">
        <v>5.2430599999999998</v>
      </c>
      <c r="J525" s="55">
        <v>5.3240910000000001</v>
      </c>
      <c r="K525" s="55">
        <v>5.2004960000000002</v>
      </c>
      <c r="L525" s="55">
        <v>5.0254839999999996</v>
      </c>
      <c r="M525" s="55">
        <v>20.695979999999999</v>
      </c>
      <c r="N525" s="55">
        <v>19.085899999999999</v>
      </c>
    </row>
    <row r="526" spans="1:14" hidden="1" x14ac:dyDescent="0.35">
      <c r="A526" s="52" t="s">
        <v>206</v>
      </c>
      <c r="B526" s="52" t="s">
        <v>60</v>
      </c>
      <c r="C526" s="52" t="s">
        <v>202</v>
      </c>
      <c r="D526" s="52" t="s">
        <v>202</v>
      </c>
      <c r="E526" s="52" t="s">
        <v>584</v>
      </c>
      <c r="F526" s="52" t="s">
        <v>26</v>
      </c>
      <c r="G526" s="55" t="s">
        <v>275</v>
      </c>
      <c r="H526" s="55">
        <v>356.15769999999998</v>
      </c>
      <c r="I526" s="55">
        <v>238.09690000000001</v>
      </c>
      <c r="J526" s="55">
        <v>96.511960000000002</v>
      </c>
      <c r="K526" s="55">
        <v>87.980090000000004</v>
      </c>
      <c r="L526" s="55">
        <v>83.23563</v>
      </c>
      <c r="M526" s="55">
        <v>43.178919999999998</v>
      </c>
      <c r="N526" s="55">
        <v>43.472619999999999</v>
      </c>
    </row>
    <row r="527" spans="1:14" hidden="1" x14ac:dyDescent="0.35">
      <c r="A527" s="52" t="s">
        <v>206</v>
      </c>
      <c r="B527" s="52" t="s">
        <v>60</v>
      </c>
      <c r="C527" s="52" t="s">
        <v>202</v>
      </c>
      <c r="D527" s="52" t="s">
        <v>202</v>
      </c>
      <c r="E527" s="52" t="s">
        <v>584</v>
      </c>
      <c r="F527" s="52" t="s">
        <v>26</v>
      </c>
      <c r="G527" s="55" t="s">
        <v>276</v>
      </c>
      <c r="H527" s="55">
        <v>238.36170000000001</v>
      </c>
      <c r="I527" s="55">
        <v>150.22210000000001</v>
      </c>
      <c r="J527" s="55">
        <v>106.6508</v>
      </c>
      <c r="K527" s="55">
        <v>102.0761</v>
      </c>
      <c r="L527" s="55">
        <v>94.947940000000003</v>
      </c>
      <c r="M527" s="55">
        <v>82.206400000000002</v>
      </c>
      <c r="N527" s="55">
        <v>65.558220000000006</v>
      </c>
    </row>
    <row r="528" spans="1:14" hidden="1" x14ac:dyDescent="0.35">
      <c r="A528" s="52" t="s">
        <v>206</v>
      </c>
      <c r="B528" s="52" t="s">
        <v>60</v>
      </c>
      <c r="C528" s="52" t="s">
        <v>202</v>
      </c>
      <c r="D528" s="52" t="s">
        <v>202</v>
      </c>
      <c r="E528" s="52" t="s">
        <v>584</v>
      </c>
      <c r="F528" s="52" t="s">
        <v>26</v>
      </c>
      <c r="G528" s="55" t="s">
        <v>277</v>
      </c>
      <c r="H528" s="55">
        <v>11.16902</v>
      </c>
      <c r="I528" s="55">
        <v>13.41281</v>
      </c>
      <c r="J528" s="55">
        <v>34.89967</v>
      </c>
      <c r="K528" s="55">
        <v>42.526719999999997</v>
      </c>
      <c r="L528" s="55">
        <v>45.087470000000003</v>
      </c>
      <c r="M528" s="55">
        <v>41.11665</v>
      </c>
      <c r="N528" s="55">
        <v>42.892809999999997</v>
      </c>
    </row>
    <row r="529" spans="1:14" hidden="1" x14ac:dyDescent="0.35">
      <c r="A529" s="52" t="s">
        <v>206</v>
      </c>
      <c r="B529" s="52" t="s">
        <v>60</v>
      </c>
      <c r="C529" s="52" t="s">
        <v>202</v>
      </c>
      <c r="D529" s="52" t="s">
        <v>202</v>
      </c>
      <c r="E529" s="52" t="s">
        <v>584</v>
      </c>
      <c r="F529" s="52" t="s">
        <v>26</v>
      </c>
      <c r="G529" s="55" t="s">
        <v>278</v>
      </c>
      <c r="H529" s="55">
        <v>5.7947940000000003E-2</v>
      </c>
      <c r="I529" s="55">
        <v>0.11303390000000001</v>
      </c>
      <c r="J529" s="55">
        <v>0.10562879999999999</v>
      </c>
      <c r="K529" s="55">
        <v>8.8427699999999998E-2</v>
      </c>
      <c r="L529" s="55">
        <v>8.8427699999999998E-2</v>
      </c>
      <c r="M529" s="55">
        <v>8.8427699999999998E-2</v>
      </c>
      <c r="N529" s="55">
        <v>4.4602379999999997E-2</v>
      </c>
    </row>
    <row r="530" spans="1:14" hidden="1" x14ac:dyDescent="0.35">
      <c r="A530" s="52" t="s">
        <v>206</v>
      </c>
      <c r="B530" s="52" t="s">
        <v>60</v>
      </c>
      <c r="C530" s="52" t="s">
        <v>202</v>
      </c>
      <c r="D530" s="52" t="s">
        <v>202</v>
      </c>
      <c r="E530" s="52" t="s">
        <v>584</v>
      </c>
      <c r="F530" s="52" t="s">
        <v>26</v>
      </c>
      <c r="G530" s="55" t="s">
        <v>279</v>
      </c>
      <c r="H530" s="55">
        <v>158.37430000000001</v>
      </c>
      <c r="I530" s="55">
        <v>140.36940000000001</v>
      </c>
      <c r="J530" s="55">
        <v>143.18870000000001</v>
      </c>
      <c r="K530" s="55">
        <v>147.30179999999999</v>
      </c>
      <c r="L530" s="55">
        <v>140.8398</v>
      </c>
      <c r="M530" s="55">
        <v>106.1901</v>
      </c>
      <c r="N530" s="55">
        <v>93.707909999999998</v>
      </c>
    </row>
    <row r="531" spans="1:14" hidden="1" x14ac:dyDescent="0.35">
      <c r="A531" s="52" t="s">
        <v>206</v>
      </c>
      <c r="B531" s="52" t="s">
        <v>60</v>
      </c>
      <c r="C531" s="52" t="s">
        <v>317</v>
      </c>
      <c r="D531" s="52" t="s">
        <v>317</v>
      </c>
      <c r="E531" s="52" t="s">
        <v>584</v>
      </c>
      <c r="F531" s="52" t="s">
        <v>26</v>
      </c>
      <c r="G531" s="55" t="s">
        <v>275</v>
      </c>
      <c r="H531" s="55">
        <v>-0.16169220000000001</v>
      </c>
      <c r="I531" s="55">
        <v>-0.31539600000000001</v>
      </c>
      <c r="J531" s="55">
        <v>0</v>
      </c>
      <c r="K531" s="55">
        <v>0</v>
      </c>
      <c r="L531" s="55">
        <v>0</v>
      </c>
      <c r="M531" s="55">
        <v>0</v>
      </c>
      <c r="N531" s="55">
        <v>0</v>
      </c>
    </row>
    <row r="532" spans="1:14" hidden="1" x14ac:dyDescent="0.35">
      <c r="A532" s="52" t="s">
        <v>206</v>
      </c>
      <c r="B532" s="52" t="s">
        <v>60</v>
      </c>
      <c r="C532" s="52" t="s">
        <v>317</v>
      </c>
      <c r="D532" s="52" t="s">
        <v>317</v>
      </c>
      <c r="E532" s="52" t="s">
        <v>584</v>
      </c>
      <c r="F532" s="52" t="s">
        <v>26</v>
      </c>
      <c r="G532" s="55" t="s">
        <v>276</v>
      </c>
      <c r="H532" s="55"/>
      <c r="I532" s="55"/>
      <c r="J532" s="55">
        <v>-7.7260309999999999</v>
      </c>
      <c r="K532" s="55">
        <v>-0.1203048</v>
      </c>
      <c r="L532" s="55">
        <v>-0.1203048</v>
      </c>
      <c r="M532" s="55">
        <v>-0.1203048</v>
      </c>
      <c r="N532" s="55">
        <v>-0.1203048</v>
      </c>
    </row>
    <row r="533" spans="1:14" hidden="1" x14ac:dyDescent="0.35">
      <c r="A533" s="52" t="s">
        <v>206</v>
      </c>
      <c r="B533" s="52" t="s">
        <v>60</v>
      </c>
      <c r="C533" s="52" t="s">
        <v>317</v>
      </c>
      <c r="D533" s="52" t="s">
        <v>317</v>
      </c>
      <c r="E533" s="52" t="s">
        <v>584</v>
      </c>
      <c r="F533" s="52" t="s">
        <v>26</v>
      </c>
      <c r="G533" s="55" t="s">
        <v>278</v>
      </c>
      <c r="H533" s="55">
        <v>0.16169220000000001</v>
      </c>
      <c r="I533" s="55">
        <v>0.31539600000000001</v>
      </c>
      <c r="J533" s="55">
        <v>7.726032</v>
      </c>
      <c r="K533" s="55">
        <v>0.1203048</v>
      </c>
      <c r="L533" s="55">
        <v>0.1203048</v>
      </c>
      <c r="M533" s="55">
        <v>0.1203048</v>
      </c>
      <c r="N533" s="55">
        <v>0.1203048</v>
      </c>
    </row>
    <row r="534" spans="1:14" hidden="1" x14ac:dyDescent="0.35">
      <c r="A534" s="52" t="s">
        <v>206</v>
      </c>
      <c r="B534" s="52" t="s">
        <v>60</v>
      </c>
      <c r="C534" s="52" t="s">
        <v>318</v>
      </c>
      <c r="D534" s="52" t="s">
        <v>318</v>
      </c>
      <c r="E534" s="52" t="s">
        <v>584</v>
      </c>
      <c r="F534" s="52" t="s">
        <v>581</v>
      </c>
      <c r="G534" s="55" t="s">
        <v>275</v>
      </c>
      <c r="H534" s="55">
        <v>-5.8253010000000001E-2</v>
      </c>
      <c r="I534" s="55">
        <v>0</v>
      </c>
      <c r="J534" s="55"/>
      <c r="K534" s="55"/>
      <c r="L534" s="55"/>
      <c r="M534" s="55"/>
      <c r="N534" s="55"/>
    </row>
    <row r="535" spans="1:14" hidden="1" x14ac:dyDescent="0.35">
      <c r="A535" s="52" t="s">
        <v>206</v>
      </c>
      <c r="B535" s="52" t="s">
        <v>60</v>
      </c>
      <c r="C535" s="52" t="s">
        <v>318</v>
      </c>
      <c r="D535" s="52" t="s">
        <v>318</v>
      </c>
      <c r="E535" s="52" t="s">
        <v>584</v>
      </c>
      <c r="F535" s="52" t="s">
        <v>581</v>
      </c>
      <c r="G535" s="55" t="s">
        <v>278</v>
      </c>
      <c r="H535" s="55">
        <v>5.8253010000000001E-2</v>
      </c>
      <c r="I535" s="55">
        <v>0</v>
      </c>
      <c r="J535" s="55"/>
      <c r="K535" s="55"/>
      <c r="L535" s="55"/>
      <c r="M535" s="55"/>
      <c r="N535" s="55"/>
    </row>
    <row r="536" spans="1:14" hidden="1" x14ac:dyDescent="0.35">
      <c r="A536" s="52" t="s">
        <v>206</v>
      </c>
      <c r="B536" s="52" t="s">
        <v>60</v>
      </c>
      <c r="C536" s="52" t="s">
        <v>318</v>
      </c>
      <c r="D536" s="52" t="s">
        <v>318</v>
      </c>
      <c r="E536" s="52" t="s">
        <v>584</v>
      </c>
      <c r="F536" s="52" t="s">
        <v>26</v>
      </c>
      <c r="G536" s="55" t="s">
        <v>275</v>
      </c>
      <c r="H536" s="55">
        <v>-3.8835000000000001E-2</v>
      </c>
      <c r="I536" s="55">
        <v>0</v>
      </c>
      <c r="J536" s="55"/>
      <c r="K536" s="55"/>
      <c r="L536" s="55"/>
      <c r="M536" s="55"/>
      <c r="N536" s="55"/>
    </row>
    <row r="537" spans="1:14" hidden="1" x14ac:dyDescent="0.35">
      <c r="A537" s="52" t="s">
        <v>206</v>
      </c>
      <c r="B537" s="52" t="s">
        <v>60</v>
      </c>
      <c r="C537" s="52" t="s">
        <v>318</v>
      </c>
      <c r="D537" s="52" t="s">
        <v>318</v>
      </c>
      <c r="E537" s="52" t="s">
        <v>584</v>
      </c>
      <c r="F537" s="52" t="s">
        <v>26</v>
      </c>
      <c r="G537" s="55" t="s">
        <v>278</v>
      </c>
      <c r="H537" s="55">
        <v>3.8835000000000001E-2</v>
      </c>
      <c r="I537" s="55">
        <v>0</v>
      </c>
      <c r="J537" s="55"/>
      <c r="K537" s="55"/>
      <c r="L537" s="55"/>
      <c r="M537" s="55"/>
      <c r="N537" s="55"/>
    </row>
    <row r="538" spans="1:14" hidden="1" x14ac:dyDescent="0.35">
      <c r="A538" s="52" t="s">
        <v>206</v>
      </c>
      <c r="B538" s="52" t="s">
        <v>210</v>
      </c>
      <c r="C538" s="52" t="s">
        <v>209</v>
      </c>
      <c r="D538" s="52" t="s">
        <v>209</v>
      </c>
      <c r="E538" s="52" t="s">
        <v>584</v>
      </c>
      <c r="F538" s="52" t="s">
        <v>581</v>
      </c>
      <c r="G538" s="55" t="s">
        <v>275</v>
      </c>
      <c r="H538" s="55">
        <v>325.46960000000001</v>
      </c>
      <c r="I538" s="55">
        <v>68.187309999999997</v>
      </c>
      <c r="J538" s="55">
        <v>155.93629999999999</v>
      </c>
      <c r="K538" s="55">
        <v>151.29470000000001</v>
      </c>
      <c r="L538" s="55">
        <v>167.3836</v>
      </c>
      <c r="M538" s="55">
        <v>156.57589999999999</v>
      </c>
      <c r="N538" s="55">
        <v>132.43610000000001</v>
      </c>
    </row>
    <row r="539" spans="1:14" hidden="1" x14ac:dyDescent="0.35">
      <c r="A539" s="52" t="s">
        <v>206</v>
      </c>
      <c r="B539" s="52" t="s">
        <v>210</v>
      </c>
      <c r="C539" s="52" t="s">
        <v>209</v>
      </c>
      <c r="D539" s="52" t="s">
        <v>209</v>
      </c>
      <c r="E539" s="52" t="s">
        <v>584</v>
      </c>
      <c r="F539" s="52" t="s">
        <v>581</v>
      </c>
      <c r="G539" s="55" t="s">
        <v>276</v>
      </c>
      <c r="H539" s="55">
        <v>105.7732</v>
      </c>
      <c r="I539" s="55">
        <v>31.9864</v>
      </c>
      <c r="J539" s="55">
        <v>55.060749999999999</v>
      </c>
      <c r="K539" s="55">
        <v>56.606290000000001</v>
      </c>
      <c r="L539" s="55">
        <v>58.597270000000002</v>
      </c>
      <c r="M539" s="55">
        <v>53.355609999999999</v>
      </c>
      <c r="N539" s="55">
        <v>50.571269999999998</v>
      </c>
    </row>
    <row r="540" spans="1:14" hidden="1" x14ac:dyDescent="0.35">
      <c r="A540" s="52" t="s">
        <v>206</v>
      </c>
      <c r="B540" s="52" t="s">
        <v>210</v>
      </c>
      <c r="C540" s="52" t="s">
        <v>209</v>
      </c>
      <c r="D540" s="52" t="s">
        <v>209</v>
      </c>
      <c r="E540" s="52" t="s">
        <v>584</v>
      </c>
      <c r="F540" s="52" t="s">
        <v>581</v>
      </c>
      <c r="G540" s="55" t="s">
        <v>277</v>
      </c>
      <c r="H540" s="55">
        <v>78.624099999999999</v>
      </c>
      <c r="I540" s="55">
        <v>34.369660000000003</v>
      </c>
      <c r="J540" s="55">
        <v>36.966720000000002</v>
      </c>
      <c r="K540" s="55">
        <v>40.819499999999998</v>
      </c>
      <c r="L540" s="55">
        <v>31.62763</v>
      </c>
      <c r="M540" s="55">
        <v>28.34423</v>
      </c>
      <c r="N540" s="55">
        <v>22.04814</v>
      </c>
    </row>
    <row r="541" spans="1:14" hidden="1" x14ac:dyDescent="0.35">
      <c r="A541" s="52" t="s">
        <v>206</v>
      </c>
      <c r="B541" s="52" t="s">
        <v>210</v>
      </c>
      <c r="C541" s="52" t="s">
        <v>209</v>
      </c>
      <c r="D541" s="52" t="s">
        <v>209</v>
      </c>
      <c r="E541" s="52" t="s">
        <v>584</v>
      </c>
      <c r="F541" s="52" t="s">
        <v>581</v>
      </c>
      <c r="G541" s="55" t="s">
        <v>278</v>
      </c>
      <c r="H541" s="55">
        <v>0.1362188</v>
      </c>
      <c r="I541" s="55">
        <v>0.1362188</v>
      </c>
      <c r="J541" s="55">
        <v>0.1362188</v>
      </c>
      <c r="K541" s="55">
        <v>0.1362188</v>
      </c>
      <c r="L541" s="55">
        <v>0.27861599999999997</v>
      </c>
      <c r="M541" s="55">
        <v>0.1362188</v>
      </c>
      <c r="N541" s="55">
        <v>1.2456510000000001</v>
      </c>
    </row>
    <row r="542" spans="1:14" hidden="1" x14ac:dyDescent="0.35">
      <c r="A542" s="52" t="s">
        <v>206</v>
      </c>
      <c r="B542" s="52" t="s">
        <v>210</v>
      </c>
      <c r="C542" s="52" t="s">
        <v>209</v>
      </c>
      <c r="D542" s="52" t="s">
        <v>209</v>
      </c>
      <c r="E542" s="52" t="s">
        <v>584</v>
      </c>
      <c r="F542" s="52" t="s">
        <v>581</v>
      </c>
      <c r="G542" s="55" t="s">
        <v>279</v>
      </c>
      <c r="H542" s="55">
        <v>88.637349999999998</v>
      </c>
      <c r="I542" s="55">
        <v>53.037869999999998</v>
      </c>
      <c r="J542" s="55">
        <v>93.327929999999995</v>
      </c>
      <c r="K542" s="55">
        <v>101.0654</v>
      </c>
      <c r="L542" s="55">
        <v>105.44410000000001</v>
      </c>
      <c r="M542" s="55">
        <v>95.413030000000006</v>
      </c>
      <c r="N542" s="55">
        <v>84.425039999999996</v>
      </c>
    </row>
    <row r="543" spans="1:14" hidden="1" x14ac:dyDescent="0.35">
      <c r="A543" s="52" t="s">
        <v>206</v>
      </c>
      <c r="B543" s="52" t="s">
        <v>210</v>
      </c>
      <c r="C543" s="52" t="s">
        <v>209</v>
      </c>
      <c r="D543" s="52" t="s">
        <v>209</v>
      </c>
      <c r="E543" s="52" t="s">
        <v>584</v>
      </c>
      <c r="F543" s="52" t="s">
        <v>26</v>
      </c>
      <c r="G543" s="55" t="s">
        <v>275</v>
      </c>
      <c r="H543" s="55">
        <v>-11.57217</v>
      </c>
      <c r="I543" s="55">
        <v>-5.8080030000000002</v>
      </c>
      <c r="J543" s="55">
        <v>-9.9938939999999992</v>
      </c>
      <c r="K543" s="55">
        <v>-10.49579</v>
      </c>
      <c r="L543" s="55">
        <v>-18.291730000000001</v>
      </c>
      <c r="M543" s="55">
        <v>-18.340340000000001</v>
      </c>
      <c r="N543" s="55">
        <v>-17.88852</v>
      </c>
    </row>
    <row r="544" spans="1:14" hidden="1" x14ac:dyDescent="0.35">
      <c r="A544" s="52" t="s">
        <v>206</v>
      </c>
      <c r="B544" s="52" t="s">
        <v>210</v>
      </c>
      <c r="C544" s="52" t="s">
        <v>209</v>
      </c>
      <c r="D544" s="52" t="s">
        <v>209</v>
      </c>
      <c r="E544" s="52" t="s">
        <v>584</v>
      </c>
      <c r="F544" s="52" t="s">
        <v>26</v>
      </c>
      <c r="G544" s="55" t="s">
        <v>276</v>
      </c>
      <c r="H544" s="55">
        <v>39.512999999999998</v>
      </c>
      <c r="I544" s="55">
        <v>21.621960000000001</v>
      </c>
      <c r="J544" s="55">
        <v>42.583820000000003</v>
      </c>
      <c r="K544" s="55">
        <v>44.252560000000003</v>
      </c>
      <c r="L544" s="55">
        <v>46.712859999999999</v>
      </c>
      <c r="M544" s="55">
        <v>48.546419999999998</v>
      </c>
      <c r="N544" s="55">
        <v>46.312710000000003</v>
      </c>
    </row>
    <row r="545" spans="1:14" hidden="1" x14ac:dyDescent="0.35">
      <c r="A545" s="52" t="s">
        <v>206</v>
      </c>
      <c r="B545" s="52" t="s">
        <v>210</v>
      </c>
      <c r="C545" s="52" t="s">
        <v>209</v>
      </c>
      <c r="D545" s="52" t="s">
        <v>209</v>
      </c>
      <c r="E545" s="52" t="s">
        <v>584</v>
      </c>
      <c r="F545" s="52" t="s">
        <v>26</v>
      </c>
      <c r="G545" s="55" t="s">
        <v>277</v>
      </c>
      <c r="H545" s="55">
        <v>2.5234040000000002</v>
      </c>
      <c r="I545" s="55">
        <v>1.6711469999999999</v>
      </c>
      <c r="J545" s="55">
        <v>1.304</v>
      </c>
      <c r="K545" s="55">
        <v>0.81500010000000001</v>
      </c>
      <c r="L545" s="55">
        <v>8.3589319999999994</v>
      </c>
      <c r="M545" s="55">
        <v>8.2981060000000006</v>
      </c>
      <c r="N545" s="55">
        <v>8.6774760000000004</v>
      </c>
    </row>
    <row r="546" spans="1:14" hidden="1" x14ac:dyDescent="0.35">
      <c r="A546" s="52" t="s">
        <v>206</v>
      </c>
      <c r="B546" s="52" t="s">
        <v>210</v>
      </c>
      <c r="C546" s="52" t="s">
        <v>209</v>
      </c>
      <c r="D546" s="52" t="s">
        <v>209</v>
      </c>
      <c r="E546" s="52" t="s">
        <v>584</v>
      </c>
      <c r="F546" s="52" t="s">
        <v>26</v>
      </c>
      <c r="G546" s="55" t="s">
        <v>278</v>
      </c>
      <c r="H546" s="55"/>
      <c r="I546" s="55"/>
      <c r="J546" s="55">
        <v>0</v>
      </c>
      <c r="K546" s="55">
        <v>0</v>
      </c>
      <c r="L546" s="55">
        <v>0</v>
      </c>
      <c r="M546" s="55">
        <v>0</v>
      </c>
      <c r="N546" s="55">
        <v>0</v>
      </c>
    </row>
    <row r="547" spans="1:14" hidden="1" x14ac:dyDescent="0.35">
      <c r="A547" s="52" t="s">
        <v>206</v>
      </c>
      <c r="B547" s="52" t="s">
        <v>210</v>
      </c>
      <c r="C547" s="52" t="s">
        <v>209</v>
      </c>
      <c r="D547" s="52" t="s">
        <v>209</v>
      </c>
      <c r="E547" s="52" t="s">
        <v>584</v>
      </c>
      <c r="F547" s="52" t="s">
        <v>26</v>
      </c>
      <c r="G547" s="55" t="s">
        <v>279</v>
      </c>
      <c r="H547" s="55">
        <v>13.350149999999999</v>
      </c>
      <c r="I547" s="55">
        <v>6.7365550000000001</v>
      </c>
      <c r="J547" s="55">
        <v>13.019119999999999</v>
      </c>
      <c r="K547" s="55">
        <v>14.484690000000001</v>
      </c>
      <c r="L547" s="55">
        <v>15.381220000000001</v>
      </c>
      <c r="M547" s="55">
        <v>16.081160000000001</v>
      </c>
      <c r="N547" s="55">
        <v>15.51178</v>
      </c>
    </row>
    <row r="548" spans="1:14" hidden="1" x14ac:dyDescent="0.35">
      <c r="A548" s="52" t="s">
        <v>206</v>
      </c>
      <c r="B548" s="52" t="s">
        <v>210</v>
      </c>
      <c r="C548" s="52" t="s">
        <v>318</v>
      </c>
      <c r="D548" s="52" t="s">
        <v>318</v>
      </c>
      <c r="E548" s="52" t="s">
        <v>584</v>
      </c>
      <c r="F548" s="52" t="s">
        <v>581</v>
      </c>
      <c r="G548" s="55" t="s">
        <v>275</v>
      </c>
      <c r="H548" s="55">
        <v>-4.110665</v>
      </c>
      <c r="I548" s="55">
        <v>0</v>
      </c>
      <c r="J548" s="55"/>
      <c r="K548" s="55"/>
      <c r="L548" s="55"/>
      <c r="M548" s="55"/>
      <c r="N548" s="55"/>
    </row>
    <row r="549" spans="1:14" hidden="1" x14ac:dyDescent="0.35">
      <c r="A549" s="52" t="s">
        <v>206</v>
      </c>
      <c r="B549" s="52" t="s">
        <v>210</v>
      </c>
      <c r="C549" s="52" t="s">
        <v>376</v>
      </c>
      <c r="D549" s="52" t="s">
        <v>376</v>
      </c>
      <c r="E549" s="52" t="s">
        <v>584</v>
      </c>
      <c r="F549" s="52" t="s">
        <v>581</v>
      </c>
      <c r="G549" s="55" t="s">
        <v>275</v>
      </c>
      <c r="H549" s="55">
        <v>-7.599873E-3</v>
      </c>
      <c r="I549" s="55">
        <v>-7.599873E-3</v>
      </c>
      <c r="J549" s="55">
        <v>0</v>
      </c>
      <c r="K549" s="55">
        <v>0</v>
      </c>
      <c r="L549" s="55">
        <v>0</v>
      </c>
      <c r="M549" s="55">
        <v>0</v>
      </c>
      <c r="N549" s="55">
        <v>0</v>
      </c>
    </row>
    <row r="550" spans="1:14" hidden="1" x14ac:dyDescent="0.35">
      <c r="A550" s="52" t="s">
        <v>206</v>
      </c>
      <c r="B550" s="52" t="s">
        <v>210</v>
      </c>
      <c r="C550" s="52" t="s">
        <v>376</v>
      </c>
      <c r="D550" s="52" t="s">
        <v>376</v>
      </c>
      <c r="E550" s="52" t="s">
        <v>584</v>
      </c>
      <c r="F550" s="52" t="s">
        <v>581</v>
      </c>
      <c r="G550" s="55" t="s">
        <v>276</v>
      </c>
      <c r="H550" s="55"/>
      <c r="I550" s="55"/>
      <c r="J550" s="55">
        <v>-7.599873E-3</v>
      </c>
      <c r="K550" s="55">
        <v>-7.5997110000000003E-3</v>
      </c>
      <c r="L550" s="55">
        <v>-7.5998749999999999E-3</v>
      </c>
      <c r="M550" s="55">
        <v>-7.599873E-3</v>
      </c>
      <c r="N550" s="55">
        <v>-0.2497212</v>
      </c>
    </row>
    <row r="551" spans="1:14" hidden="1" x14ac:dyDescent="0.35">
      <c r="A551" s="52" t="s">
        <v>206</v>
      </c>
      <c r="B551" s="52" t="s">
        <v>210</v>
      </c>
      <c r="C551" s="52" t="s">
        <v>376</v>
      </c>
      <c r="D551" s="52" t="s">
        <v>376</v>
      </c>
      <c r="E551" s="52" t="s">
        <v>584</v>
      </c>
      <c r="F551" s="52" t="s">
        <v>581</v>
      </c>
      <c r="G551" s="55" t="s">
        <v>278</v>
      </c>
      <c r="H551" s="55">
        <v>7.599873E-3</v>
      </c>
      <c r="I551" s="55">
        <v>7.599873E-3</v>
      </c>
      <c r="J551" s="55">
        <v>7.599873E-3</v>
      </c>
      <c r="K551" s="55">
        <v>7.5997110000000003E-3</v>
      </c>
      <c r="L551" s="55">
        <v>7.5998749999999999E-3</v>
      </c>
      <c r="M551" s="55">
        <v>7.599873E-3</v>
      </c>
      <c r="N551" s="55">
        <v>0.2497212</v>
      </c>
    </row>
    <row r="552" spans="1:14" hidden="1" x14ac:dyDescent="0.35">
      <c r="A552" s="52" t="s">
        <v>206</v>
      </c>
      <c r="B552" s="52" t="s">
        <v>210</v>
      </c>
      <c r="C552" s="52" t="s">
        <v>318</v>
      </c>
      <c r="D552" s="52" t="s">
        <v>318</v>
      </c>
      <c r="E552" s="52" t="s">
        <v>584</v>
      </c>
      <c r="F552" s="52" t="s">
        <v>581</v>
      </c>
      <c r="G552" s="55" t="s">
        <v>278</v>
      </c>
      <c r="H552" s="55">
        <v>4.110665</v>
      </c>
      <c r="I552" s="55">
        <v>0</v>
      </c>
      <c r="J552" s="55"/>
      <c r="K552" s="55"/>
      <c r="L552" s="55"/>
      <c r="M552" s="55"/>
      <c r="N552" s="55"/>
    </row>
    <row r="553" spans="1:14" hidden="1" x14ac:dyDescent="0.35">
      <c r="A553" s="52" t="s">
        <v>206</v>
      </c>
      <c r="B553" s="52" t="s">
        <v>210</v>
      </c>
      <c r="C553" s="52" t="s">
        <v>318</v>
      </c>
      <c r="D553" s="52" t="s">
        <v>318</v>
      </c>
      <c r="E553" s="52" t="s">
        <v>584</v>
      </c>
      <c r="F553" s="52" t="s">
        <v>26</v>
      </c>
      <c r="G553" s="55" t="s">
        <v>275</v>
      </c>
      <c r="H553" s="55">
        <v>-2.740443</v>
      </c>
      <c r="I553" s="55">
        <v>0</v>
      </c>
      <c r="J553" s="55"/>
      <c r="K553" s="55"/>
      <c r="L553" s="55"/>
      <c r="M553" s="55"/>
      <c r="N553" s="55"/>
    </row>
    <row r="554" spans="1:14" hidden="1" x14ac:dyDescent="0.35">
      <c r="A554" s="52" t="s">
        <v>206</v>
      </c>
      <c r="B554" s="52" t="s">
        <v>210</v>
      </c>
      <c r="C554" s="52" t="s">
        <v>318</v>
      </c>
      <c r="D554" s="52" t="s">
        <v>318</v>
      </c>
      <c r="E554" s="52" t="s">
        <v>584</v>
      </c>
      <c r="F554" s="52" t="s">
        <v>26</v>
      </c>
      <c r="G554" s="55" t="s">
        <v>278</v>
      </c>
      <c r="H554" s="55">
        <v>2.740443</v>
      </c>
      <c r="I554" s="55">
        <v>0</v>
      </c>
      <c r="J554" s="55"/>
      <c r="K554" s="55"/>
      <c r="L554" s="55"/>
      <c r="M554" s="55"/>
      <c r="N554" s="55"/>
    </row>
    <row r="555" spans="1:14" hidden="1" x14ac:dyDescent="0.35">
      <c r="A555" s="52" t="s">
        <v>206</v>
      </c>
      <c r="B555" s="52" t="s">
        <v>217</v>
      </c>
      <c r="C555" s="52" t="s">
        <v>216</v>
      </c>
      <c r="D555" s="52" t="s">
        <v>216</v>
      </c>
      <c r="E555" s="52" t="s">
        <v>584</v>
      </c>
      <c r="F555" s="52" t="s">
        <v>581</v>
      </c>
      <c r="G555" s="55" t="s">
        <v>275</v>
      </c>
      <c r="H555" s="55">
        <v>60.237810000000003</v>
      </c>
      <c r="I555" s="55">
        <v>37.200629999999997</v>
      </c>
      <c r="J555" s="55">
        <v>22.774609999999999</v>
      </c>
      <c r="K555" s="55">
        <v>17.3216</v>
      </c>
      <c r="L555" s="55">
        <v>19.55415</v>
      </c>
      <c r="M555" s="55">
        <v>20.6404</v>
      </c>
      <c r="N555" s="55">
        <v>19.439589999999999</v>
      </c>
    </row>
    <row r="556" spans="1:14" hidden="1" x14ac:dyDescent="0.35">
      <c r="A556" s="52" t="s">
        <v>206</v>
      </c>
      <c r="B556" s="52" t="s">
        <v>217</v>
      </c>
      <c r="C556" s="52" t="s">
        <v>216</v>
      </c>
      <c r="D556" s="52" t="s">
        <v>216</v>
      </c>
      <c r="E556" s="52" t="s">
        <v>584</v>
      </c>
      <c r="F556" s="52" t="s">
        <v>581</v>
      </c>
      <c r="G556" s="55" t="s">
        <v>276</v>
      </c>
      <c r="H556" s="55">
        <v>14.112730000000001</v>
      </c>
      <c r="I556" s="55">
        <v>6.9896190000000002</v>
      </c>
      <c r="J556" s="55">
        <v>6.5426960000000003</v>
      </c>
      <c r="K556" s="55">
        <v>4.1807809999999996</v>
      </c>
      <c r="L556" s="55">
        <v>0.87598039999999999</v>
      </c>
      <c r="M556" s="55">
        <v>3.1653699999999998</v>
      </c>
      <c r="N556" s="55">
        <v>1.7046399999999999</v>
      </c>
    </row>
    <row r="557" spans="1:14" hidden="1" x14ac:dyDescent="0.35">
      <c r="A557" s="52" t="s">
        <v>206</v>
      </c>
      <c r="B557" s="52" t="s">
        <v>217</v>
      </c>
      <c r="C557" s="52" t="s">
        <v>216</v>
      </c>
      <c r="D557" s="52" t="s">
        <v>216</v>
      </c>
      <c r="E557" s="52" t="s">
        <v>584</v>
      </c>
      <c r="F557" s="52" t="s">
        <v>581</v>
      </c>
      <c r="G557" s="55" t="s">
        <v>277</v>
      </c>
      <c r="H557" s="55">
        <v>41.442630000000001</v>
      </c>
      <c r="I557" s="55">
        <v>35.670340000000003</v>
      </c>
      <c r="J557" s="55">
        <v>36.290889999999997</v>
      </c>
      <c r="K557" s="55">
        <v>37.238419999999998</v>
      </c>
      <c r="L557" s="55">
        <v>31.823429999999998</v>
      </c>
      <c r="M557" s="55">
        <v>26.48028</v>
      </c>
      <c r="N557" s="55">
        <v>21.429200000000002</v>
      </c>
    </row>
    <row r="558" spans="1:14" hidden="1" x14ac:dyDescent="0.35">
      <c r="A558" s="52" t="s">
        <v>206</v>
      </c>
      <c r="B558" s="52" t="s">
        <v>217</v>
      </c>
      <c r="C558" s="52" t="s">
        <v>216</v>
      </c>
      <c r="D558" s="52" t="s">
        <v>216</v>
      </c>
      <c r="E558" s="52" t="s">
        <v>584</v>
      </c>
      <c r="F558" s="52" t="s">
        <v>581</v>
      </c>
      <c r="G558" s="55" t="s">
        <v>278</v>
      </c>
      <c r="H558" s="55">
        <v>0.24663570000000001</v>
      </c>
      <c r="I558" s="55">
        <v>0.24663570000000001</v>
      </c>
      <c r="J558" s="55">
        <v>0.24663570000000001</v>
      </c>
      <c r="K558" s="55">
        <v>1.0277339999999999</v>
      </c>
      <c r="L558" s="55">
        <v>3.5005470000000001</v>
      </c>
      <c r="M558" s="55">
        <v>0.24663570000000001</v>
      </c>
      <c r="N558" s="55">
        <v>0.24663570000000001</v>
      </c>
    </row>
    <row r="559" spans="1:14" hidden="1" x14ac:dyDescent="0.35">
      <c r="A559" s="52" t="s">
        <v>206</v>
      </c>
      <c r="B559" s="52" t="s">
        <v>217</v>
      </c>
      <c r="C559" s="52" t="s">
        <v>216</v>
      </c>
      <c r="D559" s="52" t="s">
        <v>216</v>
      </c>
      <c r="E559" s="52" t="s">
        <v>584</v>
      </c>
      <c r="F559" s="52" t="s">
        <v>581</v>
      </c>
      <c r="G559" s="55" t="s">
        <v>279</v>
      </c>
      <c r="H559" s="55">
        <v>23.29842</v>
      </c>
      <c r="I559" s="55">
        <v>24.20168</v>
      </c>
      <c r="J559" s="55">
        <v>20.819430000000001</v>
      </c>
      <c r="K559" s="55">
        <v>20.39256</v>
      </c>
      <c r="L559" s="55">
        <v>19.116710000000001</v>
      </c>
      <c r="M559" s="55">
        <v>17.490680000000001</v>
      </c>
      <c r="N559" s="55">
        <v>14.91269</v>
      </c>
    </row>
    <row r="560" spans="1:14" hidden="1" x14ac:dyDescent="0.35">
      <c r="A560" s="52" t="s">
        <v>206</v>
      </c>
      <c r="B560" s="52" t="s">
        <v>217</v>
      </c>
      <c r="C560" s="52" t="s">
        <v>318</v>
      </c>
      <c r="D560" s="52" t="s">
        <v>318</v>
      </c>
      <c r="E560" s="52" t="s">
        <v>584</v>
      </c>
      <c r="F560" s="52" t="s">
        <v>581</v>
      </c>
      <c r="G560" s="55" t="s">
        <v>275</v>
      </c>
      <c r="H560" s="55">
        <v>-2.4964970000000002</v>
      </c>
      <c r="I560" s="55">
        <v>0</v>
      </c>
      <c r="J560" s="55"/>
      <c r="K560" s="55"/>
      <c r="L560" s="55"/>
      <c r="M560" s="55"/>
      <c r="N560" s="55"/>
    </row>
    <row r="561" spans="1:14" hidden="1" x14ac:dyDescent="0.35">
      <c r="A561" s="52" t="s">
        <v>206</v>
      </c>
      <c r="B561" s="52" t="s">
        <v>217</v>
      </c>
      <c r="C561" s="52" t="s">
        <v>318</v>
      </c>
      <c r="D561" s="52" t="s">
        <v>318</v>
      </c>
      <c r="E561" s="52" t="s">
        <v>584</v>
      </c>
      <c r="F561" s="52" t="s">
        <v>581</v>
      </c>
      <c r="G561" s="55" t="s">
        <v>278</v>
      </c>
      <c r="H561" s="55">
        <v>2.4964970000000002</v>
      </c>
      <c r="I561" s="55">
        <v>0</v>
      </c>
      <c r="J561" s="55"/>
      <c r="K561" s="55"/>
      <c r="L561" s="55"/>
      <c r="M561" s="55"/>
      <c r="N561" s="55"/>
    </row>
    <row r="562" spans="1:14" hidden="1" x14ac:dyDescent="0.35">
      <c r="A562" s="52" t="s">
        <v>206</v>
      </c>
      <c r="B562" s="52" t="s">
        <v>217</v>
      </c>
      <c r="C562" s="52" t="s">
        <v>318</v>
      </c>
      <c r="D562" s="52" t="s">
        <v>318</v>
      </c>
      <c r="E562" s="52" t="s">
        <v>584</v>
      </c>
      <c r="F562" s="52" t="s">
        <v>26</v>
      </c>
      <c r="G562" s="55" t="s">
        <v>275</v>
      </c>
      <c r="H562" s="55">
        <v>-1.664331</v>
      </c>
      <c r="I562" s="55">
        <v>0</v>
      </c>
      <c r="J562" s="55"/>
      <c r="K562" s="55"/>
      <c r="L562" s="55"/>
      <c r="M562" s="55"/>
      <c r="N562" s="55"/>
    </row>
    <row r="563" spans="1:14" hidden="1" x14ac:dyDescent="0.35">
      <c r="A563" s="52" t="s">
        <v>206</v>
      </c>
      <c r="B563" s="52" t="s">
        <v>217</v>
      </c>
      <c r="C563" s="52" t="s">
        <v>318</v>
      </c>
      <c r="D563" s="52" t="s">
        <v>318</v>
      </c>
      <c r="E563" s="52" t="s">
        <v>584</v>
      </c>
      <c r="F563" s="52" t="s">
        <v>26</v>
      </c>
      <c r="G563" s="55" t="s">
        <v>278</v>
      </c>
      <c r="H563" s="55">
        <v>1.664331</v>
      </c>
      <c r="I563" s="55">
        <v>0</v>
      </c>
      <c r="J563" s="55"/>
      <c r="K563" s="55"/>
      <c r="L563" s="55"/>
      <c r="M563" s="55"/>
      <c r="N563" s="55"/>
    </row>
    <row r="564" spans="1:14" hidden="1" x14ac:dyDescent="0.35">
      <c r="A564" s="52" t="s">
        <v>206</v>
      </c>
      <c r="B564" s="52" t="s">
        <v>74</v>
      </c>
      <c r="C564" s="52" t="s">
        <v>318</v>
      </c>
      <c r="D564" s="52" t="s">
        <v>318</v>
      </c>
      <c r="E564" s="52" t="s">
        <v>584</v>
      </c>
      <c r="F564" s="52" t="s">
        <v>581</v>
      </c>
      <c r="G564" s="55" t="s">
        <v>275</v>
      </c>
      <c r="H564" s="55">
        <v>-3.0829999999999998E-3</v>
      </c>
      <c r="I564" s="55">
        <v>0</v>
      </c>
      <c r="J564" s="55"/>
      <c r="K564" s="55"/>
      <c r="L564" s="55"/>
      <c r="M564" s="55"/>
      <c r="N564" s="55"/>
    </row>
    <row r="565" spans="1:14" hidden="1" x14ac:dyDescent="0.35">
      <c r="A565" s="52" t="s">
        <v>206</v>
      </c>
      <c r="B565" s="52" t="s">
        <v>74</v>
      </c>
      <c r="C565" s="52" t="s">
        <v>318</v>
      </c>
      <c r="D565" s="52" t="s">
        <v>318</v>
      </c>
      <c r="E565" s="52" t="s">
        <v>584</v>
      </c>
      <c r="F565" s="52" t="s">
        <v>581</v>
      </c>
      <c r="G565" s="55" t="s">
        <v>276</v>
      </c>
      <c r="H565" s="55">
        <v>-5.7359999999999998E-3</v>
      </c>
      <c r="I565" s="55">
        <v>0</v>
      </c>
      <c r="J565" s="55"/>
      <c r="K565" s="55"/>
      <c r="L565" s="55"/>
      <c r="M565" s="55"/>
      <c r="N565" s="55"/>
    </row>
    <row r="566" spans="1:14" hidden="1" x14ac:dyDescent="0.35">
      <c r="A566" s="52" t="s">
        <v>206</v>
      </c>
      <c r="B566" s="52" t="s">
        <v>74</v>
      </c>
      <c r="C566" s="52" t="s">
        <v>318</v>
      </c>
      <c r="D566" s="52" t="s">
        <v>318</v>
      </c>
      <c r="E566" s="52" t="s">
        <v>584</v>
      </c>
      <c r="F566" s="52" t="s">
        <v>581</v>
      </c>
      <c r="G566" s="55" t="s">
        <v>278</v>
      </c>
      <c r="H566" s="55">
        <v>8.8260000000000005E-3</v>
      </c>
      <c r="I566" s="55">
        <v>0</v>
      </c>
      <c r="J566" s="55"/>
      <c r="K566" s="55"/>
      <c r="L566" s="55"/>
      <c r="M566" s="55"/>
      <c r="N566" s="55"/>
    </row>
    <row r="567" spans="1:14" hidden="1" x14ac:dyDescent="0.35">
      <c r="A567" s="52" t="s">
        <v>206</v>
      </c>
      <c r="B567" s="52" t="s">
        <v>74</v>
      </c>
      <c r="C567" s="52" t="s">
        <v>318</v>
      </c>
      <c r="D567" s="52" t="s">
        <v>318</v>
      </c>
      <c r="E567" s="52" t="s">
        <v>584</v>
      </c>
      <c r="F567" s="52" t="s">
        <v>26</v>
      </c>
      <c r="G567" s="55" t="s">
        <v>275</v>
      </c>
      <c r="H567" s="55">
        <v>-2.0590000000000001E-3</v>
      </c>
      <c r="I567" s="55">
        <v>0</v>
      </c>
      <c r="J567" s="55"/>
      <c r="K567" s="55"/>
      <c r="L567" s="55"/>
      <c r="M567" s="55"/>
      <c r="N567" s="55"/>
    </row>
    <row r="568" spans="1:14" hidden="1" x14ac:dyDescent="0.35">
      <c r="A568" s="52" t="s">
        <v>206</v>
      </c>
      <c r="B568" s="52" t="s">
        <v>74</v>
      </c>
      <c r="C568" s="52" t="s">
        <v>318</v>
      </c>
      <c r="D568" s="52" t="s">
        <v>318</v>
      </c>
      <c r="E568" s="52" t="s">
        <v>584</v>
      </c>
      <c r="F568" s="52" t="s">
        <v>26</v>
      </c>
      <c r="G568" s="55" t="s">
        <v>276</v>
      </c>
      <c r="H568" s="55">
        <v>-3.8240000000000001E-3</v>
      </c>
      <c r="I568" s="55">
        <v>0</v>
      </c>
      <c r="J568" s="55"/>
      <c r="K568" s="55"/>
      <c r="L568" s="55"/>
      <c r="M568" s="55"/>
      <c r="N568" s="55"/>
    </row>
    <row r="569" spans="1:14" hidden="1" x14ac:dyDescent="0.35">
      <c r="A569" s="52" t="s">
        <v>206</v>
      </c>
      <c r="B569" s="52" t="s">
        <v>74</v>
      </c>
      <c r="C569" s="52" t="s">
        <v>318</v>
      </c>
      <c r="D569" s="52" t="s">
        <v>318</v>
      </c>
      <c r="E569" s="52" t="s">
        <v>584</v>
      </c>
      <c r="F569" s="52" t="s">
        <v>26</v>
      </c>
      <c r="G569" s="55" t="s">
        <v>278</v>
      </c>
      <c r="H569" s="55">
        <v>5.8840000000000003E-3</v>
      </c>
      <c r="I569" s="55">
        <v>0</v>
      </c>
      <c r="J569" s="55"/>
      <c r="K569" s="55"/>
      <c r="L569" s="55"/>
      <c r="M569" s="55"/>
      <c r="N569" s="55"/>
    </row>
    <row r="570" spans="1:14" hidden="1" x14ac:dyDescent="0.35">
      <c r="A570" s="52" t="s">
        <v>206</v>
      </c>
      <c r="B570" s="52" t="s">
        <v>74</v>
      </c>
      <c r="C570" s="52" t="s">
        <v>224</v>
      </c>
      <c r="D570" s="52" t="s">
        <v>224</v>
      </c>
      <c r="E570" s="52" t="s">
        <v>584</v>
      </c>
      <c r="F570" s="52" t="s">
        <v>581</v>
      </c>
      <c r="G570" s="55" t="s">
        <v>275</v>
      </c>
      <c r="H570" s="55"/>
      <c r="I570" s="55"/>
      <c r="J570" s="55">
        <v>0</v>
      </c>
      <c r="K570" s="55">
        <v>0</v>
      </c>
      <c r="L570" s="55">
        <v>0</v>
      </c>
      <c r="M570" s="55">
        <v>0</v>
      </c>
      <c r="N570" s="55">
        <v>0</v>
      </c>
    </row>
    <row r="571" spans="1:14" hidden="1" x14ac:dyDescent="0.35">
      <c r="A571" s="52" t="s">
        <v>206</v>
      </c>
      <c r="B571" s="52" t="s">
        <v>74</v>
      </c>
      <c r="C571" s="52" t="s">
        <v>224</v>
      </c>
      <c r="D571" s="52" t="s">
        <v>224</v>
      </c>
      <c r="E571" s="52" t="s">
        <v>584</v>
      </c>
      <c r="F571" s="52" t="s">
        <v>581</v>
      </c>
      <c r="G571" s="55" t="s">
        <v>276</v>
      </c>
      <c r="H571" s="55"/>
      <c r="I571" s="55"/>
      <c r="J571" s="55">
        <v>0</v>
      </c>
      <c r="K571" s="55">
        <v>0</v>
      </c>
      <c r="L571" s="55">
        <v>0</v>
      </c>
      <c r="M571" s="55">
        <v>0</v>
      </c>
      <c r="N571" s="55">
        <v>0</v>
      </c>
    </row>
    <row r="572" spans="1:14" hidden="1" x14ac:dyDescent="0.35">
      <c r="A572" s="52" t="s">
        <v>206</v>
      </c>
      <c r="B572" s="52" t="s">
        <v>74</v>
      </c>
      <c r="C572" s="52" t="s">
        <v>224</v>
      </c>
      <c r="D572" s="52" t="s">
        <v>224</v>
      </c>
      <c r="E572" s="52" t="s">
        <v>584</v>
      </c>
      <c r="F572" s="52" t="s">
        <v>581</v>
      </c>
      <c r="G572" s="55" t="s">
        <v>278</v>
      </c>
      <c r="H572" s="55"/>
      <c r="I572" s="55"/>
      <c r="J572" s="55">
        <v>0</v>
      </c>
      <c r="K572" s="55">
        <v>0</v>
      </c>
      <c r="L572" s="55">
        <v>0</v>
      </c>
      <c r="M572" s="55">
        <v>0</v>
      </c>
      <c r="N572" s="55">
        <v>0</v>
      </c>
    </row>
    <row r="573" spans="1:14" hidden="1" x14ac:dyDescent="0.35">
      <c r="A573" s="52" t="s">
        <v>206</v>
      </c>
      <c r="B573" s="52" t="s">
        <v>104</v>
      </c>
      <c r="C573" s="52" t="s">
        <v>318</v>
      </c>
      <c r="D573" s="52" t="s">
        <v>318</v>
      </c>
      <c r="E573" s="52" t="s">
        <v>584</v>
      </c>
      <c r="F573" s="52" t="s">
        <v>581</v>
      </c>
      <c r="G573" s="55" t="s">
        <v>275</v>
      </c>
      <c r="H573" s="55">
        <v>-0.44045099999999998</v>
      </c>
      <c r="I573" s="55">
        <v>0</v>
      </c>
      <c r="J573" s="55"/>
      <c r="K573" s="55"/>
      <c r="L573" s="55"/>
      <c r="M573" s="55"/>
      <c r="N573" s="55"/>
    </row>
    <row r="574" spans="1:14" hidden="1" x14ac:dyDescent="0.35">
      <c r="A574" s="52" t="s">
        <v>206</v>
      </c>
      <c r="B574" s="52" t="s">
        <v>104</v>
      </c>
      <c r="C574" s="52" t="s">
        <v>318</v>
      </c>
      <c r="D574" s="52" t="s">
        <v>318</v>
      </c>
      <c r="E574" s="52" t="s">
        <v>584</v>
      </c>
      <c r="F574" s="52" t="s">
        <v>581</v>
      </c>
      <c r="G574" s="55" t="s">
        <v>276</v>
      </c>
      <c r="H574" s="55">
        <v>-3.5712000000000001E-2</v>
      </c>
      <c r="I574" s="55">
        <v>0</v>
      </c>
      <c r="J574" s="55"/>
      <c r="K574" s="55"/>
      <c r="L574" s="55"/>
      <c r="M574" s="55"/>
      <c r="N574" s="55"/>
    </row>
    <row r="575" spans="1:14" hidden="1" x14ac:dyDescent="0.35">
      <c r="A575" s="52" t="s">
        <v>206</v>
      </c>
      <c r="B575" s="52" t="s">
        <v>104</v>
      </c>
      <c r="C575" s="52" t="s">
        <v>318</v>
      </c>
      <c r="D575" s="52" t="s">
        <v>318</v>
      </c>
      <c r="E575" s="52" t="s">
        <v>584</v>
      </c>
      <c r="F575" s="52" t="s">
        <v>581</v>
      </c>
      <c r="G575" s="55" t="s">
        <v>278</v>
      </c>
      <c r="H575" s="55">
        <v>0.47616399999999998</v>
      </c>
      <c r="I575" s="55">
        <v>0</v>
      </c>
      <c r="J575" s="55"/>
      <c r="K575" s="55"/>
      <c r="L575" s="55"/>
      <c r="M575" s="55"/>
      <c r="N575" s="55"/>
    </row>
    <row r="576" spans="1:14" hidden="1" x14ac:dyDescent="0.35">
      <c r="A576" s="52" t="s">
        <v>206</v>
      </c>
      <c r="B576" s="52" t="s">
        <v>104</v>
      </c>
      <c r="C576" s="52" t="s">
        <v>318</v>
      </c>
      <c r="D576" s="52" t="s">
        <v>318</v>
      </c>
      <c r="E576" s="52" t="s">
        <v>584</v>
      </c>
      <c r="F576" s="52" t="s">
        <v>26</v>
      </c>
      <c r="G576" s="55" t="s">
        <v>275</v>
      </c>
      <c r="H576" s="55">
        <v>-0.29363299999999998</v>
      </c>
      <c r="I576" s="55">
        <v>0</v>
      </c>
      <c r="J576" s="55"/>
      <c r="K576" s="55"/>
      <c r="L576" s="55"/>
      <c r="M576" s="55"/>
      <c r="N576" s="55"/>
    </row>
    <row r="577" spans="1:14" hidden="1" x14ac:dyDescent="0.35">
      <c r="A577" s="52" t="s">
        <v>206</v>
      </c>
      <c r="B577" s="52" t="s">
        <v>104</v>
      </c>
      <c r="C577" s="52" t="s">
        <v>318</v>
      </c>
      <c r="D577" s="52" t="s">
        <v>318</v>
      </c>
      <c r="E577" s="52" t="s">
        <v>584</v>
      </c>
      <c r="F577" s="52" t="s">
        <v>26</v>
      </c>
      <c r="G577" s="55" t="s">
        <v>276</v>
      </c>
      <c r="H577" s="55">
        <v>-2.3807999999999999E-2</v>
      </c>
      <c r="I577" s="55">
        <v>0</v>
      </c>
      <c r="J577" s="55"/>
      <c r="K577" s="55"/>
      <c r="L577" s="55"/>
      <c r="M577" s="55"/>
      <c r="N577" s="55"/>
    </row>
    <row r="578" spans="1:14" hidden="1" x14ac:dyDescent="0.35">
      <c r="A578" s="52" t="s">
        <v>206</v>
      </c>
      <c r="B578" s="52" t="s">
        <v>104</v>
      </c>
      <c r="C578" s="52" t="s">
        <v>318</v>
      </c>
      <c r="D578" s="52" t="s">
        <v>318</v>
      </c>
      <c r="E578" s="52" t="s">
        <v>584</v>
      </c>
      <c r="F578" s="52" t="s">
        <v>26</v>
      </c>
      <c r="G578" s="55" t="s">
        <v>278</v>
      </c>
      <c r="H578" s="55">
        <v>0.317442</v>
      </c>
      <c r="I578" s="55">
        <v>0</v>
      </c>
      <c r="J578" s="55"/>
      <c r="K578" s="55"/>
      <c r="L578" s="55"/>
      <c r="M578" s="55"/>
      <c r="N578" s="55"/>
    </row>
    <row r="579" spans="1:14" hidden="1" x14ac:dyDescent="0.35">
      <c r="A579" s="52" t="s">
        <v>206</v>
      </c>
      <c r="B579" s="52" t="s">
        <v>104</v>
      </c>
      <c r="C579" s="52" t="s">
        <v>103</v>
      </c>
      <c r="D579" s="52" t="s">
        <v>103</v>
      </c>
      <c r="E579" s="52" t="s">
        <v>584</v>
      </c>
      <c r="F579" s="52" t="s">
        <v>581</v>
      </c>
      <c r="G579" s="55" t="s">
        <v>275</v>
      </c>
      <c r="H579" s="55">
        <v>-3.6882999999999999E-2</v>
      </c>
      <c r="I579" s="55">
        <v>-3.6882999999999999E-2</v>
      </c>
      <c r="J579" s="55">
        <v>0</v>
      </c>
      <c r="K579" s="55">
        <v>0</v>
      </c>
      <c r="L579" s="55">
        <v>0</v>
      </c>
      <c r="M579" s="55">
        <v>0</v>
      </c>
      <c r="N579" s="55">
        <v>0</v>
      </c>
    </row>
    <row r="580" spans="1:14" hidden="1" x14ac:dyDescent="0.35">
      <c r="A580" s="52" t="s">
        <v>206</v>
      </c>
      <c r="B580" s="52" t="s">
        <v>104</v>
      </c>
      <c r="C580" s="52" t="s">
        <v>103</v>
      </c>
      <c r="D580" s="52" t="s">
        <v>103</v>
      </c>
      <c r="E580" s="52" t="s">
        <v>584</v>
      </c>
      <c r="F580" s="52" t="s">
        <v>581</v>
      </c>
      <c r="G580" s="55" t="s">
        <v>276</v>
      </c>
      <c r="H580" s="55"/>
      <c r="I580" s="55"/>
      <c r="J580" s="55">
        <v>-3.6882999999999999E-2</v>
      </c>
      <c r="K580" s="55">
        <v>-0.540771</v>
      </c>
      <c r="L580" s="55">
        <v>-3.6882999999999999E-2</v>
      </c>
      <c r="M580" s="55">
        <v>-3.6882999999999999E-2</v>
      </c>
      <c r="N580" s="55">
        <v>-3.6882999999999999E-2</v>
      </c>
    </row>
    <row r="581" spans="1:14" hidden="1" x14ac:dyDescent="0.35">
      <c r="A581" s="52" t="s">
        <v>206</v>
      </c>
      <c r="B581" s="52" t="s">
        <v>104</v>
      </c>
      <c r="C581" s="52" t="s">
        <v>103</v>
      </c>
      <c r="D581" s="52" t="s">
        <v>103</v>
      </c>
      <c r="E581" s="52" t="s">
        <v>584</v>
      </c>
      <c r="F581" s="52" t="s">
        <v>581</v>
      </c>
      <c r="G581" s="55" t="s">
        <v>278</v>
      </c>
      <c r="H581" s="55">
        <v>3.6882999999999999E-2</v>
      </c>
      <c r="I581" s="55">
        <v>3.6882999999999999E-2</v>
      </c>
      <c r="J581" s="55">
        <v>3.6882999999999999E-2</v>
      </c>
      <c r="K581" s="55">
        <v>0.540771</v>
      </c>
      <c r="L581" s="55">
        <v>3.6882999999999999E-2</v>
      </c>
      <c r="M581" s="55">
        <v>3.6882999999999999E-2</v>
      </c>
      <c r="N581" s="55">
        <v>3.6882999999999999E-2</v>
      </c>
    </row>
    <row r="582" spans="1:14" hidden="1" x14ac:dyDescent="0.35">
      <c r="A582" s="52" t="s">
        <v>206</v>
      </c>
      <c r="B582" s="52" t="s">
        <v>201</v>
      </c>
      <c r="C582" s="52" t="s">
        <v>220</v>
      </c>
      <c r="D582" s="52" t="s">
        <v>220</v>
      </c>
      <c r="E582" s="52" t="s">
        <v>606</v>
      </c>
      <c r="F582" s="52" t="s">
        <v>581</v>
      </c>
      <c r="G582" s="55" t="s">
        <v>275</v>
      </c>
      <c r="H582" s="55">
        <v>-0.77638799999999997</v>
      </c>
      <c r="I582" s="55">
        <v>-0.77638799999999997</v>
      </c>
      <c r="J582" s="55">
        <v>0</v>
      </c>
      <c r="K582" s="55">
        <v>0</v>
      </c>
      <c r="L582" s="55">
        <v>0</v>
      </c>
      <c r="M582" s="55">
        <v>0</v>
      </c>
      <c r="N582" s="55">
        <v>0</v>
      </c>
    </row>
    <row r="583" spans="1:14" hidden="1" x14ac:dyDescent="0.35">
      <c r="A583" s="52" t="s">
        <v>206</v>
      </c>
      <c r="B583" s="52" t="s">
        <v>201</v>
      </c>
      <c r="C583" s="52" t="s">
        <v>220</v>
      </c>
      <c r="D583" s="52" t="s">
        <v>220</v>
      </c>
      <c r="E583" s="52" t="s">
        <v>606</v>
      </c>
      <c r="F583" s="52" t="s">
        <v>581</v>
      </c>
      <c r="G583" s="55" t="s">
        <v>276</v>
      </c>
      <c r="H583" s="55"/>
      <c r="I583" s="55">
        <v>0</v>
      </c>
      <c r="J583" s="55">
        <v>0</v>
      </c>
      <c r="K583" s="55">
        <v>-7.238E-2</v>
      </c>
      <c r="L583" s="55">
        <v>-0.29433680000000001</v>
      </c>
      <c r="M583" s="55">
        <v>-0.9838017</v>
      </c>
      <c r="N583" s="55">
        <v>-1.005647</v>
      </c>
    </row>
    <row r="584" spans="1:14" hidden="1" x14ac:dyDescent="0.35">
      <c r="A584" s="52" t="s">
        <v>206</v>
      </c>
      <c r="B584" s="52" t="s">
        <v>201</v>
      </c>
      <c r="C584" s="52" t="s">
        <v>220</v>
      </c>
      <c r="D584" s="52" t="s">
        <v>220</v>
      </c>
      <c r="E584" s="52" t="s">
        <v>606</v>
      </c>
      <c r="F584" s="52" t="s">
        <v>581</v>
      </c>
      <c r="G584" s="55" t="s">
        <v>277</v>
      </c>
      <c r="H584" s="55"/>
      <c r="I584" s="55">
        <v>0</v>
      </c>
      <c r="J584" s="55">
        <v>0</v>
      </c>
      <c r="K584" s="55">
        <v>7.238E-2</v>
      </c>
      <c r="L584" s="55">
        <v>0.29433680000000001</v>
      </c>
      <c r="M584" s="55">
        <v>0.36325400000000002</v>
      </c>
      <c r="N584" s="55">
        <v>0.37551790000000002</v>
      </c>
    </row>
    <row r="585" spans="1:14" hidden="1" x14ac:dyDescent="0.35">
      <c r="A585" s="52" t="s">
        <v>206</v>
      </c>
      <c r="B585" s="52" t="s">
        <v>201</v>
      </c>
      <c r="C585" s="52" t="s">
        <v>220</v>
      </c>
      <c r="D585" s="52" t="s">
        <v>220</v>
      </c>
      <c r="E585" s="52" t="s">
        <v>606</v>
      </c>
      <c r="F585" s="52" t="s">
        <v>581</v>
      </c>
      <c r="G585" s="55" t="s">
        <v>278</v>
      </c>
      <c r="H585" s="55">
        <v>0.77638799999999997</v>
      </c>
      <c r="I585" s="55">
        <v>0.77638799999999997</v>
      </c>
      <c r="J585" s="55">
        <v>0</v>
      </c>
      <c r="K585" s="55">
        <v>0</v>
      </c>
      <c r="L585" s="55">
        <v>0</v>
      </c>
      <c r="M585" s="55">
        <v>0.62054739999999997</v>
      </c>
      <c r="N585" s="55">
        <v>0.63013019999999997</v>
      </c>
    </row>
    <row r="586" spans="1:14" hidden="1" x14ac:dyDescent="0.35">
      <c r="A586" s="52" t="s">
        <v>206</v>
      </c>
      <c r="B586" s="52" t="s">
        <v>201</v>
      </c>
      <c r="C586" s="52" t="s">
        <v>220</v>
      </c>
      <c r="D586" s="52" t="s">
        <v>220</v>
      </c>
      <c r="E586" s="52" t="s">
        <v>606</v>
      </c>
      <c r="F586" s="52" t="s">
        <v>581</v>
      </c>
      <c r="G586" s="55" t="s">
        <v>279</v>
      </c>
      <c r="H586" s="55"/>
      <c r="I586" s="55">
        <v>0</v>
      </c>
      <c r="J586" s="55"/>
      <c r="K586" s="55"/>
      <c r="L586" s="55"/>
      <c r="M586" s="55"/>
      <c r="N586" s="55">
        <v>0</v>
      </c>
    </row>
    <row r="587" spans="1:14" hidden="1" x14ac:dyDescent="0.35">
      <c r="A587" s="52" t="s">
        <v>206</v>
      </c>
      <c r="B587" s="52" t="s">
        <v>201</v>
      </c>
      <c r="C587" s="52" t="s">
        <v>220</v>
      </c>
      <c r="D587" s="52" t="s">
        <v>220</v>
      </c>
      <c r="E587" s="52" t="s">
        <v>606</v>
      </c>
      <c r="F587" s="52" t="s">
        <v>26</v>
      </c>
      <c r="G587" s="55" t="s">
        <v>275</v>
      </c>
      <c r="H587" s="55"/>
      <c r="I587" s="55">
        <v>0</v>
      </c>
      <c r="J587" s="55">
        <v>0</v>
      </c>
      <c r="K587" s="55"/>
      <c r="L587" s="55">
        <v>0</v>
      </c>
      <c r="M587" s="55">
        <v>0</v>
      </c>
      <c r="N587" s="55">
        <v>0</v>
      </c>
    </row>
    <row r="588" spans="1:14" hidden="1" x14ac:dyDescent="0.35">
      <c r="A588" s="52" t="s">
        <v>206</v>
      </c>
      <c r="B588" s="52" t="s">
        <v>201</v>
      </c>
      <c r="C588" s="52" t="s">
        <v>220</v>
      </c>
      <c r="D588" s="52" t="s">
        <v>220</v>
      </c>
      <c r="E588" s="52" t="s">
        <v>606</v>
      </c>
      <c r="F588" s="52" t="s">
        <v>26</v>
      </c>
      <c r="G588" s="55" t="s">
        <v>276</v>
      </c>
      <c r="H588" s="55"/>
      <c r="I588" s="55">
        <v>0</v>
      </c>
      <c r="J588" s="55"/>
      <c r="K588" s="55"/>
      <c r="L588" s="55"/>
      <c r="M588" s="55"/>
      <c r="N588" s="55">
        <v>0</v>
      </c>
    </row>
    <row r="589" spans="1:14" hidden="1" x14ac:dyDescent="0.35">
      <c r="A589" s="52" t="s">
        <v>206</v>
      </c>
      <c r="B589" s="52" t="s">
        <v>201</v>
      </c>
      <c r="C589" s="52" t="s">
        <v>220</v>
      </c>
      <c r="D589" s="52" t="s">
        <v>220</v>
      </c>
      <c r="E589" s="52" t="s">
        <v>606</v>
      </c>
      <c r="F589" s="52" t="s">
        <v>26</v>
      </c>
      <c r="G589" s="55" t="s">
        <v>277</v>
      </c>
      <c r="H589" s="55"/>
      <c r="I589" s="55">
        <v>0</v>
      </c>
      <c r="J589" s="55"/>
      <c r="K589" s="55">
        <v>0</v>
      </c>
      <c r="L589" s="55">
        <v>0</v>
      </c>
      <c r="M589" s="55">
        <v>0</v>
      </c>
      <c r="N589" s="55">
        <v>0</v>
      </c>
    </row>
    <row r="590" spans="1:14" hidden="1" x14ac:dyDescent="0.35">
      <c r="A590" s="52" t="s">
        <v>206</v>
      </c>
      <c r="B590" s="52" t="s">
        <v>201</v>
      </c>
      <c r="C590" s="52" t="s">
        <v>220</v>
      </c>
      <c r="D590" s="52" t="s">
        <v>220</v>
      </c>
      <c r="E590" s="52" t="s">
        <v>606</v>
      </c>
      <c r="F590" s="52" t="s">
        <v>26</v>
      </c>
      <c r="G590" s="55" t="s">
        <v>279</v>
      </c>
      <c r="H590" s="55"/>
      <c r="I590" s="55">
        <v>0</v>
      </c>
      <c r="J590" s="55"/>
      <c r="K590" s="55"/>
      <c r="L590" s="55"/>
      <c r="M590" s="55"/>
      <c r="N590" s="55">
        <v>0</v>
      </c>
    </row>
    <row r="591" spans="1:14" hidden="1" x14ac:dyDescent="0.35">
      <c r="A591" s="52" t="s">
        <v>206</v>
      </c>
      <c r="B591" s="52" t="s">
        <v>201</v>
      </c>
      <c r="C591" s="52" t="s">
        <v>220</v>
      </c>
      <c r="D591" s="52" t="s">
        <v>220</v>
      </c>
      <c r="E591" s="52" t="s">
        <v>584</v>
      </c>
      <c r="F591" s="52" t="s">
        <v>581</v>
      </c>
      <c r="G591" s="55" t="s">
        <v>275</v>
      </c>
      <c r="H591" s="55">
        <v>-0.58135919999999996</v>
      </c>
      <c r="I591" s="55">
        <v>-0.58135919999999996</v>
      </c>
      <c r="J591" s="55">
        <v>0</v>
      </c>
      <c r="K591" s="55">
        <v>0</v>
      </c>
      <c r="L591" s="55">
        <v>0</v>
      </c>
      <c r="M591" s="55">
        <v>0</v>
      </c>
      <c r="N591" s="55">
        <v>0</v>
      </c>
    </row>
    <row r="592" spans="1:14" hidden="1" x14ac:dyDescent="0.35">
      <c r="A592" s="52" t="s">
        <v>206</v>
      </c>
      <c r="B592" s="52" t="s">
        <v>201</v>
      </c>
      <c r="C592" s="52" t="s">
        <v>220</v>
      </c>
      <c r="D592" s="52" t="s">
        <v>220</v>
      </c>
      <c r="E592" s="52" t="s">
        <v>584</v>
      </c>
      <c r="F592" s="52" t="s">
        <v>581</v>
      </c>
      <c r="G592" s="55" t="s">
        <v>276</v>
      </c>
      <c r="H592" s="55"/>
      <c r="I592" s="55"/>
      <c r="J592" s="55">
        <v>-4.8976550000000003</v>
      </c>
      <c r="K592" s="55">
        <v>-0.58135919999999996</v>
      </c>
      <c r="L592" s="55">
        <v>-0.58135919999999996</v>
      </c>
      <c r="M592" s="55">
        <v>-0.58135919999999996</v>
      </c>
      <c r="N592" s="55">
        <v>-0.58135919999999996</v>
      </c>
    </row>
    <row r="593" spans="1:14" hidden="1" x14ac:dyDescent="0.35">
      <c r="A593" s="52" t="s">
        <v>206</v>
      </c>
      <c r="B593" s="52" t="s">
        <v>201</v>
      </c>
      <c r="C593" s="52" t="s">
        <v>220</v>
      </c>
      <c r="D593" s="52" t="s">
        <v>220</v>
      </c>
      <c r="E593" s="52" t="s">
        <v>584</v>
      </c>
      <c r="F593" s="52" t="s">
        <v>581</v>
      </c>
      <c r="G593" s="55" t="s">
        <v>278</v>
      </c>
      <c r="H593" s="55">
        <v>0.58135919999999996</v>
      </c>
      <c r="I593" s="55">
        <v>0.58135919999999996</v>
      </c>
      <c r="J593" s="55">
        <v>4.8976550000000003</v>
      </c>
      <c r="K593" s="55">
        <v>0.58135919999999996</v>
      </c>
      <c r="L593" s="55">
        <v>0.58135919999999996</v>
      </c>
      <c r="M593" s="55">
        <v>0.58135919999999996</v>
      </c>
      <c r="N593" s="55">
        <v>0.58135919999999996</v>
      </c>
    </row>
    <row r="594" spans="1:14" hidden="1" x14ac:dyDescent="0.35">
      <c r="A594" s="52" t="s">
        <v>206</v>
      </c>
      <c r="B594" s="52" t="s">
        <v>201</v>
      </c>
      <c r="C594" s="52" t="s">
        <v>318</v>
      </c>
      <c r="D594" s="52" t="s">
        <v>318</v>
      </c>
      <c r="E594" s="52" t="s">
        <v>584</v>
      </c>
      <c r="F594" s="52" t="s">
        <v>581</v>
      </c>
      <c r="G594" s="55" t="s">
        <v>275</v>
      </c>
      <c r="H594" s="55">
        <v>-16.54982</v>
      </c>
      <c r="I594" s="55">
        <v>0</v>
      </c>
      <c r="J594" s="55"/>
      <c r="K594" s="55"/>
      <c r="L594" s="55"/>
      <c r="M594" s="55"/>
      <c r="N594" s="55"/>
    </row>
    <row r="595" spans="1:14" hidden="1" x14ac:dyDescent="0.35">
      <c r="A595" s="52" t="s">
        <v>206</v>
      </c>
      <c r="B595" s="52" t="s">
        <v>201</v>
      </c>
      <c r="C595" s="52" t="s">
        <v>318</v>
      </c>
      <c r="D595" s="52" t="s">
        <v>318</v>
      </c>
      <c r="E595" s="52" t="s">
        <v>584</v>
      </c>
      <c r="F595" s="52" t="s">
        <v>581</v>
      </c>
      <c r="G595" s="55" t="s">
        <v>278</v>
      </c>
      <c r="H595" s="55">
        <v>16.54982</v>
      </c>
      <c r="I595" s="55">
        <v>0</v>
      </c>
      <c r="J595" s="55"/>
      <c r="K595" s="55"/>
      <c r="L595" s="55"/>
      <c r="M595" s="55"/>
      <c r="N595" s="55"/>
    </row>
    <row r="596" spans="1:14" hidden="1" x14ac:dyDescent="0.35">
      <c r="A596" s="52" t="s">
        <v>206</v>
      </c>
      <c r="B596" s="52" t="s">
        <v>201</v>
      </c>
      <c r="C596" s="52" t="s">
        <v>318</v>
      </c>
      <c r="D596" s="52" t="s">
        <v>318</v>
      </c>
      <c r="E596" s="52" t="s">
        <v>584</v>
      </c>
      <c r="F596" s="52" t="s">
        <v>26</v>
      </c>
      <c r="G596" s="55" t="s">
        <v>275</v>
      </c>
      <c r="H596" s="55">
        <v>-11.03321</v>
      </c>
      <c r="I596" s="55">
        <v>0</v>
      </c>
      <c r="J596" s="55"/>
      <c r="K596" s="55"/>
      <c r="L596" s="55"/>
      <c r="M596" s="55"/>
      <c r="N596" s="55"/>
    </row>
    <row r="597" spans="1:14" hidden="1" x14ac:dyDescent="0.35">
      <c r="A597" s="52" t="s">
        <v>206</v>
      </c>
      <c r="B597" s="52" t="s">
        <v>201</v>
      </c>
      <c r="C597" s="52" t="s">
        <v>318</v>
      </c>
      <c r="D597" s="52" t="s">
        <v>318</v>
      </c>
      <c r="E597" s="52" t="s">
        <v>584</v>
      </c>
      <c r="F597" s="52" t="s">
        <v>26</v>
      </c>
      <c r="G597" s="55" t="s">
        <v>278</v>
      </c>
      <c r="H597" s="55">
        <v>11.03321</v>
      </c>
      <c r="I597" s="55">
        <v>0</v>
      </c>
      <c r="J597" s="55"/>
      <c r="K597" s="55"/>
      <c r="L597" s="55"/>
      <c r="M597" s="55"/>
      <c r="N597" s="55"/>
    </row>
    <row r="598" spans="1:14" hidden="1" x14ac:dyDescent="0.35">
      <c r="A598" s="52" t="s">
        <v>206</v>
      </c>
      <c r="B598" s="52" t="s">
        <v>374</v>
      </c>
      <c r="C598" s="52" t="s">
        <v>373</v>
      </c>
      <c r="D598" s="52" t="s">
        <v>373</v>
      </c>
      <c r="E598" s="52" t="s">
        <v>584</v>
      </c>
      <c r="F598" s="52" t="s">
        <v>581</v>
      </c>
      <c r="G598" s="55" t="s">
        <v>275</v>
      </c>
      <c r="H598" s="55">
        <v>-8.0877989999999997E-2</v>
      </c>
      <c r="I598" s="55">
        <v>-8.0877989999999997E-2</v>
      </c>
      <c r="J598" s="55">
        <v>0</v>
      </c>
      <c r="K598" s="55">
        <v>0</v>
      </c>
      <c r="L598" s="55">
        <v>0</v>
      </c>
      <c r="M598" s="55">
        <v>0</v>
      </c>
      <c r="N598" s="55">
        <v>0</v>
      </c>
    </row>
    <row r="599" spans="1:14" hidden="1" x14ac:dyDescent="0.35">
      <c r="A599" s="52" t="s">
        <v>206</v>
      </c>
      <c r="B599" s="52" t="s">
        <v>374</v>
      </c>
      <c r="C599" s="52" t="s">
        <v>373</v>
      </c>
      <c r="D599" s="52" t="s">
        <v>373</v>
      </c>
      <c r="E599" s="52" t="s">
        <v>584</v>
      </c>
      <c r="F599" s="52" t="s">
        <v>581</v>
      </c>
      <c r="G599" s="55" t="s">
        <v>276</v>
      </c>
      <c r="H599" s="55"/>
      <c r="I599" s="55"/>
      <c r="J599" s="55">
        <v>-0.75210180000000004</v>
      </c>
      <c r="K599" s="55">
        <v>-8.0877989999999997E-2</v>
      </c>
      <c r="L599" s="55">
        <v>-8.0877989999999997E-2</v>
      </c>
      <c r="M599" s="55">
        <v>-8.0877989999999997E-2</v>
      </c>
      <c r="N599" s="55">
        <v>-0.105878</v>
      </c>
    </row>
    <row r="600" spans="1:14" hidden="1" x14ac:dyDescent="0.35">
      <c r="A600" s="52" t="s">
        <v>206</v>
      </c>
      <c r="B600" s="52" t="s">
        <v>374</v>
      </c>
      <c r="C600" s="52" t="s">
        <v>373</v>
      </c>
      <c r="D600" s="52" t="s">
        <v>373</v>
      </c>
      <c r="E600" s="52" t="s">
        <v>584</v>
      </c>
      <c r="F600" s="52" t="s">
        <v>581</v>
      </c>
      <c r="G600" s="55" t="s">
        <v>277</v>
      </c>
      <c r="H600" s="55"/>
      <c r="I600" s="55"/>
      <c r="J600" s="55"/>
      <c r="K600" s="55"/>
      <c r="L600" s="55"/>
      <c r="M600" s="55">
        <v>0</v>
      </c>
      <c r="N600" s="55">
        <v>2.5000000000000001E-2</v>
      </c>
    </row>
    <row r="601" spans="1:14" hidden="1" x14ac:dyDescent="0.35">
      <c r="A601" s="52" t="s">
        <v>206</v>
      </c>
      <c r="B601" s="52" t="s">
        <v>374</v>
      </c>
      <c r="C601" s="52" t="s">
        <v>373</v>
      </c>
      <c r="D601" s="52" t="s">
        <v>373</v>
      </c>
      <c r="E601" s="52" t="s">
        <v>584</v>
      </c>
      <c r="F601" s="52" t="s">
        <v>581</v>
      </c>
      <c r="G601" s="55" t="s">
        <v>278</v>
      </c>
      <c r="H601" s="55">
        <v>8.0877989999999997E-2</v>
      </c>
      <c r="I601" s="55">
        <v>8.0877989999999997E-2</v>
      </c>
      <c r="J601" s="55">
        <v>0.75210189999999999</v>
      </c>
      <c r="K601" s="55">
        <v>8.0877989999999997E-2</v>
      </c>
      <c r="L601" s="55">
        <v>8.0877989999999997E-2</v>
      </c>
      <c r="M601" s="55">
        <v>8.0877989999999997E-2</v>
      </c>
      <c r="N601" s="55">
        <v>8.0877989999999997E-2</v>
      </c>
    </row>
    <row r="602" spans="1:14" hidden="1" x14ac:dyDescent="0.35">
      <c r="A602" s="52" t="s">
        <v>206</v>
      </c>
      <c r="B602" s="52" t="s">
        <v>374</v>
      </c>
      <c r="C602" s="52" t="s">
        <v>191</v>
      </c>
      <c r="D602" s="52" t="s">
        <v>191</v>
      </c>
      <c r="E602" s="52" t="s">
        <v>584</v>
      </c>
      <c r="F602" s="52" t="s">
        <v>581</v>
      </c>
      <c r="G602" s="55" t="s">
        <v>275</v>
      </c>
      <c r="H602" s="55">
        <v>-7.4225979999999997E-2</v>
      </c>
      <c r="I602" s="55">
        <v>-7.4225979999999997E-2</v>
      </c>
      <c r="J602" s="55">
        <v>0</v>
      </c>
      <c r="K602" s="55">
        <v>0</v>
      </c>
      <c r="L602" s="55">
        <v>0</v>
      </c>
      <c r="M602" s="55">
        <v>0</v>
      </c>
      <c r="N602" s="55">
        <v>0</v>
      </c>
    </row>
    <row r="603" spans="1:14" hidden="1" x14ac:dyDescent="0.35">
      <c r="A603" s="52" t="s">
        <v>206</v>
      </c>
      <c r="B603" s="52" t="s">
        <v>374</v>
      </c>
      <c r="C603" s="52" t="s">
        <v>318</v>
      </c>
      <c r="D603" s="52" t="s">
        <v>318</v>
      </c>
      <c r="E603" s="52" t="s">
        <v>584</v>
      </c>
      <c r="F603" s="52" t="s">
        <v>581</v>
      </c>
      <c r="G603" s="55" t="s">
        <v>275</v>
      </c>
      <c r="H603" s="55">
        <v>-1.2840499999999999</v>
      </c>
      <c r="I603" s="55">
        <v>0</v>
      </c>
      <c r="J603" s="55"/>
      <c r="K603" s="55"/>
      <c r="L603" s="55"/>
      <c r="M603" s="55"/>
      <c r="N603" s="55"/>
    </row>
    <row r="604" spans="1:14" hidden="1" x14ac:dyDescent="0.35">
      <c r="A604" s="52" t="s">
        <v>206</v>
      </c>
      <c r="B604" s="52" t="s">
        <v>374</v>
      </c>
      <c r="C604" s="52" t="s">
        <v>191</v>
      </c>
      <c r="D604" s="52" t="s">
        <v>191</v>
      </c>
      <c r="E604" s="52" t="s">
        <v>584</v>
      </c>
      <c r="F604" s="52" t="s">
        <v>581</v>
      </c>
      <c r="G604" s="55" t="s">
        <v>276</v>
      </c>
      <c r="H604" s="55"/>
      <c r="I604" s="55"/>
      <c r="J604" s="55">
        <v>-7.4225979999999997E-2</v>
      </c>
      <c r="K604" s="55">
        <v>-7.4225979999999997E-2</v>
      </c>
      <c r="L604" s="55">
        <v>-7.4225979999999997E-2</v>
      </c>
      <c r="M604" s="55">
        <v>-7.4225979999999997E-2</v>
      </c>
      <c r="N604" s="55">
        <v>-7.4225979999999997E-2</v>
      </c>
    </row>
    <row r="605" spans="1:14" hidden="1" x14ac:dyDescent="0.35">
      <c r="A605" s="52" t="s">
        <v>206</v>
      </c>
      <c r="B605" s="52" t="s">
        <v>374</v>
      </c>
      <c r="C605" s="52" t="s">
        <v>318</v>
      </c>
      <c r="D605" s="52" t="s">
        <v>318</v>
      </c>
      <c r="E605" s="52" t="s">
        <v>584</v>
      </c>
      <c r="F605" s="52" t="s">
        <v>581</v>
      </c>
      <c r="G605" s="55" t="s">
        <v>278</v>
      </c>
      <c r="H605" s="55">
        <v>1.2840499999999999</v>
      </c>
      <c r="I605" s="55">
        <v>0</v>
      </c>
      <c r="J605" s="55"/>
      <c r="K605" s="55"/>
      <c r="L605" s="55"/>
      <c r="M605" s="55"/>
      <c r="N605" s="55"/>
    </row>
    <row r="606" spans="1:14" hidden="1" x14ac:dyDescent="0.35">
      <c r="A606" s="52" t="s">
        <v>206</v>
      </c>
      <c r="B606" s="52" t="s">
        <v>374</v>
      </c>
      <c r="C606" s="52" t="s">
        <v>191</v>
      </c>
      <c r="D606" s="52" t="s">
        <v>191</v>
      </c>
      <c r="E606" s="52" t="s">
        <v>584</v>
      </c>
      <c r="F606" s="52" t="s">
        <v>581</v>
      </c>
      <c r="G606" s="55" t="s">
        <v>278</v>
      </c>
      <c r="H606" s="55">
        <v>7.4225979999999997E-2</v>
      </c>
      <c r="I606" s="55">
        <v>7.4225979999999997E-2</v>
      </c>
      <c r="J606" s="55">
        <v>7.4225979999999997E-2</v>
      </c>
      <c r="K606" s="55">
        <v>7.4225979999999997E-2</v>
      </c>
      <c r="L606" s="55">
        <v>7.4225979999999997E-2</v>
      </c>
      <c r="M606" s="55">
        <v>7.4225979999999997E-2</v>
      </c>
      <c r="N606" s="55">
        <v>7.4225979999999997E-2</v>
      </c>
    </row>
    <row r="607" spans="1:14" hidden="1" x14ac:dyDescent="0.35">
      <c r="A607" s="52" t="s">
        <v>206</v>
      </c>
      <c r="B607" s="52" t="s">
        <v>374</v>
      </c>
      <c r="C607" s="52" t="s">
        <v>318</v>
      </c>
      <c r="D607" s="52" t="s">
        <v>318</v>
      </c>
      <c r="E607" s="52" t="s">
        <v>584</v>
      </c>
      <c r="F607" s="52" t="s">
        <v>26</v>
      </c>
      <c r="G607" s="55" t="s">
        <v>275</v>
      </c>
      <c r="H607" s="55">
        <v>-0.85603390000000001</v>
      </c>
      <c r="I607" s="55">
        <v>0</v>
      </c>
      <c r="J607" s="55"/>
      <c r="K607" s="55"/>
      <c r="L607" s="55"/>
      <c r="M607" s="55"/>
      <c r="N607" s="55"/>
    </row>
    <row r="608" spans="1:14" hidden="1" x14ac:dyDescent="0.35">
      <c r="A608" s="52" t="s">
        <v>206</v>
      </c>
      <c r="B608" s="52" t="s">
        <v>374</v>
      </c>
      <c r="C608" s="52" t="s">
        <v>318</v>
      </c>
      <c r="D608" s="52" t="s">
        <v>318</v>
      </c>
      <c r="E608" s="52" t="s">
        <v>584</v>
      </c>
      <c r="F608" s="52" t="s">
        <v>26</v>
      </c>
      <c r="G608" s="55" t="s">
        <v>278</v>
      </c>
      <c r="H608" s="55">
        <v>0.85603390000000001</v>
      </c>
      <c r="I608" s="55">
        <v>0</v>
      </c>
      <c r="J608" s="55"/>
      <c r="K608" s="55"/>
      <c r="L608" s="55"/>
      <c r="M608" s="55"/>
      <c r="N608" s="55"/>
    </row>
    <row r="609" spans="1:14" hidden="1" x14ac:dyDescent="0.35">
      <c r="A609" s="52" t="s">
        <v>206</v>
      </c>
      <c r="B609" s="52" t="s">
        <v>162</v>
      </c>
      <c r="C609" s="52" t="s">
        <v>318</v>
      </c>
      <c r="D609" s="52" t="s">
        <v>318</v>
      </c>
      <c r="E609" s="52" t="s">
        <v>584</v>
      </c>
      <c r="F609" s="52" t="s">
        <v>581</v>
      </c>
      <c r="G609" s="55" t="s">
        <v>275</v>
      </c>
      <c r="H609" s="55">
        <v>-9.0379000000000001E-2</v>
      </c>
      <c r="I609" s="55">
        <v>0</v>
      </c>
      <c r="J609" s="55"/>
      <c r="K609" s="55"/>
      <c r="L609" s="55"/>
      <c r="M609" s="55"/>
      <c r="N609" s="55"/>
    </row>
    <row r="610" spans="1:14" hidden="1" x14ac:dyDescent="0.35">
      <c r="A610" s="52" t="s">
        <v>206</v>
      </c>
      <c r="B610" s="52" t="s">
        <v>162</v>
      </c>
      <c r="C610" s="52" t="s">
        <v>318</v>
      </c>
      <c r="D610" s="52" t="s">
        <v>318</v>
      </c>
      <c r="E610" s="52" t="s">
        <v>584</v>
      </c>
      <c r="F610" s="52" t="s">
        <v>581</v>
      </c>
      <c r="G610" s="55" t="s">
        <v>276</v>
      </c>
      <c r="H610" s="55">
        <v>-3.7650000000000001E-3</v>
      </c>
      <c r="I610" s="55">
        <v>0</v>
      </c>
      <c r="J610" s="55"/>
      <c r="K610" s="55"/>
      <c r="L610" s="55"/>
      <c r="M610" s="55"/>
      <c r="N610" s="55"/>
    </row>
    <row r="611" spans="1:14" hidden="1" x14ac:dyDescent="0.35">
      <c r="A611" s="52" t="s">
        <v>206</v>
      </c>
      <c r="B611" s="52" t="s">
        <v>162</v>
      </c>
      <c r="C611" s="52" t="s">
        <v>318</v>
      </c>
      <c r="D611" s="52" t="s">
        <v>318</v>
      </c>
      <c r="E611" s="52" t="s">
        <v>584</v>
      </c>
      <c r="F611" s="52" t="s">
        <v>581</v>
      </c>
      <c r="G611" s="55" t="s">
        <v>278</v>
      </c>
      <c r="H611" s="55">
        <v>9.4144000000000005E-2</v>
      </c>
      <c r="I611" s="55">
        <v>0</v>
      </c>
      <c r="J611" s="55"/>
      <c r="K611" s="55"/>
      <c r="L611" s="55"/>
      <c r="M611" s="55"/>
      <c r="N611" s="55"/>
    </row>
    <row r="612" spans="1:14" hidden="1" x14ac:dyDescent="0.35">
      <c r="A612" s="52" t="s">
        <v>206</v>
      </c>
      <c r="B612" s="52" t="s">
        <v>162</v>
      </c>
      <c r="C612" s="52" t="s">
        <v>318</v>
      </c>
      <c r="D612" s="52" t="s">
        <v>318</v>
      </c>
      <c r="E612" s="52" t="s">
        <v>584</v>
      </c>
      <c r="F612" s="52" t="s">
        <v>26</v>
      </c>
      <c r="G612" s="55" t="s">
        <v>275</v>
      </c>
      <c r="H612" s="55">
        <v>-6.0253000000000001E-2</v>
      </c>
      <c r="I612" s="55">
        <v>0</v>
      </c>
      <c r="J612" s="55"/>
      <c r="K612" s="55"/>
      <c r="L612" s="55"/>
      <c r="M612" s="55"/>
      <c r="N612" s="55"/>
    </row>
    <row r="613" spans="1:14" hidden="1" x14ac:dyDescent="0.35">
      <c r="A613" s="52" t="s">
        <v>206</v>
      </c>
      <c r="B613" s="52" t="s">
        <v>162</v>
      </c>
      <c r="C613" s="52" t="s">
        <v>318</v>
      </c>
      <c r="D613" s="52" t="s">
        <v>318</v>
      </c>
      <c r="E613" s="52" t="s">
        <v>584</v>
      </c>
      <c r="F613" s="52" t="s">
        <v>26</v>
      </c>
      <c r="G613" s="55" t="s">
        <v>276</v>
      </c>
      <c r="H613" s="55">
        <v>-2.5110000000000002E-3</v>
      </c>
      <c r="I613" s="55">
        <v>0</v>
      </c>
      <c r="J613" s="55"/>
      <c r="K613" s="55"/>
      <c r="L613" s="55"/>
      <c r="M613" s="55"/>
      <c r="N613" s="55"/>
    </row>
    <row r="614" spans="1:14" hidden="1" x14ac:dyDescent="0.35">
      <c r="A614" s="52" t="s">
        <v>206</v>
      </c>
      <c r="B614" s="52" t="s">
        <v>162</v>
      </c>
      <c r="C614" s="52" t="s">
        <v>318</v>
      </c>
      <c r="D614" s="52" t="s">
        <v>318</v>
      </c>
      <c r="E614" s="52" t="s">
        <v>584</v>
      </c>
      <c r="F614" s="52" t="s">
        <v>26</v>
      </c>
      <c r="G614" s="55" t="s">
        <v>278</v>
      </c>
      <c r="H614" s="55">
        <v>6.2764E-2</v>
      </c>
      <c r="I614" s="55">
        <v>0</v>
      </c>
      <c r="J614" s="55"/>
      <c r="K614" s="55"/>
      <c r="L614" s="55"/>
      <c r="M614" s="55"/>
      <c r="N614" s="55"/>
    </row>
    <row r="615" spans="1:14" hidden="1" x14ac:dyDescent="0.35">
      <c r="A615" s="52" t="s">
        <v>206</v>
      </c>
      <c r="B615" s="52" t="s">
        <v>162</v>
      </c>
      <c r="C615" s="52" t="s">
        <v>161</v>
      </c>
      <c r="D615" s="52" t="s">
        <v>161</v>
      </c>
      <c r="E615" s="52" t="s">
        <v>584</v>
      </c>
      <c r="F615" s="52" t="s">
        <v>581</v>
      </c>
      <c r="G615" s="55" t="s">
        <v>275</v>
      </c>
      <c r="H615" s="55">
        <v>-4.3329810000000003E-2</v>
      </c>
      <c r="I615" s="55">
        <v>-4.3329810000000003E-2</v>
      </c>
      <c r="J615" s="55">
        <v>-4.3330100000000003E-2</v>
      </c>
      <c r="K615" s="55">
        <v>-0.17467940000000001</v>
      </c>
      <c r="L615" s="55">
        <v>-0.1183869</v>
      </c>
      <c r="M615" s="55">
        <v>1.2962690000000001E-2</v>
      </c>
      <c r="N615" s="55">
        <v>-2.815569</v>
      </c>
    </row>
    <row r="616" spans="1:14" hidden="1" x14ac:dyDescent="0.35">
      <c r="A616" s="52" t="s">
        <v>206</v>
      </c>
      <c r="B616" s="52" t="s">
        <v>162</v>
      </c>
      <c r="C616" s="52" t="s">
        <v>161</v>
      </c>
      <c r="D616" s="52" t="s">
        <v>161</v>
      </c>
      <c r="E616" s="52" t="s">
        <v>584</v>
      </c>
      <c r="F616" s="52" t="s">
        <v>581</v>
      </c>
      <c r="G616" s="55" t="s">
        <v>276</v>
      </c>
      <c r="H616" s="55">
        <v>-1.272593E-2</v>
      </c>
      <c r="I616" s="55">
        <v>-1.272593E-2</v>
      </c>
      <c r="J616" s="55">
        <v>-1.272622E-2</v>
      </c>
      <c r="K616" s="55">
        <v>-6.901902E-2</v>
      </c>
      <c r="L616" s="55">
        <v>-0.12531120000000001</v>
      </c>
      <c r="M616" s="55">
        <v>-6.901873E-2</v>
      </c>
      <c r="N616" s="55">
        <v>-1.138579</v>
      </c>
    </row>
    <row r="617" spans="1:14" hidden="1" x14ac:dyDescent="0.35">
      <c r="A617" s="52" t="s">
        <v>206</v>
      </c>
      <c r="B617" s="52" t="s">
        <v>162</v>
      </c>
      <c r="C617" s="52" t="s">
        <v>161</v>
      </c>
      <c r="D617" s="52" t="s">
        <v>161</v>
      </c>
      <c r="E617" s="52" t="s">
        <v>584</v>
      </c>
      <c r="F617" s="52" t="s">
        <v>581</v>
      </c>
      <c r="G617" s="55" t="s">
        <v>277</v>
      </c>
      <c r="H617" s="55"/>
      <c r="I617" s="55"/>
      <c r="J617" s="55">
        <v>0</v>
      </c>
      <c r="K617" s="55">
        <v>0.18764210000000001</v>
      </c>
      <c r="L617" s="55">
        <v>0.18764210000000001</v>
      </c>
      <c r="M617" s="55">
        <v>0</v>
      </c>
      <c r="N617" s="55">
        <v>3.898091</v>
      </c>
    </row>
    <row r="618" spans="1:14" hidden="1" x14ac:dyDescent="0.35">
      <c r="A618" s="52" t="s">
        <v>206</v>
      </c>
      <c r="B618" s="52" t="s">
        <v>162</v>
      </c>
      <c r="C618" s="52" t="s">
        <v>161</v>
      </c>
      <c r="D618" s="52" t="s">
        <v>161</v>
      </c>
      <c r="E618" s="52" t="s">
        <v>584</v>
      </c>
      <c r="F618" s="52" t="s">
        <v>581</v>
      </c>
      <c r="G618" s="55" t="s">
        <v>278</v>
      </c>
      <c r="H618" s="55">
        <v>5.6056040000000001E-2</v>
      </c>
      <c r="I618" s="55">
        <v>5.6056040000000001E-2</v>
      </c>
      <c r="J618" s="55">
        <v>5.6056040000000001E-2</v>
      </c>
      <c r="K618" s="55">
        <v>5.6056040000000001E-2</v>
      </c>
      <c r="L618" s="55">
        <v>5.6056040000000001E-2</v>
      </c>
      <c r="M618" s="55">
        <v>5.6056040000000001E-2</v>
      </c>
      <c r="N618" s="55">
        <v>5.6056040000000001E-2</v>
      </c>
    </row>
    <row r="619" spans="1:14" hidden="1" x14ac:dyDescent="0.35">
      <c r="A619" s="52" t="s">
        <v>206</v>
      </c>
      <c r="B619" s="52" t="s">
        <v>162</v>
      </c>
      <c r="C619" s="52" t="s">
        <v>161</v>
      </c>
      <c r="D619" s="52" t="s">
        <v>161</v>
      </c>
      <c r="E619" s="52" t="s">
        <v>584</v>
      </c>
      <c r="F619" s="52" t="s">
        <v>581</v>
      </c>
      <c r="G619" s="55" t="s">
        <v>279</v>
      </c>
      <c r="H619" s="55"/>
      <c r="I619" s="55"/>
      <c r="J619" s="55"/>
      <c r="K619" s="55"/>
      <c r="L619" s="55"/>
      <c r="M619" s="55"/>
      <c r="N619" s="55">
        <v>0</v>
      </c>
    </row>
    <row r="620" spans="1:14" hidden="1" x14ac:dyDescent="0.35">
      <c r="A620" s="52" t="s">
        <v>206</v>
      </c>
      <c r="B620" s="52" t="s">
        <v>162</v>
      </c>
      <c r="C620" s="52" t="s">
        <v>161</v>
      </c>
      <c r="D620" s="52" t="s">
        <v>161</v>
      </c>
      <c r="E620" s="52" t="s">
        <v>584</v>
      </c>
      <c r="F620" s="52" t="s">
        <v>26</v>
      </c>
      <c r="G620" s="55" t="s">
        <v>275</v>
      </c>
      <c r="H620" s="55"/>
      <c r="I620" s="55"/>
      <c r="J620" s="55"/>
      <c r="K620" s="55"/>
      <c r="L620" s="55"/>
      <c r="M620" s="55"/>
      <c r="N620" s="55">
        <v>0</v>
      </c>
    </row>
    <row r="621" spans="1:14" hidden="1" x14ac:dyDescent="0.35">
      <c r="A621" s="52" t="s">
        <v>206</v>
      </c>
      <c r="B621" s="52" t="s">
        <v>162</v>
      </c>
      <c r="C621" s="52" t="s">
        <v>161</v>
      </c>
      <c r="D621" s="52" t="s">
        <v>161</v>
      </c>
      <c r="E621" s="52" t="s">
        <v>584</v>
      </c>
      <c r="F621" s="52" t="s">
        <v>26</v>
      </c>
      <c r="G621" s="55" t="s">
        <v>276</v>
      </c>
      <c r="H621" s="55"/>
      <c r="I621" s="55"/>
      <c r="J621" s="55"/>
      <c r="K621" s="55"/>
      <c r="L621" s="55"/>
      <c r="M621" s="55"/>
      <c r="N621" s="55">
        <v>0</v>
      </c>
    </row>
    <row r="622" spans="1:14" hidden="1" x14ac:dyDescent="0.35">
      <c r="A622" s="52" t="s">
        <v>206</v>
      </c>
      <c r="B622" s="52" t="s">
        <v>162</v>
      </c>
      <c r="C622" s="52" t="s">
        <v>161</v>
      </c>
      <c r="D622" s="52" t="s">
        <v>161</v>
      </c>
      <c r="E622" s="52" t="s">
        <v>584</v>
      </c>
      <c r="F622" s="52" t="s">
        <v>26</v>
      </c>
      <c r="G622" s="55" t="s">
        <v>277</v>
      </c>
      <c r="H622" s="55"/>
      <c r="I622" s="55"/>
      <c r="J622" s="55"/>
      <c r="K622" s="55"/>
      <c r="L622" s="55"/>
      <c r="M622" s="55"/>
      <c r="N622" s="55">
        <v>0</v>
      </c>
    </row>
    <row r="623" spans="1:14" hidden="1" x14ac:dyDescent="0.35">
      <c r="A623" s="52" t="s">
        <v>206</v>
      </c>
      <c r="B623" s="52" t="s">
        <v>162</v>
      </c>
      <c r="C623" s="52" t="s">
        <v>161</v>
      </c>
      <c r="D623" s="52" t="s">
        <v>161</v>
      </c>
      <c r="E623" s="52" t="s">
        <v>584</v>
      </c>
      <c r="F623" s="52" t="s">
        <v>26</v>
      </c>
      <c r="G623" s="55" t="s">
        <v>279</v>
      </c>
      <c r="H623" s="55"/>
      <c r="I623" s="55"/>
      <c r="J623" s="55"/>
      <c r="K623" s="55"/>
      <c r="L623" s="55"/>
      <c r="M623" s="55"/>
      <c r="N623" s="55">
        <v>0</v>
      </c>
    </row>
    <row r="624" spans="1:14" hidden="1" x14ac:dyDescent="0.35">
      <c r="A624" s="52" t="s">
        <v>206</v>
      </c>
      <c r="B624" s="52" t="s">
        <v>361</v>
      </c>
      <c r="C624" s="52" t="s">
        <v>318</v>
      </c>
      <c r="D624" s="52" t="s">
        <v>318</v>
      </c>
      <c r="E624" s="52" t="s">
        <v>584</v>
      </c>
      <c r="F624" s="52" t="s">
        <v>581</v>
      </c>
      <c r="G624" s="55" t="s">
        <v>275</v>
      </c>
      <c r="H624" s="55">
        <v>-1.6416E-2</v>
      </c>
      <c r="I624" s="55">
        <v>0</v>
      </c>
      <c r="J624" s="55"/>
      <c r="K624" s="55"/>
      <c r="L624" s="55"/>
      <c r="M624" s="55"/>
      <c r="N624" s="55"/>
    </row>
    <row r="625" spans="1:14" hidden="1" x14ac:dyDescent="0.35">
      <c r="A625" s="52" t="s">
        <v>206</v>
      </c>
      <c r="B625" s="52" t="s">
        <v>361</v>
      </c>
      <c r="C625" s="52" t="s">
        <v>318</v>
      </c>
      <c r="D625" s="52" t="s">
        <v>318</v>
      </c>
      <c r="E625" s="52" t="s">
        <v>584</v>
      </c>
      <c r="F625" s="52" t="s">
        <v>581</v>
      </c>
      <c r="G625" s="55" t="s">
        <v>276</v>
      </c>
      <c r="H625" s="55">
        <v>-1.2359999999999999E-3</v>
      </c>
      <c r="I625" s="55">
        <v>0</v>
      </c>
      <c r="J625" s="55"/>
      <c r="K625" s="55"/>
      <c r="L625" s="55"/>
      <c r="M625" s="55"/>
      <c r="N625" s="55"/>
    </row>
    <row r="626" spans="1:14" hidden="1" x14ac:dyDescent="0.35">
      <c r="A626" s="52" t="s">
        <v>206</v>
      </c>
      <c r="B626" s="52" t="s">
        <v>361</v>
      </c>
      <c r="C626" s="52" t="s">
        <v>318</v>
      </c>
      <c r="D626" s="52" t="s">
        <v>318</v>
      </c>
      <c r="E626" s="52" t="s">
        <v>584</v>
      </c>
      <c r="F626" s="52" t="s">
        <v>581</v>
      </c>
      <c r="G626" s="55" t="s">
        <v>278</v>
      </c>
      <c r="H626" s="55">
        <v>1.7651E-2</v>
      </c>
      <c r="I626" s="55">
        <v>0</v>
      </c>
      <c r="J626" s="55"/>
      <c r="K626" s="55"/>
      <c r="L626" s="55"/>
      <c r="M626" s="55"/>
      <c r="N626" s="55"/>
    </row>
    <row r="627" spans="1:14" hidden="1" x14ac:dyDescent="0.35">
      <c r="A627" s="52" t="s">
        <v>206</v>
      </c>
      <c r="B627" s="52" t="s">
        <v>361</v>
      </c>
      <c r="C627" s="52" t="s">
        <v>318</v>
      </c>
      <c r="D627" s="52" t="s">
        <v>318</v>
      </c>
      <c r="E627" s="52" t="s">
        <v>584</v>
      </c>
      <c r="F627" s="52" t="s">
        <v>26</v>
      </c>
      <c r="G627" s="55" t="s">
        <v>275</v>
      </c>
      <c r="H627" s="55">
        <v>-1.0944000000000001E-2</v>
      </c>
      <c r="I627" s="55">
        <v>0</v>
      </c>
      <c r="J627" s="55"/>
      <c r="K627" s="55"/>
      <c r="L627" s="55"/>
      <c r="M627" s="55"/>
      <c r="N627" s="55"/>
    </row>
    <row r="628" spans="1:14" hidden="1" x14ac:dyDescent="0.35">
      <c r="A628" s="52" t="s">
        <v>206</v>
      </c>
      <c r="B628" s="52" t="s">
        <v>361</v>
      </c>
      <c r="C628" s="52" t="s">
        <v>318</v>
      </c>
      <c r="D628" s="52" t="s">
        <v>318</v>
      </c>
      <c r="E628" s="52" t="s">
        <v>584</v>
      </c>
      <c r="F628" s="52" t="s">
        <v>26</v>
      </c>
      <c r="G628" s="55" t="s">
        <v>276</v>
      </c>
      <c r="H628" s="55">
        <v>-8.2399999999999997E-4</v>
      </c>
      <c r="I628" s="55">
        <v>0</v>
      </c>
      <c r="J628" s="55"/>
      <c r="K628" s="55"/>
      <c r="L628" s="55"/>
      <c r="M628" s="55"/>
      <c r="N628" s="55"/>
    </row>
    <row r="629" spans="1:14" hidden="1" x14ac:dyDescent="0.35">
      <c r="A629" s="52" t="s">
        <v>206</v>
      </c>
      <c r="B629" s="52" t="s">
        <v>361</v>
      </c>
      <c r="C629" s="52" t="s">
        <v>318</v>
      </c>
      <c r="D629" s="52" t="s">
        <v>318</v>
      </c>
      <c r="E629" s="52" t="s">
        <v>584</v>
      </c>
      <c r="F629" s="52" t="s">
        <v>26</v>
      </c>
      <c r="G629" s="55" t="s">
        <v>278</v>
      </c>
      <c r="H629" s="55">
        <v>1.1767E-2</v>
      </c>
      <c r="I629" s="55">
        <v>0</v>
      </c>
      <c r="J629" s="55"/>
      <c r="K629" s="55"/>
      <c r="L629" s="55"/>
      <c r="M629" s="55"/>
      <c r="N629" s="55"/>
    </row>
    <row r="630" spans="1:14" hidden="1" x14ac:dyDescent="0.35">
      <c r="A630" s="52" t="s">
        <v>206</v>
      </c>
      <c r="B630" s="52" t="s">
        <v>361</v>
      </c>
      <c r="C630" s="52" t="s">
        <v>214</v>
      </c>
      <c r="D630" s="52" t="s">
        <v>214</v>
      </c>
      <c r="E630" s="52" t="s">
        <v>584</v>
      </c>
      <c r="F630" s="52" t="s">
        <v>581</v>
      </c>
      <c r="G630" s="55" t="s">
        <v>275</v>
      </c>
      <c r="H630" s="55">
        <v>-1.6666839999999999E-2</v>
      </c>
      <c r="I630" s="55">
        <v>-2.015834E-2</v>
      </c>
      <c r="J630" s="55">
        <v>0</v>
      </c>
      <c r="K630" s="55">
        <v>0</v>
      </c>
      <c r="L630" s="55">
        <v>0</v>
      </c>
      <c r="M630" s="55">
        <v>0</v>
      </c>
      <c r="N630" s="55">
        <v>0</v>
      </c>
    </row>
    <row r="631" spans="1:14" hidden="1" x14ac:dyDescent="0.35">
      <c r="A631" s="52" t="s">
        <v>206</v>
      </c>
      <c r="B631" s="52" t="s">
        <v>361</v>
      </c>
      <c r="C631" s="52" t="s">
        <v>214</v>
      </c>
      <c r="D631" s="52" t="s">
        <v>214</v>
      </c>
      <c r="E631" s="52" t="s">
        <v>584</v>
      </c>
      <c r="F631" s="52" t="s">
        <v>581</v>
      </c>
      <c r="G631" s="55" t="s">
        <v>276</v>
      </c>
      <c r="H631" s="55">
        <v>-1.9717729999999999E-2</v>
      </c>
      <c r="I631" s="55">
        <v>-1.622622E-2</v>
      </c>
      <c r="J631" s="55">
        <v>-3.6384569999999998E-2</v>
      </c>
      <c r="K631" s="55">
        <v>-0.2121161</v>
      </c>
      <c r="L631" s="55">
        <v>-3.6383329999999998E-2</v>
      </c>
      <c r="M631" s="55">
        <v>-4.1333540000000002E-2</v>
      </c>
      <c r="N631" s="55">
        <v>-4.133303E-2</v>
      </c>
    </row>
    <row r="632" spans="1:14" hidden="1" x14ac:dyDescent="0.35">
      <c r="A632" s="52" t="s">
        <v>206</v>
      </c>
      <c r="B632" s="52" t="s">
        <v>361</v>
      </c>
      <c r="C632" s="52" t="s">
        <v>214</v>
      </c>
      <c r="D632" s="52" t="s">
        <v>214</v>
      </c>
      <c r="E632" s="52" t="s">
        <v>584</v>
      </c>
      <c r="F632" s="52" t="s">
        <v>581</v>
      </c>
      <c r="G632" s="55" t="s">
        <v>277</v>
      </c>
      <c r="H632" s="55"/>
      <c r="I632" s="55"/>
      <c r="J632" s="55">
        <v>0</v>
      </c>
      <c r="K632" s="55">
        <v>0.1757321</v>
      </c>
      <c r="L632" s="55">
        <v>0</v>
      </c>
      <c r="M632" s="55">
        <v>0</v>
      </c>
      <c r="N632" s="55">
        <v>0</v>
      </c>
    </row>
    <row r="633" spans="1:14" hidden="1" x14ac:dyDescent="0.35">
      <c r="A633" s="52" t="s">
        <v>206</v>
      </c>
      <c r="B633" s="52" t="s">
        <v>361</v>
      </c>
      <c r="C633" s="52" t="s">
        <v>214</v>
      </c>
      <c r="D633" s="52" t="s">
        <v>214</v>
      </c>
      <c r="E633" s="52" t="s">
        <v>584</v>
      </c>
      <c r="F633" s="52" t="s">
        <v>581</v>
      </c>
      <c r="G633" s="55" t="s">
        <v>278</v>
      </c>
      <c r="H633" s="55">
        <v>3.6383949999999998E-2</v>
      </c>
      <c r="I633" s="55">
        <v>3.6383949999999998E-2</v>
      </c>
      <c r="J633" s="55">
        <v>3.6383949999999998E-2</v>
      </c>
      <c r="K633" s="55">
        <v>3.6383949999999998E-2</v>
      </c>
      <c r="L633" s="55">
        <v>3.6383949999999998E-2</v>
      </c>
      <c r="M633" s="55">
        <v>3.6383949999999998E-2</v>
      </c>
      <c r="N633" s="55">
        <v>3.6383949999999998E-2</v>
      </c>
    </row>
    <row r="634" spans="1:14" hidden="1" x14ac:dyDescent="0.35">
      <c r="A634" s="52" t="s">
        <v>206</v>
      </c>
      <c r="B634" s="52" t="s">
        <v>361</v>
      </c>
      <c r="C634" s="52" t="s">
        <v>214</v>
      </c>
      <c r="D634" s="52" t="s">
        <v>214</v>
      </c>
      <c r="E634" s="52" t="s">
        <v>584</v>
      </c>
      <c r="F634" s="52" t="s">
        <v>581</v>
      </c>
      <c r="G634" s="55" t="s">
        <v>279</v>
      </c>
      <c r="H634" s="55"/>
      <c r="I634" s="55"/>
      <c r="J634" s="55"/>
      <c r="K634" s="55"/>
      <c r="L634" s="55">
        <v>0</v>
      </c>
      <c r="M634" s="55">
        <v>4.9485759999999997E-3</v>
      </c>
      <c r="N634" s="55">
        <v>4.949083E-3</v>
      </c>
    </row>
    <row r="635" spans="1:14" hidden="1" x14ac:dyDescent="0.35">
      <c r="A635" s="52" t="s">
        <v>206</v>
      </c>
      <c r="B635" s="52" t="s">
        <v>361</v>
      </c>
      <c r="C635" s="52" t="s">
        <v>214</v>
      </c>
      <c r="D635" s="52" t="s">
        <v>214</v>
      </c>
      <c r="E635" s="52" t="s">
        <v>584</v>
      </c>
      <c r="F635" s="52" t="s">
        <v>26</v>
      </c>
      <c r="G635" s="55" t="s">
        <v>275</v>
      </c>
      <c r="H635" s="55">
        <v>-2.4453280000000001E-2</v>
      </c>
      <c r="I635" s="55">
        <v>-2.445278E-2</v>
      </c>
      <c r="J635" s="55">
        <v>0</v>
      </c>
      <c r="K635" s="55">
        <v>0</v>
      </c>
      <c r="L635" s="55">
        <v>0</v>
      </c>
      <c r="M635" s="55">
        <v>0</v>
      </c>
      <c r="N635" s="55">
        <v>0</v>
      </c>
    </row>
    <row r="636" spans="1:14" hidden="1" x14ac:dyDescent="0.35">
      <c r="A636" s="52" t="s">
        <v>206</v>
      </c>
      <c r="B636" s="52" t="s">
        <v>361</v>
      </c>
      <c r="C636" s="52" t="s">
        <v>214</v>
      </c>
      <c r="D636" s="52" t="s">
        <v>214</v>
      </c>
      <c r="E636" s="52" t="s">
        <v>584</v>
      </c>
      <c r="F636" s="52" t="s">
        <v>26</v>
      </c>
      <c r="G636" s="55" t="s">
        <v>276</v>
      </c>
      <c r="H636" s="55">
        <v>-1.3166840000000001E-2</v>
      </c>
      <c r="I636" s="55">
        <v>-1.3166840000000001E-2</v>
      </c>
      <c r="J636" s="55">
        <v>-3.7620630000000002E-2</v>
      </c>
      <c r="K636" s="55">
        <v>-5.6880269999999997E-2</v>
      </c>
      <c r="L636" s="55">
        <v>-0.44208449999999999</v>
      </c>
      <c r="M636" s="55">
        <v>-4.5402449999999997E-2</v>
      </c>
      <c r="N636" s="55">
        <v>-7.78183E-3</v>
      </c>
    </row>
    <row r="637" spans="1:14" hidden="1" x14ac:dyDescent="0.35">
      <c r="A637" s="52" t="s">
        <v>206</v>
      </c>
      <c r="B637" s="52" t="s">
        <v>361</v>
      </c>
      <c r="C637" s="52" t="s">
        <v>214</v>
      </c>
      <c r="D637" s="52" t="s">
        <v>214</v>
      </c>
      <c r="E637" s="52" t="s">
        <v>584</v>
      </c>
      <c r="F637" s="52" t="s">
        <v>26</v>
      </c>
      <c r="G637" s="55" t="s">
        <v>277</v>
      </c>
      <c r="H637" s="55"/>
      <c r="I637" s="55"/>
      <c r="J637" s="55">
        <v>0</v>
      </c>
      <c r="K637" s="55">
        <v>1.9260159999999998E-2</v>
      </c>
      <c r="L637" s="55">
        <v>0.40446379999999998</v>
      </c>
      <c r="M637" s="55">
        <v>0</v>
      </c>
      <c r="N637" s="55"/>
    </row>
    <row r="638" spans="1:14" hidden="1" x14ac:dyDescent="0.35">
      <c r="A638" s="52" t="s">
        <v>206</v>
      </c>
      <c r="B638" s="52" t="s">
        <v>361</v>
      </c>
      <c r="C638" s="52" t="s">
        <v>214</v>
      </c>
      <c r="D638" s="52" t="s">
        <v>214</v>
      </c>
      <c r="E638" s="52" t="s">
        <v>584</v>
      </c>
      <c r="F638" s="52" t="s">
        <v>26</v>
      </c>
      <c r="G638" s="55" t="s">
        <v>278</v>
      </c>
      <c r="H638" s="55">
        <v>3.762012E-2</v>
      </c>
      <c r="I638" s="55">
        <v>3.762012E-2</v>
      </c>
      <c r="J638" s="55">
        <v>3.762012E-2</v>
      </c>
      <c r="K638" s="55">
        <v>3.762012E-2</v>
      </c>
      <c r="L638" s="55">
        <v>3.762012E-2</v>
      </c>
      <c r="M638" s="55">
        <v>3.762012E-2</v>
      </c>
      <c r="N638" s="55">
        <v>0</v>
      </c>
    </row>
    <row r="639" spans="1:14" hidden="1" x14ac:dyDescent="0.35">
      <c r="A639" s="52" t="s">
        <v>206</v>
      </c>
      <c r="B639" s="52" t="s">
        <v>361</v>
      </c>
      <c r="C639" s="52" t="s">
        <v>214</v>
      </c>
      <c r="D639" s="52" t="s">
        <v>214</v>
      </c>
      <c r="E639" s="52" t="s">
        <v>584</v>
      </c>
      <c r="F639" s="52" t="s">
        <v>26</v>
      </c>
      <c r="G639" s="55" t="s">
        <v>279</v>
      </c>
      <c r="H639" s="55"/>
      <c r="I639" s="55"/>
      <c r="J639" s="55"/>
      <c r="K639" s="55"/>
      <c r="L639" s="55">
        <v>0</v>
      </c>
      <c r="M639" s="55">
        <v>7.7823379999999998E-3</v>
      </c>
      <c r="N639" s="55">
        <v>7.7818310000000003E-3</v>
      </c>
    </row>
    <row r="640" spans="1:14" hidden="1" x14ac:dyDescent="0.35">
      <c r="A640" s="52" t="s">
        <v>206</v>
      </c>
      <c r="B640" s="52" t="s">
        <v>353</v>
      </c>
      <c r="C640" s="52" t="s">
        <v>352</v>
      </c>
      <c r="D640" s="52" t="s">
        <v>352</v>
      </c>
      <c r="E640" s="52" t="s">
        <v>584</v>
      </c>
      <c r="F640" s="52" t="s">
        <v>581</v>
      </c>
      <c r="G640" s="55" t="s">
        <v>275</v>
      </c>
      <c r="H640" s="55">
        <v>-3.3610149999999998E-2</v>
      </c>
      <c r="I640" s="55">
        <v>-3.3610149999999998E-2</v>
      </c>
      <c r="J640" s="55">
        <v>0</v>
      </c>
      <c r="K640" s="55">
        <v>0</v>
      </c>
      <c r="L640" s="55">
        <v>0</v>
      </c>
      <c r="M640" s="55">
        <v>0</v>
      </c>
      <c r="N640" s="55">
        <v>0</v>
      </c>
    </row>
    <row r="641" spans="1:14" hidden="1" x14ac:dyDescent="0.35">
      <c r="A641" s="52" t="s">
        <v>206</v>
      </c>
      <c r="B641" s="52" t="s">
        <v>353</v>
      </c>
      <c r="C641" s="52" t="s">
        <v>352</v>
      </c>
      <c r="D641" s="52" t="s">
        <v>352</v>
      </c>
      <c r="E641" s="52" t="s">
        <v>584</v>
      </c>
      <c r="F641" s="52" t="s">
        <v>581</v>
      </c>
      <c r="G641" s="55" t="s">
        <v>276</v>
      </c>
      <c r="H641" s="55">
        <v>-1.8097800000000001E-2</v>
      </c>
      <c r="I641" s="55">
        <v>-1.8097800000000001E-2</v>
      </c>
      <c r="J641" s="55">
        <v>-5.1708299999999999E-2</v>
      </c>
      <c r="K641" s="55">
        <v>-5.1708299999999999E-2</v>
      </c>
      <c r="L641" s="55">
        <v>-5.1708299999999999E-2</v>
      </c>
      <c r="M641" s="55">
        <v>-13.6418</v>
      </c>
      <c r="N641" s="55">
        <v>-6.1332940000000002E-2</v>
      </c>
    </row>
    <row r="642" spans="1:14" hidden="1" x14ac:dyDescent="0.35">
      <c r="A642" s="52" t="s">
        <v>206</v>
      </c>
      <c r="B642" s="52" t="s">
        <v>353</v>
      </c>
      <c r="C642" s="52" t="s">
        <v>352</v>
      </c>
      <c r="D642" s="52" t="s">
        <v>352</v>
      </c>
      <c r="E642" s="52" t="s">
        <v>584</v>
      </c>
      <c r="F642" s="52" t="s">
        <v>581</v>
      </c>
      <c r="G642" s="55" t="s">
        <v>277</v>
      </c>
      <c r="H642" s="55"/>
      <c r="I642" s="55"/>
      <c r="J642" s="55"/>
      <c r="K642" s="55"/>
      <c r="L642" s="55"/>
      <c r="M642" s="55">
        <v>0</v>
      </c>
      <c r="N642" s="55">
        <v>9.6249999999999999E-3</v>
      </c>
    </row>
    <row r="643" spans="1:14" hidden="1" x14ac:dyDescent="0.35">
      <c r="A643" s="52" t="s">
        <v>206</v>
      </c>
      <c r="B643" s="52" t="s">
        <v>353</v>
      </c>
      <c r="C643" s="52" t="s">
        <v>352</v>
      </c>
      <c r="D643" s="52" t="s">
        <v>352</v>
      </c>
      <c r="E643" s="52" t="s">
        <v>584</v>
      </c>
      <c r="F643" s="52" t="s">
        <v>581</v>
      </c>
      <c r="G643" s="55" t="s">
        <v>278</v>
      </c>
      <c r="H643" s="55">
        <v>5.1707950000000003E-2</v>
      </c>
      <c r="I643" s="55">
        <v>5.1707950000000003E-2</v>
      </c>
      <c r="J643" s="55">
        <v>5.1707950000000003E-2</v>
      </c>
      <c r="K643" s="55">
        <v>5.1707950000000003E-2</v>
      </c>
      <c r="L643" s="55">
        <v>5.1707950000000003E-2</v>
      </c>
      <c r="M643" s="55">
        <v>13.6418</v>
      </c>
      <c r="N643" s="55">
        <v>5.1707950000000003E-2</v>
      </c>
    </row>
    <row r="644" spans="1:14" hidden="1" x14ac:dyDescent="0.35">
      <c r="A644" s="52" t="s">
        <v>206</v>
      </c>
      <c r="B644" s="52" t="s">
        <v>353</v>
      </c>
      <c r="C644" s="52" t="s">
        <v>369</v>
      </c>
      <c r="D644" s="52" t="s">
        <v>369</v>
      </c>
      <c r="E644" s="52" t="s">
        <v>584</v>
      </c>
      <c r="F644" s="52" t="s">
        <v>581</v>
      </c>
      <c r="G644" s="55" t="s">
        <v>275</v>
      </c>
      <c r="H644" s="55">
        <v>-8.3245490000000005E-2</v>
      </c>
      <c r="I644" s="55">
        <v>-8.3245490000000005E-2</v>
      </c>
      <c r="J644" s="55">
        <v>0</v>
      </c>
      <c r="K644" s="55">
        <v>0</v>
      </c>
      <c r="L644" s="55">
        <v>0</v>
      </c>
      <c r="M644" s="55">
        <v>0</v>
      </c>
      <c r="N644" s="55">
        <v>0</v>
      </c>
    </row>
    <row r="645" spans="1:14" hidden="1" x14ac:dyDescent="0.35">
      <c r="A645" s="52" t="s">
        <v>206</v>
      </c>
      <c r="B645" s="52" t="s">
        <v>353</v>
      </c>
      <c r="C645" s="52" t="s">
        <v>369</v>
      </c>
      <c r="D645" s="52" t="s">
        <v>369</v>
      </c>
      <c r="E645" s="52" t="s">
        <v>584</v>
      </c>
      <c r="F645" s="52" t="s">
        <v>581</v>
      </c>
      <c r="G645" s="55" t="s">
        <v>276</v>
      </c>
      <c r="H645" s="55">
        <v>-4.4824589999999997E-2</v>
      </c>
      <c r="I645" s="55">
        <v>-4.4824589999999997E-2</v>
      </c>
      <c r="J645" s="55">
        <v>-0.12806880000000001</v>
      </c>
      <c r="K645" s="55">
        <v>-0.12806880000000001</v>
      </c>
      <c r="L645" s="55">
        <v>-0.1280695</v>
      </c>
      <c r="M645" s="55">
        <v>-0.1280695</v>
      </c>
      <c r="N645" s="55">
        <v>-8.6182420000000004</v>
      </c>
    </row>
    <row r="646" spans="1:14" hidden="1" x14ac:dyDescent="0.35">
      <c r="A646" s="52" t="s">
        <v>206</v>
      </c>
      <c r="B646" s="52" t="s">
        <v>353</v>
      </c>
      <c r="C646" s="52" t="s">
        <v>369</v>
      </c>
      <c r="D646" s="52" t="s">
        <v>369</v>
      </c>
      <c r="E646" s="52" t="s">
        <v>584</v>
      </c>
      <c r="F646" s="52" t="s">
        <v>581</v>
      </c>
      <c r="G646" s="55" t="s">
        <v>277</v>
      </c>
      <c r="H646" s="55"/>
      <c r="I646" s="55"/>
      <c r="J646" s="55"/>
      <c r="K646" s="55"/>
      <c r="L646" s="55"/>
      <c r="M646" s="55"/>
      <c r="N646" s="55">
        <v>0</v>
      </c>
    </row>
    <row r="647" spans="1:14" hidden="1" x14ac:dyDescent="0.35">
      <c r="A647" s="52" t="s">
        <v>206</v>
      </c>
      <c r="B647" s="52" t="s">
        <v>353</v>
      </c>
      <c r="C647" s="52" t="s">
        <v>369</v>
      </c>
      <c r="D647" s="52" t="s">
        <v>369</v>
      </c>
      <c r="E647" s="52" t="s">
        <v>584</v>
      </c>
      <c r="F647" s="52" t="s">
        <v>581</v>
      </c>
      <c r="G647" s="55" t="s">
        <v>278</v>
      </c>
      <c r="H647" s="55">
        <v>0.1280695</v>
      </c>
      <c r="I647" s="55">
        <v>0.1280695</v>
      </c>
      <c r="J647" s="55">
        <v>0.1280695</v>
      </c>
      <c r="K647" s="55">
        <v>0.1280695</v>
      </c>
      <c r="L647" s="55">
        <v>0.1280695</v>
      </c>
      <c r="M647" s="55">
        <v>0.1280695</v>
      </c>
      <c r="N647" s="55">
        <v>8.6182400000000001</v>
      </c>
    </row>
    <row r="648" spans="1:14" hidden="1" x14ac:dyDescent="0.35">
      <c r="A648" s="52" t="s">
        <v>206</v>
      </c>
      <c r="B648" s="52" t="s">
        <v>353</v>
      </c>
      <c r="C648" s="52" t="s">
        <v>318</v>
      </c>
      <c r="D648" s="52" t="s">
        <v>318</v>
      </c>
      <c r="E648" s="52" t="s">
        <v>584</v>
      </c>
      <c r="F648" s="52" t="s">
        <v>581</v>
      </c>
      <c r="G648" s="55" t="s">
        <v>275</v>
      </c>
      <c r="H648" s="55">
        <v>-1.2742199999999999</v>
      </c>
      <c r="I648" s="55">
        <v>0</v>
      </c>
      <c r="J648" s="55"/>
      <c r="K648" s="55"/>
      <c r="L648" s="55"/>
      <c r="M648" s="55"/>
      <c r="N648" s="55"/>
    </row>
    <row r="649" spans="1:14" hidden="1" x14ac:dyDescent="0.35">
      <c r="A649" s="52" t="s">
        <v>206</v>
      </c>
      <c r="B649" s="52" t="s">
        <v>353</v>
      </c>
      <c r="C649" s="52" t="s">
        <v>318</v>
      </c>
      <c r="D649" s="52" t="s">
        <v>318</v>
      </c>
      <c r="E649" s="52" t="s">
        <v>584</v>
      </c>
      <c r="F649" s="52" t="s">
        <v>581</v>
      </c>
      <c r="G649" s="55" t="s">
        <v>276</v>
      </c>
      <c r="H649" s="55">
        <v>-0.21409400000000001</v>
      </c>
      <c r="I649" s="55">
        <v>0</v>
      </c>
      <c r="J649" s="55"/>
      <c r="K649" s="55"/>
      <c r="L649" s="55"/>
      <c r="M649" s="55"/>
      <c r="N649" s="55"/>
    </row>
    <row r="650" spans="1:14" hidden="1" x14ac:dyDescent="0.35">
      <c r="A650" s="52" t="s">
        <v>206</v>
      </c>
      <c r="B650" s="52" t="s">
        <v>353</v>
      </c>
      <c r="C650" s="52" t="s">
        <v>318</v>
      </c>
      <c r="D650" s="52" t="s">
        <v>318</v>
      </c>
      <c r="E650" s="52" t="s">
        <v>584</v>
      </c>
      <c r="F650" s="52" t="s">
        <v>581</v>
      </c>
      <c r="G650" s="55" t="s">
        <v>278</v>
      </c>
      <c r="H650" s="55">
        <v>1.4883120000000001</v>
      </c>
      <c r="I650" s="55">
        <v>0</v>
      </c>
      <c r="J650" s="55"/>
      <c r="K650" s="55"/>
      <c r="L650" s="55"/>
      <c r="M650" s="55"/>
      <c r="N650" s="55"/>
    </row>
    <row r="651" spans="1:14" hidden="1" x14ac:dyDescent="0.35">
      <c r="A651" s="52" t="s">
        <v>206</v>
      </c>
      <c r="B651" s="52" t="s">
        <v>353</v>
      </c>
      <c r="C651" s="52" t="s">
        <v>318</v>
      </c>
      <c r="D651" s="52" t="s">
        <v>318</v>
      </c>
      <c r="E651" s="52" t="s">
        <v>584</v>
      </c>
      <c r="F651" s="52" t="s">
        <v>26</v>
      </c>
      <c r="G651" s="55" t="s">
        <v>275</v>
      </c>
      <c r="H651" s="55">
        <v>-0.84947989999999995</v>
      </c>
      <c r="I651" s="55">
        <v>0</v>
      </c>
      <c r="J651" s="55"/>
      <c r="K651" s="55"/>
      <c r="L651" s="55"/>
      <c r="M651" s="55"/>
      <c r="N651" s="55"/>
    </row>
    <row r="652" spans="1:14" hidden="1" x14ac:dyDescent="0.35">
      <c r="A652" s="52" t="s">
        <v>206</v>
      </c>
      <c r="B652" s="52" t="s">
        <v>353</v>
      </c>
      <c r="C652" s="52" t="s">
        <v>318</v>
      </c>
      <c r="D652" s="52" t="s">
        <v>318</v>
      </c>
      <c r="E652" s="52" t="s">
        <v>584</v>
      </c>
      <c r="F652" s="52" t="s">
        <v>26</v>
      </c>
      <c r="G652" s="55" t="s">
        <v>276</v>
      </c>
      <c r="H652" s="55">
        <v>-0.14273</v>
      </c>
      <c r="I652" s="55">
        <v>0</v>
      </c>
      <c r="J652" s="55"/>
      <c r="K652" s="55"/>
      <c r="L652" s="55"/>
      <c r="M652" s="55"/>
      <c r="N652" s="55"/>
    </row>
    <row r="653" spans="1:14" hidden="1" x14ac:dyDescent="0.35">
      <c r="A653" s="52" t="s">
        <v>206</v>
      </c>
      <c r="B653" s="52" t="s">
        <v>353</v>
      </c>
      <c r="C653" s="52" t="s">
        <v>318</v>
      </c>
      <c r="D653" s="52" t="s">
        <v>318</v>
      </c>
      <c r="E653" s="52" t="s">
        <v>584</v>
      </c>
      <c r="F653" s="52" t="s">
        <v>26</v>
      </c>
      <c r="G653" s="55" t="s">
        <v>278</v>
      </c>
      <c r="H653" s="55">
        <v>0.99220799999999998</v>
      </c>
      <c r="I653" s="55">
        <v>0</v>
      </c>
      <c r="J653" s="55"/>
      <c r="K653" s="55"/>
      <c r="L653" s="55"/>
      <c r="M653" s="55"/>
      <c r="N653" s="55"/>
    </row>
    <row r="654" spans="1:14" hidden="1" x14ac:dyDescent="0.35">
      <c r="A654" s="52" t="s">
        <v>579</v>
      </c>
      <c r="B654" s="52" t="s">
        <v>37</v>
      </c>
      <c r="C654" s="52" t="s">
        <v>35</v>
      </c>
      <c r="D654" s="52" t="s">
        <v>129</v>
      </c>
      <c r="E654" s="52" t="s">
        <v>580</v>
      </c>
      <c r="F654" s="52" t="s">
        <v>581</v>
      </c>
      <c r="G654" s="55" t="s">
        <v>275</v>
      </c>
      <c r="H654" s="55">
        <v>-159.1755</v>
      </c>
      <c r="I654" s="55">
        <v>349.47370000000001</v>
      </c>
      <c r="J654" s="55">
        <v>380.46780000000001</v>
      </c>
      <c r="K654" s="55">
        <v>402.8338</v>
      </c>
      <c r="L654" s="55">
        <v>427.41789999999997</v>
      </c>
      <c r="M654" s="55">
        <v>271.09739999999999</v>
      </c>
      <c r="N654" s="55">
        <v>220.49350000000001</v>
      </c>
    </row>
    <row r="655" spans="1:14" hidden="1" x14ac:dyDescent="0.35">
      <c r="A655" s="52" t="s">
        <v>579</v>
      </c>
      <c r="B655" s="52" t="s">
        <v>37</v>
      </c>
      <c r="C655" s="52" t="s">
        <v>35</v>
      </c>
      <c r="D655" s="52" t="s">
        <v>129</v>
      </c>
      <c r="E655" s="52" t="s">
        <v>580</v>
      </c>
      <c r="F655" s="52" t="s">
        <v>581</v>
      </c>
      <c r="G655" s="55" t="s">
        <v>276</v>
      </c>
      <c r="H655" s="55">
        <v>29.274899999999999</v>
      </c>
      <c r="I655" s="55">
        <v>-122.30419999999999</v>
      </c>
      <c r="J655" s="55">
        <v>-95.180329999999998</v>
      </c>
      <c r="K655" s="55">
        <v>-85.494320000000002</v>
      </c>
      <c r="L655" s="55">
        <v>-49.601930000000003</v>
      </c>
      <c r="M655" s="55">
        <v>57.099469999999997</v>
      </c>
      <c r="N655" s="55">
        <v>60.148580000000003</v>
      </c>
    </row>
    <row r="656" spans="1:14" hidden="1" x14ac:dyDescent="0.35">
      <c r="A656" s="52" t="s">
        <v>579</v>
      </c>
      <c r="B656" s="52" t="s">
        <v>37</v>
      </c>
      <c r="C656" s="52" t="s">
        <v>35</v>
      </c>
      <c r="D656" s="52" t="s">
        <v>129</v>
      </c>
      <c r="E656" s="52" t="s">
        <v>580</v>
      </c>
      <c r="F656" s="52" t="s">
        <v>581</v>
      </c>
      <c r="G656" s="55" t="s">
        <v>277</v>
      </c>
      <c r="H656" s="55">
        <v>1698.1</v>
      </c>
      <c r="I656" s="55">
        <v>226.12729999999999</v>
      </c>
      <c r="J656" s="55">
        <v>136.41749999999999</v>
      </c>
      <c r="K656" s="55">
        <v>74.267970000000005</v>
      </c>
      <c r="L656" s="55">
        <v>74.664050000000003</v>
      </c>
      <c r="M656" s="55">
        <v>80.916420000000002</v>
      </c>
      <c r="N656" s="55">
        <v>143.81739999999999</v>
      </c>
    </row>
    <row r="657" spans="1:14" hidden="1" x14ac:dyDescent="0.35">
      <c r="A657" s="52" t="s">
        <v>579</v>
      </c>
      <c r="B657" s="52" t="s">
        <v>37</v>
      </c>
      <c r="C657" s="52" t="s">
        <v>35</v>
      </c>
      <c r="D657" s="52" t="s">
        <v>129</v>
      </c>
      <c r="E657" s="52" t="s">
        <v>580</v>
      </c>
      <c r="F657" s="52" t="s">
        <v>581</v>
      </c>
      <c r="G657" s="55" t="s">
        <v>278</v>
      </c>
      <c r="H657" s="55">
        <v>0</v>
      </c>
      <c r="I657" s="55">
        <v>60.370280000000001</v>
      </c>
      <c r="J657" s="55">
        <v>122.1905</v>
      </c>
      <c r="K657" s="55">
        <v>175.435</v>
      </c>
      <c r="L657" s="55">
        <v>155.23310000000001</v>
      </c>
      <c r="M657" s="55">
        <v>114.4358</v>
      </c>
      <c r="N657" s="55">
        <v>103.6305</v>
      </c>
    </row>
    <row r="658" spans="1:14" hidden="1" x14ac:dyDescent="0.35">
      <c r="A658" s="52" t="s">
        <v>579</v>
      </c>
      <c r="B658" s="52" t="s">
        <v>37</v>
      </c>
      <c r="C658" s="52" t="s">
        <v>35</v>
      </c>
      <c r="D658" s="52" t="s">
        <v>129</v>
      </c>
      <c r="E658" s="52" t="s">
        <v>580</v>
      </c>
      <c r="F658" s="52" t="s">
        <v>581</v>
      </c>
      <c r="G658" s="55" t="s">
        <v>279</v>
      </c>
      <c r="H658" s="55">
        <v>725.24680000000001</v>
      </c>
      <c r="I658" s="55">
        <v>555.67939999999999</v>
      </c>
      <c r="J658" s="55">
        <v>539.55089999999996</v>
      </c>
      <c r="K658" s="55">
        <v>603.03869999999995</v>
      </c>
      <c r="L658" s="55">
        <v>597.19129999999996</v>
      </c>
      <c r="M658" s="55">
        <v>631.14710000000002</v>
      </c>
      <c r="N658" s="55">
        <v>610.41980000000001</v>
      </c>
    </row>
    <row r="659" spans="1:14" hidden="1" x14ac:dyDescent="0.35">
      <c r="A659" s="52" t="s">
        <v>579</v>
      </c>
      <c r="B659" s="52" t="s">
        <v>37</v>
      </c>
      <c r="C659" s="52" t="s">
        <v>35</v>
      </c>
      <c r="D659" s="52" t="s">
        <v>129</v>
      </c>
      <c r="E659" s="52" t="s">
        <v>580</v>
      </c>
      <c r="F659" s="52" t="s">
        <v>26</v>
      </c>
      <c r="G659" s="55" t="s">
        <v>275</v>
      </c>
      <c r="H659" s="55">
        <v>-7.5994780000000004</v>
      </c>
      <c r="I659" s="55">
        <v>-11.056469999999999</v>
      </c>
      <c r="J659" s="55">
        <v>-0.9910293</v>
      </c>
      <c r="K659" s="55">
        <v>-7.9470409999999996</v>
      </c>
      <c r="L659" s="55">
        <v>-5.5082890000000004</v>
      </c>
      <c r="M659" s="55">
        <v>-19.050160000000002</v>
      </c>
      <c r="N659" s="55">
        <v>-17.75536</v>
      </c>
    </row>
    <row r="660" spans="1:14" hidden="1" x14ac:dyDescent="0.35">
      <c r="A660" s="52" t="s">
        <v>579</v>
      </c>
      <c r="B660" s="52" t="s">
        <v>37</v>
      </c>
      <c r="C660" s="52" t="s">
        <v>35</v>
      </c>
      <c r="D660" s="52" t="s">
        <v>129</v>
      </c>
      <c r="E660" s="52" t="s">
        <v>580</v>
      </c>
      <c r="F660" s="52" t="s">
        <v>26</v>
      </c>
      <c r="G660" s="55" t="s">
        <v>276</v>
      </c>
      <c r="H660" s="55">
        <v>-2.0201039999999999</v>
      </c>
      <c r="I660" s="55">
        <v>-2.9390529999999999</v>
      </c>
      <c r="J660" s="55">
        <v>-0.26342359999999998</v>
      </c>
      <c r="K660" s="55">
        <v>-2.1124869999999998</v>
      </c>
      <c r="L660" s="55">
        <v>-1.464232</v>
      </c>
      <c r="M660" s="55">
        <v>-5.0639450000000004</v>
      </c>
      <c r="N660" s="55">
        <v>-4.7197829999999996</v>
      </c>
    </row>
    <row r="661" spans="1:14" hidden="1" x14ac:dyDescent="0.35">
      <c r="A661" s="52" t="s">
        <v>579</v>
      </c>
      <c r="B661" s="52" t="s">
        <v>37</v>
      </c>
      <c r="C661" s="52" t="s">
        <v>35</v>
      </c>
      <c r="D661" s="52" t="s">
        <v>129</v>
      </c>
      <c r="E661" s="52" t="s">
        <v>580</v>
      </c>
      <c r="F661" s="52" t="s">
        <v>26</v>
      </c>
      <c r="G661" s="55" t="s">
        <v>279</v>
      </c>
      <c r="H661" s="55">
        <v>196.70859999999999</v>
      </c>
      <c r="I661" s="55">
        <v>173.59870000000001</v>
      </c>
      <c r="J661" s="55">
        <v>171.2483</v>
      </c>
      <c r="K661" s="55">
        <v>192.60499999999999</v>
      </c>
      <c r="L661" s="55">
        <v>193.5463</v>
      </c>
      <c r="M661" s="55">
        <v>201.20099999999999</v>
      </c>
      <c r="N661" s="55">
        <v>195.20410000000001</v>
      </c>
    </row>
    <row r="662" spans="1:14" hidden="1" x14ac:dyDescent="0.35">
      <c r="A662" s="52" t="s">
        <v>579</v>
      </c>
      <c r="B662" s="52" t="s">
        <v>37</v>
      </c>
      <c r="C662" s="52" t="s">
        <v>35</v>
      </c>
      <c r="D662" s="52" t="s">
        <v>129</v>
      </c>
      <c r="E662" s="52" t="s">
        <v>582</v>
      </c>
      <c r="F662" s="52" t="s">
        <v>581</v>
      </c>
      <c r="G662" s="55" t="s">
        <v>275</v>
      </c>
      <c r="H662" s="55">
        <v>-18.219719999999999</v>
      </c>
      <c r="I662" s="55">
        <v>25.116589999999999</v>
      </c>
      <c r="J662" s="55">
        <v>22.43421</v>
      </c>
      <c r="K662" s="55">
        <v>31.281300000000002</v>
      </c>
      <c r="L662" s="55">
        <v>27.69219</v>
      </c>
      <c r="M662" s="55">
        <v>18.388069999999999</v>
      </c>
      <c r="N662" s="55">
        <v>5.8020269999999998</v>
      </c>
    </row>
    <row r="663" spans="1:14" hidden="1" x14ac:dyDescent="0.35">
      <c r="A663" s="52" t="s">
        <v>579</v>
      </c>
      <c r="B663" s="52" t="s">
        <v>37</v>
      </c>
      <c r="C663" s="52" t="s">
        <v>35</v>
      </c>
      <c r="D663" s="52" t="s">
        <v>129</v>
      </c>
      <c r="E663" s="52" t="s">
        <v>582</v>
      </c>
      <c r="F663" s="52" t="s">
        <v>581</v>
      </c>
      <c r="G663" s="55" t="s">
        <v>276</v>
      </c>
      <c r="H663" s="55">
        <v>12.17755</v>
      </c>
      <c r="I663" s="55">
        <v>-3.765244</v>
      </c>
      <c r="J663" s="55">
        <v>-2.3444379999999998</v>
      </c>
      <c r="K663" s="55">
        <v>-6.5330599999999999</v>
      </c>
      <c r="L663" s="55">
        <v>-3.946412</v>
      </c>
      <c r="M663" s="55">
        <v>4.5662479999999999</v>
      </c>
      <c r="N663" s="55">
        <v>3.533785</v>
      </c>
    </row>
    <row r="664" spans="1:14" hidden="1" x14ac:dyDescent="0.35">
      <c r="A664" s="52" t="s">
        <v>579</v>
      </c>
      <c r="B664" s="52" t="s">
        <v>37</v>
      </c>
      <c r="C664" s="52" t="s">
        <v>35</v>
      </c>
      <c r="D664" s="52" t="s">
        <v>129</v>
      </c>
      <c r="E664" s="52" t="s">
        <v>582</v>
      </c>
      <c r="F664" s="52" t="s">
        <v>581</v>
      </c>
      <c r="G664" s="55" t="s">
        <v>277</v>
      </c>
      <c r="H664" s="55">
        <v>138.6</v>
      </c>
      <c r="I664" s="55">
        <v>18.630569999999999</v>
      </c>
      <c r="J664" s="55">
        <v>16.458539999999999</v>
      </c>
      <c r="K664" s="55">
        <v>4.6136229999999996</v>
      </c>
      <c r="L664" s="55">
        <v>7.1625500000000004</v>
      </c>
      <c r="M664" s="55">
        <v>10.472060000000001</v>
      </c>
      <c r="N664" s="55">
        <v>25.42998</v>
      </c>
    </row>
    <row r="665" spans="1:14" hidden="1" x14ac:dyDescent="0.35">
      <c r="A665" s="52" t="s">
        <v>579</v>
      </c>
      <c r="B665" s="52" t="s">
        <v>37</v>
      </c>
      <c r="C665" s="52" t="s">
        <v>35</v>
      </c>
      <c r="D665" s="52" t="s">
        <v>129</v>
      </c>
      <c r="E665" s="52" t="s">
        <v>582</v>
      </c>
      <c r="F665" s="52" t="s">
        <v>581</v>
      </c>
      <c r="G665" s="55" t="s">
        <v>278</v>
      </c>
      <c r="H665" s="55">
        <v>0</v>
      </c>
      <c r="I665" s="55">
        <v>5.3369390000000001</v>
      </c>
      <c r="J665" s="55">
        <v>18.267289999999999</v>
      </c>
      <c r="K665" s="55">
        <v>22.860969999999998</v>
      </c>
      <c r="L665" s="55">
        <v>24.746749999999999</v>
      </c>
      <c r="M665" s="55">
        <v>15.50915</v>
      </c>
      <c r="N665" s="55">
        <v>15.53279</v>
      </c>
    </row>
    <row r="666" spans="1:14" hidden="1" x14ac:dyDescent="0.35">
      <c r="A666" s="52" t="s">
        <v>579</v>
      </c>
      <c r="B666" s="52" t="s">
        <v>37</v>
      </c>
      <c r="C666" s="52" t="s">
        <v>35</v>
      </c>
      <c r="D666" s="52" t="s">
        <v>129</v>
      </c>
      <c r="E666" s="52" t="s">
        <v>582</v>
      </c>
      <c r="F666" s="52" t="s">
        <v>581</v>
      </c>
      <c r="G666" s="55" t="s">
        <v>279</v>
      </c>
      <c r="H666" s="55">
        <v>63.482790000000001</v>
      </c>
      <c r="I666" s="55">
        <v>54.338189999999997</v>
      </c>
      <c r="J666" s="55">
        <v>60.565069999999999</v>
      </c>
      <c r="K666" s="55">
        <v>61.276240000000001</v>
      </c>
      <c r="L666" s="55">
        <v>56.362920000000003</v>
      </c>
      <c r="M666" s="55">
        <v>61.119300000000003</v>
      </c>
      <c r="N666" s="55">
        <v>58.234810000000003</v>
      </c>
    </row>
    <row r="667" spans="1:14" hidden="1" x14ac:dyDescent="0.35">
      <c r="A667" s="52" t="s">
        <v>579</v>
      </c>
      <c r="B667" s="52" t="s">
        <v>37</v>
      </c>
      <c r="C667" s="52" t="s">
        <v>35</v>
      </c>
      <c r="D667" s="52" t="s">
        <v>129</v>
      </c>
      <c r="E667" s="52" t="s">
        <v>582</v>
      </c>
      <c r="F667" s="52" t="s">
        <v>26</v>
      </c>
      <c r="G667" s="55" t="s">
        <v>275</v>
      </c>
      <c r="H667" s="55">
        <v>1.72697E-3</v>
      </c>
      <c r="I667" s="55">
        <v>-0.59913890000000003</v>
      </c>
      <c r="J667" s="55">
        <v>0.45890890000000001</v>
      </c>
      <c r="K667" s="55">
        <v>-0.2440601</v>
      </c>
      <c r="L667" s="55">
        <v>0.31448280000000001</v>
      </c>
      <c r="M667" s="55">
        <v>-1.271023</v>
      </c>
      <c r="N667" s="55">
        <v>-1.13669</v>
      </c>
    </row>
    <row r="668" spans="1:14" hidden="1" x14ac:dyDescent="0.35">
      <c r="A668" s="52" t="s">
        <v>579</v>
      </c>
      <c r="B668" s="52" t="s">
        <v>37</v>
      </c>
      <c r="C668" s="52" t="s">
        <v>35</v>
      </c>
      <c r="D668" s="52" t="s">
        <v>129</v>
      </c>
      <c r="E668" s="52" t="s">
        <v>582</v>
      </c>
      <c r="F668" s="52" t="s">
        <v>26</v>
      </c>
      <c r="G668" s="55" t="s">
        <v>276</v>
      </c>
      <c r="H668" s="55">
        <v>4.5900889999999999E-4</v>
      </c>
      <c r="I668" s="55">
        <v>-0.15926419999999999</v>
      </c>
      <c r="J668" s="55">
        <v>0.1219885</v>
      </c>
      <c r="K668" s="55">
        <v>-6.4875009999999997E-2</v>
      </c>
      <c r="L668" s="55">
        <v>8.3598049999999993E-2</v>
      </c>
      <c r="M668" s="55">
        <v>-0.33786559999999999</v>
      </c>
      <c r="N668" s="55">
        <v>-0.30215730000000002</v>
      </c>
    </row>
    <row r="669" spans="1:14" hidden="1" x14ac:dyDescent="0.35">
      <c r="A669" s="52" t="s">
        <v>579</v>
      </c>
      <c r="B669" s="52" t="s">
        <v>37</v>
      </c>
      <c r="C669" s="52" t="s">
        <v>35</v>
      </c>
      <c r="D669" s="52" t="s">
        <v>129</v>
      </c>
      <c r="E669" s="52" t="s">
        <v>582</v>
      </c>
      <c r="F669" s="52" t="s">
        <v>26</v>
      </c>
      <c r="G669" s="55" t="s">
        <v>279</v>
      </c>
      <c r="H669" s="55">
        <v>19.77599</v>
      </c>
      <c r="I669" s="55">
        <v>18.35464</v>
      </c>
      <c r="J669" s="55">
        <v>19.968979999999998</v>
      </c>
      <c r="K669" s="55">
        <v>20.12405</v>
      </c>
      <c r="L669" s="55">
        <v>18.637070000000001</v>
      </c>
      <c r="M669" s="55">
        <v>19.593789999999998</v>
      </c>
      <c r="N669" s="55">
        <v>18.756959999999999</v>
      </c>
    </row>
    <row r="670" spans="1:14" hidden="1" x14ac:dyDescent="0.35">
      <c r="A670" s="52" t="s">
        <v>579</v>
      </c>
      <c r="B670" s="52" t="s">
        <v>37</v>
      </c>
      <c r="C670" s="52" t="s">
        <v>35</v>
      </c>
      <c r="D670" s="52" t="s">
        <v>129</v>
      </c>
      <c r="E670" s="52" t="s">
        <v>583</v>
      </c>
      <c r="F670" s="52" t="s">
        <v>581</v>
      </c>
      <c r="G670" s="55" t="s">
        <v>275</v>
      </c>
      <c r="H670" s="55">
        <v>37.373339999999999</v>
      </c>
      <c r="I670" s="55">
        <v>9.1164059999999996</v>
      </c>
      <c r="J670" s="55">
        <v>8.4607150000000004</v>
      </c>
      <c r="K670" s="55">
        <v>7.4482359999999996</v>
      </c>
      <c r="L670" s="55">
        <v>6.8842930000000004</v>
      </c>
      <c r="M670" s="55">
        <v>6.5243229999999999</v>
      </c>
      <c r="N670" s="55">
        <v>5.809596</v>
      </c>
    </row>
    <row r="671" spans="1:14" hidden="1" x14ac:dyDescent="0.35">
      <c r="A671" s="52" t="s">
        <v>579</v>
      </c>
      <c r="B671" s="52" t="s">
        <v>37</v>
      </c>
      <c r="C671" s="52" t="s">
        <v>35</v>
      </c>
      <c r="D671" s="52" t="s">
        <v>129</v>
      </c>
      <c r="E671" s="52" t="s">
        <v>583</v>
      </c>
      <c r="F671" s="52" t="s">
        <v>581</v>
      </c>
      <c r="G671" s="55" t="s">
        <v>276</v>
      </c>
      <c r="H671" s="55">
        <v>5.4347050000000001</v>
      </c>
      <c r="I671" s="55">
        <v>2.423349</v>
      </c>
      <c r="J671" s="55">
        <v>2.2490510000000001</v>
      </c>
      <c r="K671" s="55">
        <v>1.9827680000000001</v>
      </c>
      <c r="L671" s="55">
        <v>2.088689</v>
      </c>
      <c r="M671" s="55">
        <v>1.682005</v>
      </c>
      <c r="N671" s="55">
        <v>1.5024740000000001</v>
      </c>
    </row>
    <row r="672" spans="1:14" hidden="1" x14ac:dyDescent="0.35">
      <c r="A672" s="52" t="s">
        <v>579</v>
      </c>
      <c r="B672" s="52" t="s">
        <v>37</v>
      </c>
      <c r="C672" s="52" t="s">
        <v>35</v>
      </c>
      <c r="D672" s="52" t="s">
        <v>129</v>
      </c>
      <c r="E672" s="52" t="s">
        <v>583</v>
      </c>
      <c r="F672" s="52" t="s">
        <v>581</v>
      </c>
      <c r="G672" s="55" t="s">
        <v>277</v>
      </c>
      <c r="H672" s="55"/>
      <c r="I672" s="55"/>
      <c r="J672" s="55">
        <v>0</v>
      </c>
      <c r="K672" s="55">
        <v>1.34441E-2</v>
      </c>
      <c r="L672" s="55">
        <v>1.219136</v>
      </c>
      <c r="M672" s="55">
        <v>0</v>
      </c>
      <c r="N672" s="55">
        <v>0</v>
      </c>
    </row>
    <row r="673" spans="1:14" hidden="1" x14ac:dyDescent="0.35">
      <c r="A673" s="52" t="s">
        <v>579</v>
      </c>
      <c r="B673" s="52" t="s">
        <v>37</v>
      </c>
      <c r="C673" s="52" t="s">
        <v>35</v>
      </c>
      <c r="D673" s="52" t="s">
        <v>129</v>
      </c>
      <c r="E673" s="52" t="s">
        <v>583</v>
      </c>
      <c r="F673" s="52" t="s">
        <v>581</v>
      </c>
      <c r="G673" s="55" t="s">
        <v>279</v>
      </c>
      <c r="H673" s="55">
        <v>21.38804</v>
      </c>
      <c r="I673" s="55">
        <v>14.978719999999999</v>
      </c>
      <c r="J673" s="55">
        <v>12.99492</v>
      </c>
      <c r="K673" s="55">
        <v>12.253690000000001</v>
      </c>
      <c r="L673" s="55">
        <v>12.065189999999999</v>
      </c>
      <c r="M673" s="55">
        <v>12.784700000000001</v>
      </c>
      <c r="N673" s="55">
        <v>11.44924</v>
      </c>
    </row>
    <row r="674" spans="1:14" hidden="1" x14ac:dyDescent="0.35">
      <c r="A674" s="52" t="s">
        <v>579</v>
      </c>
      <c r="B674" s="52" t="s">
        <v>37</v>
      </c>
      <c r="C674" s="52" t="s">
        <v>35</v>
      </c>
      <c r="D674" s="52" t="s">
        <v>129</v>
      </c>
      <c r="E674" s="52" t="s">
        <v>583</v>
      </c>
      <c r="F674" s="52" t="s">
        <v>26</v>
      </c>
      <c r="G674" s="55" t="s">
        <v>275</v>
      </c>
      <c r="H674" s="55">
        <v>-0.22755900000000001</v>
      </c>
      <c r="I674" s="55">
        <v>-0.33107429999999999</v>
      </c>
      <c r="J674" s="55">
        <v>-6.2470890000000001E-2</v>
      </c>
      <c r="K674" s="55">
        <v>-0.1803787</v>
      </c>
      <c r="L674" s="55">
        <v>-0.1193916</v>
      </c>
      <c r="M674" s="55">
        <v>-0.42843110000000001</v>
      </c>
      <c r="N674" s="55">
        <v>-0.39034150000000001</v>
      </c>
    </row>
    <row r="675" spans="1:14" hidden="1" x14ac:dyDescent="0.35">
      <c r="A675" s="52" t="s">
        <v>579</v>
      </c>
      <c r="B675" s="52" t="s">
        <v>37</v>
      </c>
      <c r="C675" s="52" t="s">
        <v>35</v>
      </c>
      <c r="D675" s="52" t="s">
        <v>129</v>
      </c>
      <c r="E675" s="52" t="s">
        <v>583</v>
      </c>
      <c r="F675" s="52" t="s">
        <v>26</v>
      </c>
      <c r="G675" s="55" t="s">
        <v>276</v>
      </c>
      <c r="H675" s="55">
        <v>-6.0491999999999997E-2</v>
      </c>
      <c r="I675" s="55">
        <v>-8.8007089999999996E-2</v>
      </c>
      <c r="J675" s="55">
        <v>-1.6607E-2</v>
      </c>
      <c r="K675" s="55">
        <v>-4.7948499999999998E-2</v>
      </c>
      <c r="L675" s="55">
        <v>-3.1736E-2</v>
      </c>
      <c r="M675" s="55">
        <v>-0.11388620000000001</v>
      </c>
      <c r="N675" s="55">
        <v>-0.1037621</v>
      </c>
    </row>
    <row r="676" spans="1:14" hidden="1" x14ac:dyDescent="0.35">
      <c r="A676" s="52" t="s">
        <v>579</v>
      </c>
      <c r="B676" s="52" t="s">
        <v>37</v>
      </c>
      <c r="C676" s="52" t="s">
        <v>35</v>
      </c>
      <c r="D676" s="52" t="s">
        <v>129</v>
      </c>
      <c r="E676" s="52" t="s">
        <v>583</v>
      </c>
      <c r="F676" s="52" t="s">
        <v>26</v>
      </c>
      <c r="G676" s="55" t="s">
        <v>279</v>
      </c>
      <c r="H676" s="55">
        <v>5.9693180000000003</v>
      </c>
      <c r="I676" s="55">
        <v>4.702744</v>
      </c>
      <c r="J676" s="55">
        <v>4.0951919999999999</v>
      </c>
      <c r="K676" s="55">
        <v>3.8872749999999998</v>
      </c>
      <c r="L676" s="55">
        <v>3.887896</v>
      </c>
      <c r="M676" s="55">
        <v>4.0533419999999998</v>
      </c>
      <c r="N676" s="55">
        <v>3.6167210000000001</v>
      </c>
    </row>
    <row r="677" spans="1:14" hidden="1" x14ac:dyDescent="0.35">
      <c r="A677" s="52" t="s">
        <v>579</v>
      </c>
      <c r="B677" s="52" t="s">
        <v>37</v>
      </c>
      <c r="C677" s="52" t="s">
        <v>35</v>
      </c>
      <c r="D677" s="52" t="s">
        <v>129</v>
      </c>
      <c r="E677" s="52" t="s">
        <v>584</v>
      </c>
      <c r="F677" s="52" t="s">
        <v>581</v>
      </c>
      <c r="G677" s="55" t="s">
        <v>275</v>
      </c>
      <c r="H677" s="55">
        <v>2.0542000000000001E-2</v>
      </c>
      <c r="I677" s="55">
        <v>0</v>
      </c>
      <c r="J677" s="55"/>
      <c r="K677" s="55"/>
      <c r="L677" s="55"/>
      <c r="M677" s="55"/>
      <c r="N677" s="55"/>
    </row>
    <row r="678" spans="1:14" hidden="1" x14ac:dyDescent="0.35">
      <c r="A678" s="52" t="s">
        <v>579</v>
      </c>
      <c r="B678" s="52" t="s">
        <v>37</v>
      </c>
      <c r="C678" s="52" t="s">
        <v>35</v>
      </c>
      <c r="D678" s="52" t="s">
        <v>129</v>
      </c>
      <c r="E678" s="52" t="s">
        <v>584</v>
      </c>
      <c r="F678" s="52" t="s">
        <v>581</v>
      </c>
      <c r="G678" s="55" t="s">
        <v>276</v>
      </c>
      <c r="H678" s="55">
        <v>5.4599999999999996E-3</v>
      </c>
      <c r="I678" s="55">
        <v>0</v>
      </c>
      <c r="J678" s="55"/>
      <c r="K678" s="55"/>
      <c r="L678" s="55"/>
      <c r="M678" s="55"/>
      <c r="N678" s="55"/>
    </row>
    <row r="679" spans="1:14" hidden="1" x14ac:dyDescent="0.35">
      <c r="A679" s="52" t="s">
        <v>579</v>
      </c>
      <c r="B679" s="52" t="s">
        <v>37</v>
      </c>
      <c r="C679" s="52" t="s">
        <v>35</v>
      </c>
      <c r="D679" s="52" t="s">
        <v>129</v>
      </c>
      <c r="E679" s="52" t="s">
        <v>584</v>
      </c>
      <c r="F679" s="52" t="s">
        <v>581</v>
      </c>
      <c r="G679" s="55" t="s">
        <v>279</v>
      </c>
      <c r="H679" s="55">
        <v>6.7040010000000002E-3</v>
      </c>
      <c r="I679" s="55">
        <v>0</v>
      </c>
      <c r="J679" s="55"/>
      <c r="K679" s="55"/>
      <c r="L679" s="55"/>
      <c r="M679" s="55"/>
      <c r="N679" s="55"/>
    </row>
    <row r="680" spans="1:14" hidden="1" x14ac:dyDescent="0.35">
      <c r="A680" s="52" t="s">
        <v>579</v>
      </c>
      <c r="B680" s="52" t="s">
        <v>37</v>
      </c>
      <c r="C680" s="52" t="s">
        <v>35</v>
      </c>
      <c r="D680" s="52" t="s">
        <v>129</v>
      </c>
      <c r="E680" s="52" t="s">
        <v>584</v>
      </c>
      <c r="F680" s="52" t="s">
        <v>26</v>
      </c>
      <c r="G680" s="55" t="s">
        <v>275</v>
      </c>
      <c r="H680" s="55">
        <v>2.4629340000000002</v>
      </c>
      <c r="I680" s="55">
        <v>2.16852</v>
      </c>
      <c r="J680" s="55">
        <v>1.5147820000000001</v>
      </c>
      <c r="K680" s="55">
        <v>2.304611</v>
      </c>
      <c r="L680" s="55">
        <v>0.66786719999999999</v>
      </c>
      <c r="M680" s="55">
        <v>0.65036669999999996</v>
      </c>
      <c r="N680" s="55">
        <v>0.63374490000000006</v>
      </c>
    </row>
    <row r="681" spans="1:14" hidden="1" x14ac:dyDescent="0.35">
      <c r="A681" s="52" t="s">
        <v>579</v>
      </c>
      <c r="B681" s="52" t="s">
        <v>37</v>
      </c>
      <c r="C681" s="52" t="s">
        <v>35</v>
      </c>
      <c r="D681" s="52" t="s">
        <v>129</v>
      </c>
      <c r="E681" s="52" t="s">
        <v>584</v>
      </c>
      <c r="F681" s="52" t="s">
        <v>26</v>
      </c>
      <c r="G681" s="55" t="s">
        <v>276</v>
      </c>
      <c r="H681" s="55">
        <v>-0.93879999999999997</v>
      </c>
      <c r="I681" s="55">
        <v>-1.0267459999999999</v>
      </c>
      <c r="J681" s="55">
        <v>-4.3680999999999998E-2</v>
      </c>
      <c r="K681" s="55">
        <v>-1.17276</v>
      </c>
      <c r="L681" s="55">
        <v>0.17753379999999999</v>
      </c>
      <c r="M681" s="55">
        <v>0.1728826</v>
      </c>
      <c r="N681" s="55">
        <v>0.16846410000000001</v>
      </c>
    </row>
    <row r="682" spans="1:14" hidden="1" x14ac:dyDescent="0.35">
      <c r="A682" s="52" t="s">
        <v>579</v>
      </c>
      <c r="B682" s="52" t="s">
        <v>37</v>
      </c>
      <c r="C682" s="52" t="s">
        <v>35</v>
      </c>
      <c r="D682" s="52" t="s">
        <v>129</v>
      </c>
      <c r="E682" s="52" t="s">
        <v>584</v>
      </c>
      <c r="F682" s="52" t="s">
        <v>26</v>
      </c>
      <c r="G682" s="55" t="s">
        <v>277</v>
      </c>
      <c r="H682" s="55">
        <v>0</v>
      </c>
      <c r="I682" s="55"/>
      <c r="J682" s="55"/>
      <c r="K682" s="55"/>
      <c r="L682" s="55"/>
      <c r="M682" s="55"/>
      <c r="N682" s="55"/>
    </row>
    <row r="683" spans="1:14" hidden="1" x14ac:dyDescent="0.35">
      <c r="A683" s="52" t="s">
        <v>579</v>
      </c>
      <c r="B683" s="52" t="s">
        <v>37</v>
      </c>
      <c r="C683" s="52" t="s">
        <v>35</v>
      </c>
      <c r="D683" s="52" t="s">
        <v>129</v>
      </c>
      <c r="E683" s="52" t="s">
        <v>584</v>
      </c>
      <c r="F683" s="52" t="s">
        <v>26</v>
      </c>
      <c r="G683" s="55" t="s">
        <v>279</v>
      </c>
      <c r="H683" s="55">
        <v>5.4170730000000002</v>
      </c>
      <c r="I683" s="55">
        <v>4.6767399999999997</v>
      </c>
      <c r="J683" s="55">
        <v>4.622808</v>
      </c>
      <c r="K683" s="55">
        <v>4.97994</v>
      </c>
      <c r="L683" s="55">
        <v>5.2412570000000001</v>
      </c>
      <c r="M683" s="55">
        <v>5.1012550000000001</v>
      </c>
      <c r="N683" s="55">
        <v>4.9867460000000001</v>
      </c>
    </row>
    <row r="684" spans="1:14" hidden="1" x14ac:dyDescent="0.35">
      <c r="A684" s="52" t="s">
        <v>579</v>
      </c>
      <c r="B684" s="52" t="s">
        <v>37</v>
      </c>
      <c r="C684" s="52" t="s">
        <v>35</v>
      </c>
      <c r="D684" s="52" t="s">
        <v>39</v>
      </c>
      <c r="E684" s="52" t="s">
        <v>582</v>
      </c>
      <c r="F684" s="52" t="s">
        <v>581</v>
      </c>
      <c r="G684" s="55" t="s">
        <v>275</v>
      </c>
      <c r="H684" s="55">
        <v>95.938289999999995</v>
      </c>
      <c r="I684" s="55">
        <v>189.39330000000001</v>
      </c>
      <c r="J684" s="55">
        <v>316.6429</v>
      </c>
      <c r="K684" s="55">
        <v>403.23410000000001</v>
      </c>
      <c r="L684" s="55">
        <v>324.75619999999998</v>
      </c>
      <c r="M684" s="55">
        <v>166.76140000000001</v>
      </c>
      <c r="N684" s="55">
        <v>134.09399999999999</v>
      </c>
    </row>
    <row r="685" spans="1:14" hidden="1" x14ac:dyDescent="0.35">
      <c r="A685" s="52" t="s">
        <v>579</v>
      </c>
      <c r="B685" s="52" t="s">
        <v>37</v>
      </c>
      <c r="C685" s="52" t="s">
        <v>35</v>
      </c>
      <c r="D685" s="52" t="s">
        <v>39</v>
      </c>
      <c r="E685" s="52" t="s">
        <v>582</v>
      </c>
      <c r="F685" s="52" t="s">
        <v>581</v>
      </c>
      <c r="G685" s="55" t="s">
        <v>276</v>
      </c>
      <c r="H685" s="55">
        <v>164.3647</v>
      </c>
      <c r="I685" s="55">
        <v>-19.209230000000002</v>
      </c>
      <c r="J685" s="55">
        <v>-22.87332</v>
      </c>
      <c r="K685" s="55">
        <v>-101.4333</v>
      </c>
      <c r="L685" s="55">
        <v>-37.853079999999999</v>
      </c>
      <c r="M685" s="55">
        <v>25.3217</v>
      </c>
      <c r="N685" s="55">
        <v>37.324570000000001</v>
      </c>
    </row>
    <row r="686" spans="1:14" hidden="1" x14ac:dyDescent="0.35">
      <c r="A686" s="52" t="s">
        <v>579</v>
      </c>
      <c r="B686" s="52" t="s">
        <v>37</v>
      </c>
      <c r="C686" s="52" t="s">
        <v>35</v>
      </c>
      <c r="D686" s="52" t="s">
        <v>39</v>
      </c>
      <c r="E686" s="52" t="s">
        <v>582</v>
      </c>
      <c r="F686" s="52" t="s">
        <v>581</v>
      </c>
      <c r="G686" s="55" t="s">
        <v>277</v>
      </c>
      <c r="H686" s="55">
        <v>1155</v>
      </c>
      <c r="I686" s="55">
        <v>220.17689999999999</v>
      </c>
      <c r="J686" s="55">
        <v>87.236429999999999</v>
      </c>
      <c r="K686" s="55">
        <v>32.250570000000003</v>
      </c>
      <c r="L686" s="55">
        <v>35.891750000000002</v>
      </c>
      <c r="M686" s="55">
        <v>43.815069999999999</v>
      </c>
      <c r="N686" s="55">
        <v>78.297309999999996</v>
      </c>
    </row>
    <row r="687" spans="1:14" hidden="1" x14ac:dyDescent="0.35">
      <c r="A687" s="52" t="s">
        <v>579</v>
      </c>
      <c r="B687" s="52" t="s">
        <v>37</v>
      </c>
      <c r="C687" s="52" t="s">
        <v>35</v>
      </c>
      <c r="D687" s="52" t="s">
        <v>39</v>
      </c>
      <c r="E687" s="52" t="s">
        <v>582</v>
      </c>
      <c r="F687" s="52" t="s">
        <v>581</v>
      </c>
      <c r="G687" s="55" t="s">
        <v>278</v>
      </c>
      <c r="H687" s="55">
        <v>0</v>
      </c>
      <c r="I687" s="55">
        <v>51.005580000000002</v>
      </c>
      <c r="J687" s="55">
        <v>64.873720000000006</v>
      </c>
      <c r="K687" s="55">
        <v>50.48686</v>
      </c>
      <c r="L687" s="55">
        <v>47.11985</v>
      </c>
      <c r="M687" s="55">
        <v>54.961300000000001</v>
      </c>
      <c r="N687" s="55">
        <v>51.107469999999999</v>
      </c>
    </row>
    <row r="688" spans="1:14" hidden="1" x14ac:dyDescent="0.35">
      <c r="A688" s="52" t="s">
        <v>579</v>
      </c>
      <c r="B688" s="52" t="s">
        <v>37</v>
      </c>
      <c r="C688" s="52" t="s">
        <v>35</v>
      </c>
      <c r="D688" s="52" t="s">
        <v>39</v>
      </c>
      <c r="E688" s="52" t="s">
        <v>582</v>
      </c>
      <c r="F688" s="52" t="s">
        <v>581</v>
      </c>
      <c r="G688" s="55" t="s">
        <v>279</v>
      </c>
      <c r="H688" s="55">
        <v>757.5607</v>
      </c>
      <c r="I688" s="55">
        <v>648.3854</v>
      </c>
      <c r="J688" s="55">
        <v>583.5847</v>
      </c>
      <c r="K688" s="55">
        <v>534.25630000000001</v>
      </c>
      <c r="L688" s="55">
        <v>439.14690000000002</v>
      </c>
      <c r="M688" s="55">
        <v>484.74990000000003</v>
      </c>
      <c r="N688" s="55">
        <v>489.85739999999998</v>
      </c>
    </row>
    <row r="689" spans="1:14" hidden="1" x14ac:dyDescent="0.35">
      <c r="A689" s="52" t="s">
        <v>579</v>
      </c>
      <c r="B689" s="52" t="s">
        <v>37</v>
      </c>
      <c r="C689" s="52" t="s">
        <v>35</v>
      </c>
      <c r="D689" s="52" t="s">
        <v>39</v>
      </c>
      <c r="E689" s="52" t="s">
        <v>582</v>
      </c>
      <c r="F689" s="52" t="s">
        <v>26</v>
      </c>
      <c r="G689" s="55" t="s">
        <v>275</v>
      </c>
      <c r="H689" s="55">
        <v>-3.1984140000000001</v>
      </c>
      <c r="I689" s="55">
        <v>-8.4150100000000005</v>
      </c>
      <c r="J689" s="55">
        <v>2.9704510000000002</v>
      </c>
      <c r="K689" s="55">
        <v>-2.5272459999999999</v>
      </c>
      <c r="L689" s="55">
        <v>2.2752530000000002</v>
      </c>
      <c r="M689" s="55">
        <v>-10.9795</v>
      </c>
      <c r="N689" s="55">
        <v>-10.92113</v>
      </c>
    </row>
    <row r="690" spans="1:14" hidden="1" x14ac:dyDescent="0.35">
      <c r="A690" s="52" t="s">
        <v>579</v>
      </c>
      <c r="B690" s="52" t="s">
        <v>37</v>
      </c>
      <c r="C690" s="52" t="s">
        <v>35</v>
      </c>
      <c r="D690" s="52" t="s">
        <v>39</v>
      </c>
      <c r="E690" s="52" t="s">
        <v>582</v>
      </c>
      <c r="F690" s="52" t="s">
        <v>26</v>
      </c>
      <c r="G690" s="55" t="s">
        <v>276</v>
      </c>
      <c r="H690" s="55">
        <v>-0.85021990000000003</v>
      </c>
      <c r="I690" s="55">
        <v>-2.2369300000000001</v>
      </c>
      <c r="J690" s="55">
        <v>0.78960350000000001</v>
      </c>
      <c r="K690" s="55">
        <v>-0.67177690000000001</v>
      </c>
      <c r="L690" s="55">
        <v>0.60480829999999997</v>
      </c>
      <c r="M690" s="55">
        <v>-2.9186070000000002</v>
      </c>
      <c r="N690" s="55">
        <v>-2.9030909999999999</v>
      </c>
    </row>
    <row r="691" spans="1:14" hidden="1" x14ac:dyDescent="0.35">
      <c r="A691" s="52" t="s">
        <v>579</v>
      </c>
      <c r="B691" s="52" t="s">
        <v>37</v>
      </c>
      <c r="C691" s="52" t="s">
        <v>35</v>
      </c>
      <c r="D691" s="52" t="s">
        <v>39</v>
      </c>
      <c r="E691" s="52" t="s">
        <v>582</v>
      </c>
      <c r="F691" s="52" t="s">
        <v>26</v>
      </c>
      <c r="G691" s="55" t="s">
        <v>279</v>
      </c>
      <c r="H691" s="55">
        <v>191.3039</v>
      </c>
      <c r="I691" s="55">
        <v>181.4341</v>
      </c>
      <c r="J691" s="55">
        <v>163.96799999999999</v>
      </c>
      <c r="K691" s="55">
        <v>151.35640000000001</v>
      </c>
      <c r="L691" s="55">
        <v>126.67059999999999</v>
      </c>
      <c r="M691" s="55">
        <v>137.0745</v>
      </c>
      <c r="N691" s="55">
        <v>138.41239999999999</v>
      </c>
    </row>
    <row r="692" spans="1:14" hidden="1" x14ac:dyDescent="0.35">
      <c r="A692" s="52" t="s">
        <v>579</v>
      </c>
      <c r="B692" s="52" t="s">
        <v>37</v>
      </c>
      <c r="C692" s="52" t="s">
        <v>35</v>
      </c>
      <c r="D692" s="52" t="s">
        <v>39</v>
      </c>
      <c r="E692" s="52" t="s">
        <v>585</v>
      </c>
      <c r="F692" s="52" t="s">
        <v>581</v>
      </c>
      <c r="G692" s="55" t="s">
        <v>275</v>
      </c>
      <c r="H692" s="55">
        <v>5.713012</v>
      </c>
      <c r="I692" s="55">
        <v>1.9199889999999999</v>
      </c>
      <c r="J692" s="55">
        <v>1.5813120000000001</v>
      </c>
      <c r="K692" s="55">
        <v>1.4734910000000001</v>
      </c>
      <c r="L692" s="55">
        <v>1.3699669999999999</v>
      </c>
      <c r="M692" s="55">
        <v>1.1310279999999999</v>
      </c>
      <c r="N692" s="55">
        <v>1.010394</v>
      </c>
    </row>
    <row r="693" spans="1:14" hidden="1" x14ac:dyDescent="0.35">
      <c r="A693" s="52" t="s">
        <v>579</v>
      </c>
      <c r="B693" s="52" t="s">
        <v>37</v>
      </c>
      <c r="C693" s="52" t="s">
        <v>35</v>
      </c>
      <c r="D693" s="52" t="s">
        <v>39</v>
      </c>
      <c r="E693" s="52" t="s">
        <v>585</v>
      </c>
      <c r="F693" s="52" t="s">
        <v>581</v>
      </c>
      <c r="G693" s="55" t="s">
        <v>276</v>
      </c>
      <c r="H693" s="55">
        <v>1.1918340000000001</v>
      </c>
      <c r="I693" s="55">
        <v>0.2812481</v>
      </c>
      <c r="J693" s="55">
        <v>0.42034939999999998</v>
      </c>
      <c r="K693" s="55">
        <v>0.39168760000000002</v>
      </c>
      <c r="L693" s="55">
        <v>0.36416949999999998</v>
      </c>
      <c r="M693" s="55">
        <v>0.3006528</v>
      </c>
      <c r="N693" s="55">
        <v>0.26858650000000001</v>
      </c>
    </row>
    <row r="694" spans="1:14" hidden="1" x14ac:dyDescent="0.35">
      <c r="A694" s="52" t="s">
        <v>579</v>
      </c>
      <c r="B694" s="52" t="s">
        <v>37</v>
      </c>
      <c r="C694" s="52" t="s">
        <v>35</v>
      </c>
      <c r="D694" s="52" t="s">
        <v>39</v>
      </c>
      <c r="E694" s="52" t="s">
        <v>585</v>
      </c>
      <c r="F694" s="52" t="s">
        <v>581</v>
      </c>
      <c r="G694" s="55" t="s">
        <v>279</v>
      </c>
      <c r="H694" s="55">
        <v>2.4591180000000001</v>
      </c>
      <c r="I694" s="55">
        <v>1.6673739999999999</v>
      </c>
      <c r="J694" s="55">
        <v>1.4567829999999999</v>
      </c>
      <c r="K694" s="55">
        <v>1.4247190000000001</v>
      </c>
      <c r="L694" s="55">
        <v>1.277873</v>
      </c>
      <c r="M694" s="55">
        <v>1.278305</v>
      </c>
      <c r="N694" s="55">
        <v>1.1615150000000001</v>
      </c>
    </row>
    <row r="695" spans="1:14" hidden="1" x14ac:dyDescent="0.35">
      <c r="A695" s="52" t="s">
        <v>579</v>
      </c>
      <c r="B695" s="52" t="s">
        <v>37</v>
      </c>
      <c r="C695" s="52" t="s">
        <v>35</v>
      </c>
      <c r="D695" s="52" t="s">
        <v>39</v>
      </c>
      <c r="E695" s="52" t="s">
        <v>585</v>
      </c>
      <c r="F695" s="52" t="s">
        <v>26</v>
      </c>
      <c r="G695" s="55" t="s">
        <v>275</v>
      </c>
      <c r="H695" s="55">
        <v>8.1870999999999999E-2</v>
      </c>
      <c r="I695" s="55">
        <v>4.2462399999999997E-2</v>
      </c>
      <c r="J695" s="55">
        <v>6.1943610000000003E-2</v>
      </c>
      <c r="K695" s="55">
        <v>4.45184E-2</v>
      </c>
      <c r="L695" s="55">
        <v>4.1015099999999999E-2</v>
      </c>
      <c r="M695" s="55">
        <v>1.06909E-2</v>
      </c>
      <c r="N695" s="55">
        <v>6.7559009999999999E-3</v>
      </c>
    </row>
    <row r="696" spans="1:14" hidden="1" x14ac:dyDescent="0.35">
      <c r="A696" s="52" t="s">
        <v>579</v>
      </c>
      <c r="B696" s="52" t="s">
        <v>37</v>
      </c>
      <c r="C696" s="52" t="s">
        <v>35</v>
      </c>
      <c r="D696" s="52" t="s">
        <v>39</v>
      </c>
      <c r="E696" s="52" t="s">
        <v>585</v>
      </c>
      <c r="F696" s="52" t="s">
        <v>26</v>
      </c>
      <c r="G696" s="55" t="s">
        <v>276</v>
      </c>
      <c r="H696" s="55">
        <v>2.1763999999999999E-2</v>
      </c>
      <c r="I696" s="55">
        <v>1.12873E-2</v>
      </c>
      <c r="J696" s="55">
        <v>1.64657E-2</v>
      </c>
      <c r="K696" s="55">
        <v>1.18345E-2</v>
      </c>
      <c r="L696" s="55">
        <v>1.09024E-2</v>
      </c>
      <c r="M696" s="55">
        <v>2.8417999999999998E-3</v>
      </c>
      <c r="N696" s="55">
        <v>1.7963E-3</v>
      </c>
    </row>
    <row r="697" spans="1:14" hidden="1" x14ac:dyDescent="0.35">
      <c r="A697" s="52" t="s">
        <v>579</v>
      </c>
      <c r="B697" s="52" t="s">
        <v>37</v>
      </c>
      <c r="C697" s="52" t="s">
        <v>35</v>
      </c>
      <c r="D697" s="52" t="s">
        <v>39</v>
      </c>
      <c r="E697" s="52" t="s">
        <v>585</v>
      </c>
      <c r="F697" s="52" t="s">
        <v>26</v>
      </c>
      <c r="G697" s="55" t="s">
        <v>279</v>
      </c>
      <c r="H697" s="55">
        <v>0.61721000000000004</v>
      </c>
      <c r="I697" s="55">
        <v>0.48995070000000002</v>
      </c>
      <c r="J697" s="55">
        <v>0.43133260000000001</v>
      </c>
      <c r="K697" s="55">
        <v>0.42628139999999998</v>
      </c>
      <c r="L697" s="55">
        <v>0.38822279999999998</v>
      </c>
      <c r="M697" s="55">
        <v>0.38071359999999999</v>
      </c>
      <c r="N697" s="55">
        <v>0.34477079999999999</v>
      </c>
    </row>
    <row r="698" spans="1:14" hidden="1" x14ac:dyDescent="0.35">
      <c r="A698" s="52" t="s">
        <v>579</v>
      </c>
      <c r="B698" s="52" t="s">
        <v>37</v>
      </c>
      <c r="C698" s="52" t="s">
        <v>35</v>
      </c>
      <c r="D698" s="52" t="s">
        <v>38</v>
      </c>
      <c r="E698" s="52" t="s">
        <v>584</v>
      </c>
      <c r="F698" s="52" t="s">
        <v>581</v>
      </c>
      <c r="G698" s="55" t="s">
        <v>275</v>
      </c>
      <c r="H698" s="55">
        <v>233.00360000000001</v>
      </c>
      <c r="I698" s="55">
        <v>-118.4092</v>
      </c>
      <c r="J698" s="55">
        <v>-61.148870000000002</v>
      </c>
      <c r="K698" s="55">
        <v>-69.145359999999997</v>
      </c>
      <c r="L698" s="55">
        <v>-82.762140000000002</v>
      </c>
      <c r="M698" s="55">
        <v>-80.240799999999993</v>
      </c>
      <c r="N698" s="55">
        <v>-1066.1880000000001</v>
      </c>
    </row>
    <row r="699" spans="1:14" hidden="1" x14ac:dyDescent="0.35">
      <c r="A699" s="52" t="s">
        <v>579</v>
      </c>
      <c r="B699" s="52" t="s">
        <v>37</v>
      </c>
      <c r="C699" s="52" t="s">
        <v>35</v>
      </c>
      <c r="D699" s="52" t="s">
        <v>38</v>
      </c>
      <c r="E699" s="52" t="s">
        <v>584</v>
      </c>
      <c r="F699" s="52" t="s">
        <v>581</v>
      </c>
      <c r="G699" s="55" t="s">
        <v>276</v>
      </c>
      <c r="H699" s="55">
        <v>60.689399999999999</v>
      </c>
      <c r="I699" s="55">
        <v>-85.010170000000002</v>
      </c>
      <c r="J699" s="55">
        <v>-72.529340000000005</v>
      </c>
      <c r="K699" s="55">
        <v>-75.578749999999999</v>
      </c>
      <c r="L699" s="55">
        <v>-69.438540000000003</v>
      </c>
      <c r="M699" s="55">
        <v>-42.952080000000002</v>
      </c>
      <c r="N699" s="55">
        <v>-296.10820000000001</v>
      </c>
    </row>
    <row r="700" spans="1:14" hidden="1" x14ac:dyDescent="0.35">
      <c r="A700" s="52" t="s">
        <v>579</v>
      </c>
      <c r="B700" s="52" t="s">
        <v>37</v>
      </c>
      <c r="C700" s="52" t="s">
        <v>35</v>
      </c>
      <c r="D700" s="52" t="s">
        <v>38</v>
      </c>
      <c r="E700" s="52" t="s">
        <v>584</v>
      </c>
      <c r="F700" s="52" t="s">
        <v>581</v>
      </c>
      <c r="G700" s="55" t="s">
        <v>277</v>
      </c>
      <c r="H700" s="55">
        <v>446.70859999999999</v>
      </c>
      <c r="I700" s="55">
        <v>192.3707</v>
      </c>
      <c r="J700" s="55">
        <v>127.5671</v>
      </c>
      <c r="K700" s="55">
        <v>91.864590000000007</v>
      </c>
      <c r="L700" s="55">
        <v>69.04813</v>
      </c>
      <c r="M700" s="55">
        <v>41.654310000000002</v>
      </c>
      <c r="N700" s="55">
        <v>36.772509999999997</v>
      </c>
    </row>
    <row r="701" spans="1:14" hidden="1" x14ac:dyDescent="0.35">
      <c r="A701" s="52" t="s">
        <v>579</v>
      </c>
      <c r="B701" s="52" t="s">
        <v>37</v>
      </c>
      <c r="C701" s="52" t="s">
        <v>35</v>
      </c>
      <c r="D701" s="52" t="s">
        <v>38</v>
      </c>
      <c r="E701" s="52" t="s">
        <v>584</v>
      </c>
      <c r="F701" s="52" t="s">
        <v>581</v>
      </c>
      <c r="G701" s="55" t="s">
        <v>279</v>
      </c>
      <c r="H701" s="55">
        <v>973.16300000000001</v>
      </c>
      <c r="I701" s="55">
        <v>666.03769999999997</v>
      </c>
      <c r="J701" s="55">
        <v>553.3759</v>
      </c>
      <c r="K701" s="55">
        <v>517.50440000000003</v>
      </c>
      <c r="L701" s="55">
        <v>475.35829999999999</v>
      </c>
      <c r="M701" s="55">
        <v>406.904</v>
      </c>
      <c r="N701" s="55">
        <v>1401.261</v>
      </c>
    </row>
    <row r="702" spans="1:14" hidden="1" x14ac:dyDescent="0.35">
      <c r="A702" s="52" t="s">
        <v>579</v>
      </c>
      <c r="B702" s="52" t="s">
        <v>37</v>
      </c>
      <c r="C702" s="52" t="s">
        <v>35</v>
      </c>
      <c r="D702" s="52" t="s">
        <v>38</v>
      </c>
      <c r="E702" s="52" t="s">
        <v>584</v>
      </c>
      <c r="F702" s="52" t="s">
        <v>26</v>
      </c>
      <c r="G702" s="55" t="s">
        <v>275</v>
      </c>
      <c r="H702" s="55">
        <v>-49.423430000000003</v>
      </c>
      <c r="I702" s="55">
        <v>-48.543529999999997</v>
      </c>
      <c r="J702" s="55">
        <v>-46.529380000000003</v>
      </c>
      <c r="K702" s="55">
        <v>-47.78407</v>
      </c>
      <c r="L702" s="55">
        <v>-48.124870000000001</v>
      </c>
      <c r="M702" s="55">
        <v>-46.107689999999998</v>
      </c>
      <c r="N702" s="55">
        <v>-103.62090000000001</v>
      </c>
    </row>
    <row r="703" spans="1:14" hidden="1" x14ac:dyDescent="0.35">
      <c r="A703" s="52" t="s">
        <v>579</v>
      </c>
      <c r="B703" s="52" t="s">
        <v>37</v>
      </c>
      <c r="C703" s="52" t="s">
        <v>35</v>
      </c>
      <c r="D703" s="52" t="s">
        <v>38</v>
      </c>
      <c r="E703" s="52" t="s">
        <v>584</v>
      </c>
      <c r="F703" s="52" t="s">
        <v>26</v>
      </c>
      <c r="G703" s="55" t="s">
        <v>276</v>
      </c>
      <c r="H703" s="55">
        <v>-15.398619999999999</v>
      </c>
      <c r="I703" s="55">
        <v>-14.349539999999999</v>
      </c>
      <c r="J703" s="55">
        <v>-13.386749999999999</v>
      </c>
      <c r="K703" s="55">
        <v>-13.38293</v>
      </c>
      <c r="L703" s="55">
        <v>-13.240919999999999</v>
      </c>
      <c r="M703" s="55">
        <v>-12.843629999999999</v>
      </c>
      <c r="N703" s="55">
        <v>-28.208819999999999</v>
      </c>
    </row>
    <row r="704" spans="1:14" hidden="1" x14ac:dyDescent="0.35">
      <c r="A704" s="52" t="s">
        <v>579</v>
      </c>
      <c r="B704" s="52" t="s">
        <v>37</v>
      </c>
      <c r="C704" s="52" t="s">
        <v>35</v>
      </c>
      <c r="D704" s="52" t="s">
        <v>38</v>
      </c>
      <c r="E704" s="52" t="s">
        <v>584</v>
      </c>
      <c r="F704" s="52" t="s">
        <v>26</v>
      </c>
      <c r="G704" s="55" t="s">
        <v>277</v>
      </c>
      <c r="H704" s="55">
        <v>50.300240000000002</v>
      </c>
      <c r="I704" s="55">
        <v>49.615749999999998</v>
      </c>
      <c r="J704" s="55">
        <v>48.979320000000001</v>
      </c>
      <c r="K704" s="55">
        <v>48.32676</v>
      </c>
      <c r="L704" s="55">
        <v>47.498759999999997</v>
      </c>
      <c r="M704" s="55">
        <v>46.143639999999998</v>
      </c>
      <c r="N704" s="55">
        <v>44.96922</v>
      </c>
    </row>
    <row r="705" spans="1:14" hidden="1" x14ac:dyDescent="0.35">
      <c r="A705" s="52" t="s">
        <v>579</v>
      </c>
      <c r="B705" s="52" t="s">
        <v>37</v>
      </c>
      <c r="C705" s="52" t="s">
        <v>35</v>
      </c>
      <c r="D705" s="52" t="s">
        <v>38</v>
      </c>
      <c r="E705" s="52" t="s">
        <v>584</v>
      </c>
      <c r="F705" s="52" t="s">
        <v>26</v>
      </c>
      <c r="G705" s="55" t="s">
        <v>279</v>
      </c>
      <c r="H705" s="55">
        <v>44.113109999999999</v>
      </c>
      <c r="I705" s="55">
        <v>37.006979999999999</v>
      </c>
      <c r="J705" s="55">
        <v>34.755499999999998</v>
      </c>
      <c r="K705" s="55">
        <v>35.798929999999999</v>
      </c>
      <c r="L705" s="55">
        <v>35.890279999999997</v>
      </c>
      <c r="M705" s="55">
        <v>33.638150000000003</v>
      </c>
      <c r="N705" s="55">
        <v>98.639880000000005</v>
      </c>
    </row>
    <row r="706" spans="1:14" hidden="1" x14ac:dyDescent="0.35">
      <c r="A706" s="52" t="s">
        <v>579</v>
      </c>
      <c r="B706" s="52" t="s">
        <v>37</v>
      </c>
      <c r="C706" s="52" t="s">
        <v>35</v>
      </c>
      <c r="D706" s="52" t="s">
        <v>38</v>
      </c>
      <c r="E706" s="52" t="s">
        <v>586</v>
      </c>
      <c r="F706" s="52" t="s">
        <v>581</v>
      </c>
      <c r="G706" s="55" t="s">
        <v>275</v>
      </c>
      <c r="H706" s="55">
        <v>5.4535179999999999</v>
      </c>
      <c r="I706" s="55">
        <v>3.8952610000000001</v>
      </c>
      <c r="J706" s="55">
        <v>2.3999320000000002</v>
      </c>
      <c r="K706" s="55">
        <v>0.42912980000000001</v>
      </c>
      <c r="L706" s="55">
        <v>-3.4146779999999999</v>
      </c>
      <c r="M706" s="55">
        <v>0.94508210000000004</v>
      </c>
      <c r="N706" s="55">
        <v>0.78317689999999995</v>
      </c>
    </row>
    <row r="707" spans="1:14" hidden="1" x14ac:dyDescent="0.35">
      <c r="A707" s="52" t="s">
        <v>579</v>
      </c>
      <c r="B707" s="52" t="s">
        <v>37</v>
      </c>
      <c r="C707" s="52" t="s">
        <v>35</v>
      </c>
      <c r="D707" s="52" t="s">
        <v>38</v>
      </c>
      <c r="E707" s="52" t="s">
        <v>586</v>
      </c>
      <c r="F707" s="52" t="s">
        <v>581</v>
      </c>
      <c r="G707" s="55" t="s">
        <v>276</v>
      </c>
      <c r="H707" s="55">
        <v>-1.087618</v>
      </c>
      <c r="I707" s="55">
        <v>-2.837634</v>
      </c>
      <c r="J707" s="55">
        <v>-1.455559</v>
      </c>
      <c r="K707" s="55">
        <v>-0.51587459999999996</v>
      </c>
      <c r="L707" s="55">
        <v>3.7466899999999997E-2</v>
      </c>
      <c r="M707" s="55">
        <v>2.0241499999999999E-2</v>
      </c>
      <c r="N707" s="55">
        <v>2.3400210000000001E-2</v>
      </c>
    </row>
    <row r="708" spans="1:14" hidden="1" x14ac:dyDescent="0.35">
      <c r="A708" s="52" t="s">
        <v>579</v>
      </c>
      <c r="B708" s="52" t="s">
        <v>37</v>
      </c>
      <c r="C708" s="52" t="s">
        <v>35</v>
      </c>
      <c r="D708" s="52" t="s">
        <v>38</v>
      </c>
      <c r="E708" s="52" t="s">
        <v>586</v>
      </c>
      <c r="F708" s="52" t="s">
        <v>581</v>
      </c>
      <c r="G708" s="55" t="s">
        <v>277</v>
      </c>
      <c r="H708" s="55">
        <v>0</v>
      </c>
      <c r="I708" s="55"/>
      <c r="J708" s="55">
        <v>0</v>
      </c>
      <c r="K708" s="55">
        <v>0.98631310000000005</v>
      </c>
      <c r="L708" s="55">
        <v>4.641788</v>
      </c>
      <c r="M708" s="55">
        <v>0</v>
      </c>
      <c r="N708" s="55">
        <v>0</v>
      </c>
    </row>
    <row r="709" spans="1:14" hidden="1" x14ac:dyDescent="0.35">
      <c r="A709" s="52" t="s">
        <v>579</v>
      </c>
      <c r="B709" s="52" t="s">
        <v>37</v>
      </c>
      <c r="C709" s="52" t="s">
        <v>35</v>
      </c>
      <c r="D709" s="52" t="s">
        <v>38</v>
      </c>
      <c r="E709" s="52" t="s">
        <v>586</v>
      </c>
      <c r="F709" s="52" t="s">
        <v>581</v>
      </c>
      <c r="G709" s="55" t="s">
        <v>279</v>
      </c>
      <c r="H709" s="55">
        <v>2.0584310000000001</v>
      </c>
      <c r="I709" s="55">
        <v>1.2870820000000001</v>
      </c>
      <c r="J709" s="55">
        <v>1.064735</v>
      </c>
      <c r="K709" s="55">
        <v>1.065089</v>
      </c>
      <c r="L709" s="55">
        <v>1.246742</v>
      </c>
      <c r="M709" s="55">
        <v>1.155856</v>
      </c>
      <c r="N709" s="55">
        <v>0.92873050000000001</v>
      </c>
    </row>
    <row r="710" spans="1:14" hidden="1" x14ac:dyDescent="0.35">
      <c r="A710" s="52" t="s">
        <v>579</v>
      </c>
      <c r="B710" s="52" t="s">
        <v>37</v>
      </c>
      <c r="C710" s="52" t="s">
        <v>35</v>
      </c>
      <c r="D710" s="52" t="s">
        <v>38</v>
      </c>
      <c r="E710" s="52" t="s">
        <v>586</v>
      </c>
      <c r="F710" s="52" t="s">
        <v>26</v>
      </c>
      <c r="G710" s="55" t="s">
        <v>275</v>
      </c>
      <c r="H710" s="55">
        <v>-3.7789999999999998E-3</v>
      </c>
      <c r="I710" s="55">
        <v>-1.51561E-2</v>
      </c>
      <c r="J710" s="55">
        <v>2.1272999999999999E-3</v>
      </c>
      <c r="K710" s="55">
        <v>-5.2627999999999998E-3</v>
      </c>
      <c r="L710" s="55">
        <v>5.4353029999999998E-3</v>
      </c>
      <c r="M710" s="55">
        <v>-2.1913499999999999E-2</v>
      </c>
      <c r="N710" s="55">
        <v>-1.8060300000000001E-2</v>
      </c>
    </row>
    <row r="711" spans="1:14" hidden="1" x14ac:dyDescent="0.35">
      <c r="A711" s="52" t="s">
        <v>579</v>
      </c>
      <c r="B711" s="52" t="s">
        <v>37</v>
      </c>
      <c r="C711" s="52" t="s">
        <v>35</v>
      </c>
      <c r="D711" s="52" t="s">
        <v>38</v>
      </c>
      <c r="E711" s="52" t="s">
        <v>586</v>
      </c>
      <c r="F711" s="52" t="s">
        <v>26</v>
      </c>
      <c r="G711" s="55" t="s">
        <v>276</v>
      </c>
      <c r="H711" s="55">
        <v>-1.0039999999999999E-3</v>
      </c>
      <c r="I711" s="55">
        <v>-4.0286990000000002E-3</v>
      </c>
      <c r="J711" s="55">
        <v>5.6600010000000002E-4</v>
      </c>
      <c r="K711" s="55">
        <v>-1.3988E-3</v>
      </c>
      <c r="L711" s="55">
        <v>1.4455010000000001E-3</v>
      </c>
      <c r="M711" s="55">
        <v>-5.8250999999999997E-3</v>
      </c>
      <c r="N711" s="55">
        <v>-4.8006999999999998E-3</v>
      </c>
    </row>
    <row r="712" spans="1:14" hidden="1" x14ac:dyDescent="0.35">
      <c r="A712" s="52" t="s">
        <v>579</v>
      </c>
      <c r="B712" s="52" t="s">
        <v>37</v>
      </c>
      <c r="C712" s="52" t="s">
        <v>35</v>
      </c>
      <c r="D712" s="52" t="s">
        <v>38</v>
      </c>
      <c r="E712" s="52" t="s">
        <v>586</v>
      </c>
      <c r="F712" s="52" t="s">
        <v>26</v>
      </c>
      <c r="G712" s="55" t="s">
        <v>279</v>
      </c>
      <c r="H712" s="55">
        <v>0.13006300000000001</v>
      </c>
      <c r="I712" s="55">
        <v>0.2972573</v>
      </c>
      <c r="J712" s="55">
        <v>0.24712780000000001</v>
      </c>
      <c r="K712" s="55">
        <v>0.2490599</v>
      </c>
      <c r="L712" s="55">
        <v>0.29808220000000002</v>
      </c>
      <c r="M712" s="55">
        <v>0.28410000000000002</v>
      </c>
      <c r="N712" s="55">
        <v>0.2324639</v>
      </c>
    </row>
    <row r="713" spans="1:14" hidden="1" x14ac:dyDescent="0.35">
      <c r="A713" s="52" t="s">
        <v>579</v>
      </c>
      <c r="B713" s="52" t="s">
        <v>37</v>
      </c>
      <c r="C713" s="52" t="s">
        <v>35</v>
      </c>
      <c r="D713" s="52" t="s">
        <v>190</v>
      </c>
      <c r="E713" s="52" t="s">
        <v>584</v>
      </c>
      <c r="F713" s="52" t="s">
        <v>581</v>
      </c>
      <c r="G713" s="55" t="s">
        <v>275</v>
      </c>
      <c r="H713" s="55">
        <v>464.28629999999998</v>
      </c>
      <c r="I713" s="55">
        <v>143.25190000000001</v>
      </c>
      <c r="J713" s="55">
        <v>118.446</v>
      </c>
      <c r="K713" s="55">
        <v>110.5736</v>
      </c>
      <c r="L713" s="55">
        <v>112.3847</v>
      </c>
      <c r="M713" s="55">
        <v>85.948239999999998</v>
      </c>
      <c r="N713" s="55">
        <v>79.160309999999996</v>
      </c>
    </row>
    <row r="714" spans="1:14" hidden="1" x14ac:dyDescent="0.35">
      <c r="A714" s="52" t="s">
        <v>579</v>
      </c>
      <c r="B714" s="52" t="s">
        <v>37</v>
      </c>
      <c r="C714" s="52" t="s">
        <v>35</v>
      </c>
      <c r="D714" s="52" t="s">
        <v>190</v>
      </c>
      <c r="E714" s="52" t="s">
        <v>584</v>
      </c>
      <c r="F714" s="52" t="s">
        <v>581</v>
      </c>
      <c r="G714" s="55" t="s">
        <v>276</v>
      </c>
      <c r="H714" s="55">
        <v>114.7762</v>
      </c>
      <c r="I714" s="55">
        <v>17.178899999999999</v>
      </c>
      <c r="J714" s="55">
        <v>29.923359999999999</v>
      </c>
      <c r="K714" s="55">
        <v>23.669530000000002</v>
      </c>
      <c r="L714" s="55">
        <v>22.818819999999999</v>
      </c>
      <c r="M714" s="55">
        <v>22.589659999999999</v>
      </c>
      <c r="N714" s="55">
        <v>19.958359999999999</v>
      </c>
    </row>
    <row r="715" spans="1:14" hidden="1" x14ac:dyDescent="0.35">
      <c r="A715" s="52" t="s">
        <v>579</v>
      </c>
      <c r="B715" s="52" t="s">
        <v>37</v>
      </c>
      <c r="C715" s="52" t="s">
        <v>35</v>
      </c>
      <c r="D715" s="52" t="s">
        <v>190</v>
      </c>
      <c r="E715" s="52" t="s">
        <v>584</v>
      </c>
      <c r="F715" s="52" t="s">
        <v>581</v>
      </c>
      <c r="G715" s="55" t="s">
        <v>277</v>
      </c>
      <c r="H715" s="55">
        <v>72.853530000000006</v>
      </c>
      <c r="I715" s="55">
        <v>2.3611200000000001</v>
      </c>
      <c r="J715" s="55">
        <v>11.736610000000001</v>
      </c>
      <c r="K715" s="55">
        <v>13.397869999999999</v>
      </c>
      <c r="L715" s="55">
        <v>8.5379679999999993</v>
      </c>
      <c r="M715" s="55">
        <v>5.352309</v>
      </c>
      <c r="N715" s="55">
        <v>5.0620370000000001</v>
      </c>
    </row>
    <row r="716" spans="1:14" hidden="1" x14ac:dyDescent="0.35">
      <c r="A716" s="52" t="s">
        <v>579</v>
      </c>
      <c r="B716" s="52" t="s">
        <v>37</v>
      </c>
      <c r="C716" s="52" t="s">
        <v>35</v>
      </c>
      <c r="D716" s="52" t="s">
        <v>190</v>
      </c>
      <c r="E716" s="52" t="s">
        <v>584</v>
      </c>
      <c r="F716" s="52" t="s">
        <v>581</v>
      </c>
      <c r="G716" s="55" t="s">
        <v>279</v>
      </c>
      <c r="H716" s="55">
        <v>308.80810000000002</v>
      </c>
      <c r="I716" s="55">
        <v>190.05189999999999</v>
      </c>
      <c r="J716" s="55">
        <v>172.85830000000001</v>
      </c>
      <c r="K716" s="55">
        <v>168.15870000000001</v>
      </c>
      <c r="L716" s="55">
        <v>150.09729999999999</v>
      </c>
      <c r="M716" s="55">
        <v>154.6842</v>
      </c>
      <c r="N716" s="55">
        <v>140.6258</v>
      </c>
    </row>
    <row r="717" spans="1:14" hidden="1" x14ac:dyDescent="0.35">
      <c r="A717" s="52" t="s">
        <v>579</v>
      </c>
      <c r="B717" s="52" t="s">
        <v>37</v>
      </c>
      <c r="C717" s="52" t="s">
        <v>35</v>
      </c>
      <c r="D717" s="52" t="s">
        <v>190</v>
      </c>
      <c r="E717" s="52" t="s">
        <v>584</v>
      </c>
      <c r="F717" s="52" t="s">
        <v>26</v>
      </c>
      <c r="G717" s="55" t="s">
        <v>275</v>
      </c>
      <c r="H717" s="55">
        <v>-0.33630300000000002</v>
      </c>
      <c r="I717" s="55">
        <v>-1.5021150000000001</v>
      </c>
      <c r="J717" s="55">
        <v>0.26845160000000001</v>
      </c>
      <c r="K717" s="55">
        <v>-0.55831339999999996</v>
      </c>
      <c r="L717" s="55">
        <v>-7.4627639999999995E-2</v>
      </c>
      <c r="M717" s="55">
        <v>-2.0468289999999998</v>
      </c>
      <c r="N717" s="55">
        <v>-1.860746</v>
      </c>
    </row>
    <row r="718" spans="1:14" hidden="1" x14ac:dyDescent="0.35">
      <c r="A718" s="52" t="s">
        <v>579</v>
      </c>
      <c r="B718" s="52" t="s">
        <v>37</v>
      </c>
      <c r="C718" s="52" t="s">
        <v>35</v>
      </c>
      <c r="D718" s="52" t="s">
        <v>190</v>
      </c>
      <c r="E718" s="52" t="s">
        <v>584</v>
      </c>
      <c r="F718" s="52" t="s">
        <v>26</v>
      </c>
      <c r="G718" s="55" t="s">
        <v>276</v>
      </c>
      <c r="H718" s="55">
        <v>-8.9400999999999994E-2</v>
      </c>
      <c r="I718" s="55">
        <v>-0.3993025</v>
      </c>
      <c r="J718" s="55">
        <v>7.1362110000000006E-2</v>
      </c>
      <c r="K718" s="55">
        <v>-0.1484103</v>
      </c>
      <c r="L718" s="55">
        <v>-1.9844770000000001E-2</v>
      </c>
      <c r="M718" s="55">
        <v>-0.5440931</v>
      </c>
      <c r="N718" s="55">
        <v>-0.49462899999999999</v>
      </c>
    </row>
    <row r="719" spans="1:14" hidden="1" x14ac:dyDescent="0.35">
      <c r="A719" s="52" t="s">
        <v>579</v>
      </c>
      <c r="B719" s="52" t="s">
        <v>37</v>
      </c>
      <c r="C719" s="52" t="s">
        <v>35</v>
      </c>
      <c r="D719" s="52" t="s">
        <v>190</v>
      </c>
      <c r="E719" s="52" t="s">
        <v>584</v>
      </c>
      <c r="F719" s="52" t="s">
        <v>26</v>
      </c>
      <c r="G719" s="55" t="s">
        <v>279</v>
      </c>
      <c r="H719" s="55">
        <v>11.575620000000001</v>
      </c>
      <c r="I719" s="55">
        <v>29.743449999999999</v>
      </c>
      <c r="J719" s="55">
        <v>27.408169999999998</v>
      </c>
      <c r="K719" s="55">
        <v>26.93385</v>
      </c>
      <c r="L719" s="55">
        <v>24.400169999999999</v>
      </c>
      <c r="M719" s="55">
        <v>24.68918</v>
      </c>
      <c r="N719" s="55">
        <v>22.372060000000001</v>
      </c>
    </row>
    <row r="720" spans="1:14" hidden="1" x14ac:dyDescent="0.35">
      <c r="A720" s="52" t="s">
        <v>579</v>
      </c>
      <c r="B720" s="52" t="s">
        <v>37</v>
      </c>
      <c r="C720" s="52" t="s">
        <v>35</v>
      </c>
      <c r="D720" s="52" t="s">
        <v>163</v>
      </c>
      <c r="E720" s="52" t="s">
        <v>580</v>
      </c>
      <c r="F720" s="52" t="s">
        <v>581</v>
      </c>
      <c r="G720" s="55" t="s">
        <v>275</v>
      </c>
      <c r="H720" s="55">
        <v>35.207889999999999</v>
      </c>
      <c r="I720" s="55">
        <v>84.171750000000003</v>
      </c>
      <c r="J720" s="55">
        <v>125.8181</v>
      </c>
      <c r="K720" s="55">
        <v>127.23220000000001</v>
      </c>
      <c r="L720" s="55">
        <v>110.794</v>
      </c>
      <c r="M720" s="55">
        <v>83.235600000000005</v>
      </c>
      <c r="N720" s="55">
        <v>41.338729999999998</v>
      </c>
    </row>
    <row r="721" spans="1:14" hidden="1" x14ac:dyDescent="0.35">
      <c r="A721" s="52" t="s">
        <v>579</v>
      </c>
      <c r="B721" s="52" t="s">
        <v>37</v>
      </c>
      <c r="C721" s="52" t="s">
        <v>35</v>
      </c>
      <c r="D721" s="52" t="s">
        <v>163</v>
      </c>
      <c r="E721" s="52" t="s">
        <v>580</v>
      </c>
      <c r="F721" s="52" t="s">
        <v>581</v>
      </c>
      <c r="G721" s="55" t="s">
        <v>276</v>
      </c>
      <c r="H721" s="55">
        <v>54.46987</v>
      </c>
      <c r="I721" s="55">
        <v>6.6235090000000003</v>
      </c>
      <c r="J721" s="55">
        <v>-3.306111</v>
      </c>
      <c r="K721" s="55">
        <v>4.6748200000000004</v>
      </c>
      <c r="L721" s="55">
        <v>3.1268349999999998</v>
      </c>
      <c r="M721" s="55">
        <v>23.704940000000001</v>
      </c>
      <c r="N721" s="55">
        <v>25.409020000000002</v>
      </c>
    </row>
    <row r="722" spans="1:14" hidden="1" x14ac:dyDescent="0.35">
      <c r="A722" s="52" t="s">
        <v>579</v>
      </c>
      <c r="B722" s="52" t="s">
        <v>37</v>
      </c>
      <c r="C722" s="52" t="s">
        <v>35</v>
      </c>
      <c r="D722" s="52" t="s">
        <v>163</v>
      </c>
      <c r="E722" s="52" t="s">
        <v>580</v>
      </c>
      <c r="F722" s="52" t="s">
        <v>581</v>
      </c>
      <c r="G722" s="55" t="s">
        <v>277</v>
      </c>
      <c r="H722" s="55">
        <v>317.3</v>
      </c>
      <c r="I722" s="55">
        <v>49.042450000000002</v>
      </c>
      <c r="J722" s="55">
        <v>22.657489999999999</v>
      </c>
      <c r="K722" s="55">
        <v>8.1882560000000009</v>
      </c>
      <c r="L722" s="55">
        <v>17.537210000000002</v>
      </c>
      <c r="M722" s="55">
        <v>20.074729999999999</v>
      </c>
      <c r="N722" s="55">
        <v>62.645470000000003</v>
      </c>
    </row>
    <row r="723" spans="1:14" hidden="1" x14ac:dyDescent="0.35">
      <c r="A723" s="52" t="s">
        <v>579</v>
      </c>
      <c r="B723" s="52" t="s">
        <v>37</v>
      </c>
      <c r="C723" s="52" t="s">
        <v>35</v>
      </c>
      <c r="D723" s="52" t="s">
        <v>163</v>
      </c>
      <c r="E723" s="52" t="s">
        <v>580</v>
      </c>
      <c r="F723" s="52" t="s">
        <v>581</v>
      </c>
      <c r="G723" s="55" t="s">
        <v>278</v>
      </c>
      <c r="H723" s="55">
        <v>0</v>
      </c>
      <c r="I723" s="55">
        <v>14.676589999999999</v>
      </c>
      <c r="J723" s="55">
        <v>25.538879999999999</v>
      </c>
      <c r="K723" s="55">
        <v>31.416039999999999</v>
      </c>
      <c r="L723" s="55">
        <v>44.919730000000001</v>
      </c>
      <c r="M723" s="55">
        <v>44.971780000000003</v>
      </c>
      <c r="N723" s="55">
        <v>57.912410000000001</v>
      </c>
    </row>
    <row r="724" spans="1:14" hidden="1" x14ac:dyDescent="0.35">
      <c r="A724" s="52" t="s">
        <v>579</v>
      </c>
      <c r="B724" s="52" t="s">
        <v>37</v>
      </c>
      <c r="C724" s="52" t="s">
        <v>35</v>
      </c>
      <c r="D724" s="52" t="s">
        <v>163</v>
      </c>
      <c r="E724" s="52" t="s">
        <v>580</v>
      </c>
      <c r="F724" s="52" t="s">
        <v>581</v>
      </c>
      <c r="G724" s="55" t="s">
        <v>279</v>
      </c>
      <c r="H724" s="55">
        <v>164.5949</v>
      </c>
      <c r="I724" s="55">
        <v>136.14439999999999</v>
      </c>
      <c r="J724" s="55">
        <v>141.9743</v>
      </c>
      <c r="K724" s="55">
        <v>152.67930000000001</v>
      </c>
      <c r="L724" s="55">
        <v>148.83160000000001</v>
      </c>
      <c r="M724" s="55">
        <v>171.32390000000001</v>
      </c>
      <c r="N724" s="55">
        <v>183.999</v>
      </c>
    </row>
    <row r="725" spans="1:14" hidden="1" x14ac:dyDescent="0.35">
      <c r="A725" s="52" t="s">
        <v>579</v>
      </c>
      <c r="B725" s="52" t="s">
        <v>37</v>
      </c>
      <c r="C725" s="52" t="s">
        <v>35</v>
      </c>
      <c r="D725" s="52" t="s">
        <v>163</v>
      </c>
      <c r="E725" s="52" t="s">
        <v>580</v>
      </c>
      <c r="F725" s="52" t="s">
        <v>26</v>
      </c>
      <c r="G725" s="55" t="s">
        <v>275</v>
      </c>
      <c r="H725" s="55">
        <v>0.490199</v>
      </c>
      <c r="I725" s="55">
        <v>-0.1209945</v>
      </c>
      <c r="J725" s="55">
        <v>1.0694980000000001</v>
      </c>
      <c r="K725" s="55">
        <v>0.20161709999999999</v>
      </c>
      <c r="L725" s="55">
        <v>0.27072000000000002</v>
      </c>
      <c r="M725" s="55">
        <v>-1.2196579999999999</v>
      </c>
      <c r="N725" s="55">
        <v>-1.296108</v>
      </c>
    </row>
    <row r="726" spans="1:14" hidden="1" x14ac:dyDescent="0.35">
      <c r="A726" s="52" t="s">
        <v>579</v>
      </c>
      <c r="B726" s="52" t="s">
        <v>37</v>
      </c>
      <c r="C726" s="52" t="s">
        <v>35</v>
      </c>
      <c r="D726" s="52" t="s">
        <v>163</v>
      </c>
      <c r="E726" s="52" t="s">
        <v>580</v>
      </c>
      <c r="F726" s="52" t="s">
        <v>26</v>
      </c>
      <c r="G726" s="55" t="s">
        <v>276</v>
      </c>
      <c r="H726" s="55">
        <v>0.13031000000000001</v>
      </c>
      <c r="I726" s="55">
        <v>-3.2155490000000002E-2</v>
      </c>
      <c r="J726" s="55">
        <v>0.28429219999999999</v>
      </c>
      <c r="K726" s="55">
        <v>5.3597400000000003E-2</v>
      </c>
      <c r="L726" s="55">
        <v>7.197133E-2</v>
      </c>
      <c r="M726" s="55">
        <v>-0.32421870000000003</v>
      </c>
      <c r="N726" s="55">
        <v>-0.34453099999999998</v>
      </c>
    </row>
    <row r="727" spans="1:14" hidden="1" x14ac:dyDescent="0.35">
      <c r="A727" s="52" t="s">
        <v>579</v>
      </c>
      <c r="B727" s="52" t="s">
        <v>37</v>
      </c>
      <c r="C727" s="52" t="s">
        <v>35</v>
      </c>
      <c r="D727" s="52" t="s">
        <v>163</v>
      </c>
      <c r="E727" s="52" t="s">
        <v>580</v>
      </c>
      <c r="F727" s="52" t="s">
        <v>26</v>
      </c>
      <c r="G727" s="55" t="s">
        <v>279</v>
      </c>
      <c r="H727" s="55">
        <v>21.141010000000001</v>
      </c>
      <c r="I727" s="55">
        <v>20.20748</v>
      </c>
      <c r="J727" s="55">
        <v>21.305009999999999</v>
      </c>
      <c r="K727" s="55">
        <v>23.14639</v>
      </c>
      <c r="L727" s="55">
        <v>22.950019999999999</v>
      </c>
      <c r="M727" s="55">
        <v>25.887720000000002</v>
      </c>
      <c r="N727" s="55">
        <v>27.76642</v>
      </c>
    </row>
    <row r="728" spans="1:14" hidden="1" x14ac:dyDescent="0.35">
      <c r="A728" s="52" t="s">
        <v>579</v>
      </c>
      <c r="B728" s="52" t="s">
        <v>37</v>
      </c>
      <c r="C728" s="52" t="s">
        <v>35</v>
      </c>
      <c r="D728" s="52" t="s">
        <v>36</v>
      </c>
      <c r="E728" s="52" t="s">
        <v>587</v>
      </c>
      <c r="F728" s="52" t="s">
        <v>581</v>
      </c>
      <c r="G728" s="55" t="s">
        <v>275</v>
      </c>
      <c r="H728" s="55">
        <v>135.5275</v>
      </c>
      <c r="I728" s="55">
        <v>44.638860000000001</v>
      </c>
      <c r="J728" s="55">
        <v>42.451610000000002</v>
      </c>
      <c r="K728" s="55">
        <v>36.005989999999997</v>
      </c>
      <c r="L728" s="55">
        <v>34.496650000000002</v>
      </c>
      <c r="M728" s="55">
        <v>24.760100000000001</v>
      </c>
      <c r="N728" s="55">
        <v>22.314630000000001</v>
      </c>
    </row>
    <row r="729" spans="1:14" hidden="1" x14ac:dyDescent="0.35">
      <c r="A729" s="52" t="s">
        <v>579</v>
      </c>
      <c r="B729" s="52" t="s">
        <v>37</v>
      </c>
      <c r="C729" s="52" t="s">
        <v>35</v>
      </c>
      <c r="D729" s="52" t="s">
        <v>36</v>
      </c>
      <c r="E729" s="52" t="s">
        <v>587</v>
      </c>
      <c r="F729" s="52" t="s">
        <v>581</v>
      </c>
      <c r="G729" s="55" t="s">
        <v>276</v>
      </c>
      <c r="H729" s="55">
        <v>20.082329999999999</v>
      </c>
      <c r="I729" s="55">
        <v>1.0136700000000001</v>
      </c>
      <c r="J729" s="55">
        <v>2.4745949999999999</v>
      </c>
      <c r="K729" s="55">
        <v>6.2745059999999997</v>
      </c>
      <c r="L729" s="55">
        <v>5.752605</v>
      </c>
      <c r="M729" s="55">
        <v>6.1162130000000001</v>
      </c>
      <c r="N729" s="55">
        <v>5.6190569999999997</v>
      </c>
    </row>
    <row r="730" spans="1:14" hidden="1" x14ac:dyDescent="0.35">
      <c r="A730" s="52" t="s">
        <v>579</v>
      </c>
      <c r="B730" s="52" t="s">
        <v>37</v>
      </c>
      <c r="C730" s="52" t="s">
        <v>35</v>
      </c>
      <c r="D730" s="52" t="s">
        <v>36</v>
      </c>
      <c r="E730" s="52" t="s">
        <v>587</v>
      </c>
      <c r="F730" s="52" t="s">
        <v>581</v>
      </c>
      <c r="G730" s="55" t="s">
        <v>277</v>
      </c>
      <c r="H730" s="55">
        <v>31.972159999999999</v>
      </c>
      <c r="I730" s="55">
        <v>3.498014</v>
      </c>
      <c r="J730" s="55">
        <v>2.8116379999999999</v>
      </c>
      <c r="K730" s="55">
        <v>0.24055360000000001</v>
      </c>
      <c r="L730" s="55">
        <v>0</v>
      </c>
      <c r="M730" s="55">
        <v>0</v>
      </c>
      <c r="N730" s="55">
        <v>0</v>
      </c>
    </row>
    <row r="731" spans="1:14" hidden="1" x14ac:dyDescent="0.35">
      <c r="A731" s="52" t="s">
        <v>579</v>
      </c>
      <c r="B731" s="52" t="s">
        <v>37</v>
      </c>
      <c r="C731" s="52" t="s">
        <v>35</v>
      </c>
      <c r="D731" s="52" t="s">
        <v>36</v>
      </c>
      <c r="E731" s="52" t="s">
        <v>587</v>
      </c>
      <c r="F731" s="52" t="s">
        <v>581</v>
      </c>
      <c r="G731" s="55" t="s">
        <v>279</v>
      </c>
      <c r="H731" s="55">
        <v>96.762140000000002</v>
      </c>
      <c r="I731" s="55">
        <v>66.100489999999994</v>
      </c>
      <c r="J731" s="55">
        <v>58.86721</v>
      </c>
      <c r="K731" s="55">
        <v>55.674439999999997</v>
      </c>
      <c r="L731" s="55">
        <v>48.424140000000001</v>
      </c>
      <c r="M731" s="55">
        <v>49.577590000000001</v>
      </c>
      <c r="N731" s="55">
        <v>44.717419999999997</v>
      </c>
    </row>
    <row r="732" spans="1:14" hidden="1" x14ac:dyDescent="0.35">
      <c r="A732" s="52" t="s">
        <v>579</v>
      </c>
      <c r="B732" s="52" t="s">
        <v>37</v>
      </c>
      <c r="C732" s="52" t="s">
        <v>35</v>
      </c>
      <c r="D732" s="52" t="s">
        <v>36</v>
      </c>
      <c r="E732" s="52" t="s">
        <v>587</v>
      </c>
      <c r="F732" s="52" t="s">
        <v>26</v>
      </c>
      <c r="G732" s="55" t="s">
        <v>275</v>
      </c>
      <c r="H732" s="55">
        <v>-0.407028</v>
      </c>
      <c r="I732" s="55">
        <v>-1.239695</v>
      </c>
      <c r="J732" s="55">
        <v>-0.4341235</v>
      </c>
      <c r="K732" s="55">
        <v>-0.74643800000000005</v>
      </c>
      <c r="L732" s="55">
        <v>-0.51791140000000002</v>
      </c>
      <c r="M732" s="55">
        <v>-1.2650170000000001</v>
      </c>
      <c r="N732" s="55">
        <v>-1.145003</v>
      </c>
    </row>
    <row r="733" spans="1:14" hidden="1" x14ac:dyDescent="0.35">
      <c r="A733" s="52" t="s">
        <v>579</v>
      </c>
      <c r="B733" s="52" t="s">
        <v>37</v>
      </c>
      <c r="C733" s="52" t="s">
        <v>35</v>
      </c>
      <c r="D733" s="52" t="s">
        <v>36</v>
      </c>
      <c r="E733" s="52" t="s">
        <v>587</v>
      </c>
      <c r="F733" s="52" t="s">
        <v>26</v>
      </c>
      <c r="G733" s="55" t="s">
        <v>276</v>
      </c>
      <c r="H733" s="55">
        <v>-0.10820299999999999</v>
      </c>
      <c r="I733" s="55">
        <v>-0.32953919999999998</v>
      </c>
      <c r="J733" s="55">
        <v>-0.11540209999999999</v>
      </c>
      <c r="K733" s="55">
        <v>-0.19841829999999999</v>
      </c>
      <c r="L733" s="55">
        <v>-0.13767180000000001</v>
      </c>
      <c r="M733" s="55">
        <v>-0.33627010000000002</v>
      </c>
      <c r="N733" s="55">
        <v>-0.30436839999999998</v>
      </c>
    </row>
    <row r="734" spans="1:14" hidden="1" x14ac:dyDescent="0.35">
      <c r="A734" s="52" t="s">
        <v>579</v>
      </c>
      <c r="B734" s="52" t="s">
        <v>37</v>
      </c>
      <c r="C734" s="52" t="s">
        <v>35</v>
      </c>
      <c r="D734" s="52" t="s">
        <v>36</v>
      </c>
      <c r="E734" s="52" t="s">
        <v>587</v>
      </c>
      <c r="F734" s="52" t="s">
        <v>26</v>
      </c>
      <c r="G734" s="55" t="s">
        <v>279</v>
      </c>
      <c r="H734" s="55">
        <v>5.5926799999999997</v>
      </c>
      <c r="I734" s="55">
        <v>13.26704</v>
      </c>
      <c r="J734" s="55">
        <v>11.91484</v>
      </c>
      <c r="K734" s="55">
        <v>11.364470000000001</v>
      </c>
      <c r="L734" s="55">
        <v>10.02788</v>
      </c>
      <c r="M734" s="55">
        <v>10.06692</v>
      </c>
      <c r="N734" s="55">
        <v>9.0568589999999993</v>
      </c>
    </row>
    <row r="735" spans="1:14" hidden="1" x14ac:dyDescent="0.35">
      <c r="A735" s="52" t="s">
        <v>579</v>
      </c>
      <c r="B735" s="52" t="s">
        <v>37</v>
      </c>
      <c r="C735" s="52" t="s">
        <v>35</v>
      </c>
      <c r="D735" s="52" t="s">
        <v>36</v>
      </c>
      <c r="E735" s="52" t="s">
        <v>588</v>
      </c>
      <c r="F735" s="52" t="s">
        <v>581</v>
      </c>
      <c r="G735" s="55" t="s">
        <v>275</v>
      </c>
      <c r="H735" s="55">
        <v>15.585850000000001</v>
      </c>
      <c r="I735" s="55">
        <v>25.70749</v>
      </c>
      <c r="J735" s="55">
        <v>33.830599999999997</v>
      </c>
      <c r="K735" s="55">
        <v>37.694000000000003</v>
      </c>
      <c r="L735" s="55">
        <v>32.240270000000002</v>
      </c>
      <c r="M735" s="55">
        <v>17.69772</v>
      </c>
      <c r="N735" s="55">
        <v>14.93153</v>
      </c>
    </row>
    <row r="736" spans="1:14" hidden="1" x14ac:dyDescent="0.35">
      <c r="A736" s="52" t="s">
        <v>579</v>
      </c>
      <c r="B736" s="52" t="s">
        <v>37</v>
      </c>
      <c r="C736" s="52" t="s">
        <v>35</v>
      </c>
      <c r="D736" s="52" t="s">
        <v>36</v>
      </c>
      <c r="E736" s="52" t="s">
        <v>588</v>
      </c>
      <c r="F736" s="52" t="s">
        <v>581</v>
      </c>
      <c r="G736" s="55" t="s">
        <v>276</v>
      </c>
      <c r="H736" s="55">
        <v>-9.3898159999999997</v>
      </c>
      <c r="I736" s="55">
        <v>-0.75650309999999998</v>
      </c>
      <c r="J736" s="55">
        <v>0.10758769999999999</v>
      </c>
      <c r="K736" s="55">
        <v>-8.3241770000000006</v>
      </c>
      <c r="L736" s="55">
        <v>-5.6229399999999998</v>
      </c>
      <c r="M736" s="55">
        <v>3.0151500000000002</v>
      </c>
      <c r="N736" s="55">
        <v>3.7814239999999999</v>
      </c>
    </row>
    <row r="737" spans="1:14" hidden="1" x14ac:dyDescent="0.35">
      <c r="A737" s="52" t="s">
        <v>579</v>
      </c>
      <c r="B737" s="52" t="s">
        <v>37</v>
      </c>
      <c r="C737" s="52" t="s">
        <v>35</v>
      </c>
      <c r="D737" s="52" t="s">
        <v>36</v>
      </c>
      <c r="E737" s="52" t="s">
        <v>588</v>
      </c>
      <c r="F737" s="52" t="s">
        <v>581</v>
      </c>
      <c r="G737" s="55" t="s">
        <v>277</v>
      </c>
      <c r="H737" s="55">
        <v>126.0448</v>
      </c>
      <c r="I737" s="55">
        <v>15.08413</v>
      </c>
      <c r="J737" s="55">
        <v>1.7240610000000001</v>
      </c>
      <c r="K737" s="55">
        <v>0</v>
      </c>
      <c r="L737" s="55"/>
      <c r="M737" s="55">
        <v>0</v>
      </c>
      <c r="N737" s="55">
        <v>0</v>
      </c>
    </row>
    <row r="738" spans="1:14" hidden="1" x14ac:dyDescent="0.35">
      <c r="A738" s="52" t="s">
        <v>579</v>
      </c>
      <c r="B738" s="52" t="s">
        <v>37</v>
      </c>
      <c r="C738" s="52" t="s">
        <v>35</v>
      </c>
      <c r="D738" s="52" t="s">
        <v>36</v>
      </c>
      <c r="E738" s="52" t="s">
        <v>588</v>
      </c>
      <c r="F738" s="52" t="s">
        <v>581</v>
      </c>
      <c r="G738" s="55" t="s">
        <v>279</v>
      </c>
      <c r="H738" s="55">
        <v>64.541370000000001</v>
      </c>
      <c r="I738" s="55">
        <v>48.897260000000003</v>
      </c>
      <c r="J738" s="55">
        <v>40.452979999999997</v>
      </c>
      <c r="K738" s="55">
        <v>35.70167</v>
      </c>
      <c r="L738" s="55">
        <v>30.459350000000001</v>
      </c>
      <c r="M738" s="55">
        <v>30.45617</v>
      </c>
      <c r="N738" s="55">
        <v>27.291540000000001</v>
      </c>
    </row>
    <row r="739" spans="1:14" hidden="1" x14ac:dyDescent="0.35">
      <c r="A739" s="52" t="s">
        <v>579</v>
      </c>
      <c r="B739" s="52" t="s">
        <v>37</v>
      </c>
      <c r="C739" s="52" t="s">
        <v>35</v>
      </c>
      <c r="D739" s="52" t="s">
        <v>36</v>
      </c>
      <c r="E739" s="52" t="s">
        <v>588</v>
      </c>
      <c r="F739" s="52" t="s">
        <v>26</v>
      </c>
      <c r="G739" s="55" t="s">
        <v>275</v>
      </c>
      <c r="H739" s="55">
        <v>-1.493239</v>
      </c>
      <c r="I739" s="55">
        <v>-1.733762</v>
      </c>
      <c r="J739" s="55">
        <v>-0.78106640000000005</v>
      </c>
      <c r="K739" s="55">
        <v>-1.078025</v>
      </c>
      <c r="L739" s="55">
        <v>-0.87282499999999996</v>
      </c>
      <c r="M739" s="55">
        <v>-1.5076449999999999</v>
      </c>
      <c r="N739" s="55">
        <v>-1.3570899999999999</v>
      </c>
    </row>
    <row r="740" spans="1:14" hidden="1" x14ac:dyDescent="0.35">
      <c r="A740" s="52" t="s">
        <v>579</v>
      </c>
      <c r="B740" s="52" t="s">
        <v>37</v>
      </c>
      <c r="C740" s="52" t="s">
        <v>35</v>
      </c>
      <c r="D740" s="52" t="s">
        <v>36</v>
      </c>
      <c r="E740" s="52" t="s">
        <v>588</v>
      </c>
      <c r="F740" s="52" t="s">
        <v>26</v>
      </c>
      <c r="G740" s="55" t="s">
        <v>276</v>
      </c>
      <c r="H740" s="55">
        <v>-0.39693499999999998</v>
      </c>
      <c r="I740" s="55">
        <v>-0.46087610000000001</v>
      </c>
      <c r="J740" s="55">
        <v>-0.2076259</v>
      </c>
      <c r="K740" s="55">
        <v>-0.28656369999999998</v>
      </c>
      <c r="L740" s="55">
        <v>-0.23201920000000001</v>
      </c>
      <c r="M740" s="55">
        <v>-0.40076640000000002</v>
      </c>
      <c r="N740" s="55">
        <v>-0.36074529999999999</v>
      </c>
    </row>
    <row r="741" spans="1:14" hidden="1" x14ac:dyDescent="0.35">
      <c r="A741" s="52" t="s">
        <v>579</v>
      </c>
      <c r="B741" s="52" t="s">
        <v>37</v>
      </c>
      <c r="C741" s="52" t="s">
        <v>35</v>
      </c>
      <c r="D741" s="52" t="s">
        <v>36</v>
      </c>
      <c r="E741" s="52" t="s">
        <v>588</v>
      </c>
      <c r="F741" s="52" t="s">
        <v>26</v>
      </c>
      <c r="G741" s="55" t="s">
        <v>279</v>
      </c>
      <c r="H741" s="55">
        <v>18.27374</v>
      </c>
      <c r="I741" s="55">
        <v>15.720499999999999</v>
      </c>
      <c r="J741" s="55">
        <v>13.12707</v>
      </c>
      <c r="K741" s="55">
        <v>11.69332</v>
      </c>
      <c r="L741" s="55">
        <v>10.129250000000001</v>
      </c>
      <c r="M741" s="55">
        <v>9.9628800000000002</v>
      </c>
      <c r="N741" s="55">
        <v>8.9243760000000005</v>
      </c>
    </row>
    <row r="742" spans="1:14" hidden="1" x14ac:dyDescent="0.35">
      <c r="A742" s="52" t="s">
        <v>579</v>
      </c>
      <c r="B742" s="52" t="s">
        <v>37</v>
      </c>
      <c r="C742" s="52" t="s">
        <v>35</v>
      </c>
      <c r="D742" s="52" t="s">
        <v>36</v>
      </c>
      <c r="E742" s="52" t="s">
        <v>589</v>
      </c>
      <c r="F742" s="52" t="s">
        <v>581</v>
      </c>
      <c r="G742" s="55" t="s">
        <v>275</v>
      </c>
      <c r="H742" s="55">
        <v>0</v>
      </c>
      <c r="I742" s="55">
        <v>-10.990790000000001</v>
      </c>
      <c r="J742" s="55">
        <v>0.85750040000000005</v>
      </c>
      <c r="K742" s="55">
        <v>5.8131279999999999</v>
      </c>
      <c r="L742" s="55">
        <v>9.4240089999999999</v>
      </c>
      <c r="M742" s="55">
        <v>13.16724</v>
      </c>
      <c r="N742" s="55">
        <v>-7.723503</v>
      </c>
    </row>
    <row r="743" spans="1:14" hidden="1" x14ac:dyDescent="0.35">
      <c r="A743" s="52" t="s">
        <v>579</v>
      </c>
      <c r="B743" s="52" t="s">
        <v>37</v>
      </c>
      <c r="C743" s="52" t="s">
        <v>35</v>
      </c>
      <c r="D743" s="52" t="s">
        <v>36</v>
      </c>
      <c r="E743" s="52" t="s">
        <v>589</v>
      </c>
      <c r="F743" s="52" t="s">
        <v>581</v>
      </c>
      <c r="G743" s="55" t="s">
        <v>276</v>
      </c>
      <c r="H743" s="55">
        <v>0</v>
      </c>
      <c r="I743" s="55">
        <v>-0.192633</v>
      </c>
      <c r="J743" s="55">
        <v>2.242559</v>
      </c>
      <c r="K743" s="55">
        <v>2.8189160000000002</v>
      </c>
      <c r="L743" s="55">
        <v>3.6489319999999998</v>
      </c>
      <c r="M743" s="55">
        <v>2.8935430000000002</v>
      </c>
      <c r="N743" s="55">
        <v>2.5948980000000001</v>
      </c>
    </row>
    <row r="744" spans="1:14" hidden="1" x14ac:dyDescent="0.35">
      <c r="A744" s="52" t="s">
        <v>579</v>
      </c>
      <c r="B744" s="52" t="s">
        <v>37</v>
      </c>
      <c r="C744" s="52" t="s">
        <v>35</v>
      </c>
      <c r="D744" s="52" t="s">
        <v>36</v>
      </c>
      <c r="E744" s="52" t="s">
        <v>589</v>
      </c>
      <c r="F744" s="52" t="s">
        <v>581</v>
      </c>
      <c r="G744" s="55" t="s">
        <v>277</v>
      </c>
      <c r="H744" s="55">
        <v>0</v>
      </c>
      <c r="I744" s="55">
        <v>6.5381130000000001</v>
      </c>
      <c r="J744" s="55">
        <v>6.13361</v>
      </c>
      <c r="K744" s="55">
        <v>4.3771930000000001</v>
      </c>
      <c r="L744" s="55">
        <v>5.5681370000000001</v>
      </c>
      <c r="M744" s="55">
        <v>3.3204560000000001</v>
      </c>
      <c r="N744" s="55">
        <v>23.241700000000002</v>
      </c>
    </row>
    <row r="745" spans="1:14" hidden="1" x14ac:dyDescent="0.35">
      <c r="A745" s="52" t="s">
        <v>579</v>
      </c>
      <c r="B745" s="52" t="s">
        <v>37</v>
      </c>
      <c r="C745" s="52" t="s">
        <v>35</v>
      </c>
      <c r="D745" s="52" t="s">
        <v>36</v>
      </c>
      <c r="E745" s="52" t="s">
        <v>589</v>
      </c>
      <c r="F745" s="52" t="s">
        <v>581</v>
      </c>
      <c r="G745" s="55" t="s">
        <v>278</v>
      </c>
      <c r="H745" s="55">
        <v>0</v>
      </c>
      <c r="I745" s="55">
        <v>6.2945479999999998</v>
      </c>
      <c r="J745" s="55">
        <v>5.9064170000000003</v>
      </c>
      <c r="K745" s="55">
        <v>6.0732460000000001</v>
      </c>
      <c r="L745" s="55">
        <v>5.4695879999999999</v>
      </c>
      <c r="M745" s="55">
        <v>5.8181019999999997</v>
      </c>
      <c r="N745" s="55">
        <v>9.7107899999999994</v>
      </c>
    </row>
    <row r="746" spans="1:14" hidden="1" x14ac:dyDescent="0.35">
      <c r="A746" s="52" t="s">
        <v>579</v>
      </c>
      <c r="B746" s="52" t="s">
        <v>37</v>
      </c>
      <c r="C746" s="52" t="s">
        <v>35</v>
      </c>
      <c r="D746" s="52" t="s">
        <v>36</v>
      </c>
      <c r="E746" s="52" t="s">
        <v>589</v>
      </c>
      <c r="F746" s="52" t="s">
        <v>581</v>
      </c>
      <c r="G746" s="55" t="s">
        <v>279</v>
      </c>
      <c r="H746" s="55">
        <v>0</v>
      </c>
      <c r="I746" s="55">
        <v>4.3357229999999998</v>
      </c>
      <c r="J746" s="55">
        <v>11.590310000000001</v>
      </c>
      <c r="K746" s="55">
        <v>14.252890000000001</v>
      </c>
      <c r="L746" s="55">
        <v>15.01737</v>
      </c>
      <c r="M746" s="55">
        <v>17.017209999999999</v>
      </c>
      <c r="N746" s="55">
        <v>17.32394</v>
      </c>
    </row>
    <row r="747" spans="1:14" hidden="1" x14ac:dyDescent="0.35">
      <c r="A747" s="52" t="s">
        <v>579</v>
      </c>
      <c r="B747" s="52" t="s">
        <v>37</v>
      </c>
      <c r="C747" s="52" t="s">
        <v>35</v>
      </c>
      <c r="D747" s="52" t="s">
        <v>36</v>
      </c>
      <c r="E747" s="52" t="s">
        <v>589</v>
      </c>
      <c r="F747" s="52" t="s">
        <v>26</v>
      </c>
      <c r="G747" s="55" t="s">
        <v>275</v>
      </c>
      <c r="H747" s="55">
        <v>0</v>
      </c>
      <c r="I747" s="55">
        <v>-0.1050879</v>
      </c>
      <c r="J747" s="55">
        <v>0.1181302</v>
      </c>
      <c r="K747" s="55">
        <v>0.12831809999999999</v>
      </c>
      <c r="L747" s="55">
        <v>0.26029380000000002</v>
      </c>
      <c r="M747" s="55">
        <v>0.140573</v>
      </c>
      <c r="N747" s="55">
        <v>0.18570139999999999</v>
      </c>
    </row>
    <row r="748" spans="1:14" hidden="1" x14ac:dyDescent="0.35">
      <c r="A748" s="52" t="s">
        <v>579</v>
      </c>
      <c r="B748" s="52" t="s">
        <v>37</v>
      </c>
      <c r="C748" s="52" t="s">
        <v>35</v>
      </c>
      <c r="D748" s="52" t="s">
        <v>36</v>
      </c>
      <c r="E748" s="52" t="s">
        <v>589</v>
      </c>
      <c r="F748" s="52" t="s">
        <v>26</v>
      </c>
      <c r="G748" s="55" t="s">
        <v>276</v>
      </c>
      <c r="H748" s="55">
        <v>0</v>
      </c>
      <c r="I748" s="55">
        <v>-2.7934400000000002E-2</v>
      </c>
      <c r="J748" s="55">
        <v>3.1402399999999997E-2</v>
      </c>
      <c r="K748" s="55">
        <v>3.41102E-2</v>
      </c>
      <c r="L748" s="55">
        <v>6.919111E-2</v>
      </c>
      <c r="M748" s="55">
        <v>3.7367200000000003E-2</v>
      </c>
      <c r="N748" s="55">
        <v>4.93643E-2</v>
      </c>
    </row>
    <row r="749" spans="1:14" hidden="1" x14ac:dyDescent="0.35">
      <c r="A749" s="52" t="s">
        <v>579</v>
      </c>
      <c r="B749" s="52" t="s">
        <v>37</v>
      </c>
      <c r="C749" s="52" t="s">
        <v>35</v>
      </c>
      <c r="D749" s="52" t="s">
        <v>36</v>
      </c>
      <c r="E749" s="52" t="s">
        <v>589</v>
      </c>
      <c r="F749" s="52" t="s">
        <v>26</v>
      </c>
      <c r="G749" s="55" t="s">
        <v>279</v>
      </c>
      <c r="H749" s="55">
        <v>0</v>
      </c>
      <c r="I749" s="55">
        <v>0.47665580000000002</v>
      </c>
      <c r="J749" s="55">
        <v>1.4281280000000001</v>
      </c>
      <c r="K749" s="55">
        <v>1.796181</v>
      </c>
      <c r="L749" s="55">
        <v>1.94916</v>
      </c>
      <c r="M749" s="55">
        <v>2.1713420000000001</v>
      </c>
      <c r="N749" s="55">
        <v>2.2073330000000002</v>
      </c>
    </row>
    <row r="750" spans="1:14" hidden="1" x14ac:dyDescent="0.35">
      <c r="A750" s="52" t="s">
        <v>579</v>
      </c>
      <c r="B750" s="52" t="s">
        <v>37</v>
      </c>
      <c r="C750" s="52" t="s">
        <v>35</v>
      </c>
      <c r="D750" s="52" t="s">
        <v>189</v>
      </c>
      <c r="E750" s="52" t="s">
        <v>590</v>
      </c>
      <c r="F750" s="52" t="s">
        <v>581</v>
      </c>
      <c r="G750" s="55" t="s">
        <v>275</v>
      </c>
      <c r="H750" s="55">
        <v>-115.0376</v>
      </c>
      <c r="I750" s="55">
        <v>65.881079999999997</v>
      </c>
      <c r="J750" s="55">
        <v>93.405019999999993</v>
      </c>
      <c r="K750" s="55">
        <v>77.950839999999999</v>
      </c>
      <c r="L750" s="55">
        <v>70.975679999999997</v>
      </c>
      <c r="M750" s="55">
        <v>38.334989999999998</v>
      </c>
      <c r="N750" s="55">
        <v>11.297269999999999</v>
      </c>
    </row>
    <row r="751" spans="1:14" hidden="1" x14ac:dyDescent="0.35">
      <c r="A751" s="52" t="s">
        <v>579</v>
      </c>
      <c r="B751" s="52" t="s">
        <v>37</v>
      </c>
      <c r="C751" s="52" t="s">
        <v>35</v>
      </c>
      <c r="D751" s="52" t="s">
        <v>189</v>
      </c>
      <c r="E751" s="52" t="s">
        <v>590</v>
      </c>
      <c r="F751" s="52" t="s">
        <v>581</v>
      </c>
      <c r="G751" s="55" t="s">
        <v>276</v>
      </c>
      <c r="H751" s="55">
        <v>-38.3553</v>
      </c>
      <c r="I751" s="55">
        <v>-45.3005</v>
      </c>
      <c r="J751" s="55">
        <v>-47.947899999999997</v>
      </c>
      <c r="K751" s="55">
        <v>-28.507380000000001</v>
      </c>
      <c r="L751" s="55">
        <v>-18.903860000000002</v>
      </c>
      <c r="M751" s="55">
        <v>7.9753990000000003</v>
      </c>
      <c r="N751" s="55">
        <v>9.2281910000000007</v>
      </c>
    </row>
    <row r="752" spans="1:14" hidden="1" x14ac:dyDescent="0.35">
      <c r="A752" s="52" t="s">
        <v>579</v>
      </c>
      <c r="B752" s="52" t="s">
        <v>37</v>
      </c>
      <c r="C752" s="52" t="s">
        <v>35</v>
      </c>
      <c r="D752" s="52" t="s">
        <v>189</v>
      </c>
      <c r="E752" s="52" t="s">
        <v>590</v>
      </c>
      <c r="F752" s="52" t="s">
        <v>581</v>
      </c>
      <c r="G752" s="55" t="s">
        <v>277</v>
      </c>
      <c r="H752" s="55">
        <v>350</v>
      </c>
      <c r="I752" s="55">
        <v>29.39969</v>
      </c>
      <c r="J752" s="55">
        <v>13.31171</v>
      </c>
      <c r="K752" s="55">
        <v>6.707052</v>
      </c>
      <c r="L752" s="55">
        <v>5.257816</v>
      </c>
      <c r="M752" s="55">
        <v>5.6975150000000001</v>
      </c>
      <c r="N752" s="55">
        <v>20.808219999999999</v>
      </c>
    </row>
    <row r="753" spans="1:14" hidden="1" x14ac:dyDescent="0.35">
      <c r="A753" s="52" t="s">
        <v>579</v>
      </c>
      <c r="B753" s="52" t="s">
        <v>37</v>
      </c>
      <c r="C753" s="52" t="s">
        <v>35</v>
      </c>
      <c r="D753" s="52" t="s">
        <v>189</v>
      </c>
      <c r="E753" s="52" t="s">
        <v>590</v>
      </c>
      <c r="F753" s="52" t="s">
        <v>581</v>
      </c>
      <c r="G753" s="55" t="s">
        <v>278</v>
      </c>
      <c r="H753" s="55">
        <v>0</v>
      </c>
      <c r="I753" s="55">
        <v>4.7137739999999999</v>
      </c>
      <c r="J753" s="55">
        <v>4.058001</v>
      </c>
      <c r="K753" s="55">
        <v>4.1650090000000004</v>
      </c>
      <c r="L753" s="55">
        <v>5.6495240000000004</v>
      </c>
      <c r="M753" s="55">
        <v>7.4975399999999999</v>
      </c>
      <c r="N753" s="55">
        <v>23.133759999999999</v>
      </c>
    </row>
    <row r="754" spans="1:14" hidden="1" x14ac:dyDescent="0.35">
      <c r="A754" s="52" t="s">
        <v>579</v>
      </c>
      <c r="B754" s="52" t="s">
        <v>37</v>
      </c>
      <c r="C754" s="52" t="s">
        <v>35</v>
      </c>
      <c r="D754" s="52" t="s">
        <v>189</v>
      </c>
      <c r="E754" s="52" t="s">
        <v>590</v>
      </c>
      <c r="F754" s="52" t="s">
        <v>581</v>
      </c>
      <c r="G754" s="55" t="s">
        <v>279</v>
      </c>
      <c r="H754" s="55">
        <v>102.8242</v>
      </c>
      <c r="I754" s="55">
        <v>76.78416</v>
      </c>
      <c r="J754" s="55">
        <v>69.904039999999995</v>
      </c>
      <c r="K754" s="55">
        <v>66.963989999999995</v>
      </c>
      <c r="L754" s="55">
        <v>61.227080000000001</v>
      </c>
      <c r="M754" s="55">
        <v>66.754199999999997</v>
      </c>
      <c r="N754" s="55">
        <v>65.158090000000001</v>
      </c>
    </row>
    <row r="755" spans="1:14" hidden="1" x14ac:dyDescent="0.35">
      <c r="A755" s="52" t="s">
        <v>579</v>
      </c>
      <c r="B755" s="52" t="s">
        <v>37</v>
      </c>
      <c r="C755" s="52" t="s">
        <v>35</v>
      </c>
      <c r="D755" s="52" t="s">
        <v>189</v>
      </c>
      <c r="E755" s="52" t="s">
        <v>590</v>
      </c>
      <c r="F755" s="52" t="s">
        <v>26</v>
      </c>
      <c r="G755" s="55" t="s">
        <v>275</v>
      </c>
      <c r="H755" s="55">
        <v>-4.0247869999999999</v>
      </c>
      <c r="I755" s="55">
        <v>-4.1713839999999998</v>
      </c>
      <c r="J755" s="55">
        <v>-0.97676870000000005</v>
      </c>
      <c r="K755" s="55">
        <v>-1.2552829999999999</v>
      </c>
      <c r="L755" s="55">
        <v>-0.31975579999999998</v>
      </c>
      <c r="M755" s="55">
        <v>-1.6081620000000001</v>
      </c>
      <c r="N755" s="55">
        <v>-0.69143390000000005</v>
      </c>
    </row>
    <row r="756" spans="1:14" hidden="1" x14ac:dyDescent="0.35">
      <c r="A756" s="52" t="s">
        <v>579</v>
      </c>
      <c r="B756" s="52" t="s">
        <v>37</v>
      </c>
      <c r="C756" s="52" t="s">
        <v>35</v>
      </c>
      <c r="D756" s="52" t="s">
        <v>189</v>
      </c>
      <c r="E756" s="52" t="s">
        <v>590</v>
      </c>
      <c r="F756" s="52" t="s">
        <v>26</v>
      </c>
      <c r="G756" s="55" t="s">
        <v>276</v>
      </c>
      <c r="H756" s="55">
        <v>-1.0698780000000001</v>
      </c>
      <c r="I756" s="55">
        <v>-1.1088469999999999</v>
      </c>
      <c r="J756" s="55">
        <v>-0.25965680000000002</v>
      </c>
      <c r="K756" s="55">
        <v>-0.33368009999999998</v>
      </c>
      <c r="L756" s="55">
        <v>-8.4997890000000006E-2</v>
      </c>
      <c r="M756" s="55">
        <v>-0.42748710000000001</v>
      </c>
      <c r="N756" s="55">
        <v>-0.18379870000000001</v>
      </c>
    </row>
    <row r="757" spans="1:14" hidden="1" x14ac:dyDescent="0.35">
      <c r="A757" s="52" t="s">
        <v>579</v>
      </c>
      <c r="B757" s="52" t="s">
        <v>37</v>
      </c>
      <c r="C757" s="52" t="s">
        <v>35</v>
      </c>
      <c r="D757" s="52" t="s">
        <v>189</v>
      </c>
      <c r="E757" s="52" t="s">
        <v>590</v>
      </c>
      <c r="F757" s="52" t="s">
        <v>26</v>
      </c>
      <c r="G757" s="55" t="s">
        <v>279</v>
      </c>
      <c r="H757" s="55">
        <v>38.017829999999996</v>
      </c>
      <c r="I757" s="55">
        <v>31.581610000000001</v>
      </c>
      <c r="J757" s="55">
        <v>28.949310000000001</v>
      </c>
      <c r="K757" s="55">
        <v>27.956990000000001</v>
      </c>
      <c r="L757" s="55">
        <v>25.97709</v>
      </c>
      <c r="M757" s="55">
        <v>27.791979999999999</v>
      </c>
      <c r="N757" s="55">
        <v>27.08831</v>
      </c>
    </row>
    <row r="758" spans="1:14" hidden="1" x14ac:dyDescent="0.35">
      <c r="A758" s="52" t="s">
        <v>579</v>
      </c>
      <c r="B758" s="52" t="s">
        <v>37</v>
      </c>
      <c r="C758" s="52" t="s">
        <v>35</v>
      </c>
      <c r="D758" s="52" t="s">
        <v>189</v>
      </c>
      <c r="E758" s="52" t="s">
        <v>586</v>
      </c>
      <c r="F758" s="52" t="s">
        <v>581</v>
      </c>
      <c r="G758" s="55" t="s">
        <v>275</v>
      </c>
      <c r="H758" s="55">
        <v>0.39615600000000001</v>
      </c>
      <c r="I758" s="55">
        <v>9.7988989999999998E-2</v>
      </c>
      <c r="J758" s="55">
        <v>9.2572500000000002E-2</v>
      </c>
      <c r="K758" s="55">
        <v>-1.803304</v>
      </c>
      <c r="L758" s="55">
        <v>-1.57901</v>
      </c>
      <c r="M758" s="55">
        <v>0.31401410000000002</v>
      </c>
      <c r="N758" s="55">
        <v>0.2575499</v>
      </c>
    </row>
    <row r="759" spans="1:14" hidden="1" x14ac:dyDescent="0.35">
      <c r="A759" s="52" t="s">
        <v>579</v>
      </c>
      <c r="B759" s="52" t="s">
        <v>37</v>
      </c>
      <c r="C759" s="52" t="s">
        <v>35</v>
      </c>
      <c r="D759" s="52" t="s">
        <v>189</v>
      </c>
      <c r="E759" s="52" t="s">
        <v>586</v>
      </c>
      <c r="F759" s="52" t="s">
        <v>581</v>
      </c>
      <c r="G759" s="55" t="s">
        <v>276</v>
      </c>
      <c r="H759" s="55">
        <v>0.105307</v>
      </c>
      <c r="I759" s="55">
        <v>2.6047600000000001E-2</v>
      </c>
      <c r="J759" s="55">
        <v>2.4608600000000001E-2</v>
      </c>
      <c r="K759" s="55">
        <v>-4.2863699999999998E-2</v>
      </c>
      <c r="L759" s="55">
        <v>-7.8673999999999994E-2</v>
      </c>
      <c r="M759" s="55">
        <v>-7.2039699999999998E-2</v>
      </c>
      <c r="N759" s="55">
        <v>-5.5946900000000001E-2</v>
      </c>
    </row>
    <row r="760" spans="1:14" hidden="1" x14ac:dyDescent="0.35">
      <c r="A760" s="52" t="s">
        <v>579</v>
      </c>
      <c r="B760" s="52" t="s">
        <v>37</v>
      </c>
      <c r="C760" s="52" t="s">
        <v>35</v>
      </c>
      <c r="D760" s="52" t="s">
        <v>189</v>
      </c>
      <c r="E760" s="52" t="s">
        <v>586</v>
      </c>
      <c r="F760" s="52" t="s">
        <v>581</v>
      </c>
      <c r="G760" s="55" t="s">
        <v>277</v>
      </c>
      <c r="H760" s="55"/>
      <c r="I760" s="55"/>
      <c r="J760" s="55">
        <v>0</v>
      </c>
      <c r="K760" s="55">
        <v>1.6498139999999999</v>
      </c>
      <c r="L760" s="55">
        <v>1.897983</v>
      </c>
      <c r="M760" s="55">
        <v>0</v>
      </c>
      <c r="N760" s="55">
        <v>0</v>
      </c>
    </row>
    <row r="761" spans="1:14" hidden="1" x14ac:dyDescent="0.35">
      <c r="A761" s="52" t="s">
        <v>579</v>
      </c>
      <c r="B761" s="52" t="s">
        <v>37</v>
      </c>
      <c r="C761" s="52" t="s">
        <v>35</v>
      </c>
      <c r="D761" s="52" t="s">
        <v>189</v>
      </c>
      <c r="E761" s="52" t="s">
        <v>586</v>
      </c>
      <c r="F761" s="52" t="s">
        <v>581</v>
      </c>
      <c r="G761" s="55" t="s">
        <v>278</v>
      </c>
      <c r="H761" s="55"/>
      <c r="I761" s="55"/>
      <c r="J761" s="55">
        <v>0</v>
      </c>
      <c r="K761" s="55">
        <v>0.402754</v>
      </c>
      <c r="L761" s="55">
        <v>0.1163337</v>
      </c>
      <c r="M761" s="55">
        <v>0</v>
      </c>
      <c r="N761" s="55"/>
    </row>
    <row r="762" spans="1:14" hidden="1" x14ac:dyDescent="0.35">
      <c r="A762" s="52" t="s">
        <v>579</v>
      </c>
      <c r="B762" s="52" t="s">
        <v>37</v>
      </c>
      <c r="C762" s="52" t="s">
        <v>35</v>
      </c>
      <c r="D762" s="52" t="s">
        <v>189</v>
      </c>
      <c r="E762" s="52" t="s">
        <v>586</v>
      </c>
      <c r="F762" s="52" t="s">
        <v>581</v>
      </c>
      <c r="G762" s="55" t="s">
        <v>279</v>
      </c>
      <c r="H762" s="55">
        <v>0.28228599999999998</v>
      </c>
      <c r="I762" s="55">
        <v>0.2000217</v>
      </c>
      <c r="J762" s="55">
        <v>0.17247580000000001</v>
      </c>
      <c r="K762" s="55">
        <v>0.37052610000000002</v>
      </c>
      <c r="L762" s="55">
        <v>0.48144209999999998</v>
      </c>
      <c r="M762" s="55">
        <v>0.39174439999999999</v>
      </c>
      <c r="N762" s="55">
        <v>0.2919582</v>
      </c>
    </row>
    <row r="763" spans="1:14" hidden="1" x14ac:dyDescent="0.35">
      <c r="A763" s="52" t="s">
        <v>579</v>
      </c>
      <c r="B763" s="52" t="s">
        <v>37</v>
      </c>
      <c r="C763" s="52" t="s">
        <v>35</v>
      </c>
      <c r="D763" s="52" t="s">
        <v>189</v>
      </c>
      <c r="E763" s="52" t="s">
        <v>586</v>
      </c>
      <c r="F763" s="52" t="s">
        <v>26</v>
      </c>
      <c r="G763" s="55" t="s">
        <v>275</v>
      </c>
      <c r="H763" s="55">
        <v>-2.3949000000000002E-2</v>
      </c>
      <c r="I763" s="55">
        <v>-2.2061600000000001E-2</v>
      </c>
      <c r="J763" s="55">
        <v>-1.67881E-2</v>
      </c>
      <c r="K763" s="55">
        <v>-5.8632700000000003E-2</v>
      </c>
      <c r="L763" s="55">
        <v>-6.4002100000000006E-2</v>
      </c>
      <c r="M763" s="55">
        <v>-3.7076400000000002E-2</v>
      </c>
      <c r="N763" s="55">
        <v>-1.96946E-2</v>
      </c>
    </row>
    <row r="764" spans="1:14" hidden="1" x14ac:dyDescent="0.35">
      <c r="A764" s="52" t="s">
        <v>579</v>
      </c>
      <c r="B764" s="52" t="s">
        <v>37</v>
      </c>
      <c r="C764" s="52" t="s">
        <v>35</v>
      </c>
      <c r="D764" s="52" t="s">
        <v>189</v>
      </c>
      <c r="E764" s="52" t="s">
        <v>586</v>
      </c>
      <c r="F764" s="52" t="s">
        <v>26</v>
      </c>
      <c r="G764" s="55" t="s">
        <v>276</v>
      </c>
      <c r="H764" s="55">
        <v>-6.3660009999999996E-3</v>
      </c>
      <c r="I764" s="55">
        <v>-5.8642E-3</v>
      </c>
      <c r="J764" s="55">
        <v>-4.4628999999999997E-3</v>
      </c>
      <c r="K764" s="55">
        <v>-1.5586600000000001E-2</v>
      </c>
      <c r="L764" s="55">
        <v>-1.7013400000000001E-2</v>
      </c>
      <c r="M764" s="55">
        <v>-9.8557990000000002E-3</v>
      </c>
      <c r="N764" s="55">
        <v>-5.2351999999999997E-3</v>
      </c>
    </row>
    <row r="765" spans="1:14" hidden="1" x14ac:dyDescent="0.35">
      <c r="A765" s="52" t="s">
        <v>579</v>
      </c>
      <c r="B765" s="52" t="s">
        <v>37</v>
      </c>
      <c r="C765" s="52" t="s">
        <v>35</v>
      </c>
      <c r="D765" s="52" t="s">
        <v>189</v>
      </c>
      <c r="E765" s="52" t="s">
        <v>586</v>
      </c>
      <c r="F765" s="52" t="s">
        <v>26</v>
      </c>
      <c r="G765" s="55" t="s">
        <v>279</v>
      </c>
      <c r="H765" s="55">
        <v>8.9415999999999995E-2</v>
      </c>
      <c r="I765" s="55">
        <v>7.2518799999999994E-2</v>
      </c>
      <c r="J765" s="55">
        <v>6.30579E-2</v>
      </c>
      <c r="K765" s="55">
        <v>0.15540039999999999</v>
      </c>
      <c r="L765" s="55">
        <v>0.19830390000000001</v>
      </c>
      <c r="M765" s="55">
        <v>0.13598060000000001</v>
      </c>
      <c r="N765" s="55">
        <v>9.3916799999999995E-2</v>
      </c>
    </row>
    <row r="766" spans="1:14" hidden="1" x14ac:dyDescent="0.35">
      <c r="A766" s="52" t="s">
        <v>579</v>
      </c>
      <c r="B766" s="52" t="s">
        <v>37</v>
      </c>
      <c r="C766" s="52" t="s">
        <v>35</v>
      </c>
      <c r="D766" s="52" t="s">
        <v>207</v>
      </c>
      <c r="E766" s="52" t="s">
        <v>591</v>
      </c>
      <c r="F766" s="52" t="s">
        <v>581</v>
      </c>
      <c r="G766" s="55" t="s">
        <v>275</v>
      </c>
      <c r="H766" s="55">
        <v>-10.14852</v>
      </c>
      <c r="I766" s="55">
        <v>8.3138769999999997</v>
      </c>
      <c r="J766" s="55">
        <v>7.0320390000000002</v>
      </c>
      <c r="K766" s="55">
        <v>5.8466500000000003</v>
      </c>
      <c r="L766" s="55">
        <v>9.5632249999999992</v>
      </c>
      <c r="M766" s="55">
        <v>5.8426689999999999</v>
      </c>
      <c r="N766" s="55">
        <v>5.1860350000000004</v>
      </c>
    </row>
    <row r="767" spans="1:14" hidden="1" x14ac:dyDescent="0.35">
      <c r="A767" s="52" t="s">
        <v>579</v>
      </c>
      <c r="B767" s="52" t="s">
        <v>37</v>
      </c>
      <c r="C767" s="52" t="s">
        <v>35</v>
      </c>
      <c r="D767" s="52" t="s">
        <v>207</v>
      </c>
      <c r="E767" s="52" t="s">
        <v>591</v>
      </c>
      <c r="F767" s="52" t="s">
        <v>581</v>
      </c>
      <c r="G767" s="55" t="s">
        <v>276</v>
      </c>
      <c r="H767" s="55">
        <v>0.65613010000000005</v>
      </c>
      <c r="I767" s="55">
        <v>-2.922158</v>
      </c>
      <c r="J767" s="55">
        <v>-3.322454</v>
      </c>
      <c r="K767" s="55">
        <v>-3.2247119999999998</v>
      </c>
      <c r="L767" s="55">
        <v>-2.1701800000000002</v>
      </c>
      <c r="M767" s="55">
        <v>0.63661040000000002</v>
      </c>
      <c r="N767" s="55">
        <v>0.49415680000000001</v>
      </c>
    </row>
    <row r="768" spans="1:14" hidden="1" x14ac:dyDescent="0.35">
      <c r="A768" s="52" t="s">
        <v>579</v>
      </c>
      <c r="B768" s="52" t="s">
        <v>37</v>
      </c>
      <c r="C768" s="52" t="s">
        <v>35</v>
      </c>
      <c r="D768" s="52" t="s">
        <v>207</v>
      </c>
      <c r="E768" s="52" t="s">
        <v>591</v>
      </c>
      <c r="F768" s="52" t="s">
        <v>581</v>
      </c>
      <c r="G768" s="55" t="s">
        <v>277</v>
      </c>
      <c r="H768" s="55">
        <v>40.64282</v>
      </c>
      <c r="I768" s="55">
        <v>4.2206729999999997</v>
      </c>
      <c r="J768" s="55">
        <v>5.9565919999999997</v>
      </c>
      <c r="K768" s="55">
        <v>6.7882379999999998</v>
      </c>
      <c r="L768" s="55">
        <v>1.5010220000000001</v>
      </c>
      <c r="M768" s="55">
        <v>0</v>
      </c>
      <c r="N768" s="55">
        <v>0</v>
      </c>
    </row>
    <row r="769" spans="1:14" hidden="1" x14ac:dyDescent="0.35">
      <c r="A769" s="52" t="s">
        <v>579</v>
      </c>
      <c r="B769" s="52" t="s">
        <v>37</v>
      </c>
      <c r="C769" s="52" t="s">
        <v>35</v>
      </c>
      <c r="D769" s="52" t="s">
        <v>207</v>
      </c>
      <c r="E769" s="52" t="s">
        <v>591</v>
      </c>
      <c r="F769" s="52" t="s">
        <v>581</v>
      </c>
      <c r="G769" s="55" t="s">
        <v>279</v>
      </c>
      <c r="H769" s="55">
        <v>14.53425</v>
      </c>
      <c r="I769" s="55">
        <v>11.2455</v>
      </c>
      <c r="J769" s="55">
        <v>10.37541</v>
      </c>
      <c r="K769" s="55">
        <v>10.63334</v>
      </c>
      <c r="L769" s="55">
        <v>9.2046390000000002</v>
      </c>
      <c r="M769" s="55">
        <v>8.8321050000000003</v>
      </c>
      <c r="N769" s="55">
        <v>7.7288410000000001</v>
      </c>
    </row>
    <row r="770" spans="1:14" hidden="1" x14ac:dyDescent="0.35">
      <c r="A770" s="52" t="s">
        <v>579</v>
      </c>
      <c r="B770" s="52" t="s">
        <v>37</v>
      </c>
      <c r="C770" s="52" t="s">
        <v>35</v>
      </c>
      <c r="D770" s="52" t="s">
        <v>207</v>
      </c>
      <c r="E770" s="52" t="s">
        <v>591</v>
      </c>
      <c r="F770" s="52" t="s">
        <v>26</v>
      </c>
      <c r="G770" s="55" t="s">
        <v>275</v>
      </c>
      <c r="H770" s="55">
        <v>3.9546999999999999E-2</v>
      </c>
      <c r="I770" s="55">
        <v>-7.2407390000000002E-2</v>
      </c>
      <c r="J770" s="55">
        <v>0.12444470000000001</v>
      </c>
      <c r="K770" s="55">
        <v>2.9000999999999999E-2</v>
      </c>
      <c r="L770" s="55">
        <v>6.9089789999999998E-2</v>
      </c>
      <c r="M770" s="55">
        <v>-0.15781510000000001</v>
      </c>
      <c r="N770" s="55">
        <v>-0.14562459999999999</v>
      </c>
    </row>
    <row r="771" spans="1:14" hidden="1" x14ac:dyDescent="0.35">
      <c r="A771" s="52" t="s">
        <v>579</v>
      </c>
      <c r="B771" s="52" t="s">
        <v>37</v>
      </c>
      <c r="C771" s="52" t="s">
        <v>35</v>
      </c>
      <c r="D771" s="52" t="s">
        <v>207</v>
      </c>
      <c r="E771" s="52" t="s">
        <v>591</v>
      </c>
      <c r="F771" s="52" t="s">
        <v>26</v>
      </c>
      <c r="G771" s="55" t="s">
        <v>276</v>
      </c>
      <c r="H771" s="55">
        <v>1.0513E-2</v>
      </c>
      <c r="I771" s="55">
        <v>-1.9247400000000001E-2</v>
      </c>
      <c r="J771" s="55">
        <v>3.3078999999999997E-2</v>
      </c>
      <c r="K771" s="55">
        <v>7.7094010000000003E-3</v>
      </c>
      <c r="L771" s="55">
        <v>1.83649E-2</v>
      </c>
      <c r="M771" s="55">
        <v>-4.1950500000000002E-2</v>
      </c>
      <c r="N771" s="55">
        <v>-3.8710500000000002E-2</v>
      </c>
    </row>
    <row r="772" spans="1:14" hidden="1" x14ac:dyDescent="0.35">
      <c r="A772" s="52" t="s">
        <v>579</v>
      </c>
      <c r="B772" s="52" t="s">
        <v>37</v>
      </c>
      <c r="C772" s="52" t="s">
        <v>35</v>
      </c>
      <c r="D772" s="52" t="s">
        <v>207</v>
      </c>
      <c r="E772" s="52" t="s">
        <v>591</v>
      </c>
      <c r="F772" s="52" t="s">
        <v>26</v>
      </c>
      <c r="G772" s="55" t="s">
        <v>279</v>
      </c>
      <c r="H772" s="55">
        <v>3.6677629999999999</v>
      </c>
      <c r="I772" s="55">
        <v>3.186623</v>
      </c>
      <c r="J772" s="55">
        <v>2.9604949999999999</v>
      </c>
      <c r="K772" s="55">
        <v>3.0655399999999999</v>
      </c>
      <c r="L772" s="55">
        <v>2.7024430000000002</v>
      </c>
      <c r="M772" s="55">
        <v>2.5488559999999998</v>
      </c>
      <c r="N772" s="55">
        <v>2.2323149999999998</v>
      </c>
    </row>
    <row r="773" spans="1:14" hidden="1" x14ac:dyDescent="0.35">
      <c r="A773" s="52" t="s">
        <v>579</v>
      </c>
      <c r="B773" s="52" t="s">
        <v>37</v>
      </c>
      <c r="C773" s="52" t="s">
        <v>35</v>
      </c>
      <c r="D773" s="52" t="s">
        <v>207</v>
      </c>
      <c r="E773" s="52" t="s">
        <v>592</v>
      </c>
      <c r="F773" s="52" t="s">
        <v>581</v>
      </c>
      <c r="G773" s="55" t="s">
        <v>275</v>
      </c>
      <c r="H773" s="55">
        <v>2.4441999999999999</v>
      </c>
      <c r="I773" s="55">
        <v>0.32977190000000001</v>
      </c>
      <c r="J773" s="55">
        <v>0.305427</v>
      </c>
      <c r="K773" s="55">
        <v>0.2686521</v>
      </c>
      <c r="L773" s="55">
        <v>-2.3371729999999999</v>
      </c>
      <c r="M773" s="55">
        <v>0.44892979999999999</v>
      </c>
      <c r="N773" s="55">
        <v>0.36567230000000001</v>
      </c>
    </row>
    <row r="774" spans="1:14" hidden="1" x14ac:dyDescent="0.35">
      <c r="A774" s="52" t="s">
        <v>579</v>
      </c>
      <c r="B774" s="52" t="s">
        <v>37</v>
      </c>
      <c r="C774" s="52" t="s">
        <v>35</v>
      </c>
      <c r="D774" s="52" t="s">
        <v>207</v>
      </c>
      <c r="E774" s="52" t="s">
        <v>592</v>
      </c>
      <c r="F774" s="52" t="s">
        <v>581</v>
      </c>
      <c r="G774" s="55" t="s">
        <v>276</v>
      </c>
      <c r="H774" s="55">
        <v>-0.91816390000000003</v>
      </c>
      <c r="I774" s="55">
        <v>8.7660100000000005E-2</v>
      </c>
      <c r="J774" s="55">
        <v>8.1188800000000005E-2</v>
      </c>
      <c r="K774" s="55">
        <v>7.1413309999999994E-2</v>
      </c>
      <c r="L774" s="55">
        <v>-1.0874399999999999E-2</v>
      </c>
      <c r="M774" s="55">
        <v>-2.7452039999999998E-3</v>
      </c>
      <c r="N774" s="55">
        <v>-4.5900120000000002E-4</v>
      </c>
    </row>
    <row r="775" spans="1:14" hidden="1" x14ac:dyDescent="0.35">
      <c r="A775" s="52" t="s">
        <v>579</v>
      </c>
      <c r="B775" s="52" t="s">
        <v>37</v>
      </c>
      <c r="C775" s="52" t="s">
        <v>35</v>
      </c>
      <c r="D775" s="52" t="s">
        <v>207</v>
      </c>
      <c r="E775" s="52" t="s">
        <v>592</v>
      </c>
      <c r="F775" s="52" t="s">
        <v>581</v>
      </c>
      <c r="G775" s="55" t="s">
        <v>277</v>
      </c>
      <c r="H775" s="55"/>
      <c r="I775" s="55"/>
      <c r="J775" s="55"/>
      <c r="K775" s="55">
        <v>0</v>
      </c>
      <c r="L775" s="55">
        <v>2.870336</v>
      </c>
      <c r="M775" s="55">
        <v>0</v>
      </c>
      <c r="N775" s="55">
        <v>0</v>
      </c>
    </row>
    <row r="776" spans="1:14" hidden="1" x14ac:dyDescent="0.35">
      <c r="A776" s="52" t="s">
        <v>579</v>
      </c>
      <c r="B776" s="52" t="s">
        <v>37</v>
      </c>
      <c r="C776" s="52" t="s">
        <v>35</v>
      </c>
      <c r="D776" s="52" t="s">
        <v>207</v>
      </c>
      <c r="E776" s="52" t="s">
        <v>592</v>
      </c>
      <c r="F776" s="52" t="s">
        <v>581</v>
      </c>
      <c r="G776" s="55" t="s">
        <v>279</v>
      </c>
      <c r="H776" s="55">
        <v>0.69949799999999995</v>
      </c>
      <c r="I776" s="55">
        <v>0.48426350000000001</v>
      </c>
      <c r="J776" s="55">
        <v>0.41760510000000001</v>
      </c>
      <c r="K776" s="55">
        <v>0.38883610000000002</v>
      </c>
      <c r="L776" s="55">
        <v>0.54568479999999997</v>
      </c>
      <c r="M776" s="55">
        <v>0.53676089999999999</v>
      </c>
      <c r="N776" s="55">
        <v>0.41715679999999999</v>
      </c>
    </row>
    <row r="777" spans="1:14" hidden="1" x14ac:dyDescent="0.35">
      <c r="A777" s="52" t="s">
        <v>579</v>
      </c>
      <c r="B777" s="52" t="s">
        <v>37</v>
      </c>
      <c r="C777" s="52" t="s">
        <v>35</v>
      </c>
      <c r="D777" s="52" t="s">
        <v>207</v>
      </c>
      <c r="E777" s="52" t="s">
        <v>592</v>
      </c>
      <c r="F777" s="52" t="s">
        <v>26</v>
      </c>
      <c r="G777" s="55" t="s">
        <v>275</v>
      </c>
      <c r="H777" s="55">
        <v>-3.5309E-2</v>
      </c>
      <c r="I777" s="55">
        <v>-3.51121E-2</v>
      </c>
      <c r="J777" s="55">
        <v>-2.4368299999999999E-2</v>
      </c>
      <c r="K777" s="55">
        <v>-2.4279599999999998E-2</v>
      </c>
      <c r="L777" s="55">
        <v>-3.85869E-2</v>
      </c>
      <c r="M777" s="55">
        <v>-2.3060000000000001E-2</v>
      </c>
      <c r="N777" s="55">
        <v>-9.2723000000000007E-3</v>
      </c>
    </row>
    <row r="778" spans="1:14" hidden="1" x14ac:dyDescent="0.35">
      <c r="A778" s="52" t="s">
        <v>579</v>
      </c>
      <c r="B778" s="52" t="s">
        <v>37</v>
      </c>
      <c r="C778" s="52" t="s">
        <v>35</v>
      </c>
      <c r="D778" s="52" t="s">
        <v>207</v>
      </c>
      <c r="E778" s="52" t="s">
        <v>592</v>
      </c>
      <c r="F778" s="52" t="s">
        <v>26</v>
      </c>
      <c r="G778" s="55" t="s">
        <v>276</v>
      </c>
      <c r="H778" s="55">
        <v>-9.3849989999999998E-3</v>
      </c>
      <c r="I778" s="55">
        <v>-9.3335989999999997E-3</v>
      </c>
      <c r="J778" s="55">
        <v>-6.4774990000000003E-3</v>
      </c>
      <c r="K778" s="55">
        <v>-6.4536000000000003E-3</v>
      </c>
      <c r="L778" s="55">
        <v>-1.02571E-2</v>
      </c>
      <c r="M778" s="55">
        <v>-6.1295999999999998E-3</v>
      </c>
      <c r="N778" s="55">
        <v>-2.4646E-3</v>
      </c>
    </row>
    <row r="779" spans="1:14" hidden="1" x14ac:dyDescent="0.35">
      <c r="A779" s="52" t="s">
        <v>579</v>
      </c>
      <c r="B779" s="52" t="s">
        <v>37</v>
      </c>
      <c r="C779" s="52" t="s">
        <v>35</v>
      </c>
      <c r="D779" s="52" t="s">
        <v>207</v>
      </c>
      <c r="E779" s="52" t="s">
        <v>592</v>
      </c>
      <c r="F779" s="52" t="s">
        <v>26</v>
      </c>
      <c r="G779" s="55" t="s">
        <v>279</v>
      </c>
      <c r="H779" s="55">
        <v>0.19777700000000001</v>
      </c>
      <c r="I779" s="55">
        <v>0.15775980000000001</v>
      </c>
      <c r="J779" s="55">
        <v>0.13681219999999999</v>
      </c>
      <c r="K779" s="55">
        <v>0.12632669999999999</v>
      </c>
      <c r="L779" s="55">
        <v>0.1872231</v>
      </c>
      <c r="M779" s="55">
        <v>0.15597800000000001</v>
      </c>
      <c r="N779" s="55">
        <v>0.1123485</v>
      </c>
    </row>
    <row r="780" spans="1:14" hidden="1" x14ac:dyDescent="0.35">
      <c r="A780" s="52" t="s">
        <v>579</v>
      </c>
      <c r="B780" s="52" t="s">
        <v>37</v>
      </c>
      <c r="C780" s="52" t="s">
        <v>35</v>
      </c>
      <c r="D780" s="52" t="s">
        <v>207</v>
      </c>
      <c r="E780" s="52" t="s">
        <v>586</v>
      </c>
      <c r="F780" s="52" t="s">
        <v>581</v>
      </c>
      <c r="G780" s="55" t="s">
        <v>275</v>
      </c>
      <c r="H780" s="55"/>
      <c r="I780" s="55"/>
      <c r="J780" s="55"/>
      <c r="K780" s="55"/>
      <c r="L780" s="55"/>
      <c r="M780" s="55">
        <v>0</v>
      </c>
      <c r="N780" s="55">
        <v>0</v>
      </c>
    </row>
    <row r="781" spans="1:14" hidden="1" x14ac:dyDescent="0.35">
      <c r="A781" s="52" t="s">
        <v>579</v>
      </c>
      <c r="B781" s="52" t="s">
        <v>37</v>
      </c>
      <c r="C781" s="52" t="s">
        <v>35</v>
      </c>
      <c r="D781" s="52" t="s">
        <v>207</v>
      </c>
      <c r="E781" s="52" t="s">
        <v>586</v>
      </c>
      <c r="F781" s="52" t="s">
        <v>581</v>
      </c>
      <c r="G781" s="55" t="s">
        <v>276</v>
      </c>
      <c r="H781" s="55"/>
      <c r="I781" s="55"/>
      <c r="J781" s="55"/>
      <c r="K781" s="55"/>
      <c r="L781" s="55"/>
      <c r="M781" s="55">
        <v>0</v>
      </c>
      <c r="N781" s="55">
        <v>0</v>
      </c>
    </row>
    <row r="782" spans="1:14" hidden="1" x14ac:dyDescent="0.35">
      <c r="A782" s="52" t="s">
        <v>579</v>
      </c>
      <c r="B782" s="52" t="s">
        <v>37</v>
      </c>
      <c r="C782" s="52" t="s">
        <v>35</v>
      </c>
      <c r="D782" s="52" t="s">
        <v>207</v>
      </c>
      <c r="E782" s="52" t="s">
        <v>586</v>
      </c>
      <c r="F782" s="52" t="s">
        <v>581</v>
      </c>
      <c r="G782" s="55" t="s">
        <v>279</v>
      </c>
      <c r="H782" s="55"/>
      <c r="I782" s="55"/>
      <c r="J782" s="55"/>
      <c r="K782" s="55"/>
      <c r="L782" s="55"/>
      <c r="M782" s="55">
        <v>0</v>
      </c>
      <c r="N782" s="55">
        <v>0</v>
      </c>
    </row>
    <row r="783" spans="1:14" hidden="1" x14ac:dyDescent="0.35">
      <c r="A783" s="52" t="s">
        <v>579</v>
      </c>
      <c r="B783" s="52" t="s">
        <v>37</v>
      </c>
      <c r="C783" s="52" t="s">
        <v>35</v>
      </c>
      <c r="D783" s="52" t="s">
        <v>207</v>
      </c>
      <c r="E783" s="52" t="s">
        <v>586</v>
      </c>
      <c r="F783" s="52" t="s">
        <v>26</v>
      </c>
      <c r="G783" s="55" t="s">
        <v>275</v>
      </c>
      <c r="H783" s="55"/>
      <c r="I783" s="55"/>
      <c r="J783" s="55"/>
      <c r="K783" s="55"/>
      <c r="L783" s="55"/>
      <c r="M783" s="55">
        <v>0</v>
      </c>
      <c r="N783" s="55">
        <v>0</v>
      </c>
    </row>
    <row r="784" spans="1:14" hidden="1" x14ac:dyDescent="0.35">
      <c r="A784" s="52" t="s">
        <v>579</v>
      </c>
      <c r="B784" s="52" t="s">
        <v>37</v>
      </c>
      <c r="C784" s="52" t="s">
        <v>35</v>
      </c>
      <c r="D784" s="52" t="s">
        <v>207</v>
      </c>
      <c r="E784" s="52" t="s">
        <v>586</v>
      </c>
      <c r="F784" s="52" t="s">
        <v>26</v>
      </c>
      <c r="G784" s="55" t="s">
        <v>276</v>
      </c>
      <c r="H784" s="55"/>
      <c r="I784" s="55"/>
      <c r="J784" s="55"/>
      <c r="K784" s="55"/>
      <c r="L784" s="55"/>
      <c r="M784" s="55">
        <v>0</v>
      </c>
      <c r="N784" s="55">
        <v>0</v>
      </c>
    </row>
    <row r="785" spans="1:14" hidden="1" x14ac:dyDescent="0.35">
      <c r="A785" s="52" t="s">
        <v>579</v>
      </c>
      <c r="B785" s="52" t="s">
        <v>37</v>
      </c>
      <c r="C785" s="52" t="s">
        <v>35</v>
      </c>
      <c r="D785" s="52" t="s">
        <v>207</v>
      </c>
      <c r="E785" s="52" t="s">
        <v>586</v>
      </c>
      <c r="F785" s="52" t="s">
        <v>26</v>
      </c>
      <c r="G785" s="55" t="s">
        <v>277</v>
      </c>
      <c r="H785" s="55"/>
      <c r="I785" s="55"/>
      <c r="J785" s="55"/>
      <c r="K785" s="55"/>
      <c r="L785" s="55"/>
      <c r="M785" s="55">
        <v>0</v>
      </c>
      <c r="N785" s="55">
        <v>0</v>
      </c>
    </row>
    <row r="786" spans="1:14" hidden="1" x14ac:dyDescent="0.35">
      <c r="A786" s="52" t="s">
        <v>579</v>
      </c>
      <c r="B786" s="52" t="s">
        <v>37</v>
      </c>
      <c r="C786" s="52" t="s">
        <v>35</v>
      </c>
      <c r="D786" s="52" t="s">
        <v>207</v>
      </c>
      <c r="E786" s="52" t="s">
        <v>586</v>
      </c>
      <c r="F786" s="52" t="s">
        <v>26</v>
      </c>
      <c r="G786" s="55" t="s">
        <v>279</v>
      </c>
      <c r="H786" s="55"/>
      <c r="I786" s="55"/>
      <c r="J786" s="55"/>
      <c r="K786" s="55"/>
      <c r="L786" s="55"/>
      <c r="M786" s="55">
        <v>0</v>
      </c>
      <c r="N786" s="55">
        <v>0</v>
      </c>
    </row>
    <row r="787" spans="1:14" hidden="1" x14ac:dyDescent="0.35">
      <c r="A787" s="52" t="s">
        <v>579</v>
      </c>
      <c r="B787" s="52" t="s">
        <v>37</v>
      </c>
      <c r="C787" s="52" t="s">
        <v>35</v>
      </c>
      <c r="D787" s="52" t="s">
        <v>233</v>
      </c>
      <c r="E787" s="52" t="s">
        <v>588</v>
      </c>
      <c r="F787" s="52" t="s">
        <v>581</v>
      </c>
      <c r="G787" s="55" t="s">
        <v>275</v>
      </c>
      <c r="H787" s="55">
        <v>0</v>
      </c>
      <c r="I787" s="55">
        <v>-13.124499999999999</v>
      </c>
      <c r="J787" s="55">
        <v>-8.1227239999999998</v>
      </c>
      <c r="K787" s="55">
        <v>-13.13176</v>
      </c>
      <c r="L787" s="55">
        <v>-11.159000000000001</v>
      </c>
      <c r="M787" s="55">
        <v>-5.7776680000000002</v>
      </c>
      <c r="N787" s="55">
        <v>-7.0856440000000003</v>
      </c>
    </row>
    <row r="788" spans="1:14" hidden="1" x14ac:dyDescent="0.35">
      <c r="A788" s="52" t="s">
        <v>579</v>
      </c>
      <c r="B788" s="52" t="s">
        <v>37</v>
      </c>
      <c r="C788" s="52" t="s">
        <v>35</v>
      </c>
      <c r="D788" s="52" t="s">
        <v>233</v>
      </c>
      <c r="E788" s="52" t="s">
        <v>588</v>
      </c>
      <c r="F788" s="52" t="s">
        <v>581</v>
      </c>
      <c r="G788" s="55" t="s">
        <v>276</v>
      </c>
      <c r="H788" s="55">
        <v>0</v>
      </c>
      <c r="I788" s="55">
        <v>-0.91814180000000001</v>
      </c>
      <c r="J788" s="55">
        <v>-0.3798588</v>
      </c>
      <c r="K788" s="55">
        <v>-0.50345189999999995</v>
      </c>
      <c r="L788" s="55">
        <v>0.2916995</v>
      </c>
      <c r="M788" s="55">
        <v>-0.32860519999999999</v>
      </c>
      <c r="N788" s="55">
        <v>0.28604940000000001</v>
      </c>
    </row>
    <row r="789" spans="1:14" hidden="1" x14ac:dyDescent="0.35">
      <c r="A789" s="52" t="s">
        <v>579</v>
      </c>
      <c r="B789" s="52" t="s">
        <v>37</v>
      </c>
      <c r="C789" s="52" t="s">
        <v>35</v>
      </c>
      <c r="D789" s="52" t="s">
        <v>233</v>
      </c>
      <c r="E789" s="52" t="s">
        <v>588</v>
      </c>
      <c r="F789" s="52" t="s">
        <v>581</v>
      </c>
      <c r="G789" s="55" t="s">
        <v>277</v>
      </c>
      <c r="H789" s="55">
        <v>0</v>
      </c>
      <c r="I789" s="55">
        <v>2.747484</v>
      </c>
      <c r="J789" s="55">
        <v>2.8068900000000001</v>
      </c>
      <c r="K789" s="55">
        <v>3.3875470000000001</v>
      </c>
      <c r="L789" s="55">
        <v>3.9413999999999998</v>
      </c>
      <c r="M789" s="55">
        <v>6.1544999999999996</v>
      </c>
      <c r="N789" s="55">
        <v>11.042</v>
      </c>
    </row>
    <row r="790" spans="1:14" hidden="1" x14ac:dyDescent="0.35">
      <c r="A790" s="52" t="s">
        <v>579</v>
      </c>
      <c r="B790" s="52" t="s">
        <v>37</v>
      </c>
      <c r="C790" s="52" t="s">
        <v>35</v>
      </c>
      <c r="D790" s="52" t="s">
        <v>233</v>
      </c>
      <c r="E790" s="52" t="s">
        <v>588</v>
      </c>
      <c r="F790" s="52" t="s">
        <v>581</v>
      </c>
      <c r="G790" s="55" t="s">
        <v>278</v>
      </c>
      <c r="H790" s="55">
        <v>0</v>
      </c>
      <c r="I790" s="55">
        <v>9.3406839999999995</v>
      </c>
      <c r="J790" s="55">
        <v>7.9779039999999997</v>
      </c>
      <c r="K790" s="55">
        <v>14.75079</v>
      </c>
      <c r="L790" s="55">
        <v>18.279540000000001</v>
      </c>
      <c r="M790" s="55">
        <v>14.438269999999999</v>
      </c>
      <c r="N790" s="55">
        <v>14.67759</v>
      </c>
    </row>
    <row r="791" spans="1:14" hidden="1" x14ac:dyDescent="0.35">
      <c r="A791" s="52" t="s">
        <v>579</v>
      </c>
      <c r="B791" s="52" t="s">
        <v>37</v>
      </c>
      <c r="C791" s="52" t="s">
        <v>35</v>
      </c>
      <c r="D791" s="52" t="s">
        <v>233</v>
      </c>
      <c r="E791" s="52" t="s">
        <v>588</v>
      </c>
      <c r="F791" s="52" t="s">
        <v>581</v>
      </c>
      <c r="G791" s="55" t="s">
        <v>279</v>
      </c>
      <c r="H791" s="55">
        <v>0</v>
      </c>
      <c r="I791" s="55">
        <v>4.2043629999999999</v>
      </c>
      <c r="J791" s="55">
        <v>6.4867379999999999</v>
      </c>
      <c r="K791" s="55">
        <v>7.8655790000000003</v>
      </c>
      <c r="L791" s="55">
        <v>10.24751</v>
      </c>
      <c r="M791" s="55">
        <v>11.53457</v>
      </c>
      <c r="N791" s="55">
        <v>12.392569999999999</v>
      </c>
    </row>
    <row r="792" spans="1:14" hidden="1" x14ac:dyDescent="0.35">
      <c r="A792" s="52" t="s">
        <v>579</v>
      </c>
      <c r="B792" s="52" t="s">
        <v>37</v>
      </c>
      <c r="C792" s="52" t="s">
        <v>35</v>
      </c>
      <c r="D792" s="52" t="s">
        <v>233</v>
      </c>
      <c r="E792" s="52" t="s">
        <v>588</v>
      </c>
      <c r="F792" s="52" t="s">
        <v>26</v>
      </c>
      <c r="G792" s="55" t="s">
        <v>275</v>
      </c>
      <c r="H792" s="55">
        <v>0</v>
      </c>
      <c r="I792" s="55">
        <v>-0.23277100000000001</v>
      </c>
      <c r="J792" s="55">
        <v>-0.16149450000000001</v>
      </c>
      <c r="K792" s="55">
        <v>-0.14625830000000001</v>
      </c>
      <c r="L792" s="55">
        <v>-6.0468989999999997E-3</v>
      </c>
      <c r="M792" s="55">
        <v>1.787301E-3</v>
      </c>
      <c r="N792" s="55">
        <v>8.5699899999999996E-2</v>
      </c>
    </row>
    <row r="793" spans="1:14" hidden="1" x14ac:dyDescent="0.35">
      <c r="A793" s="52" t="s">
        <v>579</v>
      </c>
      <c r="B793" s="52" t="s">
        <v>37</v>
      </c>
      <c r="C793" s="52" t="s">
        <v>35</v>
      </c>
      <c r="D793" s="52" t="s">
        <v>233</v>
      </c>
      <c r="E793" s="52" t="s">
        <v>588</v>
      </c>
      <c r="F793" s="52" t="s">
        <v>26</v>
      </c>
      <c r="G793" s="55" t="s">
        <v>276</v>
      </c>
      <c r="H793" s="55">
        <v>0</v>
      </c>
      <c r="I793" s="55">
        <v>-6.1876100000000003E-2</v>
      </c>
      <c r="J793" s="55">
        <v>-4.29294E-2</v>
      </c>
      <c r="K793" s="55">
        <v>-3.88791E-2</v>
      </c>
      <c r="L793" s="55">
        <v>-1.6076969999999999E-3</v>
      </c>
      <c r="M793" s="55">
        <v>4.7580060000000001E-4</v>
      </c>
      <c r="N793" s="55">
        <v>2.2780600000000002E-2</v>
      </c>
    </row>
    <row r="794" spans="1:14" hidden="1" x14ac:dyDescent="0.35">
      <c r="A794" s="52" t="s">
        <v>579</v>
      </c>
      <c r="B794" s="52" t="s">
        <v>37</v>
      </c>
      <c r="C794" s="52" t="s">
        <v>35</v>
      </c>
      <c r="D794" s="52" t="s">
        <v>233</v>
      </c>
      <c r="E794" s="52" t="s">
        <v>588</v>
      </c>
      <c r="F794" s="52" t="s">
        <v>26</v>
      </c>
      <c r="G794" s="55" t="s">
        <v>279</v>
      </c>
      <c r="H794" s="55">
        <v>0</v>
      </c>
      <c r="I794" s="55">
        <v>0.4241104</v>
      </c>
      <c r="J794" s="55">
        <v>0.72389650000000005</v>
      </c>
      <c r="K794" s="55">
        <v>0.91104649999999998</v>
      </c>
      <c r="L794" s="55">
        <v>1.2631939999999999</v>
      </c>
      <c r="M794" s="55">
        <v>1.4346509999999999</v>
      </c>
      <c r="N794" s="55">
        <v>1.566368</v>
      </c>
    </row>
    <row r="795" spans="1:14" hidden="1" x14ac:dyDescent="0.35">
      <c r="A795" s="52" t="s">
        <v>579</v>
      </c>
      <c r="B795" s="52" t="s">
        <v>37</v>
      </c>
      <c r="C795" s="52" t="s">
        <v>218</v>
      </c>
      <c r="D795" s="52" t="s">
        <v>218</v>
      </c>
      <c r="E795" s="52" t="s">
        <v>593</v>
      </c>
      <c r="F795" s="52" t="s">
        <v>581</v>
      </c>
      <c r="G795" s="55" t="s">
        <v>275</v>
      </c>
      <c r="H795" s="55">
        <v>631.74739999999997</v>
      </c>
      <c r="I795" s="55">
        <v>629.13689999999997</v>
      </c>
      <c r="J795" s="55">
        <v>612.43889999999999</v>
      </c>
      <c r="K795" s="55">
        <v>688.78819999999996</v>
      </c>
      <c r="L795" s="55">
        <v>585.04510000000005</v>
      </c>
      <c r="M795" s="55">
        <v>378.46089999999998</v>
      </c>
      <c r="N795" s="55">
        <v>263.70269999999999</v>
      </c>
    </row>
    <row r="796" spans="1:14" hidden="1" x14ac:dyDescent="0.35">
      <c r="A796" s="52" t="s">
        <v>579</v>
      </c>
      <c r="B796" s="52" t="s">
        <v>37</v>
      </c>
      <c r="C796" s="52" t="s">
        <v>218</v>
      </c>
      <c r="D796" s="52" t="s">
        <v>218</v>
      </c>
      <c r="E796" s="52" t="s">
        <v>593</v>
      </c>
      <c r="F796" s="52" t="s">
        <v>581</v>
      </c>
      <c r="G796" s="55" t="s">
        <v>276</v>
      </c>
      <c r="H796" s="55">
        <v>250.92670000000001</v>
      </c>
      <c r="I796" s="55">
        <v>39.50432</v>
      </c>
      <c r="J796" s="55">
        <v>28.016770000000001</v>
      </c>
      <c r="K796" s="55">
        <v>31.828289999999999</v>
      </c>
      <c r="L796" s="55">
        <v>30.47869</v>
      </c>
      <c r="M796" s="55">
        <v>124.9961</v>
      </c>
      <c r="N796" s="55">
        <v>114.9902</v>
      </c>
    </row>
    <row r="797" spans="1:14" hidden="1" x14ac:dyDescent="0.35">
      <c r="A797" s="52" t="s">
        <v>579</v>
      </c>
      <c r="B797" s="52" t="s">
        <v>37</v>
      </c>
      <c r="C797" s="52" t="s">
        <v>218</v>
      </c>
      <c r="D797" s="52" t="s">
        <v>218</v>
      </c>
      <c r="E797" s="52" t="s">
        <v>593</v>
      </c>
      <c r="F797" s="52" t="s">
        <v>581</v>
      </c>
      <c r="G797" s="55" t="s">
        <v>277</v>
      </c>
      <c r="H797" s="55">
        <v>1274.8</v>
      </c>
      <c r="I797" s="55">
        <v>168.31819999999999</v>
      </c>
      <c r="J797" s="55">
        <v>185.2542</v>
      </c>
      <c r="K797" s="55">
        <v>61.806469999999997</v>
      </c>
      <c r="L797" s="55">
        <v>63.534280000000003</v>
      </c>
      <c r="M797" s="55">
        <v>97.740679999999998</v>
      </c>
      <c r="N797" s="55">
        <v>206.8854</v>
      </c>
    </row>
    <row r="798" spans="1:14" hidden="1" x14ac:dyDescent="0.35">
      <c r="A798" s="52" t="s">
        <v>579</v>
      </c>
      <c r="B798" s="52" t="s">
        <v>37</v>
      </c>
      <c r="C798" s="52" t="s">
        <v>218</v>
      </c>
      <c r="D798" s="52" t="s">
        <v>218</v>
      </c>
      <c r="E798" s="52" t="s">
        <v>593</v>
      </c>
      <c r="F798" s="52" t="s">
        <v>581</v>
      </c>
      <c r="G798" s="55" t="s">
        <v>278</v>
      </c>
      <c r="H798" s="55">
        <v>0</v>
      </c>
      <c r="I798" s="55">
        <v>18.240950000000002</v>
      </c>
      <c r="J798" s="55">
        <v>47.959499999999998</v>
      </c>
      <c r="K798" s="55">
        <v>42.329129999999999</v>
      </c>
      <c r="L798" s="55">
        <v>56.273969999999998</v>
      </c>
      <c r="M798" s="55">
        <v>72.528440000000003</v>
      </c>
      <c r="N798" s="55">
        <v>88.584500000000006</v>
      </c>
    </row>
    <row r="799" spans="1:14" hidden="1" x14ac:dyDescent="0.35">
      <c r="A799" s="52" t="s">
        <v>579</v>
      </c>
      <c r="B799" s="52" t="s">
        <v>37</v>
      </c>
      <c r="C799" s="52" t="s">
        <v>218</v>
      </c>
      <c r="D799" s="52" t="s">
        <v>218</v>
      </c>
      <c r="E799" s="52" t="s">
        <v>593</v>
      </c>
      <c r="F799" s="52" t="s">
        <v>581</v>
      </c>
      <c r="G799" s="55" t="s">
        <v>279</v>
      </c>
      <c r="H799" s="55">
        <v>584.05589999999995</v>
      </c>
      <c r="I799" s="55">
        <v>424.3218</v>
      </c>
      <c r="J799" s="55">
        <v>420.54689999999999</v>
      </c>
      <c r="K799" s="55">
        <v>422.87790000000001</v>
      </c>
      <c r="L799" s="55">
        <v>376.38189999999997</v>
      </c>
      <c r="M799" s="55">
        <v>375.8365</v>
      </c>
      <c r="N799" s="55">
        <v>371.64929999999998</v>
      </c>
    </row>
    <row r="800" spans="1:14" hidden="1" x14ac:dyDescent="0.35">
      <c r="A800" s="52" t="s">
        <v>579</v>
      </c>
      <c r="B800" s="52" t="s">
        <v>37</v>
      </c>
      <c r="C800" s="52" t="s">
        <v>218</v>
      </c>
      <c r="D800" s="52" t="s">
        <v>218</v>
      </c>
      <c r="E800" s="52" t="s">
        <v>593</v>
      </c>
      <c r="F800" s="52" t="s">
        <v>26</v>
      </c>
      <c r="G800" s="55" t="s">
        <v>275</v>
      </c>
      <c r="H800" s="55">
        <v>81.698459999999997</v>
      </c>
      <c r="I800" s="55">
        <v>63.78783</v>
      </c>
      <c r="J800" s="55">
        <v>84.661900000000003</v>
      </c>
      <c r="K800" s="55">
        <v>65.255110000000002</v>
      </c>
      <c r="L800" s="55">
        <v>52.481879999999997</v>
      </c>
      <c r="M800" s="55">
        <v>37.824599999999997</v>
      </c>
      <c r="N800" s="55">
        <v>37.54636</v>
      </c>
    </row>
    <row r="801" spans="1:14" hidden="1" x14ac:dyDescent="0.35">
      <c r="A801" s="52" t="s">
        <v>579</v>
      </c>
      <c r="B801" s="52" t="s">
        <v>37</v>
      </c>
      <c r="C801" s="52" t="s">
        <v>218</v>
      </c>
      <c r="D801" s="52" t="s">
        <v>218</v>
      </c>
      <c r="E801" s="52" t="s">
        <v>593</v>
      </c>
      <c r="F801" s="52" t="s">
        <v>26</v>
      </c>
      <c r="G801" s="55" t="s">
        <v>276</v>
      </c>
      <c r="H801" s="55">
        <v>26.741219999999998</v>
      </c>
      <c r="I801" s="55">
        <v>20.878789999999999</v>
      </c>
      <c r="J801" s="55">
        <v>27.71123</v>
      </c>
      <c r="K801" s="55">
        <v>21.35905</v>
      </c>
      <c r="L801" s="55">
        <v>17.178170000000001</v>
      </c>
      <c r="M801" s="55">
        <v>12.38062</v>
      </c>
      <c r="N801" s="55">
        <v>12.28952</v>
      </c>
    </row>
    <row r="802" spans="1:14" hidden="1" x14ac:dyDescent="0.35">
      <c r="A802" s="52" t="s">
        <v>579</v>
      </c>
      <c r="B802" s="52" t="s">
        <v>37</v>
      </c>
      <c r="C802" s="52" t="s">
        <v>218</v>
      </c>
      <c r="D802" s="52" t="s">
        <v>218</v>
      </c>
      <c r="E802" s="52" t="s">
        <v>593</v>
      </c>
      <c r="F802" s="52" t="s">
        <v>26</v>
      </c>
      <c r="G802" s="55" t="s">
        <v>279</v>
      </c>
      <c r="H802" s="55">
        <v>379.65620000000001</v>
      </c>
      <c r="I802" s="55">
        <v>360.77269999999999</v>
      </c>
      <c r="J802" s="55">
        <v>353.3098</v>
      </c>
      <c r="K802" s="55">
        <v>358.32650000000001</v>
      </c>
      <c r="L802" s="55">
        <v>323.80930000000001</v>
      </c>
      <c r="M802" s="55">
        <v>317.8535</v>
      </c>
      <c r="N802" s="55">
        <v>313.68900000000002</v>
      </c>
    </row>
    <row r="803" spans="1:14" hidden="1" x14ac:dyDescent="0.35">
      <c r="A803" s="52" t="s">
        <v>579</v>
      </c>
      <c r="B803" s="52" t="s">
        <v>37</v>
      </c>
      <c r="C803" s="52" t="s">
        <v>218</v>
      </c>
      <c r="D803" s="52" t="s">
        <v>218</v>
      </c>
      <c r="E803" s="52" t="s">
        <v>584</v>
      </c>
      <c r="F803" s="52" t="s">
        <v>581</v>
      </c>
      <c r="G803" s="55" t="s">
        <v>275</v>
      </c>
      <c r="H803" s="55">
        <v>71.948520000000002</v>
      </c>
      <c r="I803" s="55">
        <v>21.57321</v>
      </c>
      <c r="J803" s="55">
        <v>19.657209999999999</v>
      </c>
      <c r="K803" s="55">
        <v>18.785630000000001</v>
      </c>
      <c r="L803" s="55">
        <v>16.236920000000001</v>
      </c>
      <c r="M803" s="55">
        <v>14.52237</v>
      </c>
      <c r="N803" s="55">
        <v>13.44214</v>
      </c>
    </row>
    <row r="804" spans="1:14" hidden="1" x14ac:dyDescent="0.35">
      <c r="A804" s="52" t="s">
        <v>579</v>
      </c>
      <c r="B804" s="52" t="s">
        <v>37</v>
      </c>
      <c r="C804" s="52" t="s">
        <v>218</v>
      </c>
      <c r="D804" s="52" t="s">
        <v>218</v>
      </c>
      <c r="E804" s="52" t="s">
        <v>584</v>
      </c>
      <c r="F804" s="52" t="s">
        <v>581</v>
      </c>
      <c r="G804" s="55" t="s">
        <v>276</v>
      </c>
      <c r="H804" s="55">
        <v>22.71564</v>
      </c>
      <c r="I804" s="55">
        <v>6.5375519999999998</v>
      </c>
      <c r="J804" s="55">
        <v>6.0151570000000003</v>
      </c>
      <c r="K804" s="55">
        <v>4.472982</v>
      </c>
      <c r="L804" s="55">
        <v>5.3146060000000004</v>
      </c>
      <c r="M804" s="55">
        <v>4.7534090000000004</v>
      </c>
      <c r="N804" s="55">
        <v>4.3998290000000004</v>
      </c>
    </row>
    <row r="805" spans="1:14" hidden="1" x14ac:dyDescent="0.35">
      <c r="A805" s="52" t="s">
        <v>579</v>
      </c>
      <c r="B805" s="52" t="s">
        <v>37</v>
      </c>
      <c r="C805" s="52" t="s">
        <v>218</v>
      </c>
      <c r="D805" s="52" t="s">
        <v>218</v>
      </c>
      <c r="E805" s="52" t="s">
        <v>584</v>
      </c>
      <c r="F805" s="52" t="s">
        <v>581</v>
      </c>
      <c r="G805" s="55" t="s">
        <v>277</v>
      </c>
      <c r="H805" s="55">
        <v>0</v>
      </c>
      <c r="I805" s="55"/>
      <c r="J805" s="55"/>
      <c r="K805" s="55"/>
      <c r="L805" s="55"/>
      <c r="M805" s="55">
        <v>0</v>
      </c>
      <c r="N805" s="55">
        <v>0</v>
      </c>
    </row>
    <row r="806" spans="1:14" hidden="1" x14ac:dyDescent="0.35">
      <c r="A806" s="52" t="s">
        <v>579</v>
      </c>
      <c r="B806" s="52" t="s">
        <v>37</v>
      </c>
      <c r="C806" s="52" t="s">
        <v>218</v>
      </c>
      <c r="D806" s="52" t="s">
        <v>218</v>
      </c>
      <c r="E806" s="52" t="s">
        <v>584</v>
      </c>
      <c r="F806" s="52" t="s">
        <v>581</v>
      </c>
      <c r="G806" s="55" t="s">
        <v>279</v>
      </c>
      <c r="H806" s="55">
        <v>27.221520000000002</v>
      </c>
      <c r="I806" s="55">
        <v>15.73757</v>
      </c>
      <c r="J806" s="55">
        <v>14.005050000000001</v>
      </c>
      <c r="K806" s="55">
        <v>13.525690000000001</v>
      </c>
      <c r="L806" s="55">
        <v>12.545579999999999</v>
      </c>
      <c r="M806" s="55">
        <v>12.393649999999999</v>
      </c>
      <c r="N806" s="55">
        <v>11.40137</v>
      </c>
    </row>
    <row r="807" spans="1:14" hidden="1" x14ac:dyDescent="0.35">
      <c r="A807" s="52" t="s">
        <v>579</v>
      </c>
      <c r="B807" s="52" t="s">
        <v>37</v>
      </c>
      <c r="C807" s="52" t="s">
        <v>218</v>
      </c>
      <c r="D807" s="52" t="s">
        <v>218</v>
      </c>
      <c r="E807" s="52" t="s">
        <v>584</v>
      </c>
      <c r="F807" s="52" t="s">
        <v>26</v>
      </c>
      <c r="G807" s="55" t="s">
        <v>275</v>
      </c>
      <c r="H807" s="55">
        <v>6.7512610000000004</v>
      </c>
      <c r="I807" s="55">
        <v>4.6850149999999999</v>
      </c>
      <c r="J807" s="55">
        <v>5.8439170000000003</v>
      </c>
      <c r="K807" s="55">
        <v>4.2681940000000003</v>
      </c>
      <c r="L807" s="55">
        <v>3.537668</v>
      </c>
      <c r="M807" s="55">
        <v>2.378088</v>
      </c>
      <c r="N807" s="55">
        <v>2.172383</v>
      </c>
    </row>
    <row r="808" spans="1:14" hidden="1" x14ac:dyDescent="0.35">
      <c r="A808" s="52" t="s">
        <v>579</v>
      </c>
      <c r="B808" s="52" t="s">
        <v>37</v>
      </c>
      <c r="C808" s="52" t="s">
        <v>218</v>
      </c>
      <c r="D808" s="52" t="s">
        <v>218</v>
      </c>
      <c r="E808" s="52" t="s">
        <v>584</v>
      </c>
      <c r="F808" s="52" t="s">
        <v>26</v>
      </c>
      <c r="G808" s="55" t="s">
        <v>276</v>
      </c>
      <c r="H808" s="55">
        <v>2.2097929999999999</v>
      </c>
      <c r="I808" s="55">
        <v>1.5334810000000001</v>
      </c>
      <c r="J808" s="55">
        <v>1.912809</v>
      </c>
      <c r="K808" s="55">
        <v>1.397049</v>
      </c>
      <c r="L808" s="55">
        <v>1.1579349999999999</v>
      </c>
      <c r="M808" s="55">
        <v>0.7783871</v>
      </c>
      <c r="N808" s="55">
        <v>0.71105689999999999</v>
      </c>
    </row>
    <row r="809" spans="1:14" hidden="1" x14ac:dyDescent="0.35">
      <c r="A809" s="52" t="s">
        <v>579</v>
      </c>
      <c r="B809" s="52" t="s">
        <v>37</v>
      </c>
      <c r="C809" s="52" t="s">
        <v>218</v>
      </c>
      <c r="D809" s="52" t="s">
        <v>218</v>
      </c>
      <c r="E809" s="52" t="s">
        <v>584</v>
      </c>
      <c r="F809" s="52" t="s">
        <v>26</v>
      </c>
      <c r="G809" s="55" t="s">
        <v>279</v>
      </c>
      <c r="H809" s="55">
        <v>34.516550000000002</v>
      </c>
      <c r="I809" s="55">
        <v>29.63683</v>
      </c>
      <c r="J809" s="55">
        <v>26.618659999999998</v>
      </c>
      <c r="K809" s="55">
        <v>26.039079999999998</v>
      </c>
      <c r="L809" s="55">
        <v>24.564080000000001</v>
      </c>
      <c r="M809" s="55">
        <v>23.88691</v>
      </c>
      <c r="N809" s="55">
        <v>21.956499999999998</v>
      </c>
    </row>
    <row r="810" spans="1:14" hidden="1" x14ac:dyDescent="0.35">
      <c r="A810" s="52" t="s">
        <v>579</v>
      </c>
      <c r="B810" s="52" t="s">
        <v>37</v>
      </c>
      <c r="C810" s="52" t="s">
        <v>218</v>
      </c>
      <c r="D810" s="52" t="s">
        <v>218</v>
      </c>
      <c r="E810" s="52" t="s">
        <v>594</v>
      </c>
      <c r="F810" s="52" t="s">
        <v>581</v>
      </c>
      <c r="G810" s="55" t="s">
        <v>275</v>
      </c>
      <c r="H810" s="55">
        <v>0.560751</v>
      </c>
      <c r="I810" s="55">
        <v>-1.676369</v>
      </c>
      <c r="J810" s="55">
        <v>4.68485</v>
      </c>
      <c r="K810" s="55">
        <v>5.1664760000000003</v>
      </c>
      <c r="L810" s="55">
        <v>1.7295849999999999</v>
      </c>
      <c r="M810" s="55">
        <v>-7.2026240000000001</v>
      </c>
      <c r="N810" s="55">
        <v>-3.8562750000000001</v>
      </c>
    </row>
    <row r="811" spans="1:14" hidden="1" x14ac:dyDescent="0.35">
      <c r="A811" s="52" t="s">
        <v>579</v>
      </c>
      <c r="B811" s="52" t="s">
        <v>37</v>
      </c>
      <c r="C811" s="52" t="s">
        <v>218</v>
      </c>
      <c r="D811" s="52" t="s">
        <v>218</v>
      </c>
      <c r="E811" s="52" t="s">
        <v>594</v>
      </c>
      <c r="F811" s="52" t="s">
        <v>581</v>
      </c>
      <c r="G811" s="55" t="s">
        <v>276</v>
      </c>
      <c r="H811" s="55">
        <v>2.7646890000000002</v>
      </c>
      <c r="I811" s="55">
        <v>-1.3222590000000001</v>
      </c>
      <c r="J811" s="55">
        <v>5.7760600000000002E-2</v>
      </c>
      <c r="K811" s="55">
        <v>-0.88966179999999995</v>
      </c>
      <c r="L811" s="55">
        <v>-0.64952869999999996</v>
      </c>
      <c r="M811" s="55">
        <v>0.77726569999999995</v>
      </c>
      <c r="N811" s="55">
        <v>2.3355959999999998</v>
      </c>
    </row>
    <row r="812" spans="1:14" hidden="1" x14ac:dyDescent="0.35">
      <c r="A812" s="52" t="s">
        <v>579</v>
      </c>
      <c r="B812" s="52" t="s">
        <v>37</v>
      </c>
      <c r="C812" s="52" t="s">
        <v>218</v>
      </c>
      <c r="D812" s="52" t="s">
        <v>218</v>
      </c>
      <c r="E812" s="52" t="s">
        <v>594</v>
      </c>
      <c r="F812" s="52" t="s">
        <v>581</v>
      </c>
      <c r="G812" s="55" t="s">
        <v>277</v>
      </c>
      <c r="H812" s="55">
        <v>25.3</v>
      </c>
      <c r="I812" s="55">
        <v>11.48847</v>
      </c>
      <c r="J812" s="55">
        <v>3.0978400000000001</v>
      </c>
      <c r="K812" s="55">
        <v>2.2546339999999998</v>
      </c>
      <c r="L812" s="55">
        <v>4.2429389999999998</v>
      </c>
      <c r="M812" s="55">
        <v>9.1077619999999992</v>
      </c>
      <c r="N812" s="55">
        <v>11.013389999999999</v>
      </c>
    </row>
    <row r="813" spans="1:14" hidden="1" x14ac:dyDescent="0.35">
      <c r="A813" s="52" t="s">
        <v>579</v>
      </c>
      <c r="B813" s="52" t="s">
        <v>37</v>
      </c>
      <c r="C813" s="52" t="s">
        <v>218</v>
      </c>
      <c r="D813" s="52" t="s">
        <v>218</v>
      </c>
      <c r="E813" s="52" t="s">
        <v>594</v>
      </c>
      <c r="F813" s="52" t="s">
        <v>581</v>
      </c>
      <c r="G813" s="55" t="s">
        <v>278</v>
      </c>
      <c r="H813" s="55">
        <v>0</v>
      </c>
      <c r="I813" s="55">
        <v>2.4053949999999999</v>
      </c>
      <c r="J813" s="55">
        <v>5.896166</v>
      </c>
      <c r="K813" s="55">
        <v>6.1399569999999999</v>
      </c>
      <c r="L813" s="55">
        <v>8.3907150000000001</v>
      </c>
      <c r="M813" s="55">
        <v>15.685269999999999</v>
      </c>
      <c r="N813" s="55">
        <v>17.449249999999999</v>
      </c>
    </row>
    <row r="814" spans="1:14" hidden="1" x14ac:dyDescent="0.35">
      <c r="A814" s="52" t="s">
        <v>579</v>
      </c>
      <c r="B814" s="52" t="s">
        <v>37</v>
      </c>
      <c r="C814" s="52" t="s">
        <v>218</v>
      </c>
      <c r="D814" s="52" t="s">
        <v>218</v>
      </c>
      <c r="E814" s="52" t="s">
        <v>594</v>
      </c>
      <c r="F814" s="52" t="s">
        <v>581</v>
      </c>
      <c r="G814" s="55" t="s">
        <v>279</v>
      </c>
      <c r="H814" s="55">
        <v>7.9644789999999999</v>
      </c>
      <c r="I814" s="55">
        <v>5.5973670000000002</v>
      </c>
      <c r="J814" s="55">
        <v>6.7514469999999998</v>
      </c>
      <c r="K814" s="55">
        <v>6.5119910000000001</v>
      </c>
      <c r="L814" s="55">
        <v>6.6897440000000001</v>
      </c>
      <c r="M814" s="55">
        <v>10.326000000000001</v>
      </c>
      <c r="N814" s="55">
        <v>15.07593</v>
      </c>
    </row>
    <row r="815" spans="1:14" hidden="1" x14ac:dyDescent="0.35">
      <c r="A815" s="52" t="s">
        <v>579</v>
      </c>
      <c r="B815" s="52" t="s">
        <v>37</v>
      </c>
      <c r="C815" s="52" t="s">
        <v>218</v>
      </c>
      <c r="D815" s="52" t="s">
        <v>218</v>
      </c>
      <c r="E815" s="52" t="s">
        <v>594</v>
      </c>
      <c r="F815" s="52" t="s">
        <v>26</v>
      </c>
      <c r="G815" s="55" t="s">
        <v>275</v>
      </c>
      <c r="H815" s="55">
        <v>0.180424</v>
      </c>
      <c r="I815" s="55">
        <v>0.15927089999999999</v>
      </c>
      <c r="J815" s="55">
        <v>0.260239</v>
      </c>
      <c r="K815" s="55">
        <v>0.210059</v>
      </c>
      <c r="L815" s="55">
        <v>0.2309725</v>
      </c>
      <c r="M815" s="55">
        <v>0.23882519999999999</v>
      </c>
      <c r="N815" s="55">
        <v>0.34903729999999999</v>
      </c>
    </row>
    <row r="816" spans="1:14" hidden="1" x14ac:dyDescent="0.35">
      <c r="A816" s="52" t="s">
        <v>579</v>
      </c>
      <c r="B816" s="52" t="s">
        <v>37</v>
      </c>
      <c r="C816" s="52" t="s">
        <v>218</v>
      </c>
      <c r="D816" s="52" t="s">
        <v>218</v>
      </c>
      <c r="E816" s="52" t="s">
        <v>594</v>
      </c>
      <c r="F816" s="52" t="s">
        <v>26</v>
      </c>
      <c r="G816" s="55" t="s">
        <v>276</v>
      </c>
      <c r="H816" s="55">
        <v>4.7960999999999997E-2</v>
      </c>
      <c r="I816" s="55">
        <v>4.23375E-2</v>
      </c>
      <c r="J816" s="55">
        <v>6.9178100000000006E-2</v>
      </c>
      <c r="K816" s="55">
        <v>5.5837100000000001E-2</v>
      </c>
      <c r="L816" s="55">
        <v>6.1396899999999997E-2</v>
      </c>
      <c r="M816" s="55">
        <v>6.3483800000000007E-2</v>
      </c>
      <c r="N816" s="55">
        <v>9.2782009999999998E-2</v>
      </c>
    </row>
    <row r="817" spans="1:14" hidden="1" x14ac:dyDescent="0.35">
      <c r="A817" s="52" t="s">
        <v>579</v>
      </c>
      <c r="B817" s="52" t="s">
        <v>37</v>
      </c>
      <c r="C817" s="52" t="s">
        <v>218</v>
      </c>
      <c r="D817" s="52" t="s">
        <v>218</v>
      </c>
      <c r="E817" s="52" t="s">
        <v>594</v>
      </c>
      <c r="F817" s="52" t="s">
        <v>26</v>
      </c>
      <c r="G817" s="55" t="s">
        <v>279</v>
      </c>
      <c r="H817" s="55">
        <v>0.64495000000000002</v>
      </c>
      <c r="I817" s="55">
        <v>0.66795309999999997</v>
      </c>
      <c r="J817" s="55">
        <v>0.81670980000000004</v>
      </c>
      <c r="K817" s="55">
        <v>0.79820619999999998</v>
      </c>
      <c r="L817" s="55">
        <v>0.83687049999999996</v>
      </c>
      <c r="M817" s="55">
        <v>1.2813289999999999</v>
      </c>
      <c r="N817" s="55">
        <v>1.8776870000000001</v>
      </c>
    </row>
    <row r="818" spans="1:14" hidden="1" x14ac:dyDescent="0.35">
      <c r="A818" s="52" t="s">
        <v>579</v>
      </c>
      <c r="B818" s="52" t="s">
        <v>37</v>
      </c>
      <c r="C818" s="52" t="s">
        <v>61</v>
      </c>
      <c r="D818" s="52" t="s">
        <v>62</v>
      </c>
      <c r="E818" s="52" t="s">
        <v>584</v>
      </c>
      <c r="F818" s="52" t="s">
        <v>581</v>
      </c>
      <c r="G818" s="55" t="s">
        <v>275</v>
      </c>
      <c r="H818" s="55">
        <v>1295.3320000000001</v>
      </c>
      <c r="I818" s="55">
        <v>408.0675</v>
      </c>
      <c r="J818" s="55">
        <v>532.47389999999996</v>
      </c>
      <c r="K818" s="55">
        <v>446.05930000000001</v>
      </c>
      <c r="L818" s="55">
        <v>308.5136</v>
      </c>
      <c r="M818" s="55">
        <v>242.4117</v>
      </c>
      <c r="N818" s="55">
        <v>123.5304</v>
      </c>
    </row>
    <row r="819" spans="1:14" hidden="1" x14ac:dyDescent="0.35">
      <c r="A819" s="52" t="s">
        <v>579</v>
      </c>
      <c r="B819" s="52" t="s">
        <v>37</v>
      </c>
      <c r="C819" s="52" t="s">
        <v>61</v>
      </c>
      <c r="D819" s="52" t="s">
        <v>62</v>
      </c>
      <c r="E819" s="52" t="s">
        <v>584</v>
      </c>
      <c r="F819" s="52" t="s">
        <v>581</v>
      </c>
      <c r="G819" s="55" t="s">
        <v>276</v>
      </c>
      <c r="H819" s="55">
        <v>9.6429939999999998</v>
      </c>
      <c r="I819" s="55">
        <v>-72.585489999999993</v>
      </c>
      <c r="J819" s="55">
        <v>-169.89080000000001</v>
      </c>
      <c r="K819" s="55">
        <v>-263.11430000000001</v>
      </c>
      <c r="L819" s="55">
        <v>-236.21430000000001</v>
      </c>
      <c r="M819" s="55">
        <v>-221.26580000000001</v>
      </c>
      <c r="N819" s="55">
        <v>-178.95820000000001</v>
      </c>
    </row>
    <row r="820" spans="1:14" hidden="1" x14ac:dyDescent="0.35">
      <c r="A820" s="52" t="s">
        <v>579</v>
      </c>
      <c r="B820" s="52" t="s">
        <v>37</v>
      </c>
      <c r="C820" s="52" t="s">
        <v>61</v>
      </c>
      <c r="D820" s="52" t="s">
        <v>62</v>
      </c>
      <c r="E820" s="52" t="s">
        <v>584</v>
      </c>
      <c r="F820" s="52" t="s">
        <v>581</v>
      </c>
      <c r="G820" s="55" t="s">
        <v>277</v>
      </c>
      <c r="H820" s="55">
        <v>482.02449999999999</v>
      </c>
      <c r="I820" s="55">
        <v>253.63659999999999</v>
      </c>
      <c r="J820" s="55">
        <v>232.6696</v>
      </c>
      <c r="K820" s="55">
        <v>202.5</v>
      </c>
      <c r="L820" s="55">
        <v>195.37870000000001</v>
      </c>
      <c r="M820" s="55">
        <v>156.84289999999999</v>
      </c>
      <c r="N820" s="55">
        <v>134.94120000000001</v>
      </c>
    </row>
    <row r="821" spans="1:14" hidden="1" x14ac:dyDescent="0.35">
      <c r="A821" s="52" t="s">
        <v>579</v>
      </c>
      <c r="B821" s="52" t="s">
        <v>37</v>
      </c>
      <c r="C821" s="52" t="s">
        <v>61</v>
      </c>
      <c r="D821" s="52" t="s">
        <v>62</v>
      </c>
      <c r="E821" s="52" t="s">
        <v>584</v>
      </c>
      <c r="F821" s="52" t="s">
        <v>581</v>
      </c>
      <c r="G821" s="55" t="s">
        <v>278</v>
      </c>
      <c r="H821" s="55">
        <v>332.01979999999998</v>
      </c>
      <c r="I821" s="55">
        <v>190.05189999999999</v>
      </c>
      <c r="J821" s="55">
        <v>126.0295</v>
      </c>
      <c r="K821" s="55">
        <v>207.66</v>
      </c>
      <c r="L821" s="55">
        <v>245.14250000000001</v>
      </c>
      <c r="M821" s="55">
        <v>264.66390000000001</v>
      </c>
      <c r="N821" s="55">
        <v>190.73910000000001</v>
      </c>
    </row>
    <row r="822" spans="1:14" hidden="1" x14ac:dyDescent="0.35">
      <c r="A822" s="52" t="s">
        <v>579</v>
      </c>
      <c r="B822" s="52" t="s">
        <v>37</v>
      </c>
      <c r="C822" s="52" t="s">
        <v>61</v>
      </c>
      <c r="D822" s="52" t="s">
        <v>62</v>
      </c>
      <c r="E822" s="52" t="s">
        <v>584</v>
      </c>
      <c r="F822" s="52" t="s">
        <v>581</v>
      </c>
      <c r="G822" s="55" t="s">
        <v>279</v>
      </c>
      <c r="H822" s="55">
        <v>562.40740000000005</v>
      </c>
      <c r="I822" s="55">
        <v>456.34989999999999</v>
      </c>
      <c r="J822" s="55">
        <v>440.92419999999998</v>
      </c>
      <c r="K822" s="55">
        <v>428.53739999999999</v>
      </c>
      <c r="L822" s="55">
        <v>398.70119999999997</v>
      </c>
      <c r="M822" s="55">
        <v>337.9092</v>
      </c>
      <c r="N822" s="55">
        <v>382.19490000000002</v>
      </c>
    </row>
    <row r="823" spans="1:14" hidden="1" x14ac:dyDescent="0.35">
      <c r="A823" s="52" t="s">
        <v>579</v>
      </c>
      <c r="B823" s="52" t="s">
        <v>37</v>
      </c>
      <c r="C823" s="52" t="s">
        <v>61</v>
      </c>
      <c r="D823" s="52" t="s">
        <v>62</v>
      </c>
      <c r="E823" s="52" t="s">
        <v>584</v>
      </c>
      <c r="F823" s="52" t="s">
        <v>26</v>
      </c>
      <c r="G823" s="55" t="s">
        <v>275</v>
      </c>
      <c r="H823" s="55">
        <v>8.515117</v>
      </c>
      <c r="I823" s="55">
        <v>19.804079999999999</v>
      </c>
      <c r="J823" s="55">
        <v>16.342030000000001</v>
      </c>
      <c r="K823" s="55">
        <v>15.749459999999999</v>
      </c>
      <c r="L823" s="55">
        <v>13.8302</v>
      </c>
      <c r="M823" s="55">
        <v>11.53617</v>
      </c>
      <c r="N823" s="55">
        <v>-13.77704</v>
      </c>
    </row>
    <row r="824" spans="1:14" hidden="1" x14ac:dyDescent="0.35">
      <c r="A824" s="52" t="s">
        <v>579</v>
      </c>
      <c r="B824" s="52" t="s">
        <v>37</v>
      </c>
      <c r="C824" s="52" t="s">
        <v>61</v>
      </c>
      <c r="D824" s="52" t="s">
        <v>62</v>
      </c>
      <c r="E824" s="52" t="s">
        <v>584</v>
      </c>
      <c r="F824" s="52" t="s">
        <v>26</v>
      </c>
      <c r="G824" s="55" t="s">
        <v>276</v>
      </c>
      <c r="H824" s="55">
        <v>-3.928671</v>
      </c>
      <c r="I824" s="55">
        <v>3.4841950000000002</v>
      </c>
      <c r="J824" s="55">
        <v>3.4998290000000001</v>
      </c>
      <c r="K824" s="55">
        <v>2.4560040000000001</v>
      </c>
      <c r="L824" s="55">
        <v>3.073</v>
      </c>
      <c r="M824" s="55">
        <v>3.0478019999999999</v>
      </c>
      <c r="N824" s="55">
        <v>-3.4689209999999999</v>
      </c>
    </row>
    <row r="825" spans="1:14" hidden="1" x14ac:dyDescent="0.35">
      <c r="A825" s="52" t="s">
        <v>579</v>
      </c>
      <c r="B825" s="52" t="s">
        <v>37</v>
      </c>
      <c r="C825" s="52" t="s">
        <v>61</v>
      </c>
      <c r="D825" s="52" t="s">
        <v>62</v>
      </c>
      <c r="E825" s="52" t="s">
        <v>584</v>
      </c>
      <c r="F825" s="52" t="s">
        <v>26</v>
      </c>
      <c r="G825" s="55" t="s">
        <v>277</v>
      </c>
      <c r="H825" s="55">
        <v>5.5850840000000002</v>
      </c>
      <c r="I825" s="55">
        <v>0.12615970000000001</v>
      </c>
      <c r="J825" s="55">
        <v>6.9237930000000003E-2</v>
      </c>
      <c r="K825" s="55">
        <v>6.6525249999999994E-2</v>
      </c>
      <c r="L825" s="55">
        <v>2.0853650000000001E-2</v>
      </c>
      <c r="M825" s="55"/>
      <c r="N825" s="55">
        <v>0.95642090000000002</v>
      </c>
    </row>
    <row r="826" spans="1:14" hidden="1" x14ac:dyDescent="0.35">
      <c r="A826" s="52" t="s">
        <v>579</v>
      </c>
      <c r="B826" s="52" t="s">
        <v>37</v>
      </c>
      <c r="C826" s="52" t="s">
        <v>61</v>
      </c>
      <c r="D826" s="52" t="s">
        <v>62</v>
      </c>
      <c r="E826" s="52" t="s">
        <v>584</v>
      </c>
      <c r="F826" s="52" t="s">
        <v>26</v>
      </c>
      <c r="G826" s="55" t="s">
        <v>278</v>
      </c>
      <c r="H826" s="55"/>
      <c r="I826" s="55"/>
      <c r="J826" s="55">
        <v>0</v>
      </c>
      <c r="K826" s="55">
        <v>0</v>
      </c>
      <c r="L826" s="55">
        <v>0</v>
      </c>
      <c r="M826" s="55">
        <v>0</v>
      </c>
      <c r="N826" s="55">
        <v>0</v>
      </c>
    </row>
    <row r="827" spans="1:14" hidden="1" x14ac:dyDescent="0.35">
      <c r="A827" s="52" t="s">
        <v>579</v>
      </c>
      <c r="B827" s="52" t="s">
        <v>37</v>
      </c>
      <c r="C827" s="52" t="s">
        <v>61</v>
      </c>
      <c r="D827" s="52" t="s">
        <v>62</v>
      </c>
      <c r="E827" s="52" t="s">
        <v>584</v>
      </c>
      <c r="F827" s="52" t="s">
        <v>26</v>
      </c>
      <c r="G827" s="55" t="s">
        <v>279</v>
      </c>
      <c r="H827" s="55">
        <v>88.018039999999999</v>
      </c>
      <c r="I827" s="55">
        <v>50.063319999999997</v>
      </c>
      <c r="J827" s="55">
        <v>49.290640000000003</v>
      </c>
      <c r="K827" s="55">
        <v>44.347000000000001</v>
      </c>
      <c r="L827" s="55">
        <v>39.942729999999997</v>
      </c>
      <c r="M827" s="55">
        <v>33.573300000000003</v>
      </c>
      <c r="N827" s="55">
        <v>54.142829999999996</v>
      </c>
    </row>
    <row r="828" spans="1:14" hidden="1" x14ac:dyDescent="0.35">
      <c r="A828" s="52" t="s">
        <v>579</v>
      </c>
      <c r="B828" s="52" t="s">
        <v>37</v>
      </c>
      <c r="C828" s="52" t="s">
        <v>99</v>
      </c>
      <c r="D828" s="52" t="s">
        <v>101</v>
      </c>
      <c r="E828" s="52" t="s">
        <v>584</v>
      </c>
      <c r="F828" s="52" t="s">
        <v>581</v>
      </c>
      <c r="G828" s="55" t="s">
        <v>275</v>
      </c>
      <c r="H828" s="55">
        <v>57.263269999999999</v>
      </c>
      <c r="I828" s="55">
        <v>16.920670000000001</v>
      </c>
      <c r="J828" s="55">
        <v>15.211360000000001</v>
      </c>
      <c r="K828" s="55">
        <v>13.34761</v>
      </c>
      <c r="L828" s="55">
        <v>12.570639999999999</v>
      </c>
      <c r="M828" s="55">
        <v>10.707050000000001</v>
      </c>
      <c r="N828" s="55">
        <v>9.8248730000000002</v>
      </c>
    </row>
    <row r="829" spans="1:14" hidden="1" x14ac:dyDescent="0.35">
      <c r="A829" s="52" t="s">
        <v>579</v>
      </c>
      <c r="B829" s="52" t="s">
        <v>37</v>
      </c>
      <c r="C829" s="52" t="s">
        <v>99</v>
      </c>
      <c r="D829" s="52" t="s">
        <v>101</v>
      </c>
      <c r="E829" s="52" t="s">
        <v>584</v>
      </c>
      <c r="F829" s="52" t="s">
        <v>581</v>
      </c>
      <c r="G829" s="55" t="s">
        <v>276</v>
      </c>
      <c r="H829" s="55">
        <v>15.221880000000001</v>
      </c>
      <c r="I829" s="55">
        <v>4.4978999999999996</v>
      </c>
      <c r="J829" s="55">
        <v>4.0435239999999997</v>
      </c>
      <c r="K829" s="55">
        <v>3.5480990000000001</v>
      </c>
      <c r="L829" s="55">
        <v>3.3415650000000001</v>
      </c>
      <c r="M829" s="55">
        <v>2.8461799999999999</v>
      </c>
      <c r="N829" s="55">
        <v>2.6116760000000001</v>
      </c>
    </row>
    <row r="830" spans="1:14" hidden="1" x14ac:dyDescent="0.35">
      <c r="A830" s="52" t="s">
        <v>579</v>
      </c>
      <c r="B830" s="52" t="s">
        <v>37</v>
      </c>
      <c r="C830" s="52" t="s">
        <v>99</v>
      </c>
      <c r="D830" s="52" t="s">
        <v>101</v>
      </c>
      <c r="E830" s="52" t="s">
        <v>584</v>
      </c>
      <c r="F830" s="52" t="s">
        <v>581</v>
      </c>
      <c r="G830" s="55" t="s">
        <v>279</v>
      </c>
      <c r="H830" s="55">
        <v>29.168959999999998</v>
      </c>
      <c r="I830" s="55">
        <v>19.51728</v>
      </c>
      <c r="J830" s="55">
        <v>16.88298</v>
      </c>
      <c r="K830" s="55">
        <v>16.038319999999999</v>
      </c>
      <c r="L830" s="55">
        <v>14.93695</v>
      </c>
      <c r="M830" s="55">
        <v>14.755660000000001</v>
      </c>
      <c r="N830" s="55">
        <v>13.452220000000001</v>
      </c>
    </row>
    <row r="831" spans="1:14" hidden="1" x14ac:dyDescent="0.35">
      <c r="A831" s="52" t="s">
        <v>579</v>
      </c>
      <c r="B831" s="52" t="s">
        <v>37</v>
      </c>
      <c r="C831" s="52" t="s">
        <v>99</v>
      </c>
      <c r="D831" s="52" t="s">
        <v>101</v>
      </c>
      <c r="E831" s="52" t="s">
        <v>584</v>
      </c>
      <c r="F831" s="52" t="s">
        <v>26</v>
      </c>
      <c r="G831" s="55" t="s">
        <v>275</v>
      </c>
      <c r="H831" s="55">
        <v>-130.4402</v>
      </c>
      <c r="I831" s="55">
        <v>-4.7396060000000002</v>
      </c>
      <c r="J831" s="55">
        <v>2.1876720000000001</v>
      </c>
      <c r="K831" s="55">
        <v>9.978999</v>
      </c>
      <c r="L831" s="55">
        <v>-2.7209919999999999</v>
      </c>
      <c r="M831" s="55">
        <v>-12.68235</v>
      </c>
      <c r="N831" s="55">
        <v>-12.28984</v>
      </c>
    </row>
    <row r="832" spans="1:14" hidden="1" x14ac:dyDescent="0.35">
      <c r="A832" s="52" t="s">
        <v>579</v>
      </c>
      <c r="B832" s="52" t="s">
        <v>37</v>
      </c>
      <c r="C832" s="52" t="s">
        <v>99</v>
      </c>
      <c r="D832" s="52" t="s">
        <v>101</v>
      </c>
      <c r="E832" s="52" t="s">
        <v>584</v>
      </c>
      <c r="F832" s="52" t="s">
        <v>26</v>
      </c>
      <c r="G832" s="55" t="s">
        <v>276</v>
      </c>
      <c r="H832" s="55">
        <v>-19.527560000000001</v>
      </c>
      <c r="I832" s="55">
        <v>-13.893459999999999</v>
      </c>
      <c r="J832" s="55">
        <v>-9.1969779999999997</v>
      </c>
      <c r="K832" s="55">
        <v>-22.261420000000001</v>
      </c>
      <c r="L832" s="55">
        <v>-16.05556</v>
      </c>
      <c r="M832" s="55">
        <v>-4.853192</v>
      </c>
      <c r="N832" s="55">
        <v>-4.3199870000000002</v>
      </c>
    </row>
    <row r="833" spans="1:14" hidden="1" x14ac:dyDescent="0.35">
      <c r="A833" s="52" t="s">
        <v>579</v>
      </c>
      <c r="B833" s="52" t="s">
        <v>37</v>
      </c>
      <c r="C833" s="52" t="s">
        <v>99</v>
      </c>
      <c r="D833" s="52" t="s">
        <v>101</v>
      </c>
      <c r="E833" s="52" t="s">
        <v>584</v>
      </c>
      <c r="F833" s="52" t="s">
        <v>26</v>
      </c>
      <c r="G833" s="55" t="s">
        <v>277</v>
      </c>
      <c r="H833" s="55">
        <v>168</v>
      </c>
      <c r="I833" s="55">
        <v>27.4072</v>
      </c>
      <c r="J833" s="55">
        <v>23.665569999999999</v>
      </c>
      <c r="K833" s="55">
        <v>21.652439999999999</v>
      </c>
      <c r="L833" s="55">
        <v>25.54298</v>
      </c>
      <c r="M833" s="55">
        <v>18.666039999999999</v>
      </c>
      <c r="N833" s="55">
        <v>17.756419999999999</v>
      </c>
    </row>
    <row r="834" spans="1:14" hidden="1" x14ac:dyDescent="0.35">
      <c r="A834" s="52" t="s">
        <v>579</v>
      </c>
      <c r="B834" s="52" t="s">
        <v>37</v>
      </c>
      <c r="C834" s="52" t="s">
        <v>99</v>
      </c>
      <c r="D834" s="52" t="s">
        <v>101</v>
      </c>
      <c r="E834" s="52" t="s">
        <v>584</v>
      </c>
      <c r="F834" s="52" t="s">
        <v>26</v>
      </c>
      <c r="G834" s="55" t="s">
        <v>279</v>
      </c>
      <c r="H834" s="55">
        <v>167.0257</v>
      </c>
      <c r="I834" s="55">
        <v>126.1631</v>
      </c>
      <c r="J834" s="55">
        <v>111.2229</v>
      </c>
      <c r="K834" s="55">
        <v>107.94240000000001</v>
      </c>
      <c r="L834" s="55">
        <v>103.0104</v>
      </c>
      <c r="M834" s="55">
        <v>99.999949999999998</v>
      </c>
      <c r="N834" s="55">
        <v>91.746290000000002</v>
      </c>
    </row>
    <row r="835" spans="1:14" hidden="1" x14ac:dyDescent="0.35">
      <c r="A835" s="52" t="s">
        <v>579</v>
      </c>
      <c r="B835" s="52" t="s">
        <v>37</v>
      </c>
      <c r="C835" s="52" t="s">
        <v>115</v>
      </c>
      <c r="D835" s="52" t="s">
        <v>115</v>
      </c>
      <c r="E835" s="52" t="s">
        <v>595</v>
      </c>
      <c r="F835" s="52" t="s">
        <v>581</v>
      </c>
      <c r="G835" s="55" t="s">
        <v>275</v>
      </c>
      <c r="H835" s="55">
        <v>-31.608730000000001</v>
      </c>
      <c r="I835" s="55">
        <v>-4.8415559999999997</v>
      </c>
      <c r="J835" s="55">
        <v>-2.3287230000000001</v>
      </c>
      <c r="K835" s="55">
        <v>9.5369630000000001</v>
      </c>
      <c r="L835" s="55">
        <v>12.16971</v>
      </c>
      <c r="M835" s="55">
        <v>8.1616219999999995</v>
      </c>
      <c r="N835" s="55">
        <v>7.3968740000000004</v>
      </c>
    </row>
    <row r="836" spans="1:14" hidden="1" x14ac:dyDescent="0.35">
      <c r="A836" s="52" t="s">
        <v>579</v>
      </c>
      <c r="B836" s="52" t="s">
        <v>37</v>
      </c>
      <c r="C836" s="52" t="s">
        <v>115</v>
      </c>
      <c r="D836" s="52" t="s">
        <v>115</v>
      </c>
      <c r="E836" s="52" t="s">
        <v>595</v>
      </c>
      <c r="F836" s="52" t="s">
        <v>581</v>
      </c>
      <c r="G836" s="55" t="s">
        <v>276</v>
      </c>
      <c r="H836" s="55">
        <v>0.72900810000000005</v>
      </c>
      <c r="I836" s="55">
        <v>-0.38055450000000002</v>
      </c>
      <c r="J836" s="55">
        <v>0.53533920000000002</v>
      </c>
      <c r="K836" s="55">
        <v>-0.47594550000000002</v>
      </c>
      <c r="L836" s="55">
        <v>-2.2626490000000001</v>
      </c>
      <c r="M836" s="55">
        <v>0.17746909999999999</v>
      </c>
      <c r="N836" s="55">
        <v>0.32280249999999999</v>
      </c>
    </row>
    <row r="837" spans="1:14" hidden="1" x14ac:dyDescent="0.35">
      <c r="A837" s="52" t="s">
        <v>579</v>
      </c>
      <c r="B837" s="52" t="s">
        <v>37</v>
      </c>
      <c r="C837" s="52" t="s">
        <v>115</v>
      </c>
      <c r="D837" s="52" t="s">
        <v>115</v>
      </c>
      <c r="E837" s="52" t="s">
        <v>595</v>
      </c>
      <c r="F837" s="52" t="s">
        <v>581</v>
      </c>
      <c r="G837" s="55" t="s">
        <v>277</v>
      </c>
      <c r="H837" s="55">
        <v>57.35</v>
      </c>
      <c r="I837" s="55">
        <v>15.793229999999999</v>
      </c>
      <c r="J837" s="55">
        <v>7.1459659999999996</v>
      </c>
      <c r="K837" s="55">
        <v>1.7793300000000001</v>
      </c>
      <c r="L837" s="55">
        <v>2.0565169999999999</v>
      </c>
      <c r="M837" s="55">
        <v>1.2729619999999999</v>
      </c>
      <c r="N837" s="55">
        <v>3.8545980000000002</v>
      </c>
    </row>
    <row r="838" spans="1:14" hidden="1" x14ac:dyDescent="0.35">
      <c r="A838" s="52" t="s">
        <v>579</v>
      </c>
      <c r="B838" s="52" t="s">
        <v>37</v>
      </c>
      <c r="C838" s="52" t="s">
        <v>115</v>
      </c>
      <c r="D838" s="52" t="s">
        <v>115</v>
      </c>
      <c r="E838" s="52" t="s">
        <v>595</v>
      </c>
      <c r="F838" s="52" t="s">
        <v>581</v>
      </c>
      <c r="G838" s="55" t="s">
        <v>278</v>
      </c>
      <c r="H838" s="55">
        <v>0</v>
      </c>
      <c r="I838" s="55">
        <v>4.2339719999999996</v>
      </c>
      <c r="J838" s="55">
        <v>14.177350000000001</v>
      </c>
      <c r="K838" s="55">
        <v>9.7256049999999998</v>
      </c>
      <c r="L838" s="55">
        <v>9.7309020000000004</v>
      </c>
      <c r="M838" s="55">
        <v>6.5411210000000004</v>
      </c>
      <c r="N838" s="55">
        <v>4.2562179999999996</v>
      </c>
    </row>
    <row r="839" spans="1:14" hidden="1" x14ac:dyDescent="0.35">
      <c r="A839" s="52" t="s">
        <v>579</v>
      </c>
      <c r="B839" s="52" t="s">
        <v>37</v>
      </c>
      <c r="C839" s="52" t="s">
        <v>115</v>
      </c>
      <c r="D839" s="52" t="s">
        <v>115</v>
      </c>
      <c r="E839" s="52" t="s">
        <v>595</v>
      </c>
      <c r="F839" s="52" t="s">
        <v>581</v>
      </c>
      <c r="G839" s="55" t="s">
        <v>279</v>
      </c>
      <c r="H839" s="55">
        <v>12.914</v>
      </c>
      <c r="I839" s="55">
        <v>17.34357</v>
      </c>
      <c r="J839" s="55">
        <v>21.291160000000001</v>
      </c>
      <c r="K839" s="55">
        <v>23.198740000000001</v>
      </c>
      <c r="L839" s="55">
        <v>20.483440000000002</v>
      </c>
      <c r="M839" s="55">
        <v>19.9679</v>
      </c>
      <c r="N839" s="55">
        <v>18.350079999999998</v>
      </c>
    </row>
    <row r="840" spans="1:14" hidden="1" x14ac:dyDescent="0.35">
      <c r="A840" s="52" t="s">
        <v>579</v>
      </c>
      <c r="B840" s="52" t="s">
        <v>37</v>
      </c>
      <c r="C840" s="52" t="s">
        <v>115</v>
      </c>
      <c r="D840" s="52" t="s">
        <v>115</v>
      </c>
      <c r="E840" s="52" t="s">
        <v>595</v>
      </c>
      <c r="F840" s="52" t="s">
        <v>26</v>
      </c>
      <c r="G840" s="55" t="s">
        <v>275</v>
      </c>
      <c r="H840" s="55">
        <v>-0.42317500000000002</v>
      </c>
      <c r="I840" s="55">
        <v>-0.84335990000000005</v>
      </c>
      <c r="J840" s="55">
        <v>-0.46131270000000002</v>
      </c>
      <c r="K840" s="55">
        <v>-0.82754709999999998</v>
      </c>
      <c r="L840" s="55">
        <v>-0.3135404</v>
      </c>
      <c r="M840" s="55">
        <v>-1.1983440000000001</v>
      </c>
      <c r="N840" s="55">
        <v>-1.050473</v>
      </c>
    </row>
    <row r="841" spans="1:14" hidden="1" x14ac:dyDescent="0.35">
      <c r="A841" s="52" t="s">
        <v>579</v>
      </c>
      <c r="B841" s="52" t="s">
        <v>37</v>
      </c>
      <c r="C841" s="52" t="s">
        <v>115</v>
      </c>
      <c r="D841" s="52" t="s">
        <v>115</v>
      </c>
      <c r="E841" s="52" t="s">
        <v>595</v>
      </c>
      <c r="F841" s="52" t="s">
        <v>26</v>
      </c>
      <c r="G841" s="55" t="s">
        <v>276</v>
      </c>
      <c r="H841" s="55">
        <v>-0.112488</v>
      </c>
      <c r="I841" s="55">
        <v>-0.22418440000000001</v>
      </c>
      <c r="J841" s="55">
        <v>-0.12262679999999999</v>
      </c>
      <c r="K841" s="55">
        <v>-0.2199815</v>
      </c>
      <c r="L841" s="55">
        <v>-8.3346470000000006E-2</v>
      </c>
      <c r="M841" s="55">
        <v>-0.31854500000000002</v>
      </c>
      <c r="N841" s="55">
        <v>-0.27923779999999998</v>
      </c>
    </row>
    <row r="842" spans="1:14" hidden="1" x14ac:dyDescent="0.35">
      <c r="A842" s="52" t="s">
        <v>579</v>
      </c>
      <c r="B842" s="52" t="s">
        <v>37</v>
      </c>
      <c r="C842" s="52" t="s">
        <v>115</v>
      </c>
      <c r="D842" s="52" t="s">
        <v>115</v>
      </c>
      <c r="E842" s="52" t="s">
        <v>595</v>
      </c>
      <c r="F842" s="52" t="s">
        <v>26</v>
      </c>
      <c r="G842" s="55" t="s">
        <v>279</v>
      </c>
      <c r="H842" s="55">
        <v>5.3502650000000003</v>
      </c>
      <c r="I842" s="55">
        <v>7.9677049999999996</v>
      </c>
      <c r="J842" s="55">
        <v>9.8650669999999998</v>
      </c>
      <c r="K842" s="55">
        <v>10.82766</v>
      </c>
      <c r="L842" s="55">
        <v>9.7060639999999996</v>
      </c>
      <c r="M842" s="55">
        <v>9.2915779999999994</v>
      </c>
      <c r="N842" s="55">
        <v>8.5032289999999993</v>
      </c>
    </row>
    <row r="843" spans="1:14" hidden="1" x14ac:dyDescent="0.35">
      <c r="A843" s="52" t="s">
        <v>579</v>
      </c>
      <c r="B843" s="52" t="s">
        <v>37</v>
      </c>
      <c r="C843" s="52" t="s">
        <v>115</v>
      </c>
      <c r="D843" s="52" t="s">
        <v>115</v>
      </c>
      <c r="E843" s="52" t="s">
        <v>584</v>
      </c>
      <c r="F843" s="52" t="s">
        <v>581</v>
      </c>
      <c r="G843" s="55" t="s">
        <v>275</v>
      </c>
      <c r="H843" s="55">
        <v>11.8217</v>
      </c>
      <c r="I843" s="55">
        <v>-0.6480553</v>
      </c>
      <c r="J843" s="55">
        <v>-5.414277E-2</v>
      </c>
      <c r="K843" s="55">
        <v>2.1695150000000001</v>
      </c>
      <c r="L843" s="55">
        <v>0.7406874</v>
      </c>
      <c r="M843" s="55">
        <v>0.74110050000000005</v>
      </c>
      <c r="N843" s="55">
        <v>0.7219006</v>
      </c>
    </row>
    <row r="844" spans="1:14" hidden="1" x14ac:dyDescent="0.35">
      <c r="A844" s="52" t="s">
        <v>579</v>
      </c>
      <c r="B844" s="52" t="s">
        <v>37</v>
      </c>
      <c r="C844" s="52" t="s">
        <v>115</v>
      </c>
      <c r="D844" s="52" t="s">
        <v>115</v>
      </c>
      <c r="E844" s="52" t="s">
        <v>584</v>
      </c>
      <c r="F844" s="52" t="s">
        <v>581</v>
      </c>
      <c r="G844" s="55" t="s">
        <v>276</v>
      </c>
      <c r="H844" s="55">
        <v>1.2573259999999999</v>
      </c>
      <c r="I844" s="55">
        <v>0.1923784</v>
      </c>
      <c r="J844" s="55">
        <v>-4.7476289999999997E-2</v>
      </c>
      <c r="K844" s="55">
        <v>-2.154728</v>
      </c>
      <c r="L844" s="55">
        <v>-0.63498509999999997</v>
      </c>
      <c r="M844" s="55">
        <v>-0.46493269999999998</v>
      </c>
      <c r="N844" s="55">
        <v>-0.33983390000000002</v>
      </c>
    </row>
    <row r="845" spans="1:14" hidden="1" x14ac:dyDescent="0.35">
      <c r="A845" s="52" t="s">
        <v>579</v>
      </c>
      <c r="B845" s="52" t="s">
        <v>37</v>
      </c>
      <c r="C845" s="52" t="s">
        <v>115</v>
      </c>
      <c r="D845" s="52" t="s">
        <v>115</v>
      </c>
      <c r="E845" s="52" t="s">
        <v>584</v>
      </c>
      <c r="F845" s="52" t="s">
        <v>581</v>
      </c>
      <c r="G845" s="55" t="s">
        <v>277</v>
      </c>
      <c r="H845" s="55">
        <v>10.199999999999999</v>
      </c>
      <c r="I845" s="55">
        <v>8.2507059999999992</v>
      </c>
      <c r="J845" s="55">
        <v>6.7233700000000001</v>
      </c>
      <c r="K845" s="55">
        <v>5.5133479999999997</v>
      </c>
      <c r="L845" s="55">
        <v>4.5450949999999999</v>
      </c>
      <c r="M845" s="55">
        <v>3.7634409999999998</v>
      </c>
      <c r="N845" s="55">
        <v>3.1275740000000001</v>
      </c>
    </row>
    <row r="846" spans="1:14" hidden="1" x14ac:dyDescent="0.35">
      <c r="A846" s="52" t="s">
        <v>579</v>
      </c>
      <c r="B846" s="52" t="s">
        <v>37</v>
      </c>
      <c r="C846" s="52" t="s">
        <v>115</v>
      </c>
      <c r="D846" s="52" t="s">
        <v>115</v>
      </c>
      <c r="E846" s="52" t="s">
        <v>584</v>
      </c>
      <c r="F846" s="52" t="s">
        <v>581</v>
      </c>
      <c r="G846" s="55" t="s">
        <v>279</v>
      </c>
      <c r="H846" s="55">
        <v>7.0847610000000003</v>
      </c>
      <c r="I846" s="55">
        <v>4.3551659999999996</v>
      </c>
      <c r="J846" s="55">
        <v>3.5551889999999999</v>
      </c>
      <c r="K846" s="55">
        <v>3.2087300000000001</v>
      </c>
      <c r="L846" s="55">
        <v>2.8672369999999998</v>
      </c>
      <c r="M846" s="55">
        <v>2.442177</v>
      </c>
      <c r="N846" s="55">
        <v>2.0867559999999998</v>
      </c>
    </row>
    <row r="847" spans="1:14" hidden="1" x14ac:dyDescent="0.35">
      <c r="A847" s="52" t="s">
        <v>579</v>
      </c>
      <c r="B847" s="52" t="s">
        <v>37</v>
      </c>
      <c r="C847" s="52" t="s">
        <v>115</v>
      </c>
      <c r="D847" s="52" t="s">
        <v>115</v>
      </c>
      <c r="E847" s="52" t="s">
        <v>597</v>
      </c>
      <c r="F847" s="52" t="s">
        <v>581</v>
      </c>
      <c r="G847" s="55" t="s">
        <v>275</v>
      </c>
      <c r="H847" s="55">
        <v>-22.077259999999999</v>
      </c>
      <c r="I847" s="55">
        <v>-0.93801959999999995</v>
      </c>
      <c r="J847" s="55">
        <v>-0.1169868</v>
      </c>
      <c r="K847" s="55">
        <v>0.43600499999999998</v>
      </c>
      <c r="L847" s="55">
        <v>2.19624</v>
      </c>
      <c r="M847" s="55">
        <v>2.5031569999999999</v>
      </c>
      <c r="N847" s="55">
        <v>1.8385959999999999</v>
      </c>
    </row>
    <row r="848" spans="1:14" hidden="1" x14ac:dyDescent="0.35">
      <c r="A848" s="52" t="s">
        <v>579</v>
      </c>
      <c r="B848" s="52" t="s">
        <v>37</v>
      </c>
      <c r="C848" s="52" t="s">
        <v>115</v>
      </c>
      <c r="D848" s="52" t="s">
        <v>115</v>
      </c>
      <c r="E848" s="52" t="s">
        <v>597</v>
      </c>
      <c r="F848" s="52" t="s">
        <v>581</v>
      </c>
      <c r="G848" s="55" t="s">
        <v>276</v>
      </c>
      <c r="H848" s="55">
        <v>-1.2078100000000001</v>
      </c>
      <c r="I848" s="55">
        <v>-1.0943130000000001</v>
      </c>
      <c r="J848" s="55">
        <v>-0.66119859999999997</v>
      </c>
      <c r="K848" s="55">
        <v>-1.136217</v>
      </c>
      <c r="L848" s="55">
        <v>-1.9259790000000001</v>
      </c>
      <c r="M848" s="55">
        <v>-7.4824390000000005E-2</v>
      </c>
      <c r="N848" s="55">
        <v>-6.4537590000000006E-2</v>
      </c>
    </row>
    <row r="849" spans="1:14" hidden="1" x14ac:dyDescent="0.35">
      <c r="A849" s="52" t="s">
        <v>579</v>
      </c>
      <c r="B849" s="52" t="s">
        <v>37</v>
      </c>
      <c r="C849" s="52" t="s">
        <v>115</v>
      </c>
      <c r="D849" s="52" t="s">
        <v>115</v>
      </c>
      <c r="E849" s="52" t="s">
        <v>597</v>
      </c>
      <c r="F849" s="52" t="s">
        <v>581</v>
      </c>
      <c r="G849" s="55" t="s">
        <v>277</v>
      </c>
      <c r="H849" s="55">
        <v>26.6</v>
      </c>
      <c r="I849" s="55">
        <v>3.3300740000000002</v>
      </c>
      <c r="J849" s="55">
        <v>1.9448780000000001</v>
      </c>
      <c r="K849" s="55">
        <v>1.0551550000000001</v>
      </c>
      <c r="L849" s="55">
        <v>1.580473</v>
      </c>
      <c r="M849" s="55">
        <v>0</v>
      </c>
      <c r="N849" s="55">
        <v>0</v>
      </c>
    </row>
    <row r="850" spans="1:14" hidden="1" x14ac:dyDescent="0.35">
      <c r="A850" s="52" t="s">
        <v>579</v>
      </c>
      <c r="B850" s="52" t="s">
        <v>37</v>
      </c>
      <c r="C850" s="52" t="s">
        <v>115</v>
      </c>
      <c r="D850" s="52" t="s">
        <v>115</v>
      </c>
      <c r="E850" s="52" t="s">
        <v>597</v>
      </c>
      <c r="F850" s="52" t="s">
        <v>581</v>
      </c>
      <c r="G850" s="55" t="s">
        <v>278</v>
      </c>
      <c r="H850" s="55">
        <v>0</v>
      </c>
      <c r="I850" s="55">
        <v>0.28438530000000001</v>
      </c>
      <c r="J850" s="55">
        <v>1.2230380000000001</v>
      </c>
      <c r="K850" s="55">
        <v>2.2816100000000001</v>
      </c>
      <c r="L850" s="55">
        <v>1.8736029999999999</v>
      </c>
      <c r="M850" s="55">
        <v>0</v>
      </c>
      <c r="N850" s="55">
        <v>0</v>
      </c>
    </row>
    <row r="851" spans="1:14" hidden="1" x14ac:dyDescent="0.35">
      <c r="A851" s="52" t="s">
        <v>579</v>
      </c>
      <c r="B851" s="52" t="s">
        <v>37</v>
      </c>
      <c r="C851" s="52" t="s">
        <v>115</v>
      </c>
      <c r="D851" s="52" t="s">
        <v>115</v>
      </c>
      <c r="E851" s="52" t="s">
        <v>597</v>
      </c>
      <c r="F851" s="52" t="s">
        <v>581</v>
      </c>
      <c r="G851" s="55" t="s">
        <v>279</v>
      </c>
      <c r="H851" s="55">
        <v>1.2967649999999999</v>
      </c>
      <c r="I851" s="55">
        <v>1.309301</v>
      </c>
      <c r="J851" s="55">
        <v>1.8823129999999999</v>
      </c>
      <c r="K851" s="55">
        <v>2.10148</v>
      </c>
      <c r="L851" s="55">
        <v>2.6453250000000001</v>
      </c>
      <c r="M851" s="55">
        <v>2.1951040000000002</v>
      </c>
      <c r="N851" s="55">
        <v>1.6059159999999999</v>
      </c>
    </row>
    <row r="852" spans="1:14" hidden="1" x14ac:dyDescent="0.35">
      <c r="A852" s="52" t="s">
        <v>579</v>
      </c>
      <c r="B852" s="52" t="s">
        <v>37</v>
      </c>
      <c r="C852" s="52" t="s">
        <v>115</v>
      </c>
      <c r="D852" s="52" t="s">
        <v>115</v>
      </c>
      <c r="E852" s="52" t="s">
        <v>597</v>
      </c>
      <c r="F852" s="52" t="s">
        <v>26</v>
      </c>
      <c r="G852" s="55" t="s">
        <v>275</v>
      </c>
      <c r="H852" s="55">
        <v>4.4019999999999997E-3</v>
      </c>
      <c r="I852" s="55">
        <v>2.6186E-3</v>
      </c>
      <c r="J852" s="55">
        <v>1.1173499999999999E-2</v>
      </c>
      <c r="K852" s="55">
        <v>8.2413999999999994E-3</v>
      </c>
      <c r="L852" s="55">
        <v>1.6442200000000001E-2</v>
      </c>
      <c r="M852" s="55">
        <v>-1.6999990000000001E-4</v>
      </c>
      <c r="N852" s="55">
        <v>-2.6719979999999998E-4</v>
      </c>
    </row>
    <row r="853" spans="1:14" hidden="1" x14ac:dyDescent="0.35">
      <c r="A853" s="52" t="s">
        <v>579</v>
      </c>
      <c r="B853" s="52" t="s">
        <v>37</v>
      </c>
      <c r="C853" s="52" t="s">
        <v>115</v>
      </c>
      <c r="D853" s="52" t="s">
        <v>115</v>
      </c>
      <c r="E853" s="52" t="s">
        <v>597</v>
      </c>
      <c r="F853" s="52" t="s">
        <v>26</v>
      </c>
      <c r="G853" s="55" t="s">
        <v>276</v>
      </c>
      <c r="H853" s="55">
        <v>1.17E-3</v>
      </c>
      <c r="I853" s="55">
        <v>6.96E-4</v>
      </c>
      <c r="J853" s="55">
        <v>2.9705999999999999E-3</v>
      </c>
      <c r="K853" s="55">
        <v>2.1898E-3</v>
      </c>
      <c r="L853" s="55">
        <v>4.3715999999999998E-3</v>
      </c>
      <c r="M853" s="55">
        <v>-4.559994E-5</v>
      </c>
      <c r="N853" s="55">
        <v>-7.0499980000000005E-5</v>
      </c>
    </row>
    <row r="854" spans="1:14" hidden="1" x14ac:dyDescent="0.35">
      <c r="A854" s="52" t="s">
        <v>579</v>
      </c>
      <c r="B854" s="52" t="s">
        <v>37</v>
      </c>
      <c r="C854" s="52" t="s">
        <v>115</v>
      </c>
      <c r="D854" s="52" t="s">
        <v>115</v>
      </c>
      <c r="E854" s="52" t="s">
        <v>597</v>
      </c>
      <c r="F854" s="52" t="s">
        <v>26</v>
      </c>
      <c r="G854" s="55" t="s">
        <v>279</v>
      </c>
      <c r="H854" s="55">
        <v>6.6406000000000007E-2</v>
      </c>
      <c r="I854" s="55">
        <v>7.6177099999999998E-2</v>
      </c>
      <c r="J854" s="55">
        <v>0.1102505</v>
      </c>
      <c r="K854" s="55">
        <v>0.1239431</v>
      </c>
      <c r="L854" s="55">
        <v>0.1591224</v>
      </c>
      <c r="M854" s="55">
        <v>0.12962309999999999</v>
      </c>
      <c r="N854" s="55">
        <v>9.4835699999999995E-2</v>
      </c>
    </row>
    <row r="855" spans="1:14" hidden="1" x14ac:dyDescent="0.35">
      <c r="A855" s="52" t="s">
        <v>579</v>
      </c>
      <c r="B855" s="52" t="s">
        <v>37</v>
      </c>
      <c r="C855" s="52" t="s">
        <v>115</v>
      </c>
      <c r="D855" s="52" t="s">
        <v>115</v>
      </c>
      <c r="E855" s="52" t="s">
        <v>596</v>
      </c>
      <c r="F855" s="52" t="s">
        <v>581</v>
      </c>
      <c r="G855" s="55" t="s">
        <v>275</v>
      </c>
      <c r="H855" s="55">
        <v>-14.01989</v>
      </c>
      <c r="I855" s="55">
        <v>0.60087069999999998</v>
      </c>
      <c r="J855" s="55">
        <v>1.989144</v>
      </c>
      <c r="K855" s="55">
        <v>2.3627560000000001</v>
      </c>
      <c r="L855" s="55">
        <v>2.651815</v>
      </c>
      <c r="M855" s="55">
        <v>0.91896330000000004</v>
      </c>
      <c r="N855" s="55">
        <v>0.68229580000000001</v>
      </c>
    </row>
    <row r="856" spans="1:14" hidden="1" x14ac:dyDescent="0.35">
      <c r="A856" s="52" t="s">
        <v>579</v>
      </c>
      <c r="B856" s="52" t="s">
        <v>37</v>
      </c>
      <c r="C856" s="52" t="s">
        <v>115</v>
      </c>
      <c r="D856" s="52" t="s">
        <v>115</v>
      </c>
      <c r="E856" s="52" t="s">
        <v>596</v>
      </c>
      <c r="F856" s="52" t="s">
        <v>581</v>
      </c>
      <c r="G856" s="55" t="s">
        <v>276</v>
      </c>
      <c r="H856" s="55">
        <v>-9.9645990000000004E-2</v>
      </c>
      <c r="I856" s="55">
        <v>-0.77075000000000005</v>
      </c>
      <c r="J856" s="55">
        <v>-0.4462931</v>
      </c>
      <c r="K856" s="55">
        <v>-1.0276780000000001</v>
      </c>
      <c r="L856" s="55">
        <v>-1.4515389999999999</v>
      </c>
      <c r="M856" s="55">
        <v>1.8075730000000002E-2</v>
      </c>
      <c r="N856" s="55">
        <v>0.16560320000000001</v>
      </c>
    </row>
    <row r="857" spans="1:14" hidden="1" x14ac:dyDescent="0.35">
      <c r="A857" s="52" t="s">
        <v>579</v>
      </c>
      <c r="B857" s="52" t="s">
        <v>37</v>
      </c>
      <c r="C857" s="52" t="s">
        <v>115</v>
      </c>
      <c r="D857" s="52" t="s">
        <v>115</v>
      </c>
      <c r="E857" s="52" t="s">
        <v>596</v>
      </c>
      <c r="F857" s="52" t="s">
        <v>581</v>
      </c>
      <c r="G857" s="55" t="s">
        <v>277</v>
      </c>
      <c r="H857" s="55">
        <v>19.25</v>
      </c>
      <c r="I857" s="55">
        <v>2.0413559999999999</v>
      </c>
      <c r="J857" s="55">
        <v>0.14480109999999999</v>
      </c>
      <c r="K857" s="55">
        <v>0</v>
      </c>
      <c r="L857" s="55"/>
      <c r="M857" s="55">
        <v>0</v>
      </c>
      <c r="N857" s="55">
        <v>0</v>
      </c>
    </row>
    <row r="858" spans="1:14" hidden="1" x14ac:dyDescent="0.35">
      <c r="A858" s="52" t="s">
        <v>579</v>
      </c>
      <c r="B858" s="52" t="s">
        <v>37</v>
      </c>
      <c r="C858" s="52" t="s">
        <v>115</v>
      </c>
      <c r="D858" s="52" t="s">
        <v>115</v>
      </c>
      <c r="E858" s="52" t="s">
        <v>596</v>
      </c>
      <c r="F858" s="52" t="s">
        <v>581</v>
      </c>
      <c r="G858" s="55" t="s">
        <v>279</v>
      </c>
      <c r="H858" s="55">
        <v>2.4985430000000002</v>
      </c>
      <c r="I858" s="55">
        <v>2.2046679999999999</v>
      </c>
      <c r="J858" s="55">
        <v>1.8677539999999999</v>
      </c>
      <c r="K858" s="55">
        <v>1.575366</v>
      </c>
      <c r="L858" s="55">
        <v>1.32453</v>
      </c>
      <c r="M858" s="55">
        <v>1.320147</v>
      </c>
      <c r="N858" s="55">
        <v>1.182733</v>
      </c>
    </row>
    <row r="859" spans="1:14" hidden="1" x14ac:dyDescent="0.35">
      <c r="A859" s="52" t="s">
        <v>579</v>
      </c>
      <c r="B859" s="52" t="s">
        <v>37</v>
      </c>
      <c r="C859" s="52" t="s">
        <v>115</v>
      </c>
      <c r="D859" s="52" t="s">
        <v>115</v>
      </c>
      <c r="E859" s="52" t="s">
        <v>596</v>
      </c>
      <c r="F859" s="52" t="s">
        <v>26</v>
      </c>
      <c r="G859" s="55" t="s">
        <v>275</v>
      </c>
      <c r="H859" s="55">
        <v>-5.1889989999999997E-3</v>
      </c>
      <c r="I859" s="55">
        <v>-1.7769500000000001E-2</v>
      </c>
      <c r="J859" s="55">
        <v>7.4703E-3</v>
      </c>
      <c r="K859" s="55">
        <v>-4.3585000000000004E-3</v>
      </c>
      <c r="L859" s="55">
        <v>-7.7490139999999996E-4</v>
      </c>
      <c r="M859" s="55">
        <v>-2.0357500000000001E-2</v>
      </c>
      <c r="N859" s="55">
        <v>-1.8323699999999998E-2</v>
      </c>
    </row>
    <row r="860" spans="1:14" hidden="1" x14ac:dyDescent="0.35">
      <c r="A860" s="52" t="s">
        <v>579</v>
      </c>
      <c r="B860" s="52" t="s">
        <v>37</v>
      </c>
      <c r="C860" s="52" t="s">
        <v>115</v>
      </c>
      <c r="D860" s="52" t="s">
        <v>115</v>
      </c>
      <c r="E860" s="52" t="s">
        <v>596</v>
      </c>
      <c r="F860" s="52" t="s">
        <v>26</v>
      </c>
      <c r="G860" s="55" t="s">
        <v>276</v>
      </c>
      <c r="H860" s="55">
        <v>-1.379E-3</v>
      </c>
      <c r="I860" s="55">
        <v>-4.7238000000000002E-3</v>
      </c>
      <c r="J860" s="55">
        <v>1.9851999999999999E-3</v>
      </c>
      <c r="K860" s="55">
        <v>-1.1586000000000001E-3</v>
      </c>
      <c r="L860" s="55">
        <v>-2.0649979999999999E-4</v>
      </c>
      <c r="M860" s="55">
        <v>-5.4118999999999999E-3</v>
      </c>
      <c r="N860" s="55">
        <v>-4.8710999999999997E-3</v>
      </c>
    </row>
    <row r="861" spans="1:14" hidden="1" x14ac:dyDescent="0.35">
      <c r="A861" s="52" t="s">
        <v>579</v>
      </c>
      <c r="B861" s="52" t="s">
        <v>37</v>
      </c>
      <c r="C861" s="52" t="s">
        <v>115</v>
      </c>
      <c r="D861" s="52" t="s">
        <v>115</v>
      </c>
      <c r="E861" s="52" t="s">
        <v>596</v>
      </c>
      <c r="F861" s="52" t="s">
        <v>26</v>
      </c>
      <c r="G861" s="55" t="s">
        <v>279</v>
      </c>
      <c r="H861" s="55">
        <v>0.42803400000000003</v>
      </c>
      <c r="I861" s="55">
        <v>0.4206877</v>
      </c>
      <c r="J861" s="55">
        <v>0.35853069999999998</v>
      </c>
      <c r="K861" s="55">
        <v>0.30519380000000002</v>
      </c>
      <c r="L861" s="55">
        <v>0.25980910000000002</v>
      </c>
      <c r="M861" s="55">
        <v>0.25602740000000002</v>
      </c>
      <c r="N861" s="55">
        <v>0.2292479</v>
      </c>
    </row>
    <row r="862" spans="1:14" hidden="1" x14ac:dyDescent="0.35">
      <c r="A862" s="52" t="s">
        <v>579</v>
      </c>
      <c r="B862" s="52" t="s">
        <v>37</v>
      </c>
      <c r="C862" s="52" t="s">
        <v>79</v>
      </c>
      <c r="D862" s="52" t="s">
        <v>79</v>
      </c>
      <c r="E862" s="52" t="s">
        <v>598</v>
      </c>
      <c r="F862" s="52" t="s">
        <v>581</v>
      </c>
      <c r="G862" s="55" t="s">
        <v>275</v>
      </c>
      <c r="H862" s="55">
        <v>3.3187000000000001E-2</v>
      </c>
      <c r="I862" s="55">
        <v>6.2811000000000004E-3</v>
      </c>
      <c r="J862" s="55">
        <v>1.02802E-2</v>
      </c>
      <c r="K862" s="55">
        <v>8.5101010000000008E-3</v>
      </c>
      <c r="L862" s="55">
        <v>1.2296899999999999E-2</v>
      </c>
      <c r="M862" s="55">
        <v>7.5817000000000002E-3</v>
      </c>
      <c r="N862" s="55">
        <v>8.7067010000000007E-3</v>
      </c>
    </row>
    <row r="863" spans="1:14" hidden="1" x14ac:dyDescent="0.35">
      <c r="A863" s="52" t="s">
        <v>579</v>
      </c>
      <c r="B863" s="52" t="s">
        <v>37</v>
      </c>
      <c r="C863" s="52" t="s">
        <v>79</v>
      </c>
      <c r="D863" s="52" t="s">
        <v>79</v>
      </c>
      <c r="E863" s="52" t="s">
        <v>598</v>
      </c>
      <c r="F863" s="52" t="s">
        <v>581</v>
      </c>
      <c r="G863" s="55" t="s">
        <v>276</v>
      </c>
      <c r="H863" s="55">
        <v>1.0154E-2</v>
      </c>
      <c r="I863" s="55">
        <v>1.9216999999999999E-3</v>
      </c>
      <c r="J863" s="55">
        <v>3.1454E-3</v>
      </c>
      <c r="K863" s="55">
        <v>2.6042999999999999E-3</v>
      </c>
      <c r="L863" s="55">
        <v>3.7623000000000001E-3</v>
      </c>
      <c r="M863" s="55">
        <v>2.3197999999999999E-3</v>
      </c>
      <c r="N863" s="55">
        <v>2.6626000000000002E-3</v>
      </c>
    </row>
    <row r="864" spans="1:14" hidden="1" x14ac:dyDescent="0.35">
      <c r="A864" s="52" t="s">
        <v>579</v>
      </c>
      <c r="B864" s="52" t="s">
        <v>37</v>
      </c>
      <c r="C864" s="52" t="s">
        <v>79</v>
      </c>
      <c r="D864" s="52" t="s">
        <v>79</v>
      </c>
      <c r="E864" s="52" t="s">
        <v>598</v>
      </c>
      <c r="F864" s="52" t="s">
        <v>581</v>
      </c>
      <c r="G864" s="55" t="s">
        <v>279</v>
      </c>
      <c r="H864" s="55">
        <v>4.2432999999999998E-2</v>
      </c>
      <c r="I864" s="55">
        <v>5.1102399999999999E-2</v>
      </c>
      <c r="J864" s="55">
        <v>6.7902400000000002E-2</v>
      </c>
      <c r="K864" s="55">
        <v>7.1891899999999995E-2</v>
      </c>
      <c r="L864" s="55">
        <v>8.1252599999999994E-2</v>
      </c>
      <c r="M864" s="55">
        <v>0.12939290000000001</v>
      </c>
      <c r="N864" s="55">
        <v>0.14208599999999999</v>
      </c>
    </row>
    <row r="865" spans="1:14" hidden="1" x14ac:dyDescent="0.35">
      <c r="A865" s="52" t="s">
        <v>579</v>
      </c>
      <c r="B865" s="52" t="s">
        <v>37</v>
      </c>
      <c r="C865" s="52" t="s">
        <v>79</v>
      </c>
      <c r="D865" s="52" t="s">
        <v>79</v>
      </c>
      <c r="E865" s="52" t="s">
        <v>598</v>
      </c>
      <c r="F865" s="52" t="s">
        <v>26</v>
      </c>
      <c r="G865" s="55" t="s">
        <v>275</v>
      </c>
      <c r="H865" s="55">
        <v>1.694974</v>
      </c>
      <c r="I865" s="55">
        <v>-1.808602</v>
      </c>
      <c r="J865" s="55">
        <v>1.2135800000000001</v>
      </c>
      <c r="K865" s="55">
        <v>1.413656</v>
      </c>
      <c r="L865" s="55">
        <v>-2.1222059999999998</v>
      </c>
      <c r="M865" s="55">
        <v>-0.2013161</v>
      </c>
      <c r="N865" s="55">
        <v>0.96197690000000002</v>
      </c>
    </row>
    <row r="866" spans="1:14" hidden="1" x14ac:dyDescent="0.35">
      <c r="A866" s="52" t="s">
        <v>579</v>
      </c>
      <c r="B866" s="52" t="s">
        <v>37</v>
      </c>
      <c r="C866" s="52" t="s">
        <v>79</v>
      </c>
      <c r="D866" s="52" t="s">
        <v>79</v>
      </c>
      <c r="E866" s="52" t="s">
        <v>598</v>
      </c>
      <c r="F866" s="52" t="s">
        <v>26</v>
      </c>
      <c r="G866" s="55" t="s">
        <v>276</v>
      </c>
      <c r="H866" s="55">
        <v>2.6599000000000001E-2</v>
      </c>
      <c r="I866" s="55">
        <v>0.22792589999999999</v>
      </c>
      <c r="J866" s="55">
        <v>0.75712429999999997</v>
      </c>
      <c r="K866" s="55">
        <v>0.2429289</v>
      </c>
      <c r="L866" s="55">
        <v>0.57582999999999995</v>
      </c>
      <c r="M866" s="55">
        <v>0.38891779999999998</v>
      </c>
      <c r="N866" s="55">
        <v>0.61935830000000003</v>
      </c>
    </row>
    <row r="867" spans="1:14" hidden="1" x14ac:dyDescent="0.35">
      <c r="A867" s="52" t="s">
        <v>579</v>
      </c>
      <c r="B867" s="52" t="s">
        <v>37</v>
      </c>
      <c r="C867" s="52" t="s">
        <v>79</v>
      </c>
      <c r="D867" s="52" t="s">
        <v>79</v>
      </c>
      <c r="E867" s="52" t="s">
        <v>598</v>
      </c>
      <c r="F867" s="52" t="s">
        <v>26</v>
      </c>
      <c r="G867" s="55" t="s">
        <v>277</v>
      </c>
      <c r="H867" s="55">
        <v>1.1000000000000001</v>
      </c>
      <c r="I867" s="55">
        <v>4.3654599999999997</v>
      </c>
      <c r="J867" s="55">
        <v>2.6174390000000001</v>
      </c>
      <c r="K867" s="55">
        <v>2.4038840000000001</v>
      </c>
      <c r="L867" s="55">
        <v>5.8351629999999997</v>
      </c>
      <c r="M867" s="55">
        <v>5.1058180000000002</v>
      </c>
      <c r="N867" s="55">
        <v>5.418526</v>
      </c>
    </row>
    <row r="868" spans="1:14" hidden="1" x14ac:dyDescent="0.35">
      <c r="A868" s="52" t="s">
        <v>579</v>
      </c>
      <c r="B868" s="52" t="s">
        <v>37</v>
      </c>
      <c r="C868" s="52" t="s">
        <v>79</v>
      </c>
      <c r="D868" s="52" t="s">
        <v>79</v>
      </c>
      <c r="E868" s="52" t="s">
        <v>598</v>
      </c>
      <c r="F868" s="52" t="s">
        <v>26</v>
      </c>
      <c r="G868" s="55" t="s">
        <v>278</v>
      </c>
      <c r="H868" s="55">
        <v>0</v>
      </c>
      <c r="I868" s="55">
        <v>0.41433799999999998</v>
      </c>
      <c r="J868" s="55">
        <v>0.70494999999999997</v>
      </c>
      <c r="K868" s="55">
        <v>0.84910799999999997</v>
      </c>
      <c r="L868" s="55">
        <v>1.527169</v>
      </c>
      <c r="M868" s="55">
        <v>1.6001030000000001</v>
      </c>
      <c r="N868" s="55">
        <v>0.54581590000000002</v>
      </c>
    </row>
    <row r="869" spans="1:14" hidden="1" x14ac:dyDescent="0.35">
      <c r="A869" s="52" t="s">
        <v>579</v>
      </c>
      <c r="B869" s="52" t="s">
        <v>37</v>
      </c>
      <c r="C869" s="52" t="s">
        <v>79</v>
      </c>
      <c r="D869" s="52" t="s">
        <v>79</v>
      </c>
      <c r="E869" s="52" t="s">
        <v>598</v>
      </c>
      <c r="F869" s="52" t="s">
        <v>26</v>
      </c>
      <c r="G869" s="55" t="s">
        <v>279</v>
      </c>
      <c r="H869" s="55">
        <v>5.1169560000000001</v>
      </c>
      <c r="I869" s="55">
        <v>6.4984270000000004</v>
      </c>
      <c r="J869" s="55">
        <v>8.7322249999999997</v>
      </c>
      <c r="K869" s="55">
        <v>9.2945039999999999</v>
      </c>
      <c r="L869" s="55">
        <v>10.71134</v>
      </c>
      <c r="M869" s="55">
        <v>16.592749999999999</v>
      </c>
      <c r="N869" s="55">
        <v>18.217590000000001</v>
      </c>
    </row>
    <row r="870" spans="1:14" hidden="1" x14ac:dyDescent="0.35">
      <c r="A870" s="52" t="s">
        <v>579</v>
      </c>
      <c r="B870" s="52" t="s">
        <v>37</v>
      </c>
      <c r="C870" s="52" t="s">
        <v>79</v>
      </c>
      <c r="D870" s="52" t="s">
        <v>79</v>
      </c>
      <c r="E870" s="52" t="s">
        <v>584</v>
      </c>
      <c r="F870" s="52" t="s">
        <v>581</v>
      </c>
      <c r="G870" s="55" t="s">
        <v>275</v>
      </c>
      <c r="H870" s="55">
        <v>0.68974599999999997</v>
      </c>
      <c r="I870" s="55">
        <v>-9.6620819999999998</v>
      </c>
      <c r="J870" s="55">
        <v>-1.798009</v>
      </c>
      <c r="K870" s="55">
        <v>-0.1392776</v>
      </c>
      <c r="L870" s="55">
        <v>-0.64834650000000005</v>
      </c>
      <c r="M870" s="55">
        <v>-0.8362522</v>
      </c>
      <c r="N870" s="55">
        <v>-0.71875149999999999</v>
      </c>
    </row>
    <row r="871" spans="1:14" hidden="1" x14ac:dyDescent="0.35">
      <c r="A871" s="52" t="s">
        <v>579</v>
      </c>
      <c r="B871" s="52" t="s">
        <v>37</v>
      </c>
      <c r="C871" s="52" t="s">
        <v>79</v>
      </c>
      <c r="D871" s="52" t="s">
        <v>79</v>
      </c>
      <c r="E871" s="52" t="s">
        <v>584</v>
      </c>
      <c r="F871" s="52" t="s">
        <v>581</v>
      </c>
      <c r="G871" s="55" t="s">
        <v>276</v>
      </c>
      <c r="H871" s="55">
        <v>1.221109</v>
      </c>
      <c r="I871" s="55">
        <v>-2.314063</v>
      </c>
      <c r="J871" s="55">
        <v>-0.46307199999999998</v>
      </c>
      <c r="K871" s="55">
        <v>-2.00339</v>
      </c>
      <c r="L871" s="55">
        <v>-0.95866240000000003</v>
      </c>
      <c r="M871" s="55">
        <v>-0.56296159999999995</v>
      </c>
      <c r="N871" s="55">
        <v>-0.47680159999999999</v>
      </c>
    </row>
    <row r="872" spans="1:14" hidden="1" x14ac:dyDescent="0.35">
      <c r="A872" s="52" t="s">
        <v>579</v>
      </c>
      <c r="B872" s="52" t="s">
        <v>37</v>
      </c>
      <c r="C872" s="52" t="s">
        <v>79</v>
      </c>
      <c r="D872" s="52" t="s">
        <v>79</v>
      </c>
      <c r="E872" s="52" t="s">
        <v>584</v>
      </c>
      <c r="F872" s="52" t="s">
        <v>581</v>
      </c>
      <c r="G872" s="55" t="s">
        <v>277</v>
      </c>
      <c r="H872" s="55">
        <v>11.799379999999999</v>
      </c>
      <c r="I872" s="55">
        <v>7.6065610000000001</v>
      </c>
      <c r="J872" s="55">
        <v>6.9828799999999998</v>
      </c>
      <c r="K872" s="55">
        <v>6.550935</v>
      </c>
      <c r="L872" s="55">
        <v>5.7448100000000002</v>
      </c>
      <c r="M872" s="55">
        <v>5.3835329999999999</v>
      </c>
      <c r="N872" s="55">
        <v>5.0659689999999999</v>
      </c>
    </row>
    <row r="873" spans="1:14" hidden="1" x14ac:dyDescent="0.35">
      <c r="A873" s="52" t="s">
        <v>579</v>
      </c>
      <c r="B873" s="52" t="s">
        <v>37</v>
      </c>
      <c r="C873" s="52" t="s">
        <v>79</v>
      </c>
      <c r="D873" s="52" t="s">
        <v>79</v>
      </c>
      <c r="E873" s="52" t="s">
        <v>584</v>
      </c>
      <c r="F873" s="52" t="s">
        <v>581</v>
      </c>
      <c r="G873" s="55" t="s">
        <v>279</v>
      </c>
      <c r="H873" s="55">
        <v>4.6436260000000003</v>
      </c>
      <c r="I873" s="55">
        <v>12.485340000000001</v>
      </c>
      <c r="J873" s="55">
        <v>3.05647</v>
      </c>
      <c r="K873" s="55">
        <v>3.1769820000000002</v>
      </c>
      <c r="L873" s="55">
        <v>3.2424379999999999</v>
      </c>
      <c r="M873" s="55">
        <v>3.0755849999999998</v>
      </c>
      <c r="N873" s="55">
        <v>2.9345979999999998</v>
      </c>
    </row>
    <row r="874" spans="1:14" hidden="1" x14ac:dyDescent="0.35">
      <c r="A874" s="52" t="s">
        <v>579</v>
      </c>
      <c r="B874" s="52" t="s">
        <v>37</v>
      </c>
      <c r="C874" s="52" t="s">
        <v>79</v>
      </c>
      <c r="D874" s="52" t="s">
        <v>79</v>
      </c>
      <c r="E874" s="52" t="s">
        <v>584</v>
      </c>
      <c r="F874" s="52" t="s">
        <v>26</v>
      </c>
      <c r="G874" s="55" t="s">
        <v>275</v>
      </c>
      <c r="H874" s="55">
        <v>1.3117460000000001</v>
      </c>
      <c r="I874" s="55">
        <v>-42.479370000000003</v>
      </c>
      <c r="J874" s="55">
        <v>0.49754209999999999</v>
      </c>
      <c r="K874" s="55">
        <v>0.37563999999999997</v>
      </c>
      <c r="L874" s="55">
        <v>0.28113199999999999</v>
      </c>
      <c r="M874" s="55">
        <v>0.25298480000000001</v>
      </c>
      <c r="N874" s="55">
        <v>0.22834360000000001</v>
      </c>
    </row>
    <row r="875" spans="1:14" hidden="1" x14ac:dyDescent="0.35">
      <c r="A875" s="52" t="s">
        <v>579</v>
      </c>
      <c r="B875" s="52" t="s">
        <v>37</v>
      </c>
      <c r="C875" s="52" t="s">
        <v>79</v>
      </c>
      <c r="D875" s="52" t="s">
        <v>79</v>
      </c>
      <c r="E875" s="52" t="s">
        <v>584</v>
      </c>
      <c r="F875" s="52" t="s">
        <v>26</v>
      </c>
      <c r="G875" s="55" t="s">
        <v>276</v>
      </c>
      <c r="H875" s="55">
        <v>-0.52717789999999998</v>
      </c>
      <c r="I875" s="55">
        <v>-11.291980000000001</v>
      </c>
      <c r="J875" s="55">
        <v>0.1322584</v>
      </c>
      <c r="K875" s="55">
        <v>9.9853399999999995E-2</v>
      </c>
      <c r="L875" s="55">
        <v>7.47308E-2</v>
      </c>
      <c r="M875" s="55">
        <v>6.7249299999999998E-2</v>
      </c>
      <c r="N875" s="55">
        <v>6.0698700000000001E-2</v>
      </c>
    </row>
    <row r="876" spans="1:14" hidden="1" x14ac:dyDescent="0.35">
      <c r="A876" s="52" t="s">
        <v>579</v>
      </c>
      <c r="B876" s="52" t="s">
        <v>37</v>
      </c>
      <c r="C876" s="52" t="s">
        <v>79</v>
      </c>
      <c r="D876" s="52" t="s">
        <v>79</v>
      </c>
      <c r="E876" s="52" t="s">
        <v>584</v>
      </c>
      <c r="F876" s="52" t="s">
        <v>26</v>
      </c>
      <c r="G876" s="55" t="s">
        <v>279</v>
      </c>
      <c r="H876" s="55">
        <v>2.2113849999999999</v>
      </c>
      <c r="I876" s="55">
        <v>56.074750000000002</v>
      </c>
      <c r="J876" s="55">
        <v>1.5873539999999999</v>
      </c>
      <c r="K876" s="55">
        <v>1.573048</v>
      </c>
      <c r="L876" s="55">
        <v>1.521806</v>
      </c>
      <c r="M876" s="55">
        <v>1.3629770000000001</v>
      </c>
      <c r="N876" s="55">
        <v>1.227266</v>
      </c>
    </row>
    <row r="877" spans="1:14" hidden="1" x14ac:dyDescent="0.35">
      <c r="A877" s="52" t="s">
        <v>579</v>
      </c>
      <c r="B877" s="52" t="s">
        <v>37</v>
      </c>
      <c r="C877" s="52" t="s">
        <v>109</v>
      </c>
      <c r="D877" s="52" t="s">
        <v>109</v>
      </c>
      <c r="E877" s="52" t="s">
        <v>584</v>
      </c>
      <c r="F877" s="52" t="s">
        <v>581</v>
      </c>
      <c r="G877" s="55" t="s">
        <v>275</v>
      </c>
      <c r="H877" s="55">
        <v>1.97427</v>
      </c>
      <c r="I877" s="55">
        <v>1.1998800000000001</v>
      </c>
      <c r="J877" s="55">
        <v>1.0475319999999999</v>
      </c>
      <c r="K877" s="55">
        <v>1.5045500000000001</v>
      </c>
      <c r="L877" s="55">
        <v>1.4394960000000001</v>
      </c>
      <c r="M877" s="55">
        <v>1.8661460000000001</v>
      </c>
      <c r="N877" s="55">
        <v>-7.5324730000000004</v>
      </c>
    </row>
    <row r="878" spans="1:14" hidden="1" x14ac:dyDescent="0.35">
      <c r="A878" s="52" t="s">
        <v>579</v>
      </c>
      <c r="B878" s="52" t="s">
        <v>37</v>
      </c>
      <c r="C878" s="52" t="s">
        <v>109</v>
      </c>
      <c r="D878" s="52" t="s">
        <v>109</v>
      </c>
      <c r="E878" s="52" t="s">
        <v>584</v>
      </c>
      <c r="F878" s="52" t="s">
        <v>581</v>
      </c>
      <c r="G878" s="55" t="s">
        <v>276</v>
      </c>
      <c r="H878" s="55">
        <v>3.2468669999999999</v>
      </c>
      <c r="I878" s="55">
        <v>0.13251550000000001</v>
      </c>
      <c r="J878" s="55">
        <v>-0.68622229999999995</v>
      </c>
      <c r="K878" s="55">
        <v>-0.31739830000000002</v>
      </c>
      <c r="L878" s="55">
        <v>-0.31166149999999998</v>
      </c>
      <c r="M878" s="55">
        <v>-33.120289999999997</v>
      </c>
      <c r="N878" s="55">
        <v>-2.9253279999999999</v>
      </c>
    </row>
    <row r="879" spans="1:14" hidden="1" x14ac:dyDescent="0.35">
      <c r="A879" s="52" t="s">
        <v>579</v>
      </c>
      <c r="B879" s="52" t="s">
        <v>37</v>
      </c>
      <c r="C879" s="52" t="s">
        <v>109</v>
      </c>
      <c r="D879" s="52" t="s">
        <v>109</v>
      </c>
      <c r="E879" s="52" t="s">
        <v>584</v>
      </c>
      <c r="F879" s="52" t="s">
        <v>581</v>
      </c>
      <c r="G879" s="55" t="s">
        <v>277</v>
      </c>
      <c r="H879" s="55">
        <v>0.601997</v>
      </c>
      <c r="I879" s="55">
        <v>0.45328459999999998</v>
      </c>
      <c r="J879" s="55">
        <v>0.392793</v>
      </c>
      <c r="K879" s="55">
        <v>0.46533400000000003</v>
      </c>
      <c r="L879" s="55">
        <v>0.56183150000000004</v>
      </c>
      <c r="M879" s="55">
        <v>0.57587699999999997</v>
      </c>
      <c r="N879" s="55">
        <v>0.8555005</v>
      </c>
    </row>
    <row r="880" spans="1:14" hidden="1" x14ac:dyDescent="0.35">
      <c r="A880" s="52" t="s">
        <v>579</v>
      </c>
      <c r="B880" s="52" t="s">
        <v>37</v>
      </c>
      <c r="C880" s="52" t="s">
        <v>109</v>
      </c>
      <c r="D880" s="52" t="s">
        <v>109</v>
      </c>
      <c r="E880" s="52" t="s">
        <v>584</v>
      </c>
      <c r="F880" s="52" t="s">
        <v>581</v>
      </c>
      <c r="G880" s="55" t="s">
        <v>278</v>
      </c>
      <c r="H880" s="55">
        <v>0.70274599999999998</v>
      </c>
      <c r="I880" s="55">
        <v>0.70274599999999998</v>
      </c>
      <c r="J880" s="55">
        <v>0.70274599999999998</v>
      </c>
      <c r="K880" s="55">
        <v>0.70274599999999998</v>
      </c>
      <c r="L880" s="55">
        <v>0.70274599999999998</v>
      </c>
      <c r="M880" s="55">
        <v>33.639049999999997</v>
      </c>
      <c r="N880" s="55">
        <v>0.70274599999999998</v>
      </c>
    </row>
    <row r="881" spans="1:14" hidden="1" x14ac:dyDescent="0.35">
      <c r="A881" s="52" t="s">
        <v>579</v>
      </c>
      <c r="B881" s="52" t="s">
        <v>37</v>
      </c>
      <c r="C881" s="52" t="s">
        <v>109</v>
      </c>
      <c r="D881" s="52" t="s">
        <v>109</v>
      </c>
      <c r="E881" s="52" t="s">
        <v>584</v>
      </c>
      <c r="F881" s="52" t="s">
        <v>581</v>
      </c>
      <c r="G881" s="55" t="s">
        <v>279</v>
      </c>
      <c r="H881" s="55">
        <v>2.0888949999999999</v>
      </c>
      <c r="I881" s="55">
        <v>1.930742</v>
      </c>
      <c r="J881" s="55">
        <v>2.9907780000000002</v>
      </c>
      <c r="K881" s="55">
        <v>2.1665420000000002</v>
      </c>
      <c r="L881" s="55">
        <v>2.2087490000000001</v>
      </c>
      <c r="M881" s="55">
        <v>1.4855069999999999</v>
      </c>
      <c r="N881" s="55">
        <v>13.453290000000001</v>
      </c>
    </row>
    <row r="882" spans="1:14" hidden="1" x14ac:dyDescent="0.35">
      <c r="A882" s="52" t="s">
        <v>579</v>
      </c>
      <c r="B882" s="52" t="s">
        <v>37</v>
      </c>
      <c r="C882" s="52" t="s">
        <v>109</v>
      </c>
      <c r="D882" s="52" t="s">
        <v>109</v>
      </c>
      <c r="E882" s="52" t="s">
        <v>584</v>
      </c>
      <c r="F882" s="52" t="s">
        <v>26</v>
      </c>
      <c r="G882" s="55" t="s">
        <v>275</v>
      </c>
      <c r="H882" s="55">
        <v>-0.2303106</v>
      </c>
      <c r="I882" s="55">
        <v>-4.5365830000000003E-3</v>
      </c>
      <c r="J882" s="55">
        <v>-0.52827409999999997</v>
      </c>
      <c r="K882" s="55">
        <v>-4.5269160000000003E-2</v>
      </c>
      <c r="L882" s="55">
        <v>-4.8809449999999997E-2</v>
      </c>
      <c r="M882" s="55">
        <v>-7.0317909999999997E-2</v>
      </c>
      <c r="N882" s="55">
        <v>-7.1992649999999996</v>
      </c>
    </row>
    <row r="883" spans="1:14" hidden="1" x14ac:dyDescent="0.35">
      <c r="A883" s="52" t="s">
        <v>579</v>
      </c>
      <c r="B883" s="52" t="s">
        <v>37</v>
      </c>
      <c r="C883" s="52" t="s">
        <v>109</v>
      </c>
      <c r="D883" s="52" t="s">
        <v>109</v>
      </c>
      <c r="E883" s="52" t="s">
        <v>584</v>
      </c>
      <c r="F883" s="52" t="s">
        <v>26</v>
      </c>
      <c r="G883" s="55" t="s">
        <v>276</v>
      </c>
      <c r="H883" s="55">
        <v>-0.1505937</v>
      </c>
      <c r="I883" s="55">
        <v>-7.8219189999999994E-2</v>
      </c>
      <c r="J883" s="55">
        <v>-0.1642257</v>
      </c>
      <c r="K883" s="55">
        <v>-2.5341200000000001E-2</v>
      </c>
      <c r="L883" s="55">
        <v>-2.4528080000000001E-2</v>
      </c>
      <c r="M883" s="55">
        <v>-2.324099E-2</v>
      </c>
      <c r="N883" s="55">
        <v>-1.91587</v>
      </c>
    </row>
    <row r="884" spans="1:14" hidden="1" x14ac:dyDescent="0.35">
      <c r="A884" s="52" t="s">
        <v>579</v>
      </c>
      <c r="B884" s="52" t="s">
        <v>37</v>
      </c>
      <c r="C884" s="52" t="s">
        <v>109</v>
      </c>
      <c r="D884" s="52" t="s">
        <v>109</v>
      </c>
      <c r="E884" s="52" t="s">
        <v>584</v>
      </c>
      <c r="F884" s="52" t="s">
        <v>26</v>
      </c>
      <c r="G884" s="55" t="s">
        <v>277</v>
      </c>
      <c r="H884" s="55">
        <v>0.25163429999999998</v>
      </c>
      <c r="I884" s="55">
        <v>0.18947230000000001</v>
      </c>
      <c r="J884" s="55">
        <v>0.16418640000000001</v>
      </c>
      <c r="K884" s="55">
        <v>0.16061909999999999</v>
      </c>
      <c r="L884" s="55">
        <v>0.15715229999999999</v>
      </c>
      <c r="M884" s="55">
        <v>0.15376239999999999</v>
      </c>
      <c r="N884" s="55">
        <v>0.1504481</v>
      </c>
    </row>
    <row r="885" spans="1:14" hidden="1" x14ac:dyDescent="0.35">
      <c r="A885" s="52" t="s">
        <v>579</v>
      </c>
      <c r="B885" s="52" t="s">
        <v>37</v>
      </c>
      <c r="C885" s="52" t="s">
        <v>109</v>
      </c>
      <c r="D885" s="52" t="s">
        <v>109</v>
      </c>
      <c r="E885" s="52" t="s">
        <v>584</v>
      </c>
      <c r="F885" s="52" t="s">
        <v>26</v>
      </c>
      <c r="G885" s="55" t="s">
        <v>279</v>
      </c>
      <c r="H885" s="55">
        <v>1.372309</v>
      </c>
      <c r="I885" s="55">
        <v>0.171572</v>
      </c>
      <c r="J885" s="55">
        <v>0.80090609999999995</v>
      </c>
      <c r="K885" s="55">
        <v>0.16626589999999999</v>
      </c>
      <c r="L885" s="55">
        <v>0.15616659999999999</v>
      </c>
      <c r="M885" s="55">
        <v>0.1035021</v>
      </c>
      <c r="N885" s="55">
        <v>9.1151239999999998</v>
      </c>
    </row>
    <row r="886" spans="1:14" hidden="1" x14ac:dyDescent="0.35">
      <c r="A886" s="52" t="s">
        <v>579</v>
      </c>
      <c r="B886" s="52" t="s">
        <v>37</v>
      </c>
      <c r="C886" s="52" t="s">
        <v>599</v>
      </c>
      <c r="D886" s="52" t="s">
        <v>599</v>
      </c>
      <c r="E886" s="52" t="s">
        <v>584</v>
      </c>
      <c r="F886" s="52" t="s">
        <v>26</v>
      </c>
      <c r="G886" s="55" t="s">
        <v>275</v>
      </c>
      <c r="H886" s="55">
        <v>-54.430729999999997</v>
      </c>
      <c r="I886" s="55">
        <v>5.1239049999999997</v>
      </c>
      <c r="J886" s="55">
        <v>5.5713410000000003</v>
      </c>
      <c r="K886" s="55">
        <v>5.0262320000000003</v>
      </c>
      <c r="L886" s="55">
        <v>4.6841549999999996</v>
      </c>
      <c r="M886" s="55">
        <v>-0.57622519999999999</v>
      </c>
      <c r="N886" s="55">
        <v>-0.51304970000000005</v>
      </c>
    </row>
    <row r="887" spans="1:14" hidden="1" x14ac:dyDescent="0.35">
      <c r="A887" s="52" t="s">
        <v>579</v>
      </c>
      <c r="B887" s="52" t="s">
        <v>37</v>
      </c>
      <c r="C887" s="52" t="s">
        <v>599</v>
      </c>
      <c r="D887" s="52" t="s">
        <v>599</v>
      </c>
      <c r="E887" s="52" t="s">
        <v>584</v>
      </c>
      <c r="F887" s="52" t="s">
        <v>26</v>
      </c>
      <c r="G887" s="55" t="s">
        <v>276</v>
      </c>
      <c r="H887" s="55">
        <v>-6.4927130000000002</v>
      </c>
      <c r="I887" s="55">
        <v>-6.1575439999999997</v>
      </c>
      <c r="J887" s="55">
        <v>-6.2767819999999999</v>
      </c>
      <c r="K887" s="55">
        <v>-5.7411789999999998</v>
      </c>
      <c r="L887" s="55">
        <v>-5.287706</v>
      </c>
      <c r="M887" s="55">
        <v>-0.1531739</v>
      </c>
      <c r="N887" s="55">
        <v>-0.13638</v>
      </c>
    </row>
    <row r="888" spans="1:14" hidden="1" x14ac:dyDescent="0.35">
      <c r="A888" s="52" t="s">
        <v>579</v>
      </c>
      <c r="B888" s="52" t="s">
        <v>37</v>
      </c>
      <c r="C888" s="52" t="s">
        <v>599</v>
      </c>
      <c r="D888" s="52" t="s">
        <v>599</v>
      </c>
      <c r="E888" s="52" t="s">
        <v>584</v>
      </c>
      <c r="F888" s="52" t="s">
        <v>26</v>
      </c>
      <c r="G888" s="55" t="s">
        <v>277</v>
      </c>
      <c r="H888" s="55">
        <v>60</v>
      </c>
      <c r="I888" s="55">
        <v>0</v>
      </c>
      <c r="J888" s="55"/>
      <c r="K888" s="55"/>
      <c r="L888" s="55"/>
      <c r="M888" s="55"/>
      <c r="N888" s="55"/>
    </row>
    <row r="889" spans="1:14" hidden="1" x14ac:dyDescent="0.35">
      <c r="A889" s="52" t="s">
        <v>579</v>
      </c>
      <c r="B889" s="52" t="s">
        <v>37</v>
      </c>
      <c r="C889" s="52" t="s">
        <v>599</v>
      </c>
      <c r="D889" s="52" t="s">
        <v>599</v>
      </c>
      <c r="E889" s="52" t="s">
        <v>584</v>
      </c>
      <c r="F889" s="52" t="s">
        <v>26</v>
      </c>
      <c r="G889" s="55" t="s">
        <v>279</v>
      </c>
      <c r="H889" s="55">
        <v>5.208056</v>
      </c>
      <c r="I889" s="55">
        <v>4.3338169999999998</v>
      </c>
      <c r="J889" s="55">
        <v>3.8693230000000001</v>
      </c>
      <c r="K889" s="55">
        <v>3.634029</v>
      </c>
      <c r="L889" s="55">
        <v>3.2983769999999999</v>
      </c>
      <c r="M889" s="55">
        <v>3.2220870000000001</v>
      </c>
      <c r="N889" s="55">
        <v>2.9411710000000002</v>
      </c>
    </row>
    <row r="890" spans="1:14" hidden="1" x14ac:dyDescent="0.35">
      <c r="A890" s="52" t="s">
        <v>579</v>
      </c>
      <c r="B890" s="52" t="s">
        <v>37</v>
      </c>
      <c r="C890" s="52" t="s">
        <v>46</v>
      </c>
      <c r="D890" s="52" t="s">
        <v>46</v>
      </c>
      <c r="E890" s="52" t="s">
        <v>584</v>
      </c>
      <c r="F890" s="52" t="s">
        <v>26</v>
      </c>
      <c r="G890" s="55" t="s">
        <v>275</v>
      </c>
      <c r="H890" s="55">
        <v>-4.0383399999999998</v>
      </c>
      <c r="I890" s="55">
        <v>-2.0631059999999999</v>
      </c>
      <c r="J890" s="55">
        <v>-1.896941</v>
      </c>
      <c r="K890" s="55">
        <v>-1.9727490000000001</v>
      </c>
      <c r="L890" s="55">
        <v>-2.2521740000000001</v>
      </c>
      <c r="M890" s="55">
        <v>-2.527952</v>
      </c>
      <c r="N890" s="55">
        <v>-2.6029230000000001</v>
      </c>
    </row>
    <row r="891" spans="1:14" hidden="1" x14ac:dyDescent="0.35">
      <c r="A891" s="52" t="s">
        <v>579</v>
      </c>
      <c r="B891" s="52" t="s">
        <v>37</v>
      </c>
      <c r="C891" s="52" t="s">
        <v>46</v>
      </c>
      <c r="D891" s="52" t="s">
        <v>46</v>
      </c>
      <c r="E891" s="52" t="s">
        <v>584</v>
      </c>
      <c r="F891" s="52" t="s">
        <v>26</v>
      </c>
      <c r="G891" s="55" t="s">
        <v>276</v>
      </c>
      <c r="H891" s="55">
        <v>-0.74609899999999996</v>
      </c>
      <c r="I891" s="55">
        <v>-0.36930229999999997</v>
      </c>
      <c r="J891" s="55">
        <v>-0.37865979999999999</v>
      </c>
      <c r="K891" s="55">
        <v>-0.80692370000000002</v>
      </c>
      <c r="L891" s="55">
        <v>-0.75871339999999998</v>
      </c>
      <c r="M891" s="55">
        <v>-0.56812379999999996</v>
      </c>
      <c r="N891" s="55">
        <v>-0.58120159999999998</v>
      </c>
    </row>
    <row r="892" spans="1:14" hidden="1" x14ac:dyDescent="0.35">
      <c r="A892" s="52" t="s">
        <v>579</v>
      </c>
      <c r="B892" s="52" t="s">
        <v>37</v>
      </c>
      <c r="C892" s="52" t="s">
        <v>46</v>
      </c>
      <c r="D892" s="52" t="s">
        <v>46</v>
      </c>
      <c r="E892" s="52" t="s">
        <v>584</v>
      </c>
      <c r="F892" s="52" t="s">
        <v>26</v>
      </c>
      <c r="G892" s="55" t="s">
        <v>277</v>
      </c>
      <c r="H892" s="55">
        <v>5.2000010000000003</v>
      </c>
      <c r="I892" s="55">
        <v>2.764364</v>
      </c>
      <c r="J892" s="55">
        <v>2.679446</v>
      </c>
      <c r="K892" s="55">
        <v>3.131259</v>
      </c>
      <c r="L892" s="55">
        <v>3.3186580000000001</v>
      </c>
      <c r="M892" s="55">
        <v>3.4114580000000001</v>
      </c>
      <c r="N892" s="55">
        <v>3.5065770000000001</v>
      </c>
    </row>
    <row r="893" spans="1:14" hidden="1" x14ac:dyDescent="0.35">
      <c r="A893" s="52" t="s">
        <v>579</v>
      </c>
      <c r="B893" s="52" t="s">
        <v>37</v>
      </c>
      <c r="C893" s="52" t="s">
        <v>46</v>
      </c>
      <c r="D893" s="52" t="s">
        <v>46</v>
      </c>
      <c r="E893" s="52" t="s">
        <v>584</v>
      </c>
      <c r="F893" s="52" t="s">
        <v>26</v>
      </c>
      <c r="G893" s="55" t="s">
        <v>279</v>
      </c>
      <c r="H893" s="55">
        <v>0.94474199999999997</v>
      </c>
      <c r="I893" s="55">
        <v>0.83136489999999996</v>
      </c>
      <c r="J893" s="55">
        <v>0.83918970000000004</v>
      </c>
      <c r="K893" s="55">
        <v>0.92272129999999997</v>
      </c>
      <c r="L893" s="55">
        <v>0.99937120000000002</v>
      </c>
      <c r="M893" s="55">
        <v>1.0245919999999999</v>
      </c>
      <c r="N893" s="55">
        <v>1.050359</v>
      </c>
    </row>
    <row r="894" spans="1:14" hidden="1" x14ac:dyDescent="0.35">
      <c r="A894" s="52" t="s">
        <v>579</v>
      </c>
      <c r="B894" s="52" t="s">
        <v>37</v>
      </c>
      <c r="C894" s="52" t="s">
        <v>105</v>
      </c>
      <c r="D894" s="52" t="s">
        <v>105</v>
      </c>
      <c r="E894" s="52" t="s">
        <v>584</v>
      </c>
      <c r="F894" s="52" t="s">
        <v>26</v>
      </c>
      <c r="G894" s="55" t="s">
        <v>275</v>
      </c>
      <c r="H894" s="55">
        <v>-4.1672840000000004</v>
      </c>
      <c r="I894" s="55">
        <v>-2.169508</v>
      </c>
      <c r="J894" s="55">
        <v>-1.96035</v>
      </c>
      <c r="K894" s="55">
        <v>-1.5633840000000001</v>
      </c>
      <c r="L894" s="55">
        <v>-1.606563</v>
      </c>
      <c r="M894" s="55">
        <v>-1.6834279999999999</v>
      </c>
      <c r="N894" s="55">
        <v>-1.599702</v>
      </c>
    </row>
    <row r="895" spans="1:14" hidden="1" x14ac:dyDescent="0.35">
      <c r="A895" s="52" t="s">
        <v>579</v>
      </c>
      <c r="B895" s="52" t="s">
        <v>37</v>
      </c>
      <c r="C895" s="52" t="s">
        <v>105</v>
      </c>
      <c r="D895" s="52" t="s">
        <v>105</v>
      </c>
      <c r="E895" s="52" t="s">
        <v>584</v>
      </c>
      <c r="F895" s="52" t="s">
        <v>26</v>
      </c>
      <c r="G895" s="55" t="s">
        <v>276</v>
      </c>
      <c r="H895" s="55">
        <v>-0.48772199999999999</v>
      </c>
      <c r="I895" s="55">
        <v>-0.37266870000000002</v>
      </c>
      <c r="J895" s="55">
        <v>-0.38662279999999999</v>
      </c>
      <c r="K895" s="55">
        <v>-0.78200700000000001</v>
      </c>
      <c r="L895" s="55">
        <v>-0.71037689999999998</v>
      </c>
      <c r="M895" s="55">
        <v>-0.51065179999999999</v>
      </c>
      <c r="N895" s="55">
        <v>-0.4877013</v>
      </c>
    </row>
    <row r="896" spans="1:14" hidden="1" x14ac:dyDescent="0.35">
      <c r="A896" s="52" t="s">
        <v>579</v>
      </c>
      <c r="B896" s="52" t="s">
        <v>37</v>
      </c>
      <c r="C896" s="52" t="s">
        <v>105</v>
      </c>
      <c r="D896" s="52" t="s">
        <v>105</v>
      </c>
      <c r="E896" s="52" t="s">
        <v>584</v>
      </c>
      <c r="F896" s="52" t="s">
        <v>26</v>
      </c>
      <c r="G896" s="55" t="s">
        <v>277</v>
      </c>
      <c r="H896" s="55">
        <v>5</v>
      </c>
      <c r="I896" s="55">
        <v>2.8088600000000001</v>
      </c>
      <c r="J896" s="55">
        <v>2.6725590000000001</v>
      </c>
      <c r="K896" s="55">
        <v>2.6144660000000002</v>
      </c>
      <c r="L896" s="55">
        <v>2.5377770000000002</v>
      </c>
      <c r="M896" s="55">
        <v>2.4091</v>
      </c>
      <c r="N896" s="55">
        <v>2.2971379999999999</v>
      </c>
    </row>
    <row r="897" spans="1:14" hidden="1" x14ac:dyDescent="0.35">
      <c r="A897" s="52" t="s">
        <v>579</v>
      </c>
      <c r="B897" s="52" t="s">
        <v>37</v>
      </c>
      <c r="C897" s="52" t="s">
        <v>105</v>
      </c>
      <c r="D897" s="52" t="s">
        <v>105</v>
      </c>
      <c r="E897" s="52" t="s">
        <v>584</v>
      </c>
      <c r="F897" s="52" t="s">
        <v>26</v>
      </c>
      <c r="G897" s="55" t="s">
        <v>279</v>
      </c>
      <c r="H897" s="55">
        <v>0.91813400000000001</v>
      </c>
      <c r="I897" s="55">
        <v>0.79214150000000005</v>
      </c>
      <c r="J897" s="55">
        <v>0.78335310000000002</v>
      </c>
      <c r="K897" s="55">
        <v>0.84311689999999995</v>
      </c>
      <c r="L897" s="55">
        <v>0.88678219999999996</v>
      </c>
      <c r="M897" s="55">
        <v>0.86309049999999998</v>
      </c>
      <c r="N897" s="55">
        <v>0.84370809999999996</v>
      </c>
    </row>
    <row r="898" spans="1:14" hidden="1" x14ac:dyDescent="0.35">
      <c r="A898" s="52" t="s">
        <v>579</v>
      </c>
      <c r="B898" s="52" t="s">
        <v>37</v>
      </c>
      <c r="C898" s="52" t="s">
        <v>51</v>
      </c>
      <c r="D898" s="52" t="s">
        <v>51</v>
      </c>
      <c r="E898" s="52" t="s">
        <v>584</v>
      </c>
      <c r="F898" s="52" t="s">
        <v>581</v>
      </c>
      <c r="G898" s="55" t="s">
        <v>275</v>
      </c>
      <c r="H898" s="55">
        <v>0.24526999999999999</v>
      </c>
      <c r="I898" s="55">
        <v>-3.1955520000000002</v>
      </c>
      <c r="J898" s="55">
        <v>3.5609000000000002E-2</v>
      </c>
      <c r="K898" s="55">
        <v>0</v>
      </c>
      <c r="L898" s="55"/>
      <c r="M898" s="55"/>
      <c r="N898" s="55"/>
    </row>
    <row r="899" spans="1:14" hidden="1" x14ac:dyDescent="0.35">
      <c r="A899" s="52" t="s">
        <v>579</v>
      </c>
      <c r="B899" s="52" t="s">
        <v>37</v>
      </c>
      <c r="C899" s="52" t="s">
        <v>51</v>
      </c>
      <c r="D899" s="52" t="s">
        <v>51</v>
      </c>
      <c r="E899" s="52" t="s">
        <v>584</v>
      </c>
      <c r="F899" s="52" t="s">
        <v>581</v>
      </c>
      <c r="G899" s="55" t="s">
        <v>276</v>
      </c>
      <c r="H899" s="55">
        <v>-0.234204</v>
      </c>
      <c r="I899" s="55">
        <v>-1.082867</v>
      </c>
      <c r="J899" s="55">
        <v>-3.5609000000000002E-2</v>
      </c>
      <c r="K899" s="55">
        <v>0</v>
      </c>
      <c r="L899" s="55"/>
      <c r="M899" s="55"/>
      <c r="N899" s="55"/>
    </row>
    <row r="900" spans="1:14" hidden="1" x14ac:dyDescent="0.35">
      <c r="A900" s="52" t="s">
        <v>579</v>
      </c>
      <c r="B900" s="52" t="s">
        <v>37</v>
      </c>
      <c r="C900" s="52" t="s">
        <v>51</v>
      </c>
      <c r="D900" s="52" t="s">
        <v>51</v>
      </c>
      <c r="E900" s="52" t="s">
        <v>584</v>
      </c>
      <c r="F900" s="52" t="s">
        <v>581</v>
      </c>
      <c r="G900" s="55" t="s">
        <v>277</v>
      </c>
      <c r="H900" s="55">
        <v>0</v>
      </c>
      <c r="I900" s="55"/>
      <c r="J900" s="55"/>
      <c r="K900" s="55"/>
      <c r="L900" s="55"/>
      <c r="M900" s="55"/>
      <c r="N900" s="55"/>
    </row>
    <row r="901" spans="1:14" hidden="1" x14ac:dyDescent="0.35">
      <c r="A901" s="52" t="s">
        <v>579</v>
      </c>
      <c r="B901" s="52" t="s">
        <v>37</v>
      </c>
      <c r="C901" s="52" t="s">
        <v>51</v>
      </c>
      <c r="D901" s="52" t="s">
        <v>51</v>
      </c>
      <c r="E901" s="52" t="s">
        <v>584</v>
      </c>
      <c r="F901" s="52" t="s">
        <v>581</v>
      </c>
      <c r="G901" s="55" t="s">
        <v>279</v>
      </c>
      <c r="H901" s="55">
        <v>4.8700000000000002E-3</v>
      </c>
      <c r="I901" s="55">
        <v>4.2784199999999997</v>
      </c>
      <c r="J901" s="55">
        <v>0</v>
      </c>
      <c r="K901" s="55"/>
      <c r="L901" s="55"/>
      <c r="M901" s="55"/>
      <c r="N901" s="55"/>
    </row>
    <row r="902" spans="1:14" hidden="1" x14ac:dyDescent="0.35">
      <c r="A902" s="52" t="s">
        <v>579</v>
      </c>
      <c r="B902" s="52" t="s">
        <v>37</v>
      </c>
      <c r="C902" s="52" t="s">
        <v>318</v>
      </c>
      <c r="D902" s="52" t="s">
        <v>318</v>
      </c>
      <c r="E902" s="52" t="s">
        <v>584</v>
      </c>
      <c r="F902" s="52" t="s">
        <v>581</v>
      </c>
      <c r="G902" s="55" t="s">
        <v>275</v>
      </c>
      <c r="H902" s="55">
        <v>-77.25582</v>
      </c>
      <c r="I902" s="55">
        <v>0</v>
      </c>
      <c r="J902" s="55"/>
      <c r="K902" s="55"/>
      <c r="L902" s="55"/>
      <c r="M902" s="55"/>
      <c r="N902" s="55"/>
    </row>
    <row r="903" spans="1:14" hidden="1" x14ac:dyDescent="0.35">
      <c r="A903" s="52" t="s">
        <v>579</v>
      </c>
      <c r="B903" s="52" t="s">
        <v>37</v>
      </c>
      <c r="C903" s="52" t="s">
        <v>318</v>
      </c>
      <c r="D903" s="52" t="s">
        <v>318</v>
      </c>
      <c r="E903" s="52" t="s">
        <v>584</v>
      </c>
      <c r="F903" s="52" t="s">
        <v>581</v>
      </c>
      <c r="G903" s="55" t="s">
        <v>276</v>
      </c>
      <c r="H903" s="55">
        <v>-8.9283409999999996</v>
      </c>
      <c r="I903" s="55">
        <v>0</v>
      </c>
      <c r="J903" s="55"/>
      <c r="K903" s="55"/>
      <c r="L903" s="55"/>
      <c r="M903" s="55"/>
      <c r="N903" s="55"/>
    </row>
    <row r="904" spans="1:14" hidden="1" x14ac:dyDescent="0.35">
      <c r="A904" s="52" t="s">
        <v>579</v>
      </c>
      <c r="B904" s="52" t="s">
        <v>37</v>
      </c>
      <c r="C904" s="52" t="s">
        <v>318</v>
      </c>
      <c r="D904" s="52" t="s">
        <v>318</v>
      </c>
      <c r="E904" s="52" t="s">
        <v>584</v>
      </c>
      <c r="F904" s="52" t="s">
        <v>581</v>
      </c>
      <c r="G904" s="55" t="s">
        <v>278</v>
      </c>
      <c r="H904" s="55">
        <v>86.184169999999995</v>
      </c>
      <c r="I904" s="55">
        <v>0</v>
      </c>
      <c r="J904" s="55"/>
      <c r="K904" s="55"/>
      <c r="L904" s="55"/>
      <c r="M904" s="55"/>
      <c r="N904" s="55"/>
    </row>
    <row r="905" spans="1:14" hidden="1" x14ac:dyDescent="0.35">
      <c r="A905" s="52" t="s">
        <v>579</v>
      </c>
      <c r="B905" s="52" t="s">
        <v>37</v>
      </c>
      <c r="C905" s="52" t="s">
        <v>318</v>
      </c>
      <c r="D905" s="52" t="s">
        <v>318</v>
      </c>
      <c r="E905" s="52" t="s">
        <v>584</v>
      </c>
      <c r="F905" s="52" t="s">
        <v>26</v>
      </c>
      <c r="G905" s="55" t="s">
        <v>275</v>
      </c>
      <c r="H905" s="55">
        <v>-51.503880000000002</v>
      </c>
      <c r="I905" s="55">
        <v>0</v>
      </c>
      <c r="J905" s="55"/>
      <c r="K905" s="55"/>
      <c r="L905" s="55"/>
      <c r="M905" s="55"/>
      <c r="N905" s="55"/>
    </row>
    <row r="906" spans="1:14" hidden="1" x14ac:dyDescent="0.35">
      <c r="A906" s="52" t="s">
        <v>579</v>
      </c>
      <c r="B906" s="52" t="s">
        <v>37</v>
      </c>
      <c r="C906" s="52" t="s">
        <v>318</v>
      </c>
      <c r="D906" s="52" t="s">
        <v>318</v>
      </c>
      <c r="E906" s="52" t="s">
        <v>584</v>
      </c>
      <c r="F906" s="52" t="s">
        <v>26</v>
      </c>
      <c r="G906" s="55" t="s">
        <v>276</v>
      </c>
      <c r="H906" s="55">
        <v>-5.9522250000000003</v>
      </c>
      <c r="I906" s="55">
        <v>0</v>
      </c>
      <c r="J906" s="55"/>
      <c r="K906" s="55"/>
      <c r="L906" s="55"/>
      <c r="M906" s="55"/>
      <c r="N906" s="55"/>
    </row>
    <row r="907" spans="1:14" hidden="1" x14ac:dyDescent="0.35">
      <c r="A907" s="52" t="s">
        <v>579</v>
      </c>
      <c r="B907" s="52" t="s">
        <v>37</v>
      </c>
      <c r="C907" s="52" t="s">
        <v>318</v>
      </c>
      <c r="D907" s="52" t="s">
        <v>318</v>
      </c>
      <c r="E907" s="52" t="s">
        <v>584</v>
      </c>
      <c r="F907" s="52" t="s">
        <v>26</v>
      </c>
      <c r="G907" s="55" t="s">
        <v>278</v>
      </c>
      <c r="H907" s="55">
        <v>57.456119999999999</v>
      </c>
      <c r="I907" s="55">
        <v>0</v>
      </c>
      <c r="J907" s="55"/>
      <c r="K907" s="55"/>
      <c r="L907" s="55"/>
      <c r="M907" s="55"/>
      <c r="N907" s="55"/>
    </row>
    <row r="908" spans="1:14" hidden="1" x14ac:dyDescent="0.35">
      <c r="A908" s="52" t="s">
        <v>579</v>
      </c>
      <c r="B908" s="52" t="s">
        <v>32</v>
      </c>
      <c r="C908" s="52" t="s">
        <v>30</v>
      </c>
      <c r="D908" s="52" t="s">
        <v>30</v>
      </c>
      <c r="E908" s="52" t="s">
        <v>584</v>
      </c>
      <c r="F908" s="52" t="s">
        <v>581</v>
      </c>
      <c r="G908" s="55" t="s">
        <v>275</v>
      </c>
      <c r="H908" s="55">
        <v>351.9588</v>
      </c>
      <c r="I908" s="55">
        <v>130.36850000000001</v>
      </c>
      <c r="J908" s="55">
        <v>57.756360000000001</v>
      </c>
      <c r="K908" s="55">
        <v>56.866729999999997</v>
      </c>
      <c r="L908" s="55">
        <v>58.31203</v>
      </c>
      <c r="M908" s="55">
        <v>59.51473</v>
      </c>
      <c r="N908" s="55">
        <v>52.034889999999997</v>
      </c>
    </row>
    <row r="909" spans="1:14" hidden="1" x14ac:dyDescent="0.35">
      <c r="A909" s="52" t="s">
        <v>579</v>
      </c>
      <c r="B909" s="52" t="s">
        <v>32</v>
      </c>
      <c r="C909" s="52" t="s">
        <v>30</v>
      </c>
      <c r="D909" s="52" t="s">
        <v>30</v>
      </c>
      <c r="E909" s="52" t="s">
        <v>584</v>
      </c>
      <c r="F909" s="52" t="s">
        <v>581</v>
      </c>
      <c r="G909" s="55" t="s">
        <v>276</v>
      </c>
      <c r="H909" s="55">
        <v>81.147000000000006</v>
      </c>
      <c r="I909" s="55">
        <v>39.071460000000002</v>
      </c>
      <c r="J909" s="55">
        <v>114.0873</v>
      </c>
      <c r="K909" s="55">
        <v>112.3066</v>
      </c>
      <c r="L909" s="55">
        <v>114.7137</v>
      </c>
      <c r="M909" s="55">
        <v>108.8546</v>
      </c>
      <c r="N909" s="55">
        <v>70.874979999999994</v>
      </c>
    </row>
    <row r="910" spans="1:14" hidden="1" x14ac:dyDescent="0.35">
      <c r="A910" s="52" t="s">
        <v>579</v>
      </c>
      <c r="B910" s="52" t="s">
        <v>32</v>
      </c>
      <c r="C910" s="52" t="s">
        <v>30</v>
      </c>
      <c r="D910" s="52" t="s">
        <v>30</v>
      </c>
      <c r="E910" s="52" t="s">
        <v>584</v>
      </c>
      <c r="F910" s="52" t="s">
        <v>581</v>
      </c>
      <c r="G910" s="55" t="s">
        <v>277</v>
      </c>
      <c r="H910" s="55"/>
      <c r="I910" s="55"/>
      <c r="J910" s="55"/>
      <c r="K910" s="55">
        <v>0</v>
      </c>
      <c r="L910" s="55">
        <v>0</v>
      </c>
      <c r="M910" s="55">
        <v>0</v>
      </c>
      <c r="N910" s="55">
        <v>0</v>
      </c>
    </row>
    <row r="911" spans="1:14" hidden="1" x14ac:dyDescent="0.35">
      <c r="A911" s="52" t="s">
        <v>579</v>
      </c>
      <c r="B911" s="52" t="s">
        <v>32</v>
      </c>
      <c r="C911" s="52" t="s">
        <v>30</v>
      </c>
      <c r="D911" s="52" t="s">
        <v>30</v>
      </c>
      <c r="E911" s="52" t="s">
        <v>584</v>
      </c>
      <c r="F911" s="52" t="s">
        <v>581</v>
      </c>
      <c r="G911" s="55" t="s">
        <v>278</v>
      </c>
      <c r="H911" s="55">
        <v>0.29384559999999998</v>
      </c>
      <c r="I911" s="55">
        <v>17.771319999999999</v>
      </c>
      <c r="J911" s="55">
        <v>17.348769999999998</v>
      </c>
      <c r="K911" s="55">
        <v>18.837430000000001</v>
      </c>
      <c r="L911" s="55">
        <v>19.746659999999999</v>
      </c>
      <c r="M911" s="55">
        <v>19.98499</v>
      </c>
      <c r="N911" s="55">
        <v>40.004640000000002</v>
      </c>
    </row>
    <row r="912" spans="1:14" hidden="1" x14ac:dyDescent="0.35">
      <c r="A912" s="52" t="s">
        <v>579</v>
      </c>
      <c r="B912" s="52" t="s">
        <v>32</v>
      </c>
      <c r="C912" s="52" t="s">
        <v>30</v>
      </c>
      <c r="D912" s="52" t="s">
        <v>30</v>
      </c>
      <c r="E912" s="52" t="s">
        <v>584</v>
      </c>
      <c r="F912" s="52" t="s">
        <v>581</v>
      </c>
      <c r="G912" s="55" t="s">
        <v>279</v>
      </c>
      <c r="H912" s="55">
        <v>95.55856</v>
      </c>
      <c r="I912" s="55">
        <v>87.28537</v>
      </c>
      <c r="J912" s="55">
        <v>89.673029999999997</v>
      </c>
      <c r="K912" s="55">
        <v>97.845950000000002</v>
      </c>
      <c r="L912" s="55">
        <v>100.24039999999999</v>
      </c>
      <c r="M912" s="55">
        <v>97.947739999999996</v>
      </c>
      <c r="N912" s="55">
        <v>85.992530000000002</v>
      </c>
    </row>
    <row r="913" spans="1:14" hidden="1" x14ac:dyDescent="0.35">
      <c r="A913" s="52" t="s">
        <v>579</v>
      </c>
      <c r="B913" s="52" t="s">
        <v>32</v>
      </c>
      <c r="C913" s="52" t="s">
        <v>30</v>
      </c>
      <c r="D913" s="52" t="s">
        <v>30</v>
      </c>
      <c r="E913" s="52" t="s">
        <v>584</v>
      </c>
      <c r="F913" s="52" t="s">
        <v>26</v>
      </c>
      <c r="G913" s="55" t="s">
        <v>275</v>
      </c>
      <c r="H913" s="55">
        <v>201.88040000000001</v>
      </c>
      <c r="I913" s="55">
        <v>236.4659</v>
      </c>
      <c r="J913" s="55">
        <v>135.2012</v>
      </c>
      <c r="K913" s="55">
        <v>91.265100000000004</v>
      </c>
      <c r="L913" s="55">
        <v>88.217579999999998</v>
      </c>
      <c r="M913" s="55">
        <v>86.81317</v>
      </c>
      <c r="N913" s="55">
        <v>90.970100000000002</v>
      </c>
    </row>
    <row r="914" spans="1:14" hidden="1" x14ac:dyDescent="0.35">
      <c r="A914" s="52" t="s">
        <v>579</v>
      </c>
      <c r="B914" s="52" t="s">
        <v>32</v>
      </c>
      <c r="C914" s="52" t="s">
        <v>30</v>
      </c>
      <c r="D914" s="52" t="s">
        <v>30</v>
      </c>
      <c r="E914" s="52" t="s">
        <v>584</v>
      </c>
      <c r="F914" s="52" t="s">
        <v>26</v>
      </c>
      <c r="G914" s="55" t="s">
        <v>276</v>
      </c>
      <c r="H914" s="55">
        <v>72.805009999999996</v>
      </c>
      <c r="I914" s="55">
        <v>74.625140000000002</v>
      </c>
      <c r="J914" s="55">
        <v>188.79900000000001</v>
      </c>
      <c r="K914" s="55">
        <v>220.67349999999999</v>
      </c>
      <c r="L914" s="55">
        <v>225.86859999999999</v>
      </c>
      <c r="M914" s="55">
        <v>233.0085</v>
      </c>
      <c r="N914" s="55">
        <v>217.96039999999999</v>
      </c>
    </row>
    <row r="915" spans="1:14" hidden="1" x14ac:dyDescent="0.35">
      <c r="A915" s="52" t="s">
        <v>579</v>
      </c>
      <c r="B915" s="52" t="s">
        <v>32</v>
      </c>
      <c r="C915" s="52" t="s">
        <v>30</v>
      </c>
      <c r="D915" s="52" t="s">
        <v>30</v>
      </c>
      <c r="E915" s="52" t="s">
        <v>584</v>
      </c>
      <c r="F915" s="52" t="s">
        <v>26</v>
      </c>
      <c r="G915" s="55" t="s">
        <v>277</v>
      </c>
      <c r="H915" s="55">
        <v>70.848910000000004</v>
      </c>
      <c r="I915" s="55">
        <v>55.08887</v>
      </c>
      <c r="J915" s="55">
        <v>50.871319999999997</v>
      </c>
      <c r="K915" s="55">
        <v>65.467699999999994</v>
      </c>
      <c r="L915" s="55">
        <v>72.809640000000002</v>
      </c>
      <c r="M915" s="55">
        <v>76.801010000000005</v>
      </c>
      <c r="N915" s="55">
        <v>79.624669999999995</v>
      </c>
    </row>
    <row r="916" spans="1:14" hidden="1" x14ac:dyDescent="0.35">
      <c r="A916" s="52" t="s">
        <v>579</v>
      </c>
      <c r="B916" s="52" t="s">
        <v>32</v>
      </c>
      <c r="C916" s="52" t="s">
        <v>30</v>
      </c>
      <c r="D916" s="52" t="s">
        <v>30</v>
      </c>
      <c r="E916" s="52" t="s">
        <v>584</v>
      </c>
      <c r="F916" s="52" t="s">
        <v>26</v>
      </c>
      <c r="G916" s="55" t="s">
        <v>279</v>
      </c>
      <c r="H916" s="55">
        <v>109.497</v>
      </c>
      <c r="I916" s="55">
        <v>100.2273</v>
      </c>
      <c r="J916" s="55">
        <v>103.1956</v>
      </c>
      <c r="K916" s="55">
        <v>112.6125</v>
      </c>
      <c r="L916" s="55">
        <v>115.37350000000001</v>
      </c>
      <c r="M916" s="55">
        <v>118.20359999999999</v>
      </c>
      <c r="N916" s="55">
        <v>115.8665</v>
      </c>
    </row>
    <row r="917" spans="1:14" hidden="1" x14ac:dyDescent="0.35">
      <c r="A917" s="52" t="s">
        <v>579</v>
      </c>
      <c r="B917" s="52" t="s">
        <v>32</v>
      </c>
      <c r="C917" s="52" t="s">
        <v>318</v>
      </c>
      <c r="D917" s="52" t="s">
        <v>318</v>
      </c>
      <c r="E917" s="52" t="s">
        <v>584</v>
      </c>
      <c r="F917" s="52" t="s">
        <v>581</v>
      </c>
      <c r="G917" s="55" t="s">
        <v>275</v>
      </c>
      <c r="H917" s="55">
        <v>-9.7355239999999998</v>
      </c>
      <c r="I917" s="55">
        <v>0</v>
      </c>
      <c r="J917" s="55"/>
      <c r="K917" s="55"/>
      <c r="L917" s="55"/>
      <c r="M917" s="55"/>
      <c r="N917" s="55"/>
    </row>
    <row r="918" spans="1:14" hidden="1" x14ac:dyDescent="0.35">
      <c r="A918" s="52" t="s">
        <v>579</v>
      </c>
      <c r="B918" s="52" t="s">
        <v>32</v>
      </c>
      <c r="C918" s="52" t="s">
        <v>318</v>
      </c>
      <c r="D918" s="52" t="s">
        <v>318</v>
      </c>
      <c r="E918" s="52" t="s">
        <v>584</v>
      </c>
      <c r="F918" s="52" t="s">
        <v>581</v>
      </c>
      <c r="G918" s="55" t="s">
        <v>276</v>
      </c>
      <c r="H918" s="55">
        <v>-1.9940230000000001</v>
      </c>
      <c r="I918" s="55">
        <v>0</v>
      </c>
      <c r="J918" s="55"/>
      <c r="K918" s="55"/>
      <c r="L918" s="55"/>
      <c r="M918" s="55"/>
      <c r="N918" s="55"/>
    </row>
    <row r="919" spans="1:14" hidden="1" x14ac:dyDescent="0.35">
      <c r="A919" s="52" t="s">
        <v>579</v>
      </c>
      <c r="B919" s="52" t="s">
        <v>32</v>
      </c>
      <c r="C919" s="52" t="s">
        <v>318</v>
      </c>
      <c r="D919" s="52" t="s">
        <v>318</v>
      </c>
      <c r="E919" s="52" t="s">
        <v>584</v>
      </c>
      <c r="F919" s="52" t="s">
        <v>581</v>
      </c>
      <c r="G919" s="55" t="s">
        <v>278</v>
      </c>
      <c r="H919" s="55">
        <v>11.72955</v>
      </c>
      <c r="I919" s="55">
        <v>0</v>
      </c>
      <c r="J919" s="55"/>
      <c r="K919" s="55"/>
      <c r="L919" s="55"/>
      <c r="M919" s="55"/>
      <c r="N919" s="55"/>
    </row>
    <row r="920" spans="1:14" hidden="1" x14ac:dyDescent="0.35">
      <c r="A920" s="52" t="s">
        <v>579</v>
      </c>
      <c r="B920" s="52" t="s">
        <v>32</v>
      </c>
      <c r="C920" s="52" t="s">
        <v>318</v>
      </c>
      <c r="D920" s="52" t="s">
        <v>318</v>
      </c>
      <c r="E920" s="52" t="s">
        <v>584</v>
      </c>
      <c r="F920" s="52" t="s">
        <v>26</v>
      </c>
      <c r="G920" s="55" t="s">
        <v>275</v>
      </c>
      <c r="H920" s="55">
        <v>-6.4903490000000001</v>
      </c>
      <c r="I920" s="55">
        <v>0</v>
      </c>
      <c r="J920" s="55"/>
      <c r="K920" s="55"/>
      <c r="L920" s="55"/>
      <c r="M920" s="55"/>
      <c r="N920" s="55"/>
    </row>
    <row r="921" spans="1:14" hidden="1" x14ac:dyDescent="0.35">
      <c r="A921" s="52" t="s">
        <v>579</v>
      </c>
      <c r="B921" s="52" t="s">
        <v>32</v>
      </c>
      <c r="C921" s="52" t="s">
        <v>318</v>
      </c>
      <c r="D921" s="52" t="s">
        <v>318</v>
      </c>
      <c r="E921" s="52" t="s">
        <v>584</v>
      </c>
      <c r="F921" s="52" t="s">
        <v>26</v>
      </c>
      <c r="G921" s="55" t="s">
        <v>276</v>
      </c>
      <c r="H921" s="55">
        <v>-1.3293489999999999</v>
      </c>
      <c r="I921" s="55">
        <v>0</v>
      </c>
      <c r="J921" s="55"/>
      <c r="K921" s="55"/>
      <c r="L921" s="55"/>
      <c r="M921" s="55"/>
      <c r="N921" s="55"/>
    </row>
    <row r="922" spans="1:14" hidden="1" x14ac:dyDescent="0.35">
      <c r="A922" s="52" t="s">
        <v>579</v>
      </c>
      <c r="B922" s="52" t="s">
        <v>32</v>
      </c>
      <c r="C922" s="52" t="s">
        <v>318</v>
      </c>
      <c r="D922" s="52" t="s">
        <v>318</v>
      </c>
      <c r="E922" s="52" t="s">
        <v>584</v>
      </c>
      <c r="F922" s="52" t="s">
        <v>26</v>
      </c>
      <c r="G922" s="55" t="s">
        <v>278</v>
      </c>
      <c r="H922" s="55">
        <v>7.8196979999999998</v>
      </c>
      <c r="I922" s="55">
        <v>0</v>
      </c>
      <c r="J922" s="55"/>
      <c r="K922" s="55"/>
      <c r="L922" s="55"/>
      <c r="M922" s="55"/>
      <c r="N922" s="55"/>
    </row>
    <row r="923" spans="1:14" hidden="1" x14ac:dyDescent="0.35">
      <c r="A923" s="52" t="s">
        <v>579</v>
      </c>
      <c r="B923" s="52" t="s">
        <v>125</v>
      </c>
      <c r="C923" s="52" t="s">
        <v>167</v>
      </c>
      <c r="D923" s="52" t="s">
        <v>167</v>
      </c>
      <c r="E923" s="52" t="s">
        <v>584</v>
      </c>
      <c r="F923" s="52" t="s">
        <v>581</v>
      </c>
      <c r="G923" s="55" t="s">
        <v>275</v>
      </c>
      <c r="H923" s="55">
        <v>93.097239999999999</v>
      </c>
      <c r="I923" s="55">
        <v>-87.849509999999995</v>
      </c>
      <c r="J923" s="55">
        <v>-72.252859999999998</v>
      </c>
      <c r="K923" s="55">
        <v>-124.6602</v>
      </c>
      <c r="L923" s="55">
        <v>-134.17590000000001</v>
      </c>
      <c r="M923" s="55">
        <v>-138.90539999999999</v>
      </c>
      <c r="N923" s="55">
        <v>-142.69880000000001</v>
      </c>
    </row>
    <row r="924" spans="1:14" hidden="1" x14ac:dyDescent="0.35">
      <c r="A924" s="52" t="s">
        <v>579</v>
      </c>
      <c r="B924" s="52" t="s">
        <v>125</v>
      </c>
      <c r="C924" s="52" t="s">
        <v>167</v>
      </c>
      <c r="D924" s="52" t="s">
        <v>167</v>
      </c>
      <c r="E924" s="52" t="s">
        <v>584</v>
      </c>
      <c r="F924" s="52" t="s">
        <v>581</v>
      </c>
      <c r="G924" s="55" t="s">
        <v>276</v>
      </c>
      <c r="H924" s="55"/>
      <c r="I924" s="55"/>
      <c r="J924" s="55">
        <v>-0.37857049999999998</v>
      </c>
      <c r="K924" s="55">
        <v>-0.52036249999999995</v>
      </c>
      <c r="L924" s="55">
        <v>-0.2236108</v>
      </c>
      <c r="M924" s="55">
        <v>-0.208145</v>
      </c>
      <c r="N924" s="55">
        <v>-0.208145</v>
      </c>
    </row>
    <row r="925" spans="1:14" hidden="1" x14ac:dyDescent="0.35">
      <c r="A925" s="52" t="s">
        <v>579</v>
      </c>
      <c r="B925" s="52" t="s">
        <v>125</v>
      </c>
      <c r="C925" s="52" t="s">
        <v>167</v>
      </c>
      <c r="D925" s="52" t="s">
        <v>167</v>
      </c>
      <c r="E925" s="52" t="s">
        <v>584</v>
      </c>
      <c r="F925" s="52" t="s">
        <v>581</v>
      </c>
      <c r="G925" s="55" t="s">
        <v>277</v>
      </c>
      <c r="H925" s="55">
        <v>100.8295</v>
      </c>
      <c r="I925" s="55">
        <v>76.826340000000002</v>
      </c>
      <c r="J925" s="55">
        <v>70.069999999999993</v>
      </c>
      <c r="K925" s="55">
        <v>89.381110000000007</v>
      </c>
      <c r="L925" s="55">
        <v>98.140630000000002</v>
      </c>
      <c r="M925" s="55">
        <v>102.11409999999999</v>
      </c>
      <c r="N925" s="55">
        <v>105.0981</v>
      </c>
    </row>
    <row r="926" spans="1:14" hidden="1" x14ac:dyDescent="0.35">
      <c r="A926" s="52" t="s">
        <v>579</v>
      </c>
      <c r="B926" s="52" t="s">
        <v>125</v>
      </c>
      <c r="C926" s="52" t="s">
        <v>167</v>
      </c>
      <c r="D926" s="52" t="s">
        <v>167</v>
      </c>
      <c r="E926" s="52" t="s">
        <v>584</v>
      </c>
      <c r="F926" s="52" t="s">
        <v>581</v>
      </c>
      <c r="G926" s="55" t="s">
        <v>278</v>
      </c>
      <c r="H926" s="55">
        <v>0.19659219999999999</v>
      </c>
      <c r="I926" s="55">
        <v>12.964589999999999</v>
      </c>
      <c r="J926" s="55">
        <v>0.37857049999999998</v>
      </c>
      <c r="K926" s="55">
        <v>0.52036249999999995</v>
      </c>
      <c r="L926" s="55">
        <v>0.2236108</v>
      </c>
      <c r="M926" s="55">
        <v>0.208145</v>
      </c>
      <c r="N926" s="55">
        <v>0.208145</v>
      </c>
    </row>
    <row r="927" spans="1:14" hidden="1" x14ac:dyDescent="0.35">
      <c r="A927" s="52" t="s">
        <v>579</v>
      </c>
      <c r="B927" s="52" t="s">
        <v>125</v>
      </c>
      <c r="C927" s="52" t="s">
        <v>167</v>
      </c>
      <c r="D927" s="52" t="s">
        <v>167</v>
      </c>
      <c r="E927" s="52" t="s">
        <v>584</v>
      </c>
      <c r="F927" s="52" t="s">
        <v>581</v>
      </c>
      <c r="G927" s="55" t="s">
        <v>279</v>
      </c>
      <c r="H927" s="55">
        <v>513.56399999999996</v>
      </c>
      <c r="I927" s="55">
        <v>394.3186</v>
      </c>
      <c r="J927" s="55">
        <v>432.26749999999998</v>
      </c>
      <c r="K927" s="55">
        <v>539.03629999999998</v>
      </c>
      <c r="L927" s="55">
        <v>552.41539999999998</v>
      </c>
      <c r="M927" s="55">
        <v>566.12840000000006</v>
      </c>
      <c r="N927" s="55">
        <v>580.18539999999996</v>
      </c>
    </row>
    <row r="928" spans="1:14" hidden="1" x14ac:dyDescent="0.35">
      <c r="A928" s="52" t="s">
        <v>579</v>
      </c>
      <c r="B928" s="52" t="s">
        <v>125</v>
      </c>
      <c r="C928" s="52" t="s">
        <v>30</v>
      </c>
      <c r="D928" s="52" t="s">
        <v>30</v>
      </c>
      <c r="E928" s="52" t="s">
        <v>584</v>
      </c>
      <c r="F928" s="52" t="s">
        <v>581</v>
      </c>
      <c r="G928" s="55" t="s">
        <v>275</v>
      </c>
      <c r="H928" s="55">
        <v>171.5608</v>
      </c>
      <c r="I928" s="55">
        <v>59.593539999999997</v>
      </c>
      <c r="J928" s="55">
        <v>60.095849999999999</v>
      </c>
      <c r="K928" s="55">
        <v>64.958309999999997</v>
      </c>
      <c r="L928" s="55">
        <v>58.572580000000002</v>
      </c>
      <c r="M928" s="55">
        <v>49.907389999999999</v>
      </c>
      <c r="N928" s="55">
        <v>39.787529999999997</v>
      </c>
    </row>
    <row r="929" spans="1:14" hidden="1" x14ac:dyDescent="0.35">
      <c r="A929" s="52" t="s">
        <v>579</v>
      </c>
      <c r="B929" s="52" t="s">
        <v>125</v>
      </c>
      <c r="C929" s="52" t="s">
        <v>30</v>
      </c>
      <c r="D929" s="52" t="s">
        <v>30</v>
      </c>
      <c r="E929" s="52" t="s">
        <v>584</v>
      </c>
      <c r="F929" s="52" t="s">
        <v>581</v>
      </c>
      <c r="G929" s="55" t="s">
        <v>276</v>
      </c>
      <c r="H929" s="55"/>
      <c r="I929" s="55"/>
      <c r="J929" s="55">
        <v>-7.0566000000000004E-2</v>
      </c>
      <c r="K929" s="55">
        <v>-9.6995990000000004E-2</v>
      </c>
      <c r="L929" s="55">
        <v>-4.1681500000000003E-2</v>
      </c>
      <c r="M929" s="55">
        <v>-3.87985E-2</v>
      </c>
      <c r="N929" s="55">
        <v>-3.87985E-2</v>
      </c>
    </row>
    <row r="930" spans="1:14" hidden="1" x14ac:dyDescent="0.35">
      <c r="A930" s="52" t="s">
        <v>579</v>
      </c>
      <c r="B930" s="52" t="s">
        <v>125</v>
      </c>
      <c r="C930" s="52" t="s">
        <v>30</v>
      </c>
      <c r="D930" s="52" t="s">
        <v>30</v>
      </c>
      <c r="E930" s="52" t="s">
        <v>584</v>
      </c>
      <c r="F930" s="52" t="s">
        <v>581</v>
      </c>
      <c r="G930" s="55" t="s">
        <v>277</v>
      </c>
      <c r="H930" s="55">
        <v>65.408060000000006</v>
      </c>
      <c r="I930" s="55">
        <v>49.903289999999998</v>
      </c>
      <c r="J930" s="55">
        <v>45.234380000000002</v>
      </c>
      <c r="K930" s="55">
        <v>57.324179999999998</v>
      </c>
      <c r="L930" s="55">
        <v>61.711190000000002</v>
      </c>
      <c r="M930" s="55">
        <v>60.886200000000002</v>
      </c>
      <c r="N930" s="55">
        <v>63.315899999999999</v>
      </c>
    </row>
    <row r="931" spans="1:14" hidden="1" x14ac:dyDescent="0.35">
      <c r="A931" s="52" t="s">
        <v>579</v>
      </c>
      <c r="B931" s="52" t="s">
        <v>125</v>
      </c>
      <c r="C931" s="52" t="s">
        <v>30</v>
      </c>
      <c r="D931" s="52" t="s">
        <v>30</v>
      </c>
      <c r="E931" s="52" t="s">
        <v>584</v>
      </c>
      <c r="F931" s="52" t="s">
        <v>581</v>
      </c>
      <c r="G931" s="55" t="s">
        <v>278</v>
      </c>
      <c r="H931" s="55">
        <v>3.6644999999999997E-2</v>
      </c>
      <c r="I931" s="55">
        <v>4.623E-2</v>
      </c>
      <c r="J931" s="55">
        <v>7.0566000000000004E-2</v>
      </c>
      <c r="K931" s="55">
        <v>9.6995990000000004E-2</v>
      </c>
      <c r="L931" s="55">
        <v>4.1681500000000003E-2</v>
      </c>
      <c r="M931" s="55">
        <v>3.87985E-2</v>
      </c>
      <c r="N931" s="55">
        <v>3.87985E-2</v>
      </c>
    </row>
    <row r="932" spans="1:14" hidden="1" x14ac:dyDescent="0.35">
      <c r="A932" s="52" t="s">
        <v>579</v>
      </c>
      <c r="B932" s="52" t="s">
        <v>125</v>
      </c>
      <c r="C932" s="52" t="s">
        <v>30</v>
      </c>
      <c r="D932" s="52" t="s">
        <v>30</v>
      </c>
      <c r="E932" s="52" t="s">
        <v>584</v>
      </c>
      <c r="F932" s="52" t="s">
        <v>581</v>
      </c>
      <c r="G932" s="55" t="s">
        <v>279</v>
      </c>
      <c r="H932" s="55">
        <v>49.218359999999997</v>
      </c>
      <c r="I932" s="55">
        <v>35.031109999999998</v>
      </c>
      <c r="J932" s="55">
        <v>34.188630000000003</v>
      </c>
      <c r="K932" s="55">
        <v>40.035029999999999</v>
      </c>
      <c r="L932" s="55">
        <v>37.629440000000002</v>
      </c>
      <c r="M932" s="55">
        <v>34.613819999999997</v>
      </c>
      <c r="N932" s="55">
        <v>31.944590000000002</v>
      </c>
    </row>
    <row r="933" spans="1:14" hidden="1" x14ac:dyDescent="0.35">
      <c r="A933" s="52" t="s">
        <v>579</v>
      </c>
      <c r="B933" s="52" t="s">
        <v>125</v>
      </c>
      <c r="C933" s="52" t="s">
        <v>30</v>
      </c>
      <c r="D933" s="52" t="s">
        <v>30</v>
      </c>
      <c r="E933" s="52" t="s">
        <v>584</v>
      </c>
      <c r="F933" s="52" t="s">
        <v>26</v>
      </c>
      <c r="G933" s="55" t="s">
        <v>275</v>
      </c>
      <c r="H933" s="55">
        <v>3.4570609999999999</v>
      </c>
      <c r="I933" s="55">
        <v>3.581817</v>
      </c>
      <c r="J933" s="55">
        <v>-0.99749549999999998</v>
      </c>
      <c r="K933" s="55">
        <v>-1.4913959999999999</v>
      </c>
      <c r="L933" s="55">
        <v>-1.3763590000000001</v>
      </c>
      <c r="M933" s="55">
        <v>-1.5713779999999999</v>
      </c>
      <c r="N933" s="55">
        <v>-1.774886</v>
      </c>
    </row>
    <row r="934" spans="1:14" hidden="1" x14ac:dyDescent="0.35">
      <c r="A934" s="52" t="s">
        <v>579</v>
      </c>
      <c r="B934" s="52" t="s">
        <v>125</v>
      </c>
      <c r="C934" s="52" t="s">
        <v>30</v>
      </c>
      <c r="D934" s="52" t="s">
        <v>30</v>
      </c>
      <c r="E934" s="52" t="s">
        <v>584</v>
      </c>
      <c r="F934" s="52" t="s">
        <v>26</v>
      </c>
      <c r="G934" s="55" t="s">
        <v>279</v>
      </c>
      <c r="H934" s="55">
        <v>10.401630000000001</v>
      </c>
      <c r="I934" s="55">
        <v>9.5920719999999999</v>
      </c>
      <c r="J934" s="55">
        <v>9.8870529999999999</v>
      </c>
      <c r="K934" s="55">
        <v>10.74113</v>
      </c>
      <c r="L934" s="55">
        <v>10.991770000000001</v>
      </c>
      <c r="M934" s="55">
        <v>11.248699999999999</v>
      </c>
      <c r="N934" s="55">
        <v>11.512079999999999</v>
      </c>
    </row>
    <row r="935" spans="1:14" hidden="1" x14ac:dyDescent="0.35">
      <c r="A935" s="52" t="s">
        <v>579</v>
      </c>
      <c r="B935" s="52" t="s">
        <v>125</v>
      </c>
      <c r="C935" s="52" t="s">
        <v>124</v>
      </c>
      <c r="D935" s="52" t="s">
        <v>124</v>
      </c>
      <c r="E935" s="52" t="s">
        <v>584</v>
      </c>
      <c r="F935" s="52" t="s">
        <v>581</v>
      </c>
      <c r="G935" s="55" t="s">
        <v>275</v>
      </c>
      <c r="H935" s="55">
        <v>91.243989999999997</v>
      </c>
      <c r="I935" s="55">
        <v>12.583449999999999</v>
      </c>
      <c r="J935" s="55">
        <v>24.40643</v>
      </c>
      <c r="K935" s="55">
        <v>18.759119999999999</v>
      </c>
      <c r="L935" s="55">
        <v>13.83004</v>
      </c>
      <c r="M935" s="55">
        <v>12.178290000000001</v>
      </c>
      <c r="N935" s="55">
        <v>3.5561120000000002</v>
      </c>
    </row>
    <row r="936" spans="1:14" hidden="1" x14ac:dyDescent="0.35">
      <c r="A936" s="52" t="s">
        <v>579</v>
      </c>
      <c r="B936" s="52" t="s">
        <v>125</v>
      </c>
      <c r="C936" s="52" t="s">
        <v>124</v>
      </c>
      <c r="D936" s="52" t="s">
        <v>124</v>
      </c>
      <c r="E936" s="52" t="s">
        <v>584</v>
      </c>
      <c r="F936" s="52" t="s">
        <v>581</v>
      </c>
      <c r="G936" s="55" t="s">
        <v>276</v>
      </c>
      <c r="H936" s="55"/>
      <c r="I936" s="55"/>
      <c r="J936" s="55">
        <v>-20.008489999999998</v>
      </c>
      <c r="K936" s="55">
        <v>-13.081</v>
      </c>
      <c r="L936" s="55">
        <v>-0.64311859999999998</v>
      </c>
      <c r="M936" s="55">
        <v>-0.59863900000000003</v>
      </c>
      <c r="N936" s="55">
        <v>-0.59863900000000003</v>
      </c>
    </row>
    <row r="937" spans="1:14" hidden="1" x14ac:dyDescent="0.35">
      <c r="A937" s="52" t="s">
        <v>579</v>
      </c>
      <c r="B937" s="52" t="s">
        <v>125</v>
      </c>
      <c r="C937" s="52" t="s">
        <v>124</v>
      </c>
      <c r="D937" s="52" t="s">
        <v>124</v>
      </c>
      <c r="E937" s="52" t="s">
        <v>584</v>
      </c>
      <c r="F937" s="52" t="s">
        <v>581</v>
      </c>
      <c r="G937" s="55" t="s">
        <v>277</v>
      </c>
      <c r="H937" s="55">
        <v>26.868980000000001</v>
      </c>
      <c r="I937" s="55">
        <v>20.800419999999999</v>
      </c>
      <c r="J937" s="55">
        <v>18.67202</v>
      </c>
      <c r="K937" s="55">
        <v>20.438490000000002</v>
      </c>
      <c r="L937" s="55">
        <v>20.037389999999998</v>
      </c>
      <c r="M937" s="55">
        <v>18.469100000000001</v>
      </c>
      <c r="N937" s="55">
        <v>23.24784</v>
      </c>
    </row>
    <row r="938" spans="1:14" hidden="1" x14ac:dyDescent="0.35">
      <c r="A938" s="52" t="s">
        <v>579</v>
      </c>
      <c r="B938" s="52" t="s">
        <v>125</v>
      </c>
      <c r="C938" s="52" t="s">
        <v>124</v>
      </c>
      <c r="D938" s="52" t="s">
        <v>124</v>
      </c>
      <c r="E938" s="52" t="s">
        <v>584</v>
      </c>
      <c r="F938" s="52" t="s">
        <v>581</v>
      </c>
      <c r="G938" s="55" t="s">
        <v>278</v>
      </c>
      <c r="H938" s="55">
        <v>0.56541200000000003</v>
      </c>
      <c r="I938" s="55">
        <v>14.29833</v>
      </c>
      <c r="J938" s="55">
        <v>20.008500000000002</v>
      </c>
      <c r="K938" s="55">
        <v>13.081</v>
      </c>
      <c r="L938" s="55">
        <v>0.64311859999999998</v>
      </c>
      <c r="M938" s="55">
        <v>0.59863900000000003</v>
      </c>
      <c r="N938" s="55">
        <v>0.59863900000000003</v>
      </c>
    </row>
    <row r="939" spans="1:14" hidden="1" x14ac:dyDescent="0.35">
      <c r="A939" s="52" t="s">
        <v>579</v>
      </c>
      <c r="B939" s="52" t="s">
        <v>125</v>
      </c>
      <c r="C939" s="52" t="s">
        <v>124</v>
      </c>
      <c r="D939" s="52" t="s">
        <v>124</v>
      </c>
      <c r="E939" s="52" t="s">
        <v>584</v>
      </c>
      <c r="F939" s="52" t="s">
        <v>581</v>
      </c>
      <c r="G939" s="55" t="s">
        <v>279</v>
      </c>
      <c r="H939" s="55">
        <v>15.13308</v>
      </c>
      <c r="I939" s="55">
        <v>12.93277</v>
      </c>
      <c r="J939" s="55">
        <v>11.68013</v>
      </c>
      <c r="K939" s="55">
        <v>11.137980000000001</v>
      </c>
      <c r="L939" s="55">
        <v>11.076610000000001</v>
      </c>
      <c r="M939" s="55">
        <v>8.8858049999999995</v>
      </c>
      <c r="N939" s="55">
        <v>7.942221</v>
      </c>
    </row>
    <row r="940" spans="1:14" hidden="1" x14ac:dyDescent="0.35">
      <c r="A940" s="52" t="s">
        <v>579</v>
      </c>
      <c r="B940" s="52" t="s">
        <v>125</v>
      </c>
      <c r="C940" s="52" t="s">
        <v>124</v>
      </c>
      <c r="D940" s="52" t="s">
        <v>124</v>
      </c>
      <c r="E940" s="52" t="s">
        <v>584</v>
      </c>
      <c r="F940" s="52" t="s">
        <v>26</v>
      </c>
      <c r="G940" s="55" t="s">
        <v>275</v>
      </c>
      <c r="H940" s="55">
        <v>40.23771</v>
      </c>
      <c r="I940" s="55">
        <v>20.999960000000002</v>
      </c>
      <c r="J940" s="55">
        <v>-2.9054660000000001</v>
      </c>
      <c r="K940" s="55">
        <v>-9.8290369999999996</v>
      </c>
      <c r="L940" s="55">
        <v>-9.583634</v>
      </c>
      <c r="M940" s="55">
        <v>-7.7279249999999999</v>
      </c>
      <c r="N940" s="55">
        <v>1.5912299999999999</v>
      </c>
    </row>
    <row r="941" spans="1:14" hidden="1" x14ac:dyDescent="0.35">
      <c r="A941" s="52" t="s">
        <v>579</v>
      </c>
      <c r="B941" s="52" t="s">
        <v>125</v>
      </c>
      <c r="C941" s="52" t="s">
        <v>124</v>
      </c>
      <c r="D941" s="52" t="s">
        <v>124</v>
      </c>
      <c r="E941" s="52" t="s">
        <v>584</v>
      </c>
      <c r="F941" s="52" t="s">
        <v>26</v>
      </c>
      <c r="G941" s="55" t="s">
        <v>276</v>
      </c>
      <c r="H941" s="55"/>
      <c r="I941" s="55"/>
      <c r="J941" s="55"/>
      <c r="K941" s="55"/>
      <c r="L941" s="55"/>
      <c r="M941" s="55"/>
      <c r="N941" s="55">
        <v>0</v>
      </c>
    </row>
    <row r="942" spans="1:14" hidden="1" x14ac:dyDescent="0.35">
      <c r="A942" s="52" t="s">
        <v>579</v>
      </c>
      <c r="B942" s="52" t="s">
        <v>125</v>
      </c>
      <c r="C942" s="52" t="s">
        <v>124</v>
      </c>
      <c r="D942" s="52" t="s">
        <v>124</v>
      </c>
      <c r="E942" s="52" t="s">
        <v>584</v>
      </c>
      <c r="F942" s="52" t="s">
        <v>26</v>
      </c>
      <c r="G942" s="55" t="s">
        <v>277</v>
      </c>
      <c r="H942" s="55">
        <v>23.860189999999999</v>
      </c>
      <c r="I942" s="55">
        <v>19.212209999999999</v>
      </c>
      <c r="J942" s="55">
        <v>18.340499999999999</v>
      </c>
      <c r="K942" s="55">
        <v>19.720050000000001</v>
      </c>
      <c r="L942" s="55">
        <v>16.182749999999999</v>
      </c>
      <c r="M942" s="55">
        <v>11.78077</v>
      </c>
      <c r="N942" s="55"/>
    </row>
    <row r="943" spans="1:14" hidden="1" x14ac:dyDescent="0.35">
      <c r="A943" s="52" t="s">
        <v>579</v>
      </c>
      <c r="B943" s="52" t="s">
        <v>125</v>
      </c>
      <c r="C943" s="52" t="s">
        <v>124</v>
      </c>
      <c r="D943" s="52" t="s">
        <v>124</v>
      </c>
      <c r="E943" s="52" t="s">
        <v>584</v>
      </c>
      <c r="F943" s="52" t="s">
        <v>26</v>
      </c>
      <c r="G943" s="55" t="s">
        <v>278</v>
      </c>
      <c r="H943" s="55"/>
      <c r="I943" s="55"/>
      <c r="J943" s="55">
        <v>0</v>
      </c>
      <c r="K943" s="55">
        <v>0</v>
      </c>
      <c r="L943" s="55">
        <v>0</v>
      </c>
      <c r="M943" s="55">
        <v>0</v>
      </c>
      <c r="N943" s="55">
        <v>0</v>
      </c>
    </row>
    <row r="944" spans="1:14" hidden="1" x14ac:dyDescent="0.35">
      <c r="A944" s="52" t="s">
        <v>579</v>
      </c>
      <c r="B944" s="52" t="s">
        <v>125</v>
      </c>
      <c r="C944" s="52" t="s">
        <v>124</v>
      </c>
      <c r="D944" s="52" t="s">
        <v>124</v>
      </c>
      <c r="E944" s="52" t="s">
        <v>584</v>
      </c>
      <c r="F944" s="52" t="s">
        <v>26</v>
      </c>
      <c r="G944" s="55" t="s">
        <v>279</v>
      </c>
      <c r="H944" s="55">
        <v>26.82995</v>
      </c>
      <c r="I944" s="55">
        <v>24.053360000000001</v>
      </c>
      <c r="J944" s="55">
        <v>21.91095</v>
      </c>
      <c r="K944" s="55">
        <v>19.110520000000001</v>
      </c>
      <c r="L944" s="55">
        <v>15.448219999999999</v>
      </c>
      <c r="M944" s="55">
        <v>12.313000000000001</v>
      </c>
      <c r="N944" s="55">
        <v>9.9346300000000003</v>
      </c>
    </row>
    <row r="945" spans="1:14" hidden="1" x14ac:dyDescent="0.35">
      <c r="A945" s="52" t="s">
        <v>579</v>
      </c>
      <c r="B945" s="52" t="s">
        <v>125</v>
      </c>
      <c r="C945" s="52" t="s">
        <v>318</v>
      </c>
      <c r="D945" s="52" t="s">
        <v>318</v>
      </c>
      <c r="E945" s="52" t="s">
        <v>584</v>
      </c>
      <c r="F945" s="52" t="s">
        <v>581</v>
      </c>
      <c r="G945" s="55" t="s">
        <v>275</v>
      </c>
      <c r="H945" s="55">
        <v>-45.609439999999999</v>
      </c>
      <c r="I945" s="55">
        <v>0</v>
      </c>
      <c r="J945" s="55"/>
      <c r="K945" s="55"/>
      <c r="L945" s="55"/>
      <c r="M945" s="55"/>
      <c r="N945" s="55"/>
    </row>
    <row r="946" spans="1:14" hidden="1" x14ac:dyDescent="0.35">
      <c r="A946" s="52" t="s">
        <v>579</v>
      </c>
      <c r="B946" s="52" t="s">
        <v>125</v>
      </c>
      <c r="C946" s="52" t="s">
        <v>318</v>
      </c>
      <c r="D946" s="52" t="s">
        <v>318</v>
      </c>
      <c r="E946" s="52" t="s">
        <v>584</v>
      </c>
      <c r="F946" s="52" t="s">
        <v>581</v>
      </c>
      <c r="G946" s="55" t="s">
        <v>278</v>
      </c>
      <c r="H946" s="55">
        <v>45.609439999999999</v>
      </c>
      <c r="I946" s="55">
        <v>0</v>
      </c>
      <c r="J946" s="55"/>
      <c r="K946" s="55"/>
      <c r="L946" s="55"/>
      <c r="M946" s="55"/>
      <c r="N946" s="55"/>
    </row>
    <row r="947" spans="1:14" hidden="1" x14ac:dyDescent="0.35">
      <c r="A947" s="52" t="s">
        <v>579</v>
      </c>
      <c r="B947" s="52" t="s">
        <v>125</v>
      </c>
      <c r="C947" s="52" t="s">
        <v>318</v>
      </c>
      <c r="D947" s="52" t="s">
        <v>318</v>
      </c>
      <c r="E947" s="52" t="s">
        <v>584</v>
      </c>
      <c r="F947" s="52" t="s">
        <v>26</v>
      </c>
      <c r="G947" s="55" t="s">
        <v>275</v>
      </c>
      <c r="H947" s="55">
        <v>-30.406289999999998</v>
      </c>
      <c r="I947" s="55">
        <v>0</v>
      </c>
      <c r="J947" s="55"/>
      <c r="K947" s="55"/>
      <c r="L947" s="55"/>
      <c r="M947" s="55"/>
      <c r="N947" s="55"/>
    </row>
    <row r="948" spans="1:14" hidden="1" x14ac:dyDescent="0.35">
      <c r="A948" s="52" t="s">
        <v>579</v>
      </c>
      <c r="B948" s="52" t="s">
        <v>125</v>
      </c>
      <c r="C948" s="52" t="s">
        <v>318</v>
      </c>
      <c r="D948" s="52" t="s">
        <v>318</v>
      </c>
      <c r="E948" s="52" t="s">
        <v>584</v>
      </c>
      <c r="F948" s="52" t="s">
        <v>26</v>
      </c>
      <c r="G948" s="55" t="s">
        <v>278</v>
      </c>
      <c r="H948" s="55">
        <v>30.406289999999998</v>
      </c>
      <c r="I948" s="55">
        <v>0</v>
      </c>
      <c r="J948" s="55"/>
      <c r="K948" s="55"/>
      <c r="L948" s="55"/>
      <c r="M948" s="55"/>
      <c r="N948" s="55"/>
    </row>
    <row r="949" spans="1:14" hidden="1" x14ac:dyDescent="0.35">
      <c r="A949" s="52" t="s">
        <v>579</v>
      </c>
      <c r="B949" s="52" t="s">
        <v>125</v>
      </c>
      <c r="C949" s="52" t="s">
        <v>188</v>
      </c>
      <c r="D949" s="52" t="s">
        <v>188</v>
      </c>
      <c r="E949" s="52" t="s">
        <v>584</v>
      </c>
      <c r="F949" s="52" t="s">
        <v>581</v>
      </c>
      <c r="G949" s="55" t="s">
        <v>275</v>
      </c>
      <c r="H949" s="55">
        <v>-0.34394599999999997</v>
      </c>
      <c r="I949" s="55">
        <v>-16.385020000000001</v>
      </c>
      <c r="J949" s="55">
        <v>0</v>
      </c>
      <c r="K949" s="55">
        <v>0</v>
      </c>
      <c r="L949" s="55">
        <v>0</v>
      </c>
      <c r="M949" s="55">
        <v>0</v>
      </c>
      <c r="N949" s="55">
        <v>0</v>
      </c>
    </row>
    <row r="950" spans="1:14" hidden="1" x14ac:dyDescent="0.35">
      <c r="A950" s="52" t="s">
        <v>579</v>
      </c>
      <c r="B950" s="52" t="s">
        <v>125</v>
      </c>
      <c r="C950" s="52" t="s">
        <v>188</v>
      </c>
      <c r="D950" s="52" t="s">
        <v>188</v>
      </c>
      <c r="E950" s="52" t="s">
        <v>584</v>
      </c>
      <c r="F950" s="52" t="s">
        <v>581</v>
      </c>
      <c r="G950" s="55" t="s">
        <v>276</v>
      </c>
      <c r="H950" s="55"/>
      <c r="I950" s="55"/>
      <c r="J950" s="55">
        <v>-0.66232400000000002</v>
      </c>
      <c r="K950" s="55">
        <v>-0.91039499999999995</v>
      </c>
      <c r="L950" s="55">
        <v>-0.39121600000000001</v>
      </c>
      <c r="M950" s="55">
        <v>-0.36415799999999998</v>
      </c>
      <c r="N950" s="55">
        <v>-0.36415799999999998</v>
      </c>
    </row>
    <row r="951" spans="1:14" hidden="1" x14ac:dyDescent="0.35">
      <c r="A951" s="52" t="s">
        <v>579</v>
      </c>
      <c r="B951" s="52" t="s">
        <v>125</v>
      </c>
      <c r="C951" s="52" t="s">
        <v>188</v>
      </c>
      <c r="D951" s="52" t="s">
        <v>188</v>
      </c>
      <c r="E951" s="52" t="s">
        <v>584</v>
      </c>
      <c r="F951" s="52" t="s">
        <v>581</v>
      </c>
      <c r="G951" s="55" t="s">
        <v>278</v>
      </c>
      <c r="H951" s="55">
        <v>0.34394599999999997</v>
      </c>
      <c r="I951" s="55">
        <v>16.385020000000001</v>
      </c>
      <c r="J951" s="55">
        <v>0.66232400000000002</v>
      </c>
      <c r="K951" s="55">
        <v>0.91039499999999995</v>
      </c>
      <c r="L951" s="55">
        <v>0.39121600000000001</v>
      </c>
      <c r="M951" s="55">
        <v>0.36415799999999998</v>
      </c>
      <c r="N951" s="55">
        <v>0.36415799999999998</v>
      </c>
    </row>
    <row r="952" spans="1:14" hidden="1" x14ac:dyDescent="0.35">
      <c r="A952" s="52" t="s">
        <v>579</v>
      </c>
      <c r="B952" s="52" t="s">
        <v>133</v>
      </c>
      <c r="C952" s="52" t="s">
        <v>135</v>
      </c>
      <c r="D952" s="52" t="s">
        <v>253</v>
      </c>
      <c r="E952" s="52" t="s">
        <v>584</v>
      </c>
      <c r="F952" s="52" t="s">
        <v>581</v>
      </c>
      <c r="G952" s="55" t="s">
        <v>275</v>
      </c>
      <c r="H952" s="55">
        <v>442.06549999999999</v>
      </c>
      <c r="I952" s="55">
        <v>166.56899999999999</v>
      </c>
      <c r="J952" s="55">
        <v>117.1801</v>
      </c>
      <c r="K952" s="55">
        <v>99.390079999999998</v>
      </c>
      <c r="L952" s="55">
        <v>101.9029</v>
      </c>
      <c r="M952" s="55">
        <v>91.405820000000006</v>
      </c>
      <c r="N952" s="55">
        <v>83.929699999999997</v>
      </c>
    </row>
    <row r="953" spans="1:14" hidden="1" x14ac:dyDescent="0.35">
      <c r="A953" s="52" t="s">
        <v>579</v>
      </c>
      <c r="B953" s="52" t="s">
        <v>133</v>
      </c>
      <c r="C953" s="52" t="s">
        <v>135</v>
      </c>
      <c r="D953" s="52" t="s">
        <v>253</v>
      </c>
      <c r="E953" s="52" t="s">
        <v>584</v>
      </c>
      <c r="F953" s="52" t="s">
        <v>581</v>
      </c>
      <c r="G953" s="55" t="s">
        <v>276</v>
      </c>
      <c r="H953" s="55">
        <v>431.48259999999999</v>
      </c>
      <c r="I953" s="55">
        <v>147.87549999999999</v>
      </c>
      <c r="J953" s="55">
        <v>220.3597</v>
      </c>
      <c r="K953" s="55">
        <v>207.2577</v>
      </c>
      <c r="L953" s="55">
        <v>193.44470000000001</v>
      </c>
      <c r="M953" s="55">
        <v>185.11320000000001</v>
      </c>
      <c r="N953" s="55">
        <v>173.7373</v>
      </c>
    </row>
    <row r="954" spans="1:14" hidden="1" x14ac:dyDescent="0.35">
      <c r="A954" s="52" t="s">
        <v>579</v>
      </c>
      <c r="B954" s="52" t="s">
        <v>133</v>
      </c>
      <c r="C954" s="52" t="s">
        <v>135</v>
      </c>
      <c r="D954" s="52" t="s">
        <v>253</v>
      </c>
      <c r="E954" s="52" t="s">
        <v>584</v>
      </c>
      <c r="F954" s="52" t="s">
        <v>581</v>
      </c>
      <c r="G954" s="55" t="s">
        <v>277</v>
      </c>
      <c r="H954" s="55">
        <v>89.099059999999994</v>
      </c>
      <c r="I954" s="55">
        <v>70.302310000000006</v>
      </c>
      <c r="J954" s="55">
        <v>64.542969999999997</v>
      </c>
      <c r="K954" s="55">
        <v>77.033420000000007</v>
      </c>
      <c r="L954" s="55">
        <v>82.90428</v>
      </c>
      <c r="M954" s="55">
        <v>85.809039999999996</v>
      </c>
      <c r="N954" s="55">
        <v>88.486980000000003</v>
      </c>
    </row>
    <row r="955" spans="1:14" hidden="1" x14ac:dyDescent="0.35">
      <c r="A955" s="52" t="s">
        <v>579</v>
      </c>
      <c r="B955" s="52" t="s">
        <v>133</v>
      </c>
      <c r="C955" s="52" t="s">
        <v>135</v>
      </c>
      <c r="D955" s="52" t="s">
        <v>253</v>
      </c>
      <c r="E955" s="52" t="s">
        <v>584</v>
      </c>
      <c r="F955" s="52" t="s">
        <v>581</v>
      </c>
      <c r="G955" s="55" t="s">
        <v>278</v>
      </c>
      <c r="H955" s="55">
        <v>5.2759380000000002E-2</v>
      </c>
      <c r="I955" s="55">
        <v>5.2759380000000002E-2</v>
      </c>
      <c r="J955" s="55">
        <v>5.2759380000000002E-2</v>
      </c>
      <c r="K955" s="55">
        <v>5.2759380000000002E-2</v>
      </c>
      <c r="L955" s="55">
        <v>1.3017399999999999</v>
      </c>
      <c r="M955" s="55">
        <v>5.2759380000000002E-2</v>
      </c>
      <c r="N955" s="55">
        <v>0.84730589999999995</v>
      </c>
    </row>
    <row r="956" spans="1:14" hidden="1" x14ac:dyDescent="0.35">
      <c r="A956" s="52" t="s">
        <v>579</v>
      </c>
      <c r="B956" s="52" t="s">
        <v>133</v>
      </c>
      <c r="C956" s="52" t="s">
        <v>135</v>
      </c>
      <c r="D956" s="52" t="s">
        <v>253</v>
      </c>
      <c r="E956" s="52" t="s">
        <v>584</v>
      </c>
      <c r="F956" s="52" t="s">
        <v>581</v>
      </c>
      <c r="G956" s="55" t="s">
        <v>279</v>
      </c>
      <c r="H956" s="55">
        <v>487.5849</v>
      </c>
      <c r="I956" s="55">
        <v>262.17430000000002</v>
      </c>
      <c r="J956" s="55">
        <v>275.12400000000002</v>
      </c>
      <c r="K956" s="55">
        <v>274.45319999999998</v>
      </c>
      <c r="L956" s="55">
        <v>272.69110000000001</v>
      </c>
      <c r="M956" s="55">
        <v>261.60829999999999</v>
      </c>
      <c r="N956" s="55">
        <v>251.5078</v>
      </c>
    </row>
    <row r="957" spans="1:14" hidden="1" x14ac:dyDescent="0.35">
      <c r="A957" s="52" t="s">
        <v>579</v>
      </c>
      <c r="B957" s="52" t="s">
        <v>307</v>
      </c>
      <c r="C957" s="52" t="s">
        <v>306</v>
      </c>
      <c r="D957" s="52" t="s">
        <v>306</v>
      </c>
      <c r="E957" s="52" t="s">
        <v>584</v>
      </c>
      <c r="F957" s="52" t="s">
        <v>581</v>
      </c>
      <c r="G957" s="55" t="s">
        <v>275</v>
      </c>
      <c r="H957" s="55">
        <v>219.67599999999999</v>
      </c>
      <c r="I957" s="55">
        <v>31.451029999999999</v>
      </c>
      <c r="J957" s="55">
        <v>73.066649999999996</v>
      </c>
      <c r="K957" s="55">
        <v>56.349299999999999</v>
      </c>
      <c r="L957" s="55">
        <v>36.065869999999997</v>
      </c>
      <c r="M957" s="55">
        <v>59.198740000000001</v>
      </c>
      <c r="N957" s="55">
        <v>66.403419999999997</v>
      </c>
    </row>
    <row r="958" spans="1:14" hidden="1" x14ac:dyDescent="0.35">
      <c r="A958" s="52" t="s">
        <v>579</v>
      </c>
      <c r="B958" s="52" t="s">
        <v>307</v>
      </c>
      <c r="C958" s="52" t="s">
        <v>306</v>
      </c>
      <c r="D958" s="52" t="s">
        <v>306</v>
      </c>
      <c r="E958" s="52" t="s">
        <v>584</v>
      </c>
      <c r="F958" s="52" t="s">
        <v>581</v>
      </c>
      <c r="G958" s="55" t="s">
        <v>276</v>
      </c>
      <c r="H958" s="55">
        <v>144.42339999999999</v>
      </c>
      <c r="I958" s="55">
        <v>16.7608</v>
      </c>
      <c r="J958" s="55">
        <v>32.124459999999999</v>
      </c>
      <c r="K958" s="55">
        <v>30.25318</v>
      </c>
      <c r="L958" s="55">
        <v>27.946480000000001</v>
      </c>
      <c r="M958" s="55">
        <v>36.216430000000003</v>
      </c>
      <c r="N958" s="55">
        <v>37.565689999999996</v>
      </c>
    </row>
    <row r="959" spans="1:14" hidden="1" x14ac:dyDescent="0.35">
      <c r="A959" s="52" t="s">
        <v>579</v>
      </c>
      <c r="B959" s="52" t="s">
        <v>307</v>
      </c>
      <c r="C959" s="52" t="s">
        <v>306</v>
      </c>
      <c r="D959" s="52" t="s">
        <v>306</v>
      </c>
      <c r="E959" s="52" t="s">
        <v>584</v>
      </c>
      <c r="F959" s="52" t="s">
        <v>581</v>
      </c>
      <c r="G959" s="55" t="s">
        <v>277</v>
      </c>
      <c r="H959" s="55">
        <v>122.27849999999999</v>
      </c>
      <c r="I959" s="55">
        <v>95.756330000000005</v>
      </c>
      <c r="J959" s="55">
        <v>40.414490000000001</v>
      </c>
      <c r="K959" s="55">
        <v>58.230029999999999</v>
      </c>
      <c r="L959" s="55">
        <v>67.921570000000003</v>
      </c>
      <c r="M959" s="55">
        <v>42.736759999999997</v>
      </c>
      <c r="N959" s="55">
        <v>24.65578</v>
      </c>
    </row>
    <row r="960" spans="1:14" hidden="1" x14ac:dyDescent="0.35">
      <c r="A960" s="52" t="s">
        <v>579</v>
      </c>
      <c r="B960" s="52" t="s">
        <v>307</v>
      </c>
      <c r="C960" s="52" t="s">
        <v>306</v>
      </c>
      <c r="D960" s="52" t="s">
        <v>306</v>
      </c>
      <c r="E960" s="52" t="s">
        <v>584</v>
      </c>
      <c r="F960" s="52" t="s">
        <v>581</v>
      </c>
      <c r="G960" s="55" t="s">
        <v>278</v>
      </c>
      <c r="H960" s="55">
        <v>0.35319390000000001</v>
      </c>
      <c r="I960" s="55">
        <v>0.35319390000000001</v>
      </c>
      <c r="J960" s="55">
        <v>9.6439629999999998E-2</v>
      </c>
      <c r="K960" s="55">
        <v>9.6439629999999998E-2</v>
      </c>
      <c r="L960" s="55">
        <v>9.6439629999999998E-2</v>
      </c>
      <c r="M960" s="55">
        <v>9.6439629999999998E-2</v>
      </c>
      <c r="N960" s="55">
        <v>9.6439629999999998E-2</v>
      </c>
    </row>
    <row r="961" spans="1:14" hidden="1" x14ac:dyDescent="0.35">
      <c r="A961" s="52" t="s">
        <v>579</v>
      </c>
      <c r="B961" s="52" t="s">
        <v>307</v>
      </c>
      <c r="C961" s="52" t="s">
        <v>306</v>
      </c>
      <c r="D961" s="52" t="s">
        <v>306</v>
      </c>
      <c r="E961" s="52" t="s">
        <v>584</v>
      </c>
      <c r="F961" s="52" t="s">
        <v>581</v>
      </c>
      <c r="G961" s="55" t="s">
        <v>279</v>
      </c>
      <c r="H961" s="55">
        <v>208.26939999999999</v>
      </c>
      <c r="I961" s="55">
        <v>181.63159999999999</v>
      </c>
      <c r="J961" s="55">
        <v>187.48769999999999</v>
      </c>
      <c r="K961" s="55">
        <v>207.7208</v>
      </c>
      <c r="L961" s="55">
        <v>199.0831</v>
      </c>
      <c r="M961" s="55">
        <v>198.39189999999999</v>
      </c>
      <c r="N961" s="55">
        <v>187.60740000000001</v>
      </c>
    </row>
    <row r="962" spans="1:14" hidden="1" x14ac:dyDescent="0.35">
      <c r="A962" s="52" t="s">
        <v>579</v>
      </c>
      <c r="B962" s="52" t="s">
        <v>307</v>
      </c>
      <c r="C962" s="52" t="s">
        <v>306</v>
      </c>
      <c r="D962" s="52" t="s">
        <v>306</v>
      </c>
      <c r="E962" s="52" t="s">
        <v>584</v>
      </c>
      <c r="F962" s="52" t="s">
        <v>26</v>
      </c>
      <c r="G962" s="55" t="s">
        <v>275</v>
      </c>
      <c r="H962" s="55">
        <v>1.592886</v>
      </c>
      <c r="I962" s="55">
        <v>1.4335469999999999</v>
      </c>
      <c r="J962" s="55">
        <v>3.0150190000000001</v>
      </c>
      <c r="K962" s="55">
        <v>2.979473</v>
      </c>
      <c r="L962" s="55">
        <v>3.842641</v>
      </c>
      <c r="M962" s="55">
        <v>3.5442089999999999</v>
      </c>
      <c r="N962" s="55">
        <v>3.1740889999999999</v>
      </c>
    </row>
    <row r="963" spans="1:14" hidden="1" x14ac:dyDescent="0.35">
      <c r="A963" s="52" t="s">
        <v>579</v>
      </c>
      <c r="B963" s="52" t="s">
        <v>307</v>
      </c>
      <c r="C963" s="52" t="s">
        <v>306</v>
      </c>
      <c r="D963" s="52" t="s">
        <v>306</v>
      </c>
      <c r="E963" s="52" t="s">
        <v>584</v>
      </c>
      <c r="F963" s="52" t="s">
        <v>26</v>
      </c>
      <c r="G963" s="55" t="s">
        <v>276</v>
      </c>
      <c r="H963" s="55">
        <v>0.20711789999999999</v>
      </c>
      <c r="I963" s="55">
        <v>1.0027219999999999</v>
      </c>
      <c r="J963" s="55">
        <v>1.793282</v>
      </c>
      <c r="K963" s="55">
        <v>1.7333890000000001</v>
      </c>
      <c r="L963" s="55">
        <v>2.336983</v>
      </c>
      <c r="M963" s="55">
        <v>2.2425999999999999</v>
      </c>
      <c r="N963" s="55">
        <v>2.098652</v>
      </c>
    </row>
    <row r="964" spans="1:14" hidden="1" x14ac:dyDescent="0.35">
      <c r="A964" s="52" t="s">
        <v>579</v>
      </c>
      <c r="B964" s="52" t="s">
        <v>307</v>
      </c>
      <c r="C964" s="52" t="s">
        <v>306</v>
      </c>
      <c r="D964" s="52" t="s">
        <v>306</v>
      </c>
      <c r="E964" s="52" t="s">
        <v>584</v>
      </c>
      <c r="F964" s="52" t="s">
        <v>26</v>
      </c>
      <c r="G964" s="55" t="s">
        <v>277</v>
      </c>
      <c r="H964" s="55">
        <v>0</v>
      </c>
      <c r="I964" s="55"/>
      <c r="J964" s="55"/>
      <c r="K964" s="55"/>
      <c r="L964" s="55"/>
      <c r="M964" s="55"/>
      <c r="N964" s="55"/>
    </row>
    <row r="965" spans="1:14" hidden="1" x14ac:dyDescent="0.35">
      <c r="A965" s="52" t="s">
        <v>579</v>
      </c>
      <c r="B965" s="52" t="s">
        <v>307</v>
      </c>
      <c r="C965" s="52" t="s">
        <v>306</v>
      </c>
      <c r="D965" s="52" t="s">
        <v>306</v>
      </c>
      <c r="E965" s="52" t="s">
        <v>584</v>
      </c>
      <c r="F965" s="52" t="s">
        <v>26</v>
      </c>
      <c r="G965" s="55" t="s">
        <v>279</v>
      </c>
      <c r="H965" s="55">
        <v>7.9223290000000004</v>
      </c>
      <c r="I965" s="55">
        <v>7.1506939999999997</v>
      </c>
      <c r="J965" s="55">
        <v>15.318</v>
      </c>
      <c r="K965" s="55">
        <v>20.4132</v>
      </c>
      <c r="L965" s="55">
        <v>26.81006</v>
      </c>
      <c r="M965" s="55">
        <v>25.119949999999999</v>
      </c>
      <c r="N965" s="55">
        <v>22.886659999999999</v>
      </c>
    </row>
    <row r="966" spans="1:14" hidden="1" x14ac:dyDescent="0.35">
      <c r="A966" s="52" t="s">
        <v>579</v>
      </c>
      <c r="B966" s="52" t="s">
        <v>201</v>
      </c>
      <c r="C966" s="52" t="s">
        <v>257</v>
      </c>
      <c r="D966" s="52" t="s">
        <v>257</v>
      </c>
      <c r="E966" s="52" t="s">
        <v>584</v>
      </c>
      <c r="F966" s="52" t="s">
        <v>581</v>
      </c>
      <c r="G966" s="55" t="s">
        <v>275</v>
      </c>
      <c r="H966" s="55">
        <v>254.32040000000001</v>
      </c>
      <c r="I966" s="55">
        <v>92.509829999999994</v>
      </c>
      <c r="J966" s="55">
        <v>74.891549999999995</v>
      </c>
      <c r="K966" s="55">
        <v>60.740600000000001</v>
      </c>
      <c r="L966" s="55">
        <v>52.353740000000002</v>
      </c>
      <c r="M966" s="55">
        <v>53.573860000000003</v>
      </c>
      <c r="N966" s="55">
        <v>40.764870000000002</v>
      </c>
    </row>
    <row r="967" spans="1:14" hidden="1" x14ac:dyDescent="0.35">
      <c r="A967" s="52" t="s">
        <v>579</v>
      </c>
      <c r="B967" s="52" t="s">
        <v>201</v>
      </c>
      <c r="C967" s="52" t="s">
        <v>257</v>
      </c>
      <c r="D967" s="52" t="s">
        <v>257</v>
      </c>
      <c r="E967" s="52" t="s">
        <v>584</v>
      </c>
      <c r="F967" s="52" t="s">
        <v>581</v>
      </c>
      <c r="G967" s="55" t="s">
        <v>276</v>
      </c>
      <c r="H967" s="55">
        <v>43.960290000000001</v>
      </c>
      <c r="I967" s="55">
        <v>11.05522</v>
      </c>
      <c r="J967" s="55">
        <v>10.32071</v>
      </c>
      <c r="K967" s="55">
        <v>8.8459380000000003</v>
      </c>
      <c r="L967" s="55">
        <v>7.2103169999999999</v>
      </c>
      <c r="M967" s="55">
        <v>5.5476429999999999</v>
      </c>
      <c r="N967" s="55">
        <v>10.66301</v>
      </c>
    </row>
    <row r="968" spans="1:14" hidden="1" x14ac:dyDescent="0.35">
      <c r="A968" s="52" t="s">
        <v>579</v>
      </c>
      <c r="B968" s="52" t="s">
        <v>201</v>
      </c>
      <c r="C968" s="52" t="s">
        <v>257</v>
      </c>
      <c r="D968" s="52" t="s">
        <v>257</v>
      </c>
      <c r="E968" s="52" t="s">
        <v>584</v>
      </c>
      <c r="F968" s="52" t="s">
        <v>581</v>
      </c>
      <c r="G968" s="55" t="s">
        <v>277</v>
      </c>
      <c r="H968" s="55">
        <v>48.179920000000003</v>
      </c>
      <c r="I968" s="55">
        <v>37.526449999999997</v>
      </c>
      <c r="J968" s="55">
        <v>43.035130000000002</v>
      </c>
      <c r="K968" s="55">
        <v>46.724769999999999</v>
      </c>
      <c r="L968" s="55">
        <v>46.715240000000001</v>
      </c>
      <c r="M968" s="55">
        <v>36.317779999999999</v>
      </c>
      <c r="N968" s="55">
        <v>31.552969999999998</v>
      </c>
    </row>
    <row r="969" spans="1:14" hidden="1" x14ac:dyDescent="0.35">
      <c r="A969" s="52" t="s">
        <v>579</v>
      </c>
      <c r="B969" s="52" t="s">
        <v>201</v>
      </c>
      <c r="C969" s="52" t="s">
        <v>257</v>
      </c>
      <c r="D969" s="52" t="s">
        <v>257</v>
      </c>
      <c r="E969" s="52" t="s">
        <v>584</v>
      </c>
      <c r="F969" s="52" t="s">
        <v>581</v>
      </c>
      <c r="G969" s="55" t="s">
        <v>278</v>
      </c>
      <c r="H969" s="55">
        <v>0.4022403</v>
      </c>
      <c r="I969" s="55">
        <v>0.4022403</v>
      </c>
      <c r="J969" s="55">
        <v>0</v>
      </c>
      <c r="K969" s="55">
        <v>0</v>
      </c>
      <c r="L969" s="55">
        <v>0</v>
      </c>
      <c r="M969" s="55">
        <v>0</v>
      </c>
      <c r="N969" s="55">
        <v>0</v>
      </c>
    </row>
    <row r="970" spans="1:14" hidden="1" x14ac:dyDescent="0.35">
      <c r="A970" s="52" t="s">
        <v>579</v>
      </c>
      <c r="B970" s="52" t="s">
        <v>201</v>
      </c>
      <c r="C970" s="52" t="s">
        <v>257</v>
      </c>
      <c r="D970" s="52" t="s">
        <v>257</v>
      </c>
      <c r="E970" s="52" t="s">
        <v>584</v>
      </c>
      <c r="F970" s="52" t="s">
        <v>581</v>
      </c>
      <c r="G970" s="55" t="s">
        <v>279</v>
      </c>
      <c r="H970" s="55">
        <v>82.265460000000004</v>
      </c>
      <c r="I970" s="55">
        <v>62.952629999999999</v>
      </c>
      <c r="J970" s="55">
        <v>60.463299999999997</v>
      </c>
      <c r="K970" s="55">
        <v>55.050910000000002</v>
      </c>
      <c r="L970" s="55">
        <v>50.121490000000001</v>
      </c>
      <c r="M970" s="55">
        <v>45.603380000000001</v>
      </c>
      <c r="N970" s="55">
        <v>40.366329999999998</v>
      </c>
    </row>
    <row r="971" spans="1:14" hidden="1" x14ac:dyDescent="0.35">
      <c r="A971" s="52" t="s">
        <v>579</v>
      </c>
      <c r="B971" s="52" t="s">
        <v>201</v>
      </c>
      <c r="C971" s="52" t="s">
        <v>220</v>
      </c>
      <c r="D971" s="52" t="s">
        <v>220</v>
      </c>
      <c r="E971" s="52" t="s">
        <v>584</v>
      </c>
      <c r="F971" s="52" t="s">
        <v>581</v>
      </c>
      <c r="G971" s="55" t="s">
        <v>275</v>
      </c>
      <c r="H971" s="55">
        <v>135.7225</v>
      </c>
      <c r="I971" s="55">
        <v>27.125029999999999</v>
      </c>
      <c r="J971" s="55">
        <v>23.006070000000001</v>
      </c>
      <c r="K971" s="55">
        <v>13.457979999999999</v>
      </c>
      <c r="L971" s="55">
        <v>11.681509999999999</v>
      </c>
      <c r="M971" s="55">
        <v>11.79194</v>
      </c>
      <c r="N971" s="55">
        <v>11.04426</v>
      </c>
    </row>
    <row r="972" spans="1:14" hidden="1" x14ac:dyDescent="0.35">
      <c r="A972" s="52" t="s">
        <v>579</v>
      </c>
      <c r="B972" s="52" t="s">
        <v>201</v>
      </c>
      <c r="C972" s="52" t="s">
        <v>220</v>
      </c>
      <c r="D972" s="52" t="s">
        <v>220</v>
      </c>
      <c r="E972" s="52" t="s">
        <v>584</v>
      </c>
      <c r="F972" s="52" t="s">
        <v>581</v>
      </c>
      <c r="G972" s="55" t="s">
        <v>276</v>
      </c>
      <c r="H972" s="55">
        <v>73.700450000000004</v>
      </c>
      <c r="I972" s="55">
        <v>15.76821</v>
      </c>
      <c r="J972" s="55">
        <v>14.69239</v>
      </c>
      <c r="K972" s="55">
        <v>11.12487</v>
      </c>
      <c r="L972" s="55">
        <v>8.0606329999999993</v>
      </c>
      <c r="M972" s="55">
        <v>5.2039770000000001</v>
      </c>
      <c r="N972" s="55">
        <v>3.5874139999999999</v>
      </c>
    </row>
    <row r="973" spans="1:14" hidden="1" x14ac:dyDescent="0.35">
      <c r="A973" s="52" t="s">
        <v>579</v>
      </c>
      <c r="B973" s="52" t="s">
        <v>201</v>
      </c>
      <c r="C973" s="52" t="s">
        <v>220</v>
      </c>
      <c r="D973" s="52" t="s">
        <v>220</v>
      </c>
      <c r="E973" s="52" t="s">
        <v>584</v>
      </c>
      <c r="F973" s="52" t="s">
        <v>581</v>
      </c>
      <c r="G973" s="55" t="s">
        <v>277</v>
      </c>
      <c r="H973" s="55">
        <v>79.254739999999998</v>
      </c>
      <c r="I973" s="55">
        <v>67.806690000000003</v>
      </c>
      <c r="J973" s="55">
        <v>62.952800000000003</v>
      </c>
      <c r="K973" s="55">
        <v>65.280469999999994</v>
      </c>
      <c r="L973" s="55">
        <v>60.249279999999999</v>
      </c>
      <c r="M973" s="55">
        <v>54.409309999999998</v>
      </c>
      <c r="N973" s="55">
        <v>51.680639999999997</v>
      </c>
    </row>
    <row r="974" spans="1:14" hidden="1" x14ac:dyDescent="0.35">
      <c r="A974" s="52" t="s">
        <v>579</v>
      </c>
      <c r="B974" s="52" t="s">
        <v>201</v>
      </c>
      <c r="C974" s="52" t="s">
        <v>220</v>
      </c>
      <c r="D974" s="52" t="s">
        <v>220</v>
      </c>
      <c r="E974" s="52" t="s">
        <v>584</v>
      </c>
      <c r="F974" s="52" t="s">
        <v>581</v>
      </c>
      <c r="G974" s="55" t="s">
        <v>278</v>
      </c>
      <c r="H974" s="55"/>
      <c r="I974" s="55"/>
      <c r="J974" s="55">
        <v>0</v>
      </c>
      <c r="K974" s="55">
        <v>0</v>
      </c>
      <c r="L974" s="55">
        <v>0</v>
      </c>
      <c r="M974" s="55">
        <v>0</v>
      </c>
      <c r="N974" s="55">
        <v>0</v>
      </c>
    </row>
    <row r="975" spans="1:14" hidden="1" x14ac:dyDescent="0.35">
      <c r="A975" s="52" t="s">
        <v>579</v>
      </c>
      <c r="B975" s="52" t="s">
        <v>201</v>
      </c>
      <c r="C975" s="52" t="s">
        <v>220</v>
      </c>
      <c r="D975" s="52" t="s">
        <v>220</v>
      </c>
      <c r="E975" s="52" t="s">
        <v>584</v>
      </c>
      <c r="F975" s="52" t="s">
        <v>581</v>
      </c>
      <c r="G975" s="55" t="s">
        <v>279</v>
      </c>
      <c r="H975" s="55">
        <v>97.112830000000002</v>
      </c>
      <c r="I975" s="55">
        <v>87.107190000000003</v>
      </c>
      <c r="J975" s="55">
        <v>85.180750000000003</v>
      </c>
      <c r="K975" s="55">
        <v>82.729489999999998</v>
      </c>
      <c r="L975" s="55">
        <v>73.870609999999999</v>
      </c>
      <c r="M975" s="55">
        <v>66.388109999999998</v>
      </c>
      <c r="N975" s="55">
        <v>62.333649999999999</v>
      </c>
    </row>
    <row r="976" spans="1:14" hidden="1" x14ac:dyDescent="0.35">
      <c r="A976" s="52" t="s">
        <v>579</v>
      </c>
      <c r="B976" s="52" t="s">
        <v>201</v>
      </c>
      <c r="C976" s="52" t="s">
        <v>220</v>
      </c>
      <c r="D976" s="52" t="s">
        <v>220</v>
      </c>
      <c r="E976" s="52" t="s">
        <v>584</v>
      </c>
      <c r="F976" s="52" t="s">
        <v>26</v>
      </c>
      <c r="G976" s="55" t="s">
        <v>275</v>
      </c>
      <c r="H976" s="55">
        <v>1.375729</v>
      </c>
      <c r="I976" s="55">
        <v>0.1232536</v>
      </c>
      <c r="J976" s="55">
        <v>9.2613290000000001E-2</v>
      </c>
      <c r="K976" s="55">
        <v>7.6103710000000005E-2</v>
      </c>
      <c r="L976" s="55">
        <v>6.4532030000000004E-2</v>
      </c>
      <c r="M976" s="55">
        <v>5.2349710000000001E-2</v>
      </c>
      <c r="N976" s="55">
        <v>5.4524860000000001E-2</v>
      </c>
    </row>
    <row r="977" spans="1:14" hidden="1" x14ac:dyDescent="0.35">
      <c r="A977" s="52" t="s">
        <v>579</v>
      </c>
      <c r="B977" s="52" t="s">
        <v>201</v>
      </c>
      <c r="C977" s="52" t="s">
        <v>220</v>
      </c>
      <c r="D977" s="52" t="s">
        <v>220</v>
      </c>
      <c r="E977" s="52" t="s">
        <v>584</v>
      </c>
      <c r="F977" s="52" t="s">
        <v>26</v>
      </c>
      <c r="G977" s="55" t="s">
        <v>276</v>
      </c>
      <c r="H977" s="55">
        <v>0.87207330000000005</v>
      </c>
      <c r="I977" s="55">
        <v>5.6220310000000003E-2</v>
      </c>
      <c r="J977" s="55">
        <v>4.8113169999999997E-2</v>
      </c>
      <c r="K977" s="55">
        <v>3.9076920000000001E-2</v>
      </c>
      <c r="L977" s="55">
        <v>3.305694E-2</v>
      </c>
      <c r="M977" s="55">
        <v>2.6628010000000001E-2</v>
      </c>
      <c r="N977" s="55">
        <v>1.215565E-2</v>
      </c>
    </row>
    <row r="978" spans="1:14" hidden="1" x14ac:dyDescent="0.35">
      <c r="A978" s="52" t="s">
        <v>579</v>
      </c>
      <c r="B978" s="52" t="s">
        <v>201</v>
      </c>
      <c r="C978" s="52" t="s">
        <v>220</v>
      </c>
      <c r="D978" s="52" t="s">
        <v>220</v>
      </c>
      <c r="E978" s="52" t="s">
        <v>584</v>
      </c>
      <c r="F978" s="52" t="s">
        <v>26</v>
      </c>
      <c r="G978" s="55" t="s">
        <v>279</v>
      </c>
      <c r="H978" s="55">
        <v>0.79095159999999998</v>
      </c>
      <c r="I978" s="55">
        <v>6.7472089999999998E-2</v>
      </c>
      <c r="J978" s="55">
        <v>6.2215859999999998E-2</v>
      </c>
      <c r="K978" s="55">
        <v>5.6489379999999999E-2</v>
      </c>
      <c r="L978" s="55">
        <v>4.9247369999999999E-2</v>
      </c>
      <c r="M978" s="55">
        <v>4.1246489999999997E-2</v>
      </c>
      <c r="N978" s="55">
        <v>3.476742E-2</v>
      </c>
    </row>
    <row r="979" spans="1:14" hidden="1" x14ac:dyDescent="0.35">
      <c r="A979" s="52" t="s">
        <v>579</v>
      </c>
      <c r="B979" s="52" t="s">
        <v>201</v>
      </c>
      <c r="C979" s="52" t="s">
        <v>318</v>
      </c>
      <c r="D979" s="52" t="s">
        <v>318</v>
      </c>
      <c r="E979" s="52" t="s">
        <v>584</v>
      </c>
      <c r="F979" s="52" t="s">
        <v>581</v>
      </c>
      <c r="G979" s="55" t="s">
        <v>275</v>
      </c>
      <c r="H979" s="55">
        <v>-22.81719</v>
      </c>
      <c r="I979" s="55">
        <v>0</v>
      </c>
      <c r="J979" s="55"/>
      <c r="K979" s="55"/>
      <c r="L979" s="55"/>
      <c r="M979" s="55"/>
      <c r="N979" s="55"/>
    </row>
    <row r="980" spans="1:14" hidden="1" x14ac:dyDescent="0.35">
      <c r="A980" s="52" t="s">
        <v>579</v>
      </c>
      <c r="B980" s="52" t="s">
        <v>201</v>
      </c>
      <c r="C980" s="52" t="s">
        <v>216</v>
      </c>
      <c r="D980" s="52" t="s">
        <v>216</v>
      </c>
      <c r="E980" s="52" t="s">
        <v>584</v>
      </c>
      <c r="F980" s="52" t="s">
        <v>581</v>
      </c>
      <c r="G980" s="55" t="s">
        <v>275</v>
      </c>
      <c r="H980" s="55">
        <v>-1.6657249999999999</v>
      </c>
      <c r="I980" s="55">
        <v>-8.0495819999999991</v>
      </c>
      <c r="J980" s="55">
        <v>0</v>
      </c>
      <c r="K980" s="55">
        <v>0</v>
      </c>
      <c r="L980" s="55">
        <v>0</v>
      </c>
      <c r="M980" s="55">
        <v>0</v>
      </c>
      <c r="N980" s="55">
        <v>0</v>
      </c>
    </row>
    <row r="981" spans="1:14" hidden="1" x14ac:dyDescent="0.35">
      <c r="A981" s="52" t="s">
        <v>579</v>
      </c>
      <c r="B981" s="52" t="s">
        <v>201</v>
      </c>
      <c r="C981" s="52" t="s">
        <v>216</v>
      </c>
      <c r="D981" s="52" t="s">
        <v>216</v>
      </c>
      <c r="E981" s="52" t="s">
        <v>584</v>
      </c>
      <c r="F981" s="52" t="s">
        <v>581</v>
      </c>
      <c r="G981" s="55" t="s">
        <v>276</v>
      </c>
      <c r="H981" s="55"/>
      <c r="I981" s="55"/>
      <c r="J981" s="55">
        <v>-5.9188530000000004</v>
      </c>
      <c r="K981" s="55">
        <v>-13.103109999999999</v>
      </c>
      <c r="L981" s="55">
        <v>-1.6530370000000001</v>
      </c>
      <c r="M981" s="55">
        <v>-1.6133690000000001</v>
      </c>
      <c r="N981" s="55">
        <v>-1.6133690000000001</v>
      </c>
    </row>
    <row r="982" spans="1:14" hidden="1" x14ac:dyDescent="0.35">
      <c r="A982" s="52" t="s">
        <v>579</v>
      </c>
      <c r="B982" s="52" t="s">
        <v>201</v>
      </c>
      <c r="C982" s="52" t="s">
        <v>216</v>
      </c>
      <c r="D982" s="52" t="s">
        <v>216</v>
      </c>
      <c r="E982" s="52" t="s">
        <v>584</v>
      </c>
      <c r="F982" s="52" t="s">
        <v>581</v>
      </c>
      <c r="G982" s="55" t="s">
        <v>277</v>
      </c>
      <c r="H982" s="55"/>
      <c r="I982" s="55"/>
      <c r="J982" s="55"/>
      <c r="K982" s="55"/>
      <c r="L982" s="55">
        <v>0</v>
      </c>
      <c r="M982" s="55"/>
      <c r="N982" s="55">
        <v>0</v>
      </c>
    </row>
    <row r="983" spans="1:14" hidden="1" x14ac:dyDescent="0.35">
      <c r="A983" s="52" t="s">
        <v>579</v>
      </c>
      <c r="B983" s="52" t="s">
        <v>201</v>
      </c>
      <c r="C983" s="52" t="s">
        <v>216</v>
      </c>
      <c r="D983" s="52" t="s">
        <v>216</v>
      </c>
      <c r="E983" s="52" t="s">
        <v>584</v>
      </c>
      <c r="F983" s="52" t="s">
        <v>581</v>
      </c>
      <c r="G983" s="55" t="s">
        <v>278</v>
      </c>
      <c r="H983" s="55">
        <v>1.6657249999999999</v>
      </c>
      <c r="I983" s="55">
        <v>8.0495819999999991</v>
      </c>
      <c r="J983" s="55">
        <v>5.9188539999999996</v>
      </c>
      <c r="K983" s="55">
        <v>13.103109999999999</v>
      </c>
      <c r="L983" s="55">
        <v>1.6530370000000001</v>
      </c>
      <c r="M983" s="55">
        <v>1.6133690000000001</v>
      </c>
      <c r="N983" s="55">
        <v>1.6133690000000001</v>
      </c>
    </row>
    <row r="984" spans="1:14" hidden="1" x14ac:dyDescent="0.35">
      <c r="A984" s="52" t="s">
        <v>579</v>
      </c>
      <c r="B984" s="52" t="s">
        <v>201</v>
      </c>
      <c r="C984" s="52" t="s">
        <v>318</v>
      </c>
      <c r="D984" s="52" t="s">
        <v>318</v>
      </c>
      <c r="E984" s="52" t="s">
        <v>584</v>
      </c>
      <c r="F984" s="52" t="s">
        <v>581</v>
      </c>
      <c r="G984" s="55" t="s">
        <v>278</v>
      </c>
      <c r="H984" s="55">
        <v>22.81719</v>
      </c>
      <c r="I984" s="55">
        <v>0</v>
      </c>
      <c r="J984" s="55"/>
      <c r="K984" s="55"/>
      <c r="L984" s="55"/>
      <c r="M984" s="55"/>
      <c r="N984" s="55"/>
    </row>
    <row r="985" spans="1:14" hidden="1" x14ac:dyDescent="0.35">
      <c r="A985" s="52" t="s">
        <v>579</v>
      </c>
      <c r="B985" s="52" t="s">
        <v>201</v>
      </c>
      <c r="C985" s="52" t="s">
        <v>216</v>
      </c>
      <c r="D985" s="52" t="s">
        <v>216</v>
      </c>
      <c r="E985" s="52" t="s">
        <v>584</v>
      </c>
      <c r="F985" s="52" t="s">
        <v>581</v>
      </c>
      <c r="G985" s="55" t="s">
        <v>279</v>
      </c>
      <c r="H985" s="55"/>
      <c r="I985" s="55"/>
      <c r="J985" s="55"/>
      <c r="K985" s="55"/>
      <c r="L985" s="55"/>
      <c r="M985" s="55"/>
      <c r="N985" s="55">
        <v>0</v>
      </c>
    </row>
    <row r="986" spans="1:14" hidden="1" x14ac:dyDescent="0.35">
      <c r="A986" s="52" t="s">
        <v>579</v>
      </c>
      <c r="B986" s="52" t="s">
        <v>201</v>
      </c>
      <c r="C986" s="52" t="s">
        <v>216</v>
      </c>
      <c r="D986" s="52" t="s">
        <v>216</v>
      </c>
      <c r="E986" s="52" t="s">
        <v>584</v>
      </c>
      <c r="F986" s="52" t="s">
        <v>26</v>
      </c>
      <c r="G986" s="55" t="s">
        <v>275</v>
      </c>
      <c r="H986" s="55"/>
      <c r="I986" s="55"/>
      <c r="J986" s="55"/>
      <c r="K986" s="55"/>
      <c r="L986" s="55">
        <v>0</v>
      </c>
      <c r="M986" s="55"/>
      <c r="N986" s="55"/>
    </row>
    <row r="987" spans="1:14" hidden="1" x14ac:dyDescent="0.35">
      <c r="A987" s="52" t="s">
        <v>579</v>
      </c>
      <c r="B987" s="52" t="s">
        <v>201</v>
      </c>
      <c r="C987" s="52" t="s">
        <v>318</v>
      </c>
      <c r="D987" s="52" t="s">
        <v>318</v>
      </c>
      <c r="E987" s="52" t="s">
        <v>584</v>
      </c>
      <c r="F987" s="52" t="s">
        <v>26</v>
      </c>
      <c r="G987" s="55" t="s">
        <v>275</v>
      </c>
      <c r="H987" s="55">
        <v>-15.211460000000001</v>
      </c>
      <c r="I987" s="55">
        <v>0</v>
      </c>
      <c r="J987" s="55"/>
      <c r="K987" s="55"/>
      <c r="L987" s="55"/>
      <c r="M987" s="55"/>
      <c r="N987" s="55"/>
    </row>
    <row r="988" spans="1:14" hidden="1" x14ac:dyDescent="0.35">
      <c r="A988" s="52" t="s">
        <v>579</v>
      </c>
      <c r="B988" s="52" t="s">
        <v>201</v>
      </c>
      <c r="C988" s="52" t="s">
        <v>216</v>
      </c>
      <c r="D988" s="52" t="s">
        <v>216</v>
      </c>
      <c r="E988" s="52" t="s">
        <v>584</v>
      </c>
      <c r="F988" s="52" t="s">
        <v>26</v>
      </c>
      <c r="G988" s="55" t="s">
        <v>276</v>
      </c>
      <c r="H988" s="55"/>
      <c r="I988" s="55"/>
      <c r="J988" s="55"/>
      <c r="K988" s="55"/>
      <c r="L988" s="55">
        <v>0</v>
      </c>
      <c r="M988" s="55"/>
      <c r="N988" s="55">
        <v>0</v>
      </c>
    </row>
    <row r="989" spans="1:14" hidden="1" x14ac:dyDescent="0.35">
      <c r="A989" s="52" t="s">
        <v>579</v>
      </c>
      <c r="B989" s="52" t="s">
        <v>201</v>
      </c>
      <c r="C989" s="52" t="s">
        <v>216</v>
      </c>
      <c r="D989" s="52" t="s">
        <v>216</v>
      </c>
      <c r="E989" s="52" t="s">
        <v>584</v>
      </c>
      <c r="F989" s="52" t="s">
        <v>26</v>
      </c>
      <c r="G989" s="55" t="s">
        <v>277</v>
      </c>
      <c r="H989" s="55"/>
      <c r="I989" s="55"/>
      <c r="J989" s="55"/>
      <c r="K989" s="55"/>
      <c r="L989" s="55">
        <v>0</v>
      </c>
      <c r="M989" s="55"/>
      <c r="N989" s="55"/>
    </row>
    <row r="990" spans="1:14" hidden="1" x14ac:dyDescent="0.35">
      <c r="A990" s="52" t="s">
        <v>579</v>
      </c>
      <c r="B990" s="52" t="s">
        <v>201</v>
      </c>
      <c r="C990" s="52" t="s">
        <v>318</v>
      </c>
      <c r="D990" s="52" t="s">
        <v>318</v>
      </c>
      <c r="E990" s="52" t="s">
        <v>584</v>
      </c>
      <c r="F990" s="52" t="s">
        <v>26</v>
      </c>
      <c r="G990" s="55" t="s">
        <v>278</v>
      </c>
      <c r="H990" s="55">
        <v>15.211460000000001</v>
      </c>
      <c r="I990" s="55">
        <v>0</v>
      </c>
      <c r="J990" s="55"/>
      <c r="K990" s="55"/>
      <c r="L990" s="55"/>
      <c r="M990" s="55"/>
      <c r="N990" s="55"/>
    </row>
    <row r="991" spans="1:14" hidden="1" x14ac:dyDescent="0.35">
      <c r="A991" s="52" t="s">
        <v>579</v>
      </c>
      <c r="B991" s="52" t="s">
        <v>201</v>
      </c>
      <c r="C991" s="52" t="s">
        <v>216</v>
      </c>
      <c r="D991" s="52" t="s">
        <v>216</v>
      </c>
      <c r="E991" s="52" t="s">
        <v>584</v>
      </c>
      <c r="F991" s="52" t="s">
        <v>26</v>
      </c>
      <c r="G991" s="55" t="s">
        <v>279</v>
      </c>
      <c r="H991" s="55"/>
      <c r="I991" s="55"/>
      <c r="J991" s="55"/>
      <c r="K991" s="55"/>
      <c r="L991" s="55"/>
      <c r="M991" s="55"/>
      <c r="N991" s="55">
        <v>0</v>
      </c>
    </row>
    <row r="992" spans="1:14" hidden="1" x14ac:dyDescent="0.35">
      <c r="A992" s="52" t="s">
        <v>579</v>
      </c>
      <c r="B992" s="52" t="s">
        <v>201</v>
      </c>
      <c r="C992" s="52" t="s">
        <v>367</v>
      </c>
      <c r="D992" s="52" t="s">
        <v>367</v>
      </c>
      <c r="E992" s="52" t="s">
        <v>584</v>
      </c>
      <c r="F992" s="52" t="s">
        <v>26</v>
      </c>
      <c r="G992" s="55" t="s">
        <v>275</v>
      </c>
      <c r="H992" s="55">
        <v>-0.210618</v>
      </c>
      <c r="I992" s="55">
        <v>-0.210618</v>
      </c>
      <c r="J992" s="55">
        <v>0</v>
      </c>
      <c r="K992" s="55">
        <v>0</v>
      </c>
      <c r="L992" s="55">
        <v>0</v>
      </c>
      <c r="M992" s="55">
        <v>0</v>
      </c>
      <c r="N992" s="55">
        <v>0</v>
      </c>
    </row>
    <row r="993" spans="1:14" hidden="1" x14ac:dyDescent="0.35">
      <c r="A993" s="52" t="s">
        <v>579</v>
      </c>
      <c r="B993" s="52" t="s">
        <v>201</v>
      </c>
      <c r="C993" s="52" t="s">
        <v>367</v>
      </c>
      <c r="D993" s="52" t="s">
        <v>367</v>
      </c>
      <c r="E993" s="52" t="s">
        <v>584</v>
      </c>
      <c r="F993" s="52" t="s">
        <v>26</v>
      </c>
      <c r="G993" s="55" t="s">
        <v>276</v>
      </c>
      <c r="H993" s="55"/>
      <c r="I993" s="55"/>
      <c r="J993" s="55">
        <v>-0.210618</v>
      </c>
      <c r="K993" s="55">
        <v>-8.3457000000000003E-2</v>
      </c>
      <c r="L993" s="55">
        <v>-0.102357</v>
      </c>
      <c r="M993" s="55">
        <v>-0.102357</v>
      </c>
      <c r="N993" s="55">
        <v>-8.3457000000000003E-2</v>
      </c>
    </row>
    <row r="994" spans="1:14" hidden="1" x14ac:dyDescent="0.35">
      <c r="A994" s="52" t="s">
        <v>579</v>
      </c>
      <c r="B994" s="52" t="s">
        <v>201</v>
      </c>
      <c r="C994" s="52" t="s">
        <v>367</v>
      </c>
      <c r="D994" s="52" t="s">
        <v>367</v>
      </c>
      <c r="E994" s="52" t="s">
        <v>584</v>
      </c>
      <c r="F994" s="52" t="s">
        <v>26</v>
      </c>
      <c r="G994" s="55" t="s">
        <v>277</v>
      </c>
      <c r="H994" s="55"/>
      <c r="I994" s="55"/>
      <c r="J994" s="55"/>
      <c r="K994" s="55">
        <v>0</v>
      </c>
      <c r="L994" s="55">
        <v>1.89E-2</v>
      </c>
      <c r="M994" s="55">
        <v>1.89E-2</v>
      </c>
      <c r="N994" s="55">
        <v>0</v>
      </c>
    </row>
    <row r="995" spans="1:14" hidden="1" x14ac:dyDescent="0.35">
      <c r="A995" s="52" t="s">
        <v>579</v>
      </c>
      <c r="B995" s="52" t="s">
        <v>201</v>
      </c>
      <c r="C995" s="52" t="s">
        <v>367</v>
      </c>
      <c r="D995" s="52" t="s">
        <v>367</v>
      </c>
      <c r="E995" s="52" t="s">
        <v>584</v>
      </c>
      <c r="F995" s="52" t="s">
        <v>26</v>
      </c>
      <c r="G995" s="55" t="s">
        <v>278</v>
      </c>
      <c r="H995" s="55">
        <v>0.210618</v>
      </c>
      <c r="I995" s="55">
        <v>0.210618</v>
      </c>
      <c r="J995" s="55">
        <v>0.210618</v>
      </c>
      <c r="K995" s="55">
        <v>8.3457000000000003E-2</v>
      </c>
      <c r="L995" s="55">
        <v>8.3457000000000003E-2</v>
      </c>
      <c r="M995" s="55">
        <v>8.3456489999999994E-2</v>
      </c>
      <c r="N995" s="55">
        <v>8.3457000000000003E-2</v>
      </c>
    </row>
    <row r="996" spans="1:14" hidden="1" x14ac:dyDescent="0.35">
      <c r="A996" s="52" t="s">
        <v>579</v>
      </c>
      <c r="B996" s="52" t="s">
        <v>31</v>
      </c>
      <c r="C996" s="52" t="s">
        <v>30</v>
      </c>
      <c r="D996" s="52" t="s">
        <v>30</v>
      </c>
      <c r="E996" s="52" t="s">
        <v>584</v>
      </c>
      <c r="F996" s="52" t="s">
        <v>581</v>
      </c>
      <c r="G996" s="55" t="s">
        <v>275</v>
      </c>
      <c r="H996" s="55">
        <v>89.408460000000005</v>
      </c>
      <c r="I996" s="55">
        <v>59.290460000000003</v>
      </c>
      <c r="J996" s="55">
        <v>66.756690000000006</v>
      </c>
      <c r="K996" s="55">
        <v>64.813810000000004</v>
      </c>
      <c r="L996" s="55">
        <v>63.969059999999999</v>
      </c>
      <c r="M996" s="55">
        <v>65.561499999999995</v>
      </c>
      <c r="N996" s="55">
        <v>66.630350000000007</v>
      </c>
    </row>
    <row r="997" spans="1:14" hidden="1" x14ac:dyDescent="0.35">
      <c r="A997" s="52" t="s">
        <v>579</v>
      </c>
      <c r="B997" s="52" t="s">
        <v>31</v>
      </c>
      <c r="C997" s="52" t="s">
        <v>30</v>
      </c>
      <c r="D997" s="52" t="s">
        <v>30</v>
      </c>
      <c r="E997" s="52" t="s">
        <v>584</v>
      </c>
      <c r="F997" s="52" t="s">
        <v>581</v>
      </c>
      <c r="G997" s="55" t="s">
        <v>276</v>
      </c>
      <c r="H997" s="55">
        <v>24.333490000000001</v>
      </c>
      <c r="I997" s="55">
        <v>13.12529</v>
      </c>
      <c r="J997" s="55">
        <v>14.76356</v>
      </c>
      <c r="K997" s="55">
        <v>12.594049999999999</v>
      </c>
      <c r="L997" s="55">
        <v>15.90433</v>
      </c>
      <c r="M997" s="55">
        <v>16.345469999999999</v>
      </c>
      <c r="N997" s="55">
        <v>16.612690000000001</v>
      </c>
    </row>
    <row r="998" spans="1:14" hidden="1" x14ac:dyDescent="0.35">
      <c r="A998" s="52" t="s">
        <v>579</v>
      </c>
      <c r="B998" s="52" t="s">
        <v>31</v>
      </c>
      <c r="C998" s="52" t="s">
        <v>30</v>
      </c>
      <c r="D998" s="52" t="s">
        <v>30</v>
      </c>
      <c r="E998" s="52" t="s">
        <v>584</v>
      </c>
      <c r="F998" s="52" t="s">
        <v>581</v>
      </c>
      <c r="G998" s="55" t="s">
        <v>277</v>
      </c>
      <c r="H998" s="55">
        <v>15.23122</v>
      </c>
      <c r="I998" s="55">
        <v>0.68865379999999998</v>
      </c>
      <c r="J998" s="55">
        <v>6.1249999999999998E-6</v>
      </c>
      <c r="K998" s="55">
        <v>6.1249999999999998E-6</v>
      </c>
      <c r="L998" s="55">
        <v>6.8600000000000004E-6</v>
      </c>
      <c r="M998" s="55">
        <v>0</v>
      </c>
      <c r="N998" s="55">
        <v>0</v>
      </c>
    </row>
    <row r="999" spans="1:14" hidden="1" x14ac:dyDescent="0.35">
      <c r="A999" s="52" t="s">
        <v>579</v>
      </c>
      <c r="B999" s="52" t="s">
        <v>31</v>
      </c>
      <c r="C999" s="52" t="s">
        <v>30</v>
      </c>
      <c r="D999" s="52" t="s">
        <v>30</v>
      </c>
      <c r="E999" s="52" t="s">
        <v>584</v>
      </c>
      <c r="F999" s="52" t="s">
        <v>581</v>
      </c>
      <c r="G999" s="55" t="s">
        <v>278</v>
      </c>
      <c r="H999" s="55">
        <v>4.490135E-2</v>
      </c>
      <c r="I999" s="55">
        <v>4.490135E-2</v>
      </c>
      <c r="J999" s="55">
        <v>4.490135E-2</v>
      </c>
      <c r="K999" s="55">
        <v>2.6144189999999998</v>
      </c>
      <c r="L999" s="55">
        <v>4.490135E-2</v>
      </c>
      <c r="M999" s="55">
        <v>4.490135E-2</v>
      </c>
      <c r="N999" s="55">
        <v>4.490135E-2</v>
      </c>
    </row>
    <row r="1000" spans="1:14" hidden="1" x14ac:dyDescent="0.35">
      <c r="A1000" s="52" t="s">
        <v>579</v>
      </c>
      <c r="B1000" s="52" t="s">
        <v>31</v>
      </c>
      <c r="C1000" s="52" t="s">
        <v>30</v>
      </c>
      <c r="D1000" s="52" t="s">
        <v>30</v>
      </c>
      <c r="E1000" s="52" t="s">
        <v>584</v>
      </c>
      <c r="F1000" s="52" t="s">
        <v>581</v>
      </c>
      <c r="G1000" s="55" t="s">
        <v>279</v>
      </c>
      <c r="H1000" s="55">
        <v>25.652930000000001</v>
      </c>
      <c r="I1000" s="55">
        <v>24.193339999999999</v>
      </c>
      <c r="J1000" s="55">
        <v>25.095510000000001</v>
      </c>
      <c r="K1000" s="55">
        <v>27.20233</v>
      </c>
      <c r="L1000" s="55">
        <v>27.81954</v>
      </c>
      <c r="M1000" s="55">
        <v>28.45215</v>
      </c>
      <c r="N1000" s="55">
        <v>28.805900000000001</v>
      </c>
    </row>
    <row r="1001" spans="1:14" hidden="1" x14ac:dyDescent="0.35">
      <c r="A1001" s="52" t="s">
        <v>579</v>
      </c>
      <c r="B1001" s="52" t="s">
        <v>31</v>
      </c>
      <c r="C1001" s="52" t="s">
        <v>30</v>
      </c>
      <c r="D1001" s="52" t="s">
        <v>30</v>
      </c>
      <c r="E1001" s="52" t="s">
        <v>584</v>
      </c>
      <c r="F1001" s="52" t="s">
        <v>26</v>
      </c>
      <c r="G1001" s="55" t="s">
        <v>275</v>
      </c>
      <c r="H1001" s="55">
        <v>25.652100000000001</v>
      </c>
      <c r="I1001" s="55">
        <v>16.695340000000002</v>
      </c>
      <c r="J1001" s="55">
        <v>-7.1617860000000002</v>
      </c>
      <c r="K1001" s="55">
        <v>-15.304029999999999</v>
      </c>
      <c r="L1001" s="55">
        <v>-17.440280000000001</v>
      </c>
      <c r="M1001" s="55">
        <v>-17.648759999999999</v>
      </c>
      <c r="N1001" s="55">
        <v>-17.88466</v>
      </c>
    </row>
    <row r="1002" spans="1:14" hidden="1" x14ac:dyDescent="0.35">
      <c r="A1002" s="52" t="s">
        <v>579</v>
      </c>
      <c r="B1002" s="52" t="s">
        <v>31</v>
      </c>
      <c r="C1002" s="52" t="s">
        <v>30</v>
      </c>
      <c r="D1002" s="52" t="s">
        <v>30</v>
      </c>
      <c r="E1002" s="52" t="s">
        <v>584</v>
      </c>
      <c r="F1002" s="52" t="s">
        <v>26</v>
      </c>
      <c r="G1002" s="55" t="s">
        <v>276</v>
      </c>
      <c r="H1002" s="55">
        <v>-0.29260029999999998</v>
      </c>
      <c r="I1002" s="55">
        <v>0.45175609999999999</v>
      </c>
      <c r="J1002" s="55">
        <v>-3.5914630000000001</v>
      </c>
      <c r="K1002" s="55">
        <v>-3.593871</v>
      </c>
      <c r="L1002" s="55">
        <v>-3.904928</v>
      </c>
      <c r="M1002" s="55">
        <v>-4.0064690000000001</v>
      </c>
      <c r="N1002" s="55">
        <v>-4.07003</v>
      </c>
    </row>
    <row r="1003" spans="1:14" hidden="1" x14ac:dyDescent="0.35">
      <c r="A1003" s="52" t="s">
        <v>579</v>
      </c>
      <c r="B1003" s="52" t="s">
        <v>31</v>
      </c>
      <c r="C1003" s="52" t="s">
        <v>30</v>
      </c>
      <c r="D1003" s="52" t="s">
        <v>30</v>
      </c>
      <c r="E1003" s="52" t="s">
        <v>584</v>
      </c>
      <c r="F1003" s="52" t="s">
        <v>26</v>
      </c>
      <c r="G1003" s="55" t="s">
        <v>277</v>
      </c>
      <c r="H1003" s="55">
        <v>7.9190820000000004</v>
      </c>
      <c r="I1003" s="55">
        <v>6.871035</v>
      </c>
      <c r="J1003" s="55">
        <v>6.560403</v>
      </c>
      <c r="K1003" s="55">
        <v>8.3549019999999992</v>
      </c>
      <c r="L1003" s="55">
        <v>9.6895600000000002</v>
      </c>
      <c r="M1003" s="55">
        <v>10.36547</v>
      </c>
      <c r="N1003" s="55">
        <v>11.609360000000001</v>
      </c>
    </row>
    <row r="1004" spans="1:14" hidden="1" x14ac:dyDescent="0.35">
      <c r="A1004" s="52" t="s">
        <v>579</v>
      </c>
      <c r="B1004" s="52" t="s">
        <v>31</v>
      </c>
      <c r="C1004" s="52" t="s">
        <v>30</v>
      </c>
      <c r="D1004" s="52" t="s">
        <v>30</v>
      </c>
      <c r="E1004" s="52" t="s">
        <v>584</v>
      </c>
      <c r="F1004" s="52" t="s">
        <v>26</v>
      </c>
      <c r="G1004" s="55" t="s">
        <v>279</v>
      </c>
      <c r="H1004" s="55">
        <v>79.819119999999998</v>
      </c>
      <c r="I1004" s="55">
        <v>75.104830000000007</v>
      </c>
      <c r="J1004" s="55">
        <v>78.279300000000006</v>
      </c>
      <c r="K1004" s="55">
        <v>85.098650000000006</v>
      </c>
      <c r="L1004" s="55">
        <v>87.096819999999994</v>
      </c>
      <c r="M1004" s="55">
        <v>89.144890000000004</v>
      </c>
      <c r="N1004" s="55">
        <v>91.24436</v>
      </c>
    </row>
    <row r="1005" spans="1:14" hidden="1" x14ac:dyDescent="0.35">
      <c r="A1005" s="52" t="s">
        <v>579</v>
      </c>
      <c r="B1005" s="52" t="s">
        <v>31</v>
      </c>
      <c r="C1005" s="52" t="s">
        <v>318</v>
      </c>
      <c r="D1005" s="52" t="s">
        <v>318</v>
      </c>
      <c r="E1005" s="52" t="s">
        <v>584</v>
      </c>
      <c r="F1005" s="52" t="s">
        <v>581</v>
      </c>
      <c r="G1005" s="55" t="s">
        <v>275</v>
      </c>
      <c r="H1005" s="55">
        <v>-8.2693499999999993</v>
      </c>
      <c r="I1005" s="55">
        <v>0</v>
      </c>
      <c r="J1005" s="55"/>
      <c r="K1005" s="55"/>
      <c r="L1005" s="55"/>
      <c r="M1005" s="55"/>
      <c r="N1005" s="55"/>
    </row>
    <row r="1006" spans="1:14" hidden="1" x14ac:dyDescent="0.35">
      <c r="A1006" s="52" t="s">
        <v>579</v>
      </c>
      <c r="B1006" s="52" t="s">
        <v>31</v>
      </c>
      <c r="C1006" s="52" t="s">
        <v>318</v>
      </c>
      <c r="D1006" s="52" t="s">
        <v>318</v>
      </c>
      <c r="E1006" s="52" t="s">
        <v>584</v>
      </c>
      <c r="F1006" s="52" t="s">
        <v>581</v>
      </c>
      <c r="G1006" s="55" t="s">
        <v>278</v>
      </c>
      <c r="H1006" s="55">
        <v>8.2693499999999993</v>
      </c>
      <c r="I1006" s="55">
        <v>0</v>
      </c>
      <c r="J1006" s="55"/>
      <c r="K1006" s="55"/>
      <c r="L1006" s="55"/>
      <c r="M1006" s="55"/>
      <c r="N1006" s="55"/>
    </row>
    <row r="1007" spans="1:14" hidden="1" x14ac:dyDescent="0.35">
      <c r="A1007" s="52" t="s">
        <v>579</v>
      </c>
      <c r="B1007" s="52" t="s">
        <v>31</v>
      </c>
      <c r="C1007" s="52" t="s">
        <v>318</v>
      </c>
      <c r="D1007" s="52" t="s">
        <v>318</v>
      </c>
      <c r="E1007" s="52" t="s">
        <v>584</v>
      </c>
      <c r="F1007" s="52" t="s">
        <v>26</v>
      </c>
      <c r="G1007" s="55" t="s">
        <v>275</v>
      </c>
      <c r="H1007" s="55">
        <v>-5.5129000000000001</v>
      </c>
      <c r="I1007" s="55">
        <v>0</v>
      </c>
      <c r="J1007" s="55"/>
      <c r="K1007" s="55"/>
      <c r="L1007" s="55"/>
      <c r="M1007" s="55"/>
      <c r="N1007" s="55"/>
    </row>
    <row r="1008" spans="1:14" hidden="1" x14ac:dyDescent="0.35">
      <c r="A1008" s="52" t="s">
        <v>579</v>
      </c>
      <c r="B1008" s="52" t="s">
        <v>31</v>
      </c>
      <c r="C1008" s="52" t="s">
        <v>318</v>
      </c>
      <c r="D1008" s="52" t="s">
        <v>318</v>
      </c>
      <c r="E1008" s="52" t="s">
        <v>584</v>
      </c>
      <c r="F1008" s="52" t="s">
        <v>26</v>
      </c>
      <c r="G1008" s="55" t="s">
        <v>278</v>
      </c>
      <c r="H1008" s="55">
        <v>5.5129000000000001</v>
      </c>
      <c r="I1008" s="55">
        <v>0</v>
      </c>
      <c r="J1008" s="55"/>
      <c r="K1008" s="55"/>
      <c r="L1008" s="55"/>
      <c r="M1008" s="55"/>
      <c r="N1008" s="55"/>
    </row>
    <row r="1009" spans="1:14" hidden="1" x14ac:dyDescent="0.35">
      <c r="A1009" s="52" t="s">
        <v>579</v>
      </c>
      <c r="B1009" s="52" t="s">
        <v>31</v>
      </c>
      <c r="C1009" s="52" t="s">
        <v>55</v>
      </c>
      <c r="D1009" s="52" t="s">
        <v>55</v>
      </c>
      <c r="E1009" s="52" t="s">
        <v>584</v>
      </c>
      <c r="F1009" s="52" t="s">
        <v>581</v>
      </c>
      <c r="G1009" s="55" t="s">
        <v>275</v>
      </c>
      <c r="H1009" s="55">
        <v>-4.3726599999999997E-2</v>
      </c>
      <c r="I1009" s="55">
        <v>-4.3727530000000001E-2</v>
      </c>
      <c r="J1009" s="55">
        <v>0</v>
      </c>
      <c r="K1009" s="55">
        <v>0</v>
      </c>
      <c r="L1009" s="55">
        <v>0</v>
      </c>
      <c r="M1009" s="55">
        <v>0</v>
      </c>
      <c r="N1009" s="55">
        <v>0</v>
      </c>
    </row>
    <row r="1010" spans="1:14" hidden="1" x14ac:dyDescent="0.35">
      <c r="A1010" s="52" t="s">
        <v>579</v>
      </c>
      <c r="B1010" s="52" t="s">
        <v>31</v>
      </c>
      <c r="C1010" s="52" t="s">
        <v>55</v>
      </c>
      <c r="D1010" s="52" t="s">
        <v>55</v>
      </c>
      <c r="E1010" s="52" t="s">
        <v>584</v>
      </c>
      <c r="F1010" s="52" t="s">
        <v>581</v>
      </c>
      <c r="G1010" s="55" t="s">
        <v>276</v>
      </c>
      <c r="H1010" s="55">
        <v>-4.3726599999999997E-2</v>
      </c>
      <c r="I1010" s="55">
        <v>-4.3726599999999997E-2</v>
      </c>
      <c r="J1010" s="55">
        <v>-8.7454130000000005E-2</v>
      </c>
      <c r="K1010" s="55">
        <v>-3.2409530000000002</v>
      </c>
      <c r="L1010" s="55">
        <v>-8.7452230000000006E-2</v>
      </c>
      <c r="M1010" s="55">
        <v>-8.745319E-2</v>
      </c>
      <c r="N1010" s="55">
        <v>-8.745319E-2</v>
      </c>
    </row>
    <row r="1011" spans="1:14" hidden="1" x14ac:dyDescent="0.35">
      <c r="A1011" s="52" t="s">
        <v>579</v>
      </c>
      <c r="B1011" s="52" t="s">
        <v>31</v>
      </c>
      <c r="C1011" s="52" t="s">
        <v>55</v>
      </c>
      <c r="D1011" s="52" t="s">
        <v>55</v>
      </c>
      <c r="E1011" s="52" t="s">
        <v>584</v>
      </c>
      <c r="F1011" s="52" t="s">
        <v>581</v>
      </c>
      <c r="G1011" s="55" t="s">
        <v>277</v>
      </c>
      <c r="H1011" s="55"/>
      <c r="I1011" s="55"/>
      <c r="J1011" s="55"/>
      <c r="K1011" s="55"/>
      <c r="L1011" s="55"/>
      <c r="M1011" s="55"/>
      <c r="N1011" s="55">
        <v>0</v>
      </c>
    </row>
    <row r="1012" spans="1:14" hidden="1" x14ac:dyDescent="0.35">
      <c r="A1012" s="52" t="s">
        <v>579</v>
      </c>
      <c r="B1012" s="52" t="s">
        <v>31</v>
      </c>
      <c r="C1012" s="52" t="s">
        <v>55</v>
      </c>
      <c r="D1012" s="52" t="s">
        <v>55</v>
      </c>
      <c r="E1012" s="52" t="s">
        <v>584</v>
      </c>
      <c r="F1012" s="52" t="s">
        <v>581</v>
      </c>
      <c r="G1012" s="55" t="s">
        <v>278</v>
      </c>
      <c r="H1012" s="55">
        <v>8.745319E-2</v>
      </c>
      <c r="I1012" s="55">
        <v>8.745319E-2</v>
      </c>
      <c r="J1012" s="55">
        <v>8.745319E-2</v>
      </c>
      <c r="K1012" s="55">
        <v>3.2409530000000002</v>
      </c>
      <c r="L1012" s="55">
        <v>8.745319E-2</v>
      </c>
      <c r="M1012" s="55">
        <v>8.745319E-2</v>
      </c>
      <c r="N1012" s="55">
        <v>8.745319E-2</v>
      </c>
    </row>
    <row r="1013" spans="1:14" hidden="1" x14ac:dyDescent="0.35">
      <c r="A1013" s="52" t="s">
        <v>579</v>
      </c>
      <c r="B1013" s="52" t="s">
        <v>210</v>
      </c>
      <c r="C1013" s="52" t="s">
        <v>209</v>
      </c>
      <c r="D1013" s="52" t="s">
        <v>209</v>
      </c>
      <c r="E1013" s="52" t="s">
        <v>584</v>
      </c>
      <c r="F1013" s="52" t="s">
        <v>581</v>
      </c>
      <c r="G1013" s="55" t="s">
        <v>275</v>
      </c>
      <c r="H1013" s="55">
        <v>39.751449999999998</v>
      </c>
      <c r="I1013" s="55">
        <v>1.225098</v>
      </c>
      <c r="J1013" s="55">
        <v>10.44229</v>
      </c>
      <c r="K1013" s="55">
        <v>12.501300000000001</v>
      </c>
      <c r="L1013" s="55">
        <v>13.083170000000001</v>
      </c>
      <c r="M1013" s="55">
        <v>11.034829999999999</v>
      </c>
      <c r="N1013" s="55">
        <v>10.28755</v>
      </c>
    </row>
    <row r="1014" spans="1:14" hidden="1" x14ac:dyDescent="0.35">
      <c r="A1014" s="52" t="s">
        <v>579</v>
      </c>
      <c r="B1014" s="52" t="s">
        <v>210</v>
      </c>
      <c r="C1014" s="52" t="s">
        <v>209</v>
      </c>
      <c r="D1014" s="52" t="s">
        <v>209</v>
      </c>
      <c r="E1014" s="52" t="s">
        <v>584</v>
      </c>
      <c r="F1014" s="52" t="s">
        <v>581</v>
      </c>
      <c r="G1014" s="55" t="s">
        <v>276</v>
      </c>
      <c r="H1014" s="55">
        <v>12.46152</v>
      </c>
      <c r="I1014" s="55">
        <v>2.6843270000000001</v>
      </c>
      <c r="J1014" s="55">
        <v>5.8415419999999996</v>
      </c>
      <c r="K1014" s="55">
        <v>4.7865770000000003</v>
      </c>
      <c r="L1014" s="55">
        <v>4.5984290000000003</v>
      </c>
      <c r="M1014" s="55">
        <v>3.8463799999999999</v>
      </c>
      <c r="N1014" s="55">
        <v>1.996467</v>
      </c>
    </row>
    <row r="1015" spans="1:14" hidden="1" x14ac:dyDescent="0.35">
      <c r="A1015" s="52" t="s">
        <v>579</v>
      </c>
      <c r="B1015" s="52" t="s">
        <v>210</v>
      </c>
      <c r="C1015" s="52" t="s">
        <v>209</v>
      </c>
      <c r="D1015" s="52" t="s">
        <v>209</v>
      </c>
      <c r="E1015" s="52" t="s">
        <v>584</v>
      </c>
      <c r="F1015" s="52" t="s">
        <v>581</v>
      </c>
      <c r="G1015" s="55" t="s">
        <v>277</v>
      </c>
      <c r="H1015" s="55">
        <v>24.929770000000001</v>
      </c>
      <c r="I1015" s="55">
        <v>10.631180000000001</v>
      </c>
      <c r="J1015" s="55">
        <v>9.903454</v>
      </c>
      <c r="K1015" s="55">
        <v>7.4761819999999997</v>
      </c>
      <c r="L1015" s="55">
        <v>5.0711579999999996</v>
      </c>
      <c r="M1015" s="55">
        <v>4.1482910000000004</v>
      </c>
      <c r="N1015" s="55">
        <v>1.2179180000000001</v>
      </c>
    </row>
    <row r="1016" spans="1:14" hidden="1" x14ac:dyDescent="0.35">
      <c r="A1016" s="52" t="s">
        <v>579</v>
      </c>
      <c r="B1016" s="52" t="s">
        <v>210</v>
      </c>
      <c r="C1016" s="52" t="s">
        <v>209</v>
      </c>
      <c r="D1016" s="52" t="s">
        <v>209</v>
      </c>
      <c r="E1016" s="52" t="s">
        <v>584</v>
      </c>
      <c r="F1016" s="52" t="s">
        <v>581</v>
      </c>
      <c r="G1016" s="55" t="s">
        <v>278</v>
      </c>
      <c r="H1016" s="55">
        <v>0.10286919999999999</v>
      </c>
      <c r="I1016" s="55">
        <v>0.10286919999999999</v>
      </c>
      <c r="J1016" s="55">
        <v>5.7363949999999997E-2</v>
      </c>
      <c r="K1016" s="55">
        <v>5.7363949999999997E-2</v>
      </c>
      <c r="L1016" s="55">
        <v>5.7363949999999997E-2</v>
      </c>
      <c r="M1016" s="55">
        <v>5.7363949999999997E-2</v>
      </c>
      <c r="N1016" s="55">
        <v>0.73530549999999995</v>
      </c>
    </row>
    <row r="1017" spans="1:14" hidden="1" x14ac:dyDescent="0.35">
      <c r="A1017" s="52" t="s">
        <v>579</v>
      </c>
      <c r="B1017" s="52" t="s">
        <v>210</v>
      </c>
      <c r="C1017" s="52" t="s">
        <v>209</v>
      </c>
      <c r="D1017" s="52" t="s">
        <v>209</v>
      </c>
      <c r="E1017" s="52" t="s">
        <v>584</v>
      </c>
      <c r="F1017" s="52" t="s">
        <v>581</v>
      </c>
      <c r="G1017" s="55" t="s">
        <v>279</v>
      </c>
      <c r="H1017" s="55">
        <v>11.26351</v>
      </c>
      <c r="I1017" s="55">
        <v>6.4213290000000001</v>
      </c>
      <c r="J1017" s="55">
        <v>50.630290000000002</v>
      </c>
      <c r="K1017" s="55">
        <v>17.869140000000002</v>
      </c>
      <c r="L1017" s="55">
        <v>17.939710000000002</v>
      </c>
      <c r="M1017" s="55">
        <v>17.60501</v>
      </c>
      <c r="N1017" s="55">
        <v>16.564630000000001</v>
      </c>
    </row>
    <row r="1018" spans="1:14" hidden="1" x14ac:dyDescent="0.35">
      <c r="A1018" s="52" t="s">
        <v>579</v>
      </c>
      <c r="B1018" s="52" t="s">
        <v>210</v>
      </c>
      <c r="C1018" s="52" t="s">
        <v>209</v>
      </c>
      <c r="D1018" s="52" t="s">
        <v>209</v>
      </c>
      <c r="E1018" s="52" t="s">
        <v>584</v>
      </c>
      <c r="F1018" s="52" t="s">
        <v>26</v>
      </c>
      <c r="G1018" s="55" t="s">
        <v>275</v>
      </c>
      <c r="H1018" s="55">
        <v>0.30069099999999999</v>
      </c>
      <c r="I1018" s="55">
        <v>1.097705E-2</v>
      </c>
      <c r="J1018" s="55">
        <v>0.55112609999999995</v>
      </c>
      <c r="K1018" s="55">
        <v>0.66605789999999998</v>
      </c>
      <c r="L1018" s="55">
        <v>0.57218780000000002</v>
      </c>
      <c r="M1018" s="55">
        <v>0.48994749999999998</v>
      </c>
      <c r="N1018" s="55">
        <v>0.42127029999999999</v>
      </c>
    </row>
    <row r="1019" spans="1:14" hidden="1" x14ac:dyDescent="0.35">
      <c r="A1019" s="52" t="s">
        <v>579</v>
      </c>
      <c r="B1019" s="52" t="s">
        <v>210</v>
      </c>
      <c r="C1019" s="52" t="s">
        <v>209</v>
      </c>
      <c r="D1019" s="52" t="s">
        <v>209</v>
      </c>
      <c r="E1019" s="52" t="s">
        <v>584</v>
      </c>
      <c r="F1019" s="52" t="s">
        <v>26</v>
      </c>
      <c r="G1019" s="55" t="s">
        <v>276</v>
      </c>
      <c r="H1019" s="55">
        <v>0.20514579999999999</v>
      </c>
      <c r="I1019" s="55">
        <v>8.5760500000000003E-2</v>
      </c>
      <c r="J1019" s="55">
        <v>0.51980040000000005</v>
      </c>
      <c r="K1019" s="55">
        <v>0.224665</v>
      </c>
      <c r="L1019" s="55">
        <v>0.193964</v>
      </c>
      <c r="M1019" s="55">
        <v>0.168015</v>
      </c>
      <c r="N1019" s="55">
        <v>0.14286019999999999</v>
      </c>
    </row>
    <row r="1020" spans="1:14" hidden="1" x14ac:dyDescent="0.35">
      <c r="A1020" s="52" t="s">
        <v>579</v>
      </c>
      <c r="B1020" s="52" t="s">
        <v>210</v>
      </c>
      <c r="C1020" s="52" t="s">
        <v>209</v>
      </c>
      <c r="D1020" s="52" t="s">
        <v>209</v>
      </c>
      <c r="E1020" s="52" t="s">
        <v>584</v>
      </c>
      <c r="F1020" s="52" t="s">
        <v>26</v>
      </c>
      <c r="G1020" s="55" t="s">
        <v>279</v>
      </c>
      <c r="H1020" s="55">
        <v>0.28927360000000002</v>
      </c>
      <c r="I1020" s="55">
        <v>6.568765E-2</v>
      </c>
      <c r="J1020" s="55">
        <v>0.48574780000000001</v>
      </c>
      <c r="K1020" s="55">
        <v>0.43051440000000002</v>
      </c>
      <c r="L1020" s="55">
        <v>0.36430869999999999</v>
      </c>
      <c r="M1020" s="55">
        <v>0.3197005</v>
      </c>
      <c r="N1020" s="55">
        <v>0.2809874</v>
      </c>
    </row>
    <row r="1021" spans="1:14" hidden="1" x14ac:dyDescent="0.35">
      <c r="A1021" s="52" t="s">
        <v>579</v>
      </c>
      <c r="B1021" s="52" t="s">
        <v>210</v>
      </c>
      <c r="C1021" s="52" t="s">
        <v>318</v>
      </c>
      <c r="D1021" s="52" t="s">
        <v>318</v>
      </c>
      <c r="E1021" s="52" t="s">
        <v>584</v>
      </c>
      <c r="F1021" s="52" t="s">
        <v>581</v>
      </c>
      <c r="G1021" s="55" t="s">
        <v>275</v>
      </c>
      <c r="H1021" s="55">
        <v>0</v>
      </c>
      <c r="I1021" s="55"/>
      <c r="J1021" s="55"/>
      <c r="K1021" s="55"/>
      <c r="L1021" s="55"/>
      <c r="M1021" s="55"/>
      <c r="N1021" s="55"/>
    </row>
    <row r="1022" spans="1:14" hidden="1" x14ac:dyDescent="0.35">
      <c r="A1022" s="52" t="s">
        <v>579</v>
      </c>
      <c r="B1022" s="52" t="s">
        <v>210</v>
      </c>
      <c r="C1022" s="52" t="s">
        <v>318</v>
      </c>
      <c r="D1022" s="52" t="s">
        <v>318</v>
      </c>
      <c r="E1022" s="52" t="s">
        <v>584</v>
      </c>
      <c r="F1022" s="52" t="s">
        <v>581</v>
      </c>
      <c r="G1022" s="55" t="s">
        <v>278</v>
      </c>
      <c r="H1022" s="55">
        <v>0</v>
      </c>
      <c r="I1022" s="55"/>
      <c r="J1022" s="55"/>
      <c r="K1022" s="55"/>
      <c r="L1022" s="55"/>
      <c r="M1022" s="55"/>
      <c r="N1022" s="55"/>
    </row>
    <row r="1023" spans="1:14" hidden="1" x14ac:dyDescent="0.35">
      <c r="A1023" s="52" t="s">
        <v>579</v>
      </c>
      <c r="B1023" s="52" t="s">
        <v>210</v>
      </c>
      <c r="C1023" s="52" t="s">
        <v>318</v>
      </c>
      <c r="D1023" s="52" t="s">
        <v>318</v>
      </c>
      <c r="E1023" s="52" t="s">
        <v>584</v>
      </c>
      <c r="F1023" s="52" t="s">
        <v>26</v>
      </c>
      <c r="G1023" s="55" t="s">
        <v>275</v>
      </c>
      <c r="H1023" s="55">
        <v>0</v>
      </c>
      <c r="I1023" s="55"/>
      <c r="J1023" s="55"/>
      <c r="K1023" s="55"/>
      <c r="L1023" s="55"/>
      <c r="M1023" s="55"/>
      <c r="N1023" s="55"/>
    </row>
    <row r="1024" spans="1:14" hidden="1" x14ac:dyDescent="0.35">
      <c r="A1024" s="52" t="s">
        <v>579</v>
      </c>
      <c r="B1024" s="52" t="s">
        <v>210</v>
      </c>
      <c r="C1024" s="52" t="s">
        <v>318</v>
      </c>
      <c r="D1024" s="52" t="s">
        <v>318</v>
      </c>
      <c r="E1024" s="52" t="s">
        <v>584</v>
      </c>
      <c r="F1024" s="52" t="s">
        <v>26</v>
      </c>
      <c r="G1024" s="55" t="s">
        <v>278</v>
      </c>
      <c r="H1024" s="55">
        <v>0</v>
      </c>
      <c r="I1024" s="55"/>
      <c r="J1024" s="55"/>
      <c r="K1024" s="55"/>
      <c r="L1024" s="55"/>
      <c r="M1024" s="55"/>
      <c r="N1024" s="55"/>
    </row>
    <row r="1025" spans="1:14" hidden="1" x14ac:dyDescent="0.35">
      <c r="A1025" s="52" t="s">
        <v>579</v>
      </c>
      <c r="B1025" s="52" t="s">
        <v>134</v>
      </c>
      <c r="C1025" s="52" t="s">
        <v>119</v>
      </c>
      <c r="D1025" s="52" t="s">
        <v>119</v>
      </c>
      <c r="E1025" s="52" t="s">
        <v>584</v>
      </c>
      <c r="F1025" s="52" t="s">
        <v>581</v>
      </c>
      <c r="G1025" s="55" t="s">
        <v>275</v>
      </c>
      <c r="H1025" s="55">
        <v>-6.4394999999999999E-3</v>
      </c>
      <c r="I1025" s="55">
        <v>-2.442198E-3</v>
      </c>
      <c r="J1025" s="55">
        <v>2.11848E-2</v>
      </c>
      <c r="K1025" s="55">
        <v>1.3176999999999999E-2</v>
      </c>
      <c r="L1025" s="55">
        <v>9.6005050000000005E-3</v>
      </c>
      <c r="M1025" s="55">
        <v>3.9431020000000004E-3</v>
      </c>
      <c r="N1025" s="55">
        <v>1.505602E-3</v>
      </c>
    </row>
    <row r="1026" spans="1:14" hidden="1" x14ac:dyDescent="0.35">
      <c r="A1026" s="52" t="s">
        <v>579</v>
      </c>
      <c r="B1026" s="52" t="s">
        <v>134</v>
      </c>
      <c r="C1026" s="52" t="s">
        <v>119</v>
      </c>
      <c r="D1026" s="52" t="s">
        <v>119</v>
      </c>
      <c r="E1026" s="52" t="s">
        <v>584</v>
      </c>
      <c r="F1026" s="52" t="s">
        <v>581</v>
      </c>
      <c r="G1026" s="55" t="s">
        <v>276</v>
      </c>
      <c r="H1026" s="55">
        <v>7.3844999999999996E-3</v>
      </c>
      <c r="I1026" s="55">
        <v>8.6092510000000001E-3</v>
      </c>
      <c r="J1026" s="55">
        <v>1.6443849999999999E-2</v>
      </c>
      <c r="K1026" s="55">
        <v>1.3762099999999999E-2</v>
      </c>
      <c r="L1026" s="55">
        <v>1.253405E-2</v>
      </c>
      <c r="M1026" s="55">
        <v>1.0615599999999999E-2</v>
      </c>
      <c r="N1026" s="55">
        <v>9.7143009999999998E-3</v>
      </c>
    </row>
    <row r="1027" spans="1:14" hidden="1" x14ac:dyDescent="0.35">
      <c r="A1027" s="52" t="s">
        <v>579</v>
      </c>
      <c r="B1027" s="52" t="s">
        <v>134</v>
      </c>
      <c r="C1027" s="52" t="s">
        <v>119</v>
      </c>
      <c r="D1027" s="52" t="s">
        <v>119</v>
      </c>
      <c r="E1027" s="52" t="s">
        <v>584</v>
      </c>
      <c r="F1027" s="52" t="s">
        <v>581</v>
      </c>
      <c r="G1027" s="55" t="s">
        <v>279</v>
      </c>
      <c r="H1027" s="55">
        <v>5.2360499999999997E-2</v>
      </c>
      <c r="I1027" s="55">
        <v>5.9164950000000001E-2</v>
      </c>
      <c r="J1027" s="55">
        <v>6.7584950000000005E-2</v>
      </c>
      <c r="K1027" s="55">
        <v>6.7372609999999999E-2</v>
      </c>
      <c r="L1027" s="55">
        <v>6.5922190000000006E-2</v>
      </c>
      <c r="M1027" s="55">
        <v>6.4665500000000001E-2</v>
      </c>
      <c r="N1027" s="55">
        <v>6.3254450000000004E-2</v>
      </c>
    </row>
    <row r="1028" spans="1:14" hidden="1" x14ac:dyDescent="0.35">
      <c r="A1028" s="52" t="s">
        <v>579</v>
      </c>
      <c r="B1028" s="52" t="s">
        <v>134</v>
      </c>
      <c r="C1028" s="52" t="s">
        <v>119</v>
      </c>
      <c r="D1028" s="52" t="s">
        <v>119</v>
      </c>
      <c r="E1028" s="52" t="s">
        <v>584</v>
      </c>
      <c r="F1028" s="52" t="s">
        <v>26</v>
      </c>
      <c r="G1028" s="55" t="s">
        <v>275</v>
      </c>
      <c r="H1028" s="55">
        <v>0.68723089999999998</v>
      </c>
      <c r="I1028" s="55">
        <v>0.914134</v>
      </c>
      <c r="J1028" s="55">
        <v>0.86971739999999997</v>
      </c>
      <c r="K1028" s="55">
        <v>0.62273350000000005</v>
      </c>
      <c r="L1028" s="55">
        <v>0.45724629999999999</v>
      </c>
      <c r="M1028" s="55">
        <v>0.35336800000000002</v>
      </c>
      <c r="N1028" s="55">
        <v>0.64640540000000002</v>
      </c>
    </row>
    <row r="1029" spans="1:14" hidden="1" x14ac:dyDescent="0.35">
      <c r="A1029" s="52" t="s">
        <v>579</v>
      </c>
      <c r="B1029" s="52" t="s">
        <v>134</v>
      </c>
      <c r="C1029" s="52" t="s">
        <v>119</v>
      </c>
      <c r="D1029" s="52" t="s">
        <v>119</v>
      </c>
      <c r="E1029" s="52" t="s">
        <v>584</v>
      </c>
      <c r="F1029" s="52" t="s">
        <v>26</v>
      </c>
      <c r="G1029" s="55" t="s">
        <v>276</v>
      </c>
      <c r="H1029" s="55">
        <v>0.25882850000000002</v>
      </c>
      <c r="I1029" s="55">
        <v>0.27743980000000001</v>
      </c>
      <c r="J1029" s="55">
        <v>0.25330360000000002</v>
      </c>
      <c r="K1029" s="55">
        <v>0.22054370000000001</v>
      </c>
      <c r="L1029" s="55">
        <v>0.18949820000000001</v>
      </c>
      <c r="M1029" s="55">
        <v>0.16615859999999999</v>
      </c>
      <c r="N1029" s="55">
        <v>0.14883660000000001</v>
      </c>
    </row>
    <row r="1030" spans="1:14" hidden="1" x14ac:dyDescent="0.35">
      <c r="A1030" s="52" t="s">
        <v>579</v>
      </c>
      <c r="B1030" s="52" t="s">
        <v>134</v>
      </c>
      <c r="C1030" s="52" t="s">
        <v>119</v>
      </c>
      <c r="D1030" s="52" t="s">
        <v>119</v>
      </c>
      <c r="E1030" s="52" t="s">
        <v>584</v>
      </c>
      <c r="F1030" s="52" t="s">
        <v>26</v>
      </c>
      <c r="G1030" s="55" t="s">
        <v>277</v>
      </c>
      <c r="H1030" s="55">
        <v>1.5280229999999999</v>
      </c>
      <c r="I1030" s="55">
        <v>1.2654300000000001</v>
      </c>
      <c r="J1030" s="55">
        <v>1.1308959999999999</v>
      </c>
      <c r="K1030" s="55">
        <v>1.2011909999999999</v>
      </c>
      <c r="L1030" s="55">
        <v>1.213095</v>
      </c>
      <c r="M1030" s="55">
        <v>1.201395</v>
      </c>
      <c r="N1030" s="55">
        <v>0.79408579999999995</v>
      </c>
    </row>
    <row r="1031" spans="1:14" hidden="1" x14ac:dyDescent="0.35">
      <c r="A1031" s="52" t="s">
        <v>579</v>
      </c>
      <c r="B1031" s="52" t="s">
        <v>134</v>
      </c>
      <c r="C1031" s="52" t="s">
        <v>119</v>
      </c>
      <c r="D1031" s="52" t="s">
        <v>119</v>
      </c>
      <c r="E1031" s="52" t="s">
        <v>584</v>
      </c>
      <c r="F1031" s="52" t="s">
        <v>26</v>
      </c>
      <c r="G1031" s="55" t="s">
        <v>279</v>
      </c>
      <c r="H1031" s="55">
        <v>0.85519350000000005</v>
      </c>
      <c r="I1031" s="55">
        <v>0.76405690000000004</v>
      </c>
      <c r="J1031" s="55">
        <v>0.7563223</v>
      </c>
      <c r="K1031" s="55">
        <v>0.75471319999999997</v>
      </c>
      <c r="L1031" s="55">
        <v>0.71675630000000001</v>
      </c>
      <c r="M1031" s="55">
        <v>0.68336960000000002</v>
      </c>
      <c r="N1031" s="55">
        <v>0.60000350000000002</v>
      </c>
    </row>
    <row r="1032" spans="1:14" hidden="1" x14ac:dyDescent="0.35">
      <c r="A1032" s="52" t="s">
        <v>579</v>
      </c>
      <c r="B1032" s="52" t="s">
        <v>134</v>
      </c>
      <c r="C1032" s="52" t="s">
        <v>259</v>
      </c>
      <c r="D1032" s="52" t="s">
        <v>259</v>
      </c>
      <c r="E1032" s="52" t="s">
        <v>584</v>
      </c>
      <c r="F1032" s="52" t="s">
        <v>581</v>
      </c>
      <c r="G1032" s="55" t="s">
        <v>275</v>
      </c>
      <c r="H1032" s="55">
        <v>-0.111015</v>
      </c>
      <c r="I1032" s="55">
        <v>-1.772608</v>
      </c>
      <c r="J1032" s="55">
        <v>0</v>
      </c>
      <c r="K1032" s="55"/>
      <c r="L1032" s="55"/>
      <c r="M1032" s="55"/>
      <c r="N1032" s="55"/>
    </row>
    <row r="1033" spans="1:14" hidden="1" x14ac:dyDescent="0.35">
      <c r="A1033" s="52" t="s">
        <v>579</v>
      </c>
      <c r="B1033" s="52" t="s">
        <v>134</v>
      </c>
      <c r="C1033" s="52" t="s">
        <v>259</v>
      </c>
      <c r="D1033" s="52" t="s">
        <v>259</v>
      </c>
      <c r="E1033" s="52" t="s">
        <v>584</v>
      </c>
      <c r="F1033" s="52" t="s">
        <v>581</v>
      </c>
      <c r="G1033" s="55" t="s">
        <v>276</v>
      </c>
      <c r="H1033" s="55">
        <v>2.8249999999999998E-3</v>
      </c>
      <c r="I1033" s="55">
        <v>0</v>
      </c>
      <c r="J1033" s="55"/>
      <c r="K1033" s="55"/>
      <c r="L1033" s="55"/>
      <c r="M1033" s="55"/>
      <c r="N1033" s="55"/>
    </row>
    <row r="1034" spans="1:14" hidden="1" x14ac:dyDescent="0.35">
      <c r="A1034" s="52" t="s">
        <v>579</v>
      </c>
      <c r="B1034" s="52" t="s">
        <v>134</v>
      </c>
      <c r="C1034" s="52" t="s">
        <v>259</v>
      </c>
      <c r="D1034" s="52" t="s">
        <v>259</v>
      </c>
      <c r="E1034" s="52" t="s">
        <v>584</v>
      </c>
      <c r="F1034" s="52" t="s">
        <v>581</v>
      </c>
      <c r="G1034" s="55" t="s">
        <v>279</v>
      </c>
      <c r="H1034" s="55">
        <v>0.119491</v>
      </c>
      <c r="I1034" s="55">
        <v>1.772608</v>
      </c>
      <c r="J1034" s="55">
        <v>0</v>
      </c>
      <c r="K1034" s="55"/>
      <c r="L1034" s="55"/>
      <c r="M1034" s="55"/>
      <c r="N1034" s="55"/>
    </row>
    <row r="1035" spans="1:14" hidden="1" x14ac:dyDescent="0.35">
      <c r="A1035" s="52" t="s">
        <v>579</v>
      </c>
      <c r="B1035" s="52" t="s">
        <v>134</v>
      </c>
      <c r="C1035" s="52" t="s">
        <v>259</v>
      </c>
      <c r="D1035" s="52" t="s">
        <v>259</v>
      </c>
      <c r="E1035" s="52" t="s">
        <v>584</v>
      </c>
      <c r="F1035" s="52" t="s">
        <v>26</v>
      </c>
      <c r="G1035" s="55" t="s">
        <v>275</v>
      </c>
      <c r="H1035" s="55">
        <v>-2.3845000000000002E-2</v>
      </c>
      <c r="I1035" s="55">
        <v>-4.3265079999999996</v>
      </c>
      <c r="J1035" s="55">
        <v>0</v>
      </c>
      <c r="K1035" s="55"/>
      <c r="L1035" s="55"/>
      <c r="M1035" s="55"/>
      <c r="N1035" s="55"/>
    </row>
    <row r="1036" spans="1:14" hidden="1" x14ac:dyDescent="0.35">
      <c r="A1036" s="52" t="s">
        <v>579</v>
      </c>
      <c r="B1036" s="52" t="s">
        <v>134</v>
      </c>
      <c r="C1036" s="52" t="s">
        <v>259</v>
      </c>
      <c r="D1036" s="52" t="s">
        <v>259</v>
      </c>
      <c r="E1036" s="52" t="s">
        <v>584</v>
      </c>
      <c r="F1036" s="52" t="s">
        <v>26</v>
      </c>
      <c r="G1036" s="55" t="s">
        <v>276</v>
      </c>
      <c r="H1036" s="55">
        <v>-2.8249999999999998E-3</v>
      </c>
      <c r="I1036" s="55">
        <v>0</v>
      </c>
      <c r="J1036" s="55"/>
      <c r="K1036" s="55"/>
      <c r="L1036" s="55"/>
      <c r="M1036" s="55"/>
      <c r="N1036" s="55"/>
    </row>
    <row r="1037" spans="1:14" hidden="1" x14ac:dyDescent="0.35">
      <c r="A1037" s="52" t="s">
        <v>579</v>
      </c>
      <c r="B1037" s="52" t="s">
        <v>134</v>
      </c>
      <c r="C1037" s="52" t="s">
        <v>259</v>
      </c>
      <c r="D1037" s="52" t="s">
        <v>259</v>
      </c>
      <c r="E1037" s="52" t="s">
        <v>584</v>
      </c>
      <c r="F1037" s="52" t="s">
        <v>26</v>
      </c>
      <c r="G1037" s="55" t="s">
        <v>279</v>
      </c>
      <c r="H1037" s="55">
        <v>5.4196000000000001E-2</v>
      </c>
      <c r="I1037" s="55">
        <v>4.3265089999999997</v>
      </c>
      <c r="J1037" s="55">
        <v>0</v>
      </c>
      <c r="K1037" s="55"/>
      <c r="L1037" s="55"/>
      <c r="M1037" s="55"/>
      <c r="N1037" s="55"/>
    </row>
    <row r="1038" spans="1:14" hidden="1" x14ac:dyDescent="0.35">
      <c r="A1038" s="52" t="s">
        <v>579</v>
      </c>
      <c r="B1038" s="52" t="s">
        <v>160</v>
      </c>
      <c r="C1038" s="52" t="s">
        <v>176</v>
      </c>
      <c r="D1038" s="52" t="s">
        <v>177</v>
      </c>
      <c r="E1038" s="52" t="s">
        <v>584</v>
      </c>
      <c r="F1038" s="52" t="s">
        <v>581</v>
      </c>
      <c r="G1038" s="55" t="s">
        <v>275</v>
      </c>
      <c r="H1038" s="55">
        <v>3.901859</v>
      </c>
      <c r="I1038" s="55">
        <v>3.146061</v>
      </c>
      <c r="J1038" s="55">
        <v>0.91149769999999997</v>
      </c>
      <c r="K1038" s="55">
        <v>0.90906520000000002</v>
      </c>
      <c r="L1038" s="55">
        <v>2.0349519999999999E-2</v>
      </c>
      <c r="M1038" s="55">
        <v>1.7916979999999999E-2</v>
      </c>
      <c r="N1038" s="55">
        <v>1.5484400000000001E-2</v>
      </c>
    </row>
    <row r="1039" spans="1:14" hidden="1" x14ac:dyDescent="0.35">
      <c r="A1039" s="52" t="s">
        <v>579</v>
      </c>
      <c r="B1039" s="52" t="s">
        <v>160</v>
      </c>
      <c r="C1039" s="52" t="s">
        <v>176</v>
      </c>
      <c r="D1039" s="52" t="s">
        <v>177</v>
      </c>
      <c r="E1039" s="52" t="s">
        <v>584</v>
      </c>
      <c r="F1039" s="52" t="s">
        <v>581</v>
      </c>
      <c r="G1039" s="55" t="s">
        <v>276</v>
      </c>
      <c r="H1039" s="55">
        <v>-4.0807169999999999</v>
      </c>
      <c r="I1039" s="55">
        <v>-3.1912020000000001</v>
      </c>
      <c r="J1039" s="55">
        <v>0</v>
      </c>
      <c r="K1039" s="55">
        <v>0</v>
      </c>
      <c r="L1039" s="55">
        <v>0</v>
      </c>
      <c r="M1039" s="55">
        <v>0</v>
      </c>
      <c r="N1039" s="55">
        <v>0</v>
      </c>
    </row>
    <row r="1040" spans="1:14" hidden="1" x14ac:dyDescent="0.35">
      <c r="A1040" s="52" t="s">
        <v>579</v>
      </c>
      <c r="B1040" s="52" t="s">
        <v>160</v>
      </c>
      <c r="C1040" s="52" t="s">
        <v>176</v>
      </c>
      <c r="D1040" s="52" t="s">
        <v>177</v>
      </c>
      <c r="E1040" s="52" t="s">
        <v>584</v>
      </c>
      <c r="F1040" s="52" t="s">
        <v>581</v>
      </c>
      <c r="G1040" s="55" t="s">
        <v>277</v>
      </c>
      <c r="H1040" s="55"/>
      <c r="I1040" s="55"/>
      <c r="J1040" s="55"/>
      <c r="K1040" s="55"/>
      <c r="L1040" s="55"/>
      <c r="M1040" s="55">
        <v>0</v>
      </c>
      <c r="N1040" s="55">
        <v>0</v>
      </c>
    </row>
    <row r="1041" spans="1:14" hidden="1" x14ac:dyDescent="0.35">
      <c r="A1041" s="52" t="s">
        <v>579</v>
      </c>
      <c r="B1041" s="52" t="s">
        <v>160</v>
      </c>
      <c r="C1041" s="52" t="s">
        <v>176</v>
      </c>
      <c r="D1041" s="52" t="s">
        <v>177</v>
      </c>
      <c r="E1041" s="52" t="s">
        <v>584</v>
      </c>
      <c r="F1041" s="52" t="s">
        <v>581</v>
      </c>
      <c r="G1041" s="55" t="s">
        <v>278</v>
      </c>
      <c r="H1041" s="55">
        <v>0.17885699999999999</v>
      </c>
      <c r="I1041" s="55">
        <v>4.5140520000000003E-2</v>
      </c>
      <c r="J1041" s="55">
        <v>0</v>
      </c>
      <c r="K1041" s="55">
        <v>0</v>
      </c>
      <c r="L1041" s="55">
        <v>0</v>
      </c>
      <c r="M1041" s="55">
        <v>0</v>
      </c>
      <c r="N1041" s="55">
        <v>0</v>
      </c>
    </row>
    <row r="1042" spans="1:14" hidden="1" x14ac:dyDescent="0.35">
      <c r="A1042" s="52" t="s">
        <v>579</v>
      </c>
      <c r="B1042" s="52" t="s">
        <v>160</v>
      </c>
      <c r="C1042" s="52" t="s">
        <v>318</v>
      </c>
      <c r="D1042" s="52" t="s">
        <v>318</v>
      </c>
      <c r="E1042" s="52" t="s">
        <v>584</v>
      </c>
      <c r="F1042" s="52" t="s">
        <v>581</v>
      </c>
      <c r="G1042" s="55" t="s">
        <v>275</v>
      </c>
      <c r="H1042" s="55">
        <v>-6.8859000000000004E-2</v>
      </c>
      <c r="I1042" s="55">
        <v>0</v>
      </c>
      <c r="J1042" s="55"/>
      <c r="K1042" s="55"/>
      <c r="L1042" s="55"/>
      <c r="M1042" s="55"/>
      <c r="N1042" s="55"/>
    </row>
    <row r="1043" spans="1:14" hidden="1" x14ac:dyDescent="0.35">
      <c r="A1043" s="52" t="s">
        <v>579</v>
      </c>
      <c r="B1043" s="52" t="s">
        <v>160</v>
      </c>
      <c r="C1043" s="52" t="s">
        <v>318</v>
      </c>
      <c r="D1043" s="52" t="s">
        <v>318</v>
      </c>
      <c r="E1043" s="52" t="s">
        <v>584</v>
      </c>
      <c r="F1043" s="52" t="s">
        <v>581</v>
      </c>
      <c r="G1043" s="55" t="s">
        <v>276</v>
      </c>
      <c r="H1043" s="55">
        <v>-2.421E-3</v>
      </c>
      <c r="I1043" s="55">
        <v>0</v>
      </c>
      <c r="J1043" s="55"/>
      <c r="K1043" s="55"/>
      <c r="L1043" s="55"/>
      <c r="M1043" s="55"/>
      <c r="N1043" s="55"/>
    </row>
    <row r="1044" spans="1:14" hidden="1" x14ac:dyDescent="0.35">
      <c r="A1044" s="52" t="s">
        <v>579</v>
      </c>
      <c r="B1044" s="52" t="s">
        <v>160</v>
      </c>
      <c r="C1044" s="52" t="s">
        <v>318</v>
      </c>
      <c r="D1044" s="52" t="s">
        <v>318</v>
      </c>
      <c r="E1044" s="52" t="s">
        <v>584</v>
      </c>
      <c r="F1044" s="52" t="s">
        <v>581</v>
      </c>
      <c r="G1044" s="55" t="s">
        <v>278</v>
      </c>
      <c r="H1044" s="55">
        <v>7.1280990000000002E-2</v>
      </c>
      <c r="I1044" s="55">
        <v>0</v>
      </c>
      <c r="J1044" s="55"/>
      <c r="K1044" s="55"/>
      <c r="L1044" s="55"/>
      <c r="M1044" s="55"/>
      <c r="N1044" s="55"/>
    </row>
    <row r="1045" spans="1:14" hidden="1" x14ac:dyDescent="0.35">
      <c r="A1045" s="52" t="s">
        <v>579</v>
      </c>
      <c r="B1045" s="52" t="s">
        <v>160</v>
      </c>
      <c r="C1045" s="52" t="s">
        <v>318</v>
      </c>
      <c r="D1045" s="52" t="s">
        <v>318</v>
      </c>
      <c r="E1045" s="52" t="s">
        <v>584</v>
      </c>
      <c r="F1045" s="52" t="s">
        <v>26</v>
      </c>
      <c r="G1045" s="55" t="s">
        <v>275</v>
      </c>
      <c r="H1045" s="55">
        <v>-4.5905000000000001E-2</v>
      </c>
      <c r="I1045" s="55">
        <v>0</v>
      </c>
      <c r="J1045" s="55"/>
      <c r="K1045" s="55"/>
      <c r="L1045" s="55"/>
      <c r="M1045" s="55"/>
      <c r="N1045" s="55"/>
    </row>
    <row r="1046" spans="1:14" hidden="1" x14ac:dyDescent="0.35">
      <c r="A1046" s="52" t="s">
        <v>579</v>
      </c>
      <c r="B1046" s="52" t="s">
        <v>160</v>
      </c>
      <c r="C1046" s="52" t="s">
        <v>318</v>
      </c>
      <c r="D1046" s="52" t="s">
        <v>318</v>
      </c>
      <c r="E1046" s="52" t="s">
        <v>584</v>
      </c>
      <c r="F1046" s="52" t="s">
        <v>26</v>
      </c>
      <c r="G1046" s="55" t="s">
        <v>276</v>
      </c>
      <c r="H1046" s="55">
        <v>-1.6149999999999999E-3</v>
      </c>
      <c r="I1046" s="55">
        <v>0</v>
      </c>
      <c r="J1046" s="55"/>
      <c r="K1046" s="55"/>
      <c r="L1046" s="55"/>
      <c r="M1046" s="55"/>
      <c r="N1046" s="55"/>
    </row>
    <row r="1047" spans="1:14" hidden="1" x14ac:dyDescent="0.35">
      <c r="A1047" s="52" t="s">
        <v>579</v>
      </c>
      <c r="B1047" s="52" t="s">
        <v>160</v>
      </c>
      <c r="C1047" s="52" t="s">
        <v>318</v>
      </c>
      <c r="D1047" s="52" t="s">
        <v>318</v>
      </c>
      <c r="E1047" s="52" t="s">
        <v>584</v>
      </c>
      <c r="F1047" s="52" t="s">
        <v>26</v>
      </c>
      <c r="G1047" s="55" t="s">
        <v>278</v>
      </c>
      <c r="H1047" s="55">
        <v>4.7521000000000001E-2</v>
      </c>
      <c r="I1047" s="55">
        <v>0</v>
      </c>
      <c r="J1047" s="55"/>
      <c r="K1047" s="55"/>
      <c r="L1047" s="55"/>
      <c r="M1047" s="55"/>
      <c r="N1047" s="55"/>
    </row>
    <row r="1048" spans="1:14" hidden="1" x14ac:dyDescent="0.35">
      <c r="A1048" s="52" t="s">
        <v>579</v>
      </c>
      <c r="B1048" s="52" t="s">
        <v>34</v>
      </c>
      <c r="C1048" s="52" t="s">
        <v>304</v>
      </c>
      <c r="D1048" s="52" t="s">
        <v>304</v>
      </c>
      <c r="E1048" s="52" t="s">
        <v>584</v>
      </c>
      <c r="F1048" s="52" t="s">
        <v>581</v>
      </c>
      <c r="G1048" s="55" t="s">
        <v>275</v>
      </c>
      <c r="H1048" s="55">
        <v>-0.1170595</v>
      </c>
      <c r="I1048" s="55">
        <v>-0.1170592</v>
      </c>
      <c r="J1048" s="55">
        <v>0</v>
      </c>
      <c r="K1048" s="55">
        <v>0</v>
      </c>
      <c r="L1048" s="55">
        <v>0</v>
      </c>
      <c r="M1048" s="55">
        <v>0</v>
      </c>
      <c r="N1048" s="55">
        <v>0</v>
      </c>
    </row>
    <row r="1049" spans="1:14" hidden="1" x14ac:dyDescent="0.35">
      <c r="A1049" s="52" t="s">
        <v>579</v>
      </c>
      <c r="B1049" s="52" t="s">
        <v>34</v>
      </c>
      <c r="C1049" s="52" t="s">
        <v>304</v>
      </c>
      <c r="D1049" s="52" t="s">
        <v>304</v>
      </c>
      <c r="E1049" s="52" t="s">
        <v>584</v>
      </c>
      <c r="F1049" s="52" t="s">
        <v>581</v>
      </c>
      <c r="G1049" s="55" t="s">
        <v>276</v>
      </c>
      <c r="H1049" s="55">
        <v>-5.0168249999999998E-2</v>
      </c>
      <c r="I1049" s="55">
        <v>-5.0168249999999998E-2</v>
      </c>
      <c r="J1049" s="55">
        <v>-67.408789999999996</v>
      </c>
      <c r="K1049" s="55">
        <v>-9.9381360000000001</v>
      </c>
      <c r="L1049" s="55">
        <v>-0.16722709999999999</v>
      </c>
      <c r="M1049" s="55">
        <v>-0.16722690000000001</v>
      </c>
      <c r="N1049" s="55">
        <v>-10.898149999999999</v>
      </c>
    </row>
    <row r="1050" spans="1:14" hidden="1" x14ac:dyDescent="0.35">
      <c r="A1050" s="52" t="s">
        <v>579</v>
      </c>
      <c r="B1050" s="52" t="s">
        <v>34</v>
      </c>
      <c r="C1050" s="52" t="s">
        <v>304</v>
      </c>
      <c r="D1050" s="52" t="s">
        <v>304</v>
      </c>
      <c r="E1050" s="52" t="s">
        <v>584</v>
      </c>
      <c r="F1050" s="52" t="s">
        <v>581</v>
      </c>
      <c r="G1050" s="55" t="s">
        <v>277</v>
      </c>
      <c r="H1050" s="55"/>
      <c r="I1050" s="55">
        <v>0</v>
      </c>
      <c r="J1050" s="55">
        <v>0.1079065</v>
      </c>
      <c r="K1050" s="55">
        <v>0</v>
      </c>
      <c r="L1050" s="55"/>
      <c r="M1050" s="55"/>
      <c r="N1050" s="55">
        <v>0</v>
      </c>
    </row>
    <row r="1051" spans="1:14" hidden="1" x14ac:dyDescent="0.35">
      <c r="A1051" s="52" t="s">
        <v>579</v>
      </c>
      <c r="B1051" s="52" t="s">
        <v>34</v>
      </c>
      <c r="C1051" s="52" t="s">
        <v>304</v>
      </c>
      <c r="D1051" s="52" t="s">
        <v>304</v>
      </c>
      <c r="E1051" s="52" t="s">
        <v>584</v>
      </c>
      <c r="F1051" s="52" t="s">
        <v>581</v>
      </c>
      <c r="G1051" s="55" t="s">
        <v>278</v>
      </c>
      <c r="H1051" s="55">
        <v>0.16722770000000001</v>
      </c>
      <c r="I1051" s="55">
        <v>0.16722770000000001</v>
      </c>
      <c r="J1051" s="55">
        <v>67.300889999999995</v>
      </c>
      <c r="K1051" s="55">
        <v>9.9381380000000004</v>
      </c>
      <c r="L1051" s="55">
        <v>0.16722770000000001</v>
      </c>
      <c r="M1051" s="55">
        <v>0.16722770000000001</v>
      </c>
      <c r="N1051" s="55">
        <v>10.89814</v>
      </c>
    </row>
    <row r="1052" spans="1:14" hidden="1" x14ac:dyDescent="0.35">
      <c r="A1052" s="52" t="s">
        <v>579</v>
      </c>
      <c r="B1052" s="52" t="s">
        <v>117</v>
      </c>
      <c r="C1052" s="52" t="s">
        <v>318</v>
      </c>
      <c r="D1052" s="52" t="s">
        <v>318</v>
      </c>
      <c r="E1052" s="52" t="s">
        <v>584</v>
      </c>
      <c r="F1052" s="52" t="s">
        <v>581</v>
      </c>
      <c r="G1052" s="55" t="s">
        <v>275</v>
      </c>
      <c r="H1052" s="55">
        <v>-15.058630000000001</v>
      </c>
      <c r="I1052" s="55">
        <v>0</v>
      </c>
      <c r="J1052" s="55"/>
      <c r="K1052" s="55"/>
      <c r="L1052" s="55"/>
      <c r="M1052" s="55"/>
      <c r="N1052" s="55"/>
    </row>
    <row r="1053" spans="1:14" hidden="1" x14ac:dyDescent="0.35">
      <c r="A1053" s="52" t="s">
        <v>579</v>
      </c>
      <c r="B1053" s="52" t="s">
        <v>117</v>
      </c>
      <c r="C1053" s="52" t="s">
        <v>318</v>
      </c>
      <c r="D1053" s="52" t="s">
        <v>318</v>
      </c>
      <c r="E1053" s="52" t="s">
        <v>584</v>
      </c>
      <c r="F1053" s="52" t="s">
        <v>581</v>
      </c>
      <c r="G1053" s="55" t="s">
        <v>278</v>
      </c>
      <c r="H1053" s="55">
        <v>15.058630000000001</v>
      </c>
      <c r="I1053" s="55">
        <v>0</v>
      </c>
      <c r="J1053" s="55"/>
      <c r="K1053" s="55"/>
      <c r="L1053" s="55"/>
      <c r="M1053" s="55"/>
      <c r="N1053" s="55"/>
    </row>
    <row r="1054" spans="1:14" hidden="1" x14ac:dyDescent="0.35">
      <c r="A1054" s="52" t="s">
        <v>579</v>
      </c>
      <c r="B1054" s="52" t="s">
        <v>117</v>
      </c>
      <c r="C1054" s="52" t="s">
        <v>318</v>
      </c>
      <c r="D1054" s="52" t="s">
        <v>318</v>
      </c>
      <c r="E1054" s="52" t="s">
        <v>584</v>
      </c>
      <c r="F1054" s="52" t="s">
        <v>26</v>
      </c>
      <c r="G1054" s="55" t="s">
        <v>275</v>
      </c>
      <c r="H1054" s="55">
        <v>-10.03909</v>
      </c>
      <c r="I1054" s="55">
        <v>0</v>
      </c>
      <c r="J1054" s="55"/>
      <c r="K1054" s="55"/>
      <c r="L1054" s="55"/>
      <c r="M1054" s="55"/>
      <c r="N1054" s="55"/>
    </row>
    <row r="1055" spans="1:14" hidden="1" x14ac:dyDescent="0.35">
      <c r="A1055" s="52" t="s">
        <v>579</v>
      </c>
      <c r="B1055" s="52" t="s">
        <v>117</v>
      </c>
      <c r="C1055" s="52" t="s">
        <v>318</v>
      </c>
      <c r="D1055" s="52" t="s">
        <v>318</v>
      </c>
      <c r="E1055" s="52" t="s">
        <v>584</v>
      </c>
      <c r="F1055" s="52" t="s">
        <v>26</v>
      </c>
      <c r="G1055" s="55" t="s">
        <v>278</v>
      </c>
      <c r="H1055" s="55">
        <v>10.03909</v>
      </c>
      <c r="I1055" s="55">
        <v>0</v>
      </c>
      <c r="J1055" s="55"/>
      <c r="K1055" s="55"/>
      <c r="L1055" s="55"/>
      <c r="M1055" s="55"/>
      <c r="N1055" s="55"/>
    </row>
    <row r="1056" spans="1:14" hidden="1" x14ac:dyDescent="0.35">
      <c r="A1056" s="52" t="s">
        <v>579</v>
      </c>
      <c r="B1056" s="52" t="s">
        <v>117</v>
      </c>
      <c r="C1056" s="52" t="s">
        <v>116</v>
      </c>
      <c r="D1056" s="52" t="s">
        <v>116</v>
      </c>
      <c r="E1056" s="52" t="s">
        <v>584</v>
      </c>
      <c r="F1056" s="52" t="s">
        <v>581</v>
      </c>
      <c r="G1056" s="55" t="s">
        <v>275</v>
      </c>
      <c r="H1056" s="55">
        <v>-0.37724449999999998</v>
      </c>
      <c r="I1056" s="55">
        <v>-0.37724449999999998</v>
      </c>
      <c r="J1056" s="55">
        <v>0</v>
      </c>
      <c r="K1056" s="55">
        <v>0</v>
      </c>
      <c r="L1056" s="55">
        <v>0</v>
      </c>
      <c r="M1056" s="55">
        <v>0</v>
      </c>
      <c r="N1056" s="55">
        <v>0</v>
      </c>
    </row>
    <row r="1057" spans="1:14" hidden="1" x14ac:dyDescent="0.35">
      <c r="A1057" s="52" t="s">
        <v>579</v>
      </c>
      <c r="B1057" s="52" t="s">
        <v>117</v>
      </c>
      <c r="C1057" s="52" t="s">
        <v>116</v>
      </c>
      <c r="D1057" s="52" t="s">
        <v>116</v>
      </c>
      <c r="E1057" s="52" t="s">
        <v>584</v>
      </c>
      <c r="F1057" s="52" t="s">
        <v>581</v>
      </c>
      <c r="G1057" s="55" t="s">
        <v>276</v>
      </c>
      <c r="H1057" s="55"/>
      <c r="I1057" s="55"/>
      <c r="J1057" s="55">
        <v>-0.37724449999999998</v>
      </c>
      <c r="K1057" s="55">
        <v>-0.37724449999999998</v>
      </c>
      <c r="L1057" s="55">
        <v>-0.37724449999999998</v>
      </c>
      <c r="M1057" s="55">
        <v>-0.37724449999999998</v>
      </c>
      <c r="N1057" s="55">
        <v>-0.37724449999999998</v>
      </c>
    </row>
    <row r="1058" spans="1:14" hidden="1" x14ac:dyDescent="0.35">
      <c r="A1058" s="52" t="s">
        <v>579</v>
      </c>
      <c r="B1058" s="52" t="s">
        <v>117</v>
      </c>
      <c r="C1058" s="52" t="s">
        <v>116</v>
      </c>
      <c r="D1058" s="52" t="s">
        <v>116</v>
      </c>
      <c r="E1058" s="52" t="s">
        <v>584</v>
      </c>
      <c r="F1058" s="52" t="s">
        <v>581</v>
      </c>
      <c r="G1058" s="55" t="s">
        <v>278</v>
      </c>
      <c r="H1058" s="55">
        <v>0.37724449999999998</v>
      </c>
      <c r="I1058" s="55">
        <v>0.37724449999999998</v>
      </c>
      <c r="J1058" s="55">
        <v>0.37724449999999998</v>
      </c>
      <c r="K1058" s="55">
        <v>0.37724449999999998</v>
      </c>
      <c r="L1058" s="55">
        <v>0.37724449999999998</v>
      </c>
      <c r="M1058" s="55">
        <v>0.37724449999999998</v>
      </c>
      <c r="N1058" s="55">
        <v>0.37724449999999998</v>
      </c>
    </row>
    <row r="1059" spans="1:14" hidden="1" x14ac:dyDescent="0.35">
      <c r="A1059" s="52" t="s">
        <v>579</v>
      </c>
      <c r="B1059" s="52" t="s">
        <v>117</v>
      </c>
      <c r="C1059" s="52" t="s">
        <v>116</v>
      </c>
      <c r="D1059" s="52" t="s">
        <v>116</v>
      </c>
      <c r="E1059" s="52" t="s">
        <v>584</v>
      </c>
      <c r="F1059" s="52" t="s">
        <v>26</v>
      </c>
      <c r="G1059" s="55" t="s">
        <v>275</v>
      </c>
      <c r="H1059" s="55"/>
      <c r="I1059" s="55"/>
      <c r="J1059" s="55">
        <v>0</v>
      </c>
      <c r="K1059" s="55">
        <v>0</v>
      </c>
      <c r="L1059" s="55">
        <v>0</v>
      </c>
      <c r="M1059" s="55">
        <v>0</v>
      </c>
      <c r="N1059" s="55"/>
    </row>
    <row r="1060" spans="1:14" hidden="1" x14ac:dyDescent="0.35">
      <c r="A1060" s="52" t="s">
        <v>579</v>
      </c>
      <c r="B1060" s="52" t="s">
        <v>117</v>
      </c>
      <c r="C1060" s="52" t="s">
        <v>116</v>
      </c>
      <c r="D1060" s="52" t="s">
        <v>116</v>
      </c>
      <c r="E1060" s="52" t="s">
        <v>584</v>
      </c>
      <c r="F1060" s="52" t="s">
        <v>26</v>
      </c>
      <c r="G1060" s="55" t="s">
        <v>278</v>
      </c>
      <c r="H1060" s="55"/>
      <c r="I1060" s="55"/>
      <c r="J1060" s="55">
        <v>0</v>
      </c>
      <c r="K1060" s="55">
        <v>0</v>
      </c>
      <c r="L1060" s="55">
        <v>0</v>
      </c>
      <c r="M1060" s="55">
        <v>0</v>
      </c>
      <c r="N1060" s="55"/>
    </row>
    <row r="1061" spans="1:14" hidden="1" x14ac:dyDescent="0.35">
      <c r="A1061" s="52" t="s">
        <v>579</v>
      </c>
      <c r="B1061" s="52" t="s">
        <v>255</v>
      </c>
      <c r="C1061" s="52" t="s">
        <v>318</v>
      </c>
      <c r="D1061" s="52" t="s">
        <v>318</v>
      </c>
      <c r="E1061" s="52" t="s">
        <v>584</v>
      </c>
      <c r="F1061" s="52" t="s">
        <v>581</v>
      </c>
      <c r="G1061" s="55" t="s">
        <v>275</v>
      </c>
      <c r="H1061" s="55">
        <v>-0.345331</v>
      </c>
      <c r="I1061" s="55">
        <v>0</v>
      </c>
      <c r="J1061" s="55"/>
      <c r="K1061" s="55"/>
      <c r="L1061" s="55"/>
      <c r="M1061" s="55"/>
      <c r="N1061" s="55"/>
    </row>
    <row r="1062" spans="1:14" hidden="1" x14ac:dyDescent="0.35">
      <c r="A1062" s="52" t="s">
        <v>579</v>
      </c>
      <c r="B1062" s="52" t="s">
        <v>255</v>
      </c>
      <c r="C1062" s="52" t="s">
        <v>318</v>
      </c>
      <c r="D1062" s="52" t="s">
        <v>318</v>
      </c>
      <c r="E1062" s="52" t="s">
        <v>584</v>
      </c>
      <c r="F1062" s="52" t="s">
        <v>581</v>
      </c>
      <c r="G1062" s="55" t="s">
        <v>276</v>
      </c>
      <c r="H1062" s="55">
        <v>-2.3219E-2</v>
      </c>
      <c r="I1062" s="55">
        <v>0</v>
      </c>
      <c r="J1062" s="55"/>
      <c r="K1062" s="55"/>
      <c r="L1062" s="55"/>
      <c r="M1062" s="55"/>
      <c r="N1062" s="55"/>
    </row>
    <row r="1063" spans="1:14" hidden="1" x14ac:dyDescent="0.35">
      <c r="A1063" s="52" t="s">
        <v>579</v>
      </c>
      <c r="B1063" s="52" t="s">
        <v>255</v>
      </c>
      <c r="C1063" s="52" t="s">
        <v>318</v>
      </c>
      <c r="D1063" s="52" t="s">
        <v>318</v>
      </c>
      <c r="E1063" s="52" t="s">
        <v>584</v>
      </c>
      <c r="F1063" s="52" t="s">
        <v>581</v>
      </c>
      <c r="G1063" s="55" t="s">
        <v>278</v>
      </c>
      <c r="H1063" s="55">
        <v>0.36854900000000002</v>
      </c>
      <c r="I1063" s="55">
        <v>0</v>
      </c>
      <c r="J1063" s="55"/>
      <c r="K1063" s="55"/>
      <c r="L1063" s="55"/>
      <c r="M1063" s="55"/>
      <c r="N1063" s="55"/>
    </row>
    <row r="1064" spans="1:14" hidden="1" x14ac:dyDescent="0.35">
      <c r="A1064" s="52" t="s">
        <v>579</v>
      </c>
      <c r="B1064" s="52" t="s">
        <v>255</v>
      </c>
      <c r="C1064" s="52" t="s">
        <v>318</v>
      </c>
      <c r="D1064" s="52" t="s">
        <v>318</v>
      </c>
      <c r="E1064" s="52" t="s">
        <v>584</v>
      </c>
      <c r="F1064" s="52" t="s">
        <v>26</v>
      </c>
      <c r="G1064" s="55" t="s">
        <v>275</v>
      </c>
      <c r="H1064" s="55">
        <v>-0.23022100000000001</v>
      </c>
      <c r="I1064" s="55">
        <v>0</v>
      </c>
      <c r="J1064" s="55"/>
      <c r="K1064" s="55"/>
      <c r="L1064" s="55"/>
      <c r="M1064" s="55"/>
      <c r="N1064" s="55"/>
    </row>
    <row r="1065" spans="1:14" hidden="1" x14ac:dyDescent="0.35">
      <c r="A1065" s="52" t="s">
        <v>579</v>
      </c>
      <c r="B1065" s="52" t="s">
        <v>255</v>
      </c>
      <c r="C1065" s="52" t="s">
        <v>318</v>
      </c>
      <c r="D1065" s="52" t="s">
        <v>318</v>
      </c>
      <c r="E1065" s="52" t="s">
        <v>584</v>
      </c>
      <c r="F1065" s="52" t="s">
        <v>26</v>
      </c>
      <c r="G1065" s="55" t="s">
        <v>276</v>
      </c>
      <c r="H1065" s="55">
        <v>-1.5479E-2</v>
      </c>
      <c r="I1065" s="55">
        <v>0</v>
      </c>
      <c r="J1065" s="55"/>
      <c r="K1065" s="55"/>
      <c r="L1065" s="55"/>
      <c r="M1065" s="55"/>
      <c r="N1065" s="55"/>
    </row>
    <row r="1066" spans="1:14" hidden="1" x14ac:dyDescent="0.35">
      <c r="A1066" s="52" t="s">
        <v>579</v>
      </c>
      <c r="B1066" s="52" t="s">
        <v>255</v>
      </c>
      <c r="C1066" s="52" t="s">
        <v>318</v>
      </c>
      <c r="D1066" s="52" t="s">
        <v>318</v>
      </c>
      <c r="E1066" s="52" t="s">
        <v>584</v>
      </c>
      <c r="F1066" s="52" t="s">
        <v>26</v>
      </c>
      <c r="G1066" s="55" t="s">
        <v>278</v>
      </c>
      <c r="H1066" s="55">
        <v>0.245699</v>
      </c>
      <c r="I1066" s="55">
        <v>0</v>
      </c>
      <c r="J1066" s="55"/>
      <c r="K1066" s="55"/>
      <c r="L1066" s="55"/>
      <c r="M1066" s="55"/>
      <c r="N1066" s="55"/>
    </row>
    <row r="1067" spans="1:14" hidden="1" x14ac:dyDescent="0.35">
      <c r="A1067" s="52" t="s">
        <v>579</v>
      </c>
      <c r="B1067" s="52" t="s">
        <v>255</v>
      </c>
      <c r="C1067" s="52" t="s">
        <v>819</v>
      </c>
      <c r="D1067" s="52" t="s">
        <v>819</v>
      </c>
      <c r="E1067" s="52" t="s">
        <v>584</v>
      </c>
      <c r="F1067" s="52" t="s">
        <v>581</v>
      </c>
      <c r="G1067" s="55" t="s">
        <v>275</v>
      </c>
      <c r="H1067" s="55">
        <v>-0.74996700000000005</v>
      </c>
      <c r="I1067" s="55">
        <v>-0.69171000000000005</v>
      </c>
      <c r="J1067" s="55">
        <v>0</v>
      </c>
      <c r="K1067" s="55">
        <v>0</v>
      </c>
      <c r="L1067" s="55">
        <v>0</v>
      </c>
      <c r="M1067" s="55">
        <v>0</v>
      </c>
      <c r="N1067" s="55">
        <v>0</v>
      </c>
    </row>
    <row r="1068" spans="1:14" hidden="1" x14ac:dyDescent="0.35">
      <c r="A1068" s="52" t="s">
        <v>579</v>
      </c>
      <c r="B1068" s="52" t="s">
        <v>255</v>
      </c>
      <c r="C1068" s="52" t="s">
        <v>819</v>
      </c>
      <c r="D1068" s="52" t="s">
        <v>819</v>
      </c>
      <c r="E1068" s="52" t="s">
        <v>584</v>
      </c>
      <c r="F1068" s="52" t="s">
        <v>581</v>
      </c>
      <c r="G1068" s="55" t="s">
        <v>276</v>
      </c>
      <c r="H1068" s="55">
        <v>-0.17477699999999999</v>
      </c>
      <c r="I1068" s="55">
        <v>-0.23303399999999999</v>
      </c>
      <c r="J1068" s="55">
        <v>-0.92474400000000001</v>
      </c>
      <c r="K1068" s="55">
        <v>-53.745150000000002</v>
      </c>
      <c r="L1068" s="55">
        <v>-0.92474290000000003</v>
      </c>
      <c r="M1068" s="55">
        <v>-0.92474749999999994</v>
      </c>
      <c r="N1068" s="55">
        <v>-1.1601950000000001</v>
      </c>
    </row>
    <row r="1069" spans="1:14" hidden="1" x14ac:dyDescent="0.35">
      <c r="A1069" s="52" t="s">
        <v>579</v>
      </c>
      <c r="B1069" s="52" t="s">
        <v>255</v>
      </c>
      <c r="C1069" s="52" t="s">
        <v>819</v>
      </c>
      <c r="D1069" s="52" t="s">
        <v>819</v>
      </c>
      <c r="E1069" s="52" t="s">
        <v>584</v>
      </c>
      <c r="F1069" s="52" t="s">
        <v>581</v>
      </c>
      <c r="G1069" s="55" t="s">
        <v>277</v>
      </c>
      <c r="H1069" s="55"/>
      <c r="I1069" s="55"/>
      <c r="J1069" s="55"/>
      <c r="K1069" s="55"/>
      <c r="L1069" s="55"/>
      <c r="M1069" s="55">
        <v>0</v>
      </c>
      <c r="N1069" s="55">
        <v>0.23544899999999999</v>
      </c>
    </row>
    <row r="1070" spans="1:14" hidden="1" x14ac:dyDescent="0.35">
      <c r="A1070" s="52" t="s">
        <v>579</v>
      </c>
      <c r="B1070" s="52" t="s">
        <v>255</v>
      </c>
      <c r="C1070" s="52" t="s">
        <v>819</v>
      </c>
      <c r="D1070" s="52" t="s">
        <v>819</v>
      </c>
      <c r="E1070" s="52" t="s">
        <v>584</v>
      </c>
      <c r="F1070" s="52" t="s">
        <v>581</v>
      </c>
      <c r="G1070" s="55" t="s">
        <v>278</v>
      </c>
      <c r="H1070" s="55">
        <v>0.92474400000000001</v>
      </c>
      <c r="I1070" s="55">
        <v>0.92474400000000001</v>
      </c>
      <c r="J1070" s="55">
        <v>0.92474400000000001</v>
      </c>
      <c r="K1070" s="55">
        <v>53.745150000000002</v>
      </c>
      <c r="L1070" s="55">
        <v>0.92474400000000001</v>
      </c>
      <c r="M1070" s="55">
        <v>0.92474400000000001</v>
      </c>
      <c r="N1070" s="55">
        <v>0.92474400000000001</v>
      </c>
    </row>
    <row r="1071" spans="1:14" hidden="1" x14ac:dyDescent="0.35">
      <c r="A1071" s="52" t="s">
        <v>623</v>
      </c>
      <c r="B1071" s="52" t="s">
        <v>53</v>
      </c>
      <c r="C1071" s="52" t="s">
        <v>175</v>
      </c>
      <c r="D1071" s="52" t="s">
        <v>175</v>
      </c>
      <c r="E1071" s="52" t="s">
        <v>584</v>
      </c>
      <c r="F1071" s="52" t="s">
        <v>581</v>
      </c>
      <c r="G1071" s="55" t="s">
        <v>275</v>
      </c>
      <c r="H1071" s="55">
        <v>826.98860000000002</v>
      </c>
      <c r="I1071" s="55">
        <v>505.98289999999997</v>
      </c>
      <c r="J1071" s="55">
        <v>512.39279999999997</v>
      </c>
      <c r="K1071" s="55">
        <v>560.78989999999999</v>
      </c>
      <c r="L1071" s="55">
        <v>510.1164</v>
      </c>
      <c r="M1071" s="55">
        <v>453.2894</v>
      </c>
      <c r="N1071" s="55">
        <v>420.86340000000001</v>
      </c>
    </row>
    <row r="1072" spans="1:14" hidden="1" x14ac:dyDescent="0.35">
      <c r="A1072" s="52" t="s">
        <v>623</v>
      </c>
      <c r="B1072" s="52" t="s">
        <v>53</v>
      </c>
      <c r="C1072" s="52" t="s">
        <v>175</v>
      </c>
      <c r="D1072" s="52" t="s">
        <v>175</v>
      </c>
      <c r="E1072" s="52" t="s">
        <v>584</v>
      </c>
      <c r="F1072" s="52" t="s">
        <v>581</v>
      </c>
      <c r="G1072" s="55" t="s">
        <v>276</v>
      </c>
      <c r="H1072" s="55">
        <v>354.4237</v>
      </c>
      <c r="I1072" s="55">
        <v>216.84979999999999</v>
      </c>
      <c r="J1072" s="55">
        <v>219.59690000000001</v>
      </c>
      <c r="K1072" s="55">
        <v>240.33860000000001</v>
      </c>
      <c r="L1072" s="55">
        <v>218.62129999999999</v>
      </c>
      <c r="M1072" s="55">
        <v>194.26689999999999</v>
      </c>
      <c r="N1072" s="55">
        <v>180.37</v>
      </c>
    </row>
    <row r="1073" spans="1:14" hidden="1" x14ac:dyDescent="0.35">
      <c r="A1073" s="52" t="s">
        <v>623</v>
      </c>
      <c r="B1073" s="52" t="s">
        <v>53</v>
      </c>
      <c r="C1073" s="52" t="s">
        <v>175</v>
      </c>
      <c r="D1073" s="52" t="s">
        <v>175</v>
      </c>
      <c r="E1073" s="52" t="s">
        <v>584</v>
      </c>
      <c r="F1073" s="52" t="s">
        <v>581</v>
      </c>
      <c r="G1073" s="55" t="s">
        <v>277</v>
      </c>
      <c r="H1073" s="55">
        <v>3.045185</v>
      </c>
      <c r="I1073" s="55">
        <v>27.829599999999999</v>
      </c>
      <c r="J1073" s="55">
        <v>87.3322</v>
      </c>
      <c r="K1073" s="55">
        <v>30.874790000000001</v>
      </c>
      <c r="L1073" s="55">
        <v>10.291600000000001</v>
      </c>
      <c r="M1073" s="55">
        <v>0</v>
      </c>
      <c r="N1073" s="55">
        <v>0</v>
      </c>
    </row>
    <row r="1074" spans="1:14" hidden="1" x14ac:dyDescent="0.35">
      <c r="A1074" s="52" t="s">
        <v>623</v>
      </c>
      <c r="B1074" s="52" t="s">
        <v>53</v>
      </c>
      <c r="C1074" s="52" t="s">
        <v>175</v>
      </c>
      <c r="D1074" s="52" t="s">
        <v>175</v>
      </c>
      <c r="E1074" s="52" t="s">
        <v>584</v>
      </c>
      <c r="F1074" s="52" t="s">
        <v>581</v>
      </c>
      <c r="G1074" s="55" t="s">
        <v>278</v>
      </c>
      <c r="H1074" s="55"/>
      <c r="I1074" s="55">
        <v>0</v>
      </c>
      <c r="J1074" s="55"/>
      <c r="K1074" s="55"/>
      <c r="L1074" s="55"/>
      <c r="M1074" s="55"/>
      <c r="N1074" s="55"/>
    </row>
    <row r="1075" spans="1:14" hidden="1" x14ac:dyDescent="0.35">
      <c r="A1075" s="52" t="s">
        <v>623</v>
      </c>
      <c r="B1075" s="52" t="s">
        <v>53</v>
      </c>
      <c r="C1075" s="52" t="s">
        <v>175</v>
      </c>
      <c r="D1075" s="52" t="s">
        <v>175</v>
      </c>
      <c r="E1075" s="52" t="s">
        <v>584</v>
      </c>
      <c r="F1075" s="52" t="s">
        <v>581</v>
      </c>
      <c r="G1075" s="55" t="s">
        <v>279</v>
      </c>
      <c r="H1075" s="55">
        <v>84.600099999999998</v>
      </c>
      <c r="I1075" s="55">
        <v>110.7471</v>
      </c>
      <c r="J1075" s="55">
        <v>124.3772</v>
      </c>
      <c r="K1075" s="55">
        <v>135.3545</v>
      </c>
      <c r="L1075" s="55">
        <v>123.30589999999999</v>
      </c>
      <c r="M1075" s="55">
        <v>109.5976</v>
      </c>
      <c r="N1075" s="55">
        <v>99.771029999999996</v>
      </c>
    </row>
    <row r="1076" spans="1:14" hidden="1" x14ac:dyDescent="0.35">
      <c r="A1076" s="52" t="s">
        <v>623</v>
      </c>
      <c r="B1076" s="52" t="s">
        <v>53</v>
      </c>
      <c r="C1076" s="52" t="s">
        <v>175</v>
      </c>
      <c r="D1076" s="52" t="s">
        <v>175</v>
      </c>
      <c r="E1076" s="52" t="s">
        <v>584</v>
      </c>
      <c r="F1076" s="52" t="s">
        <v>26</v>
      </c>
      <c r="G1076" s="55" t="s">
        <v>275</v>
      </c>
      <c r="H1076" s="55">
        <v>-105.7668</v>
      </c>
      <c r="I1076" s="55">
        <v>236.5488</v>
      </c>
      <c r="J1076" s="55">
        <v>175.77520000000001</v>
      </c>
      <c r="K1076" s="55">
        <v>135.48310000000001</v>
      </c>
      <c r="L1076" s="55">
        <v>216.85550000000001</v>
      </c>
      <c r="M1076" s="55">
        <v>364.0523</v>
      </c>
      <c r="N1076" s="55">
        <v>336.07589999999999</v>
      </c>
    </row>
    <row r="1077" spans="1:14" hidden="1" x14ac:dyDescent="0.35">
      <c r="A1077" s="52" t="s">
        <v>623</v>
      </c>
      <c r="B1077" s="52" t="s">
        <v>53</v>
      </c>
      <c r="C1077" s="52" t="s">
        <v>175</v>
      </c>
      <c r="D1077" s="52" t="s">
        <v>175</v>
      </c>
      <c r="E1077" s="52" t="s">
        <v>584</v>
      </c>
      <c r="F1077" s="52" t="s">
        <v>26</v>
      </c>
      <c r="G1077" s="55" t="s">
        <v>276</v>
      </c>
      <c r="H1077" s="55">
        <v>-45.32864</v>
      </c>
      <c r="I1077" s="55">
        <v>101.3781</v>
      </c>
      <c r="J1077" s="55">
        <v>52.73339</v>
      </c>
      <c r="K1077" s="55">
        <v>53.915689999999998</v>
      </c>
      <c r="L1077" s="55">
        <v>85.216350000000006</v>
      </c>
      <c r="M1077" s="55">
        <v>153.90860000000001</v>
      </c>
      <c r="N1077" s="55">
        <v>132.84620000000001</v>
      </c>
    </row>
    <row r="1078" spans="1:14" hidden="1" x14ac:dyDescent="0.35">
      <c r="A1078" s="52" t="s">
        <v>623</v>
      </c>
      <c r="B1078" s="52" t="s">
        <v>53</v>
      </c>
      <c r="C1078" s="52" t="s">
        <v>175</v>
      </c>
      <c r="D1078" s="52" t="s">
        <v>175</v>
      </c>
      <c r="E1078" s="52" t="s">
        <v>584</v>
      </c>
      <c r="F1078" s="52" t="s">
        <v>26</v>
      </c>
      <c r="G1078" s="55" t="s">
        <v>277</v>
      </c>
      <c r="H1078" s="55">
        <v>702.05200000000002</v>
      </c>
      <c r="I1078" s="55">
        <v>369.73559999999998</v>
      </c>
      <c r="J1078" s="55">
        <v>536.31089999999995</v>
      </c>
      <c r="K1078" s="55">
        <v>599.66849999999999</v>
      </c>
      <c r="L1078" s="55">
        <v>499.07859999999999</v>
      </c>
      <c r="M1078" s="55">
        <v>310.28289999999998</v>
      </c>
      <c r="N1078" s="55">
        <v>377.39819999999997</v>
      </c>
    </row>
    <row r="1079" spans="1:14" hidden="1" x14ac:dyDescent="0.35">
      <c r="A1079" s="52" t="s">
        <v>623</v>
      </c>
      <c r="B1079" s="52" t="s">
        <v>53</v>
      </c>
      <c r="C1079" s="52" t="s">
        <v>175</v>
      </c>
      <c r="D1079" s="52" t="s">
        <v>175</v>
      </c>
      <c r="E1079" s="52" t="s">
        <v>584</v>
      </c>
      <c r="F1079" s="52" t="s">
        <v>26</v>
      </c>
      <c r="G1079" s="55" t="s">
        <v>278</v>
      </c>
      <c r="H1079" s="55">
        <v>3.192828</v>
      </c>
      <c r="I1079" s="55">
        <v>3.0050979999999998</v>
      </c>
      <c r="J1079" s="55">
        <v>22.626439999999999</v>
      </c>
      <c r="K1079" s="55">
        <v>4.1761169999999996</v>
      </c>
      <c r="L1079" s="55">
        <v>7.5688240000000002</v>
      </c>
      <c r="M1079" s="55">
        <v>2.0541830000000001</v>
      </c>
      <c r="N1079" s="55">
        <v>9.1244409999999991</v>
      </c>
    </row>
    <row r="1080" spans="1:14" hidden="1" x14ac:dyDescent="0.35">
      <c r="A1080" s="52" t="s">
        <v>623</v>
      </c>
      <c r="B1080" s="52" t="s">
        <v>53</v>
      </c>
      <c r="C1080" s="52" t="s">
        <v>175</v>
      </c>
      <c r="D1080" s="52" t="s">
        <v>175</v>
      </c>
      <c r="E1080" s="52" t="s">
        <v>584</v>
      </c>
      <c r="F1080" s="52" t="s">
        <v>26</v>
      </c>
      <c r="G1080" s="55" t="s">
        <v>279</v>
      </c>
      <c r="H1080" s="55">
        <v>154.73570000000001</v>
      </c>
      <c r="I1080" s="55">
        <v>195.3563</v>
      </c>
      <c r="J1080" s="55">
        <v>220.2645</v>
      </c>
      <c r="K1080" s="55">
        <v>239.6388</v>
      </c>
      <c r="L1080" s="55">
        <v>250.82839999999999</v>
      </c>
      <c r="M1080" s="55">
        <v>256.51830000000001</v>
      </c>
      <c r="N1080" s="55">
        <v>259.464</v>
      </c>
    </row>
    <row r="1081" spans="1:14" hidden="1" x14ac:dyDescent="0.35">
      <c r="A1081" s="52" t="s">
        <v>623</v>
      </c>
      <c r="B1081" s="52" t="s">
        <v>53</v>
      </c>
      <c r="C1081" s="52" t="s">
        <v>624</v>
      </c>
      <c r="D1081" s="52" t="s">
        <v>624</v>
      </c>
      <c r="E1081" s="52" t="s">
        <v>584</v>
      </c>
      <c r="F1081" s="52" t="s">
        <v>26</v>
      </c>
      <c r="G1081" s="55" t="s">
        <v>275</v>
      </c>
      <c r="H1081" s="55">
        <v>651.02890000000002</v>
      </c>
      <c r="I1081" s="55">
        <v>735.86300000000006</v>
      </c>
      <c r="J1081" s="55">
        <v>758.81449999999995</v>
      </c>
      <c r="K1081" s="55">
        <v>767.72580000000005</v>
      </c>
      <c r="L1081" s="55">
        <v>788.35950000000003</v>
      </c>
      <c r="M1081" s="55">
        <v>808.57870000000003</v>
      </c>
      <c r="N1081" s="55">
        <v>827.51660000000004</v>
      </c>
    </row>
    <row r="1082" spans="1:14" hidden="1" x14ac:dyDescent="0.35">
      <c r="A1082" s="52" t="s">
        <v>623</v>
      </c>
      <c r="B1082" s="52" t="s">
        <v>53</v>
      </c>
      <c r="C1082" s="52" t="s">
        <v>624</v>
      </c>
      <c r="D1082" s="52" t="s">
        <v>624</v>
      </c>
      <c r="E1082" s="52" t="s">
        <v>584</v>
      </c>
      <c r="F1082" s="52" t="s">
        <v>26</v>
      </c>
      <c r="G1082" s="55" t="s">
        <v>276</v>
      </c>
      <c r="H1082" s="55">
        <v>279.01240000000001</v>
      </c>
      <c r="I1082" s="55">
        <v>315.36989999999997</v>
      </c>
      <c r="J1082" s="55">
        <v>325.20620000000002</v>
      </c>
      <c r="K1082" s="55">
        <v>329.02539999999999</v>
      </c>
      <c r="L1082" s="55">
        <v>337.86829999999998</v>
      </c>
      <c r="M1082" s="55">
        <v>346.53379999999999</v>
      </c>
      <c r="N1082" s="55">
        <v>354.65</v>
      </c>
    </row>
    <row r="1083" spans="1:14" hidden="1" x14ac:dyDescent="0.35">
      <c r="A1083" s="52" t="s">
        <v>623</v>
      </c>
      <c r="B1083" s="52" t="s">
        <v>53</v>
      </c>
      <c r="C1083" s="52" t="s">
        <v>624</v>
      </c>
      <c r="D1083" s="52" t="s">
        <v>624</v>
      </c>
      <c r="E1083" s="52" t="s">
        <v>584</v>
      </c>
      <c r="F1083" s="52" t="s">
        <v>26</v>
      </c>
      <c r="G1083" s="55" t="s">
        <v>277</v>
      </c>
      <c r="H1083" s="55">
        <v>435.71499999999997</v>
      </c>
      <c r="I1083" s="55">
        <v>0</v>
      </c>
      <c r="J1083" s="55"/>
      <c r="K1083" s="55"/>
      <c r="L1083" s="55"/>
      <c r="M1083" s="55"/>
      <c r="N1083" s="55"/>
    </row>
    <row r="1084" spans="1:14" hidden="1" x14ac:dyDescent="0.35">
      <c r="A1084" s="52" t="s">
        <v>623</v>
      </c>
      <c r="B1084" s="52" t="s">
        <v>53</v>
      </c>
      <c r="C1084" s="52" t="s">
        <v>624</v>
      </c>
      <c r="D1084" s="52" t="s">
        <v>624</v>
      </c>
      <c r="E1084" s="52" t="s">
        <v>584</v>
      </c>
      <c r="F1084" s="52" t="s">
        <v>26</v>
      </c>
      <c r="G1084" s="55" t="s">
        <v>279</v>
      </c>
      <c r="H1084" s="55">
        <v>186.05269999999999</v>
      </c>
      <c r="I1084" s="55">
        <v>208.02199999999999</v>
      </c>
      <c r="J1084" s="55">
        <v>216.4177</v>
      </c>
      <c r="K1084" s="55">
        <v>236.00120000000001</v>
      </c>
      <c r="L1084" s="55">
        <v>241.9804</v>
      </c>
      <c r="M1084" s="55">
        <v>248.01169999999999</v>
      </c>
      <c r="N1084" s="55">
        <v>253.72640000000001</v>
      </c>
    </row>
    <row r="1085" spans="1:14" hidden="1" x14ac:dyDescent="0.35">
      <c r="A1085" s="52" t="s">
        <v>623</v>
      </c>
      <c r="B1085" s="52" t="s">
        <v>53</v>
      </c>
      <c r="C1085" s="52" t="s">
        <v>52</v>
      </c>
      <c r="D1085" s="52" t="s">
        <v>52</v>
      </c>
      <c r="E1085" s="52" t="s">
        <v>584</v>
      </c>
      <c r="F1085" s="52" t="s">
        <v>581</v>
      </c>
      <c r="G1085" s="55" t="s">
        <v>275</v>
      </c>
      <c r="H1085" s="55">
        <v>67.636060000000001</v>
      </c>
      <c r="I1085" s="55">
        <v>11.434150000000001</v>
      </c>
      <c r="J1085" s="55">
        <v>11.55166</v>
      </c>
      <c r="K1085" s="55">
        <v>13.95407</v>
      </c>
      <c r="L1085" s="55">
        <v>10.797700000000001</v>
      </c>
      <c r="M1085" s="55">
        <v>8.0369550000000007</v>
      </c>
      <c r="N1085" s="55">
        <v>-16.248180000000001</v>
      </c>
    </row>
    <row r="1086" spans="1:14" hidden="1" x14ac:dyDescent="0.35">
      <c r="A1086" s="52" t="s">
        <v>623</v>
      </c>
      <c r="B1086" s="52" t="s">
        <v>53</v>
      </c>
      <c r="C1086" s="52" t="s">
        <v>52</v>
      </c>
      <c r="D1086" s="52" t="s">
        <v>52</v>
      </c>
      <c r="E1086" s="52" t="s">
        <v>584</v>
      </c>
      <c r="F1086" s="52" t="s">
        <v>581</v>
      </c>
      <c r="G1086" s="55" t="s">
        <v>276</v>
      </c>
      <c r="H1086" s="55">
        <v>59.963239999999999</v>
      </c>
      <c r="I1086" s="55">
        <v>2.7599740000000001</v>
      </c>
      <c r="J1086" s="55">
        <v>11.474209999999999</v>
      </c>
      <c r="K1086" s="55">
        <v>21.43243</v>
      </c>
      <c r="L1086" s="55">
        <v>10.32769</v>
      </c>
      <c r="M1086" s="55">
        <v>3.2487689999999998</v>
      </c>
      <c r="N1086" s="55">
        <v>-16.647570000000002</v>
      </c>
    </row>
    <row r="1087" spans="1:14" hidden="1" x14ac:dyDescent="0.35">
      <c r="A1087" s="52" t="s">
        <v>623</v>
      </c>
      <c r="B1087" s="52" t="s">
        <v>53</v>
      </c>
      <c r="C1087" s="52" t="s">
        <v>52</v>
      </c>
      <c r="D1087" s="52" t="s">
        <v>52</v>
      </c>
      <c r="E1087" s="52" t="s">
        <v>584</v>
      </c>
      <c r="F1087" s="52" t="s">
        <v>581</v>
      </c>
      <c r="G1087" s="55" t="s">
        <v>277</v>
      </c>
      <c r="H1087" s="55">
        <v>8.0036620000000003</v>
      </c>
      <c r="I1087" s="55">
        <v>16.612629999999999</v>
      </c>
      <c r="J1087" s="55">
        <v>18.681509999999999</v>
      </c>
      <c r="K1087" s="55">
        <v>14.4678</v>
      </c>
      <c r="L1087" s="55">
        <v>8.6926349999999992</v>
      </c>
      <c r="M1087" s="55">
        <v>4.1860889999999999</v>
      </c>
      <c r="N1087" s="55">
        <v>1.5374270000000001</v>
      </c>
    </row>
    <row r="1088" spans="1:14" hidden="1" x14ac:dyDescent="0.35">
      <c r="A1088" s="52" t="s">
        <v>623</v>
      </c>
      <c r="B1088" s="52" t="s">
        <v>53</v>
      </c>
      <c r="C1088" s="52" t="s">
        <v>52</v>
      </c>
      <c r="D1088" s="52" t="s">
        <v>52</v>
      </c>
      <c r="E1088" s="52" t="s">
        <v>584</v>
      </c>
      <c r="F1088" s="52" t="s">
        <v>581</v>
      </c>
      <c r="G1088" s="55" t="s">
        <v>279</v>
      </c>
      <c r="H1088" s="55">
        <v>34.236609999999999</v>
      </c>
      <c r="I1088" s="55">
        <v>27.465479999999999</v>
      </c>
      <c r="J1088" s="55">
        <v>30.580559999999998</v>
      </c>
      <c r="K1088" s="55">
        <v>35.25582</v>
      </c>
      <c r="L1088" s="55">
        <v>31.938590000000001</v>
      </c>
      <c r="M1088" s="55">
        <v>29.76651</v>
      </c>
      <c r="N1088" s="55">
        <v>59.591639999999998</v>
      </c>
    </row>
    <row r="1089" spans="1:14" hidden="1" x14ac:dyDescent="0.35">
      <c r="A1089" s="52" t="s">
        <v>623</v>
      </c>
      <c r="B1089" s="52" t="s">
        <v>53</v>
      </c>
      <c r="C1089" s="52" t="s">
        <v>52</v>
      </c>
      <c r="D1089" s="52" t="s">
        <v>52</v>
      </c>
      <c r="E1089" s="52" t="s">
        <v>584</v>
      </c>
      <c r="F1089" s="52" t="s">
        <v>26</v>
      </c>
      <c r="G1089" s="55" t="s">
        <v>275</v>
      </c>
      <c r="H1089" s="55">
        <v>-9.2295999999999993E-3</v>
      </c>
      <c r="I1089" s="55">
        <v>-9.2293989999999992E-3</v>
      </c>
      <c r="J1089" s="55">
        <v>0</v>
      </c>
      <c r="K1089" s="55">
        <v>0</v>
      </c>
      <c r="L1089" s="55">
        <v>0</v>
      </c>
      <c r="M1089" s="55">
        <v>0</v>
      </c>
      <c r="N1089" s="55">
        <v>0</v>
      </c>
    </row>
    <row r="1090" spans="1:14" hidden="1" x14ac:dyDescent="0.35">
      <c r="A1090" s="52" t="s">
        <v>623</v>
      </c>
      <c r="B1090" s="52" t="s">
        <v>53</v>
      </c>
      <c r="C1090" s="52" t="s">
        <v>52</v>
      </c>
      <c r="D1090" s="52" t="s">
        <v>52</v>
      </c>
      <c r="E1090" s="52" t="s">
        <v>584</v>
      </c>
      <c r="F1090" s="52" t="s">
        <v>26</v>
      </c>
      <c r="G1090" s="55" t="s">
        <v>276</v>
      </c>
      <c r="H1090" s="55">
        <v>-3.9554000000000004E-3</v>
      </c>
      <c r="I1090" s="55">
        <v>-3.9556000000000001E-3</v>
      </c>
      <c r="J1090" s="55">
        <v>-1.31848E-2</v>
      </c>
      <c r="K1090" s="55">
        <v>-1.31848E-2</v>
      </c>
      <c r="L1090" s="55">
        <v>-1.3185000000000001E-2</v>
      </c>
      <c r="M1090" s="55">
        <v>-1.3185199999999999E-2</v>
      </c>
      <c r="N1090" s="55">
        <v>-1.31848E-2</v>
      </c>
    </row>
    <row r="1091" spans="1:14" hidden="1" x14ac:dyDescent="0.35">
      <c r="A1091" s="52" t="s">
        <v>623</v>
      </c>
      <c r="B1091" s="52" t="s">
        <v>53</v>
      </c>
      <c r="C1091" s="52" t="s">
        <v>52</v>
      </c>
      <c r="D1091" s="52" t="s">
        <v>52</v>
      </c>
      <c r="E1091" s="52" t="s">
        <v>584</v>
      </c>
      <c r="F1091" s="52" t="s">
        <v>26</v>
      </c>
      <c r="G1091" s="55" t="s">
        <v>277</v>
      </c>
      <c r="H1091" s="55"/>
      <c r="I1091" s="55"/>
      <c r="J1091" s="55"/>
      <c r="K1091" s="55"/>
      <c r="L1091" s="55"/>
      <c r="M1091" s="55"/>
      <c r="N1091" s="55">
        <v>0</v>
      </c>
    </row>
    <row r="1092" spans="1:14" hidden="1" x14ac:dyDescent="0.35">
      <c r="A1092" s="52" t="s">
        <v>623</v>
      </c>
      <c r="B1092" s="52" t="s">
        <v>53</v>
      </c>
      <c r="C1092" s="52" t="s">
        <v>52</v>
      </c>
      <c r="D1092" s="52" t="s">
        <v>52</v>
      </c>
      <c r="E1092" s="52" t="s">
        <v>584</v>
      </c>
      <c r="F1092" s="52" t="s">
        <v>26</v>
      </c>
      <c r="G1092" s="55" t="s">
        <v>278</v>
      </c>
      <c r="H1092" s="55">
        <v>1.3185000000000001E-2</v>
      </c>
      <c r="I1092" s="55">
        <v>1.3185000000000001E-2</v>
      </c>
      <c r="J1092" s="55">
        <v>1.3185000000000001E-2</v>
      </c>
      <c r="K1092" s="55">
        <v>1.3185000000000001E-2</v>
      </c>
      <c r="L1092" s="55">
        <v>1.3185000000000001E-2</v>
      </c>
      <c r="M1092" s="55">
        <v>1.3185000000000001E-2</v>
      </c>
      <c r="N1092" s="55">
        <v>1.3185000000000001E-2</v>
      </c>
    </row>
    <row r="1093" spans="1:14" hidden="1" x14ac:dyDescent="0.35">
      <c r="A1093" s="52" t="s">
        <v>623</v>
      </c>
      <c r="B1093" s="52" t="s">
        <v>53</v>
      </c>
      <c r="C1093" s="52" t="s">
        <v>219</v>
      </c>
      <c r="D1093" s="52" t="s">
        <v>219</v>
      </c>
      <c r="E1093" s="52" t="s">
        <v>584</v>
      </c>
      <c r="F1093" s="52" t="s">
        <v>26</v>
      </c>
      <c r="G1093" s="55" t="s">
        <v>275</v>
      </c>
      <c r="H1093" s="55">
        <v>41.263109999999998</v>
      </c>
      <c r="I1093" s="55">
        <v>10.997120000000001</v>
      </c>
      <c r="J1093" s="55">
        <v>7.9206560000000001</v>
      </c>
      <c r="K1093" s="55">
        <v>1.42743</v>
      </c>
      <c r="L1093" s="55">
        <v>-0.69096639999999998</v>
      </c>
      <c r="M1093" s="55">
        <v>-0.99018229999999996</v>
      </c>
      <c r="N1093" s="55">
        <v>-0.31559939999999997</v>
      </c>
    </row>
    <row r="1094" spans="1:14" hidden="1" x14ac:dyDescent="0.35">
      <c r="A1094" s="52" t="s">
        <v>623</v>
      </c>
      <c r="B1094" s="52" t="s">
        <v>53</v>
      </c>
      <c r="C1094" s="52" t="s">
        <v>219</v>
      </c>
      <c r="D1094" s="52" t="s">
        <v>219</v>
      </c>
      <c r="E1094" s="52" t="s">
        <v>584</v>
      </c>
      <c r="F1094" s="52" t="s">
        <v>26</v>
      </c>
      <c r="G1094" s="55" t="s">
        <v>276</v>
      </c>
      <c r="H1094" s="55">
        <v>32.421019999999999</v>
      </c>
      <c r="I1094" s="55">
        <v>8.6405969999999996</v>
      </c>
      <c r="J1094" s="55">
        <v>6.2233720000000003</v>
      </c>
      <c r="K1094" s="55">
        <v>1.1215520000000001</v>
      </c>
      <c r="L1094" s="55">
        <v>-0.5429022</v>
      </c>
      <c r="M1094" s="55">
        <v>-0.77800049999999998</v>
      </c>
      <c r="N1094" s="55">
        <v>-0.24797089999999999</v>
      </c>
    </row>
    <row r="1095" spans="1:14" hidden="1" x14ac:dyDescent="0.35">
      <c r="A1095" s="52" t="s">
        <v>623</v>
      </c>
      <c r="B1095" s="52" t="s">
        <v>53</v>
      </c>
      <c r="C1095" s="52" t="s">
        <v>219</v>
      </c>
      <c r="D1095" s="52" t="s">
        <v>219</v>
      </c>
      <c r="E1095" s="52" t="s">
        <v>584</v>
      </c>
      <c r="F1095" s="52" t="s">
        <v>26</v>
      </c>
      <c r="G1095" s="55" t="s">
        <v>277</v>
      </c>
      <c r="H1095" s="55">
        <v>0.62757459999999998</v>
      </c>
      <c r="I1095" s="55">
        <v>0.71468929999999997</v>
      </c>
      <c r="J1095" s="55">
        <v>0.7769064</v>
      </c>
      <c r="K1095" s="55">
        <v>1.1103270000000001</v>
      </c>
      <c r="L1095" s="55">
        <v>1.4459420000000001</v>
      </c>
      <c r="M1095" s="55">
        <v>1.7681830000000001</v>
      </c>
      <c r="N1095" s="55">
        <v>1.961463</v>
      </c>
    </row>
    <row r="1096" spans="1:14" hidden="1" x14ac:dyDescent="0.35">
      <c r="A1096" s="52" t="s">
        <v>623</v>
      </c>
      <c r="B1096" s="52" t="s">
        <v>53</v>
      </c>
      <c r="C1096" s="52" t="s">
        <v>219</v>
      </c>
      <c r="D1096" s="52" t="s">
        <v>219</v>
      </c>
      <c r="E1096" s="52" t="s">
        <v>584</v>
      </c>
      <c r="F1096" s="52" t="s">
        <v>26</v>
      </c>
      <c r="G1096" s="55" t="s">
        <v>279</v>
      </c>
      <c r="H1096" s="55">
        <v>16.870259999999998</v>
      </c>
      <c r="I1096" s="55">
        <v>6.9423550000000001</v>
      </c>
      <c r="J1096" s="55">
        <v>5.358333</v>
      </c>
      <c r="K1096" s="55">
        <v>2.020032</v>
      </c>
      <c r="L1096" s="55">
        <v>0.16705999999999999</v>
      </c>
      <c r="M1096" s="55">
        <v>0</v>
      </c>
      <c r="N1096" s="55">
        <v>1.061582</v>
      </c>
    </row>
    <row r="1097" spans="1:14" hidden="1" x14ac:dyDescent="0.35">
      <c r="A1097" s="52" t="s">
        <v>623</v>
      </c>
      <c r="B1097" s="52" t="s">
        <v>53</v>
      </c>
      <c r="C1097" s="52" t="s">
        <v>181</v>
      </c>
      <c r="D1097" s="52" t="s">
        <v>181</v>
      </c>
      <c r="E1097" s="52" t="s">
        <v>584</v>
      </c>
      <c r="F1097" s="52" t="s">
        <v>581</v>
      </c>
      <c r="G1097" s="55" t="s">
        <v>275</v>
      </c>
      <c r="H1097" s="55">
        <v>1.7992270000000001E-2</v>
      </c>
      <c r="I1097" s="55">
        <v>5.9214230000000003E-3</v>
      </c>
      <c r="J1097" s="55">
        <v>4.1710519999999997E-3</v>
      </c>
      <c r="K1097" s="55">
        <v>2.8429499999999999E-3</v>
      </c>
      <c r="L1097" s="55">
        <v>2.0161950000000001E-3</v>
      </c>
      <c r="M1097" s="55">
        <v>1.500457E-3</v>
      </c>
      <c r="N1097" s="55">
        <v>4.8433450000000001E-4</v>
      </c>
    </row>
    <row r="1098" spans="1:14" hidden="1" x14ac:dyDescent="0.35">
      <c r="A1098" s="52" t="s">
        <v>623</v>
      </c>
      <c r="B1098" s="52" t="s">
        <v>53</v>
      </c>
      <c r="C1098" s="52" t="s">
        <v>181</v>
      </c>
      <c r="D1098" s="52" t="s">
        <v>181</v>
      </c>
      <c r="E1098" s="52" t="s">
        <v>584</v>
      </c>
      <c r="F1098" s="52" t="s">
        <v>581</v>
      </c>
      <c r="G1098" s="55" t="s">
        <v>276</v>
      </c>
      <c r="H1098" s="55">
        <v>9.6553549999999991E-3</v>
      </c>
      <c r="I1098" s="55">
        <v>2.6390900000000002E-3</v>
      </c>
      <c r="J1098" s="55">
        <v>1.5079469999999999E-3</v>
      </c>
      <c r="K1098" s="55">
        <v>7.4215220000000001E-4</v>
      </c>
      <c r="L1098" s="55">
        <v>2.2313880000000001E-4</v>
      </c>
      <c r="M1098" s="55">
        <v>-1.375669E-4</v>
      </c>
      <c r="N1098" s="55">
        <v>2.3394750000000001E-4</v>
      </c>
    </row>
    <row r="1099" spans="1:14" hidden="1" x14ac:dyDescent="0.35">
      <c r="A1099" s="52" t="s">
        <v>623</v>
      </c>
      <c r="B1099" s="52" t="s">
        <v>53</v>
      </c>
      <c r="C1099" s="52" t="s">
        <v>181</v>
      </c>
      <c r="D1099" s="52" t="s">
        <v>181</v>
      </c>
      <c r="E1099" s="52" t="s">
        <v>584</v>
      </c>
      <c r="F1099" s="52" t="s">
        <v>581</v>
      </c>
      <c r="G1099" s="55" t="s">
        <v>277</v>
      </c>
      <c r="H1099" s="55">
        <v>0</v>
      </c>
      <c r="I1099" s="55">
        <v>4.5535479999999999E-4</v>
      </c>
      <c r="J1099" s="55">
        <v>4.1616359999999998E-4</v>
      </c>
      <c r="K1099" s="55">
        <v>5.3045689999999999E-4</v>
      </c>
      <c r="L1099" s="55">
        <v>5.5972309999999996E-4</v>
      </c>
      <c r="M1099" s="55">
        <v>5.3167679999999997E-4</v>
      </c>
      <c r="N1099" s="55">
        <v>5.5468010000000003E-4</v>
      </c>
    </row>
    <row r="1100" spans="1:14" hidden="1" x14ac:dyDescent="0.35">
      <c r="A1100" s="52" t="s">
        <v>623</v>
      </c>
      <c r="B1100" s="52" t="s">
        <v>53</v>
      </c>
      <c r="C1100" s="52" t="s">
        <v>181</v>
      </c>
      <c r="D1100" s="52" t="s">
        <v>181</v>
      </c>
      <c r="E1100" s="52" t="s">
        <v>584</v>
      </c>
      <c r="F1100" s="52" t="s">
        <v>581</v>
      </c>
      <c r="G1100" s="55" t="s">
        <v>278</v>
      </c>
      <c r="H1100" s="55">
        <v>1.3238679999999999E-4</v>
      </c>
      <c r="I1100" s="55">
        <v>1.3561339999999999E-5</v>
      </c>
      <c r="J1100" s="55">
        <v>1.3561339999999999E-5</v>
      </c>
      <c r="K1100" s="55">
        <v>1.3561339999999999E-5</v>
      </c>
      <c r="L1100" s="55">
        <v>1.3561339999999999E-5</v>
      </c>
      <c r="M1100" s="55">
        <v>1.3561339999999999E-5</v>
      </c>
      <c r="N1100" s="55">
        <v>1.3561339999999999E-5</v>
      </c>
    </row>
    <row r="1101" spans="1:14" hidden="1" x14ac:dyDescent="0.35">
      <c r="A1101" s="52" t="s">
        <v>623</v>
      </c>
      <c r="B1101" s="52" t="s">
        <v>53</v>
      </c>
      <c r="C1101" s="52" t="s">
        <v>181</v>
      </c>
      <c r="D1101" s="52" t="s">
        <v>181</v>
      </c>
      <c r="E1101" s="52" t="s">
        <v>584</v>
      </c>
      <c r="F1101" s="52" t="s">
        <v>581</v>
      </c>
      <c r="G1101" s="55" t="s">
        <v>279</v>
      </c>
      <c r="H1101" s="55">
        <v>2.3807670000000002E-3</v>
      </c>
      <c r="I1101" s="55">
        <v>1.462257E-3</v>
      </c>
      <c r="J1101" s="55">
        <v>1.035991E-3</v>
      </c>
      <c r="K1101" s="55">
        <v>7.8018860000000001E-4</v>
      </c>
      <c r="L1101" s="55">
        <v>5.6056740000000002E-4</v>
      </c>
      <c r="M1101" s="55">
        <v>4.0966899999999998E-4</v>
      </c>
      <c r="N1101" s="55">
        <v>3.0599190000000001E-4</v>
      </c>
    </row>
    <row r="1102" spans="1:14" hidden="1" x14ac:dyDescent="0.35">
      <c r="A1102" s="52" t="s">
        <v>623</v>
      </c>
      <c r="B1102" s="52" t="s">
        <v>53</v>
      </c>
      <c r="C1102" s="52" t="s">
        <v>181</v>
      </c>
      <c r="D1102" s="52" t="s">
        <v>181</v>
      </c>
      <c r="E1102" s="52" t="s">
        <v>584</v>
      </c>
      <c r="F1102" s="52" t="s">
        <v>26</v>
      </c>
      <c r="G1102" s="55" t="s">
        <v>275</v>
      </c>
      <c r="H1102" s="55">
        <v>-3.0125740000000001E-4</v>
      </c>
      <c r="I1102" s="55">
        <v>2.9698300000000001E-4</v>
      </c>
      <c r="J1102" s="55">
        <v>0</v>
      </c>
      <c r="K1102" s="55">
        <v>0</v>
      </c>
      <c r="L1102" s="55">
        <v>0</v>
      </c>
      <c r="M1102" s="55">
        <v>0</v>
      </c>
      <c r="N1102" s="55">
        <v>0</v>
      </c>
    </row>
    <row r="1103" spans="1:14" hidden="1" x14ac:dyDescent="0.35">
      <c r="A1103" s="52" t="s">
        <v>623</v>
      </c>
      <c r="B1103" s="52" t="s">
        <v>53</v>
      </c>
      <c r="C1103" s="52" t="s">
        <v>181</v>
      </c>
      <c r="D1103" s="52" t="s">
        <v>181</v>
      </c>
      <c r="E1103" s="52" t="s">
        <v>584</v>
      </c>
      <c r="F1103" s="52" t="s">
        <v>26</v>
      </c>
      <c r="G1103" s="55" t="s">
        <v>276</v>
      </c>
      <c r="H1103" s="55">
        <v>-6.553711E-4</v>
      </c>
      <c r="I1103" s="55">
        <v>-3.83941E-4</v>
      </c>
      <c r="J1103" s="55">
        <v>-6.5754219999999996E-4</v>
      </c>
      <c r="K1103" s="55">
        <v>-8.6959580000000005E-5</v>
      </c>
      <c r="L1103" s="55">
        <v>-1.8323429999999999E-4</v>
      </c>
      <c r="M1103" s="55">
        <v>-1.333486E-4</v>
      </c>
      <c r="N1103" s="55">
        <v>-8.6959580000000005E-5</v>
      </c>
    </row>
    <row r="1104" spans="1:14" hidden="1" x14ac:dyDescent="0.35">
      <c r="A1104" s="52" t="s">
        <v>623</v>
      </c>
      <c r="B1104" s="52" t="s">
        <v>53</v>
      </c>
      <c r="C1104" s="52" t="s">
        <v>181</v>
      </c>
      <c r="D1104" s="52" t="s">
        <v>181</v>
      </c>
      <c r="E1104" s="52" t="s">
        <v>584</v>
      </c>
      <c r="F1104" s="52" t="s">
        <v>26</v>
      </c>
      <c r="G1104" s="55" t="s">
        <v>278</v>
      </c>
      <c r="H1104" s="55">
        <v>8.6958800000000005E-5</v>
      </c>
      <c r="I1104" s="55">
        <v>8.6958810000000006E-5</v>
      </c>
      <c r="J1104" s="55">
        <v>6.5754300000000002E-4</v>
      </c>
      <c r="K1104" s="55">
        <v>8.6958800000000005E-5</v>
      </c>
      <c r="L1104" s="55">
        <v>1.832328E-4</v>
      </c>
      <c r="M1104" s="55">
        <v>1.333494E-4</v>
      </c>
      <c r="N1104" s="55">
        <v>8.6958810000000006E-5</v>
      </c>
    </row>
    <row r="1105" spans="1:14" hidden="1" x14ac:dyDescent="0.35">
      <c r="A1105" s="52" t="s">
        <v>623</v>
      </c>
      <c r="B1105" s="52" t="s">
        <v>53</v>
      </c>
      <c r="C1105" s="52" t="s">
        <v>181</v>
      </c>
      <c r="D1105" s="52" t="s">
        <v>181</v>
      </c>
      <c r="E1105" s="52" t="s">
        <v>584</v>
      </c>
      <c r="F1105" s="52" t="s">
        <v>26</v>
      </c>
      <c r="G1105" s="55" t="s">
        <v>279</v>
      </c>
      <c r="H1105" s="55">
        <v>8.6967100000000003E-4</v>
      </c>
      <c r="I1105" s="55">
        <v>0</v>
      </c>
      <c r="J1105" s="55"/>
      <c r="K1105" s="55"/>
      <c r="L1105" s="55"/>
      <c r="M1105" s="55"/>
      <c r="N1105" s="55">
        <v>0</v>
      </c>
    </row>
    <row r="1106" spans="1:14" hidden="1" x14ac:dyDescent="0.35">
      <c r="A1106" s="52" t="s">
        <v>623</v>
      </c>
      <c r="B1106" s="52" t="s">
        <v>53</v>
      </c>
      <c r="C1106" s="52" t="s">
        <v>820</v>
      </c>
      <c r="D1106" s="52" t="s">
        <v>820</v>
      </c>
      <c r="E1106" s="52" t="s">
        <v>584</v>
      </c>
      <c r="F1106" s="52" t="s">
        <v>26</v>
      </c>
      <c r="G1106" s="55" t="s">
        <v>275</v>
      </c>
      <c r="H1106" s="55">
        <v>-4.5532089999999998</v>
      </c>
      <c r="I1106" s="55">
        <v>-4.5532089999999998</v>
      </c>
      <c r="J1106" s="55">
        <v>0</v>
      </c>
      <c r="K1106" s="55">
        <v>0</v>
      </c>
      <c r="L1106" s="55">
        <v>0</v>
      </c>
      <c r="M1106" s="55">
        <v>0</v>
      </c>
      <c r="N1106" s="55">
        <v>0</v>
      </c>
    </row>
    <row r="1107" spans="1:14" hidden="1" x14ac:dyDescent="0.35">
      <c r="A1107" s="52" t="s">
        <v>623</v>
      </c>
      <c r="B1107" s="52" t="s">
        <v>53</v>
      </c>
      <c r="C1107" s="52" t="s">
        <v>820</v>
      </c>
      <c r="D1107" s="52" t="s">
        <v>820</v>
      </c>
      <c r="E1107" s="52" t="s">
        <v>584</v>
      </c>
      <c r="F1107" s="52" t="s">
        <v>26</v>
      </c>
      <c r="G1107" s="55" t="s">
        <v>276</v>
      </c>
      <c r="H1107" s="55">
        <v>-1.9513750000000001</v>
      </c>
      <c r="I1107" s="55">
        <v>-1.9513750000000001</v>
      </c>
      <c r="J1107" s="55">
        <v>-6.5045840000000004</v>
      </c>
      <c r="K1107" s="55">
        <v>-20.027660000000001</v>
      </c>
      <c r="L1107" s="55">
        <v>-3.0885479999999998</v>
      </c>
      <c r="M1107" s="55">
        <v>-0.24079300000000001</v>
      </c>
      <c r="N1107" s="55">
        <v>-0.274669</v>
      </c>
    </row>
    <row r="1108" spans="1:14" hidden="1" x14ac:dyDescent="0.35">
      <c r="A1108" s="52" t="s">
        <v>623</v>
      </c>
      <c r="B1108" s="52" t="s">
        <v>53</v>
      </c>
      <c r="C1108" s="52" t="s">
        <v>820</v>
      </c>
      <c r="D1108" s="52" t="s">
        <v>820</v>
      </c>
      <c r="E1108" s="52" t="s">
        <v>584</v>
      </c>
      <c r="F1108" s="52" t="s">
        <v>26</v>
      </c>
      <c r="G1108" s="55" t="s">
        <v>277</v>
      </c>
      <c r="H1108" s="55"/>
      <c r="I1108" s="55"/>
      <c r="J1108" s="55"/>
      <c r="K1108" s="55"/>
      <c r="L1108" s="55"/>
      <c r="M1108" s="55">
        <v>0</v>
      </c>
      <c r="N1108" s="55">
        <v>3.3874000000000001E-2</v>
      </c>
    </row>
    <row r="1109" spans="1:14" hidden="1" x14ac:dyDescent="0.35">
      <c r="A1109" s="52" t="s">
        <v>623</v>
      </c>
      <c r="B1109" s="52" t="s">
        <v>53</v>
      </c>
      <c r="C1109" s="52" t="s">
        <v>820</v>
      </c>
      <c r="D1109" s="52" t="s">
        <v>820</v>
      </c>
      <c r="E1109" s="52" t="s">
        <v>584</v>
      </c>
      <c r="F1109" s="52" t="s">
        <v>26</v>
      </c>
      <c r="G1109" s="55" t="s">
        <v>278</v>
      </c>
      <c r="H1109" s="55">
        <v>6.5045840000000004</v>
      </c>
      <c r="I1109" s="55">
        <v>6.5045840000000004</v>
      </c>
      <c r="J1109" s="55">
        <v>6.5045840000000004</v>
      </c>
      <c r="K1109" s="55">
        <v>20.027660000000001</v>
      </c>
      <c r="L1109" s="55">
        <v>3.0885479999999998</v>
      </c>
      <c r="M1109" s="55">
        <v>0.24079400000000001</v>
      </c>
      <c r="N1109" s="55">
        <v>0.24079400000000001</v>
      </c>
    </row>
    <row r="1110" spans="1:14" hidden="1" x14ac:dyDescent="0.35">
      <c r="A1110" s="52" t="s">
        <v>623</v>
      </c>
      <c r="B1110" s="52" t="s">
        <v>53</v>
      </c>
      <c r="C1110" s="52" t="s">
        <v>214</v>
      </c>
      <c r="D1110" s="52" t="s">
        <v>214</v>
      </c>
      <c r="E1110" s="52" t="s">
        <v>584</v>
      </c>
      <c r="F1110" s="52" t="s">
        <v>26</v>
      </c>
      <c r="G1110" s="55" t="s">
        <v>275</v>
      </c>
      <c r="H1110" s="55">
        <v>-3.7956080000000001</v>
      </c>
      <c r="I1110" s="55">
        <v>-3.7956080000000001</v>
      </c>
      <c r="J1110" s="55">
        <v>0</v>
      </c>
      <c r="K1110" s="55">
        <v>0</v>
      </c>
      <c r="L1110" s="55">
        <v>0</v>
      </c>
      <c r="M1110" s="55">
        <v>0</v>
      </c>
      <c r="N1110" s="55">
        <v>0</v>
      </c>
    </row>
    <row r="1111" spans="1:14" hidden="1" x14ac:dyDescent="0.35">
      <c r="A1111" s="52" t="s">
        <v>623</v>
      </c>
      <c r="B1111" s="52" t="s">
        <v>53</v>
      </c>
      <c r="C1111" s="52" t="s">
        <v>214</v>
      </c>
      <c r="D1111" s="52" t="s">
        <v>214</v>
      </c>
      <c r="E1111" s="52" t="s">
        <v>584</v>
      </c>
      <c r="F1111" s="52" t="s">
        <v>26</v>
      </c>
      <c r="G1111" s="55" t="s">
        <v>276</v>
      </c>
      <c r="H1111" s="55">
        <v>-1.62669</v>
      </c>
      <c r="I1111" s="55">
        <v>-1.6266890000000001</v>
      </c>
      <c r="J1111" s="55">
        <v>-5.4222970000000004</v>
      </c>
      <c r="K1111" s="55">
        <v>-18.94537</v>
      </c>
      <c r="L1111" s="55">
        <v>-3.0689229999999998</v>
      </c>
      <c r="M1111" s="55">
        <v>-0.221169</v>
      </c>
      <c r="N1111" s="55">
        <v>-0.25504300000000002</v>
      </c>
    </row>
    <row r="1112" spans="1:14" hidden="1" x14ac:dyDescent="0.35">
      <c r="A1112" s="52" t="s">
        <v>623</v>
      </c>
      <c r="B1112" s="52" t="s">
        <v>53</v>
      </c>
      <c r="C1112" s="52" t="s">
        <v>214</v>
      </c>
      <c r="D1112" s="52" t="s">
        <v>214</v>
      </c>
      <c r="E1112" s="52" t="s">
        <v>584</v>
      </c>
      <c r="F1112" s="52" t="s">
        <v>26</v>
      </c>
      <c r="G1112" s="55" t="s">
        <v>277</v>
      </c>
      <c r="H1112" s="55"/>
      <c r="I1112" s="55"/>
      <c r="J1112" s="55"/>
      <c r="K1112" s="55"/>
      <c r="L1112" s="55"/>
      <c r="M1112" s="55">
        <v>0</v>
      </c>
      <c r="N1112" s="55">
        <v>3.3874000000000001E-2</v>
      </c>
    </row>
    <row r="1113" spans="1:14" hidden="1" x14ac:dyDescent="0.35">
      <c r="A1113" s="52" t="s">
        <v>623</v>
      </c>
      <c r="B1113" s="52" t="s">
        <v>53</v>
      </c>
      <c r="C1113" s="52" t="s">
        <v>214</v>
      </c>
      <c r="D1113" s="52" t="s">
        <v>214</v>
      </c>
      <c r="E1113" s="52" t="s">
        <v>584</v>
      </c>
      <c r="F1113" s="52" t="s">
        <v>26</v>
      </c>
      <c r="G1113" s="55" t="s">
        <v>278</v>
      </c>
      <c r="H1113" s="55">
        <v>5.4222979999999996</v>
      </c>
      <c r="I1113" s="55">
        <v>5.4222970000000004</v>
      </c>
      <c r="J1113" s="55">
        <v>5.4222970000000004</v>
      </c>
      <c r="K1113" s="55">
        <v>18.94537</v>
      </c>
      <c r="L1113" s="55">
        <v>3.0689229999999998</v>
      </c>
      <c r="M1113" s="55">
        <v>0.221169</v>
      </c>
      <c r="N1113" s="55">
        <v>0.221169</v>
      </c>
    </row>
    <row r="1114" spans="1:14" hidden="1" x14ac:dyDescent="0.35">
      <c r="A1114" s="52" t="s">
        <v>623</v>
      </c>
      <c r="B1114" s="52" t="s">
        <v>32</v>
      </c>
      <c r="C1114" s="52" t="s">
        <v>30</v>
      </c>
      <c r="D1114" s="52" t="s">
        <v>30</v>
      </c>
      <c r="E1114" s="52" t="s">
        <v>584</v>
      </c>
      <c r="F1114" s="52" t="s">
        <v>581</v>
      </c>
      <c r="G1114" s="55" t="s">
        <v>275</v>
      </c>
      <c r="H1114" s="55">
        <v>1034.856</v>
      </c>
      <c r="I1114" s="55">
        <v>393.70620000000002</v>
      </c>
      <c r="J1114" s="55">
        <v>525.94280000000003</v>
      </c>
      <c r="K1114" s="55">
        <v>557.14179999999999</v>
      </c>
      <c r="L1114" s="55">
        <v>458.38839999999999</v>
      </c>
      <c r="M1114" s="55">
        <v>-123.68210000000001</v>
      </c>
      <c r="N1114" s="55">
        <v>392.58609999999999</v>
      </c>
    </row>
    <row r="1115" spans="1:14" hidden="1" x14ac:dyDescent="0.35">
      <c r="A1115" s="52" t="s">
        <v>623</v>
      </c>
      <c r="B1115" s="52" t="s">
        <v>32</v>
      </c>
      <c r="C1115" s="52" t="s">
        <v>30</v>
      </c>
      <c r="D1115" s="52" t="s">
        <v>30</v>
      </c>
      <c r="E1115" s="52" t="s">
        <v>584</v>
      </c>
      <c r="F1115" s="52" t="s">
        <v>581</v>
      </c>
      <c r="G1115" s="55" t="s">
        <v>276</v>
      </c>
      <c r="H1115" s="55">
        <v>3139.4780000000001</v>
      </c>
      <c r="I1115" s="55">
        <v>1258.0519999999999</v>
      </c>
      <c r="J1115" s="55">
        <v>1314.037</v>
      </c>
      <c r="K1115" s="55">
        <v>1561.3630000000001</v>
      </c>
      <c r="L1115" s="55">
        <v>1670.357</v>
      </c>
      <c r="M1115" s="55">
        <v>1722.7650000000001</v>
      </c>
      <c r="N1115" s="55">
        <v>1796.6369999999999</v>
      </c>
    </row>
    <row r="1116" spans="1:14" hidden="1" x14ac:dyDescent="0.35">
      <c r="A1116" s="52" t="s">
        <v>623</v>
      </c>
      <c r="B1116" s="52" t="s">
        <v>32</v>
      </c>
      <c r="C1116" s="52" t="s">
        <v>30</v>
      </c>
      <c r="D1116" s="52" t="s">
        <v>30</v>
      </c>
      <c r="E1116" s="52" t="s">
        <v>584</v>
      </c>
      <c r="F1116" s="52" t="s">
        <v>581</v>
      </c>
      <c r="G1116" s="55" t="s">
        <v>277</v>
      </c>
      <c r="H1116" s="55">
        <v>320.18220000000002</v>
      </c>
      <c r="I1116" s="55">
        <v>232.2039</v>
      </c>
      <c r="J1116" s="55">
        <v>204.01349999999999</v>
      </c>
      <c r="K1116" s="55">
        <v>192.4666</v>
      </c>
      <c r="L1116" s="55">
        <v>287.8073</v>
      </c>
      <c r="M1116" s="55">
        <v>868.22050000000002</v>
      </c>
      <c r="N1116" s="55">
        <v>398.19659999999999</v>
      </c>
    </row>
    <row r="1117" spans="1:14" hidden="1" x14ac:dyDescent="0.35">
      <c r="A1117" s="52" t="s">
        <v>623</v>
      </c>
      <c r="B1117" s="52" t="s">
        <v>32</v>
      </c>
      <c r="C1117" s="52" t="s">
        <v>30</v>
      </c>
      <c r="D1117" s="52" t="s">
        <v>30</v>
      </c>
      <c r="E1117" s="52" t="s">
        <v>584</v>
      </c>
      <c r="F1117" s="52" t="s">
        <v>581</v>
      </c>
      <c r="G1117" s="55" t="s">
        <v>278</v>
      </c>
      <c r="H1117" s="55">
        <v>0.38546170000000002</v>
      </c>
      <c r="I1117" s="55">
        <v>17.862939999999998</v>
      </c>
      <c r="J1117" s="55">
        <v>16.990480000000002</v>
      </c>
      <c r="K1117" s="55">
        <v>18.86176</v>
      </c>
      <c r="L1117" s="55">
        <v>19.766580000000001</v>
      </c>
      <c r="M1117" s="55">
        <v>20.000440000000001</v>
      </c>
      <c r="N1117" s="55">
        <v>0.29605629999999999</v>
      </c>
    </row>
    <row r="1118" spans="1:14" hidden="1" x14ac:dyDescent="0.35">
      <c r="A1118" s="52" t="s">
        <v>623</v>
      </c>
      <c r="B1118" s="52" t="s">
        <v>32</v>
      </c>
      <c r="C1118" s="52" t="s">
        <v>30</v>
      </c>
      <c r="D1118" s="52" t="s">
        <v>30</v>
      </c>
      <c r="E1118" s="52" t="s">
        <v>584</v>
      </c>
      <c r="F1118" s="52" t="s">
        <v>581</v>
      </c>
      <c r="G1118" s="55" t="s">
        <v>279</v>
      </c>
      <c r="H1118" s="55">
        <v>383.79599999999999</v>
      </c>
      <c r="I1118" s="55">
        <v>325.87380000000002</v>
      </c>
      <c r="J1118" s="55">
        <v>359.06380000000001</v>
      </c>
      <c r="K1118" s="55">
        <v>420.28960000000001</v>
      </c>
      <c r="L1118" s="55">
        <v>439.39120000000003</v>
      </c>
      <c r="M1118" s="55">
        <v>448.21190000000001</v>
      </c>
      <c r="N1118" s="55">
        <v>480.51400000000001</v>
      </c>
    </row>
    <row r="1119" spans="1:14" hidden="1" x14ac:dyDescent="0.35">
      <c r="A1119" s="52" t="s">
        <v>623</v>
      </c>
      <c r="B1119" s="52" t="s">
        <v>32</v>
      </c>
      <c r="C1119" s="52" t="s">
        <v>30</v>
      </c>
      <c r="D1119" s="52" t="s">
        <v>30</v>
      </c>
      <c r="E1119" s="52" t="s">
        <v>584</v>
      </c>
      <c r="F1119" s="52" t="s">
        <v>26</v>
      </c>
      <c r="G1119" s="55" t="s">
        <v>275</v>
      </c>
      <c r="H1119" s="55"/>
      <c r="I1119" s="55"/>
      <c r="J1119" s="55">
        <v>0</v>
      </c>
      <c r="K1119" s="55">
        <v>-3.6930350000000001E-2</v>
      </c>
      <c r="L1119" s="55">
        <v>-3.6930350000000001E-2</v>
      </c>
      <c r="M1119" s="55">
        <v>0</v>
      </c>
      <c r="N1119" s="55">
        <v>0</v>
      </c>
    </row>
    <row r="1120" spans="1:14" hidden="1" x14ac:dyDescent="0.35">
      <c r="A1120" s="52" t="s">
        <v>623</v>
      </c>
      <c r="B1120" s="52" t="s">
        <v>32</v>
      </c>
      <c r="C1120" s="52" t="s">
        <v>30</v>
      </c>
      <c r="D1120" s="52" t="s">
        <v>30</v>
      </c>
      <c r="E1120" s="52" t="s">
        <v>584</v>
      </c>
      <c r="F1120" s="52" t="s">
        <v>26</v>
      </c>
      <c r="G1120" s="55" t="s">
        <v>277</v>
      </c>
      <c r="H1120" s="55"/>
      <c r="I1120" s="55"/>
      <c r="J1120" s="55">
        <v>0</v>
      </c>
      <c r="K1120" s="55">
        <v>3.6930299999999999E-2</v>
      </c>
      <c r="L1120" s="55">
        <v>3.6930299999999999E-2</v>
      </c>
      <c r="M1120" s="55">
        <v>0</v>
      </c>
      <c r="N1120" s="55">
        <v>0</v>
      </c>
    </row>
    <row r="1121" spans="1:14" hidden="1" x14ac:dyDescent="0.35">
      <c r="A1121" s="52" t="s">
        <v>623</v>
      </c>
      <c r="B1121" s="52" t="s">
        <v>32</v>
      </c>
      <c r="C1121" s="52" t="s">
        <v>30</v>
      </c>
      <c r="D1121" s="52" t="s">
        <v>30</v>
      </c>
      <c r="E1121" s="52" t="s">
        <v>584</v>
      </c>
      <c r="F1121" s="52" t="s">
        <v>26</v>
      </c>
      <c r="G1121" s="55" t="s">
        <v>279</v>
      </c>
      <c r="H1121" s="55"/>
      <c r="I1121" s="55"/>
      <c r="J1121" s="55"/>
      <c r="K1121" s="55"/>
      <c r="L1121" s="55"/>
      <c r="M1121" s="55">
        <v>0</v>
      </c>
      <c r="N1121" s="55">
        <v>0</v>
      </c>
    </row>
    <row r="1122" spans="1:14" hidden="1" x14ac:dyDescent="0.35">
      <c r="A1122" s="52" t="s">
        <v>623</v>
      </c>
      <c r="B1122" s="52" t="s">
        <v>41</v>
      </c>
      <c r="C1122" s="52" t="s">
        <v>40</v>
      </c>
      <c r="D1122" s="52" t="s">
        <v>40</v>
      </c>
      <c r="E1122" s="52" t="s">
        <v>584</v>
      </c>
      <c r="F1122" s="52" t="s">
        <v>581</v>
      </c>
      <c r="G1122" s="55" t="s">
        <v>275</v>
      </c>
      <c r="H1122" s="55">
        <v>397.87090000000001</v>
      </c>
      <c r="I1122" s="55">
        <v>174.5795</v>
      </c>
      <c r="J1122" s="55">
        <v>208.73089999999999</v>
      </c>
      <c r="K1122" s="55">
        <v>209.31989999999999</v>
      </c>
      <c r="L1122" s="55">
        <v>213.97130000000001</v>
      </c>
      <c r="M1122" s="55">
        <v>216.5984</v>
      </c>
      <c r="N1122" s="55">
        <v>221.26130000000001</v>
      </c>
    </row>
    <row r="1123" spans="1:14" hidden="1" x14ac:dyDescent="0.35">
      <c r="A1123" s="52" t="s">
        <v>623</v>
      </c>
      <c r="B1123" s="52" t="s">
        <v>41</v>
      </c>
      <c r="C1123" s="52" t="s">
        <v>40</v>
      </c>
      <c r="D1123" s="52" t="s">
        <v>40</v>
      </c>
      <c r="E1123" s="52" t="s">
        <v>584</v>
      </c>
      <c r="F1123" s="52" t="s">
        <v>581</v>
      </c>
      <c r="G1123" s="55" t="s">
        <v>276</v>
      </c>
      <c r="H1123" s="55">
        <v>53.09216</v>
      </c>
      <c r="I1123" s="55">
        <v>22.103249999999999</v>
      </c>
      <c r="J1123" s="55">
        <v>25.082149999999999</v>
      </c>
      <c r="K1123" s="55">
        <v>25.70628</v>
      </c>
      <c r="L1123" s="55">
        <v>26.33595</v>
      </c>
      <c r="M1123" s="55">
        <v>29.80152</v>
      </c>
      <c r="N1123" s="55">
        <v>30.531500000000001</v>
      </c>
    </row>
    <row r="1124" spans="1:14" hidden="1" x14ac:dyDescent="0.35">
      <c r="A1124" s="52" t="s">
        <v>623</v>
      </c>
      <c r="B1124" s="52" t="s">
        <v>41</v>
      </c>
      <c r="C1124" s="52" t="s">
        <v>40</v>
      </c>
      <c r="D1124" s="52" t="s">
        <v>40</v>
      </c>
      <c r="E1124" s="52" t="s">
        <v>584</v>
      </c>
      <c r="F1124" s="52" t="s">
        <v>581</v>
      </c>
      <c r="G1124" s="55" t="s">
        <v>277</v>
      </c>
      <c r="H1124" s="55">
        <v>19.08024</v>
      </c>
      <c r="I1124" s="55">
        <v>22.57667</v>
      </c>
      <c r="J1124" s="55">
        <v>4.5766840000000002</v>
      </c>
      <c r="K1124" s="55">
        <v>3.035819</v>
      </c>
      <c r="L1124" s="55">
        <v>3.8189989999999998</v>
      </c>
      <c r="M1124" s="55">
        <v>4.3755610000000003</v>
      </c>
      <c r="N1124" s="55">
        <v>5.2287809999999997</v>
      </c>
    </row>
    <row r="1125" spans="1:14" hidden="1" x14ac:dyDescent="0.35">
      <c r="A1125" s="52" t="s">
        <v>623</v>
      </c>
      <c r="B1125" s="52" t="s">
        <v>41</v>
      </c>
      <c r="C1125" s="52" t="s">
        <v>40</v>
      </c>
      <c r="D1125" s="52" t="s">
        <v>40</v>
      </c>
      <c r="E1125" s="52" t="s">
        <v>584</v>
      </c>
      <c r="F1125" s="52" t="s">
        <v>581</v>
      </c>
      <c r="G1125" s="55" t="s">
        <v>278</v>
      </c>
      <c r="H1125" s="55">
        <v>0.1380034</v>
      </c>
      <c r="I1125" s="55">
        <v>4.4544069999999998E-2</v>
      </c>
      <c r="J1125" s="55">
        <v>0.11136</v>
      </c>
      <c r="K1125" s="55">
        <v>7.9690289999999997E-2</v>
      </c>
      <c r="L1125" s="55">
        <v>2.5693500000000001E-2</v>
      </c>
      <c r="M1125" s="55">
        <v>1.6619689999999999E-2</v>
      </c>
      <c r="N1125" s="55">
        <v>7.8653899999999999E-3</v>
      </c>
    </row>
    <row r="1126" spans="1:14" hidden="1" x14ac:dyDescent="0.35">
      <c r="A1126" s="52" t="s">
        <v>623</v>
      </c>
      <c r="B1126" s="52" t="s">
        <v>41</v>
      </c>
      <c r="C1126" s="52" t="s">
        <v>40</v>
      </c>
      <c r="D1126" s="52" t="s">
        <v>40</v>
      </c>
      <c r="E1126" s="52" t="s">
        <v>584</v>
      </c>
      <c r="F1126" s="52" t="s">
        <v>581</v>
      </c>
      <c r="G1126" s="55" t="s">
        <v>279</v>
      </c>
      <c r="H1126" s="55">
        <v>84.573570000000004</v>
      </c>
      <c r="I1126" s="55">
        <v>86.084879999999998</v>
      </c>
      <c r="J1126" s="55">
        <v>95.214950000000002</v>
      </c>
      <c r="K1126" s="55">
        <v>103.9436</v>
      </c>
      <c r="L1126" s="55">
        <v>106.49979999999999</v>
      </c>
      <c r="M1126" s="55">
        <v>109.1199</v>
      </c>
      <c r="N1126" s="55">
        <v>111.88500000000001</v>
      </c>
    </row>
    <row r="1127" spans="1:14" hidden="1" x14ac:dyDescent="0.35">
      <c r="A1127" s="52" t="s">
        <v>623</v>
      </c>
      <c r="B1127" s="52" t="s">
        <v>41</v>
      </c>
      <c r="C1127" s="52" t="s">
        <v>40</v>
      </c>
      <c r="D1127" s="52" t="s">
        <v>40</v>
      </c>
      <c r="E1127" s="52" t="s">
        <v>584</v>
      </c>
      <c r="F1127" s="52" t="s">
        <v>26</v>
      </c>
      <c r="G1127" s="55" t="s">
        <v>275</v>
      </c>
      <c r="H1127" s="55">
        <v>-15.234999999999999</v>
      </c>
      <c r="I1127" s="55">
        <v>-14.479179999999999</v>
      </c>
      <c r="J1127" s="55">
        <v>-17.703220000000002</v>
      </c>
      <c r="K1127" s="55">
        <v>-19.18675</v>
      </c>
      <c r="L1127" s="55">
        <v>-19.640720000000002</v>
      </c>
      <c r="M1127" s="55">
        <v>-20.13477</v>
      </c>
      <c r="N1127" s="55">
        <v>-20.60981</v>
      </c>
    </row>
    <row r="1128" spans="1:14" hidden="1" x14ac:dyDescent="0.35">
      <c r="A1128" s="52" t="s">
        <v>623</v>
      </c>
      <c r="B1128" s="52" t="s">
        <v>41</v>
      </c>
      <c r="C1128" s="52" t="s">
        <v>40</v>
      </c>
      <c r="D1128" s="52" t="s">
        <v>40</v>
      </c>
      <c r="E1128" s="52" t="s">
        <v>584</v>
      </c>
      <c r="F1128" s="52" t="s">
        <v>26</v>
      </c>
      <c r="G1128" s="55" t="s">
        <v>276</v>
      </c>
      <c r="H1128" s="55">
        <v>4.505147</v>
      </c>
      <c r="I1128" s="55">
        <v>3.1570320000000001</v>
      </c>
      <c r="J1128" s="55">
        <v>2.3122980000000002</v>
      </c>
      <c r="K1128" s="55">
        <v>2.3762660000000002</v>
      </c>
      <c r="L1128" s="55">
        <v>2.45295</v>
      </c>
      <c r="M1128" s="55">
        <v>2.5773809999999999</v>
      </c>
      <c r="N1128" s="55">
        <v>2.6607780000000001</v>
      </c>
    </row>
    <row r="1129" spans="1:14" hidden="1" x14ac:dyDescent="0.35">
      <c r="A1129" s="52" t="s">
        <v>623</v>
      </c>
      <c r="B1129" s="52" t="s">
        <v>41</v>
      </c>
      <c r="C1129" s="52" t="s">
        <v>40</v>
      </c>
      <c r="D1129" s="52" t="s">
        <v>40</v>
      </c>
      <c r="E1129" s="52" t="s">
        <v>584</v>
      </c>
      <c r="F1129" s="52" t="s">
        <v>26</v>
      </c>
      <c r="G1129" s="55" t="s">
        <v>277</v>
      </c>
      <c r="H1129" s="55">
        <v>1.764805</v>
      </c>
      <c r="I1129" s="55">
        <v>3.4430240000000001E-2</v>
      </c>
      <c r="J1129" s="55">
        <v>0.33483689999999999</v>
      </c>
      <c r="K1129" s="55">
        <v>3.6173719999999999E-2</v>
      </c>
      <c r="L1129" s="55">
        <v>4.1968930000000002E-2</v>
      </c>
      <c r="M1129" s="55">
        <v>3.9865999999999999E-2</v>
      </c>
      <c r="N1129" s="55">
        <v>4.4561580000000003E-2</v>
      </c>
    </row>
    <row r="1130" spans="1:14" hidden="1" x14ac:dyDescent="0.35">
      <c r="A1130" s="52" t="s">
        <v>623</v>
      </c>
      <c r="B1130" s="52" t="s">
        <v>41</v>
      </c>
      <c r="C1130" s="52" t="s">
        <v>40</v>
      </c>
      <c r="D1130" s="52" t="s">
        <v>40</v>
      </c>
      <c r="E1130" s="52" t="s">
        <v>584</v>
      </c>
      <c r="F1130" s="52" t="s">
        <v>26</v>
      </c>
      <c r="G1130" s="55" t="s">
        <v>279</v>
      </c>
      <c r="H1130" s="55">
        <v>18.760359999999999</v>
      </c>
      <c r="I1130" s="55">
        <v>18.462789999999998</v>
      </c>
      <c r="J1130" s="55">
        <v>20.311299999999999</v>
      </c>
      <c r="K1130" s="55">
        <v>22.17492</v>
      </c>
      <c r="L1130" s="55">
        <v>22.720690000000001</v>
      </c>
      <c r="M1130" s="55">
        <v>23.280080000000002</v>
      </c>
      <c r="N1130" s="55">
        <v>23.853490000000001</v>
      </c>
    </row>
    <row r="1131" spans="1:14" hidden="1" x14ac:dyDescent="0.35">
      <c r="A1131" s="52" t="s">
        <v>623</v>
      </c>
      <c r="B1131" s="52" t="s">
        <v>94</v>
      </c>
      <c r="C1131" s="52" t="s">
        <v>93</v>
      </c>
      <c r="D1131" s="52" t="s">
        <v>93</v>
      </c>
      <c r="E1131" s="52" t="s">
        <v>584</v>
      </c>
      <c r="F1131" s="52" t="s">
        <v>581</v>
      </c>
      <c r="G1131" s="55" t="s">
        <v>275</v>
      </c>
      <c r="H1131" s="55">
        <v>164.8792</v>
      </c>
      <c r="I1131" s="55">
        <v>41.091990000000003</v>
      </c>
      <c r="J1131" s="55">
        <v>31.945630000000001</v>
      </c>
      <c r="K1131" s="55">
        <v>36.587960000000002</v>
      </c>
      <c r="L1131" s="55">
        <v>54.990839999999999</v>
      </c>
      <c r="M1131" s="55">
        <v>74.998580000000004</v>
      </c>
      <c r="N1131" s="55">
        <v>94.719059999999999</v>
      </c>
    </row>
    <row r="1132" spans="1:14" hidden="1" x14ac:dyDescent="0.35">
      <c r="A1132" s="52" t="s">
        <v>623</v>
      </c>
      <c r="B1132" s="52" t="s">
        <v>94</v>
      </c>
      <c r="C1132" s="52" t="s">
        <v>93</v>
      </c>
      <c r="D1132" s="52" t="s">
        <v>93</v>
      </c>
      <c r="E1132" s="52" t="s">
        <v>584</v>
      </c>
      <c r="F1132" s="52" t="s">
        <v>581</v>
      </c>
      <c r="G1132" s="55" t="s">
        <v>276</v>
      </c>
      <c r="H1132" s="55">
        <v>59.19885</v>
      </c>
      <c r="I1132" s="55">
        <v>25.649010000000001</v>
      </c>
      <c r="J1132" s="55">
        <v>25.523910000000001</v>
      </c>
      <c r="K1132" s="55">
        <v>28.41507</v>
      </c>
      <c r="L1132" s="55">
        <v>26.847850000000001</v>
      </c>
      <c r="M1132" s="55">
        <v>25.773389999999999</v>
      </c>
      <c r="N1132" s="55">
        <v>25.128150000000002</v>
      </c>
    </row>
    <row r="1133" spans="1:14" hidden="1" x14ac:dyDescent="0.35">
      <c r="A1133" s="52" t="s">
        <v>623</v>
      </c>
      <c r="B1133" s="52" t="s">
        <v>94</v>
      </c>
      <c r="C1133" s="52" t="s">
        <v>93</v>
      </c>
      <c r="D1133" s="52" t="s">
        <v>93</v>
      </c>
      <c r="E1133" s="52" t="s">
        <v>584</v>
      </c>
      <c r="F1133" s="52" t="s">
        <v>581</v>
      </c>
      <c r="G1133" s="55" t="s">
        <v>277</v>
      </c>
      <c r="H1133" s="55">
        <v>141.59389999999999</v>
      </c>
      <c r="I1133" s="55">
        <v>143.499</v>
      </c>
      <c r="J1133" s="55">
        <v>142.99090000000001</v>
      </c>
      <c r="K1133" s="55">
        <v>139.26689999999999</v>
      </c>
      <c r="L1133" s="55">
        <v>102.0485</v>
      </c>
      <c r="M1133" s="55">
        <v>85.733930000000001</v>
      </c>
      <c r="N1133" s="55">
        <v>76.855289999999997</v>
      </c>
    </row>
    <row r="1134" spans="1:14" hidden="1" x14ac:dyDescent="0.35">
      <c r="A1134" s="52" t="s">
        <v>623</v>
      </c>
      <c r="B1134" s="52" t="s">
        <v>94</v>
      </c>
      <c r="C1134" s="52" t="s">
        <v>93</v>
      </c>
      <c r="D1134" s="52" t="s">
        <v>93</v>
      </c>
      <c r="E1134" s="52" t="s">
        <v>584</v>
      </c>
      <c r="F1134" s="52" t="s">
        <v>581</v>
      </c>
      <c r="G1134" s="55" t="s">
        <v>278</v>
      </c>
      <c r="H1134" s="55">
        <v>6.6390540000000001E-3</v>
      </c>
      <c r="I1134" s="55">
        <v>6.6390540000000001E-3</v>
      </c>
      <c r="J1134" s="55">
        <v>1.0113939999999999</v>
      </c>
      <c r="K1134" s="55">
        <v>6.6390540000000001E-3</v>
      </c>
      <c r="L1134" s="55">
        <v>6.6390549999999996E-3</v>
      </c>
      <c r="M1134" s="55">
        <v>6.6390549999999996E-3</v>
      </c>
      <c r="N1134" s="55">
        <v>6.6390540000000001E-3</v>
      </c>
    </row>
    <row r="1135" spans="1:14" hidden="1" x14ac:dyDescent="0.35">
      <c r="A1135" s="52" t="s">
        <v>623</v>
      </c>
      <c r="B1135" s="52" t="s">
        <v>94</v>
      </c>
      <c r="C1135" s="52" t="s">
        <v>93</v>
      </c>
      <c r="D1135" s="52" t="s">
        <v>93</v>
      </c>
      <c r="E1135" s="52" t="s">
        <v>584</v>
      </c>
      <c r="F1135" s="52" t="s">
        <v>581</v>
      </c>
      <c r="G1135" s="55" t="s">
        <v>279</v>
      </c>
      <c r="H1135" s="55">
        <v>66.170720000000003</v>
      </c>
      <c r="I1135" s="55">
        <v>49.2104</v>
      </c>
      <c r="J1135" s="55">
        <v>50.933750000000003</v>
      </c>
      <c r="K1135" s="55">
        <v>56.999409999999997</v>
      </c>
      <c r="L1135" s="55">
        <v>61.679459999999999</v>
      </c>
      <c r="M1135" s="55">
        <v>64.140240000000006</v>
      </c>
      <c r="N1135" s="55">
        <v>68.449780000000004</v>
      </c>
    </row>
    <row r="1136" spans="1:14" hidden="1" x14ac:dyDescent="0.35">
      <c r="A1136" s="52" t="s">
        <v>623</v>
      </c>
      <c r="B1136" s="52" t="s">
        <v>60</v>
      </c>
      <c r="C1136" s="52" t="s">
        <v>126</v>
      </c>
      <c r="D1136" s="52" t="s">
        <v>126</v>
      </c>
      <c r="E1136" s="52" t="s">
        <v>584</v>
      </c>
      <c r="F1136" s="52" t="s">
        <v>26</v>
      </c>
      <c r="G1136" s="55" t="s">
        <v>275</v>
      </c>
      <c r="H1136" s="55">
        <v>-16.381119999999999</v>
      </c>
      <c r="I1136" s="55">
        <v>-14.05968</v>
      </c>
      <c r="J1136" s="55">
        <v>-11.854799999999999</v>
      </c>
      <c r="K1136" s="55">
        <v>51.211570000000002</v>
      </c>
      <c r="L1136" s="55">
        <v>89.33475</v>
      </c>
      <c r="M1136" s="55">
        <v>92.928989999999999</v>
      </c>
      <c r="N1136" s="55">
        <v>98.836299999999994</v>
      </c>
    </row>
    <row r="1137" spans="1:14" hidden="1" x14ac:dyDescent="0.35">
      <c r="A1137" s="52" t="s">
        <v>623</v>
      </c>
      <c r="B1137" s="52" t="s">
        <v>60</v>
      </c>
      <c r="C1137" s="52" t="s">
        <v>126</v>
      </c>
      <c r="D1137" s="52" t="s">
        <v>126</v>
      </c>
      <c r="E1137" s="52" t="s">
        <v>584</v>
      </c>
      <c r="F1137" s="52" t="s">
        <v>26</v>
      </c>
      <c r="G1137" s="55" t="s">
        <v>276</v>
      </c>
      <c r="H1137" s="55">
        <v>110.97410000000001</v>
      </c>
      <c r="I1137" s="55">
        <v>76.038539999999998</v>
      </c>
      <c r="J1137" s="55">
        <v>78.383489999999995</v>
      </c>
      <c r="K1137" s="55">
        <v>80.236069999999998</v>
      </c>
      <c r="L1137" s="55">
        <v>85.450530000000001</v>
      </c>
      <c r="M1137" s="55">
        <v>87.759609999999995</v>
      </c>
      <c r="N1137" s="55">
        <v>89.58775</v>
      </c>
    </row>
    <row r="1138" spans="1:14" hidden="1" x14ac:dyDescent="0.35">
      <c r="A1138" s="52" t="s">
        <v>623</v>
      </c>
      <c r="B1138" s="52" t="s">
        <v>60</v>
      </c>
      <c r="C1138" s="52" t="s">
        <v>126</v>
      </c>
      <c r="D1138" s="52" t="s">
        <v>126</v>
      </c>
      <c r="E1138" s="52" t="s">
        <v>584</v>
      </c>
      <c r="F1138" s="52" t="s">
        <v>26</v>
      </c>
      <c r="G1138" s="55" t="s">
        <v>277</v>
      </c>
      <c r="H1138" s="55">
        <v>90.044910000000002</v>
      </c>
      <c r="I1138" s="55">
        <v>64.396649999999994</v>
      </c>
      <c r="J1138" s="55">
        <v>63.875279999999997</v>
      </c>
      <c r="K1138" s="55">
        <v>25.43317</v>
      </c>
      <c r="L1138" s="55">
        <v>5.5810279999999999</v>
      </c>
      <c r="M1138" s="55">
        <v>6.3371149999999998</v>
      </c>
      <c r="N1138" s="55">
        <v>3.237269</v>
      </c>
    </row>
    <row r="1139" spans="1:14" hidden="1" x14ac:dyDescent="0.35">
      <c r="A1139" s="52" t="s">
        <v>623</v>
      </c>
      <c r="B1139" s="52" t="s">
        <v>60</v>
      </c>
      <c r="C1139" s="52" t="s">
        <v>126</v>
      </c>
      <c r="D1139" s="52" t="s">
        <v>126</v>
      </c>
      <c r="E1139" s="52" t="s">
        <v>584</v>
      </c>
      <c r="F1139" s="52" t="s">
        <v>26</v>
      </c>
      <c r="G1139" s="55" t="s">
        <v>278</v>
      </c>
      <c r="H1139" s="55">
        <v>6.8693950000000004E-3</v>
      </c>
      <c r="I1139" s="55">
        <v>4.4721190000000001E-3</v>
      </c>
      <c r="J1139" s="55">
        <v>4.2200730000000004E-3</v>
      </c>
      <c r="K1139" s="55">
        <v>1.52268E-2</v>
      </c>
      <c r="L1139" s="55">
        <v>1.021507E-2</v>
      </c>
      <c r="M1139" s="55">
        <v>1.021507E-2</v>
      </c>
      <c r="N1139" s="55">
        <v>1.021507E-2</v>
      </c>
    </row>
    <row r="1140" spans="1:14" hidden="1" x14ac:dyDescent="0.35">
      <c r="A1140" s="52" t="s">
        <v>623</v>
      </c>
      <c r="B1140" s="52" t="s">
        <v>60</v>
      </c>
      <c r="C1140" s="52" t="s">
        <v>126</v>
      </c>
      <c r="D1140" s="52" t="s">
        <v>126</v>
      </c>
      <c r="E1140" s="52" t="s">
        <v>584</v>
      </c>
      <c r="F1140" s="52" t="s">
        <v>26</v>
      </c>
      <c r="G1140" s="55" t="s">
        <v>279</v>
      </c>
      <c r="H1140" s="55">
        <v>21.819929999999999</v>
      </c>
      <c r="I1140" s="55">
        <v>20.21846</v>
      </c>
      <c r="J1140" s="55">
        <v>20.984690000000001</v>
      </c>
      <c r="K1140" s="55">
        <v>30.494520000000001</v>
      </c>
      <c r="L1140" s="55">
        <v>36.661169999999998</v>
      </c>
      <c r="M1140" s="55">
        <v>37.951529999999998</v>
      </c>
      <c r="N1140" s="55">
        <v>38.86938</v>
      </c>
    </row>
    <row r="1141" spans="1:14" hidden="1" x14ac:dyDescent="0.35">
      <c r="A1141" s="52" t="s">
        <v>623</v>
      </c>
      <c r="B1141" s="52" t="s">
        <v>60</v>
      </c>
      <c r="C1141" s="52" t="s">
        <v>631</v>
      </c>
      <c r="D1141" s="52" t="s">
        <v>631</v>
      </c>
      <c r="E1141" s="52" t="s">
        <v>584</v>
      </c>
      <c r="F1141" s="52" t="s">
        <v>581</v>
      </c>
      <c r="G1141" s="55" t="s">
        <v>275</v>
      </c>
      <c r="H1141" s="55">
        <v>5.0645700000000002E-2</v>
      </c>
      <c r="I1141" s="55">
        <v>6.0645129999999998E-2</v>
      </c>
      <c r="J1141" s="55">
        <v>4.1671399999999997E-2</v>
      </c>
      <c r="K1141" s="55">
        <v>2.7400000000000001E-2</v>
      </c>
      <c r="L1141" s="55">
        <v>2.0014110000000002E-2</v>
      </c>
      <c r="M1141" s="55">
        <v>0.10167180000000001</v>
      </c>
      <c r="N1141" s="55">
        <v>8.8305320000000007E-2</v>
      </c>
    </row>
    <row r="1142" spans="1:14" hidden="1" x14ac:dyDescent="0.35">
      <c r="A1142" s="52" t="s">
        <v>623</v>
      </c>
      <c r="B1142" s="52" t="s">
        <v>60</v>
      </c>
      <c r="C1142" s="52" t="s">
        <v>631</v>
      </c>
      <c r="D1142" s="52" t="s">
        <v>631</v>
      </c>
      <c r="E1142" s="52" t="s">
        <v>584</v>
      </c>
      <c r="F1142" s="52" t="s">
        <v>581</v>
      </c>
      <c r="G1142" s="55" t="s">
        <v>276</v>
      </c>
      <c r="H1142" s="55">
        <v>6.0056100000000001E-2</v>
      </c>
      <c r="I1142" s="55">
        <v>0.116907</v>
      </c>
      <c r="J1142" s="55">
        <v>8.3771129999999999E-2</v>
      </c>
      <c r="K1142" s="55">
        <v>6.1860060000000001E-2</v>
      </c>
      <c r="L1142" s="55">
        <v>4.5678839999999998E-2</v>
      </c>
      <c r="M1142" s="55">
        <v>-5.1778230000000001E-2</v>
      </c>
      <c r="N1142" s="55">
        <v>-5.3232219999999997E-2</v>
      </c>
    </row>
    <row r="1143" spans="1:14" hidden="1" x14ac:dyDescent="0.35">
      <c r="A1143" s="52" t="s">
        <v>623</v>
      </c>
      <c r="B1143" s="52" t="s">
        <v>60</v>
      </c>
      <c r="C1143" s="52" t="s">
        <v>631</v>
      </c>
      <c r="D1143" s="52" t="s">
        <v>631</v>
      </c>
      <c r="E1143" s="52" t="s">
        <v>584</v>
      </c>
      <c r="F1143" s="52" t="s">
        <v>581</v>
      </c>
      <c r="G1143" s="55" t="s">
        <v>279</v>
      </c>
      <c r="H1143" s="55">
        <v>2.5789949999999999E-2</v>
      </c>
      <c r="I1143" s="55">
        <v>8.8146000000000002E-2</v>
      </c>
      <c r="J1143" s="55">
        <v>6.4946249999999997E-2</v>
      </c>
      <c r="K1143" s="55">
        <v>5.13312E-2</v>
      </c>
      <c r="L1143" s="55">
        <v>3.8122650000000001E-2</v>
      </c>
      <c r="M1143" s="55">
        <v>2.8432949999999999E-2</v>
      </c>
      <c r="N1143" s="55">
        <v>2.1149250000000001E-2</v>
      </c>
    </row>
    <row r="1144" spans="1:14" hidden="1" x14ac:dyDescent="0.35">
      <c r="A1144" s="52" t="s">
        <v>623</v>
      </c>
      <c r="B1144" s="52" t="s">
        <v>60</v>
      </c>
      <c r="C1144" s="52" t="s">
        <v>631</v>
      </c>
      <c r="D1144" s="52" t="s">
        <v>631</v>
      </c>
      <c r="E1144" s="52" t="s">
        <v>584</v>
      </c>
      <c r="F1144" s="52" t="s">
        <v>26</v>
      </c>
      <c r="G1144" s="55" t="s">
        <v>275</v>
      </c>
      <c r="H1144" s="55">
        <v>13.28783</v>
      </c>
      <c r="I1144" s="55">
        <v>9.6750089999999993</v>
      </c>
      <c r="J1144" s="55">
        <v>6.4627439999999998</v>
      </c>
      <c r="K1144" s="55">
        <v>3.836535</v>
      </c>
      <c r="L1144" s="55">
        <v>2.21339</v>
      </c>
      <c r="M1144" s="55">
        <v>1.1236889999999999</v>
      </c>
      <c r="N1144" s="55">
        <v>0.39577099999999998</v>
      </c>
    </row>
    <row r="1145" spans="1:14" hidden="1" x14ac:dyDescent="0.35">
      <c r="A1145" s="52" t="s">
        <v>623</v>
      </c>
      <c r="B1145" s="52" t="s">
        <v>60</v>
      </c>
      <c r="C1145" s="52" t="s">
        <v>631</v>
      </c>
      <c r="D1145" s="52" t="s">
        <v>631</v>
      </c>
      <c r="E1145" s="52" t="s">
        <v>584</v>
      </c>
      <c r="F1145" s="52" t="s">
        <v>26</v>
      </c>
      <c r="G1145" s="55" t="s">
        <v>276</v>
      </c>
      <c r="H1145" s="55">
        <v>0.91244449999999999</v>
      </c>
      <c r="I1145" s="55">
        <v>0.57844660000000003</v>
      </c>
      <c r="J1145" s="55">
        <v>0.39855449999999998</v>
      </c>
      <c r="K1145" s="55">
        <v>0.23595169999999999</v>
      </c>
      <c r="L1145" s="55">
        <v>0.179177</v>
      </c>
      <c r="M1145" s="55">
        <v>-2.6226669999999999</v>
      </c>
      <c r="N1145" s="55">
        <v>0.15710360000000001</v>
      </c>
    </row>
    <row r="1146" spans="1:14" hidden="1" x14ac:dyDescent="0.35">
      <c r="A1146" s="52" t="s">
        <v>623</v>
      </c>
      <c r="B1146" s="52" t="s">
        <v>60</v>
      </c>
      <c r="C1146" s="52" t="s">
        <v>631</v>
      </c>
      <c r="D1146" s="52" t="s">
        <v>631</v>
      </c>
      <c r="E1146" s="52" t="s">
        <v>584</v>
      </c>
      <c r="F1146" s="52" t="s">
        <v>26</v>
      </c>
      <c r="G1146" s="55" t="s">
        <v>277</v>
      </c>
      <c r="H1146" s="55">
        <v>0.78682940000000001</v>
      </c>
      <c r="I1146" s="55">
        <v>0.73464079999999998</v>
      </c>
      <c r="J1146" s="55">
        <v>0.72473719999999997</v>
      </c>
      <c r="K1146" s="55">
        <v>0.94273870000000004</v>
      </c>
      <c r="L1146" s="55">
        <v>1.0415129999999999</v>
      </c>
      <c r="M1146" s="55">
        <v>1.0488599999999999</v>
      </c>
      <c r="N1146" s="55"/>
    </row>
    <row r="1147" spans="1:14" hidden="1" x14ac:dyDescent="0.35">
      <c r="A1147" s="52" t="s">
        <v>623</v>
      </c>
      <c r="B1147" s="52" t="s">
        <v>60</v>
      </c>
      <c r="C1147" s="52" t="s">
        <v>631</v>
      </c>
      <c r="D1147" s="52" t="s">
        <v>631</v>
      </c>
      <c r="E1147" s="52" t="s">
        <v>584</v>
      </c>
      <c r="F1147" s="52" t="s">
        <v>26</v>
      </c>
      <c r="G1147" s="55" t="s">
        <v>278</v>
      </c>
      <c r="H1147" s="55">
        <v>3.3088760000000002E-2</v>
      </c>
      <c r="I1147" s="55">
        <v>2.1541089999999999E-2</v>
      </c>
      <c r="J1147" s="55">
        <v>2.0327439999999999E-2</v>
      </c>
      <c r="K1147" s="55">
        <v>7.3344980000000004E-2</v>
      </c>
      <c r="L1147" s="55">
        <v>4.9204459999999998E-2</v>
      </c>
      <c r="M1147" s="55">
        <v>2.8338860000000001</v>
      </c>
      <c r="N1147" s="55">
        <v>4.9204459999999998E-2</v>
      </c>
    </row>
    <row r="1148" spans="1:14" hidden="1" x14ac:dyDescent="0.35">
      <c r="A1148" s="52" t="s">
        <v>623</v>
      </c>
      <c r="B1148" s="52" t="s">
        <v>60</v>
      </c>
      <c r="C1148" s="52" t="s">
        <v>631</v>
      </c>
      <c r="D1148" s="52" t="s">
        <v>631</v>
      </c>
      <c r="E1148" s="52" t="s">
        <v>584</v>
      </c>
      <c r="F1148" s="52" t="s">
        <v>26</v>
      </c>
      <c r="G1148" s="55" t="s">
        <v>279</v>
      </c>
      <c r="H1148" s="55">
        <v>10.433490000000001</v>
      </c>
      <c r="I1148" s="55">
        <v>7.0220500000000001</v>
      </c>
      <c r="J1148" s="55">
        <v>5.4299499999999998</v>
      </c>
      <c r="K1148" s="55">
        <v>4.5373739999999998</v>
      </c>
      <c r="L1148" s="55">
        <v>3.62446</v>
      </c>
      <c r="M1148" s="55">
        <v>2.9606859999999999</v>
      </c>
      <c r="N1148" s="55">
        <v>2.4674130000000001</v>
      </c>
    </row>
    <row r="1149" spans="1:14" hidden="1" x14ac:dyDescent="0.35">
      <c r="A1149" s="52" t="s">
        <v>623</v>
      </c>
      <c r="B1149" s="52" t="s">
        <v>60</v>
      </c>
      <c r="C1149" s="52" t="s">
        <v>393</v>
      </c>
      <c r="D1149" s="52" t="s">
        <v>393</v>
      </c>
      <c r="E1149" s="52" t="s">
        <v>584</v>
      </c>
      <c r="F1149" s="52" t="s">
        <v>581</v>
      </c>
      <c r="G1149" s="55" t="s">
        <v>275</v>
      </c>
      <c r="H1149" s="55">
        <v>-8.2325300000000001E-3</v>
      </c>
      <c r="I1149" s="55">
        <v>-0.40095510000000001</v>
      </c>
      <c r="J1149" s="55">
        <v>0</v>
      </c>
      <c r="K1149" s="55">
        <v>0</v>
      </c>
      <c r="L1149" s="55">
        <v>0</v>
      </c>
      <c r="M1149" s="55">
        <v>0</v>
      </c>
      <c r="N1149" s="55">
        <v>0</v>
      </c>
    </row>
    <row r="1150" spans="1:14" hidden="1" x14ac:dyDescent="0.35">
      <c r="A1150" s="52" t="s">
        <v>623</v>
      </c>
      <c r="B1150" s="52" t="s">
        <v>60</v>
      </c>
      <c r="C1150" s="52" t="s">
        <v>393</v>
      </c>
      <c r="D1150" s="52" t="s">
        <v>393</v>
      </c>
      <c r="E1150" s="52" t="s">
        <v>584</v>
      </c>
      <c r="F1150" s="52" t="s">
        <v>581</v>
      </c>
      <c r="G1150" s="55" t="s">
        <v>277</v>
      </c>
      <c r="H1150" s="55"/>
      <c r="I1150" s="55"/>
      <c r="J1150" s="55"/>
      <c r="K1150" s="55"/>
      <c r="L1150" s="55"/>
      <c r="M1150" s="55"/>
      <c r="N1150" s="55">
        <v>0</v>
      </c>
    </row>
    <row r="1151" spans="1:14" hidden="1" x14ac:dyDescent="0.35">
      <c r="A1151" s="52" t="s">
        <v>623</v>
      </c>
      <c r="B1151" s="52" t="s">
        <v>60</v>
      </c>
      <c r="C1151" s="52" t="s">
        <v>393</v>
      </c>
      <c r="D1151" s="52" t="s">
        <v>393</v>
      </c>
      <c r="E1151" s="52" t="s">
        <v>584</v>
      </c>
      <c r="F1151" s="52" t="s">
        <v>581</v>
      </c>
      <c r="G1151" s="55" t="s">
        <v>278</v>
      </c>
      <c r="H1151" s="55">
        <v>8.2325300000000001E-3</v>
      </c>
      <c r="I1151" s="55">
        <v>5.3594840000000003E-3</v>
      </c>
      <c r="J1151" s="55">
        <v>0</v>
      </c>
      <c r="K1151" s="55">
        <v>0</v>
      </c>
      <c r="L1151" s="55">
        <v>0</v>
      </c>
      <c r="M1151" s="55">
        <v>0</v>
      </c>
      <c r="N1151" s="55">
        <v>0</v>
      </c>
    </row>
    <row r="1152" spans="1:14" hidden="1" x14ac:dyDescent="0.35">
      <c r="A1152" s="52" t="s">
        <v>623</v>
      </c>
      <c r="B1152" s="52" t="s">
        <v>60</v>
      </c>
      <c r="C1152" s="52" t="s">
        <v>393</v>
      </c>
      <c r="D1152" s="52" t="s">
        <v>393</v>
      </c>
      <c r="E1152" s="52" t="s">
        <v>584</v>
      </c>
      <c r="F1152" s="52" t="s">
        <v>581</v>
      </c>
      <c r="G1152" s="55" t="s">
        <v>279</v>
      </c>
      <c r="H1152" s="55">
        <v>0</v>
      </c>
      <c r="I1152" s="55">
        <v>0.39559559999999999</v>
      </c>
      <c r="J1152" s="55">
        <v>0</v>
      </c>
      <c r="K1152" s="55"/>
      <c r="L1152" s="55"/>
      <c r="M1152" s="55"/>
      <c r="N1152" s="55"/>
    </row>
    <row r="1153" spans="1:14" hidden="1" x14ac:dyDescent="0.35">
      <c r="A1153" s="52" t="s">
        <v>623</v>
      </c>
      <c r="B1153" s="52" t="s">
        <v>60</v>
      </c>
      <c r="C1153" s="52" t="s">
        <v>214</v>
      </c>
      <c r="D1153" s="52" t="s">
        <v>214</v>
      </c>
      <c r="E1153" s="52" t="s">
        <v>584</v>
      </c>
      <c r="F1153" s="52" t="s">
        <v>581</v>
      </c>
      <c r="G1153" s="55" t="s">
        <v>275</v>
      </c>
      <c r="H1153" s="55"/>
      <c r="I1153" s="55"/>
      <c r="J1153" s="55">
        <v>0</v>
      </c>
      <c r="K1153" s="55">
        <v>-4.7945679999999999</v>
      </c>
      <c r="L1153" s="55">
        <v>-11.8894</v>
      </c>
      <c r="M1153" s="55">
        <v>-24.475829999999998</v>
      </c>
      <c r="N1153" s="55">
        <v>-37.902790000000003</v>
      </c>
    </row>
    <row r="1154" spans="1:14" hidden="1" x14ac:dyDescent="0.35">
      <c r="A1154" s="52" t="s">
        <v>623</v>
      </c>
      <c r="B1154" s="52" t="s">
        <v>60</v>
      </c>
      <c r="C1154" s="52" t="s">
        <v>214</v>
      </c>
      <c r="D1154" s="52" t="s">
        <v>214</v>
      </c>
      <c r="E1154" s="52" t="s">
        <v>584</v>
      </c>
      <c r="F1154" s="52" t="s">
        <v>581</v>
      </c>
      <c r="G1154" s="55" t="s">
        <v>277</v>
      </c>
      <c r="H1154" s="55"/>
      <c r="I1154" s="55"/>
      <c r="J1154" s="55">
        <v>0</v>
      </c>
      <c r="K1154" s="55">
        <v>3.486443</v>
      </c>
      <c r="L1154" s="55">
        <v>10.58128</v>
      </c>
      <c r="M1154" s="55">
        <v>23.16771</v>
      </c>
      <c r="N1154" s="55">
        <v>36.594670000000001</v>
      </c>
    </row>
    <row r="1155" spans="1:14" hidden="1" x14ac:dyDescent="0.35">
      <c r="A1155" s="52" t="s">
        <v>623</v>
      </c>
      <c r="B1155" s="52" t="s">
        <v>60</v>
      </c>
      <c r="C1155" s="52" t="s">
        <v>214</v>
      </c>
      <c r="D1155" s="52" t="s">
        <v>214</v>
      </c>
      <c r="E1155" s="52" t="s">
        <v>584</v>
      </c>
      <c r="F1155" s="52" t="s">
        <v>581</v>
      </c>
      <c r="G1155" s="55" t="s">
        <v>279</v>
      </c>
      <c r="H1155" s="55"/>
      <c r="I1155" s="55"/>
      <c r="J1155" s="55">
        <v>0</v>
      </c>
      <c r="K1155" s="55">
        <v>1.308125</v>
      </c>
      <c r="L1155" s="55">
        <v>1.308125</v>
      </c>
      <c r="M1155" s="55">
        <v>1.308125</v>
      </c>
      <c r="N1155" s="55">
        <v>1.308125</v>
      </c>
    </row>
    <row r="1156" spans="1:14" hidden="1" x14ac:dyDescent="0.35">
      <c r="A1156" s="52" t="s">
        <v>623</v>
      </c>
      <c r="B1156" s="52" t="s">
        <v>60</v>
      </c>
      <c r="C1156" s="52" t="s">
        <v>214</v>
      </c>
      <c r="D1156" s="52" t="s">
        <v>214</v>
      </c>
      <c r="E1156" s="52" t="s">
        <v>584</v>
      </c>
      <c r="F1156" s="52" t="s">
        <v>26</v>
      </c>
      <c r="G1156" s="55" t="s">
        <v>275</v>
      </c>
      <c r="H1156" s="55">
        <v>-16.814070000000001</v>
      </c>
      <c r="I1156" s="55">
        <v>-49.138570000000001</v>
      </c>
      <c r="J1156" s="55">
        <v>-7.5717040000000004</v>
      </c>
      <c r="K1156" s="55">
        <v>-77.376980000000003</v>
      </c>
      <c r="L1156" s="55">
        <v>-215.1618</v>
      </c>
      <c r="M1156" s="55">
        <v>-459.5958</v>
      </c>
      <c r="N1156" s="55">
        <v>-805.94460000000004</v>
      </c>
    </row>
    <row r="1157" spans="1:14" hidden="1" x14ac:dyDescent="0.35">
      <c r="A1157" s="52" t="s">
        <v>623</v>
      </c>
      <c r="B1157" s="52" t="s">
        <v>60</v>
      </c>
      <c r="C1157" s="52" t="s">
        <v>214</v>
      </c>
      <c r="D1157" s="52" t="s">
        <v>214</v>
      </c>
      <c r="E1157" s="52" t="s">
        <v>584</v>
      </c>
      <c r="F1157" s="52" t="s">
        <v>26</v>
      </c>
      <c r="G1157" s="55" t="s">
        <v>276</v>
      </c>
      <c r="H1157" s="55"/>
      <c r="I1157" s="55"/>
      <c r="J1157" s="55">
        <v>-5.99827E-2</v>
      </c>
      <c r="K1157" s="55">
        <v>-0.21642749999999999</v>
      </c>
      <c r="L1157" s="55">
        <v>-8.3068679999999997</v>
      </c>
      <c r="M1157" s="55">
        <v>-0.14519270000000001</v>
      </c>
      <c r="N1157" s="55">
        <v>-0.14519270000000001</v>
      </c>
    </row>
    <row r="1158" spans="1:14" hidden="1" x14ac:dyDescent="0.35">
      <c r="A1158" s="52" t="s">
        <v>623</v>
      </c>
      <c r="B1158" s="52" t="s">
        <v>60</v>
      </c>
      <c r="C1158" s="52" t="s">
        <v>214</v>
      </c>
      <c r="D1158" s="52" t="s">
        <v>214</v>
      </c>
      <c r="E1158" s="52" t="s">
        <v>584</v>
      </c>
      <c r="F1158" s="52" t="s">
        <v>26</v>
      </c>
      <c r="G1158" s="55" t="s">
        <v>277</v>
      </c>
      <c r="H1158" s="55">
        <v>16.574999999999999</v>
      </c>
      <c r="I1158" s="55">
        <v>49.075000000000003</v>
      </c>
      <c r="J1158" s="55">
        <v>7.5717040000000004</v>
      </c>
      <c r="K1158" s="55">
        <v>67.708240000000004</v>
      </c>
      <c r="L1158" s="55">
        <v>205.49299999999999</v>
      </c>
      <c r="M1158" s="55">
        <v>449.92700000000002</v>
      </c>
      <c r="N1158" s="55">
        <v>796.27589999999998</v>
      </c>
    </row>
    <row r="1159" spans="1:14" hidden="1" x14ac:dyDescent="0.35">
      <c r="A1159" s="52" t="s">
        <v>623</v>
      </c>
      <c r="B1159" s="52" t="s">
        <v>60</v>
      </c>
      <c r="C1159" s="52" t="s">
        <v>214</v>
      </c>
      <c r="D1159" s="52" t="s">
        <v>214</v>
      </c>
      <c r="E1159" s="52" t="s">
        <v>584</v>
      </c>
      <c r="F1159" s="52" t="s">
        <v>26</v>
      </c>
      <c r="G1159" s="55" t="s">
        <v>278</v>
      </c>
      <c r="H1159" s="55">
        <v>0.23907500000000001</v>
      </c>
      <c r="I1159" s="55">
        <v>6.3564049999999997E-2</v>
      </c>
      <c r="J1159" s="55">
        <v>5.99827E-2</v>
      </c>
      <c r="K1159" s="55">
        <v>0.21642749999999999</v>
      </c>
      <c r="L1159" s="55">
        <v>8.3068679999999997</v>
      </c>
      <c r="M1159" s="55">
        <v>0.14519270000000001</v>
      </c>
      <c r="N1159" s="55">
        <v>0.14519270000000001</v>
      </c>
    </row>
    <row r="1160" spans="1:14" hidden="1" x14ac:dyDescent="0.35">
      <c r="A1160" s="52" t="s">
        <v>623</v>
      </c>
      <c r="B1160" s="52" t="s">
        <v>60</v>
      </c>
      <c r="C1160" s="52" t="s">
        <v>214</v>
      </c>
      <c r="D1160" s="52" t="s">
        <v>214</v>
      </c>
      <c r="E1160" s="52" t="s">
        <v>584</v>
      </c>
      <c r="F1160" s="52" t="s">
        <v>26</v>
      </c>
      <c r="G1160" s="55" t="s">
        <v>279</v>
      </c>
      <c r="H1160" s="55"/>
      <c r="I1160" s="55"/>
      <c r="J1160" s="55">
        <v>0</v>
      </c>
      <c r="K1160" s="55">
        <v>9.6687499999999993</v>
      </c>
      <c r="L1160" s="55">
        <v>9.6687499999999993</v>
      </c>
      <c r="M1160" s="55">
        <v>9.6687499999999993</v>
      </c>
      <c r="N1160" s="55">
        <v>9.6687499999999993</v>
      </c>
    </row>
    <row r="1161" spans="1:14" hidden="1" x14ac:dyDescent="0.35">
      <c r="A1161" s="52" t="s">
        <v>623</v>
      </c>
      <c r="B1161" s="52" t="s">
        <v>60</v>
      </c>
      <c r="C1161" s="52" t="s">
        <v>363</v>
      </c>
      <c r="D1161" s="52" t="s">
        <v>363</v>
      </c>
      <c r="E1161" s="52" t="s">
        <v>584</v>
      </c>
      <c r="F1161" s="52" t="s">
        <v>26</v>
      </c>
      <c r="G1161" s="55" t="s">
        <v>275</v>
      </c>
      <c r="H1161" s="55">
        <v>-3.7731199999999999E-2</v>
      </c>
      <c r="I1161" s="55">
        <v>-9.0203099999999994E-2</v>
      </c>
      <c r="J1161" s="55">
        <v>-8.3576339999999999E-2</v>
      </c>
      <c r="K1161" s="55">
        <v>-139.49610000000001</v>
      </c>
      <c r="L1161" s="55">
        <v>-402.786</v>
      </c>
      <c r="M1161" s="55">
        <v>-861.20619999999997</v>
      </c>
      <c r="N1161" s="55">
        <v>-1326.415</v>
      </c>
    </row>
    <row r="1162" spans="1:14" hidden="1" x14ac:dyDescent="0.35">
      <c r="A1162" s="52" t="s">
        <v>623</v>
      </c>
      <c r="B1162" s="52" t="s">
        <v>60</v>
      </c>
      <c r="C1162" s="52" t="s">
        <v>363</v>
      </c>
      <c r="D1162" s="52" t="s">
        <v>363</v>
      </c>
      <c r="E1162" s="52" t="s">
        <v>584</v>
      </c>
      <c r="F1162" s="52" t="s">
        <v>26</v>
      </c>
      <c r="G1162" s="55" t="s">
        <v>276</v>
      </c>
      <c r="H1162" s="55">
        <v>-2.0346300000000001E-2</v>
      </c>
      <c r="I1162" s="55">
        <v>-2.3081500000000001E-2</v>
      </c>
      <c r="J1162" s="55">
        <v>-2.22872E-2</v>
      </c>
      <c r="K1162" s="55">
        <v>-9.2042070000000002</v>
      </c>
      <c r="L1162" s="55">
        <v>-30.42315</v>
      </c>
      <c r="M1162" s="55">
        <v>-76.886960000000002</v>
      </c>
      <c r="N1162" s="55">
        <v>-150.27799999999999</v>
      </c>
    </row>
    <row r="1163" spans="1:14" hidden="1" x14ac:dyDescent="0.35">
      <c r="A1163" s="52" t="s">
        <v>623</v>
      </c>
      <c r="B1163" s="52" t="s">
        <v>60</v>
      </c>
      <c r="C1163" s="52" t="s">
        <v>363</v>
      </c>
      <c r="D1163" s="52" t="s">
        <v>363</v>
      </c>
      <c r="E1163" s="52" t="s">
        <v>584</v>
      </c>
      <c r="F1163" s="52" t="s">
        <v>26</v>
      </c>
      <c r="G1163" s="55" t="s">
        <v>277</v>
      </c>
      <c r="H1163" s="55"/>
      <c r="I1163" s="55"/>
      <c r="J1163" s="55">
        <v>0</v>
      </c>
      <c r="K1163" s="55">
        <v>139.85290000000001</v>
      </c>
      <c r="L1163" s="55">
        <v>424.4504</v>
      </c>
      <c r="M1163" s="55">
        <v>929.33439999999996</v>
      </c>
      <c r="N1163" s="55">
        <v>1467.9349999999999</v>
      </c>
    </row>
    <row r="1164" spans="1:14" hidden="1" x14ac:dyDescent="0.35">
      <c r="A1164" s="52" t="s">
        <v>623</v>
      </c>
      <c r="B1164" s="52" t="s">
        <v>60</v>
      </c>
      <c r="C1164" s="52" t="s">
        <v>363</v>
      </c>
      <c r="D1164" s="52" t="s">
        <v>363</v>
      </c>
      <c r="E1164" s="52" t="s">
        <v>584</v>
      </c>
      <c r="F1164" s="52" t="s">
        <v>26</v>
      </c>
      <c r="G1164" s="55" t="s">
        <v>278</v>
      </c>
      <c r="H1164" s="55">
        <v>5.8076839999999998E-2</v>
      </c>
      <c r="I1164" s="55">
        <v>0.1132846</v>
      </c>
      <c r="J1164" s="55">
        <v>0.10586420000000001</v>
      </c>
      <c r="K1164" s="55">
        <v>8.8624250000000002E-2</v>
      </c>
      <c r="L1164" s="55">
        <v>0</v>
      </c>
      <c r="M1164" s="55"/>
      <c r="N1164" s="55"/>
    </row>
    <row r="1165" spans="1:14" hidden="1" x14ac:dyDescent="0.35">
      <c r="A1165" s="52" t="s">
        <v>623</v>
      </c>
      <c r="B1165" s="52" t="s">
        <v>60</v>
      </c>
      <c r="C1165" s="52" t="s">
        <v>363</v>
      </c>
      <c r="D1165" s="52" t="s">
        <v>363</v>
      </c>
      <c r="E1165" s="52" t="s">
        <v>584</v>
      </c>
      <c r="F1165" s="52" t="s">
        <v>26</v>
      </c>
      <c r="G1165" s="55" t="s">
        <v>279</v>
      </c>
      <c r="H1165" s="55"/>
      <c r="I1165" s="55"/>
      <c r="J1165" s="55">
        <v>0</v>
      </c>
      <c r="K1165" s="55">
        <v>8.7587499999999991</v>
      </c>
      <c r="L1165" s="55">
        <v>8.7587489999999999</v>
      </c>
      <c r="M1165" s="55">
        <v>8.7587489999999999</v>
      </c>
      <c r="N1165" s="55">
        <v>8.7587499999999991</v>
      </c>
    </row>
    <row r="1166" spans="1:14" hidden="1" x14ac:dyDescent="0.35">
      <c r="A1166" s="52" t="s">
        <v>623</v>
      </c>
      <c r="B1166" s="52" t="s">
        <v>37</v>
      </c>
      <c r="C1166" s="52" t="s">
        <v>79</v>
      </c>
      <c r="D1166" s="52" t="s">
        <v>79</v>
      </c>
      <c r="E1166" s="52" t="s">
        <v>614</v>
      </c>
      <c r="F1166" s="52" t="s">
        <v>581</v>
      </c>
      <c r="G1166" s="55" t="s">
        <v>275</v>
      </c>
      <c r="H1166" s="55">
        <v>-2.603593</v>
      </c>
      <c r="I1166" s="55">
        <v>8.8739450000000009</v>
      </c>
      <c r="J1166" s="55">
        <v>36.091299999999997</v>
      </c>
      <c r="K1166" s="55">
        <v>34.715870000000002</v>
      </c>
      <c r="L1166" s="55">
        <v>24.076969999999999</v>
      </c>
      <c r="M1166" s="55">
        <v>14.80885</v>
      </c>
      <c r="N1166" s="55">
        <v>19.362960000000001</v>
      </c>
    </row>
    <row r="1167" spans="1:14" hidden="1" x14ac:dyDescent="0.35">
      <c r="A1167" s="52" t="s">
        <v>623</v>
      </c>
      <c r="B1167" s="52" t="s">
        <v>37</v>
      </c>
      <c r="C1167" s="52" t="s">
        <v>79</v>
      </c>
      <c r="D1167" s="52" t="s">
        <v>79</v>
      </c>
      <c r="E1167" s="52" t="s">
        <v>614</v>
      </c>
      <c r="F1167" s="52" t="s">
        <v>581</v>
      </c>
      <c r="G1167" s="55" t="s">
        <v>276</v>
      </c>
      <c r="H1167" s="55">
        <v>23.669969999999999</v>
      </c>
      <c r="I1167" s="55">
        <v>4.0308840000000004</v>
      </c>
      <c r="J1167" s="55">
        <v>1.9346000000000001</v>
      </c>
      <c r="K1167" s="55">
        <v>-5.4067860000000003</v>
      </c>
      <c r="L1167" s="55">
        <v>-5.9228940000000003</v>
      </c>
      <c r="M1167" s="55">
        <v>2.5733579999999998</v>
      </c>
      <c r="N1167" s="55">
        <v>5.1344589999999997</v>
      </c>
    </row>
    <row r="1168" spans="1:14" hidden="1" x14ac:dyDescent="0.35">
      <c r="A1168" s="52" t="s">
        <v>623</v>
      </c>
      <c r="B1168" s="52" t="s">
        <v>37</v>
      </c>
      <c r="C1168" s="52" t="s">
        <v>79</v>
      </c>
      <c r="D1168" s="52" t="s">
        <v>79</v>
      </c>
      <c r="E1168" s="52" t="s">
        <v>614</v>
      </c>
      <c r="F1168" s="52" t="s">
        <v>581</v>
      </c>
      <c r="G1168" s="55" t="s">
        <v>277</v>
      </c>
      <c r="H1168" s="55">
        <v>91.847949999999997</v>
      </c>
      <c r="I1168" s="55">
        <v>35.395409999999998</v>
      </c>
      <c r="J1168" s="55">
        <v>11.717879999999999</v>
      </c>
      <c r="K1168" s="55">
        <v>6.1372450000000001</v>
      </c>
      <c r="L1168" s="55">
        <v>10.58616</v>
      </c>
      <c r="M1168" s="55">
        <v>16.702400000000001</v>
      </c>
      <c r="N1168" s="55">
        <v>13.583769999999999</v>
      </c>
    </row>
    <row r="1169" spans="1:14" hidden="1" x14ac:dyDescent="0.35">
      <c r="A1169" s="52" t="s">
        <v>623</v>
      </c>
      <c r="B1169" s="52" t="s">
        <v>37</v>
      </c>
      <c r="C1169" s="52" t="s">
        <v>79</v>
      </c>
      <c r="D1169" s="52" t="s">
        <v>79</v>
      </c>
      <c r="E1169" s="52" t="s">
        <v>614</v>
      </c>
      <c r="F1169" s="52" t="s">
        <v>581</v>
      </c>
      <c r="G1169" s="55" t="s">
        <v>278</v>
      </c>
      <c r="H1169" s="55">
        <v>44.447360000000003</v>
      </c>
      <c r="I1169" s="55">
        <v>22.051850000000002</v>
      </c>
      <c r="J1169" s="55">
        <v>15.23762</v>
      </c>
      <c r="K1169" s="55">
        <v>14.1675</v>
      </c>
      <c r="L1169" s="55">
        <v>19.28847</v>
      </c>
      <c r="M1169" s="55">
        <v>17.96979</v>
      </c>
      <c r="N1169" s="55">
        <v>12.46682</v>
      </c>
    </row>
    <row r="1170" spans="1:14" hidden="1" x14ac:dyDescent="0.35">
      <c r="A1170" s="52" t="s">
        <v>623</v>
      </c>
      <c r="B1170" s="52" t="s">
        <v>37</v>
      </c>
      <c r="C1170" s="52" t="s">
        <v>79</v>
      </c>
      <c r="D1170" s="52" t="s">
        <v>79</v>
      </c>
      <c r="E1170" s="52" t="s">
        <v>614</v>
      </c>
      <c r="F1170" s="52" t="s">
        <v>581</v>
      </c>
      <c r="G1170" s="55" t="s">
        <v>279</v>
      </c>
      <c r="H1170" s="55">
        <v>50.442860000000003</v>
      </c>
      <c r="I1170" s="55">
        <v>42.760899999999999</v>
      </c>
      <c r="J1170" s="55">
        <v>37.369639999999997</v>
      </c>
      <c r="K1170" s="55">
        <v>30.046430000000001</v>
      </c>
      <c r="L1170" s="55">
        <v>27.2727</v>
      </c>
      <c r="M1170" s="55">
        <v>34.932000000000002</v>
      </c>
      <c r="N1170" s="55">
        <v>33.597430000000003</v>
      </c>
    </row>
    <row r="1171" spans="1:14" hidden="1" x14ac:dyDescent="0.35">
      <c r="A1171" s="52" t="s">
        <v>623</v>
      </c>
      <c r="B1171" s="52" t="s">
        <v>37</v>
      </c>
      <c r="C1171" s="52" t="s">
        <v>79</v>
      </c>
      <c r="D1171" s="52" t="s">
        <v>79</v>
      </c>
      <c r="E1171" s="52" t="s">
        <v>614</v>
      </c>
      <c r="F1171" s="52" t="s">
        <v>26</v>
      </c>
      <c r="G1171" s="55" t="s">
        <v>275</v>
      </c>
      <c r="H1171" s="55">
        <v>0.327044</v>
      </c>
      <c r="I1171" s="55">
        <v>0.20510400000000001</v>
      </c>
      <c r="J1171" s="55">
        <v>0.40615329999999999</v>
      </c>
      <c r="K1171" s="55">
        <v>0.2065987</v>
      </c>
      <c r="L1171" s="55">
        <v>0.23785139999999999</v>
      </c>
      <c r="M1171" s="55">
        <v>3.5581700000000001E-2</v>
      </c>
      <c r="N1171" s="55">
        <v>3.7834600000000003E-2</v>
      </c>
    </row>
    <row r="1172" spans="1:14" hidden="1" x14ac:dyDescent="0.35">
      <c r="A1172" s="52" t="s">
        <v>623</v>
      </c>
      <c r="B1172" s="52" t="s">
        <v>37</v>
      </c>
      <c r="C1172" s="52" t="s">
        <v>79</v>
      </c>
      <c r="D1172" s="52" t="s">
        <v>79</v>
      </c>
      <c r="E1172" s="52" t="s">
        <v>614</v>
      </c>
      <c r="F1172" s="52" t="s">
        <v>26</v>
      </c>
      <c r="G1172" s="55" t="s">
        <v>276</v>
      </c>
      <c r="H1172" s="55">
        <v>9.4812999999999995E-2</v>
      </c>
      <c r="I1172" s="55">
        <v>5.9458700000000003E-2</v>
      </c>
      <c r="J1172" s="55">
        <v>0.117743</v>
      </c>
      <c r="K1172" s="55">
        <v>5.9889409999999997E-2</v>
      </c>
      <c r="L1172" s="55">
        <v>6.8949999999999997E-2</v>
      </c>
      <c r="M1172" s="55">
        <v>1.03141E-2</v>
      </c>
      <c r="N1172" s="55">
        <v>1.09693E-2</v>
      </c>
    </row>
    <row r="1173" spans="1:14" hidden="1" x14ac:dyDescent="0.35">
      <c r="A1173" s="52" t="s">
        <v>623</v>
      </c>
      <c r="B1173" s="52" t="s">
        <v>37</v>
      </c>
      <c r="C1173" s="52" t="s">
        <v>79</v>
      </c>
      <c r="D1173" s="52" t="s">
        <v>79</v>
      </c>
      <c r="E1173" s="52" t="s">
        <v>614</v>
      </c>
      <c r="F1173" s="52" t="s">
        <v>26</v>
      </c>
      <c r="G1173" s="55" t="s">
        <v>279</v>
      </c>
      <c r="H1173" s="55">
        <v>4.155151</v>
      </c>
      <c r="I1173" s="55">
        <v>4.2323199999999996</v>
      </c>
      <c r="J1173" s="55">
        <v>3.7223320000000002</v>
      </c>
      <c r="K1173" s="55">
        <v>3.0188030000000001</v>
      </c>
      <c r="L1173" s="55">
        <v>2.7894709999999998</v>
      </c>
      <c r="M1173" s="55">
        <v>3.5191330000000001</v>
      </c>
      <c r="N1173" s="55">
        <v>3.3795839999999999</v>
      </c>
    </row>
    <row r="1174" spans="1:14" hidden="1" x14ac:dyDescent="0.35">
      <c r="A1174" s="52" t="s">
        <v>623</v>
      </c>
      <c r="B1174" s="52" t="s">
        <v>37</v>
      </c>
      <c r="C1174" s="52" t="s">
        <v>61</v>
      </c>
      <c r="D1174" s="52" t="s">
        <v>62</v>
      </c>
      <c r="E1174" s="52" t="s">
        <v>584</v>
      </c>
      <c r="F1174" s="52" t="s">
        <v>581</v>
      </c>
      <c r="G1174" s="55" t="s">
        <v>275</v>
      </c>
      <c r="H1174" s="55">
        <v>7.0355080000000001</v>
      </c>
      <c r="I1174" s="55">
        <v>-97.235140000000001</v>
      </c>
      <c r="J1174" s="55">
        <v>13.710750000000001</v>
      </c>
      <c r="K1174" s="55">
        <v>16.144069999999999</v>
      </c>
      <c r="L1174" s="55">
        <v>10.2058</v>
      </c>
      <c r="M1174" s="55">
        <v>8.0824379999999998</v>
      </c>
      <c r="N1174" s="55">
        <v>5.3792929999999997</v>
      </c>
    </row>
    <row r="1175" spans="1:14" hidden="1" x14ac:dyDescent="0.35">
      <c r="A1175" s="52" t="s">
        <v>623</v>
      </c>
      <c r="B1175" s="52" t="s">
        <v>37</v>
      </c>
      <c r="C1175" s="52" t="s">
        <v>61</v>
      </c>
      <c r="D1175" s="52" t="s">
        <v>62</v>
      </c>
      <c r="E1175" s="52" t="s">
        <v>584</v>
      </c>
      <c r="F1175" s="52" t="s">
        <v>581</v>
      </c>
      <c r="G1175" s="55" t="s">
        <v>276</v>
      </c>
      <c r="H1175" s="55">
        <v>3.0980669999999999</v>
      </c>
      <c r="I1175" s="55">
        <v>-5.5189820000000003</v>
      </c>
      <c r="J1175" s="55">
        <v>-5.7317020000000003E-2</v>
      </c>
      <c r="K1175" s="55">
        <v>-8.4055940000000007</v>
      </c>
      <c r="L1175" s="55">
        <v>0.28941339999999999</v>
      </c>
      <c r="M1175" s="55">
        <v>1.8188009999999999</v>
      </c>
      <c r="N1175" s="55">
        <v>-6.3954139999999997</v>
      </c>
    </row>
    <row r="1176" spans="1:14" hidden="1" x14ac:dyDescent="0.35">
      <c r="A1176" s="52" t="s">
        <v>623</v>
      </c>
      <c r="B1176" s="52" t="s">
        <v>37</v>
      </c>
      <c r="C1176" s="52" t="s">
        <v>61</v>
      </c>
      <c r="D1176" s="52" t="s">
        <v>62</v>
      </c>
      <c r="E1176" s="52" t="s">
        <v>584</v>
      </c>
      <c r="F1176" s="52" t="s">
        <v>581</v>
      </c>
      <c r="G1176" s="55" t="s">
        <v>277</v>
      </c>
      <c r="H1176" s="55">
        <v>24.384260000000001</v>
      </c>
      <c r="I1176" s="55">
        <v>2.5263789999999999</v>
      </c>
      <c r="J1176" s="55">
        <v>2.226979</v>
      </c>
      <c r="K1176" s="55">
        <v>3.0632410000000001</v>
      </c>
      <c r="L1176" s="55">
        <v>2.9647459999999999</v>
      </c>
      <c r="M1176" s="55">
        <v>1.690223</v>
      </c>
      <c r="N1176" s="55">
        <v>1.86117</v>
      </c>
    </row>
    <row r="1177" spans="1:14" hidden="1" x14ac:dyDescent="0.35">
      <c r="A1177" s="52" t="s">
        <v>623</v>
      </c>
      <c r="B1177" s="52" t="s">
        <v>37</v>
      </c>
      <c r="C1177" s="52" t="s">
        <v>61</v>
      </c>
      <c r="D1177" s="52" t="s">
        <v>62</v>
      </c>
      <c r="E1177" s="52" t="s">
        <v>584</v>
      </c>
      <c r="F1177" s="52" t="s">
        <v>581</v>
      </c>
      <c r="G1177" s="55" t="s">
        <v>278</v>
      </c>
      <c r="H1177" s="55">
        <v>0.1231172</v>
      </c>
      <c r="I1177" s="55">
        <v>116.4683</v>
      </c>
      <c r="J1177" s="55">
        <v>0.1231172</v>
      </c>
      <c r="K1177" s="55">
        <v>3.6628560000000001</v>
      </c>
      <c r="L1177" s="55">
        <v>0.1231172</v>
      </c>
      <c r="M1177" s="55">
        <v>0.1231172</v>
      </c>
      <c r="N1177" s="55">
        <v>7.6133839999999999</v>
      </c>
    </row>
    <row r="1178" spans="1:14" hidden="1" x14ac:dyDescent="0.35">
      <c r="A1178" s="52" t="s">
        <v>623</v>
      </c>
      <c r="B1178" s="52" t="s">
        <v>37</v>
      </c>
      <c r="C1178" s="52" t="s">
        <v>61</v>
      </c>
      <c r="D1178" s="52" t="s">
        <v>62</v>
      </c>
      <c r="E1178" s="52" t="s">
        <v>584</v>
      </c>
      <c r="F1178" s="52" t="s">
        <v>581</v>
      </c>
      <c r="G1178" s="55" t="s">
        <v>279</v>
      </c>
      <c r="H1178" s="55">
        <v>11.2249</v>
      </c>
      <c r="I1178" s="55">
        <v>10.377940000000001</v>
      </c>
      <c r="J1178" s="55">
        <v>10.30686</v>
      </c>
      <c r="K1178" s="55">
        <v>10.64311</v>
      </c>
      <c r="L1178" s="55">
        <v>10.336080000000001</v>
      </c>
      <c r="M1178" s="55">
        <v>9.9072929999999992</v>
      </c>
      <c r="N1178" s="55">
        <v>9.3329160000000009</v>
      </c>
    </row>
    <row r="1179" spans="1:14" hidden="1" x14ac:dyDescent="0.35">
      <c r="A1179" s="52" t="s">
        <v>623</v>
      </c>
      <c r="B1179" s="52" t="s">
        <v>37</v>
      </c>
      <c r="C1179" s="52" t="s">
        <v>61</v>
      </c>
      <c r="D1179" s="52" t="s">
        <v>62</v>
      </c>
      <c r="E1179" s="52" t="s">
        <v>584</v>
      </c>
      <c r="F1179" s="52" t="s">
        <v>26</v>
      </c>
      <c r="G1179" s="55" t="s">
        <v>275</v>
      </c>
      <c r="H1179" s="55">
        <v>-3.0862469999999999E-2</v>
      </c>
      <c r="I1179" s="55">
        <v>0.68565989999999999</v>
      </c>
      <c r="J1179" s="55">
        <v>0.72860100000000005</v>
      </c>
      <c r="K1179" s="55">
        <v>0.78974549999999999</v>
      </c>
      <c r="L1179" s="55">
        <v>0.69649059999999996</v>
      </c>
      <c r="M1179" s="55">
        <v>0.60525589999999996</v>
      </c>
      <c r="N1179" s="55">
        <v>0.4913574</v>
      </c>
    </row>
    <row r="1180" spans="1:14" hidden="1" x14ac:dyDescent="0.35">
      <c r="A1180" s="52" t="s">
        <v>623</v>
      </c>
      <c r="B1180" s="52" t="s">
        <v>37</v>
      </c>
      <c r="C1180" s="52" t="s">
        <v>61</v>
      </c>
      <c r="D1180" s="52" t="s">
        <v>62</v>
      </c>
      <c r="E1180" s="52" t="s">
        <v>584</v>
      </c>
      <c r="F1180" s="52" t="s">
        <v>26</v>
      </c>
      <c r="G1180" s="55" t="s">
        <v>276</v>
      </c>
      <c r="H1180" s="55">
        <v>6.470542E-2</v>
      </c>
      <c r="I1180" s="55">
        <v>8.9501140000000007E-2</v>
      </c>
      <c r="J1180" s="55">
        <v>0.11946850000000001</v>
      </c>
      <c r="K1180" s="55">
        <v>-9.5501059999999992E-3</v>
      </c>
      <c r="L1180" s="55">
        <v>0.1077848</v>
      </c>
      <c r="M1180" s="55">
        <v>0.1608908</v>
      </c>
      <c r="N1180" s="55">
        <v>0.1306139</v>
      </c>
    </row>
    <row r="1181" spans="1:14" hidden="1" x14ac:dyDescent="0.35">
      <c r="A1181" s="52" t="s">
        <v>623</v>
      </c>
      <c r="B1181" s="52" t="s">
        <v>37</v>
      </c>
      <c r="C1181" s="52" t="s">
        <v>61</v>
      </c>
      <c r="D1181" s="52" t="s">
        <v>62</v>
      </c>
      <c r="E1181" s="52" t="s">
        <v>584</v>
      </c>
      <c r="F1181" s="52" t="s">
        <v>26</v>
      </c>
      <c r="G1181" s="55" t="s">
        <v>277</v>
      </c>
      <c r="H1181" s="55">
        <v>0.710484</v>
      </c>
      <c r="I1181" s="55">
        <v>0</v>
      </c>
      <c r="J1181" s="55"/>
      <c r="K1181" s="55"/>
      <c r="L1181" s="55"/>
      <c r="M1181" s="55"/>
      <c r="N1181" s="55"/>
    </row>
    <row r="1182" spans="1:14" hidden="1" x14ac:dyDescent="0.35">
      <c r="A1182" s="52" t="s">
        <v>623</v>
      </c>
      <c r="B1182" s="52" t="s">
        <v>37</v>
      </c>
      <c r="C1182" s="52" t="s">
        <v>61</v>
      </c>
      <c r="D1182" s="52" t="s">
        <v>62</v>
      </c>
      <c r="E1182" s="52" t="s">
        <v>584</v>
      </c>
      <c r="F1182" s="52" t="s">
        <v>26</v>
      </c>
      <c r="G1182" s="55" t="s">
        <v>279</v>
      </c>
      <c r="H1182" s="55">
        <v>1.220326</v>
      </c>
      <c r="I1182" s="55">
        <v>1.3402350000000001</v>
      </c>
      <c r="J1182" s="55">
        <v>1.3676360000000001</v>
      </c>
      <c r="K1182" s="55">
        <v>1.4485650000000001</v>
      </c>
      <c r="L1182" s="55">
        <v>1.433821</v>
      </c>
      <c r="M1182" s="55">
        <v>1.3542240000000001</v>
      </c>
      <c r="N1182" s="55">
        <v>1.1929890000000001</v>
      </c>
    </row>
    <row r="1183" spans="1:14" hidden="1" x14ac:dyDescent="0.35">
      <c r="A1183" s="52" t="s">
        <v>623</v>
      </c>
      <c r="B1183" s="52" t="s">
        <v>37</v>
      </c>
      <c r="C1183" s="52" t="s">
        <v>109</v>
      </c>
      <c r="D1183" s="52" t="s">
        <v>109</v>
      </c>
      <c r="E1183" s="52" t="s">
        <v>584</v>
      </c>
      <c r="F1183" s="52" t="s">
        <v>581</v>
      </c>
      <c r="G1183" s="55" t="s">
        <v>275</v>
      </c>
      <c r="H1183" s="55">
        <v>0</v>
      </c>
      <c r="I1183" s="55"/>
      <c r="J1183" s="55"/>
      <c r="K1183" s="55"/>
      <c r="L1183" s="55"/>
      <c r="M1183" s="55"/>
      <c r="N1183" s="55"/>
    </row>
    <row r="1184" spans="1:14" hidden="1" x14ac:dyDescent="0.35">
      <c r="A1184" s="52" t="s">
        <v>623</v>
      </c>
      <c r="B1184" s="52" t="s">
        <v>37</v>
      </c>
      <c r="C1184" s="52" t="s">
        <v>109</v>
      </c>
      <c r="D1184" s="52" t="s">
        <v>109</v>
      </c>
      <c r="E1184" s="52" t="s">
        <v>584</v>
      </c>
      <c r="F1184" s="52" t="s">
        <v>581</v>
      </c>
      <c r="G1184" s="55" t="s">
        <v>276</v>
      </c>
      <c r="H1184" s="55">
        <v>0</v>
      </c>
      <c r="I1184" s="55"/>
      <c r="J1184" s="55"/>
      <c r="K1184" s="55"/>
      <c r="L1184" s="55"/>
      <c r="M1184" s="55"/>
      <c r="N1184" s="55"/>
    </row>
    <row r="1185" spans="1:14" hidden="1" x14ac:dyDescent="0.35">
      <c r="A1185" s="52" t="s">
        <v>623</v>
      </c>
      <c r="B1185" s="52" t="s">
        <v>37</v>
      </c>
      <c r="C1185" s="52" t="s">
        <v>109</v>
      </c>
      <c r="D1185" s="52" t="s">
        <v>109</v>
      </c>
      <c r="E1185" s="52" t="s">
        <v>584</v>
      </c>
      <c r="F1185" s="52" t="s">
        <v>581</v>
      </c>
      <c r="G1185" s="55" t="s">
        <v>279</v>
      </c>
      <c r="H1185" s="55">
        <v>0</v>
      </c>
      <c r="I1185" s="55"/>
      <c r="J1185" s="55"/>
      <c r="K1185" s="55"/>
      <c r="L1185" s="55"/>
      <c r="M1185" s="55"/>
      <c r="N1185" s="55"/>
    </row>
    <row r="1186" spans="1:14" hidden="1" x14ac:dyDescent="0.35">
      <c r="A1186" s="52" t="s">
        <v>623</v>
      </c>
      <c r="B1186" s="52" t="s">
        <v>37</v>
      </c>
      <c r="C1186" s="52" t="s">
        <v>109</v>
      </c>
      <c r="D1186" s="52" t="s">
        <v>109</v>
      </c>
      <c r="E1186" s="52" t="s">
        <v>584</v>
      </c>
      <c r="F1186" s="52" t="s">
        <v>26</v>
      </c>
      <c r="G1186" s="55" t="s">
        <v>275</v>
      </c>
      <c r="H1186" s="55">
        <v>0</v>
      </c>
      <c r="I1186" s="55"/>
      <c r="J1186" s="55"/>
      <c r="K1186" s="55"/>
      <c r="L1186" s="55"/>
      <c r="M1186" s="55"/>
      <c r="N1186" s="55"/>
    </row>
    <row r="1187" spans="1:14" hidden="1" x14ac:dyDescent="0.35">
      <c r="A1187" s="52" t="s">
        <v>623</v>
      </c>
      <c r="B1187" s="52" t="s">
        <v>37</v>
      </c>
      <c r="C1187" s="52" t="s">
        <v>109</v>
      </c>
      <c r="D1187" s="52" t="s">
        <v>109</v>
      </c>
      <c r="E1187" s="52" t="s">
        <v>584</v>
      </c>
      <c r="F1187" s="52" t="s">
        <v>26</v>
      </c>
      <c r="G1187" s="55" t="s">
        <v>276</v>
      </c>
      <c r="H1187" s="55">
        <v>0</v>
      </c>
      <c r="I1187" s="55"/>
      <c r="J1187" s="55"/>
      <c r="K1187" s="55"/>
      <c r="L1187" s="55"/>
      <c r="M1187" s="55"/>
      <c r="N1187" s="55"/>
    </row>
    <row r="1188" spans="1:14" hidden="1" x14ac:dyDescent="0.35">
      <c r="A1188" s="52" t="s">
        <v>623</v>
      </c>
      <c r="B1188" s="52" t="s">
        <v>37</v>
      </c>
      <c r="C1188" s="52" t="s">
        <v>109</v>
      </c>
      <c r="D1188" s="52" t="s">
        <v>109</v>
      </c>
      <c r="E1188" s="52" t="s">
        <v>584</v>
      </c>
      <c r="F1188" s="52" t="s">
        <v>26</v>
      </c>
      <c r="G1188" s="55" t="s">
        <v>279</v>
      </c>
      <c r="H1188" s="55">
        <v>0</v>
      </c>
      <c r="I1188" s="55"/>
      <c r="J1188" s="55"/>
      <c r="K1188" s="55"/>
      <c r="L1188" s="55"/>
      <c r="M1188" s="55"/>
      <c r="N1188" s="55"/>
    </row>
    <row r="1189" spans="1:14" hidden="1" x14ac:dyDescent="0.35">
      <c r="A1189" s="52" t="s">
        <v>623</v>
      </c>
      <c r="B1189" s="52" t="s">
        <v>625</v>
      </c>
      <c r="C1189" s="52" t="s">
        <v>626</v>
      </c>
      <c r="D1189" s="52" t="s">
        <v>626</v>
      </c>
      <c r="E1189" s="52" t="s">
        <v>584</v>
      </c>
      <c r="F1189" s="52" t="s">
        <v>581</v>
      </c>
      <c r="G1189" s="55" t="s">
        <v>275</v>
      </c>
      <c r="H1189" s="55">
        <v>4.6940239999999998</v>
      </c>
      <c r="I1189" s="55">
        <v>1.0838270000000001</v>
      </c>
      <c r="J1189" s="55">
        <v>0.73162099999999997</v>
      </c>
      <c r="K1189" s="55">
        <v>0.56220490000000001</v>
      </c>
      <c r="L1189" s="55">
        <v>0.44797579999999998</v>
      </c>
      <c r="M1189" s="55">
        <v>0.35671599999999998</v>
      </c>
      <c r="N1189" s="55">
        <v>0.29106470000000001</v>
      </c>
    </row>
    <row r="1190" spans="1:14" hidden="1" x14ac:dyDescent="0.35">
      <c r="A1190" s="52" t="s">
        <v>623</v>
      </c>
      <c r="B1190" s="52" t="s">
        <v>625</v>
      </c>
      <c r="C1190" s="52" t="s">
        <v>626</v>
      </c>
      <c r="D1190" s="52" t="s">
        <v>626</v>
      </c>
      <c r="E1190" s="52" t="s">
        <v>584</v>
      </c>
      <c r="F1190" s="52" t="s">
        <v>581</v>
      </c>
      <c r="G1190" s="55" t="s">
        <v>276</v>
      </c>
      <c r="H1190" s="55">
        <v>1.179459</v>
      </c>
      <c r="I1190" s="55">
        <v>0.81232850000000001</v>
      </c>
      <c r="J1190" s="55">
        <v>0.72492279999999998</v>
      </c>
      <c r="K1190" s="55">
        <v>0.55769100000000005</v>
      </c>
      <c r="L1190" s="55">
        <v>0.44563540000000001</v>
      </c>
      <c r="M1190" s="55">
        <v>0.35655120000000001</v>
      </c>
      <c r="N1190" s="55">
        <v>0.29106539999999997</v>
      </c>
    </row>
    <row r="1191" spans="1:14" hidden="1" x14ac:dyDescent="0.35">
      <c r="A1191" s="52" t="s">
        <v>623</v>
      </c>
      <c r="B1191" s="52" t="s">
        <v>625</v>
      </c>
      <c r="C1191" s="52" t="s">
        <v>626</v>
      </c>
      <c r="D1191" s="52" t="s">
        <v>626</v>
      </c>
      <c r="E1191" s="52" t="s">
        <v>584</v>
      </c>
      <c r="F1191" s="52" t="s">
        <v>581</v>
      </c>
      <c r="G1191" s="55" t="s">
        <v>277</v>
      </c>
      <c r="H1191" s="55"/>
      <c r="I1191" s="55"/>
      <c r="J1191" s="55"/>
      <c r="K1191" s="55"/>
      <c r="L1191" s="55"/>
      <c r="M1191" s="55">
        <v>0</v>
      </c>
      <c r="N1191" s="55"/>
    </row>
    <row r="1192" spans="1:14" hidden="1" x14ac:dyDescent="0.35">
      <c r="A1192" s="52" t="s">
        <v>623</v>
      </c>
      <c r="B1192" s="52" t="s">
        <v>625</v>
      </c>
      <c r="C1192" s="52" t="s">
        <v>626</v>
      </c>
      <c r="D1192" s="52" t="s">
        <v>626</v>
      </c>
      <c r="E1192" s="52" t="s">
        <v>584</v>
      </c>
      <c r="F1192" s="52" t="s">
        <v>581</v>
      </c>
      <c r="G1192" s="55" t="s">
        <v>278</v>
      </c>
      <c r="H1192" s="55">
        <v>2.0077330000000001E-2</v>
      </c>
      <c r="I1192" s="55">
        <v>2.0077330000000001E-2</v>
      </c>
      <c r="J1192" s="55">
        <v>0</v>
      </c>
      <c r="K1192" s="55">
        <v>0</v>
      </c>
      <c r="L1192" s="55">
        <v>0</v>
      </c>
      <c r="M1192" s="55">
        <v>0</v>
      </c>
      <c r="N1192" s="55">
        <v>0</v>
      </c>
    </row>
    <row r="1193" spans="1:14" hidden="1" x14ac:dyDescent="0.35">
      <c r="A1193" s="52" t="s">
        <v>623</v>
      </c>
      <c r="B1193" s="52" t="s">
        <v>625</v>
      </c>
      <c r="C1193" s="52" t="s">
        <v>626</v>
      </c>
      <c r="D1193" s="52" t="s">
        <v>626</v>
      </c>
      <c r="E1193" s="52" t="s">
        <v>584</v>
      </c>
      <c r="F1193" s="52" t="s">
        <v>581</v>
      </c>
      <c r="G1193" s="55" t="s">
        <v>279</v>
      </c>
      <c r="H1193" s="55">
        <v>1.0369969999999999</v>
      </c>
      <c r="I1193" s="55">
        <v>0.7633626</v>
      </c>
      <c r="J1193" s="55">
        <v>0.61474530000000005</v>
      </c>
      <c r="K1193" s="55">
        <v>0.51213770000000003</v>
      </c>
      <c r="L1193" s="55">
        <v>0.40377249999999998</v>
      </c>
      <c r="M1193" s="55">
        <v>0.31669999999999998</v>
      </c>
      <c r="N1193" s="55">
        <v>0.25253619999999999</v>
      </c>
    </row>
    <row r="1194" spans="1:14" hidden="1" x14ac:dyDescent="0.35">
      <c r="A1194" s="52" t="s">
        <v>623</v>
      </c>
      <c r="B1194" s="52" t="s">
        <v>625</v>
      </c>
      <c r="C1194" s="52" t="s">
        <v>626</v>
      </c>
      <c r="D1194" s="52" t="s">
        <v>626</v>
      </c>
      <c r="E1194" s="52" t="s">
        <v>584</v>
      </c>
      <c r="F1194" s="52" t="s">
        <v>26</v>
      </c>
      <c r="G1194" s="55" t="s">
        <v>275</v>
      </c>
      <c r="H1194" s="55">
        <v>125.733</v>
      </c>
      <c r="I1194" s="55">
        <v>52.719189999999998</v>
      </c>
      <c r="J1194" s="55">
        <v>33.093200000000003</v>
      </c>
      <c r="K1194" s="55">
        <v>11.58361</v>
      </c>
      <c r="L1194" s="55">
        <v>-0.16244069999999999</v>
      </c>
      <c r="M1194" s="55">
        <v>-1.2870740000000001</v>
      </c>
      <c r="N1194" s="55">
        <v>0.23685490000000001</v>
      </c>
    </row>
    <row r="1195" spans="1:14" hidden="1" x14ac:dyDescent="0.35">
      <c r="A1195" s="52" t="s">
        <v>623</v>
      </c>
      <c r="B1195" s="52" t="s">
        <v>625</v>
      </c>
      <c r="C1195" s="52" t="s">
        <v>626</v>
      </c>
      <c r="D1195" s="52" t="s">
        <v>626</v>
      </c>
      <c r="E1195" s="52" t="s">
        <v>584</v>
      </c>
      <c r="F1195" s="52" t="s">
        <v>26</v>
      </c>
      <c r="G1195" s="55" t="s">
        <v>276</v>
      </c>
      <c r="H1195" s="55">
        <v>125.6159</v>
      </c>
      <c r="I1195" s="55">
        <v>47.144240000000003</v>
      </c>
      <c r="J1195" s="55">
        <v>26.886320000000001</v>
      </c>
      <c r="K1195" s="55">
        <v>11.64676</v>
      </c>
      <c r="L1195" s="55">
        <v>1.8358810000000001</v>
      </c>
      <c r="M1195" s="55">
        <v>-4.2228560000000002</v>
      </c>
      <c r="N1195" s="55">
        <v>-8.1616140000000001</v>
      </c>
    </row>
    <row r="1196" spans="1:14" hidden="1" x14ac:dyDescent="0.35">
      <c r="A1196" s="52" t="s">
        <v>623</v>
      </c>
      <c r="B1196" s="52" t="s">
        <v>625</v>
      </c>
      <c r="C1196" s="52" t="s">
        <v>626</v>
      </c>
      <c r="D1196" s="52" t="s">
        <v>626</v>
      </c>
      <c r="E1196" s="52" t="s">
        <v>584</v>
      </c>
      <c r="F1196" s="52" t="s">
        <v>26</v>
      </c>
      <c r="G1196" s="55" t="s">
        <v>277</v>
      </c>
      <c r="H1196" s="55">
        <v>32.35971</v>
      </c>
      <c r="I1196" s="55">
        <v>24.696059999999999</v>
      </c>
      <c r="J1196" s="55">
        <v>22.416450000000001</v>
      </c>
      <c r="K1196" s="55">
        <v>28.14067</v>
      </c>
      <c r="L1196" s="55">
        <v>29.405519999999999</v>
      </c>
      <c r="M1196" s="55">
        <v>22.5</v>
      </c>
      <c r="N1196" s="55">
        <v>15.12107</v>
      </c>
    </row>
    <row r="1197" spans="1:14" hidden="1" x14ac:dyDescent="0.35">
      <c r="A1197" s="52" t="s">
        <v>623</v>
      </c>
      <c r="B1197" s="52" t="s">
        <v>625</v>
      </c>
      <c r="C1197" s="52" t="s">
        <v>626</v>
      </c>
      <c r="D1197" s="52" t="s">
        <v>626</v>
      </c>
      <c r="E1197" s="52" t="s">
        <v>584</v>
      </c>
      <c r="F1197" s="52" t="s">
        <v>26</v>
      </c>
      <c r="G1197" s="55" t="s">
        <v>278</v>
      </c>
      <c r="H1197" s="55">
        <v>3.3426379999999999E-2</v>
      </c>
      <c r="I1197" s="55">
        <v>3.3426379999999999E-2</v>
      </c>
      <c r="J1197" s="55">
        <v>4.6594619999999996E-3</v>
      </c>
      <c r="K1197" s="55">
        <v>4.6594619999999996E-3</v>
      </c>
      <c r="L1197" s="55">
        <v>4.6594619999999996E-3</v>
      </c>
      <c r="M1197" s="55">
        <v>0</v>
      </c>
      <c r="N1197" s="55">
        <v>0</v>
      </c>
    </row>
    <row r="1198" spans="1:14" hidden="1" x14ac:dyDescent="0.35">
      <c r="A1198" s="52" t="s">
        <v>623</v>
      </c>
      <c r="B1198" s="52" t="s">
        <v>625</v>
      </c>
      <c r="C1198" s="52" t="s">
        <v>626</v>
      </c>
      <c r="D1198" s="52" t="s">
        <v>626</v>
      </c>
      <c r="E1198" s="52" t="s">
        <v>584</v>
      </c>
      <c r="F1198" s="52" t="s">
        <v>26</v>
      </c>
      <c r="G1198" s="55" t="s">
        <v>279</v>
      </c>
      <c r="H1198" s="55">
        <v>46.353180000000002</v>
      </c>
      <c r="I1198" s="55">
        <v>33.284300000000002</v>
      </c>
      <c r="J1198" s="55">
        <v>27.732510000000001</v>
      </c>
      <c r="K1198" s="55">
        <v>25.174990000000001</v>
      </c>
      <c r="L1198" s="55">
        <v>22.326730000000001</v>
      </c>
      <c r="M1198" s="55">
        <v>20.47719</v>
      </c>
      <c r="N1198" s="55">
        <v>19.318619999999999</v>
      </c>
    </row>
    <row r="1199" spans="1:14" hidden="1" x14ac:dyDescent="0.35">
      <c r="A1199" s="52" t="s">
        <v>623</v>
      </c>
      <c r="B1199" s="52" t="s">
        <v>625</v>
      </c>
      <c r="C1199" s="52" t="s">
        <v>627</v>
      </c>
      <c r="D1199" s="52" t="s">
        <v>627</v>
      </c>
      <c r="E1199" s="52" t="s">
        <v>584</v>
      </c>
      <c r="F1199" s="52" t="s">
        <v>581</v>
      </c>
      <c r="G1199" s="55" t="s">
        <v>275</v>
      </c>
      <c r="H1199" s="55">
        <v>20.093530000000001</v>
      </c>
      <c r="I1199" s="55">
        <v>6.0623170000000002</v>
      </c>
      <c r="J1199" s="55">
        <v>4.4336270000000004</v>
      </c>
      <c r="K1199" s="55">
        <v>2.88828</v>
      </c>
      <c r="L1199" s="55">
        <v>2.2441490000000002</v>
      </c>
      <c r="M1199" s="55">
        <v>2.1522049999999999</v>
      </c>
      <c r="N1199" s="55">
        <v>1.8053060000000001</v>
      </c>
    </row>
    <row r="1200" spans="1:14" hidden="1" x14ac:dyDescent="0.35">
      <c r="A1200" s="52" t="s">
        <v>623</v>
      </c>
      <c r="B1200" s="52" t="s">
        <v>625</v>
      </c>
      <c r="C1200" s="52" t="s">
        <v>627</v>
      </c>
      <c r="D1200" s="52" t="s">
        <v>627</v>
      </c>
      <c r="E1200" s="52" t="s">
        <v>584</v>
      </c>
      <c r="F1200" s="52" t="s">
        <v>581</v>
      </c>
      <c r="G1200" s="55" t="s">
        <v>276</v>
      </c>
      <c r="H1200" s="55">
        <v>20.32752</v>
      </c>
      <c r="I1200" s="55">
        <v>4.8301999999999996</v>
      </c>
      <c r="J1200" s="55">
        <v>2.7714479999999999</v>
      </c>
      <c r="K1200" s="55">
        <v>1.4698690000000001</v>
      </c>
      <c r="L1200" s="55">
        <v>0.80831149999999996</v>
      </c>
      <c r="M1200" s="55">
        <v>0.55880059999999998</v>
      </c>
      <c r="N1200" s="55">
        <v>0.40744409999999998</v>
      </c>
    </row>
    <row r="1201" spans="1:14" hidden="1" x14ac:dyDescent="0.35">
      <c r="A1201" s="52" t="s">
        <v>623</v>
      </c>
      <c r="B1201" s="52" t="s">
        <v>625</v>
      </c>
      <c r="C1201" s="52" t="s">
        <v>627</v>
      </c>
      <c r="D1201" s="52" t="s">
        <v>627</v>
      </c>
      <c r="E1201" s="52" t="s">
        <v>584</v>
      </c>
      <c r="F1201" s="52" t="s">
        <v>581</v>
      </c>
      <c r="G1201" s="55" t="s">
        <v>277</v>
      </c>
      <c r="H1201" s="55">
        <v>6.1631780000000003</v>
      </c>
      <c r="I1201" s="55">
        <v>4.4411930000000002</v>
      </c>
      <c r="J1201" s="55">
        <v>3.5843039999999999</v>
      </c>
      <c r="K1201" s="55">
        <v>3.3311899999999999</v>
      </c>
      <c r="L1201" s="55">
        <v>2.5851670000000002</v>
      </c>
      <c r="M1201" s="55">
        <v>1.493709</v>
      </c>
      <c r="N1201" s="55">
        <v>1.001263</v>
      </c>
    </row>
    <row r="1202" spans="1:14" hidden="1" x14ac:dyDescent="0.35">
      <c r="A1202" s="52" t="s">
        <v>623</v>
      </c>
      <c r="B1202" s="52" t="s">
        <v>625</v>
      </c>
      <c r="C1202" s="52" t="s">
        <v>627</v>
      </c>
      <c r="D1202" s="52" t="s">
        <v>627</v>
      </c>
      <c r="E1202" s="52" t="s">
        <v>584</v>
      </c>
      <c r="F1202" s="52" t="s">
        <v>581</v>
      </c>
      <c r="G1202" s="55" t="s">
        <v>279</v>
      </c>
      <c r="H1202" s="55">
        <v>4.6342189999999999</v>
      </c>
      <c r="I1202" s="55">
        <v>3.1165080000000001</v>
      </c>
      <c r="J1202" s="55">
        <v>2.3932280000000001</v>
      </c>
      <c r="K1202" s="55">
        <v>1.976423</v>
      </c>
      <c r="L1202" s="55">
        <v>1.5830070000000001</v>
      </c>
      <c r="M1202" s="55">
        <v>1.2789710000000001</v>
      </c>
      <c r="N1202" s="55">
        <v>1.0578799999999999</v>
      </c>
    </row>
    <row r="1203" spans="1:14" hidden="1" x14ac:dyDescent="0.35">
      <c r="A1203" s="52" t="s">
        <v>623</v>
      </c>
      <c r="B1203" s="52" t="s">
        <v>625</v>
      </c>
      <c r="C1203" s="52" t="s">
        <v>628</v>
      </c>
      <c r="D1203" s="52" t="s">
        <v>628</v>
      </c>
      <c r="E1203" s="52" t="s">
        <v>584</v>
      </c>
      <c r="F1203" s="52" t="s">
        <v>581</v>
      </c>
      <c r="G1203" s="55" t="s">
        <v>275</v>
      </c>
      <c r="H1203" s="55">
        <v>2.2686000000000001E-2</v>
      </c>
      <c r="I1203" s="55">
        <v>1.04133E-2</v>
      </c>
      <c r="J1203" s="55">
        <v>1.03295E-2</v>
      </c>
      <c r="K1203" s="55">
        <v>1.0231199999999999E-2</v>
      </c>
      <c r="L1203" s="55">
        <v>1.02183E-2</v>
      </c>
      <c r="M1203" s="55">
        <v>1.00535E-2</v>
      </c>
      <c r="N1203" s="55">
        <v>9.9206999999999993E-3</v>
      </c>
    </row>
    <row r="1204" spans="1:14" hidden="1" x14ac:dyDescent="0.35">
      <c r="A1204" s="52" t="s">
        <v>623</v>
      </c>
      <c r="B1204" s="52" t="s">
        <v>625</v>
      </c>
      <c r="C1204" s="52" t="s">
        <v>628</v>
      </c>
      <c r="D1204" s="52" t="s">
        <v>628</v>
      </c>
      <c r="E1204" s="52" t="s">
        <v>584</v>
      </c>
      <c r="F1204" s="52" t="s">
        <v>581</v>
      </c>
      <c r="G1204" s="55" t="s">
        <v>276</v>
      </c>
      <c r="H1204" s="55">
        <v>2.2686000000000001E-2</v>
      </c>
      <c r="I1204" s="55">
        <v>1.04133E-2</v>
      </c>
      <c r="J1204" s="55">
        <v>1.03295E-2</v>
      </c>
      <c r="K1204" s="55">
        <v>1.02299E-2</v>
      </c>
      <c r="L1204" s="55">
        <v>1.02183E-2</v>
      </c>
      <c r="M1204" s="55">
        <v>1.00535E-2</v>
      </c>
      <c r="N1204" s="55">
        <v>9.9206999999999993E-3</v>
      </c>
    </row>
    <row r="1205" spans="1:14" hidden="1" x14ac:dyDescent="0.35">
      <c r="A1205" s="52" t="s">
        <v>623</v>
      </c>
      <c r="B1205" s="52" t="s">
        <v>625</v>
      </c>
      <c r="C1205" s="52" t="s">
        <v>628</v>
      </c>
      <c r="D1205" s="52" t="s">
        <v>628</v>
      </c>
      <c r="E1205" s="52" t="s">
        <v>584</v>
      </c>
      <c r="F1205" s="52" t="s">
        <v>581</v>
      </c>
      <c r="G1205" s="55" t="s">
        <v>279</v>
      </c>
      <c r="H1205" s="55">
        <v>5.5149999999999999E-3</v>
      </c>
      <c r="I1205" s="55">
        <v>5.058E-3</v>
      </c>
      <c r="J1205" s="55">
        <v>5.117E-3</v>
      </c>
      <c r="K1205" s="55">
        <v>5.4060000000000002E-3</v>
      </c>
      <c r="L1205" s="55">
        <v>5.3997999999999997E-3</v>
      </c>
      <c r="M1205" s="55">
        <v>5.3289000000000001E-3</v>
      </c>
      <c r="N1205" s="55">
        <v>5.2729999999999999E-3</v>
      </c>
    </row>
    <row r="1206" spans="1:14" hidden="1" x14ac:dyDescent="0.35">
      <c r="A1206" s="52" t="s">
        <v>623</v>
      </c>
      <c r="B1206" s="52" t="s">
        <v>625</v>
      </c>
      <c r="C1206" s="52" t="s">
        <v>628</v>
      </c>
      <c r="D1206" s="52" t="s">
        <v>628</v>
      </c>
      <c r="E1206" s="52" t="s">
        <v>584</v>
      </c>
      <c r="F1206" s="52" t="s">
        <v>26</v>
      </c>
      <c r="G1206" s="55" t="s">
        <v>275</v>
      </c>
      <c r="H1206" s="55">
        <v>-1.509244</v>
      </c>
      <c r="I1206" s="55">
        <v>-0.80913469999999998</v>
      </c>
      <c r="J1206" s="55">
        <v>-0.54053770000000001</v>
      </c>
      <c r="K1206" s="55">
        <v>-1.400603</v>
      </c>
      <c r="L1206" s="55">
        <v>-1.8654980000000001</v>
      </c>
      <c r="M1206" s="55">
        <v>-2.1180340000000002</v>
      </c>
      <c r="N1206" s="55">
        <v>-2.1251180000000001</v>
      </c>
    </row>
    <row r="1207" spans="1:14" hidden="1" x14ac:dyDescent="0.35">
      <c r="A1207" s="52" t="s">
        <v>623</v>
      </c>
      <c r="B1207" s="52" t="s">
        <v>625</v>
      </c>
      <c r="C1207" s="52" t="s">
        <v>628</v>
      </c>
      <c r="D1207" s="52" t="s">
        <v>628</v>
      </c>
      <c r="E1207" s="52" t="s">
        <v>584</v>
      </c>
      <c r="F1207" s="52" t="s">
        <v>26</v>
      </c>
      <c r="G1207" s="55" t="s">
        <v>276</v>
      </c>
      <c r="H1207" s="55">
        <v>-1.3004</v>
      </c>
      <c r="I1207" s="55">
        <v>-1.595923</v>
      </c>
      <c r="J1207" s="55">
        <v>-1.4855100000000001</v>
      </c>
      <c r="K1207" s="55">
        <v>-1.455524</v>
      </c>
      <c r="L1207" s="55">
        <v>-1.430593</v>
      </c>
      <c r="M1207" s="55">
        <v>-1.4289019999999999</v>
      </c>
      <c r="N1207" s="55">
        <v>-1.553342</v>
      </c>
    </row>
    <row r="1208" spans="1:14" hidden="1" x14ac:dyDescent="0.35">
      <c r="A1208" s="52" t="s">
        <v>623</v>
      </c>
      <c r="B1208" s="52" t="s">
        <v>625</v>
      </c>
      <c r="C1208" s="52" t="s">
        <v>628</v>
      </c>
      <c r="D1208" s="52" t="s">
        <v>628</v>
      </c>
      <c r="E1208" s="52" t="s">
        <v>584</v>
      </c>
      <c r="F1208" s="52" t="s">
        <v>26</v>
      </c>
      <c r="G1208" s="55" t="s">
        <v>277</v>
      </c>
      <c r="H1208" s="55">
        <v>4.8700010000000002</v>
      </c>
      <c r="I1208" s="55">
        <v>3.7199599999999999</v>
      </c>
      <c r="J1208" s="55">
        <v>3.3300169999999998</v>
      </c>
      <c r="K1208" s="55">
        <v>4.1291140000000004</v>
      </c>
      <c r="L1208" s="55">
        <v>4.5559079999999996</v>
      </c>
      <c r="M1208" s="55">
        <v>4.795166</v>
      </c>
      <c r="N1208" s="55">
        <v>4.9172700000000003</v>
      </c>
    </row>
    <row r="1209" spans="1:14" hidden="1" x14ac:dyDescent="0.35">
      <c r="A1209" s="52" t="s">
        <v>623</v>
      </c>
      <c r="B1209" s="52" t="s">
        <v>625</v>
      </c>
      <c r="C1209" s="52" t="s">
        <v>628</v>
      </c>
      <c r="D1209" s="52" t="s">
        <v>628</v>
      </c>
      <c r="E1209" s="52" t="s">
        <v>584</v>
      </c>
      <c r="F1209" s="52" t="s">
        <v>26</v>
      </c>
      <c r="G1209" s="55" t="s">
        <v>279</v>
      </c>
      <c r="H1209" s="55">
        <v>0.36610100000000001</v>
      </c>
      <c r="I1209" s="55">
        <v>0.33977299999999999</v>
      </c>
      <c r="J1209" s="55">
        <v>0.34020600000000001</v>
      </c>
      <c r="K1209" s="55">
        <v>0.35131600000000002</v>
      </c>
      <c r="L1209" s="55">
        <v>0.34904200000000002</v>
      </c>
      <c r="M1209" s="55">
        <v>0.34716799999999998</v>
      </c>
      <c r="N1209" s="55">
        <v>0.34568300000000002</v>
      </c>
    </row>
    <row r="1210" spans="1:14" hidden="1" x14ac:dyDescent="0.35">
      <c r="A1210" s="52" t="s">
        <v>623</v>
      </c>
      <c r="B1210" s="52" t="s">
        <v>625</v>
      </c>
      <c r="C1210" s="52" t="s">
        <v>629</v>
      </c>
      <c r="D1210" s="52" t="s">
        <v>629</v>
      </c>
      <c r="E1210" s="52" t="s">
        <v>584</v>
      </c>
      <c r="F1210" s="52" t="s">
        <v>581</v>
      </c>
      <c r="G1210" s="55" t="s">
        <v>275</v>
      </c>
      <c r="H1210" s="55">
        <v>0.19395899999999999</v>
      </c>
      <c r="I1210" s="55">
        <v>-4.4522560000000002</v>
      </c>
      <c r="J1210" s="55">
        <v>0</v>
      </c>
      <c r="K1210" s="55"/>
      <c r="L1210" s="55"/>
      <c r="M1210" s="55"/>
      <c r="N1210" s="55"/>
    </row>
    <row r="1211" spans="1:14" hidden="1" x14ac:dyDescent="0.35">
      <c r="A1211" s="52" t="s">
        <v>623</v>
      </c>
      <c r="B1211" s="52" t="s">
        <v>625</v>
      </c>
      <c r="C1211" s="52" t="s">
        <v>629</v>
      </c>
      <c r="D1211" s="52" t="s">
        <v>629</v>
      </c>
      <c r="E1211" s="52" t="s">
        <v>584</v>
      </c>
      <c r="F1211" s="52" t="s">
        <v>581</v>
      </c>
      <c r="G1211" s="55" t="s">
        <v>276</v>
      </c>
      <c r="H1211" s="55">
        <v>0.19395899999999999</v>
      </c>
      <c r="I1211" s="55">
        <v>-4.4522550000000001</v>
      </c>
      <c r="J1211" s="55">
        <v>0</v>
      </c>
      <c r="K1211" s="55"/>
      <c r="L1211" s="55"/>
      <c r="M1211" s="55"/>
      <c r="N1211" s="55"/>
    </row>
    <row r="1212" spans="1:14" hidden="1" x14ac:dyDescent="0.35">
      <c r="A1212" s="52" t="s">
        <v>623</v>
      </c>
      <c r="B1212" s="52" t="s">
        <v>625</v>
      </c>
      <c r="C1212" s="52" t="s">
        <v>629</v>
      </c>
      <c r="D1212" s="52" t="s">
        <v>629</v>
      </c>
      <c r="E1212" s="52" t="s">
        <v>584</v>
      </c>
      <c r="F1212" s="52" t="s">
        <v>581</v>
      </c>
      <c r="G1212" s="55" t="s">
        <v>279</v>
      </c>
      <c r="H1212" s="55">
        <v>0.132045</v>
      </c>
      <c r="I1212" s="55">
        <v>8.9045100000000001</v>
      </c>
      <c r="J1212" s="55">
        <v>0</v>
      </c>
      <c r="K1212" s="55"/>
      <c r="L1212" s="55"/>
      <c r="M1212" s="55"/>
      <c r="N1212" s="55"/>
    </row>
    <row r="1213" spans="1:14" hidden="1" x14ac:dyDescent="0.35">
      <c r="A1213" s="52" t="s">
        <v>623</v>
      </c>
      <c r="B1213" s="52" t="s">
        <v>625</v>
      </c>
      <c r="C1213" s="52" t="s">
        <v>629</v>
      </c>
      <c r="D1213" s="52" t="s">
        <v>629</v>
      </c>
      <c r="E1213" s="52" t="s">
        <v>584</v>
      </c>
      <c r="F1213" s="52" t="s">
        <v>26</v>
      </c>
      <c r="G1213" s="55" t="s">
        <v>275</v>
      </c>
      <c r="H1213" s="55">
        <v>3.5312489999999999</v>
      </c>
      <c r="I1213" s="55">
        <v>-19.675899999999999</v>
      </c>
      <c r="J1213" s="55">
        <v>2.3480660000000002</v>
      </c>
      <c r="K1213" s="55">
        <v>0</v>
      </c>
      <c r="L1213" s="55"/>
      <c r="M1213" s="55"/>
      <c r="N1213" s="55"/>
    </row>
    <row r="1214" spans="1:14" hidden="1" x14ac:dyDescent="0.35">
      <c r="A1214" s="52" t="s">
        <v>623</v>
      </c>
      <c r="B1214" s="52" t="s">
        <v>625</v>
      </c>
      <c r="C1214" s="52" t="s">
        <v>629</v>
      </c>
      <c r="D1214" s="52" t="s">
        <v>629</v>
      </c>
      <c r="E1214" s="52" t="s">
        <v>584</v>
      </c>
      <c r="F1214" s="52" t="s">
        <v>26</v>
      </c>
      <c r="G1214" s="55" t="s">
        <v>276</v>
      </c>
      <c r="H1214" s="55">
        <v>-6.1678519999999999</v>
      </c>
      <c r="I1214" s="55">
        <v>-26.752369999999999</v>
      </c>
      <c r="J1214" s="55">
        <v>-2.3480660000000002</v>
      </c>
      <c r="K1214" s="55">
        <v>0</v>
      </c>
      <c r="L1214" s="55"/>
      <c r="M1214" s="55"/>
      <c r="N1214" s="55"/>
    </row>
    <row r="1215" spans="1:14" hidden="1" x14ac:dyDescent="0.35">
      <c r="A1215" s="52" t="s">
        <v>623</v>
      </c>
      <c r="B1215" s="52" t="s">
        <v>625</v>
      </c>
      <c r="C1215" s="52" t="s">
        <v>629</v>
      </c>
      <c r="D1215" s="52" t="s">
        <v>629</v>
      </c>
      <c r="E1215" s="52" t="s">
        <v>584</v>
      </c>
      <c r="F1215" s="52" t="s">
        <v>26</v>
      </c>
      <c r="G1215" s="55" t="s">
        <v>277</v>
      </c>
      <c r="H1215" s="55">
        <v>0</v>
      </c>
      <c r="I1215" s="55"/>
      <c r="J1215" s="55"/>
      <c r="K1215" s="55"/>
      <c r="L1215" s="55"/>
      <c r="M1215" s="55"/>
      <c r="N1215" s="55"/>
    </row>
    <row r="1216" spans="1:14" hidden="1" x14ac:dyDescent="0.35">
      <c r="A1216" s="52" t="s">
        <v>623</v>
      </c>
      <c r="B1216" s="52" t="s">
        <v>625</v>
      </c>
      <c r="C1216" s="52" t="s">
        <v>629</v>
      </c>
      <c r="D1216" s="52" t="s">
        <v>629</v>
      </c>
      <c r="E1216" s="52" t="s">
        <v>584</v>
      </c>
      <c r="F1216" s="52" t="s">
        <v>26</v>
      </c>
      <c r="G1216" s="55" t="s">
        <v>279</v>
      </c>
      <c r="H1216" s="55">
        <v>10.98934</v>
      </c>
      <c r="I1216" s="55">
        <v>46.428269999999998</v>
      </c>
      <c r="J1216" s="55">
        <v>0</v>
      </c>
      <c r="K1216" s="55"/>
      <c r="L1216" s="55"/>
      <c r="M1216" s="55"/>
      <c r="N1216" s="55"/>
    </row>
    <row r="1217" spans="1:14" hidden="1" x14ac:dyDescent="0.35">
      <c r="A1217" s="52" t="s">
        <v>623</v>
      </c>
      <c r="B1217" s="52" t="s">
        <v>625</v>
      </c>
      <c r="C1217" s="52" t="s">
        <v>821</v>
      </c>
      <c r="D1217" s="52" t="s">
        <v>821</v>
      </c>
      <c r="E1217" s="52" t="s">
        <v>584</v>
      </c>
      <c r="F1217" s="52" t="s">
        <v>26</v>
      </c>
      <c r="G1217" s="55" t="s">
        <v>275</v>
      </c>
      <c r="H1217" s="55">
        <v>19.577400000000001</v>
      </c>
      <c r="I1217" s="55">
        <v>19.57677</v>
      </c>
      <c r="J1217" s="55">
        <v>1.4732909999999999</v>
      </c>
      <c r="K1217" s="55">
        <v>-3.5909999999999997E-2</v>
      </c>
      <c r="L1217" s="55">
        <v>-3.6540000000000003E-2</v>
      </c>
      <c r="M1217" s="55">
        <v>-3.7170000000000002E-2</v>
      </c>
      <c r="N1217" s="55">
        <v>-8.2799999999999999E-2</v>
      </c>
    </row>
    <row r="1218" spans="1:14" hidden="1" x14ac:dyDescent="0.35">
      <c r="A1218" s="52" t="s">
        <v>623</v>
      </c>
      <c r="B1218" s="52" t="s">
        <v>625</v>
      </c>
      <c r="C1218" s="52" t="s">
        <v>821</v>
      </c>
      <c r="D1218" s="52" t="s">
        <v>821</v>
      </c>
      <c r="E1218" s="52" t="s">
        <v>584</v>
      </c>
      <c r="F1218" s="52" t="s">
        <v>26</v>
      </c>
      <c r="G1218" s="55" t="s">
        <v>276</v>
      </c>
      <c r="H1218" s="55">
        <v>-19.652999999999999</v>
      </c>
      <c r="I1218" s="55">
        <v>-19.652370000000001</v>
      </c>
      <c r="J1218" s="55">
        <v>-1.548891</v>
      </c>
      <c r="K1218" s="55">
        <v>-3.9690000000000003E-2</v>
      </c>
      <c r="L1218" s="55">
        <v>-3.9059999999999997E-2</v>
      </c>
      <c r="M1218" s="55">
        <v>-3.8429989999999997E-2</v>
      </c>
      <c r="N1218" s="55">
        <v>-4.2799999999999998E-2</v>
      </c>
    </row>
    <row r="1219" spans="1:14" hidden="1" x14ac:dyDescent="0.35">
      <c r="A1219" s="52" t="s">
        <v>623</v>
      </c>
      <c r="B1219" s="52" t="s">
        <v>625</v>
      </c>
      <c r="C1219" s="52" t="s">
        <v>821</v>
      </c>
      <c r="D1219" s="52" t="s">
        <v>821</v>
      </c>
      <c r="E1219" s="52" t="s">
        <v>584</v>
      </c>
      <c r="F1219" s="52" t="s">
        <v>26</v>
      </c>
      <c r="G1219" s="55" t="s">
        <v>277</v>
      </c>
      <c r="H1219" s="55"/>
      <c r="I1219" s="55"/>
      <c r="J1219" s="55"/>
      <c r="K1219" s="55"/>
      <c r="L1219" s="55"/>
      <c r="M1219" s="55">
        <v>0</v>
      </c>
      <c r="N1219" s="55">
        <v>0.05</v>
      </c>
    </row>
    <row r="1220" spans="1:14" hidden="1" x14ac:dyDescent="0.35">
      <c r="A1220" s="52" t="s">
        <v>623</v>
      </c>
      <c r="B1220" s="52" t="s">
        <v>625</v>
      </c>
      <c r="C1220" s="52" t="s">
        <v>821</v>
      </c>
      <c r="D1220" s="52" t="s">
        <v>821</v>
      </c>
      <c r="E1220" s="52" t="s">
        <v>584</v>
      </c>
      <c r="F1220" s="52" t="s">
        <v>26</v>
      </c>
      <c r="G1220" s="55" t="s">
        <v>278</v>
      </c>
      <c r="H1220" s="55">
        <v>7.5600000000000001E-2</v>
      </c>
      <c r="I1220" s="55">
        <v>7.5600000000000001E-2</v>
      </c>
      <c r="J1220" s="55">
        <v>7.5600000000000001E-2</v>
      </c>
      <c r="K1220" s="55">
        <v>7.5600000000000001E-2</v>
      </c>
      <c r="L1220" s="55">
        <v>7.5600000000000001E-2</v>
      </c>
      <c r="M1220" s="55">
        <v>7.5600000000000001E-2</v>
      </c>
      <c r="N1220" s="55">
        <v>7.5600000000000001E-2</v>
      </c>
    </row>
    <row r="1221" spans="1:14" hidden="1" x14ac:dyDescent="0.35">
      <c r="A1221" s="52" t="s">
        <v>623</v>
      </c>
      <c r="B1221" s="52" t="s">
        <v>625</v>
      </c>
      <c r="C1221" s="52" t="s">
        <v>822</v>
      </c>
      <c r="D1221" s="52" t="s">
        <v>822</v>
      </c>
      <c r="E1221" s="52" t="s">
        <v>584</v>
      </c>
      <c r="F1221" s="52" t="s">
        <v>26</v>
      </c>
      <c r="G1221" s="55" t="s">
        <v>275</v>
      </c>
      <c r="H1221" s="55">
        <v>0</v>
      </c>
      <c r="I1221" s="55"/>
      <c r="J1221" s="55">
        <v>0</v>
      </c>
      <c r="K1221" s="55">
        <v>0</v>
      </c>
      <c r="L1221" s="55">
        <v>0</v>
      </c>
      <c r="M1221" s="55">
        <v>0</v>
      </c>
      <c r="N1221" s="55">
        <v>0</v>
      </c>
    </row>
    <row r="1222" spans="1:14" hidden="1" x14ac:dyDescent="0.35">
      <c r="A1222" s="52" t="s">
        <v>623</v>
      </c>
      <c r="B1222" s="52" t="s">
        <v>625</v>
      </c>
      <c r="C1222" s="52" t="s">
        <v>822</v>
      </c>
      <c r="D1222" s="52" t="s">
        <v>822</v>
      </c>
      <c r="E1222" s="52" t="s">
        <v>584</v>
      </c>
      <c r="F1222" s="52" t="s">
        <v>26</v>
      </c>
      <c r="G1222" s="55" t="s">
        <v>276</v>
      </c>
      <c r="H1222" s="55"/>
      <c r="I1222" s="55"/>
      <c r="J1222" s="55">
        <v>0</v>
      </c>
      <c r="K1222" s="55">
        <v>0</v>
      </c>
      <c r="L1222" s="55">
        <v>0</v>
      </c>
      <c r="M1222" s="55">
        <v>0</v>
      </c>
      <c r="N1222" s="55">
        <v>0</v>
      </c>
    </row>
    <row r="1223" spans="1:14" hidden="1" x14ac:dyDescent="0.35">
      <c r="A1223" s="52" t="s">
        <v>623</v>
      </c>
      <c r="B1223" s="52" t="s">
        <v>625</v>
      </c>
      <c r="C1223" s="52" t="s">
        <v>822</v>
      </c>
      <c r="D1223" s="52" t="s">
        <v>822</v>
      </c>
      <c r="E1223" s="52" t="s">
        <v>584</v>
      </c>
      <c r="F1223" s="52" t="s">
        <v>26</v>
      </c>
      <c r="G1223" s="55" t="s">
        <v>278</v>
      </c>
      <c r="H1223" s="55"/>
      <c r="I1223" s="55"/>
      <c r="J1223" s="55">
        <v>0</v>
      </c>
      <c r="K1223" s="55">
        <v>0</v>
      </c>
      <c r="L1223" s="55">
        <v>0</v>
      </c>
      <c r="M1223" s="55">
        <v>0</v>
      </c>
      <c r="N1223" s="55">
        <v>0</v>
      </c>
    </row>
    <row r="1224" spans="1:14" hidden="1" x14ac:dyDescent="0.35">
      <c r="A1224" s="52" t="s">
        <v>623</v>
      </c>
      <c r="B1224" s="52" t="s">
        <v>154</v>
      </c>
      <c r="C1224" s="52" t="s">
        <v>153</v>
      </c>
      <c r="D1224" s="52" t="s">
        <v>153</v>
      </c>
      <c r="E1224" s="52" t="s">
        <v>584</v>
      </c>
      <c r="F1224" s="52" t="s">
        <v>581</v>
      </c>
      <c r="G1224" s="55" t="s">
        <v>275</v>
      </c>
      <c r="H1224" s="55">
        <v>-12.00398</v>
      </c>
      <c r="I1224" s="55">
        <v>-3.5750109999999999</v>
      </c>
      <c r="J1224" s="55">
        <v>8.8594179999999998</v>
      </c>
      <c r="K1224" s="55">
        <v>32.613619999999997</v>
      </c>
      <c r="L1224" s="55">
        <v>27.385729999999999</v>
      </c>
      <c r="M1224" s="55">
        <v>27.495930000000001</v>
      </c>
      <c r="N1224" s="55">
        <v>13.1136</v>
      </c>
    </row>
    <row r="1225" spans="1:14" hidden="1" x14ac:dyDescent="0.35">
      <c r="A1225" s="52" t="s">
        <v>623</v>
      </c>
      <c r="B1225" s="52" t="s">
        <v>154</v>
      </c>
      <c r="C1225" s="52" t="s">
        <v>153</v>
      </c>
      <c r="D1225" s="52" t="s">
        <v>153</v>
      </c>
      <c r="E1225" s="52" t="s">
        <v>584</v>
      </c>
      <c r="F1225" s="52" t="s">
        <v>581</v>
      </c>
      <c r="G1225" s="55" t="s">
        <v>276</v>
      </c>
      <c r="H1225" s="55">
        <v>0</v>
      </c>
      <c r="I1225" s="55">
        <v>0.1341494</v>
      </c>
      <c r="J1225" s="55">
        <v>8.6304440000000007</v>
      </c>
      <c r="K1225" s="55">
        <v>-8.5370849999999994</v>
      </c>
      <c r="L1225" s="55">
        <v>8.1453170000000004</v>
      </c>
      <c r="M1225" s="55">
        <v>-5.5256430000000002E-2</v>
      </c>
      <c r="N1225" s="55">
        <v>5.6310460000000004</v>
      </c>
    </row>
    <row r="1226" spans="1:14" hidden="1" x14ac:dyDescent="0.35">
      <c r="A1226" s="52" t="s">
        <v>623</v>
      </c>
      <c r="B1226" s="52" t="s">
        <v>154</v>
      </c>
      <c r="C1226" s="52" t="s">
        <v>153</v>
      </c>
      <c r="D1226" s="52" t="s">
        <v>153</v>
      </c>
      <c r="E1226" s="52" t="s">
        <v>584</v>
      </c>
      <c r="F1226" s="52" t="s">
        <v>581</v>
      </c>
      <c r="G1226" s="55" t="s">
        <v>277</v>
      </c>
      <c r="H1226" s="55">
        <v>11.692769999999999</v>
      </c>
      <c r="I1226" s="55">
        <v>3.4225029999999999</v>
      </c>
      <c r="J1226" s="55">
        <v>1.036921</v>
      </c>
      <c r="K1226" s="55">
        <v>4.4933240000000003</v>
      </c>
      <c r="L1226" s="55">
        <v>1.3825609999999999</v>
      </c>
      <c r="M1226" s="55">
        <v>0</v>
      </c>
      <c r="N1226" s="55"/>
    </row>
    <row r="1227" spans="1:14" hidden="1" x14ac:dyDescent="0.35">
      <c r="A1227" s="52" t="s">
        <v>623</v>
      </c>
      <c r="B1227" s="52" t="s">
        <v>154</v>
      </c>
      <c r="C1227" s="52" t="s">
        <v>153</v>
      </c>
      <c r="D1227" s="52" t="s">
        <v>153</v>
      </c>
      <c r="E1227" s="52" t="s">
        <v>584</v>
      </c>
      <c r="F1227" s="52" t="s">
        <v>581</v>
      </c>
      <c r="G1227" s="55" t="s">
        <v>278</v>
      </c>
      <c r="H1227" s="55">
        <v>3.5325799999999997E-2</v>
      </c>
      <c r="I1227" s="55">
        <v>3.5325790000000003E-2</v>
      </c>
      <c r="J1227" s="55">
        <v>3.5325790000000003E-2</v>
      </c>
      <c r="K1227" s="55">
        <v>3.5325799999999997E-2</v>
      </c>
      <c r="L1227" s="55">
        <v>3.5325799999999997E-2</v>
      </c>
      <c r="M1227" s="55">
        <v>3.5325790000000003E-2</v>
      </c>
      <c r="N1227" s="55">
        <v>3.5325790000000003E-2</v>
      </c>
    </row>
    <row r="1228" spans="1:14" hidden="1" x14ac:dyDescent="0.35">
      <c r="A1228" s="52" t="s">
        <v>623</v>
      </c>
      <c r="B1228" s="52" t="s">
        <v>154</v>
      </c>
      <c r="C1228" s="52" t="s">
        <v>153</v>
      </c>
      <c r="D1228" s="52" t="s">
        <v>153</v>
      </c>
      <c r="E1228" s="52" t="s">
        <v>584</v>
      </c>
      <c r="F1228" s="52" t="s">
        <v>581</v>
      </c>
      <c r="G1228" s="55" t="s">
        <v>279</v>
      </c>
      <c r="H1228" s="55">
        <v>0.27588469999999998</v>
      </c>
      <c r="I1228" s="55">
        <v>0.31916709999999998</v>
      </c>
      <c r="J1228" s="55">
        <v>3.149756</v>
      </c>
      <c r="K1228" s="55">
        <v>4.6090020000000003</v>
      </c>
      <c r="L1228" s="55">
        <v>6.99207</v>
      </c>
      <c r="M1228" s="55">
        <v>5.8883900000000002</v>
      </c>
      <c r="N1228" s="55">
        <v>4.0401949999999998</v>
      </c>
    </row>
    <row r="1229" spans="1:14" hidden="1" x14ac:dyDescent="0.35">
      <c r="A1229" s="52" t="s">
        <v>623</v>
      </c>
      <c r="B1229" s="52" t="s">
        <v>154</v>
      </c>
      <c r="C1229" s="52" t="s">
        <v>153</v>
      </c>
      <c r="D1229" s="52" t="s">
        <v>153</v>
      </c>
      <c r="E1229" s="52" t="s">
        <v>584</v>
      </c>
      <c r="F1229" s="52" t="s">
        <v>26</v>
      </c>
      <c r="G1229" s="55" t="s">
        <v>275</v>
      </c>
      <c r="H1229" s="55">
        <v>-144.81020000000001</v>
      </c>
      <c r="I1229" s="55">
        <v>-61.216720000000002</v>
      </c>
      <c r="J1229" s="55">
        <v>41.92606</v>
      </c>
      <c r="K1229" s="55">
        <v>57.643680000000003</v>
      </c>
      <c r="L1229" s="55">
        <v>88.933980000000005</v>
      </c>
      <c r="M1229" s="55">
        <v>94.910129999999995</v>
      </c>
      <c r="N1229" s="55">
        <v>65.621660000000006</v>
      </c>
    </row>
    <row r="1230" spans="1:14" hidden="1" x14ac:dyDescent="0.35">
      <c r="A1230" s="52" t="s">
        <v>623</v>
      </c>
      <c r="B1230" s="52" t="s">
        <v>154</v>
      </c>
      <c r="C1230" s="52" t="s">
        <v>153</v>
      </c>
      <c r="D1230" s="52" t="s">
        <v>153</v>
      </c>
      <c r="E1230" s="52" t="s">
        <v>584</v>
      </c>
      <c r="F1230" s="52" t="s">
        <v>26</v>
      </c>
      <c r="G1230" s="55" t="s">
        <v>276</v>
      </c>
      <c r="H1230" s="55">
        <v>0</v>
      </c>
      <c r="I1230" s="55">
        <v>8.6854039999999993E-2</v>
      </c>
      <c r="J1230" s="55">
        <v>6.5718420000000002</v>
      </c>
      <c r="K1230" s="55">
        <v>15.327159999999999</v>
      </c>
      <c r="L1230" s="55">
        <v>17.823309999999999</v>
      </c>
      <c r="M1230" s="55">
        <v>17.902719999999999</v>
      </c>
      <c r="N1230" s="55">
        <v>37.072510000000001</v>
      </c>
    </row>
    <row r="1231" spans="1:14" hidden="1" x14ac:dyDescent="0.35">
      <c r="A1231" s="52" t="s">
        <v>623</v>
      </c>
      <c r="B1231" s="52" t="s">
        <v>154</v>
      </c>
      <c r="C1231" s="52" t="s">
        <v>153</v>
      </c>
      <c r="D1231" s="52" t="s">
        <v>153</v>
      </c>
      <c r="E1231" s="52" t="s">
        <v>584</v>
      </c>
      <c r="F1231" s="52" t="s">
        <v>26</v>
      </c>
      <c r="G1231" s="55" t="s">
        <v>277</v>
      </c>
      <c r="H1231" s="55">
        <v>144.09950000000001</v>
      </c>
      <c r="I1231" s="55">
        <v>58.603099999999998</v>
      </c>
      <c r="J1231" s="55">
        <v>13.196020000000001</v>
      </c>
      <c r="K1231" s="55">
        <v>52.199640000000002</v>
      </c>
      <c r="L1231" s="55">
        <v>24.36524</v>
      </c>
      <c r="M1231" s="55">
        <v>4.7259820000000001</v>
      </c>
      <c r="N1231" s="55">
        <v>3.650617</v>
      </c>
    </row>
    <row r="1232" spans="1:14" hidden="1" x14ac:dyDescent="0.35">
      <c r="A1232" s="52" t="s">
        <v>623</v>
      </c>
      <c r="B1232" s="52" t="s">
        <v>154</v>
      </c>
      <c r="C1232" s="52" t="s">
        <v>153</v>
      </c>
      <c r="D1232" s="52" t="s">
        <v>153</v>
      </c>
      <c r="E1232" s="52" t="s">
        <v>584</v>
      </c>
      <c r="F1232" s="52" t="s">
        <v>26</v>
      </c>
      <c r="G1232" s="55" t="s">
        <v>278</v>
      </c>
      <c r="H1232" s="55">
        <v>0</v>
      </c>
      <c r="I1232" s="55"/>
      <c r="J1232" s="55"/>
      <c r="K1232" s="55"/>
      <c r="L1232" s="55"/>
      <c r="M1232" s="55"/>
      <c r="N1232" s="55"/>
    </row>
    <row r="1233" spans="1:14" hidden="1" x14ac:dyDescent="0.35">
      <c r="A1233" s="52" t="s">
        <v>623</v>
      </c>
      <c r="B1233" s="52" t="s">
        <v>154</v>
      </c>
      <c r="C1233" s="52" t="s">
        <v>153</v>
      </c>
      <c r="D1233" s="52" t="s">
        <v>153</v>
      </c>
      <c r="E1233" s="52" t="s">
        <v>584</v>
      </c>
      <c r="F1233" s="52" t="s">
        <v>26</v>
      </c>
      <c r="G1233" s="55" t="s">
        <v>279</v>
      </c>
      <c r="H1233" s="55">
        <v>0.71070999999999995</v>
      </c>
      <c r="I1233" s="55">
        <v>3.686785</v>
      </c>
      <c r="J1233" s="55">
        <v>19.67933</v>
      </c>
      <c r="K1233" s="55">
        <v>26.5684</v>
      </c>
      <c r="L1233" s="55">
        <v>30.965910000000001</v>
      </c>
      <c r="M1233" s="55">
        <v>31.9438</v>
      </c>
      <c r="N1233" s="55">
        <v>30.932569999999998</v>
      </c>
    </row>
    <row r="1234" spans="1:14" hidden="1" x14ac:dyDescent="0.35">
      <c r="A1234" s="52" t="s">
        <v>623</v>
      </c>
      <c r="B1234" s="52" t="s">
        <v>65</v>
      </c>
      <c r="C1234" s="52" t="s">
        <v>64</v>
      </c>
      <c r="D1234" s="52" t="s">
        <v>64</v>
      </c>
      <c r="E1234" s="52" t="s">
        <v>584</v>
      </c>
      <c r="F1234" s="52" t="s">
        <v>581</v>
      </c>
      <c r="G1234" s="55" t="s">
        <v>275</v>
      </c>
      <c r="H1234" s="55">
        <v>42.436790000000002</v>
      </c>
      <c r="I1234" s="55">
        <v>17.059190000000001</v>
      </c>
      <c r="J1234" s="55">
        <v>15.7319</v>
      </c>
      <c r="K1234" s="55">
        <v>15.84324</v>
      </c>
      <c r="L1234" s="55">
        <v>14.620609999999999</v>
      </c>
      <c r="M1234" s="55">
        <v>13.326280000000001</v>
      </c>
      <c r="N1234" s="55">
        <v>11.716900000000001</v>
      </c>
    </row>
    <row r="1235" spans="1:14" hidden="1" x14ac:dyDescent="0.35">
      <c r="A1235" s="52" t="s">
        <v>623</v>
      </c>
      <c r="B1235" s="52" t="s">
        <v>65</v>
      </c>
      <c r="C1235" s="52" t="s">
        <v>64</v>
      </c>
      <c r="D1235" s="52" t="s">
        <v>64</v>
      </c>
      <c r="E1235" s="52" t="s">
        <v>584</v>
      </c>
      <c r="F1235" s="52" t="s">
        <v>581</v>
      </c>
      <c r="G1235" s="55" t="s">
        <v>276</v>
      </c>
      <c r="H1235" s="55">
        <v>18.342770000000002</v>
      </c>
      <c r="I1235" s="55">
        <v>7.6198309999999996</v>
      </c>
      <c r="J1235" s="55">
        <v>8.1324830000000006</v>
      </c>
      <c r="K1235" s="55">
        <v>7.7330759999999996</v>
      </c>
      <c r="L1235" s="55">
        <v>7.768656</v>
      </c>
      <c r="M1235" s="55">
        <v>7.2973100000000004</v>
      </c>
      <c r="N1235" s="55">
        <v>6.7715509999999997</v>
      </c>
    </row>
    <row r="1236" spans="1:14" hidden="1" x14ac:dyDescent="0.35">
      <c r="A1236" s="52" t="s">
        <v>623</v>
      </c>
      <c r="B1236" s="52" t="s">
        <v>65</v>
      </c>
      <c r="C1236" s="52" t="s">
        <v>64</v>
      </c>
      <c r="D1236" s="52" t="s">
        <v>64</v>
      </c>
      <c r="E1236" s="52" t="s">
        <v>584</v>
      </c>
      <c r="F1236" s="52" t="s">
        <v>581</v>
      </c>
      <c r="G1236" s="55" t="s">
        <v>277</v>
      </c>
      <c r="H1236" s="55">
        <v>3.992985</v>
      </c>
      <c r="I1236" s="55">
        <v>3.0087290000000002</v>
      </c>
      <c r="J1236" s="55">
        <v>4.8315010000000003</v>
      </c>
      <c r="K1236" s="55">
        <v>3.4336929999999999</v>
      </c>
      <c r="L1236" s="55">
        <v>4.0586739999999999</v>
      </c>
      <c r="M1236" s="55">
        <v>4.0656720000000002</v>
      </c>
      <c r="N1236" s="55">
        <v>4.2456189999999996</v>
      </c>
    </row>
    <row r="1237" spans="1:14" hidden="1" x14ac:dyDescent="0.35">
      <c r="A1237" s="52" t="s">
        <v>623</v>
      </c>
      <c r="B1237" s="52" t="s">
        <v>65</v>
      </c>
      <c r="C1237" s="52" t="s">
        <v>64</v>
      </c>
      <c r="D1237" s="52" t="s">
        <v>64</v>
      </c>
      <c r="E1237" s="52" t="s">
        <v>584</v>
      </c>
      <c r="F1237" s="52" t="s">
        <v>581</v>
      </c>
      <c r="G1237" s="55" t="s">
        <v>278</v>
      </c>
      <c r="H1237" s="55">
        <v>5.7795779999999996E-3</v>
      </c>
      <c r="I1237" s="55">
        <v>8.8394179999999999E-3</v>
      </c>
      <c r="J1237" s="55">
        <v>9.6945509999999992E-3</v>
      </c>
      <c r="K1237" s="55">
        <v>0.1033863</v>
      </c>
      <c r="L1237" s="55">
        <v>3.8778340000000001E-3</v>
      </c>
      <c r="M1237" s="55">
        <v>3.8778340000000001E-3</v>
      </c>
      <c r="N1237" s="55">
        <v>3.877835E-3</v>
      </c>
    </row>
    <row r="1238" spans="1:14" hidden="1" x14ac:dyDescent="0.35">
      <c r="A1238" s="52" t="s">
        <v>623</v>
      </c>
      <c r="B1238" s="52" t="s">
        <v>65</v>
      </c>
      <c r="C1238" s="52" t="s">
        <v>64</v>
      </c>
      <c r="D1238" s="52" t="s">
        <v>64</v>
      </c>
      <c r="E1238" s="52" t="s">
        <v>584</v>
      </c>
      <c r="F1238" s="52" t="s">
        <v>581</v>
      </c>
      <c r="G1238" s="55" t="s">
        <v>279</v>
      </c>
      <c r="H1238" s="55">
        <v>16.72308</v>
      </c>
      <c r="I1238" s="55">
        <v>15.43585</v>
      </c>
      <c r="J1238" s="55">
        <v>15.90549</v>
      </c>
      <c r="K1238" s="55">
        <v>16.645230000000002</v>
      </c>
      <c r="L1238" s="55">
        <v>16.290510000000001</v>
      </c>
      <c r="M1238" s="55">
        <v>15.167630000000001</v>
      </c>
      <c r="N1238" s="55">
        <v>13.940440000000001</v>
      </c>
    </row>
    <row r="1239" spans="1:14" hidden="1" x14ac:dyDescent="0.35">
      <c r="A1239" s="52" t="s">
        <v>623</v>
      </c>
      <c r="B1239" s="52" t="s">
        <v>65</v>
      </c>
      <c r="C1239" s="52" t="s">
        <v>64</v>
      </c>
      <c r="D1239" s="52" t="s">
        <v>64</v>
      </c>
      <c r="E1239" s="52" t="s">
        <v>584</v>
      </c>
      <c r="F1239" s="52" t="s">
        <v>26</v>
      </c>
      <c r="G1239" s="55" t="s">
        <v>275</v>
      </c>
      <c r="H1239" s="55">
        <v>-0.7036732</v>
      </c>
      <c r="I1239" s="55">
        <v>-0.58404310000000004</v>
      </c>
      <c r="J1239" s="55">
        <v>-0.62974859999999999</v>
      </c>
      <c r="K1239" s="55">
        <v>-0.86254969999999997</v>
      </c>
      <c r="L1239" s="55">
        <v>-1.3029170000000001</v>
      </c>
      <c r="M1239" s="55">
        <v>-2.1637529999999998</v>
      </c>
      <c r="N1239" s="55">
        <v>-3.1213310000000001</v>
      </c>
    </row>
    <row r="1240" spans="1:14" hidden="1" x14ac:dyDescent="0.35">
      <c r="A1240" s="52" t="s">
        <v>623</v>
      </c>
      <c r="B1240" s="52" t="s">
        <v>65</v>
      </c>
      <c r="C1240" s="52" t="s">
        <v>64</v>
      </c>
      <c r="D1240" s="52" t="s">
        <v>64</v>
      </c>
      <c r="E1240" s="52" t="s">
        <v>584</v>
      </c>
      <c r="F1240" s="52" t="s">
        <v>26</v>
      </c>
      <c r="G1240" s="55" t="s">
        <v>276</v>
      </c>
      <c r="H1240" s="55">
        <v>2.7541000000000002E-3</v>
      </c>
      <c r="I1240" s="55">
        <v>7.4421080000000001E-2</v>
      </c>
      <c r="J1240" s="55">
        <v>2.826714E-2</v>
      </c>
      <c r="K1240" s="55">
        <v>-3.058199E-2</v>
      </c>
      <c r="L1240" s="55">
        <v>-3.9610779999999998E-2</v>
      </c>
      <c r="M1240" s="55">
        <v>-4.4826570000000003E-2</v>
      </c>
      <c r="N1240" s="55">
        <v>-4.6878679999999999E-2</v>
      </c>
    </row>
    <row r="1241" spans="1:14" hidden="1" x14ac:dyDescent="0.35">
      <c r="A1241" s="52" t="s">
        <v>623</v>
      </c>
      <c r="B1241" s="52" t="s">
        <v>65</v>
      </c>
      <c r="C1241" s="52" t="s">
        <v>64</v>
      </c>
      <c r="D1241" s="52" t="s">
        <v>64</v>
      </c>
      <c r="E1241" s="52" t="s">
        <v>584</v>
      </c>
      <c r="F1241" s="52" t="s">
        <v>26</v>
      </c>
      <c r="G1241" s="55" t="s">
        <v>277</v>
      </c>
      <c r="H1241" s="55">
        <v>2.4814019999999999E-2</v>
      </c>
      <c r="I1241" s="55">
        <v>2.4813999999999999E-2</v>
      </c>
      <c r="J1241" s="55">
        <v>5.1749999999999997E-2</v>
      </c>
      <c r="K1241" s="55">
        <v>0.26291639999999999</v>
      </c>
      <c r="L1241" s="55">
        <v>0.79794569999999998</v>
      </c>
      <c r="M1241" s="55">
        <v>1.7471019999999999</v>
      </c>
      <c r="N1241" s="55">
        <v>2.7596440000000002</v>
      </c>
    </row>
    <row r="1242" spans="1:14" hidden="1" x14ac:dyDescent="0.35">
      <c r="A1242" s="52" t="s">
        <v>623</v>
      </c>
      <c r="B1242" s="52" t="s">
        <v>65</v>
      </c>
      <c r="C1242" s="52" t="s">
        <v>64</v>
      </c>
      <c r="D1242" s="52" t="s">
        <v>64</v>
      </c>
      <c r="E1242" s="52" t="s">
        <v>584</v>
      </c>
      <c r="F1242" s="52" t="s">
        <v>26</v>
      </c>
      <c r="G1242" s="55" t="s">
        <v>279</v>
      </c>
      <c r="H1242" s="55">
        <v>3.0437449999999999</v>
      </c>
      <c r="I1242" s="55">
        <v>2.711414</v>
      </c>
      <c r="J1242" s="55">
        <v>2.502462</v>
      </c>
      <c r="K1242" s="55">
        <v>2.329142</v>
      </c>
      <c r="L1242" s="55">
        <v>2.0076459999999998</v>
      </c>
      <c r="M1242" s="55">
        <v>1.6900269999999999</v>
      </c>
      <c r="N1242" s="55">
        <v>1.444458</v>
      </c>
    </row>
    <row r="1243" spans="1:14" hidden="1" x14ac:dyDescent="0.35">
      <c r="A1243" s="52" t="s">
        <v>623</v>
      </c>
      <c r="B1243" s="52" t="s">
        <v>65</v>
      </c>
      <c r="C1243" s="52" t="s">
        <v>136</v>
      </c>
      <c r="D1243" s="52" t="s">
        <v>136</v>
      </c>
      <c r="E1243" s="52" t="s">
        <v>584</v>
      </c>
      <c r="F1243" s="52" t="s">
        <v>581</v>
      </c>
      <c r="G1243" s="55" t="s">
        <v>275</v>
      </c>
      <c r="H1243" s="55">
        <v>3.233876</v>
      </c>
      <c r="I1243" s="55">
        <v>1.1911830000000001</v>
      </c>
      <c r="J1243" s="55">
        <v>1.1175740000000001</v>
      </c>
      <c r="K1243" s="55">
        <v>0.32199220000000001</v>
      </c>
      <c r="L1243" s="55">
        <v>0.1306822</v>
      </c>
      <c r="M1243" s="55">
        <v>1.524092E-2</v>
      </c>
      <c r="N1243" s="55">
        <v>-6.1724420000000002E-2</v>
      </c>
    </row>
    <row r="1244" spans="1:14" hidden="1" x14ac:dyDescent="0.35">
      <c r="A1244" s="52" t="s">
        <v>623</v>
      </c>
      <c r="B1244" s="52" t="s">
        <v>65</v>
      </c>
      <c r="C1244" s="52" t="s">
        <v>136</v>
      </c>
      <c r="D1244" s="52" t="s">
        <v>136</v>
      </c>
      <c r="E1244" s="52" t="s">
        <v>584</v>
      </c>
      <c r="F1244" s="52" t="s">
        <v>581</v>
      </c>
      <c r="G1244" s="55" t="s">
        <v>276</v>
      </c>
      <c r="H1244" s="55">
        <v>7.0681890000000003</v>
      </c>
      <c r="I1244" s="55">
        <v>2.8045460000000002</v>
      </c>
      <c r="J1244" s="55">
        <v>2.9020450000000002</v>
      </c>
      <c r="K1244" s="55">
        <v>3.0194420000000002</v>
      </c>
      <c r="L1244" s="55">
        <v>3.194213</v>
      </c>
      <c r="M1244" s="55">
        <v>3.2947289999999998</v>
      </c>
      <c r="N1244" s="55">
        <v>3.4038339999999998</v>
      </c>
    </row>
    <row r="1245" spans="1:14" hidden="1" x14ac:dyDescent="0.35">
      <c r="A1245" s="52" t="s">
        <v>623</v>
      </c>
      <c r="B1245" s="52" t="s">
        <v>65</v>
      </c>
      <c r="C1245" s="52" t="s">
        <v>136</v>
      </c>
      <c r="D1245" s="52" t="s">
        <v>136</v>
      </c>
      <c r="E1245" s="52" t="s">
        <v>584</v>
      </c>
      <c r="F1245" s="52" t="s">
        <v>581</v>
      </c>
      <c r="G1245" s="55" t="s">
        <v>277</v>
      </c>
      <c r="H1245" s="55">
        <v>2.3608600000000002</v>
      </c>
      <c r="I1245" s="55">
        <v>1.965916</v>
      </c>
      <c r="J1245" s="55">
        <v>2.0526080000000002</v>
      </c>
      <c r="K1245" s="55">
        <v>2.7284679999999999</v>
      </c>
      <c r="L1245" s="55">
        <v>2.8323800000000001</v>
      </c>
      <c r="M1245" s="55">
        <v>2.9354629999999999</v>
      </c>
      <c r="N1245" s="55">
        <v>3.0384470000000001</v>
      </c>
    </row>
    <row r="1246" spans="1:14" hidden="1" x14ac:dyDescent="0.35">
      <c r="A1246" s="52" t="s">
        <v>623</v>
      </c>
      <c r="B1246" s="52" t="s">
        <v>65</v>
      </c>
      <c r="C1246" s="52" t="s">
        <v>136</v>
      </c>
      <c r="D1246" s="52" t="s">
        <v>136</v>
      </c>
      <c r="E1246" s="52" t="s">
        <v>584</v>
      </c>
      <c r="F1246" s="52" t="s">
        <v>581</v>
      </c>
      <c r="G1246" s="55" t="s">
        <v>278</v>
      </c>
      <c r="H1246" s="55">
        <v>6.8835600000000004E-3</v>
      </c>
      <c r="I1246" s="55">
        <v>6.8835600000000004E-3</v>
      </c>
      <c r="J1246" s="55">
        <v>6.8835600000000004E-3</v>
      </c>
      <c r="K1246" s="55">
        <v>6.8835600000000004E-3</v>
      </c>
      <c r="L1246" s="55">
        <v>6.8835600000000004E-3</v>
      </c>
      <c r="M1246" s="55">
        <v>6.8835600000000004E-3</v>
      </c>
      <c r="N1246" s="55">
        <v>6.8835600000000004E-3</v>
      </c>
    </row>
    <row r="1247" spans="1:14" hidden="1" x14ac:dyDescent="0.35">
      <c r="A1247" s="52" t="s">
        <v>623</v>
      </c>
      <c r="B1247" s="52" t="s">
        <v>65</v>
      </c>
      <c r="C1247" s="52" t="s">
        <v>136</v>
      </c>
      <c r="D1247" s="52" t="s">
        <v>136</v>
      </c>
      <c r="E1247" s="52" t="s">
        <v>584</v>
      </c>
      <c r="F1247" s="52" t="s">
        <v>581</v>
      </c>
      <c r="G1247" s="55" t="s">
        <v>279</v>
      </c>
      <c r="H1247" s="55">
        <v>1.2757430000000001</v>
      </c>
      <c r="I1247" s="55">
        <v>1.266656</v>
      </c>
      <c r="J1247" s="55">
        <v>1.271374</v>
      </c>
      <c r="K1247" s="55">
        <v>1.4581500000000001</v>
      </c>
      <c r="L1247" s="55">
        <v>1.5595760000000001</v>
      </c>
      <c r="M1247" s="55">
        <v>1.6652119999999999</v>
      </c>
      <c r="N1247" s="55">
        <v>1.7282329999999999</v>
      </c>
    </row>
    <row r="1248" spans="1:14" hidden="1" x14ac:dyDescent="0.35">
      <c r="A1248" s="52" t="s">
        <v>623</v>
      </c>
      <c r="B1248" s="52" t="s">
        <v>65</v>
      </c>
      <c r="C1248" s="52" t="s">
        <v>136</v>
      </c>
      <c r="D1248" s="52" t="s">
        <v>136</v>
      </c>
      <c r="E1248" s="52" t="s">
        <v>584</v>
      </c>
      <c r="F1248" s="52" t="s">
        <v>26</v>
      </c>
      <c r="G1248" s="55" t="s">
        <v>275</v>
      </c>
      <c r="H1248" s="55">
        <v>0.20852270000000001</v>
      </c>
      <c r="I1248" s="55">
        <v>0.11193359999999999</v>
      </c>
      <c r="J1248" s="55">
        <v>6.6179279999999993E-2</v>
      </c>
      <c r="K1248" s="55">
        <v>3.6338820000000001E-2</v>
      </c>
      <c r="L1248" s="55">
        <v>2.163971E-2</v>
      </c>
      <c r="M1248" s="55">
        <v>1.2086339999999999E-2</v>
      </c>
      <c r="N1248" s="55">
        <v>5.240598E-3</v>
      </c>
    </row>
    <row r="1249" spans="1:14" hidden="1" x14ac:dyDescent="0.35">
      <c r="A1249" s="52" t="s">
        <v>623</v>
      </c>
      <c r="B1249" s="52" t="s">
        <v>65</v>
      </c>
      <c r="C1249" s="52" t="s">
        <v>136</v>
      </c>
      <c r="D1249" s="52" t="s">
        <v>136</v>
      </c>
      <c r="E1249" s="52" t="s">
        <v>584</v>
      </c>
      <c r="F1249" s="52" t="s">
        <v>26</v>
      </c>
      <c r="G1249" s="55" t="s">
        <v>276</v>
      </c>
      <c r="H1249" s="55">
        <v>9.9688810000000006E-3</v>
      </c>
      <c r="I1249" s="55">
        <v>5.8912260000000003E-3</v>
      </c>
      <c r="J1249" s="55">
        <v>3.4831200000000001E-3</v>
      </c>
      <c r="K1249" s="55">
        <v>4.9967400000000004E-3</v>
      </c>
      <c r="L1249" s="55">
        <v>3.0385260000000002E-3</v>
      </c>
      <c r="M1249" s="55">
        <v>1.7468220000000001E-3</v>
      </c>
      <c r="N1249" s="55">
        <v>1.6549620000000001E-3</v>
      </c>
    </row>
    <row r="1250" spans="1:14" hidden="1" x14ac:dyDescent="0.35">
      <c r="A1250" s="52" t="s">
        <v>623</v>
      </c>
      <c r="B1250" s="52" t="s">
        <v>65</v>
      </c>
      <c r="C1250" s="52" t="s">
        <v>136</v>
      </c>
      <c r="D1250" s="52" t="s">
        <v>136</v>
      </c>
      <c r="E1250" s="52" t="s">
        <v>584</v>
      </c>
      <c r="F1250" s="52" t="s">
        <v>26</v>
      </c>
      <c r="G1250" s="55" t="s">
        <v>279</v>
      </c>
      <c r="H1250" s="55">
        <v>0.1095281</v>
      </c>
      <c r="I1250" s="55">
        <v>7.5548039999999997E-2</v>
      </c>
      <c r="J1250" s="55">
        <v>5.3174310000000002E-2</v>
      </c>
      <c r="K1250" s="55">
        <v>4.2780789999999999E-2</v>
      </c>
      <c r="L1250" s="55">
        <v>3.2818449999999999E-2</v>
      </c>
      <c r="M1250" s="55">
        <v>2.5610930000000001E-2</v>
      </c>
      <c r="N1250" s="55">
        <v>2.0044119999999999E-2</v>
      </c>
    </row>
    <row r="1251" spans="1:14" hidden="1" x14ac:dyDescent="0.35">
      <c r="A1251" s="52" t="s">
        <v>623</v>
      </c>
      <c r="B1251" s="52" t="s">
        <v>65</v>
      </c>
      <c r="C1251" s="52" t="s">
        <v>357</v>
      </c>
      <c r="D1251" s="52" t="s">
        <v>357</v>
      </c>
      <c r="E1251" s="52" t="s">
        <v>584</v>
      </c>
      <c r="F1251" s="52" t="s">
        <v>26</v>
      </c>
      <c r="G1251" s="55" t="s">
        <v>275</v>
      </c>
      <c r="H1251" s="55">
        <v>-0.23484389999999999</v>
      </c>
      <c r="I1251" s="55">
        <v>-0.35917510000000002</v>
      </c>
      <c r="J1251" s="55">
        <v>0</v>
      </c>
      <c r="K1251" s="55">
        <v>0</v>
      </c>
      <c r="L1251" s="55">
        <v>0</v>
      </c>
      <c r="M1251" s="55">
        <v>0</v>
      </c>
      <c r="N1251" s="55">
        <v>0</v>
      </c>
    </row>
    <row r="1252" spans="1:14" hidden="1" x14ac:dyDescent="0.35">
      <c r="A1252" s="52" t="s">
        <v>623</v>
      </c>
      <c r="B1252" s="52" t="s">
        <v>65</v>
      </c>
      <c r="C1252" s="52" t="s">
        <v>357</v>
      </c>
      <c r="D1252" s="52" t="s">
        <v>357</v>
      </c>
      <c r="E1252" s="52" t="s">
        <v>584</v>
      </c>
      <c r="F1252" s="52" t="s">
        <v>26</v>
      </c>
      <c r="G1252" s="55" t="s">
        <v>276</v>
      </c>
      <c r="H1252" s="55"/>
      <c r="I1252" s="55"/>
      <c r="J1252" s="55">
        <v>-0.3939223</v>
      </c>
      <c r="K1252" s="55">
        <v>-2.6707580000000002</v>
      </c>
      <c r="L1252" s="55">
        <v>-2.8457620000000001</v>
      </c>
      <c r="M1252" s="55">
        <v>-0.16688600000000001</v>
      </c>
      <c r="N1252" s="55">
        <v>-0.15756890000000001</v>
      </c>
    </row>
    <row r="1253" spans="1:14" hidden="1" x14ac:dyDescent="0.35">
      <c r="A1253" s="52" t="s">
        <v>623</v>
      </c>
      <c r="B1253" s="52" t="s">
        <v>65</v>
      </c>
      <c r="C1253" s="52" t="s">
        <v>357</v>
      </c>
      <c r="D1253" s="52" t="s">
        <v>357</v>
      </c>
      <c r="E1253" s="52" t="s">
        <v>584</v>
      </c>
      <c r="F1253" s="52" t="s">
        <v>26</v>
      </c>
      <c r="G1253" s="55" t="s">
        <v>277</v>
      </c>
      <c r="H1253" s="55"/>
      <c r="I1253" s="55"/>
      <c r="J1253" s="55"/>
      <c r="K1253" s="55">
        <v>0</v>
      </c>
      <c r="L1253" s="55">
        <v>9.3170679999999995E-3</v>
      </c>
      <c r="M1253" s="55">
        <v>9.3170679999999995E-3</v>
      </c>
      <c r="N1253" s="55">
        <v>0</v>
      </c>
    </row>
    <row r="1254" spans="1:14" hidden="1" x14ac:dyDescent="0.35">
      <c r="A1254" s="52" t="s">
        <v>623</v>
      </c>
      <c r="B1254" s="52" t="s">
        <v>65</v>
      </c>
      <c r="C1254" s="52" t="s">
        <v>357</v>
      </c>
      <c r="D1254" s="52" t="s">
        <v>357</v>
      </c>
      <c r="E1254" s="52" t="s">
        <v>584</v>
      </c>
      <c r="F1254" s="52" t="s">
        <v>26</v>
      </c>
      <c r="G1254" s="55" t="s">
        <v>278</v>
      </c>
      <c r="H1254" s="55">
        <v>0.23484389999999999</v>
      </c>
      <c r="I1254" s="55">
        <v>0.35917510000000002</v>
      </c>
      <c r="J1254" s="55">
        <v>0.3939223</v>
      </c>
      <c r="K1254" s="55">
        <v>2.6707580000000002</v>
      </c>
      <c r="L1254" s="55">
        <v>2.8364449999999999</v>
      </c>
      <c r="M1254" s="55">
        <v>0.15756890000000001</v>
      </c>
      <c r="N1254" s="55">
        <v>0.15756890000000001</v>
      </c>
    </row>
    <row r="1255" spans="1:14" hidden="1" x14ac:dyDescent="0.35">
      <c r="A1255" s="52" t="s">
        <v>623</v>
      </c>
      <c r="B1255" s="52" t="s">
        <v>65</v>
      </c>
      <c r="C1255" s="52" t="s">
        <v>187</v>
      </c>
      <c r="D1255" s="52" t="s">
        <v>187</v>
      </c>
      <c r="E1255" s="52" t="s">
        <v>584</v>
      </c>
      <c r="F1255" s="52" t="s">
        <v>26</v>
      </c>
      <c r="G1255" s="55" t="s">
        <v>275</v>
      </c>
      <c r="H1255" s="55"/>
      <c r="I1255" s="55"/>
      <c r="J1255" s="55">
        <v>0</v>
      </c>
      <c r="K1255" s="55">
        <v>-2.831305</v>
      </c>
      <c r="L1255" s="55">
        <v>-8.2980789999999995</v>
      </c>
      <c r="M1255" s="55">
        <v>-17.996289999999998</v>
      </c>
      <c r="N1255" s="55">
        <v>-28.34215</v>
      </c>
    </row>
    <row r="1256" spans="1:14" hidden="1" x14ac:dyDescent="0.35">
      <c r="A1256" s="52" t="s">
        <v>623</v>
      </c>
      <c r="B1256" s="52" t="s">
        <v>65</v>
      </c>
      <c r="C1256" s="52" t="s">
        <v>187</v>
      </c>
      <c r="D1256" s="52" t="s">
        <v>187</v>
      </c>
      <c r="E1256" s="52" t="s">
        <v>584</v>
      </c>
      <c r="F1256" s="52" t="s">
        <v>26</v>
      </c>
      <c r="G1256" s="55" t="s">
        <v>277</v>
      </c>
      <c r="H1256" s="55"/>
      <c r="I1256" s="55"/>
      <c r="J1256" s="55">
        <v>0</v>
      </c>
      <c r="K1256" s="55">
        <v>2.6864050000000002</v>
      </c>
      <c r="L1256" s="55">
        <v>8.1531800000000008</v>
      </c>
      <c r="M1256" s="55">
        <v>17.851389999999999</v>
      </c>
      <c r="N1256" s="55">
        <v>28.19725</v>
      </c>
    </row>
    <row r="1257" spans="1:14" hidden="1" x14ac:dyDescent="0.35">
      <c r="A1257" s="52" t="s">
        <v>623</v>
      </c>
      <c r="B1257" s="52" t="s">
        <v>65</v>
      </c>
      <c r="C1257" s="52" t="s">
        <v>187</v>
      </c>
      <c r="D1257" s="52" t="s">
        <v>187</v>
      </c>
      <c r="E1257" s="52" t="s">
        <v>584</v>
      </c>
      <c r="F1257" s="52" t="s">
        <v>26</v>
      </c>
      <c r="G1257" s="55" t="s">
        <v>279</v>
      </c>
      <c r="H1257" s="55"/>
      <c r="I1257" s="55"/>
      <c r="J1257" s="55">
        <v>0</v>
      </c>
      <c r="K1257" s="55">
        <v>0.1449</v>
      </c>
      <c r="L1257" s="55">
        <v>0.1449</v>
      </c>
      <c r="M1257" s="55">
        <v>0.1449</v>
      </c>
      <c r="N1257" s="55">
        <v>0.1449</v>
      </c>
    </row>
    <row r="1258" spans="1:14" hidden="1" x14ac:dyDescent="0.35">
      <c r="A1258" s="52" t="s">
        <v>623</v>
      </c>
      <c r="B1258" s="52" t="s">
        <v>59</v>
      </c>
      <c r="C1258" s="52" t="s">
        <v>161</v>
      </c>
      <c r="D1258" s="52" t="s">
        <v>161</v>
      </c>
      <c r="E1258" s="52" t="s">
        <v>584</v>
      </c>
      <c r="F1258" s="52" t="s">
        <v>581</v>
      </c>
      <c r="G1258" s="55" t="s">
        <v>275</v>
      </c>
      <c r="H1258" s="55">
        <v>1.1190720000000001</v>
      </c>
      <c r="I1258" s="55">
        <v>6.8696130000000002</v>
      </c>
      <c r="J1258" s="55">
        <v>2.186051</v>
      </c>
      <c r="K1258" s="55">
        <v>1.809912</v>
      </c>
      <c r="L1258" s="55">
        <v>2.0618539999999999</v>
      </c>
      <c r="M1258" s="55">
        <v>0.4386428</v>
      </c>
      <c r="N1258" s="55">
        <v>-0.27016250000000003</v>
      </c>
    </row>
    <row r="1259" spans="1:14" hidden="1" x14ac:dyDescent="0.35">
      <c r="A1259" s="52" t="s">
        <v>623</v>
      </c>
      <c r="B1259" s="52" t="s">
        <v>59</v>
      </c>
      <c r="C1259" s="52" t="s">
        <v>161</v>
      </c>
      <c r="D1259" s="52" t="s">
        <v>161</v>
      </c>
      <c r="E1259" s="52" t="s">
        <v>584</v>
      </c>
      <c r="F1259" s="52" t="s">
        <v>581</v>
      </c>
      <c r="G1259" s="55" t="s">
        <v>276</v>
      </c>
      <c r="H1259" s="55">
        <v>0.51741420000000005</v>
      </c>
      <c r="I1259" s="55">
        <v>0.2625171</v>
      </c>
      <c r="J1259" s="55">
        <v>-7.6387700000000003E-2</v>
      </c>
      <c r="K1259" s="55">
        <v>0.14050869999999999</v>
      </c>
      <c r="L1259" s="55">
        <v>-0.34264460000000002</v>
      </c>
      <c r="M1259" s="55">
        <v>-9.8510239999999999E-2</v>
      </c>
      <c r="N1259" s="55">
        <v>-0.30827890000000002</v>
      </c>
    </row>
    <row r="1260" spans="1:14" hidden="1" x14ac:dyDescent="0.35">
      <c r="A1260" s="52" t="s">
        <v>623</v>
      </c>
      <c r="B1260" s="52" t="s">
        <v>59</v>
      </c>
      <c r="C1260" s="52" t="s">
        <v>161</v>
      </c>
      <c r="D1260" s="52" t="s">
        <v>161</v>
      </c>
      <c r="E1260" s="52" t="s">
        <v>584</v>
      </c>
      <c r="F1260" s="52" t="s">
        <v>581</v>
      </c>
      <c r="G1260" s="55" t="s">
        <v>277</v>
      </c>
      <c r="H1260" s="55">
        <v>2.8125</v>
      </c>
      <c r="I1260" s="55">
        <v>1.6875</v>
      </c>
      <c r="J1260" s="55">
        <v>2.26891</v>
      </c>
      <c r="K1260" s="55">
        <v>1.4756069999999999</v>
      </c>
      <c r="L1260" s="55">
        <v>1.3775980000000001</v>
      </c>
      <c r="M1260" s="55">
        <v>1.0138670000000001</v>
      </c>
      <c r="N1260" s="55">
        <v>1.161743</v>
      </c>
    </row>
    <row r="1261" spans="1:14" hidden="1" x14ac:dyDescent="0.35">
      <c r="A1261" s="52" t="s">
        <v>623</v>
      </c>
      <c r="B1261" s="52" t="s">
        <v>59</v>
      </c>
      <c r="C1261" s="52" t="s">
        <v>161</v>
      </c>
      <c r="D1261" s="52" t="s">
        <v>161</v>
      </c>
      <c r="E1261" s="52" t="s">
        <v>584</v>
      </c>
      <c r="F1261" s="52" t="s">
        <v>581</v>
      </c>
      <c r="G1261" s="55" t="s">
        <v>279</v>
      </c>
      <c r="H1261" s="55">
        <v>7.1445129999999999</v>
      </c>
      <c r="I1261" s="55">
        <v>8.1290019999999998</v>
      </c>
      <c r="J1261" s="55">
        <v>7.8803280000000004</v>
      </c>
      <c r="K1261" s="55">
        <v>8.0982710000000004</v>
      </c>
      <c r="L1261" s="55">
        <v>8.1394450000000003</v>
      </c>
      <c r="M1261" s="55">
        <v>8.1641910000000006</v>
      </c>
      <c r="N1261" s="55">
        <v>8.1863810000000008</v>
      </c>
    </row>
    <row r="1262" spans="1:14" hidden="1" x14ac:dyDescent="0.35">
      <c r="A1262" s="52" t="s">
        <v>623</v>
      </c>
      <c r="B1262" s="52" t="s">
        <v>59</v>
      </c>
      <c r="C1262" s="52" t="s">
        <v>161</v>
      </c>
      <c r="D1262" s="52" t="s">
        <v>161</v>
      </c>
      <c r="E1262" s="52" t="s">
        <v>584</v>
      </c>
      <c r="F1262" s="52" t="s">
        <v>26</v>
      </c>
      <c r="G1262" s="55" t="s">
        <v>275</v>
      </c>
      <c r="H1262" s="55">
        <v>11.07325</v>
      </c>
      <c r="I1262" s="55">
        <v>13.4543</v>
      </c>
      <c r="J1262" s="55">
        <v>11.141489999999999</v>
      </c>
      <c r="K1262" s="55">
        <v>12.525399999999999</v>
      </c>
      <c r="L1262" s="55">
        <v>12.88828</v>
      </c>
      <c r="M1262" s="55">
        <v>10.861980000000001</v>
      </c>
      <c r="N1262" s="55">
        <v>9.5790939999999996</v>
      </c>
    </row>
    <row r="1263" spans="1:14" hidden="1" x14ac:dyDescent="0.35">
      <c r="A1263" s="52" t="s">
        <v>623</v>
      </c>
      <c r="B1263" s="52" t="s">
        <v>59</v>
      </c>
      <c r="C1263" s="52" t="s">
        <v>161</v>
      </c>
      <c r="D1263" s="52" t="s">
        <v>161</v>
      </c>
      <c r="E1263" s="52" t="s">
        <v>584</v>
      </c>
      <c r="F1263" s="52" t="s">
        <v>26</v>
      </c>
      <c r="G1263" s="55" t="s">
        <v>276</v>
      </c>
      <c r="H1263" s="55">
        <v>5.849723</v>
      </c>
      <c r="I1263" s="55">
        <v>5.4709880000000002</v>
      </c>
      <c r="J1263" s="55">
        <v>6.1740469999999998</v>
      </c>
      <c r="K1263" s="55">
        <v>6.0315329999999996</v>
      </c>
      <c r="L1263" s="55">
        <v>6.0517000000000003</v>
      </c>
      <c r="M1263" s="55">
        <v>4.4274149999999999</v>
      </c>
      <c r="N1263" s="55">
        <v>4.2846489999999999</v>
      </c>
    </row>
    <row r="1264" spans="1:14" hidden="1" x14ac:dyDescent="0.35">
      <c r="A1264" s="52" t="s">
        <v>623</v>
      </c>
      <c r="B1264" s="52" t="s">
        <v>59</v>
      </c>
      <c r="C1264" s="52" t="s">
        <v>161</v>
      </c>
      <c r="D1264" s="52" t="s">
        <v>161</v>
      </c>
      <c r="E1264" s="52" t="s">
        <v>584</v>
      </c>
      <c r="F1264" s="52" t="s">
        <v>26</v>
      </c>
      <c r="G1264" s="55" t="s">
        <v>277</v>
      </c>
      <c r="H1264" s="55">
        <v>4.7468500000000002</v>
      </c>
      <c r="I1264" s="55">
        <v>5.0244730000000004</v>
      </c>
      <c r="J1264" s="55">
        <v>5.0709980000000003</v>
      </c>
      <c r="K1264" s="55">
        <v>3.6476649999999999</v>
      </c>
      <c r="L1264" s="55">
        <v>3.3756189999999999</v>
      </c>
      <c r="M1264" s="55">
        <v>2.5106250000000001</v>
      </c>
      <c r="N1264" s="55">
        <v>2.7187000000000001</v>
      </c>
    </row>
    <row r="1265" spans="1:14" hidden="1" x14ac:dyDescent="0.35">
      <c r="A1265" s="52" t="s">
        <v>623</v>
      </c>
      <c r="B1265" s="52" t="s">
        <v>59</v>
      </c>
      <c r="C1265" s="52" t="s">
        <v>161</v>
      </c>
      <c r="D1265" s="52" t="s">
        <v>161</v>
      </c>
      <c r="E1265" s="52" t="s">
        <v>584</v>
      </c>
      <c r="F1265" s="52" t="s">
        <v>26</v>
      </c>
      <c r="G1265" s="55" t="s">
        <v>278</v>
      </c>
      <c r="H1265" s="55">
        <v>8.0157010000000001E-3</v>
      </c>
      <c r="I1265" s="55">
        <v>8.0157000000000006E-3</v>
      </c>
      <c r="J1265" s="55">
        <v>8.0157010000000001E-3</v>
      </c>
      <c r="K1265" s="55">
        <v>8.0157010000000001E-3</v>
      </c>
      <c r="L1265" s="55">
        <v>8.0157010000000001E-3</v>
      </c>
      <c r="M1265" s="55">
        <v>8.0157010000000001E-3</v>
      </c>
      <c r="N1265" s="55">
        <v>8.0157010000000001E-3</v>
      </c>
    </row>
    <row r="1266" spans="1:14" hidden="1" x14ac:dyDescent="0.35">
      <c r="A1266" s="52" t="s">
        <v>623</v>
      </c>
      <c r="B1266" s="52" t="s">
        <v>59</v>
      </c>
      <c r="C1266" s="52" t="s">
        <v>161</v>
      </c>
      <c r="D1266" s="52" t="s">
        <v>161</v>
      </c>
      <c r="E1266" s="52" t="s">
        <v>584</v>
      </c>
      <c r="F1266" s="52" t="s">
        <v>26</v>
      </c>
      <c r="G1266" s="55" t="s">
        <v>279</v>
      </c>
      <c r="H1266" s="55">
        <v>8.8167240000000007</v>
      </c>
      <c r="I1266" s="55">
        <v>8.4226379999999992</v>
      </c>
      <c r="J1266" s="55">
        <v>8.0213789999999996</v>
      </c>
      <c r="K1266" s="55">
        <v>8.5951350000000009</v>
      </c>
      <c r="L1266" s="55">
        <v>8.3659510000000008</v>
      </c>
      <c r="M1266" s="55">
        <v>8.0925429999999992</v>
      </c>
      <c r="N1266" s="55">
        <v>7.8023170000000004</v>
      </c>
    </row>
    <row r="1267" spans="1:14" hidden="1" x14ac:dyDescent="0.35">
      <c r="A1267" s="52" t="s">
        <v>623</v>
      </c>
      <c r="B1267" s="52" t="s">
        <v>59</v>
      </c>
      <c r="C1267" s="52" t="s">
        <v>165</v>
      </c>
      <c r="D1267" s="52" t="s">
        <v>165</v>
      </c>
      <c r="E1267" s="52" t="s">
        <v>584</v>
      </c>
      <c r="F1267" s="52" t="s">
        <v>581</v>
      </c>
      <c r="G1267" s="55" t="s">
        <v>275</v>
      </c>
      <c r="H1267" s="55">
        <v>0.98066379999999997</v>
      </c>
      <c r="I1267" s="55">
        <v>0.12699469999999999</v>
      </c>
      <c r="J1267" s="55">
        <v>0.4615802</v>
      </c>
      <c r="K1267" s="55">
        <v>0.45380680000000001</v>
      </c>
      <c r="L1267" s="55">
        <v>0.39195619999999998</v>
      </c>
      <c r="M1267" s="55">
        <v>0.35366920000000002</v>
      </c>
      <c r="N1267" s="55">
        <v>0.27998780000000001</v>
      </c>
    </row>
    <row r="1268" spans="1:14" hidden="1" x14ac:dyDescent="0.35">
      <c r="A1268" s="52" t="s">
        <v>623</v>
      </c>
      <c r="B1268" s="52" t="s">
        <v>59</v>
      </c>
      <c r="C1268" s="52" t="s">
        <v>165</v>
      </c>
      <c r="D1268" s="52" t="s">
        <v>165</v>
      </c>
      <c r="E1268" s="52" t="s">
        <v>584</v>
      </c>
      <c r="F1268" s="52" t="s">
        <v>581</v>
      </c>
      <c r="G1268" s="55" t="s">
        <v>276</v>
      </c>
      <c r="H1268" s="55">
        <v>0.58953699999999998</v>
      </c>
      <c r="I1268" s="55">
        <v>0.31489800000000001</v>
      </c>
      <c r="J1268" s="55">
        <v>0.3207469</v>
      </c>
      <c r="K1268" s="55">
        <v>0.32417509999999999</v>
      </c>
      <c r="L1268" s="55">
        <v>0.2732559</v>
      </c>
      <c r="M1268" s="55">
        <v>0.25438090000000002</v>
      </c>
      <c r="N1268" s="55">
        <v>0.20889779999999999</v>
      </c>
    </row>
    <row r="1269" spans="1:14" hidden="1" x14ac:dyDescent="0.35">
      <c r="A1269" s="52" t="s">
        <v>623</v>
      </c>
      <c r="B1269" s="52" t="s">
        <v>59</v>
      </c>
      <c r="C1269" s="52" t="s">
        <v>165</v>
      </c>
      <c r="D1269" s="52" t="s">
        <v>165</v>
      </c>
      <c r="E1269" s="52" t="s">
        <v>584</v>
      </c>
      <c r="F1269" s="52" t="s">
        <v>581</v>
      </c>
      <c r="G1269" s="55" t="s">
        <v>277</v>
      </c>
      <c r="H1269" s="55">
        <v>8.8921009999999995E-2</v>
      </c>
      <c r="I1269" s="55">
        <v>6.2504039999999997E-2</v>
      </c>
      <c r="J1269" s="55">
        <v>6.2504039999999997E-2</v>
      </c>
      <c r="K1269" s="55">
        <v>6.047814E-2</v>
      </c>
      <c r="L1269" s="55"/>
      <c r="M1269" s="55"/>
      <c r="N1269" s="55"/>
    </row>
    <row r="1270" spans="1:14" hidden="1" x14ac:dyDescent="0.35">
      <c r="A1270" s="52" t="s">
        <v>623</v>
      </c>
      <c r="B1270" s="52" t="s">
        <v>59</v>
      </c>
      <c r="C1270" s="52" t="s">
        <v>165</v>
      </c>
      <c r="D1270" s="52" t="s">
        <v>165</v>
      </c>
      <c r="E1270" s="52" t="s">
        <v>584</v>
      </c>
      <c r="F1270" s="52" t="s">
        <v>581</v>
      </c>
      <c r="G1270" s="55" t="s">
        <v>279</v>
      </c>
      <c r="H1270" s="55">
        <v>0.2895488</v>
      </c>
      <c r="I1270" s="55">
        <v>0.60575179999999995</v>
      </c>
      <c r="J1270" s="55">
        <v>0.28764400000000001</v>
      </c>
      <c r="K1270" s="55">
        <v>0.31039549999999999</v>
      </c>
      <c r="L1270" s="55">
        <v>0.31179210000000002</v>
      </c>
      <c r="M1270" s="55">
        <v>0.30876150000000002</v>
      </c>
      <c r="N1270" s="55">
        <v>0.28053600000000001</v>
      </c>
    </row>
    <row r="1271" spans="1:14" hidden="1" x14ac:dyDescent="0.35">
      <c r="A1271" s="52" t="s">
        <v>623</v>
      </c>
      <c r="B1271" s="52" t="s">
        <v>59</v>
      </c>
      <c r="C1271" s="52" t="s">
        <v>165</v>
      </c>
      <c r="D1271" s="52" t="s">
        <v>165</v>
      </c>
      <c r="E1271" s="52" t="s">
        <v>584</v>
      </c>
      <c r="F1271" s="52" t="s">
        <v>26</v>
      </c>
      <c r="G1271" s="55" t="s">
        <v>275</v>
      </c>
      <c r="H1271" s="55">
        <v>1.0493749999999999</v>
      </c>
      <c r="I1271" s="55">
        <v>-2.6595629999999999</v>
      </c>
      <c r="J1271" s="55">
        <v>1.5537840000000001</v>
      </c>
      <c r="K1271" s="55">
        <v>3.9577279999999999</v>
      </c>
      <c r="L1271" s="55">
        <v>3.1275650000000002</v>
      </c>
      <c r="M1271" s="55">
        <v>2.7456960000000001</v>
      </c>
      <c r="N1271" s="55">
        <v>2.0827619999999998</v>
      </c>
    </row>
    <row r="1272" spans="1:14" hidden="1" x14ac:dyDescent="0.35">
      <c r="A1272" s="52" t="s">
        <v>623</v>
      </c>
      <c r="B1272" s="52" t="s">
        <v>59</v>
      </c>
      <c r="C1272" s="52" t="s">
        <v>165</v>
      </c>
      <c r="D1272" s="52" t="s">
        <v>165</v>
      </c>
      <c r="E1272" s="52" t="s">
        <v>584</v>
      </c>
      <c r="F1272" s="52" t="s">
        <v>26</v>
      </c>
      <c r="G1272" s="55" t="s">
        <v>276</v>
      </c>
      <c r="H1272" s="55">
        <v>0.92199370000000003</v>
      </c>
      <c r="I1272" s="55">
        <v>0.79907499999999998</v>
      </c>
      <c r="J1272" s="55">
        <v>0.80432899999999996</v>
      </c>
      <c r="K1272" s="55">
        <v>0.85142050000000002</v>
      </c>
      <c r="L1272" s="55">
        <v>0.54045100000000001</v>
      </c>
      <c r="M1272" s="55">
        <v>0.54865810000000004</v>
      </c>
      <c r="N1272" s="55">
        <v>0.33185890000000001</v>
      </c>
    </row>
    <row r="1273" spans="1:14" hidden="1" x14ac:dyDescent="0.35">
      <c r="A1273" s="52" t="s">
        <v>623</v>
      </c>
      <c r="B1273" s="52" t="s">
        <v>59</v>
      </c>
      <c r="C1273" s="52" t="s">
        <v>165</v>
      </c>
      <c r="D1273" s="52" t="s">
        <v>165</v>
      </c>
      <c r="E1273" s="52" t="s">
        <v>584</v>
      </c>
      <c r="F1273" s="52" t="s">
        <v>26</v>
      </c>
      <c r="G1273" s="55" t="s">
        <v>277</v>
      </c>
      <c r="H1273" s="55">
        <v>3.3771420000000001</v>
      </c>
      <c r="I1273" s="55">
        <v>2.98977</v>
      </c>
      <c r="J1273" s="55">
        <v>2.961344</v>
      </c>
      <c r="K1273" s="55">
        <v>0.44523380000000001</v>
      </c>
      <c r="L1273" s="55">
        <v>0.45841270000000001</v>
      </c>
      <c r="M1273" s="55">
        <v>0.43722569999999999</v>
      </c>
      <c r="N1273" s="55">
        <v>0.3586165</v>
      </c>
    </row>
    <row r="1274" spans="1:14" hidden="1" x14ac:dyDescent="0.35">
      <c r="A1274" s="52" t="s">
        <v>623</v>
      </c>
      <c r="B1274" s="52" t="s">
        <v>59</v>
      </c>
      <c r="C1274" s="52" t="s">
        <v>165</v>
      </c>
      <c r="D1274" s="52" t="s">
        <v>165</v>
      </c>
      <c r="E1274" s="52" t="s">
        <v>584</v>
      </c>
      <c r="F1274" s="52" t="s">
        <v>26</v>
      </c>
      <c r="G1274" s="55" t="s">
        <v>278</v>
      </c>
      <c r="H1274" s="55">
        <v>5.4026040000000001E-3</v>
      </c>
      <c r="I1274" s="55">
        <v>5.4026050000000004E-3</v>
      </c>
      <c r="J1274" s="55">
        <v>0</v>
      </c>
      <c r="K1274" s="55">
        <v>0</v>
      </c>
      <c r="L1274" s="55">
        <v>0</v>
      </c>
      <c r="M1274" s="55">
        <v>0</v>
      </c>
      <c r="N1274" s="55">
        <v>0</v>
      </c>
    </row>
    <row r="1275" spans="1:14" hidden="1" x14ac:dyDescent="0.35">
      <c r="A1275" s="52" t="s">
        <v>623</v>
      </c>
      <c r="B1275" s="52" t="s">
        <v>59</v>
      </c>
      <c r="C1275" s="52" t="s">
        <v>165</v>
      </c>
      <c r="D1275" s="52" t="s">
        <v>165</v>
      </c>
      <c r="E1275" s="52" t="s">
        <v>584</v>
      </c>
      <c r="F1275" s="52" t="s">
        <v>26</v>
      </c>
      <c r="G1275" s="55" t="s">
        <v>279</v>
      </c>
      <c r="H1275" s="55">
        <v>2.7490549999999998</v>
      </c>
      <c r="I1275" s="55">
        <v>6.4890999999999996</v>
      </c>
      <c r="J1275" s="55">
        <v>2.5341610000000001</v>
      </c>
      <c r="K1275" s="55">
        <v>2.7347950000000001</v>
      </c>
      <c r="L1275" s="55">
        <v>2.7746629999999999</v>
      </c>
      <c r="M1275" s="55">
        <v>2.7699609999999999</v>
      </c>
      <c r="N1275" s="55">
        <v>2.5522269999999998</v>
      </c>
    </row>
    <row r="1276" spans="1:14" hidden="1" x14ac:dyDescent="0.35">
      <c r="A1276" s="52" t="s">
        <v>623</v>
      </c>
      <c r="B1276" s="52" t="s">
        <v>193</v>
      </c>
      <c r="C1276" s="52" t="s">
        <v>44</v>
      </c>
      <c r="D1276" s="52" t="s">
        <v>44</v>
      </c>
      <c r="E1276" s="52" t="s">
        <v>584</v>
      </c>
      <c r="F1276" s="52" t="s">
        <v>581</v>
      </c>
      <c r="G1276" s="55" t="s">
        <v>275</v>
      </c>
      <c r="H1276" s="55">
        <v>33.310699999999997</v>
      </c>
      <c r="I1276" s="55">
        <v>3.2281</v>
      </c>
      <c r="J1276" s="55">
        <v>2.5701890000000001</v>
      </c>
      <c r="K1276" s="55">
        <v>0.50920949999999998</v>
      </c>
      <c r="L1276" s="55">
        <v>4.0038450000000001</v>
      </c>
      <c r="M1276" s="55">
        <v>4.2932860000000002</v>
      </c>
      <c r="N1276" s="55">
        <v>3.038338</v>
      </c>
    </row>
    <row r="1277" spans="1:14" hidden="1" x14ac:dyDescent="0.35">
      <c r="A1277" s="52" t="s">
        <v>623</v>
      </c>
      <c r="B1277" s="52" t="s">
        <v>193</v>
      </c>
      <c r="C1277" s="52" t="s">
        <v>44</v>
      </c>
      <c r="D1277" s="52" t="s">
        <v>44</v>
      </c>
      <c r="E1277" s="52" t="s">
        <v>584</v>
      </c>
      <c r="F1277" s="52" t="s">
        <v>581</v>
      </c>
      <c r="G1277" s="55" t="s">
        <v>276</v>
      </c>
      <c r="H1277" s="55">
        <v>7.5604259999999996</v>
      </c>
      <c r="I1277" s="55">
        <v>2.1178249999999998</v>
      </c>
      <c r="J1277" s="55">
        <v>2.0931890000000002</v>
      </c>
      <c r="K1277" s="55">
        <v>2.0463849999999999</v>
      </c>
      <c r="L1277" s="55">
        <v>-1.5553619999999999</v>
      </c>
      <c r="M1277" s="55">
        <v>1.3158369999999999</v>
      </c>
      <c r="N1277" s="55">
        <v>-0.47267100000000001</v>
      </c>
    </row>
    <row r="1278" spans="1:14" hidden="1" x14ac:dyDescent="0.35">
      <c r="A1278" s="52" t="s">
        <v>623</v>
      </c>
      <c r="B1278" s="52" t="s">
        <v>193</v>
      </c>
      <c r="C1278" s="52" t="s">
        <v>44</v>
      </c>
      <c r="D1278" s="52" t="s">
        <v>44</v>
      </c>
      <c r="E1278" s="52" t="s">
        <v>584</v>
      </c>
      <c r="F1278" s="52" t="s">
        <v>581</v>
      </c>
      <c r="G1278" s="55" t="s">
        <v>277</v>
      </c>
      <c r="H1278" s="55">
        <v>2.0432610000000002</v>
      </c>
      <c r="I1278" s="55">
        <v>1.6078129999999999</v>
      </c>
      <c r="J1278" s="55">
        <v>1.433203</v>
      </c>
      <c r="K1278" s="55">
        <v>1.7238599999999999</v>
      </c>
      <c r="L1278" s="55">
        <v>1.9362159999999999</v>
      </c>
      <c r="M1278" s="55">
        <v>1.5944910000000001</v>
      </c>
      <c r="N1278" s="55">
        <v>2.615364</v>
      </c>
    </row>
    <row r="1279" spans="1:14" hidden="1" x14ac:dyDescent="0.35">
      <c r="A1279" s="52" t="s">
        <v>623</v>
      </c>
      <c r="B1279" s="52" t="s">
        <v>193</v>
      </c>
      <c r="C1279" s="52" t="s">
        <v>44</v>
      </c>
      <c r="D1279" s="52" t="s">
        <v>44</v>
      </c>
      <c r="E1279" s="52" t="s">
        <v>584</v>
      </c>
      <c r="F1279" s="52" t="s">
        <v>581</v>
      </c>
      <c r="G1279" s="55" t="s">
        <v>278</v>
      </c>
      <c r="H1279" s="55">
        <v>1.8060010000000001E-2</v>
      </c>
      <c r="I1279" s="55">
        <v>1.8060010000000001E-2</v>
      </c>
      <c r="J1279" s="55">
        <v>1.8060010000000001E-2</v>
      </c>
      <c r="K1279" s="55">
        <v>1.8060010000000001E-2</v>
      </c>
      <c r="L1279" s="55">
        <v>3.042862</v>
      </c>
      <c r="M1279" s="55">
        <v>1.8060010000000001E-2</v>
      </c>
      <c r="N1279" s="55">
        <v>1.8060010000000001E-2</v>
      </c>
    </row>
    <row r="1280" spans="1:14" hidden="1" x14ac:dyDescent="0.35">
      <c r="A1280" s="52" t="s">
        <v>623</v>
      </c>
      <c r="B1280" s="52" t="s">
        <v>193</v>
      </c>
      <c r="C1280" s="52" t="s">
        <v>44</v>
      </c>
      <c r="D1280" s="52" t="s">
        <v>44</v>
      </c>
      <c r="E1280" s="52" t="s">
        <v>584</v>
      </c>
      <c r="F1280" s="52" t="s">
        <v>581</v>
      </c>
      <c r="G1280" s="55" t="s">
        <v>279</v>
      </c>
      <c r="H1280" s="55">
        <v>30.385950000000001</v>
      </c>
      <c r="I1280" s="55">
        <v>27.05256</v>
      </c>
      <c r="J1280" s="55">
        <v>27.79532</v>
      </c>
      <c r="K1280" s="55">
        <v>30.202110000000001</v>
      </c>
      <c r="L1280" s="55">
        <v>15.671290000000001</v>
      </c>
      <c r="M1280" s="55">
        <v>15.09005</v>
      </c>
      <c r="N1280" s="55">
        <v>15.648429999999999</v>
      </c>
    </row>
    <row r="1281" spans="1:14" hidden="1" x14ac:dyDescent="0.35">
      <c r="A1281" s="52" t="s">
        <v>623</v>
      </c>
      <c r="B1281" s="52" t="s">
        <v>45</v>
      </c>
      <c r="C1281" s="52" t="s">
        <v>44</v>
      </c>
      <c r="D1281" s="52" t="s">
        <v>44</v>
      </c>
      <c r="E1281" s="52" t="s">
        <v>584</v>
      </c>
      <c r="F1281" s="52" t="s">
        <v>581</v>
      </c>
      <c r="G1281" s="55" t="s">
        <v>275</v>
      </c>
      <c r="H1281" s="55">
        <v>38.167949999999998</v>
      </c>
      <c r="I1281" s="55">
        <v>14.165039999999999</v>
      </c>
      <c r="J1281" s="55">
        <v>11.185309999999999</v>
      </c>
      <c r="K1281" s="55">
        <v>7.8597330000000003</v>
      </c>
      <c r="L1281" s="55">
        <v>5.3766360000000004</v>
      </c>
      <c r="M1281" s="55">
        <v>-3.3400289999999999</v>
      </c>
      <c r="N1281" s="55">
        <v>2.9964620000000002</v>
      </c>
    </row>
    <row r="1282" spans="1:14" hidden="1" x14ac:dyDescent="0.35">
      <c r="A1282" s="52" t="s">
        <v>623</v>
      </c>
      <c r="B1282" s="52" t="s">
        <v>45</v>
      </c>
      <c r="C1282" s="52" t="s">
        <v>44</v>
      </c>
      <c r="D1282" s="52" t="s">
        <v>44</v>
      </c>
      <c r="E1282" s="52" t="s">
        <v>584</v>
      </c>
      <c r="F1282" s="52" t="s">
        <v>581</v>
      </c>
      <c r="G1282" s="55" t="s">
        <v>276</v>
      </c>
      <c r="H1282" s="55">
        <v>5.403003</v>
      </c>
      <c r="I1282" s="55">
        <v>2.5907830000000001</v>
      </c>
      <c r="J1282" s="55">
        <v>2.3825400000000001</v>
      </c>
      <c r="K1282" s="55">
        <v>2.2738520000000002</v>
      </c>
      <c r="L1282" s="55">
        <v>1.9653579999999999</v>
      </c>
      <c r="M1282" s="55">
        <v>1.4833160000000001</v>
      </c>
      <c r="N1282" s="55">
        <v>1.141804</v>
      </c>
    </row>
    <row r="1283" spans="1:14" hidden="1" x14ac:dyDescent="0.35">
      <c r="A1283" s="52" t="s">
        <v>623</v>
      </c>
      <c r="B1283" s="52" t="s">
        <v>45</v>
      </c>
      <c r="C1283" s="52" t="s">
        <v>44</v>
      </c>
      <c r="D1283" s="52" t="s">
        <v>44</v>
      </c>
      <c r="E1283" s="52" t="s">
        <v>584</v>
      </c>
      <c r="F1283" s="52" t="s">
        <v>581</v>
      </c>
      <c r="G1283" s="55" t="s">
        <v>277</v>
      </c>
      <c r="H1283" s="55">
        <v>11.74174</v>
      </c>
      <c r="I1283" s="55">
        <v>2.789631</v>
      </c>
      <c r="J1283" s="55">
        <v>2.4954299999999998</v>
      </c>
      <c r="K1283" s="55">
        <v>3.1187019999999999</v>
      </c>
      <c r="L1283" s="55">
        <v>3.4693510000000001</v>
      </c>
      <c r="M1283" s="55">
        <v>3.4717229999999999</v>
      </c>
      <c r="N1283" s="55">
        <v>3.3764660000000002</v>
      </c>
    </row>
    <row r="1284" spans="1:14" hidden="1" x14ac:dyDescent="0.35">
      <c r="A1284" s="52" t="s">
        <v>623</v>
      </c>
      <c r="B1284" s="52" t="s">
        <v>45</v>
      </c>
      <c r="C1284" s="52" t="s">
        <v>44</v>
      </c>
      <c r="D1284" s="52" t="s">
        <v>44</v>
      </c>
      <c r="E1284" s="52" t="s">
        <v>584</v>
      </c>
      <c r="F1284" s="52" t="s">
        <v>581</v>
      </c>
      <c r="G1284" s="55" t="s">
        <v>278</v>
      </c>
      <c r="H1284" s="55">
        <v>1.0005679999999999E-2</v>
      </c>
      <c r="I1284" s="55">
        <v>1.0005679999999999E-2</v>
      </c>
      <c r="J1284" s="55">
        <v>0</v>
      </c>
      <c r="K1284" s="55">
        <v>0</v>
      </c>
      <c r="L1284" s="55">
        <v>0</v>
      </c>
      <c r="M1284" s="55">
        <v>0</v>
      </c>
      <c r="N1284" s="55">
        <v>0</v>
      </c>
    </row>
    <row r="1285" spans="1:14" hidden="1" x14ac:dyDescent="0.35">
      <c r="A1285" s="52" t="s">
        <v>623</v>
      </c>
      <c r="B1285" s="52" t="s">
        <v>45</v>
      </c>
      <c r="C1285" s="52" t="s">
        <v>44</v>
      </c>
      <c r="D1285" s="52" t="s">
        <v>44</v>
      </c>
      <c r="E1285" s="52" t="s">
        <v>584</v>
      </c>
      <c r="F1285" s="52" t="s">
        <v>581</v>
      </c>
      <c r="G1285" s="55" t="s">
        <v>279</v>
      </c>
      <c r="H1285" s="55">
        <v>18.626090000000001</v>
      </c>
      <c r="I1285" s="55">
        <v>17.258970000000001</v>
      </c>
      <c r="J1285" s="55">
        <v>17.508870000000002</v>
      </c>
      <c r="K1285" s="55">
        <v>18.788360000000001</v>
      </c>
      <c r="L1285" s="55">
        <v>16.882339999999999</v>
      </c>
      <c r="M1285" s="55">
        <v>19.286249999999999</v>
      </c>
      <c r="N1285" s="55">
        <v>8.5743179999999999</v>
      </c>
    </row>
    <row r="1286" spans="1:14" hidden="1" x14ac:dyDescent="0.35">
      <c r="A1286" s="52" t="s">
        <v>623</v>
      </c>
      <c r="B1286" s="52" t="s">
        <v>215</v>
      </c>
      <c r="C1286" s="52" t="s">
        <v>214</v>
      </c>
      <c r="D1286" s="52" t="s">
        <v>214</v>
      </c>
      <c r="E1286" s="52" t="s">
        <v>584</v>
      </c>
      <c r="F1286" s="52" t="s">
        <v>581</v>
      </c>
      <c r="G1286" s="55" t="s">
        <v>275</v>
      </c>
      <c r="H1286" s="55">
        <v>12.571479999999999</v>
      </c>
      <c r="I1286" s="55">
        <v>4.8030299999999997</v>
      </c>
      <c r="J1286" s="55">
        <v>4.5100939999999996</v>
      </c>
      <c r="K1286" s="55">
        <v>0.30287779999999997</v>
      </c>
      <c r="L1286" s="55">
        <v>-1.238442E-2</v>
      </c>
      <c r="M1286" s="55">
        <v>-5.3205000000000002E-2</v>
      </c>
      <c r="N1286" s="55">
        <v>-18.426449999999999</v>
      </c>
    </row>
    <row r="1287" spans="1:14" hidden="1" x14ac:dyDescent="0.35">
      <c r="A1287" s="52" t="s">
        <v>623</v>
      </c>
      <c r="B1287" s="52" t="s">
        <v>215</v>
      </c>
      <c r="C1287" s="52" t="s">
        <v>214</v>
      </c>
      <c r="D1287" s="52" t="s">
        <v>214</v>
      </c>
      <c r="E1287" s="52" t="s">
        <v>584</v>
      </c>
      <c r="F1287" s="52" t="s">
        <v>581</v>
      </c>
      <c r="G1287" s="55" t="s">
        <v>276</v>
      </c>
      <c r="H1287" s="55">
        <v>14.06973</v>
      </c>
      <c r="I1287" s="55">
        <v>5.4842269999999997</v>
      </c>
      <c r="J1287" s="55">
        <v>4.9981260000000001</v>
      </c>
      <c r="K1287" s="55">
        <v>0.61327960000000004</v>
      </c>
      <c r="L1287" s="55"/>
      <c r="M1287" s="55"/>
      <c r="N1287" s="55"/>
    </row>
    <row r="1288" spans="1:14" hidden="1" x14ac:dyDescent="0.35">
      <c r="A1288" s="52" t="s">
        <v>623</v>
      </c>
      <c r="B1288" s="52" t="s">
        <v>215</v>
      </c>
      <c r="C1288" s="52" t="s">
        <v>214</v>
      </c>
      <c r="D1288" s="52" t="s">
        <v>214</v>
      </c>
      <c r="E1288" s="52" t="s">
        <v>584</v>
      </c>
      <c r="F1288" s="52" t="s">
        <v>581</v>
      </c>
      <c r="G1288" s="55" t="s">
        <v>277</v>
      </c>
      <c r="H1288" s="55"/>
      <c r="I1288" s="55"/>
      <c r="J1288" s="55">
        <v>0</v>
      </c>
      <c r="K1288" s="55">
        <v>0</v>
      </c>
      <c r="L1288" s="55">
        <v>0</v>
      </c>
      <c r="M1288" s="55">
        <v>5.3205000000000002E-2</v>
      </c>
      <c r="N1288" s="55">
        <v>5.3205000000000002E-2</v>
      </c>
    </row>
    <row r="1289" spans="1:14" hidden="1" x14ac:dyDescent="0.35">
      <c r="A1289" s="52" t="s">
        <v>623</v>
      </c>
      <c r="B1289" s="52" t="s">
        <v>215</v>
      </c>
      <c r="C1289" s="52" t="s">
        <v>214</v>
      </c>
      <c r="D1289" s="52" t="s">
        <v>214</v>
      </c>
      <c r="E1289" s="52" t="s">
        <v>584</v>
      </c>
      <c r="F1289" s="52" t="s">
        <v>581</v>
      </c>
      <c r="G1289" s="55" t="s">
        <v>278</v>
      </c>
      <c r="H1289" s="55">
        <v>0.1592876</v>
      </c>
      <c r="I1289" s="55">
        <v>0.1592876</v>
      </c>
      <c r="J1289" s="55">
        <v>1.238442E-2</v>
      </c>
      <c r="K1289" s="55">
        <v>1.238442E-2</v>
      </c>
      <c r="L1289" s="55">
        <v>1.238442E-2</v>
      </c>
      <c r="M1289" s="55">
        <v>0</v>
      </c>
      <c r="N1289" s="55">
        <v>0</v>
      </c>
    </row>
    <row r="1290" spans="1:14" hidden="1" x14ac:dyDescent="0.35">
      <c r="A1290" s="52" t="s">
        <v>623</v>
      </c>
      <c r="B1290" s="52" t="s">
        <v>215</v>
      </c>
      <c r="C1290" s="52" t="s">
        <v>214</v>
      </c>
      <c r="D1290" s="52" t="s">
        <v>214</v>
      </c>
      <c r="E1290" s="52" t="s">
        <v>584</v>
      </c>
      <c r="F1290" s="52" t="s">
        <v>581</v>
      </c>
      <c r="G1290" s="55" t="s">
        <v>279</v>
      </c>
      <c r="H1290" s="55">
        <v>4.844678</v>
      </c>
      <c r="I1290" s="55">
        <v>3.795779</v>
      </c>
      <c r="J1290" s="55">
        <v>3.73305</v>
      </c>
      <c r="K1290" s="55">
        <v>0.2396546</v>
      </c>
      <c r="L1290" s="55"/>
      <c r="M1290" s="55"/>
      <c r="N1290" s="55"/>
    </row>
    <row r="1291" spans="1:14" hidden="1" x14ac:dyDescent="0.35">
      <c r="A1291" s="52" t="s">
        <v>623</v>
      </c>
      <c r="B1291" s="52" t="s">
        <v>215</v>
      </c>
      <c r="C1291" s="52" t="s">
        <v>214</v>
      </c>
      <c r="D1291" s="52" t="s">
        <v>214</v>
      </c>
      <c r="E1291" s="52" t="s">
        <v>584</v>
      </c>
      <c r="F1291" s="52" t="s">
        <v>26</v>
      </c>
      <c r="G1291" s="55" t="s">
        <v>275</v>
      </c>
      <c r="H1291" s="55">
        <v>20.843720000000001</v>
      </c>
      <c r="I1291" s="55">
        <v>4.1525600000000003</v>
      </c>
      <c r="J1291" s="55">
        <v>3.8104089999999999</v>
      </c>
      <c r="K1291" s="55">
        <v>2.9308200000000002</v>
      </c>
      <c r="L1291" s="55">
        <v>0</v>
      </c>
      <c r="M1291" s="55">
        <v>0</v>
      </c>
      <c r="N1291" s="55">
        <v>-24.394390000000001</v>
      </c>
    </row>
    <row r="1292" spans="1:14" hidden="1" x14ac:dyDescent="0.35">
      <c r="A1292" s="52" t="s">
        <v>623</v>
      </c>
      <c r="B1292" s="52" t="s">
        <v>215</v>
      </c>
      <c r="C1292" s="52" t="s">
        <v>214</v>
      </c>
      <c r="D1292" s="52" t="s">
        <v>214</v>
      </c>
      <c r="E1292" s="52" t="s">
        <v>584</v>
      </c>
      <c r="F1292" s="52" t="s">
        <v>26</v>
      </c>
      <c r="G1292" s="55" t="s">
        <v>276</v>
      </c>
      <c r="H1292" s="55">
        <v>10.2958</v>
      </c>
      <c r="I1292" s="55">
        <v>10.355460000000001</v>
      </c>
      <c r="J1292" s="55">
        <v>7.688504</v>
      </c>
      <c r="K1292" s="55">
        <v>-0.61327949999999998</v>
      </c>
      <c r="L1292" s="55"/>
      <c r="M1292" s="55"/>
      <c r="N1292" s="55"/>
    </row>
    <row r="1293" spans="1:14" hidden="1" x14ac:dyDescent="0.35">
      <c r="A1293" s="52" t="s">
        <v>623</v>
      </c>
      <c r="B1293" s="52" t="s">
        <v>215</v>
      </c>
      <c r="C1293" s="52" t="s">
        <v>214</v>
      </c>
      <c r="D1293" s="52" t="s">
        <v>214</v>
      </c>
      <c r="E1293" s="52" t="s">
        <v>584</v>
      </c>
      <c r="F1293" s="52" t="s">
        <v>26</v>
      </c>
      <c r="G1293" s="55" t="s">
        <v>277</v>
      </c>
      <c r="H1293" s="55">
        <v>5.6941459999999999</v>
      </c>
      <c r="I1293" s="55">
        <v>19.51559</v>
      </c>
      <c r="J1293" s="55">
        <v>18.107890000000001</v>
      </c>
      <c r="K1293" s="55"/>
      <c r="L1293" s="55"/>
      <c r="M1293" s="55"/>
      <c r="N1293" s="55"/>
    </row>
    <row r="1294" spans="1:14" hidden="1" x14ac:dyDescent="0.35">
      <c r="A1294" s="52" t="s">
        <v>623</v>
      </c>
      <c r="B1294" s="52" t="s">
        <v>215</v>
      </c>
      <c r="C1294" s="52" t="s">
        <v>214</v>
      </c>
      <c r="D1294" s="52" t="s">
        <v>214</v>
      </c>
      <c r="E1294" s="52" t="s">
        <v>584</v>
      </c>
      <c r="F1294" s="52" t="s">
        <v>26</v>
      </c>
      <c r="G1294" s="55" t="s">
        <v>279</v>
      </c>
      <c r="H1294" s="55">
        <v>13.39245</v>
      </c>
      <c r="I1294" s="55">
        <v>10.649139999999999</v>
      </c>
      <c r="J1294" s="55">
        <v>9.3319080000000003</v>
      </c>
      <c r="K1294" s="55">
        <v>1.110015</v>
      </c>
      <c r="L1294" s="55"/>
      <c r="M1294" s="55"/>
      <c r="N1294" s="55"/>
    </row>
    <row r="1295" spans="1:14" hidden="1" x14ac:dyDescent="0.35">
      <c r="A1295" s="52" t="s">
        <v>623</v>
      </c>
      <c r="B1295" s="52" t="s">
        <v>150</v>
      </c>
      <c r="C1295" s="52" t="s">
        <v>287</v>
      </c>
      <c r="D1295" s="52" t="s">
        <v>287</v>
      </c>
      <c r="E1295" s="52" t="s">
        <v>584</v>
      </c>
      <c r="F1295" s="52" t="s">
        <v>581</v>
      </c>
      <c r="G1295" s="55" t="s">
        <v>275</v>
      </c>
      <c r="H1295" s="55">
        <v>-3.9764189999999999</v>
      </c>
      <c r="I1295" s="55">
        <v>-2.6332339999999999</v>
      </c>
      <c r="J1295" s="55">
        <v>0.6815814</v>
      </c>
      <c r="K1295" s="55">
        <v>0.41580669999999997</v>
      </c>
      <c r="L1295" s="55">
        <v>-0.48173149999999998</v>
      </c>
      <c r="M1295" s="55">
        <v>-0.74943950000000004</v>
      </c>
      <c r="N1295" s="55">
        <v>-0.46336850000000002</v>
      </c>
    </row>
    <row r="1296" spans="1:14" hidden="1" x14ac:dyDescent="0.35">
      <c r="A1296" s="52" t="s">
        <v>623</v>
      </c>
      <c r="B1296" s="52" t="s">
        <v>150</v>
      </c>
      <c r="C1296" s="52" t="s">
        <v>287</v>
      </c>
      <c r="D1296" s="52" t="s">
        <v>287</v>
      </c>
      <c r="E1296" s="52" t="s">
        <v>584</v>
      </c>
      <c r="F1296" s="52" t="s">
        <v>581</v>
      </c>
      <c r="G1296" s="55" t="s">
        <v>276</v>
      </c>
      <c r="H1296" s="55">
        <v>0.15439710000000001</v>
      </c>
      <c r="I1296" s="55">
        <v>-0.33251890000000001</v>
      </c>
      <c r="J1296" s="55">
        <v>-0.23460980000000001</v>
      </c>
      <c r="K1296" s="55">
        <v>-0.35440890000000003</v>
      </c>
      <c r="L1296" s="55">
        <v>-5.4410119999999997</v>
      </c>
      <c r="M1296" s="55">
        <v>-0.24338170000000001</v>
      </c>
      <c r="N1296" s="55">
        <v>-0.31228470000000003</v>
      </c>
    </row>
    <row r="1297" spans="1:14" hidden="1" x14ac:dyDescent="0.35">
      <c r="A1297" s="52" t="s">
        <v>623</v>
      </c>
      <c r="B1297" s="52" t="s">
        <v>150</v>
      </c>
      <c r="C1297" s="52" t="s">
        <v>287</v>
      </c>
      <c r="D1297" s="52" t="s">
        <v>287</v>
      </c>
      <c r="E1297" s="52" t="s">
        <v>584</v>
      </c>
      <c r="F1297" s="52" t="s">
        <v>581</v>
      </c>
      <c r="G1297" s="55" t="s">
        <v>277</v>
      </c>
      <c r="H1297" s="55">
        <v>7.8517070000000002</v>
      </c>
      <c r="I1297" s="55">
        <v>6.1631780000000003</v>
      </c>
      <c r="J1297" s="55">
        <v>3.4476719999999998</v>
      </c>
      <c r="K1297" s="55">
        <v>4.3545699999999998</v>
      </c>
      <c r="L1297" s="55">
        <v>4.6811870000000004</v>
      </c>
      <c r="M1297" s="55">
        <v>4.6103769999999997</v>
      </c>
      <c r="N1297" s="55">
        <v>4.4254499999999997</v>
      </c>
    </row>
    <row r="1298" spans="1:14" hidden="1" x14ac:dyDescent="0.35">
      <c r="A1298" s="52" t="s">
        <v>623</v>
      </c>
      <c r="B1298" s="52" t="s">
        <v>150</v>
      </c>
      <c r="C1298" s="52" t="s">
        <v>287</v>
      </c>
      <c r="D1298" s="52" t="s">
        <v>287</v>
      </c>
      <c r="E1298" s="52" t="s">
        <v>584</v>
      </c>
      <c r="F1298" s="52" t="s">
        <v>581</v>
      </c>
      <c r="G1298" s="55" t="s">
        <v>278</v>
      </c>
      <c r="H1298" s="55">
        <v>8.414692E-2</v>
      </c>
      <c r="I1298" s="55">
        <v>0.12225809999999999</v>
      </c>
      <c r="J1298" s="55">
        <v>0.11406760000000001</v>
      </c>
      <c r="K1298" s="55">
        <v>8.2738389999999995E-2</v>
      </c>
      <c r="L1298" s="55">
        <v>5.2614700000000001</v>
      </c>
      <c r="M1298" s="55">
        <v>8.2738389999999995E-2</v>
      </c>
      <c r="N1298" s="55">
        <v>8.2738389999999995E-2</v>
      </c>
    </row>
    <row r="1299" spans="1:14" hidden="1" x14ac:dyDescent="0.35">
      <c r="A1299" s="52" t="s">
        <v>623</v>
      </c>
      <c r="B1299" s="52" t="s">
        <v>150</v>
      </c>
      <c r="C1299" s="52" t="s">
        <v>287</v>
      </c>
      <c r="D1299" s="52" t="s">
        <v>287</v>
      </c>
      <c r="E1299" s="52" t="s">
        <v>584</v>
      </c>
      <c r="F1299" s="52" t="s">
        <v>581</v>
      </c>
      <c r="G1299" s="55" t="s">
        <v>279</v>
      </c>
      <c r="H1299" s="55">
        <v>1.274905</v>
      </c>
      <c r="I1299" s="55">
        <v>1.1368990000000001</v>
      </c>
      <c r="J1299" s="55">
        <v>1.1138950000000001</v>
      </c>
      <c r="K1299" s="55">
        <v>1.137805</v>
      </c>
      <c r="L1299" s="55">
        <v>1.1004320000000001</v>
      </c>
      <c r="M1299" s="55">
        <v>1.04819</v>
      </c>
      <c r="N1299" s="55">
        <v>1.002338</v>
      </c>
    </row>
    <row r="1300" spans="1:14" hidden="1" x14ac:dyDescent="0.35">
      <c r="A1300" s="52" t="s">
        <v>623</v>
      </c>
      <c r="B1300" s="52" t="s">
        <v>150</v>
      </c>
      <c r="C1300" s="52" t="s">
        <v>287</v>
      </c>
      <c r="D1300" s="52" t="s">
        <v>287</v>
      </c>
      <c r="E1300" s="52" t="s">
        <v>584</v>
      </c>
      <c r="F1300" s="52" t="s">
        <v>26</v>
      </c>
      <c r="G1300" s="55" t="s">
        <v>275</v>
      </c>
      <c r="H1300" s="55">
        <v>-0.3670291</v>
      </c>
      <c r="I1300" s="55">
        <v>0.66979580000000005</v>
      </c>
      <c r="J1300" s="55">
        <v>0.31090190000000001</v>
      </c>
      <c r="K1300" s="55">
        <v>0.53473899999999996</v>
      </c>
      <c r="L1300" s="55">
        <v>0.4255777</v>
      </c>
      <c r="M1300" s="55">
        <v>0.40373120000000001</v>
      </c>
      <c r="N1300" s="55">
        <v>0.53203239999999996</v>
      </c>
    </row>
    <row r="1301" spans="1:14" hidden="1" x14ac:dyDescent="0.35">
      <c r="A1301" s="52" t="s">
        <v>623</v>
      </c>
      <c r="B1301" s="52" t="s">
        <v>150</v>
      </c>
      <c r="C1301" s="52" t="s">
        <v>287</v>
      </c>
      <c r="D1301" s="52" t="s">
        <v>287</v>
      </c>
      <c r="E1301" s="52" t="s">
        <v>584</v>
      </c>
      <c r="F1301" s="52" t="s">
        <v>26</v>
      </c>
      <c r="G1301" s="55" t="s">
        <v>276</v>
      </c>
      <c r="H1301" s="55">
        <v>0.17073759999999999</v>
      </c>
      <c r="I1301" s="55">
        <v>0.42814659999999999</v>
      </c>
      <c r="J1301" s="55">
        <v>0.18417169999999999</v>
      </c>
      <c r="K1301" s="55">
        <v>0.27805380000000002</v>
      </c>
      <c r="L1301" s="55">
        <v>0.22253319999999999</v>
      </c>
      <c r="M1301" s="55">
        <v>0.20620740000000001</v>
      </c>
      <c r="N1301" s="55">
        <v>0.2556851</v>
      </c>
    </row>
    <row r="1302" spans="1:14" hidden="1" x14ac:dyDescent="0.35">
      <c r="A1302" s="52" t="s">
        <v>623</v>
      </c>
      <c r="B1302" s="52" t="s">
        <v>150</v>
      </c>
      <c r="C1302" s="52" t="s">
        <v>287</v>
      </c>
      <c r="D1302" s="52" t="s">
        <v>287</v>
      </c>
      <c r="E1302" s="52" t="s">
        <v>584</v>
      </c>
      <c r="F1302" s="52" t="s">
        <v>26</v>
      </c>
      <c r="G1302" s="55" t="s">
        <v>277</v>
      </c>
      <c r="H1302" s="55">
        <v>1.304538</v>
      </c>
      <c r="I1302" s="55">
        <v>1.024446</v>
      </c>
      <c r="J1302" s="55">
        <v>0.55510280000000001</v>
      </c>
      <c r="K1302" s="55">
        <v>0.46999030000000003</v>
      </c>
      <c r="L1302" s="55">
        <v>0.398206</v>
      </c>
      <c r="M1302" s="55">
        <v>0.3376072</v>
      </c>
      <c r="N1302" s="55">
        <v>0.28640789999999999</v>
      </c>
    </row>
    <row r="1303" spans="1:14" hidden="1" x14ac:dyDescent="0.35">
      <c r="A1303" s="52" t="s">
        <v>623</v>
      </c>
      <c r="B1303" s="52" t="s">
        <v>150</v>
      </c>
      <c r="C1303" s="52" t="s">
        <v>287</v>
      </c>
      <c r="D1303" s="52" t="s">
        <v>287</v>
      </c>
      <c r="E1303" s="52" t="s">
        <v>584</v>
      </c>
      <c r="F1303" s="52" t="s">
        <v>26</v>
      </c>
      <c r="G1303" s="55" t="s">
        <v>279</v>
      </c>
      <c r="H1303" s="55">
        <v>3.048476</v>
      </c>
      <c r="I1303" s="55">
        <v>2.6757010000000001</v>
      </c>
      <c r="J1303" s="55">
        <v>2.6386980000000002</v>
      </c>
      <c r="K1303" s="55">
        <v>2.725943</v>
      </c>
      <c r="L1303" s="55">
        <v>2.6284640000000001</v>
      </c>
      <c r="M1303" s="55">
        <v>2.4866320000000002</v>
      </c>
      <c r="N1303" s="55">
        <v>2.3619089999999998</v>
      </c>
    </row>
    <row r="1304" spans="1:14" hidden="1" x14ac:dyDescent="0.35">
      <c r="A1304" s="52" t="s">
        <v>623</v>
      </c>
      <c r="B1304" s="52" t="s">
        <v>150</v>
      </c>
      <c r="C1304" s="52" t="s">
        <v>329</v>
      </c>
      <c r="D1304" s="52" t="s">
        <v>329</v>
      </c>
      <c r="E1304" s="52" t="s">
        <v>584</v>
      </c>
      <c r="F1304" s="52" t="s">
        <v>581</v>
      </c>
      <c r="G1304" s="55" t="s">
        <v>275</v>
      </c>
      <c r="H1304" s="55">
        <v>-6.63551E-2</v>
      </c>
      <c r="I1304" s="55">
        <v>-9.6408549999999996E-2</v>
      </c>
      <c r="J1304" s="55">
        <v>0</v>
      </c>
      <c r="K1304" s="55">
        <v>0</v>
      </c>
      <c r="L1304" s="55">
        <v>0</v>
      </c>
      <c r="M1304" s="55">
        <v>0</v>
      </c>
      <c r="N1304" s="55">
        <v>0</v>
      </c>
    </row>
    <row r="1305" spans="1:14" hidden="1" x14ac:dyDescent="0.35">
      <c r="A1305" s="52" t="s">
        <v>623</v>
      </c>
      <c r="B1305" s="52" t="s">
        <v>150</v>
      </c>
      <c r="C1305" s="52" t="s">
        <v>329</v>
      </c>
      <c r="D1305" s="52" t="s">
        <v>329</v>
      </c>
      <c r="E1305" s="52" t="s">
        <v>584</v>
      </c>
      <c r="F1305" s="52" t="s">
        <v>581</v>
      </c>
      <c r="G1305" s="55" t="s">
        <v>276</v>
      </c>
      <c r="H1305" s="55">
        <v>-2.84382E-2</v>
      </c>
      <c r="I1305" s="55">
        <v>-4.1317850000000003E-2</v>
      </c>
      <c r="J1305" s="55">
        <v>-50.544580000000003</v>
      </c>
      <c r="K1305" s="55">
        <v>-0.12601850000000001</v>
      </c>
      <c r="L1305" s="55">
        <v>-24.5503</v>
      </c>
      <c r="M1305" s="55">
        <v>-9.3205700000000002E-2</v>
      </c>
      <c r="N1305" s="55">
        <v>-9.3206049999999999E-2</v>
      </c>
    </row>
    <row r="1306" spans="1:14" hidden="1" x14ac:dyDescent="0.35">
      <c r="A1306" s="52" t="s">
        <v>623</v>
      </c>
      <c r="B1306" s="52" t="s">
        <v>150</v>
      </c>
      <c r="C1306" s="52" t="s">
        <v>329</v>
      </c>
      <c r="D1306" s="52" t="s">
        <v>329</v>
      </c>
      <c r="E1306" s="52" t="s">
        <v>584</v>
      </c>
      <c r="F1306" s="52" t="s">
        <v>581</v>
      </c>
      <c r="G1306" s="55" t="s">
        <v>277</v>
      </c>
      <c r="H1306" s="55"/>
      <c r="I1306" s="55">
        <v>0</v>
      </c>
      <c r="J1306" s="55">
        <v>3.2812849999999998E-2</v>
      </c>
      <c r="K1306" s="55">
        <v>3.2812500000000001E-2</v>
      </c>
      <c r="L1306" s="55">
        <v>0</v>
      </c>
      <c r="M1306" s="55"/>
      <c r="N1306" s="55"/>
    </row>
    <row r="1307" spans="1:14" hidden="1" x14ac:dyDescent="0.35">
      <c r="A1307" s="52" t="s">
        <v>623</v>
      </c>
      <c r="B1307" s="52" t="s">
        <v>150</v>
      </c>
      <c r="C1307" s="52" t="s">
        <v>329</v>
      </c>
      <c r="D1307" s="52" t="s">
        <v>329</v>
      </c>
      <c r="E1307" s="52" t="s">
        <v>584</v>
      </c>
      <c r="F1307" s="52" t="s">
        <v>581</v>
      </c>
      <c r="G1307" s="55" t="s">
        <v>278</v>
      </c>
      <c r="H1307" s="55">
        <v>9.4793299999999997E-2</v>
      </c>
      <c r="I1307" s="55">
        <v>0.13772609999999999</v>
      </c>
      <c r="J1307" s="55">
        <v>50.511769999999999</v>
      </c>
      <c r="K1307" s="55">
        <v>9.3206410000000003E-2</v>
      </c>
      <c r="L1307" s="55">
        <v>24.5503</v>
      </c>
      <c r="M1307" s="55">
        <v>9.3206410000000003E-2</v>
      </c>
      <c r="N1307" s="55">
        <v>9.320639E-2</v>
      </c>
    </row>
    <row r="1308" spans="1:14" hidden="1" x14ac:dyDescent="0.35">
      <c r="A1308" s="52" t="s">
        <v>623</v>
      </c>
      <c r="B1308" s="52" t="s">
        <v>34</v>
      </c>
      <c r="C1308" s="52" t="s">
        <v>33</v>
      </c>
      <c r="D1308" s="52" t="s">
        <v>33</v>
      </c>
      <c r="E1308" s="52" t="s">
        <v>622</v>
      </c>
      <c r="F1308" s="52" t="s">
        <v>26</v>
      </c>
      <c r="G1308" s="55" t="s">
        <v>275</v>
      </c>
      <c r="H1308" s="55">
        <v>-1.7064299999999999</v>
      </c>
      <c r="I1308" s="55">
        <v>-1.4435340000000001</v>
      </c>
      <c r="J1308" s="55">
        <v>-1.2410159999999999</v>
      </c>
      <c r="K1308" s="55">
        <v>-1.2776380000000001</v>
      </c>
      <c r="L1308" s="55">
        <v>-1.0750550000000001</v>
      </c>
      <c r="M1308" s="55">
        <v>-0.95424370000000003</v>
      </c>
      <c r="N1308" s="55">
        <v>-0.89561069999999998</v>
      </c>
    </row>
    <row r="1309" spans="1:14" hidden="1" x14ac:dyDescent="0.35">
      <c r="A1309" s="52" t="s">
        <v>623</v>
      </c>
      <c r="B1309" s="52" t="s">
        <v>34</v>
      </c>
      <c r="C1309" s="52" t="s">
        <v>33</v>
      </c>
      <c r="D1309" s="52" t="s">
        <v>33</v>
      </c>
      <c r="E1309" s="52" t="s">
        <v>622</v>
      </c>
      <c r="F1309" s="52" t="s">
        <v>26</v>
      </c>
      <c r="G1309" s="55" t="s">
        <v>276</v>
      </c>
      <c r="H1309" s="55">
        <v>-0.56881000000000004</v>
      </c>
      <c r="I1309" s="55">
        <v>-0.4811781</v>
      </c>
      <c r="J1309" s="55">
        <v>-0.41367209999999999</v>
      </c>
      <c r="K1309" s="55">
        <v>-0.42587950000000002</v>
      </c>
      <c r="L1309" s="55">
        <v>-0.35835139999999999</v>
      </c>
      <c r="M1309" s="55">
        <v>-0.31808130000000001</v>
      </c>
      <c r="N1309" s="55">
        <v>-0.29853669999999999</v>
      </c>
    </row>
    <row r="1310" spans="1:14" hidden="1" x14ac:dyDescent="0.35">
      <c r="A1310" s="52" t="s">
        <v>623</v>
      </c>
      <c r="B1310" s="52" t="s">
        <v>34</v>
      </c>
      <c r="C1310" s="52" t="s">
        <v>33</v>
      </c>
      <c r="D1310" s="52" t="s">
        <v>33</v>
      </c>
      <c r="E1310" s="52" t="s">
        <v>622</v>
      </c>
      <c r="F1310" s="52" t="s">
        <v>26</v>
      </c>
      <c r="G1310" s="55" t="s">
        <v>277</v>
      </c>
      <c r="H1310" s="55"/>
      <c r="I1310" s="55"/>
      <c r="J1310" s="55"/>
      <c r="K1310" s="55"/>
      <c r="L1310" s="55"/>
      <c r="M1310" s="55">
        <v>0</v>
      </c>
      <c r="N1310" s="55">
        <v>0</v>
      </c>
    </row>
    <row r="1311" spans="1:14" hidden="1" x14ac:dyDescent="0.35">
      <c r="A1311" s="52" t="s">
        <v>623</v>
      </c>
      <c r="B1311" s="52" t="s">
        <v>34</v>
      </c>
      <c r="C1311" s="52" t="s">
        <v>33</v>
      </c>
      <c r="D1311" s="52" t="s">
        <v>33</v>
      </c>
      <c r="E1311" s="52" t="s">
        <v>622</v>
      </c>
      <c r="F1311" s="52" t="s">
        <v>26</v>
      </c>
      <c r="G1311" s="55" t="s">
        <v>279</v>
      </c>
      <c r="H1311" s="55">
        <v>12.143319999999999</v>
      </c>
      <c r="I1311" s="55">
        <v>11.03294</v>
      </c>
      <c r="J1311" s="55">
        <v>9.7524119999999996</v>
      </c>
      <c r="K1311" s="55">
        <v>9.1684549999999998</v>
      </c>
      <c r="L1311" s="55">
        <v>8.3111329999999999</v>
      </c>
      <c r="M1311" s="55">
        <v>7.6220819999999998</v>
      </c>
      <c r="N1311" s="55">
        <v>7.0214509999999999</v>
      </c>
    </row>
    <row r="1312" spans="1:14" hidden="1" x14ac:dyDescent="0.35">
      <c r="A1312" s="52" t="s">
        <v>623</v>
      </c>
      <c r="B1312" s="52" t="s">
        <v>34</v>
      </c>
      <c r="C1312" s="52" t="s">
        <v>33</v>
      </c>
      <c r="D1312" s="52" t="s">
        <v>33</v>
      </c>
      <c r="E1312" s="52" t="s">
        <v>630</v>
      </c>
      <c r="F1312" s="52" t="s">
        <v>26</v>
      </c>
      <c r="G1312" s="55" t="s">
        <v>275</v>
      </c>
      <c r="H1312" s="55"/>
      <c r="I1312" s="55"/>
      <c r="J1312" s="55">
        <v>0</v>
      </c>
      <c r="K1312" s="55">
        <v>-3.7973739999999999E-2</v>
      </c>
      <c r="L1312" s="55">
        <v>-3.5321859999999997E-2</v>
      </c>
      <c r="M1312" s="55">
        <v>-4.7813550000000002E-3</v>
      </c>
      <c r="N1312" s="55">
        <v>-1.935626E-3</v>
      </c>
    </row>
    <row r="1313" spans="1:14" hidden="1" x14ac:dyDescent="0.35">
      <c r="A1313" s="52" t="s">
        <v>623</v>
      </c>
      <c r="B1313" s="52" t="s">
        <v>34</v>
      </c>
      <c r="C1313" s="52" t="s">
        <v>33</v>
      </c>
      <c r="D1313" s="52" t="s">
        <v>33</v>
      </c>
      <c r="E1313" s="52" t="s">
        <v>630</v>
      </c>
      <c r="F1313" s="52" t="s">
        <v>26</v>
      </c>
      <c r="G1313" s="55" t="s">
        <v>276</v>
      </c>
      <c r="H1313" s="55"/>
      <c r="I1313" s="55"/>
      <c r="J1313" s="55">
        <v>0</v>
      </c>
      <c r="K1313" s="55">
        <v>-1.198551E-2</v>
      </c>
      <c r="L1313" s="55">
        <v>-1.1998109999999999E-2</v>
      </c>
      <c r="M1313" s="55">
        <v>-1.8179400000000001E-3</v>
      </c>
      <c r="N1313" s="55">
        <v>-8.6936399999999997E-4</v>
      </c>
    </row>
    <row r="1314" spans="1:14" hidden="1" x14ac:dyDescent="0.35">
      <c r="A1314" s="52" t="s">
        <v>623</v>
      </c>
      <c r="B1314" s="52" t="s">
        <v>34</v>
      </c>
      <c r="C1314" s="52" t="s">
        <v>33</v>
      </c>
      <c r="D1314" s="52" t="s">
        <v>33</v>
      </c>
      <c r="E1314" s="52" t="s">
        <v>630</v>
      </c>
      <c r="F1314" s="52" t="s">
        <v>26</v>
      </c>
      <c r="G1314" s="55" t="s">
        <v>277</v>
      </c>
      <c r="H1314" s="55"/>
      <c r="I1314" s="55"/>
      <c r="J1314" s="55">
        <v>0</v>
      </c>
      <c r="K1314" s="55"/>
      <c r="L1314" s="55">
        <v>0</v>
      </c>
      <c r="M1314" s="55">
        <v>0</v>
      </c>
      <c r="N1314" s="55"/>
    </row>
    <row r="1315" spans="1:14" hidden="1" x14ac:dyDescent="0.35">
      <c r="A1315" s="52" t="s">
        <v>623</v>
      </c>
      <c r="B1315" s="52" t="s">
        <v>34</v>
      </c>
      <c r="C1315" s="52" t="s">
        <v>33</v>
      </c>
      <c r="D1315" s="52" t="s">
        <v>33</v>
      </c>
      <c r="E1315" s="52" t="s">
        <v>630</v>
      </c>
      <c r="F1315" s="52" t="s">
        <v>26</v>
      </c>
      <c r="G1315" s="55" t="s">
        <v>278</v>
      </c>
      <c r="H1315" s="55"/>
      <c r="I1315" s="55"/>
      <c r="J1315" s="55">
        <v>0</v>
      </c>
      <c r="K1315" s="55"/>
      <c r="L1315" s="55"/>
      <c r="M1315" s="55">
        <v>0</v>
      </c>
      <c r="N1315" s="55"/>
    </row>
    <row r="1316" spans="1:14" hidden="1" x14ac:dyDescent="0.35">
      <c r="A1316" s="52" t="s">
        <v>623</v>
      </c>
      <c r="B1316" s="52" t="s">
        <v>34</v>
      </c>
      <c r="C1316" s="52" t="s">
        <v>33</v>
      </c>
      <c r="D1316" s="52" t="s">
        <v>33</v>
      </c>
      <c r="E1316" s="52" t="s">
        <v>630</v>
      </c>
      <c r="F1316" s="52" t="s">
        <v>26</v>
      </c>
      <c r="G1316" s="55" t="s">
        <v>279</v>
      </c>
      <c r="H1316" s="55"/>
      <c r="I1316" s="55"/>
      <c r="J1316" s="55">
        <v>0</v>
      </c>
      <c r="K1316" s="55">
        <v>4.8072240000000002E-2</v>
      </c>
      <c r="L1316" s="55">
        <v>4.8150159999999997E-2</v>
      </c>
      <c r="M1316" s="55">
        <v>7.1660780000000002E-3</v>
      </c>
      <c r="N1316" s="55">
        <v>3.2595990000000002E-3</v>
      </c>
    </row>
    <row r="1317" spans="1:14" hidden="1" x14ac:dyDescent="0.35">
      <c r="A1317" s="52" t="s">
        <v>623</v>
      </c>
      <c r="B1317" s="52" t="s">
        <v>121</v>
      </c>
      <c r="C1317" s="52" t="s">
        <v>128</v>
      </c>
      <c r="D1317" s="52" t="s">
        <v>128</v>
      </c>
      <c r="E1317" s="52" t="s">
        <v>584</v>
      </c>
      <c r="F1317" s="52" t="s">
        <v>581</v>
      </c>
      <c r="G1317" s="55" t="s">
        <v>275</v>
      </c>
      <c r="H1317" s="55">
        <v>6.8527979999999999</v>
      </c>
      <c r="I1317" s="55">
        <v>1.6146510000000001</v>
      </c>
      <c r="J1317" s="55">
        <v>1.3667899999999999</v>
      </c>
      <c r="K1317" s="55">
        <v>0.96880449999999996</v>
      </c>
      <c r="L1317" s="55">
        <v>0.81418420000000002</v>
      </c>
      <c r="M1317" s="55">
        <v>0.76975579999999999</v>
      </c>
      <c r="N1317" s="55">
        <v>0.67090720000000004</v>
      </c>
    </row>
    <row r="1318" spans="1:14" hidden="1" x14ac:dyDescent="0.35">
      <c r="A1318" s="52" t="s">
        <v>623</v>
      </c>
      <c r="B1318" s="52" t="s">
        <v>121</v>
      </c>
      <c r="C1318" s="52" t="s">
        <v>128</v>
      </c>
      <c r="D1318" s="52" t="s">
        <v>128</v>
      </c>
      <c r="E1318" s="52" t="s">
        <v>584</v>
      </c>
      <c r="F1318" s="52" t="s">
        <v>581</v>
      </c>
      <c r="G1318" s="55" t="s">
        <v>277</v>
      </c>
      <c r="H1318" s="55">
        <v>0.13871900000000001</v>
      </c>
      <c r="I1318" s="55">
        <v>0.1271207</v>
      </c>
      <c r="J1318" s="55">
        <v>0.12572630000000001</v>
      </c>
      <c r="K1318" s="55">
        <v>0.16289490000000001</v>
      </c>
      <c r="L1318" s="55">
        <v>0.17010549999999999</v>
      </c>
      <c r="M1318" s="55">
        <v>0.18492919999999999</v>
      </c>
      <c r="N1318" s="55">
        <v>0.20176189999999999</v>
      </c>
    </row>
    <row r="1319" spans="1:14" hidden="1" x14ac:dyDescent="0.35">
      <c r="A1319" s="52" t="s">
        <v>623</v>
      </c>
      <c r="B1319" s="52" t="s">
        <v>121</v>
      </c>
      <c r="C1319" s="52" t="s">
        <v>128</v>
      </c>
      <c r="D1319" s="52" t="s">
        <v>128</v>
      </c>
      <c r="E1319" s="52" t="s">
        <v>584</v>
      </c>
      <c r="F1319" s="52" t="s">
        <v>581</v>
      </c>
      <c r="G1319" s="55" t="s">
        <v>278</v>
      </c>
      <c r="H1319" s="55">
        <v>4.6778199999999999E-2</v>
      </c>
      <c r="I1319" s="55">
        <v>4.6778199999999999E-2</v>
      </c>
      <c r="J1319" s="55">
        <v>0</v>
      </c>
      <c r="K1319" s="55">
        <v>0</v>
      </c>
      <c r="L1319" s="55">
        <v>0</v>
      </c>
      <c r="M1319" s="55">
        <v>0</v>
      </c>
      <c r="N1319" s="55">
        <v>0</v>
      </c>
    </row>
    <row r="1320" spans="1:14" hidden="1" x14ac:dyDescent="0.35">
      <c r="A1320" s="52" t="s">
        <v>623</v>
      </c>
      <c r="B1320" s="52" t="s">
        <v>121</v>
      </c>
      <c r="C1320" s="52" t="s">
        <v>128</v>
      </c>
      <c r="D1320" s="52" t="s">
        <v>128</v>
      </c>
      <c r="E1320" s="52" t="s">
        <v>584</v>
      </c>
      <c r="F1320" s="52" t="s">
        <v>581</v>
      </c>
      <c r="G1320" s="55" t="s">
        <v>279</v>
      </c>
      <c r="H1320" s="55">
        <v>2.2379349999999998</v>
      </c>
      <c r="I1320" s="55">
        <v>1.865337</v>
      </c>
      <c r="J1320" s="55">
        <v>1.865702</v>
      </c>
      <c r="K1320" s="55">
        <v>1.9608669999999999</v>
      </c>
      <c r="L1320" s="55">
        <v>1.90046</v>
      </c>
      <c r="M1320" s="55">
        <v>1.7749950000000001</v>
      </c>
      <c r="N1320" s="55">
        <v>1.791666</v>
      </c>
    </row>
    <row r="1321" spans="1:14" hidden="1" x14ac:dyDescent="0.35">
      <c r="A1321" s="52" t="s">
        <v>623</v>
      </c>
      <c r="B1321" s="52" t="s">
        <v>121</v>
      </c>
      <c r="C1321" s="52" t="s">
        <v>128</v>
      </c>
      <c r="D1321" s="52" t="s">
        <v>128</v>
      </c>
      <c r="E1321" s="52" t="s">
        <v>584</v>
      </c>
      <c r="F1321" s="52" t="s">
        <v>26</v>
      </c>
      <c r="G1321" s="55" t="s">
        <v>275</v>
      </c>
      <c r="H1321" s="55">
        <v>-1.1071900000000001E-2</v>
      </c>
      <c r="I1321" s="55">
        <v>0.39704669999999997</v>
      </c>
      <c r="J1321" s="55">
        <v>0.34727730000000001</v>
      </c>
      <c r="K1321" s="55">
        <v>0.28129729999999997</v>
      </c>
      <c r="L1321" s="55">
        <v>0.2386491</v>
      </c>
      <c r="M1321" s="55">
        <v>0.2055739</v>
      </c>
      <c r="N1321" s="55">
        <v>0.18578030000000001</v>
      </c>
    </row>
    <row r="1322" spans="1:14" hidden="1" x14ac:dyDescent="0.35">
      <c r="A1322" s="52" t="s">
        <v>623</v>
      </c>
      <c r="B1322" s="52" t="s">
        <v>121</v>
      </c>
      <c r="C1322" s="52" t="s">
        <v>128</v>
      </c>
      <c r="D1322" s="52" t="s">
        <v>128</v>
      </c>
      <c r="E1322" s="52" t="s">
        <v>584</v>
      </c>
      <c r="F1322" s="52" t="s">
        <v>26</v>
      </c>
      <c r="G1322" s="55" t="s">
        <v>279</v>
      </c>
      <c r="H1322" s="55">
        <v>1.107225E-2</v>
      </c>
      <c r="I1322" s="55">
        <v>0.20645549999999999</v>
      </c>
      <c r="J1322" s="55">
        <v>0.1891476</v>
      </c>
      <c r="K1322" s="55">
        <v>0.17135600000000001</v>
      </c>
      <c r="L1322" s="55">
        <v>0.1474376</v>
      </c>
      <c r="M1322" s="55">
        <v>0.12775259999999999</v>
      </c>
      <c r="N1322" s="55">
        <v>0.1169355</v>
      </c>
    </row>
    <row r="1323" spans="1:14" hidden="1" x14ac:dyDescent="0.35">
      <c r="A1323" s="52" t="s">
        <v>623</v>
      </c>
      <c r="B1323" s="52" t="s">
        <v>158</v>
      </c>
      <c r="C1323" s="52" t="s">
        <v>156</v>
      </c>
      <c r="D1323" s="52" t="s">
        <v>260</v>
      </c>
      <c r="E1323" s="52" t="s">
        <v>584</v>
      </c>
      <c r="F1323" s="52" t="s">
        <v>581</v>
      </c>
      <c r="G1323" s="55" t="s">
        <v>275</v>
      </c>
      <c r="H1323" s="55">
        <v>-3.9703889999999999</v>
      </c>
      <c r="I1323" s="55">
        <v>0.38793689999999997</v>
      </c>
      <c r="J1323" s="55">
        <v>0.45157140000000001</v>
      </c>
      <c r="K1323" s="55">
        <v>0.33860649999999998</v>
      </c>
      <c r="L1323" s="55">
        <v>0.26006319999999999</v>
      </c>
      <c r="M1323" s="55">
        <v>0.22095890000000001</v>
      </c>
      <c r="N1323" s="55">
        <v>0.18751899999999999</v>
      </c>
    </row>
    <row r="1324" spans="1:14" hidden="1" x14ac:dyDescent="0.35">
      <c r="A1324" s="52" t="s">
        <v>623</v>
      </c>
      <c r="B1324" s="52" t="s">
        <v>158</v>
      </c>
      <c r="C1324" s="52" t="s">
        <v>156</v>
      </c>
      <c r="D1324" s="52" t="s">
        <v>260</v>
      </c>
      <c r="E1324" s="52" t="s">
        <v>584</v>
      </c>
      <c r="F1324" s="52" t="s">
        <v>581</v>
      </c>
      <c r="G1324" s="55" t="s">
        <v>276</v>
      </c>
      <c r="H1324" s="55">
        <v>-1.1011089999999999</v>
      </c>
      <c r="I1324" s="55">
        <v>0.22427549999999999</v>
      </c>
      <c r="J1324" s="55">
        <v>-0.36961939999999999</v>
      </c>
      <c r="K1324" s="55">
        <v>0.2453256</v>
      </c>
      <c r="L1324" s="55">
        <v>0.20654529999999999</v>
      </c>
      <c r="M1324" s="55">
        <v>0.16981399999999999</v>
      </c>
      <c r="N1324" s="55">
        <v>0.13778580000000001</v>
      </c>
    </row>
    <row r="1325" spans="1:14" hidden="1" x14ac:dyDescent="0.35">
      <c r="A1325" s="52" t="s">
        <v>623</v>
      </c>
      <c r="B1325" s="52" t="s">
        <v>158</v>
      </c>
      <c r="C1325" s="52" t="s">
        <v>156</v>
      </c>
      <c r="D1325" s="52" t="s">
        <v>260</v>
      </c>
      <c r="E1325" s="52" t="s">
        <v>584</v>
      </c>
      <c r="F1325" s="52" t="s">
        <v>581</v>
      </c>
      <c r="G1325" s="55" t="s">
        <v>277</v>
      </c>
      <c r="H1325" s="55">
        <v>0.1066527</v>
      </c>
      <c r="I1325" s="55">
        <v>8.8329489999999997E-2</v>
      </c>
      <c r="J1325" s="55">
        <v>7.3457300000000003E-2</v>
      </c>
      <c r="K1325" s="55">
        <v>6.1854800000000001E-2</v>
      </c>
      <c r="L1325" s="55">
        <v>5.2529890000000003E-2</v>
      </c>
      <c r="M1325" s="55">
        <v>4.5069289999999998E-2</v>
      </c>
      <c r="N1325" s="55">
        <v>3.8728199999999997E-2</v>
      </c>
    </row>
    <row r="1326" spans="1:14" hidden="1" x14ac:dyDescent="0.35">
      <c r="A1326" s="52" t="s">
        <v>623</v>
      </c>
      <c r="B1326" s="52" t="s">
        <v>158</v>
      </c>
      <c r="C1326" s="52" t="s">
        <v>156</v>
      </c>
      <c r="D1326" s="52" t="s">
        <v>260</v>
      </c>
      <c r="E1326" s="52" t="s">
        <v>584</v>
      </c>
      <c r="F1326" s="52" t="s">
        <v>581</v>
      </c>
      <c r="G1326" s="55" t="s">
        <v>278</v>
      </c>
      <c r="H1326" s="55">
        <v>4.6604E-2</v>
      </c>
      <c r="I1326" s="55">
        <v>4.6604E-2</v>
      </c>
      <c r="J1326" s="55">
        <v>0.71915050000000003</v>
      </c>
      <c r="K1326" s="55">
        <v>4.6604E-2</v>
      </c>
      <c r="L1326" s="55">
        <v>4.6604E-2</v>
      </c>
      <c r="M1326" s="55">
        <v>4.6604E-2</v>
      </c>
      <c r="N1326" s="55">
        <v>4.6604E-2</v>
      </c>
    </row>
    <row r="1327" spans="1:14" hidden="1" x14ac:dyDescent="0.35">
      <c r="A1327" s="52" t="s">
        <v>623</v>
      </c>
      <c r="B1327" s="52" t="s">
        <v>158</v>
      </c>
      <c r="C1327" s="52" t="s">
        <v>156</v>
      </c>
      <c r="D1327" s="52" t="s">
        <v>260</v>
      </c>
      <c r="E1327" s="52" t="s">
        <v>584</v>
      </c>
      <c r="F1327" s="52" t="s">
        <v>581</v>
      </c>
      <c r="G1327" s="55" t="s">
        <v>279</v>
      </c>
      <c r="H1327" s="55">
        <v>7.5262659999999997</v>
      </c>
      <c r="I1327" s="55">
        <v>0.54016549999999997</v>
      </c>
      <c r="J1327" s="55">
        <v>0.59439940000000002</v>
      </c>
      <c r="K1327" s="55">
        <v>0.56682220000000005</v>
      </c>
      <c r="L1327" s="55">
        <v>0.52401790000000004</v>
      </c>
      <c r="M1327" s="55">
        <v>0.4712904</v>
      </c>
      <c r="N1327" s="55">
        <v>0.4259906</v>
      </c>
    </row>
    <row r="1328" spans="1:14" hidden="1" x14ac:dyDescent="0.35">
      <c r="A1328" s="52" t="s">
        <v>623</v>
      </c>
      <c r="B1328" s="52" t="s">
        <v>158</v>
      </c>
      <c r="C1328" s="52" t="s">
        <v>156</v>
      </c>
      <c r="D1328" s="52" t="s">
        <v>260</v>
      </c>
      <c r="E1328" s="52" t="s">
        <v>584</v>
      </c>
      <c r="F1328" s="52" t="s">
        <v>26</v>
      </c>
      <c r="G1328" s="55" t="s">
        <v>275</v>
      </c>
      <c r="H1328" s="55">
        <v>-18.02028</v>
      </c>
      <c r="I1328" s="55">
        <v>0</v>
      </c>
      <c r="J1328" s="55"/>
      <c r="K1328" s="55"/>
      <c r="L1328" s="55"/>
      <c r="M1328" s="55"/>
      <c r="N1328" s="55"/>
    </row>
    <row r="1329" spans="1:14" hidden="1" x14ac:dyDescent="0.35">
      <c r="A1329" s="52" t="s">
        <v>623</v>
      </c>
      <c r="B1329" s="52" t="s">
        <v>158</v>
      </c>
      <c r="C1329" s="52" t="s">
        <v>156</v>
      </c>
      <c r="D1329" s="52" t="s">
        <v>260</v>
      </c>
      <c r="E1329" s="52" t="s">
        <v>584</v>
      </c>
      <c r="F1329" s="52" t="s">
        <v>26</v>
      </c>
      <c r="G1329" s="55" t="s">
        <v>276</v>
      </c>
      <c r="H1329" s="55">
        <v>0</v>
      </c>
      <c r="I1329" s="55"/>
      <c r="J1329" s="55"/>
      <c r="K1329" s="55"/>
      <c r="L1329" s="55"/>
      <c r="M1329" s="55"/>
      <c r="N1329" s="55"/>
    </row>
    <row r="1330" spans="1:14" hidden="1" x14ac:dyDescent="0.35">
      <c r="A1330" s="52" t="s">
        <v>623</v>
      </c>
      <c r="B1330" s="52" t="s">
        <v>158</v>
      </c>
      <c r="C1330" s="52" t="s">
        <v>156</v>
      </c>
      <c r="D1330" s="52" t="s">
        <v>260</v>
      </c>
      <c r="E1330" s="52" t="s">
        <v>584</v>
      </c>
      <c r="F1330" s="52" t="s">
        <v>26</v>
      </c>
      <c r="G1330" s="55" t="s">
        <v>279</v>
      </c>
      <c r="H1330" s="55">
        <v>18.02028</v>
      </c>
      <c r="I1330" s="55">
        <v>0</v>
      </c>
      <c r="J1330" s="55"/>
      <c r="K1330" s="55"/>
      <c r="L1330" s="55"/>
      <c r="M1330" s="55"/>
      <c r="N1330" s="55"/>
    </row>
    <row r="1331" spans="1:14" hidden="1" x14ac:dyDescent="0.35">
      <c r="A1331" s="52" t="s">
        <v>623</v>
      </c>
      <c r="B1331" s="52" t="s">
        <v>158</v>
      </c>
      <c r="C1331" s="52" t="s">
        <v>156</v>
      </c>
      <c r="D1331" s="52" t="s">
        <v>157</v>
      </c>
      <c r="E1331" s="52" t="s">
        <v>584</v>
      </c>
      <c r="F1331" s="52" t="s">
        <v>581</v>
      </c>
      <c r="G1331" s="55" t="s">
        <v>275</v>
      </c>
      <c r="H1331" s="55">
        <v>0.28320610000000002</v>
      </c>
      <c r="I1331" s="55">
        <v>-1.204245</v>
      </c>
      <c r="J1331" s="55">
        <v>0.21578629999999999</v>
      </c>
      <c r="K1331" s="55">
        <v>0.1236129</v>
      </c>
      <c r="L1331" s="55">
        <v>6.3219990000000004E-2</v>
      </c>
      <c r="M1331" s="55">
        <v>5.1446430000000001E-2</v>
      </c>
      <c r="N1331" s="55">
        <v>3.9551469999999998E-2</v>
      </c>
    </row>
    <row r="1332" spans="1:14" hidden="1" x14ac:dyDescent="0.35">
      <c r="A1332" s="52" t="s">
        <v>623</v>
      </c>
      <c r="B1332" s="52" t="s">
        <v>158</v>
      </c>
      <c r="C1332" s="52" t="s">
        <v>156</v>
      </c>
      <c r="D1332" s="52" t="s">
        <v>157</v>
      </c>
      <c r="E1332" s="52" t="s">
        <v>584</v>
      </c>
      <c r="F1332" s="52" t="s">
        <v>581</v>
      </c>
      <c r="G1332" s="55" t="s">
        <v>276</v>
      </c>
      <c r="H1332" s="55">
        <v>-0.1048724</v>
      </c>
      <c r="I1332" s="55">
        <v>-0.69086190000000003</v>
      </c>
      <c r="J1332" s="55">
        <v>-0.62182890000000002</v>
      </c>
      <c r="K1332" s="55">
        <v>-0.16832250000000001</v>
      </c>
      <c r="L1332" s="55">
        <v>-0.11418399999999999</v>
      </c>
      <c r="M1332" s="55">
        <v>-0.1025008</v>
      </c>
      <c r="N1332" s="55">
        <v>-9.3280859999999993E-2</v>
      </c>
    </row>
    <row r="1333" spans="1:14" hidden="1" x14ac:dyDescent="0.35">
      <c r="A1333" s="52" t="s">
        <v>623</v>
      </c>
      <c r="B1333" s="52" t="s">
        <v>158</v>
      </c>
      <c r="C1333" s="52" t="s">
        <v>156</v>
      </c>
      <c r="D1333" s="52" t="s">
        <v>157</v>
      </c>
      <c r="E1333" s="52" t="s">
        <v>584</v>
      </c>
      <c r="F1333" s="52" t="s">
        <v>581</v>
      </c>
      <c r="G1333" s="55" t="s">
        <v>277</v>
      </c>
      <c r="H1333" s="55">
        <v>0.39887610000000001</v>
      </c>
      <c r="I1333" s="55">
        <v>0.31743880000000002</v>
      </c>
      <c r="J1333" s="55">
        <v>0.25186140000000001</v>
      </c>
      <c r="K1333" s="55">
        <v>0.2014089</v>
      </c>
      <c r="L1333" s="55">
        <v>0.1609332</v>
      </c>
      <c r="M1333" s="55">
        <v>0.13013089999999999</v>
      </c>
      <c r="N1333" s="55">
        <v>0.1103263</v>
      </c>
    </row>
    <row r="1334" spans="1:14" hidden="1" x14ac:dyDescent="0.35">
      <c r="A1334" s="52" t="s">
        <v>623</v>
      </c>
      <c r="B1334" s="52" t="s">
        <v>158</v>
      </c>
      <c r="C1334" s="52" t="s">
        <v>156</v>
      </c>
      <c r="D1334" s="52" t="s">
        <v>157</v>
      </c>
      <c r="E1334" s="52" t="s">
        <v>584</v>
      </c>
      <c r="F1334" s="52" t="s">
        <v>581</v>
      </c>
      <c r="G1334" s="55" t="s">
        <v>278</v>
      </c>
      <c r="H1334" s="55">
        <v>8.5830950000000003E-2</v>
      </c>
      <c r="I1334" s="55">
        <v>1.4874529999999999</v>
      </c>
      <c r="J1334" s="55">
        <v>0.45786749999999998</v>
      </c>
      <c r="K1334" s="55">
        <v>7.4809390000000003E-2</v>
      </c>
      <c r="L1334" s="55">
        <v>7.4809399999999998E-2</v>
      </c>
      <c r="M1334" s="55">
        <v>7.4809390000000003E-2</v>
      </c>
      <c r="N1334" s="55">
        <v>7.4809399999999998E-2</v>
      </c>
    </row>
    <row r="1335" spans="1:14" hidden="1" x14ac:dyDescent="0.35">
      <c r="A1335" s="52" t="s">
        <v>623</v>
      </c>
      <c r="B1335" s="52" t="s">
        <v>158</v>
      </c>
      <c r="C1335" s="52" t="s">
        <v>156</v>
      </c>
      <c r="D1335" s="52" t="s">
        <v>157</v>
      </c>
      <c r="E1335" s="52" t="s">
        <v>584</v>
      </c>
      <c r="F1335" s="52" t="s">
        <v>581</v>
      </c>
      <c r="G1335" s="55" t="s">
        <v>279</v>
      </c>
      <c r="H1335" s="55">
        <v>2.4145780000000001</v>
      </c>
      <c r="I1335" s="55">
        <v>0.78253980000000001</v>
      </c>
      <c r="J1335" s="55">
        <v>0.23814630000000001</v>
      </c>
      <c r="K1335" s="55">
        <v>0.1880172</v>
      </c>
      <c r="L1335" s="55">
        <v>0.1471701</v>
      </c>
      <c r="M1335" s="55">
        <v>0.1206919</v>
      </c>
      <c r="N1335" s="55">
        <v>0.1008329</v>
      </c>
    </row>
    <row r="1336" spans="1:14" hidden="1" x14ac:dyDescent="0.35">
      <c r="A1336" s="52" t="s">
        <v>623</v>
      </c>
      <c r="B1336" s="52" t="s">
        <v>158</v>
      </c>
      <c r="C1336" s="52" t="s">
        <v>156</v>
      </c>
      <c r="D1336" s="52" t="s">
        <v>157</v>
      </c>
      <c r="E1336" s="52" t="s">
        <v>584</v>
      </c>
      <c r="F1336" s="52" t="s">
        <v>26</v>
      </c>
      <c r="G1336" s="55" t="s">
        <v>275</v>
      </c>
      <c r="H1336" s="55">
        <v>-5.7835599999999996</v>
      </c>
      <c r="I1336" s="55">
        <v>0</v>
      </c>
      <c r="J1336" s="55"/>
      <c r="K1336" s="55"/>
      <c r="L1336" s="55"/>
      <c r="M1336" s="55"/>
      <c r="N1336" s="55"/>
    </row>
    <row r="1337" spans="1:14" hidden="1" x14ac:dyDescent="0.35">
      <c r="A1337" s="52" t="s">
        <v>623</v>
      </c>
      <c r="B1337" s="52" t="s">
        <v>158</v>
      </c>
      <c r="C1337" s="52" t="s">
        <v>156</v>
      </c>
      <c r="D1337" s="52" t="s">
        <v>157</v>
      </c>
      <c r="E1337" s="52" t="s">
        <v>584</v>
      </c>
      <c r="F1337" s="52" t="s">
        <v>26</v>
      </c>
      <c r="G1337" s="55" t="s">
        <v>276</v>
      </c>
      <c r="H1337" s="55">
        <v>0</v>
      </c>
      <c r="I1337" s="55"/>
      <c r="J1337" s="55"/>
      <c r="K1337" s="55"/>
      <c r="L1337" s="55"/>
      <c r="M1337" s="55"/>
      <c r="N1337" s="55"/>
    </row>
    <row r="1338" spans="1:14" hidden="1" x14ac:dyDescent="0.35">
      <c r="A1338" s="52" t="s">
        <v>623</v>
      </c>
      <c r="B1338" s="52" t="s">
        <v>158</v>
      </c>
      <c r="C1338" s="52" t="s">
        <v>156</v>
      </c>
      <c r="D1338" s="52" t="s">
        <v>157</v>
      </c>
      <c r="E1338" s="52" t="s">
        <v>584</v>
      </c>
      <c r="F1338" s="52" t="s">
        <v>26</v>
      </c>
      <c r="G1338" s="55" t="s">
        <v>279</v>
      </c>
      <c r="H1338" s="55">
        <v>5.7835599999999996</v>
      </c>
      <c r="I1338" s="55">
        <v>0</v>
      </c>
      <c r="J1338" s="55"/>
      <c r="K1338" s="55"/>
      <c r="L1338" s="55"/>
      <c r="M1338" s="55"/>
      <c r="N1338" s="55"/>
    </row>
    <row r="1339" spans="1:14" hidden="1" x14ac:dyDescent="0.35">
      <c r="A1339" s="52" t="s">
        <v>623</v>
      </c>
      <c r="B1339" s="52" t="s">
        <v>158</v>
      </c>
      <c r="C1339" s="52" t="s">
        <v>256</v>
      </c>
      <c r="D1339" s="52" t="s">
        <v>256</v>
      </c>
      <c r="E1339" s="52" t="s">
        <v>584</v>
      </c>
      <c r="F1339" s="52" t="s">
        <v>581</v>
      </c>
      <c r="G1339" s="55" t="s">
        <v>275</v>
      </c>
      <c r="H1339" s="55">
        <v>-8.5745500000000002E-2</v>
      </c>
      <c r="I1339" s="55">
        <v>-8.5745500000000002E-2</v>
      </c>
      <c r="J1339" s="55">
        <v>0</v>
      </c>
      <c r="K1339" s="55">
        <v>0</v>
      </c>
      <c r="L1339" s="55">
        <v>0</v>
      </c>
      <c r="M1339" s="55">
        <v>0</v>
      </c>
      <c r="N1339" s="55">
        <v>0</v>
      </c>
    </row>
    <row r="1340" spans="1:14" hidden="1" x14ac:dyDescent="0.35">
      <c r="A1340" s="52" t="s">
        <v>623</v>
      </c>
      <c r="B1340" s="52" t="s">
        <v>158</v>
      </c>
      <c r="C1340" s="52" t="s">
        <v>256</v>
      </c>
      <c r="D1340" s="52" t="s">
        <v>256</v>
      </c>
      <c r="E1340" s="52" t="s">
        <v>584</v>
      </c>
      <c r="F1340" s="52" t="s">
        <v>581</v>
      </c>
      <c r="G1340" s="55" t="s">
        <v>276</v>
      </c>
      <c r="H1340" s="55"/>
      <c r="I1340" s="55"/>
      <c r="J1340" s="55">
        <v>-8.5745500000000002E-2</v>
      </c>
      <c r="K1340" s="55">
        <v>-8.5745500000000002E-2</v>
      </c>
      <c r="L1340" s="55">
        <v>-8.5745500000000002E-2</v>
      </c>
      <c r="M1340" s="55">
        <v>-8.5745500000000002E-2</v>
      </c>
      <c r="N1340" s="55">
        <v>-37.739660000000001</v>
      </c>
    </row>
    <row r="1341" spans="1:14" hidden="1" x14ac:dyDescent="0.35">
      <c r="A1341" s="52" t="s">
        <v>623</v>
      </c>
      <c r="B1341" s="52" t="s">
        <v>158</v>
      </c>
      <c r="C1341" s="52" t="s">
        <v>256</v>
      </c>
      <c r="D1341" s="52" t="s">
        <v>256</v>
      </c>
      <c r="E1341" s="52" t="s">
        <v>584</v>
      </c>
      <c r="F1341" s="52" t="s">
        <v>581</v>
      </c>
      <c r="G1341" s="55" t="s">
        <v>277</v>
      </c>
      <c r="H1341" s="55"/>
      <c r="I1341" s="55"/>
      <c r="J1341" s="55"/>
      <c r="K1341" s="55"/>
      <c r="L1341" s="55"/>
      <c r="M1341" s="55"/>
      <c r="N1341" s="55">
        <v>0</v>
      </c>
    </row>
    <row r="1342" spans="1:14" hidden="1" x14ac:dyDescent="0.35">
      <c r="A1342" s="52" t="s">
        <v>623</v>
      </c>
      <c r="B1342" s="52" t="s">
        <v>158</v>
      </c>
      <c r="C1342" s="52" t="s">
        <v>256</v>
      </c>
      <c r="D1342" s="52" t="s">
        <v>256</v>
      </c>
      <c r="E1342" s="52" t="s">
        <v>584</v>
      </c>
      <c r="F1342" s="52" t="s">
        <v>581</v>
      </c>
      <c r="G1342" s="55" t="s">
        <v>278</v>
      </c>
      <c r="H1342" s="55">
        <v>8.5745500000000002E-2</v>
      </c>
      <c r="I1342" s="55">
        <v>8.5745500000000002E-2</v>
      </c>
      <c r="J1342" s="55">
        <v>8.5745500000000002E-2</v>
      </c>
      <c r="K1342" s="55">
        <v>8.5745500000000002E-2</v>
      </c>
      <c r="L1342" s="55">
        <v>8.5745500000000002E-2</v>
      </c>
      <c r="M1342" s="55">
        <v>8.5745500000000002E-2</v>
      </c>
      <c r="N1342" s="55">
        <v>37.739669999999997</v>
      </c>
    </row>
    <row r="1343" spans="1:14" hidden="1" x14ac:dyDescent="0.35">
      <c r="A1343" s="52" t="s">
        <v>623</v>
      </c>
      <c r="B1343" s="52" t="s">
        <v>160</v>
      </c>
      <c r="C1343" s="52" t="s">
        <v>391</v>
      </c>
      <c r="D1343" s="52" t="s">
        <v>392</v>
      </c>
      <c r="E1343" s="52" t="s">
        <v>584</v>
      </c>
      <c r="F1343" s="52" t="s">
        <v>581</v>
      </c>
      <c r="G1343" s="55" t="s">
        <v>275</v>
      </c>
      <c r="H1343" s="55">
        <v>7.6446189999999996</v>
      </c>
      <c r="I1343" s="55">
        <v>6.9944050000000004</v>
      </c>
      <c r="J1343" s="55">
        <v>4.9278060000000004</v>
      </c>
      <c r="K1343" s="55">
        <v>4.9249029999999996</v>
      </c>
      <c r="L1343" s="55">
        <v>4.2681290000000001</v>
      </c>
      <c r="M1343" s="55">
        <v>2.924855</v>
      </c>
      <c r="N1343" s="55">
        <v>1.146936</v>
      </c>
    </row>
    <row r="1344" spans="1:14" hidden="1" x14ac:dyDescent="0.35">
      <c r="A1344" s="52" t="s">
        <v>623</v>
      </c>
      <c r="B1344" s="52" t="s">
        <v>160</v>
      </c>
      <c r="C1344" s="52" t="s">
        <v>391</v>
      </c>
      <c r="D1344" s="52" t="s">
        <v>392</v>
      </c>
      <c r="E1344" s="52" t="s">
        <v>584</v>
      </c>
      <c r="F1344" s="52" t="s">
        <v>581</v>
      </c>
      <c r="G1344" s="55" t="s">
        <v>276</v>
      </c>
      <c r="H1344" s="55">
        <v>-7.8418580000000002</v>
      </c>
      <c r="I1344" s="55">
        <v>-7.0441859999999998</v>
      </c>
      <c r="J1344" s="55">
        <v>-4.4159769999999998</v>
      </c>
      <c r="K1344" s="55">
        <v>-4.4151910000000001</v>
      </c>
      <c r="L1344" s="55">
        <v>-3.7576100000000001</v>
      </c>
      <c r="M1344" s="55">
        <v>-2.9584160000000002</v>
      </c>
      <c r="N1344" s="55">
        <v>-1.3217669999999999</v>
      </c>
    </row>
    <row r="1345" spans="1:14" hidden="1" x14ac:dyDescent="0.35">
      <c r="A1345" s="52" t="s">
        <v>623</v>
      </c>
      <c r="B1345" s="52" t="s">
        <v>160</v>
      </c>
      <c r="C1345" s="52" t="s">
        <v>391</v>
      </c>
      <c r="D1345" s="52" t="s">
        <v>392</v>
      </c>
      <c r="E1345" s="52" t="s">
        <v>584</v>
      </c>
      <c r="F1345" s="52" t="s">
        <v>581</v>
      </c>
      <c r="G1345" s="55" t="s">
        <v>277</v>
      </c>
      <c r="H1345" s="55"/>
      <c r="I1345" s="55"/>
      <c r="J1345" s="55"/>
      <c r="K1345" s="55"/>
      <c r="L1345" s="55">
        <v>0</v>
      </c>
      <c r="M1345" s="55">
        <v>8.6204990000000002E-4</v>
      </c>
      <c r="N1345" s="55">
        <v>0.140876</v>
      </c>
    </row>
    <row r="1346" spans="1:14" hidden="1" x14ac:dyDescent="0.35">
      <c r="A1346" s="52" t="s">
        <v>623</v>
      </c>
      <c r="B1346" s="52" t="s">
        <v>160</v>
      </c>
      <c r="C1346" s="52" t="s">
        <v>391</v>
      </c>
      <c r="D1346" s="52" t="s">
        <v>392</v>
      </c>
      <c r="E1346" s="52" t="s">
        <v>584</v>
      </c>
      <c r="F1346" s="52" t="s">
        <v>581</v>
      </c>
      <c r="G1346" s="55" t="s">
        <v>278</v>
      </c>
      <c r="H1346" s="55">
        <v>0.197239</v>
      </c>
      <c r="I1346" s="55">
        <v>4.9779749999999998E-2</v>
      </c>
      <c r="J1346" s="55">
        <v>1.798338E-2</v>
      </c>
      <c r="K1346" s="55">
        <v>1.8843390000000002E-2</v>
      </c>
      <c r="L1346" s="55">
        <v>1.6780409999999999E-2</v>
      </c>
      <c r="M1346" s="55">
        <v>4.1951219999999997E-2</v>
      </c>
      <c r="N1346" s="55">
        <v>4.1951219999999997E-2</v>
      </c>
    </row>
    <row r="1347" spans="1:14" hidden="1" x14ac:dyDescent="0.35">
      <c r="A1347" s="52" t="s">
        <v>623</v>
      </c>
      <c r="B1347" s="52" t="s">
        <v>56</v>
      </c>
      <c r="C1347" s="52" t="s">
        <v>333</v>
      </c>
      <c r="D1347" s="52" t="s">
        <v>333</v>
      </c>
      <c r="E1347" s="52" t="s">
        <v>584</v>
      </c>
      <c r="F1347" s="52" t="s">
        <v>581</v>
      </c>
      <c r="G1347" s="55" t="s">
        <v>275</v>
      </c>
      <c r="H1347" s="55">
        <v>-15.01272</v>
      </c>
      <c r="I1347" s="55">
        <v>-20.18497</v>
      </c>
      <c r="J1347" s="55">
        <v>0</v>
      </c>
      <c r="K1347" s="55">
        <v>0</v>
      </c>
      <c r="L1347" s="55">
        <v>0</v>
      </c>
      <c r="M1347" s="55">
        <v>0</v>
      </c>
      <c r="N1347" s="55">
        <v>0</v>
      </c>
    </row>
    <row r="1348" spans="1:14" hidden="1" x14ac:dyDescent="0.35">
      <c r="A1348" s="52" t="s">
        <v>623</v>
      </c>
      <c r="B1348" s="52" t="s">
        <v>56</v>
      </c>
      <c r="C1348" s="52" t="s">
        <v>333</v>
      </c>
      <c r="D1348" s="52" t="s">
        <v>333</v>
      </c>
      <c r="E1348" s="52" t="s">
        <v>584</v>
      </c>
      <c r="F1348" s="52" t="s">
        <v>581</v>
      </c>
      <c r="G1348" s="55" t="s">
        <v>276</v>
      </c>
      <c r="H1348" s="55"/>
      <c r="I1348" s="55"/>
      <c r="J1348" s="55"/>
      <c r="K1348" s="55"/>
      <c r="L1348" s="55">
        <v>0</v>
      </c>
      <c r="M1348" s="55"/>
      <c r="N1348" s="55"/>
    </row>
    <row r="1349" spans="1:14" hidden="1" x14ac:dyDescent="0.35">
      <c r="A1349" s="52" t="s">
        <v>623</v>
      </c>
      <c r="B1349" s="52" t="s">
        <v>56</v>
      </c>
      <c r="C1349" s="52" t="s">
        <v>333</v>
      </c>
      <c r="D1349" s="52" t="s">
        <v>333</v>
      </c>
      <c r="E1349" s="52" t="s">
        <v>584</v>
      </c>
      <c r="F1349" s="52" t="s">
        <v>581</v>
      </c>
      <c r="G1349" s="55" t="s">
        <v>277</v>
      </c>
      <c r="H1349" s="55"/>
      <c r="I1349" s="55"/>
      <c r="J1349" s="55">
        <v>0</v>
      </c>
      <c r="K1349" s="55">
        <v>0</v>
      </c>
      <c r="L1349" s="55">
        <v>0</v>
      </c>
      <c r="M1349" s="55">
        <v>0</v>
      </c>
      <c r="N1349" s="55">
        <v>0</v>
      </c>
    </row>
    <row r="1350" spans="1:14" hidden="1" x14ac:dyDescent="0.35">
      <c r="A1350" s="52" t="s">
        <v>623</v>
      </c>
      <c r="B1350" s="52" t="s">
        <v>56</v>
      </c>
      <c r="C1350" s="52" t="s">
        <v>333</v>
      </c>
      <c r="D1350" s="52" t="s">
        <v>333</v>
      </c>
      <c r="E1350" s="52" t="s">
        <v>584</v>
      </c>
      <c r="F1350" s="52" t="s">
        <v>581</v>
      </c>
      <c r="G1350" s="55" t="s">
        <v>278</v>
      </c>
      <c r="H1350" s="55">
        <v>15.01272</v>
      </c>
      <c r="I1350" s="55">
        <v>20.184979999999999</v>
      </c>
      <c r="J1350" s="55">
        <v>0</v>
      </c>
      <c r="K1350" s="55">
        <v>0</v>
      </c>
      <c r="L1350" s="55">
        <v>0</v>
      </c>
      <c r="M1350" s="55"/>
      <c r="N1350" s="55"/>
    </row>
    <row r="1351" spans="1:14" hidden="1" x14ac:dyDescent="0.35">
      <c r="A1351" s="52" t="s">
        <v>623</v>
      </c>
      <c r="B1351" s="52" t="s">
        <v>56</v>
      </c>
      <c r="C1351" s="52" t="s">
        <v>333</v>
      </c>
      <c r="D1351" s="52" t="s">
        <v>333</v>
      </c>
      <c r="E1351" s="52" t="s">
        <v>584</v>
      </c>
      <c r="F1351" s="52" t="s">
        <v>581</v>
      </c>
      <c r="G1351" s="55" t="s">
        <v>279</v>
      </c>
      <c r="H1351" s="55"/>
      <c r="I1351" s="55"/>
      <c r="J1351" s="55">
        <v>0</v>
      </c>
      <c r="K1351" s="55">
        <v>0</v>
      </c>
      <c r="L1351" s="55">
        <v>0</v>
      </c>
      <c r="M1351" s="55">
        <v>0</v>
      </c>
      <c r="N1351" s="55">
        <v>0</v>
      </c>
    </row>
    <row r="1352" spans="1:14" hidden="1" x14ac:dyDescent="0.35">
      <c r="A1352" s="52" t="s">
        <v>623</v>
      </c>
      <c r="B1352" s="52" t="s">
        <v>361</v>
      </c>
      <c r="C1352" s="52" t="s">
        <v>214</v>
      </c>
      <c r="D1352" s="52" t="s">
        <v>214</v>
      </c>
      <c r="E1352" s="52" t="s">
        <v>584</v>
      </c>
      <c r="F1352" s="52" t="s">
        <v>581</v>
      </c>
      <c r="G1352" s="55" t="s">
        <v>275</v>
      </c>
      <c r="H1352" s="55">
        <v>-4.7302749999999999E-3</v>
      </c>
      <c r="I1352" s="55">
        <v>-6.0213289999999997E-3</v>
      </c>
      <c r="J1352" s="55">
        <v>0</v>
      </c>
      <c r="K1352" s="55">
        <v>0</v>
      </c>
      <c r="L1352" s="55">
        <v>0</v>
      </c>
      <c r="M1352" s="55">
        <v>0</v>
      </c>
      <c r="N1352" s="55">
        <v>0</v>
      </c>
    </row>
    <row r="1353" spans="1:14" hidden="1" x14ac:dyDescent="0.35">
      <c r="A1353" s="52" t="s">
        <v>623</v>
      </c>
      <c r="B1353" s="52" t="s">
        <v>361</v>
      </c>
      <c r="C1353" s="52" t="s">
        <v>214</v>
      </c>
      <c r="D1353" s="52" t="s">
        <v>214</v>
      </c>
      <c r="E1353" s="52" t="s">
        <v>584</v>
      </c>
      <c r="F1353" s="52" t="s">
        <v>581</v>
      </c>
      <c r="G1353" s="55" t="s">
        <v>276</v>
      </c>
      <c r="H1353" s="55">
        <v>-6.5196000000000004E-3</v>
      </c>
      <c r="I1353" s="55">
        <v>-5.2285470000000001E-3</v>
      </c>
      <c r="J1353" s="55">
        <v>-1.124988E-2</v>
      </c>
      <c r="K1353" s="55">
        <v>-6.5584939999999994E-2</v>
      </c>
      <c r="L1353" s="55">
        <v>-1.1249489999999999E-2</v>
      </c>
      <c r="M1353" s="55">
        <v>-1.124968E-2</v>
      </c>
      <c r="N1353" s="55">
        <v>-1.124968E-2</v>
      </c>
    </row>
    <row r="1354" spans="1:14" hidden="1" x14ac:dyDescent="0.35">
      <c r="A1354" s="52" t="s">
        <v>623</v>
      </c>
      <c r="B1354" s="52" t="s">
        <v>361</v>
      </c>
      <c r="C1354" s="52" t="s">
        <v>214</v>
      </c>
      <c r="D1354" s="52" t="s">
        <v>214</v>
      </c>
      <c r="E1354" s="52" t="s">
        <v>584</v>
      </c>
      <c r="F1354" s="52" t="s">
        <v>581</v>
      </c>
      <c r="G1354" s="55" t="s">
        <v>277</v>
      </c>
      <c r="H1354" s="55"/>
      <c r="I1354" s="55"/>
      <c r="J1354" s="55">
        <v>0</v>
      </c>
      <c r="K1354" s="55">
        <v>5.4335250000000002E-2</v>
      </c>
      <c r="L1354" s="55">
        <v>0</v>
      </c>
      <c r="M1354" s="55">
        <v>0</v>
      </c>
      <c r="N1354" s="55">
        <v>0</v>
      </c>
    </row>
    <row r="1355" spans="1:14" hidden="1" x14ac:dyDescent="0.35">
      <c r="A1355" s="52" t="s">
        <v>623</v>
      </c>
      <c r="B1355" s="52" t="s">
        <v>361</v>
      </c>
      <c r="C1355" s="52" t="s">
        <v>214</v>
      </c>
      <c r="D1355" s="52" t="s">
        <v>214</v>
      </c>
      <c r="E1355" s="52" t="s">
        <v>584</v>
      </c>
      <c r="F1355" s="52" t="s">
        <v>581</v>
      </c>
      <c r="G1355" s="55" t="s">
        <v>278</v>
      </c>
      <c r="H1355" s="55">
        <v>1.124969E-2</v>
      </c>
      <c r="I1355" s="55">
        <v>1.124968E-2</v>
      </c>
      <c r="J1355" s="55">
        <v>1.124969E-2</v>
      </c>
      <c r="K1355" s="55">
        <v>1.124968E-2</v>
      </c>
      <c r="L1355" s="55">
        <v>1.124968E-2</v>
      </c>
      <c r="M1355" s="55">
        <v>1.124968E-2</v>
      </c>
      <c r="N1355" s="55">
        <v>1.124968E-2</v>
      </c>
    </row>
    <row r="1356" spans="1:14" hidden="1" x14ac:dyDescent="0.35">
      <c r="A1356" s="52" t="s">
        <v>623</v>
      </c>
      <c r="B1356" s="52" t="s">
        <v>361</v>
      </c>
      <c r="C1356" s="52" t="s">
        <v>214</v>
      </c>
      <c r="D1356" s="52" t="s">
        <v>214</v>
      </c>
      <c r="E1356" s="52" t="s">
        <v>584</v>
      </c>
      <c r="F1356" s="52" t="s">
        <v>26</v>
      </c>
      <c r="G1356" s="55" t="s">
        <v>275</v>
      </c>
      <c r="H1356" s="55">
        <v>-18.567830000000001</v>
      </c>
      <c r="I1356" s="55">
        <v>1.360773</v>
      </c>
      <c r="J1356" s="55">
        <v>1.360773</v>
      </c>
      <c r="K1356" s="55">
        <v>1.360773</v>
      </c>
      <c r="L1356" s="55">
        <v>1.3607720000000001</v>
      </c>
      <c r="M1356" s="55">
        <v>-3.4229620000000002E-2</v>
      </c>
      <c r="N1356" s="55">
        <v>-3.4229620000000002E-2</v>
      </c>
    </row>
    <row r="1357" spans="1:14" hidden="1" x14ac:dyDescent="0.35">
      <c r="A1357" s="52" t="s">
        <v>623</v>
      </c>
      <c r="B1357" s="52" t="s">
        <v>361</v>
      </c>
      <c r="C1357" s="52" t="s">
        <v>214</v>
      </c>
      <c r="D1357" s="52" t="s">
        <v>214</v>
      </c>
      <c r="E1357" s="52" t="s">
        <v>584</v>
      </c>
      <c r="F1357" s="52" t="s">
        <v>26</v>
      </c>
      <c r="G1357" s="55" t="s">
        <v>276</v>
      </c>
      <c r="H1357" s="55">
        <v>-1.4134340000000001</v>
      </c>
      <c r="I1357" s="55">
        <v>-1.4134340000000001</v>
      </c>
      <c r="J1357" s="55">
        <v>-1.4134340000000001</v>
      </c>
      <c r="K1357" s="55">
        <v>-1.4134340000000001</v>
      </c>
      <c r="L1357" s="55">
        <v>-1.4134329999999999</v>
      </c>
      <c r="M1357" s="55">
        <v>-1.8431280000000001E-2</v>
      </c>
      <c r="N1357" s="55">
        <v>-1.8431280000000001E-2</v>
      </c>
    </row>
    <row r="1358" spans="1:14" hidden="1" x14ac:dyDescent="0.35">
      <c r="A1358" s="52" t="s">
        <v>623</v>
      </c>
      <c r="B1358" s="52" t="s">
        <v>361</v>
      </c>
      <c r="C1358" s="52" t="s">
        <v>214</v>
      </c>
      <c r="D1358" s="52" t="s">
        <v>214</v>
      </c>
      <c r="E1358" s="52" t="s">
        <v>584</v>
      </c>
      <c r="F1358" s="52" t="s">
        <v>26</v>
      </c>
      <c r="G1358" s="55" t="s">
        <v>278</v>
      </c>
      <c r="H1358" s="55">
        <v>19.981269999999999</v>
      </c>
      <c r="I1358" s="55">
        <v>5.2660899999999997E-2</v>
      </c>
      <c r="J1358" s="55">
        <v>5.2660890000000002E-2</v>
      </c>
      <c r="K1358" s="55">
        <v>5.2660899999999997E-2</v>
      </c>
      <c r="L1358" s="55">
        <v>5.2660890000000002E-2</v>
      </c>
      <c r="M1358" s="55">
        <v>5.2660890000000002E-2</v>
      </c>
      <c r="N1358" s="55">
        <v>5.2660890000000002E-2</v>
      </c>
    </row>
    <row r="1359" spans="1:14" hidden="1" x14ac:dyDescent="0.35">
      <c r="A1359" s="52" t="s">
        <v>623</v>
      </c>
      <c r="B1359" s="52" t="s">
        <v>73</v>
      </c>
      <c r="C1359" s="52" t="s">
        <v>80</v>
      </c>
      <c r="D1359" s="52" t="s">
        <v>823</v>
      </c>
      <c r="E1359" s="52" t="s">
        <v>584</v>
      </c>
      <c r="F1359" s="52" t="s">
        <v>581</v>
      </c>
      <c r="G1359" s="55" t="s">
        <v>275</v>
      </c>
      <c r="H1359" s="55">
        <v>-2.28896E-2</v>
      </c>
      <c r="I1359" s="55"/>
      <c r="J1359" s="55"/>
      <c r="K1359" s="55"/>
      <c r="L1359" s="55">
        <v>0</v>
      </c>
      <c r="M1359" s="55"/>
      <c r="N1359" s="55">
        <v>0</v>
      </c>
    </row>
    <row r="1360" spans="1:14" hidden="1" x14ac:dyDescent="0.35">
      <c r="A1360" s="52" t="s">
        <v>623</v>
      </c>
      <c r="B1360" s="52" t="s">
        <v>73</v>
      </c>
      <c r="C1360" s="52" t="s">
        <v>80</v>
      </c>
      <c r="D1360" s="52" t="s">
        <v>823</v>
      </c>
      <c r="E1360" s="52" t="s">
        <v>584</v>
      </c>
      <c r="F1360" s="52" t="s">
        <v>581</v>
      </c>
      <c r="G1360" s="55" t="s">
        <v>276</v>
      </c>
      <c r="H1360" s="55">
        <v>-0.104672</v>
      </c>
      <c r="I1360" s="55"/>
      <c r="J1360" s="55"/>
      <c r="K1360" s="55"/>
      <c r="L1360" s="55"/>
      <c r="M1360" s="55"/>
      <c r="N1360" s="55">
        <v>0</v>
      </c>
    </row>
    <row r="1361" spans="1:14" hidden="1" x14ac:dyDescent="0.35">
      <c r="A1361" s="52" t="s">
        <v>623</v>
      </c>
      <c r="B1361" s="52" t="s">
        <v>73</v>
      </c>
      <c r="C1361" s="52" t="s">
        <v>80</v>
      </c>
      <c r="D1361" s="52" t="s">
        <v>823</v>
      </c>
      <c r="E1361" s="52" t="s">
        <v>584</v>
      </c>
      <c r="F1361" s="52" t="s">
        <v>581</v>
      </c>
      <c r="G1361" s="55" t="s">
        <v>277</v>
      </c>
      <c r="H1361" s="55"/>
      <c r="I1361" s="55"/>
      <c r="J1361" s="55"/>
      <c r="K1361" s="55">
        <v>0</v>
      </c>
      <c r="L1361" s="55"/>
      <c r="M1361" s="55">
        <v>0</v>
      </c>
      <c r="N1361" s="55">
        <v>0</v>
      </c>
    </row>
    <row r="1362" spans="1:14" hidden="1" x14ac:dyDescent="0.35">
      <c r="A1362" s="52" t="s">
        <v>623</v>
      </c>
      <c r="B1362" s="52" t="s">
        <v>73</v>
      </c>
      <c r="C1362" s="52" t="s">
        <v>80</v>
      </c>
      <c r="D1362" s="52" t="s">
        <v>823</v>
      </c>
      <c r="E1362" s="52" t="s">
        <v>584</v>
      </c>
      <c r="F1362" s="52" t="s">
        <v>581</v>
      </c>
      <c r="G1362" s="55" t="s">
        <v>278</v>
      </c>
      <c r="H1362" s="55">
        <v>0.1275616</v>
      </c>
      <c r="I1362" s="55"/>
      <c r="J1362" s="55">
        <v>0</v>
      </c>
      <c r="K1362" s="55"/>
      <c r="L1362" s="55">
        <v>0</v>
      </c>
      <c r="M1362" s="55"/>
      <c r="N1362" s="55"/>
    </row>
    <row r="1363" spans="1:14" hidden="1" x14ac:dyDescent="0.35">
      <c r="A1363" s="52" t="s">
        <v>623</v>
      </c>
      <c r="B1363" s="52" t="s">
        <v>73</v>
      </c>
      <c r="C1363" s="52" t="s">
        <v>80</v>
      </c>
      <c r="D1363" s="52" t="s">
        <v>823</v>
      </c>
      <c r="E1363" s="52" t="s">
        <v>584</v>
      </c>
      <c r="F1363" s="52" t="s">
        <v>581</v>
      </c>
      <c r="G1363" s="55" t="s">
        <v>279</v>
      </c>
      <c r="H1363" s="55"/>
      <c r="I1363" s="55"/>
      <c r="J1363" s="55"/>
      <c r="K1363" s="55"/>
      <c r="L1363" s="55"/>
      <c r="M1363" s="55"/>
      <c r="N1363" s="55">
        <v>0</v>
      </c>
    </row>
    <row r="1364" spans="1:14" hidden="1" x14ac:dyDescent="0.35">
      <c r="A1364" s="52" t="s">
        <v>623</v>
      </c>
      <c r="B1364" s="52" t="s">
        <v>73</v>
      </c>
      <c r="C1364" s="52" t="s">
        <v>80</v>
      </c>
      <c r="D1364" s="52" t="s">
        <v>823</v>
      </c>
      <c r="E1364" s="52" t="s">
        <v>584</v>
      </c>
      <c r="F1364" s="52" t="s">
        <v>26</v>
      </c>
      <c r="G1364" s="55" t="s">
        <v>275</v>
      </c>
      <c r="H1364" s="55">
        <v>0</v>
      </c>
      <c r="I1364" s="55">
        <v>-1.07324E-2</v>
      </c>
      <c r="J1364" s="55">
        <v>0</v>
      </c>
      <c r="K1364" s="55">
        <v>0</v>
      </c>
      <c r="L1364" s="55">
        <v>0</v>
      </c>
      <c r="M1364" s="55">
        <v>0</v>
      </c>
      <c r="N1364" s="55">
        <v>0</v>
      </c>
    </row>
    <row r="1365" spans="1:14" hidden="1" x14ac:dyDescent="0.35">
      <c r="A1365" s="52" t="s">
        <v>623</v>
      </c>
      <c r="B1365" s="52" t="s">
        <v>73</v>
      </c>
      <c r="C1365" s="52" t="s">
        <v>80</v>
      </c>
      <c r="D1365" s="52" t="s">
        <v>823</v>
      </c>
      <c r="E1365" s="52" t="s">
        <v>584</v>
      </c>
      <c r="F1365" s="52" t="s">
        <v>26</v>
      </c>
      <c r="G1365" s="55" t="s">
        <v>276</v>
      </c>
      <c r="H1365" s="55"/>
      <c r="I1365" s="55">
        <v>-7.2598800000000005E-2</v>
      </c>
      <c r="J1365" s="55">
        <v>-0.1001036</v>
      </c>
      <c r="K1365" s="55">
        <v>-3.0527120000000001</v>
      </c>
      <c r="L1365" s="55">
        <v>-8.7441199999999997E-2</v>
      </c>
      <c r="M1365" s="55">
        <v>-0.1674032</v>
      </c>
      <c r="N1365" s="55">
        <v>-0.27180359999999998</v>
      </c>
    </row>
    <row r="1366" spans="1:14" hidden="1" x14ac:dyDescent="0.35">
      <c r="A1366" s="52" t="s">
        <v>623</v>
      </c>
      <c r="B1366" s="52" t="s">
        <v>73</v>
      </c>
      <c r="C1366" s="52" t="s">
        <v>80</v>
      </c>
      <c r="D1366" s="52" t="s">
        <v>823</v>
      </c>
      <c r="E1366" s="52" t="s">
        <v>584</v>
      </c>
      <c r="F1366" s="52" t="s">
        <v>26</v>
      </c>
      <c r="G1366" s="55" t="s">
        <v>277</v>
      </c>
      <c r="H1366" s="55"/>
      <c r="I1366" s="55"/>
      <c r="J1366" s="55"/>
      <c r="K1366" s="55">
        <v>0</v>
      </c>
      <c r="L1366" s="55">
        <v>1.1599999999999999E-2</v>
      </c>
      <c r="M1366" s="55">
        <v>1.1599999999999999E-2</v>
      </c>
      <c r="N1366" s="55">
        <v>0.11600000000000001</v>
      </c>
    </row>
    <row r="1367" spans="1:14" hidden="1" x14ac:dyDescent="0.35">
      <c r="A1367" s="52" t="s">
        <v>623</v>
      </c>
      <c r="B1367" s="52" t="s">
        <v>73</v>
      </c>
      <c r="C1367" s="52" t="s">
        <v>80</v>
      </c>
      <c r="D1367" s="52" t="s">
        <v>823</v>
      </c>
      <c r="E1367" s="52" t="s">
        <v>584</v>
      </c>
      <c r="F1367" s="52" t="s">
        <v>26</v>
      </c>
      <c r="G1367" s="55" t="s">
        <v>278</v>
      </c>
      <c r="H1367" s="55"/>
      <c r="I1367" s="55">
        <v>8.3330799999999997E-2</v>
      </c>
      <c r="J1367" s="55">
        <v>0.1001036</v>
      </c>
      <c r="K1367" s="55">
        <v>3.0527129999999998</v>
      </c>
      <c r="L1367" s="55">
        <v>7.5841199999999998E-2</v>
      </c>
      <c r="M1367" s="55">
        <v>0.1558032</v>
      </c>
      <c r="N1367" s="55">
        <v>0.1558032</v>
      </c>
    </row>
    <row r="1368" spans="1:14" hidden="1" x14ac:dyDescent="0.35">
      <c r="A1368" s="52" t="s">
        <v>623</v>
      </c>
      <c r="B1368" s="52" t="s">
        <v>73</v>
      </c>
      <c r="C1368" s="52" t="s">
        <v>80</v>
      </c>
      <c r="D1368" s="52" t="s">
        <v>823</v>
      </c>
      <c r="E1368" s="52" t="s">
        <v>584</v>
      </c>
      <c r="F1368" s="52" t="s">
        <v>26</v>
      </c>
      <c r="G1368" s="55" t="s">
        <v>279</v>
      </c>
      <c r="H1368" s="55"/>
      <c r="I1368" s="55"/>
      <c r="J1368" s="55"/>
      <c r="K1368" s="55"/>
      <c r="L1368" s="55"/>
      <c r="M1368" s="55"/>
      <c r="N1368" s="55">
        <v>0</v>
      </c>
    </row>
    <row r="1369" spans="1:14" hidden="1" x14ac:dyDescent="0.35">
      <c r="A1369" s="52" t="s">
        <v>623</v>
      </c>
      <c r="B1369" s="52" t="s">
        <v>73</v>
      </c>
      <c r="C1369" s="52" t="s">
        <v>325</v>
      </c>
      <c r="D1369" s="52" t="s">
        <v>325</v>
      </c>
      <c r="E1369" s="52" t="s">
        <v>584</v>
      </c>
      <c r="F1369" s="52" t="s">
        <v>581</v>
      </c>
      <c r="G1369" s="55" t="s">
        <v>275</v>
      </c>
      <c r="H1369" s="55">
        <v>-8.2521999999999995E-3</v>
      </c>
      <c r="I1369" s="55">
        <v>-3.869E-3</v>
      </c>
      <c r="J1369" s="55">
        <v>0</v>
      </c>
      <c r="K1369" s="55">
        <v>0</v>
      </c>
      <c r="L1369" s="55">
        <v>0</v>
      </c>
      <c r="M1369" s="55">
        <v>0</v>
      </c>
      <c r="N1369" s="55">
        <v>0</v>
      </c>
    </row>
    <row r="1370" spans="1:14" hidden="1" x14ac:dyDescent="0.35">
      <c r="A1370" s="52" t="s">
        <v>623</v>
      </c>
      <c r="B1370" s="52" t="s">
        <v>73</v>
      </c>
      <c r="C1370" s="52" t="s">
        <v>325</v>
      </c>
      <c r="D1370" s="52" t="s">
        <v>325</v>
      </c>
      <c r="E1370" s="52" t="s">
        <v>584</v>
      </c>
      <c r="F1370" s="52" t="s">
        <v>581</v>
      </c>
      <c r="G1370" s="55" t="s">
        <v>276</v>
      </c>
      <c r="H1370" s="55">
        <v>-3.7735999999999999E-2</v>
      </c>
      <c r="I1370" s="55">
        <v>-2.6173200000000001E-2</v>
      </c>
      <c r="J1370" s="55">
        <v>-3.6089000000000003E-2</v>
      </c>
      <c r="K1370" s="55">
        <v>-3.0476400000000001E-2</v>
      </c>
      <c r="L1370" s="55">
        <v>-1.067015</v>
      </c>
      <c r="M1370" s="55">
        <v>-5.61696E-2</v>
      </c>
      <c r="N1370" s="55">
        <v>-5.6169799999999999E-2</v>
      </c>
    </row>
    <row r="1371" spans="1:14" hidden="1" x14ac:dyDescent="0.35">
      <c r="A1371" s="52" t="s">
        <v>623</v>
      </c>
      <c r="B1371" s="52" t="s">
        <v>73</v>
      </c>
      <c r="C1371" s="52" t="s">
        <v>325</v>
      </c>
      <c r="D1371" s="52" t="s">
        <v>325</v>
      </c>
      <c r="E1371" s="52" t="s">
        <v>584</v>
      </c>
      <c r="F1371" s="52" t="s">
        <v>581</v>
      </c>
      <c r="G1371" s="55" t="s">
        <v>277</v>
      </c>
      <c r="H1371" s="55"/>
      <c r="I1371" s="55"/>
      <c r="J1371" s="55"/>
      <c r="K1371" s="55"/>
      <c r="L1371" s="55"/>
      <c r="M1371" s="55"/>
      <c r="N1371" s="55">
        <v>0</v>
      </c>
    </row>
    <row r="1372" spans="1:14" hidden="1" x14ac:dyDescent="0.35">
      <c r="A1372" s="52" t="s">
        <v>623</v>
      </c>
      <c r="B1372" s="52" t="s">
        <v>73</v>
      </c>
      <c r="C1372" s="52" t="s">
        <v>325</v>
      </c>
      <c r="D1372" s="52" t="s">
        <v>325</v>
      </c>
      <c r="E1372" s="52" t="s">
        <v>584</v>
      </c>
      <c r="F1372" s="52" t="s">
        <v>581</v>
      </c>
      <c r="G1372" s="55" t="s">
        <v>278</v>
      </c>
      <c r="H1372" s="55">
        <v>4.5988189999999998E-2</v>
      </c>
      <c r="I1372" s="55">
        <v>3.0042200000000002E-2</v>
      </c>
      <c r="J1372" s="55">
        <v>3.6089000000000003E-2</v>
      </c>
      <c r="K1372" s="55">
        <v>3.0476400000000001E-2</v>
      </c>
      <c r="L1372" s="55">
        <v>1.067016</v>
      </c>
      <c r="M1372" s="55">
        <v>5.61696E-2</v>
      </c>
      <c r="N1372" s="55">
        <v>5.61696E-2</v>
      </c>
    </row>
    <row r="1373" spans="1:14" hidden="1" x14ac:dyDescent="0.35">
      <c r="A1373" s="52" t="s">
        <v>623</v>
      </c>
      <c r="B1373" s="52" t="s">
        <v>73</v>
      </c>
      <c r="C1373" s="52" t="s">
        <v>344</v>
      </c>
      <c r="D1373" s="52" t="s">
        <v>344</v>
      </c>
      <c r="E1373" s="52" t="s">
        <v>584</v>
      </c>
      <c r="F1373" s="52" t="s">
        <v>581</v>
      </c>
      <c r="G1373" s="55" t="s">
        <v>275</v>
      </c>
      <c r="H1373" s="55">
        <v>-1.34036E-2</v>
      </c>
      <c r="I1373" s="55">
        <v>-6.2843999999999999E-3</v>
      </c>
      <c r="J1373" s="55">
        <v>0</v>
      </c>
      <c r="K1373" s="55">
        <v>0</v>
      </c>
      <c r="L1373" s="55">
        <v>0</v>
      </c>
      <c r="M1373" s="55">
        <v>0</v>
      </c>
      <c r="N1373" s="55">
        <v>0</v>
      </c>
    </row>
    <row r="1374" spans="1:14" hidden="1" x14ac:dyDescent="0.35">
      <c r="A1374" s="52" t="s">
        <v>623</v>
      </c>
      <c r="B1374" s="52" t="s">
        <v>73</v>
      </c>
      <c r="C1374" s="52" t="s">
        <v>344</v>
      </c>
      <c r="D1374" s="52" t="s">
        <v>344</v>
      </c>
      <c r="E1374" s="52" t="s">
        <v>584</v>
      </c>
      <c r="F1374" s="52" t="s">
        <v>581</v>
      </c>
      <c r="G1374" s="55" t="s">
        <v>276</v>
      </c>
      <c r="H1374" s="55">
        <v>-6.1291999999999999E-2</v>
      </c>
      <c r="I1374" s="55">
        <v>-4.2511189999999997E-2</v>
      </c>
      <c r="J1374" s="55">
        <v>-5.8617599999999999E-2</v>
      </c>
      <c r="K1374" s="55">
        <v>-2.2963429999999998</v>
      </c>
      <c r="L1374" s="55">
        <v>-4.4409999999999998E-2</v>
      </c>
      <c r="M1374" s="55">
        <v>-9.1233599999999998E-2</v>
      </c>
      <c r="N1374" s="55">
        <v>-0.1052328</v>
      </c>
    </row>
    <row r="1375" spans="1:14" hidden="1" x14ac:dyDescent="0.35">
      <c r="A1375" s="52" t="s">
        <v>623</v>
      </c>
      <c r="B1375" s="52" t="s">
        <v>73</v>
      </c>
      <c r="C1375" s="52" t="s">
        <v>344</v>
      </c>
      <c r="D1375" s="52" t="s">
        <v>344</v>
      </c>
      <c r="E1375" s="52" t="s">
        <v>584</v>
      </c>
      <c r="F1375" s="52" t="s">
        <v>581</v>
      </c>
      <c r="G1375" s="55" t="s">
        <v>277</v>
      </c>
      <c r="H1375" s="55"/>
      <c r="I1375" s="55"/>
      <c r="J1375" s="55"/>
      <c r="K1375" s="55"/>
      <c r="L1375" s="55"/>
      <c r="M1375" s="55">
        <v>0</v>
      </c>
      <c r="N1375" s="55">
        <v>1.4E-2</v>
      </c>
    </row>
    <row r="1376" spans="1:14" hidden="1" x14ac:dyDescent="0.35">
      <c r="A1376" s="52" t="s">
        <v>623</v>
      </c>
      <c r="B1376" s="52" t="s">
        <v>73</v>
      </c>
      <c r="C1376" s="52" t="s">
        <v>344</v>
      </c>
      <c r="D1376" s="52" t="s">
        <v>344</v>
      </c>
      <c r="E1376" s="52" t="s">
        <v>584</v>
      </c>
      <c r="F1376" s="52" t="s">
        <v>581</v>
      </c>
      <c r="G1376" s="55" t="s">
        <v>278</v>
      </c>
      <c r="H1376" s="55">
        <v>7.4695590000000006E-2</v>
      </c>
      <c r="I1376" s="55">
        <v>4.8795600000000001E-2</v>
      </c>
      <c r="J1376" s="55">
        <v>5.8617200000000001E-2</v>
      </c>
      <c r="K1376" s="55">
        <v>2.2963429999999998</v>
      </c>
      <c r="L1376" s="55">
        <v>4.4409999999999998E-2</v>
      </c>
      <c r="M1376" s="55">
        <v>9.1233190000000006E-2</v>
      </c>
      <c r="N1376" s="55">
        <v>9.1233190000000006E-2</v>
      </c>
    </row>
    <row r="1377" spans="1:14" hidden="1" x14ac:dyDescent="0.35">
      <c r="A1377" s="52" t="s">
        <v>242</v>
      </c>
      <c r="B1377" s="52" t="s">
        <v>37</v>
      </c>
      <c r="C1377" s="52" t="s">
        <v>35</v>
      </c>
      <c r="D1377" s="52" t="s">
        <v>39</v>
      </c>
      <c r="E1377" s="52" t="s">
        <v>580</v>
      </c>
      <c r="F1377" s="52" t="s">
        <v>581</v>
      </c>
      <c r="G1377" s="55" t="s">
        <v>275</v>
      </c>
      <c r="H1377" s="55">
        <v>88.610810000000001</v>
      </c>
      <c r="I1377" s="55">
        <v>-215.9521</v>
      </c>
      <c r="J1377" s="55">
        <v>355.76940000000002</v>
      </c>
      <c r="K1377" s="55">
        <v>409.05450000000002</v>
      </c>
      <c r="L1377" s="55">
        <v>372.10180000000003</v>
      </c>
      <c r="M1377" s="55">
        <v>306.75599999999997</v>
      </c>
      <c r="N1377" s="55">
        <v>226.35769999999999</v>
      </c>
    </row>
    <row r="1378" spans="1:14" hidden="1" x14ac:dyDescent="0.35">
      <c r="A1378" s="52" t="s">
        <v>242</v>
      </c>
      <c r="B1378" s="52" t="s">
        <v>37</v>
      </c>
      <c r="C1378" s="52" t="s">
        <v>35</v>
      </c>
      <c r="D1378" s="52" t="s">
        <v>39</v>
      </c>
      <c r="E1378" s="52" t="s">
        <v>580</v>
      </c>
      <c r="F1378" s="52" t="s">
        <v>581</v>
      </c>
      <c r="G1378" s="55" t="s">
        <v>276</v>
      </c>
      <c r="H1378" s="55">
        <v>157.73320000000001</v>
      </c>
      <c r="I1378" s="55">
        <v>3.4983919999999999</v>
      </c>
      <c r="J1378" s="55">
        <v>8.5721139999999991</v>
      </c>
      <c r="K1378" s="55">
        <v>-11.665229999999999</v>
      </c>
      <c r="L1378" s="55">
        <v>-3.0689540000000002</v>
      </c>
      <c r="M1378" s="55">
        <v>8.9923800000000007</v>
      </c>
      <c r="N1378" s="55">
        <v>54.691929999999999</v>
      </c>
    </row>
    <row r="1379" spans="1:14" hidden="1" x14ac:dyDescent="0.35">
      <c r="A1379" s="52" t="s">
        <v>242</v>
      </c>
      <c r="B1379" s="52" t="s">
        <v>37</v>
      </c>
      <c r="C1379" s="52" t="s">
        <v>35</v>
      </c>
      <c r="D1379" s="52" t="s">
        <v>39</v>
      </c>
      <c r="E1379" s="52" t="s">
        <v>580</v>
      </c>
      <c r="F1379" s="52" t="s">
        <v>581</v>
      </c>
      <c r="G1379" s="55" t="s">
        <v>277</v>
      </c>
      <c r="H1379" s="55">
        <v>863.31769999999995</v>
      </c>
      <c r="I1379" s="55">
        <v>715.09</v>
      </c>
      <c r="J1379" s="55">
        <v>147.1728</v>
      </c>
      <c r="K1379" s="55">
        <v>57.834969999999998</v>
      </c>
      <c r="L1379" s="55">
        <v>80.226820000000004</v>
      </c>
      <c r="M1379" s="55">
        <v>67.798460000000006</v>
      </c>
      <c r="N1379" s="55">
        <v>101.1765</v>
      </c>
    </row>
    <row r="1380" spans="1:14" hidden="1" x14ac:dyDescent="0.35">
      <c r="A1380" s="52" t="s">
        <v>242</v>
      </c>
      <c r="B1380" s="52" t="s">
        <v>37</v>
      </c>
      <c r="C1380" s="52" t="s">
        <v>35</v>
      </c>
      <c r="D1380" s="52" t="s">
        <v>39</v>
      </c>
      <c r="E1380" s="52" t="s">
        <v>580</v>
      </c>
      <c r="F1380" s="52" t="s">
        <v>581</v>
      </c>
      <c r="G1380" s="55" t="s">
        <v>278</v>
      </c>
      <c r="H1380" s="55">
        <v>53.288379999999997</v>
      </c>
      <c r="I1380" s="55">
        <v>34.909990000000001</v>
      </c>
      <c r="J1380" s="55">
        <v>61.8795</v>
      </c>
      <c r="K1380" s="55">
        <v>70.105959999999996</v>
      </c>
      <c r="L1380" s="55">
        <v>64.553389999999993</v>
      </c>
      <c r="M1380" s="55">
        <v>51.227420000000002</v>
      </c>
      <c r="N1380" s="55">
        <v>43.439990000000002</v>
      </c>
    </row>
    <row r="1381" spans="1:14" hidden="1" x14ac:dyDescent="0.35">
      <c r="A1381" s="52" t="s">
        <v>242</v>
      </c>
      <c r="B1381" s="52" t="s">
        <v>37</v>
      </c>
      <c r="C1381" s="52" t="s">
        <v>35</v>
      </c>
      <c r="D1381" s="52" t="s">
        <v>39</v>
      </c>
      <c r="E1381" s="52" t="s">
        <v>580</v>
      </c>
      <c r="F1381" s="52" t="s">
        <v>581</v>
      </c>
      <c r="G1381" s="55" t="s">
        <v>279</v>
      </c>
      <c r="H1381" s="55">
        <v>418.87689999999998</v>
      </c>
      <c r="I1381" s="55">
        <v>388.67669999999998</v>
      </c>
      <c r="J1381" s="55">
        <v>380.94869999999997</v>
      </c>
      <c r="K1381" s="55">
        <v>361.82479999999998</v>
      </c>
      <c r="L1381" s="55">
        <v>315.21319999999997</v>
      </c>
      <c r="M1381" s="55">
        <v>338.77690000000001</v>
      </c>
      <c r="N1381" s="55">
        <v>329.423</v>
      </c>
    </row>
    <row r="1382" spans="1:14" hidden="1" x14ac:dyDescent="0.35">
      <c r="A1382" s="52" t="s">
        <v>242</v>
      </c>
      <c r="B1382" s="52" t="s">
        <v>37</v>
      </c>
      <c r="C1382" s="52" t="s">
        <v>35</v>
      </c>
      <c r="D1382" s="52" t="s">
        <v>39</v>
      </c>
      <c r="E1382" s="52" t="s">
        <v>580</v>
      </c>
      <c r="F1382" s="52" t="s">
        <v>26</v>
      </c>
      <c r="G1382" s="55" t="s">
        <v>275</v>
      </c>
      <c r="H1382" s="55">
        <v>13.0159</v>
      </c>
      <c r="I1382" s="55">
        <v>10.643739999999999</v>
      </c>
      <c r="J1382" s="55">
        <v>18.891860000000001</v>
      </c>
      <c r="K1382" s="55">
        <v>13.936400000000001</v>
      </c>
      <c r="L1382" s="55">
        <v>16.048850000000002</v>
      </c>
      <c r="M1382" s="55">
        <v>5.7535720000000001</v>
      </c>
      <c r="N1382" s="55">
        <v>5.5658570000000003</v>
      </c>
    </row>
    <row r="1383" spans="1:14" hidden="1" x14ac:dyDescent="0.35">
      <c r="A1383" s="52" t="s">
        <v>242</v>
      </c>
      <c r="B1383" s="52" t="s">
        <v>37</v>
      </c>
      <c r="C1383" s="52" t="s">
        <v>35</v>
      </c>
      <c r="D1383" s="52" t="s">
        <v>39</v>
      </c>
      <c r="E1383" s="52" t="s">
        <v>580</v>
      </c>
      <c r="F1383" s="52" t="s">
        <v>26</v>
      </c>
      <c r="G1383" s="55" t="s">
        <v>276</v>
      </c>
      <c r="H1383" s="55">
        <v>3.459946</v>
      </c>
      <c r="I1383" s="55">
        <v>2.8293599999999999</v>
      </c>
      <c r="J1383" s="55">
        <v>5.0218980000000002</v>
      </c>
      <c r="K1383" s="55">
        <v>3.704596</v>
      </c>
      <c r="L1383" s="55">
        <v>4.2661670000000003</v>
      </c>
      <c r="M1383" s="55">
        <v>1.529436</v>
      </c>
      <c r="N1383" s="55">
        <v>1.47953</v>
      </c>
    </row>
    <row r="1384" spans="1:14" hidden="1" x14ac:dyDescent="0.35">
      <c r="A1384" s="52" t="s">
        <v>242</v>
      </c>
      <c r="B1384" s="52" t="s">
        <v>37</v>
      </c>
      <c r="C1384" s="52" t="s">
        <v>35</v>
      </c>
      <c r="D1384" s="52" t="s">
        <v>39</v>
      </c>
      <c r="E1384" s="52" t="s">
        <v>580</v>
      </c>
      <c r="F1384" s="52" t="s">
        <v>26</v>
      </c>
      <c r="G1384" s="55" t="s">
        <v>279</v>
      </c>
      <c r="H1384" s="55">
        <v>106.486</v>
      </c>
      <c r="I1384" s="55">
        <v>110.2235</v>
      </c>
      <c r="J1384" s="55">
        <v>108.5596</v>
      </c>
      <c r="K1384" s="55">
        <v>104.3985</v>
      </c>
      <c r="L1384" s="55">
        <v>93.065539999999999</v>
      </c>
      <c r="M1384" s="55">
        <v>97.793989999999994</v>
      </c>
      <c r="N1384" s="55">
        <v>95.024090000000001</v>
      </c>
    </row>
    <row r="1385" spans="1:14" hidden="1" x14ac:dyDescent="0.35">
      <c r="A1385" s="52" t="s">
        <v>242</v>
      </c>
      <c r="B1385" s="52" t="s">
        <v>37</v>
      </c>
      <c r="C1385" s="52" t="s">
        <v>35</v>
      </c>
      <c r="D1385" s="52" t="s">
        <v>39</v>
      </c>
      <c r="E1385" s="52" t="s">
        <v>582</v>
      </c>
      <c r="F1385" s="52" t="s">
        <v>581</v>
      </c>
      <c r="G1385" s="55" t="s">
        <v>275</v>
      </c>
      <c r="H1385" s="55">
        <v>106.1923</v>
      </c>
      <c r="I1385" s="55">
        <v>-171.04859999999999</v>
      </c>
      <c r="J1385" s="55">
        <v>175.13380000000001</v>
      </c>
      <c r="K1385" s="55">
        <v>198.7664</v>
      </c>
      <c r="L1385" s="55">
        <v>171.11750000000001</v>
      </c>
      <c r="M1385" s="55">
        <v>148.68039999999999</v>
      </c>
      <c r="N1385" s="55">
        <v>70.411469999999994</v>
      </c>
    </row>
    <row r="1386" spans="1:14" hidden="1" x14ac:dyDescent="0.35">
      <c r="A1386" s="52" t="s">
        <v>242</v>
      </c>
      <c r="B1386" s="52" t="s">
        <v>37</v>
      </c>
      <c r="C1386" s="52" t="s">
        <v>35</v>
      </c>
      <c r="D1386" s="52" t="s">
        <v>39</v>
      </c>
      <c r="E1386" s="52" t="s">
        <v>582</v>
      </c>
      <c r="F1386" s="52" t="s">
        <v>581</v>
      </c>
      <c r="G1386" s="55" t="s">
        <v>276</v>
      </c>
      <c r="H1386" s="55">
        <v>44.530009999999997</v>
      </c>
      <c r="I1386" s="55">
        <v>0.63872390000000001</v>
      </c>
      <c r="J1386" s="55">
        <v>6.067164</v>
      </c>
      <c r="K1386" s="55">
        <v>7.2667159999999997</v>
      </c>
      <c r="L1386" s="55">
        <v>10.957179999999999</v>
      </c>
      <c r="M1386" s="55">
        <v>1.4102140000000001</v>
      </c>
      <c r="N1386" s="55">
        <v>29.909269999999999</v>
      </c>
    </row>
    <row r="1387" spans="1:14" hidden="1" x14ac:dyDescent="0.35">
      <c r="A1387" s="52" t="s">
        <v>242</v>
      </c>
      <c r="B1387" s="52" t="s">
        <v>37</v>
      </c>
      <c r="C1387" s="52" t="s">
        <v>35</v>
      </c>
      <c r="D1387" s="52" t="s">
        <v>39</v>
      </c>
      <c r="E1387" s="52" t="s">
        <v>582</v>
      </c>
      <c r="F1387" s="52" t="s">
        <v>581</v>
      </c>
      <c r="G1387" s="55" t="s">
        <v>277</v>
      </c>
      <c r="H1387" s="55">
        <v>276.2165</v>
      </c>
      <c r="I1387" s="55">
        <v>414.26889999999997</v>
      </c>
      <c r="J1387" s="55">
        <v>74.787790000000001</v>
      </c>
      <c r="K1387" s="55">
        <v>25.906189999999999</v>
      </c>
      <c r="L1387" s="55">
        <v>29.820029999999999</v>
      </c>
      <c r="M1387" s="55">
        <v>39.581020000000002</v>
      </c>
      <c r="N1387" s="55">
        <v>109.96</v>
      </c>
    </row>
    <row r="1388" spans="1:14" hidden="1" x14ac:dyDescent="0.35">
      <c r="A1388" s="52" t="s">
        <v>242</v>
      </c>
      <c r="B1388" s="52" t="s">
        <v>37</v>
      </c>
      <c r="C1388" s="52" t="s">
        <v>35</v>
      </c>
      <c r="D1388" s="52" t="s">
        <v>39</v>
      </c>
      <c r="E1388" s="52" t="s">
        <v>582</v>
      </c>
      <c r="F1388" s="52" t="s">
        <v>581</v>
      </c>
      <c r="G1388" s="55" t="s">
        <v>278</v>
      </c>
      <c r="H1388" s="55">
        <v>22.709420000000001</v>
      </c>
      <c r="I1388" s="55">
        <v>30.73115</v>
      </c>
      <c r="J1388" s="55">
        <v>67.818799999999996</v>
      </c>
      <c r="K1388" s="55">
        <v>54.194609999999997</v>
      </c>
      <c r="L1388" s="55">
        <v>56.655290000000001</v>
      </c>
      <c r="M1388" s="55">
        <v>57.40475</v>
      </c>
      <c r="N1388" s="55">
        <v>59.17116</v>
      </c>
    </row>
    <row r="1389" spans="1:14" hidden="1" x14ac:dyDescent="0.35">
      <c r="A1389" s="52" t="s">
        <v>242</v>
      </c>
      <c r="B1389" s="52" t="s">
        <v>37</v>
      </c>
      <c r="C1389" s="52" t="s">
        <v>35</v>
      </c>
      <c r="D1389" s="52" t="s">
        <v>39</v>
      </c>
      <c r="E1389" s="52" t="s">
        <v>582</v>
      </c>
      <c r="F1389" s="52" t="s">
        <v>581</v>
      </c>
      <c r="G1389" s="55" t="s">
        <v>279</v>
      </c>
      <c r="H1389" s="55">
        <v>153.20089999999999</v>
      </c>
      <c r="I1389" s="55">
        <v>181.9151</v>
      </c>
      <c r="J1389" s="55">
        <v>199.03039999999999</v>
      </c>
      <c r="K1389" s="55">
        <v>183.21180000000001</v>
      </c>
      <c r="L1389" s="55">
        <v>154.88630000000001</v>
      </c>
      <c r="M1389" s="55">
        <v>174.76499999999999</v>
      </c>
      <c r="N1389" s="55">
        <v>186.44499999999999</v>
      </c>
    </row>
    <row r="1390" spans="1:14" hidden="1" x14ac:dyDescent="0.35">
      <c r="A1390" s="52" t="s">
        <v>242</v>
      </c>
      <c r="B1390" s="52" t="s">
        <v>37</v>
      </c>
      <c r="C1390" s="52" t="s">
        <v>35</v>
      </c>
      <c r="D1390" s="52" t="s">
        <v>39</v>
      </c>
      <c r="E1390" s="52" t="s">
        <v>582</v>
      </c>
      <c r="F1390" s="52" t="s">
        <v>26</v>
      </c>
      <c r="G1390" s="55" t="s">
        <v>275</v>
      </c>
      <c r="H1390" s="55">
        <v>9.0479389999999995</v>
      </c>
      <c r="I1390" s="55">
        <v>9.3318480000000008</v>
      </c>
      <c r="J1390" s="55">
        <v>15.438610000000001</v>
      </c>
      <c r="K1390" s="55">
        <v>12.046139999999999</v>
      </c>
      <c r="L1390" s="55">
        <v>11.95631</v>
      </c>
      <c r="M1390" s="55">
        <v>6.4921160000000002</v>
      </c>
      <c r="N1390" s="55">
        <v>6.656269</v>
      </c>
    </row>
    <row r="1391" spans="1:14" hidden="1" x14ac:dyDescent="0.35">
      <c r="A1391" s="52" t="s">
        <v>242</v>
      </c>
      <c r="B1391" s="52" t="s">
        <v>37</v>
      </c>
      <c r="C1391" s="52" t="s">
        <v>35</v>
      </c>
      <c r="D1391" s="52" t="s">
        <v>39</v>
      </c>
      <c r="E1391" s="52" t="s">
        <v>582</v>
      </c>
      <c r="F1391" s="52" t="s">
        <v>26</v>
      </c>
      <c r="G1391" s="55" t="s">
        <v>276</v>
      </c>
      <c r="H1391" s="55">
        <v>2.405157</v>
      </c>
      <c r="I1391" s="55">
        <v>2.4806189999999999</v>
      </c>
      <c r="J1391" s="55">
        <v>4.1039300000000001</v>
      </c>
      <c r="K1391" s="55">
        <v>3.2021329999999999</v>
      </c>
      <c r="L1391" s="55">
        <v>3.1782560000000002</v>
      </c>
      <c r="M1391" s="55">
        <v>1.7257359999999999</v>
      </c>
      <c r="N1391" s="55">
        <v>1.7693950000000001</v>
      </c>
    </row>
    <row r="1392" spans="1:14" hidden="1" x14ac:dyDescent="0.35">
      <c r="A1392" s="52" t="s">
        <v>242</v>
      </c>
      <c r="B1392" s="52" t="s">
        <v>37</v>
      </c>
      <c r="C1392" s="52" t="s">
        <v>35</v>
      </c>
      <c r="D1392" s="52" t="s">
        <v>39</v>
      </c>
      <c r="E1392" s="52" t="s">
        <v>582</v>
      </c>
      <c r="F1392" s="52" t="s">
        <v>26</v>
      </c>
      <c r="G1392" s="55" t="s">
        <v>279</v>
      </c>
      <c r="H1392" s="55">
        <v>48.354390000000002</v>
      </c>
      <c r="I1392" s="55">
        <v>59.682720000000003</v>
      </c>
      <c r="J1392" s="55">
        <v>65.587680000000006</v>
      </c>
      <c r="K1392" s="55">
        <v>62.548290000000001</v>
      </c>
      <c r="L1392" s="55">
        <v>53.342089999999999</v>
      </c>
      <c r="M1392" s="55">
        <v>56.591250000000002</v>
      </c>
      <c r="N1392" s="55">
        <v>57.76097</v>
      </c>
    </row>
    <row r="1393" spans="1:14" hidden="1" x14ac:dyDescent="0.35">
      <c r="A1393" s="52" t="s">
        <v>242</v>
      </c>
      <c r="B1393" s="52" t="s">
        <v>37</v>
      </c>
      <c r="C1393" s="52" t="s">
        <v>35</v>
      </c>
      <c r="D1393" s="52" t="s">
        <v>39</v>
      </c>
      <c r="E1393" s="52" t="s">
        <v>613</v>
      </c>
      <c r="F1393" s="52" t="s">
        <v>581</v>
      </c>
      <c r="G1393" s="55" t="s">
        <v>275</v>
      </c>
      <c r="H1393" s="55">
        <v>65.824650000000005</v>
      </c>
      <c r="I1393" s="55">
        <v>28.148019999999999</v>
      </c>
      <c r="J1393" s="55">
        <v>21.573550000000001</v>
      </c>
      <c r="K1393" s="55">
        <v>16.98734</v>
      </c>
      <c r="L1393" s="55">
        <v>15.31141</v>
      </c>
      <c r="M1393" s="55">
        <v>13.0381</v>
      </c>
      <c r="N1393" s="55">
        <v>11.540940000000001</v>
      </c>
    </row>
    <row r="1394" spans="1:14" hidden="1" x14ac:dyDescent="0.35">
      <c r="A1394" s="52" t="s">
        <v>242</v>
      </c>
      <c r="B1394" s="52" t="s">
        <v>37</v>
      </c>
      <c r="C1394" s="52" t="s">
        <v>35</v>
      </c>
      <c r="D1394" s="52" t="s">
        <v>39</v>
      </c>
      <c r="E1394" s="52" t="s">
        <v>613</v>
      </c>
      <c r="F1394" s="52" t="s">
        <v>581</v>
      </c>
      <c r="G1394" s="55" t="s">
        <v>276</v>
      </c>
      <c r="H1394" s="55">
        <v>4.590408</v>
      </c>
      <c r="I1394" s="55">
        <v>0.16323019999999999</v>
      </c>
      <c r="J1394" s="55">
        <v>1.6619520000000001</v>
      </c>
      <c r="K1394" s="55">
        <v>2.8638129999999999</v>
      </c>
      <c r="L1394" s="55">
        <v>2.7508720000000002</v>
      </c>
      <c r="M1394" s="55">
        <v>3.2490790000000001</v>
      </c>
      <c r="N1394" s="55">
        <v>2.7204259999999998</v>
      </c>
    </row>
    <row r="1395" spans="1:14" hidden="1" x14ac:dyDescent="0.35">
      <c r="A1395" s="52" t="s">
        <v>242</v>
      </c>
      <c r="B1395" s="52" t="s">
        <v>37</v>
      </c>
      <c r="C1395" s="52" t="s">
        <v>35</v>
      </c>
      <c r="D1395" s="52" t="s">
        <v>39</v>
      </c>
      <c r="E1395" s="52" t="s">
        <v>613</v>
      </c>
      <c r="F1395" s="52" t="s">
        <v>581</v>
      </c>
      <c r="G1395" s="55" t="s">
        <v>277</v>
      </c>
      <c r="H1395" s="55">
        <v>14.627890000000001</v>
      </c>
      <c r="I1395" s="55">
        <v>0</v>
      </c>
      <c r="J1395" s="55">
        <v>1.9978499999999999</v>
      </c>
      <c r="K1395" s="55">
        <v>2.211916</v>
      </c>
      <c r="L1395" s="55">
        <v>2.0479090000000002</v>
      </c>
      <c r="M1395" s="55">
        <v>0</v>
      </c>
      <c r="N1395" s="55">
        <v>0</v>
      </c>
    </row>
    <row r="1396" spans="1:14" hidden="1" x14ac:dyDescent="0.35">
      <c r="A1396" s="52" t="s">
        <v>242</v>
      </c>
      <c r="B1396" s="52" t="s">
        <v>37</v>
      </c>
      <c r="C1396" s="52" t="s">
        <v>35</v>
      </c>
      <c r="D1396" s="52" t="s">
        <v>39</v>
      </c>
      <c r="E1396" s="52" t="s">
        <v>613</v>
      </c>
      <c r="F1396" s="52" t="s">
        <v>581</v>
      </c>
      <c r="G1396" s="55" t="s">
        <v>279</v>
      </c>
      <c r="H1396" s="55">
        <v>30.843859999999999</v>
      </c>
      <c r="I1396" s="55">
        <v>18.974799999999998</v>
      </c>
      <c r="J1396" s="55">
        <v>15.87702</v>
      </c>
      <c r="K1396" s="55">
        <v>14.46336</v>
      </c>
      <c r="L1396" s="55">
        <v>12.41235</v>
      </c>
      <c r="M1396" s="55">
        <v>12.159890000000001</v>
      </c>
      <c r="N1396" s="55">
        <v>10.581300000000001</v>
      </c>
    </row>
    <row r="1397" spans="1:14" hidden="1" x14ac:dyDescent="0.35">
      <c r="A1397" s="52" t="s">
        <v>242</v>
      </c>
      <c r="B1397" s="52" t="s">
        <v>37</v>
      </c>
      <c r="C1397" s="52" t="s">
        <v>35</v>
      </c>
      <c r="D1397" s="52" t="s">
        <v>39</v>
      </c>
      <c r="E1397" s="52" t="s">
        <v>613</v>
      </c>
      <c r="F1397" s="52" t="s">
        <v>26</v>
      </c>
      <c r="G1397" s="55" t="s">
        <v>275</v>
      </c>
      <c r="H1397" s="55">
        <v>0.51226499999999997</v>
      </c>
      <c r="I1397" s="55">
        <v>0.27480490000000002</v>
      </c>
      <c r="J1397" s="55">
        <v>0.41117019999999999</v>
      </c>
      <c r="K1397" s="55">
        <v>0.28715200000000002</v>
      </c>
      <c r="L1397" s="55">
        <v>0.27742850000000002</v>
      </c>
      <c r="M1397" s="55">
        <v>9.7185999999999995E-2</v>
      </c>
      <c r="N1397" s="55">
        <v>8.3781900000000006E-2</v>
      </c>
    </row>
    <row r="1398" spans="1:14" hidden="1" x14ac:dyDescent="0.35">
      <c r="A1398" s="52" t="s">
        <v>242</v>
      </c>
      <c r="B1398" s="52" t="s">
        <v>37</v>
      </c>
      <c r="C1398" s="52" t="s">
        <v>35</v>
      </c>
      <c r="D1398" s="52" t="s">
        <v>39</v>
      </c>
      <c r="E1398" s="52" t="s">
        <v>613</v>
      </c>
      <c r="F1398" s="52" t="s">
        <v>26</v>
      </c>
      <c r="G1398" s="55" t="s">
        <v>276</v>
      </c>
      <c r="H1398" s="55">
        <v>0.13617299999999999</v>
      </c>
      <c r="I1398" s="55">
        <v>7.3048500000000002E-2</v>
      </c>
      <c r="J1398" s="55">
        <v>0.10929999999999999</v>
      </c>
      <c r="K1398" s="55">
        <v>7.6331899999999994E-2</v>
      </c>
      <c r="L1398" s="55">
        <v>7.3746099999999995E-2</v>
      </c>
      <c r="M1398" s="55">
        <v>2.5834200000000002E-2</v>
      </c>
      <c r="N1398" s="55">
        <v>2.2270999999999999E-2</v>
      </c>
    </row>
    <row r="1399" spans="1:14" hidden="1" x14ac:dyDescent="0.35">
      <c r="A1399" s="52" t="s">
        <v>242</v>
      </c>
      <c r="B1399" s="52" t="s">
        <v>37</v>
      </c>
      <c r="C1399" s="52" t="s">
        <v>35</v>
      </c>
      <c r="D1399" s="52" t="s">
        <v>39</v>
      </c>
      <c r="E1399" s="52" t="s">
        <v>613</v>
      </c>
      <c r="F1399" s="52" t="s">
        <v>26</v>
      </c>
      <c r="G1399" s="55" t="s">
        <v>279</v>
      </c>
      <c r="H1399" s="55">
        <v>4.243169</v>
      </c>
      <c r="I1399" s="55">
        <v>2.9025690000000002</v>
      </c>
      <c r="J1399" s="55">
        <v>2.4427059999999998</v>
      </c>
      <c r="K1399" s="55">
        <v>2.2556409999999998</v>
      </c>
      <c r="L1399" s="55">
        <v>1.9719580000000001</v>
      </c>
      <c r="M1399" s="55">
        <v>1.9003620000000001</v>
      </c>
      <c r="N1399" s="55">
        <v>1.6524620000000001</v>
      </c>
    </row>
    <row r="1400" spans="1:14" hidden="1" x14ac:dyDescent="0.35">
      <c r="A1400" s="52" t="s">
        <v>242</v>
      </c>
      <c r="B1400" s="52" t="s">
        <v>37</v>
      </c>
      <c r="C1400" s="52" t="s">
        <v>35</v>
      </c>
      <c r="D1400" s="52" t="s">
        <v>39</v>
      </c>
      <c r="E1400" s="52" t="s">
        <v>584</v>
      </c>
      <c r="F1400" s="52" t="s">
        <v>581</v>
      </c>
      <c r="G1400" s="55" t="s">
        <v>275</v>
      </c>
      <c r="H1400" s="55">
        <v>1.6705000000000001E-2</v>
      </c>
      <c r="I1400" s="55">
        <v>8.5340000000000004E-4</v>
      </c>
      <c r="J1400" s="55">
        <v>9.1120009999999996E-4</v>
      </c>
      <c r="K1400" s="55">
        <v>5.6599999999999999E-4</v>
      </c>
      <c r="L1400" s="55">
        <v>-7.6960119999999996</v>
      </c>
      <c r="M1400" s="55">
        <v>5.8949990000000004E-4</v>
      </c>
      <c r="N1400" s="55"/>
    </row>
    <row r="1401" spans="1:14" hidden="1" x14ac:dyDescent="0.35">
      <c r="A1401" s="52" t="s">
        <v>242</v>
      </c>
      <c r="B1401" s="52" t="s">
        <v>37</v>
      </c>
      <c r="C1401" s="52" t="s">
        <v>35</v>
      </c>
      <c r="D1401" s="52" t="s">
        <v>39</v>
      </c>
      <c r="E1401" s="52" t="s">
        <v>584</v>
      </c>
      <c r="F1401" s="52" t="s">
        <v>581</v>
      </c>
      <c r="G1401" s="55" t="s">
        <v>276</v>
      </c>
      <c r="H1401" s="55">
        <v>4.4400000000000004E-3</v>
      </c>
      <c r="I1401" s="55">
        <v>2.262E-4</v>
      </c>
      <c r="J1401" s="55">
        <v>2.4240000000000001E-4</v>
      </c>
      <c r="K1401" s="55">
        <v>1.506E-4</v>
      </c>
      <c r="L1401" s="55">
        <v>-2.045776</v>
      </c>
      <c r="M1401" s="55">
        <v>1.5660000000000001E-4</v>
      </c>
      <c r="N1401" s="55"/>
    </row>
    <row r="1402" spans="1:14" hidden="1" x14ac:dyDescent="0.35">
      <c r="A1402" s="52" t="s">
        <v>242</v>
      </c>
      <c r="B1402" s="52" t="s">
        <v>37</v>
      </c>
      <c r="C1402" s="52" t="s">
        <v>35</v>
      </c>
      <c r="D1402" s="52" t="s">
        <v>39</v>
      </c>
      <c r="E1402" s="52" t="s">
        <v>584</v>
      </c>
      <c r="F1402" s="52" t="s">
        <v>581</v>
      </c>
      <c r="G1402" s="55" t="s">
        <v>279</v>
      </c>
      <c r="H1402" s="55">
        <v>1.4334E-2</v>
      </c>
      <c r="I1402" s="55">
        <v>7.9117990000000006E-3</v>
      </c>
      <c r="J1402" s="55">
        <v>7.7342000000000001E-3</v>
      </c>
      <c r="K1402" s="55">
        <v>8.2451989999999999E-3</v>
      </c>
      <c r="L1402" s="55">
        <v>9.7451930000000004</v>
      </c>
      <c r="M1402" s="55">
        <v>2.6021999999999998E-3</v>
      </c>
      <c r="N1402" s="55"/>
    </row>
    <row r="1403" spans="1:14" hidden="1" x14ac:dyDescent="0.35">
      <c r="A1403" s="52" t="s">
        <v>242</v>
      </c>
      <c r="B1403" s="52" t="s">
        <v>37</v>
      </c>
      <c r="C1403" s="52" t="s">
        <v>35</v>
      </c>
      <c r="D1403" s="52" t="s">
        <v>39</v>
      </c>
      <c r="E1403" s="52" t="s">
        <v>584</v>
      </c>
      <c r="F1403" s="52" t="s">
        <v>26</v>
      </c>
      <c r="G1403" s="55" t="s">
        <v>275</v>
      </c>
      <c r="H1403" s="55">
        <v>0</v>
      </c>
      <c r="I1403" s="55">
        <v>0</v>
      </c>
      <c r="J1403" s="55"/>
      <c r="K1403" s="55">
        <v>0</v>
      </c>
      <c r="L1403" s="55"/>
      <c r="M1403" s="55">
        <v>0</v>
      </c>
      <c r="N1403" s="55"/>
    </row>
    <row r="1404" spans="1:14" hidden="1" x14ac:dyDescent="0.35">
      <c r="A1404" s="52" t="s">
        <v>242</v>
      </c>
      <c r="B1404" s="52" t="s">
        <v>37</v>
      </c>
      <c r="C1404" s="52" t="s">
        <v>35</v>
      </c>
      <c r="D1404" s="52" t="s">
        <v>39</v>
      </c>
      <c r="E1404" s="52" t="s">
        <v>584</v>
      </c>
      <c r="F1404" s="52" t="s">
        <v>26</v>
      </c>
      <c r="G1404" s="55" t="s">
        <v>276</v>
      </c>
      <c r="H1404" s="55">
        <v>0</v>
      </c>
      <c r="I1404" s="55">
        <v>0</v>
      </c>
      <c r="J1404" s="55"/>
      <c r="K1404" s="55">
        <v>0</v>
      </c>
      <c r="L1404" s="55"/>
      <c r="M1404" s="55">
        <v>0</v>
      </c>
      <c r="N1404" s="55"/>
    </row>
    <row r="1405" spans="1:14" hidden="1" x14ac:dyDescent="0.35">
      <c r="A1405" s="52" t="s">
        <v>242</v>
      </c>
      <c r="B1405" s="52" t="s">
        <v>37</v>
      </c>
      <c r="C1405" s="52" t="s">
        <v>35</v>
      </c>
      <c r="D1405" s="52" t="s">
        <v>39</v>
      </c>
      <c r="E1405" s="52" t="s">
        <v>584</v>
      </c>
      <c r="F1405" s="52" t="s">
        <v>26</v>
      </c>
      <c r="G1405" s="55" t="s">
        <v>279</v>
      </c>
      <c r="H1405" s="55">
        <v>0</v>
      </c>
      <c r="I1405" s="55">
        <v>0</v>
      </c>
      <c r="J1405" s="55"/>
      <c r="K1405" s="55">
        <v>0</v>
      </c>
      <c r="L1405" s="55"/>
      <c r="M1405" s="55">
        <v>0</v>
      </c>
      <c r="N1405" s="55"/>
    </row>
    <row r="1406" spans="1:14" hidden="1" x14ac:dyDescent="0.35">
      <c r="A1406" s="52" t="s">
        <v>242</v>
      </c>
      <c r="B1406" s="52" t="s">
        <v>37</v>
      </c>
      <c r="C1406" s="52" t="s">
        <v>35</v>
      </c>
      <c r="D1406" s="52" t="s">
        <v>129</v>
      </c>
      <c r="E1406" s="52" t="s">
        <v>580</v>
      </c>
      <c r="F1406" s="52" t="s">
        <v>581</v>
      </c>
      <c r="G1406" s="55" t="s">
        <v>275</v>
      </c>
      <c r="H1406" s="55">
        <v>-18.48115</v>
      </c>
      <c r="I1406" s="55">
        <v>-283.10640000000001</v>
      </c>
      <c r="J1406" s="55">
        <v>259.2448</v>
      </c>
      <c r="K1406" s="55">
        <v>301.02609999999999</v>
      </c>
      <c r="L1406" s="55">
        <v>242.92599999999999</v>
      </c>
      <c r="M1406" s="55">
        <v>165.4101</v>
      </c>
      <c r="N1406" s="55">
        <v>94.240110000000001</v>
      </c>
    </row>
    <row r="1407" spans="1:14" hidden="1" x14ac:dyDescent="0.35">
      <c r="A1407" s="52" t="s">
        <v>242</v>
      </c>
      <c r="B1407" s="52" t="s">
        <v>37</v>
      </c>
      <c r="C1407" s="52" t="s">
        <v>35</v>
      </c>
      <c r="D1407" s="52" t="s">
        <v>129</v>
      </c>
      <c r="E1407" s="52" t="s">
        <v>580</v>
      </c>
      <c r="F1407" s="52" t="s">
        <v>581</v>
      </c>
      <c r="G1407" s="55" t="s">
        <v>276</v>
      </c>
      <c r="H1407" s="55">
        <v>110.7229</v>
      </c>
      <c r="I1407" s="55">
        <v>-38.285350000000001</v>
      </c>
      <c r="J1407" s="55">
        <v>-30.320630000000001</v>
      </c>
      <c r="K1407" s="55">
        <v>-58.944920000000003</v>
      </c>
      <c r="L1407" s="55">
        <v>-43.873600000000003</v>
      </c>
      <c r="M1407" s="55">
        <v>-13.70927</v>
      </c>
      <c r="N1407" s="55">
        <v>34.123220000000003</v>
      </c>
    </row>
    <row r="1408" spans="1:14" hidden="1" x14ac:dyDescent="0.35">
      <c r="A1408" s="52" t="s">
        <v>242</v>
      </c>
      <c r="B1408" s="52" t="s">
        <v>37</v>
      </c>
      <c r="C1408" s="52" t="s">
        <v>35</v>
      </c>
      <c r="D1408" s="52" t="s">
        <v>129</v>
      </c>
      <c r="E1408" s="52" t="s">
        <v>580</v>
      </c>
      <c r="F1408" s="52" t="s">
        <v>581</v>
      </c>
      <c r="G1408" s="55" t="s">
        <v>277</v>
      </c>
      <c r="H1408" s="55">
        <v>932.99149999999997</v>
      </c>
      <c r="I1408" s="55">
        <v>668.46969999999999</v>
      </c>
      <c r="J1408" s="55">
        <v>127.3976</v>
      </c>
      <c r="K1408" s="55">
        <v>57.686909999999997</v>
      </c>
      <c r="L1408" s="55">
        <v>65.388930000000002</v>
      </c>
      <c r="M1408" s="55">
        <v>87.351290000000006</v>
      </c>
      <c r="N1408" s="55">
        <v>129.053</v>
      </c>
    </row>
    <row r="1409" spans="1:14" hidden="1" x14ac:dyDescent="0.35">
      <c r="A1409" s="52" t="s">
        <v>242</v>
      </c>
      <c r="B1409" s="52" t="s">
        <v>37</v>
      </c>
      <c r="C1409" s="52" t="s">
        <v>35</v>
      </c>
      <c r="D1409" s="52" t="s">
        <v>129</v>
      </c>
      <c r="E1409" s="52" t="s">
        <v>580</v>
      </c>
      <c r="F1409" s="52" t="s">
        <v>581</v>
      </c>
      <c r="G1409" s="55" t="s">
        <v>278</v>
      </c>
      <c r="H1409" s="55">
        <v>38.871940000000002</v>
      </c>
      <c r="I1409" s="55">
        <v>31.530329999999999</v>
      </c>
      <c r="J1409" s="55">
        <v>50.975239999999999</v>
      </c>
      <c r="K1409" s="55">
        <v>57.32385</v>
      </c>
      <c r="L1409" s="55">
        <v>63.379100000000001</v>
      </c>
      <c r="M1409" s="55">
        <v>66.806989999999999</v>
      </c>
      <c r="N1409" s="55">
        <v>71.090029999999999</v>
      </c>
    </row>
    <row r="1410" spans="1:14" hidden="1" x14ac:dyDescent="0.35">
      <c r="A1410" s="52" t="s">
        <v>242</v>
      </c>
      <c r="B1410" s="52" t="s">
        <v>37</v>
      </c>
      <c r="C1410" s="52" t="s">
        <v>35</v>
      </c>
      <c r="D1410" s="52" t="s">
        <v>129</v>
      </c>
      <c r="E1410" s="52" t="s">
        <v>580</v>
      </c>
      <c r="F1410" s="52" t="s">
        <v>581</v>
      </c>
      <c r="G1410" s="55" t="s">
        <v>279</v>
      </c>
      <c r="H1410" s="55">
        <v>345.83089999999999</v>
      </c>
      <c r="I1410" s="55">
        <v>243.70689999999999</v>
      </c>
      <c r="J1410" s="55">
        <v>239.85390000000001</v>
      </c>
      <c r="K1410" s="55">
        <v>220.34020000000001</v>
      </c>
      <c r="L1410" s="55">
        <v>184.7423</v>
      </c>
      <c r="M1410" s="55">
        <v>209.68639999999999</v>
      </c>
      <c r="N1410" s="55">
        <v>223.8974</v>
      </c>
    </row>
    <row r="1411" spans="1:14" hidden="1" x14ac:dyDescent="0.35">
      <c r="A1411" s="52" t="s">
        <v>242</v>
      </c>
      <c r="B1411" s="52" t="s">
        <v>37</v>
      </c>
      <c r="C1411" s="52" t="s">
        <v>35</v>
      </c>
      <c r="D1411" s="52" t="s">
        <v>129</v>
      </c>
      <c r="E1411" s="52" t="s">
        <v>580</v>
      </c>
      <c r="F1411" s="52" t="s">
        <v>26</v>
      </c>
      <c r="G1411" s="55" t="s">
        <v>275</v>
      </c>
      <c r="H1411" s="55">
        <v>19.137239999999998</v>
      </c>
      <c r="I1411" s="55">
        <v>13.793279999999999</v>
      </c>
      <c r="J1411" s="55">
        <v>20.573879999999999</v>
      </c>
      <c r="K1411" s="55">
        <v>15.68303</v>
      </c>
      <c r="L1411" s="55">
        <v>15.95044</v>
      </c>
      <c r="M1411" s="55">
        <v>9.0089950000000005</v>
      </c>
      <c r="N1411" s="55">
        <v>9.7752909999999993</v>
      </c>
    </row>
    <row r="1412" spans="1:14" hidden="1" x14ac:dyDescent="0.35">
      <c r="A1412" s="52" t="s">
        <v>242</v>
      </c>
      <c r="B1412" s="52" t="s">
        <v>37</v>
      </c>
      <c r="C1412" s="52" t="s">
        <v>35</v>
      </c>
      <c r="D1412" s="52" t="s">
        <v>129</v>
      </c>
      <c r="E1412" s="52" t="s">
        <v>580</v>
      </c>
      <c r="F1412" s="52" t="s">
        <v>26</v>
      </c>
      <c r="G1412" s="55" t="s">
        <v>276</v>
      </c>
      <c r="H1412" s="55">
        <v>5.0871380000000004</v>
      </c>
      <c r="I1412" s="55">
        <v>3.6665619999999999</v>
      </c>
      <c r="J1412" s="55">
        <v>5.4690060000000003</v>
      </c>
      <c r="K1412" s="55">
        <v>4.1689049999999996</v>
      </c>
      <c r="L1412" s="55">
        <v>4.239986</v>
      </c>
      <c r="M1412" s="55">
        <v>2.3947980000000002</v>
      </c>
      <c r="N1412" s="55">
        <v>2.5984929999999999</v>
      </c>
    </row>
    <row r="1413" spans="1:14" hidden="1" x14ac:dyDescent="0.35">
      <c r="A1413" s="52" t="s">
        <v>242</v>
      </c>
      <c r="B1413" s="52" t="s">
        <v>37</v>
      </c>
      <c r="C1413" s="52" t="s">
        <v>35</v>
      </c>
      <c r="D1413" s="52" t="s">
        <v>129</v>
      </c>
      <c r="E1413" s="52" t="s">
        <v>580</v>
      </c>
      <c r="F1413" s="52" t="s">
        <v>26</v>
      </c>
      <c r="G1413" s="55" t="s">
        <v>279</v>
      </c>
      <c r="H1413" s="55">
        <v>103.2659</v>
      </c>
      <c r="I1413" s="55">
        <v>90.212999999999994</v>
      </c>
      <c r="J1413" s="55">
        <v>87.785420000000002</v>
      </c>
      <c r="K1413" s="55">
        <v>82.971260000000001</v>
      </c>
      <c r="L1413" s="55">
        <v>72.616320000000002</v>
      </c>
      <c r="M1413" s="55">
        <v>80.921260000000004</v>
      </c>
      <c r="N1413" s="55">
        <v>87.49539</v>
      </c>
    </row>
    <row r="1414" spans="1:14" hidden="1" x14ac:dyDescent="0.35">
      <c r="A1414" s="52" t="s">
        <v>242</v>
      </c>
      <c r="B1414" s="52" t="s">
        <v>37</v>
      </c>
      <c r="C1414" s="52" t="s">
        <v>35</v>
      </c>
      <c r="D1414" s="52" t="s">
        <v>129</v>
      </c>
      <c r="E1414" s="52" t="s">
        <v>582</v>
      </c>
      <c r="F1414" s="52" t="s">
        <v>581</v>
      </c>
      <c r="G1414" s="55" t="s">
        <v>275</v>
      </c>
      <c r="H1414" s="55">
        <v>150.26159999999999</v>
      </c>
      <c r="I1414" s="55">
        <v>32.566719999999997</v>
      </c>
      <c r="J1414" s="55">
        <v>68.412289999999999</v>
      </c>
      <c r="K1414" s="55">
        <v>60.812640000000002</v>
      </c>
      <c r="L1414" s="55">
        <v>58.140790000000003</v>
      </c>
      <c r="M1414" s="55">
        <v>45.833660000000002</v>
      </c>
      <c r="N1414" s="55">
        <v>29.28905</v>
      </c>
    </row>
    <row r="1415" spans="1:14" hidden="1" x14ac:dyDescent="0.35">
      <c r="A1415" s="52" t="s">
        <v>242</v>
      </c>
      <c r="B1415" s="52" t="s">
        <v>37</v>
      </c>
      <c r="C1415" s="52" t="s">
        <v>35</v>
      </c>
      <c r="D1415" s="52" t="s">
        <v>129</v>
      </c>
      <c r="E1415" s="52" t="s">
        <v>582</v>
      </c>
      <c r="F1415" s="52" t="s">
        <v>581</v>
      </c>
      <c r="G1415" s="55" t="s">
        <v>276</v>
      </c>
      <c r="H1415" s="55">
        <v>33.326610000000002</v>
      </c>
      <c r="I1415" s="55">
        <v>-3.3014549999999998</v>
      </c>
      <c r="J1415" s="55">
        <v>-3.9630640000000001</v>
      </c>
      <c r="K1415" s="55">
        <v>5.3060130000000001</v>
      </c>
      <c r="L1415" s="55">
        <v>5.2791449999999998</v>
      </c>
      <c r="M1415" s="55">
        <v>8.7855749999999997</v>
      </c>
      <c r="N1415" s="55">
        <v>10.07854</v>
      </c>
    </row>
    <row r="1416" spans="1:14" hidden="1" x14ac:dyDescent="0.35">
      <c r="A1416" s="52" t="s">
        <v>242</v>
      </c>
      <c r="B1416" s="52" t="s">
        <v>37</v>
      </c>
      <c r="C1416" s="52" t="s">
        <v>35</v>
      </c>
      <c r="D1416" s="52" t="s">
        <v>129</v>
      </c>
      <c r="E1416" s="52" t="s">
        <v>582</v>
      </c>
      <c r="F1416" s="52" t="s">
        <v>581</v>
      </c>
      <c r="G1416" s="55" t="s">
        <v>277</v>
      </c>
      <c r="H1416" s="55">
        <v>92.617580000000004</v>
      </c>
      <c r="I1416" s="55">
        <v>37.833289999999998</v>
      </c>
      <c r="J1416" s="55">
        <v>18.368490000000001</v>
      </c>
      <c r="K1416" s="55">
        <v>6.691306</v>
      </c>
      <c r="L1416" s="55">
        <v>4.8058189999999996</v>
      </c>
      <c r="M1416" s="55">
        <v>4.6807869999999996</v>
      </c>
      <c r="N1416" s="55">
        <v>11.030950000000001</v>
      </c>
    </row>
    <row r="1417" spans="1:14" hidden="1" x14ac:dyDescent="0.35">
      <c r="A1417" s="52" t="s">
        <v>242</v>
      </c>
      <c r="B1417" s="52" t="s">
        <v>37</v>
      </c>
      <c r="C1417" s="52" t="s">
        <v>35</v>
      </c>
      <c r="D1417" s="52" t="s">
        <v>129</v>
      </c>
      <c r="E1417" s="52" t="s">
        <v>582</v>
      </c>
      <c r="F1417" s="52" t="s">
        <v>581</v>
      </c>
      <c r="G1417" s="55" t="s">
        <v>278</v>
      </c>
      <c r="H1417" s="55">
        <v>3.4583170000000001</v>
      </c>
      <c r="I1417" s="55">
        <v>2.166706</v>
      </c>
      <c r="J1417" s="55">
        <v>0</v>
      </c>
      <c r="K1417" s="55">
        <v>4.2391199999999998</v>
      </c>
      <c r="L1417" s="55">
        <v>6.7786210000000002</v>
      </c>
      <c r="M1417" s="55">
        <v>6.2371980000000002</v>
      </c>
      <c r="N1417" s="55">
        <v>14.59174</v>
      </c>
    </row>
    <row r="1418" spans="1:14" hidden="1" x14ac:dyDescent="0.35">
      <c r="A1418" s="52" t="s">
        <v>242</v>
      </c>
      <c r="B1418" s="52" t="s">
        <v>37</v>
      </c>
      <c r="C1418" s="52" t="s">
        <v>35</v>
      </c>
      <c r="D1418" s="52" t="s">
        <v>129</v>
      </c>
      <c r="E1418" s="52" t="s">
        <v>582</v>
      </c>
      <c r="F1418" s="52" t="s">
        <v>581</v>
      </c>
      <c r="G1418" s="55" t="s">
        <v>279</v>
      </c>
      <c r="H1418" s="55">
        <v>76.952259999999995</v>
      </c>
      <c r="I1418" s="55">
        <v>35.508479999999999</v>
      </c>
      <c r="J1418" s="55">
        <v>40.366070000000001</v>
      </c>
      <c r="K1418" s="55">
        <v>38.61683</v>
      </c>
      <c r="L1418" s="55">
        <v>35.438009999999998</v>
      </c>
      <c r="M1418" s="55">
        <v>36.767650000000003</v>
      </c>
      <c r="N1418" s="55">
        <v>35.76632</v>
      </c>
    </row>
    <row r="1419" spans="1:14" hidden="1" x14ac:dyDescent="0.35">
      <c r="A1419" s="52" t="s">
        <v>242</v>
      </c>
      <c r="B1419" s="52" t="s">
        <v>37</v>
      </c>
      <c r="C1419" s="52" t="s">
        <v>35</v>
      </c>
      <c r="D1419" s="52" t="s">
        <v>129</v>
      </c>
      <c r="E1419" s="52" t="s">
        <v>582</v>
      </c>
      <c r="F1419" s="52" t="s">
        <v>26</v>
      </c>
      <c r="G1419" s="55" t="s">
        <v>275</v>
      </c>
      <c r="H1419" s="55">
        <v>2.293256</v>
      </c>
      <c r="I1419" s="55">
        <v>1.28932</v>
      </c>
      <c r="J1419" s="55">
        <v>2.1008429999999998</v>
      </c>
      <c r="K1419" s="55">
        <v>1.6907430000000001</v>
      </c>
      <c r="L1419" s="55">
        <v>1.6968430000000001</v>
      </c>
      <c r="M1419" s="55">
        <v>1.0072019999999999</v>
      </c>
      <c r="N1419" s="55">
        <v>0.99403580000000002</v>
      </c>
    </row>
    <row r="1420" spans="1:14" hidden="1" x14ac:dyDescent="0.35">
      <c r="A1420" s="52" t="s">
        <v>242</v>
      </c>
      <c r="B1420" s="52" t="s">
        <v>37</v>
      </c>
      <c r="C1420" s="52" t="s">
        <v>35</v>
      </c>
      <c r="D1420" s="52" t="s">
        <v>129</v>
      </c>
      <c r="E1420" s="52" t="s">
        <v>582</v>
      </c>
      <c r="F1420" s="52" t="s">
        <v>26</v>
      </c>
      <c r="G1420" s="55" t="s">
        <v>276</v>
      </c>
      <c r="H1420" s="55">
        <v>0.60959799999999997</v>
      </c>
      <c r="I1420" s="55">
        <v>0.34273169999999997</v>
      </c>
      <c r="J1420" s="55">
        <v>0.55844850000000001</v>
      </c>
      <c r="K1420" s="55">
        <v>0.44943749999999999</v>
      </c>
      <c r="L1420" s="55">
        <v>0.45106220000000002</v>
      </c>
      <c r="M1420" s="55">
        <v>0.2677368</v>
      </c>
      <c r="N1420" s="55">
        <v>0.26423980000000002</v>
      </c>
    </row>
    <row r="1421" spans="1:14" hidden="1" x14ac:dyDescent="0.35">
      <c r="A1421" s="52" t="s">
        <v>242</v>
      </c>
      <c r="B1421" s="52" t="s">
        <v>37</v>
      </c>
      <c r="C1421" s="52" t="s">
        <v>35</v>
      </c>
      <c r="D1421" s="52" t="s">
        <v>129</v>
      </c>
      <c r="E1421" s="52" t="s">
        <v>582</v>
      </c>
      <c r="F1421" s="52" t="s">
        <v>26</v>
      </c>
      <c r="G1421" s="55" t="s">
        <v>279</v>
      </c>
      <c r="H1421" s="55">
        <v>10.775740000000001</v>
      </c>
      <c r="I1421" s="55">
        <v>7.0119389999999999</v>
      </c>
      <c r="J1421" s="55">
        <v>8.0194419999999997</v>
      </c>
      <c r="K1421" s="55">
        <v>7.7770450000000002</v>
      </c>
      <c r="L1421" s="55">
        <v>7.2807149999999998</v>
      </c>
      <c r="M1421" s="55">
        <v>7.4348359999999998</v>
      </c>
      <c r="N1421" s="55">
        <v>7.2106919999999999</v>
      </c>
    </row>
    <row r="1422" spans="1:14" hidden="1" x14ac:dyDescent="0.35">
      <c r="A1422" s="52" t="s">
        <v>242</v>
      </c>
      <c r="B1422" s="52" t="s">
        <v>37</v>
      </c>
      <c r="C1422" s="52" t="s">
        <v>35</v>
      </c>
      <c r="D1422" s="52" t="s">
        <v>207</v>
      </c>
      <c r="E1422" s="52" t="s">
        <v>592</v>
      </c>
      <c r="F1422" s="52" t="s">
        <v>581</v>
      </c>
      <c r="G1422" s="55" t="s">
        <v>275</v>
      </c>
      <c r="H1422" s="55">
        <v>1.0969070000000001</v>
      </c>
      <c r="I1422" s="55">
        <v>2.1980680000000001</v>
      </c>
      <c r="J1422" s="55">
        <v>2.0704440000000002</v>
      </c>
      <c r="K1422" s="55">
        <v>1.972574</v>
      </c>
      <c r="L1422" s="55">
        <v>0.39552029999999999</v>
      </c>
      <c r="M1422" s="55">
        <v>0.93504869999999995</v>
      </c>
      <c r="N1422" s="55">
        <v>0.79201980000000005</v>
      </c>
    </row>
    <row r="1423" spans="1:14" hidden="1" x14ac:dyDescent="0.35">
      <c r="A1423" s="52" t="s">
        <v>242</v>
      </c>
      <c r="B1423" s="52" t="s">
        <v>37</v>
      </c>
      <c r="C1423" s="52" t="s">
        <v>35</v>
      </c>
      <c r="D1423" s="52" t="s">
        <v>207</v>
      </c>
      <c r="E1423" s="52" t="s">
        <v>592</v>
      </c>
      <c r="F1423" s="52" t="s">
        <v>581</v>
      </c>
      <c r="G1423" s="55" t="s">
        <v>276</v>
      </c>
      <c r="H1423" s="55">
        <v>0.44897999999999999</v>
      </c>
      <c r="I1423" s="55">
        <v>-7.8815590000000005E-2</v>
      </c>
      <c r="J1423" s="55">
        <v>-0.36450500000000002</v>
      </c>
      <c r="K1423" s="55">
        <v>-0.58505399999999996</v>
      </c>
      <c r="L1423" s="55">
        <v>-0.25469419999999998</v>
      </c>
      <c r="M1423" s="55">
        <v>0.19489020000000001</v>
      </c>
      <c r="N1423" s="55">
        <v>0.16760530000000001</v>
      </c>
    </row>
    <row r="1424" spans="1:14" hidden="1" x14ac:dyDescent="0.35">
      <c r="A1424" s="52" t="s">
        <v>242</v>
      </c>
      <c r="B1424" s="52" t="s">
        <v>37</v>
      </c>
      <c r="C1424" s="52" t="s">
        <v>35</v>
      </c>
      <c r="D1424" s="52" t="s">
        <v>207</v>
      </c>
      <c r="E1424" s="52" t="s">
        <v>592</v>
      </c>
      <c r="F1424" s="52" t="s">
        <v>581</v>
      </c>
      <c r="G1424" s="55" t="s">
        <v>277</v>
      </c>
      <c r="H1424" s="55">
        <v>5.7692379999999996</v>
      </c>
      <c r="I1424" s="55">
        <v>0</v>
      </c>
      <c r="J1424" s="55"/>
      <c r="K1424" s="55">
        <v>0</v>
      </c>
      <c r="L1424" s="55">
        <v>1.261781</v>
      </c>
      <c r="M1424" s="55">
        <v>0</v>
      </c>
      <c r="N1424" s="55">
        <v>0</v>
      </c>
    </row>
    <row r="1425" spans="1:14" hidden="1" x14ac:dyDescent="0.35">
      <c r="A1425" s="52" t="s">
        <v>242</v>
      </c>
      <c r="B1425" s="52" t="s">
        <v>37</v>
      </c>
      <c r="C1425" s="52" t="s">
        <v>35</v>
      </c>
      <c r="D1425" s="52" t="s">
        <v>207</v>
      </c>
      <c r="E1425" s="52" t="s">
        <v>592</v>
      </c>
      <c r="F1425" s="52" t="s">
        <v>581</v>
      </c>
      <c r="G1425" s="55" t="s">
        <v>279</v>
      </c>
      <c r="H1425" s="55">
        <v>3.3234460000000001</v>
      </c>
      <c r="I1425" s="55">
        <v>2.148927</v>
      </c>
      <c r="J1425" s="55">
        <v>1.5929629999999999</v>
      </c>
      <c r="K1425" s="55">
        <v>1.360039</v>
      </c>
      <c r="L1425" s="55">
        <v>1.264893</v>
      </c>
      <c r="M1425" s="55">
        <v>1.3088</v>
      </c>
      <c r="N1425" s="55">
        <v>1.1027530000000001</v>
      </c>
    </row>
    <row r="1426" spans="1:14" hidden="1" x14ac:dyDescent="0.35">
      <c r="A1426" s="52" t="s">
        <v>242</v>
      </c>
      <c r="B1426" s="52" t="s">
        <v>37</v>
      </c>
      <c r="C1426" s="52" t="s">
        <v>35</v>
      </c>
      <c r="D1426" s="52" t="s">
        <v>207</v>
      </c>
      <c r="E1426" s="52" t="s">
        <v>592</v>
      </c>
      <c r="F1426" s="52" t="s">
        <v>26</v>
      </c>
      <c r="G1426" s="55" t="s">
        <v>275</v>
      </c>
      <c r="H1426" s="55">
        <v>-2.1332E-2</v>
      </c>
      <c r="I1426" s="55">
        <v>-2.40222E-2</v>
      </c>
      <c r="J1426" s="55">
        <v>-6.0258000000000004E-3</v>
      </c>
      <c r="K1426" s="55">
        <v>-1.0230299999999999E-2</v>
      </c>
      <c r="L1426" s="55">
        <v>-6.8967000000000004E-3</v>
      </c>
      <c r="M1426" s="55">
        <v>-2.0037800000000001E-2</v>
      </c>
      <c r="N1426" s="55">
        <v>-1.6920399999999999E-2</v>
      </c>
    </row>
    <row r="1427" spans="1:14" hidden="1" x14ac:dyDescent="0.35">
      <c r="A1427" s="52" t="s">
        <v>242</v>
      </c>
      <c r="B1427" s="52" t="s">
        <v>37</v>
      </c>
      <c r="C1427" s="52" t="s">
        <v>35</v>
      </c>
      <c r="D1427" s="52" t="s">
        <v>207</v>
      </c>
      <c r="E1427" s="52" t="s">
        <v>592</v>
      </c>
      <c r="F1427" s="52" t="s">
        <v>26</v>
      </c>
      <c r="G1427" s="55" t="s">
        <v>276</v>
      </c>
      <c r="H1427" s="55">
        <v>-5.6699999999999997E-3</v>
      </c>
      <c r="I1427" s="55">
        <v>-6.3860999999999996E-3</v>
      </c>
      <c r="J1427" s="55">
        <v>-1.6014E-3</v>
      </c>
      <c r="K1427" s="55">
        <v>-2.7192000000000002E-3</v>
      </c>
      <c r="L1427" s="55">
        <v>-1.8328999999999999E-3</v>
      </c>
      <c r="M1427" s="55">
        <v>-5.3270000000000001E-3</v>
      </c>
      <c r="N1427" s="55">
        <v>-4.4986000000000002E-3</v>
      </c>
    </row>
    <row r="1428" spans="1:14" hidden="1" x14ac:dyDescent="0.35">
      <c r="A1428" s="52" t="s">
        <v>242</v>
      </c>
      <c r="B1428" s="52" t="s">
        <v>37</v>
      </c>
      <c r="C1428" s="52" t="s">
        <v>35</v>
      </c>
      <c r="D1428" s="52" t="s">
        <v>207</v>
      </c>
      <c r="E1428" s="52" t="s">
        <v>592</v>
      </c>
      <c r="F1428" s="52" t="s">
        <v>26</v>
      </c>
      <c r="G1428" s="55" t="s">
        <v>279</v>
      </c>
      <c r="H1428" s="55">
        <v>0.295653</v>
      </c>
      <c r="I1428" s="55">
        <v>0.25928889999999999</v>
      </c>
      <c r="J1428" s="55">
        <v>0.19307849999999999</v>
      </c>
      <c r="K1428" s="55">
        <v>0.16668720000000001</v>
      </c>
      <c r="L1428" s="55">
        <v>0.15738199999999999</v>
      </c>
      <c r="M1428" s="55">
        <v>0.1606601</v>
      </c>
      <c r="N1428" s="55">
        <v>0.13529040000000001</v>
      </c>
    </row>
    <row r="1429" spans="1:14" hidden="1" x14ac:dyDescent="0.35">
      <c r="A1429" s="52" t="s">
        <v>242</v>
      </c>
      <c r="B1429" s="52" t="s">
        <v>37</v>
      </c>
      <c r="C1429" s="52" t="s">
        <v>79</v>
      </c>
      <c r="D1429" s="52" t="s">
        <v>79</v>
      </c>
      <c r="E1429" s="52" t="s">
        <v>614</v>
      </c>
      <c r="F1429" s="52" t="s">
        <v>581</v>
      </c>
      <c r="G1429" s="55" t="s">
        <v>275</v>
      </c>
      <c r="H1429" s="55">
        <v>655.17849999999999</v>
      </c>
      <c r="I1429" s="55">
        <v>-181.60839999999999</v>
      </c>
      <c r="J1429" s="55">
        <v>531.697</v>
      </c>
      <c r="K1429" s="55">
        <v>507.60910000000001</v>
      </c>
      <c r="L1429" s="55">
        <v>415.15039999999999</v>
      </c>
      <c r="M1429" s="55">
        <v>295.13319999999999</v>
      </c>
      <c r="N1429" s="55">
        <v>146.2123</v>
      </c>
    </row>
    <row r="1430" spans="1:14" hidden="1" x14ac:dyDescent="0.35">
      <c r="A1430" s="52" t="s">
        <v>242</v>
      </c>
      <c r="B1430" s="52" t="s">
        <v>37</v>
      </c>
      <c r="C1430" s="52" t="s">
        <v>79</v>
      </c>
      <c r="D1430" s="52" t="s">
        <v>79</v>
      </c>
      <c r="E1430" s="52" t="s">
        <v>614</v>
      </c>
      <c r="F1430" s="52" t="s">
        <v>581</v>
      </c>
      <c r="G1430" s="55" t="s">
        <v>276</v>
      </c>
      <c r="H1430" s="55">
        <v>244.79159999999999</v>
      </c>
      <c r="I1430" s="55">
        <v>-36.984470000000002</v>
      </c>
      <c r="J1430" s="55">
        <v>-25.924880000000002</v>
      </c>
      <c r="K1430" s="55">
        <v>-48.076009999999997</v>
      </c>
      <c r="L1430" s="55">
        <v>-35.438630000000003</v>
      </c>
      <c r="M1430" s="55">
        <v>-4.8387630000000001</v>
      </c>
      <c r="N1430" s="55">
        <v>64.080269999999999</v>
      </c>
    </row>
    <row r="1431" spans="1:14" hidden="1" x14ac:dyDescent="0.35">
      <c r="A1431" s="52" t="s">
        <v>242</v>
      </c>
      <c r="B1431" s="52" t="s">
        <v>37</v>
      </c>
      <c r="C1431" s="52" t="s">
        <v>79</v>
      </c>
      <c r="D1431" s="52" t="s">
        <v>79</v>
      </c>
      <c r="E1431" s="52" t="s">
        <v>614</v>
      </c>
      <c r="F1431" s="52" t="s">
        <v>581</v>
      </c>
      <c r="G1431" s="55" t="s">
        <v>277</v>
      </c>
      <c r="H1431" s="55">
        <v>1268.598</v>
      </c>
      <c r="I1431" s="55">
        <v>1030.9000000000001</v>
      </c>
      <c r="J1431" s="55">
        <v>255.09780000000001</v>
      </c>
      <c r="K1431" s="55">
        <v>164.45060000000001</v>
      </c>
      <c r="L1431" s="55">
        <v>189.69059999999999</v>
      </c>
      <c r="M1431" s="55">
        <v>247.40260000000001</v>
      </c>
      <c r="N1431" s="55">
        <v>362.28250000000003</v>
      </c>
    </row>
    <row r="1432" spans="1:14" hidden="1" x14ac:dyDescent="0.35">
      <c r="A1432" s="52" t="s">
        <v>242</v>
      </c>
      <c r="B1432" s="52" t="s">
        <v>37</v>
      </c>
      <c r="C1432" s="52" t="s">
        <v>79</v>
      </c>
      <c r="D1432" s="52" t="s">
        <v>79</v>
      </c>
      <c r="E1432" s="52" t="s">
        <v>614</v>
      </c>
      <c r="F1432" s="52" t="s">
        <v>581</v>
      </c>
      <c r="G1432" s="55" t="s">
        <v>278</v>
      </c>
      <c r="H1432" s="55">
        <v>34.250369999999997</v>
      </c>
      <c r="I1432" s="55">
        <v>24.100439999999999</v>
      </c>
      <c r="J1432" s="55">
        <v>52.733669999999996</v>
      </c>
      <c r="K1432" s="55">
        <v>46.336950000000002</v>
      </c>
      <c r="L1432" s="55">
        <v>32.069240000000001</v>
      </c>
      <c r="M1432" s="55">
        <v>20.456499999999998</v>
      </c>
      <c r="N1432" s="55">
        <v>4.9090920000000002</v>
      </c>
    </row>
    <row r="1433" spans="1:14" hidden="1" x14ac:dyDescent="0.35">
      <c r="A1433" s="52" t="s">
        <v>242</v>
      </c>
      <c r="B1433" s="52" t="s">
        <v>37</v>
      </c>
      <c r="C1433" s="52" t="s">
        <v>79</v>
      </c>
      <c r="D1433" s="52" t="s">
        <v>79</v>
      </c>
      <c r="E1433" s="52" t="s">
        <v>614</v>
      </c>
      <c r="F1433" s="52" t="s">
        <v>581</v>
      </c>
      <c r="G1433" s="55" t="s">
        <v>279</v>
      </c>
      <c r="H1433" s="55">
        <v>804.96900000000005</v>
      </c>
      <c r="I1433" s="55">
        <v>583.50980000000004</v>
      </c>
      <c r="J1433" s="55">
        <v>536.39869999999996</v>
      </c>
      <c r="K1433" s="55">
        <v>468.94420000000002</v>
      </c>
      <c r="L1433" s="55">
        <v>404.8399</v>
      </c>
      <c r="M1433" s="55">
        <v>437.86329999999998</v>
      </c>
      <c r="N1433" s="55">
        <v>446.26080000000002</v>
      </c>
    </row>
    <row r="1434" spans="1:14" hidden="1" x14ac:dyDescent="0.35">
      <c r="A1434" s="52" t="s">
        <v>242</v>
      </c>
      <c r="B1434" s="52" t="s">
        <v>37</v>
      </c>
      <c r="C1434" s="52" t="s">
        <v>79</v>
      </c>
      <c r="D1434" s="52" t="s">
        <v>79</v>
      </c>
      <c r="E1434" s="52" t="s">
        <v>614</v>
      </c>
      <c r="F1434" s="52" t="s">
        <v>26</v>
      </c>
      <c r="G1434" s="55" t="s">
        <v>275</v>
      </c>
      <c r="H1434" s="55">
        <v>6.7475430000000003</v>
      </c>
      <c r="I1434" s="55">
        <v>5.1556980000000001</v>
      </c>
      <c r="J1434" s="55">
        <v>10.340260000000001</v>
      </c>
      <c r="K1434" s="55">
        <v>6.2017360000000004</v>
      </c>
      <c r="L1434" s="55">
        <v>6.5994120000000001</v>
      </c>
      <c r="M1434" s="55">
        <v>1.280565</v>
      </c>
      <c r="N1434" s="55">
        <v>1.430226</v>
      </c>
    </row>
    <row r="1435" spans="1:14" hidden="1" x14ac:dyDescent="0.35">
      <c r="A1435" s="52" t="s">
        <v>242</v>
      </c>
      <c r="B1435" s="52" t="s">
        <v>37</v>
      </c>
      <c r="C1435" s="52" t="s">
        <v>79</v>
      </c>
      <c r="D1435" s="52" t="s">
        <v>79</v>
      </c>
      <c r="E1435" s="52" t="s">
        <v>614</v>
      </c>
      <c r="F1435" s="52" t="s">
        <v>26</v>
      </c>
      <c r="G1435" s="55" t="s">
        <v>276</v>
      </c>
      <c r="H1435" s="55">
        <v>1.956116</v>
      </c>
      <c r="I1435" s="55">
        <v>1.494559</v>
      </c>
      <c r="J1435" s="55">
        <v>2.9975170000000002</v>
      </c>
      <c r="K1435" s="55">
        <v>1.7978320000000001</v>
      </c>
      <c r="L1435" s="55">
        <v>1.9131069999999999</v>
      </c>
      <c r="M1435" s="55">
        <v>0.37120710000000001</v>
      </c>
      <c r="N1435" s="55">
        <v>0.41463889999999998</v>
      </c>
    </row>
    <row r="1436" spans="1:14" hidden="1" x14ac:dyDescent="0.35">
      <c r="A1436" s="52" t="s">
        <v>242</v>
      </c>
      <c r="B1436" s="52" t="s">
        <v>37</v>
      </c>
      <c r="C1436" s="52" t="s">
        <v>79</v>
      </c>
      <c r="D1436" s="52" t="s">
        <v>79</v>
      </c>
      <c r="E1436" s="52" t="s">
        <v>614</v>
      </c>
      <c r="F1436" s="52" t="s">
        <v>26</v>
      </c>
      <c r="G1436" s="55" t="s">
        <v>279</v>
      </c>
      <c r="H1436" s="55">
        <v>87.673379999999995</v>
      </c>
      <c r="I1436" s="55">
        <v>94.883340000000004</v>
      </c>
      <c r="J1436" s="55">
        <v>87.492260000000002</v>
      </c>
      <c r="K1436" s="55">
        <v>76.768360000000001</v>
      </c>
      <c r="L1436" s="55">
        <v>66.210329999999999</v>
      </c>
      <c r="M1436" s="55">
        <v>72.052639999999997</v>
      </c>
      <c r="N1436" s="55">
        <v>73.29616</v>
      </c>
    </row>
    <row r="1437" spans="1:14" hidden="1" x14ac:dyDescent="0.35">
      <c r="A1437" s="52" t="s">
        <v>242</v>
      </c>
      <c r="B1437" s="52" t="s">
        <v>37</v>
      </c>
      <c r="C1437" s="52" t="s">
        <v>79</v>
      </c>
      <c r="D1437" s="52" t="s">
        <v>79</v>
      </c>
      <c r="E1437" s="52" t="s">
        <v>615</v>
      </c>
      <c r="F1437" s="52" t="s">
        <v>581</v>
      </c>
      <c r="G1437" s="55" t="s">
        <v>275</v>
      </c>
      <c r="H1437" s="55">
        <v>5.129702</v>
      </c>
      <c r="I1437" s="55">
        <v>-128.41749999999999</v>
      </c>
      <c r="J1437" s="55">
        <v>286.77659999999997</v>
      </c>
      <c r="K1437" s="55">
        <v>336.00259999999997</v>
      </c>
      <c r="L1437" s="55">
        <v>290.83370000000002</v>
      </c>
      <c r="M1437" s="55">
        <v>213.4297</v>
      </c>
      <c r="N1437" s="55">
        <v>179.23920000000001</v>
      </c>
    </row>
    <row r="1438" spans="1:14" hidden="1" x14ac:dyDescent="0.35">
      <c r="A1438" s="52" t="s">
        <v>242</v>
      </c>
      <c r="B1438" s="52" t="s">
        <v>37</v>
      </c>
      <c r="C1438" s="52" t="s">
        <v>79</v>
      </c>
      <c r="D1438" s="52" t="s">
        <v>79</v>
      </c>
      <c r="E1438" s="52" t="s">
        <v>615</v>
      </c>
      <c r="F1438" s="52" t="s">
        <v>581</v>
      </c>
      <c r="G1438" s="55" t="s">
        <v>276</v>
      </c>
      <c r="H1438" s="55">
        <v>29.622440000000001</v>
      </c>
      <c r="I1438" s="55">
        <v>-58.339410000000001</v>
      </c>
      <c r="J1438" s="55">
        <v>-44.024659999999997</v>
      </c>
      <c r="K1438" s="55">
        <v>-59.258690000000001</v>
      </c>
      <c r="L1438" s="55">
        <v>-50.88111</v>
      </c>
      <c r="M1438" s="55">
        <v>-13.123340000000001</v>
      </c>
      <c r="N1438" s="55">
        <v>25.663029999999999</v>
      </c>
    </row>
    <row r="1439" spans="1:14" hidden="1" x14ac:dyDescent="0.35">
      <c r="A1439" s="52" t="s">
        <v>242</v>
      </c>
      <c r="B1439" s="52" t="s">
        <v>37</v>
      </c>
      <c r="C1439" s="52" t="s">
        <v>79</v>
      </c>
      <c r="D1439" s="52" t="s">
        <v>79</v>
      </c>
      <c r="E1439" s="52" t="s">
        <v>615</v>
      </c>
      <c r="F1439" s="52" t="s">
        <v>581</v>
      </c>
      <c r="G1439" s="55" t="s">
        <v>277</v>
      </c>
      <c r="H1439" s="55">
        <v>1033.0170000000001</v>
      </c>
      <c r="I1439" s="55">
        <v>642.79420000000005</v>
      </c>
      <c r="J1439" s="55">
        <v>209.9408</v>
      </c>
      <c r="K1439" s="55">
        <v>107.99809999999999</v>
      </c>
      <c r="L1439" s="55">
        <v>94.756479999999996</v>
      </c>
      <c r="M1439" s="55">
        <v>73.652000000000001</v>
      </c>
      <c r="N1439" s="55">
        <v>42.308100000000003</v>
      </c>
    </row>
    <row r="1440" spans="1:14" hidden="1" x14ac:dyDescent="0.35">
      <c r="A1440" s="52" t="s">
        <v>242</v>
      </c>
      <c r="B1440" s="52" t="s">
        <v>37</v>
      </c>
      <c r="C1440" s="52" t="s">
        <v>79</v>
      </c>
      <c r="D1440" s="52" t="s">
        <v>79</v>
      </c>
      <c r="E1440" s="52" t="s">
        <v>615</v>
      </c>
      <c r="F1440" s="52" t="s">
        <v>581</v>
      </c>
      <c r="G1440" s="55" t="s">
        <v>278</v>
      </c>
      <c r="H1440" s="55">
        <v>17.574259999999999</v>
      </c>
      <c r="I1440" s="55">
        <v>7.2057909999999996</v>
      </c>
      <c r="J1440" s="55">
        <v>8.7767769999999992</v>
      </c>
      <c r="K1440" s="55">
        <v>0</v>
      </c>
      <c r="L1440" s="55"/>
      <c r="M1440" s="55"/>
      <c r="N1440" s="55"/>
    </row>
    <row r="1441" spans="1:14" hidden="1" x14ac:dyDescent="0.35">
      <c r="A1441" s="52" t="s">
        <v>242</v>
      </c>
      <c r="B1441" s="52" t="s">
        <v>37</v>
      </c>
      <c r="C1441" s="52" t="s">
        <v>79</v>
      </c>
      <c r="D1441" s="52" t="s">
        <v>79</v>
      </c>
      <c r="E1441" s="52" t="s">
        <v>615</v>
      </c>
      <c r="F1441" s="52" t="s">
        <v>581</v>
      </c>
      <c r="G1441" s="55" t="s">
        <v>279</v>
      </c>
      <c r="H1441" s="55">
        <v>398.6035</v>
      </c>
      <c r="I1441" s="55">
        <v>324.31099999999998</v>
      </c>
      <c r="J1441" s="55">
        <v>306.80770000000001</v>
      </c>
      <c r="K1441" s="55">
        <v>271.33330000000001</v>
      </c>
      <c r="L1441" s="55">
        <v>226.3398</v>
      </c>
      <c r="M1441" s="55">
        <v>211.4581</v>
      </c>
      <c r="N1441" s="55">
        <v>187.38929999999999</v>
      </c>
    </row>
    <row r="1442" spans="1:14" hidden="1" x14ac:dyDescent="0.35">
      <c r="A1442" s="52" t="s">
        <v>242</v>
      </c>
      <c r="B1442" s="52" t="s">
        <v>37</v>
      </c>
      <c r="C1442" s="52" t="s">
        <v>79</v>
      </c>
      <c r="D1442" s="52" t="s">
        <v>79</v>
      </c>
      <c r="E1442" s="52" t="s">
        <v>615</v>
      </c>
      <c r="F1442" s="52" t="s">
        <v>26</v>
      </c>
      <c r="G1442" s="55" t="s">
        <v>275</v>
      </c>
      <c r="H1442" s="55">
        <v>1.4258550000000001</v>
      </c>
      <c r="I1442" s="55">
        <v>1.226772</v>
      </c>
      <c r="J1442" s="55">
        <v>2.5131770000000002</v>
      </c>
      <c r="K1442" s="55">
        <v>1.523922</v>
      </c>
      <c r="L1442" s="55">
        <v>1.5763529999999999</v>
      </c>
      <c r="M1442" s="55">
        <v>0.31400990000000001</v>
      </c>
      <c r="N1442" s="55">
        <v>0.30859690000000001</v>
      </c>
    </row>
    <row r="1443" spans="1:14" hidden="1" x14ac:dyDescent="0.35">
      <c r="A1443" s="52" t="s">
        <v>242</v>
      </c>
      <c r="B1443" s="52" t="s">
        <v>37</v>
      </c>
      <c r="C1443" s="52" t="s">
        <v>79</v>
      </c>
      <c r="D1443" s="52" t="s">
        <v>79</v>
      </c>
      <c r="E1443" s="52" t="s">
        <v>615</v>
      </c>
      <c r="F1443" s="52" t="s">
        <v>26</v>
      </c>
      <c r="G1443" s="55" t="s">
        <v>276</v>
      </c>
      <c r="H1443" s="55">
        <v>0.41334900000000002</v>
      </c>
      <c r="I1443" s="55">
        <v>0.35561219999999999</v>
      </c>
      <c r="J1443" s="55">
        <v>0.7285507</v>
      </c>
      <c r="K1443" s="55">
        <v>0.4417779</v>
      </c>
      <c r="L1443" s="55">
        <v>0.45696789999999998</v>
      </c>
      <c r="M1443" s="55">
        <v>9.101911E-2</v>
      </c>
      <c r="N1443" s="55">
        <v>8.9464310000000005E-2</v>
      </c>
    </row>
    <row r="1444" spans="1:14" hidden="1" x14ac:dyDescent="0.35">
      <c r="A1444" s="52" t="s">
        <v>242</v>
      </c>
      <c r="B1444" s="52" t="s">
        <v>37</v>
      </c>
      <c r="C1444" s="52" t="s">
        <v>79</v>
      </c>
      <c r="D1444" s="52" t="s">
        <v>79</v>
      </c>
      <c r="E1444" s="52" t="s">
        <v>615</v>
      </c>
      <c r="F1444" s="52" t="s">
        <v>26</v>
      </c>
      <c r="G1444" s="55" t="s">
        <v>279</v>
      </c>
      <c r="H1444" s="55">
        <v>18.526589999999999</v>
      </c>
      <c r="I1444" s="55">
        <v>22.509679999999999</v>
      </c>
      <c r="J1444" s="55">
        <v>21.410889999999998</v>
      </c>
      <c r="K1444" s="55">
        <v>19.000779999999999</v>
      </c>
      <c r="L1444" s="55">
        <v>15.82891</v>
      </c>
      <c r="M1444" s="55">
        <v>14.83953</v>
      </c>
      <c r="N1444" s="55">
        <v>13.12101</v>
      </c>
    </row>
    <row r="1445" spans="1:14" hidden="1" x14ac:dyDescent="0.35">
      <c r="A1445" s="52" t="s">
        <v>242</v>
      </c>
      <c r="B1445" s="52" t="s">
        <v>37</v>
      </c>
      <c r="C1445" s="52" t="s">
        <v>79</v>
      </c>
      <c r="D1445" s="52" t="s">
        <v>79</v>
      </c>
      <c r="E1445" s="52" t="s">
        <v>601</v>
      </c>
      <c r="F1445" s="52" t="s">
        <v>581</v>
      </c>
      <c r="G1445" s="55" t="s">
        <v>275</v>
      </c>
      <c r="H1445" s="55">
        <v>108.78270000000001</v>
      </c>
      <c r="I1445" s="55">
        <v>55.913040000000002</v>
      </c>
      <c r="J1445" s="55">
        <v>54.059460000000001</v>
      </c>
      <c r="K1445" s="55">
        <v>47.99841</v>
      </c>
      <c r="L1445" s="55">
        <v>32.595019999999998</v>
      </c>
      <c r="M1445" s="55">
        <v>9.3338110000000007</v>
      </c>
      <c r="N1445" s="55">
        <v>-2.6158160000000001</v>
      </c>
    </row>
    <row r="1446" spans="1:14" hidden="1" x14ac:dyDescent="0.35">
      <c r="A1446" s="52" t="s">
        <v>242</v>
      </c>
      <c r="B1446" s="52" t="s">
        <v>37</v>
      </c>
      <c r="C1446" s="52" t="s">
        <v>79</v>
      </c>
      <c r="D1446" s="52" t="s">
        <v>79</v>
      </c>
      <c r="E1446" s="52" t="s">
        <v>601</v>
      </c>
      <c r="F1446" s="52" t="s">
        <v>581</v>
      </c>
      <c r="G1446" s="55" t="s">
        <v>276</v>
      </c>
      <c r="H1446" s="55">
        <v>41.568040000000003</v>
      </c>
      <c r="I1446" s="55">
        <v>-8.4003350000000001</v>
      </c>
      <c r="J1446" s="55">
        <v>-17.07348</v>
      </c>
      <c r="K1446" s="55">
        <v>-15.206429999999999</v>
      </c>
      <c r="L1446" s="55">
        <v>-5.8341979999999998</v>
      </c>
      <c r="M1446" s="55">
        <v>4.7143360000000003</v>
      </c>
      <c r="N1446" s="55">
        <v>4.6180839999999996</v>
      </c>
    </row>
    <row r="1447" spans="1:14" hidden="1" x14ac:dyDescent="0.35">
      <c r="A1447" s="52" t="s">
        <v>242</v>
      </c>
      <c r="B1447" s="52" t="s">
        <v>37</v>
      </c>
      <c r="C1447" s="52" t="s">
        <v>79</v>
      </c>
      <c r="D1447" s="52" t="s">
        <v>79</v>
      </c>
      <c r="E1447" s="52" t="s">
        <v>601</v>
      </c>
      <c r="F1447" s="52" t="s">
        <v>581</v>
      </c>
      <c r="G1447" s="55" t="s">
        <v>277</v>
      </c>
      <c r="H1447" s="55">
        <v>133.40119999999999</v>
      </c>
      <c r="I1447" s="55">
        <v>7.354603</v>
      </c>
      <c r="J1447" s="55">
        <v>5.248767</v>
      </c>
      <c r="K1447" s="55">
        <v>2.8647559999999999</v>
      </c>
      <c r="L1447" s="55">
        <v>2.8121160000000001</v>
      </c>
      <c r="M1447" s="55">
        <v>6.1325539999999998</v>
      </c>
      <c r="N1447" s="55">
        <v>19.618010000000002</v>
      </c>
    </row>
    <row r="1448" spans="1:14" hidden="1" x14ac:dyDescent="0.35">
      <c r="A1448" s="52" t="s">
        <v>242</v>
      </c>
      <c r="B1448" s="52" t="s">
        <v>37</v>
      </c>
      <c r="C1448" s="52" t="s">
        <v>79</v>
      </c>
      <c r="D1448" s="52" t="s">
        <v>79</v>
      </c>
      <c r="E1448" s="52" t="s">
        <v>601</v>
      </c>
      <c r="F1448" s="52" t="s">
        <v>581</v>
      </c>
      <c r="G1448" s="55" t="s">
        <v>278</v>
      </c>
      <c r="H1448" s="55">
        <v>11.131209999999999</v>
      </c>
      <c r="I1448" s="55">
        <v>0.924369</v>
      </c>
      <c r="J1448" s="55">
        <v>4.8459000000000003</v>
      </c>
      <c r="K1448" s="55">
        <v>5.7033209999999999</v>
      </c>
      <c r="L1448" s="55">
        <v>7.3985469999999998</v>
      </c>
      <c r="M1448" s="55">
        <v>13.31277</v>
      </c>
      <c r="N1448" s="55">
        <v>17.155709999999999</v>
      </c>
    </row>
    <row r="1449" spans="1:14" hidden="1" x14ac:dyDescent="0.35">
      <c r="A1449" s="52" t="s">
        <v>242</v>
      </c>
      <c r="B1449" s="52" t="s">
        <v>37</v>
      </c>
      <c r="C1449" s="52" t="s">
        <v>79</v>
      </c>
      <c r="D1449" s="52" t="s">
        <v>79</v>
      </c>
      <c r="E1449" s="52" t="s">
        <v>601</v>
      </c>
      <c r="F1449" s="52" t="s">
        <v>581</v>
      </c>
      <c r="G1449" s="55" t="s">
        <v>279</v>
      </c>
      <c r="H1449" s="55">
        <v>80.965270000000004</v>
      </c>
      <c r="I1449" s="55">
        <v>39.440330000000003</v>
      </c>
      <c r="J1449" s="55">
        <v>32.075049999999997</v>
      </c>
      <c r="K1449" s="55">
        <v>30.19875</v>
      </c>
      <c r="L1449" s="55">
        <v>25.313510000000001</v>
      </c>
      <c r="M1449" s="55">
        <v>28.28191</v>
      </c>
      <c r="N1449" s="55">
        <v>34.262540000000001</v>
      </c>
    </row>
    <row r="1450" spans="1:14" hidden="1" x14ac:dyDescent="0.35">
      <c r="A1450" s="52" t="s">
        <v>242</v>
      </c>
      <c r="B1450" s="52" t="s">
        <v>37</v>
      </c>
      <c r="C1450" s="52" t="s">
        <v>79</v>
      </c>
      <c r="D1450" s="52" t="s">
        <v>79</v>
      </c>
      <c r="E1450" s="52" t="s">
        <v>601</v>
      </c>
      <c r="F1450" s="52" t="s">
        <v>26</v>
      </c>
      <c r="G1450" s="55" t="s">
        <v>275</v>
      </c>
      <c r="H1450" s="55">
        <v>6.1857259999999998</v>
      </c>
      <c r="I1450" s="55">
        <v>6.9509509999999999</v>
      </c>
      <c r="J1450" s="55">
        <v>7.7597319999999996</v>
      </c>
      <c r="K1450" s="55">
        <v>6.3026390000000001</v>
      </c>
      <c r="L1450" s="55">
        <v>5.5542699999999998</v>
      </c>
      <c r="M1450" s="55">
        <v>4.2111900000000002</v>
      </c>
      <c r="N1450" s="55">
        <v>5.510389</v>
      </c>
    </row>
    <row r="1451" spans="1:14" hidden="1" x14ac:dyDescent="0.35">
      <c r="A1451" s="52" t="s">
        <v>242</v>
      </c>
      <c r="B1451" s="52" t="s">
        <v>37</v>
      </c>
      <c r="C1451" s="52" t="s">
        <v>79</v>
      </c>
      <c r="D1451" s="52" t="s">
        <v>79</v>
      </c>
      <c r="E1451" s="52" t="s">
        <v>601</v>
      </c>
      <c r="F1451" s="52" t="s">
        <v>26</v>
      </c>
      <c r="G1451" s="55" t="s">
        <v>276</v>
      </c>
      <c r="H1451" s="55">
        <v>1.644306</v>
      </c>
      <c r="I1451" s="55">
        <v>1.847723</v>
      </c>
      <c r="J1451" s="55">
        <v>2.0627140000000002</v>
      </c>
      <c r="K1451" s="55">
        <v>1.675386</v>
      </c>
      <c r="L1451" s="55">
        <v>1.476451</v>
      </c>
      <c r="M1451" s="55">
        <v>1.119429</v>
      </c>
      <c r="N1451" s="55">
        <v>1.4647889999999999</v>
      </c>
    </row>
    <row r="1452" spans="1:14" hidden="1" x14ac:dyDescent="0.35">
      <c r="A1452" s="52" t="s">
        <v>242</v>
      </c>
      <c r="B1452" s="52" t="s">
        <v>37</v>
      </c>
      <c r="C1452" s="52" t="s">
        <v>79</v>
      </c>
      <c r="D1452" s="52" t="s">
        <v>79</v>
      </c>
      <c r="E1452" s="52" t="s">
        <v>601</v>
      </c>
      <c r="F1452" s="52" t="s">
        <v>26</v>
      </c>
      <c r="G1452" s="55" t="s">
        <v>279</v>
      </c>
      <c r="H1452" s="55">
        <v>25.018609999999999</v>
      </c>
      <c r="I1452" s="55">
        <v>31.67257</v>
      </c>
      <c r="J1452" s="55">
        <v>26.56287</v>
      </c>
      <c r="K1452" s="55">
        <v>25.829699999999999</v>
      </c>
      <c r="L1452" s="55">
        <v>22.054480000000002</v>
      </c>
      <c r="M1452" s="55">
        <v>24.57741</v>
      </c>
      <c r="N1452" s="55">
        <v>31.382280000000002</v>
      </c>
    </row>
    <row r="1453" spans="1:14" hidden="1" x14ac:dyDescent="0.35">
      <c r="A1453" s="52" t="s">
        <v>242</v>
      </c>
      <c r="B1453" s="52" t="s">
        <v>37</v>
      </c>
      <c r="C1453" s="52" t="s">
        <v>79</v>
      </c>
      <c r="D1453" s="52" t="s">
        <v>79</v>
      </c>
      <c r="E1453" s="52" t="s">
        <v>584</v>
      </c>
      <c r="F1453" s="52" t="s">
        <v>581</v>
      </c>
      <c r="G1453" s="55" t="s">
        <v>275</v>
      </c>
      <c r="H1453" s="55">
        <v>-0.61812909999999999</v>
      </c>
      <c r="I1453" s="55">
        <v>-2.5134840000000001</v>
      </c>
      <c r="J1453" s="55">
        <v>-1.4835799999999999</v>
      </c>
      <c r="K1453" s="55">
        <v>-0.77313379999999998</v>
      </c>
      <c r="L1453" s="55">
        <v>1.1763349999999999</v>
      </c>
      <c r="M1453" s="55">
        <v>1.510567</v>
      </c>
      <c r="N1453" s="55">
        <v>1.776343</v>
      </c>
    </row>
    <row r="1454" spans="1:14" hidden="1" x14ac:dyDescent="0.35">
      <c r="A1454" s="52" t="s">
        <v>242</v>
      </c>
      <c r="B1454" s="52" t="s">
        <v>37</v>
      </c>
      <c r="C1454" s="52" t="s">
        <v>79</v>
      </c>
      <c r="D1454" s="52" t="s">
        <v>79</v>
      </c>
      <c r="E1454" s="52" t="s">
        <v>584</v>
      </c>
      <c r="F1454" s="52" t="s">
        <v>581</v>
      </c>
      <c r="G1454" s="55" t="s">
        <v>276</v>
      </c>
      <c r="H1454" s="55">
        <v>-0.17863599999999999</v>
      </c>
      <c r="I1454" s="55">
        <v>-1.9397279999999999</v>
      </c>
      <c r="J1454" s="55">
        <v>-1.008095</v>
      </c>
      <c r="K1454" s="55">
        <v>-6.8533200000000002E-2</v>
      </c>
      <c r="L1454" s="55">
        <v>-0.94846030000000003</v>
      </c>
      <c r="M1454" s="55">
        <v>-0.47083550000000002</v>
      </c>
      <c r="N1454" s="55">
        <v>-0.18988840000000001</v>
      </c>
    </row>
    <row r="1455" spans="1:14" hidden="1" x14ac:dyDescent="0.35">
      <c r="A1455" s="52" t="s">
        <v>242</v>
      </c>
      <c r="B1455" s="52" t="s">
        <v>37</v>
      </c>
      <c r="C1455" s="52" t="s">
        <v>79</v>
      </c>
      <c r="D1455" s="52" t="s">
        <v>79</v>
      </c>
      <c r="E1455" s="52" t="s">
        <v>584</v>
      </c>
      <c r="F1455" s="52" t="s">
        <v>581</v>
      </c>
      <c r="G1455" s="55" t="s">
        <v>277</v>
      </c>
      <c r="H1455" s="55">
        <v>12.606920000000001</v>
      </c>
      <c r="I1455" s="55">
        <v>8.8479139999999994</v>
      </c>
      <c r="J1455" s="55">
        <v>6.9363780000000004</v>
      </c>
      <c r="K1455" s="55">
        <v>5.060772</v>
      </c>
      <c r="L1455" s="55">
        <v>3.7788089999999999</v>
      </c>
      <c r="M1455" s="55">
        <v>2.8812199999999999</v>
      </c>
      <c r="N1455" s="55">
        <v>2.2667039999999998</v>
      </c>
    </row>
    <row r="1456" spans="1:14" hidden="1" x14ac:dyDescent="0.35">
      <c r="A1456" s="52" t="s">
        <v>242</v>
      </c>
      <c r="B1456" s="52" t="s">
        <v>37</v>
      </c>
      <c r="C1456" s="52" t="s">
        <v>79</v>
      </c>
      <c r="D1456" s="52" t="s">
        <v>79</v>
      </c>
      <c r="E1456" s="52" t="s">
        <v>584</v>
      </c>
      <c r="F1456" s="52" t="s">
        <v>581</v>
      </c>
      <c r="G1456" s="55" t="s">
        <v>279</v>
      </c>
      <c r="H1456" s="55">
        <v>5.1011030000000002</v>
      </c>
      <c r="I1456" s="55">
        <v>3.8022559999999999</v>
      </c>
      <c r="J1456" s="55">
        <v>3.702153</v>
      </c>
      <c r="K1456" s="55">
        <v>3.9700139999999999</v>
      </c>
      <c r="L1456" s="55">
        <v>4.162007</v>
      </c>
      <c r="M1456" s="55">
        <v>4.0477959999999999</v>
      </c>
      <c r="N1456" s="55">
        <v>3.954075</v>
      </c>
    </row>
    <row r="1457" spans="1:14" hidden="1" x14ac:dyDescent="0.35">
      <c r="A1457" s="52" t="s">
        <v>242</v>
      </c>
      <c r="B1457" s="52" t="s">
        <v>37</v>
      </c>
      <c r="C1457" s="52" t="s">
        <v>79</v>
      </c>
      <c r="D1457" s="52" t="s">
        <v>79</v>
      </c>
      <c r="E1457" s="52" t="s">
        <v>584</v>
      </c>
      <c r="F1457" s="52" t="s">
        <v>26</v>
      </c>
      <c r="G1457" s="55" t="s">
        <v>275</v>
      </c>
      <c r="H1457" s="55">
        <v>7.3597919999999997</v>
      </c>
      <c r="I1457" s="55">
        <v>3.8600059999999998</v>
      </c>
      <c r="J1457" s="55">
        <v>3.7702520000000002</v>
      </c>
      <c r="K1457" s="55">
        <v>1.7809870000000001</v>
      </c>
      <c r="L1457" s="55">
        <v>0.76255660000000003</v>
      </c>
      <c r="M1457" s="55">
        <v>0.52404459999999997</v>
      </c>
      <c r="N1457" s="55">
        <v>0.35779499999999997</v>
      </c>
    </row>
    <row r="1458" spans="1:14" hidden="1" x14ac:dyDescent="0.35">
      <c r="A1458" s="52" t="s">
        <v>242</v>
      </c>
      <c r="B1458" s="52" t="s">
        <v>37</v>
      </c>
      <c r="C1458" s="52" t="s">
        <v>79</v>
      </c>
      <c r="D1458" s="52" t="s">
        <v>79</v>
      </c>
      <c r="E1458" s="52" t="s">
        <v>584</v>
      </c>
      <c r="F1458" s="52" t="s">
        <v>26</v>
      </c>
      <c r="G1458" s="55" t="s">
        <v>276</v>
      </c>
      <c r="H1458" s="55">
        <v>1.9563999999999999</v>
      </c>
      <c r="I1458" s="55">
        <v>1.0260769999999999</v>
      </c>
      <c r="J1458" s="55">
        <v>1.002219</v>
      </c>
      <c r="K1458" s="55">
        <v>0.47342669999999998</v>
      </c>
      <c r="L1458" s="55">
        <v>0.202705</v>
      </c>
      <c r="M1458" s="55">
        <v>0.1393028</v>
      </c>
      <c r="N1458" s="55">
        <v>9.5110200000000006E-2</v>
      </c>
    </row>
    <row r="1459" spans="1:14" hidden="1" x14ac:dyDescent="0.35">
      <c r="A1459" s="52" t="s">
        <v>242</v>
      </c>
      <c r="B1459" s="52" t="s">
        <v>37</v>
      </c>
      <c r="C1459" s="52" t="s">
        <v>79</v>
      </c>
      <c r="D1459" s="52" t="s">
        <v>79</v>
      </c>
      <c r="E1459" s="52" t="s">
        <v>584</v>
      </c>
      <c r="F1459" s="52" t="s">
        <v>26</v>
      </c>
      <c r="G1459" s="55" t="s">
        <v>277</v>
      </c>
      <c r="H1459" s="55"/>
      <c r="I1459" s="55">
        <v>0</v>
      </c>
      <c r="J1459" s="55"/>
      <c r="K1459" s="55"/>
      <c r="L1459" s="55"/>
      <c r="M1459" s="55"/>
      <c r="N1459" s="55"/>
    </row>
    <row r="1460" spans="1:14" hidden="1" x14ac:dyDescent="0.35">
      <c r="A1460" s="52" t="s">
        <v>242</v>
      </c>
      <c r="B1460" s="52" t="s">
        <v>37</v>
      </c>
      <c r="C1460" s="52" t="s">
        <v>79</v>
      </c>
      <c r="D1460" s="52" t="s">
        <v>79</v>
      </c>
      <c r="E1460" s="52" t="s">
        <v>584</v>
      </c>
      <c r="F1460" s="52" t="s">
        <v>26</v>
      </c>
      <c r="G1460" s="55" t="s">
        <v>279</v>
      </c>
      <c r="H1460" s="55">
        <v>50.407670000000003</v>
      </c>
      <c r="I1460" s="55">
        <v>29.720020000000002</v>
      </c>
      <c r="J1460" s="55">
        <v>20.026430000000001</v>
      </c>
      <c r="K1460" s="55">
        <v>14.810449999999999</v>
      </c>
      <c r="L1460" s="55">
        <v>10.768420000000001</v>
      </c>
      <c r="M1460" s="55">
        <v>7.3995629999999997</v>
      </c>
      <c r="N1460" s="55">
        <v>5.0842710000000002</v>
      </c>
    </row>
    <row r="1461" spans="1:14" hidden="1" x14ac:dyDescent="0.35">
      <c r="A1461" s="52" t="s">
        <v>242</v>
      </c>
      <c r="B1461" s="52" t="s">
        <v>37</v>
      </c>
      <c r="C1461" s="52" t="s">
        <v>79</v>
      </c>
      <c r="D1461" s="52" t="s">
        <v>79</v>
      </c>
      <c r="E1461" s="52" t="s">
        <v>616</v>
      </c>
      <c r="F1461" s="52" t="s">
        <v>581</v>
      </c>
      <c r="G1461" s="55" t="s">
        <v>275</v>
      </c>
      <c r="H1461" s="55">
        <v>0.93393599999999999</v>
      </c>
      <c r="I1461" s="55">
        <v>0.98180310000000004</v>
      </c>
      <c r="J1461" s="55">
        <v>0.5083531</v>
      </c>
      <c r="K1461" s="55">
        <v>0.20599039999999999</v>
      </c>
      <c r="L1461" s="55">
        <v>0.1901496</v>
      </c>
      <c r="M1461" s="55">
        <v>0.15916369999999999</v>
      </c>
      <c r="N1461" s="55">
        <v>0.14351939999999999</v>
      </c>
    </row>
    <row r="1462" spans="1:14" hidden="1" x14ac:dyDescent="0.35">
      <c r="A1462" s="52" t="s">
        <v>242</v>
      </c>
      <c r="B1462" s="52" t="s">
        <v>37</v>
      </c>
      <c r="C1462" s="52" t="s">
        <v>79</v>
      </c>
      <c r="D1462" s="52" t="s">
        <v>79</v>
      </c>
      <c r="E1462" s="52" t="s">
        <v>616</v>
      </c>
      <c r="F1462" s="52" t="s">
        <v>581</v>
      </c>
      <c r="G1462" s="55" t="s">
        <v>276</v>
      </c>
      <c r="H1462" s="55">
        <v>-5.2919010000000002E-2</v>
      </c>
      <c r="I1462" s="55">
        <v>-0.65379600000000004</v>
      </c>
      <c r="J1462" s="55">
        <v>-0.2088496</v>
      </c>
      <c r="K1462" s="55">
        <v>5.9714200000000002E-2</v>
      </c>
      <c r="L1462" s="55">
        <v>5.5122499999999998E-2</v>
      </c>
      <c r="M1462" s="55">
        <v>4.6140500000000001E-2</v>
      </c>
      <c r="N1462" s="55">
        <v>4.1605200000000002E-2</v>
      </c>
    </row>
    <row r="1463" spans="1:14" hidden="1" x14ac:dyDescent="0.35">
      <c r="A1463" s="52" t="s">
        <v>242</v>
      </c>
      <c r="B1463" s="52" t="s">
        <v>37</v>
      </c>
      <c r="C1463" s="52" t="s">
        <v>79</v>
      </c>
      <c r="D1463" s="52" t="s">
        <v>79</v>
      </c>
      <c r="E1463" s="52" t="s">
        <v>616</v>
      </c>
      <c r="F1463" s="52" t="s">
        <v>581</v>
      </c>
      <c r="G1463" s="55" t="s">
        <v>277</v>
      </c>
      <c r="H1463" s="55"/>
      <c r="I1463" s="55"/>
      <c r="J1463" s="55"/>
      <c r="K1463" s="55"/>
      <c r="L1463" s="55">
        <v>0</v>
      </c>
      <c r="M1463" s="55">
        <v>0</v>
      </c>
      <c r="N1463" s="55">
        <v>0</v>
      </c>
    </row>
    <row r="1464" spans="1:14" hidden="1" x14ac:dyDescent="0.35">
      <c r="A1464" s="52" t="s">
        <v>242</v>
      </c>
      <c r="B1464" s="52" t="s">
        <v>37</v>
      </c>
      <c r="C1464" s="52" t="s">
        <v>79</v>
      </c>
      <c r="D1464" s="52" t="s">
        <v>79</v>
      </c>
      <c r="E1464" s="52" t="s">
        <v>616</v>
      </c>
      <c r="F1464" s="52" t="s">
        <v>581</v>
      </c>
      <c r="G1464" s="55" t="s">
        <v>279</v>
      </c>
      <c r="H1464" s="55">
        <v>0.32441399999999998</v>
      </c>
      <c r="I1464" s="55">
        <v>0.23042960000000001</v>
      </c>
      <c r="J1464" s="55">
        <v>0.19853109999999999</v>
      </c>
      <c r="K1464" s="55">
        <v>0.18433099999999999</v>
      </c>
      <c r="L1464" s="55">
        <v>0.16135820000000001</v>
      </c>
      <c r="M1464" s="55">
        <v>0.16304660000000001</v>
      </c>
      <c r="N1464" s="55">
        <v>0.14669180000000001</v>
      </c>
    </row>
    <row r="1465" spans="1:14" hidden="1" x14ac:dyDescent="0.35">
      <c r="A1465" s="52" t="s">
        <v>242</v>
      </c>
      <c r="B1465" s="52" t="s">
        <v>37</v>
      </c>
      <c r="C1465" s="52" t="s">
        <v>79</v>
      </c>
      <c r="D1465" s="52" t="s">
        <v>79</v>
      </c>
      <c r="E1465" s="52" t="s">
        <v>616</v>
      </c>
      <c r="F1465" s="52" t="s">
        <v>26</v>
      </c>
      <c r="G1465" s="55" t="s">
        <v>275</v>
      </c>
      <c r="H1465" s="55">
        <v>-1.97E-3</v>
      </c>
      <c r="I1465" s="55">
        <v>-6.714299E-3</v>
      </c>
      <c r="J1465" s="55">
        <v>5.5405999999999997E-3</v>
      </c>
      <c r="K1465" s="55">
        <v>-8.8330009999999998E-4</v>
      </c>
      <c r="L1465" s="55">
        <v>7.0839929999999996E-4</v>
      </c>
      <c r="M1465" s="55">
        <v>-1.0630300000000001E-2</v>
      </c>
      <c r="N1465" s="55">
        <v>-9.6120000000000008E-3</v>
      </c>
    </row>
    <row r="1466" spans="1:14" hidden="1" x14ac:dyDescent="0.35">
      <c r="A1466" s="52" t="s">
        <v>242</v>
      </c>
      <c r="B1466" s="52" t="s">
        <v>37</v>
      </c>
      <c r="C1466" s="52" t="s">
        <v>79</v>
      </c>
      <c r="D1466" s="52" t="s">
        <v>79</v>
      </c>
      <c r="E1466" s="52" t="s">
        <v>616</v>
      </c>
      <c r="F1466" s="52" t="s">
        <v>26</v>
      </c>
      <c r="G1466" s="55" t="s">
        <v>276</v>
      </c>
      <c r="H1466" s="55">
        <v>-5.71E-4</v>
      </c>
      <c r="I1466" s="55">
        <v>-1.946E-3</v>
      </c>
      <c r="J1466" s="55">
        <v>1.6061000000000001E-3</v>
      </c>
      <c r="K1466" s="55">
        <v>-2.5610010000000002E-4</v>
      </c>
      <c r="L1466" s="55">
        <v>2.0499989999999999E-4</v>
      </c>
      <c r="M1466" s="55">
        <v>-3.0815999999999999E-3</v>
      </c>
      <c r="N1466" s="55">
        <v>-2.7864000000000001E-3</v>
      </c>
    </row>
    <row r="1467" spans="1:14" hidden="1" x14ac:dyDescent="0.35">
      <c r="A1467" s="52" t="s">
        <v>242</v>
      </c>
      <c r="B1467" s="52" t="s">
        <v>37</v>
      </c>
      <c r="C1467" s="52" t="s">
        <v>79</v>
      </c>
      <c r="D1467" s="52" t="s">
        <v>79</v>
      </c>
      <c r="E1467" s="52" t="s">
        <v>616</v>
      </c>
      <c r="F1467" s="52" t="s">
        <v>26</v>
      </c>
      <c r="G1467" s="55" t="s">
        <v>279</v>
      </c>
      <c r="H1467" s="55">
        <v>0.21982499999999999</v>
      </c>
      <c r="I1467" s="55">
        <v>0.22675300000000001</v>
      </c>
      <c r="J1467" s="55">
        <v>0.19732350000000001</v>
      </c>
      <c r="K1467" s="55">
        <v>0.1855967</v>
      </c>
      <c r="L1467" s="55">
        <v>0.16558719999999999</v>
      </c>
      <c r="M1467" s="55">
        <v>0.16429540000000001</v>
      </c>
      <c r="N1467" s="55">
        <v>0.1477608</v>
      </c>
    </row>
    <row r="1468" spans="1:14" hidden="1" x14ac:dyDescent="0.35">
      <c r="A1468" s="52" t="s">
        <v>242</v>
      </c>
      <c r="B1468" s="52" t="s">
        <v>37</v>
      </c>
      <c r="C1468" s="52" t="s">
        <v>79</v>
      </c>
      <c r="D1468" s="52" t="s">
        <v>79</v>
      </c>
      <c r="E1468" s="52" t="s">
        <v>617</v>
      </c>
      <c r="F1468" s="52" t="s">
        <v>581</v>
      </c>
      <c r="G1468" s="55" t="s">
        <v>275</v>
      </c>
      <c r="H1468" s="55"/>
      <c r="I1468" s="55"/>
      <c r="J1468" s="55"/>
      <c r="K1468" s="55">
        <v>0</v>
      </c>
      <c r="L1468" s="55">
        <v>-1.8141399999999998E-2</v>
      </c>
      <c r="M1468" s="55">
        <v>-4.0746499999999998E-2</v>
      </c>
      <c r="N1468" s="55">
        <v>-2.4214099999999999E-2</v>
      </c>
    </row>
    <row r="1469" spans="1:14" hidden="1" x14ac:dyDescent="0.35">
      <c r="A1469" s="52" t="s">
        <v>242</v>
      </c>
      <c r="B1469" s="52" t="s">
        <v>37</v>
      </c>
      <c r="C1469" s="52" t="s">
        <v>79</v>
      </c>
      <c r="D1469" s="52" t="s">
        <v>79</v>
      </c>
      <c r="E1469" s="52" t="s">
        <v>617</v>
      </c>
      <c r="F1469" s="52" t="s">
        <v>581</v>
      </c>
      <c r="G1469" s="55" t="s">
        <v>276</v>
      </c>
      <c r="H1469" s="55"/>
      <c r="I1469" s="55"/>
      <c r="J1469" s="55"/>
      <c r="K1469" s="55">
        <v>0</v>
      </c>
      <c r="L1469" s="55">
        <v>-5.2589999999999998E-3</v>
      </c>
      <c r="M1469" s="55">
        <v>-1.18125E-2</v>
      </c>
      <c r="N1469" s="55">
        <v>-7.0191999999999997E-3</v>
      </c>
    </row>
    <row r="1470" spans="1:14" hidden="1" x14ac:dyDescent="0.35">
      <c r="A1470" s="52" t="s">
        <v>242</v>
      </c>
      <c r="B1470" s="52" t="s">
        <v>37</v>
      </c>
      <c r="C1470" s="52" t="s">
        <v>79</v>
      </c>
      <c r="D1470" s="52" t="s">
        <v>79</v>
      </c>
      <c r="E1470" s="52" t="s">
        <v>617</v>
      </c>
      <c r="F1470" s="52" t="s">
        <v>581</v>
      </c>
      <c r="G1470" s="55" t="s">
        <v>279</v>
      </c>
      <c r="H1470" s="55"/>
      <c r="I1470" s="55"/>
      <c r="J1470" s="55"/>
      <c r="K1470" s="55">
        <v>0</v>
      </c>
      <c r="L1470" s="55">
        <v>0.1404784</v>
      </c>
      <c r="M1470" s="55">
        <v>0.16341910000000001</v>
      </c>
      <c r="N1470" s="55">
        <v>9.7694799999999998E-2</v>
      </c>
    </row>
    <row r="1471" spans="1:14" hidden="1" x14ac:dyDescent="0.35">
      <c r="A1471" s="52" t="s">
        <v>242</v>
      </c>
      <c r="B1471" s="52" t="s">
        <v>37</v>
      </c>
      <c r="C1471" s="52" t="s">
        <v>79</v>
      </c>
      <c r="D1471" s="52" t="s">
        <v>79</v>
      </c>
      <c r="E1471" s="52" t="s">
        <v>617</v>
      </c>
      <c r="F1471" s="52" t="s">
        <v>26</v>
      </c>
      <c r="G1471" s="55" t="s">
        <v>275</v>
      </c>
      <c r="H1471" s="55"/>
      <c r="I1471" s="55"/>
      <c r="J1471" s="55"/>
      <c r="K1471" s="55">
        <v>0</v>
      </c>
      <c r="L1471" s="55">
        <v>-5.7234360000000004</v>
      </c>
      <c r="M1471" s="55">
        <v>-0.17165900000000001</v>
      </c>
      <c r="N1471" s="55">
        <v>-5.050959E-2</v>
      </c>
    </row>
    <row r="1472" spans="1:14" hidden="1" x14ac:dyDescent="0.35">
      <c r="A1472" s="52" t="s">
        <v>242</v>
      </c>
      <c r="B1472" s="52" t="s">
        <v>37</v>
      </c>
      <c r="C1472" s="52" t="s">
        <v>79</v>
      </c>
      <c r="D1472" s="52" t="s">
        <v>79</v>
      </c>
      <c r="E1472" s="52" t="s">
        <v>617</v>
      </c>
      <c r="F1472" s="52" t="s">
        <v>26</v>
      </c>
      <c r="G1472" s="55" t="s">
        <v>276</v>
      </c>
      <c r="H1472" s="55"/>
      <c r="I1472" s="55"/>
      <c r="J1472" s="55"/>
      <c r="K1472" s="55">
        <v>0</v>
      </c>
      <c r="L1472" s="55">
        <v>-0.4197379</v>
      </c>
      <c r="M1472" s="55">
        <v>-0.29764819999999997</v>
      </c>
      <c r="N1472" s="55">
        <v>-0.21295069999999999</v>
      </c>
    </row>
    <row r="1473" spans="1:14" hidden="1" x14ac:dyDescent="0.35">
      <c r="A1473" s="52" t="s">
        <v>242</v>
      </c>
      <c r="B1473" s="52" t="s">
        <v>37</v>
      </c>
      <c r="C1473" s="52" t="s">
        <v>79</v>
      </c>
      <c r="D1473" s="52" t="s">
        <v>79</v>
      </c>
      <c r="E1473" s="52" t="s">
        <v>617</v>
      </c>
      <c r="F1473" s="52" t="s">
        <v>26</v>
      </c>
      <c r="G1473" s="55" t="s">
        <v>277</v>
      </c>
      <c r="H1473" s="55"/>
      <c r="I1473" s="55"/>
      <c r="J1473" s="55"/>
      <c r="K1473" s="55">
        <v>0</v>
      </c>
      <c r="L1473" s="55">
        <v>0.67690360000000005</v>
      </c>
      <c r="M1473" s="55">
        <v>0</v>
      </c>
      <c r="N1473" s="55">
        <v>0</v>
      </c>
    </row>
    <row r="1474" spans="1:14" hidden="1" x14ac:dyDescent="0.35">
      <c r="A1474" s="52" t="s">
        <v>242</v>
      </c>
      <c r="B1474" s="52" t="s">
        <v>37</v>
      </c>
      <c r="C1474" s="52" t="s">
        <v>79</v>
      </c>
      <c r="D1474" s="52" t="s">
        <v>79</v>
      </c>
      <c r="E1474" s="52" t="s">
        <v>617</v>
      </c>
      <c r="F1474" s="52" t="s">
        <v>26</v>
      </c>
      <c r="G1474" s="55" t="s">
        <v>278</v>
      </c>
      <c r="H1474" s="55"/>
      <c r="I1474" s="55"/>
      <c r="J1474" s="55"/>
      <c r="K1474" s="55">
        <v>0</v>
      </c>
      <c r="L1474" s="55">
        <v>4.6674910000000001</v>
      </c>
      <c r="M1474" s="55">
        <v>0</v>
      </c>
      <c r="N1474" s="55"/>
    </row>
    <row r="1475" spans="1:14" hidden="1" x14ac:dyDescent="0.35">
      <c r="A1475" s="52" t="s">
        <v>242</v>
      </c>
      <c r="B1475" s="52" t="s">
        <v>37</v>
      </c>
      <c r="C1475" s="52" t="s">
        <v>79</v>
      </c>
      <c r="D1475" s="52" t="s">
        <v>79</v>
      </c>
      <c r="E1475" s="52" t="s">
        <v>617</v>
      </c>
      <c r="F1475" s="52" t="s">
        <v>26</v>
      </c>
      <c r="G1475" s="55" t="s">
        <v>279</v>
      </c>
      <c r="H1475" s="55"/>
      <c r="I1475" s="55"/>
      <c r="J1475" s="55"/>
      <c r="K1475" s="55">
        <v>0</v>
      </c>
      <c r="L1475" s="55">
        <v>2.5543170000000002</v>
      </c>
      <c r="M1475" s="55">
        <v>2.115129</v>
      </c>
      <c r="N1475" s="55">
        <v>1.2464999999999999</v>
      </c>
    </row>
    <row r="1476" spans="1:14" hidden="1" x14ac:dyDescent="0.35">
      <c r="A1476" s="52" t="s">
        <v>242</v>
      </c>
      <c r="B1476" s="52" t="s">
        <v>37</v>
      </c>
      <c r="C1476" s="52" t="s">
        <v>79</v>
      </c>
      <c r="D1476" s="52" t="s">
        <v>79</v>
      </c>
      <c r="E1476" s="52" t="s">
        <v>600</v>
      </c>
      <c r="F1476" s="52" t="s">
        <v>581</v>
      </c>
      <c r="G1476" s="55" t="s">
        <v>275</v>
      </c>
      <c r="H1476" s="55"/>
      <c r="I1476" s="55"/>
      <c r="J1476" s="55"/>
      <c r="K1476" s="55">
        <v>0</v>
      </c>
      <c r="L1476" s="55">
        <v>0</v>
      </c>
      <c r="M1476" s="55">
        <v>0</v>
      </c>
      <c r="N1476" s="55">
        <v>0</v>
      </c>
    </row>
    <row r="1477" spans="1:14" hidden="1" x14ac:dyDescent="0.35">
      <c r="A1477" s="52" t="s">
        <v>242</v>
      </c>
      <c r="B1477" s="52" t="s">
        <v>37</v>
      </c>
      <c r="C1477" s="52" t="s">
        <v>79</v>
      </c>
      <c r="D1477" s="52" t="s">
        <v>79</v>
      </c>
      <c r="E1477" s="52" t="s">
        <v>600</v>
      </c>
      <c r="F1477" s="52" t="s">
        <v>581</v>
      </c>
      <c r="G1477" s="55" t="s">
        <v>276</v>
      </c>
      <c r="H1477" s="55"/>
      <c r="I1477" s="55"/>
      <c r="J1477" s="55"/>
      <c r="K1477" s="55">
        <v>0</v>
      </c>
      <c r="L1477" s="55">
        <v>0</v>
      </c>
      <c r="M1477" s="55">
        <v>0</v>
      </c>
      <c r="N1477" s="55">
        <v>0</v>
      </c>
    </row>
    <row r="1478" spans="1:14" hidden="1" x14ac:dyDescent="0.35">
      <c r="A1478" s="52" t="s">
        <v>242</v>
      </c>
      <c r="B1478" s="52" t="s">
        <v>37</v>
      </c>
      <c r="C1478" s="52" t="s">
        <v>79</v>
      </c>
      <c r="D1478" s="52" t="s">
        <v>79</v>
      </c>
      <c r="E1478" s="52" t="s">
        <v>600</v>
      </c>
      <c r="F1478" s="52" t="s">
        <v>581</v>
      </c>
      <c r="G1478" s="55" t="s">
        <v>277</v>
      </c>
      <c r="H1478" s="55"/>
      <c r="I1478" s="55"/>
      <c r="J1478" s="55"/>
      <c r="K1478" s="55">
        <v>0</v>
      </c>
      <c r="L1478" s="55">
        <v>0</v>
      </c>
      <c r="M1478" s="55">
        <v>0</v>
      </c>
      <c r="N1478" s="55">
        <v>0</v>
      </c>
    </row>
    <row r="1479" spans="1:14" hidden="1" x14ac:dyDescent="0.35">
      <c r="A1479" s="52" t="s">
        <v>242</v>
      </c>
      <c r="B1479" s="52" t="s">
        <v>37</v>
      </c>
      <c r="C1479" s="52" t="s">
        <v>79</v>
      </c>
      <c r="D1479" s="52" t="s">
        <v>79</v>
      </c>
      <c r="E1479" s="52" t="s">
        <v>600</v>
      </c>
      <c r="F1479" s="52" t="s">
        <v>581</v>
      </c>
      <c r="G1479" s="55" t="s">
        <v>279</v>
      </c>
      <c r="H1479" s="55"/>
      <c r="I1479" s="55"/>
      <c r="J1479" s="55"/>
      <c r="K1479" s="55">
        <v>0</v>
      </c>
      <c r="L1479" s="55">
        <v>0</v>
      </c>
      <c r="M1479" s="55">
        <v>0</v>
      </c>
      <c r="N1479" s="55">
        <v>0</v>
      </c>
    </row>
    <row r="1480" spans="1:14" hidden="1" x14ac:dyDescent="0.35">
      <c r="A1480" s="52" t="s">
        <v>242</v>
      </c>
      <c r="B1480" s="52" t="s">
        <v>37</v>
      </c>
      <c r="C1480" s="52" t="s">
        <v>79</v>
      </c>
      <c r="D1480" s="52" t="s">
        <v>79</v>
      </c>
      <c r="E1480" s="52" t="s">
        <v>600</v>
      </c>
      <c r="F1480" s="52" t="s">
        <v>26</v>
      </c>
      <c r="G1480" s="55" t="s">
        <v>275</v>
      </c>
      <c r="H1480" s="55"/>
      <c r="I1480" s="55"/>
      <c r="J1480" s="55"/>
      <c r="K1480" s="55">
        <v>0</v>
      </c>
      <c r="L1480" s="55">
        <v>0</v>
      </c>
      <c r="M1480" s="55">
        <v>0</v>
      </c>
      <c r="N1480" s="55">
        <v>0</v>
      </c>
    </row>
    <row r="1481" spans="1:14" hidden="1" x14ac:dyDescent="0.35">
      <c r="A1481" s="52" t="s">
        <v>242</v>
      </c>
      <c r="B1481" s="52" t="s">
        <v>37</v>
      </c>
      <c r="C1481" s="52" t="s">
        <v>79</v>
      </c>
      <c r="D1481" s="52" t="s">
        <v>79</v>
      </c>
      <c r="E1481" s="52" t="s">
        <v>600</v>
      </c>
      <c r="F1481" s="52" t="s">
        <v>26</v>
      </c>
      <c r="G1481" s="55" t="s">
        <v>276</v>
      </c>
      <c r="H1481" s="55"/>
      <c r="I1481" s="55"/>
      <c r="J1481" s="55"/>
      <c r="K1481" s="55">
        <v>0</v>
      </c>
      <c r="L1481" s="55">
        <v>0</v>
      </c>
      <c r="M1481" s="55">
        <v>0</v>
      </c>
      <c r="N1481" s="55">
        <v>0</v>
      </c>
    </row>
    <row r="1482" spans="1:14" hidden="1" x14ac:dyDescent="0.35">
      <c r="A1482" s="52" t="s">
        <v>242</v>
      </c>
      <c r="B1482" s="52" t="s">
        <v>37</v>
      </c>
      <c r="C1482" s="52" t="s">
        <v>79</v>
      </c>
      <c r="D1482" s="52" t="s">
        <v>79</v>
      </c>
      <c r="E1482" s="52" t="s">
        <v>600</v>
      </c>
      <c r="F1482" s="52" t="s">
        <v>26</v>
      </c>
      <c r="G1482" s="55" t="s">
        <v>279</v>
      </c>
      <c r="H1482" s="55"/>
      <c r="I1482" s="55"/>
      <c r="J1482" s="55"/>
      <c r="K1482" s="55">
        <v>0</v>
      </c>
      <c r="L1482" s="55">
        <v>0</v>
      </c>
      <c r="M1482" s="55">
        <v>0</v>
      </c>
      <c r="N1482" s="55">
        <v>0</v>
      </c>
    </row>
    <row r="1483" spans="1:14" hidden="1" x14ac:dyDescent="0.35">
      <c r="A1483" s="52" t="s">
        <v>242</v>
      </c>
      <c r="B1483" s="52" t="s">
        <v>37</v>
      </c>
      <c r="C1483" s="52" t="s">
        <v>51</v>
      </c>
      <c r="D1483" s="52" t="s">
        <v>51</v>
      </c>
      <c r="E1483" s="52" t="s">
        <v>602</v>
      </c>
      <c r="F1483" s="52" t="s">
        <v>581</v>
      </c>
      <c r="G1483" s="55" t="s">
        <v>275</v>
      </c>
      <c r="H1483" s="55">
        <v>273.33749999999998</v>
      </c>
      <c r="I1483" s="55">
        <v>91.683509999999998</v>
      </c>
      <c r="J1483" s="55">
        <v>89.928539999999998</v>
      </c>
      <c r="K1483" s="55">
        <v>76.446079999999995</v>
      </c>
      <c r="L1483" s="55">
        <v>69.980180000000004</v>
      </c>
      <c r="M1483" s="55">
        <v>48.884709999999998</v>
      </c>
      <c r="N1483" s="55">
        <v>42.329920000000001</v>
      </c>
    </row>
    <row r="1484" spans="1:14" hidden="1" x14ac:dyDescent="0.35">
      <c r="A1484" s="52" t="s">
        <v>242</v>
      </c>
      <c r="B1484" s="52" t="s">
        <v>37</v>
      </c>
      <c r="C1484" s="52" t="s">
        <v>51</v>
      </c>
      <c r="D1484" s="52" t="s">
        <v>51</v>
      </c>
      <c r="E1484" s="52" t="s">
        <v>602</v>
      </c>
      <c r="F1484" s="52" t="s">
        <v>581</v>
      </c>
      <c r="G1484" s="55" t="s">
        <v>276</v>
      </c>
      <c r="H1484" s="55">
        <v>35.735840000000003</v>
      </c>
      <c r="I1484" s="55">
        <v>13.710050000000001</v>
      </c>
      <c r="J1484" s="55">
        <v>6.3843120000000004</v>
      </c>
      <c r="K1484" s="55">
        <v>9.26633</v>
      </c>
      <c r="L1484" s="55">
        <v>8.2614370000000008</v>
      </c>
      <c r="M1484" s="55">
        <v>13.0105</v>
      </c>
      <c r="N1484" s="55">
        <v>13.42266</v>
      </c>
    </row>
    <row r="1485" spans="1:14" hidden="1" x14ac:dyDescent="0.35">
      <c r="A1485" s="52" t="s">
        <v>242</v>
      </c>
      <c r="B1485" s="52" t="s">
        <v>37</v>
      </c>
      <c r="C1485" s="52" t="s">
        <v>51</v>
      </c>
      <c r="D1485" s="52" t="s">
        <v>51</v>
      </c>
      <c r="E1485" s="52" t="s">
        <v>602</v>
      </c>
      <c r="F1485" s="52" t="s">
        <v>581</v>
      </c>
      <c r="G1485" s="55" t="s">
        <v>277</v>
      </c>
      <c r="H1485" s="55">
        <v>116.0603</v>
      </c>
      <c r="I1485" s="55">
        <v>25.715440000000001</v>
      </c>
      <c r="J1485" s="55">
        <v>21.091259999999998</v>
      </c>
      <c r="K1485" s="55">
        <v>16.69877</v>
      </c>
      <c r="L1485" s="55">
        <v>17.247119999999999</v>
      </c>
      <c r="M1485" s="55">
        <v>13.43266</v>
      </c>
      <c r="N1485" s="55">
        <v>22.107800000000001</v>
      </c>
    </row>
    <row r="1486" spans="1:14" hidden="1" x14ac:dyDescent="0.35">
      <c r="A1486" s="52" t="s">
        <v>242</v>
      </c>
      <c r="B1486" s="52" t="s">
        <v>37</v>
      </c>
      <c r="C1486" s="52" t="s">
        <v>51</v>
      </c>
      <c r="D1486" s="52" t="s">
        <v>51</v>
      </c>
      <c r="E1486" s="52" t="s">
        <v>602</v>
      </c>
      <c r="F1486" s="52" t="s">
        <v>581</v>
      </c>
      <c r="G1486" s="55" t="s">
        <v>278</v>
      </c>
      <c r="H1486" s="55">
        <v>4.4858880000000001</v>
      </c>
      <c r="I1486" s="55">
        <v>1.1171489999999999</v>
      </c>
      <c r="J1486" s="55">
        <v>2.6743929999999998</v>
      </c>
      <c r="K1486" s="55">
        <v>3.5560870000000002</v>
      </c>
      <c r="L1486" s="55">
        <v>7.133769</v>
      </c>
      <c r="M1486" s="55">
        <v>11.53903</v>
      </c>
      <c r="N1486" s="55">
        <v>11.754160000000001</v>
      </c>
    </row>
    <row r="1487" spans="1:14" hidden="1" x14ac:dyDescent="0.35">
      <c r="A1487" s="52" t="s">
        <v>242</v>
      </c>
      <c r="B1487" s="52" t="s">
        <v>37</v>
      </c>
      <c r="C1487" s="52" t="s">
        <v>51</v>
      </c>
      <c r="D1487" s="52" t="s">
        <v>51</v>
      </c>
      <c r="E1487" s="52" t="s">
        <v>602</v>
      </c>
      <c r="F1487" s="52" t="s">
        <v>581</v>
      </c>
      <c r="G1487" s="55" t="s">
        <v>279</v>
      </c>
      <c r="H1487" s="55">
        <v>177.25360000000001</v>
      </c>
      <c r="I1487" s="55">
        <v>133.8827</v>
      </c>
      <c r="J1487" s="55">
        <v>113.5412</v>
      </c>
      <c r="K1487" s="55">
        <v>105.13760000000001</v>
      </c>
      <c r="L1487" s="55">
        <v>90.515540000000001</v>
      </c>
      <c r="M1487" s="55">
        <v>97.471249999999998</v>
      </c>
      <c r="N1487" s="55">
        <v>97.575469999999996</v>
      </c>
    </row>
    <row r="1488" spans="1:14" hidden="1" x14ac:dyDescent="0.35">
      <c r="A1488" s="52" t="s">
        <v>242</v>
      </c>
      <c r="B1488" s="52" t="s">
        <v>37</v>
      </c>
      <c r="C1488" s="52" t="s">
        <v>51</v>
      </c>
      <c r="D1488" s="52" t="s">
        <v>51</v>
      </c>
      <c r="E1488" s="52" t="s">
        <v>602</v>
      </c>
      <c r="F1488" s="52" t="s">
        <v>26</v>
      </c>
      <c r="G1488" s="55" t="s">
        <v>275</v>
      </c>
      <c r="H1488" s="55">
        <v>0.81745999999999996</v>
      </c>
      <c r="I1488" s="55">
        <v>0.2860183</v>
      </c>
      <c r="J1488" s="55">
        <v>1.6705140000000001</v>
      </c>
      <c r="K1488" s="55">
        <v>0.82223950000000001</v>
      </c>
      <c r="L1488" s="55">
        <v>1.192582</v>
      </c>
      <c r="M1488" s="55">
        <v>-0.41428769999999998</v>
      </c>
      <c r="N1488" s="55">
        <v>-0.34711049999999999</v>
      </c>
    </row>
    <row r="1489" spans="1:14" hidden="1" x14ac:dyDescent="0.35">
      <c r="A1489" s="52" t="s">
        <v>242</v>
      </c>
      <c r="B1489" s="52" t="s">
        <v>37</v>
      </c>
      <c r="C1489" s="52" t="s">
        <v>51</v>
      </c>
      <c r="D1489" s="52" t="s">
        <v>51</v>
      </c>
      <c r="E1489" s="52" t="s">
        <v>602</v>
      </c>
      <c r="F1489" s="52" t="s">
        <v>26</v>
      </c>
      <c r="G1489" s="55" t="s">
        <v>276</v>
      </c>
      <c r="H1489" s="55">
        <v>0.21729599999999999</v>
      </c>
      <c r="I1489" s="55">
        <v>7.6027300000000006E-2</v>
      </c>
      <c r="J1489" s="55">
        <v>0.44406119999999999</v>
      </c>
      <c r="K1489" s="55">
        <v>0.21857260000000001</v>
      </c>
      <c r="L1489" s="55">
        <v>0.31701610000000002</v>
      </c>
      <c r="M1489" s="55">
        <v>-0.1101273</v>
      </c>
      <c r="N1489" s="55">
        <v>-9.2268009999999998E-2</v>
      </c>
    </row>
    <row r="1490" spans="1:14" hidden="1" x14ac:dyDescent="0.35">
      <c r="A1490" s="52" t="s">
        <v>242</v>
      </c>
      <c r="B1490" s="52" t="s">
        <v>37</v>
      </c>
      <c r="C1490" s="52" t="s">
        <v>51</v>
      </c>
      <c r="D1490" s="52" t="s">
        <v>51</v>
      </c>
      <c r="E1490" s="52" t="s">
        <v>602</v>
      </c>
      <c r="F1490" s="52" t="s">
        <v>26</v>
      </c>
      <c r="G1490" s="55" t="s">
        <v>279</v>
      </c>
      <c r="H1490" s="55">
        <v>26.81495</v>
      </c>
      <c r="I1490" s="55">
        <v>24.70804</v>
      </c>
      <c r="J1490" s="55">
        <v>21.187609999999999</v>
      </c>
      <c r="K1490" s="55">
        <v>19.747299999999999</v>
      </c>
      <c r="L1490" s="55">
        <v>17.19295</v>
      </c>
      <c r="M1490" s="55">
        <v>18.026140000000002</v>
      </c>
      <c r="N1490" s="55">
        <v>18.16526</v>
      </c>
    </row>
    <row r="1491" spans="1:14" hidden="1" x14ac:dyDescent="0.35">
      <c r="A1491" s="52" t="s">
        <v>242</v>
      </c>
      <c r="B1491" s="52" t="s">
        <v>37</v>
      </c>
      <c r="C1491" s="52" t="s">
        <v>115</v>
      </c>
      <c r="D1491" s="52" t="s">
        <v>115</v>
      </c>
      <c r="E1491" s="52" t="s">
        <v>595</v>
      </c>
      <c r="F1491" s="52" t="s">
        <v>581</v>
      </c>
      <c r="G1491" s="55" t="s">
        <v>275</v>
      </c>
      <c r="H1491" s="55">
        <v>15.82708</v>
      </c>
      <c r="I1491" s="55">
        <v>8.1320940000000004</v>
      </c>
      <c r="J1491" s="55">
        <v>38.121769999999998</v>
      </c>
      <c r="K1491" s="55">
        <v>39.114759999999997</v>
      </c>
      <c r="L1491" s="55">
        <v>32.694420000000001</v>
      </c>
      <c r="M1491" s="55">
        <v>26.790030000000002</v>
      </c>
      <c r="N1491" s="55">
        <v>20.099679999999999</v>
      </c>
    </row>
    <row r="1492" spans="1:14" hidden="1" x14ac:dyDescent="0.35">
      <c r="A1492" s="52" t="s">
        <v>242</v>
      </c>
      <c r="B1492" s="52" t="s">
        <v>37</v>
      </c>
      <c r="C1492" s="52" t="s">
        <v>115</v>
      </c>
      <c r="D1492" s="52" t="s">
        <v>115</v>
      </c>
      <c r="E1492" s="52" t="s">
        <v>595</v>
      </c>
      <c r="F1492" s="52" t="s">
        <v>581</v>
      </c>
      <c r="G1492" s="55" t="s">
        <v>276</v>
      </c>
      <c r="H1492" s="55">
        <v>14.535220000000001</v>
      </c>
      <c r="I1492" s="55">
        <v>-10.143459999999999</v>
      </c>
      <c r="J1492" s="55">
        <v>-13.576420000000001</v>
      </c>
      <c r="K1492" s="55">
        <v>-11.6587</v>
      </c>
      <c r="L1492" s="55">
        <v>-6.6572829999999996</v>
      </c>
      <c r="M1492" s="55">
        <v>-0.71556569999999997</v>
      </c>
      <c r="N1492" s="55">
        <v>1.461176</v>
      </c>
    </row>
    <row r="1493" spans="1:14" hidden="1" x14ac:dyDescent="0.35">
      <c r="A1493" s="52" t="s">
        <v>242</v>
      </c>
      <c r="B1493" s="52" t="s">
        <v>37</v>
      </c>
      <c r="C1493" s="52" t="s">
        <v>115</v>
      </c>
      <c r="D1493" s="52" t="s">
        <v>115</v>
      </c>
      <c r="E1493" s="52" t="s">
        <v>595</v>
      </c>
      <c r="F1493" s="52" t="s">
        <v>581</v>
      </c>
      <c r="G1493" s="55" t="s">
        <v>277</v>
      </c>
      <c r="H1493" s="55">
        <v>130.93559999999999</v>
      </c>
      <c r="I1493" s="55">
        <v>56.03548</v>
      </c>
      <c r="J1493" s="55">
        <v>28.820070000000001</v>
      </c>
      <c r="K1493" s="55">
        <v>14.6259</v>
      </c>
      <c r="L1493" s="55">
        <v>10.159979999999999</v>
      </c>
      <c r="M1493" s="55">
        <v>0</v>
      </c>
      <c r="N1493" s="55">
        <v>0</v>
      </c>
    </row>
    <row r="1494" spans="1:14" hidden="1" x14ac:dyDescent="0.35">
      <c r="A1494" s="52" t="s">
        <v>242</v>
      </c>
      <c r="B1494" s="52" t="s">
        <v>37</v>
      </c>
      <c r="C1494" s="52" t="s">
        <v>115</v>
      </c>
      <c r="D1494" s="52" t="s">
        <v>115</v>
      </c>
      <c r="E1494" s="52" t="s">
        <v>595</v>
      </c>
      <c r="F1494" s="52" t="s">
        <v>581</v>
      </c>
      <c r="G1494" s="55" t="s">
        <v>278</v>
      </c>
      <c r="H1494" s="55">
        <v>1.093442</v>
      </c>
      <c r="I1494" s="55">
        <v>0.1975297</v>
      </c>
      <c r="J1494" s="55">
        <v>0</v>
      </c>
      <c r="K1494" s="55"/>
      <c r="L1494" s="55"/>
      <c r="M1494" s="55"/>
      <c r="N1494" s="55"/>
    </row>
    <row r="1495" spans="1:14" hidden="1" x14ac:dyDescent="0.35">
      <c r="A1495" s="52" t="s">
        <v>242</v>
      </c>
      <c r="B1495" s="52" t="s">
        <v>37</v>
      </c>
      <c r="C1495" s="52" t="s">
        <v>115</v>
      </c>
      <c r="D1495" s="52" t="s">
        <v>115</v>
      </c>
      <c r="E1495" s="52" t="s">
        <v>595</v>
      </c>
      <c r="F1495" s="52" t="s">
        <v>581</v>
      </c>
      <c r="G1495" s="55" t="s">
        <v>279</v>
      </c>
      <c r="H1495" s="55">
        <v>51.721969999999999</v>
      </c>
      <c r="I1495" s="55">
        <v>35.826149999999998</v>
      </c>
      <c r="J1495" s="55">
        <v>33.205640000000002</v>
      </c>
      <c r="K1495" s="55">
        <v>27.299289999999999</v>
      </c>
      <c r="L1495" s="55">
        <v>21.66255</v>
      </c>
      <c r="M1495" s="55">
        <v>19.240819999999999</v>
      </c>
      <c r="N1495" s="55">
        <v>15.84342</v>
      </c>
    </row>
    <row r="1496" spans="1:14" hidden="1" x14ac:dyDescent="0.35">
      <c r="A1496" s="52" t="s">
        <v>242</v>
      </c>
      <c r="B1496" s="52" t="s">
        <v>37</v>
      </c>
      <c r="C1496" s="52" t="s">
        <v>115</v>
      </c>
      <c r="D1496" s="52" t="s">
        <v>115</v>
      </c>
      <c r="E1496" s="52" t="s">
        <v>595</v>
      </c>
      <c r="F1496" s="52" t="s">
        <v>26</v>
      </c>
      <c r="G1496" s="55" t="s">
        <v>275</v>
      </c>
      <c r="H1496" s="55">
        <v>8.5791529999999998</v>
      </c>
      <c r="I1496" s="55">
        <v>7.2499580000000003</v>
      </c>
      <c r="J1496" s="55">
        <v>9.3007740000000005</v>
      </c>
      <c r="K1496" s="55">
        <v>6.5115590000000001</v>
      </c>
      <c r="L1496" s="55">
        <v>5.7348109999999997</v>
      </c>
      <c r="M1496" s="55">
        <v>3.0957659999999998</v>
      </c>
      <c r="N1496" s="55">
        <v>2.5340720000000001</v>
      </c>
    </row>
    <row r="1497" spans="1:14" hidden="1" x14ac:dyDescent="0.35">
      <c r="A1497" s="52" t="s">
        <v>242</v>
      </c>
      <c r="B1497" s="52" t="s">
        <v>37</v>
      </c>
      <c r="C1497" s="52" t="s">
        <v>115</v>
      </c>
      <c r="D1497" s="52" t="s">
        <v>115</v>
      </c>
      <c r="E1497" s="52" t="s">
        <v>595</v>
      </c>
      <c r="F1497" s="52" t="s">
        <v>26</v>
      </c>
      <c r="G1497" s="55" t="s">
        <v>276</v>
      </c>
      <c r="H1497" s="55">
        <v>2.2805300000000002</v>
      </c>
      <c r="I1497" s="55">
        <v>1.9272020000000001</v>
      </c>
      <c r="J1497" s="55">
        <v>2.4723579999999998</v>
      </c>
      <c r="K1497" s="55">
        <v>1.7309190000000001</v>
      </c>
      <c r="L1497" s="55">
        <v>1.5244450000000001</v>
      </c>
      <c r="M1497" s="55">
        <v>0.82292580000000004</v>
      </c>
      <c r="N1497" s="55">
        <v>0.67361400000000005</v>
      </c>
    </row>
    <row r="1498" spans="1:14" hidden="1" x14ac:dyDescent="0.35">
      <c r="A1498" s="52" t="s">
        <v>242</v>
      </c>
      <c r="B1498" s="52" t="s">
        <v>37</v>
      </c>
      <c r="C1498" s="52" t="s">
        <v>115</v>
      </c>
      <c r="D1498" s="52" t="s">
        <v>115</v>
      </c>
      <c r="E1498" s="52" t="s">
        <v>595</v>
      </c>
      <c r="F1498" s="52" t="s">
        <v>26</v>
      </c>
      <c r="G1498" s="55" t="s">
        <v>279</v>
      </c>
      <c r="H1498" s="55">
        <v>33.735660000000003</v>
      </c>
      <c r="I1498" s="55">
        <v>32.253189999999996</v>
      </c>
      <c r="J1498" s="55">
        <v>30.143509999999999</v>
      </c>
      <c r="K1498" s="55">
        <v>25.12912</v>
      </c>
      <c r="L1498" s="55">
        <v>20.436679999999999</v>
      </c>
      <c r="M1498" s="55">
        <v>17.709340000000001</v>
      </c>
      <c r="N1498" s="55">
        <v>14.575189999999999</v>
      </c>
    </row>
    <row r="1499" spans="1:14" hidden="1" x14ac:dyDescent="0.35">
      <c r="A1499" s="52" t="s">
        <v>242</v>
      </c>
      <c r="B1499" s="52" t="s">
        <v>37</v>
      </c>
      <c r="C1499" s="52" t="s">
        <v>115</v>
      </c>
      <c r="D1499" s="52" t="s">
        <v>115</v>
      </c>
      <c r="E1499" s="52" t="s">
        <v>597</v>
      </c>
      <c r="F1499" s="52" t="s">
        <v>581</v>
      </c>
      <c r="G1499" s="55" t="s">
        <v>275</v>
      </c>
      <c r="H1499" s="55">
        <v>10.51052</v>
      </c>
      <c r="I1499" s="55">
        <v>8.1256319999999995</v>
      </c>
      <c r="J1499" s="55">
        <v>11.867150000000001</v>
      </c>
      <c r="K1499" s="55">
        <v>14.641870000000001</v>
      </c>
      <c r="L1499" s="55">
        <v>11.800750000000001</v>
      </c>
      <c r="M1499" s="55">
        <v>4.1983550000000003</v>
      </c>
      <c r="N1499" s="55">
        <v>-0.66082189999999996</v>
      </c>
    </row>
    <row r="1500" spans="1:14" hidden="1" x14ac:dyDescent="0.35">
      <c r="A1500" s="52" t="s">
        <v>242</v>
      </c>
      <c r="B1500" s="52" t="s">
        <v>37</v>
      </c>
      <c r="C1500" s="52" t="s">
        <v>115</v>
      </c>
      <c r="D1500" s="52" t="s">
        <v>115</v>
      </c>
      <c r="E1500" s="52" t="s">
        <v>597</v>
      </c>
      <c r="F1500" s="52" t="s">
        <v>581</v>
      </c>
      <c r="G1500" s="55" t="s">
        <v>276</v>
      </c>
      <c r="H1500" s="55">
        <v>-11.51294</v>
      </c>
      <c r="I1500" s="55">
        <v>-8.2201559999999994</v>
      </c>
      <c r="J1500" s="55">
        <v>-3.3773970000000002</v>
      </c>
      <c r="K1500" s="55">
        <v>-6.9671260000000004</v>
      </c>
      <c r="L1500" s="55">
        <v>-3.922812</v>
      </c>
      <c r="M1500" s="55">
        <v>0.23378389999999999</v>
      </c>
      <c r="N1500" s="55">
        <v>1.0713999999999999</v>
      </c>
    </row>
    <row r="1501" spans="1:14" hidden="1" x14ac:dyDescent="0.35">
      <c r="A1501" s="52" t="s">
        <v>242</v>
      </c>
      <c r="B1501" s="52" t="s">
        <v>37</v>
      </c>
      <c r="C1501" s="52" t="s">
        <v>115</v>
      </c>
      <c r="D1501" s="52" t="s">
        <v>115</v>
      </c>
      <c r="E1501" s="52" t="s">
        <v>597</v>
      </c>
      <c r="F1501" s="52" t="s">
        <v>581</v>
      </c>
      <c r="G1501" s="55" t="s">
        <v>277</v>
      </c>
      <c r="H1501" s="55">
        <v>67.566019999999995</v>
      </c>
      <c r="I1501" s="55">
        <v>18.11504</v>
      </c>
      <c r="J1501" s="55">
        <v>8.3210300000000004</v>
      </c>
      <c r="K1501" s="55">
        <v>5.1611690000000001</v>
      </c>
      <c r="L1501" s="55">
        <v>5.5647159999999998</v>
      </c>
      <c r="M1501" s="55">
        <v>7.9549190000000003</v>
      </c>
      <c r="N1501" s="55">
        <v>13.56799</v>
      </c>
    </row>
    <row r="1502" spans="1:14" hidden="1" x14ac:dyDescent="0.35">
      <c r="A1502" s="52" t="s">
        <v>242</v>
      </c>
      <c r="B1502" s="52" t="s">
        <v>37</v>
      </c>
      <c r="C1502" s="52" t="s">
        <v>115</v>
      </c>
      <c r="D1502" s="52" t="s">
        <v>115</v>
      </c>
      <c r="E1502" s="52" t="s">
        <v>597</v>
      </c>
      <c r="F1502" s="52" t="s">
        <v>581</v>
      </c>
      <c r="G1502" s="55" t="s">
        <v>278</v>
      </c>
      <c r="H1502" s="55">
        <v>1.96821</v>
      </c>
      <c r="I1502" s="55">
        <v>1.05149</v>
      </c>
      <c r="J1502" s="55">
        <v>2.6647500000000002</v>
      </c>
      <c r="K1502" s="55">
        <v>3.5719690000000002</v>
      </c>
      <c r="L1502" s="55">
        <v>2.7969759999999999</v>
      </c>
      <c r="M1502" s="55">
        <v>2.1855609999999999</v>
      </c>
      <c r="N1502" s="55">
        <v>2.4047049999999999</v>
      </c>
    </row>
    <row r="1503" spans="1:14" hidden="1" x14ac:dyDescent="0.35">
      <c r="A1503" s="52" t="s">
        <v>242</v>
      </c>
      <c r="B1503" s="52" t="s">
        <v>37</v>
      </c>
      <c r="C1503" s="52" t="s">
        <v>115</v>
      </c>
      <c r="D1503" s="52" t="s">
        <v>115</v>
      </c>
      <c r="E1503" s="52" t="s">
        <v>597</v>
      </c>
      <c r="F1503" s="52" t="s">
        <v>581</v>
      </c>
      <c r="G1503" s="55" t="s">
        <v>279</v>
      </c>
      <c r="H1503" s="55">
        <v>21.95731</v>
      </c>
      <c r="I1503" s="55">
        <v>12.59117</v>
      </c>
      <c r="J1503" s="55">
        <v>12.03168</v>
      </c>
      <c r="K1503" s="55">
        <v>10.574350000000001</v>
      </c>
      <c r="L1503" s="55">
        <v>9.3675920000000001</v>
      </c>
      <c r="M1503" s="55">
        <v>10.034660000000001</v>
      </c>
      <c r="N1503" s="55">
        <v>10.67525</v>
      </c>
    </row>
    <row r="1504" spans="1:14" hidden="1" x14ac:dyDescent="0.35">
      <c r="A1504" s="52" t="s">
        <v>242</v>
      </c>
      <c r="B1504" s="52" t="s">
        <v>37</v>
      </c>
      <c r="C1504" s="52" t="s">
        <v>115</v>
      </c>
      <c r="D1504" s="52" t="s">
        <v>115</v>
      </c>
      <c r="E1504" s="52" t="s">
        <v>597</v>
      </c>
      <c r="F1504" s="52" t="s">
        <v>26</v>
      </c>
      <c r="G1504" s="55" t="s">
        <v>275</v>
      </c>
      <c r="H1504" s="55">
        <v>2.5206940000000002</v>
      </c>
      <c r="I1504" s="55">
        <v>1.9552309999999999</v>
      </c>
      <c r="J1504" s="55">
        <v>2.650023</v>
      </c>
      <c r="K1504" s="55">
        <v>1.9663600000000001</v>
      </c>
      <c r="L1504" s="55">
        <v>2.048038</v>
      </c>
      <c r="M1504" s="55">
        <v>1.301566</v>
      </c>
      <c r="N1504" s="55">
        <v>1.452383</v>
      </c>
    </row>
    <row r="1505" spans="1:14" hidden="1" x14ac:dyDescent="0.35">
      <c r="A1505" s="52" t="s">
        <v>242</v>
      </c>
      <c r="B1505" s="52" t="s">
        <v>37</v>
      </c>
      <c r="C1505" s="52" t="s">
        <v>115</v>
      </c>
      <c r="D1505" s="52" t="s">
        <v>115</v>
      </c>
      <c r="E1505" s="52" t="s">
        <v>597</v>
      </c>
      <c r="F1505" s="52" t="s">
        <v>26</v>
      </c>
      <c r="G1505" s="55" t="s">
        <v>276</v>
      </c>
      <c r="H1505" s="55">
        <v>0.67005899999999996</v>
      </c>
      <c r="I1505" s="55">
        <v>0.51974569999999998</v>
      </c>
      <c r="J1505" s="55">
        <v>0.70443610000000001</v>
      </c>
      <c r="K1505" s="55">
        <v>0.52270380000000005</v>
      </c>
      <c r="L1505" s="55">
        <v>0.54441539999999999</v>
      </c>
      <c r="M1505" s="55">
        <v>0.34598659999999998</v>
      </c>
      <c r="N1505" s="55">
        <v>0.38607750000000002</v>
      </c>
    </row>
    <row r="1506" spans="1:14" hidden="1" x14ac:dyDescent="0.35">
      <c r="A1506" s="52" t="s">
        <v>242</v>
      </c>
      <c r="B1506" s="52" t="s">
        <v>37</v>
      </c>
      <c r="C1506" s="52" t="s">
        <v>115</v>
      </c>
      <c r="D1506" s="52" t="s">
        <v>115</v>
      </c>
      <c r="E1506" s="52" t="s">
        <v>597</v>
      </c>
      <c r="F1506" s="52" t="s">
        <v>26</v>
      </c>
      <c r="G1506" s="55" t="s">
        <v>279</v>
      </c>
      <c r="H1506" s="55">
        <v>10.722899999999999</v>
      </c>
      <c r="I1506" s="55">
        <v>9.4960439999999995</v>
      </c>
      <c r="J1506" s="55">
        <v>9.1388739999999995</v>
      </c>
      <c r="K1506" s="55">
        <v>8.1454369999999994</v>
      </c>
      <c r="L1506" s="55">
        <v>7.3984769999999997</v>
      </c>
      <c r="M1506" s="55">
        <v>7.679538</v>
      </c>
      <c r="N1506" s="55">
        <v>8.1156640000000007</v>
      </c>
    </row>
    <row r="1507" spans="1:14" hidden="1" x14ac:dyDescent="0.35">
      <c r="A1507" s="52" t="s">
        <v>242</v>
      </c>
      <c r="B1507" s="52" t="s">
        <v>37</v>
      </c>
      <c r="C1507" s="52" t="s">
        <v>115</v>
      </c>
      <c r="D1507" s="52" t="s">
        <v>115</v>
      </c>
      <c r="E1507" s="52" t="s">
        <v>584</v>
      </c>
      <c r="F1507" s="52" t="s">
        <v>581</v>
      </c>
      <c r="G1507" s="55" t="s">
        <v>275</v>
      </c>
      <c r="H1507" s="55">
        <v>1.209797</v>
      </c>
      <c r="I1507" s="55">
        <v>0.40217580000000003</v>
      </c>
      <c r="J1507" s="55">
        <v>0.34773219999999999</v>
      </c>
      <c r="K1507" s="55">
        <v>0.29684569999999999</v>
      </c>
      <c r="L1507" s="55">
        <v>0.2569594</v>
      </c>
      <c r="M1507" s="55">
        <v>0.23018079999999999</v>
      </c>
      <c r="N1507" s="55">
        <v>0.20699429999999999</v>
      </c>
    </row>
    <row r="1508" spans="1:14" hidden="1" x14ac:dyDescent="0.35">
      <c r="A1508" s="52" t="s">
        <v>242</v>
      </c>
      <c r="B1508" s="52" t="s">
        <v>37</v>
      </c>
      <c r="C1508" s="52" t="s">
        <v>115</v>
      </c>
      <c r="D1508" s="52" t="s">
        <v>115</v>
      </c>
      <c r="E1508" s="52" t="s">
        <v>584</v>
      </c>
      <c r="F1508" s="52" t="s">
        <v>581</v>
      </c>
      <c r="G1508" s="55" t="s">
        <v>276</v>
      </c>
      <c r="H1508" s="55">
        <v>0.32159300000000002</v>
      </c>
      <c r="I1508" s="55">
        <v>0.1069069</v>
      </c>
      <c r="J1508" s="55">
        <v>9.2434699999999995E-2</v>
      </c>
      <c r="K1508" s="55">
        <v>7.8908400000000004E-2</v>
      </c>
      <c r="L1508" s="55">
        <v>6.8306199999999997E-2</v>
      </c>
      <c r="M1508" s="55">
        <v>6.1187199999999997E-2</v>
      </c>
      <c r="N1508" s="55">
        <v>5.50234E-2</v>
      </c>
    </row>
    <row r="1509" spans="1:14" hidden="1" x14ac:dyDescent="0.35">
      <c r="A1509" s="52" t="s">
        <v>242</v>
      </c>
      <c r="B1509" s="52" t="s">
        <v>37</v>
      </c>
      <c r="C1509" s="52" t="s">
        <v>115</v>
      </c>
      <c r="D1509" s="52" t="s">
        <v>115</v>
      </c>
      <c r="E1509" s="52" t="s">
        <v>584</v>
      </c>
      <c r="F1509" s="52" t="s">
        <v>581</v>
      </c>
      <c r="G1509" s="55" t="s">
        <v>279</v>
      </c>
      <c r="H1509" s="55">
        <v>0.47989999999999999</v>
      </c>
      <c r="I1509" s="55">
        <v>0.29107319999999998</v>
      </c>
      <c r="J1509" s="55">
        <v>0.23516419999999999</v>
      </c>
      <c r="K1509" s="55">
        <v>0.21173510000000001</v>
      </c>
      <c r="L1509" s="55">
        <v>0.1896052</v>
      </c>
      <c r="M1509" s="55">
        <v>0.16266059999999999</v>
      </c>
      <c r="N1509" s="55">
        <v>0.14079030000000001</v>
      </c>
    </row>
    <row r="1510" spans="1:14" hidden="1" x14ac:dyDescent="0.35">
      <c r="A1510" s="52" t="s">
        <v>242</v>
      </c>
      <c r="B1510" s="52" t="s">
        <v>37</v>
      </c>
      <c r="C1510" s="52" t="s">
        <v>115</v>
      </c>
      <c r="D1510" s="52" t="s">
        <v>115</v>
      </c>
      <c r="E1510" s="52" t="s">
        <v>584</v>
      </c>
      <c r="F1510" s="52" t="s">
        <v>26</v>
      </c>
      <c r="G1510" s="55" t="s">
        <v>275</v>
      </c>
      <c r="H1510" s="55">
        <v>-24.63551</v>
      </c>
      <c r="I1510" s="55">
        <v>-13.60623</v>
      </c>
      <c r="J1510" s="55">
        <v>-12.14453</v>
      </c>
      <c r="K1510" s="55">
        <v>-13.81504</v>
      </c>
      <c r="L1510" s="55">
        <v>-10.815329999999999</v>
      </c>
      <c r="M1510" s="55">
        <v>-10.820180000000001</v>
      </c>
      <c r="N1510" s="55">
        <v>-10.04973</v>
      </c>
    </row>
    <row r="1511" spans="1:14" hidden="1" x14ac:dyDescent="0.35">
      <c r="A1511" s="52" t="s">
        <v>242</v>
      </c>
      <c r="B1511" s="52" t="s">
        <v>37</v>
      </c>
      <c r="C1511" s="52" t="s">
        <v>115</v>
      </c>
      <c r="D1511" s="52" t="s">
        <v>115</v>
      </c>
      <c r="E1511" s="52" t="s">
        <v>584</v>
      </c>
      <c r="F1511" s="52" t="s">
        <v>26</v>
      </c>
      <c r="G1511" s="55" t="s">
        <v>276</v>
      </c>
      <c r="H1511" s="55">
        <v>-4.6276739999999998</v>
      </c>
      <c r="I1511" s="55">
        <v>-4.5873600000000003</v>
      </c>
      <c r="J1511" s="55">
        <v>-3.7137829999999998</v>
      </c>
      <c r="K1511" s="55">
        <v>-2.043863</v>
      </c>
      <c r="L1511" s="55">
        <v>-4.7997719999999999</v>
      </c>
      <c r="M1511" s="55">
        <v>-3.630271</v>
      </c>
      <c r="N1511" s="55">
        <v>-3.3852669999999998</v>
      </c>
    </row>
    <row r="1512" spans="1:14" hidden="1" x14ac:dyDescent="0.35">
      <c r="A1512" s="52" t="s">
        <v>242</v>
      </c>
      <c r="B1512" s="52" t="s">
        <v>37</v>
      </c>
      <c r="C1512" s="52" t="s">
        <v>115</v>
      </c>
      <c r="D1512" s="52" t="s">
        <v>115</v>
      </c>
      <c r="E1512" s="52" t="s">
        <v>584</v>
      </c>
      <c r="F1512" s="52" t="s">
        <v>26</v>
      </c>
      <c r="G1512" s="55" t="s">
        <v>277</v>
      </c>
      <c r="H1512" s="55">
        <v>34.518650000000001</v>
      </c>
      <c r="I1512" s="55">
        <v>22.295159999999999</v>
      </c>
      <c r="J1512" s="55">
        <v>20.751069999999999</v>
      </c>
      <c r="K1512" s="55">
        <v>19.793600000000001</v>
      </c>
      <c r="L1512" s="55">
        <v>18.755019999999998</v>
      </c>
      <c r="M1512" s="55">
        <v>17.443549999999998</v>
      </c>
      <c r="N1512" s="55">
        <v>16.290980000000001</v>
      </c>
    </row>
    <row r="1513" spans="1:14" hidden="1" x14ac:dyDescent="0.35">
      <c r="A1513" s="52" t="s">
        <v>242</v>
      </c>
      <c r="B1513" s="52" t="s">
        <v>37</v>
      </c>
      <c r="C1513" s="52" t="s">
        <v>115</v>
      </c>
      <c r="D1513" s="52" t="s">
        <v>115</v>
      </c>
      <c r="E1513" s="52" t="s">
        <v>584</v>
      </c>
      <c r="F1513" s="52" t="s">
        <v>26</v>
      </c>
      <c r="G1513" s="55" t="s">
        <v>279</v>
      </c>
      <c r="H1513" s="55">
        <v>15.02932</v>
      </c>
      <c r="I1513" s="55">
        <v>12.652520000000001</v>
      </c>
      <c r="J1513" s="55">
        <v>12.226150000000001</v>
      </c>
      <c r="K1513" s="55">
        <v>12.84863</v>
      </c>
      <c r="L1513" s="55">
        <v>13.20529</v>
      </c>
      <c r="M1513" s="55">
        <v>12.615309999999999</v>
      </c>
      <c r="N1513" s="55">
        <v>12.09693</v>
      </c>
    </row>
    <row r="1514" spans="1:14" hidden="1" x14ac:dyDescent="0.35">
      <c r="A1514" s="52" t="s">
        <v>242</v>
      </c>
      <c r="B1514" s="52" t="s">
        <v>37</v>
      </c>
      <c r="C1514" s="52" t="s">
        <v>105</v>
      </c>
      <c r="D1514" s="52" t="s">
        <v>105</v>
      </c>
      <c r="E1514" s="52" t="s">
        <v>619</v>
      </c>
      <c r="F1514" s="52" t="s">
        <v>581</v>
      </c>
      <c r="G1514" s="55" t="s">
        <v>275</v>
      </c>
      <c r="H1514" s="55">
        <v>-162.09639999999999</v>
      </c>
      <c r="I1514" s="55">
        <v>40.923740000000002</v>
      </c>
      <c r="J1514" s="55">
        <v>38.287179999999999</v>
      </c>
      <c r="K1514" s="55">
        <v>51.235019999999999</v>
      </c>
      <c r="L1514" s="55">
        <v>36.881570000000004</v>
      </c>
      <c r="M1514" s="55">
        <v>-2.542764</v>
      </c>
      <c r="N1514" s="55">
        <v>25.374880000000001</v>
      </c>
    </row>
    <row r="1515" spans="1:14" hidden="1" x14ac:dyDescent="0.35">
      <c r="A1515" s="52" t="s">
        <v>242</v>
      </c>
      <c r="B1515" s="52" t="s">
        <v>37</v>
      </c>
      <c r="C1515" s="52" t="s">
        <v>105</v>
      </c>
      <c r="D1515" s="52" t="s">
        <v>105</v>
      </c>
      <c r="E1515" s="52" t="s">
        <v>619</v>
      </c>
      <c r="F1515" s="52" t="s">
        <v>581</v>
      </c>
      <c r="G1515" s="55" t="s">
        <v>276</v>
      </c>
      <c r="H1515" s="55">
        <v>5.9509999999999996</v>
      </c>
      <c r="I1515" s="55">
        <v>-6.7352509999999999</v>
      </c>
      <c r="J1515" s="55">
        <v>-5.5607930000000003</v>
      </c>
      <c r="K1515" s="55">
        <v>-21.505459999999999</v>
      </c>
      <c r="L1515" s="55">
        <v>-20.40531</v>
      </c>
      <c r="M1515" s="55">
        <v>6.2758940000000001</v>
      </c>
      <c r="N1515" s="55">
        <v>8.159122</v>
      </c>
    </row>
    <row r="1516" spans="1:14" hidden="1" x14ac:dyDescent="0.35">
      <c r="A1516" s="52" t="s">
        <v>242</v>
      </c>
      <c r="B1516" s="52" t="s">
        <v>37</v>
      </c>
      <c r="C1516" s="52" t="s">
        <v>105</v>
      </c>
      <c r="D1516" s="52" t="s">
        <v>105</v>
      </c>
      <c r="E1516" s="52" t="s">
        <v>619</v>
      </c>
      <c r="F1516" s="52" t="s">
        <v>581</v>
      </c>
      <c r="G1516" s="55" t="s">
        <v>277</v>
      </c>
      <c r="H1516" s="55">
        <v>255.36009999999999</v>
      </c>
      <c r="I1516" s="55">
        <v>15.06714</v>
      </c>
      <c r="J1516" s="55">
        <v>8.0323410000000006</v>
      </c>
      <c r="K1516" s="55">
        <v>4.6257859999999997</v>
      </c>
      <c r="L1516" s="55">
        <v>11.523160000000001</v>
      </c>
      <c r="M1516" s="55">
        <v>23.445889999999999</v>
      </c>
      <c r="N1516" s="55">
        <v>5.9003810000000003</v>
      </c>
    </row>
    <row r="1517" spans="1:14" hidden="1" x14ac:dyDescent="0.35">
      <c r="A1517" s="52" t="s">
        <v>242</v>
      </c>
      <c r="B1517" s="52" t="s">
        <v>37</v>
      </c>
      <c r="C1517" s="52" t="s">
        <v>105</v>
      </c>
      <c r="D1517" s="52" t="s">
        <v>105</v>
      </c>
      <c r="E1517" s="52" t="s">
        <v>619</v>
      </c>
      <c r="F1517" s="52" t="s">
        <v>581</v>
      </c>
      <c r="G1517" s="55" t="s">
        <v>278</v>
      </c>
      <c r="H1517" s="55">
        <v>15.54241</v>
      </c>
      <c r="I1517" s="55">
        <v>2.1805279999999998</v>
      </c>
      <c r="J1517" s="55">
        <v>5.4889650000000003</v>
      </c>
      <c r="K1517" s="55">
        <v>8.0498390000000004</v>
      </c>
      <c r="L1517" s="55">
        <v>14.396430000000001</v>
      </c>
      <c r="M1517" s="55">
        <v>20.138580000000001</v>
      </c>
      <c r="N1517" s="55">
        <v>13.214320000000001</v>
      </c>
    </row>
    <row r="1518" spans="1:14" hidden="1" x14ac:dyDescent="0.35">
      <c r="A1518" s="52" t="s">
        <v>242</v>
      </c>
      <c r="B1518" s="52" t="s">
        <v>37</v>
      </c>
      <c r="C1518" s="52" t="s">
        <v>105</v>
      </c>
      <c r="D1518" s="52" t="s">
        <v>105</v>
      </c>
      <c r="E1518" s="52" t="s">
        <v>619</v>
      </c>
      <c r="F1518" s="52" t="s">
        <v>581</v>
      </c>
      <c r="G1518" s="55" t="s">
        <v>279</v>
      </c>
      <c r="H1518" s="55">
        <v>28.932790000000001</v>
      </c>
      <c r="I1518" s="55">
        <v>25.104900000000001</v>
      </c>
      <c r="J1518" s="55">
        <v>21.671880000000002</v>
      </c>
      <c r="K1518" s="55">
        <v>20.59235</v>
      </c>
      <c r="L1518" s="55">
        <v>19.154050000000002</v>
      </c>
      <c r="M1518" s="55">
        <v>25.195910000000001</v>
      </c>
      <c r="N1518" s="55">
        <v>27.73272</v>
      </c>
    </row>
    <row r="1519" spans="1:14" hidden="1" x14ac:dyDescent="0.35">
      <c r="A1519" s="52" t="s">
        <v>242</v>
      </c>
      <c r="B1519" s="52" t="s">
        <v>37</v>
      </c>
      <c r="C1519" s="52" t="s">
        <v>105</v>
      </c>
      <c r="D1519" s="52" t="s">
        <v>105</v>
      </c>
      <c r="E1519" s="52" t="s">
        <v>619</v>
      </c>
      <c r="F1519" s="52" t="s">
        <v>26</v>
      </c>
      <c r="G1519" s="55" t="s">
        <v>275</v>
      </c>
      <c r="H1519" s="55">
        <v>3.0024250000000001</v>
      </c>
      <c r="I1519" s="55">
        <v>3.5523359999999999</v>
      </c>
      <c r="J1519" s="55">
        <v>3.6373570000000002</v>
      </c>
      <c r="K1519" s="55">
        <v>3.166506</v>
      </c>
      <c r="L1519" s="55">
        <v>3.1243210000000001</v>
      </c>
      <c r="M1519" s="55">
        <v>3.2210220000000001</v>
      </c>
      <c r="N1519" s="55">
        <v>3.5454140000000001</v>
      </c>
    </row>
    <row r="1520" spans="1:14" hidden="1" x14ac:dyDescent="0.35">
      <c r="A1520" s="52" t="s">
        <v>242</v>
      </c>
      <c r="B1520" s="52" t="s">
        <v>37</v>
      </c>
      <c r="C1520" s="52" t="s">
        <v>105</v>
      </c>
      <c r="D1520" s="52" t="s">
        <v>105</v>
      </c>
      <c r="E1520" s="52" t="s">
        <v>619</v>
      </c>
      <c r="F1520" s="52" t="s">
        <v>26</v>
      </c>
      <c r="G1520" s="55" t="s">
        <v>276</v>
      </c>
      <c r="H1520" s="55">
        <v>1.0406960000000001</v>
      </c>
      <c r="I1520" s="55">
        <v>1.231314</v>
      </c>
      <c r="J1520" s="55">
        <v>1.260785</v>
      </c>
      <c r="K1520" s="55">
        <v>1.097575</v>
      </c>
      <c r="L1520" s="55">
        <v>1.0829530000000001</v>
      </c>
      <c r="M1520" s="55">
        <v>1.1164689999999999</v>
      </c>
      <c r="N1520" s="55">
        <v>1.2289110000000001</v>
      </c>
    </row>
    <row r="1521" spans="1:14" hidden="1" x14ac:dyDescent="0.35">
      <c r="A1521" s="52" t="s">
        <v>242</v>
      </c>
      <c r="B1521" s="52" t="s">
        <v>37</v>
      </c>
      <c r="C1521" s="52" t="s">
        <v>105</v>
      </c>
      <c r="D1521" s="52" t="s">
        <v>105</v>
      </c>
      <c r="E1521" s="52" t="s">
        <v>619</v>
      </c>
      <c r="F1521" s="52" t="s">
        <v>26</v>
      </c>
      <c r="G1521" s="55" t="s">
        <v>279</v>
      </c>
      <c r="H1521" s="55">
        <v>5.055968</v>
      </c>
      <c r="I1521" s="55">
        <v>6.5104420000000003</v>
      </c>
      <c r="J1521" s="55">
        <v>5.6714339999999996</v>
      </c>
      <c r="K1521" s="55">
        <v>5.459498</v>
      </c>
      <c r="L1521" s="55">
        <v>5.2083979999999999</v>
      </c>
      <c r="M1521" s="55">
        <v>6.6469760000000004</v>
      </c>
      <c r="N1521" s="55">
        <v>7.3049650000000002</v>
      </c>
    </row>
    <row r="1522" spans="1:14" hidden="1" x14ac:dyDescent="0.35">
      <c r="A1522" s="52" t="s">
        <v>242</v>
      </c>
      <c r="B1522" s="52" t="s">
        <v>37</v>
      </c>
      <c r="C1522" s="52" t="s">
        <v>105</v>
      </c>
      <c r="D1522" s="52" t="s">
        <v>105</v>
      </c>
      <c r="E1522" s="52" t="s">
        <v>620</v>
      </c>
      <c r="F1522" s="52" t="s">
        <v>581</v>
      </c>
      <c r="G1522" s="55" t="s">
        <v>275</v>
      </c>
      <c r="H1522" s="55">
        <v>11.95983</v>
      </c>
      <c r="I1522" s="55">
        <v>11.480969999999999</v>
      </c>
      <c r="J1522" s="55">
        <v>6.1349309999999999</v>
      </c>
      <c r="K1522" s="55">
        <v>9.6198289999999993</v>
      </c>
      <c r="L1522" s="55">
        <v>7.0134470000000002</v>
      </c>
      <c r="M1522" s="55">
        <v>7.0797220000000003</v>
      </c>
      <c r="N1522" s="55">
        <v>6.6940819999999999</v>
      </c>
    </row>
    <row r="1523" spans="1:14" hidden="1" x14ac:dyDescent="0.35">
      <c r="A1523" s="52" t="s">
        <v>242</v>
      </c>
      <c r="B1523" s="52" t="s">
        <v>37</v>
      </c>
      <c r="C1523" s="52" t="s">
        <v>105</v>
      </c>
      <c r="D1523" s="52" t="s">
        <v>105</v>
      </c>
      <c r="E1523" s="52" t="s">
        <v>620</v>
      </c>
      <c r="F1523" s="52" t="s">
        <v>581</v>
      </c>
      <c r="G1523" s="55" t="s">
        <v>276</v>
      </c>
      <c r="H1523" s="55">
        <v>4.2207879999999998</v>
      </c>
      <c r="I1523" s="55">
        <v>-0.75960989999999995</v>
      </c>
      <c r="J1523" s="55">
        <v>-0.92905040000000005</v>
      </c>
      <c r="K1523" s="55">
        <v>-3.1199819999999998</v>
      </c>
      <c r="L1523" s="55">
        <v>0.37150480000000002</v>
      </c>
      <c r="M1523" s="55">
        <v>1.668987</v>
      </c>
      <c r="N1523" s="55">
        <v>1.023574</v>
      </c>
    </row>
    <row r="1524" spans="1:14" hidden="1" x14ac:dyDescent="0.35">
      <c r="A1524" s="52" t="s">
        <v>242</v>
      </c>
      <c r="B1524" s="52" t="s">
        <v>37</v>
      </c>
      <c r="C1524" s="52" t="s">
        <v>105</v>
      </c>
      <c r="D1524" s="52" t="s">
        <v>105</v>
      </c>
      <c r="E1524" s="52" t="s">
        <v>620</v>
      </c>
      <c r="F1524" s="52" t="s">
        <v>581</v>
      </c>
      <c r="G1524" s="55" t="s">
        <v>277</v>
      </c>
      <c r="H1524" s="55">
        <v>16.560790000000001</v>
      </c>
      <c r="I1524" s="55">
        <v>0</v>
      </c>
      <c r="J1524" s="55">
        <v>5.6901140000000003</v>
      </c>
      <c r="K1524" s="55">
        <v>4.9417229999999996</v>
      </c>
      <c r="L1524" s="55">
        <v>3.3457729999999999</v>
      </c>
      <c r="M1524" s="55">
        <v>0</v>
      </c>
      <c r="N1524" s="55">
        <v>0</v>
      </c>
    </row>
    <row r="1525" spans="1:14" hidden="1" x14ac:dyDescent="0.35">
      <c r="A1525" s="52" t="s">
        <v>242</v>
      </c>
      <c r="B1525" s="52" t="s">
        <v>37</v>
      </c>
      <c r="C1525" s="52" t="s">
        <v>105</v>
      </c>
      <c r="D1525" s="52" t="s">
        <v>105</v>
      </c>
      <c r="E1525" s="52" t="s">
        <v>620</v>
      </c>
      <c r="F1525" s="52" t="s">
        <v>581</v>
      </c>
      <c r="G1525" s="55" t="s">
        <v>278</v>
      </c>
      <c r="H1525" s="55">
        <v>0</v>
      </c>
      <c r="I1525" s="55"/>
      <c r="J1525" s="55"/>
      <c r="K1525" s="55"/>
      <c r="L1525" s="55"/>
      <c r="M1525" s="55"/>
      <c r="N1525" s="55"/>
    </row>
    <row r="1526" spans="1:14" hidden="1" x14ac:dyDescent="0.35">
      <c r="A1526" s="52" t="s">
        <v>242</v>
      </c>
      <c r="B1526" s="52" t="s">
        <v>37</v>
      </c>
      <c r="C1526" s="52" t="s">
        <v>105</v>
      </c>
      <c r="D1526" s="52" t="s">
        <v>105</v>
      </c>
      <c r="E1526" s="52" t="s">
        <v>620</v>
      </c>
      <c r="F1526" s="52" t="s">
        <v>581</v>
      </c>
      <c r="G1526" s="55" t="s">
        <v>279</v>
      </c>
      <c r="H1526" s="55">
        <v>10.645239999999999</v>
      </c>
      <c r="I1526" s="55">
        <v>7.6291440000000001</v>
      </c>
      <c r="J1526" s="55">
        <v>7.2843850000000003</v>
      </c>
      <c r="K1526" s="55">
        <v>7.8698810000000003</v>
      </c>
      <c r="L1526" s="55">
        <v>6.9645830000000002</v>
      </c>
      <c r="M1526" s="55">
        <v>6.9182379999999997</v>
      </c>
      <c r="N1526" s="55">
        <v>6.0929599999999997</v>
      </c>
    </row>
    <row r="1527" spans="1:14" hidden="1" x14ac:dyDescent="0.35">
      <c r="A1527" s="52" t="s">
        <v>242</v>
      </c>
      <c r="B1527" s="52" t="s">
        <v>37</v>
      </c>
      <c r="C1527" s="52" t="s">
        <v>105</v>
      </c>
      <c r="D1527" s="52" t="s">
        <v>105</v>
      </c>
      <c r="E1527" s="52" t="s">
        <v>620</v>
      </c>
      <c r="F1527" s="52" t="s">
        <v>26</v>
      </c>
      <c r="G1527" s="55" t="s">
        <v>275</v>
      </c>
      <c r="H1527" s="55">
        <v>0.50150600000000001</v>
      </c>
      <c r="I1527" s="55">
        <v>0.4333977</v>
      </c>
      <c r="J1527" s="55">
        <v>0.78740109999999996</v>
      </c>
      <c r="K1527" s="55">
        <v>0.65366109999999999</v>
      </c>
      <c r="L1527" s="55">
        <v>0.639706</v>
      </c>
      <c r="M1527" s="55">
        <v>0.2209614</v>
      </c>
      <c r="N1527" s="55">
        <v>0.18544930000000001</v>
      </c>
    </row>
    <row r="1528" spans="1:14" hidden="1" x14ac:dyDescent="0.35">
      <c r="A1528" s="52" t="s">
        <v>242</v>
      </c>
      <c r="B1528" s="52" t="s">
        <v>37</v>
      </c>
      <c r="C1528" s="52" t="s">
        <v>105</v>
      </c>
      <c r="D1528" s="52" t="s">
        <v>105</v>
      </c>
      <c r="E1528" s="52" t="s">
        <v>620</v>
      </c>
      <c r="F1528" s="52" t="s">
        <v>26</v>
      </c>
      <c r="G1528" s="55" t="s">
        <v>276</v>
      </c>
      <c r="H1528" s="55">
        <v>0.15467800000000001</v>
      </c>
      <c r="I1528" s="55">
        <v>0.13334070000000001</v>
      </c>
      <c r="J1528" s="55">
        <v>0.244839</v>
      </c>
      <c r="K1528" s="55">
        <v>0.20680290000000001</v>
      </c>
      <c r="L1528" s="55">
        <v>0.2018499</v>
      </c>
      <c r="M1528" s="55">
        <v>7.0184099999999999E-2</v>
      </c>
      <c r="N1528" s="55">
        <v>5.8534790000000003E-2</v>
      </c>
    </row>
    <row r="1529" spans="1:14" hidden="1" x14ac:dyDescent="0.35">
      <c r="A1529" s="52" t="s">
        <v>242</v>
      </c>
      <c r="B1529" s="52" t="s">
        <v>37</v>
      </c>
      <c r="C1529" s="52" t="s">
        <v>105</v>
      </c>
      <c r="D1529" s="52" t="s">
        <v>105</v>
      </c>
      <c r="E1529" s="52" t="s">
        <v>620</v>
      </c>
      <c r="F1529" s="52" t="s">
        <v>26</v>
      </c>
      <c r="G1529" s="55" t="s">
        <v>279</v>
      </c>
      <c r="H1529" s="55">
        <v>4.8635849999999996</v>
      </c>
      <c r="I1529" s="55">
        <v>5.5565939999999996</v>
      </c>
      <c r="J1529" s="55">
        <v>5.2863850000000001</v>
      </c>
      <c r="K1529" s="55">
        <v>5.6641870000000001</v>
      </c>
      <c r="L1529" s="55">
        <v>5.134042</v>
      </c>
      <c r="M1529" s="55">
        <v>5.0190809999999999</v>
      </c>
      <c r="N1529" s="55">
        <v>4.4483319999999997</v>
      </c>
    </row>
    <row r="1530" spans="1:14" hidden="1" x14ac:dyDescent="0.35">
      <c r="A1530" s="52" t="s">
        <v>242</v>
      </c>
      <c r="B1530" s="52" t="s">
        <v>37</v>
      </c>
      <c r="C1530" s="52" t="s">
        <v>105</v>
      </c>
      <c r="D1530" s="52" t="s">
        <v>105</v>
      </c>
      <c r="E1530" s="52" t="s">
        <v>584</v>
      </c>
      <c r="F1530" s="52" t="s">
        <v>581</v>
      </c>
      <c r="G1530" s="55" t="s">
        <v>275</v>
      </c>
      <c r="H1530" s="55">
        <v>1.6005320000000001</v>
      </c>
      <c r="I1530" s="55">
        <v>1.705589</v>
      </c>
      <c r="J1530" s="55">
        <v>-0.587252</v>
      </c>
      <c r="K1530" s="55">
        <v>-0.7231573</v>
      </c>
      <c r="L1530" s="55">
        <v>-0.65781650000000003</v>
      </c>
      <c r="M1530" s="55">
        <v>-0.75479819999999997</v>
      </c>
      <c r="N1530" s="55">
        <v>-0.65697799999999995</v>
      </c>
    </row>
    <row r="1531" spans="1:14" hidden="1" x14ac:dyDescent="0.35">
      <c r="A1531" s="52" t="s">
        <v>242</v>
      </c>
      <c r="B1531" s="52" t="s">
        <v>37</v>
      </c>
      <c r="C1531" s="52" t="s">
        <v>105</v>
      </c>
      <c r="D1531" s="52" t="s">
        <v>105</v>
      </c>
      <c r="E1531" s="52" t="s">
        <v>584</v>
      </c>
      <c r="F1531" s="52" t="s">
        <v>581</v>
      </c>
      <c r="G1531" s="55" t="s">
        <v>276</v>
      </c>
      <c r="H1531" s="55">
        <v>-8.1850980000000004E-2</v>
      </c>
      <c r="I1531" s="55">
        <v>-3.0086599999999999</v>
      </c>
      <c r="J1531" s="55">
        <v>-0.56542420000000004</v>
      </c>
      <c r="K1531" s="55">
        <v>-0.55130619999999997</v>
      </c>
      <c r="L1531" s="55">
        <v>-0.62015160000000003</v>
      </c>
      <c r="M1531" s="55">
        <v>-0.37843100000000002</v>
      </c>
      <c r="N1531" s="55">
        <v>-0.34901729999999997</v>
      </c>
    </row>
    <row r="1532" spans="1:14" hidden="1" x14ac:dyDescent="0.35">
      <c r="A1532" s="52" t="s">
        <v>242</v>
      </c>
      <c r="B1532" s="52" t="s">
        <v>37</v>
      </c>
      <c r="C1532" s="52" t="s">
        <v>105</v>
      </c>
      <c r="D1532" s="52" t="s">
        <v>105</v>
      </c>
      <c r="E1532" s="52" t="s">
        <v>584</v>
      </c>
      <c r="F1532" s="52" t="s">
        <v>581</v>
      </c>
      <c r="G1532" s="55" t="s">
        <v>277</v>
      </c>
      <c r="H1532" s="55">
        <v>7.0121029999999998</v>
      </c>
      <c r="I1532" s="55">
        <v>4.4615229999999997</v>
      </c>
      <c r="J1532" s="55">
        <v>4.1602389999999998</v>
      </c>
      <c r="K1532" s="55">
        <v>4.0814690000000002</v>
      </c>
      <c r="L1532" s="55">
        <v>3.8972850000000001</v>
      </c>
      <c r="M1532" s="55">
        <v>3.6069770000000001</v>
      </c>
      <c r="N1532" s="55">
        <v>3.353453</v>
      </c>
    </row>
    <row r="1533" spans="1:14" hidden="1" x14ac:dyDescent="0.35">
      <c r="A1533" s="52" t="s">
        <v>242</v>
      </c>
      <c r="B1533" s="52" t="s">
        <v>37</v>
      </c>
      <c r="C1533" s="52" t="s">
        <v>105</v>
      </c>
      <c r="D1533" s="52" t="s">
        <v>105</v>
      </c>
      <c r="E1533" s="52" t="s">
        <v>584</v>
      </c>
      <c r="F1533" s="52" t="s">
        <v>581</v>
      </c>
      <c r="G1533" s="55" t="s">
        <v>279</v>
      </c>
      <c r="H1533" s="55">
        <v>2.5996440000000001</v>
      </c>
      <c r="I1533" s="55">
        <v>1.7992159999999999</v>
      </c>
      <c r="J1533" s="55">
        <v>1.645516</v>
      </c>
      <c r="K1533" s="55">
        <v>1.677953</v>
      </c>
      <c r="L1533" s="55">
        <v>1.683581</v>
      </c>
      <c r="M1533" s="55">
        <v>1.5753729999999999</v>
      </c>
      <c r="N1533" s="55">
        <v>1.485422</v>
      </c>
    </row>
    <row r="1534" spans="1:14" hidden="1" x14ac:dyDescent="0.35">
      <c r="A1534" s="52" t="s">
        <v>242</v>
      </c>
      <c r="B1534" s="52" t="s">
        <v>37</v>
      </c>
      <c r="C1534" s="52" t="s">
        <v>105</v>
      </c>
      <c r="D1534" s="52" t="s">
        <v>105</v>
      </c>
      <c r="E1534" s="52" t="s">
        <v>584</v>
      </c>
      <c r="F1534" s="52" t="s">
        <v>26</v>
      </c>
      <c r="G1534" s="55" t="s">
        <v>275</v>
      </c>
      <c r="H1534" s="55">
        <v>-5.706855</v>
      </c>
      <c r="I1534" s="55">
        <v>8.684385E-2</v>
      </c>
      <c r="J1534" s="55">
        <v>-0.61497020000000002</v>
      </c>
      <c r="K1534" s="55">
        <v>-4.2515890000000001</v>
      </c>
      <c r="L1534" s="55">
        <v>-2.9057840000000001</v>
      </c>
      <c r="M1534" s="55">
        <v>-3.3665340000000001</v>
      </c>
      <c r="N1534" s="55">
        <v>-3.1712129999999998</v>
      </c>
    </row>
    <row r="1535" spans="1:14" hidden="1" x14ac:dyDescent="0.35">
      <c r="A1535" s="52" t="s">
        <v>242</v>
      </c>
      <c r="B1535" s="52" t="s">
        <v>37</v>
      </c>
      <c r="C1535" s="52" t="s">
        <v>105</v>
      </c>
      <c r="D1535" s="52" t="s">
        <v>105</v>
      </c>
      <c r="E1535" s="52" t="s">
        <v>584</v>
      </c>
      <c r="F1535" s="52" t="s">
        <v>26</v>
      </c>
      <c r="G1535" s="55" t="s">
        <v>276</v>
      </c>
      <c r="H1535" s="55">
        <v>-6.9065880000000002</v>
      </c>
      <c r="I1535" s="55">
        <v>-5.8599610000000002</v>
      </c>
      <c r="J1535" s="55">
        <v>-4.6414280000000003</v>
      </c>
      <c r="K1535" s="55">
        <v>-0.9418147</v>
      </c>
      <c r="L1535" s="55">
        <v>-2.1944180000000002</v>
      </c>
      <c r="M1535" s="55">
        <v>-1.412175</v>
      </c>
      <c r="N1535" s="55">
        <v>-1.3390070000000001</v>
      </c>
    </row>
    <row r="1536" spans="1:14" hidden="1" x14ac:dyDescent="0.35">
      <c r="A1536" s="52" t="s">
        <v>242</v>
      </c>
      <c r="B1536" s="52" t="s">
        <v>37</v>
      </c>
      <c r="C1536" s="52" t="s">
        <v>105</v>
      </c>
      <c r="D1536" s="52" t="s">
        <v>105</v>
      </c>
      <c r="E1536" s="52" t="s">
        <v>584</v>
      </c>
      <c r="F1536" s="52" t="s">
        <v>26</v>
      </c>
      <c r="G1536" s="55" t="s">
        <v>277</v>
      </c>
      <c r="H1536" s="55">
        <v>13.63156</v>
      </c>
      <c r="I1536" s="55">
        <v>6.6067450000000001</v>
      </c>
      <c r="J1536" s="55">
        <v>6.2857010000000004</v>
      </c>
      <c r="K1536" s="55">
        <v>6.0386119999999996</v>
      </c>
      <c r="L1536" s="55">
        <v>5.7885590000000002</v>
      </c>
      <c r="M1536" s="55">
        <v>5.4492649999999996</v>
      </c>
      <c r="N1536" s="55">
        <v>5.1645570000000003</v>
      </c>
    </row>
    <row r="1537" spans="1:14" hidden="1" x14ac:dyDescent="0.35">
      <c r="A1537" s="52" t="s">
        <v>242</v>
      </c>
      <c r="B1537" s="52" t="s">
        <v>37</v>
      </c>
      <c r="C1537" s="52" t="s">
        <v>105</v>
      </c>
      <c r="D1537" s="52" t="s">
        <v>105</v>
      </c>
      <c r="E1537" s="52" t="s">
        <v>584</v>
      </c>
      <c r="F1537" s="52" t="s">
        <v>26</v>
      </c>
      <c r="G1537" s="55" t="s">
        <v>278</v>
      </c>
      <c r="H1537" s="55">
        <v>1.9609999999999999E-2</v>
      </c>
      <c r="I1537" s="55">
        <v>0</v>
      </c>
      <c r="J1537" s="55"/>
      <c r="K1537" s="55"/>
      <c r="L1537" s="55"/>
      <c r="M1537" s="55"/>
      <c r="N1537" s="55"/>
    </row>
    <row r="1538" spans="1:14" hidden="1" x14ac:dyDescent="0.35">
      <c r="A1538" s="52" t="s">
        <v>242</v>
      </c>
      <c r="B1538" s="52" t="s">
        <v>37</v>
      </c>
      <c r="C1538" s="52" t="s">
        <v>105</v>
      </c>
      <c r="D1538" s="52" t="s">
        <v>105</v>
      </c>
      <c r="E1538" s="52" t="s">
        <v>584</v>
      </c>
      <c r="F1538" s="52" t="s">
        <v>26</v>
      </c>
      <c r="G1538" s="55" t="s">
        <v>279</v>
      </c>
      <c r="H1538" s="55">
        <v>2.791852</v>
      </c>
      <c r="I1538" s="55">
        <v>2.411149</v>
      </c>
      <c r="J1538" s="55">
        <v>2.369059</v>
      </c>
      <c r="K1538" s="55">
        <v>2.5631270000000002</v>
      </c>
      <c r="L1538" s="55">
        <v>2.7059600000000001</v>
      </c>
      <c r="M1538" s="55">
        <v>2.6333359999999999</v>
      </c>
      <c r="N1538" s="55">
        <v>2.5739559999999999</v>
      </c>
    </row>
    <row r="1539" spans="1:14" hidden="1" x14ac:dyDescent="0.35">
      <c r="A1539" s="52" t="s">
        <v>242</v>
      </c>
      <c r="B1539" s="52" t="s">
        <v>37</v>
      </c>
      <c r="C1539" s="52" t="s">
        <v>218</v>
      </c>
      <c r="D1539" s="52" t="s">
        <v>218</v>
      </c>
      <c r="E1539" s="52" t="s">
        <v>594</v>
      </c>
      <c r="F1539" s="52" t="s">
        <v>581</v>
      </c>
      <c r="G1539" s="55" t="s">
        <v>275</v>
      </c>
      <c r="H1539" s="55">
        <v>-118.9667</v>
      </c>
      <c r="I1539" s="55">
        <v>-0.72695540000000003</v>
      </c>
      <c r="J1539" s="55">
        <v>20.609279999999998</v>
      </c>
      <c r="K1539" s="55">
        <v>44.341299999999997</v>
      </c>
      <c r="L1539" s="55">
        <v>46.62283</v>
      </c>
      <c r="M1539" s="55">
        <v>27.744070000000001</v>
      </c>
      <c r="N1539" s="55">
        <v>23.156700000000001</v>
      </c>
    </row>
    <row r="1540" spans="1:14" hidden="1" x14ac:dyDescent="0.35">
      <c r="A1540" s="52" t="s">
        <v>242</v>
      </c>
      <c r="B1540" s="52" t="s">
        <v>37</v>
      </c>
      <c r="C1540" s="52" t="s">
        <v>218</v>
      </c>
      <c r="D1540" s="52" t="s">
        <v>218</v>
      </c>
      <c r="E1540" s="52" t="s">
        <v>594</v>
      </c>
      <c r="F1540" s="52" t="s">
        <v>581</v>
      </c>
      <c r="G1540" s="55" t="s">
        <v>276</v>
      </c>
      <c r="H1540" s="55">
        <v>5.7325520000000001</v>
      </c>
      <c r="I1540" s="55">
        <v>-18.11591</v>
      </c>
      <c r="J1540" s="55">
        <v>-17.687650000000001</v>
      </c>
      <c r="K1540" s="55">
        <v>-23.206420000000001</v>
      </c>
      <c r="L1540" s="55">
        <v>-22.638300000000001</v>
      </c>
      <c r="M1540" s="55">
        <v>-2.765282</v>
      </c>
      <c r="N1540" s="55">
        <v>-0.32130740000000002</v>
      </c>
    </row>
    <row r="1541" spans="1:14" hidden="1" x14ac:dyDescent="0.35">
      <c r="A1541" s="52" t="s">
        <v>242</v>
      </c>
      <c r="B1541" s="52" t="s">
        <v>37</v>
      </c>
      <c r="C1541" s="52" t="s">
        <v>218</v>
      </c>
      <c r="D1541" s="52" t="s">
        <v>218</v>
      </c>
      <c r="E1541" s="52" t="s">
        <v>594</v>
      </c>
      <c r="F1541" s="52" t="s">
        <v>581</v>
      </c>
      <c r="G1541" s="55" t="s">
        <v>277</v>
      </c>
      <c r="H1541" s="55">
        <v>307.59859999999998</v>
      </c>
      <c r="I1541" s="55">
        <v>76.678569999999993</v>
      </c>
      <c r="J1541" s="55">
        <v>47.214320000000001</v>
      </c>
      <c r="K1541" s="55">
        <v>26.2761</v>
      </c>
      <c r="L1541" s="55">
        <v>21.964950000000002</v>
      </c>
      <c r="M1541" s="55">
        <v>9.9191350000000007</v>
      </c>
      <c r="N1541" s="55">
        <v>8.8077220000000001</v>
      </c>
    </row>
    <row r="1542" spans="1:14" hidden="1" x14ac:dyDescent="0.35">
      <c r="A1542" s="52" t="s">
        <v>242</v>
      </c>
      <c r="B1542" s="52" t="s">
        <v>37</v>
      </c>
      <c r="C1542" s="52" t="s">
        <v>218</v>
      </c>
      <c r="D1542" s="52" t="s">
        <v>218</v>
      </c>
      <c r="E1542" s="52" t="s">
        <v>594</v>
      </c>
      <c r="F1542" s="52" t="s">
        <v>581</v>
      </c>
      <c r="G1542" s="55" t="s">
        <v>278</v>
      </c>
      <c r="H1542" s="55">
        <v>8.9891279999999991</v>
      </c>
      <c r="I1542" s="55">
        <v>2.8663979999999998</v>
      </c>
      <c r="J1542" s="55">
        <v>9.9828010000000003</v>
      </c>
      <c r="K1542" s="55">
        <v>6.563313</v>
      </c>
      <c r="L1542" s="55">
        <v>1.2967169999999999</v>
      </c>
      <c r="M1542" s="55">
        <v>0.35226390000000002</v>
      </c>
      <c r="N1542" s="55">
        <v>0</v>
      </c>
    </row>
    <row r="1543" spans="1:14" hidden="1" x14ac:dyDescent="0.35">
      <c r="A1543" s="52" t="s">
        <v>242</v>
      </c>
      <c r="B1543" s="52" t="s">
        <v>37</v>
      </c>
      <c r="C1543" s="52" t="s">
        <v>218</v>
      </c>
      <c r="D1543" s="52" t="s">
        <v>218</v>
      </c>
      <c r="E1543" s="52" t="s">
        <v>594</v>
      </c>
      <c r="F1543" s="52" t="s">
        <v>581</v>
      </c>
      <c r="G1543" s="55" t="s">
        <v>279</v>
      </c>
      <c r="H1543" s="55">
        <v>68.105009999999993</v>
      </c>
      <c r="I1543" s="55">
        <v>41.588900000000002</v>
      </c>
      <c r="J1543" s="55">
        <v>39.240900000000003</v>
      </c>
      <c r="K1543" s="55">
        <v>36.491840000000003</v>
      </c>
      <c r="L1543" s="55">
        <v>28.764980000000001</v>
      </c>
      <c r="M1543" s="55">
        <v>26.15269</v>
      </c>
      <c r="N1543" s="55">
        <v>22.74381</v>
      </c>
    </row>
    <row r="1544" spans="1:14" hidden="1" x14ac:dyDescent="0.35">
      <c r="A1544" s="52" t="s">
        <v>242</v>
      </c>
      <c r="B1544" s="52" t="s">
        <v>37</v>
      </c>
      <c r="C1544" s="52" t="s">
        <v>218</v>
      </c>
      <c r="D1544" s="52" t="s">
        <v>218</v>
      </c>
      <c r="E1544" s="52" t="s">
        <v>594</v>
      </c>
      <c r="F1544" s="52" t="s">
        <v>26</v>
      </c>
      <c r="G1544" s="55" t="s">
        <v>275</v>
      </c>
      <c r="H1544" s="55">
        <v>1.966243</v>
      </c>
      <c r="I1544" s="55">
        <v>1.7183550000000001</v>
      </c>
      <c r="J1544" s="55">
        <v>2.5199630000000002</v>
      </c>
      <c r="K1544" s="55">
        <v>1.9295979999999999</v>
      </c>
      <c r="L1544" s="55">
        <v>1.8677349999999999</v>
      </c>
      <c r="M1544" s="55">
        <v>0.83608199999999999</v>
      </c>
      <c r="N1544" s="55">
        <v>0.68871879999999996</v>
      </c>
    </row>
    <row r="1545" spans="1:14" hidden="1" x14ac:dyDescent="0.35">
      <c r="A1545" s="52" t="s">
        <v>242</v>
      </c>
      <c r="B1545" s="52" t="s">
        <v>37</v>
      </c>
      <c r="C1545" s="52" t="s">
        <v>218</v>
      </c>
      <c r="D1545" s="52" t="s">
        <v>218</v>
      </c>
      <c r="E1545" s="52" t="s">
        <v>594</v>
      </c>
      <c r="F1545" s="52" t="s">
        <v>26</v>
      </c>
      <c r="G1545" s="55" t="s">
        <v>276</v>
      </c>
      <c r="H1545" s="55">
        <v>0.52267200000000003</v>
      </c>
      <c r="I1545" s="55">
        <v>0.45677519999999999</v>
      </c>
      <c r="J1545" s="55">
        <v>0.66985850000000002</v>
      </c>
      <c r="K1545" s="55">
        <v>0.51293149999999998</v>
      </c>
      <c r="L1545" s="55">
        <v>0.49648890000000001</v>
      </c>
      <c r="M1545" s="55">
        <v>0.2222488</v>
      </c>
      <c r="N1545" s="55">
        <v>0.18307580000000001</v>
      </c>
    </row>
    <row r="1546" spans="1:14" hidden="1" x14ac:dyDescent="0.35">
      <c r="A1546" s="52" t="s">
        <v>242</v>
      </c>
      <c r="B1546" s="52" t="s">
        <v>37</v>
      </c>
      <c r="C1546" s="52" t="s">
        <v>218</v>
      </c>
      <c r="D1546" s="52" t="s">
        <v>218</v>
      </c>
      <c r="E1546" s="52" t="s">
        <v>594</v>
      </c>
      <c r="F1546" s="52" t="s">
        <v>26</v>
      </c>
      <c r="G1546" s="55" t="s">
        <v>279</v>
      </c>
      <c r="H1546" s="55">
        <v>9.1412510000000005</v>
      </c>
      <c r="I1546" s="55">
        <v>9.6443329999999996</v>
      </c>
      <c r="J1546" s="55">
        <v>9.8007100000000005</v>
      </c>
      <c r="K1546" s="55">
        <v>9.0383040000000001</v>
      </c>
      <c r="L1546" s="55">
        <v>7.5132680000000001</v>
      </c>
      <c r="M1546" s="55">
        <v>6.2211179999999997</v>
      </c>
      <c r="N1546" s="55">
        <v>5.0292620000000001</v>
      </c>
    </row>
    <row r="1547" spans="1:14" hidden="1" x14ac:dyDescent="0.35">
      <c r="A1547" s="52" t="s">
        <v>242</v>
      </c>
      <c r="B1547" s="52" t="s">
        <v>37</v>
      </c>
      <c r="C1547" s="52" t="s">
        <v>70</v>
      </c>
      <c r="D1547" s="52" t="s">
        <v>70</v>
      </c>
      <c r="E1547" s="52" t="s">
        <v>618</v>
      </c>
      <c r="F1547" s="52" t="s">
        <v>581</v>
      </c>
      <c r="G1547" s="55" t="s">
        <v>275</v>
      </c>
      <c r="H1547" s="55">
        <v>51.637250000000002</v>
      </c>
      <c r="I1547" s="55">
        <v>3.5818479999999999</v>
      </c>
      <c r="J1547" s="55">
        <v>3.9927199999999998</v>
      </c>
      <c r="K1547" s="55">
        <v>2.4175979999999999</v>
      </c>
      <c r="L1547" s="55">
        <v>2.527101</v>
      </c>
      <c r="M1547" s="55">
        <v>8.8067049999999997E-3</v>
      </c>
      <c r="N1547" s="55">
        <v>0.1249069</v>
      </c>
    </row>
    <row r="1548" spans="1:14" hidden="1" x14ac:dyDescent="0.35">
      <c r="A1548" s="52" t="s">
        <v>242</v>
      </c>
      <c r="B1548" s="52" t="s">
        <v>37</v>
      </c>
      <c r="C1548" s="52" t="s">
        <v>70</v>
      </c>
      <c r="D1548" s="52" t="s">
        <v>70</v>
      </c>
      <c r="E1548" s="52" t="s">
        <v>618</v>
      </c>
      <c r="F1548" s="52" t="s">
        <v>581</v>
      </c>
      <c r="G1548" s="55" t="s">
        <v>276</v>
      </c>
      <c r="H1548" s="55">
        <v>8.8949429999999996</v>
      </c>
      <c r="I1548" s="55">
        <v>0.95213570000000003</v>
      </c>
      <c r="J1548" s="55">
        <v>1.061355</v>
      </c>
      <c r="K1548" s="55">
        <v>0.64265090000000002</v>
      </c>
      <c r="L1548" s="55">
        <v>0.67175949999999995</v>
      </c>
      <c r="M1548" s="55">
        <v>2.3401979999999999E-3</v>
      </c>
      <c r="N1548" s="55">
        <v>3.3202170000000003E-2</v>
      </c>
    </row>
    <row r="1549" spans="1:14" hidden="1" x14ac:dyDescent="0.35">
      <c r="A1549" s="52" t="s">
        <v>242</v>
      </c>
      <c r="B1549" s="52" t="s">
        <v>37</v>
      </c>
      <c r="C1549" s="52" t="s">
        <v>70</v>
      </c>
      <c r="D1549" s="52" t="s">
        <v>70</v>
      </c>
      <c r="E1549" s="52" t="s">
        <v>618</v>
      </c>
      <c r="F1549" s="52" t="s">
        <v>581</v>
      </c>
      <c r="G1549" s="55" t="s">
        <v>277</v>
      </c>
      <c r="H1549" s="55"/>
      <c r="I1549" s="55"/>
      <c r="J1549" s="55"/>
      <c r="K1549" s="55"/>
      <c r="L1549" s="55"/>
      <c r="M1549" s="55">
        <v>0</v>
      </c>
      <c r="N1549" s="55">
        <v>0</v>
      </c>
    </row>
    <row r="1550" spans="1:14" hidden="1" x14ac:dyDescent="0.35">
      <c r="A1550" s="52" t="s">
        <v>242</v>
      </c>
      <c r="B1550" s="52" t="s">
        <v>37</v>
      </c>
      <c r="C1550" s="52" t="s">
        <v>70</v>
      </c>
      <c r="D1550" s="52" t="s">
        <v>70</v>
      </c>
      <c r="E1550" s="52" t="s">
        <v>618</v>
      </c>
      <c r="F1550" s="52" t="s">
        <v>581</v>
      </c>
      <c r="G1550" s="55" t="s">
        <v>279</v>
      </c>
      <c r="H1550" s="55">
        <v>61.113280000000003</v>
      </c>
      <c r="I1550" s="55">
        <v>47.671810000000001</v>
      </c>
      <c r="J1550" s="55">
        <v>42.193939999999998</v>
      </c>
      <c r="K1550" s="55">
        <v>40.758270000000003</v>
      </c>
      <c r="L1550" s="55">
        <v>37.431049999999999</v>
      </c>
      <c r="M1550" s="55">
        <v>37.755980000000001</v>
      </c>
      <c r="N1550" s="55">
        <v>34.748539999999998</v>
      </c>
    </row>
    <row r="1551" spans="1:14" hidden="1" x14ac:dyDescent="0.35">
      <c r="A1551" s="52" t="s">
        <v>242</v>
      </c>
      <c r="B1551" s="52" t="s">
        <v>37</v>
      </c>
      <c r="C1551" s="52" t="s">
        <v>70</v>
      </c>
      <c r="D1551" s="52" t="s">
        <v>70</v>
      </c>
      <c r="E1551" s="52" t="s">
        <v>618</v>
      </c>
      <c r="F1551" s="52" t="s">
        <v>26</v>
      </c>
      <c r="G1551" s="55" t="s">
        <v>275</v>
      </c>
      <c r="H1551" s="55">
        <v>6.6729700000000003</v>
      </c>
      <c r="I1551" s="55">
        <v>4.878908</v>
      </c>
      <c r="J1551" s="55">
        <v>6.800433</v>
      </c>
      <c r="K1551" s="55">
        <v>5.0647650000000004</v>
      </c>
      <c r="L1551" s="55">
        <v>4.7818839999999998</v>
      </c>
      <c r="M1551" s="55">
        <v>2.41025</v>
      </c>
      <c r="N1551" s="55">
        <v>2.2040920000000002</v>
      </c>
    </row>
    <row r="1552" spans="1:14" hidden="1" x14ac:dyDescent="0.35">
      <c r="A1552" s="52" t="s">
        <v>242</v>
      </c>
      <c r="B1552" s="52" t="s">
        <v>37</v>
      </c>
      <c r="C1552" s="52" t="s">
        <v>70</v>
      </c>
      <c r="D1552" s="52" t="s">
        <v>70</v>
      </c>
      <c r="E1552" s="52" t="s">
        <v>618</v>
      </c>
      <c r="F1552" s="52" t="s">
        <v>26</v>
      </c>
      <c r="G1552" s="55" t="s">
        <v>276</v>
      </c>
      <c r="H1552" s="55">
        <v>1.77383</v>
      </c>
      <c r="I1552" s="55">
        <v>1.296924</v>
      </c>
      <c r="J1552" s="55">
        <v>1.8077110000000001</v>
      </c>
      <c r="K1552" s="55">
        <v>1.3463290000000001</v>
      </c>
      <c r="L1552" s="55">
        <v>1.271134</v>
      </c>
      <c r="M1552" s="55">
        <v>0.64069989999999999</v>
      </c>
      <c r="N1552" s="55">
        <v>0.58589789999999997</v>
      </c>
    </row>
    <row r="1553" spans="1:14" hidden="1" x14ac:dyDescent="0.35">
      <c r="A1553" s="52" t="s">
        <v>242</v>
      </c>
      <c r="B1553" s="52" t="s">
        <v>37</v>
      </c>
      <c r="C1553" s="52" t="s">
        <v>70</v>
      </c>
      <c r="D1553" s="52" t="s">
        <v>70</v>
      </c>
      <c r="E1553" s="52" t="s">
        <v>618</v>
      </c>
      <c r="F1553" s="52" t="s">
        <v>26</v>
      </c>
      <c r="G1553" s="55" t="s">
        <v>279</v>
      </c>
      <c r="H1553" s="55">
        <v>45.223269999999999</v>
      </c>
      <c r="I1553" s="55">
        <v>40.087490000000003</v>
      </c>
      <c r="J1553" s="55">
        <v>35.753270000000001</v>
      </c>
      <c r="K1553" s="55">
        <v>34.517940000000003</v>
      </c>
      <c r="L1553" s="55">
        <v>31.7317</v>
      </c>
      <c r="M1553" s="55">
        <v>31.899539999999998</v>
      </c>
      <c r="N1553" s="55">
        <v>29.342970000000001</v>
      </c>
    </row>
    <row r="1554" spans="1:14" hidden="1" x14ac:dyDescent="0.35">
      <c r="A1554" s="52" t="s">
        <v>242</v>
      </c>
      <c r="B1554" s="52" t="s">
        <v>37</v>
      </c>
      <c r="C1554" s="52" t="s">
        <v>63</v>
      </c>
      <c r="D1554" s="52" t="s">
        <v>63</v>
      </c>
      <c r="E1554" s="52" t="s">
        <v>621</v>
      </c>
      <c r="F1554" s="52" t="s">
        <v>26</v>
      </c>
      <c r="G1554" s="55" t="s">
        <v>275</v>
      </c>
      <c r="H1554" s="55">
        <v>-17.285119999999999</v>
      </c>
      <c r="I1554" s="55">
        <v>6.7210429999999999</v>
      </c>
      <c r="J1554" s="55">
        <v>7.9076919999999999</v>
      </c>
      <c r="K1554" s="55">
        <v>4.4236360000000001</v>
      </c>
      <c r="L1554" s="55">
        <v>1.288108</v>
      </c>
      <c r="M1554" s="55">
        <v>4.4900919999999998</v>
      </c>
      <c r="N1554" s="55">
        <v>2.872465</v>
      </c>
    </row>
    <row r="1555" spans="1:14" hidden="1" x14ac:dyDescent="0.35">
      <c r="A1555" s="52" t="s">
        <v>242</v>
      </c>
      <c r="B1555" s="52" t="s">
        <v>37</v>
      </c>
      <c r="C1555" s="52" t="s">
        <v>63</v>
      </c>
      <c r="D1555" s="52" t="s">
        <v>63</v>
      </c>
      <c r="E1555" s="52" t="s">
        <v>621</v>
      </c>
      <c r="F1555" s="52" t="s">
        <v>26</v>
      </c>
      <c r="G1555" s="55" t="s">
        <v>276</v>
      </c>
      <c r="H1555" s="55">
        <v>-0.93623789999999996</v>
      </c>
      <c r="I1555" s="55">
        <v>-1.4983219999999999</v>
      </c>
      <c r="J1555" s="55">
        <v>-1.27843</v>
      </c>
      <c r="K1555" s="55">
        <v>-1.4079200000000001</v>
      </c>
      <c r="L1555" s="55">
        <v>-1.4384669999999999</v>
      </c>
      <c r="M1555" s="55">
        <v>-1.35842</v>
      </c>
      <c r="N1555" s="55">
        <v>-8.5386379999999998E-2</v>
      </c>
    </row>
    <row r="1556" spans="1:14" hidden="1" x14ac:dyDescent="0.35">
      <c r="A1556" s="52" t="s">
        <v>242</v>
      </c>
      <c r="B1556" s="52" t="s">
        <v>37</v>
      </c>
      <c r="C1556" s="52" t="s">
        <v>63</v>
      </c>
      <c r="D1556" s="52" t="s">
        <v>63</v>
      </c>
      <c r="E1556" s="52" t="s">
        <v>621</v>
      </c>
      <c r="F1556" s="52" t="s">
        <v>26</v>
      </c>
      <c r="G1556" s="55" t="s">
        <v>277</v>
      </c>
      <c r="H1556" s="55">
        <v>34.468119999999999</v>
      </c>
      <c r="I1556" s="55">
        <v>0</v>
      </c>
      <c r="J1556" s="55">
        <v>0</v>
      </c>
      <c r="K1556" s="55">
        <v>2.1299079999999999</v>
      </c>
      <c r="L1556" s="55">
        <v>5.4808770000000004</v>
      </c>
      <c r="M1556" s="55">
        <v>0</v>
      </c>
      <c r="N1556" s="55">
        <v>0</v>
      </c>
    </row>
    <row r="1557" spans="1:14" hidden="1" x14ac:dyDescent="0.35">
      <c r="A1557" s="52" t="s">
        <v>242</v>
      </c>
      <c r="B1557" s="52" t="s">
        <v>37</v>
      </c>
      <c r="C1557" s="52" t="s">
        <v>63</v>
      </c>
      <c r="D1557" s="52" t="s">
        <v>63</v>
      </c>
      <c r="E1557" s="52" t="s">
        <v>621</v>
      </c>
      <c r="F1557" s="52" t="s">
        <v>26</v>
      </c>
      <c r="G1557" s="55" t="s">
        <v>278</v>
      </c>
      <c r="H1557" s="55">
        <v>0</v>
      </c>
      <c r="I1557" s="55"/>
      <c r="J1557" s="55"/>
      <c r="K1557" s="55"/>
      <c r="L1557" s="55"/>
      <c r="M1557" s="55"/>
      <c r="N1557" s="55"/>
    </row>
    <row r="1558" spans="1:14" hidden="1" x14ac:dyDescent="0.35">
      <c r="A1558" s="52" t="s">
        <v>242</v>
      </c>
      <c r="B1558" s="52" t="s">
        <v>37</v>
      </c>
      <c r="C1558" s="52" t="s">
        <v>63</v>
      </c>
      <c r="D1558" s="52" t="s">
        <v>63</v>
      </c>
      <c r="E1558" s="52" t="s">
        <v>621</v>
      </c>
      <c r="F1558" s="52" t="s">
        <v>26</v>
      </c>
      <c r="G1558" s="55" t="s">
        <v>279</v>
      </c>
      <c r="H1558" s="55">
        <v>42.396099999999997</v>
      </c>
      <c r="I1558" s="55">
        <v>26.467860000000002</v>
      </c>
      <c r="J1558" s="55">
        <v>22.681809999999999</v>
      </c>
      <c r="K1558" s="55">
        <v>21.777550000000002</v>
      </c>
      <c r="L1558" s="55">
        <v>21.34394</v>
      </c>
      <c r="M1558" s="55">
        <v>22.670400000000001</v>
      </c>
      <c r="N1558" s="55">
        <v>20.26202</v>
      </c>
    </row>
    <row r="1559" spans="1:14" hidden="1" x14ac:dyDescent="0.35">
      <c r="A1559" s="52" t="s">
        <v>242</v>
      </c>
      <c r="B1559" s="52" t="s">
        <v>37</v>
      </c>
      <c r="C1559" s="52" t="s">
        <v>63</v>
      </c>
      <c r="D1559" s="52" t="s">
        <v>63</v>
      </c>
      <c r="E1559" s="52" t="s">
        <v>584</v>
      </c>
      <c r="F1559" s="52" t="s">
        <v>581</v>
      </c>
      <c r="G1559" s="55" t="s">
        <v>275</v>
      </c>
      <c r="H1559" s="55">
        <v>1.0741000000000001E-2</v>
      </c>
      <c r="I1559" s="55">
        <v>0</v>
      </c>
      <c r="J1559" s="55"/>
      <c r="K1559" s="55"/>
      <c r="L1559" s="55"/>
      <c r="M1559" s="55"/>
      <c r="N1559" s="55"/>
    </row>
    <row r="1560" spans="1:14" hidden="1" x14ac:dyDescent="0.35">
      <c r="A1560" s="52" t="s">
        <v>242</v>
      </c>
      <c r="B1560" s="52" t="s">
        <v>37</v>
      </c>
      <c r="C1560" s="52" t="s">
        <v>63</v>
      </c>
      <c r="D1560" s="52" t="s">
        <v>63</v>
      </c>
      <c r="E1560" s="52" t="s">
        <v>584</v>
      </c>
      <c r="F1560" s="52" t="s">
        <v>581</v>
      </c>
      <c r="G1560" s="55" t="s">
        <v>276</v>
      </c>
      <c r="H1560" s="55">
        <v>4.3480000000000003E-3</v>
      </c>
      <c r="I1560" s="55">
        <v>0</v>
      </c>
      <c r="J1560" s="55"/>
      <c r="K1560" s="55"/>
      <c r="L1560" s="55"/>
      <c r="M1560" s="55"/>
      <c r="N1560" s="55"/>
    </row>
    <row r="1561" spans="1:14" hidden="1" x14ac:dyDescent="0.35">
      <c r="A1561" s="52" t="s">
        <v>242</v>
      </c>
      <c r="B1561" s="52" t="s">
        <v>37</v>
      </c>
      <c r="C1561" s="52" t="s">
        <v>63</v>
      </c>
      <c r="D1561" s="52" t="s">
        <v>63</v>
      </c>
      <c r="E1561" s="52" t="s">
        <v>584</v>
      </c>
      <c r="F1561" s="52" t="s">
        <v>581</v>
      </c>
      <c r="G1561" s="55" t="s">
        <v>279</v>
      </c>
      <c r="H1561" s="55">
        <v>1.7179999999999999E-3</v>
      </c>
      <c r="I1561" s="55">
        <v>0</v>
      </c>
      <c r="J1561" s="55"/>
      <c r="K1561" s="55"/>
      <c r="L1561" s="55"/>
      <c r="M1561" s="55"/>
      <c r="N1561" s="55"/>
    </row>
    <row r="1562" spans="1:14" hidden="1" x14ac:dyDescent="0.35">
      <c r="A1562" s="52" t="s">
        <v>242</v>
      </c>
      <c r="B1562" s="52" t="s">
        <v>37</v>
      </c>
      <c r="C1562" s="52" t="s">
        <v>63</v>
      </c>
      <c r="D1562" s="52" t="s">
        <v>63</v>
      </c>
      <c r="E1562" s="52" t="s">
        <v>584</v>
      </c>
      <c r="F1562" s="52" t="s">
        <v>26</v>
      </c>
      <c r="G1562" s="55" t="s">
        <v>275</v>
      </c>
      <c r="H1562" s="55">
        <v>-5.8768760000000002</v>
      </c>
      <c r="I1562" s="55">
        <v>-4.5479469999999997</v>
      </c>
      <c r="J1562" s="55">
        <v>-3.7836400000000001</v>
      </c>
      <c r="K1562" s="55">
        <v>-3.8416359999999998</v>
      </c>
      <c r="L1562" s="55">
        <v>-3.9670930000000002</v>
      </c>
      <c r="M1562" s="55">
        <v>-3.7575029999999998</v>
      </c>
      <c r="N1562" s="55">
        <v>-3.5460889999999998</v>
      </c>
    </row>
    <row r="1563" spans="1:14" hidden="1" x14ac:dyDescent="0.35">
      <c r="A1563" s="52" t="s">
        <v>242</v>
      </c>
      <c r="B1563" s="52" t="s">
        <v>37</v>
      </c>
      <c r="C1563" s="52" t="s">
        <v>63</v>
      </c>
      <c r="D1563" s="52" t="s">
        <v>63</v>
      </c>
      <c r="E1563" s="52" t="s">
        <v>584</v>
      </c>
      <c r="F1563" s="52" t="s">
        <v>26</v>
      </c>
      <c r="G1563" s="55" t="s">
        <v>276</v>
      </c>
      <c r="H1563" s="55">
        <v>-0.75684700000000005</v>
      </c>
      <c r="I1563" s="55">
        <v>-0.97946940000000005</v>
      </c>
      <c r="J1563" s="55">
        <v>-0.74336080000000004</v>
      </c>
      <c r="K1563" s="55">
        <v>-0.69304449999999995</v>
      </c>
      <c r="L1563" s="55">
        <v>-0.52015920000000004</v>
      </c>
      <c r="M1563" s="55">
        <v>-0.48561019999999999</v>
      </c>
      <c r="N1563" s="55">
        <v>-0.4849231</v>
      </c>
    </row>
    <row r="1564" spans="1:14" hidden="1" x14ac:dyDescent="0.35">
      <c r="A1564" s="52" t="s">
        <v>242</v>
      </c>
      <c r="B1564" s="52" t="s">
        <v>37</v>
      </c>
      <c r="C1564" s="52" t="s">
        <v>63</v>
      </c>
      <c r="D1564" s="52" t="s">
        <v>63</v>
      </c>
      <c r="E1564" s="52" t="s">
        <v>584</v>
      </c>
      <c r="F1564" s="52" t="s">
        <v>26</v>
      </c>
      <c r="G1564" s="55" t="s">
        <v>277</v>
      </c>
      <c r="H1564" s="55">
        <v>7.5458059999999998</v>
      </c>
      <c r="I1564" s="55">
        <v>5.712936</v>
      </c>
      <c r="J1564" s="55">
        <v>5.436788</v>
      </c>
      <c r="K1564" s="55">
        <v>5.3186080000000002</v>
      </c>
      <c r="L1564" s="55">
        <v>5.1626019999999997</v>
      </c>
      <c r="M1564" s="55">
        <v>4.9008310000000002</v>
      </c>
      <c r="N1564" s="55">
        <v>4.6730700000000001</v>
      </c>
    </row>
    <row r="1565" spans="1:14" hidden="1" x14ac:dyDescent="0.35">
      <c r="A1565" s="52" t="s">
        <v>242</v>
      </c>
      <c r="B1565" s="52" t="s">
        <v>37</v>
      </c>
      <c r="C1565" s="52" t="s">
        <v>63</v>
      </c>
      <c r="D1565" s="52" t="s">
        <v>63</v>
      </c>
      <c r="E1565" s="52" t="s">
        <v>584</v>
      </c>
      <c r="F1565" s="52" t="s">
        <v>26</v>
      </c>
      <c r="G1565" s="55" t="s">
        <v>278</v>
      </c>
      <c r="H1565" s="55">
        <v>3.1252000000000002E-2</v>
      </c>
      <c r="I1565" s="55">
        <v>0</v>
      </c>
      <c r="J1565" s="55"/>
      <c r="K1565" s="55"/>
      <c r="L1565" s="55"/>
      <c r="M1565" s="55"/>
      <c r="N1565" s="55"/>
    </row>
    <row r="1566" spans="1:14" hidden="1" x14ac:dyDescent="0.35">
      <c r="A1566" s="52" t="s">
        <v>242</v>
      </c>
      <c r="B1566" s="52" t="s">
        <v>37</v>
      </c>
      <c r="C1566" s="52" t="s">
        <v>63</v>
      </c>
      <c r="D1566" s="52" t="s">
        <v>63</v>
      </c>
      <c r="E1566" s="52" t="s">
        <v>584</v>
      </c>
      <c r="F1566" s="52" t="s">
        <v>26</v>
      </c>
      <c r="G1566" s="55" t="s">
        <v>279</v>
      </c>
      <c r="H1566" s="55">
        <v>1.9670080000000001</v>
      </c>
      <c r="I1566" s="55">
        <v>2.2804069999999999</v>
      </c>
      <c r="J1566" s="55">
        <v>1.6728559999999999</v>
      </c>
      <c r="K1566" s="55">
        <v>1.806292</v>
      </c>
      <c r="L1566" s="55">
        <v>1.904218</v>
      </c>
      <c r="M1566" s="55">
        <v>1.8531299999999999</v>
      </c>
      <c r="N1566" s="55">
        <v>1.8113410000000001</v>
      </c>
    </row>
    <row r="1567" spans="1:14" hidden="1" x14ac:dyDescent="0.35">
      <c r="A1567" s="52" t="s">
        <v>242</v>
      </c>
      <c r="B1567" s="52" t="s">
        <v>37</v>
      </c>
      <c r="C1567" s="52" t="s">
        <v>99</v>
      </c>
      <c r="D1567" s="52" t="s">
        <v>100</v>
      </c>
      <c r="E1567" s="52" t="s">
        <v>584</v>
      </c>
      <c r="F1567" s="52" t="s">
        <v>581</v>
      </c>
      <c r="G1567" s="55" t="s">
        <v>275</v>
      </c>
      <c r="H1567" s="55">
        <v>9.2884170000000008</v>
      </c>
      <c r="I1567" s="55">
        <v>-1.8380399999999999</v>
      </c>
      <c r="J1567" s="55">
        <v>-0.24977920000000001</v>
      </c>
      <c r="K1567" s="55">
        <v>-0.2109975</v>
      </c>
      <c r="L1567" s="55">
        <v>-0.45209650000000001</v>
      </c>
      <c r="M1567" s="55">
        <v>-0.52994629999999998</v>
      </c>
      <c r="N1567" s="55">
        <v>-0.64812150000000002</v>
      </c>
    </row>
    <row r="1568" spans="1:14" hidden="1" x14ac:dyDescent="0.35">
      <c r="A1568" s="52" t="s">
        <v>242</v>
      </c>
      <c r="B1568" s="52" t="s">
        <v>37</v>
      </c>
      <c r="C1568" s="52" t="s">
        <v>99</v>
      </c>
      <c r="D1568" s="52" t="s">
        <v>100</v>
      </c>
      <c r="E1568" s="52" t="s">
        <v>584</v>
      </c>
      <c r="F1568" s="52" t="s">
        <v>581</v>
      </c>
      <c r="G1568" s="55" t="s">
        <v>276</v>
      </c>
      <c r="H1568" s="55">
        <v>2.9328340000000002</v>
      </c>
      <c r="I1568" s="55">
        <v>0.3181311</v>
      </c>
      <c r="J1568" s="55">
        <v>-0.83922450000000004</v>
      </c>
      <c r="K1568" s="55">
        <v>-1.334403</v>
      </c>
      <c r="L1568" s="55">
        <v>-1.14385</v>
      </c>
      <c r="M1568" s="55">
        <v>-0.85797330000000005</v>
      </c>
      <c r="N1568" s="55">
        <v>-0.72550199999999998</v>
      </c>
    </row>
    <row r="1569" spans="1:14" hidden="1" x14ac:dyDescent="0.35">
      <c r="A1569" s="52" t="s">
        <v>242</v>
      </c>
      <c r="B1569" s="52" t="s">
        <v>37</v>
      </c>
      <c r="C1569" s="52" t="s">
        <v>99</v>
      </c>
      <c r="D1569" s="52" t="s">
        <v>100</v>
      </c>
      <c r="E1569" s="52" t="s">
        <v>584</v>
      </c>
      <c r="F1569" s="52" t="s">
        <v>581</v>
      </c>
      <c r="G1569" s="55" t="s">
        <v>277</v>
      </c>
      <c r="H1569" s="55">
        <v>14.497210000000001</v>
      </c>
      <c r="I1569" s="55">
        <v>10.900969999999999</v>
      </c>
      <c r="J1569" s="55">
        <v>8.9676460000000002</v>
      </c>
      <c r="K1569" s="55">
        <v>8.1001379999999994</v>
      </c>
      <c r="L1569" s="55">
        <v>7.071097</v>
      </c>
      <c r="M1569" s="55">
        <v>6.0673069999999996</v>
      </c>
      <c r="N1569" s="55">
        <v>5.3716540000000004</v>
      </c>
    </row>
    <row r="1570" spans="1:14" hidden="1" x14ac:dyDescent="0.35">
      <c r="A1570" s="52" t="s">
        <v>242</v>
      </c>
      <c r="B1570" s="52" t="s">
        <v>37</v>
      </c>
      <c r="C1570" s="52" t="s">
        <v>99</v>
      </c>
      <c r="D1570" s="52" t="s">
        <v>100</v>
      </c>
      <c r="E1570" s="52" t="s">
        <v>584</v>
      </c>
      <c r="F1570" s="52" t="s">
        <v>581</v>
      </c>
      <c r="G1570" s="55" t="s">
        <v>278</v>
      </c>
      <c r="H1570" s="55">
        <v>2.3535E-2</v>
      </c>
      <c r="I1570" s="55">
        <v>0</v>
      </c>
      <c r="J1570" s="55"/>
      <c r="K1570" s="55"/>
      <c r="L1570" s="55"/>
      <c r="M1570" s="55"/>
      <c r="N1570" s="55"/>
    </row>
    <row r="1571" spans="1:14" hidden="1" x14ac:dyDescent="0.35">
      <c r="A1571" s="52" t="s">
        <v>242</v>
      </c>
      <c r="B1571" s="52" t="s">
        <v>37</v>
      </c>
      <c r="C1571" s="52" t="s">
        <v>99</v>
      </c>
      <c r="D1571" s="52" t="s">
        <v>100</v>
      </c>
      <c r="E1571" s="52" t="s">
        <v>584</v>
      </c>
      <c r="F1571" s="52" t="s">
        <v>581</v>
      </c>
      <c r="G1571" s="55" t="s">
        <v>279</v>
      </c>
      <c r="H1571" s="55">
        <v>6.5750599999999997</v>
      </c>
      <c r="I1571" s="55">
        <v>3.9640270000000002</v>
      </c>
      <c r="J1571" s="55">
        <v>3.2666770000000001</v>
      </c>
      <c r="K1571" s="55">
        <v>2.956153</v>
      </c>
      <c r="L1571" s="55">
        <v>2.639386</v>
      </c>
      <c r="M1571" s="55">
        <v>2.2430590000000001</v>
      </c>
      <c r="N1571" s="55">
        <v>1.906156</v>
      </c>
    </row>
    <row r="1572" spans="1:14" hidden="1" x14ac:dyDescent="0.35">
      <c r="A1572" s="52" t="s">
        <v>242</v>
      </c>
      <c r="B1572" s="52" t="s">
        <v>37</v>
      </c>
      <c r="C1572" s="52" t="s">
        <v>99</v>
      </c>
      <c r="D1572" s="52" t="s">
        <v>100</v>
      </c>
      <c r="E1572" s="52" t="s">
        <v>584</v>
      </c>
      <c r="F1572" s="52" t="s">
        <v>26</v>
      </c>
      <c r="G1572" s="55" t="s">
        <v>275</v>
      </c>
      <c r="H1572" s="55">
        <v>0.41188000000000002</v>
      </c>
      <c r="I1572" s="55">
        <v>0.34247129999999998</v>
      </c>
      <c r="J1572" s="55">
        <v>0.41163369999999999</v>
      </c>
      <c r="K1572" s="55">
        <v>0.36550470000000002</v>
      </c>
      <c r="L1572" s="55">
        <v>0.32710460000000002</v>
      </c>
      <c r="M1572" s="55">
        <v>0.33531450000000002</v>
      </c>
      <c r="N1572" s="55">
        <v>0.3430357</v>
      </c>
    </row>
    <row r="1573" spans="1:14" hidden="1" x14ac:dyDescent="0.35">
      <c r="A1573" s="52" t="s">
        <v>242</v>
      </c>
      <c r="B1573" s="52" t="s">
        <v>37</v>
      </c>
      <c r="C1573" s="52" t="s">
        <v>99</v>
      </c>
      <c r="D1573" s="52" t="s">
        <v>100</v>
      </c>
      <c r="E1573" s="52" t="s">
        <v>584</v>
      </c>
      <c r="F1573" s="52" t="s">
        <v>26</v>
      </c>
      <c r="G1573" s="55" t="s">
        <v>276</v>
      </c>
      <c r="H1573" s="55">
        <v>0.109486</v>
      </c>
      <c r="I1573" s="55">
        <v>9.1036800000000001E-2</v>
      </c>
      <c r="J1573" s="55">
        <v>0.1094213</v>
      </c>
      <c r="K1573" s="55">
        <v>9.7159300000000004E-2</v>
      </c>
      <c r="L1573" s="55">
        <v>8.6952109999999999E-2</v>
      </c>
      <c r="M1573" s="55">
        <v>8.91343E-2</v>
      </c>
      <c r="N1573" s="55">
        <v>9.1186390000000006E-2</v>
      </c>
    </row>
    <row r="1574" spans="1:14" hidden="1" x14ac:dyDescent="0.35">
      <c r="A1574" s="52" t="s">
        <v>242</v>
      </c>
      <c r="B1574" s="52" t="s">
        <v>37</v>
      </c>
      <c r="C1574" s="52" t="s">
        <v>99</v>
      </c>
      <c r="D1574" s="52" t="s">
        <v>100</v>
      </c>
      <c r="E1574" s="52" t="s">
        <v>584</v>
      </c>
      <c r="F1574" s="52" t="s">
        <v>26</v>
      </c>
      <c r="G1574" s="55" t="s">
        <v>279</v>
      </c>
      <c r="H1574" s="55">
        <v>1.0009650000000001</v>
      </c>
      <c r="I1574" s="55">
        <v>0.88241930000000002</v>
      </c>
      <c r="J1574" s="55">
        <v>0.88504400000000005</v>
      </c>
      <c r="K1574" s="55">
        <v>0.97881169999999995</v>
      </c>
      <c r="L1574" s="55">
        <v>1.06456</v>
      </c>
      <c r="M1574" s="55">
        <v>1.0913109999999999</v>
      </c>
      <c r="N1574" s="55">
        <v>1.118679</v>
      </c>
    </row>
    <row r="1575" spans="1:14" hidden="1" x14ac:dyDescent="0.35">
      <c r="A1575" s="52" t="s">
        <v>242</v>
      </c>
      <c r="B1575" s="52" t="s">
        <v>37</v>
      </c>
      <c r="C1575" s="52" t="s">
        <v>99</v>
      </c>
      <c r="D1575" s="52" t="s">
        <v>101</v>
      </c>
      <c r="E1575" s="52" t="s">
        <v>584</v>
      </c>
      <c r="F1575" s="52" t="s">
        <v>581</v>
      </c>
      <c r="G1575" s="55" t="s">
        <v>275</v>
      </c>
      <c r="H1575" s="55">
        <v>2.7778459999999998</v>
      </c>
      <c r="I1575" s="55">
        <v>0.70997750000000004</v>
      </c>
      <c r="J1575" s="55">
        <v>0.66368419999999995</v>
      </c>
      <c r="K1575" s="55">
        <v>0.59323199999999998</v>
      </c>
      <c r="L1575" s="55">
        <v>0.56907050000000003</v>
      </c>
      <c r="M1575" s="55">
        <v>0.46011619999999998</v>
      </c>
      <c r="N1575" s="55">
        <v>0.42690400000000001</v>
      </c>
    </row>
    <row r="1576" spans="1:14" hidden="1" x14ac:dyDescent="0.35">
      <c r="A1576" s="52" t="s">
        <v>242</v>
      </c>
      <c r="B1576" s="52" t="s">
        <v>37</v>
      </c>
      <c r="C1576" s="52" t="s">
        <v>99</v>
      </c>
      <c r="D1576" s="52" t="s">
        <v>101</v>
      </c>
      <c r="E1576" s="52" t="s">
        <v>584</v>
      </c>
      <c r="F1576" s="52" t="s">
        <v>581</v>
      </c>
      <c r="G1576" s="55" t="s">
        <v>276</v>
      </c>
      <c r="H1576" s="55">
        <v>0.73841500000000004</v>
      </c>
      <c r="I1576" s="55">
        <v>0.1887278</v>
      </c>
      <c r="J1576" s="55">
        <v>0.1764223</v>
      </c>
      <c r="K1576" s="55">
        <v>0.1576948</v>
      </c>
      <c r="L1576" s="55">
        <v>0.1512715</v>
      </c>
      <c r="M1576" s="55">
        <v>0.1223091</v>
      </c>
      <c r="N1576" s="55">
        <v>0.1134805</v>
      </c>
    </row>
    <row r="1577" spans="1:14" hidden="1" x14ac:dyDescent="0.35">
      <c r="A1577" s="52" t="s">
        <v>242</v>
      </c>
      <c r="B1577" s="52" t="s">
        <v>37</v>
      </c>
      <c r="C1577" s="52" t="s">
        <v>99</v>
      </c>
      <c r="D1577" s="52" t="s">
        <v>101</v>
      </c>
      <c r="E1577" s="52" t="s">
        <v>584</v>
      </c>
      <c r="F1577" s="52" t="s">
        <v>581</v>
      </c>
      <c r="G1577" s="55" t="s">
        <v>279</v>
      </c>
      <c r="H1577" s="55">
        <v>1.648542</v>
      </c>
      <c r="I1577" s="55">
        <v>1.0482229999999999</v>
      </c>
      <c r="J1577" s="55">
        <v>0.91946539999999999</v>
      </c>
      <c r="K1577" s="55">
        <v>0.87837900000000002</v>
      </c>
      <c r="L1577" s="55">
        <v>0.78779619999999995</v>
      </c>
      <c r="M1577" s="55">
        <v>0.81674720000000001</v>
      </c>
      <c r="N1577" s="55">
        <v>0.75003640000000005</v>
      </c>
    </row>
    <row r="1578" spans="1:14" hidden="1" x14ac:dyDescent="0.35">
      <c r="A1578" s="52" t="s">
        <v>242</v>
      </c>
      <c r="B1578" s="52" t="s">
        <v>37</v>
      </c>
      <c r="C1578" s="52" t="s">
        <v>99</v>
      </c>
      <c r="D1578" s="52" t="s">
        <v>101</v>
      </c>
      <c r="E1578" s="52" t="s">
        <v>584</v>
      </c>
      <c r="F1578" s="52" t="s">
        <v>26</v>
      </c>
      <c r="G1578" s="55" t="s">
        <v>275</v>
      </c>
      <c r="H1578" s="55">
        <v>-21.135619999999999</v>
      </c>
      <c r="I1578" s="55">
        <v>6.8771149999999999</v>
      </c>
      <c r="J1578" s="55">
        <v>4.88002</v>
      </c>
      <c r="K1578" s="55">
        <v>6.3443129999999996</v>
      </c>
      <c r="L1578" s="55">
        <v>5.1278189999999997</v>
      </c>
      <c r="M1578" s="55">
        <v>2.02285</v>
      </c>
      <c r="N1578" s="55">
        <v>1.8532310000000001</v>
      </c>
    </row>
    <row r="1579" spans="1:14" hidden="1" x14ac:dyDescent="0.35">
      <c r="A1579" s="52" t="s">
        <v>242</v>
      </c>
      <c r="B1579" s="52" t="s">
        <v>37</v>
      </c>
      <c r="C1579" s="52" t="s">
        <v>99</v>
      </c>
      <c r="D1579" s="52" t="s">
        <v>101</v>
      </c>
      <c r="E1579" s="52" t="s">
        <v>584</v>
      </c>
      <c r="F1579" s="52" t="s">
        <v>26</v>
      </c>
      <c r="G1579" s="55" t="s">
        <v>276</v>
      </c>
      <c r="H1579" s="55">
        <v>-1.4581980000000001</v>
      </c>
      <c r="I1579" s="55">
        <v>-2.9940169999999999</v>
      </c>
      <c r="J1579" s="55">
        <v>-0.60259660000000004</v>
      </c>
      <c r="K1579" s="55">
        <v>-2.742327</v>
      </c>
      <c r="L1579" s="55">
        <v>-1.8073889999999999</v>
      </c>
      <c r="M1579" s="55">
        <v>0.53771939999999996</v>
      </c>
      <c r="N1579" s="55">
        <v>0.49263089999999998</v>
      </c>
    </row>
    <row r="1580" spans="1:14" hidden="1" x14ac:dyDescent="0.35">
      <c r="A1580" s="52" t="s">
        <v>242</v>
      </c>
      <c r="B1580" s="52" t="s">
        <v>37</v>
      </c>
      <c r="C1580" s="52" t="s">
        <v>99</v>
      </c>
      <c r="D1580" s="52" t="s">
        <v>101</v>
      </c>
      <c r="E1580" s="52" t="s">
        <v>584</v>
      </c>
      <c r="F1580" s="52" t="s">
        <v>26</v>
      </c>
      <c r="G1580" s="55" t="s">
        <v>277</v>
      </c>
      <c r="H1580" s="55">
        <v>29.118760000000002</v>
      </c>
      <c r="I1580" s="55">
        <v>0</v>
      </c>
      <c r="J1580" s="55"/>
      <c r="K1580" s="55"/>
      <c r="L1580" s="55"/>
      <c r="M1580" s="55"/>
      <c r="N1580" s="55"/>
    </row>
    <row r="1581" spans="1:14" hidden="1" x14ac:dyDescent="0.35">
      <c r="A1581" s="52" t="s">
        <v>242</v>
      </c>
      <c r="B1581" s="52" t="s">
        <v>37</v>
      </c>
      <c r="C1581" s="52" t="s">
        <v>99</v>
      </c>
      <c r="D1581" s="52" t="s">
        <v>101</v>
      </c>
      <c r="E1581" s="52" t="s">
        <v>584</v>
      </c>
      <c r="F1581" s="52" t="s">
        <v>26</v>
      </c>
      <c r="G1581" s="55" t="s">
        <v>279</v>
      </c>
      <c r="H1581" s="55">
        <v>12.69449</v>
      </c>
      <c r="I1581" s="55">
        <v>8.2524909999999991</v>
      </c>
      <c r="J1581" s="55">
        <v>7.3429840000000004</v>
      </c>
      <c r="K1581" s="55">
        <v>7.1025879999999999</v>
      </c>
      <c r="L1581" s="55">
        <v>6.5447379999999997</v>
      </c>
      <c r="M1581" s="55">
        <v>6.5470309999999996</v>
      </c>
      <c r="N1581" s="55">
        <v>6.0095549999999998</v>
      </c>
    </row>
    <row r="1582" spans="1:14" hidden="1" x14ac:dyDescent="0.35">
      <c r="A1582" s="52" t="s">
        <v>242</v>
      </c>
      <c r="B1582" s="52" t="s">
        <v>37</v>
      </c>
      <c r="C1582" s="52" t="s">
        <v>46</v>
      </c>
      <c r="D1582" s="52" t="s">
        <v>46</v>
      </c>
      <c r="E1582" s="52" t="s">
        <v>584</v>
      </c>
      <c r="F1582" s="52" t="s">
        <v>581</v>
      </c>
      <c r="G1582" s="55" t="s">
        <v>275</v>
      </c>
      <c r="H1582" s="55">
        <v>3.167157</v>
      </c>
      <c r="I1582" s="55">
        <v>1.611742</v>
      </c>
      <c r="J1582" s="55">
        <v>0.7216979</v>
      </c>
      <c r="K1582" s="55">
        <v>0.48569810000000002</v>
      </c>
      <c r="L1582" s="55">
        <v>0.68634649999999997</v>
      </c>
      <c r="M1582" s="55">
        <v>0.61262119999999998</v>
      </c>
      <c r="N1582" s="55">
        <v>0.62573970000000001</v>
      </c>
    </row>
    <row r="1583" spans="1:14" hidden="1" x14ac:dyDescent="0.35">
      <c r="A1583" s="52" t="s">
        <v>242</v>
      </c>
      <c r="B1583" s="52" t="s">
        <v>37</v>
      </c>
      <c r="C1583" s="52" t="s">
        <v>46</v>
      </c>
      <c r="D1583" s="52" t="s">
        <v>46</v>
      </c>
      <c r="E1583" s="52" t="s">
        <v>584</v>
      </c>
      <c r="F1583" s="52" t="s">
        <v>581</v>
      </c>
      <c r="G1583" s="55" t="s">
        <v>276</v>
      </c>
      <c r="H1583" s="55">
        <v>0.39719199999999999</v>
      </c>
      <c r="I1583" s="55">
        <v>-0.87731119999999996</v>
      </c>
      <c r="J1583" s="55">
        <v>0.1073046</v>
      </c>
      <c r="K1583" s="55">
        <v>0.28123100000000001</v>
      </c>
      <c r="L1583" s="55">
        <v>2.9329689999999999E-2</v>
      </c>
      <c r="M1583" s="55">
        <v>0.1200218</v>
      </c>
      <c r="N1583" s="55">
        <v>0.1240778</v>
      </c>
    </row>
    <row r="1584" spans="1:14" hidden="1" x14ac:dyDescent="0.35">
      <c r="A1584" s="52" t="s">
        <v>242</v>
      </c>
      <c r="B1584" s="52" t="s">
        <v>37</v>
      </c>
      <c r="C1584" s="52" t="s">
        <v>46</v>
      </c>
      <c r="D1584" s="52" t="s">
        <v>46</v>
      </c>
      <c r="E1584" s="52" t="s">
        <v>584</v>
      </c>
      <c r="F1584" s="52" t="s">
        <v>581</v>
      </c>
      <c r="G1584" s="55" t="s">
        <v>277</v>
      </c>
      <c r="H1584" s="55">
        <v>3.028305</v>
      </c>
      <c r="I1584" s="55">
        <v>1.901151</v>
      </c>
      <c r="J1584" s="55">
        <v>1.8080529999999999</v>
      </c>
      <c r="K1584" s="55">
        <v>1.7687470000000001</v>
      </c>
      <c r="L1584" s="55">
        <v>1.7168669999999999</v>
      </c>
      <c r="M1584" s="55">
        <v>1.629815</v>
      </c>
      <c r="N1584" s="55">
        <v>1.554068</v>
      </c>
    </row>
    <row r="1585" spans="1:14" hidden="1" x14ac:dyDescent="0.35">
      <c r="A1585" s="52" t="s">
        <v>242</v>
      </c>
      <c r="B1585" s="52" t="s">
        <v>37</v>
      </c>
      <c r="C1585" s="52" t="s">
        <v>46</v>
      </c>
      <c r="D1585" s="52" t="s">
        <v>46</v>
      </c>
      <c r="E1585" s="52" t="s">
        <v>584</v>
      </c>
      <c r="F1585" s="52" t="s">
        <v>581</v>
      </c>
      <c r="G1585" s="55" t="s">
        <v>279</v>
      </c>
      <c r="H1585" s="55">
        <v>2.1949580000000002</v>
      </c>
      <c r="I1585" s="55">
        <v>1.5984719999999999</v>
      </c>
      <c r="J1585" s="55">
        <v>1.546276</v>
      </c>
      <c r="K1585" s="55">
        <v>1.642679</v>
      </c>
      <c r="L1585" s="55">
        <v>1.70577</v>
      </c>
      <c r="M1585" s="55">
        <v>1.64541</v>
      </c>
      <c r="N1585" s="55">
        <v>1.593955</v>
      </c>
    </row>
    <row r="1586" spans="1:14" hidden="1" x14ac:dyDescent="0.35">
      <c r="A1586" s="52" t="s">
        <v>242</v>
      </c>
      <c r="B1586" s="52" t="s">
        <v>37</v>
      </c>
      <c r="C1586" s="52" t="s">
        <v>46</v>
      </c>
      <c r="D1586" s="52" t="s">
        <v>46</v>
      </c>
      <c r="E1586" s="52" t="s">
        <v>584</v>
      </c>
      <c r="F1586" s="52" t="s">
        <v>26</v>
      </c>
      <c r="G1586" s="55" t="s">
        <v>275</v>
      </c>
      <c r="H1586" s="55">
        <v>-2.0494569999999999</v>
      </c>
      <c r="I1586" s="55">
        <v>-9.0710010000000008</v>
      </c>
      <c r="J1586" s="55">
        <v>-10.2813</v>
      </c>
      <c r="K1586" s="55">
        <v>-10.99912</v>
      </c>
      <c r="L1586" s="55">
        <v>-10.937139999999999</v>
      </c>
      <c r="M1586" s="55">
        <v>-9.3459800000000008</v>
      </c>
      <c r="N1586" s="55">
        <v>-8.5684459999999998</v>
      </c>
    </row>
    <row r="1587" spans="1:14" hidden="1" x14ac:dyDescent="0.35">
      <c r="A1587" s="52" t="s">
        <v>242</v>
      </c>
      <c r="B1587" s="52" t="s">
        <v>37</v>
      </c>
      <c r="C1587" s="52" t="s">
        <v>46</v>
      </c>
      <c r="D1587" s="52" t="s">
        <v>46</v>
      </c>
      <c r="E1587" s="52" t="s">
        <v>584</v>
      </c>
      <c r="F1587" s="52" t="s">
        <v>26</v>
      </c>
      <c r="G1587" s="55" t="s">
        <v>276</v>
      </c>
      <c r="H1587" s="55">
        <v>-6.8403429999999998</v>
      </c>
      <c r="I1587" s="55">
        <v>-7.1734999999999998</v>
      </c>
      <c r="J1587" s="55">
        <v>-3.7218279999999999</v>
      </c>
      <c r="K1587" s="55">
        <v>-3.0715509999999999</v>
      </c>
      <c r="L1587" s="55">
        <v>-2.9049299999999998</v>
      </c>
      <c r="M1587" s="55">
        <v>-3.3051650000000001</v>
      </c>
      <c r="N1587" s="55">
        <v>-3.0646680000000002</v>
      </c>
    </row>
    <row r="1588" spans="1:14" hidden="1" x14ac:dyDescent="0.35">
      <c r="A1588" s="52" t="s">
        <v>242</v>
      </c>
      <c r="B1588" s="52" t="s">
        <v>37</v>
      </c>
      <c r="C1588" s="52" t="s">
        <v>46</v>
      </c>
      <c r="D1588" s="52" t="s">
        <v>46</v>
      </c>
      <c r="E1588" s="52" t="s">
        <v>584</v>
      </c>
      <c r="F1588" s="52" t="s">
        <v>26</v>
      </c>
      <c r="G1588" s="55" t="s">
        <v>277</v>
      </c>
      <c r="H1588" s="55">
        <v>14.492610000000001</v>
      </c>
      <c r="I1588" s="55">
        <v>20.471340000000001</v>
      </c>
      <c r="J1588" s="55">
        <v>18.963159999999998</v>
      </c>
      <c r="K1588" s="55">
        <v>17.85211</v>
      </c>
      <c r="L1588" s="55">
        <v>16.670120000000001</v>
      </c>
      <c r="M1588" s="55">
        <v>15.2393</v>
      </c>
      <c r="N1588" s="55">
        <v>14.008609999999999</v>
      </c>
    </row>
    <row r="1589" spans="1:14" hidden="1" x14ac:dyDescent="0.35">
      <c r="A1589" s="52" t="s">
        <v>242</v>
      </c>
      <c r="B1589" s="52" t="s">
        <v>37</v>
      </c>
      <c r="C1589" s="52" t="s">
        <v>46</v>
      </c>
      <c r="D1589" s="52" t="s">
        <v>46</v>
      </c>
      <c r="E1589" s="52" t="s">
        <v>584</v>
      </c>
      <c r="F1589" s="52" t="s">
        <v>26</v>
      </c>
      <c r="G1589" s="55" t="s">
        <v>278</v>
      </c>
      <c r="H1589" s="55">
        <v>2.6780000000000002E-2</v>
      </c>
      <c r="I1589" s="55">
        <v>0</v>
      </c>
      <c r="J1589" s="55"/>
      <c r="K1589" s="55"/>
      <c r="L1589" s="55"/>
      <c r="M1589" s="55"/>
      <c r="N1589" s="55"/>
    </row>
    <row r="1590" spans="1:14" hidden="1" x14ac:dyDescent="0.35">
      <c r="A1590" s="52" t="s">
        <v>242</v>
      </c>
      <c r="B1590" s="52" t="s">
        <v>37</v>
      </c>
      <c r="C1590" s="52" t="s">
        <v>46</v>
      </c>
      <c r="D1590" s="52" t="s">
        <v>46</v>
      </c>
      <c r="E1590" s="52" t="s">
        <v>584</v>
      </c>
      <c r="F1590" s="52" t="s">
        <v>26</v>
      </c>
      <c r="G1590" s="55" t="s">
        <v>279</v>
      </c>
      <c r="H1590" s="55">
        <v>16.363890000000001</v>
      </c>
      <c r="I1590" s="55">
        <v>13.43488</v>
      </c>
      <c r="J1590" s="55">
        <v>12.61523</v>
      </c>
      <c r="K1590" s="55">
        <v>13.018219999999999</v>
      </c>
      <c r="L1590" s="55">
        <v>13.117749999999999</v>
      </c>
      <c r="M1590" s="55">
        <v>12.2258</v>
      </c>
      <c r="N1590" s="55">
        <v>11.46158</v>
      </c>
    </row>
    <row r="1591" spans="1:14" hidden="1" x14ac:dyDescent="0.35">
      <c r="A1591" s="52" t="s">
        <v>242</v>
      </c>
      <c r="B1591" s="52" t="s">
        <v>37</v>
      </c>
      <c r="C1591" s="52" t="s">
        <v>118</v>
      </c>
      <c r="D1591" s="52" t="s">
        <v>118</v>
      </c>
      <c r="E1591" s="52" t="s">
        <v>584</v>
      </c>
      <c r="F1591" s="52" t="s">
        <v>581</v>
      </c>
      <c r="G1591" s="55" t="s">
        <v>275</v>
      </c>
      <c r="H1591" s="55">
        <v>4.6937769999999999</v>
      </c>
      <c r="I1591" s="55">
        <v>1.9871890000000001</v>
      </c>
      <c r="J1591" s="55">
        <v>1.8503719999999999</v>
      </c>
      <c r="K1591" s="55">
        <v>1.6664920000000001</v>
      </c>
      <c r="L1591" s="55">
        <v>1.594651</v>
      </c>
      <c r="M1591" s="55">
        <v>1.3184499999999999</v>
      </c>
      <c r="N1591" s="55">
        <v>1.2240610000000001</v>
      </c>
    </row>
    <row r="1592" spans="1:14" hidden="1" x14ac:dyDescent="0.35">
      <c r="A1592" s="52" t="s">
        <v>242</v>
      </c>
      <c r="B1592" s="52" t="s">
        <v>37</v>
      </c>
      <c r="C1592" s="52" t="s">
        <v>118</v>
      </c>
      <c r="D1592" s="52" t="s">
        <v>118</v>
      </c>
      <c r="E1592" s="52" t="s">
        <v>584</v>
      </c>
      <c r="F1592" s="52" t="s">
        <v>581</v>
      </c>
      <c r="G1592" s="55" t="s">
        <v>276</v>
      </c>
      <c r="H1592" s="55">
        <v>1.247714</v>
      </c>
      <c r="I1592" s="55">
        <v>0.52823949999999997</v>
      </c>
      <c r="J1592" s="55">
        <v>0.49187160000000002</v>
      </c>
      <c r="K1592" s="55">
        <v>0.44299040000000001</v>
      </c>
      <c r="L1592" s="55">
        <v>0.4238944</v>
      </c>
      <c r="M1592" s="55">
        <v>0.35047329999999999</v>
      </c>
      <c r="N1592" s="55">
        <v>0.32538309999999998</v>
      </c>
    </row>
    <row r="1593" spans="1:14" hidden="1" x14ac:dyDescent="0.35">
      <c r="A1593" s="52" t="s">
        <v>242</v>
      </c>
      <c r="B1593" s="52" t="s">
        <v>37</v>
      </c>
      <c r="C1593" s="52" t="s">
        <v>118</v>
      </c>
      <c r="D1593" s="52" t="s">
        <v>118</v>
      </c>
      <c r="E1593" s="52" t="s">
        <v>584</v>
      </c>
      <c r="F1593" s="52" t="s">
        <v>581</v>
      </c>
      <c r="G1593" s="55" t="s">
        <v>279</v>
      </c>
      <c r="H1593" s="55">
        <v>3.3054459999999999</v>
      </c>
      <c r="I1593" s="55">
        <v>3.008305</v>
      </c>
      <c r="J1593" s="55">
        <v>2.6540650000000001</v>
      </c>
      <c r="K1593" s="55">
        <v>2.522888</v>
      </c>
      <c r="L1593" s="55">
        <v>2.27617</v>
      </c>
      <c r="M1593" s="55">
        <v>2.3226939999999998</v>
      </c>
      <c r="N1593" s="55">
        <v>2.1380650000000001</v>
      </c>
    </row>
    <row r="1594" spans="1:14" hidden="1" x14ac:dyDescent="0.35">
      <c r="A1594" s="52" t="s">
        <v>242</v>
      </c>
      <c r="B1594" s="52" t="s">
        <v>37</v>
      </c>
      <c r="C1594" s="52" t="s">
        <v>118</v>
      </c>
      <c r="D1594" s="52" t="s">
        <v>118</v>
      </c>
      <c r="E1594" s="52" t="s">
        <v>584</v>
      </c>
      <c r="F1594" s="52" t="s">
        <v>26</v>
      </c>
      <c r="G1594" s="55" t="s">
        <v>275</v>
      </c>
      <c r="H1594" s="55">
        <v>0.57822600000000002</v>
      </c>
      <c r="I1594" s="55">
        <v>1.0284610000000001</v>
      </c>
      <c r="J1594" s="55">
        <v>1.464869</v>
      </c>
      <c r="K1594" s="55">
        <v>0.77084960000000002</v>
      </c>
      <c r="L1594" s="55">
        <v>0.69989610000000002</v>
      </c>
      <c r="M1594" s="55">
        <v>0.100998</v>
      </c>
      <c r="N1594" s="55">
        <v>-6.7469629999999999E-3</v>
      </c>
    </row>
    <row r="1595" spans="1:14" hidden="1" x14ac:dyDescent="0.35">
      <c r="A1595" s="52" t="s">
        <v>242</v>
      </c>
      <c r="B1595" s="52" t="s">
        <v>37</v>
      </c>
      <c r="C1595" s="52" t="s">
        <v>118</v>
      </c>
      <c r="D1595" s="52" t="s">
        <v>118</v>
      </c>
      <c r="E1595" s="52" t="s">
        <v>584</v>
      </c>
      <c r="F1595" s="52" t="s">
        <v>26</v>
      </c>
      <c r="G1595" s="55" t="s">
        <v>276</v>
      </c>
      <c r="H1595" s="55">
        <v>0.28733199999999998</v>
      </c>
      <c r="I1595" s="55">
        <v>0.25941809999999998</v>
      </c>
      <c r="J1595" s="55">
        <v>0.38419249999999999</v>
      </c>
      <c r="K1595" s="55">
        <v>0.3380107</v>
      </c>
      <c r="L1595" s="55">
        <v>0.16460250000000001</v>
      </c>
      <c r="M1595" s="55">
        <v>6.5131309999999998E-2</v>
      </c>
      <c r="N1595" s="55">
        <v>3.8845419999999999E-2</v>
      </c>
    </row>
    <row r="1596" spans="1:14" hidden="1" x14ac:dyDescent="0.35">
      <c r="A1596" s="52" t="s">
        <v>242</v>
      </c>
      <c r="B1596" s="52" t="s">
        <v>37</v>
      </c>
      <c r="C1596" s="52" t="s">
        <v>118</v>
      </c>
      <c r="D1596" s="52" t="s">
        <v>118</v>
      </c>
      <c r="E1596" s="52" t="s">
        <v>584</v>
      </c>
      <c r="F1596" s="52" t="s">
        <v>26</v>
      </c>
      <c r="G1596" s="55" t="s">
        <v>277</v>
      </c>
      <c r="H1596" s="55">
        <v>1.6386890000000001</v>
      </c>
      <c r="I1596" s="55">
        <v>1.0821879999999999</v>
      </c>
      <c r="J1596" s="55">
        <v>1.049256</v>
      </c>
      <c r="K1596" s="55">
        <v>1.2186490000000001</v>
      </c>
      <c r="L1596" s="55">
        <v>1.2882940000000001</v>
      </c>
      <c r="M1596" s="55">
        <v>1.3210550000000001</v>
      </c>
      <c r="N1596" s="55">
        <v>1.354644</v>
      </c>
    </row>
    <row r="1597" spans="1:14" hidden="1" x14ac:dyDescent="0.35">
      <c r="A1597" s="52" t="s">
        <v>242</v>
      </c>
      <c r="B1597" s="52" t="s">
        <v>37</v>
      </c>
      <c r="C1597" s="52" t="s">
        <v>118</v>
      </c>
      <c r="D1597" s="52" t="s">
        <v>118</v>
      </c>
      <c r="E1597" s="52" t="s">
        <v>584</v>
      </c>
      <c r="F1597" s="52" t="s">
        <v>26</v>
      </c>
      <c r="G1597" s="55" t="s">
        <v>279</v>
      </c>
      <c r="H1597" s="55">
        <v>9.0949460000000002</v>
      </c>
      <c r="I1597" s="55">
        <v>9.8144960000000001</v>
      </c>
      <c r="J1597" s="55">
        <v>8.8747629999999997</v>
      </c>
      <c r="K1597" s="55">
        <v>8.6274359999999994</v>
      </c>
      <c r="L1597" s="55">
        <v>8.0573639999999997</v>
      </c>
      <c r="M1597" s="55">
        <v>8.0541929999999997</v>
      </c>
      <c r="N1597" s="55">
        <v>7.4872959999999997</v>
      </c>
    </row>
    <row r="1598" spans="1:14" hidden="1" x14ac:dyDescent="0.35">
      <c r="A1598" s="52" t="s">
        <v>242</v>
      </c>
      <c r="B1598" s="52" t="s">
        <v>37</v>
      </c>
      <c r="C1598" s="52" t="s">
        <v>109</v>
      </c>
      <c r="D1598" s="52" t="s">
        <v>109</v>
      </c>
      <c r="E1598" s="52" t="s">
        <v>584</v>
      </c>
      <c r="F1598" s="52" t="s">
        <v>581</v>
      </c>
      <c r="G1598" s="55" t="s">
        <v>275</v>
      </c>
      <c r="H1598" s="55">
        <v>0</v>
      </c>
      <c r="I1598" s="55"/>
      <c r="J1598" s="55">
        <v>0</v>
      </c>
      <c r="K1598" s="55">
        <v>0</v>
      </c>
      <c r="L1598" s="55">
        <v>-0.64305800000000002</v>
      </c>
      <c r="M1598" s="55">
        <v>0</v>
      </c>
      <c r="N1598" s="55">
        <v>-0.54479460000000002</v>
      </c>
    </row>
    <row r="1599" spans="1:14" hidden="1" x14ac:dyDescent="0.35">
      <c r="A1599" s="52" t="s">
        <v>242</v>
      </c>
      <c r="B1599" s="52" t="s">
        <v>37</v>
      </c>
      <c r="C1599" s="52" t="s">
        <v>109</v>
      </c>
      <c r="D1599" s="52" t="s">
        <v>109</v>
      </c>
      <c r="E1599" s="52" t="s">
        <v>584</v>
      </c>
      <c r="F1599" s="52" t="s">
        <v>581</v>
      </c>
      <c r="G1599" s="55" t="s">
        <v>276</v>
      </c>
      <c r="H1599" s="55">
        <v>0</v>
      </c>
      <c r="I1599" s="55"/>
      <c r="J1599" s="55">
        <v>0</v>
      </c>
      <c r="K1599" s="55">
        <v>0</v>
      </c>
      <c r="L1599" s="55">
        <v>-0.1709396</v>
      </c>
      <c r="M1599" s="55">
        <v>0</v>
      </c>
      <c r="N1599" s="55">
        <v>-0.1448189</v>
      </c>
    </row>
    <row r="1600" spans="1:14" hidden="1" x14ac:dyDescent="0.35">
      <c r="A1600" s="52" t="s">
        <v>242</v>
      </c>
      <c r="B1600" s="52" t="s">
        <v>37</v>
      </c>
      <c r="C1600" s="52" t="s">
        <v>109</v>
      </c>
      <c r="D1600" s="52" t="s">
        <v>109</v>
      </c>
      <c r="E1600" s="52" t="s">
        <v>584</v>
      </c>
      <c r="F1600" s="52" t="s">
        <v>581</v>
      </c>
      <c r="G1600" s="55" t="s">
        <v>278</v>
      </c>
      <c r="H1600" s="55"/>
      <c r="I1600" s="55"/>
      <c r="J1600" s="55">
        <v>0</v>
      </c>
      <c r="K1600" s="55">
        <v>0</v>
      </c>
      <c r="L1600" s="55">
        <v>0</v>
      </c>
      <c r="M1600" s="55">
        <v>0</v>
      </c>
      <c r="N1600" s="55"/>
    </row>
    <row r="1601" spans="1:14" hidden="1" x14ac:dyDescent="0.35">
      <c r="A1601" s="52" t="s">
        <v>242</v>
      </c>
      <c r="B1601" s="52" t="s">
        <v>37</v>
      </c>
      <c r="C1601" s="52" t="s">
        <v>109</v>
      </c>
      <c r="D1601" s="52" t="s">
        <v>109</v>
      </c>
      <c r="E1601" s="52" t="s">
        <v>584</v>
      </c>
      <c r="F1601" s="52" t="s">
        <v>581</v>
      </c>
      <c r="G1601" s="55" t="s">
        <v>279</v>
      </c>
      <c r="H1601" s="55">
        <v>0</v>
      </c>
      <c r="I1601" s="55"/>
      <c r="J1601" s="55"/>
      <c r="K1601" s="55">
        <v>0</v>
      </c>
      <c r="L1601" s="55">
        <v>0.81399759999999999</v>
      </c>
      <c r="M1601" s="55">
        <v>0.98122319999999996</v>
      </c>
      <c r="N1601" s="55">
        <v>2.4318749999999998</v>
      </c>
    </row>
    <row r="1602" spans="1:14" hidden="1" x14ac:dyDescent="0.35">
      <c r="A1602" s="52" t="s">
        <v>242</v>
      </c>
      <c r="B1602" s="52" t="s">
        <v>37</v>
      </c>
      <c r="C1602" s="52" t="s">
        <v>109</v>
      </c>
      <c r="D1602" s="52" t="s">
        <v>109</v>
      </c>
      <c r="E1602" s="52" t="s">
        <v>584</v>
      </c>
      <c r="F1602" s="52" t="s">
        <v>26</v>
      </c>
      <c r="G1602" s="55" t="s">
        <v>275</v>
      </c>
      <c r="H1602" s="55">
        <v>-0.16435079999999999</v>
      </c>
      <c r="I1602" s="55">
        <v>6.1022479999999997E-2</v>
      </c>
      <c r="J1602" s="55">
        <v>4.9572329999999998E-2</v>
      </c>
      <c r="K1602" s="55">
        <v>3.6921559999999999E-2</v>
      </c>
      <c r="L1602" s="55">
        <v>-4.2710860000000004</v>
      </c>
      <c r="M1602" s="55">
        <v>0</v>
      </c>
      <c r="N1602" s="55">
        <v>-3.6883840000000001</v>
      </c>
    </row>
    <row r="1603" spans="1:14" hidden="1" x14ac:dyDescent="0.35">
      <c r="A1603" s="52" t="s">
        <v>242</v>
      </c>
      <c r="B1603" s="52" t="s">
        <v>37</v>
      </c>
      <c r="C1603" s="52" t="s">
        <v>109</v>
      </c>
      <c r="D1603" s="52" t="s">
        <v>109</v>
      </c>
      <c r="E1603" s="52" t="s">
        <v>584</v>
      </c>
      <c r="F1603" s="52" t="s">
        <v>26</v>
      </c>
      <c r="G1603" s="55" t="s">
        <v>276</v>
      </c>
      <c r="H1603" s="55">
        <v>-9.1583040000000004E-2</v>
      </c>
      <c r="I1603" s="55">
        <v>-6.1022479999999997E-2</v>
      </c>
      <c r="J1603" s="55">
        <v>-4.9572329999999998E-2</v>
      </c>
      <c r="K1603" s="55">
        <v>-3.6921559999999999E-2</v>
      </c>
      <c r="L1603" s="55">
        <v>-1.1353519999999999</v>
      </c>
      <c r="M1603" s="55">
        <v>0</v>
      </c>
      <c r="N1603" s="55">
        <v>-0.98045640000000001</v>
      </c>
    </row>
    <row r="1604" spans="1:14" hidden="1" x14ac:dyDescent="0.35">
      <c r="A1604" s="52" t="s">
        <v>242</v>
      </c>
      <c r="B1604" s="52" t="s">
        <v>37</v>
      </c>
      <c r="C1604" s="52" t="s">
        <v>109</v>
      </c>
      <c r="D1604" s="52" t="s">
        <v>109</v>
      </c>
      <c r="E1604" s="52" t="s">
        <v>584</v>
      </c>
      <c r="F1604" s="52" t="s">
        <v>26</v>
      </c>
      <c r="G1604" s="55" t="s">
        <v>277</v>
      </c>
      <c r="H1604" s="55">
        <v>0.235573</v>
      </c>
      <c r="I1604" s="55"/>
      <c r="J1604" s="55"/>
      <c r="K1604" s="55"/>
      <c r="L1604" s="55"/>
      <c r="M1604" s="55"/>
      <c r="N1604" s="55"/>
    </row>
    <row r="1605" spans="1:14" hidden="1" x14ac:dyDescent="0.35">
      <c r="A1605" s="52" t="s">
        <v>242</v>
      </c>
      <c r="B1605" s="52" t="s">
        <v>37</v>
      </c>
      <c r="C1605" s="52" t="s">
        <v>109</v>
      </c>
      <c r="D1605" s="52" t="s">
        <v>109</v>
      </c>
      <c r="E1605" s="52" t="s">
        <v>584</v>
      </c>
      <c r="F1605" s="52" t="s">
        <v>26</v>
      </c>
      <c r="G1605" s="55" t="s">
        <v>279</v>
      </c>
      <c r="H1605" s="55">
        <v>0.14356949999999999</v>
      </c>
      <c r="I1605" s="55">
        <v>0</v>
      </c>
      <c r="J1605" s="55"/>
      <c r="K1605" s="55">
        <v>0</v>
      </c>
      <c r="L1605" s="55">
        <v>5.4064379999999996</v>
      </c>
      <c r="M1605" s="55">
        <v>6.6941540000000002</v>
      </c>
      <c r="N1605" s="55">
        <v>16.55499</v>
      </c>
    </row>
    <row r="1606" spans="1:14" hidden="1" x14ac:dyDescent="0.35">
      <c r="A1606" s="52" t="s">
        <v>242</v>
      </c>
      <c r="B1606" s="52" t="s">
        <v>37</v>
      </c>
      <c r="C1606" s="52" t="s">
        <v>110</v>
      </c>
      <c r="D1606" s="52" t="s">
        <v>110</v>
      </c>
      <c r="E1606" s="52" t="s">
        <v>584</v>
      </c>
      <c r="F1606" s="52" t="s">
        <v>26</v>
      </c>
      <c r="G1606" s="55" t="s">
        <v>275</v>
      </c>
      <c r="H1606" s="55">
        <v>-1.1585E-2</v>
      </c>
      <c r="I1606" s="55">
        <v>-9.6714999999999995E-3</v>
      </c>
      <c r="J1606" s="55">
        <v>-8.8888999999999999E-3</v>
      </c>
      <c r="K1606" s="55">
        <v>-1.1461900000000001E-2</v>
      </c>
      <c r="L1606" s="55">
        <v>-1.2475399999999999E-2</v>
      </c>
      <c r="M1606" s="55">
        <v>-1.30385E-2</v>
      </c>
      <c r="N1606" s="55">
        <v>-1.34673E-2</v>
      </c>
    </row>
    <row r="1607" spans="1:14" hidden="1" x14ac:dyDescent="0.35">
      <c r="A1607" s="52" t="s">
        <v>242</v>
      </c>
      <c r="B1607" s="52" t="s">
        <v>37</v>
      </c>
      <c r="C1607" s="52" t="s">
        <v>110</v>
      </c>
      <c r="D1607" s="52" t="s">
        <v>110</v>
      </c>
      <c r="E1607" s="52" t="s">
        <v>584</v>
      </c>
      <c r="F1607" s="52" t="s">
        <v>26</v>
      </c>
      <c r="G1607" s="55" t="s">
        <v>276</v>
      </c>
      <c r="H1607" s="55">
        <v>-2.7889999999999998E-3</v>
      </c>
      <c r="I1607" s="55">
        <v>-2.8211999999999998E-3</v>
      </c>
      <c r="J1607" s="55">
        <v>-2.7453999999999998E-3</v>
      </c>
      <c r="K1607" s="55">
        <v>-2.8804E-3</v>
      </c>
      <c r="L1607" s="55">
        <v>-2.9924999999999999E-3</v>
      </c>
      <c r="M1607" s="55">
        <v>-2.9023E-3</v>
      </c>
      <c r="N1607" s="55">
        <v>-2.9661000000000002E-3</v>
      </c>
    </row>
    <row r="1608" spans="1:14" hidden="1" x14ac:dyDescent="0.35">
      <c r="A1608" s="52" t="s">
        <v>242</v>
      </c>
      <c r="B1608" s="52" t="s">
        <v>37</v>
      </c>
      <c r="C1608" s="52" t="s">
        <v>110</v>
      </c>
      <c r="D1608" s="52" t="s">
        <v>110</v>
      </c>
      <c r="E1608" s="52" t="s">
        <v>584</v>
      </c>
      <c r="F1608" s="52" t="s">
        <v>26</v>
      </c>
      <c r="G1608" s="55" t="s">
        <v>277</v>
      </c>
      <c r="H1608" s="55">
        <v>1.6192999999999999E-2</v>
      </c>
      <c r="I1608" s="55">
        <v>1.4042000000000001E-2</v>
      </c>
      <c r="J1608" s="55">
        <v>1.3462999999999999E-2</v>
      </c>
      <c r="K1608" s="55">
        <v>1.6012999999999999E-2</v>
      </c>
      <c r="L1608" s="55">
        <v>1.7009E-2</v>
      </c>
      <c r="M1608" s="55">
        <v>1.7524999999999999E-2</v>
      </c>
      <c r="N1608" s="55">
        <v>1.8055000000000002E-2</v>
      </c>
    </row>
    <row r="1609" spans="1:14" hidden="1" x14ac:dyDescent="0.35">
      <c r="A1609" s="52" t="s">
        <v>242</v>
      </c>
      <c r="B1609" s="52" t="s">
        <v>37</v>
      </c>
      <c r="C1609" s="52" t="s">
        <v>110</v>
      </c>
      <c r="D1609" s="52" t="s">
        <v>110</v>
      </c>
      <c r="E1609" s="52" t="s">
        <v>584</v>
      </c>
      <c r="F1609" s="52" t="s">
        <v>26</v>
      </c>
      <c r="G1609" s="55" t="s">
        <v>278</v>
      </c>
      <c r="H1609" s="55">
        <v>8.9999990000000005E-5</v>
      </c>
      <c r="I1609" s="55">
        <v>0</v>
      </c>
      <c r="J1609" s="55"/>
      <c r="K1609" s="55"/>
      <c r="L1609" s="55"/>
      <c r="M1609" s="55"/>
      <c r="N1609" s="55"/>
    </row>
    <row r="1610" spans="1:14" hidden="1" x14ac:dyDescent="0.35">
      <c r="A1610" s="52" t="s">
        <v>242</v>
      </c>
      <c r="B1610" s="52" t="s">
        <v>37</v>
      </c>
      <c r="C1610" s="52" t="s">
        <v>110</v>
      </c>
      <c r="D1610" s="52" t="s">
        <v>110</v>
      </c>
      <c r="E1610" s="52" t="s">
        <v>584</v>
      </c>
      <c r="F1610" s="52" t="s">
        <v>26</v>
      </c>
      <c r="G1610" s="55" t="s">
        <v>279</v>
      </c>
      <c r="H1610" s="55">
        <v>2.9640000000000001E-3</v>
      </c>
      <c r="I1610" s="55">
        <v>2.6159999999999998E-3</v>
      </c>
      <c r="J1610" s="55">
        <v>2.6240999999999999E-3</v>
      </c>
      <c r="K1610" s="55">
        <v>2.8920999999999999E-3</v>
      </c>
      <c r="L1610" s="55">
        <v>3.1397E-3</v>
      </c>
      <c r="M1610" s="55">
        <v>3.215E-3</v>
      </c>
      <c r="N1610" s="55">
        <v>3.2940000000000001E-3</v>
      </c>
    </row>
    <row r="1611" spans="1:14" hidden="1" x14ac:dyDescent="0.35">
      <c r="A1611" s="52" t="s">
        <v>242</v>
      </c>
      <c r="B1611" s="52" t="s">
        <v>123</v>
      </c>
      <c r="C1611" s="52" t="s">
        <v>122</v>
      </c>
      <c r="D1611" s="52" t="s">
        <v>122</v>
      </c>
      <c r="E1611" s="52" t="s">
        <v>584</v>
      </c>
      <c r="F1611" s="52" t="s">
        <v>581</v>
      </c>
      <c r="G1611" s="55" t="s">
        <v>275</v>
      </c>
      <c r="H1611" s="55">
        <v>6.5627319999999996</v>
      </c>
      <c r="I1611" s="55">
        <v>-50.895180000000003</v>
      </c>
      <c r="J1611" s="55">
        <v>2.9477159999999998</v>
      </c>
      <c r="K1611" s="55">
        <v>2.4575640000000001</v>
      </c>
      <c r="L1611" s="55">
        <v>2.0898110000000001</v>
      </c>
      <c r="M1611" s="55">
        <v>1.7986629999999999</v>
      </c>
      <c r="N1611" s="55">
        <v>1.5616989999999999</v>
      </c>
    </row>
    <row r="1612" spans="1:14" hidden="1" x14ac:dyDescent="0.35">
      <c r="A1612" s="52" t="s">
        <v>242</v>
      </c>
      <c r="B1612" s="52" t="s">
        <v>123</v>
      </c>
      <c r="C1612" s="52" t="s">
        <v>122</v>
      </c>
      <c r="D1612" s="52" t="s">
        <v>122</v>
      </c>
      <c r="E1612" s="52" t="s">
        <v>584</v>
      </c>
      <c r="F1612" s="52" t="s">
        <v>581</v>
      </c>
      <c r="G1612" s="55" t="s">
        <v>276</v>
      </c>
      <c r="H1612" s="55">
        <v>8.3032520000000005</v>
      </c>
      <c r="I1612" s="55">
        <v>3.5463529999999999</v>
      </c>
      <c r="J1612" s="55">
        <v>3.4941439999999999</v>
      </c>
      <c r="K1612" s="55">
        <v>3.0829219999999999</v>
      </c>
      <c r="L1612" s="55">
        <v>2.6172589999999998</v>
      </c>
      <c r="M1612" s="55">
        <v>2.3365369999999999</v>
      </c>
      <c r="N1612" s="55">
        <v>0.17432139999999999</v>
      </c>
    </row>
    <row r="1613" spans="1:14" hidden="1" x14ac:dyDescent="0.35">
      <c r="A1613" s="52" t="s">
        <v>242</v>
      </c>
      <c r="B1613" s="52" t="s">
        <v>123</v>
      </c>
      <c r="C1613" s="52" t="s">
        <v>122</v>
      </c>
      <c r="D1613" s="52" t="s">
        <v>122</v>
      </c>
      <c r="E1613" s="52" t="s">
        <v>584</v>
      </c>
      <c r="F1613" s="52" t="s">
        <v>581</v>
      </c>
      <c r="G1613" s="55" t="s">
        <v>277</v>
      </c>
      <c r="H1613" s="55"/>
      <c r="I1613" s="55"/>
      <c r="J1613" s="55"/>
      <c r="K1613" s="55">
        <v>0</v>
      </c>
      <c r="L1613" s="55">
        <v>9.9999989999999997E-2</v>
      </c>
      <c r="M1613" s="55">
        <v>9.9999989999999997E-2</v>
      </c>
      <c r="N1613" s="55">
        <v>2.0000010000000001</v>
      </c>
    </row>
    <row r="1614" spans="1:14" hidden="1" x14ac:dyDescent="0.35">
      <c r="A1614" s="52" t="s">
        <v>242</v>
      </c>
      <c r="B1614" s="52" t="s">
        <v>123</v>
      </c>
      <c r="C1614" s="52" t="s">
        <v>122</v>
      </c>
      <c r="D1614" s="52" t="s">
        <v>122</v>
      </c>
      <c r="E1614" s="52" t="s">
        <v>584</v>
      </c>
      <c r="F1614" s="52" t="s">
        <v>581</v>
      </c>
      <c r="G1614" s="55" t="s">
        <v>278</v>
      </c>
      <c r="H1614" s="55">
        <v>0.103602</v>
      </c>
      <c r="I1614" s="55">
        <v>53.814480000000003</v>
      </c>
      <c r="J1614" s="55">
        <v>0.103602</v>
      </c>
      <c r="K1614" s="55">
        <v>0.103602</v>
      </c>
      <c r="L1614" s="55">
        <v>0.103602</v>
      </c>
      <c r="M1614" s="55">
        <v>0.103602</v>
      </c>
      <c r="N1614" s="55">
        <v>0.103602</v>
      </c>
    </row>
    <row r="1615" spans="1:14" hidden="1" x14ac:dyDescent="0.35">
      <c r="A1615" s="52" t="s">
        <v>242</v>
      </c>
      <c r="B1615" s="52" t="s">
        <v>123</v>
      </c>
      <c r="C1615" s="52" t="s">
        <v>122</v>
      </c>
      <c r="D1615" s="52" t="s">
        <v>122</v>
      </c>
      <c r="E1615" s="52" t="s">
        <v>584</v>
      </c>
      <c r="F1615" s="52" t="s">
        <v>581</v>
      </c>
      <c r="G1615" s="55" t="s">
        <v>279</v>
      </c>
      <c r="H1615" s="55">
        <v>4.2724690000000001</v>
      </c>
      <c r="I1615" s="55">
        <v>2.1746590000000001</v>
      </c>
      <c r="J1615" s="55">
        <v>2.2003270000000001</v>
      </c>
      <c r="K1615" s="55">
        <v>1.9797469999999999</v>
      </c>
      <c r="L1615" s="55">
        <v>1.7421629999999999</v>
      </c>
      <c r="M1615" s="55">
        <v>1.56053</v>
      </c>
      <c r="N1615" s="55">
        <v>1.394611</v>
      </c>
    </row>
    <row r="1616" spans="1:14" hidden="1" x14ac:dyDescent="0.35">
      <c r="A1616" s="52" t="s">
        <v>242</v>
      </c>
      <c r="B1616" s="52" t="s">
        <v>123</v>
      </c>
      <c r="C1616" s="52" t="s">
        <v>122</v>
      </c>
      <c r="D1616" s="52" t="s">
        <v>122</v>
      </c>
      <c r="E1616" s="52" t="s">
        <v>584</v>
      </c>
      <c r="F1616" s="52" t="s">
        <v>26</v>
      </c>
      <c r="G1616" s="55" t="s">
        <v>275</v>
      </c>
      <c r="H1616" s="55">
        <v>112.9363</v>
      </c>
      <c r="I1616" s="55">
        <v>85.431489999999997</v>
      </c>
      <c r="J1616" s="55">
        <v>46.116349999999997</v>
      </c>
      <c r="K1616" s="55">
        <v>25.82648</v>
      </c>
      <c r="L1616" s="55">
        <v>22.762229999999999</v>
      </c>
      <c r="M1616" s="55">
        <v>24.222930000000002</v>
      </c>
      <c r="N1616" s="55">
        <v>16.871400000000001</v>
      </c>
    </row>
    <row r="1617" spans="1:14" hidden="1" x14ac:dyDescent="0.35">
      <c r="A1617" s="52" t="s">
        <v>242</v>
      </c>
      <c r="B1617" s="52" t="s">
        <v>123</v>
      </c>
      <c r="C1617" s="52" t="s">
        <v>122</v>
      </c>
      <c r="D1617" s="52" t="s">
        <v>122</v>
      </c>
      <c r="E1617" s="52" t="s">
        <v>584</v>
      </c>
      <c r="F1617" s="52" t="s">
        <v>26</v>
      </c>
      <c r="G1617" s="55" t="s">
        <v>276</v>
      </c>
      <c r="H1617" s="55">
        <v>65.151420000000002</v>
      </c>
      <c r="I1617" s="55">
        <v>36.257159999999999</v>
      </c>
      <c r="J1617" s="55">
        <v>18.151060000000001</v>
      </c>
      <c r="K1617" s="55">
        <v>9.7242599999999992</v>
      </c>
      <c r="L1617" s="55">
        <v>15.018689999999999</v>
      </c>
      <c r="M1617" s="55">
        <v>13.107469999999999</v>
      </c>
      <c r="N1617" s="55">
        <v>11.57564</v>
      </c>
    </row>
    <row r="1618" spans="1:14" hidden="1" x14ac:dyDescent="0.35">
      <c r="A1618" s="52" t="s">
        <v>242</v>
      </c>
      <c r="B1618" s="52" t="s">
        <v>123</v>
      </c>
      <c r="C1618" s="52" t="s">
        <v>122</v>
      </c>
      <c r="D1618" s="52" t="s">
        <v>122</v>
      </c>
      <c r="E1618" s="52" t="s">
        <v>584</v>
      </c>
      <c r="F1618" s="52" t="s">
        <v>26</v>
      </c>
      <c r="G1618" s="55" t="s">
        <v>277</v>
      </c>
      <c r="H1618" s="55">
        <v>71.52</v>
      </c>
      <c r="I1618" s="55">
        <v>39.816310000000001</v>
      </c>
      <c r="J1618" s="55">
        <v>33.37773</v>
      </c>
      <c r="K1618" s="55">
        <v>39.453809999999997</v>
      </c>
      <c r="L1618" s="55">
        <v>36.873669999999997</v>
      </c>
      <c r="M1618" s="55">
        <v>30.84723</v>
      </c>
      <c r="N1618" s="55">
        <v>33.843269999999997</v>
      </c>
    </row>
    <row r="1619" spans="1:14" hidden="1" x14ac:dyDescent="0.35">
      <c r="A1619" s="52" t="s">
        <v>242</v>
      </c>
      <c r="B1619" s="52" t="s">
        <v>123</v>
      </c>
      <c r="C1619" s="52" t="s">
        <v>122</v>
      </c>
      <c r="D1619" s="52" t="s">
        <v>122</v>
      </c>
      <c r="E1619" s="52" t="s">
        <v>584</v>
      </c>
      <c r="F1619" s="52" t="s">
        <v>26</v>
      </c>
      <c r="G1619" s="55" t="s">
        <v>278</v>
      </c>
      <c r="H1619" s="55">
        <v>4.6673600000000003E-2</v>
      </c>
      <c r="I1619" s="55">
        <v>4.6673600000000003E-2</v>
      </c>
      <c r="J1619" s="55">
        <v>4.6673600000000003E-2</v>
      </c>
      <c r="K1619" s="55">
        <v>7.3904550000000002</v>
      </c>
      <c r="L1619" s="55">
        <v>4.6673600000000003E-2</v>
      </c>
      <c r="M1619" s="55">
        <v>4.6673600000000003E-2</v>
      </c>
      <c r="N1619" s="55">
        <v>4.6673600000000003E-2</v>
      </c>
    </row>
    <row r="1620" spans="1:14" hidden="1" x14ac:dyDescent="0.35">
      <c r="A1620" s="52" t="s">
        <v>242</v>
      </c>
      <c r="B1620" s="52" t="s">
        <v>123</v>
      </c>
      <c r="C1620" s="52" t="s">
        <v>122</v>
      </c>
      <c r="D1620" s="52" t="s">
        <v>122</v>
      </c>
      <c r="E1620" s="52" t="s">
        <v>584</v>
      </c>
      <c r="F1620" s="52" t="s">
        <v>26</v>
      </c>
      <c r="G1620" s="55" t="s">
        <v>279</v>
      </c>
      <c r="H1620" s="55">
        <v>61.446399999999997</v>
      </c>
      <c r="I1620" s="55">
        <v>51.290759999999999</v>
      </c>
      <c r="J1620" s="55">
        <v>47.737200000000001</v>
      </c>
      <c r="K1620" s="55">
        <v>43.538870000000003</v>
      </c>
      <c r="L1620" s="55">
        <v>38.03295</v>
      </c>
      <c r="M1620" s="55">
        <v>33.492910000000002</v>
      </c>
      <c r="N1620" s="55">
        <v>29.621359999999999</v>
      </c>
    </row>
    <row r="1621" spans="1:14" hidden="1" x14ac:dyDescent="0.35">
      <c r="A1621" s="52" t="s">
        <v>242</v>
      </c>
      <c r="B1621" s="52" t="s">
        <v>174</v>
      </c>
      <c r="C1621" s="52" t="s">
        <v>180</v>
      </c>
      <c r="D1621" s="52" t="s">
        <v>180</v>
      </c>
      <c r="E1621" s="52" t="s">
        <v>584</v>
      </c>
      <c r="F1621" s="52" t="s">
        <v>581</v>
      </c>
      <c r="G1621" s="55" t="s">
        <v>275</v>
      </c>
      <c r="H1621" s="55">
        <v>-0.11851100000000001</v>
      </c>
      <c r="I1621" s="55">
        <v>-0.15644</v>
      </c>
      <c r="J1621" s="55">
        <v>0</v>
      </c>
      <c r="K1621" s="55">
        <v>0</v>
      </c>
      <c r="L1621" s="55">
        <v>0</v>
      </c>
      <c r="M1621" s="55">
        <v>0</v>
      </c>
      <c r="N1621" s="55">
        <v>0</v>
      </c>
    </row>
    <row r="1622" spans="1:14" hidden="1" x14ac:dyDescent="0.35">
      <c r="A1622" s="52" t="s">
        <v>242</v>
      </c>
      <c r="B1622" s="52" t="s">
        <v>174</v>
      </c>
      <c r="C1622" s="52" t="s">
        <v>180</v>
      </c>
      <c r="D1622" s="52" t="s">
        <v>180</v>
      </c>
      <c r="E1622" s="52" t="s">
        <v>584</v>
      </c>
      <c r="F1622" s="52" t="s">
        <v>581</v>
      </c>
      <c r="G1622" s="55" t="s">
        <v>276</v>
      </c>
      <c r="H1622" s="55"/>
      <c r="I1622" s="55"/>
      <c r="J1622" s="55">
        <v>-0.122368</v>
      </c>
      <c r="K1622" s="55">
        <v>-0.12230100000000001</v>
      </c>
      <c r="L1622" s="55">
        <v>-7.8030009999999997E-2</v>
      </c>
      <c r="M1622" s="55">
        <v>-0.121096</v>
      </c>
      <c r="N1622" s="55">
        <v>-0.121096</v>
      </c>
    </row>
    <row r="1623" spans="1:14" hidden="1" x14ac:dyDescent="0.35">
      <c r="A1623" s="52" t="s">
        <v>242</v>
      </c>
      <c r="B1623" s="52" t="s">
        <v>174</v>
      </c>
      <c r="C1623" s="52" t="s">
        <v>180</v>
      </c>
      <c r="D1623" s="52" t="s">
        <v>180</v>
      </c>
      <c r="E1623" s="52" t="s">
        <v>584</v>
      </c>
      <c r="F1623" s="52" t="s">
        <v>581</v>
      </c>
      <c r="G1623" s="55" t="s">
        <v>278</v>
      </c>
      <c r="H1623" s="55">
        <v>0.11851100000000001</v>
      </c>
      <c r="I1623" s="55">
        <v>0.15644</v>
      </c>
      <c r="J1623" s="55">
        <v>0.122368</v>
      </c>
      <c r="K1623" s="55">
        <v>0.12230100000000001</v>
      </c>
      <c r="L1623" s="55">
        <v>7.8030009999999997E-2</v>
      </c>
      <c r="M1623" s="55">
        <v>0.121096</v>
      </c>
      <c r="N1623" s="55">
        <v>0.121096</v>
      </c>
    </row>
    <row r="1624" spans="1:14" hidden="1" x14ac:dyDescent="0.35">
      <c r="A1624" s="52" t="s">
        <v>242</v>
      </c>
      <c r="B1624" s="52" t="s">
        <v>174</v>
      </c>
      <c r="C1624" s="52" t="s">
        <v>180</v>
      </c>
      <c r="D1624" s="52" t="s">
        <v>180</v>
      </c>
      <c r="E1624" s="52" t="s">
        <v>584</v>
      </c>
      <c r="F1624" s="52" t="s">
        <v>26</v>
      </c>
      <c r="G1624" s="55" t="s">
        <v>275</v>
      </c>
      <c r="H1624" s="55">
        <v>20.96453</v>
      </c>
      <c r="I1624" s="55">
        <v>20.86993</v>
      </c>
      <c r="J1624" s="55">
        <v>11.44881</v>
      </c>
      <c r="K1624" s="55">
        <v>7.2668970000000002</v>
      </c>
      <c r="L1624" s="55">
        <v>4.8739460000000001</v>
      </c>
      <c r="M1624" s="55">
        <v>3.3059500000000002</v>
      </c>
      <c r="N1624" s="55">
        <v>1.657127</v>
      </c>
    </row>
    <row r="1625" spans="1:14" hidden="1" x14ac:dyDescent="0.35">
      <c r="A1625" s="52" t="s">
        <v>242</v>
      </c>
      <c r="B1625" s="52" t="s">
        <v>174</v>
      </c>
      <c r="C1625" s="52" t="s">
        <v>180</v>
      </c>
      <c r="D1625" s="52" t="s">
        <v>180</v>
      </c>
      <c r="E1625" s="52" t="s">
        <v>584</v>
      </c>
      <c r="F1625" s="52" t="s">
        <v>26</v>
      </c>
      <c r="G1625" s="55" t="s">
        <v>276</v>
      </c>
      <c r="H1625" s="55">
        <v>9.6775760000000002</v>
      </c>
      <c r="I1625" s="55">
        <v>5.7785679999999999</v>
      </c>
      <c r="J1625" s="55">
        <v>3.9393829999999999</v>
      </c>
      <c r="K1625" s="55">
        <v>3.3263029999999998</v>
      </c>
      <c r="L1625" s="55">
        <v>2.8211840000000001</v>
      </c>
      <c r="M1625" s="55">
        <v>2.3928560000000001</v>
      </c>
      <c r="N1625" s="55">
        <v>2.0295990000000002</v>
      </c>
    </row>
    <row r="1626" spans="1:14" hidden="1" x14ac:dyDescent="0.35">
      <c r="A1626" s="52" t="s">
        <v>242</v>
      </c>
      <c r="B1626" s="52" t="s">
        <v>174</v>
      </c>
      <c r="C1626" s="52" t="s">
        <v>180</v>
      </c>
      <c r="D1626" s="52" t="s">
        <v>180</v>
      </c>
      <c r="E1626" s="52" t="s">
        <v>584</v>
      </c>
      <c r="F1626" s="52" t="s">
        <v>26</v>
      </c>
      <c r="G1626" s="55" t="s">
        <v>277</v>
      </c>
      <c r="H1626" s="55">
        <v>25.314</v>
      </c>
      <c r="I1626" s="55">
        <v>4.7596540000000003</v>
      </c>
      <c r="J1626" s="55">
        <v>4.3607550000000002</v>
      </c>
      <c r="K1626" s="55">
        <v>5.5705410000000004</v>
      </c>
      <c r="L1626" s="55">
        <v>5.9775749999999999</v>
      </c>
      <c r="M1626" s="55">
        <v>5.8670840000000002</v>
      </c>
      <c r="N1626" s="55">
        <v>6.0970409999999999</v>
      </c>
    </row>
    <row r="1627" spans="1:14" hidden="1" x14ac:dyDescent="0.35">
      <c r="A1627" s="52" t="s">
        <v>242</v>
      </c>
      <c r="B1627" s="52" t="s">
        <v>174</v>
      </c>
      <c r="C1627" s="52" t="s">
        <v>180</v>
      </c>
      <c r="D1627" s="52" t="s">
        <v>180</v>
      </c>
      <c r="E1627" s="52" t="s">
        <v>584</v>
      </c>
      <c r="F1627" s="52" t="s">
        <v>26</v>
      </c>
      <c r="G1627" s="55" t="s">
        <v>279</v>
      </c>
      <c r="H1627" s="55">
        <v>11.66014</v>
      </c>
      <c r="I1627" s="55">
        <v>8.9661310000000007</v>
      </c>
      <c r="J1627" s="55">
        <v>7.7751219999999996</v>
      </c>
      <c r="K1627" s="55">
        <v>7.0768040000000001</v>
      </c>
      <c r="L1627" s="55">
        <v>6.038627</v>
      </c>
      <c r="M1627" s="55">
        <v>5.1527459999999996</v>
      </c>
      <c r="N1627" s="55">
        <v>4.3968350000000003</v>
      </c>
    </row>
    <row r="1628" spans="1:14" hidden="1" x14ac:dyDescent="0.35">
      <c r="A1628" s="52" t="s">
        <v>242</v>
      </c>
      <c r="B1628" s="52" t="s">
        <v>34</v>
      </c>
      <c r="C1628" s="52" t="s">
        <v>33</v>
      </c>
      <c r="D1628" s="52" t="s">
        <v>33</v>
      </c>
      <c r="E1628" s="52" t="s">
        <v>622</v>
      </c>
      <c r="F1628" s="52" t="s">
        <v>26</v>
      </c>
      <c r="G1628" s="55" t="s">
        <v>275</v>
      </c>
      <c r="H1628" s="55">
        <v>-5.8397420000000002</v>
      </c>
      <c r="I1628" s="55">
        <v>-5.4921810000000004</v>
      </c>
      <c r="J1628" s="55">
        <v>-6.5812369999999998</v>
      </c>
      <c r="K1628" s="55">
        <v>-6.1025900000000002</v>
      </c>
      <c r="L1628" s="55">
        <v>-5.2456909999999999</v>
      </c>
      <c r="M1628" s="55">
        <v>-5.0685539999999998</v>
      </c>
      <c r="N1628" s="55">
        <v>-4.6667560000000003</v>
      </c>
    </row>
    <row r="1629" spans="1:14" hidden="1" x14ac:dyDescent="0.35">
      <c r="A1629" s="52" t="s">
        <v>242</v>
      </c>
      <c r="B1629" s="52" t="s">
        <v>34</v>
      </c>
      <c r="C1629" s="52" t="s">
        <v>33</v>
      </c>
      <c r="D1629" s="52" t="s">
        <v>33</v>
      </c>
      <c r="E1629" s="52" t="s">
        <v>622</v>
      </c>
      <c r="F1629" s="52" t="s">
        <v>26</v>
      </c>
      <c r="G1629" s="55" t="s">
        <v>276</v>
      </c>
      <c r="H1629" s="55">
        <v>-1.9465809999999999</v>
      </c>
      <c r="I1629" s="55">
        <v>-1.830727</v>
      </c>
      <c r="J1629" s="55">
        <v>-2.1937470000000001</v>
      </c>
      <c r="K1629" s="55">
        <v>-2.0341969999999998</v>
      </c>
      <c r="L1629" s="55">
        <v>-1.748564</v>
      </c>
      <c r="M1629" s="55">
        <v>-1.6895180000000001</v>
      </c>
      <c r="N1629" s="55">
        <v>-1.5555859999999999</v>
      </c>
    </row>
    <row r="1630" spans="1:14" hidden="1" x14ac:dyDescent="0.35">
      <c r="A1630" s="52" t="s">
        <v>242</v>
      </c>
      <c r="B1630" s="52" t="s">
        <v>34</v>
      </c>
      <c r="C1630" s="52" t="s">
        <v>33</v>
      </c>
      <c r="D1630" s="52" t="s">
        <v>33</v>
      </c>
      <c r="E1630" s="52" t="s">
        <v>622</v>
      </c>
      <c r="F1630" s="52" t="s">
        <v>26</v>
      </c>
      <c r="G1630" s="55" t="s">
        <v>277</v>
      </c>
      <c r="H1630" s="55"/>
      <c r="I1630" s="55"/>
      <c r="J1630" s="55"/>
      <c r="K1630" s="55"/>
      <c r="L1630" s="55"/>
      <c r="M1630" s="55">
        <v>0</v>
      </c>
      <c r="N1630" s="55">
        <v>0</v>
      </c>
    </row>
    <row r="1631" spans="1:14" hidden="1" x14ac:dyDescent="0.35">
      <c r="A1631" s="52" t="s">
        <v>242</v>
      </c>
      <c r="B1631" s="52" t="s">
        <v>34</v>
      </c>
      <c r="C1631" s="52" t="s">
        <v>33</v>
      </c>
      <c r="D1631" s="52" t="s">
        <v>33</v>
      </c>
      <c r="E1631" s="52" t="s">
        <v>622</v>
      </c>
      <c r="F1631" s="52" t="s">
        <v>26</v>
      </c>
      <c r="G1631" s="55" t="s">
        <v>279</v>
      </c>
      <c r="H1631" s="55">
        <v>10.938000000000001</v>
      </c>
      <c r="I1631" s="55">
        <v>10.385680000000001</v>
      </c>
      <c r="J1631" s="55">
        <v>12.562239999999999</v>
      </c>
      <c r="K1631" s="55">
        <v>11.62809</v>
      </c>
      <c r="L1631" s="55">
        <v>10.21092</v>
      </c>
      <c r="M1631" s="55">
        <v>9.7278120000000001</v>
      </c>
      <c r="N1631" s="55">
        <v>8.9477340000000005</v>
      </c>
    </row>
    <row r="1632" spans="1:14" hidden="1" x14ac:dyDescent="0.35">
      <c r="A1632" s="52" t="s">
        <v>242</v>
      </c>
      <c r="B1632" s="52" t="s">
        <v>34</v>
      </c>
      <c r="C1632" s="52" t="s">
        <v>33</v>
      </c>
      <c r="D1632" s="52" t="s">
        <v>33</v>
      </c>
      <c r="E1632" s="52" t="s">
        <v>584</v>
      </c>
      <c r="F1632" s="52" t="s">
        <v>581</v>
      </c>
      <c r="G1632" s="55" t="s">
        <v>275</v>
      </c>
      <c r="H1632" s="55">
        <v>-9.0259980000000004E-3</v>
      </c>
      <c r="I1632" s="55">
        <v>-0.32391209999999998</v>
      </c>
      <c r="J1632" s="55">
        <v>-0.30888339999999997</v>
      </c>
      <c r="K1632" s="55">
        <v>-0.34516269999999999</v>
      </c>
      <c r="L1632" s="55">
        <v>-0.38117109999999998</v>
      </c>
      <c r="M1632" s="55">
        <v>-0.2944196</v>
      </c>
      <c r="N1632" s="55">
        <v>-0.28611979999999998</v>
      </c>
    </row>
    <row r="1633" spans="1:14" hidden="1" x14ac:dyDescent="0.35">
      <c r="A1633" s="52" t="s">
        <v>242</v>
      </c>
      <c r="B1633" s="52" t="s">
        <v>34</v>
      </c>
      <c r="C1633" s="52" t="s">
        <v>33</v>
      </c>
      <c r="D1633" s="52" t="s">
        <v>33</v>
      </c>
      <c r="E1633" s="52" t="s">
        <v>584</v>
      </c>
      <c r="F1633" s="52" t="s">
        <v>581</v>
      </c>
      <c r="G1633" s="55" t="s">
        <v>276</v>
      </c>
      <c r="H1633" s="55">
        <v>-3.253999E-3</v>
      </c>
      <c r="I1633" s="55">
        <v>-0.10797080000000001</v>
      </c>
      <c r="J1633" s="55">
        <v>-9.7542790000000004E-2</v>
      </c>
      <c r="K1633" s="55">
        <v>-0.10309989999999999</v>
      </c>
      <c r="L1633" s="55">
        <v>-0.1138562</v>
      </c>
      <c r="M1633" s="55">
        <v>-8.7942999999999993E-2</v>
      </c>
      <c r="N1633" s="55">
        <v>-8.5464689999999996E-2</v>
      </c>
    </row>
    <row r="1634" spans="1:14" hidden="1" x14ac:dyDescent="0.35">
      <c r="A1634" s="52" t="s">
        <v>242</v>
      </c>
      <c r="B1634" s="52" t="s">
        <v>34</v>
      </c>
      <c r="C1634" s="52" t="s">
        <v>33</v>
      </c>
      <c r="D1634" s="52" t="s">
        <v>33</v>
      </c>
      <c r="E1634" s="52" t="s">
        <v>584</v>
      </c>
      <c r="F1634" s="52" t="s">
        <v>581</v>
      </c>
      <c r="G1634" s="55" t="s">
        <v>279</v>
      </c>
      <c r="H1634" s="55">
        <v>0.87716899999999998</v>
      </c>
      <c r="I1634" s="55">
        <v>0.84338500000000005</v>
      </c>
      <c r="J1634" s="55">
        <v>0.81360429999999995</v>
      </c>
      <c r="K1634" s="55">
        <v>0.85927160000000002</v>
      </c>
      <c r="L1634" s="55">
        <v>0.90697689999999997</v>
      </c>
      <c r="M1634" s="55">
        <v>0.78663680000000002</v>
      </c>
      <c r="N1634" s="55">
        <v>0.76996469999999995</v>
      </c>
    </row>
    <row r="1635" spans="1:14" hidden="1" x14ac:dyDescent="0.35">
      <c r="A1635" s="52" t="s">
        <v>242</v>
      </c>
      <c r="B1635" s="52" t="s">
        <v>34</v>
      </c>
      <c r="C1635" s="52" t="s">
        <v>33</v>
      </c>
      <c r="D1635" s="52" t="s">
        <v>33</v>
      </c>
      <c r="E1635" s="52" t="s">
        <v>584</v>
      </c>
      <c r="F1635" s="52" t="s">
        <v>26</v>
      </c>
      <c r="G1635" s="55" t="s">
        <v>275</v>
      </c>
      <c r="H1635" s="55">
        <v>-6.6673309999999999</v>
      </c>
      <c r="I1635" s="55">
        <v>-5.4970829999999999</v>
      </c>
      <c r="J1635" s="55">
        <v>-5.3999920000000001</v>
      </c>
      <c r="K1635" s="55">
        <v>-6.5845050000000001</v>
      </c>
      <c r="L1635" s="55">
        <v>-7.5209770000000002</v>
      </c>
      <c r="M1635" s="55">
        <v>-8.7844789999999993</v>
      </c>
      <c r="N1635" s="55">
        <v>-8.8485619999999994</v>
      </c>
    </row>
    <row r="1636" spans="1:14" hidden="1" x14ac:dyDescent="0.35">
      <c r="A1636" s="52" t="s">
        <v>242</v>
      </c>
      <c r="B1636" s="52" t="s">
        <v>34</v>
      </c>
      <c r="C1636" s="52" t="s">
        <v>33</v>
      </c>
      <c r="D1636" s="52" t="s">
        <v>33</v>
      </c>
      <c r="E1636" s="52" t="s">
        <v>584</v>
      </c>
      <c r="F1636" s="52" t="s">
        <v>26</v>
      </c>
      <c r="G1636" s="55" t="s">
        <v>276</v>
      </c>
      <c r="H1636" s="55">
        <v>-1.8074239999999999</v>
      </c>
      <c r="I1636" s="55">
        <v>-2.097226</v>
      </c>
      <c r="J1636" s="55">
        <v>-1.9347369999999999</v>
      </c>
      <c r="K1636" s="55">
        <v>-1.8474090000000001</v>
      </c>
      <c r="L1636" s="55">
        <v>-1.924026</v>
      </c>
      <c r="M1636" s="55">
        <v>-2.065156</v>
      </c>
      <c r="N1636" s="55">
        <v>-2.2845240000000002</v>
      </c>
    </row>
    <row r="1637" spans="1:14" hidden="1" x14ac:dyDescent="0.35">
      <c r="A1637" s="52" t="s">
        <v>242</v>
      </c>
      <c r="B1637" s="52" t="s">
        <v>34</v>
      </c>
      <c r="C1637" s="52" t="s">
        <v>33</v>
      </c>
      <c r="D1637" s="52" t="s">
        <v>33</v>
      </c>
      <c r="E1637" s="52" t="s">
        <v>584</v>
      </c>
      <c r="F1637" s="52" t="s">
        <v>26</v>
      </c>
      <c r="G1637" s="55" t="s">
        <v>277</v>
      </c>
      <c r="H1637" s="55">
        <v>7.2671929999999998</v>
      </c>
      <c r="I1637" s="55">
        <v>6.4244110000000001</v>
      </c>
      <c r="J1637" s="55">
        <v>6.1802080000000004</v>
      </c>
      <c r="K1637" s="55">
        <v>7.1568740000000002</v>
      </c>
      <c r="L1637" s="55">
        <v>8.0267309999999998</v>
      </c>
      <c r="M1637" s="55">
        <v>9.6155259999999991</v>
      </c>
      <c r="N1637" s="55">
        <v>9.8668720000000008</v>
      </c>
    </row>
    <row r="1638" spans="1:14" hidden="1" x14ac:dyDescent="0.35">
      <c r="A1638" s="52" t="s">
        <v>242</v>
      </c>
      <c r="B1638" s="52" t="s">
        <v>34</v>
      </c>
      <c r="C1638" s="52" t="s">
        <v>33</v>
      </c>
      <c r="D1638" s="52" t="s">
        <v>33</v>
      </c>
      <c r="E1638" s="52" t="s">
        <v>584</v>
      </c>
      <c r="F1638" s="52" t="s">
        <v>26</v>
      </c>
      <c r="G1638" s="55" t="s">
        <v>279</v>
      </c>
      <c r="H1638" s="55">
        <v>1.713686</v>
      </c>
      <c r="I1638" s="55">
        <v>1.687632</v>
      </c>
      <c r="J1638" s="55">
        <v>1.6674439999999999</v>
      </c>
      <c r="K1638" s="55">
        <v>1.800427</v>
      </c>
      <c r="L1638" s="55">
        <v>1.956124</v>
      </c>
      <c r="M1638" s="55">
        <v>1.7844230000000001</v>
      </c>
      <c r="N1638" s="55">
        <v>1.828992</v>
      </c>
    </row>
    <row r="1639" spans="1:14" hidden="1" x14ac:dyDescent="0.35">
      <c r="A1639" s="52" t="s">
        <v>242</v>
      </c>
      <c r="B1639" s="52" t="s">
        <v>34</v>
      </c>
      <c r="C1639" s="52" t="s">
        <v>263</v>
      </c>
      <c r="D1639" s="52" t="s">
        <v>263</v>
      </c>
      <c r="E1639" s="52" t="s">
        <v>584</v>
      </c>
      <c r="F1639" s="52" t="s">
        <v>26</v>
      </c>
      <c r="G1639" s="55" t="s">
        <v>275</v>
      </c>
      <c r="H1639" s="55">
        <v>0</v>
      </c>
      <c r="I1639" s="55"/>
      <c r="J1639" s="55">
        <v>0</v>
      </c>
      <c r="K1639" s="55">
        <v>0</v>
      </c>
      <c r="L1639" s="55">
        <v>0</v>
      </c>
      <c r="M1639" s="55">
        <v>0</v>
      </c>
      <c r="N1639" s="55">
        <v>0</v>
      </c>
    </row>
    <row r="1640" spans="1:14" hidden="1" x14ac:dyDescent="0.35">
      <c r="A1640" s="52" t="s">
        <v>242</v>
      </c>
      <c r="B1640" s="52" t="s">
        <v>34</v>
      </c>
      <c r="C1640" s="52" t="s">
        <v>263</v>
      </c>
      <c r="D1640" s="52" t="s">
        <v>263</v>
      </c>
      <c r="E1640" s="52" t="s">
        <v>584</v>
      </c>
      <c r="F1640" s="52" t="s">
        <v>26</v>
      </c>
      <c r="G1640" s="55" t="s">
        <v>276</v>
      </c>
      <c r="H1640" s="55"/>
      <c r="I1640" s="55"/>
      <c r="J1640" s="55">
        <v>0</v>
      </c>
      <c r="K1640" s="55">
        <v>0</v>
      </c>
      <c r="L1640" s="55">
        <v>0</v>
      </c>
      <c r="M1640" s="55">
        <v>0</v>
      </c>
      <c r="N1640" s="55">
        <v>0</v>
      </c>
    </row>
    <row r="1641" spans="1:14" hidden="1" x14ac:dyDescent="0.35">
      <c r="A1641" s="52" t="s">
        <v>242</v>
      </c>
      <c r="B1641" s="52" t="s">
        <v>34</v>
      </c>
      <c r="C1641" s="52" t="s">
        <v>263</v>
      </c>
      <c r="D1641" s="52" t="s">
        <v>263</v>
      </c>
      <c r="E1641" s="52" t="s">
        <v>584</v>
      </c>
      <c r="F1641" s="52" t="s">
        <v>26</v>
      </c>
      <c r="G1641" s="55" t="s">
        <v>278</v>
      </c>
      <c r="H1641" s="55"/>
      <c r="I1641" s="55"/>
      <c r="J1641" s="55">
        <v>0</v>
      </c>
      <c r="K1641" s="55">
        <v>0</v>
      </c>
      <c r="L1641" s="55">
        <v>0</v>
      </c>
      <c r="M1641" s="55">
        <v>0</v>
      </c>
      <c r="N1641" s="55">
        <v>0</v>
      </c>
    </row>
    <row r="1642" spans="1:14" hidden="1" x14ac:dyDescent="0.35">
      <c r="A1642" s="52" t="s">
        <v>242</v>
      </c>
      <c r="B1642" s="52" t="s">
        <v>34</v>
      </c>
      <c r="C1642" s="52" t="s">
        <v>385</v>
      </c>
      <c r="D1642" s="52" t="s">
        <v>385</v>
      </c>
      <c r="E1642" s="52" t="s">
        <v>584</v>
      </c>
      <c r="F1642" s="52" t="s">
        <v>581</v>
      </c>
      <c r="G1642" s="55" t="s">
        <v>275</v>
      </c>
      <c r="H1642" s="55">
        <v>-8.9653819999999992E-3</v>
      </c>
      <c r="I1642" s="55">
        <v>-8.9652429999999995E-3</v>
      </c>
      <c r="J1642" s="55">
        <v>0</v>
      </c>
      <c r="K1642" s="55">
        <v>0</v>
      </c>
      <c r="L1642" s="55">
        <v>0</v>
      </c>
      <c r="M1642" s="55">
        <v>0</v>
      </c>
      <c r="N1642" s="55">
        <v>0</v>
      </c>
    </row>
    <row r="1643" spans="1:14" hidden="1" x14ac:dyDescent="0.35">
      <c r="A1643" s="52" t="s">
        <v>242</v>
      </c>
      <c r="B1643" s="52" t="s">
        <v>34</v>
      </c>
      <c r="C1643" s="52" t="s">
        <v>385</v>
      </c>
      <c r="D1643" s="52" t="s">
        <v>385</v>
      </c>
      <c r="E1643" s="52" t="s">
        <v>584</v>
      </c>
      <c r="F1643" s="52" t="s">
        <v>581</v>
      </c>
      <c r="G1643" s="55" t="s">
        <v>276</v>
      </c>
      <c r="H1643" s="55">
        <v>-3.3159840000000001E-3</v>
      </c>
      <c r="I1643" s="55">
        <v>-3.315845E-3</v>
      </c>
      <c r="J1643" s="55">
        <v>-1.2281230000000001E-2</v>
      </c>
      <c r="K1643" s="55">
        <v>-1.228137E-2</v>
      </c>
      <c r="L1643" s="55">
        <v>-0.43907489999999999</v>
      </c>
      <c r="M1643" s="55">
        <v>-1.2281230000000001E-2</v>
      </c>
      <c r="N1643" s="55">
        <v>-1.2281230000000001E-2</v>
      </c>
    </row>
    <row r="1644" spans="1:14" hidden="1" x14ac:dyDescent="0.35">
      <c r="A1644" s="52" t="s">
        <v>242</v>
      </c>
      <c r="B1644" s="52" t="s">
        <v>34</v>
      </c>
      <c r="C1644" s="52" t="s">
        <v>385</v>
      </c>
      <c r="D1644" s="52" t="s">
        <v>385</v>
      </c>
      <c r="E1644" s="52" t="s">
        <v>584</v>
      </c>
      <c r="F1644" s="52" t="s">
        <v>581</v>
      </c>
      <c r="G1644" s="55" t="s">
        <v>278</v>
      </c>
      <c r="H1644" s="55">
        <v>1.2281230000000001E-2</v>
      </c>
      <c r="I1644" s="55">
        <v>1.2281230000000001E-2</v>
      </c>
      <c r="J1644" s="55">
        <v>1.2281230000000001E-2</v>
      </c>
      <c r="K1644" s="55">
        <v>1.2281230000000001E-2</v>
      </c>
      <c r="L1644" s="55">
        <v>0.4390751</v>
      </c>
      <c r="M1644" s="55">
        <v>1.2281230000000001E-2</v>
      </c>
      <c r="N1644" s="55">
        <v>1.2281230000000001E-2</v>
      </c>
    </row>
    <row r="1645" spans="1:14" hidden="1" x14ac:dyDescent="0.35">
      <c r="A1645" s="52" t="s">
        <v>669</v>
      </c>
      <c r="B1645" s="52" t="s">
        <v>53</v>
      </c>
      <c r="C1645" s="52" t="s">
        <v>52</v>
      </c>
      <c r="D1645" s="52" t="s">
        <v>52</v>
      </c>
      <c r="E1645" s="52" t="s">
        <v>584</v>
      </c>
      <c r="F1645" s="52" t="s">
        <v>581</v>
      </c>
      <c r="G1645" s="55" t="s">
        <v>275</v>
      </c>
      <c r="H1645" s="55">
        <v>232.91130000000001</v>
      </c>
      <c r="I1645" s="55">
        <v>267.19049999999999</v>
      </c>
      <c r="J1645" s="55">
        <v>260.56389999999999</v>
      </c>
      <c r="K1645" s="55">
        <v>242.51990000000001</v>
      </c>
      <c r="L1645" s="55">
        <v>202.18219999999999</v>
      </c>
      <c r="M1645" s="55">
        <v>168.90430000000001</v>
      </c>
      <c r="N1645" s="55">
        <v>111.19450000000001</v>
      </c>
    </row>
    <row r="1646" spans="1:14" hidden="1" x14ac:dyDescent="0.35">
      <c r="A1646" s="52" t="s">
        <v>669</v>
      </c>
      <c r="B1646" s="52" t="s">
        <v>53</v>
      </c>
      <c r="C1646" s="52" t="s">
        <v>52</v>
      </c>
      <c r="D1646" s="52" t="s">
        <v>52</v>
      </c>
      <c r="E1646" s="52" t="s">
        <v>584</v>
      </c>
      <c r="F1646" s="52" t="s">
        <v>581</v>
      </c>
      <c r="G1646" s="55" t="s">
        <v>276</v>
      </c>
      <c r="H1646" s="55">
        <v>201.2921</v>
      </c>
      <c r="I1646" s="55">
        <v>126.59439999999999</v>
      </c>
      <c r="J1646" s="55">
        <v>108.18049999999999</v>
      </c>
      <c r="K1646" s="55">
        <v>105.17659999999999</v>
      </c>
      <c r="L1646" s="55">
        <v>91.647390000000001</v>
      </c>
      <c r="M1646" s="55">
        <v>73.952690000000004</v>
      </c>
      <c r="N1646" s="55">
        <v>41.842680000000001</v>
      </c>
    </row>
    <row r="1647" spans="1:14" hidden="1" x14ac:dyDescent="0.35">
      <c r="A1647" s="52" t="s">
        <v>669</v>
      </c>
      <c r="B1647" s="52" t="s">
        <v>53</v>
      </c>
      <c r="C1647" s="52" t="s">
        <v>52</v>
      </c>
      <c r="D1647" s="52" t="s">
        <v>52</v>
      </c>
      <c r="E1647" s="52" t="s">
        <v>584</v>
      </c>
      <c r="F1647" s="52" t="s">
        <v>581</v>
      </c>
      <c r="G1647" s="55" t="s">
        <v>277</v>
      </c>
      <c r="H1647" s="55">
        <v>286.43799999999999</v>
      </c>
      <c r="I1647" s="55">
        <v>79.988240000000005</v>
      </c>
      <c r="J1647" s="55">
        <v>21.159759999999999</v>
      </c>
      <c r="K1647" s="55">
        <v>19.854430000000001</v>
      </c>
      <c r="L1647" s="55">
        <v>21.606120000000001</v>
      </c>
      <c r="M1647" s="55">
        <v>19.7455</v>
      </c>
      <c r="N1647" s="55">
        <v>26.149360000000001</v>
      </c>
    </row>
    <row r="1648" spans="1:14" hidden="1" x14ac:dyDescent="0.35">
      <c r="A1648" s="52" t="s">
        <v>669</v>
      </c>
      <c r="B1648" s="52" t="s">
        <v>53</v>
      </c>
      <c r="C1648" s="52" t="s">
        <v>52</v>
      </c>
      <c r="D1648" s="52" t="s">
        <v>52</v>
      </c>
      <c r="E1648" s="52" t="s">
        <v>584</v>
      </c>
      <c r="F1648" s="52" t="s">
        <v>581</v>
      </c>
      <c r="G1648" s="55" t="s">
        <v>278</v>
      </c>
      <c r="H1648" s="55">
        <v>1.180123</v>
      </c>
      <c r="I1648" s="55">
        <v>1.180123</v>
      </c>
      <c r="J1648" s="55">
        <v>7.4110770000000006E-2</v>
      </c>
      <c r="K1648" s="55">
        <v>7.4110780000000001E-2</v>
      </c>
      <c r="L1648" s="55">
        <v>7.4110780000000001E-2</v>
      </c>
      <c r="M1648" s="55">
        <v>6.6736799999999999E-2</v>
      </c>
      <c r="N1648" s="55">
        <v>6.6736799999999999E-2</v>
      </c>
    </row>
    <row r="1649" spans="1:14" hidden="1" x14ac:dyDescent="0.35">
      <c r="A1649" s="52" t="s">
        <v>669</v>
      </c>
      <c r="B1649" s="52" t="s">
        <v>53</v>
      </c>
      <c r="C1649" s="52" t="s">
        <v>52</v>
      </c>
      <c r="D1649" s="52" t="s">
        <v>52</v>
      </c>
      <c r="E1649" s="52" t="s">
        <v>584</v>
      </c>
      <c r="F1649" s="52" t="s">
        <v>581</v>
      </c>
      <c r="G1649" s="55" t="s">
        <v>279</v>
      </c>
      <c r="H1649" s="55">
        <v>232.26159999999999</v>
      </c>
      <c r="I1649" s="55">
        <v>197.5026</v>
      </c>
      <c r="J1649" s="55">
        <v>227.66229999999999</v>
      </c>
      <c r="K1649" s="55">
        <v>187.73490000000001</v>
      </c>
      <c r="L1649" s="55">
        <v>153.1816</v>
      </c>
      <c r="M1649" s="55">
        <v>107.2572</v>
      </c>
      <c r="N1649" s="55">
        <v>120.982</v>
      </c>
    </row>
    <row r="1650" spans="1:14" hidden="1" x14ac:dyDescent="0.35">
      <c r="A1650" s="52" t="s">
        <v>669</v>
      </c>
      <c r="B1650" s="52" t="s">
        <v>53</v>
      </c>
      <c r="C1650" s="52" t="s">
        <v>52</v>
      </c>
      <c r="D1650" s="52" t="s">
        <v>52</v>
      </c>
      <c r="E1650" s="52" t="s">
        <v>584</v>
      </c>
      <c r="F1650" s="52" t="s">
        <v>26</v>
      </c>
      <c r="G1650" s="55" t="s">
        <v>275</v>
      </c>
      <c r="H1650" s="55">
        <v>603.73969999999997</v>
      </c>
      <c r="I1650" s="55">
        <v>309.64</v>
      </c>
      <c r="J1650" s="55">
        <v>569.34339999999997</v>
      </c>
      <c r="K1650" s="55">
        <v>215.09030000000001</v>
      </c>
      <c r="L1650" s="55">
        <v>30.08616</v>
      </c>
      <c r="M1650" s="55">
        <v>35.616750000000003</v>
      </c>
      <c r="N1650" s="55">
        <v>514.39250000000004</v>
      </c>
    </row>
    <row r="1651" spans="1:14" hidden="1" x14ac:dyDescent="0.35">
      <c r="A1651" s="52" t="s">
        <v>669</v>
      </c>
      <c r="B1651" s="52" t="s">
        <v>53</v>
      </c>
      <c r="C1651" s="52" t="s">
        <v>52</v>
      </c>
      <c r="D1651" s="52" t="s">
        <v>52</v>
      </c>
      <c r="E1651" s="52" t="s">
        <v>584</v>
      </c>
      <c r="F1651" s="52" t="s">
        <v>26</v>
      </c>
      <c r="G1651" s="55" t="s">
        <v>276</v>
      </c>
      <c r="H1651" s="55">
        <v>375.31970000000001</v>
      </c>
      <c r="I1651" s="55">
        <v>156.46369999999999</v>
      </c>
      <c r="J1651" s="55">
        <v>283.37439999999998</v>
      </c>
      <c r="K1651" s="55">
        <v>112.6909</v>
      </c>
      <c r="L1651" s="55">
        <v>78.112219999999994</v>
      </c>
      <c r="M1651" s="55">
        <v>81.954160000000002</v>
      </c>
      <c r="N1651" s="55">
        <v>251.23820000000001</v>
      </c>
    </row>
    <row r="1652" spans="1:14" hidden="1" x14ac:dyDescent="0.35">
      <c r="A1652" s="52" t="s">
        <v>669</v>
      </c>
      <c r="B1652" s="52" t="s">
        <v>53</v>
      </c>
      <c r="C1652" s="52" t="s">
        <v>52</v>
      </c>
      <c r="D1652" s="52" t="s">
        <v>52</v>
      </c>
      <c r="E1652" s="52" t="s">
        <v>584</v>
      </c>
      <c r="F1652" s="52" t="s">
        <v>26</v>
      </c>
      <c r="G1652" s="55" t="s">
        <v>277</v>
      </c>
      <c r="H1652" s="55">
        <v>559.23030000000006</v>
      </c>
      <c r="I1652" s="55">
        <v>962.73929999999996</v>
      </c>
      <c r="J1652" s="55">
        <v>444.52379999999999</v>
      </c>
      <c r="K1652" s="55">
        <v>985.45429999999999</v>
      </c>
      <c r="L1652" s="55">
        <v>1321.806</v>
      </c>
      <c r="M1652" s="55">
        <v>1380.6179999999999</v>
      </c>
      <c r="N1652" s="55">
        <v>772.49829999999997</v>
      </c>
    </row>
    <row r="1653" spans="1:14" hidden="1" x14ac:dyDescent="0.35">
      <c r="A1653" s="52" t="s">
        <v>669</v>
      </c>
      <c r="B1653" s="52" t="s">
        <v>53</v>
      </c>
      <c r="C1653" s="52" t="s">
        <v>52</v>
      </c>
      <c r="D1653" s="52" t="s">
        <v>52</v>
      </c>
      <c r="E1653" s="52" t="s">
        <v>584</v>
      </c>
      <c r="F1653" s="52" t="s">
        <v>26</v>
      </c>
      <c r="G1653" s="55" t="s">
        <v>278</v>
      </c>
      <c r="H1653" s="55">
        <v>28.491479999999999</v>
      </c>
      <c r="I1653" s="55">
        <v>13.850989999999999</v>
      </c>
      <c r="J1653" s="55">
        <v>12.75854</v>
      </c>
      <c r="K1653" s="55">
        <v>31.299859999999999</v>
      </c>
      <c r="L1653" s="55">
        <v>14.259819999999999</v>
      </c>
      <c r="M1653" s="55">
        <v>2.701619</v>
      </c>
      <c r="N1653" s="55">
        <v>32.864820000000002</v>
      </c>
    </row>
    <row r="1654" spans="1:14" hidden="1" x14ac:dyDescent="0.35">
      <c r="A1654" s="52" t="s">
        <v>669</v>
      </c>
      <c r="B1654" s="52" t="s">
        <v>53</v>
      </c>
      <c r="C1654" s="52" t="s">
        <v>52</v>
      </c>
      <c r="D1654" s="52" t="s">
        <v>52</v>
      </c>
      <c r="E1654" s="52" t="s">
        <v>584</v>
      </c>
      <c r="F1654" s="52" t="s">
        <v>26</v>
      </c>
      <c r="G1654" s="55" t="s">
        <v>279</v>
      </c>
      <c r="H1654" s="55">
        <v>391.5788</v>
      </c>
      <c r="I1654" s="55">
        <v>332.8766</v>
      </c>
      <c r="J1654" s="55">
        <v>348.92759999999998</v>
      </c>
      <c r="K1654" s="55">
        <v>381.47620000000001</v>
      </c>
      <c r="L1654" s="55">
        <v>408.6644</v>
      </c>
      <c r="M1654" s="55">
        <v>418.34359999999998</v>
      </c>
      <c r="N1654" s="55">
        <v>450.75510000000003</v>
      </c>
    </row>
    <row r="1655" spans="1:14" hidden="1" x14ac:dyDescent="0.35">
      <c r="A1655" s="52" t="s">
        <v>669</v>
      </c>
      <c r="B1655" s="52" t="s">
        <v>53</v>
      </c>
      <c r="C1655" s="52" t="s">
        <v>151</v>
      </c>
      <c r="D1655" s="52" t="s">
        <v>151</v>
      </c>
      <c r="E1655" s="52" t="s">
        <v>584</v>
      </c>
      <c r="F1655" s="52" t="s">
        <v>26</v>
      </c>
      <c r="G1655" s="55" t="s">
        <v>275</v>
      </c>
      <c r="H1655" s="55">
        <v>489.96839999999997</v>
      </c>
      <c r="I1655" s="55">
        <v>357.90089999999998</v>
      </c>
      <c r="J1655" s="55">
        <v>310.22899999999998</v>
      </c>
      <c r="K1655" s="55">
        <v>-612.8433</v>
      </c>
      <c r="L1655" s="55">
        <v>-796.47170000000006</v>
      </c>
      <c r="M1655" s="55">
        <v>-798.85419999999999</v>
      </c>
      <c r="N1655" s="55">
        <v>34.600499999999997</v>
      </c>
    </row>
    <row r="1656" spans="1:14" hidden="1" x14ac:dyDescent="0.35">
      <c r="A1656" s="52" t="s">
        <v>669</v>
      </c>
      <c r="B1656" s="52" t="s">
        <v>53</v>
      </c>
      <c r="C1656" s="52" t="s">
        <v>151</v>
      </c>
      <c r="D1656" s="52" t="s">
        <v>151</v>
      </c>
      <c r="E1656" s="52" t="s">
        <v>584</v>
      </c>
      <c r="F1656" s="52" t="s">
        <v>26</v>
      </c>
      <c r="G1656" s="55" t="s">
        <v>276</v>
      </c>
      <c r="H1656" s="55">
        <v>377.2303</v>
      </c>
      <c r="I1656" s="55">
        <v>282.0197</v>
      </c>
      <c r="J1656" s="55">
        <v>263.09969999999998</v>
      </c>
      <c r="K1656" s="55">
        <v>-31.76473</v>
      </c>
      <c r="L1656" s="55">
        <v>-114.9744</v>
      </c>
      <c r="M1656" s="55">
        <v>-119.5245</v>
      </c>
      <c r="N1656" s="55">
        <v>235.51779999999999</v>
      </c>
    </row>
    <row r="1657" spans="1:14" hidden="1" x14ac:dyDescent="0.35">
      <c r="A1657" s="52" t="s">
        <v>669</v>
      </c>
      <c r="B1657" s="52" t="s">
        <v>53</v>
      </c>
      <c r="C1657" s="52" t="s">
        <v>151</v>
      </c>
      <c r="D1657" s="52" t="s">
        <v>151</v>
      </c>
      <c r="E1657" s="52" t="s">
        <v>584</v>
      </c>
      <c r="F1657" s="52" t="s">
        <v>26</v>
      </c>
      <c r="G1657" s="55" t="s">
        <v>277</v>
      </c>
      <c r="H1657" s="55">
        <v>115.44280000000001</v>
      </c>
      <c r="I1657" s="55">
        <v>135.78450000000001</v>
      </c>
      <c r="J1657" s="55">
        <v>264.9622</v>
      </c>
      <c r="K1657" s="55">
        <v>1459.922</v>
      </c>
      <c r="L1657" s="55">
        <v>1729.1769999999999</v>
      </c>
      <c r="M1657" s="55">
        <v>1743.556</v>
      </c>
      <c r="N1657" s="55">
        <v>610.61649999999997</v>
      </c>
    </row>
    <row r="1658" spans="1:14" hidden="1" x14ac:dyDescent="0.35">
      <c r="A1658" s="52" t="s">
        <v>669</v>
      </c>
      <c r="B1658" s="52" t="s">
        <v>53</v>
      </c>
      <c r="C1658" s="52" t="s">
        <v>151</v>
      </c>
      <c r="D1658" s="52" t="s">
        <v>151</v>
      </c>
      <c r="E1658" s="52" t="s">
        <v>584</v>
      </c>
      <c r="F1658" s="52" t="s">
        <v>26</v>
      </c>
      <c r="G1658" s="55" t="s">
        <v>279</v>
      </c>
      <c r="H1658" s="55">
        <v>425.0829</v>
      </c>
      <c r="I1658" s="55">
        <v>372.78969999999998</v>
      </c>
      <c r="J1658" s="55">
        <v>341.63679999999999</v>
      </c>
      <c r="K1658" s="55">
        <v>360.99959999999999</v>
      </c>
      <c r="L1658" s="55">
        <v>358.80070000000001</v>
      </c>
      <c r="M1658" s="55">
        <v>359.79579999999999</v>
      </c>
      <c r="N1658" s="55">
        <v>378.99799999999999</v>
      </c>
    </row>
    <row r="1659" spans="1:14" hidden="1" x14ac:dyDescent="0.35">
      <c r="A1659" s="52" t="s">
        <v>669</v>
      </c>
      <c r="B1659" s="52" t="s">
        <v>53</v>
      </c>
      <c r="C1659" s="52" t="s">
        <v>145</v>
      </c>
      <c r="D1659" s="52" t="s">
        <v>145</v>
      </c>
      <c r="E1659" s="52" t="s">
        <v>584</v>
      </c>
      <c r="F1659" s="52" t="s">
        <v>581</v>
      </c>
      <c r="G1659" s="55" t="s">
        <v>275</v>
      </c>
      <c r="H1659" s="55">
        <v>10.77866</v>
      </c>
      <c r="I1659" s="55">
        <v>3.5013990000000002</v>
      </c>
      <c r="J1659" s="55">
        <v>3.326711</v>
      </c>
      <c r="K1659" s="55">
        <v>2.8719779999999999</v>
      </c>
      <c r="L1659" s="55">
        <v>2.7657080000000001</v>
      </c>
      <c r="M1659" s="55">
        <v>2.60155</v>
      </c>
      <c r="N1659" s="55">
        <v>2.500289</v>
      </c>
    </row>
    <row r="1660" spans="1:14" hidden="1" x14ac:dyDescent="0.35">
      <c r="A1660" s="52" t="s">
        <v>669</v>
      </c>
      <c r="B1660" s="52" t="s">
        <v>53</v>
      </c>
      <c r="C1660" s="52" t="s">
        <v>145</v>
      </c>
      <c r="D1660" s="52" t="s">
        <v>145</v>
      </c>
      <c r="E1660" s="52" t="s">
        <v>584</v>
      </c>
      <c r="F1660" s="52" t="s">
        <v>581</v>
      </c>
      <c r="G1660" s="55" t="s">
        <v>276</v>
      </c>
      <c r="H1660" s="55">
        <v>7.0811010000000003</v>
      </c>
      <c r="I1660" s="55">
        <v>2.6165210000000001</v>
      </c>
      <c r="J1660" s="55">
        <v>2.4606210000000002</v>
      </c>
      <c r="K1660" s="55">
        <v>2.2543829999999998</v>
      </c>
      <c r="L1660" s="55">
        <v>2.2271640000000001</v>
      </c>
      <c r="M1660" s="55">
        <v>2.1447189999999998</v>
      </c>
      <c r="N1660" s="55">
        <v>2.0750030000000002</v>
      </c>
    </row>
    <row r="1661" spans="1:14" hidden="1" x14ac:dyDescent="0.35">
      <c r="A1661" s="52" t="s">
        <v>669</v>
      </c>
      <c r="B1661" s="52" t="s">
        <v>53</v>
      </c>
      <c r="C1661" s="52" t="s">
        <v>145</v>
      </c>
      <c r="D1661" s="52" t="s">
        <v>145</v>
      </c>
      <c r="E1661" s="52" t="s">
        <v>584</v>
      </c>
      <c r="F1661" s="52" t="s">
        <v>581</v>
      </c>
      <c r="G1661" s="55" t="s">
        <v>277</v>
      </c>
      <c r="H1661" s="55">
        <v>0.60959920000000001</v>
      </c>
      <c r="I1661" s="55">
        <v>0.47073019999999999</v>
      </c>
      <c r="J1661" s="55">
        <v>0.40514299999999998</v>
      </c>
      <c r="K1661" s="55">
        <v>0.49232789999999998</v>
      </c>
      <c r="L1661" s="55">
        <v>0.56753810000000005</v>
      </c>
      <c r="M1661" s="55">
        <v>0.63020310000000002</v>
      </c>
      <c r="N1661" s="55">
        <v>0.6459587</v>
      </c>
    </row>
    <row r="1662" spans="1:14" hidden="1" x14ac:dyDescent="0.35">
      <c r="A1662" s="52" t="s">
        <v>669</v>
      </c>
      <c r="B1662" s="52" t="s">
        <v>53</v>
      </c>
      <c r="C1662" s="52" t="s">
        <v>145</v>
      </c>
      <c r="D1662" s="52" t="s">
        <v>145</v>
      </c>
      <c r="E1662" s="52" t="s">
        <v>584</v>
      </c>
      <c r="F1662" s="52" t="s">
        <v>581</v>
      </c>
      <c r="G1662" s="55" t="s">
        <v>279</v>
      </c>
      <c r="H1662" s="55">
        <v>5.7736429999999999</v>
      </c>
      <c r="I1662" s="55">
        <v>4.8148369999999998</v>
      </c>
      <c r="J1662" s="55">
        <v>4.645086</v>
      </c>
      <c r="K1662" s="55">
        <v>4.7244190000000001</v>
      </c>
      <c r="L1662" s="55">
        <v>4.6743319999999997</v>
      </c>
      <c r="M1662" s="55">
        <v>4.5271619999999997</v>
      </c>
      <c r="N1662" s="55">
        <v>4.4027900000000004</v>
      </c>
    </row>
    <row r="1663" spans="1:14" hidden="1" x14ac:dyDescent="0.35">
      <c r="A1663" s="52" t="s">
        <v>669</v>
      </c>
      <c r="B1663" s="52" t="s">
        <v>53</v>
      </c>
      <c r="C1663" s="52" t="s">
        <v>825</v>
      </c>
      <c r="D1663" s="52" t="s">
        <v>825</v>
      </c>
      <c r="E1663" s="52" t="s">
        <v>584</v>
      </c>
      <c r="F1663" s="52" t="s">
        <v>26</v>
      </c>
      <c r="G1663" s="55" t="s">
        <v>275</v>
      </c>
      <c r="H1663" s="55">
        <v>-4.0742E-2</v>
      </c>
      <c r="I1663" s="55">
        <v>-4.0743000000000001E-2</v>
      </c>
      <c r="J1663" s="55">
        <v>0</v>
      </c>
      <c r="K1663" s="55">
        <v>0</v>
      </c>
      <c r="L1663" s="55">
        <v>0</v>
      </c>
      <c r="M1663" s="55">
        <v>0</v>
      </c>
      <c r="N1663" s="55">
        <v>0</v>
      </c>
    </row>
    <row r="1664" spans="1:14" hidden="1" x14ac:dyDescent="0.35">
      <c r="A1664" s="52" t="s">
        <v>669</v>
      </c>
      <c r="B1664" s="52" t="s">
        <v>53</v>
      </c>
      <c r="C1664" s="52" t="s">
        <v>825</v>
      </c>
      <c r="D1664" s="52" t="s">
        <v>825</v>
      </c>
      <c r="E1664" s="52" t="s">
        <v>584</v>
      </c>
      <c r="F1664" s="52" t="s">
        <v>26</v>
      </c>
      <c r="G1664" s="55" t="s">
        <v>276</v>
      </c>
      <c r="H1664" s="55">
        <v>-1.7461000000000001E-2</v>
      </c>
      <c r="I1664" s="55">
        <v>-1.7461000000000001E-2</v>
      </c>
      <c r="J1664" s="55">
        <v>0</v>
      </c>
      <c r="K1664" s="55">
        <v>0</v>
      </c>
      <c r="L1664" s="55">
        <v>0</v>
      </c>
      <c r="M1664" s="55">
        <v>0</v>
      </c>
      <c r="N1664" s="55">
        <v>0</v>
      </c>
    </row>
    <row r="1665" spans="1:14" hidden="1" x14ac:dyDescent="0.35">
      <c r="A1665" s="52" t="s">
        <v>669</v>
      </c>
      <c r="B1665" s="52" t="s">
        <v>53</v>
      </c>
      <c r="C1665" s="52" t="s">
        <v>825</v>
      </c>
      <c r="D1665" s="52" t="s">
        <v>825</v>
      </c>
      <c r="E1665" s="52" t="s">
        <v>584</v>
      </c>
      <c r="F1665" s="52" t="s">
        <v>26</v>
      </c>
      <c r="G1665" s="55" t="s">
        <v>277</v>
      </c>
      <c r="H1665" s="55"/>
      <c r="I1665" s="55"/>
      <c r="J1665" s="55"/>
      <c r="K1665" s="55"/>
      <c r="L1665" s="55"/>
      <c r="M1665" s="55">
        <v>0</v>
      </c>
      <c r="N1665" s="55">
        <v>0</v>
      </c>
    </row>
    <row r="1666" spans="1:14" hidden="1" x14ac:dyDescent="0.35">
      <c r="A1666" s="52" t="s">
        <v>669</v>
      </c>
      <c r="B1666" s="52" t="s">
        <v>53</v>
      </c>
      <c r="C1666" s="52" t="s">
        <v>825</v>
      </c>
      <c r="D1666" s="52" t="s">
        <v>825</v>
      </c>
      <c r="E1666" s="52" t="s">
        <v>584</v>
      </c>
      <c r="F1666" s="52" t="s">
        <v>26</v>
      </c>
      <c r="G1666" s="55" t="s">
        <v>278</v>
      </c>
      <c r="H1666" s="55">
        <v>5.8203999999999999E-2</v>
      </c>
      <c r="I1666" s="55">
        <v>5.8203999999999999E-2</v>
      </c>
      <c r="J1666" s="55">
        <v>0</v>
      </c>
      <c r="K1666" s="55">
        <v>0</v>
      </c>
      <c r="L1666" s="55">
        <v>0</v>
      </c>
      <c r="M1666" s="55">
        <v>0</v>
      </c>
      <c r="N1666" s="55">
        <v>0</v>
      </c>
    </row>
    <row r="1667" spans="1:14" hidden="1" x14ac:dyDescent="0.35">
      <c r="A1667" s="52" t="s">
        <v>669</v>
      </c>
      <c r="B1667" s="52" t="s">
        <v>53</v>
      </c>
      <c r="C1667" s="52" t="s">
        <v>318</v>
      </c>
      <c r="D1667" s="52" t="s">
        <v>318</v>
      </c>
      <c r="E1667" s="52" t="s">
        <v>584</v>
      </c>
      <c r="F1667" s="52" t="s">
        <v>581</v>
      </c>
      <c r="G1667" s="55" t="s">
        <v>275</v>
      </c>
      <c r="H1667" s="55">
        <v>0</v>
      </c>
      <c r="I1667" s="55"/>
      <c r="J1667" s="55"/>
      <c r="K1667" s="55"/>
      <c r="L1667" s="55"/>
      <c r="M1667" s="55"/>
      <c r="N1667" s="55"/>
    </row>
    <row r="1668" spans="1:14" hidden="1" x14ac:dyDescent="0.35">
      <c r="A1668" s="52" t="s">
        <v>669</v>
      </c>
      <c r="B1668" s="52" t="s">
        <v>53</v>
      </c>
      <c r="C1668" s="52" t="s">
        <v>318</v>
      </c>
      <c r="D1668" s="52" t="s">
        <v>318</v>
      </c>
      <c r="E1668" s="52" t="s">
        <v>584</v>
      </c>
      <c r="F1668" s="52" t="s">
        <v>581</v>
      </c>
      <c r="G1668" s="55" t="s">
        <v>276</v>
      </c>
      <c r="H1668" s="55">
        <v>0</v>
      </c>
      <c r="I1668" s="55"/>
      <c r="J1668" s="55"/>
      <c r="K1668" s="55"/>
      <c r="L1668" s="55"/>
      <c r="M1668" s="55"/>
      <c r="N1668" s="55"/>
    </row>
    <row r="1669" spans="1:14" hidden="1" x14ac:dyDescent="0.35">
      <c r="A1669" s="52" t="s">
        <v>669</v>
      </c>
      <c r="B1669" s="52" t="s">
        <v>53</v>
      </c>
      <c r="C1669" s="52" t="s">
        <v>318</v>
      </c>
      <c r="D1669" s="52" t="s">
        <v>318</v>
      </c>
      <c r="E1669" s="52" t="s">
        <v>584</v>
      </c>
      <c r="F1669" s="52" t="s">
        <v>581</v>
      </c>
      <c r="G1669" s="55" t="s">
        <v>278</v>
      </c>
      <c r="H1669" s="55">
        <v>0</v>
      </c>
      <c r="I1669" s="55"/>
      <c r="J1669" s="55"/>
      <c r="K1669" s="55"/>
      <c r="L1669" s="55"/>
      <c r="M1669" s="55"/>
      <c r="N1669" s="55"/>
    </row>
    <row r="1670" spans="1:14" hidden="1" x14ac:dyDescent="0.35">
      <c r="A1670" s="52" t="s">
        <v>669</v>
      </c>
      <c r="B1670" s="52" t="s">
        <v>53</v>
      </c>
      <c r="C1670" s="52" t="s">
        <v>318</v>
      </c>
      <c r="D1670" s="52" t="s">
        <v>318</v>
      </c>
      <c r="E1670" s="52" t="s">
        <v>584</v>
      </c>
      <c r="F1670" s="52" t="s">
        <v>26</v>
      </c>
      <c r="G1670" s="55" t="s">
        <v>275</v>
      </c>
      <c r="H1670" s="55">
        <v>0</v>
      </c>
      <c r="I1670" s="55"/>
      <c r="J1670" s="55"/>
      <c r="K1670" s="55"/>
      <c r="L1670" s="55"/>
      <c r="M1670" s="55"/>
      <c r="N1670" s="55"/>
    </row>
    <row r="1671" spans="1:14" hidden="1" x14ac:dyDescent="0.35">
      <c r="A1671" s="52" t="s">
        <v>669</v>
      </c>
      <c r="B1671" s="52" t="s">
        <v>53</v>
      </c>
      <c r="C1671" s="52" t="s">
        <v>318</v>
      </c>
      <c r="D1671" s="52" t="s">
        <v>318</v>
      </c>
      <c r="E1671" s="52" t="s">
        <v>584</v>
      </c>
      <c r="F1671" s="52" t="s">
        <v>26</v>
      </c>
      <c r="G1671" s="55" t="s">
        <v>276</v>
      </c>
      <c r="H1671" s="55">
        <v>0</v>
      </c>
      <c r="I1671" s="55"/>
      <c r="J1671" s="55"/>
      <c r="K1671" s="55"/>
      <c r="L1671" s="55"/>
      <c r="M1671" s="55"/>
      <c r="N1671" s="55"/>
    </row>
    <row r="1672" spans="1:14" hidden="1" x14ac:dyDescent="0.35">
      <c r="A1672" s="52" t="s">
        <v>669</v>
      </c>
      <c r="B1672" s="52" t="s">
        <v>53</v>
      </c>
      <c r="C1672" s="52" t="s">
        <v>318</v>
      </c>
      <c r="D1672" s="52" t="s">
        <v>318</v>
      </c>
      <c r="E1672" s="52" t="s">
        <v>584</v>
      </c>
      <c r="F1672" s="52" t="s">
        <v>26</v>
      </c>
      <c r="G1672" s="55" t="s">
        <v>278</v>
      </c>
      <c r="H1672" s="55">
        <v>0</v>
      </c>
      <c r="I1672" s="55"/>
      <c r="J1672" s="55"/>
      <c r="K1672" s="55"/>
      <c r="L1672" s="55"/>
      <c r="M1672" s="55"/>
      <c r="N1672" s="55"/>
    </row>
    <row r="1673" spans="1:14" hidden="1" x14ac:dyDescent="0.35">
      <c r="A1673" s="52" t="s">
        <v>669</v>
      </c>
      <c r="B1673" s="52" t="s">
        <v>53</v>
      </c>
      <c r="C1673" s="52" t="s">
        <v>175</v>
      </c>
      <c r="D1673" s="52" t="s">
        <v>175</v>
      </c>
      <c r="E1673" s="52" t="s">
        <v>584</v>
      </c>
      <c r="F1673" s="52" t="s">
        <v>581</v>
      </c>
      <c r="G1673" s="55" t="s">
        <v>275</v>
      </c>
      <c r="H1673" s="55"/>
      <c r="I1673" s="55"/>
      <c r="J1673" s="55"/>
      <c r="K1673" s="55">
        <v>0</v>
      </c>
      <c r="L1673" s="55">
        <v>-0.55819110000000005</v>
      </c>
      <c r="M1673" s="55">
        <v>-0.93440190000000001</v>
      </c>
      <c r="N1673" s="55">
        <v>-1.5832790000000001</v>
      </c>
    </row>
    <row r="1674" spans="1:14" hidden="1" x14ac:dyDescent="0.35">
      <c r="A1674" s="52" t="s">
        <v>669</v>
      </c>
      <c r="B1674" s="52" t="s">
        <v>53</v>
      </c>
      <c r="C1674" s="52" t="s">
        <v>175</v>
      </c>
      <c r="D1674" s="52" t="s">
        <v>175</v>
      </c>
      <c r="E1674" s="52" t="s">
        <v>584</v>
      </c>
      <c r="F1674" s="52" t="s">
        <v>581</v>
      </c>
      <c r="G1674" s="55" t="s">
        <v>276</v>
      </c>
      <c r="H1674" s="55"/>
      <c r="I1674" s="55"/>
      <c r="J1674" s="55"/>
      <c r="K1674" s="55">
        <v>0</v>
      </c>
      <c r="L1674" s="55">
        <v>-0.23922470000000001</v>
      </c>
      <c r="M1674" s="55">
        <v>-0.4004586</v>
      </c>
      <c r="N1674" s="55">
        <v>-0.67854840000000005</v>
      </c>
    </row>
    <row r="1675" spans="1:14" hidden="1" x14ac:dyDescent="0.35">
      <c r="A1675" s="52" t="s">
        <v>669</v>
      </c>
      <c r="B1675" s="52" t="s">
        <v>53</v>
      </c>
      <c r="C1675" s="52" t="s">
        <v>175</v>
      </c>
      <c r="D1675" s="52" t="s">
        <v>175</v>
      </c>
      <c r="E1675" s="52" t="s">
        <v>584</v>
      </c>
      <c r="F1675" s="52" t="s">
        <v>581</v>
      </c>
      <c r="G1675" s="55" t="s">
        <v>277</v>
      </c>
      <c r="H1675" s="55"/>
      <c r="I1675" s="55"/>
      <c r="J1675" s="55"/>
      <c r="K1675" s="55">
        <v>0</v>
      </c>
      <c r="L1675" s="55">
        <v>0.42669829999999997</v>
      </c>
      <c r="M1675" s="55">
        <v>0.96414230000000001</v>
      </c>
      <c r="N1675" s="55">
        <v>1.8911100000000001</v>
      </c>
    </row>
    <row r="1676" spans="1:14" hidden="1" x14ac:dyDescent="0.35">
      <c r="A1676" s="52" t="s">
        <v>669</v>
      </c>
      <c r="B1676" s="52" t="s">
        <v>53</v>
      </c>
      <c r="C1676" s="52" t="s">
        <v>175</v>
      </c>
      <c r="D1676" s="52" t="s">
        <v>175</v>
      </c>
      <c r="E1676" s="52" t="s">
        <v>584</v>
      </c>
      <c r="F1676" s="52" t="s">
        <v>581</v>
      </c>
      <c r="G1676" s="55" t="s">
        <v>278</v>
      </c>
      <c r="H1676" s="55"/>
      <c r="I1676" s="55"/>
      <c r="J1676" s="55"/>
      <c r="K1676" s="55"/>
      <c r="L1676" s="55">
        <v>0</v>
      </c>
      <c r="M1676" s="55"/>
      <c r="N1676" s="55"/>
    </row>
    <row r="1677" spans="1:14" hidden="1" x14ac:dyDescent="0.35">
      <c r="A1677" s="52" t="s">
        <v>669</v>
      </c>
      <c r="B1677" s="52" t="s">
        <v>53</v>
      </c>
      <c r="C1677" s="52" t="s">
        <v>175</v>
      </c>
      <c r="D1677" s="52" t="s">
        <v>175</v>
      </c>
      <c r="E1677" s="52" t="s">
        <v>584</v>
      </c>
      <c r="F1677" s="52" t="s">
        <v>581</v>
      </c>
      <c r="G1677" s="55" t="s">
        <v>279</v>
      </c>
      <c r="H1677" s="55"/>
      <c r="I1677" s="55"/>
      <c r="J1677" s="55"/>
      <c r="K1677" s="55">
        <v>0</v>
      </c>
      <c r="L1677" s="55">
        <v>0.37071779999999999</v>
      </c>
      <c r="M1677" s="55">
        <v>0.37071730000000003</v>
      </c>
      <c r="N1677" s="55">
        <v>0.37071779999999999</v>
      </c>
    </row>
    <row r="1678" spans="1:14" hidden="1" x14ac:dyDescent="0.35">
      <c r="A1678" s="52" t="s">
        <v>669</v>
      </c>
      <c r="B1678" s="52" t="s">
        <v>53</v>
      </c>
      <c r="C1678" s="52" t="s">
        <v>175</v>
      </c>
      <c r="D1678" s="52" t="s">
        <v>175</v>
      </c>
      <c r="E1678" s="52" t="s">
        <v>584</v>
      </c>
      <c r="F1678" s="52" t="s">
        <v>26</v>
      </c>
      <c r="G1678" s="55" t="s">
        <v>275</v>
      </c>
      <c r="H1678" s="55">
        <v>-43.92783</v>
      </c>
      <c r="I1678" s="55">
        <v>-23.582550000000001</v>
      </c>
      <c r="J1678" s="55">
        <v>-0.95482900000000004</v>
      </c>
      <c r="K1678" s="55">
        <v>-0.57144110000000004</v>
      </c>
      <c r="L1678" s="55">
        <v>-4.2877359999999998</v>
      </c>
      <c r="M1678" s="55">
        <v>-8.4816380000000002</v>
      </c>
      <c r="N1678" s="55">
        <v>-15.72292</v>
      </c>
    </row>
    <row r="1679" spans="1:14" hidden="1" x14ac:dyDescent="0.35">
      <c r="A1679" s="52" t="s">
        <v>669</v>
      </c>
      <c r="B1679" s="52" t="s">
        <v>53</v>
      </c>
      <c r="C1679" s="52" t="s">
        <v>175</v>
      </c>
      <c r="D1679" s="52" t="s">
        <v>175</v>
      </c>
      <c r="E1679" s="52" t="s">
        <v>584</v>
      </c>
      <c r="F1679" s="52" t="s">
        <v>26</v>
      </c>
      <c r="G1679" s="55" t="s">
        <v>276</v>
      </c>
      <c r="H1679" s="55">
        <v>-18.82621</v>
      </c>
      <c r="I1679" s="55">
        <v>-10.106809999999999</v>
      </c>
      <c r="J1679" s="55">
        <v>-0.51786730000000003</v>
      </c>
      <c r="K1679" s="55">
        <v>-0.3535585</v>
      </c>
      <c r="L1679" s="55">
        <v>-1.946256</v>
      </c>
      <c r="M1679" s="55">
        <v>-3.9492880000000001</v>
      </c>
      <c r="N1679" s="55">
        <v>-6.8470510000000004</v>
      </c>
    </row>
    <row r="1680" spans="1:14" hidden="1" x14ac:dyDescent="0.35">
      <c r="A1680" s="52" t="s">
        <v>669</v>
      </c>
      <c r="B1680" s="52" t="s">
        <v>53</v>
      </c>
      <c r="C1680" s="52" t="s">
        <v>175</v>
      </c>
      <c r="D1680" s="52" t="s">
        <v>175</v>
      </c>
      <c r="E1680" s="52" t="s">
        <v>584</v>
      </c>
      <c r="F1680" s="52" t="s">
        <v>26</v>
      </c>
      <c r="G1680" s="55" t="s">
        <v>277</v>
      </c>
      <c r="H1680" s="55">
        <v>62.583109999999998</v>
      </c>
      <c r="I1680" s="55">
        <v>33.562570000000001</v>
      </c>
      <c r="J1680" s="55">
        <v>1.3459129999999999</v>
      </c>
      <c r="K1680" s="55">
        <v>0.79821569999999997</v>
      </c>
      <c r="L1680" s="55">
        <v>4.7200620000000004</v>
      </c>
      <c r="M1680" s="55">
        <v>10.711349999999999</v>
      </c>
      <c r="N1680" s="55">
        <v>21.056039999999999</v>
      </c>
    </row>
    <row r="1681" spans="1:14" hidden="1" x14ac:dyDescent="0.35">
      <c r="A1681" s="52" t="s">
        <v>669</v>
      </c>
      <c r="B1681" s="52" t="s">
        <v>53</v>
      </c>
      <c r="C1681" s="52" t="s">
        <v>175</v>
      </c>
      <c r="D1681" s="52" t="s">
        <v>175</v>
      </c>
      <c r="E1681" s="52" t="s">
        <v>584</v>
      </c>
      <c r="F1681" s="52" t="s">
        <v>26</v>
      </c>
      <c r="G1681" s="55" t="s">
        <v>278</v>
      </c>
      <c r="H1681" s="55">
        <v>0.17092189999999999</v>
      </c>
      <c r="I1681" s="55">
        <v>0.12678320000000001</v>
      </c>
      <c r="J1681" s="55">
        <v>0.12678320000000001</v>
      </c>
      <c r="K1681" s="55">
        <v>0.12678320000000001</v>
      </c>
      <c r="L1681" s="55">
        <v>0.1086548</v>
      </c>
      <c r="M1681" s="55">
        <v>0.31430039999999998</v>
      </c>
      <c r="N1681" s="55">
        <v>0.1086548</v>
      </c>
    </row>
    <row r="1682" spans="1:14" hidden="1" x14ac:dyDescent="0.35">
      <c r="A1682" s="52" t="s">
        <v>669</v>
      </c>
      <c r="B1682" s="52" t="s">
        <v>53</v>
      </c>
      <c r="C1682" s="52" t="s">
        <v>175</v>
      </c>
      <c r="D1682" s="52" t="s">
        <v>175</v>
      </c>
      <c r="E1682" s="52" t="s">
        <v>584</v>
      </c>
      <c r="F1682" s="52" t="s">
        <v>26</v>
      </c>
      <c r="G1682" s="55" t="s">
        <v>279</v>
      </c>
      <c r="H1682" s="55"/>
      <c r="I1682" s="55"/>
      <c r="J1682" s="55"/>
      <c r="K1682" s="55">
        <v>0</v>
      </c>
      <c r="L1682" s="55">
        <v>1.405276</v>
      </c>
      <c r="M1682" s="55">
        <v>1.405276</v>
      </c>
      <c r="N1682" s="55">
        <v>1.4052750000000001</v>
      </c>
    </row>
    <row r="1683" spans="1:14" hidden="1" x14ac:dyDescent="0.35">
      <c r="A1683" s="52" t="s">
        <v>669</v>
      </c>
      <c r="B1683" s="52" t="s">
        <v>53</v>
      </c>
      <c r="C1683" s="52" t="s">
        <v>214</v>
      </c>
      <c r="D1683" s="52" t="s">
        <v>214</v>
      </c>
      <c r="E1683" s="52" t="s">
        <v>584</v>
      </c>
      <c r="F1683" s="52" t="s">
        <v>26</v>
      </c>
      <c r="G1683" s="55" t="s">
        <v>275</v>
      </c>
      <c r="H1683" s="55">
        <v>-2.8157619999999999</v>
      </c>
      <c r="I1683" s="55">
        <v>-2.8157619999999999</v>
      </c>
      <c r="J1683" s="55">
        <v>0</v>
      </c>
      <c r="K1683" s="55">
        <v>0</v>
      </c>
      <c r="L1683" s="55">
        <v>0</v>
      </c>
      <c r="M1683" s="55">
        <v>0</v>
      </c>
      <c r="N1683" s="55">
        <v>0</v>
      </c>
    </row>
    <row r="1684" spans="1:14" hidden="1" x14ac:dyDescent="0.35">
      <c r="A1684" s="52" t="s">
        <v>669</v>
      </c>
      <c r="B1684" s="52" t="s">
        <v>53</v>
      </c>
      <c r="C1684" s="52" t="s">
        <v>214</v>
      </c>
      <c r="D1684" s="52" t="s">
        <v>214</v>
      </c>
      <c r="E1684" s="52" t="s">
        <v>584</v>
      </c>
      <c r="F1684" s="52" t="s">
        <v>26</v>
      </c>
      <c r="G1684" s="55" t="s">
        <v>276</v>
      </c>
      <c r="H1684" s="55">
        <v>-1.206755</v>
      </c>
      <c r="I1684" s="55">
        <v>-1.2067559999999999</v>
      </c>
      <c r="J1684" s="55">
        <v>-4.0225179999999998</v>
      </c>
      <c r="K1684" s="55">
        <v>-6.6529660000000002</v>
      </c>
      <c r="L1684" s="55">
        <v>-5.5582830000000003</v>
      </c>
      <c r="M1684" s="55">
        <v>-4.0225150000000003</v>
      </c>
      <c r="N1684" s="55">
        <v>-69.45626</v>
      </c>
    </row>
    <row r="1685" spans="1:14" hidden="1" x14ac:dyDescent="0.35">
      <c r="A1685" s="52" t="s">
        <v>669</v>
      </c>
      <c r="B1685" s="52" t="s">
        <v>53</v>
      </c>
      <c r="C1685" s="52" t="s">
        <v>214</v>
      </c>
      <c r="D1685" s="52" t="s">
        <v>214</v>
      </c>
      <c r="E1685" s="52" t="s">
        <v>584</v>
      </c>
      <c r="F1685" s="52" t="s">
        <v>26</v>
      </c>
      <c r="G1685" s="55" t="s">
        <v>278</v>
      </c>
      <c r="H1685" s="55">
        <v>4.0225160000000004</v>
      </c>
      <c r="I1685" s="55">
        <v>4.0225160000000004</v>
      </c>
      <c r="J1685" s="55">
        <v>4.0225160000000004</v>
      </c>
      <c r="K1685" s="55">
        <v>6.652965</v>
      </c>
      <c r="L1685" s="55">
        <v>5.5582830000000003</v>
      </c>
      <c r="M1685" s="55">
        <v>4.0225160000000004</v>
      </c>
      <c r="N1685" s="55">
        <v>69.456249999999997</v>
      </c>
    </row>
    <row r="1686" spans="1:14" hidden="1" x14ac:dyDescent="0.35">
      <c r="A1686" s="52" t="s">
        <v>669</v>
      </c>
      <c r="B1686" s="52" t="s">
        <v>320</v>
      </c>
      <c r="C1686" s="52" t="s">
        <v>319</v>
      </c>
      <c r="D1686" s="52" t="s">
        <v>319</v>
      </c>
      <c r="E1686" s="52" t="s">
        <v>584</v>
      </c>
      <c r="F1686" s="52" t="s">
        <v>581</v>
      </c>
      <c r="G1686" s="55" t="s">
        <v>275</v>
      </c>
      <c r="H1686" s="55">
        <v>-42.295160000000003</v>
      </c>
      <c r="I1686" s="55">
        <v>-290.86340000000001</v>
      </c>
      <c r="J1686" s="55">
        <v>-456.15730000000002</v>
      </c>
      <c r="K1686" s="55">
        <v>-453.08300000000003</v>
      </c>
      <c r="L1686" s="55">
        <v>-149.92420000000001</v>
      </c>
      <c r="M1686" s="55">
        <v>269.78840000000002</v>
      </c>
      <c r="N1686" s="55">
        <v>212.40469999999999</v>
      </c>
    </row>
    <row r="1687" spans="1:14" hidden="1" x14ac:dyDescent="0.35">
      <c r="A1687" s="52" t="s">
        <v>669</v>
      </c>
      <c r="B1687" s="52" t="s">
        <v>320</v>
      </c>
      <c r="C1687" s="52" t="s">
        <v>319</v>
      </c>
      <c r="D1687" s="52" t="s">
        <v>319</v>
      </c>
      <c r="E1687" s="52" t="s">
        <v>584</v>
      </c>
      <c r="F1687" s="52" t="s">
        <v>581</v>
      </c>
      <c r="G1687" s="55" t="s">
        <v>276</v>
      </c>
      <c r="H1687" s="55"/>
      <c r="I1687" s="55"/>
      <c r="J1687" s="55"/>
      <c r="K1687" s="55">
        <v>0</v>
      </c>
      <c r="L1687" s="55">
        <v>9.2347780000000004</v>
      </c>
      <c r="M1687" s="55">
        <v>-35.75806</v>
      </c>
      <c r="N1687" s="55">
        <v>24.26606</v>
      </c>
    </row>
    <row r="1688" spans="1:14" hidden="1" x14ac:dyDescent="0.35">
      <c r="A1688" s="52" t="s">
        <v>669</v>
      </c>
      <c r="B1688" s="52" t="s">
        <v>320</v>
      </c>
      <c r="C1688" s="52" t="s">
        <v>319</v>
      </c>
      <c r="D1688" s="52" t="s">
        <v>319</v>
      </c>
      <c r="E1688" s="52" t="s">
        <v>584</v>
      </c>
      <c r="F1688" s="52" t="s">
        <v>581</v>
      </c>
      <c r="G1688" s="55" t="s">
        <v>277</v>
      </c>
      <c r="H1688" s="55">
        <v>41.957999999999998</v>
      </c>
      <c r="I1688" s="55">
        <v>288.75</v>
      </c>
      <c r="J1688" s="55">
        <v>451.108</v>
      </c>
      <c r="K1688" s="55">
        <v>451.16910000000001</v>
      </c>
      <c r="L1688" s="55">
        <v>210.23599999999999</v>
      </c>
      <c r="M1688" s="55">
        <v>15.66048</v>
      </c>
      <c r="N1688" s="55">
        <v>0.26426230000000001</v>
      </c>
    </row>
    <row r="1689" spans="1:14" hidden="1" x14ac:dyDescent="0.35">
      <c r="A1689" s="52" t="s">
        <v>669</v>
      </c>
      <c r="B1689" s="52" t="s">
        <v>320</v>
      </c>
      <c r="C1689" s="52" t="s">
        <v>319</v>
      </c>
      <c r="D1689" s="52" t="s">
        <v>319</v>
      </c>
      <c r="E1689" s="52" t="s">
        <v>584</v>
      </c>
      <c r="F1689" s="52" t="s">
        <v>581</v>
      </c>
      <c r="G1689" s="55" t="s">
        <v>278</v>
      </c>
      <c r="H1689" s="55">
        <v>0.3371651</v>
      </c>
      <c r="I1689" s="55">
        <v>0.3371651</v>
      </c>
      <c r="J1689" s="55">
        <v>3.2730610000000002</v>
      </c>
      <c r="K1689" s="55">
        <v>0.1376927</v>
      </c>
      <c r="L1689" s="55">
        <v>0.1376927</v>
      </c>
      <c r="M1689" s="55">
        <v>0.1376927</v>
      </c>
      <c r="N1689" s="55">
        <v>0.1376927</v>
      </c>
    </row>
    <row r="1690" spans="1:14" hidden="1" x14ac:dyDescent="0.35">
      <c r="A1690" s="52" t="s">
        <v>669</v>
      </c>
      <c r="B1690" s="52" t="s">
        <v>320</v>
      </c>
      <c r="C1690" s="52" t="s">
        <v>319</v>
      </c>
      <c r="D1690" s="52" t="s">
        <v>319</v>
      </c>
      <c r="E1690" s="52" t="s">
        <v>584</v>
      </c>
      <c r="F1690" s="52" t="s">
        <v>581</v>
      </c>
      <c r="G1690" s="55" t="s">
        <v>279</v>
      </c>
      <c r="H1690" s="55">
        <v>0</v>
      </c>
      <c r="I1690" s="55">
        <v>1.7762500000000001</v>
      </c>
      <c r="J1690" s="55">
        <v>1.7762500000000001</v>
      </c>
      <c r="K1690" s="55">
        <v>1.7762500000000001</v>
      </c>
      <c r="L1690" s="55">
        <v>57.067540000000001</v>
      </c>
      <c r="M1690" s="55">
        <v>109.3142</v>
      </c>
      <c r="N1690" s="55">
        <v>112.2116</v>
      </c>
    </row>
    <row r="1691" spans="1:14" hidden="1" x14ac:dyDescent="0.35">
      <c r="A1691" s="52" t="s">
        <v>669</v>
      </c>
      <c r="B1691" s="52" t="s">
        <v>320</v>
      </c>
      <c r="C1691" s="52" t="s">
        <v>319</v>
      </c>
      <c r="D1691" s="52" t="s">
        <v>319</v>
      </c>
      <c r="E1691" s="52" t="s">
        <v>584</v>
      </c>
      <c r="F1691" s="52" t="s">
        <v>26</v>
      </c>
      <c r="G1691" s="55" t="s">
        <v>275</v>
      </c>
      <c r="H1691" s="55">
        <v>-0.19950100000000001</v>
      </c>
      <c r="I1691" s="55">
        <v>-0.19950100000000001</v>
      </c>
      <c r="J1691" s="55">
        <v>-1.363351E-2</v>
      </c>
      <c r="K1691" s="55">
        <v>-1.363351E-2</v>
      </c>
      <c r="L1691" s="55">
        <v>-1.363351E-2</v>
      </c>
      <c r="M1691" s="55">
        <v>-1.363351E-2</v>
      </c>
      <c r="N1691" s="55">
        <v>-0.1046866</v>
      </c>
    </row>
    <row r="1692" spans="1:14" hidden="1" x14ac:dyDescent="0.35">
      <c r="A1692" s="52" t="s">
        <v>669</v>
      </c>
      <c r="B1692" s="52" t="s">
        <v>320</v>
      </c>
      <c r="C1692" s="52" t="s">
        <v>319</v>
      </c>
      <c r="D1692" s="52" t="s">
        <v>319</v>
      </c>
      <c r="E1692" s="52" t="s">
        <v>584</v>
      </c>
      <c r="F1692" s="52" t="s">
        <v>26</v>
      </c>
      <c r="G1692" s="55" t="s">
        <v>276</v>
      </c>
      <c r="H1692" s="55"/>
      <c r="I1692" s="55"/>
      <c r="J1692" s="55">
        <v>-1.5004850000000001</v>
      </c>
      <c r="K1692" s="55">
        <v>-6.4670379999999996</v>
      </c>
      <c r="L1692" s="55">
        <v>-1.4715860000000001</v>
      </c>
      <c r="M1692" s="55">
        <v>-0.1230005</v>
      </c>
      <c r="N1692" s="55">
        <v>-0.1203755</v>
      </c>
    </row>
    <row r="1693" spans="1:14" hidden="1" x14ac:dyDescent="0.35">
      <c r="A1693" s="52" t="s">
        <v>669</v>
      </c>
      <c r="B1693" s="52" t="s">
        <v>320</v>
      </c>
      <c r="C1693" s="52" t="s">
        <v>319</v>
      </c>
      <c r="D1693" s="52" t="s">
        <v>319</v>
      </c>
      <c r="E1693" s="52" t="s">
        <v>584</v>
      </c>
      <c r="F1693" s="52" t="s">
        <v>26</v>
      </c>
      <c r="G1693" s="55" t="s">
        <v>277</v>
      </c>
      <c r="H1693" s="55"/>
      <c r="I1693" s="55"/>
      <c r="J1693" s="55"/>
      <c r="K1693" s="55">
        <v>0</v>
      </c>
      <c r="L1693" s="55">
        <v>2.6250000000000002E-3</v>
      </c>
      <c r="M1693" s="55">
        <v>1.6012499999999999E-2</v>
      </c>
      <c r="N1693" s="55">
        <v>6.5887500000000002E-2</v>
      </c>
    </row>
    <row r="1694" spans="1:14" hidden="1" x14ac:dyDescent="0.35">
      <c r="A1694" s="52" t="s">
        <v>669</v>
      </c>
      <c r="B1694" s="52" t="s">
        <v>320</v>
      </c>
      <c r="C1694" s="52" t="s">
        <v>319</v>
      </c>
      <c r="D1694" s="52" t="s">
        <v>319</v>
      </c>
      <c r="E1694" s="52" t="s">
        <v>584</v>
      </c>
      <c r="F1694" s="52" t="s">
        <v>26</v>
      </c>
      <c r="G1694" s="55" t="s">
        <v>278</v>
      </c>
      <c r="H1694" s="55">
        <v>0.19950100000000001</v>
      </c>
      <c r="I1694" s="55">
        <v>0.19950100000000001</v>
      </c>
      <c r="J1694" s="55">
        <v>1.5141180000000001</v>
      </c>
      <c r="K1694" s="55">
        <v>6.4806710000000001</v>
      </c>
      <c r="L1694" s="55">
        <v>1.4825950000000001</v>
      </c>
      <c r="M1694" s="55">
        <v>0.12062150000000001</v>
      </c>
      <c r="N1694" s="55">
        <v>0.12062150000000001</v>
      </c>
    </row>
    <row r="1695" spans="1:14" hidden="1" x14ac:dyDescent="0.35">
      <c r="A1695" s="52" t="s">
        <v>669</v>
      </c>
      <c r="B1695" s="52" t="s">
        <v>320</v>
      </c>
      <c r="C1695" s="52" t="s">
        <v>319</v>
      </c>
      <c r="D1695" s="52" t="s">
        <v>319</v>
      </c>
      <c r="E1695" s="52" t="s">
        <v>584</v>
      </c>
      <c r="F1695" s="52" t="s">
        <v>26</v>
      </c>
      <c r="G1695" s="55" t="s">
        <v>279</v>
      </c>
      <c r="H1695" s="55"/>
      <c r="I1695" s="55"/>
      <c r="J1695" s="55"/>
      <c r="K1695" s="55"/>
      <c r="L1695" s="55"/>
      <c r="M1695" s="55">
        <v>0</v>
      </c>
      <c r="N1695" s="55">
        <v>3.855306E-2</v>
      </c>
    </row>
    <row r="1696" spans="1:14" hidden="1" x14ac:dyDescent="0.35">
      <c r="A1696" s="52" t="s">
        <v>669</v>
      </c>
      <c r="B1696" s="52" t="s">
        <v>320</v>
      </c>
      <c r="C1696" s="52" t="s">
        <v>311</v>
      </c>
      <c r="D1696" s="52" t="s">
        <v>311</v>
      </c>
      <c r="E1696" s="52" t="s">
        <v>584</v>
      </c>
      <c r="F1696" s="52" t="s">
        <v>581</v>
      </c>
      <c r="G1696" s="55" t="s">
        <v>275</v>
      </c>
      <c r="H1696" s="55"/>
      <c r="I1696" s="55"/>
      <c r="J1696" s="55"/>
      <c r="K1696" s="55"/>
      <c r="L1696" s="55"/>
      <c r="M1696" s="55"/>
      <c r="N1696" s="55"/>
    </row>
    <row r="1697" spans="1:14" hidden="1" x14ac:dyDescent="0.35">
      <c r="A1697" s="52" t="s">
        <v>669</v>
      </c>
      <c r="B1697" s="52" t="s">
        <v>320</v>
      </c>
      <c r="C1697" s="52" t="s">
        <v>318</v>
      </c>
      <c r="D1697" s="52" t="s">
        <v>318</v>
      </c>
      <c r="E1697" s="52" t="s">
        <v>584</v>
      </c>
      <c r="F1697" s="52" t="s">
        <v>581</v>
      </c>
      <c r="G1697" s="55" t="s">
        <v>275</v>
      </c>
      <c r="H1697" s="55">
        <v>0</v>
      </c>
      <c r="I1697" s="55"/>
      <c r="J1697" s="55"/>
      <c r="K1697" s="55"/>
      <c r="L1697" s="55"/>
      <c r="M1697" s="55"/>
      <c r="N1697" s="55"/>
    </row>
    <row r="1698" spans="1:14" hidden="1" x14ac:dyDescent="0.35">
      <c r="A1698" s="52" t="s">
        <v>669</v>
      </c>
      <c r="B1698" s="52" t="s">
        <v>320</v>
      </c>
      <c r="C1698" s="52" t="s">
        <v>311</v>
      </c>
      <c r="D1698" s="52" t="s">
        <v>311</v>
      </c>
      <c r="E1698" s="52" t="s">
        <v>584</v>
      </c>
      <c r="F1698" s="52" t="s">
        <v>581</v>
      </c>
      <c r="G1698" s="55" t="s">
        <v>276</v>
      </c>
      <c r="H1698" s="55"/>
      <c r="I1698" s="55"/>
      <c r="J1698" s="55"/>
      <c r="K1698" s="55"/>
      <c r="L1698" s="55"/>
      <c r="M1698" s="55"/>
      <c r="N1698" s="55"/>
    </row>
    <row r="1699" spans="1:14" hidden="1" x14ac:dyDescent="0.35">
      <c r="A1699" s="52" t="s">
        <v>669</v>
      </c>
      <c r="B1699" s="52" t="s">
        <v>320</v>
      </c>
      <c r="C1699" s="52" t="s">
        <v>311</v>
      </c>
      <c r="D1699" s="52" t="s">
        <v>311</v>
      </c>
      <c r="E1699" s="52" t="s">
        <v>584</v>
      </c>
      <c r="F1699" s="52" t="s">
        <v>581</v>
      </c>
      <c r="G1699" s="55" t="s">
        <v>278</v>
      </c>
      <c r="H1699" s="55"/>
      <c r="I1699" s="55"/>
      <c r="J1699" s="55"/>
      <c r="K1699" s="55"/>
      <c r="L1699" s="55"/>
      <c r="M1699" s="55"/>
      <c r="N1699" s="55"/>
    </row>
    <row r="1700" spans="1:14" hidden="1" x14ac:dyDescent="0.35">
      <c r="A1700" s="52" t="s">
        <v>669</v>
      </c>
      <c r="B1700" s="52" t="s">
        <v>320</v>
      </c>
      <c r="C1700" s="52" t="s">
        <v>318</v>
      </c>
      <c r="D1700" s="52" t="s">
        <v>318</v>
      </c>
      <c r="E1700" s="52" t="s">
        <v>584</v>
      </c>
      <c r="F1700" s="52" t="s">
        <v>581</v>
      </c>
      <c r="G1700" s="55" t="s">
        <v>278</v>
      </c>
      <c r="H1700" s="55">
        <v>0</v>
      </c>
      <c r="I1700" s="55"/>
      <c r="J1700" s="55"/>
      <c r="K1700" s="55"/>
      <c r="L1700" s="55"/>
      <c r="M1700" s="55"/>
      <c r="N1700" s="55"/>
    </row>
    <row r="1701" spans="1:14" hidden="1" x14ac:dyDescent="0.35">
      <c r="A1701" s="52" t="s">
        <v>669</v>
      </c>
      <c r="B1701" s="52" t="s">
        <v>320</v>
      </c>
      <c r="C1701" s="52" t="s">
        <v>318</v>
      </c>
      <c r="D1701" s="52" t="s">
        <v>318</v>
      </c>
      <c r="E1701" s="52" t="s">
        <v>584</v>
      </c>
      <c r="F1701" s="52" t="s">
        <v>26</v>
      </c>
      <c r="G1701" s="55" t="s">
        <v>275</v>
      </c>
      <c r="H1701" s="55">
        <v>0</v>
      </c>
      <c r="I1701" s="55"/>
      <c r="J1701" s="55"/>
      <c r="K1701" s="55"/>
      <c r="L1701" s="55"/>
      <c r="M1701" s="55"/>
      <c r="N1701" s="55"/>
    </row>
    <row r="1702" spans="1:14" hidden="1" x14ac:dyDescent="0.35">
      <c r="A1702" s="52" t="s">
        <v>669</v>
      </c>
      <c r="B1702" s="52" t="s">
        <v>320</v>
      </c>
      <c r="C1702" s="52" t="s">
        <v>311</v>
      </c>
      <c r="D1702" s="52" t="s">
        <v>311</v>
      </c>
      <c r="E1702" s="52" t="s">
        <v>584</v>
      </c>
      <c r="F1702" s="52" t="s">
        <v>26</v>
      </c>
      <c r="G1702" s="55" t="s">
        <v>275</v>
      </c>
      <c r="H1702" s="55">
        <v>-3.8784199999999998E-2</v>
      </c>
      <c r="I1702" s="55">
        <v>-3.8784199999999998E-2</v>
      </c>
      <c r="J1702" s="55">
        <v>0</v>
      </c>
      <c r="K1702" s="55">
        <v>0</v>
      </c>
      <c r="L1702" s="55">
        <v>0</v>
      </c>
      <c r="M1702" s="55">
        <v>0</v>
      </c>
      <c r="N1702" s="55">
        <v>0</v>
      </c>
    </row>
    <row r="1703" spans="1:14" hidden="1" x14ac:dyDescent="0.35">
      <c r="A1703" s="52" t="s">
        <v>669</v>
      </c>
      <c r="B1703" s="52" t="s">
        <v>320</v>
      </c>
      <c r="C1703" s="52" t="s">
        <v>311</v>
      </c>
      <c r="D1703" s="52" t="s">
        <v>311</v>
      </c>
      <c r="E1703" s="52" t="s">
        <v>584</v>
      </c>
      <c r="F1703" s="52" t="s">
        <v>26</v>
      </c>
      <c r="G1703" s="55" t="s">
        <v>276</v>
      </c>
      <c r="H1703" s="55"/>
      <c r="I1703" s="55"/>
      <c r="J1703" s="55">
        <v>-3.8784199999999998E-2</v>
      </c>
      <c r="K1703" s="55">
        <v>-3.8784199999999998E-2</v>
      </c>
      <c r="L1703" s="55">
        <v>-3.8784199999999998E-2</v>
      </c>
      <c r="M1703" s="55">
        <v>-3.8784199999999998E-2</v>
      </c>
      <c r="N1703" s="55">
        <v>-3.8784199999999998E-2</v>
      </c>
    </row>
    <row r="1704" spans="1:14" hidden="1" x14ac:dyDescent="0.35">
      <c r="A1704" s="52" t="s">
        <v>669</v>
      </c>
      <c r="B1704" s="52" t="s">
        <v>320</v>
      </c>
      <c r="C1704" s="52" t="s">
        <v>318</v>
      </c>
      <c r="D1704" s="52" t="s">
        <v>318</v>
      </c>
      <c r="E1704" s="52" t="s">
        <v>584</v>
      </c>
      <c r="F1704" s="52" t="s">
        <v>26</v>
      </c>
      <c r="G1704" s="55" t="s">
        <v>278</v>
      </c>
      <c r="H1704" s="55">
        <v>0</v>
      </c>
      <c r="I1704" s="55"/>
      <c r="J1704" s="55"/>
      <c r="K1704" s="55"/>
      <c r="L1704" s="55"/>
      <c r="M1704" s="55"/>
      <c r="N1704" s="55"/>
    </row>
    <row r="1705" spans="1:14" hidden="1" x14ac:dyDescent="0.35">
      <c r="A1705" s="52" t="s">
        <v>669</v>
      </c>
      <c r="B1705" s="52" t="s">
        <v>320</v>
      </c>
      <c r="C1705" s="52" t="s">
        <v>311</v>
      </c>
      <c r="D1705" s="52" t="s">
        <v>311</v>
      </c>
      <c r="E1705" s="52" t="s">
        <v>584</v>
      </c>
      <c r="F1705" s="52" t="s">
        <v>26</v>
      </c>
      <c r="G1705" s="55" t="s">
        <v>278</v>
      </c>
      <c r="H1705" s="55">
        <v>3.8784199999999998E-2</v>
      </c>
      <c r="I1705" s="55">
        <v>3.8784199999999998E-2</v>
      </c>
      <c r="J1705" s="55">
        <v>3.8784199999999998E-2</v>
      </c>
      <c r="K1705" s="55">
        <v>3.8784199999999998E-2</v>
      </c>
      <c r="L1705" s="55">
        <v>3.8784199999999998E-2</v>
      </c>
      <c r="M1705" s="55">
        <v>3.8784199999999998E-2</v>
      </c>
      <c r="N1705" s="55">
        <v>3.8784199999999998E-2</v>
      </c>
    </row>
    <row r="1706" spans="1:14" hidden="1" x14ac:dyDescent="0.35">
      <c r="A1706" s="52" t="s">
        <v>669</v>
      </c>
      <c r="B1706" s="52" t="s">
        <v>34</v>
      </c>
      <c r="C1706" s="52" t="s">
        <v>33</v>
      </c>
      <c r="D1706" s="52" t="s">
        <v>33</v>
      </c>
      <c r="E1706" s="52" t="s">
        <v>622</v>
      </c>
      <c r="F1706" s="52" t="s">
        <v>26</v>
      </c>
      <c r="G1706" s="55" t="s">
        <v>275</v>
      </c>
      <c r="H1706" s="55">
        <v>-1.5431969999999999</v>
      </c>
      <c r="I1706" s="55">
        <v>0</v>
      </c>
      <c r="J1706" s="55">
        <v>-1.530054</v>
      </c>
      <c r="K1706" s="55">
        <v>-1.40863</v>
      </c>
      <c r="L1706" s="55">
        <v>-1.20163</v>
      </c>
      <c r="M1706" s="55">
        <v>-1.0653410000000001</v>
      </c>
      <c r="N1706" s="55">
        <v>-0.97885979999999995</v>
      </c>
    </row>
    <row r="1707" spans="1:14" hidden="1" x14ac:dyDescent="0.35">
      <c r="A1707" s="52" t="s">
        <v>669</v>
      </c>
      <c r="B1707" s="52" t="s">
        <v>34</v>
      </c>
      <c r="C1707" s="52" t="s">
        <v>33</v>
      </c>
      <c r="D1707" s="52" t="s">
        <v>33</v>
      </c>
      <c r="E1707" s="52" t="s">
        <v>622</v>
      </c>
      <c r="F1707" s="52" t="s">
        <v>26</v>
      </c>
      <c r="G1707" s="55" t="s">
        <v>276</v>
      </c>
      <c r="H1707" s="55">
        <v>-0.51439900000000005</v>
      </c>
      <c r="I1707" s="55">
        <v>0</v>
      </c>
      <c r="J1707" s="55">
        <v>-0.51001819999999998</v>
      </c>
      <c r="K1707" s="55">
        <v>-0.4695433</v>
      </c>
      <c r="L1707" s="55">
        <v>-0.40054309999999999</v>
      </c>
      <c r="M1707" s="55">
        <v>-0.35511399999999999</v>
      </c>
      <c r="N1707" s="55">
        <v>-0.32628669999999999</v>
      </c>
    </row>
    <row r="1708" spans="1:14" hidden="1" x14ac:dyDescent="0.35">
      <c r="A1708" s="52" t="s">
        <v>669</v>
      </c>
      <c r="B1708" s="52" t="s">
        <v>34</v>
      </c>
      <c r="C1708" s="52" t="s">
        <v>33</v>
      </c>
      <c r="D1708" s="52" t="s">
        <v>33</v>
      </c>
      <c r="E1708" s="52" t="s">
        <v>622</v>
      </c>
      <c r="F1708" s="52" t="s">
        <v>26</v>
      </c>
      <c r="G1708" s="55" t="s">
        <v>277</v>
      </c>
      <c r="H1708" s="55"/>
      <c r="I1708" s="55"/>
      <c r="J1708" s="55">
        <v>0</v>
      </c>
      <c r="K1708" s="55">
        <v>0</v>
      </c>
      <c r="L1708" s="55"/>
      <c r="M1708" s="55">
        <v>0</v>
      </c>
      <c r="N1708" s="55">
        <v>0</v>
      </c>
    </row>
    <row r="1709" spans="1:14" hidden="1" x14ac:dyDescent="0.35">
      <c r="A1709" s="52" t="s">
        <v>669</v>
      </c>
      <c r="B1709" s="52" t="s">
        <v>34</v>
      </c>
      <c r="C1709" s="52" t="s">
        <v>33</v>
      </c>
      <c r="D1709" s="52" t="s">
        <v>33</v>
      </c>
      <c r="E1709" s="52" t="s">
        <v>622</v>
      </c>
      <c r="F1709" s="52" t="s">
        <v>26</v>
      </c>
      <c r="G1709" s="55" t="s">
        <v>278</v>
      </c>
      <c r="H1709" s="55"/>
      <c r="I1709" s="55"/>
      <c r="J1709" s="55">
        <v>0</v>
      </c>
      <c r="K1709" s="55">
        <v>0</v>
      </c>
      <c r="L1709" s="55"/>
      <c r="M1709" s="55">
        <v>0</v>
      </c>
      <c r="N1709" s="55">
        <v>0</v>
      </c>
    </row>
    <row r="1710" spans="1:14" hidden="1" x14ac:dyDescent="0.35">
      <c r="A1710" s="52" t="s">
        <v>669</v>
      </c>
      <c r="B1710" s="52" t="s">
        <v>34</v>
      </c>
      <c r="C1710" s="52" t="s">
        <v>33</v>
      </c>
      <c r="D1710" s="52" t="s">
        <v>33</v>
      </c>
      <c r="E1710" s="52" t="s">
        <v>622</v>
      </c>
      <c r="F1710" s="52" t="s">
        <v>26</v>
      </c>
      <c r="G1710" s="55" t="s">
        <v>279</v>
      </c>
      <c r="H1710" s="55">
        <v>5.5688170000000001</v>
      </c>
      <c r="I1710" s="55">
        <v>0</v>
      </c>
      <c r="J1710" s="55">
        <v>6.9482140000000001</v>
      </c>
      <c r="K1710" s="55">
        <v>6.4027770000000004</v>
      </c>
      <c r="L1710" s="55">
        <v>5.7708599999999999</v>
      </c>
      <c r="M1710" s="55">
        <v>5.2691309999999998</v>
      </c>
      <c r="N1710" s="55">
        <v>4.8371550000000001</v>
      </c>
    </row>
    <row r="1711" spans="1:14" hidden="1" x14ac:dyDescent="0.35">
      <c r="A1711" s="52" t="s">
        <v>669</v>
      </c>
      <c r="B1711" s="52" t="s">
        <v>34</v>
      </c>
      <c r="C1711" s="52" t="s">
        <v>360</v>
      </c>
      <c r="D1711" s="52" t="s">
        <v>360</v>
      </c>
      <c r="E1711" s="52" t="s">
        <v>584</v>
      </c>
      <c r="F1711" s="52" t="s">
        <v>26</v>
      </c>
      <c r="G1711" s="55" t="s">
        <v>275</v>
      </c>
      <c r="H1711" s="55">
        <v>-0.27872200000000003</v>
      </c>
      <c r="I1711" s="55">
        <v>-0.27872200000000003</v>
      </c>
      <c r="J1711" s="55">
        <v>-6.4128599999999994E-2</v>
      </c>
      <c r="K1711" s="55">
        <v>-6.8026199999999995E-2</v>
      </c>
      <c r="L1711" s="55">
        <v>-7.1144349999999995E-2</v>
      </c>
      <c r="M1711" s="55">
        <v>-8.3616599999999999E-2</v>
      </c>
      <c r="N1711" s="55">
        <v>-8.3616599999999999E-2</v>
      </c>
    </row>
    <row r="1712" spans="1:14" hidden="1" x14ac:dyDescent="0.35">
      <c r="A1712" s="52" t="s">
        <v>669</v>
      </c>
      <c r="B1712" s="52" t="s">
        <v>34</v>
      </c>
      <c r="C1712" s="52" t="s">
        <v>360</v>
      </c>
      <c r="D1712" s="52" t="s">
        <v>360</v>
      </c>
      <c r="E1712" s="52" t="s">
        <v>584</v>
      </c>
      <c r="F1712" s="52" t="s">
        <v>26</v>
      </c>
      <c r="G1712" s="55" t="s">
        <v>276</v>
      </c>
      <c r="H1712" s="55">
        <v>-4.3499000000000003E-2</v>
      </c>
      <c r="I1712" s="55">
        <v>-4.3499000000000003E-2</v>
      </c>
      <c r="J1712" s="55">
        <v>-1.3050000000000001E-2</v>
      </c>
      <c r="K1712" s="55">
        <v>-1.3050000000000001E-2</v>
      </c>
      <c r="L1712" s="55">
        <v>-1.3050000000000001E-2</v>
      </c>
      <c r="M1712" s="55">
        <v>-1.3049699999999999E-2</v>
      </c>
      <c r="N1712" s="55">
        <v>-1.3050300000000001E-2</v>
      </c>
    </row>
    <row r="1713" spans="1:14" hidden="1" x14ac:dyDescent="0.35">
      <c r="A1713" s="52" t="s">
        <v>669</v>
      </c>
      <c r="B1713" s="52" t="s">
        <v>34</v>
      </c>
      <c r="C1713" s="52" t="s">
        <v>360</v>
      </c>
      <c r="D1713" s="52" t="s">
        <v>360</v>
      </c>
      <c r="E1713" s="52" t="s">
        <v>584</v>
      </c>
      <c r="F1713" s="52" t="s">
        <v>26</v>
      </c>
      <c r="G1713" s="55" t="s">
        <v>278</v>
      </c>
      <c r="H1713" s="55">
        <v>0.32222200000000001</v>
      </c>
      <c r="I1713" s="55">
        <v>0.32222200000000001</v>
      </c>
      <c r="J1713" s="55">
        <v>9.6666600000000005E-2</v>
      </c>
      <c r="K1713" s="55">
        <v>9.6666600000000005E-2</v>
      </c>
      <c r="L1713" s="55">
        <v>9.6666600000000005E-2</v>
      </c>
      <c r="M1713" s="55">
        <v>9.6666600000000005E-2</v>
      </c>
      <c r="N1713" s="55">
        <v>9.6666600000000005E-2</v>
      </c>
    </row>
    <row r="1714" spans="1:14" hidden="1" x14ac:dyDescent="0.35">
      <c r="A1714" s="52" t="s">
        <v>669</v>
      </c>
      <c r="B1714" s="52" t="s">
        <v>34</v>
      </c>
      <c r="C1714" s="52" t="s">
        <v>318</v>
      </c>
      <c r="D1714" s="52" t="s">
        <v>318</v>
      </c>
      <c r="E1714" s="52" t="s">
        <v>584</v>
      </c>
      <c r="F1714" s="52" t="s">
        <v>581</v>
      </c>
      <c r="G1714" s="55" t="s">
        <v>275</v>
      </c>
      <c r="H1714" s="55">
        <v>0</v>
      </c>
      <c r="I1714" s="55"/>
      <c r="J1714" s="55"/>
      <c r="K1714" s="55"/>
      <c r="L1714" s="55"/>
      <c r="M1714" s="55"/>
      <c r="N1714" s="55"/>
    </row>
    <row r="1715" spans="1:14" hidden="1" x14ac:dyDescent="0.35">
      <c r="A1715" s="52" t="s">
        <v>669</v>
      </c>
      <c r="B1715" s="52" t="s">
        <v>34</v>
      </c>
      <c r="C1715" s="52" t="s">
        <v>318</v>
      </c>
      <c r="D1715" s="52" t="s">
        <v>318</v>
      </c>
      <c r="E1715" s="52" t="s">
        <v>584</v>
      </c>
      <c r="F1715" s="52" t="s">
        <v>581</v>
      </c>
      <c r="G1715" s="55" t="s">
        <v>276</v>
      </c>
      <c r="H1715" s="55">
        <v>0</v>
      </c>
      <c r="I1715" s="55"/>
      <c r="J1715" s="55"/>
      <c r="K1715" s="55"/>
      <c r="L1715" s="55"/>
      <c r="M1715" s="55"/>
      <c r="N1715" s="55"/>
    </row>
    <row r="1716" spans="1:14" hidden="1" x14ac:dyDescent="0.35">
      <c r="A1716" s="52" t="s">
        <v>669</v>
      </c>
      <c r="B1716" s="52" t="s">
        <v>34</v>
      </c>
      <c r="C1716" s="52" t="s">
        <v>318</v>
      </c>
      <c r="D1716" s="52" t="s">
        <v>318</v>
      </c>
      <c r="E1716" s="52" t="s">
        <v>584</v>
      </c>
      <c r="F1716" s="52" t="s">
        <v>581</v>
      </c>
      <c r="G1716" s="55" t="s">
        <v>278</v>
      </c>
      <c r="H1716" s="55">
        <v>0</v>
      </c>
      <c r="I1716" s="55"/>
      <c r="J1716" s="55"/>
      <c r="K1716" s="55"/>
      <c r="L1716" s="55"/>
      <c r="M1716" s="55"/>
      <c r="N1716" s="55"/>
    </row>
    <row r="1717" spans="1:14" hidden="1" x14ac:dyDescent="0.35">
      <c r="A1717" s="52" t="s">
        <v>669</v>
      </c>
      <c r="B1717" s="52" t="s">
        <v>34</v>
      </c>
      <c r="C1717" s="52" t="s">
        <v>318</v>
      </c>
      <c r="D1717" s="52" t="s">
        <v>318</v>
      </c>
      <c r="E1717" s="52" t="s">
        <v>584</v>
      </c>
      <c r="F1717" s="52" t="s">
        <v>26</v>
      </c>
      <c r="G1717" s="55" t="s">
        <v>275</v>
      </c>
      <c r="H1717" s="55">
        <v>0</v>
      </c>
      <c r="I1717" s="55"/>
      <c r="J1717" s="55"/>
      <c r="K1717" s="55"/>
      <c r="L1717" s="55"/>
      <c r="M1717" s="55"/>
      <c r="N1717" s="55"/>
    </row>
    <row r="1718" spans="1:14" hidden="1" x14ac:dyDescent="0.35">
      <c r="A1718" s="52" t="s">
        <v>669</v>
      </c>
      <c r="B1718" s="52" t="s">
        <v>34</v>
      </c>
      <c r="C1718" s="52" t="s">
        <v>318</v>
      </c>
      <c r="D1718" s="52" t="s">
        <v>318</v>
      </c>
      <c r="E1718" s="52" t="s">
        <v>584</v>
      </c>
      <c r="F1718" s="52" t="s">
        <v>26</v>
      </c>
      <c r="G1718" s="55" t="s">
        <v>276</v>
      </c>
      <c r="H1718" s="55">
        <v>0</v>
      </c>
      <c r="I1718" s="55"/>
      <c r="J1718" s="55"/>
      <c r="K1718" s="55"/>
      <c r="L1718" s="55"/>
      <c r="M1718" s="55"/>
      <c r="N1718" s="55"/>
    </row>
    <row r="1719" spans="1:14" hidden="1" x14ac:dyDescent="0.35">
      <c r="A1719" s="52" t="s">
        <v>669</v>
      </c>
      <c r="B1719" s="52" t="s">
        <v>34</v>
      </c>
      <c r="C1719" s="52" t="s">
        <v>318</v>
      </c>
      <c r="D1719" s="52" t="s">
        <v>318</v>
      </c>
      <c r="E1719" s="52" t="s">
        <v>584</v>
      </c>
      <c r="F1719" s="52" t="s">
        <v>26</v>
      </c>
      <c r="G1719" s="55" t="s">
        <v>278</v>
      </c>
      <c r="H1719" s="55">
        <v>0</v>
      </c>
      <c r="I1719" s="55"/>
      <c r="J1719" s="55"/>
      <c r="K1719" s="55"/>
      <c r="L1719" s="55"/>
      <c r="M1719" s="55"/>
      <c r="N1719" s="55"/>
    </row>
    <row r="1720" spans="1:14" hidden="1" x14ac:dyDescent="0.35">
      <c r="A1720" s="52" t="s">
        <v>669</v>
      </c>
      <c r="B1720" s="52" t="s">
        <v>265</v>
      </c>
      <c r="C1720" s="52" t="s">
        <v>44</v>
      </c>
      <c r="D1720" s="52" t="s">
        <v>44</v>
      </c>
      <c r="E1720" s="52" t="s">
        <v>584</v>
      </c>
      <c r="F1720" s="52" t="s">
        <v>581</v>
      </c>
      <c r="G1720" s="55" t="s">
        <v>275</v>
      </c>
      <c r="H1720" s="55">
        <v>-34.245339999999999</v>
      </c>
      <c r="I1720" s="55">
        <v>5.6427459999999998</v>
      </c>
      <c r="J1720" s="55">
        <v>5.7099320000000002</v>
      </c>
      <c r="K1720" s="55">
        <v>5.7067170000000003</v>
      </c>
      <c r="L1720" s="55">
        <v>2.7953800000000002</v>
      </c>
      <c r="M1720" s="55">
        <v>0</v>
      </c>
      <c r="N1720" s="55">
        <v>0</v>
      </c>
    </row>
    <row r="1721" spans="1:14" hidden="1" x14ac:dyDescent="0.35">
      <c r="A1721" s="52" t="s">
        <v>669</v>
      </c>
      <c r="B1721" s="52" t="s">
        <v>265</v>
      </c>
      <c r="C1721" s="52" t="s">
        <v>44</v>
      </c>
      <c r="D1721" s="52" t="s">
        <v>44</v>
      </c>
      <c r="E1721" s="52" t="s">
        <v>584</v>
      </c>
      <c r="F1721" s="52" t="s">
        <v>581</v>
      </c>
      <c r="G1721" s="55" t="s">
        <v>276</v>
      </c>
      <c r="H1721" s="55">
        <v>-5.731274</v>
      </c>
      <c r="I1721" s="55">
        <v>-5.7312750000000001</v>
      </c>
      <c r="J1721" s="55">
        <v>-4.2615E-2</v>
      </c>
      <c r="K1721" s="55">
        <v>-4.2615E-2</v>
      </c>
      <c r="L1721" s="55">
        <v>-16.745699999999999</v>
      </c>
      <c r="M1721" s="55">
        <v>-9.1734589999999994</v>
      </c>
      <c r="N1721" s="55">
        <v>-4.8871349999999998</v>
      </c>
    </row>
    <row r="1722" spans="1:14" hidden="1" x14ac:dyDescent="0.35">
      <c r="A1722" s="52" t="s">
        <v>669</v>
      </c>
      <c r="B1722" s="52" t="s">
        <v>265</v>
      </c>
      <c r="C1722" s="52" t="s">
        <v>44</v>
      </c>
      <c r="D1722" s="52" t="s">
        <v>44</v>
      </c>
      <c r="E1722" s="52" t="s">
        <v>584</v>
      </c>
      <c r="F1722" s="52" t="s">
        <v>581</v>
      </c>
      <c r="G1722" s="55" t="s">
        <v>277</v>
      </c>
      <c r="H1722" s="55"/>
      <c r="I1722" s="55"/>
      <c r="J1722" s="55"/>
      <c r="K1722" s="55"/>
      <c r="L1722" s="55"/>
      <c r="M1722" s="55"/>
      <c r="N1722" s="55">
        <v>0</v>
      </c>
    </row>
    <row r="1723" spans="1:14" hidden="1" x14ac:dyDescent="0.35">
      <c r="A1723" s="52" t="s">
        <v>669</v>
      </c>
      <c r="B1723" s="52" t="s">
        <v>265</v>
      </c>
      <c r="C1723" s="52" t="s">
        <v>44</v>
      </c>
      <c r="D1723" s="52" t="s">
        <v>44</v>
      </c>
      <c r="E1723" s="52" t="s">
        <v>584</v>
      </c>
      <c r="F1723" s="52" t="s">
        <v>581</v>
      </c>
      <c r="G1723" s="55" t="s">
        <v>278</v>
      </c>
      <c r="H1723" s="55">
        <v>39.976619999999997</v>
      </c>
      <c r="I1723" s="55">
        <v>8.8528499999999996E-2</v>
      </c>
      <c r="J1723" s="55">
        <v>4.2615300000000002E-2</v>
      </c>
      <c r="K1723" s="55">
        <v>4.2615300000000002E-2</v>
      </c>
      <c r="L1723" s="55">
        <v>16.745699999999999</v>
      </c>
      <c r="M1723" s="55">
        <v>9.1734580000000001</v>
      </c>
      <c r="N1723" s="55">
        <v>4.8871349999999998</v>
      </c>
    </row>
    <row r="1724" spans="1:14" hidden="1" x14ac:dyDescent="0.35">
      <c r="A1724" s="52" t="s">
        <v>669</v>
      </c>
      <c r="B1724" s="52" t="s">
        <v>265</v>
      </c>
      <c r="C1724" s="52" t="s">
        <v>44</v>
      </c>
      <c r="D1724" s="52" t="s">
        <v>44</v>
      </c>
      <c r="E1724" s="52" t="s">
        <v>584</v>
      </c>
      <c r="F1724" s="52" t="s">
        <v>26</v>
      </c>
      <c r="G1724" s="55" t="s">
        <v>275</v>
      </c>
      <c r="H1724" s="55">
        <v>-2.0741699999999998E-2</v>
      </c>
      <c r="I1724" s="55">
        <v>-2.0741699999999998E-2</v>
      </c>
      <c r="J1724" s="55">
        <v>2.731687E-3</v>
      </c>
      <c r="K1724" s="55">
        <v>1.8213369999999999E-3</v>
      </c>
      <c r="L1724" s="55">
        <v>9.1056239999999999E-4</v>
      </c>
      <c r="M1724" s="55">
        <v>0</v>
      </c>
      <c r="N1724" s="55">
        <v>0</v>
      </c>
    </row>
    <row r="1725" spans="1:14" hidden="1" x14ac:dyDescent="0.35">
      <c r="A1725" s="52" t="s">
        <v>669</v>
      </c>
      <c r="B1725" s="52" t="s">
        <v>265</v>
      </c>
      <c r="C1725" s="52" t="s">
        <v>44</v>
      </c>
      <c r="D1725" s="52" t="s">
        <v>44</v>
      </c>
      <c r="E1725" s="52" t="s">
        <v>584</v>
      </c>
      <c r="F1725" s="52" t="s">
        <v>26</v>
      </c>
      <c r="G1725" s="55" t="s">
        <v>276</v>
      </c>
      <c r="H1725" s="55">
        <v>-4.5530249999999996E-3</v>
      </c>
      <c r="I1725" s="55">
        <v>-4.5530249999999996E-3</v>
      </c>
      <c r="J1725" s="55">
        <v>0</v>
      </c>
      <c r="K1725" s="55">
        <v>0</v>
      </c>
      <c r="L1725" s="55">
        <v>0</v>
      </c>
      <c r="M1725" s="55">
        <v>0</v>
      </c>
      <c r="N1725" s="55">
        <v>0</v>
      </c>
    </row>
    <row r="1726" spans="1:14" hidden="1" x14ac:dyDescent="0.35">
      <c r="A1726" s="52" t="s">
        <v>669</v>
      </c>
      <c r="B1726" s="52" t="s">
        <v>265</v>
      </c>
      <c r="C1726" s="52" t="s">
        <v>44</v>
      </c>
      <c r="D1726" s="52" t="s">
        <v>44</v>
      </c>
      <c r="E1726" s="52" t="s">
        <v>584</v>
      </c>
      <c r="F1726" s="52" t="s">
        <v>26</v>
      </c>
      <c r="G1726" s="55" t="s">
        <v>277</v>
      </c>
      <c r="H1726" s="55"/>
      <c r="I1726" s="55"/>
      <c r="J1726" s="55"/>
      <c r="K1726" s="55"/>
      <c r="L1726" s="55"/>
      <c r="M1726" s="55"/>
      <c r="N1726" s="55">
        <v>0</v>
      </c>
    </row>
    <row r="1727" spans="1:14" hidden="1" x14ac:dyDescent="0.35">
      <c r="A1727" s="52" t="s">
        <v>669</v>
      </c>
      <c r="B1727" s="52" t="s">
        <v>265</v>
      </c>
      <c r="C1727" s="52" t="s">
        <v>44</v>
      </c>
      <c r="D1727" s="52" t="s">
        <v>44</v>
      </c>
      <c r="E1727" s="52" t="s">
        <v>584</v>
      </c>
      <c r="F1727" s="52" t="s">
        <v>26</v>
      </c>
      <c r="G1727" s="55" t="s">
        <v>278</v>
      </c>
      <c r="H1727" s="55">
        <v>2.529472E-2</v>
      </c>
      <c r="I1727" s="55">
        <v>2.529472E-2</v>
      </c>
      <c r="J1727" s="55">
        <v>0</v>
      </c>
      <c r="K1727" s="55">
        <v>0</v>
      </c>
      <c r="L1727" s="55">
        <v>0</v>
      </c>
      <c r="M1727" s="55">
        <v>0</v>
      </c>
      <c r="N1727" s="55">
        <v>0</v>
      </c>
    </row>
    <row r="1728" spans="1:14" hidden="1" x14ac:dyDescent="0.35">
      <c r="A1728" s="52" t="s">
        <v>669</v>
      </c>
      <c r="B1728" s="52" t="s">
        <v>265</v>
      </c>
      <c r="C1728" s="52" t="s">
        <v>318</v>
      </c>
      <c r="D1728" s="52" t="s">
        <v>318</v>
      </c>
      <c r="E1728" s="52" t="s">
        <v>584</v>
      </c>
      <c r="F1728" s="52" t="s">
        <v>581</v>
      </c>
      <c r="G1728" s="55" t="s">
        <v>275</v>
      </c>
      <c r="H1728" s="55">
        <v>0</v>
      </c>
      <c r="I1728" s="55"/>
      <c r="J1728" s="55"/>
      <c r="K1728" s="55"/>
      <c r="L1728" s="55"/>
      <c r="M1728" s="55"/>
      <c r="N1728" s="55"/>
    </row>
    <row r="1729" spans="1:14" hidden="1" x14ac:dyDescent="0.35">
      <c r="A1729" s="52" t="s">
        <v>669</v>
      </c>
      <c r="B1729" s="52" t="s">
        <v>265</v>
      </c>
      <c r="C1729" s="52" t="s">
        <v>318</v>
      </c>
      <c r="D1729" s="52" t="s">
        <v>318</v>
      </c>
      <c r="E1729" s="52" t="s">
        <v>584</v>
      </c>
      <c r="F1729" s="52" t="s">
        <v>581</v>
      </c>
      <c r="G1729" s="55" t="s">
        <v>278</v>
      </c>
      <c r="H1729" s="55">
        <v>0</v>
      </c>
      <c r="I1729" s="55"/>
      <c r="J1729" s="55"/>
      <c r="K1729" s="55"/>
      <c r="L1729" s="55"/>
      <c r="M1729" s="55"/>
      <c r="N1729" s="55"/>
    </row>
    <row r="1730" spans="1:14" hidden="1" x14ac:dyDescent="0.35">
      <c r="A1730" s="52" t="s">
        <v>669</v>
      </c>
      <c r="B1730" s="52" t="s">
        <v>265</v>
      </c>
      <c r="C1730" s="52" t="s">
        <v>318</v>
      </c>
      <c r="D1730" s="52" t="s">
        <v>318</v>
      </c>
      <c r="E1730" s="52" t="s">
        <v>584</v>
      </c>
      <c r="F1730" s="52" t="s">
        <v>26</v>
      </c>
      <c r="G1730" s="55" t="s">
        <v>275</v>
      </c>
      <c r="H1730" s="55">
        <v>0</v>
      </c>
      <c r="I1730" s="55"/>
      <c r="J1730" s="55"/>
      <c r="K1730" s="55"/>
      <c r="L1730" s="55"/>
      <c r="M1730" s="55"/>
      <c r="N1730" s="55"/>
    </row>
    <row r="1731" spans="1:14" hidden="1" x14ac:dyDescent="0.35">
      <c r="A1731" s="52" t="s">
        <v>669</v>
      </c>
      <c r="B1731" s="52" t="s">
        <v>265</v>
      </c>
      <c r="C1731" s="52" t="s">
        <v>318</v>
      </c>
      <c r="D1731" s="52" t="s">
        <v>318</v>
      </c>
      <c r="E1731" s="52" t="s">
        <v>584</v>
      </c>
      <c r="F1731" s="52" t="s">
        <v>26</v>
      </c>
      <c r="G1731" s="55" t="s">
        <v>278</v>
      </c>
      <c r="H1731" s="55">
        <v>0</v>
      </c>
      <c r="I1731" s="55"/>
      <c r="J1731" s="55"/>
      <c r="K1731" s="55"/>
      <c r="L1731" s="55"/>
      <c r="M1731" s="55"/>
      <c r="N1731" s="55"/>
    </row>
    <row r="1732" spans="1:14" hidden="1" x14ac:dyDescent="0.35">
      <c r="A1732" s="52" t="s">
        <v>669</v>
      </c>
      <c r="B1732" s="52" t="s">
        <v>826</v>
      </c>
      <c r="C1732" s="52" t="s">
        <v>821</v>
      </c>
      <c r="D1732" s="52" t="s">
        <v>821</v>
      </c>
      <c r="E1732" s="52" t="s">
        <v>584</v>
      </c>
      <c r="F1732" s="52" t="s">
        <v>26</v>
      </c>
      <c r="G1732" s="55" t="s">
        <v>275</v>
      </c>
      <c r="H1732" s="55">
        <v>-1.7069449999999999</v>
      </c>
      <c r="I1732" s="55">
        <v>-1.7069449999999999</v>
      </c>
      <c r="J1732" s="55">
        <v>0</v>
      </c>
      <c r="K1732" s="55">
        <v>0</v>
      </c>
      <c r="L1732" s="55">
        <v>0</v>
      </c>
      <c r="M1732" s="55">
        <v>0</v>
      </c>
      <c r="N1732" s="55">
        <v>0</v>
      </c>
    </row>
    <row r="1733" spans="1:14" hidden="1" x14ac:dyDescent="0.35">
      <c r="A1733" s="52" t="s">
        <v>669</v>
      </c>
      <c r="B1733" s="52" t="s">
        <v>826</v>
      </c>
      <c r="C1733" s="52" t="s">
        <v>821</v>
      </c>
      <c r="D1733" s="52" t="s">
        <v>821</v>
      </c>
      <c r="E1733" s="52" t="s">
        <v>584</v>
      </c>
      <c r="F1733" s="52" t="s">
        <v>26</v>
      </c>
      <c r="G1733" s="55" t="s">
        <v>276</v>
      </c>
      <c r="H1733" s="55"/>
      <c r="I1733" s="55"/>
      <c r="J1733" s="55">
        <v>-1.7069449999999999</v>
      </c>
      <c r="K1733" s="55">
        <v>-1.7069460000000001</v>
      </c>
      <c r="L1733" s="55">
        <v>-12.597810000000001</v>
      </c>
      <c r="M1733" s="55">
        <v>-14.269130000000001</v>
      </c>
      <c r="N1733" s="55">
        <v>-2.3647010000000002</v>
      </c>
    </row>
    <row r="1734" spans="1:14" hidden="1" x14ac:dyDescent="0.35">
      <c r="A1734" s="52" t="s">
        <v>669</v>
      </c>
      <c r="B1734" s="52" t="s">
        <v>826</v>
      </c>
      <c r="C1734" s="52" t="s">
        <v>821</v>
      </c>
      <c r="D1734" s="52" t="s">
        <v>821</v>
      </c>
      <c r="E1734" s="52" t="s">
        <v>584</v>
      </c>
      <c r="F1734" s="52" t="s">
        <v>26</v>
      </c>
      <c r="G1734" s="55" t="s">
        <v>278</v>
      </c>
      <c r="H1734" s="55">
        <v>1.7069449999999999</v>
      </c>
      <c r="I1734" s="55">
        <v>1.7069449999999999</v>
      </c>
      <c r="J1734" s="55">
        <v>1.7069460000000001</v>
      </c>
      <c r="K1734" s="55">
        <v>1.7069460000000001</v>
      </c>
      <c r="L1734" s="55">
        <v>12.597810000000001</v>
      </c>
      <c r="M1734" s="55">
        <v>14.269130000000001</v>
      </c>
      <c r="N1734" s="55">
        <v>2.3647019999999999</v>
      </c>
    </row>
    <row r="1735" spans="1:14" hidden="1" x14ac:dyDescent="0.35">
      <c r="A1735" s="52" t="s">
        <v>669</v>
      </c>
      <c r="B1735" s="52" t="s">
        <v>255</v>
      </c>
      <c r="C1735" s="52" t="s">
        <v>254</v>
      </c>
      <c r="D1735" s="52" t="s">
        <v>254</v>
      </c>
      <c r="E1735" s="52" t="s">
        <v>584</v>
      </c>
      <c r="F1735" s="52" t="s">
        <v>26</v>
      </c>
      <c r="G1735" s="55" t="s">
        <v>275</v>
      </c>
      <c r="H1735" s="55">
        <v>-14.30251</v>
      </c>
      <c r="I1735" s="55">
        <v>0.91633249999999999</v>
      </c>
      <c r="J1735" s="55">
        <v>0.92070059999999998</v>
      </c>
      <c r="K1735" s="55">
        <v>0.92040650000000002</v>
      </c>
      <c r="L1735" s="55">
        <v>0.92011279999999995</v>
      </c>
      <c r="M1735" s="55">
        <v>-3.8967950000000001E-2</v>
      </c>
      <c r="N1735" s="55">
        <v>-3.9261600000000001E-2</v>
      </c>
    </row>
    <row r="1736" spans="1:14" hidden="1" x14ac:dyDescent="0.35">
      <c r="A1736" s="52" t="s">
        <v>669</v>
      </c>
      <c r="B1736" s="52" t="s">
        <v>255</v>
      </c>
      <c r="C1736" s="52" t="s">
        <v>254</v>
      </c>
      <c r="D1736" s="52" t="s">
        <v>254</v>
      </c>
      <c r="E1736" s="52" t="s">
        <v>584</v>
      </c>
      <c r="F1736" s="52" t="s">
        <v>26</v>
      </c>
      <c r="G1736" s="55" t="s">
        <v>276</v>
      </c>
      <c r="H1736" s="55">
        <v>-0.97831060000000003</v>
      </c>
      <c r="I1736" s="55">
        <v>-0.97831020000000002</v>
      </c>
      <c r="J1736" s="55">
        <v>-0.97801649999999996</v>
      </c>
      <c r="K1736" s="55">
        <v>-0.97772289999999995</v>
      </c>
      <c r="L1736" s="55">
        <v>-0.97742890000000004</v>
      </c>
      <c r="M1736" s="55">
        <v>-1.8348400000000001E-2</v>
      </c>
      <c r="N1736" s="55">
        <v>-1.8054400000000002E-2</v>
      </c>
    </row>
    <row r="1737" spans="1:14" hidden="1" x14ac:dyDescent="0.35">
      <c r="A1737" s="52" t="s">
        <v>669</v>
      </c>
      <c r="B1737" s="52" t="s">
        <v>255</v>
      </c>
      <c r="C1737" s="52" t="s">
        <v>254</v>
      </c>
      <c r="D1737" s="52" t="s">
        <v>254</v>
      </c>
      <c r="E1737" s="52" t="s">
        <v>584</v>
      </c>
      <c r="F1737" s="52" t="s">
        <v>26</v>
      </c>
      <c r="G1737" s="55" t="s">
        <v>278</v>
      </c>
      <c r="H1737" s="55">
        <v>15.28082</v>
      </c>
      <c r="I1737" s="55">
        <v>6.1977650000000002E-2</v>
      </c>
      <c r="J1737" s="55">
        <v>5.7316010000000001E-2</v>
      </c>
      <c r="K1737" s="55">
        <v>5.7316010000000001E-2</v>
      </c>
      <c r="L1737" s="55">
        <v>5.7316010000000001E-2</v>
      </c>
      <c r="M1737" s="55">
        <v>5.7316010000000001E-2</v>
      </c>
      <c r="N1737" s="55">
        <v>5.7316010000000001E-2</v>
      </c>
    </row>
    <row r="1738" spans="1:14" hidden="1" x14ac:dyDescent="0.35">
      <c r="A1738" s="52" t="s">
        <v>669</v>
      </c>
      <c r="B1738" s="52" t="s">
        <v>255</v>
      </c>
      <c r="C1738" s="52" t="s">
        <v>318</v>
      </c>
      <c r="D1738" s="52" t="s">
        <v>318</v>
      </c>
      <c r="E1738" s="52" t="s">
        <v>584</v>
      </c>
      <c r="F1738" s="52" t="s">
        <v>581</v>
      </c>
      <c r="G1738" s="55" t="s">
        <v>275</v>
      </c>
      <c r="H1738" s="55">
        <v>0</v>
      </c>
      <c r="I1738" s="55"/>
      <c r="J1738" s="55"/>
      <c r="K1738" s="55"/>
      <c r="L1738" s="55"/>
      <c r="M1738" s="55"/>
      <c r="N1738" s="55"/>
    </row>
    <row r="1739" spans="1:14" hidden="1" x14ac:dyDescent="0.35">
      <c r="A1739" s="52" t="s">
        <v>669</v>
      </c>
      <c r="B1739" s="52" t="s">
        <v>255</v>
      </c>
      <c r="C1739" s="52" t="s">
        <v>318</v>
      </c>
      <c r="D1739" s="52" t="s">
        <v>318</v>
      </c>
      <c r="E1739" s="52" t="s">
        <v>584</v>
      </c>
      <c r="F1739" s="52" t="s">
        <v>581</v>
      </c>
      <c r="G1739" s="55" t="s">
        <v>276</v>
      </c>
      <c r="H1739" s="55">
        <v>0</v>
      </c>
      <c r="I1739" s="55"/>
      <c r="J1739" s="55"/>
      <c r="K1739" s="55"/>
      <c r="L1739" s="55"/>
      <c r="M1739" s="55"/>
      <c r="N1739" s="55"/>
    </row>
    <row r="1740" spans="1:14" hidden="1" x14ac:dyDescent="0.35">
      <c r="A1740" s="52" t="s">
        <v>669</v>
      </c>
      <c r="B1740" s="52" t="s">
        <v>255</v>
      </c>
      <c r="C1740" s="52" t="s">
        <v>318</v>
      </c>
      <c r="D1740" s="52" t="s">
        <v>318</v>
      </c>
      <c r="E1740" s="52" t="s">
        <v>584</v>
      </c>
      <c r="F1740" s="52" t="s">
        <v>581</v>
      </c>
      <c r="G1740" s="55" t="s">
        <v>278</v>
      </c>
      <c r="H1740" s="55">
        <v>0</v>
      </c>
      <c r="I1740" s="55"/>
      <c r="J1740" s="55"/>
      <c r="K1740" s="55"/>
      <c r="L1740" s="55"/>
      <c r="M1740" s="55"/>
      <c r="N1740" s="55"/>
    </row>
    <row r="1741" spans="1:14" hidden="1" x14ac:dyDescent="0.35">
      <c r="A1741" s="52" t="s">
        <v>669</v>
      </c>
      <c r="B1741" s="52" t="s">
        <v>255</v>
      </c>
      <c r="C1741" s="52" t="s">
        <v>318</v>
      </c>
      <c r="D1741" s="52" t="s">
        <v>318</v>
      </c>
      <c r="E1741" s="52" t="s">
        <v>584</v>
      </c>
      <c r="F1741" s="52" t="s">
        <v>26</v>
      </c>
      <c r="G1741" s="55" t="s">
        <v>275</v>
      </c>
      <c r="H1741" s="55">
        <v>0</v>
      </c>
      <c r="I1741" s="55"/>
      <c r="J1741" s="55"/>
      <c r="K1741" s="55"/>
      <c r="L1741" s="55"/>
      <c r="M1741" s="55"/>
      <c r="N1741" s="55"/>
    </row>
    <row r="1742" spans="1:14" hidden="1" x14ac:dyDescent="0.35">
      <c r="A1742" s="52" t="s">
        <v>669</v>
      </c>
      <c r="B1742" s="52" t="s">
        <v>255</v>
      </c>
      <c r="C1742" s="52" t="s">
        <v>318</v>
      </c>
      <c r="D1742" s="52" t="s">
        <v>318</v>
      </c>
      <c r="E1742" s="52" t="s">
        <v>584</v>
      </c>
      <c r="F1742" s="52" t="s">
        <v>26</v>
      </c>
      <c r="G1742" s="55" t="s">
        <v>276</v>
      </c>
      <c r="H1742" s="55">
        <v>0</v>
      </c>
      <c r="I1742" s="55"/>
      <c r="J1742" s="55"/>
      <c r="K1742" s="55"/>
      <c r="L1742" s="55"/>
      <c r="M1742" s="55"/>
      <c r="N1742" s="55"/>
    </row>
    <row r="1743" spans="1:14" hidden="1" x14ac:dyDescent="0.35">
      <c r="A1743" s="52" t="s">
        <v>669</v>
      </c>
      <c r="B1743" s="52" t="s">
        <v>255</v>
      </c>
      <c r="C1743" s="52" t="s">
        <v>318</v>
      </c>
      <c r="D1743" s="52" t="s">
        <v>318</v>
      </c>
      <c r="E1743" s="52" t="s">
        <v>584</v>
      </c>
      <c r="F1743" s="52" t="s">
        <v>26</v>
      </c>
      <c r="G1743" s="55" t="s">
        <v>278</v>
      </c>
      <c r="H1743" s="55">
        <v>0</v>
      </c>
      <c r="I1743" s="55"/>
      <c r="J1743" s="55"/>
      <c r="K1743" s="55"/>
      <c r="L1743" s="55"/>
      <c r="M1743" s="55"/>
      <c r="N1743" s="55"/>
    </row>
    <row r="1744" spans="1:14" hidden="1" x14ac:dyDescent="0.35">
      <c r="A1744" s="52" t="s">
        <v>669</v>
      </c>
      <c r="B1744" s="52" t="s">
        <v>179</v>
      </c>
      <c r="C1744" s="52" t="s">
        <v>318</v>
      </c>
      <c r="D1744" s="52" t="s">
        <v>318</v>
      </c>
      <c r="E1744" s="52" t="s">
        <v>584</v>
      </c>
      <c r="F1744" s="52" t="s">
        <v>581</v>
      </c>
      <c r="G1744" s="55" t="s">
        <v>275</v>
      </c>
      <c r="H1744" s="55">
        <v>0</v>
      </c>
      <c r="I1744" s="55"/>
      <c r="J1744" s="55"/>
      <c r="K1744" s="55"/>
      <c r="L1744" s="55"/>
      <c r="M1744" s="55"/>
      <c r="N1744" s="55"/>
    </row>
    <row r="1745" spans="1:14" hidden="1" x14ac:dyDescent="0.35">
      <c r="A1745" s="52" t="s">
        <v>669</v>
      </c>
      <c r="B1745" s="52" t="s">
        <v>321</v>
      </c>
      <c r="C1745" s="52" t="s">
        <v>318</v>
      </c>
      <c r="D1745" s="52" t="s">
        <v>318</v>
      </c>
      <c r="E1745" s="52" t="s">
        <v>584</v>
      </c>
      <c r="F1745" s="52" t="s">
        <v>581</v>
      </c>
      <c r="G1745" s="55" t="s">
        <v>275</v>
      </c>
      <c r="H1745" s="55">
        <v>0</v>
      </c>
      <c r="I1745" s="55"/>
      <c r="J1745" s="55"/>
      <c r="K1745" s="55"/>
      <c r="L1745" s="55"/>
      <c r="M1745" s="55"/>
      <c r="N1745" s="55"/>
    </row>
    <row r="1746" spans="1:14" hidden="1" x14ac:dyDescent="0.35">
      <c r="A1746" s="52" t="s">
        <v>669</v>
      </c>
      <c r="B1746" s="52" t="s">
        <v>179</v>
      </c>
      <c r="C1746" s="52" t="s">
        <v>318</v>
      </c>
      <c r="D1746" s="52" t="s">
        <v>318</v>
      </c>
      <c r="E1746" s="52" t="s">
        <v>584</v>
      </c>
      <c r="F1746" s="52" t="s">
        <v>581</v>
      </c>
      <c r="G1746" s="55" t="s">
        <v>276</v>
      </c>
      <c r="H1746" s="55">
        <v>0</v>
      </c>
      <c r="I1746" s="55"/>
      <c r="J1746" s="55"/>
      <c r="K1746" s="55"/>
      <c r="L1746" s="55"/>
      <c r="M1746" s="55"/>
      <c r="N1746" s="55"/>
    </row>
    <row r="1747" spans="1:14" hidden="1" x14ac:dyDescent="0.35">
      <c r="A1747" s="52" t="s">
        <v>669</v>
      </c>
      <c r="B1747" s="52" t="s">
        <v>321</v>
      </c>
      <c r="C1747" s="52" t="s">
        <v>318</v>
      </c>
      <c r="D1747" s="52" t="s">
        <v>318</v>
      </c>
      <c r="E1747" s="52" t="s">
        <v>584</v>
      </c>
      <c r="F1747" s="52" t="s">
        <v>581</v>
      </c>
      <c r="G1747" s="55" t="s">
        <v>278</v>
      </c>
      <c r="H1747" s="55">
        <v>0</v>
      </c>
      <c r="I1747" s="55"/>
      <c r="J1747" s="55"/>
      <c r="K1747" s="55"/>
      <c r="L1747" s="55"/>
      <c r="M1747" s="55"/>
      <c r="N1747" s="55"/>
    </row>
    <row r="1748" spans="1:14" hidden="1" x14ac:dyDescent="0.35">
      <c r="A1748" s="52" t="s">
        <v>669</v>
      </c>
      <c r="B1748" s="52" t="s">
        <v>179</v>
      </c>
      <c r="C1748" s="52" t="s">
        <v>318</v>
      </c>
      <c r="D1748" s="52" t="s">
        <v>318</v>
      </c>
      <c r="E1748" s="52" t="s">
        <v>584</v>
      </c>
      <c r="F1748" s="52" t="s">
        <v>581</v>
      </c>
      <c r="G1748" s="55" t="s">
        <v>278</v>
      </c>
      <c r="H1748" s="55">
        <v>0</v>
      </c>
      <c r="I1748" s="55"/>
      <c r="J1748" s="55"/>
      <c r="K1748" s="55"/>
      <c r="L1748" s="55"/>
      <c r="M1748" s="55"/>
      <c r="N1748" s="55"/>
    </row>
    <row r="1749" spans="1:14" hidden="1" x14ac:dyDescent="0.35">
      <c r="A1749" s="52" t="s">
        <v>669</v>
      </c>
      <c r="B1749" s="52" t="s">
        <v>321</v>
      </c>
      <c r="C1749" s="52" t="s">
        <v>318</v>
      </c>
      <c r="D1749" s="52" t="s">
        <v>318</v>
      </c>
      <c r="E1749" s="52" t="s">
        <v>584</v>
      </c>
      <c r="F1749" s="52" t="s">
        <v>26</v>
      </c>
      <c r="G1749" s="55" t="s">
        <v>275</v>
      </c>
      <c r="H1749" s="55">
        <v>0</v>
      </c>
      <c r="I1749" s="55"/>
      <c r="J1749" s="55"/>
      <c r="K1749" s="55"/>
      <c r="L1749" s="55"/>
      <c r="M1749" s="55"/>
      <c r="N1749" s="55"/>
    </row>
    <row r="1750" spans="1:14" hidden="1" x14ac:dyDescent="0.35">
      <c r="A1750" s="52" t="s">
        <v>669</v>
      </c>
      <c r="B1750" s="52" t="s">
        <v>179</v>
      </c>
      <c r="C1750" s="52" t="s">
        <v>318</v>
      </c>
      <c r="D1750" s="52" t="s">
        <v>318</v>
      </c>
      <c r="E1750" s="52" t="s">
        <v>584</v>
      </c>
      <c r="F1750" s="52" t="s">
        <v>26</v>
      </c>
      <c r="G1750" s="55" t="s">
        <v>275</v>
      </c>
      <c r="H1750" s="55">
        <v>0</v>
      </c>
      <c r="I1750" s="55"/>
      <c r="J1750" s="55"/>
      <c r="K1750" s="55"/>
      <c r="L1750" s="55"/>
      <c r="M1750" s="55"/>
      <c r="N1750" s="55"/>
    </row>
    <row r="1751" spans="1:14" hidden="1" x14ac:dyDescent="0.35">
      <c r="A1751" s="52" t="s">
        <v>669</v>
      </c>
      <c r="B1751" s="52" t="s">
        <v>179</v>
      </c>
      <c r="C1751" s="52" t="s">
        <v>318</v>
      </c>
      <c r="D1751" s="52" t="s">
        <v>318</v>
      </c>
      <c r="E1751" s="52" t="s">
        <v>584</v>
      </c>
      <c r="F1751" s="52" t="s">
        <v>26</v>
      </c>
      <c r="G1751" s="55" t="s">
        <v>276</v>
      </c>
      <c r="H1751" s="55">
        <v>0</v>
      </c>
      <c r="I1751" s="55"/>
      <c r="J1751" s="55"/>
      <c r="K1751" s="55"/>
      <c r="L1751" s="55"/>
      <c r="M1751" s="55"/>
      <c r="N1751" s="55"/>
    </row>
    <row r="1752" spans="1:14" hidden="1" x14ac:dyDescent="0.35">
      <c r="A1752" s="52" t="s">
        <v>669</v>
      </c>
      <c r="B1752" s="52" t="s">
        <v>321</v>
      </c>
      <c r="C1752" s="52" t="s">
        <v>318</v>
      </c>
      <c r="D1752" s="52" t="s">
        <v>318</v>
      </c>
      <c r="E1752" s="52" t="s">
        <v>584</v>
      </c>
      <c r="F1752" s="52" t="s">
        <v>26</v>
      </c>
      <c r="G1752" s="55" t="s">
        <v>278</v>
      </c>
      <c r="H1752" s="55">
        <v>0</v>
      </c>
      <c r="I1752" s="55"/>
      <c r="J1752" s="55"/>
      <c r="K1752" s="55"/>
      <c r="L1752" s="55"/>
      <c r="M1752" s="55"/>
      <c r="N1752" s="55"/>
    </row>
    <row r="1753" spans="1:14" hidden="1" x14ac:dyDescent="0.35">
      <c r="A1753" s="52" t="s">
        <v>669</v>
      </c>
      <c r="B1753" s="52" t="s">
        <v>179</v>
      </c>
      <c r="C1753" s="52" t="s">
        <v>318</v>
      </c>
      <c r="D1753" s="52" t="s">
        <v>318</v>
      </c>
      <c r="E1753" s="52" t="s">
        <v>584</v>
      </c>
      <c r="F1753" s="52" t="s">
        <v>26</v>
      </c>
      <c r="G1753" s="55" t="s">
        <v>278</v>
      </c>
      <c r="H1753" s="55">
        <v>0</v>
      </c>
      <c r="I1753" s="55"/>
      <c r="J1753" s="55"/>
      <c r="K1753" s="55"/>
      <c r="L1753" s="55"/>
      <c r="M1753" s="55"/>
      <c r="N1753" s="55"/>
    </row>
    <row r="1754" spans="1:14" hidden="1" x14ac:dyDescent="0.35">
      <c r="A1754" s="52" t="s">
        <v>669</v>
      </c>
      <c r="B1754" s="52" t="s">
        <v>361</v>
      </c>
      <c r="C1754" s="52" t="s">
        <v>318</v>
      </c>
      <c r="D1754" s="52" t="s">
        <v>318</v>
      </c>
      <c r="E1754" s="52" t="s">
        <v>584</v>
      </c>
      <c r="F1754" s="52" t="s">
        <v>581</v>
      </c>
      <c r="G1754" s="55" t="s">
        <v>275</v>
      </c>
      <c r="H1754" s="55">
        <v>0</v>
      </c>
      <c r="I1754" s="55"/>
      <c r="J1754" s="55"/>
      <c r="K1754" s="55"/>
      <c r="L1754" s="55"/>
      <c r="M1754" s="55"/>
      <c r="N1754" s="55"/>
    </row>
    <row r="1755" spans="1:14" hidden="1" x14ac:dyDescent="0.35">
      <c r="A1755" s="52" t="s">
        <v>669</v>
      </c>
      <c r="B1755" s="52" t="s">
        <v>361</v>
      </c>
      <c r="C1755" s="52" t="s">
        <v>318</v>
      </c>
      <c r="D1755" s="52" t="s">
        <v>318</v>
      </c>
      <c r="E1755" s="52" t="s">
        <v>584</v>
      </c>
      <c r="F1755" s="52" t="s">
        <v>581</v>
      </c>
      <c r="G1755" s="55" t="s">
        <v>276</v>
      </c>
      <c r="H1755" s="55">
        <v>0</v>
      </c>
      <c r="I1755" s="55"/>
      <c r="J1755" s="55"/>
      <c r="K1755" s="55"/>
      <c r="L1755" s="55"/>
      <c r="M1755" s="55"/>
      <c r="N1755" s="55"/>
    </row>
    <row r="1756" spans="1:14" hidden="1" x14ac:dyDescent="0.35">
      <c r="A1756" s="52" t="s">
        <v>669</v>
      </c>
      <c r="B1756" s="52" t="s">
        <v>361</v>
      </c>
      <c r="C1756" s="52" t="s">
        <v>318</v>
      </c>
      <c r="D1756" s="52" t="s">
        <v>318</v>
      </c>
      <c r="E1756" s="52" t="s">
        <v>584</v>
      </c>
      <c r="F1756" s="52" t="s">
        <v>581</v>
      </c>
      <c r="G1756" s="55" t="s">
        <v>278</v>
      </c>
      <c r="H1756" s="55">
        <v>0</v>
      </c>
      <c r="I1756" s="55"/>
      <c r="J1756" s="55"/>
      <c r="K1756" s="55"/>
      <c r="L1756" s="55"/>
      <c r="M1756" s="55"/>
      <c r="N1756" s="55"/>
    </row>
    <row r="1757" spans="1:14" hidden="1" x14ac:dyDescent="0.35">
      <c r="A1757" s="52" t="s">
        <v>669</v>
      </c>
      <c r="B1757" s="52" t="s">
        <v>361</v>
      </c>
      <c r="C1757" s="52" t="s">
        <v>318</v>
      </c>
      <c r="D1757" s="52" t="s">
        <v>318</v>
      </c>
      <c r="E1757" s="52" t="s">
        <v>584</v>
      </c>
      <c r="F1757" s="52" t="s">
        <v>26</v>
      </c>
      <c r="G1757" s="55" t="s">
        <v>275</v>
      </c>
      <c r="H1757" s="55">
        <v>0</v>
      </c>
      <c r="I1757" s="55"/>
      <c r="J1757" s="55"/>
      <c r="K1757" s="55"/>
      <c r="L1757" s="55"/>
      <c r="M1757" s="55"/>
      <c r="N1757" s="55"/>
    </row>
    <row r="1758" spans="1:14" hidden="1" x14ac:dyDescent="0.35">
      <c r="A1758" s="52" t="s">
        <v>669</v>
      </c>
      <c r="B1758" s="52" t="s">
        <v>361</v>
      </c>
      <c r="C1758" s="52" t="s">
        <v>318</v>
      </c>
      <c r="D1758" s="52" t="s">
        <v>318</v>
      </c>
      <c r="E1758" s="52" t="s">
        <v>584</v>
      </c>
      <c r="F1758" s="52" t="s">
        <v>26</v>
      </c>
      <c r="G1758" s="55" t="s">
        <v>276</v>
      </c>
      <c r="H1758" s="55">
        <v>0</v>
      </c>
      <c r="I1758" s="55"/>
      <c r="J1758" s="55"/>
      <c r="K1758" s="55"/>
      <c r="L1758" s="55"/>
      <c r="M1758" s="55"/>
      <c r="N1758" s="55"/>
    </row>
    <row r="1759" spans="1:14" hidden="1" x14ac:dyDescent="0.35">
      <c r="A1759" s="52" t="s">
        <v>669</v>
      </c>
      <c r="B1759" s="52" t="s">
        <v>361</v>
      </c>
      <c r="C1759" s="52" t="s">
        <v>318</v>
      </c>
      <c r="D1759" s="52" t="s">
        <v>318</v>
      </c>
      <c r="E1759" s="52" t="s">
        <v>584</v>
      </c>
      <c r="F1759" s="52" t="s">
        <v>26</v>
      </c>
      <c r="G1759" s="55" t="s">
        <v>278</v>
      </c>
      <c r="H1759" s="55">
        <v>0</v>
      </c>
      <c r="I1759" s="55"/>
      <c r="J1759" s="55"/>
      <c r="K1759" s="55"/>
      <c r="L1759" s="55"/>
      <c r="M1759" s="55"/>
      <c r="N1759" s="55"/>
    </row>
    <row r="1760" spans="1:14" hidden="1" x14ac:dyDescent="0.35">
      <c r="A1760" s="52" t="s">
        <v>669</v>
      </c>
      <c r="B1760" s="52" t="s">
        <v>361</v>
      </c>
      <c r="C1760" s="52" t="s">
        <v>214</v>
      </c>
      <c r="D1760" s="52" t="s">
        <v>214</v>
      </c>
      <c r="E1760" s="52" t="s">
        <v>584</v>
      </c>
      <c r="F1760" s="52" t="s">
        <v>26</v>
      </c>
      <c r="G1760" s="55" t="s">
        <v>275</v>
      </c>
      <c r="H1760" s="55">
        <v>-1.311383E-2</v>
      </c>
      <c r="I1760" s="55">
        <v>-0.51471350000000005</v>
      </c>
      <c r="J1760" s="55">
        <v>0</v>
      </c>
      <c r="K1760" s="55">
        <v>0</v>
      </c>
      <c r="L1760" s="55">
        <v>0</v>
      </c>
      <c r="M1760" s="55">
        <v>0</v>
      </c>
      <c r="N1760" s="55">
        <v>-0.18146119999999999</v>
      </c>
    </row>
    <row r="1761" spans="1:14" hidden="1" x14ac:dyDescent="0.35">
      <c r="A1761" s="52" t="s">
        <v>669</v>
      </c>
      <c r="B1761" s="52" t="s">
        <v>361</v>
      </c>
      <c r="C1761" s="52" t="s">
        <v>214</v>
      </c>
      <c r="D1761" s="52" t="s">
        <v>214</v>
      </c>
      <c r="E1761" s="52" t="s">
        <v>584</v>
      </c>
      <c r="F1761" s="52" t="s">
        <v>26</v>
      </c>
      <c r="G1761" s="55" t="s">
        <v>276</v>
      </c>
      <c r="H1761" s="55"/>
      <c r="I1761" s="55"/>
      <c r="J1761" s="55"/>
      <c r="K1761" s="55"/>
      <c r="L1761" s="55"/>
      <c r="M1761" s="55">
        <v>0</v>
      </c>
      <c r="N1761" s="55">
        <v>-1.365823E-2</v>
      </c>
    </row>
    <row r="1762" spans="1:14" hidden="1" x14ac:dyDescent="0.35">
      <c r="A1762" s="52" t="s">
        <v>669</v>
      </c>
      <c r="B1762" s="52" t="s">
        <v>361</v>
      </c>
      <c r="C1762" s="52" t="s">
        <v>214</v>
      </c>
      <c r="D1762" s="52" t="s">
        <v>214</v>
      </c>
      <c r="E1762" s="52" t="s">
        <v>584</v>
      </c>
      <c r="F1762" s="52" t="s">
        <v>26</v>
      </c>
      <c r="G1762" s="55" t="s">
        <v>277</v>
      </c>
      <c r="H1762" s="55">
        <v>0</v>
      </c>
      <c r="I1762" s="55">
        <v>0.50160000000000005</v>
      </c>
      <c r="J1762" s="55">
        <v>0</v>
      </c>
      <c r="K1762" s="55">
        <v>0</v>
      </c>
      <c r="L1762" s="55"/>
      <c r="M1762" s="55">
        <v>0</v>
      </c>
      <c r="N1762" s="55">
        <v>0.19511899999999999</v>
      </c>
    </row>
    <row r="1763" spans="1:14" hidden="1" x14ac:dyDescent="0.35">
      <c r="A1763" s="52" t="s">
        <v>669</v>
      </c>
      <c r="B1763" s="52" t="s">
        <v>361</v>
      </c>
      <c r="C1763" s="52" t="s">
        <v>214</v>
      </c>
      <c r="D1763" s="52" t="s">
        <v>214</v>
      </c>
      <c r="E1763" s="52" t="s">
        <v>584</v>
      </c>
      <c r="F1763" s="52" t="s">
        <v>26</v>
      </c>
      <c r="G1763" s="55" t="s">
        <v>278</v>
      </c>
      <c r="H1763" s="55">
        <v>1.311383E-2</v>
      </c>
      <c r="I1763" s="55">
        <v>1.311383E-2</v>
      </c>
      <c r="J1763" s="55">
        <v>0</v>
      </c>
      <c r="K1763" s="55">
        <v>0</v>
      </c>
      <c r="L1763" s="55">
        <v>0</v>
      </c>
      <c r="M1763" s="55"/>
      <c r="N1763" s="55"/>
    </row>
    <row r="1764" spans="1:14" hidden="1" x14ac:dyDescent="0.35">
      <c r="A1764" s="52" t="s">
        <v>669</v>
      </c>
      <c r="B1764" s="52" t="s">
        <v>368</v>
      </c>
      <c r="C1764" s="52" t="s">
        <v>318</v>
      </c>
      <c r="D1764" s="52" t="s">
        <v>318</v>
      </c>
      <c r="E1764" s="52" t="s">
        <v>584</v>
      </c>
      <c r="F1764" s="52" t="s">
        <v>581</v>
      </c>
      <c r="G1764" s="55" t="s">
        <v>275</v>
      </c>
      <c r="H1764" s="55">
        <v>0</v>
      </c>
      <c r="I1764" s="55"/>
      <c r="J1764" s="55"/>
      <c r="K1764" s="55"/>
      <c r="L1764" s="55"/>
      <c r="M1764" s="55"/>
      <c r="N1764" s="55"/>
    </row>
    <row r="1765" spans="1:14" hidden="1" x14ac:dyDescent="0.35">
      <c r="A1765" s="52" t="s">
        <v>669</v>
      </c>
      <c r="B1765" s="52" t="s">
        <v>368</v>
      </c>
      <c r="C1765" s="52" t="s">
        <v>318</v>
      </c>
      <c r="D1765" s="52" t="s">
        <v>318</v>
      </c>
      <c r="E1765" s="52" t="s">
        <v>584</v>
      </c>
      <c r="F1765" s="52" t="s">
        <v>581</v>
      </c>
      <c r="G1765" s="55" t="s">
        <v>276</v>
      </c>
      <c r="H1765" s="55">
        <v>0</v>
      </c>
      <c r="I1765" s="55"/>
      <c r="J1765" s="55"/>
      <c r="K1765" s="55"/>
      <c r="L1765" s="55"/>
      <c r="M1765" s="55"/>
      <c r="N1765" s="55"/>
    </row>
    <row r="1766" spans="1:14" hidden="1" x14ac:dyDescent="0.35">
      <c r="A1766" s="52" t="s">
        <v>669</v>
      </c>
      <c r="B1766" s="52" t="s">
        <v>368</v>
      </c>
      <c r="C1766" s="52" t="s">
        <v>318</v>
      </c>
      <c r="D1766" s="52" t="s">
        <v>318</v>
      </c>
      <c r="E1766" s="52" t="s">
        <v>584</v>
      </c>
      <c r="F1766" s="52" t="s">
        <v>581</v>
      </c>
      <c r="G1766" s="55" t="s">
        <v>278</v>
      </c>
      <c r="H1766" s="55">
        <v>0</v>
      </c>
      <c r="I1766" s="55"/>
      <c r="J1766" s="55"/>
      <c r="K1766" s="55"/>
      <c r="L1766" s="55"/>
      <c r="M1766" s="55"/>
      <c r="N1766" s="55"/>
    </row>
    <row r="1767" spans="1:14" hidden="1" x14ac:dyDescent="0.35">
      <c r="A1767" s="52" t="s">
        <v>669</v>
      </c>
      <c r="B1767" s="52" t="s">
        <v>368</v>
      </c>
      <c r="C1767" s="52" t="s">
        <v>318</v>
      </c>
      <c r="D1767" s="52" t="s">
        <v>318</v>
      </c>
      <c r="E1767" s="52" t="s">
        <v>584</v>
      </c>
      <c r="F1767" s="52" t="s">
        <v>26</v>
      </c>
      <c r="G1767" s="55" t="s">
        <v>275</v>
      </c>
      <c r="H1767" s="55">
        <v>0</v>
      </c>
      <c r="I1767" s="55"/>
      <c r="J1767" s="55"/>
      <c r="K1767" s="55"/>
      <c r="L1767" s="55"/>
      <c r="M1767" s="55"/>
      <c r="N1767" s="55"/>
    </row>
    <row r="1768" spans="1:14" hidden="1" x14ac:dyDescent="0.35">
      <c r="A1768" s="52" t="s">
        <v>669</v>
      </c>
      <c r="B1768" s="52" t="s">
        <v>368</v>
      </c>
      <c r="C1768" s="52" t="s">
        <v>318</v>
      </c>
      <c r="D1768" s="52" t="s">
        <v>318</v>
      </c>
      <c r="E1768" s="52" t="s">
        <v>584</v>
      </c>
      <c r="F1768" s="52" t="s">
        <v>26</v>
      </c>
      <c r="G1768" s="55" t="s">
        <v>276</v>
      </c>
      <c r="H1768" s="55">
        <v>0</v>
      </c>
      <c r="I1768" s="55"/>
      <c r="J1768" s="55"/>
      <c r="K1768" s="55"/>
      <c r="L1768" s="55"/>
      <c r="M1768" s="55"/>
      <c r="N1768" s="55"/>
    </row>
    <row r="1769" spans="1:14" hidden="1" x14ac:dyDescent="0.35">
      <c r="A1769" s="52" t="s">
        <v>669</v>
      </c>
      <c r="B1769" s="52" t="s">
        <v>368</v>
      </c>
      <c r="C1769" s="52" t="s">
        <v>318</v>
      </c>
      <c r="D1769" s="52" t="s">
        <v>318</v>
      </c>
      <c r="E1769" s="52" t="s">
        <v>584</v>
      </c>
      <c r="F1769" s="52" t="s">
        <v>26</v>
      </c>
      <c r="G1769" s="55" t="s">
        <v>278</v>
      </c>
      <c r="H1769" s="55">
        <v>0</v>
      </c>
      <c r="I1769" s="55"/>
      <c r="J1769" s="55"/>
      <c r="K1769" s="55"/>
      <c r="L1769" s="55"/>
      <c r="M1769" s="55"/>
      <c r="N1769" s="55"/>
    </row>
    <row r="1770" spans="1:14" hidden="1" x14ac:dyDescent="0.35">
      <c r="A1770" s="52" t="s">
        <v>669</v>
      </c>
      <c r="B1770" s="52" t="s">
        <v>368</v>
      </c>
      <c r="C1770" s="52" t="s">
        <v>316</v>
      </c>
      <c r="D1770" s="52" t="s">
        <v>316</v>
      </c>
      <c r="E1770" s="52" t="s">
        <v>584</v>
      </c>
      <c r="F1770" s="52" t="s">
        <v>581</v>
      </c>
      <c r="G1770" s="55" t="s">
        <v>275</v>
      </c>
      <c r="H1770" s="55">
        <v>-15.92492</v>
      </c>
      <c r="I1770" s="55">
        <v>0.23687159999999999</v>
      </c>
      <c r="J1770" s="55">
        <v>0</v>
      </c>
      <c r="K1770" s="55">
        <v>0</v>
      </c>
      <c r="L1770" s="55">
        <v>0</v>
      </c>
      <c r="M1770" s="55">
        <v>0</v>
      </c>
      <c r="N1770" s="55">
        <v>0</v>
      </c>
    </row>
    <row r="1771" spans="1:14" hidden="1" x14ac:dyDescent="0.35">
      <c r="A1771" s="52" t="s">
        <v>669</v>
      </c>
      <c r="B1771" s="52" t="s">
        <v>368</v>
      </c>
      <c r="C1771" s="52" t="s">
        <v>316</v>
      </c>
      <c r="D1771" s="52" t="s">
        <v>316</v>
      </c>
      <c r="E1771" s="52" t="s">
        <v>584</v>
      </c>
      <c r="F1771" s="52" t="s">
        <v>581</v>
      </c>
      <c r="G1771" s="55" t="s">
        <v>276</v>
      </c>
      <c r="H1771" s="55">
        <v>-0.33283200000000002</v>
      </c>
      <c r="I1771" s="55">
        <v>-0.33283170000000001</v>
      </c>
      <c r="J1771" s="55">
        <v>-9.5960069999999995E-2</v>
      </c>
      <c r="K1771" s="55">
        <v>-9.5959799999999998E-2</v>
      </c>
      <c r="L1771" s="55">
        <v>-0.1055849</v>
      </c>
      <c r="M1771" s="55">
        <v>-0.10558530000000001</v>
      </c>
      <c r="N1771" s="55">
        <v>-0.38471070000000002</v>
      </c>
    </row>
    <row r="1772" spans="1:14" hidden="1" x14ac:dyDescent="0.35">
      <c r="A1772" s="52" t="s">
        <v>669</v>
      </c>
      <c r="B1772" s="52" t="s">
        <v>368</v>
      </c>
      <c r="C1772" s="52" t="s">
        <v>316</v>
      </c>
      <c r="D1772" s="52" t="s">
        <v>316</v>
      </c>
      <c r="E1772" s="52" t="s">
        <v>584</v>
      </c>
      <c r="F1772" s="52" t="s">
        <v>581</v>
      </c>
      <c r="G1772" s="55" t="s">
        <v>277</v>
      </c>
      <c r="H1772" s="55"/>
      <c r="I1772" s="55"/>
      <c r="J1772" s="55"/>
      <c r="K1772" s="55">
        <v>0</v>
      </c>
      <c r="L1772" s="55">
        <v>9.6249000000000005E-3</v>
      </c>
      <c r="M1772" s="55">
        <v>9.6249000000000005E-3</v>
      </c>
      <c r="N1772" s="55">
        <v>0.28875030000000002</v>
      </c>
    </row>
    <row r="1773" spans="1:14" hidden="1" x14ac:dyDescent="0.35">
      <c r="A1773" s="52" t="s">
        <v>669</v>
      </c>
      <c r="B1773" s="52" t="s">
        <v>368</v>
      </c>
      <c r="C1773" s="52" t="s">
        <v>316</v>
      </c>
      <c r="D1773" s="52" t="s">
        <v>316</v>
      </c>
      <c r="E1773" s="52" t="s">
        <v>584</v>
      </c>
      <c r="F1773" s="52" t="s">
        <v>581</v>
      </c>
      <c r="G1773" s="55" t="s">
        <v>278</v>
      </c>
      <c r="H1773" s="55">
        <v>16.257750000000001</v>
      </c>
      <c r="I1773" s="55">
        <v>9.5960100000000007E-2</v>
      </c>
      <c r="J1773" s="55">
        <v>9.5960100000000007E-2</v>
      </c>
      <c r="K1773" s="55">
        <v>9.5960100000000007E-2</v>
      </c>
      <c r="L1773" s="55">
        <v>9.5960100000000007E-2</v>
      </c>
      <c r="M1773" s="55">
        <v>9.5960100000000007E-2</v>
      </c>
      <c r="N1773" s="55">
        <v>9.5960100000000007E-2</v>
      </c>
    </row>
    <row r="1774" spans="1:14" hidden="1" x14ac:dyDescent="0.35">
      <c r="A1774" s="52" t="s">
        <v>669</v>
      </c>
      <c r="B1774" s="52" t="s">
        <v>368</v>
      </c>
      <c r="C1774" s="52" t="s">
        <v>316</v>
      </c>
      <c r="D1774" s="52" t="s">
        <v>316</v>
      </c>
      <c r="E1774" s="52" t="s">
        <v>584</v>
      </c>
      <c r="F1774" s="52" t="s">
        <v>581</v>
      </c>
      <c r="G1774" s="55" t="s">
        <v>279</v>
      </c>
      <c r="H1774" s="55"/>
      <c r="I1774" s="55"/>
      <c r="J1774" s="55"/>
      <c r="K1774" s="55"/>
      <c r="L1774" s="55"/>
      <c r="M1774" s="55"/>
      <c r="N1774" s="55">
        <v>0</v>
      </c>
    </row>
    <row r="1775" spans="1:14" hidden="1" x14ac:dyDescent="0.35">
      <c r="A1775" s="52" t="s">
        <v>669</v>
      </c>
      <c r="B1775" s="52" t="s">
        <v>368</v>
      </c>
      <c r="C1775" s="52" t="s">
        <v>316</v>
      </c>
      <c r="D1775" s="52" t="s">
        <v>316</v>
      </c>
      <c r="E1775" s="52" t="s">
        <v>584</v>
      </c>
      <c r="F1775" s="52" t="s">
        <v>26</v>
      </c>
      <c r="G1775" s="55" t="s">
        <v>275</v>
      </c>
      <c r="H1775" s="55"/>
      <c r="I1775" s="55"/>
      <c r="J1775" s="55"/>
      <c r="K1775" s="55"/>
      <c r="L1775" s="55"/>
      <c r="M1775" s="55"/>
      <c r="N1775" s="55">
        <v>0</v>
      </c>
    </row>
    <row r="1776" spans="1:14" hidden="1" x14ac:dyDescent="0.35">
      <c r="A1776" s="52" t="s">
        <v>669</v>
      </c>
      <c r="B1776" s="52" t="s">
        <v>368</v>
      </c>
      <c r="C1776" s="52" t="s">
        <v>316</v>
      </c>
      <c r="D1776" s="52" t="s">
        <v>316</v>
      </c>
      <c r="E1776" s="52" t="s">
        <v>584</v>
      </c>
      <c r="F1776" s="52" t="s">
        <v>26</v>
      </c>
      <c r="G1776" s="55" t="s">
        <v>276</v>
      </c>
      <c r="H1776" s="55"/>
      <c r="I1776" s="55"/>
      <c r="J1776" s="55"/>
      <c r="K1776" s="55"/>
      <c r="L1776" s="55"/>
      <c r="M1776" s="55"/>
      <c r="N1776" s="55">
        <v>0</v>
      </c>
    </row>
    <row r="1777" spans="1:14" hidden="1" x14ac:dyDescent="0.35">
      <c r="A1777" s="52" t="s">
        <v>669</v>
      </c>
      <c r="B1777" s="52" t="s">
        <v>368</v>
      </c>
      <c r="C1777" s="52" t="s">
        <v>316</v>
      </c>
      <c r="D1777" s="52" t="s">
        <v>316</v>
      </c>
      <c r="E1777" s="52" t="s">
        <v>584</v>
      </c>
      <c r="F1777" s="52" t="s">
        <v>26</v>
      </c>
      <c r="G1777" s="55" t="s">
        <v>279</v>
      </c>
      <c r="H1777" s="55"/>
      <c r="I1777" s="55"/>
      <c r="J1777" s="55"/>
      <c r="K1777" s="55"/>
      <c r="L1777" s="55"/>
      <c r="M1777" s="55"/>
      <c r="N1777" s="55">
        <v>0</v>
      </c>
    </row>
    <row r="1778" spans="1:14" hidden="1" x14ac:dyDescent="0.35">
      <c r="A1778" s="52" t="s">
        <v>669</v>
      </c>
      <c r="B1778" s="52" t="s">
        <v>195</v>
      </c>
      <c r="C1778" s="52" t="s">
        <v>318</v>
      </c>
      <c r="D1778" s="52" t="s">
        <v>318</v>
      </c>
      <c r="E1778" s="52" t="s">
        <v>584</v>
      </c>
      <c r="F1778" s="52" t="s">
        <v>581</v>
      </c>
      <c r="G1778" s="55" t="s">
        <v>275</v>
      </c>
      <c r="H1778" s="55">
        <v>0</v>
      </c>
      <c r="I1778" s="55"/>
      <c r="J1778" s="55"/>
      <c r="K1778" s="55"/>
      <c r="L1778" s="55"/>
      <c r="M1778" s="55"/>
      <c r="N1778" s="55"/>
    </row>
    <row r="1779" spans="1:14" hidden="1" x14ac:dyDescent="0.35">
      <c r="A1779" s="52" t="s">
        <v>669</v>
      </c>
      <c r="B1779" s="52" t="s">
        <v>195</v>
      </c>
      <c r="C1779" s="52" t="s">
        <v>710</v>
      </c>
      <c r="D1779" s="52" t="s">
        <v>710</v>
      </c>
      <c r="E1779" s="52" t="s">
        <v>584</v>
      </c>
      <c r="F1779" s="52" t="s">
        <v>581</v>
      </c>
      <c r="G1779" s="55" t="s">
        <v>275</v>
      </c>
      <c r="H1779" s="55"/>
      <c r="I1779" s="55"/>
      <c r="J1779" s="55"/>
      <c r="K1779" s="55"/>
      <c r="L1779" s="55"/>
      <c r="M1779" s="55"/>
      <c r="N1779" s="55">
        <v>0</v>
      </c>
    </row>
    <row r="1780" spans="1:14" hidden="1" x14ac:dyDescent="0.35">
      <c r="A1780" s="52" t="s">
        <v>669</v>
      </c>
      <c r="B1780" s="52" t="s">
        <v>195</v>
      </c>
      <c r="C1780" s="52" t="s">
        <v>318</v>
      </c>
      <c r="D1780" s="52" t="s">
        <v>318</v>
      </c>
      <c r="E1780" s="52" t="s">
        <v>584</v>
      </c>
      <c r="F1780" s="52" t="s">
        <v>581</v>
      </c>
      <c r="G1780" s="55" t="s">
        <v>276</v>
      </c>
      <c r="H1780" s="55">
        <v>0</v>
      </c>
      <c r="I1780" s="55"/>
      <c r="J1780" s="55"/>
      <c r="K1780" s="55"/>
      <c r="L1780" s="55"/>
      <c r="M1780" s="55"/>
      <c r="N1780" s="55"/>
    </row>
    <row r="1781" spans="1:14" hidden="1" x14ac:dyDescent="0.35">
      <c r="A1781" s="52" t="s">
        <v>669</v>
      </c>
      <c r="B1781" s="52" t="s">
        <v>195</v>
      </c>
      <c r="C1781" s="52" t="s">
        <v>710</v>
      </c>
      <c r="D1781" s="52" t="s">
        <v>710</v>
      </c>
      <c r="E1781" s="52" t="s">
        <v>584</v>
      </c>
      <c r="F1781" s="52" t="s">
        <v>581</v>
      </c>
      <c r="G1781" s="55" t="s">
        <v>277</v>
      </c>
      <c r="H1781" s="55"/>
      <c r="I1781" s="55"/>
      <c r="J1781" s="55"/>
      <c r="K1781" s="55"/>
      <c r="L1781" s="55"/>
      <c r="M1781" s="55"/>
      <c r="N1781" s="55">
        <v>0</v>
      </c>
    </row>
    <row r="1782" spans="1:14" hidden="1" x14ac:dyDescent="0.35">
      <c r="A1782" s="52" t="s">
        <v>669</v>
      </c>
      <c r="B1782" s="52" t="s">
        <v>195</v>
      </c>
      <c r="C1782" s="52" t="s">
        <v>318</v>
      </c>
      <c r="D1782" s="52" t="s">
        <v>318</v>
      </c>
      <c r="E1782" s="52" t="s">
        <v>584</v>
      </c>
      <c r="F1782" s="52" t="s">
        <v>581</v>
      </c>
      <c r="G1782" s="55" t="s">
        <v>278</v>
      </c>
      <c r="H1782" s="55">
        <v>0</v>
      </c>
      <c r="I1782" s="55"/>
      <c r="J1782" s="55"/>
      <c r="K1782" s="55"/>
      <c r="L1782" s="55"/>
      <c r="M1782" s="55"/>
      <c r="N1782" s="55"/>
    </row>
    <row r="1783" spans="1:14" hidden="1" x14ac:dyDescent="0.35">
      <c r="A1783" s="52" t="s">
        <v>669</v>
      </c>
      <c r="B1783" s="52" t="s">
        <v>195</v>
      </c>
      <c r="C1783" s="52" t="s">
        <v>710</v>
      </c>
      <c r="D1783" s="52" t="s">
        <v>710</v>
      </c>
      <c r="E1783" s="52" t="s">
        <v>584</v>
      </c>
      <c r="F1783" s="52" t="s">
        <v>581</v>
      </c>
      <c r="G1783" s="55" t="s">
        <v>279</v>
      </c>
      <c r="H1783" s="55"/>
      <c r="I1783" s="55"/>
      <c r="J1783" s="55"/>
      <c r="K1783" s="55"/>
      <c r="L1783" s="55"/>
      <c r="M1783" s="55"/>
      <c r="N1783" s="55">
        <v>0</v>
      </c>
    </row>
    <row r="1784" spans="1:14" hidden="1" x14ac:dyDescent="0.35">
      <c r="A1784" s="52" t="s">
        <v>669</v>
      </c>
      <c r="B1784" s="52" t="s">
        <v>195</v>
      </c>
      <c r="C1784" s="52" t="s">
        <v>318</v>
      </c>
      <c r="D1784" s="52" t="s">
        <v>318</v>
      </c>
      <c r="E1784" s="52" t="s">
        <v>584</v>
      </c>
      <c r="F1784" s="52" t="s">
        <v>26</v>
      </c>
      <c r="G1784" s="55" t="s">
        <v>275</v>
      </c>
      <c r="H1784" s="55">
        <v>0</v>
      </c>
      <c r="I1784" s="55"/>
      <c r="J1784" s="55"/>
      <c r="K1784" s="55"/>
      <c r="L1784" s="55"/>
      <c r="M1784" s="55"/>
      <c r="N1784" s="55"/>
    </row>
    <row r="1785" spans="1:14" hidden="1" x14ac:dyDescent="0.35">
      <c r="A1785" s="52" t="s">
        <v>669</v>
      </c>
      <c r="B1785" s="52" t="s">
        <v>195</v>
      </c>
      <c r="C1785" s="52" t="s">
        <v>710</v>
      </c>
      <c r="D1785" s="52" t="s">
        <v>710</v>
      </c>
      <c r="E1785" s="52" t="s">
        <v>584</v>
      </c>
      <c r="F1785" s="52" t="s">
        <v>26</v>
      </c>
      <c r="G1785" s="55" t="s">
        <v>275</v>
      </c>
      <c r="H1785" s="55">
        <v>-9.5958989999999994E-2</v>
      </c>
      <c r="I1785" s="55">
        <v>-9.5959009999999997E-2</v>
      </c>
      <c r="J1785" s="55">
        <v>0</v>
      </c>
      <c r="K1785" s="55">
        <v>0</v>
      </c>
      <c r="L1785" s="55">
        <v>0</v>
      </c>
      <c r="M1785" s="55">
        <v>0</v>
      </c>
      <c r="N1785" s="55">
        <v>0</v>
      </c>
    </row>
    <row r="1786" spans="1:14" hidden="1" x14ac:dyDescent="0.35">
      <c r="A1786" s="52" t="s">
        <v>669</v>
      </c>
      <c r="B1786" s="52" t="s">
        <v>195</v>
      </c>
      <c r="C1786" s="52" t="s">
        <v>318</v>
      </c>
      <c r="D1786" s="52" t="s">
        <v>318</v>
      </c>
      <c r="E1786" s="52" t="s">
        <v>584</v>
      </c>
      <c r="F1786" s="52" t="s">
        <v>26</v>
      </c>
      <c r="G1786" s="55" t="s">
        <v>276</v>
      </c>
      <c r="H1786" s="55">
        <v>0</v>
      </c>
      <c r="I1786" s="55"/>
      <c r="J1786" s="55"/>
      <c r="K1786" s="55"/>
      <c r="L1786" s="55"/>
      <c r="M1786" s="55"/>
      <c r="N1786" s="55"/>
    </row>
    <row r="1787" spans="1:14" hidden="1" x14ac:dyDescent="0.35">
      <c r="A1787" s="52" t="s">
        <v>669</v>
      </c>
      <c r="B1787" s="52" t="s">
        <v>195</v>
      </c>
      <c r="C1787" s="52" t="s">
        <v>710</v>
      </c>
      <c r="D1787" s="52" t="s">
        <v>710</v>
      </c>
      <c r="E1787" s="52" t="s">
        <v>584</v>
      </c>
      <c r="F1787" s="52" t="s">
        <v>26</v>
      </c>
      <c r="G1787" s="55" t="s">
        <v>277</v>
      </c>
      <c r="H1787" s="55"/>
      <c r="I1787" s="55"/>
      <c r="J1787" s="55">
        <v>0</v>
      </c>
      <c r="K1787" s="55">
        <v>0</v>
      </c>
      <c r="L1787" s="55">
        <v>0</v>
      </c>
      <c r="M1787" s="55">
        <v>0</v>
      </c>
      <c r="N1787" s="55">
        <v>0</v>
      </c>
    </row>
    <row r="1788" spans="1:14" hidden="1" x14ac:dyDescent="0.35">
      <c r="A1788" s="52" t="s">
        <v>669</v>
      </c>
      <c r="B1788" s="52" t="s">
        <v>195</v>
      </c>
      <c r="C1788" s="52" t="s">
        <v>318</v>
      </c>
      <c r="D1788" s="52" t="s">
        <v>318</v>
      </c>
      <c r="E1788" s="52" t="s">
        <v>584</v>
      </c>
      <c r="F1788" s="52" t="s">
        <v>26</v>
      </c>
      <c r="G1788" s="55" t="s">
        <v>278</v>
      </c>
      <c r="H1788" s="55">
        <v>0</v>
      </c>
      <c r="I1788" s="55"/>
      <c r="J1788" s="55"/>
      <c r="K1788" s="55"/>
      <c r="L1788" s="55"/>
      <c r="M1788" s="55"/>
      <c r="N1788" s="55"/>
    </row>
    <row r="1789" spans="1:14" hidden="1" x14ac:dyDescent="0.35">
      <c r="A1789" s="52" t="s">
        <v>669</v>
      </c>
      <c r="B1789" s="52" t="s">
        <v>195</v>
      </c>
      <c r="C1789" s="52" t="s">
        <v>710</v>
      </c>
      <c r="D1789" s="52" t="s">
        <v>710</v>
      </c>
      <c r="E1789" s="52" t="s">
        <v>584</v>
      </c>
      <c r="F1789" s="52" t="s">
        <v>26</v>
      </c>
      <c r="G1789" s="55" t="s">
        <v>278</v>
      </c>
      <c r="H1789" s="55">
        <v>9.5958989999999994E-2</v>
      </c>
      <c r="I1789" s="55">
        <v>9.5959009999999997E-2</v>
      </c>
      <c r="J1789" s="55">
        <v>0</v>
      </c>
      <c r="K1789" s="55">
        <v>0</v>
      </c>
      <c r="L1789" s="55">
        <v>0</v>
      </c>
      <c r="M1789" s="55">
        <v>0</v>
      </c>
      <c r="N1789" s="55">
        <v>0</v>
      </c>
    </row>
    <row r="1790" spans="1:14" hidden="1" x14ac:dyDescent="0.35">
      <c r="A1790" s="52" t="s">
        <v>669</v>
      </c>
      <c r="B1790" s="52" t="s">
        <v>195</v>
      </c>
      <c r="C1790" s="52" t="s">
        <v>710</v>
      </c>
      <c r="D1790" s="52" t="s">
        <v>710</v>
      </c>
      <c r="E1790" s="52" t="s">
        <v>584</v>
      </c>
      <c r="F1790" s="52" t="s">
        <v>26</v>
      </c>
      <c r="G1790" s="55" t="s">
        <v>279</v>
      </c>
      <c r="H1790" s="55"/>
      <c r="I1790" s="55"/>
      <c r="J1790" s="55"/>
      <c r="K1790" s="55"/>
      <c r="L1790" s="55"/>
      <c r="M1790" s="55"/>
      <c r="N1790" s="55">
        <v>0</v>
      </c>
    </row>
    <row r="1791" spans="1:14" hidden="1" x14ac:dyDescent="0.35">
      <c r="A1791" s="52" t="s">
        <v>669</v>
      </c>
      <c r="B1791" s="52" t="s">
        <v>195</v>
      </c>
      <c r="C1791" s="52" t="s">
        <v>359</v>
      </c>
      <c r="D1791" s="52" t="s">
        <v>359</v>
      </c>
      <c r="E1791" s="52" t="s">
        <v>584</v>
      </c>
      <c r="F1791" s="52" t="s">
        <v>581</v>
      </c>
      <c r="G1791" s="55" t="s">
        <v>275</v>
      </c>
      <c r="H1791" s="55"/>
      <c r="I1791" s="55"/>
      <c r="J1791" s="55"/>
      <c r="K1791" s="55"/>
      <c r="L1791" s="55">
        <v>0</v>
      </c>
      <c r="M1791" s="55">
        <v>0</v>
      </c>
      <c r="N1791" s="55">
        <v>0</v>
      </c>
    </row>
    <row r="1792" spans="1:14" hidden="1" x14ac:dyDescent="0.35">
      <c r="A1792" s="52" t="s">
        <v>669</v>
      </c>
      <c r="B1792" s="52" t="s">
        <v>195</v>
      </c>
      <c r="C1792" s="52" t="s">
        <v>359</v>
      </c>
      <c r="D1792" s="52" t="s">
        <v>359</v>
      </c>
      <c r="E1792" s="52" t="s">
        <v>584</v>
      </c>
      <c r="F1792" s="52" t="s">
        <v>581</v>
      </c>
      <c r="G1792" s="55" t="s">
        <v>276</v>
      </c>
      <c r="H1792" s="55"/>
      <c r="I1792" s="55"/>
      <c r="J1792" s="55"/>
      <c r="K1792" s="55"/>
      <c r="L1792" s="55">
        <v>0</v>
      </c>
      <c r="M1792" s="55">
        <v>-4.6799999999999999E-5</v>
      </c>
      <c r="N1792" s="55">
        <v>-4.7200000000000002E-5</v>
      </c>
    </row>
    <row r="1793" spans="1:14" hidden="1" x14ac:dyDescent="0.35">
      <c r="A1793" s="52" t="s">
        <v>669</v>
      </c>
      <c r="B1793" s="52" t="s">
        <v>195</v>
      </c>
      <c r="C1793" s="52" t="s">
        <v>359</v>
      </c>
      <c r="D1793" s="52" t="s">
        <v>359</v>
      </c>
      <c r="E1793" s="52" t="s">
        <v>584</v>
      </c>
      <c r="F1793" s="52" t="s">
        <v>581</v>
      </c>
      <c r="G1793" s="55" t="s">
        <v>279</v>
      </c>
      <c r="H1793" s="55"/>
      <c r="I1793" s="55"/>
      <c r="J1793" s="55"/>
      <c r="K1793" s="55"/>
      <c r="L1793" s="55">
        <v>0</v>
      </c>
      <c r="M1793" s="55">
        <v>4.6400000000000003E-5</v>
      </c>
      <c r="N1793" s="55">
        <v>4.6799999999999999E-5</v>
      </c>
    </row>
    <row r="1794" spans="1:14" hidden="1" x14ac:dyDescent="0.35">
      <c r="A1794" s="52" t="s">
        <v>669</v>
      </c>
      <c r="B1794" s="52" t="s">
        <v>195</v>
      </c>
      <c r="C1794" s="52" t="s">
        <v>359</v>
      </c>
      <c r="D1794" s="52" t="s">
        <v>359</v>
      </c>
      <c r="E1794" s="52" t="s">
        <v>584</v>
      </c>
      <c r="F1794" s="52" t="s">
        <v>26</v>
      </c>
      <c r="G1794" s="55" t="s">
        <v>275</v>
      </c>
      <c r="H1794" s="55">
        <v>-1.241476</v>
      </c>
      <c r="I1794" s="55">
        <v>-1.241476</v>
      </c>
      <c r="J1794" s="55">
        <v>0</v>
      </c>
      <c r="K1794" s="55">
        <v>0</v>
      </c>
      <c r="L1794" s="55">
        <v>0</v>
      </c>
      <c r="M1794" s="55">
        <v>0</v>
      </c>
      <c r="N1794" s="55">
        <v>0</v>
      </c>
    </row>
    <row r="1795" spans="1:14" hidden="1" x14ac:dyDescent="0.35">
      <c r="A1795" s="52" t="s">
        <v>669</v>
      </c>
      <c r="B1795" s="52" t="s">
        <v>195</v>
      </c>
      <c r="C1795" s="52" t="s">
        <v>359</v>
      </c>
      <c r="D1795" s="52" t="s">
        <v>359</v>
      </c>
      <c r="E1795" s="52" t="s">
        <v>584</v>
      </c>
      <c r="F1795" s="52" t="s">
        <v>26</v>
      </c>
      <c r="G1795" s="55" t="s">
        <v>276</v>
      </c>
      <c r="H1795" s="55"/>
      <c r="I1795" s="55"/>
      <c r="J1795" s="55">
        <v>-17.68018</v>
      </c>
      <c r="K1795" s="55">
        <v>-58.783560000000001</v>
      </c>
      <c r="L1795" s="55">
        <v>-88.845650000000006</v>
      </c>
      <c r="M1795" s="55">
        <v>-31.710460000000001</v>
      </c>
      <c r="N1795" s="55">
        <v>-31.148289999999999</v>
      </c>
    </row>
    <row r="1796" spans="1:14" hidden="1" x14ac:dyDescent="0.35">
      <c r="A1796" s="52" t="s">
        <v>669</v>
      </c>
      <c r="B1796" s="52" t="s">
        <v>195</v>
      </c>
      <c r="C1796" s="52" t="s">
        <v>359</v>
      </c>
      <c r="D1796" s="52" t="s">
        <v>359</v>
      </c>
      <c r="E1796" s="52" t="s">
        <v>584</v>
      </c>
      <c r="F1796" s="52" t="s">
        <v>26</v>
      </c>
      <c r="G1796" s="55" t="s">
        <v>277</v>
      </c>
      <c r="H1796" s="55">
        <v>0.52485159999999997</v>
      </c>
      <c r="I1796" s="55">
        <v>0.52485159999999997</v>
      </c>
      <c r="J1796" s="55">
        <v>0</v>
      </c>
      <c r="K1796" s="55">
        <v>1.41896E-2</v>
      </c>
      <c r="L1796" s="55">
        <v>0.13244</v>
      </c>
      <c r="M1796" s="55">
        <v>0.14709549999999999</v>
      </c>
      <c r="N1796" s="55">
        <v>0.1819798</v>
      </c>
    </row>
    <row r="1797" spans="1:14" hidden="1" x14ac:dyDescent="0.35">
      <c r="A1797" s="52" t="s">
        <v>669</v>
      </c>
      <c r="B1797" s="52" t="s">
        <v>195</v>
      </c>
      <c r="C1797" s="52" t="s">
        <v>359</v>
      </c>
      <c r="D1797" s="52" t="s">
        <v>359</v>
      </c>
      <c r="E1797" s="52" t="s">
        <v>584</v>
      </c>
      <c r="F1797" s="52" t="s">
        <v>26</v>
      </c>
      <c r="G1797" s="55" t="s">
        <v>278</v>
      </c>
      <c r="H1797" s="55">
        <v>0.71662400000000004</v>
      </c>
      <c r="I1797" s="55">
        <v>0.71662400000000004</v>
      </c>
      <c r="J1797" s="55">
        <v>17.68018</v>
      </c>
      <c r="K1797" s="55">
        <v>58.769359999999999</v>
      </c>
      <c r="L1797" s="55">
        <v>88.713210000000004</v>
      </c>
      <c r="M1797" s="55">
        <v>31.561199999999999</v>
      </c>
      <c r="N1797" s="55">
        <v>30.96414</v>
      </c>
    </row>
    <row r="1798" spans="1:14" hidden="1" x14ac:dyDescent="0.35">
      <c r="A1798" s="52" t="s">
        <v>669</v>
      </c>
      <c r="B1798" s="52" t="s">
        <v>195</v>
      </c>
      <c r="C1798" s="52" t="s">
        <v>359</v>
      </c>
      <c r="D1798" s="52" t="s">
        <v>359</v>
      </c>
      <c r="E1798" s="52" t="s">
        <v>584</v>
      </c>
      <c r="F1798" s="52" t="s">
        <v>26</v>
      </c>
      <c r="G1798" s="55" t="s">
        <v>279</v>
      </c>
      <c r="H1798" s="55"/>
      <c r="I1798" s="55"/>
      <c r="J1798" s="55">
        <v>0</v>
      </c>
      <c r="K1798" s="55">
        <v>0</v>
      </c>
      <c r="L1798" s="55">
        <v>0</v>
      </c>
      <c r="M1798" s="55">
        <v>2.1679999999999998E-3</v>
      </c>
      <c r="N1798" s="55">
        <v>2.1676E-3</v>
      </c>
    </row>
    <row r="1799" spans="1:14" hidden="1" x14ac:dyDescent="0.35">
      <c r="A1799" s="52" t="s">
        <v>669</v>
      </c>
      <c r="B1799" s="52" t="s">
        <v>280</v>
      </c>
      <c r="C1799" s="52" t="s">
        <v>318</v>
      </c>
      <c r="D1799" s="52" t="s">
        <v>318</v>
      </c>
      <c r="E1799" s="52" t="s">
        <v>584</v>
      </c>
      <c r="F1799" s="52" t="s">
        <v>581</v>
      </c>
      <c r="G1799" s="55" t="s">
        <v>275</v>
      </c>
      <c r="H1799" s="55">
        <v>0</v>
      </c>
      <c r="I1799" s="55"/>
      <c r="J1799" s="55"/>
      <c r="K1799" s="55"/>
      <c r="L1799" s="55"/>
      <c r="M1799" s="55"/>
      <c r="N1799" s="55"/>
    </row>
    <row r="1800" spans="1:14" hidden="1" x14ac:dyDescent="0.35">
      <c r="A1800" s="52" t="s">
        <v>669</v>
      </c>
      <c r="B1800" s="52" t="s">
        <v>280</v>
      </c>
      <c r="C1800" s="52" t="s">
        <v>318</v>
      </c>
      <c r="D1800" s="52" t="s">
        <v>318</v>
      </c>
      <c r="E1800" s="52" t="s">
        <v>584</v>
      </c>
      <c r="F1800" s="52" t="s">
        <v>581</v>
      </c>
      <c r="G1800" s="55" t="s">
        <v>278</v>
      </c>
      <c r="H1800" s="55">
        <v>0</v>
      </c>
      <c r="I1800" s="55"/>
      <c r="J1800" s="55"/>
      <c r="K1800" s="55"/>
      <c r="L1800" s="55"/>
      <c r="M1800" s="55"/>
      <c r="N1800" s="55"/>
    </row>
    <row r="1801" spans="1:14" hidden="1" x14ac:dyDescent="0.35">
      <c r="A1801" s="52" t="s">
        <v>669</v>
      </c>
      <c r="B1801" s="52" t="s">
        <v>280</v>
      </c>
      <c r="C1801" s="52" t="s">
        <v>318</v>
      </c>
      <c r="D1801" s="52" t="s">
        <v>318</v>
      </c>
      <c r="E1801" s="52" t="s">
        <v>584</v>
      </c>
      <c r="F1801" s="52" t="s">
        <v>26</v>
      </c>
      <c r="G1801" s="55" t="s">
        <v>275</v>
      </c>
      <c r="H1801" s="55">
        <v>0</v>
      </c>
      <c r="I1801" s="55"/>
      <c r="J1801" s="55"/>
      <c r="K1801" s="55"/>
      <c r="L1801" s="55"/>
      <c r="M1801" s="55"/>
      <c r="N1801" s="55"/>
    </row>
    <row r="1802" spans="1:14" hidden="1" x14ac:dyDescent="0.35">
      <c r="A1802" s="52" t="s">
        <v>669</v>
      </c>
      <c r="B1802" s="52" t="s">
        <v>280</v>
      </c>
      <c r="C1802" s="52" t="s">
        <v>318</v>
      </c>
      <c r="D1802" s="52" t="s">
        <v>318</v>
      </c>
      <c r="E1802" s="52" t="s">
        <v>584</v>
      </c>
      <c r="F1802" s="52" t="s">
        <v>26</v>
      </c>
      <c r="G1802" s="55" t="s">
        <v>278</v>
      </c>
      <c r="H1802" s="55">
        <v>0</v>
      </c>
      <c r="I1802" s="55"/>
      <c r="J1802" s="55"/>
      <c r="K1802" s="55"/>
      <c r="L1802" s="55"/>
      <c r="M1802" s="55"/>
      <c r="N1802" s="55"/>
    </row>
    <row r="1803" spans="1:14" hidden="1" x14ac:dyDescent="0.35">
      <c r="A1803" s="52" t="s">
        <v>669</v>
      </c>
      <c r="B1803" s="52" t="s">
        <v>280</v>
      </c>
      <c r="C1803" s="52" t="s">
        <v>286</v>
      </c>
      <c r="D1803" s="52" t="s">
        <v>286</v>
      </c>
      <c r="E1803" s="52" t="s">
        <v>584</v>
      </c>
      <c r="F1803" s="52" t="s">
        <v>581</v>
      </c>
      <c r="G1803" s="55" t="s">
        <v>275</v>
      </c>
      <c r="H1803" s="55">
        <v>-0.46684890000000001</v>
      </c>
      <c r="I1803" s="55"/>
      <c r="J1803" s="55"/>
      <c r="K1803" s="55"/>
      <c r="L1803" s="55"/>
      <c r="M1803" s="55"/>
      <c r="N1803" s="55">
        <v>0</v>
      </c>
    </row>
    <row r="1804" spans="1:14" hidden="1" x14ac:dyDescent="0.35">
      <c r="A1804" s="52" t="s">
        <v>669</v>
      </c>
      <c r="B1804" s="52" t="s">
        <v>280</v>
      </c>
      <c r="C1804" s="52" t="s">
        <v>286</v>
      </c>
      <c r="D1804" s="52" t="s">
        <v>286</v>
      </c>
      <c r="E1804" s="52" t="s">
        <v>584</v>
      </c>
      <c r="F1804" s="52" t="s">
        <v>581</v>
      </c>
      <c r="G1804" s="55" t="s">
        <v>276</v>
      </c>
      <c r="H1804" s="55"/>
      <c r="I1804" s="55"/>
      <c r="J1804" s="55"/>
      <c r="K1804" s="55"/>
      <c r="L1804" s="55"/>
      <c r="M1804" s="55"/>
      <c r="N1804" s="55">
        <v>0</v>
      </c>
    </row>
    <row r="1805" spans="1:14" hidden="1" x14ac:dyDescent="0.35">
      <c r="A1805" s="52" t="s">
        <v>669</v>
      </c>
      <c r="B1805" s="52" t="s">
        <v>280</v>
      </c>
      <c r="C1805" s="52" t="s">
        <v>286</v>
      </c>
      <c r="D1805" s="52" t="s">
        <v>286</v>
      </c>
      <c r="E1805" s="52" t="s">
        <v>584</v>
      </c>
      <c r="F1805" s="52" t="s">
        <v>581</v>
      </c>
      <c r="G1805" s="55" t="s">
        <v>277</v>
      </c>
      <c r="H1805" s="55"/>
      <c r="I1805" s="55"/>
      <c r="J1805" s="55"/>
      <c r="K1805" s="55"/>
      <c r="L1805" s="55">
        <v>0</v>
      </c>
      <c r="M1805" s="55">
        <v>0</v>
      </c>
      <c r="N1805" s="55"/>
    </row>
    <row r="1806" spans="1:14" hidden="1" x14ac:dyDescent="0.35">
      <c r="A1806" s="52" t="s">
        <v>669</v>
      </c>
      <c r="B1806" s="52" t="s">
        <v>280</v>
      </c>
      <c r="C1806" s="52" t="s">
        <v>286</v>
      </c>
      <c r="D1806" s="52" t="s">
        <v>286</v>
      </c>
      <c r="E1806" s="52" t="s">
        <v>584</v>
      </c>
      <c r="F1806" s="52" t="s">
        <v>581</v>
      </c>
      <c r="G1806" s="55" t="s">
        <v>278</v>
      </c>
      <c r="H1806" s="55">
        <v>0.46684890000000001</v>
      </c>
      <c r="I1806" s="55">
        <v>0</v>
      </c>
      <c r="J1806" s="55"/>
      <c r="K1806" s="55">
        <v>0</v>
      </c>
      <c r="L1806" s="55">
        <v>0</v>
      </c>
      <c r="M1806" s="55">
        <v>0</v>
      </c>
      <c r="N1806" s="55">
        <v>0</v>
      </c>
    </row>
    <row r="1807" spans="1:14" hidden="1" x14ac:dyDescent="0.35">
      <c r="A1807" s="52" t="s">
        <v>669</v>
      </c>
      <c r="B1807" s="52" t="s">
        <v>280</v>
      </c>
      <c r="C1807" s="52" t="s">
        <v>286</v>
      </c>
      <c r="D1807" s="52" t="s">
        <v>286</v>
      </c>
      <c r="E1807" s="52" t="s">
        <v>584</v>
      </c>
      <c r="F1807" s="52" t="s">
        <v>581</v>
      </c>
      <c r="G1807" s="55" t="s">
        <v>279</v>
      </c>
      <c r="H1807" s="55"/>
      <c r="I1807" s="55"/>
      <c r="J1807" s="55"/>
      <c r="K1807" s="55"/>
      <c r="L1807" s="55"/>
      <c r="M1807" s="55"/>
      <c r="N1807" s="55">
        <v>0</v>
      </c>
    </row>
    <row r="1808" spans="1:14" hidden="1" x14ac:dyDescent="0.35">
      <c r="A1808" s="52" t="s">
        <v>669</v>
      </c>
      <c r="B1808" s="52" t="s">
        <v>280</v>
      </c>
      <c r="C1808" s="52" t="s">
        <v>286</v>
      </c>
      <c r="D1808" s="52" t="s">
        <v>286</v>
      </c>
      <c r="E1808" s="52" t="s">
        <v>584</v>
      </c>
      <c r="F1808" s="52" t="s">
        <v>26</v>
      </c>
      <c r="G1808" s="55" t="s">
        <v>275</v>
      </c>
      <c r="H1808" s="55"/>
      <c r="I1808" s="55">
        <v>-0.46684890000000001</v>
      </c>
      <c r="J1808" s="55">
        <v>0</v>
      </c>
      <c r="K1808" s="55">
        <v>0</v>
      </c>
      <c r="L1808" s="55">
        <v>0</v>
      </c>
      <c r="M1808" s="55">
        <v>0</v>
      </c>
      <c r="N1808" s="55">
        <v>0</v>
      </c>
    </row>
    <row r="1809" spans="1:14" hidden="1" x14ac:dyDescent="0.35">
      <c r="A1809" s="52" t="s">
        <v>669</v>
      </c>
      <c r="B1809" s="52" t="s">
        <v>280</v>
      </c>
      <c r="C1809" s="52" t="s">
        <v>286</v>
      </c>
      <c r="D1809" s="52" t="s">
        <v>286</v>
      </c>
      <c r="E1809" s="52" t="s">
        <v>584</v>
      </c>
      <c r="F1809" s="52" t="s">
        <v>26</v>
      </c>
      <c r="G1809" s="55" t="s">
        <v>276</v>
      </c>
      <c r="H1809" s="55"/>
      <c r="I1809" s="55"/>
      <c r="J1809" s="55">
        <v>-32.053600000000003</v>
      </c>
      <c r="K1809" s="55">
        <v>-0.46684890000000001</v>
      </c>
      <c r="L1809" s="55">
        <v>-0.46684890000000001</v>
      </c>
      <c r="M1809" s="55">
        <v>-29.81183</v>
      </c>
      <c r="N1809" s="55">
        <v>-5.2088549999999998</v>
      </c>
    </row>
    <row r="1810" spans="1:14" hidden="1" x14ac:dyDescent="0.35">
      <c r="A1810" s="52" t="s">
        <v>669</v>
      </c>
      <c r="B1810" s="52" t="s">
        <v>280</v>
      </c>
      <c r="C1810" s="52" t="s">
        <v>286</v>
      </c>
      <c r="D1810" s="52" t="s">
        <v>286</v>
      </c>
      <c r="E1810" s="52" t="s">
        <v>584</v>
      </c>
      <c r="F1810" s="52" t="s">
        <v>26</v>
      </c>
      <c r="G1810" s="55" t="s">
        <v>277</v>
      </c>
      <c r="H1810" s="55"/>
      <c r="I1810" s="55"/>
      <c r="J1810" s="55"/>
      <c r="K1810" s="55"/>
      <c r="L1810" s="55">
        <v>0</v>
      </c>
      <c r="M1810" s="55">
        <v>2.0859300000000001E-2</v>
      </c>
      <c r="N1810" s="55">
        <v>0.31289129999999998</v>
      </c>
    </row>
    <row r="1811" spans="1:14" hidden="1" x14ac:dyDescent="0.35">
      <c r="A1811" s="52" t="s">
        <v>669</v>
      </c>
      <c r="B1811" s="52" t="s">
        <v>280</v>
      </c>
      <c r="C1811" s="52" t="s">
        <v>286</v>
      </c>
      <c r="D1811" s="52" t="s">
        <v>286</v>
      </c>
      <c r="E1811" s="52" t="s">
        <v>584</v>
      </c>
      <c r="F1811" s="52" t="s">
        <v>26</v>
      </c>
      <c r="G1811" s="55" t="s">
        <v>278</v>
      </c>
      <c r="H1811" s="55"/>
      <c r="I1811" s="55">
        <v>0.46684890000000001</v>
      </c>
      <c r="J1811" s="55">
        <v>32.053600000000003</v>
      </c>
      <c r="K1811" s="55">
        <v>0.46684890000000001</v>
      </c>
      <c r="L1811" s="55">
        <v>0.46684890000000001</v>
      </c>
      <c r="M1811" s="55">
        <v>29.790970000000002</v>
      </c>
      <c r="N1811" s="55">
        <v>4.8959630000000001</v>
      </c>
    </row>
    <row r="1812" spans="1:14" hidden="1" x14ac:dyDescent="0.35">
      <c r="A1812" s="52" t="s">
        <v>669</v>
      </c>
      <c r="B1812" s="52" t="s">
        <v>280</v>
      </c>
      <c r="C1812" s="52" t="s">
        <v>286</v>
      </c>
      <c r="D1812" s="52" t="s">
        <v>286</v>
      </c>
      <c r="E1812" s="52" t="s">
        <v>584</v>
      </c>
      <c r="F1812" s="52" t="s">
        <v>26</v>
      </c>
      <c r="G1812" s="55" t="s">
        <v>279</v>
      </c>
      <c r="H1812" s="55"/>
      <c r="I1812" s="55"/>
      <c r="J1812" s="55"/>
      <c r="K1812" s="55"/>
      <c r="L1812" s="55"/>
      <c r="M1812" s="55"/>
      <c r="N1812" s="55">
        <v>0</v>
      </c>
    </row>
    <row r="1813" spans="1:14" hidden="1" x14ac:dyDescent="0.35">
      <c r="A1813" s="52" t="s">
        <v>271</v>
      </c>
      <c r="B1813" s="52" t="s">
        <v>37</v>
      </c>
      <c r="C1813" s="52" t="s">
        <v>105</v>
      </c>
      <c r="D1813" s="52" t="s">
        <v>105</v>
      </c>
      <c r="E1813" s="52" t="s">
        <v>632</v>
      </c>
      <c r="F1813" s="52" t="s">
        <v>581</v>
      </c>
      <c r="G1813" s="55" t="s">
        <v>275</v>
      </c>
      <c r="H1813" s="55">
        <v>265.67919999999998</v>
      </c>
      <c r="I1813" s="55">
        <v>147.64060000000001</v>
      </c>
      <c r="J1813" s="55">
        <v>209.07</v>
      </c>
      <c r="K1813" s="55">
        <v>196.96709999999999</v>
      </c>
      <c r="L1813" s="55">
        <v>145.4744</v>
      </c>
      <c r="M1813" s="55">
        <v>109.7302</v>
      </c>
      <c r="N1813" s="55">
        <v>60.779240000000001</v>
      </c>
    </row>
    <row r="1814" spans="1:14" hidden="1" x14ac:dyDescent="0.35">
      <c r="A1814" s="52" t="s">
        <v>271</v>
      </c>
      <c r="B1814" s="52" t="s">
        <v>37</v>
      </c>
      <c r="C1814" s="52" t="s">
        <v>105</v>
      </c>
      <c r="D1814" s="52" t="s">
        <v>105</v>
      </c>
      <c r="E1814" s="52" t="s">
        <v>632</v>
      </c>
      <c r="F1814" s="52" t="s">
        <v>581</v>
      </c>
      <c r="G1814" s="55" t="s">
        <v>276</v>
      </c>
      <c r="H1814" s="55">
        <v>63.43685</v>
      </c>
      <c r="I1814" s="55">
        <v>-17.68411</v>
      </c>
      <c r="J1814" s="55">
        <v>-26.776250000000001</v>
      </c>
      <c r="K1814" s="55">
        <v>-8.227983</v>
      </c>
      <c r="L1814" s="55">
        <v>10.587479999999999</v>
      </c>
      <c r="M1814" s="55">
        <v>33.195959999999999</v>
      </c>
      <c r="N1814" s="55">
        <v>41.385539999999999</v>
      </c>
    </row>
    <row r="1815" spans="1:14" hidden="1" x14ac:dyDescent="0.35">
      <c r="A1815" s="52" t="s">
        <v>271</v>
      </c>
      <c r="B1815" s="52" t="s">
        <v>37</v>
      </c>
      <c r="C1815" s="52" t="s">
        <v>105</v>
      </c>
      <c r="D1815" s="52" t="s">
        <v>105</v>
      </c>
      <c r="E1815" s="52" t="s">
        <v>632</v>
      </c>
      <c r="F1815" s="52" t="s">
        <v>581</v>
      </c>
      <c r="G1815" s="55" t="s">
        <v>277</v>
      </c>
      <c r="H1815" s="55">
        <v>359.6936</v>
      </c>
      <c r="I1815" s="55">
        <v>147.79660000000001</v>
      </c>
      <c r="J1815" s="55">
        <v>56.993549999999999</v>
      </c>
      <c r="K1815" s="55">
        <v>23.745909999999999</v>
      </c>
      <c r="L1815" s="55">
        <v>43.023519999999998</v>
      </c>
      <c r="M1815" s="55">
        <v>56.097940000000001</v>
      </c>
      <c r="N1815" s="55">
        <v>113.60129999999999</v>
      </c>
    </row>
    <row r="1816" spans="1:14" hidden="1" x14ac:dyDescent="0.35">
      <c r="A1816" s="52" t="s">
        <v>271</v>
      </c>
      <c r="B1816" s="52" t="s">
        <v>37</v>
      </c>
      <c r="C1816" s="52" t="s">
        <v>105</v>
      </c>
      <c r="D1816" s="52" t="s">
        <v>105</v>
      </c>
      <c r="E1816" s="52" t="s">
        <v>632</v>
      </c>
      <c r="F1816" s="52" t="s">
        <v>581</v>
      </c>
      <c r="G1816" s="55" t="s">
        <v>278</v>
      </c>
      <c r="H1816" s="55">
        <v>0.30642000000000003</v>
      </c>
      <c r="I1816" s="55">
        <v>0.36349130000000002</v>
      </c>
      <c r="J1816" s="55">
        <v>27.819289999999999</v>
      </c>
      <c r="K1816" s="55">
        <v>33.258029999999998</v>
      </c>
      <c r="L1816" s="55">
        <v>41.569929999999999</v>
      </c>
      <c r="M1816" s="55">
        <v>39.205750000000002</v>
      </c>
      <c r="N1816" s="55">
        <v>42.9878</v>
      </c>
    </row>
    <row r="1817" spans="1:14" hidden="1" x14ac:dyDescent="0.35">
      <c r="A1817" s="52" t="s">
        <v>271</v>
      </c>
      <c r="B1817" s="52" t="s">
        <v>37</v>
      </c>
      <c r="C1817" s="52" t="s">
        <v>105</v>
      </c>
      <c r="D1817" s="52" t="s">
        <v>105</v>
      </c>
      <c r="E1817" s="52" t="s">
        <v>632</v>
      </c>
      <c r="F1817" s="52" t="s">
        <v>581</v>
      </c>
      <c r="G1817" s="55" t="s">
        <v>279</v>
      </c>
      <c r="H1817" s="55">
        <v>183.2689</v>
      </c>
      <c r="I1817" s="55">
        <v>135.40690000000001</v>
      </c>
      <c r="J1817" s="55">
        <v>124.85980000000001</v>
      </c>
      <c r="K1817" s="55">
        <v>120.7063</v>
      </c>
      <c r="L1817" s="55">
        <v>114.17230000000001</v>
      </c>
      <c r="M1817" s="55">
        <v>128.5461</v>
      </c>
      <c r="N1817" s="55">
        <v>138.90289999999999</v>
      </c>
    </row>
    <row r="1818" spans="1:14" hidden="1" x14ac:dyDescent="0.35">
      <c r="A1818" s="52" t="s">
        <v>271</v>
      </c>
      <c r="B1818" s="52" t="s">
        <v>37</v>
      </c>
      <c r="C1818" s="52" t="s">
        <v>105</v>
      </c>
      <c r="D1818" s="52" t="s">
        <v>105</v>
      </c>
      <c r="E1818" s="52" t="s">
        <v>632</v>
      </c>
      <c r="F1818" s="52" t="s">
        <v>26</v>
      </c>
      <c r="G1818" s="55" t="s">
        <v>275</v>
      </c>
      <c r="H1818" s="55">
        <v>20.45242</v>
      </c>
      <c r="I1818" s="55">
        <v>14.34507</v>
      </c>
      <c r="J1818" s="55">
        <v>17.523849999999999</v>
      </c>
      <c r="K1818" s="55">
        <v>13.87602</v>
      </c>
      <c r="L1818" s="55">
        <v>13.0839</v>
      </c>
      <c r="M1818" s="55">
        <v>10.293509999999999</v>
      </c>
      <c r="N1818" s="55">
        <v>11.108879999999999</v>
      </c>
    </row>
    <row r="1819" spans="1:14" hidden="1" x14ac:dyDescent="0.35">
      <c r="A1819" s="52" t="s">
        <v>271</v>
      </c>
      <c r="B1819" s="52" t="s">
        <v>37</v>
      </c>
      <c r="C1819" s="52" t="s">
        <v>105</v>
      </c>
      <c r="D1819" s="52" t="s">
        <v>105</v>
      </c>
      <c r="E1819" s="52" t="s">
        <v>632</v>
      </c>
      <c r="F1819" s="52" t="s">
        <v>26</v>
      </c>
      <c r="G1819" s="55" t="s">
        <v>276</v>
      </c>
      <c r="H1819" s="55">
        <v>7.0892229999999996</v>
      </c>
      <c r="I1819" s="55">
        <v>4.9722879999999998</v>
      </c>
      <c r="J1819" s="55">
        <v>6.0741059999999996</v>
      </c>
      <c r="K1819" s="55">
        <v>4.8097050000000001</v>
      </c>
      <c r="L1819" s="55">
        <v>4.5351350000000004</v>
      </c>
      <c r="M1819" s="55">
        <v>3.5679419999999999</v>
      </c>
      <c r="N1819" s="55">
        <v>3.850562</v>
      </c>
    </row>
    <row r="1820" spans="1:14" hidden="1" x14ac:dyDescent="0.35">
      <c r="A1820" s="52" t="s">
        <v>271</v>
      </c>
      <c r="B1820" s="52" t="s">
        <v>37</v>
      </c>
      <c r="C1820" s="52" t="s">
        <v>105</v>
      </c>
      <c r="D1820" s="52" t="s">
        <v>105</v>
      </c>
      <c r="E1820" s="52" t="s">
        <v>632</v>
      </c>
      <c r="F1820" s="52" t="s">
        <v>26</v>
      </c>
      <c r="G1820" s="55" t="s">
        <v>279</v>
      </c>
      <c r="H1820" s="55">
        <v>80.269130000000004</v>
      </c>
      <c r="I1820" s="55">
        <v>66.229439999999997</v>
      </c>
      <c r="J1820" s="55">
        <v>61.244799999999998</v>
      </c>
      <c r="K1820" s="55">
        <v>60.021369999999997</v>
      </c>
      <c r="L1820" s="55">
        <v>58.081769999999999</v>
      </c>
      <c r="M1820" s="55">
        <v>63.64687</v>
      </c>
      <c r="N1820" s="55">
        <v>68.882810000000006</v>
      </c>
    </row>
    <row r="1821" spans="1:14" hidden="1" x14ac:dyDescent="0.35">
      <c r="A1821" s="52" t="s">
        <v>271</v>
      </c>
      <c r="B1821" s="52" t="s">
        <v>37</v>
      </c>
      <c r="C1821" s="52" t="s">
        <v>105</v>
      </c>
      <c r="D1821" s="52" t="s">
        <v>105</v>
      </c>
      <c r="E1821" s="52" t="s">
        <v>633</v>
      </c>
      <c r="F1821" s="52" t="s">
        <v>581</v>
      </c>
      <c r="G1821" s="55" t="s">
        <v>275</v>
      </c>
      <c r="H1821" s="55">
        <v>-211.6534</v>
      </c>
      <c r="I1821" s="55">
        <v>-49.129219999999997</v>
      </c>
      <c r="J1821" s="55">
        <v>103.646</v>
      </c>
      <c r="K1821" s="55">
        <v>126.9957</v>
      </c>
      <c r="L1821" s="55">
        <v>118.99850000000001</v>
      </c>
      <c r="M1821" s="55">
        <v>95.405910000000006</v>
      </c>
      <c r="N1821" s="55">
        <v>-9.9248580000000004</v>
      </c>
    </row>
    <row r="1822" spans="1:14" hidden="1" x14ac:dyDescent="0.35">
      <c r="A1822" s="52" t="s">
        <v>271</v>
      </c>
      <c r="B1822" s="52" t="s">
        <v>37</v>
      </c>
      <c r="C1822" s="52" t="s">
        <v>105</v>
      </c>
      <c r="D1822" s="52" t="s">
        <v>105</v>
      </c>
      <c r="E1822" s="52" t="s">
        <v>633</v>
      </c>
      <c r="F1822" s="52" t="s">
        <v>581</v>
      </c>
      <c r="G1822" s="55" t="s">
        <v>276</v>
      </c>
      <c r="H1822" s="55">
        <v>6.1263170000000002</v>
      </c>
      <c r="I1822" s="55">
        <v>-0.7796421</v>
      </c>
      <c r="J1822" s="55">
        <v>19.479230000000001</v>
      </c>
      <c r="K1822" s="55">
        <v>8.1630929999999999</v>
      </c>
      <c r="L1822" s="55">
        <v>-11.447710000000001</v>
      </c>
      <c r="M1822" s="55">
        <v>13.25184</v>
      </c>
      <c r="N1822" s="55">
        <v>27.667169999999999</v>
      </c>
    </row>
    <row r="1823" spans="1:14" hidden="1" x14ac:dyDescent="0.35">
      <c r="A1823" s="52" t="s">
        <v>271</v>
      </c>
      <c r="B1823" s="52" t="s">
        <v>37</v>
      </c>
      <c r="C1823" s="52" t="s">
        <v>105</v>
      </c>
      <c r="D1823" s="52" t="s">
        <v>105</v>
      </c>
      <c r="E1823" s="52" t="s">
        <v>633</v>
      </c>
      <c r="F1823" s="52" t="s">
        <v>581</v>
      </c>
      <c r="G1823" s="55" t="s">
        <v>277</v>
      </c>
      <c r="H1823" s="55">
        <v>419.49450000000002</v>
      </c>
      <c r="I1823" s="55">
        <v>215.8477</v>
      </c>
      <c r="J1823" s="55">
        <v>41.264310000000002</v>
      </c>
      <c r="K1823" s="55">
        <v>15.446120000000001</v>
      </c>
      <c r="L1823" s="55">
        <v>31.191389999999998</v>
      </c>
      <c r="M1823" s="55">
        <v>33.716380000000001</v>
      </c>
      <c r="N1823" s="55">
        <v>151.48259999999999</v>
      </c>
    </row>
    <row r="1824" spans="1:14" hidden="1" x14ac:dyDescent="0.35">
      <c r="A1824" s="52" t="s">
        <v>271</v>
      </c>
      <c r="B1824" s="52" t="s">
        <v>37</v>
      </c>
      <c r="C1824" s="52" t="s">
        <v>105</v>
      </c>
      <c r="D1824" s="52" t="s">
        <v>105</v>
      </c>
      <c r="E1824" s="52" t="s">
        <v>633</v>
      </c>
      <c r="F1824" s="52" t="s">
        <v>581</v>
      </c>
      <c r="G1824" s="55" t="s">
        <v>278</v>
      </c>
      <c r="H1824" s="55">
        <v>0.50551199999999996</v>
      </c>
      <c r="I1824" s="55">
        <v>0.65647069999999996</v>
      </c>
      <c r="J1824" s="55">
        <v>44.312620000000003</v>
      </c>
      <c r="K1824" s="55">
        <v>37.673789999999997</v>
      </c>
      <c r="L1824" s="55">
        <v>45.84599</v>
      </c>
      <c r="M1824" s="55">
        <v>40.526359999999997</v>
      </c>
      <c r="N1824" s="55">
        <v>38.487499999999997</v>
      </c>
    </row>
    <row r="1825" spans="1:14" hidden="1" x14ac:dyDescent="0.35">
      <c r="A1825" s="52" t="s">
        <v>271</v>
      </c>
      <c r="B1825" s="52" t="s">
        <v>37</v>
      </c>
      <c r="C1825" s="52" t="s">
        <v>105</v>
      </c>
      <c r="D1825" s="52" t="s">
        <v>105</v>
      </c>
      <c r="E1825" s="52" t="s">
        <v>633</v>
      </c>
      <c r="F1825" s="52" t="s">
        <v>581</v>
      </c>
      <c r="G1825" s="55" t="s">
        <v>279</v>
      </c>
      <c r="H1825" s="55">
        <v>55.502670000000002</v>
      </c>
      <c r="I1825" s="55">
        <v>78.27261</v>
      </c>
      <c r="J1825" s="55">
        <v>93.870350000000002</v>
      </c>
      <c r="K1825" s="55">
        <v>88.754429999999999</v>
      </c>
      <c r="L1825" s="55">
        <v>83.429090000000002</v>
      </c>
      <c r="M1825" s="55">
        <v>94.432850000000002</v>
      </c>
      <c r="N1825" s="55">
        <v>107.0342</v>
      </c>
    </row>
    <row r="1826" spans="1:14" hidden="1" x14ac:dyDescent="0.35">
      <c r="A1826" s="52" t="s">
        <v>271</v>
      </c>
      <c r="B1826" s="52" t="s">
        <v>37</v>
      </c>
      <c r="C1826" s="52" t="s">
        <v>105</v>
      </c>
      <c r="D1826" s="52" t="s">
        <v>105</v>
      </c>
      <c r="E1826" s="52" t="s">
        <v>633</v>
      </c>
      <c r="F1826" s="52" t="s">
        <v>26</v>
      </c>
      <c r="G1826" s="55" t="s">
        <v>275</v>
      </c>
      <c r="H1826" s="55">
        <v>8.3929550000000006</v>
      </c>
      <c r="I1826" s="55">
        <v>11.27844</v>
      </c>
      <c r="J1826" s="55">
        <v>17.943760000000001</v>
      </c>
      <c r="K1826" s="55">
        <v>13.937569999999999</v>
      </c>
      <c r="L1826" s="55">
        <v>13.307689999999999</v>
      </c>
      <c r="M1826" s="55">
        <v>10.414249999999999</v>
      </c>
      <c r="N1826" s="55">
        <v>11.715210000000001</v>
      </c>
    </row>
    <row r="1827" spans="1:14" hidden="1" x14ac:dyDescent="0.35">
      <c r="A1827" s="52" t="s">
        <v>271</v>
      </c>
      <c r="B1827" s="52" t="s">
        <v>37</v>
      </c>
      <c r="C1827" s="52" t="s">
        <v>105</v>
      </c>
      <c r="D1827" s="52" t="s">
        <v>105</v>
      </c>
      <c r="E1827" s="52" t="s">
        <v>633</v>
      </c>
      <c r="F1827" s="52" t="s">
        <v>26</v>
      </c>
      <c r="G1827" s="55" t="s">
        <v>276</v>
      </c>
      <c r="H1827" s="55">
        <v>2.9091710000000002</v>
      </c>
      <c r="I1827" s="55">
        <v>3.9093330000000002</v>
      </c>
      <c r="J1827" s="55">
        <v>6.219659</v>
      </c>
      <c r="K1827" s="55">
        <v>4.8310360000000001</v>
      </c>
      <c r="L1827" s="55">
        <v>4.6127099999999999</v>
      </c>
      <c r="M1827" s="55">
        <v>3.609785</v>
      </c>
      <c r="N1827" s="55">
        <v>4.060727</v>
      </c>
    </row>
    <row r="1828" spans="1:14" hidden="1" x14ac:dyDescent="0.35">
      <c r="A1828" s="52" t="s">
        <v>271</v>
      </c>
      <c r="B1828" s="52" t="s">
        <v>37</v>
      </c>
      <c r="C1828" s="52" t="s">
        <v>105</v>
      </c>
      <c r="D1828" s="52" t="s">
        <v>105</v>
      </c>
      <c r="E1828" s="52" t="s">
        <v>633</v>
      </c>
      <c r="F1828" s="52" t="s">
        <v>26</v>
      </c>
      <c r="G1828" s="55" t="s">
        <v>279</v>
      </c>
      <c r="H1828" s="55">
        <v>32.939639999999997</v>
      </c>
      <c r="I1828" s="55">
        <v>52.09722</v>
      </c>
      <c r="J1828" s="55">
        <v>62.566279999999999</v>
      </c>
      <c r="K1828" s="55">
        <v>60.025260000000003</v>
      </c>
      <c r="L1828" s="55">
        <v>57.834530000000001</v>
      </c>
      <c r="M1828" s="55">
        <v>63.836260000000003</v>
      </c>
      <c r="N1828" s="55">
        <v>72.328469999999996</v>
      </c>
    </row>
    <row r="1829" spans="1:14" hidden="1" x14ac:dyDescent="0.35">
      <c r="A1829" s="52" t="s">
        <v>271</v>
      </c>
      <c r="B1829" s="52" t="s">
        <v>37</v>
      </c>
      <c r="C1829" s="52" t="s">
        <v>105</v>
      </c>
      <c r="D1829" s="52" t="s">
        <v>105</v>
      </c>
      <c r="E1829" s="52" t="s">
        <v>619</v>
      </c>
      <c r="F1829" s="52" t="s">
        <v>581</v>
      </c>
      <c r="G1829" s="55" t="s">
        <v>275</v>
      </c>
      <c r="H1829" s="55">
        <v>226.45009999999999</v>
      </c>
      <c r="I1829" s="55">
        <v>63.228209999999997</v>
      </c>
      <c r="J1829" s="55">
        <v>85.735029999999995</v>
      </c>
      <c r="K1829" s="55">
        <v>84.399600000000007</v>
      </c>
      <c r="L1829" s="55">
        <v>46.004750000000001</v>
      </c>
      <c r="M1829" s="55">
        <v>40.536630000000002</v>
      </c>
      <c r="N1829" s="55">
        <v>32.625959999999999</v>
      </c>
    </row>
    <row r="1830" spans="1:14" hidden="1" x14ac:dyDescent="0.35">
      <c r="A1830" s="52" t="s">
        <v>271</v>
      </c>
      <c r="B1830" s="52" t="s">
        <v>37</v>
      </c>
      <c r="C1830" s="52" t="s">
        <v>105</v>
      </c>
      <c r="D1830" s="52" t="s">
        <v>105</v>
      </c>
      <c r="E1830" s="52" t="s">
        <v>619</v>
      </c>
      <c r="F1830" s="52" t="s">
        <v>581</v>
      </c>
      <c r="G1830" s="55" t="s">
        <v>276</v>
      </c>
      <c r="H1830" s="55">
        <v>-15.75024</v>
      </c>
      <c r="I1830" s="55">
        <v>-22.901160000000001</v>
      </c>
      <c r="J1830" s="55">
        <v>-23.771619999999999</v>
      </c>
      <c r="K1830" s="55">
        <v>-19.370619999999999</v>
      </c>
      <c r="L1830" s="55">
        <v>13.12781</v>
      </c>
      <c r="M1830" s="55">
        <v>9.3862570000000005</v>
      </c>
      <c r="N1830" s="55">
        <v>11.56776</v>
      </c>
    </row>
    <row r="1831" spans="1:14" hidden="1" x14ac:dyDescent="0.35">
      <c r="A1831" s="52" t="s">
        <v>271</v>
      </c>
      <c r="B1831" s="52" t="s">
        <v>37</v>
      </c>
      <c r="C1831" s="52" t="s">
        <v>105</v>
      </c>
      <c r="D1831" s="52" t="s">
        <v>105</v>
      </c>
      <c r="E1831" s="52" t="s">
        <v>619</v>
      </c>
      <c r="F1831" s="52" t="s">
        <v>581</v>
      </c>
      <c r="G1831" s="55" t="s">
        <v>277</v>
      </c>
      <c r="H1831" s="55">
        <v>19.987629999999999</v>
      </c>
      <c r="I1831" s="55">
        <v>42.407260000000001</v>
      </c>
      <c r="J1831" s="55">
        <v>17.16122</v>
      </c>
      <c r="K1831" s="55">
        <v>6.6504539999999999</v>
      </c>
      <c r="L1831" s="55">
        <v>6.5297270000000003</v>
      </c>
      <c r="M1831" s="55">
        <v>5.9480370000000002</v>
      </c>
      <c r="N1831" s="55">
        <v>11.38584</v>
      </c>
    </row>
    <row r="1832" spans="1:14" hidden="1" x14ac:dyDescent="0.35">
      <c r="A1832" s="52" t="s">
        <v>271</v>
      </c>
      <c r="B1832" s="52" t="s">
        <v>37</v>
      </c>
      <c r="C1832" s="52" t="s">
        <v>105</v>
      </c>
      <c r="D1832" s="52" t="s">
        <v>105</v>
      </c>
      <c r="E1832" s="52" t="s">
        <v>619</v>
      </c>
      <c r="F1832" s="52" t="s">
        <v>581</v>
      </c>
      <c r="G1832" s="55" t="s">
        <v>278</v>
      </c>
      <c r="H1832" s="55">
        <v>1.2375000000000001E-2</v>
      </c>
      <c r="I1832" s="55">
        <v>1.9409599999999999E-2</v>
      </c>
      <c r="J1832" s="55">
        <v>1.0286999999999999</v>
      </c>
      <c r="K1832" s="55">
        <v>1.698283</v>
      </c>
      <c r="L1832" s="55">
        <v>3.5572859999999999</v>
      </c>
      <c r="M1832" s="55">
        <v>4.6343740000000002</v>
      </c>
      <c r="N1832" s="55">
        <v>3.6602950000000001</v>
      </c>
    </row>
    <row r="1833" spans="1:14" hidden="1" x14ac:dyDescent="0.35">
      <c r="A1833" s="52" t="s">
        <v>271</v>
      </c>
      <c r="B1833" s="52" t="s">
        <v>37</v>
      </c>
      <c r="C1833" s="52" t="s">
        <v>105</v>
      </c>
      <c r="D1833" s="52" t="s">
        <v>105</v>
      </c>
      <c r="E1833" s="52" t="s">
        <v>619</v>
      </c>
      <c r="F1833" s="52" t="s">
        <v>581</v>
      </c>
      <c r="G1833" s="55" t="s">
        <v>279</v>
      </c>
      <c r="H1833" s="55">
        <v>81.603759999999994</v>
      </c>
      <c r="I1833" s="55">
        <v>60.966470000000001</v>
      </c>
      <c r="J1833" s="55">
        <v>57.125120000000003</v>
      </c>
      <c r="K1833" s="55">
        <v>54.847999999999999</v>
      </c>
      <c r="L1833" s="55">
        <v>49.630569999999999</v>
      </c>
      <c r="M1833" s="55">
        <v>49.753660000000004</v>
      </c>
      <c r="N1833" s="55">
        <v>47.323279999999997</v>
      </c>
    </row>
    <row r="1834" spans="1:14" hidden="1" x14ac:dyDescent="0.35">
      <c r="A1834" s="52" t="s">
        <v>271</v>
      </c>
      <c r="B1834" s="52" t="s">
        <v>37</v>
      </c>
      <c r="C1834" s="52" t="s">
        <v>105</v>
      </c>
      <c r="D1834" s="52" t="s">
        <v>105</v>
      </c>
      <c r="E1834" s="52" t="s">
        <v>619</v>
      </c>
      <c r="F1834" s="52" t="s">
        <v>26</v>
      </c>
      <c r="G1834" s="55" t="s">
        <v>275</v>
      </c>
      <c r="H1834" s="55">
        <v>15.54059</v>
      </c>
      <c r="I1834" s="55">
        <v>10.35005</v>
      </c>
      <c r="J1834" s="55">
        <v>14.184530000000001</v>
      </c>
      <c r="K1834" s="55">
        <v>10.06293</v>
      </c>
      <c r="L1834" s="55">
        <v>8.2799049999999994</v>
      </c>
      <c r="M1834" s="55">
        <v>5.1162650000000003</v>
      </c>
      <c r="N1834" s="55">
        <v>4.7500330000000002</v>
      </c>
    </row>
    <row r="1835" spans="1:14" hidden="1" x14ac:dyDescent="0.35">
      <c r="A1835" s="52" t="s">
        <v>271</v>
      </c>
      <c r="B1835" s="52" t="s">
        <v>37</v>
      </c>
      <c r="C1835" s="52" t="s">
        <v>105</v>
      </c>
      <c r="D1835" s="52" t="s">
        <v>105</v>
      </c>
      <c r="E1835" s="52" t="s">
        <v>619</v>
      </c>
      <c r="F1835" s="52" t="s">
        <v>26</v>
      </c>
      <c r="G1835" s="55" t="s">
        <v>276</v>
      </c>
      <c r="H1835" s="55">
        <v>5.3866779999999999</v>
      </c>
      <c r="I1835" s="55">
        <v>3.5875339999999998</v>
      </c>
      <c r="J1835" s="55">
        <v>4.9166439999999998</v>
      </c>
      <c r="K1835" s="55">
        <v>3.4880119999999999</v>
      </c>
      <c r="L1835" s="55">
        <v>2.8699810000000001</v>
      </c>
      <c r="M1835" s="55">
        <v>1.773401</v>
      </c>
      <c r="N1835" s="55">
        <v>1.646458</v>
      </c>
    </row>
    <row r="1836" spans="1:14" hidden="1" x14ac:dyDescent="0.35">
      <c r="A1836" s="52" t="s">
        <v>271</v>
      </c>
      <c r="B1836" s="52" t="s">
        <v>37</v>
      </c>
      <c r="C1836" s="52" t="s">
        <v>105</v>
      </c>
      <c r="D1836" s="52" t="s">
        <v>105</v>
      </c>
      <c r="E1836" s="52" t="s">
        <v>619</v>
      </c>
      <c r="F1836" s="52" t="s">
        <v>26</v>
      </c>
      <c r="G1836" s="55" t="s">
        <v>279</v>
      </c>
      <c r="H1836" s="55">
        <v>86.779430000000005</v>
      </c>
      <c r="I1836" s="55">
        <v>72.486890000000002</v>
      </c>
      <c r="J1836" s="55">
        <v>69.230109999999996</v>
      </c>
      <c r="K1836" s="55">
        <v>66.001499999999993</v>
      </c>
      <c r="L1836" s="55">
        <v>59.988950000000003</v>
      </c>
      <c r="M1836" s="55">
        <v>57.909210000000002</v>
      </c>
      <c r="N1836" s="55">
        <v>53.854259999999996</v>
      </c>
    </row>
    <row r="1837" spans="1:14" hidden="1" x14ac:dyDescent="0.35">
      <c r="A1837" s="52" t="s">
        <v>271</v>
      </c>
      <c r="B1837" s="52" t="s">
        <v>37</v>
      </c>
      <c r="C1837" s="52" t="s">
        <v>35</v>
      </c>
      <c r="D1837" s="52" t="s">
        <v>36</v>
      </c>
      <c r="E1837" s="52" t="s">
        <v>588</v>
      </c>
      <c r="F1837" s="52" t="s">
        <v>581</v>
      </c>
      <c r="G1837" s="55" t="s">
        <v>275</v>
      </c>
      <c r="H1837" s="55">
        <v>-65.660579999999996</v>
      </c>
      <c r="I1837" s="55">
        <v>80.041820000000001</v>
      </c>
      <c r="J1837" s="55">
        <v>140.84469999999999</v>
      </c>
      <c r="K1837" s="55">
        <v>146.68279999999999</v>
      </c>
      <c r="L1837" s="55">
        <v>134.10230000000001</v>
      </c>
      <c r="M1837" s="55">
        <v>88.618099999999998</v>
      </c>
      <c r="N1837" s="55">
        <v>54.824060000000003</v>
      </c>
    </row>
    <row r="1838" spans="1:14" hidden="1" x14ac:dyDescent="0.35">
      <c r="A1838" s="52" t="s">
        <v>271</v>
      </c>
      <c r="B1838" s="52" t="s">
        <v>37</v>
      </c>
      <c r="C1838" s="52" t="s">
        <v>35</v>
      </c>
      <c r="D1838" s="52" t="s">
        <v>36</v>
      </c>
      <c r="E1838" s="52" t="s">
        <v>588</v>
      </c>
      <c r="F1838" s="52" t="s">
        <v>581</v>
      </c>
      <c r="G1838" s="55" t="s">
        <v>276</v>
      </c>
      <c r="H1838" s="55">
        <v>72.065340000000006</v>
      </c>
      <c r="I1838" s="55">
        <v>8.2074029999999993</v>
      </c>
      <c r="J1838" s="55">
        <v>5.4664950000000001</v>
      </c>
      <c r="K1838" s="55">
        <v>-3.6819329999999999</v>
      </c>
      <c r="L1838" s="55">
        <v>-15.482939999999999</v>
      </c>
      <c r="M1838" s="55">
        <v>20.400510000000001</v>
      </c>
      <c r="N1838" s="55">
        <v>27.147860000000001</v>
      </c>
    </row>
    <row r="1839" spans="1:14" hidden="1" x14ac:dyDescent="0.35">
      <c r="A1839" s="52" t="s">
        <v>271</v>
      </c>
      <c r="B1839" s="52" t="s">
        <v>37</v>
      </c>
      <c r="C1839" s="52" t="s">
        <v>35</v>
      </c>
      <c r="D1839" s="52" t="s">
        <v>36</v>
      </c>
      <c r="E1839" s="52" t="s">
        <v>588</v>
      </c>
      <c r="F1839" s="52" t="s">
        <v>581</v>
      </c>
      <c r="G1839" s="55" t="s">
        <v>277</v>
      </c>
      <c r="H1839" s="55">
        <v>549.26859999999999</v>
      </c>
      <c r="I1839" s="55">
        <v>129.19929999999999</v>
      </c>
      <c r="J1839" s="55">
        <v>33.738889999999998</v>
      </c>
      <c r="K1839" s="55">
        <v>15.58239</v>
      </c>
      <c r="L1839" s="55">
        <v>30.497409999999999</v>
      </c>
      <c r="M1839" s="55">
        <v>33.956850000000003</v>
      </c>
      <c r="N1839" s="55">
        <v>81.151740000000004</v>
      </c>
    </row>
    <row r="1840" spans="1:14" hidden="1" x14ac:dyDescent="0.35">
      <c r="A1840" s="52" t="s">
        <v>271</v>
      </c>
      <c r="B1840" s="52" t="s">
        <v>37</v>
      </c>
      <c r="C1840" s="52" t="s">
        <v>35</v>
      </c>
      <c r="D1840" s="52" t="s">
        <v>36</v>
      </c>
      <c r="E1840" s="52" t="s">
        <v>588</v>
      </c>
      <c r="F1840" s="52" t="s">
        <v>581</v>
      </c>
      <c r="G1840" s="55" t="s">
        <v>278</v>
      </c>
      <c r="H1840" s="55">
        <v>0.73138899999999996</v>
      </c>
      <c r="I1840" s="55">
        <v>0.51224499999999995</v>
      </c>
      <c r="J1840" s="55">
        <v>43.940640000000002</v>
      </c>
      <c r="K1840" s="55">
        <v>39.590589999999999</v>
      </c>
      <c r="L1840" s="55">
        <v>50.734430000000003</v>
      </c>
      <c r="M1840" s="55">
        <v>52.630890000000001</v>
      </c>
      <c r="N1840" s="55">
        <v>55.126449999999998</v>
      </c>
    </row>
    <row r="1841" spans="1:14" hidden="1" x14ac:dyDescent="0.35">
      <c r="A1841" s="52" t="s">
        <v>271</v>
      </c>
      <c r="B1841" s="52" t="s">
        <v>37</v>
      </c>
      <c r="C1841" s="52" t="s">
        <v>35</v>
      </c>
      <c r="D1841" s="52" t="s">
        <v>36</v>
      </c>
      <c r="E1841" s="52" t="s">
        <v>588</v>
      </c>
      <c r="F1841" s="52" t="s">
        <v>581</v>
      </c>
      <c r="G1841" s="55" t="s">
        <v>279</v>
      </c>
      <c r="H1841" s="55">
        <v>182.3759</v>
      </c>
      <c r="I1841" s="55">
        <v>136.91370000000001</v>
      </c>
      <c r="J1841" s="55">
        <v>130.81559999999999</v>
      </c>
      <c r="K1841" s="55">
        <v>120.39619999999999</v>
      </c>
      <c r="L1841" s="55">
        <v>109.64570000000001</v>
      </c>
      <c r="M1841" s="55">
        <v>132.59950000000001</v>
      </c>
      <c r="N1841" s="55">
        <v>147.05760000000001</v>
      </c>
    </row>
    <row r="1842" spans="1:14" hidden="1" x14ac:dyDescent="0.35">
      <c r="A1842" s="52" t="s">
        <v>271</v>
      </c>
      <c r="B1842" s="52" t="s">
        <v>37</v>
      </c>
      <c r="C1842" s="52" t="s">
        <v>35</v>
      </c>
      <c r="D1842" s="52" t="s">
        <v>36</v>
      </c>
      <c r="E1842" s="52" t="s">
        <v>588</v>
      </c>
      <c r="F1842" s="52" t="s">
        <v>26</v>
      </c>
      <c r="G1842" s="55" t="s">
        <v>275</v>
      </c>
      <c r="H1842" s="55">
        <v>-1.37093</v>
      </c>
      <c r="I1842" s="55">
        <v>-2.1094590000000002</v>
      </c>
      <c r="J1842" s="55">
        <v>-0.1149819</v>
      </c>
      <c r="K1842" s="55">
        <v>-1.1555489999999999</v>
      </c>
      <c r="L1842" s="55">
        <v>-0.41351130000000003</v>
      </c>
      <c r="M1842" s="55">
        <v>-3.1758190000000002</v>
      </c>
      <c r="N1842" s="55">
        <v>-3.5307369999999998</v>
      </c>
    </row>
    <row r="1843" spans="1:14" hidden="1" x14ac:dyDescent="0.35">
      <c r="A1843" s="52" t="s">
        <v>271</v>
      </c>
      <c r="B1843" s="52" t="s">
        <v>37</v>
      </c>
      <c r="C1843" s="52" t="s">
        <v>35</v>
      </c>
      <c r="D1843" s="52" t="s">
        <v>36</v>
      </c>
      <c r="E1843" s="52" t="s">
        <v>588</v>
      </c>
      <c r="F1843" s="52" t="s">
        <v>26</v>
      </c>
      <c r="G1843" s="55" t="s">
        <v>276</v>
      </c>
      <c r="H1843" s="55">
        <v>-0.36441800000000002</v>
      </c>
      <c r="I1843" s="55">
        <v>-0.560747</v>
      </c>
      <c r="J1843" s="55">
        <v>-3.0562180000000001E-2</v>
      </c>
      <c r="K1843" s="55">
        <v>-0.3071583</v>
      </c>
      <c r="L1843" s="55">
        <v>-0.1099128</v>
      </c>
      <c r="M1843" s="55">
        <v>-0.84421089999999999</v>
      </c>
      <c r="N1843" s="55">
        <v>-0.93856070000000003</v>
      </c>
    </row>
    <row r="1844" spans="1:14" hidden="1" x14ac:dyDescent="0.35">
      <c r="A1844" s="52" t="s">
        <v>271</v>
      </c>
      <c r="B1844" s="52" t="s">
        <v>37</v>
      </c>
      <c r="C1844" s="52" t="s">
        <v>35</v>
      </c>
      <c r="D1844" s="52" t="s">
        <v>36</v>
      </c>
      <c r="E1844" s="52" t="s">
        <v>588</v>
      </c>
      <c r="F1844" s="52" t="s">
        <v>26</v>
      </c>
      <c r="G1844" s="55" t="s">
        <v>279</v>
      </c>
      <c r="H1844" s="55">
        <v>37.36515</v>
      </c>
      <c r="I1844" s="55">
        <v>32.313130000000001</v>
      </c>
      <c r="J1844" s="55">
        <v>30.993069999999999</v>
      </c>
      <c r="K1844" s="55">
        <v>28.96668</v>
      </c>
      <c r="L1844" s="55">
        <v>27.04222</v>
      </c>
      <c r="M1844" s="55">
        <v>31.94462</v>
      </c>
      <c r="N1844" s="55">
        <v>35.402529999999999</v>
      </c>
    </row>
    <row r="1845" spans="1:14" hidden="1" x14ac:dyDescent="0.35">
      <c r="A1845" s="52" t="s">
        <v>271</v>
      </c>
      <c r="B1845" s="52" t="s">
        <v>37</v>
      </c>
      <c r="C1845" s="52" t="s">
        <v>35</v>
      </c>
      <c r="D1845" s="52" t="s">
        <v>36</v>
      </c>
      <c r="E1845" s="52" t="s">
        <v>587</v>
      </c>
      <c r="F1845" s="52" t="s">
        <v>581</v>
      </c>
      <c r="G1845" s="55" t="s">
        <v>275</v>
      </c>
      <c r="H1845" s="55">
        <v>137.6815</v>
      </c>
      <c r="I1845" s="55">
        <v>55.070360000000001</v>
      </c>
      <c r="J1845" s="55">
        <v>46.261659999999999</v>
      </c>
      <c r="K1845" s="55">
        <v>40.643230000000003</v>
      </c>
      <c r="L1845" s="55">
        <v>37.371639999999999</v>
      </c>
      <c r="M1845" s="55">
        <v>31.501519999999999</v>
      </c>
      <c r="N1845" s="55">
        <v>28.579889999999999</v>
      </c>
    </row>
    <row r="1846" spans="1:14" hidden="1" x14ac:dyDescent="0.35">
      <c r="A1846" s="52" t="s">
        <v>271</v>
      </c>
      <c r="B1846" s="52" t="s">
        <v>37</v>
      </c>
      <c r="C1846" s="52" t="s">
        <v>35</v>
      </c>
      <c r="D1846" s="52" t="s">
        <v>36</v>
      </c>
      <c r="E1846" s="52" t="s">
        <v>587</v>
      </c>
      <c r="F1846" s="52" t="s">
        <v>581</v>
      </c>
      <c r="G1846" s="55" t="s">
        <v>276</v>
      </c>
      <c r="H1846" s="55">
        <v>17.176439999999999</v>
      </c>
      <c r="I1846" s="55">
        <v>8.5492469999999994</v>
      </c>
      <c r="J1846" s="55">
        <v>10.827529999999999</v>
      </c>
      <c r="K1846" s="55">
        <v>10.141170000000001</v>
      </c>
      <c r="L1846" s="55">
        <v>9.4842110000000002</v>
      </c>
      <c r="M1846" s="55">
        <v>8.3926020000000001</v>
      </c>
      <c r="N1846" s="55">
        <v>7.5934280000000003</v>
      </c>
    </row>
    <row r="1847" spans="1:14" hidden="1" x14ac:dyDescent="0.35">
      <c r="A1847" s="52" t="s">
        <v>271</v>
      </c>
      <c r="B1847" s="52" t="s">
        <v>37</v>
      </c>
      <c r="C1847" s="52" t="s">
        <v>35</v>
      </c>
      <c r="D1847" s="52" t="s">
        <v>36</v>
      </c>
      <c r="E1847" s="52" t="s">
        <v>587</v>
      </c>
      <c r="F1847" s="52" t="s">
        <v>581</v>
      </c>
      <c r="G1847" s="55" t="s">
        <v>277</v>
      </c>
      <c r="H1847" s="55">
        <v>4.3315219999999997</v>
      </c>
      <c r="I1847" s="55">
        <v>0</v>
      </c>
      <c r="J1847" s="55"/>
      <c r="K1847" s="55"/>
      <c r="L1847" s="55">
        <v>0</v>
      </c>
      <c r="M1847" s="55">
        <v>8.8320109999999993E-2</v>
      </c>
      <c r="N1847" s="55">
        <v>0</v>
      </c>
    </row>
    <row r="1848" spans="1:14" hidden="1" x14ac:dyDescent="0.35">
      <c r="A1848" s="52" t="s">
        <v>271</v>
      </c>
      <c r="B1848" s="52" t="s">
        <v>37</v>
      </c>
      <c r="C1848" s="52" t="s">
        <v>35</v>
      </c>
      <c r="D1848" s="52" t="s">
        <v>36</v>
      </c>
      <c r="E1848" s="52" t="s">
        <v>587</v>
      </c>
      <c r="F1848" s="52" t="s">
        <v>581</v>
      </c>
      <c r="G1848" s="55" t="s">
        <v>279</v>
      </c>
      <c r="H1848" s="55">
        <v>51.659129999999998</v>
      </c>
      <c r="I1848" s="55">
        <v>39.591799999999999</v>
      </c>
      <c r="J1848" s="55">
        <v>33.50038</v>
      </c>
      <c r="K1848" s="55">
        <v>31.10378</v>
      </c>
      <c r="L1848" s="55">
        <v>27.249140000000001</v>
      </c>
      <c r="M1848" s="55">
        <v>27.692029999999999</v>
      </c>
      <c r="N1848" s="55">
        <v>24.905139999999999</v>
      </c>
    </row>
    <row r="1849" spans="1:14" hidden="1" x14ac:dyDescent="0.35">
      <c r="A1849" s="52" t="s">
        <v>271</v>
      </c>
      <c r="B1849" s="52" t="s">
        <v>37</v>
      </c>
      <c r="C1849" s="52" t="s">
        <v>35</v>
      </c>
      <c r="D1849" s="52" t="s">
        <v>36</v>
      </c>
      <c r="E1849" s="52" t="s">
        <v>587</v>
      </c>
      <c r="F1849" s="52" t="s">
        <v>26</v>
      </c>
      <c r="G1849" s="55" t="s">
        <v>275</v>
      </c>
      <c r="H1849" s="55">
        <v>-0.66339499999999996</v>
      </c>
      <c r="I1849" s="55">
        <v>-1.0598540000000001</v>
      </c>
      <c r="J1849" s="55">
        <v>-9.4974520000000007E-2</v>
      </c>
      <c r="K1849" s="55">
        <v>-0.55589619999999995</v>
      </c>
      <c r="L1849" s="55">
        <v>-0.43359540000000002</v>
      </c>
      <c r="M1849" s="55">
        <v>-1.1989190000000001</v>
      </c>
      <c r="N1849" s="55">
        <v>-1.08192</v>
      </c>
    </row>
    <row r="1850" spans="1:14" hidden="1" x14ac:dyDescent="0.35">
      <c r="A1850" s="52" t="s">
        <v>271</v>
      </c>
      <c r="B1850" s="52" t="s">
        <v>37</v>
      </c>
      <c r="C1850" s="52" t="s">
        <v>35</v>
      </c>
      <c r="D1850" s="52" t="s">
        <v>36</v>
      </c>
      <c r="E1850" s="52" t="s">
        <v>587</v>
      </c>
      <c r="F1850" s="52" t="s">
        <v>26</v>
      </c>
      <c r="G1850" s="55" t="s">
        <v>276</v>
      </c>
      <c r="H1850" s="55">
        <v>-0.176341</v>
      </c>
      <c r="I1850" s="55">
        <v>-0.2817325</v>
      </c>
      <c r="J1850" s="55">
        <v>-2.5246999999999999E-2</v>
      </c>
      <c r="K1850" s="55">
        <v>-0.14776909999999999</v>
      </c>
      <c r="L1850" s="55">
        <v>-0.1152593</v>
      </c>
      <c r="M1850" s="55">
        <v>-0.31870159999999997</v>
      </c>
      <c r="N1850" s="55">
        <v>-0.28759829999999997</v>
      </c>
    </row>
    <row r="1851" spans="1:14" hidden="1" x14ac:dyDescent="0.35">
      <c r="A1851" s="52" t="s">
        <v>271</v>
      </c>
      <c r="B1851" s="52" t="s">
        <v>37</v>
      </c>
      <c r="C1851" s="52" t="s">
        <v>35</v>
      </c>
      <c r="D1851" s="52" t="s">
        <v>36</v>
      </c>
      <c r="E1851" s="52" t="s">
        <v>587</v>
      </c>
      <c r="F1851" s="52" t="s">
        <v>26</v>
      </c>
      <c r="G1851" s="55" t="s">
        <v>279</v>
      </c>
      <c r="H1851" s="55">
        <v>18.080870000000001</v>
      </c>
      <c r="I1851" s="55">
        <v>16.008310000000002</v>
      </c>
      <c r="J1851" s="55">
        <v>13.614850000000001</v>
      </c>
      <c r="K1851" s="55">
        <v>12.84497</v>
      </c>
      <c r="L1851" s="55">
        <v>11.4932</v>
      </c>
      <c r="M1851" s="55">
        <v>11.467689999999999</v>
      </c>
      <c r="N1851" s="55">
        <v>10.30646</v>
      </c>
    </row>
    <row r="1852" spans="1:14" hidden="1" x14ac:dyDescent="0.35">
      <c r="A1852" s="52" t="s">
        <v>271</v>
      </c>
      <c r="B1852" s="52" t="s">
        <v>37</v>
      </c>
      <c r="C1852" s="52" t="s">
        <v>35</v>
      </c>
      <c r="D1852" s="52" t="s">
        <v>189</v>
      </c>
      <c r="E1852" s="52" t="s">
        <v>590</v>
      </c>
      <c r="F1852" s="52" t="s">
        <v>581</v>
      </c>
      <c r="G1852" s="55" t="s">
        <v>275</v>
      </c>
      <c r="H1852" s="55">
        <v>136.18100000000001</v>
      </c>
      <c r="I1852" s="55">
        <v>137.54730000000001</v>
      </c>
      <c r="J1852" s="55">
        <v>206.52379999999999</v>
      </c>
      <c r="K1852" s="55">
        <v>167.8192</v>
      </c>
      <c r="L1852" s="55">
        <v>115.3368</v>
      </c>
      <c r="M1852" s="55">
        <v>57.234479999999998</v>
      </c>
      <c r="N1852" s="55">
        <v>64.511790000000005</v>
      </c>
    </row>
    <row r="1853" spans="1:14" hidden="1" x14ac:dyDescent="0.35">
      <c r="A1853" s="52" t="s">
        <v>271</v>
      </c>
      <c r="B1853" s="52" t="s">
        <v>37</v>
      </c>
      <c r="C1853" s="52" t="s">
        <v>35</v>
      </c>
      <c r="D1853" s="52" t="s">
        <v>189</v>
      </c>
      <c r="E1853" s="52" t="s">
        <v>590</v>
      </c>
      <c r="F1853" s="52" t="s">
        <v>581</v>
      </c>
      <c r="G1853" s="55" t="s">
        <v>276</v>
      </c>
      <c r="H1853" s="55">
        <v>-4.8606230000000004</v>
      </c>
      <c r="I1853" s="55">
        <v>-51.866770000000002</v>
      </c>
      <c r="J1853" s="55">
        <v>-63.184759999999997</v>
      </c>
      <c r="K1853" s="55">
        <v>-30.9739</v>
      </c>
      <c r="L1853" s="55">
        <v>-2.2454770000000002</v>
      </c>
      <c r="M1853" s="55">
        <v>20.03415</v>
      </c>
      <c r="N1853" s="55">
        <v>28.5504</v>
      </c>
    </row>
    <row r="1854" spans="1:14" hidden="1" x14ac:dyDescent="0.35">
      <c r="A1854" s="52" t="s">
        <v>271</v>
      </c>
      <c r="B1854" s="52" t="s">
        <v>37</v>
      </c>
      <c r="C1854" s="52" t="s">
        <v>35</v>
      </c>
      <c r="D1854" s="52" t="s">
        <v>189</v>
      </c>
      <c r="E1854" s="52" t="s">
        <v>590</v>
      </c>
      <c r="F1854" s="52" t="s">
        <v>581</v>
      </c>
      <c r="G1854" s="55" t="s">
        <v>277</v>
      </c>
      <c r="H1854" s="55">
        <v>389.65730000000002</v>
      </c>
      <c r="I1854" s="55">
        <v>140.18119999999999</v>
      </c>
      <c r="J1854" s="55">
        <v>49.057760000000002</v>
      </c>
      <c r="K1854" s="55">
        <v>20.074590000000001</v>
      </c>
      <c r="L1854" s="55">
        <v>37.111069999999998</v>
      </c>
      <c r="M1854" s="55">
        <v>66.335800000000006</v>
      </c>
      <c r="N1854" s="55">
        <v>86.380009999999999</v>
      </c>
    </row>
    <row r="1855" spans="1:14" hidden="1" x14ac:dyDescent="0.35">
      <c r="A1855" s="52" t="s">
        <v>271</v>
      </c>
      <c r="B1855" s="52" t="s">
        <v>37</v>
      </c>
      <c r="C1855" s="52" t="s">
        <v>35</v>
      </c>
      <c r="D1855" s="52" t="s">
        <v>189</v>
      </c>
      <c r="E1855" s="52" t="s">
        <v>590</v>
      </c>
      <c r="F1855" s="52" t="s">
        <v>581</v>
      </c>
      <c r="G1855" s="55" t="s">
        <v>278</v>
      </c>
      <c r="H1855" s="55">
        <v>0.3427</v>
      </c>
      <c r="I1855" s="55">
        <v>0.30604439999999999</v>
      </c>
      <c r="J1855" s="55">
        <v>30.401209999999999</v>
      </c>
      <c r="K1855" s="55">
        <v>37.34948</v>
      </c>
      <c r="L1855" s="55">
        <v>50.01952</v>
      </c>
      <c r="M1855" s="55">
        <v>65.043499999999995</v>
      </c>
      <c r="N1855" s="55">
        <v>55.485210000000002</v>
      </c>
    </row>
    <row r="1856" spans="1:14" hidden="1" x14ac:dyDescent="0.35">
      <c r="A1856" s="52" t="s">
        <v>271</v>
      </c>
      <c r="B1856" s="52" t="s">
        <v>37</v>
      </c>
      <c r="C1856" s="52" t="s">
        <v>35</v>
      </c>
      <c r="D1856" s="52" t="s">
        <v>189</v>
      </c>
      <c r="E1856" s="52" t="s">
        <v>590</v>
      </c>
      <c r="F1856" s="52" t="s">
        <v>581</v>
      </c>
      <c r="G1856" s="55" t="s">
        <v>279</v>
      </c>
      <c r="H1856" s="55">
        <v>166.4872</v>
      </c>
      <c r="I1856" s="55">
        <v>136.5299</v>
      </c>
      <c r="J1856" s="55">
        <v>125.3548</v>
      </c>
      <c r="K1856" s="55">
        <v>113.1366</v>
      </c>
      <c r="L1856" s="55">
        <v>106.2099</v>
      </c>
      <c r="M1856" s="55">
        <v>135.10769999999999</v>
      </c>
      <c r="N1856" s="55">
        <v>150.49619999999999</v>
      </c>
    </row>
    <row r="1857" spans="1:14" hidden="1" x14ac:dyDescent="0.35">
      <c r="A1857" s="52" t="s">
        <v>271</v>
      </c>
      <c r="B1857" s="52" t="s">
        <v>37</v>
      </c>
      <c r="C1857" s="52" t="s">
        <v>35</v>
      </c>
      <c r="D1857" s="52" t="s">
        <v>189</v>
      </c>
      <c r="E1857" s="52" t="s">
        <v>590</v>
      </c>
      <c r="F1857" s="52" t="s">
        <v>26</v>
      </c>
      <c r="G1857" s="55" t="s">
        <v>275</v>
      </c>
      <c r="H1857" s="55">
        <v>-0.65610299999999999</v>
      </c>
      <c r="I1857" s="55">
        <v>-1.405349</v>
      </c>
      <c r="J1857" s="55">
        <v>0.48125430000000002</v>
      </c>
      <c r="K1857" s="55">
        <v>-0.4864927</v>
      </c>
      <c r="L1857" s="55">
        <v>8.0053089999999993E-2</v>
      </c>
      <c r="M1857" s="55">
        <v>-2.4208189999999998</v>
      </c>
      <c r="N1857" s="55">
        <v>-2.6598389999999998</v>
      </c>
    </row>
    <row r="1858" spans="1:14" hidden="1" x14ac:dyDescent="0.35">
      <c r="A1858" s="52" t="s">
        <v>271</v>
      </c>
      <c r="B1858" s="52" t="s">
        <v>37</v>
      </c>
      <c r="C1858" s="52" t="s">
        <v>35</v>
      </c>
      <c r="D1858" s="52" t="s">
        <v>189</v>
      </c>
      <c r="E1858" s="52" t="s">
        <v>590</v>
      </c>
      <c r="F1858" s="52" t="s">
        <v>26</v>
      </c>
      <c r="G1858" s="55" t="s">
        <v>276</v>
      </c>
      <c r="H1858" s="55">
        <v>-0.17439199999999999</v>
      </c>
      <c r="I1858" s="55">
        <v>-0.37357570000000001</v>
      </c>
      <c r="J1858" s="55">
        <v>0.12792600000000001</v>
      </c>
      <c r="K1858" s="55">
        <v>-0.12931809999999999</v>
      </c>
      <c r="L1858" s="55">
        <v>2.1277250000000001E-2</v>
      </c>
      <c r="M1858" s="55">
        <v>-0.64350830000000003</v>
      </c>
      <c r="N1858" s="55">
        <v>-0.70704659999999997</v>
      </c>
    </row>
    <row r="1859" spans="1:14" hidden="1" x14ac:dyDescent="0.35">
      <c r="A1859" s="52" t="s">
        <v>271</v>
      </c>
      <c r="B1859" s="52" t="s">
        <v>37</v>
      </c>
      <c r="C1859" s="52" t="s">
        <v>35</v>
      </c>
      <c r="D1859" s="52" t="s">
        <v>189</v>
      </c>
      <c r="E1859" s="52" t="s">
        <v>590</v>
      </c>
      <c r="F1859" s="52" t="s">
        <v>26</v>
      </c>
      <c r="G1859" s="55" t="s">
        <v>279</v>
      </c>
      <c r="H1859" s="55">
        <v>31.116520000000001</v>
      </c>
      <c r="I1859" s="55">
        <v>29.955909999999999</v>
      </c>
      <c r="J1859" s="55">
        <v>27.846109999999999</v>
      </c>
      <c r="K1859" s="55">
        <v>25.54785</v>
      </c>
      <c r="L1859" s="55">
        <v>24.667560000000002</v>
      </c>
      <c r="M1859" s="55">
        <v>30.78004</v>
      </c>
      <c r="N1859" s="55">
        <v>34.495519999999999</v>
      </c>
    </row>
    <row r="1860" spans="1:14" hidden="1" x14ac:dyDescent="0.35">
      <c r="A1860" s="52" t="s">
        <v>271</v>
      </c>
      <c r="B1860" s="52" t="s">
        <v>37</v>
      </c>
      <c r="C1860" s="52" t="s">
        <v>79</v>
      </c>
      <c r="D1860" s="52" t="s">
        <v>79</v>
      </c>
      <c r="E1860" s="52" t="s">
        <v>601</v>
      </c>
      <c r="F1860" s="52" t="s">
        <v>581</v>
      </c>
      <c r="G1860" s="55" t="s">
        <v>275</v>
      </c>
      <c r="H1860" s="55">
        <v>93.755849999999995</v>
      </c>
      <c r="I1860" s="55">
        <v>43.180030000000002</v>
      </c>
      <c r="J1860" s="55">
        <v>49.400089999999999</v>
      </c>
      <c r="K1860" s="55">
        <v>62.085729999999998</v>
      </c>
      <c r="L1860" s="55">
        <v>42.487000000000002</v>
      </c>
      <c r="M1860" s="55">
        <v>38.032820000000001</v>
      </c>
      <c r="N1860" s="55">
        <v>34.981450000000002</v>
      </c>
    </row>
    <row r="1861" spans="1:14" hidden="1" x14ac:dyDescent="0.35">
      <c r="A1861" s="52" t="s">
        <v>271</v>
      </c>
      <c r="B1861" s="52" t="s">
        <v>37</v>
      </c>
      <c r="C1861" s="52" t="s">
        <v>79</v>
      </c>
      <c r="D1861" s="52" t="s">
        <v>79</v>
      </c>
      <c r="E1861" s="52" t="s">
        <v>601</v>
      </c>
      <c r="F1861" s="52" t="s">
        <v>581</v>
      </c>
      <c r="G1861" s="55" t="s">
        <v>276</v>
      </c>
      <c r="H1861" s="55">
        <v>35.422130000000003</v>
      </c>
      <c r="I1861" s="55">
        <v>3.9297960000000001</v>
      </c>
      <c r="J1861" s="55">
        <v>4.0568960000000001</v>
      </c>
      <c r="K1861" s="55">
        <v>-7.4422090000000001</v>
      </c>
      <c r="L1861" s="55">
        <v>3.3513039999999998</v>
      </c>
      <c r="M1861" s="55">
        <v>7.7975500000000002</v>
      </c>
      <c r="N1861" s="55">
        <v>8.3102870000000006</v>
      </c>
    </row>
    <row r="1862" spans="1:14" hidden="1" x14ac:dyDescent="0.35">
      <c r="A1862" s="52" t="s">
        <v>271</v>
      </c>
      <c r="B1862" s="52" t="s">
        <v>37</v>
      </c>
      <c r="C1862" s="52" t="s">
        <v>79</v>
      </c>
      <c r="D1862" s="52" t="s">
        <v>79</v>
      </c>
      <c r="E1862" s="52" t="s">
        <v>601</v>
      </c>
      <c r="F1862" s="52" t="s">
        <v>581</v>
      </c>
      <c r="G1862" s="55" t="s">
        <v>277</v>
      </c>
      <c r="H1862" s="55">
        <v>104.73950000000001</v>
      </c>
      <c r="I1862" s="55">
        <v>42.435389999999998</v>
      </c>
      <c r="J1862" s="55">
        <v>25.66301</v>
      </c>
      <c r="K1862" s="55">
        <v>14.47453</v>
      </c>
      <c r="L1862" s="55">
        <v>18.761310000000002</v>
      </c>
      <c r="M1862" s="55">
        <v>17.40447</v>
      </c>
      <c r="N1862" s="55">
        <v>21.142189999999999</v>
      </c>
    </row>
    <row r="1863" spans="1:14" hidden="1" x14ac:dyDescent="0.35">
      <c r="A1863" s="52" t="s">
        <v>271</v>
      </c>
      <c r="B1863" s="52" t="s">
        <v>37</v>
      </c>
      <c r="C1863" s="52" t="s">
        <v>79</v>
      </c>
      <c r="D1863" s="52" t="s">
        <v>79</v>
      </c>
      <c r="E1863" s="52" t="s">
        <v>601</v>
      </c>
      <c r="F1863" s="52" t="s">
        <v>581</v>
      </c>
      <c r="G1863" s="55" t="s">
        <v>278</v>
      </c>
      <c r="H1863" s="55">
        <v>9.3976000000000004E-2</v>
      </c>
      <c r="I1863" s="55">
        <v>0.101184</v>
      </c>
      <c r="J1863" s="55">
        <v>9.1506419999999995</v>
      </c>
      <c r="K1863" s="55">
        <v>12.67759</v>
      </c>
      <c r="L1863" s="55">
        <v>14.009080000000001</v>
      </c>
      <c r="M1863" s="55">
        <v>8.8548729999999995</v>
      </c>
      <c r="N1863" s="55">
        <v>6.0043329999999999</v>
      </c>
    </row>
    <row r="1864" spans="1:14" hidden="1" x14ac:dyDescent="0.35">
      <c r="A1864" s="52" t="s">
        <v>271</v>
      </c>
      <c r="B1864" s="52" t="s">
        <v>37</v>
      </c>
      <c r="C1864" s="52" t="s">
        <v>79</v>
      </c>
      <c r="D1864" s="52" t="s">
        <v>79</v>
      </c>
      <c r="E1864" s="52" t="s">
        <v>601</v>
      </c>
      <c r="F1864" s="52" t="s">
        <v>581</v>
      </c>
      <c r="G1864" s="55" t="s">
        <v>279</v>
      </c>
      <c r="H1864" s="55">
        <v>58.58699</v>
      </c>
      <c r="I1864" s="55">
        <v>36.828159999999997</v>
      </c>
      <c r="J1864" s="55">
        <v>34.42483</v>
      </c>
      <c r="K1864" s="55">
        <v>32.884920000000001</v>
      </c>
      <c r="L1864" s="55">
        <v>29.30105</v>
      </c>
      <c r="M1864" s="55">
        <v>31.749680000000001</v>
      </c>
      <c r="N1864" s="55">
        <v>30.955839999999998</v>
      </c>
    </row>
    <row r="1865" spans="1:14" hidden="1" x14ac:dyDescent="0.35">
      <c r="A1865" s="52" t="s">
        <v>271</v>
      </c>
      <c r="B1865" s="52" t="s">
        <v>37</v>
      </c>
      <c r="C1865" s="52" t="s">
        <v>79</v>
      </c>
      <c r="D1865" s="52" t="s">
        <v>79</v>
      </c>
      <c r="E1865" s="52" t="s">
        <v>601</v>
      </c>
      <c r="F1865" s="52" t="s">
        <v>26</v>
      </c>
      <c r="G1865" s="55" t="s">
        <v>275</v>
      </c>
      <c r="H1865" s="55">
        <v>0.46635900000000002</v>
      </c>
      <c r="I1865" s="55">
        <v>8.6765400000000006E-2</v>
      </c>
      <c r="J1865" s="55">
        <v>0.6095701</v>
      </c>
      <c r="K1865" s="55">
        <v>0.28559449999999997</v>
      </c>
      <c r="L1865" s="55">
        <v>0.43404579999999998</v>
      </c>
      <c r="M1865" s="55">
        <v>-0.20572550000000001</v>
      </c>
      <c r="N1865" s="55">
        <v>-0.20152139999999999</v>
      </c>
    </row>
    <row r="1866" spans="1:14" hidden="1" x14ac:dyDescent="0.35">
      <c r="A1866" s="52" t="s">
        <v>271</v>
      </c>
      <c r="B1866" s="52" t="s">
        <v>37</v>
      </c>
      <c r="C1866" s="52" t="s">
        <v>79</v>
      </c>
      <c r="D1866" s="52" t="s">
        <v>79</v>
      </c>
      <c r="E1866" s="52" t="s">
        <v>601</v>
      </c>
      <c r="F1866" s="52" t="s">
        <v>26</v>
      </c>
      <c r="G1866" s="55" t="s">
        <v>276</v>
      </c>
      <c r="H1866" s="55">
        <v>0.12397</v>
      </c>
      <c r="I1866" s="55">
        <v>2.3063799999999999E-2</v>
      </c>
      <c r="J1866" s="55">
        <v>0.16203880000000001</v>
      </c>
      <c r="K1866" s="55">
        <v>7.59185E-2</v>
      </c>
      <c r="L1866" s="55">
        <v>0.11537459999999999</v>
      </c>
      <c r="M1866" s="55">
        <v>-5.468609E-2</v>
      </c>
      <c r="N1866" s="55">
        <v>-5.3570399999999997E-2</v>
      </c>
    </row>
    <row r="1867" spans="1:14" hidden="1" x14ac:dyDescent="0.35">
      <c r="A1867" s="52" t="s">
        <v>271</v>
      </c>
      <c r="B1867" s="52" t="s">
        <v>37</v>
      </c>
      <c r="C1867" s="52" t="s">
        <v>79</v>
      </c>
      <c r="D1867" s="52" t="s">
        <v>79</v>
      </c>
      <c r="E1867" s="52" t="s">
        <v>601</v>
      </c>
      <c r="F1867" s="52" t="s">
        <v>26</v>
      </c>
      <c r="G1867" s="55" t="s">
        <v>279</v>
      </c>
      <c r="H1867" s="55">
        <v>11.69056</v>
      </c>
      <c r="I1867" s="55">
        <v>8.9986890000000006</v>
      </c>
      <c r="J1867" s="55">
        <v>8.4503780000000006</v>
      </c>
      <c r="K1867" s="55">
        <v>8.2010819999999995</v>
      </c>
      <c r="L1867" s="55">
        <v>7.4714580000000002</v>
      </c>
      <c r="M1867" s="55">
        <v>7.9622609999999998</v>
      </c>
      <c r="N1867" s="55">
        <v>7.7584749999999998</v>
      </c>
    </row>
    <row r="1868" spans="1:14" hidden="1" x14ac:dyDescent="0.35">
      <c r="A1868" s="52" t="s">
        <v>271</v>
      </c>
      <c r="B1868" s="52" t="s">
        <v>37</v>
      </c>
      <c r="C1868" s="52" t="s">
        <v>79</v>
      </c>
      <c r="D1868" s="52" t="s">
        <v>79</v>
      </c>
      <c r="E1868" s="52" t="s">
        <v>614</v>
      </c>
      <c r="F1868" s="52" t="s">
        <v>581</v>
      </c>
      <c r="G1868" s="55" t="s">
        <v>275</v>
      </c>
      <c r="H1868" s="55">
        <v>99.203329999999994</v>
      </c>
      <c r="I1868" s="55">
        <v>41.05133</v>
      </c>
      <c r="J1868" s="55">
        <v>45.995759999999997</v>
      </c>
      <c r="K1868" s="55">
        <v>45.626260000000002</v>
      </c>
      <c r="L1868" s="55">
        <v>33.609250000000003</v>
      </c>
      <c r="M1868" s="55">
        <v>20.267150000000001</v>
      </c>
      <c r="N1868" s="55">
        <v>31.320820000000001</v>
      </c>
    </row>
    <row r="1869" spans="1:14" hidden="1" x14ac:dyDescent="0.35">
      <c r="A1869" s="52" t="s">
        <v>271</v>
      </c>
      <c r="B1869" s="52" t="s">
        <v>37</v>
      </c>
      <c r="C1869" s="52" t="s">
        <v>79</v>
      </c>
      <c r="D1869" s="52" t="s">
        <v>79</v>
      </c>
      <c r="E1869" s="52" t="s">
        <v>614</v>
      </c>
      <c r="F1869" s="52" t="s">
        <v>581</v>
      </c>
      <c r="G1869" s="55" t="s">
        <v>276</v>
      </c>
      <c r="H1869" s="55">
        <v>1.6338680000000001</v>
      </c>
      <c r="I1869" s="55">
        <v>0.53017610000000004</v>
      </c>
      <c r="J1869" s="55">
        <v>7.6657820000000001</v>
      </c>
      <c r="K1869" s="55">
        <v>3.718153</v>
      </c>
      <c r="L1869" s="55">
        <v>4.6728899999999998</v>
      </c>
      <c r="M1869" s="55">
        <v>7.0055480000000001</v>
      </c>
      <c r="N1869" s="55">
        <v>8.0872980000000005</v>
      </c>
    </row>
    <row r="1870" spans="1:14" hidden="1" x14ac:dyDescent="0.35">
      <c r="A1870" s="52" t="s">
        <v>271</v>
      </c>
      <c r="B1870" s="52" t="s">
        <v>37</v>
      </c>
      <c r="C1870" s="52" t="s">
        <v>79</v>
      </c>
      <c r="D1870" s="52" t="s">
        <v>79</v>
      </c>
      <c r="E1870" s="52" t="s">
        <v>614</v>
      </c>
      <c r="F1870" s="52" t="s">
        <v>581</v>
      </c>
      <c r="G1870" s="55" t="s">
        <v>277</v>
      </c>
      <c r="H1870" s="55">
        <v>56.936459999999997</v>
      </c>
      <c r="I1870" s="55">
        <v>23.652149999999999</v>
      </c>
      <c r="J1870" s="55">
        <v>12.18543</v>
      </c>
      <c r="K1870" s="55">
        <v>5.9585109999999997</v>
      </c>
      <c r="L1870" s="55">
        <v>11.28238</v>
      </c>
      <c r="M1870" s="55">
        <v>18.129660000000001</v>
      </c>
      <c r="N1870" s="55">
        <v>10.32897</v>
      </c>
    </row>
    <row r="1871" spans="1:14" hidden="1" x14ac:dyDescent="0.35">
      <c r="A1871" s="52" t="s">
        <v>271</v>
      </c>
      <c r="B1871" s="52" t="s">
        <v>37</v>
      </c>
      <c r="C1871" s="52" t="s">
        <v>79</v>
      </c>
      <c r="D1871" s="52" t="s">
        <v>79</v>
      </c>
      <c r="E1871" s="52" t="s">
        <v>614</v>
      </c>
      <c r="F1871" s="52" t="s">
        <v>581</v>
      </c>
      <c r="G1871" s="55" t="s">
        <v>278</v>
      </c>
      <c r="H1871" s="55">
        <v>2.3359000000000001E-2</v>
      </c>
      <c r="I1871" s="55">
        <v>2.2752000000000001E-2</v>
      </c>
      <c r="J1871" s="55">
        <v>2.5151319999999999</v>
      </c>
      <c r="K1871" s="55">
        <v>2.6922600000000001</v>
      </c>
      <c r="L1871" s="55">
        <v>3.1315460000000002</v>
      </c>
      <c r="M1871" s="55">
        <v>5.0143139999999997</v>
      </c>
      <c r="N1871" s="55">
        <v>0.96130990000000005</v>
      </c>
    </row>
    <row r="1872" spans="1:14" hidden="1" x14ac:dyDescent="0.35">
      <c r="A1872" s="52" t="s">
        <v>271</v>
      </c>
      <c r="B1872" s="52" t="s">
        <v>37</v>
      </c>
      <c r="C1872" s="52" t="s">
        <v>79</v>
      </c>
      <c r="D1872" s="52" t="s">
        <v>79</v>
      </c>
      <c r="E1872" s="52" t="s">
        <v>614</v>
      </c>
      <c r="F1872" s="52" t="s">
        <v>581</v>
      </c>
      <c r="G1872" s="55" t="s">
        <v>279</v>
      </c>
      <c r="H1872" s="55">
        <v>54.797759999999997</v>
      </c>
      <c r="I1872" s="55">
        <v>41.643470000000001</v>
      </c>
      <c r="J1872" s="55">
        <v>41.153669999999998</v>
      </c>
      <c r="K1872" s="55">
        <v>36.369970000000002</v>
      </c>
      <c r="L1872" s="55">
        <v>30.894220000000001</v>
      </c>
      <c r="M1872" s="55">
        <v>35.522449999999999</v>
      </c>
      <c r="N1872" s="55">
        <v>35.395600000000002</v>
      </c>
    </row>
    <row r="1873" spans="1:14" hidden="1" x14ac:dyDescent="0.35">
      <c r="A1873" s="52" t="s">
        <v>271</v>
      </c>
      <c r="B1873" s="52" t="s">
        <v>37</v>
      </c>
      <c r="C1873" s="52" t="s">
        <v>79</v>
      </c>
      <c r="D1873" s="52" t="s">
        <v>79</v>
      </c>
      <c r="E1873" s="52" t="s">
        <v>614</v>
      </c>
      <c r="F1873" s="52" t="s">
        <v>26</v>
      </c>
      <c r="G1873" s="55" t="s">
        <v>275</v>
      </c>
      <c r="H1873" s="55">
        <v>-1.7055480000000001</v>
      </c>
      <c r="I1873" s="55">
        <v>-1.709544</v>
      </c>
      <c r="J1873" s="55">
        <v>-1.32805</v>
      </c>
      <c r="K1873" s="55">
        <v>-1.383859</v>
      </c>
      <c r="L1873" s="55">
        <v>-1.127311</v>
      </c>
      <c r="M1873" s="55">
        <v>-1.682715</v>
      </c>
      <c r="N1873" s="55">
        <v>-1.6703049999999999</v>
      </c>
    </row>
    <row r="1874" spans="1:14" hidden="1" x14ac:dyDescent="0.35">
      <c r="A1874" s="52" t="s">
        <v>271</v>
      </c>
      <c r="B1874" s="52" t="s">
        <v>37</v>
      </c>
      <c r="C1874" s="52" t="s">
        <v>79</v>
      </c>
      <c r="D1874" s="52" t="s">
        <v>79</v>
      </c>
      <c r="E1874" s="52" t="s">
        <v>614</v>
      </c>
      <c r="F1874" s="52" t="s">
        <v>26</v>
      </c>
      <c r="G1874" s="55" t="s">
        <v>276</v>
      </c>
      <c r="H1874" s="55">
        <v>-0.49442399999999997</v>
      </c>
      <c r="I1874" s="55">
        <v>-0.49557990000000002</v>
      </c>
      <c r="J1874" s="55">
        <v>-0.38498650000000001</v>
      </c>
      <c r="K1874" s="55">
        <v>-0.4011653</v>
      </c>
      <c r="L1874" s="55">
        <v>-0.326793</v>
      </c>
      <c r="M1874" s="55">
        <v>-0.48780319999999999</v>
      </c>
      <c r="N1874" s="55">
        <v>-0.48420479999999999</v>
      </c>
    </row>
    <row r="1875" spans="1:14" hidden="1" x14ac:dyDescent="0.35">
      <c r="A1875" s="52" t="s">
        <v>271</v>
      </c>
      <c r="B1875" s="52" t="s">
        <v>37</v>
      </c>
      <c r="C1875" s="52" t="s">
        <v>79</v>
      </c>
      <c r="D1875" s="52" t="s">
        <v>79</v>
      </c>
      <c r="E1875" s="52" t="s">
        <v>614</v>
      </c>
      <c r="F1875" s="52" t="s">
        <v>26</v>
      </c>
      <c r="G1875" s="55" t="s">
        <v>279</v>
      </c>
      <c r="H1875" s="55">
        <v>9.1874610000000008</v>
      </c>
      <c r="I1875" s="55">
        <v>8.2329150000000002</v>
      </c>
      <c r="J1875" s="55">
        <v>8.1904369999999993</v>
      </c>
      <c r="K1875" s="55">
        <v>7.3467399999999996</v>
      </c>
      <c r="L1875" s="55">
        <v>6.3692099999999998</v>
      </c>
      <c r="M1875" s="55">
        <v>7.1967489999999996</v>
      </c>
      <c r="N1875" s="55">
        <v>7.1615060000000001</v>
      </c>
    </row>
    <row r="1876" spans="1:14" hidden="1" x14ac:dyDescent="0.35">
      <c r="A1876" s="52" t="s">
        <v>271</v>
      </c>
      <c r="B1876" s="52" t="s">
        <v>37</v>
      </c>
      <c r="C1876" s="52" t="s">
        <v>79</v>
      </c>
      <c r="D1876" s="52" t="s">
        <v>79</v>
      </c>
      <c r="E1876" s="52" t="s">
        <v>600</v>
      </c>
      <c r="F1876" s="52" t="s">
        <v>581</v>
      </c>
      <c r="G1876" s="55" t="s">
        <v>275</v>
      </c>
      <c r="H1876" s="55">
        <v>53.424639999999997</v>
      </c>
      <c r="I1876" s="55">
        <v>19.927589999999999</v>
      </c>
      <c r="J1876" s="55">
        <v>29.958449999999999</v>
      </c>
      <c r="K1876" s="55">
        <v>27.90841</v>
      </c>
      <c r="L1876" s="55">
        <v>25.493089999999999</v>
      </c>
      <c r="M1876" s="55">
        <v>14.019259999999999</v>
      </c>
      <c r="N1876" s="55">
        <v>10.23922</v>
      </c>
    </row>
    <row r="1877" spans="1:14" hidden="1" x14ac:dyDescent="0.35">
      <c r="A1877" s="52" t="s">
        <v>271</v>
      </c>
      <c r="B1877" s="52" t="s">
        <v>37</v>
      </c>
      <c r="C1877" s="52" t="s">
        <v>79</v>
      </c>
      <c r="D1877" s="52" t="s">
        <v>79</v>
      </c>
      <c r="E1877" s="52" t="s">
        <v>600</v>
      </c>
      <c r="F1877" s="52" t="s">
        <v>581</v>
      </c>
      <c r="G1877" s="55" t="s">
        <v>276</v>
      </c>
      <c r="H1877" s="55">
        <v>-6.3638820000000003</v>
      </c>
      <c r="I1877" s="55">
        <v>-6.8641500000000004</v>
      </c>
      <c r="J1877" s="55">
        <v>-7.0257230000000002</v>
      </c>
      <c r="K1877" s="55">
        <v>-5.5166750000000002</v>
      </c>
      <c r="L1877" s="55">
        <v>-5.5736179999999997</v>
      </c>
      <c r="M1877" s="55">
        <v>-0.11869449999999999</v>
      </c>
      <c r="N1877" s="55">
        <v>1.4479359999999999</v>
      </c>
    </row>
    <row r="1878" spans="1:14" hidden="1" x14ac:dyDescent="0.35">
      <c r="A1878" s="52" t="s">
        <v>271</v>
      </c>
      <c r="B1878" s="52" t="s">
        <v>37</v>
      </c>
      <c r="C1878" s="52" t="s">
        <v>79</v>
      </c>
      <c r="D1878" s="52" t="s">
        <v>79</v>
      </c>
      <c r="E1878" s="52" t="s">
        <v>600</v>
      </c>
      <c r="F1878" s="52" t="s">
        <v>581</v>
      </c>
      <c r="G1878" s="55" t="s">
        <v>277</v>
      </c>
      <c r="H1878" s="55">
        <v>96.120199999999997</v>
      </c>
      <c r="I1878" s="55">
        <v>30.974029999999999</v>
      </c>
      <c r="J1878" s="55">
        <v>11.75245</v>
      </c>
      <c r="K1878" s="55">
        <v>4.2054669999999996</v>
      </c>
      <c r="L1878" s="55">
        <v>0</v>
      </c>
      <c r="M1878" s="55">
        <v>0</v>
      </c>
      <c r="N1878" s="55">
        <v>0</v>
      </c>
    </row>
    <row r="1879" spans="1:14" hidden="1" x14ac:dyDescent="0.35">
      <c r="A1879" s="52" t="s">
        <v>271</v>
      </c>
      <c r="B1879" s="52" t="s">
        <v>37</v>
      </c>
      <c r="C1879" s="52" t="s">
        <v>79</v>
      </c>
      <c r="D1879" s="52" t="s">
        <v>79</v>
      </c>
      <c r="E1879" s="52" t="s">
        <v>600</v>
      </c>
      <c r="F1879" s="52" t="s">
        <v>581</v>
      </c>
      <c r="G1879" s="55" t="s">
        <v>278</v>
      </c>
      <c r="H1879" s="55">
        <v>0</v>
      </c>
      <c r="I1879" s="55"/>
      <c r="J1879" s="55"/>
      <c r="K1879" s="55"/>
      <c r="L1879" s="55"/>
      <c r="M1879" s="55"/>
      <c r="N1879" s="55"/>
    </row>
    <row r="1880" spans="1:14" hidden="1" x14ac:dyDescent="0.35">
      <c r="A1880" s="52" t="s">
        <v>271</v>
      </c>
      <c r="B1880" s="52" t="s">
        <v>37</v>
      </c>
      <c r="C1880" s="52" t="s">
        <v>79</v>
      </c>
      <c r="D1880" s="52" t="s">
        <v>79</v>
      </c>
      <c r="E1880" s="52" t="s">
        <v>600</v>
      </c>
      <c r="F1880" s="52" t="s">
        <v>581</v>
      </c>
      <c r="G1880" s="55" t="s">
        <v>279</v>
      </c>
      <c r="H1880" s="55">
        <v>67.372590000000002</v>
      </c>
      <c r="I1880" s="55">
        <v>43.860869999999998</v>
      </c>
      <c r="J1880" s="55">
        <v>31.87642</v>
      </c>
      <c r="K1880" s="55">
        <v>25.780760000000001</v>
      </c>
      <c r="L1880" s="55">
        <v>17.892320000000002</v>
      </c>
      <c r="M1880" s="55">
        <v>16.020800000000001</v>
      </c>
      <c r="N1880" s="55">
        <v>13.4481</v>
      </c>
    </row>
    <row r="1881" spans="1:14" hidden="1" x14ac:dyDescent="0.35">
      <c r="A1881" s="52" t="s">
        <v>271</v>
      </c>
      <c r="B1881" s="52" t="s">
        <v>37</v>
      </c>
      <c r="C1881" s="52" t="s">
        <v>79</v>
      </c>
      <c r="D1881" s="52" t="s">
        <v>79</v>
      </c>
      <c r="E1881" s="52" t="s">
        <v>600</v>
      </c>
      <c r="F1881" s="52" t="s">
        <v>26</v>
      </c>
      <c r="G1881" s="55" t="s">
        <v>275</v>
      </c>
      <c r="H1881" s="55">
        <v>-4.7436239999999996</v>
      </c>
      <c r="I1881" s="55">
        <v>-4.0256259999999999</v>
      </c>
      <c r="J1881" s="55">
        <v>-2.3543129999999999</v>
      </c>
      <c r="K1881" s="55">
        <v>-2.2108099999999999</v>
      </c>
      <c r="L1881" s="55">
        <v>-1.493109</v>
      </c>
      <c r="M1881" s="55">
        <v>-1.690739</v>
      </c>
      <c r="N1881" s="55">
        <v>-1.4214249999999999</v>
      </c>
    </row>
    <row r="1882" spans="1:14" hidden="1" x14ac:dyDescent="0.35">
      <c r="A1882" s="52" t="s">
        <v>271</v>
      </c>
      <c r="B1882" s="52" t="s">
        <v>37</v>
      </c>
      <c r="C1882" s="52" t="s">
        <v>79</v>
      </c>
      <c r="D1882" s="52" t="s">
        <v>79</v>
      </c>
      <c r="E1882" s="52" t="s">
        <v>600</v>
      </c>
      <c r="F1882" s="52" t="s">
        <v>26</v>
      </c>
      <c r="G1882" s="55" t="s">
        <v>276</v>
      </c>
      <c r="H1882" s="55">
        <v>-1.375129</v>
      </c>
      <c r="I1882" s="55">
        <v>-1.1669890000000001</v>
      </c>
      <c r="J1882" s="55">
        <v>-0.68249199999999999</v>
      </c>
      <c r="K1882" s="55">
        <v>-0.64089180000000001</v>
      </c>
      <c r="L1882" s="55">
        <v>-0.43283739999999998</v>
      </c>
      <c r="M1882" s="55">
        <v>-0.49012840000000002</v>
      </c>
      <c r="N1882" s="55">
        <v>-0.41205599999999998</v>
      </c>
    </row>
    <row r="1883" spans="1:14" hidden="1" x14ac:dyDescent="0.35">
      <c r="A1883" s="52" t="s">
        <v>271</v>
      </c>
      <c r="B1883" s="52" t="s">
        <v>37</v>
      </c>
      <c r="C1883" s="52" t="s">
        <v>79</v>
      </c>
      <c r="D1883" s="52" t="s">
        <v>79</v>
      </c>
      <c r="E1883" s="52" t="s">
        <v>600</v>
      </c>
      <c r="F1883" s="52" t="s">
        <v>26</v>
      </c>
      <c r="G1883" s="55" t="s">
        <v>279</v>
      </c>
      <c r="H1883" s="55">
        <v>23.626359999999998</v>
      </c>
      <c r="I1883" s="55">
        <v>18.12087</v>
      </c>
      <c r="J1883" s="55">
        <v>13.31678</v>
      </c>
      <c r="K1883" s="55">
        <v>10.915430000000001</v>
      </c>
      <c r="L1883" s="55">
        <v>7.7535239999999996</v>
      </c>
      <c r="M1883" s="55">
        <v>6.7901199999999999</v>
      </c>
      <c r="N1883" s="55">
        <v>5.6988919999999998</v>
      </c>
    </row>
    <row r="1884" spans="1:14" hidden="1" x14ac:dyDescent="0.35">
      <c r="A1884" s="52" t="s">
        <v>271</v>
      </c>
      <c r="B1884" s="52" t="s">
        <v>37</v>
      </c>
      <c r="C1884" s="52" t="s">
        <v>51</v>
      </c>
      <c r="D1884" s="52" t="s">
        <v>51</v>
      </c>
      <c r="E1884" s="52" t="s">
        <v>602</v>
      </c>
      <c r="F1884" s="52" t="s">
        <v>581</v>
      </c>
      <c r="G1884" s="55" t="s">
        <v>275</v>
      </c>
      <c r="H1884" s="55">
        <v>90.179540000000003</v>
      </c>
      <c r="I1884" s="55">
        <v>35.550640000000001</v>
      </c>
      <c r="J1884" s="55">
        <v>59.520209999999999</v>
      </c>
      <c r="K1884" s="55">
        <v>46.955599999999997</v>
      </c>
      <c r="L1884" s="55">
        <v>31.111910000000002</v>
      </c>
      <c r="M1884" s="55">
        <v>25.951309999999999</v>
      </c>
      <c r="N1884" s="55">
        <v>23.933019999999999</v>
      </c>
    </row>
    <row r="1885" spans="1:14" hidden="1" x14ac:dyDescent="0.35">
      <c r="A1885" s="52" t="s">
        <v>271</v>
      </c>
      <c r="B1885" s="52" t="s">
        <v>37</v>
      </c>
      <c r="C1885" s="52" t="s">
        <v>51</v>
      </c>
      <c r="D1885" s="52" t="s">
        <v>51</v>
      </c>
      <c r="E1885" s="52" t="s">
        <v>602</v>
      </c>
      <c r="F1885" s="52" t="s">
        <v>581</v>
      </c>
      <c r="G1885" s="55" t="s">
        <v>276</v>
      </c>
      <c r="H1885" s="55">
        <v>21.983039999999999</v>
      </c>
      <c r="I1885" s="55">
        <v>2.0322719999999999</v>
      </c>
      <c r="J1885" s="55">
        <v>-1.690151</v>
      </c>
      <c r="K1885" s="55">
        <v>-3.8791690000000001</v>
      </c>
      <c r="L1885" s="55">
        <v>-1.6519760000000001</v>
      </c>
      <c r="M1885" s="55">
        <v>3.6219790000000001</v>
      </c>
      <c r="N1885" s="55">
        <v>5.525881</v>
      </c>
    </row>
    <row r="1886" spans="1:14" hidden="1" x14ac:dyDescent="0.35">
      <c r="A1886" s="52" t="s">
        <v>271</v>
      </c>
      <c r="B1886" s="52" t="s">
        <v>37</v>
      </c>
      <c r="C1886" s="52" t="s">
        <v>51</v>
      </c>
      <c r="D1886" s="52" t="s">
        <v>51</v>
      </c>
      <c r="E1886" s="52" t="s">
        <v>602</v>
      </c>
      <c r="F1886" s="52" t="s">
        <v>581</v>
      </c>
      <c r="G1886" s="55" t="s">
        <v>277</v>
      </c>
      <c r="H1886" s="55">
        <v>103.7242</v>
      </c>
      <c r="I1886" s="55">
        <v>38.334269999999997</v>
      </c>
      <c r="J1886" s="55">
        <v>2.4379780000000002</v>
      </c>
      <c r="K1886" s="55">
        <v>0</v>
      </c>
      <c r="L1886" s="55">
        <v>12.074170000000001</v>
      </c>
      <c r="M1886" s="55">
        <v>6.9656419999999999</v>
      </c>
      <c r="N1886" s="55">
        <v>0.64176710000000003</v>
      </c>
    </row>
    <row r="1887" spans="1:14" hidden="1" x14ac:dyDescent="0.35">
      <c r="A1887" s="52" t="s">
        <v>271</v>
      </c>
      <c r="B1887" s="52" t="s">
        <v>37</v>
      </c>
      <c r="C1887" s="52" t="s">
        <v>51</v>
      </c>
      <c r="D1887" s="52" t="s">
        <v>51</v>
      </c>
      <c r="E1887" s="52" t="s">
        <v>602</v>
      </c>
      <c r="F1887" s="52" t="s">
        <v>581</v>
      </c>
      <c r="G1887" s="55" t="s">
        <v>278</v>
      </c>
      <c r="H1887" s="55">
        <v>4.1577000000000003E-2</v>
      </c>
      <c r="I1887" s="55">
        <v>3.6774000000000001E-2</v>
      </c>
      <c r="J1887" s="55">
        <v>0</v>
      </c>
      <c r="K1887" s="55"/>
      <c r="L1887" s="55"/>
      <c r="M1887" s="55"/>
      <c r="N1887" s="55"/>
    </row>
    <row r="1888" spans="1:14" hidden="1" x14ac:dyDescent="0.35">
      <c r="A1888" s="52" t="s">
        <v>271</v>
      </c>
      <c r="B1888" s="52" t="s">
        <v>37</v>
      </c>
      <c r="C1888" s="52" t="s">
        <v>51</v>
      </c>
      <c r="D1888" s="52" t="s">
        <v>51</v>
      </c>
      <c r="E1888" s="52" t="s">
        <v>602</v>
      </c>
      <c r="F1888" s="52" t="s">
        <v>581</v>
      </c>
      <c r="G1888" s="55" t="s">
        <v>279</v>
      </c>
      <c r="H1888" s="55">
        <v>86.240710000000007</v>
      </c>
      <c r="I1888" s="55">
        <v>67.570080000000004</v>
      </c>
      <c r="J1888" s="55">
        <v>51.170749999999998</v>
      </c>
      <c r="K1888" s="55">
        <v>39.927689999999998</v>
      </c>
      <c r="L1888" s="55">
        <v>34.852089999999997</v>
      </c>
      <c r="M1888" s="55">
        <v>37.907859999999999</v>
      </c>
      <c r="N1888" s="55">
        <v>31.466149999999999</v>
      </c>
    </row>
    <row r="1889" spans="1:14" hidden="1" x14ac:dyDescent="0.35">
      <c r="A1889" s="52" t="s">
        <v>271</v>
      </c>
      <c r="B1889" s="52" t="s">
        <v>37</v>
      </c>
      <c r="C1889" s="52" t="s">
        <v>51</v>
      </c>
      <c r="D1889" s="52" t="s">
        <v>51</v>
      </c>
      <c r="E1889" s="52" t="s">
        <v>602</v>
      </c>
      <c r="F1889" s="52" t="s">
        <v>26</v>
      </c>
      <c r="G1889" s="55" t="s">
        <v>275</v>
      </c>
      <c r="H1889" s="55">
        <v>2.6177760000000001</v>
      </c>
      <c r="I1889" s="55">
        <v>2.2209989999999999</v>
      </c>
      <c r="J1889" s="55">
        <v>2.528292</v>
      </c>
      <c r="K1889" s="55">
        <v>1.443136</v>
      </c>
      <c r="L1889" s="55">
        <v>1.476005</v>
      </c>
      <c r="M1889" s="55">
        <v>0.76343890000000003</v>
      </c>
      <c r="N1889" s="55">
        <v>0.57269789999999998</v>
      </c>
    </row>
    <row r="1890" spans="1:14" hidden="1" x14ac:dyDescent="0.35">
      <c r="A1890" s="52" t="s">
        <v>271</v>
      </c>
      <c r="B1890" s="52" t="s">
        <v>37</v>
      </c>
      <c r="C1890" s="52" t="s">
        <v>51</v>
      </c>
      <c r="D1890" s="52" t="s">
        <v>51</v>
      </c>
      <c r="E1890" s="52" t="s">
        <v>602</v>
      </c>
      <c r="F1890" s="52" t="s">
        <v>26</v>
      </c>
      <c r="G1890" s="55" t="s">
        <v>276</v>
      </c>
      <c r="H1890" s="55">
        <v>0.69586499999999996</v>
      </c>
      <c r="I1890" s="55">
        <v>0.59039370000000002</v>
      </c>
      <c r="J1890" s="55">
        <v>0.67207709999999998</v>
      </c>
      <c r="K1890" s="55">
        <v>0.38361990000000001</v>
      </c>
      <c r="L1890" s="55">
        <v>0.39235530000000002</v>
      </c>
      <c r="M1890" s="55">
        <v>0.20294039999999999</v>
      </c>
      <c r="N1890" s="55">
        <v>0.15223639999999999</v>
      </c>
    </row>
    <row r="1891" spans="1:14" hidden="1" x14ac:dyDescent="0.35">
      <c r="A1891" s="52" t="s">
        <v>271</v>
      </c>
      <c r="B1891" s="52" t="s">
        <v>37</v>
      </c>
      <c r="C1891" s="52" t="s">
        <v>51</v>
      </c>
      <c r="D1891" s="52" t="s">
        <v>51</v>
      </c>
      <c r="E1891" s="52" t="s">
        <v>602</v>
      </c>
      <c r="F1891" s="52" t="s">
        <v>26</v>
      </c>
      <c r="G1891" s="55" t="s">
        <v>279</v>
      </c>
      <c r="H1891" s="55">
        <v>17.603380000000001</v>
      </c>
      <c r="I1891" s="55">
        <v>15.666449999999999</v>
      </c>
      <c r="J1891" s="55">
        <v>11.89597</v>
      </c>
      <c r="K1891" s="55">
        <v>9.4006819999999998</v>
      </c>
      <c r="L1891" s="55">
        <v>8.3451950000000004</v>
      </c>
      <c r="M1891" s="55">
        <v>8.8768150000000006</v>
      </c>
      <c r="N1891" s="55">
        <v>7.3656069999999998</v>
      </c>
    </row>
    <row r="1892" spans="1:14" hidden="1" x14ac:dyDescent="0.35">
      <c r="A1892" s="52" t="s">
        <v>271</v>
      </c>
      <c r="B1892" s="52" t="s">
        <v>37</v>
      </c>
      <c r="C1892" s="52" t="s">
        <v>51</v>
      </c>
      <c r="D1892" s="52" t="s">
        <v>51</v>
      </c>
      <c r="E1892" s="52" t="s">
        <v>584</v>
      </c>
      <c r="F1892" s="52" t="s">
        <v>581</v>
      </c>
      <c r="G1892" s="55" t="s">
        <v>275</v>
      </c>
      <c r="H1892" s="55">
        <v>0.66963200000000001</v>
      </c>
      <c r="I1892" s="55">
        <v>0.19456560000000001</v>
      </c>
      <c r="J1892" s="55">
        <v>0.1754925</v>
      </c>
      <c r="K1892" s="55">
        <v>0.1570059</v>
      </c>
      <c r="L1892" s="55">
        <v>0.1454781</v>
      </c>
      <c r="M1892" s="55">
        <v>0.12469139999999999</v>
      </c>
      <c r="N1892" s="55">
        <v>0.1165277</v>
      </c>
    </row>
    <row r="1893" spans="1:14" hidden="1" x14ac:dyDescent="0.35">
      <c r="A1893" s="52" t="s">
        <v>271</v>
      </c>
      <c r="B1893" s="52" t="s">
        <v>37</v>
      </c>
      <c r="C1893" s="52" t="s">
        <v>51</v>
      </c>
      <c r="D1893" s="52" t="s">
        <v>51</v>
      </c>
      <c r="E1893" s="52" t="s">
        <v>584</v>
      </c>
      <c r="F1893" s="52" t="s">
        <v>581</v>
      </c>
      <c r="G1893" s="55" t="s">
        <v>276</v>
      </c>
      <c r="H1893" s="55">
        <v>0.178004</v>
      </c>
      <c r="I1893" s="55">
        <v>5.1720099999999998E-2</v>
      </c>
      <c r="J1893" s="55">
        <v>4.6649299999999998E-2</v>
      </c>
      <c r="K1893" s="55">
        <v>4.1735700000000001E-2</v>
      </c>
      <c r="L1893" s="55">
        <v>3.8670900000000001E-2</v>
      </c>
      <c r="M1893" s="55">
        <v>3.3146000000000002E-2</v>
      </c>
      <c r="N1893" s="55">
        <v>3.0976299999999998E-2</v>
      </c>
    </row>
    <row r="1894" spans="1:14" hidden="1" x14ac:dyDescent="0.35">
      <c r="A1894" s="52" t="s">
        <v>271</v>
      </c>
      <c r="B1894" s="52" t="s">
        <v>37</v>
      </c>
      <c r="C1894" s="52" t="s">
        <v>51</v>
      </c>
      <c r="D1894" s="52" t="s">
        <v>51</v>
      </c>
      <c r="E1894" s="52" t="s">
        <v>584</v>
      </c>
      <c r="F1894" s="52" t="s">
        <v>581</v>
      </c>
      <c r="G1894" s="55" t="s">
        <v>279</v>
      </c>
      <c r="H1894" s="55">
        <v>0.30724299999999999</v>
      </c>
      <c r="I1894" s="55">
        <v>0.2247953</v>
      </c>
      <c r="J1894" s="55">
        <v>0.2062949</v>
      </c>
      <c r="K1894" s="55">
        <v>0.1995053</v>
      </c>
      <c r="L1894" s="55">
        <v>0.18593180000000001</v>
      </c>
      <c r="M1894" s="55">
        <v>0.1868985</v>
      </c>
      <c r="N1894" s="55">
        <v>0.17177419999999999</v>
      </c>
    </row>
    <row r="1895" spans="1:14" hidden="1" x14ac:dyDescent="0.35">
      <c r="A1895" s="52" t="s">
        <v>271</v>
      </c>
      <c r="B1895" s="52" t="s">
        <v>37</v>
      </c>
      <c r="C1895" s="52" t="s">
        <v>51</v>
      </c>
      <c r="D1895" s="52" t="s">
        <v>51</v>
      </c>
      <c r="E1895" s="52" t="s">
        <v>584</v>
      </c>
      <c r="F1895" s="52" t="s">
        <v>26</v>
      </c>
      <c r="G1895" s="55" t="s">
        <v>275</v>
      </c>
      <c r="H1895" s="55">
        <v>-6.1399990000000004E-4</v>
      </c>
      <c r="I1895" s="55">
        <v>-1.5087E-3</v>
      </c>
      <c r="J1895" s="55">
        <v>-7.5290000000000003E-4</v>
      </c>
      <c r="K1895" s="55">
        <v>-1.0212000000000001E-3</v>
      </c>
      <c r="L1895" s="55">
        <v>-9.358999E-4</v>
      </c>
      <c r="M1895" s="55">
        <v>-1.3852000000000001E-3</v>
      </c>
      <c r="N1895" s="55">
        <v>-1.2044E-3</v>
      </c>
    </row>
    <row r="1896" spans="1:14" hidden="1" x14ac:dyDescent="0.35">
      <c r="A1896" s="52" t="s">
        <v>271</v>
      </c>
      <c r="B1896" s="52" t="s">
        <v>37</v>
      </c>
      <c r="C1896" s="52" t="s">
        <v>51</v>
      </c>
      <c r="D1896" s="52" t="s">
        <v>51</v>
      </c>
      <c r="E1896" s="52" t="s">
        <v>584</v>
      </c>
      <c r="F1896" s="52" t="s">
        <v>26</v>
      </c>
      <c r="G1896" s="55" t="s">
        <v>276</v>
      </c>
      <c r="H1896" s="55">
        <v>-1.63E-4</v>
      </c>
      <c r="I1896" s="55">
        <v>-4.0170000000000001E-4</v>
      </c>
      <c r="J1896" s="55">
        <v>-2.006E-4</v>
      </c>
      <c r="K1896" s="55">
        <v>-2.7159999999999999E-4</v>
      </c>
      <c r="L1896" s="55">
        <v>-2.4830000000000002E-4</v>
      </c>
      <c r="M1896" s="55">
        <v>-3.679E-4</v>
      </c>
      <c r="N1896" s="55">
        <v>-3.2009999999999997E-4</v>
      </c>
    </row>
    <row r="1897" spans="1:14" hidden="1" x14ac:dyDescent="0.35">
      <c r="A1897" s="52" t="s">
        <v>271</v>
      </c>
      <c r="B1897" s="52" t="s">
        <v>37</v>
      </c>
      <c r="C1897" s="52" t="s">
        <v>51</v>
      </c>
      <c r="D1897" s="52" t="s">
        <v>51</v>
      </c>
      <c r="E1897" s="52" t="s">
        <v>584</v>
      </c>
      <c r="F1897" s="52" t="s">
        <v>26</v>
      </c>
      <c r="G1897" s="55" t="s">
        <v>279</v>
      </c>
      <c r="H1897" s="55">
        <v>1.8252000000000001E-2</v>
      </c>
      <c r="I1897" s="55">
        <v>1.5396200000000001E-2</v>
      </c>
      <c r="J1897" s="55">
        <v>1.3887E-2</v>
      </c>
      <c r="K1897" s="55">
        <v>1.3226099999999999E-2</v>
      </c>
      <c r="L1897" s="55">
        <v>1.2198799999999999E-2</v>
      </c>
      <c r="M1897" s="55">
        <v>1.1939E-2</v>
      </c>
      <c r="N1897" s="55">
        <v>1.0889599999999999E-2</v>
      </c>
    </row>
    <row r="1898" spans="1:14" hidden="1" x14ac:dyDescent="0.35">
      <c r="A1898" s="52" t="s">
        <v>271</v>
      </c>
      <c r="B1898" s="52" t="s">
        <v>37</v>
      </c>
      <c r="C1898" s="52" t="s">
        <v>99</v>
      </c>
      <c r="D1898" s="52" t="s">
        <v>101</v>
      </c>
      <c r="E1898" s="52" t="s">
        <v>634</v>
      </c>
      <c r="F1898" s="52" t="s">
        <v>581</v>
      </c>
      <c r="G1898" s="55" t="s">
        <v>275</v>
      </c>
      <c r="H1898" s="55">
        <v>85.544430000000006</v>
      </c>
      <c r="I1898" s="55">
        <v>12.49273</v>
      </c>
      <c r="J1898" s="55">
        <v>34.983699999999999</v>
      </c>
      <c r="K1898" s="55">
        <v>29.647089999999999</v>
      </c>
      <c r="L1898" s="55">
        <v>27.54486</v>
      </c>
      <c r="M1898" s="55">
        <v>19.262229999999999</v>
      </c>
      <c r="N1898" s="55">
        <v>15.655469999999999</v>
      </c>
    </row>
    <row r="1899" spans="1:14" hidden="1" x14ac:dyDescent="0.35">
      <c r="A1899" s="52" t="s">
        <v>271</v>
      </c>
      <c r="B1899" s="52" t="s">
        <v>37</v>
      </c>
      <c r="C1899" s="52" t="s">
        <v>99</v>
      </c>
      <c r="D1899" s="52" t="s">
        <v>101</v>
      </c>
      <c r="E1899" s="52" t="s">
        <v>634</v>
      </c>
      <c r="F1899" s="52" t="s">
        <v>581</v>
      </c>
      <c r="G1899" s="55" t="s">
        <v>276</v>
      </c>
      <c r="H1899" s="55">
        <v>15.17426</v>
      </c>
      <c r="I1899" s="55">
        <v>-3.3370950000000001</v>
      </c>
      <c r="J1899" s="55">
        <v>-8.6023899999999998</v>
      </c>
      <c r="K1899" s="55">
        <v>-4.9487569999999996</v>
      </c>
      <c r="L1899" s="55">
        <v>0.98938179999999998</v>
      </c>
      <c r="M1899" s="55">
        <v>1.205973</v>
      </c>
      <c r="N1899" s="55">
        <v>2.470647</v>
      </c>
    </row>
    <row r="1900" spans="1:14" hidden="1" x14ac:dyDescent="0.35">
      <c r="A1900" s="52" t="s">
        <v>271</v>
      </c>
      <c r="B1900" s="52" t="s">
        <v>37</v>
      </c>
      <c r="C1900" s="52" t="s">
        <v>99</v>
      </c>
      <c r="D1900" s="52" t="s">
        <v>101</v>
      </c>
      <c r="E1900" s="52" t="s">
        <v>634</v>
      </c>
      <c r="F1900" s="52" t="s">
        <v>581</v>
      </c>
      <c r="G1900" s="55" t="s">
        <v>277</v>
      </c>
      <c r="H1900" s="55">
        <v>54.046779999999998</v>
      </c>
      <c r="I1900" s="55">
        <v>28.633579999999998</v>
      </c>
      <c r="J1900" s="55">
        <v>4.5430970000000004</v>
      </c>
      <c r="K1900" s="55">
        <v>1.902962</v>
      </c>
      <c r="L1900" s="55">
        <v>1.000896</v>
      </c>
      <c r="M1900" s="55">
        <v>0</v>
      </c>
      <c r="N1900" s="55">
        <v>0</v>
      </c>
    </row>
    <row r="1901" spans="1:14" hidden="1" x14ac:dyDescent="0.35">
      <c r="A1901" s="52" t="s">
        <v>271</v>
      </c>
      <c r="B1901" s="52" t="s">
        <v>37</v>
      </c>
      <c r="C1901" s="52" t="s">
        <v>99</v>
      </c>
      <c r="D1901" s="52" t="s">
        <v>101</v>
      </c>
      <c r="E1901" s="52" t="s">
        <v>634</v>
      </c>
      <c r="F1901" s="52" t="s">
        <v>581</v>
      </c>
      <c r="G1901" s="55" t="s">
        <v>278</v>
      </c>
      <c r="H1901" s="55">
        <v>6.5090999999999996E-2</v>
      </c>
      <c r="I1901" s="55">
        <v>0.102396</v>
      </c>
      <c r="J1901" s="55">
        <v>7.6546519999999996</v>
      </c>
      <c r="K1901" s="55">
        <v>5.2041180000000002</v>
      </c>
      <c r="L1901" s="55">
        <v>3.9770249999999998</v>
      </c>
      <c r="M1901" s="55">
        <v>0</v>
      </c>
      <c r="N1901" s="55">
        <v>0</v>
      </c>
    </row>
    <row r="1902" spans="1:14" hidden="1" x14ac:dyDescent="0.35">
      <c r="A1902" s="52" t="s">
        <v>271</v>
      </c>
      <c r="B1902" s="52" t="s">
        <v>37</v>
      </c>
      <c r="C1902" s="52" t="s">
        <v>99</v>
      </c>
      <c r="D1902" s="52" t="s">
        <v>101</v>
      </c>
      <c r="E1902" s="52" t="s">
        <v>634</v>
      </c>
      <c r="F1902" s="52" t="s">
        <v>581</v>
      </c>
      <c r="G1902" s="55" t="s">
        <v>279</v>
      </c>
      <c r="H1902" s="55">
        <v>108.3776</v>
      </c>
      <c r="I1902" s="55">
        <v>85.264880000000005</v>
      </c>
      <c r="J1902" s="55">
        <v>76.250470000000007</v>
      </c>
      <c r="K1902" s="55">
        <v>68.27928</v>
      </c>
      <c r="L1902" s="55">
        <v>59.750360000000001</v>
      </c>
      <c r="M1902" s="55">
        <v>60.483649999999997</v>
      </c>
      <c r="N1902" s="55">
        <v>52.98075</v>
      </c>
    </row>
    <row r="1903" spans="1:14" hidden="1" x14ac:dyDescent="0.35">
      <c r="A1903" s="52" t="s">
        <v>271</v>
      </c>
      <c r="B1903" s="52" t="s">
        <v>37</v>
      </c>
      <c r="C1903" s="52" t="s">
        <v>99</v>
      </c>
      <c r="D1903" s="52" t="s">
        <v>101</v>
      </c>
      <c r="E1903" s="52" t="s">
        <v>634</v>
      </c>
      <c r="F1903" s="52" t="s">
        <v>26</v>
      </c>
      <c r="G1903" s="55" t="s">
        <v>275</v>
      </c>
      <c r="H1903" s="55">
        <v>-3.2280259999999998</v>
      </c>
      <c r="I1903" s="55">
        <v>-3.096247</v>
      </c>
      <c r="J1903" s="55">
        <v>-2.0011770000000002</v>
      </c>
      <c r="K1903" s="55">
        <v>-2.2306119999999998</v>
      </c>
      <c r="L1903" s="55">
        <v>-1.6805890000000001</v>
      </c>
      <c r="M1903" s="55">
        <v>-2.6325120000000002</v>
      </c>
      <c r="N1903" s="55">
        <v>-2.2836940000000001</v>
      </c>
    </row>
    <row r="1904" spans="1:14" hidden="1" x14ac:dyDescent="0.35">
      <c r="A1904" s="52" t="s">
        <v>271</v>
      </c>
      <c r="B1904" s="52" t="s">
        <v>37</v>
      </c>
      <c r="C1904" s="52" t="s">
        <v>99</v>
      </c>
      <c r="D1904" s="52" t="s">
        <v>101</v>
      </c>
      <c r="E1904" s="52" t="s">
        <v>634</v>
      </c>
      <c r="F1904" s="52" t="s">
        <v>26</v>
      </c>
      <c r="G1904" s="55" t="s">
        <v>276</v>
      </c>
      <c r="H1904" s="55">
        <v>-0.85808090000000004</v>
      </c>
      <c r="I1904" s="55">
        <v>-0.82305430000000002</v>
      </c>
      <c r="J1904" s="55">
        <v>-0.53195910000000002</v>
      </c>
      <c r="K1904" s="55">
        <v>-0.59294619999999998</v>
      </c>
      <c r="L1904" s="55">
        <v>-0.44673740000000001</v>
      </c>
      <c r="M1904" s="55">
        <v>-0.69978090000000004</v>
      </c>
      <c r="N1904" s="55">
        <v>-0.60705770000000003</v>
      </c>
    </row>
    <row r="1905" spans="1:14" hidden="1" x14ac:dyDescent="0.35">
      <c r="A1905" s="52" t="s">
        <v>271</v>
      </c>
      <c r="B1905" s="52" t="s">
        <v>37</v>
      </c>
      <c r="C1905" s="52" t="s">
        <v>99</v>
      </c>
      <c r="D1905" s="52" t="s">
        <v>101</v>
      </c>
      <c r="E1905" s="52" t="s">
        <v>634</v>
      </c>
      <c r="F1905" s="52" t="s">
        <v>26</v>
      </c>
      <c r="G1905" s="55" t="s">
        <v>279</v>
      </c>
      <c r="H1905" s="55">
        <v>18.790959999999998</v>
      </c>
      <c r="I1905" s="55">
        <v>15.96618</v>
      </c>
      <c r="J1905" s="55">
        <v>14.335760000000001</v>
      </c>
      <c r="K1905" s="55">
        <v>13.111510000000001</v>
      </c>
      <c r="L1905" s="55">
        <v>11.66671</v>
      </c>
      <c r="M1905" s="55">
        <v>11.67102</v>
      </c>
      <c r="N1905" s="55">
        <v>10.23433</v>
      </c>
    </row>
    <row r="1906" spans="1:14" hidden="1" x14ac:dyDescent="0.35">
      <c r="A1906" s="52" t="s">
        <v>271</v>
      </c>
      <c r="B1906" s="52" t="s">
        <v>37</v>
      </c>
      <c r="C1906" s="52" t="s">
        <v>266</v>
      </c>
      <c r="D1906" s="52" t="s">
        <v>266</v>
      </c>
      <c r="E1906" s="52" t="s">
        <v>584</v>
      </c>
      <c r="F1906" s="52" t="s">
        <v>581</v>
      </c>
      <c r="G1906" s="55" t="s">
        <v>275</v>
      </c>
      <c r="H1906" s="55">
        <v>1.319704</v>
      </c>
      <c r="I1906" s="55">
        <v>0.2948153</v>
      </c>
      <c r="J1906" s="55">
        <v>0.20123440000000001</v>
      </c>
      <c r="K1906" s="55">
        <v>0.1283079</v>
      </c>
      <c r="L1906" s="55">
        <v>8.2436499999999996E-2</v>
      </c>
      <c r="M1906" s="55">
        <v>-7.936204</v>
      </c>
      <c r="N1906" s="55">
        <v>0</v>
      </c>
    </row>
    <row r="1907" spans="1:14" hidden="1" x14ac:dyDescent="0.35">
      <c r="A1907" s="52" t="s">
        <v>271</v>
      </c>
      <c r="B1907" s="52" t="s">
        <v>37</v>
      </c>
      <c r="C1907" s="52" t="s">
        <v>266</v>
      </c>
      <c r="D1907" s="52" t="s">
        <v>266</v>
      </c>
      <c r="E1907" s="52" t="s">
        <v>584</v>
      </c>
      <c r="F1907" s="52" t="s">
        <v>581</v>
      </c>
      <c r="G1907" s="55" t="s">
        <v>276</v>
      </c>
      <c r="H1907" s="55">
        <v>0.35080699999999998</v>
      </c>
      <c r="I1907" s="55">
        <v>7.8367989999999998E-2</v>
      </c>
      <c r="J1907" s="55">
        <v>5.3492900000000003E-2</v>
      </c>
      <c r="K1907" s="55">
        <v>3.4106999999999998E-2</v>
      </c>
      <c r="L1907" s="55">
        <v>2.1913999999999999E-2</v>
      </c>
      <c r="M1907" s="55">
        <v>-2.1096249999999999</v>
      </c>
      <c r="N1907" s="55">
        <v>0</v>
      </c>
    </row>
    <row r="1908" spans="1:14" hidden="1" x14ac:dyDescent="0.35">
      <c r="A1908" s="52" t="s">
        <v>271</v>
      </c>
      <c r="B1908" s="52" t="s">
        <v>37</v>
      </c>
      <c r="C1908" s="52" t="s">
        <v>266</v>
      </c>
      <c r="D1908" s="52" t="s">
        <v>266</v>
      </c>
      <c r="E1908" s="52" t="s">
        <v>584</v>
      </c>
      <c r="F1908" s="52" t="s">
        <v>581</v>
      </c>
      <c r="G1908" s="55" t="s">
        <v>279</v>
      </c>
      <c r="H1908" s="55">
        <v>0.828851</v>
      </c>
      <c r="I1908" s="55">
        <v>0.43728400000000001</v>
      </c>
      <c r="J1908" s="55">
        <v>0.28759309999999999</v>
      </c>
      <c r="K1908" s="55">
        <v>0.2127954</v>
      </c>
      <c r="L1908" s="55">
        <v>0.15477179999999999</v>
      </c>
      <c r="M1908" s="55">
        <v>10.04583</v>
      </c>
      <c r="N1908" s="55">
        <v>0</v>
      </c>
    </row>
    <row r="1909" spans="1:14" hidden="1" x14ac:dyDescent="0.35">
      <c r="A1909" s="52" t="s">
        <v>271</v>
      </c>
      <c r="B1909" s="52" t="s">
        <v>37</v>
      </c>
      <c r="C1909" s="52" t="s">
        <v>266</v>
      </c>
      <c r="D1909" s="52" t="s">
        <v>266</v>
      </c>
      <c r="E1909" s="52" t="s">
        <v>584</v>
      </c>
      <c r="F1909" s="52" t="s">
        <v>26</v>
      </c>
      <c r="G1909" s="55" t="s">
        <v>275</v>
      </c>
      <c r="H1909" s="55">
        <v>-9.8865049999999997</v>
      </c>
      <c r="I1909" s="55">
        <v>-3.2026059999999998</v>
      </c>
      <c r="J1909" s="55">
        <v>-0.79606520000000003</v>
      </c>
      <c r="K1909" s="55">
        <v>-0.33650930000000001</v>
      </c>
      <c r="L1909" s="55">
        <v>-1.3039350000000001</v>
      </c>
      <c r="M1909" s="55">
        <v>-29.606670000000001</v>
      </c>
      <c r="N1909" s="55">
        <v>0.167905</v>
      </c>
    </row>
    <row r="1910" spans="1:14" hidden="1" x14ac:dyDescent="0.35">
      <c r="A1910" s="52" t="s">
        <v>271</v>
      </c>
      <c r="B1910" s="52" t="s">
        <v>37</v>
      </c>
      <c r="C1910" s="52" t="s">
        <v>266</v>
      </c>
      <c r="D1910" s="52" t="s">
        <v>266</v>
      </c>
      <c r="E1910" s="52" t="s">
        <v>584</v>
      </c>
      <c r="F1910" s="52" t="s">
        <v>26</v>
      </c>
      <c r="G1910" s="55" t="s">
        <v>276</v>
      </c>
      <c r="H1910" s="55">
        <v>-2.7742079999999998</v>
      </c>
      <c r="I1910" s="55">
        <v>-2.3737180000000002</v>
      </c>
      <c r="J1910" s="55">
        <v>-2.6673559999999998</v>
      </c>
      <c r="K1910" s="55">
        <v>-1.7556830000000001</v>
      </c>
      <c r="L1910" s="55">
        <v>-1.2155</v>
      </c>
      <c r="M1910" s="55">
        <v>-8.31053</v>
      </c>
      <c r="N1910" s="55">
        <v>-0.167905</v>
      </c>
    </row>
    <row r="1911" spans="1:14" hidden="1" x14ac:dyDescent="0.35">
      <c r="A1911" s="52" t="s">
        <v>271</v>
      </c>
      <c r="B1911" s="52" t="s">
        <v>37</v>
      </c>
      <c r="C1911" s="52" t="s">
        <v>266</v>
      </c>
      <c r="D1911" s="52" t="s">
        <v>266</v>
      </c>
      <c r="E1911" s="52" t="s">
        <v>584</v>
      </c>
      <c r="F1911" s="52" t="s">
        <v>26</v>
      </c>
      <c r="G1911" s="55" t="s">
        <v>277</v>
      </c>
      <c r="H1911" s="55">
        <v>10.44824</v>
      </c>
      <c r="I1911" s="55">
        <v>3.5568029999999999</v>
      </c>
      <c r="J1911" s="55">
        <v>1.9520150000000001</v>
      </c>
      <c r="K1911" s="55"/>
      <c r="L1911" s="55"/>
      <c r="M1911" s="55"/>
      <c r="N1911" s="55"/>
    </row>
    <row r="1912" spans="1:14" hidden="1" x14ac:dyDescent="0.35">
      <c r="A1912" s="52" t="s">
        <v>271</v>
      </c>
      <c r="B1912" s="52" t="s">
        <v>37</v>
      </c>
      <c r="C1912" s="52" t="s">
        <v>266</v>
      </c>
      <c r="D1912" s="52" t="s">
        <v>266</v>
      </c>
      <c r="E1912" s="52" t="s">
        <v>584</v>
      </c>
      <c r="F1912" s="52" t="s">
        <v>26</v>
      </c>
      <c r="G1912" s="55" t="s">
        <v>279</v>
      </c>
      <c r="H1912" s="55">
        <v>9.4629440000000002</v>
      </c>
      <c r="I1912" s="55">
        <v>7.946472</v>
      </c>
      <c r="J1912" s="55">
        <v>7.5649240000000004</v>
      </c>
      <c r="K1912" s="55">
        <v>8.0187539999999995</v>
      </c>
      <c r="L1912" s="55">
        <v>8.2695179999999997</v>
      </c>
      <c r="M1912" s="55">
        <v>37.917209999999997</v>
      </c>
      <c r="N1912" s="55">
        <v>0</v>
      </c>
    </row>
    <row r="1913" spans="1:14" hidden="1" x14ac:dyDescent="0.35">
      <c r="A1913" s="52" t="s">
        <v>271</v>
      </c>
      <c r="B1913" s="52" t="s">
        <v>37</v>
      </c>
      <c r="C1913" s="52" t="s">
        <v>248</v>
      </c>
      <c r="D1913" s="52" t="s">
        <v>248</v>
      </c>
      <c r="E1913" s="52" t="s">
        <v>635</v>
      </c>
      <c r="F1913" s="52" t="s">
        <v>581</v>
      </c>
      <c r="G1913" s="55" t="s">
        <v>275</v>
      </c>
      <c r="H1913" s="55">
        <v>0.33367799999999997</v>
      </c>
      <c r="I1913" s="55">
        <v>-1.9840770000000001</v>
      </c>
      <c r="J1913" s="55">
        <v>-0.45243250000000002</v>
      </c>
      <c r="K1913" s="55">
        <v>-0.62735730000000001</v>
      </c>
      <c r="L1913" s="55">
        <v>-0.79372949999999998</v>
      </c>
      <c r="M1913" s="55">
        <v>0.70144980000000001</v>
      </c>
      <c r="N1913" s="55">
        <v>0.49973830000000002</v>
      </c>
    </row>
    <row r="1914" spans="1:14" hidden="1" x14ac:dyDescent="0.35">
      <c r="A1914" s="52" t="s">
        <v>271</v>
      </c>
      <c r="B1914" s="52" t="s">
        <v>37</v>
      </c>
      <c r="C1914" s="52" t="s">
        <v>248</v>
      </c>
      <c r="D1914" s="52" t="s">
        <v>248</v>
      </c>
      <c r="E1914" s="52" t="s">
        <v>635</v>
      </c>
      <c r="F1914" s="52" t="s">
        <v>581</v>
      </c>
      <c r="G1914" s="55" t="s">
        <v>276</v>
      </c>
      <c r="H1914" s="55">
        <v>8.8699E-2</v>
      </c>
      <c r="I1914" s="55">
        <v>-4.4727999999999997E-2</v>
      </c>
      <c r="J1914" s="55">
        <v>-4.9888969999999999E-3</v>
      </c>
      <c r="K1914" s="55">
        <v>-2.8880800000000002E-2</v>
      </c>
      <c r="L1914" s="55">
        <v>-3.6987689999999997E-2</v>
      </c>
      <c r="M1914" s="55">
        <v>-0.19321749999999999</v>
      </c>
      <c r="N1914" s="55">
        <v>-5.99518E-2</v>
      </c>
    </row>
    <row r="1915" spans="1:14" hidden="1" x14ac:dyDescent="0.35">
      <c r="A1915" s="52" t="s">
        <v>271</v>
      </c>
      <c r="B1915" s="52" t="s">
        <v>37</v>
      </c>
      <c r="C1915" s="52" t="s">
        <v>248</v>
      </c>
      <c r="D1915" s="52" t="s">
        <v>248</v>
      </c>
      <c r="E1915" s="52" t="s">
        <v>635</v>
      </c>
      <c r="F1915" s="52" t="s">
        <v>581</v>
      </c>
      <c r="G1915" s="55" t="s">
        <v>277</v>
      </c>
      <c r="H1915" s="55">
        <v>0</v>
      </c>
      <c r="I1915" s="55">
        <v>2.268141</v>
      </c>
      <c r="J1915" s="55">
        <v>0.79676910000000001</v>
      </c>
      <c r="K1915" s="55">
        <v>0.86201640000000002</v>
      </c>
      <c r="L1915" s="55">
        <v>1.39838</v>
      </c>
      <c r="M1915" s="55">
        <v>0</v>
      </c>
      <c r="N1915" s="55">
        <v>0</v>
      </c>
    </row>
    <row r="1916" spans="1:14" hidden="1" x14ac:dyDescent="0.35">
      <c r="A1916" s="52" t="s">
        <v>271</v>
      </c>
      <c r="B1916" s="52" t="s">
        <v>37</v>
      </c>
      <c r="C1916" s="52" t="s">
        <v>248</v>
      </c>
      <c r="D1916" s="52" t="s">
        <v>248</v>
      </c>
      <c r="E1916" s="52" t="s">
        <v>635</v>
      </c>
      <c r="F1916" s="52" t="s">
        <v>581</v>
      </c>
      <c r="G1916" s="55" t="s">
        <v>278</v>
      </c>
      <c r="H1916" s="55">
        <v>0</v>
      </c>
      <c r="I1916" s="55">
        <v>1.6310000000000001E-3</v>
      </c>
      <c r="J1916" s="55">
        <v>0.199265</v>
      </c>
      <c r="K1916" s="55">
        <v>0.34873799999999999</v>
      </c>
      <c r="L1916" s="55">
        <v>0.1119028</v>
      </c>
      <c r="M1916" s="55">
        <v>0</v>
      </c>
      <c r="N1916" s="55"/>
    </row>
    <row r="1917" spans="1:14" hidden="1" x14ac:dyDescent="0.35">
      <c r="A1917" s="52" t="s">
        <v>271</v>
      </c>
      <c r="B1917" s="52" t="s">
        <v>37</v>
      </c>
      <c r="C1917" s="52" t="s">
        <v>248</v>
      </c>
      <c r="D1917" s="52" t="s">
        <v>248</v>
      </c>
      <c r="E1917" s="52" t="s">
        <v>635</v>
      </c>
      <c r="F1917" s="52" t="s">
        <v>581</v>
      </c>
      <c r="G1917" s="55" t="s">
        <v>279</v>
      </c>
      <c r="H1917" s="55">
        <v>0.176255</v>
      </c>
      <c r="I1917" s="55">
        <v>0.36881770000000003</v>
      </c>
      <c r="J1917" s="55">
        <v>0.64340920000000001</v>
      </c>
      <c r="K1917" s="55">
        <v>0.67916609999999999</v>
      </c>
      <c r="L1917" s="55">
        <v>0.73633979999999999</v>
      </c>
      <c r="M1917" s="55">
        <v>0.65737109999999999</v>
      </c>
      <c r="N1917" s="55">
        <v>0.46653020000000001</v>
      </c>
    </row>
    <row r="1918" spans="1:14" hidden="1" x14ac:dyDescent="0.35">
      <c r="A1918" s="52" t="s">
        <v>271</v>
      </c>
      <c r="B1918" s="52" t="s">
        <v>37</v>
      </c>
      <c r="C1918" s="52" t="s">
        <v>248</v>
      </c>
      <c r="D1918" s="52" t="s">
        <v>248</v>
      </c>
      <c r="E1918" s="52" t="s">
        <v>635</v>
      </c>
      <c r="F1918" s="52" t="s">
        <v>26</v>
      </c>
      <c r="G1918" s="55" t="s">
        <v>275</v>
      </c>
      <c r="H1918" s="55">
        <v>-6.4999999999999994E-5</v>
      </c>
      <c r="I1918" s="55">
        <v>-1.03E-4</v>
      </c>
      <c r="J1918" s="55">
        <v>3.678E-4</v>
      </c>
      <c r="K1918" s="55">
        <v>1.76E-4</v>
      </c>
      <c r="L1918" s="55">
        <v>4.224001E-4</v>
      </c>
      <c r="M1918" s="55">
        <v>-2.8269999999999999E-4</v>
      </c>
      <c r="N1918" s="55">
        <v>-1.9599999999999999E-4</v>
      </c>
    </row>
    <row r="1919" spans="1:14" hidden="1" x14ac:dyDescent="0.35">
      <c r="A1919" s="52" t="s">
        <v>271</v>
      </c>
      <c r="B1919" s="52" t="s">
        <v>37</v>
      </c>
      <c r="C1919" s="52" t="s">
        <v>248</v>
      </c>
      <c r="D1919" s="52" t="s">
        <v>248</v>
      </c>
      <c r="E1919" s="52" t="s">
        <v>635</v>
      </c>
      <c r="F1919" s="52" t="s">
        <v>26</v>
      </c>
      <c r="G1919" s="55" t="s">
        <v>276</v>
      </c>
      <c r="H1919" s="55">
        <v>-1.8E-5</v>
      </c>
      <c r="I1919" s="55">
        <v>-2.7900000000000001E-5</v>
      </c>
      <c r="J1919" s="55">
        <v>9.8500009999999996E-5</v>
      </c>
      <c r="K1919" s="55">
        <v>4.6699999999999997E-5</v>
      </c>
      <c r="L1919" s="55">
        <v>1.1069999999999999E-4</v>
      </c>
      <c r="M1919" s="55">
        <v>-7.4999999999999993E-5</v>
      </c>
      <c r="N1919" s="55">
        <v>-5.2500000000000002E-5</v>
      </c>
    </row>
    <row r="1920" spans="1:14" hidden="1" x14ac:dyDescent="0.35">
      <c r="A1920" s="52" t="s">
        <v>271</v>
      </c>
      <c r="B1920" s="52" t="s">
        <v>37</v>
      </c>
      <c r="C1920" s="52" t="s">
        <v>248</v>
      </c>
      <c r="D1920" s="52" t="s">
        <v>248</v>
      </c>
      <c r="E1920" s="52" t="s">
        <v>635</v>
      </c>
      <c r="F1920" s="52" t="s">
        <v>26</v>
      </c>
      <c r="G1920" s="55" t="s">
        <v>279</v>
      </c>
      <c r="H1920" s="55">
        <v>1.846E-3</v>
      </c>
      <c r="I1920" s="55">
        <v>3.4970000000000001E-3</v>
      </c>
      <c r="J1920" s="55">
        <v>6.3359990000000001E-3</v>
      </c>
      <c r="K1920" s="55">
        <v>6.7809999999999997E-3</v>
      </c>
      <c r="L1920" s="55">
        <v>7.5557000000000003E-3</v>
      </c>
      <c r="M1920" s="55">
        <v>6.9903999999999999E-3</v>
      </c>
      <c r="N1920" s="55">
        <v>5.3597000000000002E-3</v>
      </c>
    </row>
    <row r="1921" spans="1:14" hidden="1" x14ac:dyDescent="0.35">
      <c r="A1921" s="52" t="s">
        <v>271</v>
      </c>
      <c r="B1921" s="52" t="s">
        <v>37</v>
      </c>
      <c r="C1921" s="52" t="s">
        <v>46</v>
      </c>
      <c r="D1921" s="52" t="s">
        <v>46</v>
      </c>
      <c r="E1921" s="52" t="s">
        <v>584</v>
      </c>
      <c r="F1921" s="52" t="s">
        <v>581</v>
      </c>
      <c r="G1921" s="55" t="s">
        <v>275</v>
      </c>
      <c r="H1921" s="55">
        <v>1.9120999999999999E-2</v>
      </c>
      <c r="I1921" s="55">
        <v>0</v>
      </c>
      <c r="J1921" s="55"/>
      <c r="K1921" s="55"/>
      <c r="L1921" s="55"/>
      <c r="M1921" s="55"/>
      <c r="N1921" s="55"/>
    </row>
    <row r="1922" spans="1:14" hidden="1" x14ac:dyDescent="0.35">
      <c r="A1922" s="52" t="s">
        <v>271</v>
      </c>
      <c r="B1922" s="52" t="s">
        <v>37</v>
      </c>
      <c r="C1922" s="52" t="s">
        <v>46</v>
      </c>
      <c r="D1922" s="52" t="s">
        <v>46</v>
      </c>
      <c r="E1922" s="52" t="s">
        <v>584</v>
      </c>
      <c r="F1922" s="52" t="s">
        <v>581</v>
      </c>
      <c r="G1922" s="55" t="s">
        <v>276</v>
      </c>
      <c r="H1922" s="55">
        <v>5.0829999999999998E-3</v>
      </c>
      <c r="I1922" s="55">
        <v>0</v>
      </c>
      <c r="J1922" s="55"/>
      <c r="K1922" s="55"/>
      <c r="L1922" s="55"/>
      <c r="M1922" s="55"/>
      <c r="N1922" s="55"/>
    </row>
    <row r="1923" spans="1:14" hidden="1" x14ac:dyDescent="0.35">
      <c r="A1923" s="52" t="s">
        <v>271</v>
      </c>
      <c r="B1923" s="52" t="s">
        <v>37</v>
      </c>
      <c r="C1923" s="52" t="s">
        <v>46</v>
      </c>
      <c r="D1923" s="52" t="s">
        <v>46</v>
      </c>
      <c r="E1923" s="52" t="s">
        <v>584</v>
      </c>
      <c r="F1923" s="52" t="s">
        <v>581</v>
      </c>
      <c r="G1923" s="55" t="s">
        <v>279</v>
      </c>
      <c r="H1923" s="55">
        <v>1.1417999999999999E-2</v>
      </c>
      <c r="I1923" s="55">
        <v>0</v>
      </c>
      <c r="J1923" s="55"/>
      <c r="K1923" s="55"/>
      <c r="L1923" s="55"/>
      <c r="M1923" s="55"/>
      <c r="N1923" s="55"/>
    </row>
    <row r="1924" spans="1:14" hidden="1" x14ac:dyDescent="0.35">
      <c r="A1924" s="52" t="s">
        <v>271</v>
      </c>
      <c r="B1924" s="52" t="s">
        <v>37</v>
      </c>
      <c r="C1924" s="52" t="s">
        <v>46</v>
      </c>
      <c r="D1924" s="52" t="s">
        <v>46</v>
      </c>
      <c r="E1924" s="52" t="s">
        <v>584</v>
      </c>
      <c r="F1924" s="52" t="s">
        <v>26</v>
      </c>
      <c r="G1924" s="55" t="s">
        <v>275</v>
      </c>
      <c r="H1924" s="55">
        <v>-4.8432279999999999</v>
      </c>
      <c r="I1924" s="55">
        <v>-3.7658689999999999</v>
      </c>
      <c r="J1924" s="55">
        <v>-2.9308380000000001</v>
      </c>
      <c r="K1924" s="55">
        <v>-4.5615610000000002</v>
      </c>
      <c r="L1924" s="55">
        <v>-5.0761260000000004</v>
      </c>
      <c r="M1924" s="55">
        <v>-5.3155830000000002</v>
      </c>
      <c r="N1924" s="55">
        <v>-5.4788480000000002</v>
      </c>
    </row>
    <row r="1925" spans="1:14" hidden="1" x14ac:dyDescent="0.35">
      <c r="A1925" s="52" t="s">
        <v>271</v>
      </c>
      <c r="B1925" s="52" t="s">
        <v>37</v>
      </c>
      <c r="C1925" s="52" t="s">
        <v>46</v>
      </c>
      <c r="D1925" s="52" t="s">
        <v>46</v>
      </c>
      <c r="E1925" s="52" t="s">
        <v>584</v>
      </c>
      <c r="F1925" s="52" t="s">
        <v>26</v>
      </c>
      <c r="G1925" s="55" t="s">
        <v>276</v>
      </c>
      <c r="H1925" s="55">
        <v>-1.51701</v>
      </c>
      <c r="I1925" s="55">
        <v>-1.446669</v>
      </c>
      <c r="J1925" s="55">
        <v>-2.0506859999999998</v>
      </c>
      <c r="K1925" s="55">
        <v>-1.365972</v>
      </c>
      <c r="L1925" s="55">
        <v>-1.283355</v>
      </c>
      <c r="M1925" s="55">
        <v>-1.229555</v>
      </c>
      <c r="N1925" s="55">
        <v>-1.2572760000000001</v>
      </c>
    </row>
    <row r="1926" spans="1:14" hidden="1" x14ac:dyDescent="0.35">
      <c r="A1926" s="52" t="s">
        <v>271</v>
      </c>
      <c r="B1926" s="52" t="s">
        <v>37</v>
      </c>
      <c r="C1926" s="52" t="s">
        <v>46</v>
      </c>
      <c r="D1926" s="52" t="s">
        <v>46</v>
      </c>
      <c r="E1926" s="52" t="s">
        <v>584</v>
      </c>
      <c r="F1926" s="52" t="s">
        <v>26</v>
      </c>
      <c r="G1926" s="55" t="s">
        <v>277</v>
      </c>
      <c r="H1926" s="55">
        <v>5.7299740000000003</v>
      </c>
      <c r="I1926" s="55">
        <v>4.6370360000000002</v>
      </c>
      <c r="J1926" s="55">
        <v>4.4536040000000003</v>
      </c>
      <c r="K1926" s="55">
        <v>5.2805739999999997</v>
      </c>
      <c r="L1926" s="55">
        <v>5.6063150000000004</v>
      </c>
      <c r="M1926" s="55">
        <v>5.773021</v>
      </c>
      <c r="N1926" s="55">
        <v>5.9441410000000001</v>
      </c>
    </row>
    <row r="1927" spans="1:14" hidden="1" x14ac:dyDescent="0.35">
      <c r="A1927" s="52" t="s">
        <v>271</v>
      </c>
      <c r="B1927" s="52" t="s">
        <v>37</v>
      </c>
      <c r="C1927" s="52" t="s">
        <v>46</v>
      </c>
      <c r="D1927" s="52" t="s">
        <v>46</v>
      </c>
      <c r="E1927" s="52" t="s">
        <v>584</v>
      </c>
      <c r="F1927" s="52" t="s">
        <v>26</v>
      </c>
      <c r="G1927" s="55" t="s">
        <v>279</v>
      </c>
      <c r="H1927" s="55">
        <v>1.4424110000000001</v>
      </c>
      <c r="I1927" s="55">
        <v>1.270043</v>
      </c>
      <c r="J1927" s="55">
        <v>1.2700579999999999</v>
      </c>
      <c r="K1927" s="55">
        <v>1.407767</v>
      </c>
      <c r="L1927" s="55">
        <v>1.533574</v>
      </c>
      <c r="M1927" s="55">
        <v>1.5721320000000001</v>
      </c>
      <c r="N1927" s="55">
        <v>1.6116010000000001</v>
      </c>
    </row>
    <row r="1928" spans="1:14" hidden="1" x14ac:dyDescent="0.35">
      <c r="A1928" s="52" t="s">
        <v>271</v>
      </c>
      <c r="B1928" s="52" t="s">
        <v>37</v>
      </c>
      <c r="C1928" s="52" t="s">
        <v>118</v>
      </c>
      <c r="D1928" s="52" t="s">
        <v>118</v>
      </c>
      <c r="E1928" s="52" t="s">
        <v>584</v>
      </c>
      <c r="F1928" s="52" t="s">
        <v>581</v>
      </c>
      <c r="G1928" s="55" t="s">
        <v>275</v>
      </c>
      <c r="H1928" s="55">
        <v>0.23525299999999999</v>
      </c>
      <c r="I1928" s="55">
        <v>2.66243E-2</v>
      </c>
      <c r="J1928" s="55">
        <v>2.9612900000000001E-2</v>
      </c>
      <c r="K1928" s="55">
        <v>2.3305200000000002E-2</v>
      </c>
      <c r="L1928" s="55">
        <v>2.74615E-2</v>
      </c>
      <c r="M1928" s="55">
        <v>8.5056999999999997E-3</v>
      </c>
      <c r="N1928" s="55">
        <v>8.4476010000000008E-3</v>
      </c>
    </row>
    <row r="1929" spans="1:14" hidden="1" x14ac:dyDescent="0.35">
      <c r="A1929" s="52" t="s">
        <v>271</v>
      </c>
      <c r="B1929" s="52" t="s">
        <v>37</v>
      </c>
      <c r="C1929" s="52" t="s">
        <v>118</v>
      </c>
      <c r="D1929" s="52" t="s">
        <v>118</v>
      </c>
      <c r="E1929" s="52" t="s">
        <v>584</v>
      </c>
      <c r="F1929" s="52" t="s">
        <v>581</v>
      </c>
      <c r="G1929" s="55" t="s">
        <v>276</v>
      </c>
      <c r="H1929" s="55">
        <v>6.2535999999999994E-2</v>
      </c>
      <c r="I1929" s="55">
        <v>7.0778000000000004E-3</v>
      </c>
      <c r="J1929" s="55">
        <v>7.8722010000000005E-3</v>
      </c>
      <c r="K1929" s="55">
        <v>6.1948999999999997E-3</v>
      </c>
      <c r="L1929" s="55">
        <v>7.3000010000000004E-3</v>
      </c>
      <c r="M1929" s="55">
        <v>2.2612999999999999E-3</v>
      </c>
      <c r="N1929" s="55">
        <v>2.2449000000000002E-3</v>
      </c>
    </row>
    <row r="1930" spans="1:14" hidden="1" x14ac:dyDescent="0.35">
      <c r="A1930" s="52" t="s">
        <v>271</v>
      </c>
      <c r="B1930" s="52" t="s">
        <v>37</v>
      </c>
      <c r="C1930" s="52" t="s">
        <v>118</v>
      </c>
      <c r="D1930" s="52" t="s">
        <v>118</v>
      </c>
      <c r="E1930" s="52" t="s">
        <v>584</v>
      </c>
      <c r="F1930" s="52" t="s">
        <v>581</v>
      </c>
      <c r="G1930" s="55" t="s">
        <v>279</v>
      </c>
      <c r="H1930" s="55">
        <v>0.29868</v>
      </c>
      <c r="I1930" s="55">
        <v>0.22661310000000001</v>
      </c>
      <c r="J1930" s="55">
        <v>0.19810990000000001</v>
      </c>
      <c r="K1930" s="55">
        <v>0.18899460000000001</v>
      </c>
      <c r="L1930" s="55">
        <v>0.1678346</v>
      </c>
      <c r="M1930" s="55">
        <v>0.17755399999999999</v>
      </c>
      <c r="N1930" s="55">
        <v>0.16336419999999999</v>
      </c>
    </row>
    <row r="1931" spans="1:14" hidden="1" x14ac:dyDescent="0.35">
      <c r="A1931" s="52" t="s">
        <v>271</v>
      </c>
      <c r="B1931" s="52" t="s">
        <v>37</v>
      </c>
      <c r="C1931" s="52" t="s">
        <v>118</v>
      </c>
      <c r="D1931" s="52" t="s">
        <v>118</v>
      </c>
      <c r="E1931" s="52" t="s">
        <v>584</v>
      </c>
      <c r="F1931" s="52" t="s">
        <v>26</v>
      </c>
      <c r="G1931" s="55" t="s">
        <v>275</v>
      </c>
      <c r="H1931" s="55">
        <v>4.8863999999999998E-2</v>
      </c>
      <c r="I1931" s="55">
        <v>2.1740700000000002E-2</v>
      </c>
      <c r="J1931" s="55">
        <v>5.2047400000000001E-2</v>
      </c>
      <c r="K1931" s="55">
        <v>3.3019399999999997E-2</v>
      </c>
      <c r="L1931" s="55">
        <v>3.5747399999999999E-2</v>
      </c>
      <c r="M1931" s="55">
        <v>4.2640050000000002E-4</v>
      </c>
      <c r="N1931" s="55">
        <v>2.6250070000000001E-4</v>
      </c>
    </row>
    <row r="1932" spans="1:14" hidden="1" x14ac:dyDescent="0.35">
      <c r="A1932" s="52" t="s">
        <v>271</v>
      </c>
      <c r="B1932" s="52" t="s">
        <v>37</v>
      </c>
      <c r="C1932" s="52" t="s">
        <v>118</v>
      </c>
      <c r="D1932" s="52" t="s">
        <v>118</v>
      </c>
      <c r="E1932" s="52" t="s">
        <v>584</v>
      </c>
      <c r="F1932" s="52" t="s">
        <v>26</v>
      </c>
      <c r="G1932" s="55" t="s">
        <v>276</v>
      </c>
      <c r="H1932" s="55">
        <v>1.2989000000000001E-2</v>
      </c>
      <c r="I1932" s="55">
        <v>5.7797999999999999E-3</v>
      </c>
      <c r="J1932" s="55">
        <v>1.3835500000000001E-2</v>
      </c>
      <c r="K1932" s="55">
        <v>8.7771010000000007E-3</v>
      </c>
      <c r="L1932" s="55">
        <v>9.5024010000000006E-3</v>
      </c>
      <c r="M1932" s="55">
        <v>1.1400020000000001E-4</v>
      </c>
      <c r="N1932" s="55">
        <v>6.9600060000000002E-5</v>
      </c>
    </row>
    <row r="1933" spans="1:14" hidden="1" x14ac:dyDescent="0.35">
      <c r="A1933" s="52" t="s">
        <v>271</v>
      </c>
      <c r="B1933" s="52" t="s">
        <v>37</v>
      </c>
      <c r="C1933" s="52" t="s">
        <v>118</v>
      </c>
      <c r="D1933" s="52" t="s">
        <v>118</v>
      </c>
      <c r="E1933" s="52" t="s">
        <v>584</v>
      </c>
      <c r="F1933" s="52" t="s">
        <v>26</v>
      </c>
      <c r="G1933" s="55" t="s">
        <v>279</v>
      </c>
      <c r="H1933" s="55">
        <v>0.65862889999999996</v>
      </c>
      <c r="I1933" s="55">
        <v>0.52844630000000004</v>
      </c>
      <c r="J1933" s="55">
        <v>0.46722710000000001</v>
      </c>
      <c r="K1933" s="55">
        <v>0.45006679999999999</v>
      </c>
      <c r="L1933" s="55">
        <v>0.40882540000000001</v>
      </c>
      <c r="M1933" s="55">
        <v>0.41947669999999998</v>
      </c>
      <c r="N1933" s="55">
        <v>0.3858239</v>
      </c>
    </row>
    <row r="1934" spans="1:14" hidden="1" x14ac:dyDescent="0.35">
      <c r="A1934" s="52" t="s">
        <v>271</v>
      </c>
      <c r="B1934" s="52" t="s">
        <v>37</v>
      </c>
      <c r="C1934" s="52" t="s">
        <v>109</v>
      </c>
      <c r="D1934" s="52" t="s">
        <v>109</v>
      </c>
      <c r="E1934" s="52" t="s">
        <v>584</v>
      </c>
      <c r="F1934" s="52" t="s">
        <v>581</v>
      </c>
      <c r="G1934" s="55" t="s">
        <v>275</v>
      </c>
      <c r="H1934" s="55">
        <v>0</v>
      </c>
      <c r="I1934" s="55"/>
      <c r="J1934" s="55">
        <v>0</v>
      </c>
      <c r="K1934" s="55">
        <v>0</v>
      </c>
      <c r="L1934" s="55">
        <v>0</v>
      </c>
      <c r="M1934" s="55">
        <v>0</v>
      </c>
      <c r="N1934" s="55">
        <v>0</v>
      </c>
    </row>
    <row r="1935" spans="1:14" hidden="1" x14ac:dyDescent="0.35">
      <c r="A1935" s="52" t="s">
        <v>271</v>
      </c>
      <c r="B1935" s="52" t="s">
        <v>37</v>
      </c>
      <c r="C1935" s="52" t="s">
        <v>318</v>
      </c>
      <c r="D1935" s="52" t="s">
        <v>318</v>
      </c>
      <c r="E1935" s="52" t="s">
        <v>584</v>
      </c>
      <c r="F1935" s="52" t="s">
        <v>581</v>
      </c>
      <c r="G1935" s="55" t="s">
        <v>275</v>
      </c>
      <c r="H1935" s="55">
        <v>0</v>
      </c>
      <c r="I1935" s="55"/>
      <c r="J1935" s="55"/>
      <c r="K1935" s="55"/>
      <c r="L1935" s="55"/>
      <c r="M1935" s="55"/>
      <c r="N1935" s="55"/>
    </row>
    <row r="1936" spans="1:14" hidden="1" x14ac:dyDescent="0.35">
      <c r="A1936" s="52" t="s">
        <v>271</v>
      </c>
      <c r="B1936" s="52" t="s">
        <v>37</v>
      </c>
      <c r="C1936" s="52" t="s">
        <v>61</v>
      </c>
      <c r="D1936" s="52" t="s">
        <v>62</v>
      </c>
      <c r="E1936" s="52" t="s">
        <v>584</v>
      </c>
      <c r="F1936" s="52" t="s">
        <v>581</v>
      </c>
      <c r="G1936" s="55" t="s">
        <v>275</v>
      </c>
      <c r="H1936" s="55">
        <v>0</v>
      </c>
      <c r="I1936" s="55"/>
      <c r="J1936" s="55">
        <v>0</v>
      </c>
      <c r="K1936" s="55">
        <v>0</v>
      </c>
      <c r="L1936" s="55">
        <v>0</v>
      </c>
      <c r="M1936" s="55">
        <v>0</v>
      </c>
      <c r="N1936" s="55">
        <v>0</v>
      </c>
    </row>
    <row r="1937" spans="1:14" hidden="1" x14ac:dyDescent="0.35">
      <c r="A1937" s="52" t="s">
        <v>271</v>
      </c>
      <c r="B1937" s="52" t="s">
        <v>37</v>
      </c>
      <c r="C1937" s="52" t="s">
        <v>318</v>
      </c>
      <c r="D1937" s="52" t="s">
        <v>318</v>
      </c>
      <c r="E1937" s="52" t="s">
        <v>584</v>
      </c>
      <c r="F1937" s="52" t="s">
        <v>581</v>
      </c>
      <c r="G1937" s="55" t="s">
        <v>276</v>
      </c>
      <c r="H1937" s="55">
        <v>0</v>
      </c>
      <c r="I1937" s="55"/>
      <c r="J1937" s="55"/>
      <c r="K1937" s="55"/>
      <c r="L1937" s="55"/>
      <c r="M1937" s="55"/>
      <c r="N1937" s="55"/>
    </row>
    <row r="1938" spans="1:14" hidden="1" x14ac:dyDescent="0.35">
      <c r="A1938" s="52" t="s">
        <v>271</v>
      </c>
      <c r="B1938" s="52" t="s">
        <v>37</v>
      </c>
      <c r="C1938" s="52" t="s">
        <v>61</v>
      </c>
      <c r="D1938" s="52" t="s">
        <v>62</v>
      </c>
      <c r="E1938" s="52" t="s">
        <v>584</v>
      </c>
      <c r="F1938" s="52" t="s">
        <v>581</v>
      </c>
      <c r="G1938" s="55" t="s">
        <v>276</v>
      </c>
      <c r="H1938" s="55"/>
      <c r="I1938" s="55"/>
      <c r="J1938" s="55">
        <v>0</v>
      </c>
      <c r="K1938" s="55">
        <v>0</v>
      </c>
      <c r="L1938" s="55">
        <v>0</v>
      </c>
      <c r="M1938" s="55">
        <v>0</v>
      </c>
      <c r="N1938" s="55">
        <v>0</v>
      </c>
    </row>
    <row r="1939" spans="1:14" hidden="1" x14ac:dyDescent="0.35">
      <c r="A1939" s="52" t="s">
        <v>271</v>
      </c>
      <c r="B1939" s="52" t="s">
        <v>37</v>
      </c>
      <c r="C1939" s="52" t="s">
        <v>109</v>
      </c>
      <c r="D1939" s="52" t="s">
        <v>109</v>
      </c>
      <c r="E1939" s="52" t="s">
        <v>584</v>
      </c>
      <c r="F1939" s="52" t="s">
        <v>581</v>
      </c>
      <c r="G1939" s="55" t="s">
        <v>276</v>
      </c>
      <c r="H1939" s="55"/>
      <c r="I1939" s="55"/>
      <c r="J1939" s="55">
        <v>0</v>
      </c>
      <c r="K1939" s="55">
        <v>0</v>
      </c>
      <c r="L1939" s="55">
        <v>0</v>
      </c>
      <c r="M1939" s="55">
        <v>0</v>
      </c>
      <c r="N1939" s="55">
        <v>0</v>
      </c>
    </row>
    <row r="1940" spans="1:14" hidden="1" x14ac:dyDescent="0.35">
      <c r="A1940" s="52" t="s">
        <v>271</v>
      </c>
      <c r="B1940" s="52" t="s">
        <v>37</v>
      </c>
      <c r="C1940" s="52" t="s">
        <v>61</v>
      </c>
      <c r="D1940" s="52" t="s">
        <v>62</v>
      </c>
      <c r="E1940" s="52" t="s">
        <v>584</v>
      </c>
      <c r="F1940" s="52" t="s">
        <v>581</v>
      </c>
      <c r="G1940" s="55" t="s">
        <v>278</v>
      </c>
      <c r="H1940" s="55"/>
      <c r="I1940" s="55"/>
      <c r="J1940" s="55">
        <v>0</v>
      </c>
      <c r="K1940" s="55">
        <v>0</v>
      </c>
      <c r="L1940" s="55">
        <v>0</v>
      </c>
      <c r="M1940" s="55">
        <v>0</v>
      </c>
      <c r="N1940" s="55">
        <v>0</v>
      </c>
    </row>
    <row r="1941" spans="1:14" hidden="1" x14ac:dyDescent="0.35">
      <c r="A1941" s="52" t="s">
        <v>271</v>
      </c>
      <c r="B1941" s="52" t="s">
        <v>37</v>
      </c>
      <c r="C1941" s="52" t="s">
        <v>109</v>
      </c>
      <c r="D1941" s="52" t="s">
        <v>109</v>
      </c>
      <c r="E1941" s="52" t="s">
        <v>584</v>
      </c>
      <c r="F1941" s="52" t="s">
        <v>581</v>
      </c>
      <c r="G1941" s="55" t="s">
        <v>278</v>
      </c>
      <c r="H1941" s="55"/>
      <c r="I1941" s="55"/>
      <c r="J1941" s="55">
        <v>0</v>
      </c>
      <c r="K1941" s="55">
        <v>0</v>
      </c>
      <c r="L1941" s="55">
        <v>0</v>
      </c>
      <c r="M1941" s="55">
        <v>0</v>
      </c>
      <c r="N1941" s="55">
        <v>0</v>
      </c>
    </row>
    <row r="1942" spans="1:14" hidden="1" x14ac:dyDescent="0.35">
      <c r="A1942" s="52" t="s">
        <v>271</v>
      </c>
      <c r="B1942" s="52" t="s">
        <v>37</v>
      </c>
      <c r="C1942" s="52" t="s">
        <v>318</v>
      </c>
      <c r="D1942" s="52" t="s">
        <v>318</v>
      </c>
      <c r="E1942" s="52" t="s">
        <v>584</v>
      </c>
      <c r="F1942" s="52" t="s">
        <v>581</v>
      </c>
      <c r="G1942" s="55" t="s">
        <v>278</v>
      </c>
      <c r="H1942" s="55">
        <v>0</v>
      </c>
      <c r="I1942" s="55"/>
      <c r="J1942" s="55"/>
      <c r="K1942" s="55"/>
      <c r="L1942" s="55"/>
      <c r="M1942" s="55"/>
      <c r="N1942" s="55"/>
    </row>
    <row r="1943" spans="1:14" hidden="1" x14ac:dyDescent="0.35">
      <c r="A1943" s="52" t="s">
        <v>271</v>
      </c>
      <c r="B1943" s="52" t="s">
        <v>37</v>
      </c>
      <c r="C1943" s="52" t="s">
        <v>318</v>
      </c>
      <c r="D1943" s="52" t="s">
        <v>318</v>
      </c>
      <c r="E1943" s="52" t="s">
        <v>584</v>
      </c>
      <c r="F1943" s="52" t="s">
        <v>26</v>
      </c>
      <c r="G1943" s="55" t="s">
        <v>275</v>
      </c>
      <c r="H1943" s="55">
        <v>0</v>
      </c>
      <c r="I1943" s="55"/>
      <c r="J1943" s="55"/>
      <c r="K1943" s="55"/>
      <c r="L1943" s="55"/>
      <c r="M1943" s="55"/>
      <c r="N1943" s="55"/>
    </row>
    <row r="1944" spans="1:14" hidden="1" x14ac:dyDescent="0.35">
      <c r="A1944" s="52" t="s">
        <v>271</v>
      </c>
      <c r="B1944" s="52" t="s">
        <v>37</v>
      </c>
      <c r="C1944" s="52" t="s">
        <v>318</v>
      </c>
      <c r="D1944" s="52" t="s">
        <v>318</v>
      </c>
      <c r="E1944" s="52" t="s">
        <v>584</v>
      </c>
      <c r="F1944" s="52" t="s">
        <v>26</v>
      </c>
      <c r="G1944" s="55" t="s">
        <v>276</v>
      </c>
      <c r="H1944" s="55">
        <v>0</v>
      </c>
      <c r="I1944" s="55"/>
      <c r="J1944" s="55"/>
      <c r="K1944" s="55"/>
      <c r="L1944" s="55"/>
      <c r="M1944" s="55"/>
      <c r="N1944" s="55"/>
    </row>
    <row r="1945" spans="1:14" hidden="1" x14ac:dyDescent="0.35">
      <c r="A1945" s="52" t="s">
        <v>271</v>
      </c>
      <c r="B1945" s="52" t="s">
        <v>37</v>
      </c>
      <c r="C1945" s="52" t="s">
        <v>318</v>
      </c>
      <c r="D1945" s="52" t="s">
        <v>318</v>
      </c>
      <c r="E1945" s="52" t="s">
        <v>584</v>
      </c>
      <c r="F1945" s="52" t="s">
        <v>26</v>
      </c>
      <c r="G1945" s="55" t="s">
        <v>278</v>
      </c>
      <c r="H1945" s="55">
        <v>0</v>
      </c>
      <c r="I1945" s="55"/>
      <c r="J1945" s="55"/>
      <c r="K1945" s="55"/>
      <c r="L1945" s="55"/>
      <c r="M1945" s="55"/>
      <c r="N1945" s="55"/>
    </row>
    <row r="1946" spans="1:14" hidden="1" x14ac:dyDescent="0.35">
      <c r="A1946" s="52" t="s">
        <v>271</v>
      </c>
      <c r="B1946" s="52" t="s">
        <v>34</v>
      </c>
      <c r="C1946" s="52" t="s">
        <v>33</v>
      </c>
      <c r="D1946" s="52" t="s">
        <v>33</v>
      </c>
      <c r="E1946" s="52" t="s">
        <v>605</v>
      </c>
      <c r="F1946" s="52" t="s">
        <v>581</v>
      </c>
      <c r="G1946" s="55" t="s">
        <v>275</v>
      </c>
      <c r="H1946" s="55">
        <v>146.7757</v>
      </c>
      <c r="I1946" s="55">
        <v>59.135330000000003</v>
      </c>
      <c r="J1946" s="55">
        <v>59.265509999999999</v>
      </c>
      <c r="K1946" s="55">
        <v>52.422429999999999</v>
      </c>
      <c r="L1946" s="55">
        <v>46.13438</v>
      </c>
      <c r="M1946" s="55">
        <v>44.076639999999998</v>
      </c>
      <c r="N1946" s="55">
        <v>40.49165</v>
      </c>
    </row>
    <row r="1947" spans="1:14" hidden="1" x14ac:dyDescent="0.35">
      <c r="A1947" s="52" t="s">
        <v>271</v>
      </c>
      <c r="B1947" s="52" t="s">
        <v>34</v>
      </c>
      <c r="C1947" s="52" t="s">
        <v>33</v>
      </c>
      <c r="D1947" s="52" t="s">
        <v>33</v>
      </c>
      <c r="E1947" s="52" t="s">
        <v>605</v>
      </c>
      <c r="F1947" s="52" t="s">
        <v>581</v>
      </c>
      <c r="G1947" s="55" t="s">
        <v>276</v>
      </c>
      <c r="H1947" s="55">
        <v>50.065829999999998</v>
      </c>
      <c r="I1947" s="55">
        <v>19.711790000000001</v>
      </c>
      <c r="J1947" s="55">
        <v>19.38353</v>
      </c>
      <c r="K1947" s="55">
        <v>16.818000000000001</v>
      </c>
      <c r="L1947" s="55">
        <v>14.79499</v>
      </c>
      <c r="M1947" s="55">
        <v>14.12636</v>
      </c>
      <c r="N1947" s="55">
        <v>12.97612</v>
      </c>
    </row>
    <row r="1948" spans="1:14" hidden="1" x14ac:dyDescent="0.35">
      <c r="A1948" s="52" t="s">
        <v>271</v>
      </c>
      <c r="B1948" s="52" t="s">
        <v>34</v>
      </c>
      <c r="C1948" s="52" t="s">
        <v>33</v>
      </c>
      <c r="D1948" s="52" t="s">
        <v>33</v>
      </c>
      <c r="E1948" s="52" t="s">
        <v>605</v>
      </c>
      <c r="F1948" s="52" t="s">
        <v>581</v>
      </c>
      <c r="G1948" s="55" t="s">
        <v>279</v>
      </c>
      <c r="H1948" s="55">
        <v>43.603400000000001</v>
      </c>
      <c r="I1948" s="55">
        <v>47.064770000000003</v>
      </c>
      <c r="J1948" s="55">
        <v>46.681179999999998</v>
      </c>
      <c r="K1948" s="55">
        <v>43.029949999999999</v>
      </c>
      <c r="L1948" s="55">
        <v>38.28116</v>
      </c>
      <c r="M1948" s="55">
        <v>32.968029999999999</v>
      </c>
      <c r="N1948" s="55">
        <v>30.06878</v>
      </c>
    </row>
    <row r="1949" spans="1:14" hidden="1" x14ac:dyDescent="0.35">
      <c r="A1949" s="52" t="s">
        <v>271</v>
      </c>
      <c r="B1949" s="52" t="s">
        <v>34</v>
      </c>
      <c r="C1949" s="52" t="s">
        <v>33</v>
      </c>
      <c r="D1949" s="52" t="s">
        <v>33</v>
      </c>
      <c r="E1949" s="52" t="s">
        <v>605</v>
      </c>
      <c r="F1949" s="52" t="s">
        <v>26</v>
      </c>
      <c r="G1949" s="55" t="s">
        <v>275</v>
      </c>
      <c r="H1949" s="55">
        <v>-248.39869999999999</v>
      </c>
      <c r="I1949" s="55">
        <v>-98.999549999999999</v>
      </c>
      <c r="J1949" s="55">
        <v>-129.97130000000001</v>
      </c>
      <c r="K1949" s="55">
        <v>-159.79759999999999</v>
      </c>
      <c r="L1949" s="55">
        <v>-178.0232</v>
      </c>
      <c r="M1949" s="55">
        <v>-141.69800000000001</v>
      </c>
      <c r="N1949" s="55">
        <v>-138.3022</v>
      </c>
    </row>
    <row r="1950" spans="1:14" hidden="1" x14ac:dyDescent="0.35">
      <c r="A1950" s="52" t="s">
        <v>271</v>
      </c>
      <c r="B1950" s="52" t="s">
        <v>34</v>
      </c>
      <c r="C1950" s="52" t="s">
        <v>33</v>
      </c>
      <c r="D1950" s="52" t="s">
        <v>33</v>
      </c>
      <c r="E1950" s="52" t="s">
        <v>605</v>
      </c>
      <c r="F1950" s="52" t="s">
        <v>26</v>
      </c>
      <c r="G1950" s="55" t="s">
        <v>276</v>
      </c>
      <c r="H1950" s="55">
        <v>-52.834180000000003</v>
      </c>
      <c r="I1950" s="55">
        <v>-71.400180000000006</v>
      </c>
      <c r="J1950" s="55">
        <v>-90.226910000000004</v>
      </c>
      <c r="K1950" s="55">
        <v>-79.998999999999995</v>
      </c>
      <c r="L1950" s="55">
        <v>-63.97139</v>
      </c>
      <c r="M1950" s="55">
        <v>-46.82114</v>
      </c>
      <c r="N1950" s="55">
        <v>-45.1126</v>
      </c>
    </row>
    <row r="1951" spans="1:14" hidden="1" x14ac:dyDescent="0.35">
      <c r="A1951" s="52" t="s">
        <v>271</v>
      </c>
      <c r="B1951" s="52" t="s">
        <v>34</v>
      </c>
      <c r="C1951" s="52" t="s">
        <v>33</v>
      </c>
      <c r="D1951" s="52" t="s">
        <v>33</v>
      </c>
      <c r="E1951" s="52" t="s">
        <v>605</v>
      </c>
      <c r="F1951" s="52" t="s">
        <v>26</v>
      </c>
      <c r="G1951" s="55" t="s">
        <v>277</v>
      </c>
      <c r="H1951" s="55">
        <v>211.6696</v>
      </c>
      <c r="I1951" s="55">
        <v>34.372320000000002</v>
      </c>
      <c r="J1951" s="55">
        <v>0.55726889999999996</v>
      </c>
      <c r="K1951" s="55">
        <v>0</v>
      </c>
      <c r="L1951" s="55"/>
      <c r="M1951" s="55">
        <v>0</v>
      </c>
      <c r="N1951" s="55">
        <v>0</v>
      </c>
    </row>
    <row r="1952" spans="1:14" hidden="1" x14ac:dyDescent="0.35">
      <c r="A1952" s="52" t="s">
        <v>271</v>
      </c>
      <c r="B1952" s="52" t="s">
        <v>34</v>
      </c>
      <c r="C1952" s="52" t="s">
        <v>33</v>
      </c>
      <c r="D1952" s="52" t="s">
        <v>33</v>
      </c>
      <c r="E1952" s="52" t="s">
        <v>605</v>
      </c>
      <c r="F1952" s="52" t="s">
        <v>26</v>
      </c>
      <c r="G1952" s="55" t="s">
        <v>278</v>
      </c>
      <c r="H1952" s="55">
        <v>68.936049999999994</v>
      </c>
      <c r="I1952" s="55">
        <v>33.094909999999999</v>
      </c>
      <c r="J1952" s="55">
        <v>6.8325339999999999</v>
      </c>
      <c r="K1952" s="55">
        <v>0.36011130000000002</v>
      </c>
      <c r="L1952" s="55"/>
      <c r="M1952" s="55">
        <v>0</v>
      </c>
      <c r="N1952" s="55">
        <v>0</v>
      </c>
    </row>
    <row r="1953" spans="1:14" hidden="1" x14ac:dyDescent="0.35">
      <c r="A1953" s="52" t="s">
        <v>271</v>
      </c>
      <c r="B1953" s="52" t="s">
        <v>34</v>
      </c>
      <c r="C1953" s="52" t="s">
        <v>33</v>
      </c>
      <c r="D1953" s="52" t="s">
        <v>33</v>
      </c>
      <c r="E1953" s="52" t="s">
        <v>605</v>
      </c>
      <c r="F1953" s="52" t="s">
        <v>26</v>
      </c>
      <c r="G1953" s="55" t="s">
        <v>279</v>
      </c>
      <c r="H1953" s="55">
        <v>576.69000000000005</v>
      </c>
      <c r="I1953" s="55">
        <v>633.67420000000004</v>
      </c>
      <c r="J1953" s="55">
        <v>671.84670000000006</v>
      </c>
      <c r="K1953" s="55">
        <v>640.96699999999998</v>
      </c>
      <c r="L1953" s="55">
        <v>576.46709999999996</v>
      </c>
      <c r="M1953" s="55">
        <v>478.09309999999999</v>
      </c>
      <c r="N1953" s="55">
        <v>434.5564</v>
      </c>
    </row>
    <row r="1954" spans="1:14" hidden="1" x14ac:dyDescent="0.35">
      <c r="A1954" s="52" t="s">
        <v>271</v>
      </c>
      <c r="B1954" s="52" t="s">
        <v>34</v>
      </c>
      <c r="C1954" s="52" t="s">
        <v>33</v>
      </c>
      <c r="D1954" s="52" t="s">
        <v>33</v>
      </c>
      <c r="E1954" s="52" t="s">
        <v>604</v>
      </c>
      <c r="F1954" s="52" t="s">
        <v>581</v>
      </c>
      <c r="G1954" s="55" t="s">
        <v>275</v>
      </c>
      <c r="H1954" s="55">
        <v>131.72309999999999</v>
      </c>
      <c r="I1954" s="55">
        <v>81.268619999999999</v>
      </c>
      <c r="J1954" s="55">
        <v>105.8103</v>
      </c>
      <c r="K1954" s="55">
        <v>110.72709999999999</v>
      </c>
      <c r="L1954" s="55">
        <v>93.641159999999999</v>
      </c>
      <c r="M1954" s="55">
        <v>83.866870000000006</v>
      </c>
      <c r="N1954" s="55">
        <v>72.724819999999994</v>
      </c>
    </row>
    <row r="1955" spans="1:14" hidden="1" x14ac:dyDescent="0.35">
      <c r="A1955" s="52" t="s">
        <v>271</v>
      </c>
      <c r="B1955" s="52" t="s">
        <v>34</v>
      </c>
      <c r="C1955" s="52" t="s">
        <v>33</v>
      </c>
      <c r="D1955" s="52" t="s">
        <v>33</v>
      </c>
      <c r="E1955" s="52" t="s">
        <v>604</v>
      </c>
      <c r="F1955" s="52" t="s">
        <v>581</v>
      </c>
      <c r="G1955" s="55" t="s">
        <v>276</v>
      </c>
      <c r="H1955" s="55">
        <v>47.732889999999998</v>
      </c>
      <c r="I1955" s="55">
        <v>-8.7989029999999993</v>
      </c>
      <c r="J1955" s="55">
        <v>11.77116</v>
      </c>
      <c r="K1955" s="55">
        <v>22.498169999999998</v>
      </c>
      <c r="L1955" s="55">
        <v>27.19792</v>
      </c>
      <c r="M1955" s="55">
        <v>26.026789999999998</v>
      </c>
      <c r="N1955" s="55">
        <v>24.87828</v>
      </c>
    </row>
    <row r="1956" spans="1:14" hidden="1" x14ac:dyDescent="0.35">
      <c r="A1956" s="52" t="s">
        <v>271</v>
      </c>
      <c r="B1956" s="52" t="s">
        <v>34</v>
      </c>
      <c r="C1956" s="52" t="s">
        <v>33</v>
      </c>
      <c r="D1956" s="52" t="s">
        <v>33</v>
      </c>
      <c r="E1956" s="52" t="s">
        <v>604</v>
      </c>
      <c r="F1956" s="52" t="s">
        <v>581</v>
      </c>
      <c r="G1956" s="55" t="s">
        <v>277</v>
      </c>
      <c r="H1956" s="55">
        <v>104.887</v>
      </c>
      <c r="I1956" s="55">
        <v>20.964469999999999</v>
      </c>
      <c r="J1956" s="55">
        <v>10.96142</v>
      </c>
      <c r="K1956" s="55">
        <v>2.5169890000000001</v>
      </c>
      <c r="L1956" s="55"/>
      <c r="M1956" s="55">
        <v>2.2674850000000002</v>
      </c>
      <c r="N1956" s="55">
        <v>6.3396549999999996</v>
      </c>
    </row>
    <row r="1957" spans="1:14" hidden="1" x14ac:dyDescent="0.35">
      <c r="A1957" s="52" t="s">
        <v>271</v>
      </c>
      <c r="B1957" s="52" t="s">
        <v>34</v>
      </c>
      <c r="C1957" s="52" t="s">
        <v>33</v>
      </c>
      <c r="D1957" s="52" t="s">
        <v>33</v>
      </c>
      <c r="E1957" s="52" t="s">
        <v>604</v>
      </c>
      <c r="F1957" s="52" t="s">
        <v>581</v>
      </c>
      <c r="G1957" s="55" t="s">
        <v>278</v>
      </c>
      <c r="H1957" s="55">
        <v>50.413699999999999</v>
      </c>
      <c r="I1957" s="55">
        <v>13.915330000000001</v>
      </c>
      <c r="J1957" s="55">
        <v>18.436360000000001</v>
      </c>
      <c r="K1957" s="55">
        <v>13.03241</v>
      </c>
      <c r="L1957" s="55"/>
      <c r="M1957" s="55">
        <v>8.5148469999999996</v>
      </c>
      <c r="N1957" s="55">
        <v>8.4995329999999996</v>
      </c>
    </row>
    <row r="1958" spans="1:14" hidden="1" x14ac:dyDescent="0.35">
      <c r="A1958" s="52" t="s">
        <v>271</v>
      </c>
      <c r="B1958" s="52" t="s">
        <v>34</v>
      </c>
      <c r="C1958" s="52" t="s">
        <v>33</v>
      </c>
      <c r="D1958" s="52" t="s">
        <v>33</v>
      </c>
      <c r="E1958" s="52" t="s">
        <v>604</v>
      </c>
      <c r="F1958" s="52" t="s">
        <v>581</v>
      </c>
      <c r="G1958" s="55" t="s">
        <v>279</v>
      </c>
      <c r="H1958" s="55">
        <v>86.319749999999999</v>
      </c>
      <c r="I1958" s="55">
        <v>80.136200000000002</v>
      </c>
      <c r="J1958" s="55">
        <v>106.4464</v>
      </c>
      <c r="K1958" s="55">
        <v>111.4686</v>
      </c>
      <c r="L1958" s="55">
        <v>95.240690000000001</v>
      </c>
      <c r="M1958" s="55">
        <v>81.012500000000003</v>
      </c>
      <c r="N1958" s="55">
        <v>73.836119999999994</v>
      </c>
    </row>
    <row r="1959" spans="1:14" hidden="1" x14ac:dyDescent="0.35">
      <c r="A1959" s="52" t="s">
        <v>271</v>
      </c>
      <c r="B1959" s="52" t="s">
        <v>34</v>
      </c>
      <c r="C1959" s="52" t="s">
        <v>33</v>
      </c>
      <c r="D1959" s="52" t="s">
        <v>33</v>
      </c>
      <c r="E1959" s="52" t="s">
        <v>604</v>
      </c>
      <c r="F1959" s="52" t="s">
        <v>26</v>
      </c>
      <c r="G1959" s="55" t="s">
        <v>275</v>
      </c>
      <c r="H1959" s="55">
        <v>-12.38682</v>
      </c>
      <c r="I1959" s="55">
        <v>-28.428129999999999</v>
      </c>
      <c r="J1959" s="55">
        <v>-63.886249999999997</v>
      </c>
      <c r="K1959" s="55">
        <v>-77.52534</v>
      </c>
      <c r="L1959" s="55">
        <v>-74.738110000000006</v>
      </c>
      <c r="M1959" s="55">
        <v>-58.440730000000002</v>
      </c>
      <c r="N1959" s="55">
        <v>-56.347850000000001</v>
      </c>
    </row>
    <row r="1960" spans="1:14" hidden="1" x14ac:dyDescent="0.35">
      <c r="A1960" s="52" t="s">
        <v>271</v>
      </c>
      <c r="B1960" s="52" t="s">
        <v>34</v>
      </c>
      <c r="C1960" s="52" t="s">
        <v>33</v>
      </c>
      <c r="D1960" s="52" t="s">
        <v>33</v>
      </c>
      <c r="E1960" s="52" t="s">
        <v>604</v>
      </c>
      <c r="F1960" s="52" t="s">
        <v>26</v>
      </c>
      <c r="G1960" s="55" t="s">
        <v>276</v>
      </c>
      <c r="H1960" s="55">
        <v>-4.1289389999999999</v>
      </c>
      <c r="I1960" s="55">
        <v>-9.4760480000000005</v>
      </c>
      <c r="J1960" s="55">
        <v>-21.29542</v>
      </c>
      <c r="K1960" s="55">
        <v>-25.84178</v>
      </c>
      <c r="L1960" s="55">
        <v>-24.912710000000001</v>
      </c>
      <c r="M1960" s="55">
        <v>-19.480250000000002</v>
      </c>
      <c r="N1960" s="55">
        <v>-18.782620000000001</v>
      </c>
    </row>
    <row r="1961" spans="1:14" hidden="1" x14ac:dyDescent="0.35">
      <c r="A1961" s="52" t="s">
        <v>271</v>
      </c>
      <c r="B1961" s="52" t="s">
        <v>34</v>
      </c>
      <c r="C1961" s="52" t="s">
        <v>33</v>
      </c>
      <c r="D1961" s="52" t="s">
        <v>33</v>
      </c>
      <c r="E1961" s="52" t="s">
        <v>604</v>
      </c>
      <c r="F1961" s="52" t="s">
        <v>26</v>
      </c>
      <c r="G1961" s="55" t="s">
        <v>279</v>
      </c>
      <c r="H1961" s="55">
        <v>196.40950000000001</v>
      </c>
      <c r="I1961" s="55">
        <v>183.30600000000001</v>
      </c>
      <c r="J1961" s="55">
        <v>245.57599999999999</v>
      </c>
      <c r="K1961" s="55">
        <v>260.04750000000001</v>
      </c>
      <c r="L1961" s="55">
        <v>229.49619999999999</v>
      </c>
      <c r="M1961" s="55">
        <v>187.60910000000001</v>
      </c>
      <c r="N1961" s="55">
        <v>171.0051</v>
      </c>
    </row>
    <row r="1962" spans="1:14" hidden="1" x14ac:dyDescent="0.35">
      <c r="A1962" s="52" t="s">
        <v>271</v>
      </c>
      <c r="B1962" s="52" t="s">
        <v>34</v>
      </c>
      <c r="C1962" s="52" t="s">
        <v>33</v>
      </c>
      <c r="D1962" s="52" t="s">
        <v>33</v>
      </c>
      <c r="E1962" s="52" t="s">
        <v>636</v>
      </c>
      <c r="F1962" s="52" t="s">
        <v>581</v>
      </c>
      <c r="G1962" s="55" t="s">
        <v>275</v>
      </c>
      <c r="H1962" s="55">
        <v>-39.379719999999999</v>
      </c>
      <c r="I1962" s="55">
        <v>30.464580000000002</v>
      </c>
      <c r="J1962" s="55">
        <v>24.130520000000001</v>
      </c>
      <c r="K1962" s="55">
        <v>14.38377</v>
      </c>
      <c r="L1962" s="55">
        <v>6.8941100000000004</v>
      </c>
      <c r="M1962" s="55">
        <v>7.2324419999999998</v>
      </c>
      <c r="N1962" s="55">
        <v>6.6705769999999998</v>
      </c>
    </row>
    <row r="1963" spans="1:14" hidden="1" x14ac:dyDescent="0.35">
      <c r="A1963" s="52" t="s">
        <v>271</v>
      </c>
      <c r="B1963" s="52" t="s">
        <v>34</v>
      </c>
      <c r="C1963" s="52" t="s">
        <v>33</v>
      </c>
      <c r="D1963" s="52" t="s">
        <v>33</v>
      </c>
      <c r="E1963" s="52" t="s">
        <v>636</v>
      </c>
      <c r="F1963" s="52" t="s">
        <v>581</v>
      </c>
      <c r="G1963" s="55" t="s">
        <v>276</v>
      </c>
      <c r="H1963" s="55">
        <v>-12.792009999999999</v>
      </c>
      <c r="I1963" s="55">
        <v>-15.2118</v>
      </c>
      <c r="J1963" s="55">
        <v>-11.674569999999999</v>
      </c>
      <c r="K1963" s="55">
        <v>-3.8553890000000002</v>
      </c>
      <c r="L1963" s="55">
        <v>2.1995200000000001</v>
      </c>
      <c r="M1963" s="55">
        <v>2.0858409999999998</v>
      </c>
      <c r="N1963" s="55">
        <v>1.9180109999999999</v>
      </c>
    </row>
    <row r="1964" spans="1:14" hidden="1" x14ac:dyDescent="0.35">
      <c r="A1964" s="52" t="s">
        <v>271</v>
      </c>
      <c r="B1964" s="52" t="s">
        <v>34</v>
      </c>
      <c r="C1964" s="52" t="s">
        <v>33</v>
      </c>
      <c r="D1964" s="52" t="s">
        <v>33</v>
      </c>
      <c r="E1964" s="52" t="s">
        <v>636</v>
      </c>
      <c r="F1964" s="52" t="s">
        <v>581</v>
      </c>
      <c r="G1964" s="55" t="s">
        <v>277</v>
      </c>
      <c r="H1964" s="55">
        <v>108.0141</v>
      </c>
      <c r="I1964" s="55">
        <v>0</v>
      </c>
      <c r="J1964" s="55">
        <v>0</v>
      </c>
      <c r="K1964" s="55">
        <v>0.27873759999999997</v>
      </c>
      <c r="L1964" s="55">
        <v>0.71891130000000003</v>
      </c>
      <c r="M1964" s="55">
        <v>0</v>
      </c>
      <c r="N1964" s="55">
        <v>0</v>
      </c>
    </row>
    <row r="1965" spans="1:14" hidden="1" x14ac:dyDescent="0.35">
      <c r="A1965" s="52" t="s">
        <v>271</v>
      </c>
      <c r="B1965" s="52" t="s">
        <v>34</v>
      </c>
      <c r="C1965" s="52" t="s">
        <v>33</v>
      </c>
      <c r="D1965" s="52" t="s">
        <v>33</v>
      </c>
      <c r="E1965" s="52" t="s">
        <v>636</v>
      </c>
      <c r="F1965" s="52" t="s">
        <v>581</v>
      </c>
      <c r="G1965" s="55" t="s">
        <v>278</v>
      </c>
      <c r="H1965" s="55">
        <v>1.985938</v>
      </c>
      <c r="I1965" s="55">
        <v>0</v>
      </c>
      <c r="J1965" s="55"/>
      <c r="K1965" s="55"/>
      <c r="L1965" s="55"/>
      <c r="M1965" s="55"/>
      <c r="N1965" s="55"/>
    </row>
    <row r="1966" spans="1:14" hidden="1" x14ac:dyDescent="0.35">
      <c r="A1966" s="52" t="s">
        <v>271</v>
      </c>
      <c r="B1966" s="52" t="s">
        <v>34</v>
      </c>
      <c r="C1966" s="52" t="s">
        <v>33</v>
      </c>
      <c r="D1966" s="52" t="s">
        <v>33</v>
      </c>
      <c r="E1966" s="52" t="s">
        <v>636</v>
      </c>
      <c r="F1966" s="52" t="s">
        <v>581</v>
      </c>
      <c r="G1966" s="55" t="s">
        <v>279</v>
      </c>
      <c r="H1966" s="55">
        <v>13.62632</v>
      </c>
      <c r="I1966" s="55">
        <v>9.9713539999999998</v>
      </c>
      <c r="J1966" s="55">
        <v>8.0018239999999992</v>
      </c>
      <c r="K1966" s="55">
        <v>7.2629380000000001</v>
      </c>
      <c r="L1966" s="55">
        <v>6.6320969999999999</v>
      </c>
      <c r="M1966" s="55">
        <v>5.7574829999999997</v>
      </c>
      <c r="N1966" s="55">
        <v>5.2689399999999997</v>
      </c>
    </row>
    <row r="1967" spans="1:14" hidden="1" x14ac:dyDescent="0.35">
      <c r="A1967" s="52" t="s">
        <v>271</v>
      </c>
      <c r="B1967" s="52" t="s">
        <v>34</v>
      </c>
      <c r="C1967" s="52" t="s">
        <v>33</v>
      </c>
      <c r="D1967" s="52" t="s">
        <v>33</v>
      </c>
      <c r="E1967" s="52" t="s">
        <v>636</v>
      </c>
      <c r="F1967" s="52" t="s">
        <v>26</v>
      </c>
      <c r="G1967" s="55" t="s">
        <v>275</v>
      </c>
      <c r="H1967" s="55">
        <v>-1.4079649999999999</v>
      </c>
      <c r="I1967" s="55">
        <v>-2.8906450000000001</v>
      </c>
      <c r="J1967" s="55">
        <v>-4.1667269999999998</v>
      </c>
      <c r="K1967" s="55">
        <v>-4.4970739999999996</v>
      </c>
      <c r="L1967" s="55">
        <v>-4.6739649999999999</v>
      </c>
      <c r="M1967" s="55">
        <v>-3.739258</v>
      </c>
      <c r="N1967" s="55">
        <v>-3.6457480000000002</v>
      </c>
    </row>
    <row r="1968" spans="1:14" hidden="1" x14ac:dyDescent="0.35">
      <c r="A1968" s="52" t="s">
        <v>271</v>
      </c>
      <c r="B1968" s="52" t="s">
        <v>34</v>
      </c>
      <c r="C1968" s="52" t="s">
        <v>33</v>
      </c>
      <c r="D1968" s="52" t="s">
        <v>33</v>
      </c>
      <c r="E1968" s="52" t="s">
        <v>636</v>
      </c>
      <c r="F1968" s="52" t="s">
        <v>26</v>
      </c>
      <c r="G1968" s="55" t="s">
        <v>276</v>
      </c>
      <c r="H1968" s="55">
        <v>-0.50763400000000003</v>
      </c>
      <c r="I1968" s="55">
        <v>-0.96354870000000004</v>
      </c>
      <c r="J1968" s="55">
        <v>-1.3158080000000001</v>
      </c>
      <c r="K1968" s="55">
        <v>-1.3432820000000001</v>
      </c>
      <c r="L1968" s="55">
        <v>-1.396118</v>
      </c>
      <c r="M1968" s="55">
        <v>-1.116922</v>
      </c>
      <c r="N1968" s="55">
        <v>-1.088989</v>
      </c>
    </row>
    <row r="1969" spans="1:14" hidden="1" x14ac:dyDescent="0.35">
      <c r="A1969" s="52" t="s">
        <v>271</v>
      </c>
      <c r="B1969" s="52" t="s">
        <v>34</v>
      </c>
      <c r="C1969" s="52" t="s">
        <v>33</v>
      </c>
      <c r="D1969" s="52" t="s">
        <v>33</v>
      </c>
      <c r="E1969" s="52" t="s">
        <v>636</v>
      </c>
      <c r="F1969" s="52" t="s">
        <v>26</v>
      </c>
      <c r="G1969" s="55" t="s">
        <v>279</v>
      </c>
      <c r="H1969" s="55">
        <v>27.183420000000002</v>
      </c>
      <c r="I1969" s="55">
        <v>20.00074</v>
      </c>
      <c r="J1969" s="55">
        <v>16.251919999999998</v>
      </c>
      <c r="K1969" s="55">
        <v>14.929360000000001</v>
      </c>
      <c r="L1969" s="55">
        <v>13.95471</v>
      </c>
      <c r="M1969" s="55">
        <v>11.736510000000001</v>
      </c>
      <c r="N1969" s="55">
        <v>10.741</v>
      </c>
    </row>
    <row r="1970" spans="1:14" hidden="1" x14ac:dyDescent="0.35">
      <c r="A1970" s="52" t="s">
        <v>271</v>
      </c>
      <c r="B1970" s="52" t="s">
        <v>34</v>
      </c>
      <c r="C1970" s="52" t="s">
        <v>33</v>
      </c>
      <c r="D1970" s="52" t="s">
        <v>33</v>
      </c>
      <c r="E1970" s="52" t="s">
        <v>622</v>
      </c>
      <c r="F1970" s="52" t="s">
        <v>26</v>
      </c>
      <c r="G1970" s="55" t="s">
        <v>275</v>
      </c>
      <c r="H1970" s="55">
        <v>-0.36673</v>
      </c>
      <c r="I1970" s="55">
        <v>-2.7681480000000001</v>
      </c>
      <c r="J1970" s="55">
        <v>-5.0565220000000002</v>
      </c>
      <c r="K1970" s="55">
        <v>-5.8181609999999999</v>
      </c>
      <c r="L1970" s="55">
        <v>-6.3260959999999997</v>
      </c>
      <c r="M1970" s="55">
        <v>-5.0162069999999996</v>
      </c>
      <c r="N1970" s="55">
        <v>-4.9509949999999998</v>
      </c>
    </row>
    <row r="1971" spans="1:14" hidden="1" x14ac:dyDescent="0.35">
      <c r="A1971" s="52" t="s">
        <v>271</v>
      </c>
      <c r="B1971" s="52" t="s">
        <v>34</v>
      </c>
      <c r="C1971" s="52" t="s">
        <v>33</v>
      </c>
      <c r="D1971" s="52" t="s">
        <v>33</v>
      </c>
      <c r="E1971" s="52" t="s">
        <v>622</v>
      </c>
      <c r="F1971" s="52" t="s">
        <v>26</v>
      </c>
      <c r="G1971" s="55" t="s">
        <v>276</v>
      </c>
      <c r="H1971" s="55">
        <v>9.8851990000000001E-2</v>
      </c>
      <c r="I1971" s="55">
        <v>-1.533674</v>
      </c>
      <c r="J1971" s="55">
        <v>-3.0910530000000001</v>
      </c>
      <c r="K1971" s="55">
        <v>-3.6092689999999998</v>
      </c>
      <c r="L1971" s="55">
        <v>-3.9601730000000002</v>
      </c>
      <c r="M1971" s="55">
        <v>-3.1258750000000002</v>
      </c>
      <c r="N1971" s="55">
        <v>-3.1003310000000002</v>
      </c>
    </row>
    <row r="1972" spans="1:14" hidden="1" x14ac:dyDescent="0.35">
      <c r="A1972" s="52" t="s">
        <v>271</v>
      </c>
      <c r="B1972" s="52" t="s">
        <v>34</v>
      </c>
      <c r="C1972" s="52" t="s">
        <v>33</v>
      </c>
      <c r="D1972" s="52" t="s">
        <v>33</v>
      </c>
      <c r="E1972" s="52" t="s">
        <v>622</v>
      </c>
      <c r="F1972" s="52" t="s">
        <v>26</v>
      </c>
      <c r="G1972" s="55" t="s">
        <v>277</v>
      </c>
      <c r="H1972" s="55"/>
      <c r="I1972" s="55"/>
      <c r="J1972" s="55"/>
      <c r="K1972" s="55"/>
      <c r="L1972" s="55"/>
      <c r="M1972" s="55">
        <v>0</v>
      </c>
      <c r="N1972" s="55">
        <v>0</v>
      </c>
    </row>
    <row r="1973" spans="1:14" hidden="1" x14ac:dyDescent="0.35">
      <c r="A1973" s="52" t="s">
        <v>271</v>
      </c>
      <c r="B1973" s="52" t="s">
        <v>34</v>
      </c>
      <c r="C1973" s="52" t="s">
        <v>33</v>
      </c>
      <c r="D1973" s="52" t="s">
        <v>33</v>
      </c>
      <c r="E1973" s="52" t="s">
        <v>622</v>
      </c>
      <c r="F1973" s="52" t="s">
        <v>26</v>
      </c>
      <c r="G1973" s="55" t="s">
        <v>279</v>
      </c>
      <c r="H1973" s="55">
        <v>32.687899999999999</v>
      </c>
      <c r="I1973" s="55">
        <v>30.022929999999999</v>
      </c>
      <c r="J1973" s="55">
        <v>27.291029999999999</v>
      </c>
      <c r="K1973" s="55">
        <v>26.393429999999999</v>
      </c>
      <c r="L1973" s="55">
        <v>25.28979</v>
      </c>
      <c r="M1973" s="55">
        <v>21.414149999999999</v>
      </c>
      <c r="N1973" s="55">
        <v>19.699380000000001</v>
      </c>
    </row>
    <row r="1974" spans="1:14" hidden="1" x14ac:dyDescent="0.35">
      <c r="A1974" s="52" t="s">
        <v>271</v>
      </c>
      <c r="B1974" s="52" t="s">
        <v>34</v>
      </c>
      <c r="C1974" s="52" t="s">
        <v>33</v>
      </c>
      <c r="D1974" s="52" t="s">
        <v>33</v>
      </c>
      <c r="E1974" s="52" t="s">
        <v>637</v>
      </c>
      <c r="F1974" s="52" t="s">
        <v>581</v>
      </c>
      <c r="G1974" s="55" t="s">
        <v>275</v>
      </c>
      <c r="H1974" s="55">
        <v>5.621308</v>
      </c>
      <c r="I1974" s="55">
        <v>1.7361420000000001</v>
      </c>
      <c r="J1974" s="55">
        <v>1.5964039999999999</v>
      </c>
      <c r="K1974" s="55">
        <v>1.4616579999999999</v>
      </c>
      <c r="L1974" s="55">
        <v>1.3416650000000001</v>
      </c>
      <c r="M1974" s="55">
        <v>1.30881</v>
      </c>
      <c r="N1974" s="55">
        <v>1.213497</v>
      </c>
    </row>
    <row r="1975" spans="1:14" hidden="1" x14ac:dyDescent="0.35">
      <c r="A1975" s="52" t="s">
        <v>271</v>
      </c>
      <c r="B1975" s="52" t="s">
        <v>34</v>
      </c>
      <c r="C1975" s="52" t="s">
        <v>33</v>
      </c>
      <c r="D1975" s="52" t="s">
        <v>33</v>
      </c>
      <c r="E1975" s="52" t="s">
        <v>637</v>
      </c>
      <c r="F1975" s="52" t="s">
        <v>581</v>
      </c>
      <c r="G1975" s="55" t="s">
        <v>276</v>
      </c>
      <c r="H1975" s="55">
        <v>2.0267309999999998</v>
      </c>
      <c r="I1975" s="55">
        <v>0.57871419999999996</v>
      </c>
      <c r="J1975" s="55">
        <v>0.50412829999999997</v>
      </c>
      <c r="K1975" s="55">
        <v>0.43659940000000003</v>
      </c>
      <c r="L1975" s="55">
        <v>0.40075680000000002</v>
      </c>
      <c r="M1975" s="55">
        <v>0.39094380000000001</v>
      </c>
      <c r="N1975" s="55">
        <v>0.36247289999999999</v>
      </c>
    </row>
    <row r="1976" spans="1:14" hidden="1" x14ac:dyDescent="0.35">
      <c r="A1976" s="52" t="s">
        <v>271</v>
      </c>
      <c r="B1976" s="52" t="s">
        <v>34</v>
      </c>
      <c r="C1976" s="52" t="s">
        <v>33</v>
      </c>
      <c r="D1976" s="52" t="s">
        <v>33</v>
      </c>
      <c r="E1976" s="52" t="s">
        <v>637</v>
      </c>
      <c r="F1976" s="52" t="s">
        <v>581</v>
      </c>
      <c r="G1976" s="55" t="s">
        <v>279</v>
      </c>
      <c r="H1976" s="55">
        <v>2.1056469999999998</v>
      </c>
      <c r="I1976" s="55">
        <v>1.841834</v>
      </c>
      <c r="J1976" s="55">
        <v>1.618525</v>
      </c>
      <c r="K1976" s="55">
        <v>1.52962</v>
      </c>
      <c r="L1976" s="55">
        <v>1.4250229999999999</v>
      </c>
      <c r="M1976" s="55">
        <v>1.239179</v>
      </c>
      <c r="N1976" s="55">
        <v>1.1384179999999999</v>
      </c>
    </row>
    <row r="1977" spans="1:14" hidden="1" x14ac:dyDescent="0.35">
      <c r="A1977" s="52" t="s">
        <v>271</v>
      </c>
      <c r="B1977" s="52" t="s">
        <v>34</v>
      </c>
      <c r="C1977" s="52" t="s">
        <v>33</v>
      </c>
      <c r="D1977" s="52" t="s">
        <v>33</v>
      </c>
      <c r="E1977" s="52" t="s">
        <v>637</v>
      </c>
      <c r="F1977" s="52" t="s">
        <v>26</v>
      </c>
      <c r="G1977" s="55" t="s">
        <v>275</v>
      </c>
      <c r="H1977" s="55">
        <v>-2.646026</v>
      </c>
      <c r="I1977" s="55">
        <v>-4.4747839999999997</v>
      </c>
      <c r="J1977" s="55">
        <v>-6.5658370000000001</v>
      </c>
      <c r="K1977" s="55">
        <v>-7.3790959999999997</v>
      </c>
      <c r="L1977" s="55">
        <v>-7.7123489999999997</v>
      </c>
      <c r="M1977" s="55">
        <v>-6.2067170000000003</v>
      </c>
      <c r="N1977" s="55">
        <v>-6.0160720000000003</v>
      </c>
    </row>
    <row r="1978" spans="1:14" hidden="1" x14ac:dyDescent="0.35">
      <c r="A1978" s="52" t="s">
        <v>271</v>
      </c>
      <c r="B1978" s="52" t="s">
        <v>34</v>
      </c>
      <c r="C1978" s="52" t="s">
        <v>33</v>
      </c>
      <c r="D1978" s="52" t="s">
        <v>33</v>
      </c>
      <c r="E1978" s="52" t="s">
        <v>637</v>
      </c>
      <c r="F1978" s="52" t="s">
        <v>26</v>
      </c>
      <c r="G1978" s="55" t="s">
        <v>276</v>
      </c>
      <c r="H1978" s="55">
        <v>-1.599812</v>
      </c>
      <c r="I1978" s="55">
        <v>-2.0726450000000001</v>
      </c>
      <c r="J1978" s="55">
        <v>-2.3005939999999998</v>
      </c>
      <c r="K1978" s="55">
        <v>-2.2041460000000002</v>
      </c>
      <c r="L1978" s="55">
        <v>-2.3036889999999999</v>
      </c>
      <c r="M1978" s="55">
        <v>-1.853955</v>
      </c>
      <c r="N1978" s="55">
        <v>-1.7970090000000001</v>
      </c>
    </row>
    <row r="1979" spans="1:14" hidden="1" x14ac:dyDescent="0.35">
      <c r="A1979" s="52" t="s">
        <v>271</v>
      </c>
      <c r="B1979" s="52" t="s">
        <v>34</v>
      </c>
      <c r="C1979" s="52" t="s">
        <v>33</v>
      </c>
      <c r="D1979" s="52" t="s">
        <v>33</v>
      </c>
      <c r="E1979" s="52" t="s">
        <v>637</v>
      </c>
      <c r="F1979" s="52" t="s">
        <v>26</v>
      </c>
      <c r="G1979" s="55" t="s">
        <v>277</v>
      </c>
      <c r="H1979" s="55">
        <v>0</v>
      </c>
      <c r="I1979" s="55">
        <v>0</v>
      </c>
      <c r="J1979" s="55"/>
      <c r="K1979" s="55">
        <v>0</v>
      </c>
      <c r="L1979" s="55"/>
      <c r="M1979" s="55">
        <v>0</v>
      </c>
      <c r="N1979" s="55"/>
    </row>
    <row r="1980" spans="1:14" hidden="1" x14ac:dyDescent="0.35">
      <c r="A1980" s="52" t="s">
        <v>271</v>
      </c>
      <c r="B1980" s="52" t="s">
        <v>34</v>
      </c>
      <c r="C1980" s="52" t="s">
        <v>33</v>
      </c>
      <c r="D1980" s="52" t="s">
        <v>33</v>
      </c>
      <c r="E1980" s="52" t="s">
        <v>637</v>
      </c>
      <c r="F1980" s="52" t="s">
        <v>26</v>
      </c>
      <c r="G1980" s="55" t="s">
        <v>278</v>
      </c>
      <c r="H1980" s="55">
        <v>0</v>
      </c>
      <c r="I1980" s="55">
        <v>0</v>
      </c>
      <c r="J1980" s="55"/>
      <c r="K1980" s="55">
        <v>0</v>
      </c>
      <c r="L1980" s="55"/>
      <c r="M1980" s="55">
        <v>0</v>
      </c>
      <c r="N1980" s="55"/>
    </row>
    <row r="1981" spans="1:14" hidden="1" x14ac:dyDescent="0.35">
      <c r="A1981" s="52" t="s">
        <v>271</v>
      </c>
      <c r="B1981" s="52" t="s">
        <v>34</v>
      </c>
      <c r="C1981" s="52" t="s">
        <v>33</v>
      </c>
      <c r="D1981" s="52" t="s">
        <v>33</v>
      </c>
      <c r="E1981" s="52" t="s">
        <v>637</v>
      </c>
      <c r="F1981" s="52" t="s">
        <v>26</v>
      </c>
      <c r="G1981" s="55" t="s">
        <v>279</v>
      </c>
      <c r="H1981" s="55">
        <v>28.959</v>
      </c>
      <c r="I1981" s="55">
        <v>25.701419999999999</v>
      </c>
      <c r="J1981" s="55">
        <v>22.95975</v>
      </c>
      <c r="K1981" s="55">
        <v>21.996659999999999</v>
      </c>
      <c r="L1981" s="55">
        <v>20.95561</v>
      </c>
      <c r="M1981" s="55">
        <v>17.72026</v>
      </c>
      <c r="N1981" s="55">
        <v>16.284610000000001</v>
      </c>
    </row>
    <row r="1982" spans="1:14" hidden="1" x14ac:dyDescent="0.35">
      <c r="A1982" s="52" t="s">
        <v>271</v>
      </c>
      <c r="B1982" s="52" t="s">
        <v>34</v>
      </c>
      <c r="C1982" s="52" t="s">
        <v>33</v>
      </c>
      <c r="D1982" s="52" t="s">
        <v>33</v>
      </c>
      <c r="E1982" s="52" t="s">
        <v>584</v>
      </c>
      <c r="F1982" s="52" t="s">
        <v>581</v>
      </c>
      <c r="G1982" s="55" t="s">
        <v>275</v>
      </c>
      <c r="H1982" s="55">
        <v>-1.8221280000000001E-4</v>
      </c>
      <c r="I1982" s="55">
        <v>-1.8220439999999999E-4</v>
      </c>
      <c r="J1982" s="55">
        <v>-29.000240000000002</v>
      </c>
      <c r="K1982" s="55">
        <v>-5.4663839999999999E-5</v>
      </c>
      <c r="L1982" s="55">
        <v>-5.4663839999999999E-5</v>
      </c>
      <c r="M1982" s="55">
        <v>-5.4663839999999999E-5</v>
      </c>
      <c r="N1982" s="55">
        <v>-5.4663839999999999E-5</v>
      </c>
    </row>
    <row r="1983" spans="1:14" hidden="1" x14ac:dyDescent="0.35">
      <c r="A1983" s="52" t="s">
        <v>271</v>
      </c>
      <c r="B1983" s="52" t="s">
        <v>34</v>
      </c>
      <c r="C1983" s="52" t="s">
        <v>33</v>
      </c>
      <c r="D1983" s="52" t="s">
        <v>33</v>
      </c>
      <c r="E1983" s="52" t="s">
        <v>584</v>
      </c>
      <c r="F1983" s="52" t="s">
        <v>581</v>
      </c>
      <c r="G1983" s="55" t="s">
        <v>276</v>
      </c>
      <c r="H1983" s="55">
        <v>-6.7393189999999996E-5</v>
      </c>
      <c r="I1983" s="55">
        <v>-6.7393189999999996E-5</v>
      </c>
      <c r="J1983" s="55">
        <v>-9.1581419999999998</v>
      </c>
      <c r="K1983" s="55">
        <v>-1.9494210000000001E-4</v>
      </c>
      <c r="L1983" s="55">
        <v>-1.9494210000000001E-4</v>
      </c>
      <c r="M1983" s="55">
        <v>-1.9494210000000001E-4</v>
      </c>
      <c r="N1983" s="55">
        <v>-1.9494210000000001E-4</v>
      </c>
    </row>
    <row r="1984" spans="1:14" hidden="1" x14ac:dyDescent="0.35">
      <c r="A1984" s="52" t="s">
        <v>271</v>
      </c>
      <c r="B1984" s="52" t="s">
        <v>34</v>
      </c>
      <c r="C1984" s="52" t="s">
        <v>33</v>
      </c>
      <c r="D1984" s="52" t="s">
        <v>33</v>
      </c>
      <c r="E1984" s="52" t="s">
        <v>584</v>
      </c>
      <c r="F1984" s="52" t="s">
        <v>581</v>
      </c>
      <c r="G1984" s="55" t="s">
        <v>278</v>
      </c>
      <c r="H1984" s="55">
        <v>2.4960599999999998E-4</v>
      </c>
      <c r="I1984" s="55">
        <v>2.4960599999999998E-4</v>
      </c>
      <c r="J1984" s="55">
        <v>2.4960599999999998E-4</v>
      </c>
      <c r="K1984" s="55">
        <v>2.4960599999999998E-4</v>
      </c>
      <c r="L1984" s="55">
        <v>2.4960599999999998E-4</v>
      </c>
      <c r="M1984" s="55">
        <v>2.4960599999999998E-4</v>
      </c>
      <c r="N1984" s="55">
        <v>2.4960599999999998E-4</v>
      </c>
    </row>
    <row r="1985" spans="1:14" hidden="1" x14ac:dyDescent="0.35">
      <c r="A1985" s="52" t="s">
        <v>271</v>
      </c>
      <c r="B1985" s="52" t="s">
        <v>34</v>
      </c>
      <c r="C1985" s="52" t="s">
        <v>33</v>
      </c>
      <c r="D1985" s="52" t="s">
        <v>33</v>
      </c>
      <c r="E1985" s="52" t="s">
        <v>584</v>
      </c>
      <c r="F1985" s="52" t="s">
        <v>581</v>
      </c>
      <c r="G1985" s="55" t="s">
        <v>279</v>
      </c>
      <c r="H1985" s="55"/>
      <c r="I1985" s="55">
        <v>0</v>
      </c>
      <c r="J1985" s="55">
        <v>38.15813</v>
      </c>
      <c r="K1985" s="55">
        <v>0</v>
      </c>
      <c r="L1985" s="55"/>
      <c r="M1985" s="55"/>
      <c r="N1985" s="55">
        <v>0</v>
      </c>
    </row>
    <row r="1986" spans="1:14" hidden="1" x14ac:dyDescent="0.35">
      <c r="A1986" s="52" t="s">
        <v>271</v>
      </c>
      <c r="B1986" s="52" t="s">
        <v>34</v>
      </c>
      <c r="C1986" s="52" t="s">
        <v>33</v>
      </c>
      <c r="D1986" s="52" t="s">
        <v>33</v>
      </c>
      <c r="E1986" s="52" t="s">
        <v>584</v>
      </c>
      <c r="F1986" s="52" t="s">
        <v>26</v>
      </c>
      <c r="G1986" s="55" t="s">
        <v>275</v>
      </c>
      <c r="H1986" s="55">
        <v>-36.282910000000001</v>
      </c>
      <c r="I1986" s="55">
        <v>-2.5534819999999998</v>
      </c>
      <c r="J1986" s="55">
        <v>-105.9427</v>
      </c>
      <c r="K1986" s="55">
        <v>-6.6015790000000001</v>
      </c>
      <c r="L1986" s="55">
        <v>-10.18196</v>
      </c>
      <c r="M1986" s="55">
        <v>-11.561579999999999</v>
      </c>
      <c r="N1986" s="55">
        <v>-11.979290000000001</v>
      </c>
    </row>
    <row r="1987" spans="1:14" hidden="1" x14ac:dyDescent="0.35">
      <c r="A1987" s="52" t="s">
        <v>271</v>
      </c>
      <c r="B1987" s="52" t="s">
        <v>34</v>
      </c>
      <c r="C1987" s="52" t="s">
        <v>33</v>
      </c>
      <c r="D1987" s="52" t="s">
        <v>33</v>
      </c>
      <c r="E1987" s="52" t="s">
        <v>584</v>
      </c>
      <c r="F1987" s="52" t="s">
        <v>26</v>
      </c>
      <c r="G1987" s="55" t="s">
        <v>276</v>
      </c>
      <c r="H1987" s="55">
        <v>-7.7285219999999999</v>
      </c>
      <c r="I1987" s="55">
        <v>-7.3850709999999999</v>
      </c>
      <c r="J1987" s="55">
        <v>-39.340760000000003</v>
      </c>
      <c r="K1987" s="55">
        <v>-4.6112330000000004</v>
      </c>
      <c r="L1987" s="55">
        <v>-2.9675090000000002</v>
      </c>
      <c r="M1987" s="55">
        <v>-3.1079699999999999</v>
      </c>
      <c r="N1987" s="55">
        <v>-3.5100189999999998</v>
      </c>
    </row>
    <row r="1988" spans="1:14" hidden="1" x14ac:dyDescent="0.35">
      <c r="A1988" s="52" t="s">
        <v>271</v>
      </c>
      <c r="B1988" s="52" t="s">
        <v>34</v>
      </c>
      <c r="C1988" s="52" t="s">
        <v>33</v>
      </c>
      <c r="D1988" s="52" t="s">
        <v>33</v>
      </c>
      <c r="E1988" s="52" t="s">
        <v>584</v>
      </c>
      <c r="F1988" s="52" t="s">
        <v>26</v>
      </c>
      <c r="G1988" s="55" t="s">
        <v>277</v>
      </c>
      <c r="H1988" s="55">
        <v>41.785319999999999</v>
      </c>
      <c r="I1988" s="55">
        <v>7.1268700000000003</v>
      </c>
      <c r="J1988" s="55">
        <v>6.904871</v>
      </c>
      <c r="K1988" s="55">
        <v>8.0654719999999998</v>
      </c>
      <c r="L1988" s="55">
        <v>9.0716509999999992</v>
      </c>
      <c r="M1988" s="55">
        <v>10.99755</v>
      </c>
      <c r="N1988" s="55">
        <v>11.31054</v>
      </c>
    </row>
    <row r="1989" spans="1:14" hidden="1" x14ac:dyDescent="0.35">
      <c r="A1989" s="52" t="s">
        <v>271</v>
      </c>
      <c r="B1989" s="52" t="s">
        <v>34</v>
      </c>
      <c r="C1989" s="52" t="s">
        <v>33</v>
      </c>
      <c r="D1989" s="52" t="s">
        <v>33</v>
      </c>
      <c r="E1989" s="52" t="s">
        <v>584</v>
      </c>
      <c r="F1989" s="52" t="s">
        <v>26</v>
      </c>
      <c r="G1989" s="55" t="s">
        <v>279</v>
      </c>
      <c r="H1989" s="55">
        <v>11.78243</v>
      </c>
      <c r="I1989" s="55">
        <v>11.82493</v>
      </c>
      <c r="J1989" s="55">
        <v>142.9453</v>
      </c>
      <c r="K1989" s="55">
        <v>7.4465130000000004</v>
      </c>
      <c r="L1989" s="55">
        <v>8.0914819999999992</v>
      </c>
      <c r="M1989" s="55">
        <v>7.3821839999999996</v>
      </c>
      <c r="N1989" s="55">
        <v>7.5675319999999999</v>
      </c>
    </row>
    <row r="1990" spans="1:14" hidden="1" x14ac:dyDescent="0.35">
      <c r="A1990" s="52" t="s">
        <v>271</v>
      </c>
      <c r="B1990" s="52" t="s">
        <v>34</v>
      </c>
      <c r="C1990" s="52" t="s">
        <v>33</v>
      </c>
      <c r="D1990" s="52" t="s">
        <v>33</v>
      </c>
      <c r="E1990" s="52" t="s">
        <v>638</v>
      </c>
      <c r="F1990" s="52" t="s">
        <v>581</v>
      </c>
      <c r="G1990" s="55" t="s">
        <v>275</v>
      </c>
      <c r="H1990" s="55">
        <v>0.364782</v>
      </c>
      <c r="I1990" s="55">
        <v>8.6242810000000003E-2</v>
      </c>
      <c r="J1990" s="55">
        <v>7.9733890000000002E-2</v>
      </c>
      <c r="K1990" s="55">
        <v>7.2167499999999996E-2</v>
      </c>
      <c r="L1990" s="55">
        <v>-3.3682850000000002</v>
      </c>
      <c r="M1990" s="55">
        <v>0.47513470000000002</v>
      </c>
      <c r="N1990" s="55">
        <v>0.445434</v>
      </c>
    </row>
    <row r="1991" spans="1:14" hidden="1" x14ac:dyDescent="0.35">
      <c r="A1991" s="52" t="s">
        <v>271</v>
      </c>
      <c r="B1991" s="52" t="s">
        <v>34</v>
      </c>
      <c r="C1991" s="52" t="s">
        <v>33</v>
      </c>
      <c r="D1991" s="52" t="s">
        <v>33</v>
      </c>
      <c r="E1991" s="52" t="s">
        <v>638</v>
      </c>
      <c r="F1991" s="52" t="s">
        <v>581</v>
      </c>
      <c r="G1991" s="55" t="s">
        <v>276</v>
      </c>
      <c r="H1991" s="55">
        <v>0.13152</v>
      </c>
      <c r="I1991" s="55">
        <v>2.8747600000000002E-2</v>
      </c>
      <c r="J1991" s="55">
        <v>2.5179199999999999E-2</v>
      </c>
      <c r="K1991" s="55">
        <v>2.1556700000000002E-2</v>
      </c>
      <c r="L1991" s="55">
        <v>-0.19183239999999999</v>
      </c>
      <c r="M1991" s="55">
        <v>-0.12950239999999999</v>
      </c>
      <c r="N1991" s="55">
        <v>-0.13837479999999999</v>
      </c>
    </row>
    <row r="1992" spans="1:14" hidden="1" x14ac:dyDescent="0.35">
      <c r="A1992" s="52" t="s">
        <v>271</v>
      </c>
      <c r="B1992" s="52" t="s">
        <v>34</v>
      </c>
      <c r="C1992" s="52" t="s">
        <v>33</v>
      </c>
      <c r="D1992" s="52" t="s">
        <v>33</v>
      </c>
      <c r="E1992" s="52" t="s">
        <v>638</v>
      </c>
      <c r="F1992" s="52" t="s">
        <v>581</v>
      </c>
      <c r="G1992" s="55" t="s">
        <v>277</v>
      </c>
      <c r="H1992" s="55"/>
      <c r="I1992" s="55"/>
      <c r="J1992" s="55"/>
      <c r="K1992" s="55">
        <v>0</v>
      </c>
      <c r="L1992" s="55">
        <v>0.37099080000000001</v>
      </c>
      <c r="M1992" s="55">
        <v>0</v>
      </c>
      <c r="N1992" s="55">
        <v>0</v>
      </c>
    </row>
    <row r="1993" spans="1:14" hidden="1" x14ac:dyDescent="0.35">
      <c r="A1993" s="52" t="s">
        <v>271</v>
      </c>
      <c r="B1993" s="52" t="s">
        <v>34</v>
      </c>
      <c r="C1993" s="52" t="s">
        <v>33</v>
      </c>
      <c r="D1993" s="52" t="s">
        <v>33</v>
      </c>
      <c r="E1993" s="52" t="s">
        <v>638</v>
      </c>
      <c r="F1993" s="52" t="s">
        <v>581</v>
      </c>
      <c r="G1993" s="55" t="s">
        <v>278</v>
      </c>
      <c r="H1993" s="55"/>
      <c r="I1993" s="55"/>
      <c r="J1993" s="55"/>
      <c r="K1993" s="55">
        <v>0</v>
      </c>
      <c r="L1993" s="55">
        <v>3.2637589999999999</v>
      </c>
      <c r="M1993" s="55">
        <v>0</v>
      </c>
      <c r="N1993" s="55"/>
    </row>
    <row r="1994" spans="1:14" hidden="1" x14ac:dyDescent="0.35">
      <c r="A1994" s="52" t="s">
        <v>271</v>
      </c>
      <c r="B1994" s="52" t="s">
        <v>34</v>
      </c>
      <c r="C1994" s="52" t="s">
        <v>33</v>
      </c>
      <c r="D1994" s="52" t="s">
        <v>33</v>
      </c>
      <c r="E1994" s="52" t="s">
        <v>638</v>
      </c>
      <c r="F1994" s="52" t="s">
        <v>581</v>
      </c>
      <c r="G1994" s="55" t="s">
        <v>279</v>
      </c>
      <c r="H1994" s="55">
        <v>0.21029200000000001</v>
      </c>
      <c r="I1994" s="55">
        <v>0.18128</v>
      </c>
      <c r="J1994" s="55">
        <v>0.154754</v>
      </c>
      <c r="K1994" s="55">
        <v>0.14261670000000001</v>
      </c>
      <c r="L1994" s="55">
        <v>0.8375146</v>
      </c>
      <c r="M1994" s="55">
        <v>0.35881010000000002</v>
      </c>
      <c r="N1994" s="55">
        <v>0.2327062</v>
      </c>
    </row>
    <row r="1995" spans="1:14" hidden="1" x14ac:dyDescent="0.35">
      <c r="A1995" s="52" t="s">
        <v>271</v>
      </c>
      <c r="B1995" s="52" t="s">
        <v>34</v>
      </c>
      <c r="C1995" s="52" t="s">
        <v>33</v>
      </c>
      <c r="D1995" s="52" t="s">
        <v>33</v>
      </c>
      <c r="E1995" s="52" t="s">
        <v>638</v>
      </c>
      <c r="F1995" s="52" t="s">
        <v>26</v>
      </c>
      <c r="G1995" s="55" t="s">
        <v>275</v>
      </c>
      <c r="H1995" s="55">
        <v>-0.20330500000000001</v>
      </c>
      <c r="I1995" s="55">
        <v>-0.2270634</v>
      </c>
      <c r="J1995" s="55">
        <v>-0.24742339999999999</v>
      </c>
      <c r="K1995" s="55">
        <v>-0.2500367</v>
      </c>
      <c r="L1995" s="55">
        <v>-0.90731019999999996</v>
      </c>
      <c r="M1995" s="55">
        <v>-0.23738429999999999</v>
      </c>
      <c r="N1995" s="55">
        <v>-0.19490850000000001</v>
      </c>
    </row>
    <row r="1996" spans="1:14" hidden="1" x14ac:dyDescent="0.35">
      <c r="A1996" s="52" t="s">
        <v>271</v>
      </c>
      <c r="B1996" s="52" t="s">
        <v>34</v>
      </c>
      <c r="C1996" s="52" t="s">
        <v>33</v>
      </c>
      <c r="D1996" s="52" t="s">
        <v>33</v>
      </c>
      <c r="E1996" s="52" t="s">
        <v>638</v>
      </c>
      <c r="F1996" s="52" t="s">
        <v>26</v>
      </c>
      <c r="G1996" s="55" t="s">
        <v>276</v>
      </c>
      <c r="H1996" s="55">
        <v>-7.3301000000000005E-2</v>
      </c>
      <c r="I1996" s="55">
        <v>-7.56878E-2</v>
      </c>
      <c r="J1996" s="55">
        <v>-7.8133289999999994E-2</v>
      </c>
      <c r="K1996" s="55">
        <v>-7.4686299999999997E-2</v>
      </c>
      <c r="L1996" s="55">
        <v>-0.1708634</v>
      </c>
      <c r="M1996" s="55">
        <v>-0.10429140000000001</v>
      </c>
      <c r="N1996" s="55">
        <v>-9.1603290000000004E-2</v>
      </c>
    </row>
    <row r="1997" spans="1:14" hidden="1" x14ac:dyDescent="0.35">
      <c r="A1997" s="52" t="s">
        <v>271</v>
      </c>
      <c r="B1997" s="52" t="s">
        <v>34</v>
      </c>
      <c r="C1997" s="52" t="s">
        <v>33</v>
      </c>
      <c r="D1997" s="52" t="s">
        <v>33</v>
      </c>
      <c r="E1997" s="52" t="s">
        <v>638</v>
      </c>
      <c r="F1997" s="52" t="s">
        <v>26</v>
      </c>
      <c r="G1997" s="55" t="s">
        <v>277</v>
      </c>
      <c r="H1997" s="55"/>
      <c r="I1997" s="55"/>
      <c r="J1997" s="55"/>
      <c r="K1997" s="55">
        <v>0</v>
      </c>
      <c r="L1997" s="55"/>
      <c r="M1997" s="55">
        <v>0</v>
      </c>
      <c r="N1997" s="55">
        <v>0</v>
      </c>
    </row>
    <row r="1998" spans="1:14" hidden="1" x14ac:dyDescent="0.35">
      <c r="A1998" s="52" t="s">
        <v>271</v>
      </c>
      <c r="B1998" s="52" t="s">
        <v>34</v>
      </c>
      <c r="C1998" s="52" t="s">
        <v>33</v>
      </c>
      <c r="D1998" s="52" t="s">
        <v>33</v>
      </c>
      <c r="E1998" s="52" t="s">
        <v>638</v>
      </c>
      <c r="F1998" s="52" t="s">
        <v>26</v>
      </c>
      <c r="G1998" s="55" t="s">
        <v>279</v>
      </c>
      <c r="H1998" s="55">
        <v>0.850885</v>
      </c>
      <c r="I1998" s="55">
        <v>0.73819299999999999</v>
      </c>
      <c r="J1998" s="55">
        <v>0.63941000000000003</v>
      </c>
      <c r="K1998" s="55">
        <v>0.59770670000000004</v>
      </c>
      <c r="L1998" s="55">
        <v>1.1595930000000001</v>
      </c>
      <c r="M1998" s="55">
        <v>0.7524573</v>
      </c>
      <c r="N1998" s="55">
        <v>0.60513939999999999</v>
      </c>
    </row>
    <row r="1999" spans="1:14" hidden="1" x14ac:dyDescent="0.35">
      <c r="A1999" s="52" t="s">
        <v>271</v>
      </c>
      <c r="B1999" s="52" t="s">
        <v>34</v>
      </c>
      <c r="C1999" s="52" t="s">
        <v>341</v>
      </c>
      <c r="D1999" s="52" t="s">
        <v>341</v>
      </c>
      <c r="E1999" s="52" t="s">
        <v>584</v>
      </c>
      <c r="F1999" s="52" t="s">
        <v>581</v>
      </c>
      <c r="G1999" s="55" t="s">
        <v>275</v>
      </c>
      <c r="H1999" s="55">
        <v>-3.1175870000000001E-2</v>
      </c>
      <c r="I1999" s="55">
        <v>-4.9172279999999999E-2</v>
      </c>
      <c r="J1999" s="55">
        <v>-5.1223629999999996E-3</v>
      </c>
      <c r="K1999" s="55">
        <v>-1.425118E-2</v>
      </c>
      <c r="L1999" s="55">
        <v>-4.6410080000000003E-3</v>
      </c>
      <c r="M1999" s="55">
        <v>-4.7831130000000003E-3</v>
      </c>
      <c r="N1999" s="55">
        <v>-4.7831200000000001E-3</v>
      </c>
    </row>
    <row r="2000" spans="1:14" hidden="1" x14ac:dyDescent="0.35">
      <c r="A2000" s="52" t="s">
        <v>271</v>
      </c>
      <c r="B2000" s="52" t="s">
        <v>34</v>
      </c>
      <c r="C2000" s="52" t="s">
        <v>341</v>
      </c>
      <c r="D2000" s="52" t="s">
        <v>341</v>
      </c>
      <c r="E2000" s="52" t="s">
        <v>584</v>
      </c>
      <c r="F2000" s="52" t="s">
        <v>581</v>
      </c>
      <c r="G2000" s="55" t="s">
        <v>276</v>
      </c>
      <c r="H2000" s="55">
        <v>-1.153119E-2</v>
      </c>
      <c r="I2000" s="55">
        <v>-1.283334E-2</v>
      </c>
      <c r="J2000" s="55">
        <v>-3.7585599999999997E-2</v>
      </c>
      <c r="K2000" s="55">
        <v>-6.1088320000000002E-2</v>
      </c>
      <c r="L2000" s="55">
        <v>-3.8707909999999998E-2</v>
      </c>
      <c r="M2000" s="55">
        <v>-3.7923279999999997E-2</v>
      </c>
      <c r="N2000" s="55">
        <v>-3.7923940000000003E-2</v>
      </c>
    </row>
    <row r="2001" spans="1:14" hidden="1" x14ac:dyDescent="0.35">
      <c r="A2001" s="52" t="s">
        <v>271</v>
      </c>
      <c r="B2001" s="52" t="s">
        <v>34</v>
      </c>
      <c r="C2001" s="52" t="s">
        <v>341</v>
      </c>
      <c r="D2001" s="52" t="s">
        <v>341</v>
      </c>
      <c r="E2001" s="52" t="s">
        <v>584</v>
      </c>
      <c r="F2001" s="52" t="s">
        <v>581</v>
      </c>
      <c r="G2001" s="55" t="s">
        <v>278</v>
      </c>
      <c r="H2001" s="55">
        <v>4.2707059999999998E-2</v>
      </c>
      <c r="I2001" s="55">
        <v>6.2006699999999998E-2</v>
      </c>
      <c r="J2001" s="55">
        <v>4.2707059999999998E-2</v>
      </c>
      <c r="K2001" s="55">
        <v>7.5339500000000004E-2</v>
      </c>
      <c r="L2001" s="55">
        <v>4.3348919999999999E-2</v>
      </c>
      <c r="M2001" s="55">
        <v>4.2707059999999998E-2</v>
      </c>
      <c r="N2001" s="55">
        <v>4.2707059999999998E-2</v>
      </c>
    </row>
    <row r="2002" spans="1:14" hidden="1" x14ac:dyDescent="0.35">
      <c r="A2002" s="52" t="s">
        <v>271</v>
      </c>
      <c r="B2002" s="52" t="s">
        <v>34</v>
      </c>
      <c r="C2002" s="52" t="s">
        <v>263</v>
      </c>
      <c r="D2002" s="52" t="s">
        <v>263</v>
      </c>
      <c r="E2002" s="52" t="s">
        <v>584</v>
      </c>
      <c r="F2002" s="52" t="s">
        <v>581</v>
      </c>
      <c r="G2002" s="55" t="s">
        <v>275</v>
      </c>
      <c r="H2002" s="55">
        <v>-2.7292290000000001E-3</v>
      </c>
      <c r="I2002" s="55">
        <v>-2.7292449999999999E-3</v>
      </c>
      <c r="J2002" s="55">
        <v>0</v>
      </c>
      <c r="K2002" s="55">
        <v>0</v>
      </c>
      <c r="L2002" s="55">
        <v>0</v>
      </c>
      <c r="M2002" s="55">
        <v>0</v>
      </c>
      <c r="N2002" s="55">
        <v>0</v>
      </c>
    </row>
    <row r="2003" spans="1:14" hidden="1" x14ac:dyDescent="0.35">
      <c r="A2003" s="52" t="s">
        <v>271</v>
      </c>
      <c r="B2003" s="52" t="s">
        <v>34</v>
      </c>
      <c r="C2003" s="52" t="s">
        <v>263</v>
      </c>
      <c r="D2003" s="52" t="s">
        <v>263</v>
      </c>
      <c r="E2003" s="52" t="s">
        <v>584</v>
      </c>
      <c r="F2003" s="52" t="s">
        <v>581</v>
      </c>
      <c r="G2003" s="55" t="s">
        <v>276</v>
      </c>
      <c r="H2003" s="55">
        <v>-1.009427E-3</v>
      </c>
      <c r="I2003" s="55">
        <v>-1.009427E-3</v>
      </c>
      <c r="J2003" s="55">
        <v>-3.7386720000000002E-3</v>
      </c>
      <c r="K2003" s="55">
        <v>-4.5579189999999997E-3</v>
      </c>
      <c r="L2003" s="55">
        <v>-0.10051019999999999</v>
      </c>
      <c r="M2003" s="55">
        <v>-3.738585E-3</v>
      </c>
      <c r="N2003" s="55">
        <v>-3.7387420000000002E-3</v>
      </c>
    </row>
    <row r="2004" spans="1:14" hidden="1" x14ac:dyDescent="0.35">
      <c r="A2004" s="52" t="s">
        <v>271</v>
      </c>
      <c r="B2004" s="52" t="s">
        <v>34</v>
      </c>
      <c r="C2004" s="52" t="s">
        <v>263</v>
      </c>
      <c r="D2004" s="52" t="s">
        <v>263</v>
      </c>
      <c r="E2004" s="52" t="s">
        <v>584</v>
      </c>
      <c r="F2004" s="52" t="s">
        <v>581</v>
      </c>
      <c r="G2004" s="55" t="s">
        <v>277</v>
      </c>
      <c r="H2004" s="55"/>
      <c r="I2004" s="55"/>
      <c r="J2004" s="55"/>
      <c r="K2004" s="55"/>
      <c r="L2004" s="55"/>
      <c r="M2004" s="55"/>
      <c r="N2004" s="55">
        <v>0</v>
      </c>
    </row>
    <row r="2005" spans="1:14" hidden="1" x14ac:dyDescent="0.35">
      <c r="A2005" s="52" t="s">
        <v>271</v>
      </c>
      <c r="B2005" s="52" t="s">
        <v>34</v>
      </c>
      <c r="C2005" s="52" t="s">
        <v>263</v>
      </c>
      <c r="D2005" s="52" t="s">
        <v>263</v>
      </c>
      <c r="E2005" s="52" t="s">
        <v>584</v>
      </c>
      <c r="F2005" s="52" t="s">
        <v>581</v>
      </c>
      <c r="G2005" s="55" t="s">
        <v>278</v>
      </c>
      <c r="H2005" s="55">
        <v>3.7386720000000002E-3</v>
      </c>
      <c r="I2005" s="55">
        <v>3.7386720000000002E-3</v>
      </c>
      <c r="J2005" s="55">
        <v>3.7386720000000002E-3</v>
      </c>
      <c r="K2005" s="55">
        <v>4.5578659999999998E-3</v>
      </c>
      <c r="L2005" s="55">
        <v>0.1005103</v>
      </c>
      <c r="M2005" s="55">
        <v>3.7386720000000002E-3</v>
      </c>
      <c r="N2005" s="55">
        <v>3.7386720000000002E-3</v>
      </c>
    </row>
    <row r="2006" spans="1:14" hidden="1" x14ac:dyDescent="0.35">
      <c r="A2006" s="52" t="s">
        <v>271</v>
      </c>
      <c r="B2006" s="52" t="s">
        <v>34</v>
      </c>
      <c r="C2006" s="52" t="s">
        <v>300</v>
      </c>
      <c r="D2006" s="52" t="s">
        <v>300</v>
      </c>
      <c r="E2006" s="52" t="s">
        <v>584</v>
      </c>
      <c r="F2006" s="52" t="s">
        <v>581</v>
      </c>
      <c r="G2006" s="55" t="s">
        <v>275</v>
      </c>
      <c r="H2006" s="55">
        <v>-3.3502999999999998E-2</v>
      </c>
      <c r="I2006" s="55">
        <v>-3.3502999999999998E-2</v>
      </c>
      <c r="J2006" s="55">
        <v>0</v>
      </c>
      <c r="K2006" s="55">
        <v>0</v>
      </c>
      <c r="L2006" s="55">
        <v>0</v>
      </c>
      <c r="M2006" s="55">
        <v>0</v>
      </c>
      <c r="N2006" s="55">
        <v>0</v>
      </c>
    </row>
    <row r="2007" spans="1:14" hidden="1" x14ac:dyDescent="0.35">
      <c r="A2007" s="52" t="s">
        <v>271</v>
      </c>
      <c r="B2007" s="52" t="s">
        <v>34</v>
      </c>
      <c r="C2007" s="52" t="s">
        <v>113</v>
      </c>
      <c r="D2007" s="52" t="s">
        <v>113</v>
      </c>
      <c r="E2007" s="52" t="s">
        <v>584</v>
      </c>
      <c r="F2007" s="52" t="s">
        <v>581</v>
      </c>
      <c r="G2007" s="55" t="s">
        <v>275</v>
      </c>
      <c r="H2007" s="55">
        <v>-0.374218</v>
      </c>
      <c r="I2007" s="55">
        <v>-0.374218</v>
      </c>
      <c r="J2007" s="55">
        <v>0</v>
      </c>
      <c r="K2007" s="55">
        <v>0</v>
      </c>
      <c r="L2007" s="55">
        <v>0</v>
      </c>
      <c r="M2007" s="55">
        <v>0</v>
      </c>
      <c r="N2007" s="55">
        <v>0</v>
      </c>
    </row>
    <row r="2008" spans="1:14" hidden="1" x14ac:dyDescent="0.35">
      <c r="A2008" s="52" t="s">
        <v>271</v>
      </c>
      <c r="B2008" s="52" t="s">
        <v>34</v>
      </c>
      <c r="C2008" s="52" t="s">
        <v>318</v>
      </c>
      <c r="D2008" s="52" t="s">
        <v>318</v>
      </c>
      <c r="E2008" s="52" t="s">
        <v>584</v>
      </c>
      <c r="F2008" s="52" t="s">
        <v>581</v>
      </c>
      <c r="G2008" s="55" t="s">
        <v>275</v>
      </c>
      <c r="H2008" s="55">
        <v>0</v>
      </c>
      <c r="I2008" s="55"/>
      <c r="J2008" s="55"/>
      <c r="K2008" s="55"/>
      <c r="L2008" s="55"/>
      <c r="M2008" s="55"/>
      <c r="N2008" s="55"/>
    </row>
    <row r="2009" spans="1:14" hidden="1" x14ac:dyDescent="0.35">
      <c r="A2009" s="52" t="s">
        <v>271</v>
      </c>
      <c r="B2009" s="52" t="s">
        <v>34</v>
      </c>
      <c r="C2009" s="52" t="s">
        <v>113</v>
      </c>
      <c r="D2009" s="52" t="s">
        <v>113</v>
      </c>
      <c r="E2009" s="52" t="s">
        <v>584</v>
      </c>
      <c r="F2009" s="52" t="s">
        <v>581</v>
      </c>
      <c r="G2009" s="55" t="s">
        <v>276</v>
      </c>
      <c r="H2009" s="55"/>
      <c r="I2009" s="55"/>
      <c r="J2009" s="55">
        <v>-1.282616</v>
      </c>
      <c r="K2009" s="55">
        <v>-0.374218</v>
      </c>
      <c r="L2009" s="55">
        <v>-0.59003099999999997</v>
      </c>
      <c r="M2009" s="55">
        <v>-2.2322030000000002</v>
      </c>
      <c r="N2009" s="55">
        <v>-0.52587399999999995</v>
      </c>
    </row>
    <row r="2010" spans="1:14" hidden="1" x14ac:dyDescent="0.35">
      <c r="A2010" s="52" t="s">
        <v>271</v>
      </c>
      <c r="B2010" s="52" t="s">
        <v>34</v>
      </c>
      <c r="C2010" s="52" t="s">
        <v>300</v>
      </c>
      <c r="D2010" s="52" t="s">
        <v>300</v>
      </c>
      <c r="E2010" s="52" t="s">
        <v>584</v>
      </c>
      <c r="F2010" s="52" t="s">
        <v>581</v>
      </c>
      <c r="G2010" s="55" t="s">
        <v>276</v>
      </c>
      <c r="H2010" s="55"/>
      <c r="I2010" s="55"/>
      <c r="J2010" s="55">
        <v>-3.3502999999999998E-2</v>
      </c>
      <c r="K2010" s="55">
        <v>-3.3502999999999998E-2</v>
      </c>
      <c r="L2010" s="55">
        <v>-3.3502999999999998E-2</v>
      </c>
      <c r="M2010" s="55">
        <v>-3.3502999999999998E-2</v>
      </c>
      <c r="N2010" s="55">
        <v>-3.3502999999999998E-2</v>
      </c>
    </row>
    <row r="2011" spans="1:14" hidden="1" x14ac:dyDescent="0.35">
      <c r="A2011" s="52" t="s">
        <v>271</v>
      </c>
      <c r="B2011" s="52" t="s">
        <v>34</v>
      </c>
      <c r="C2011" s="52" t="s">
        <v>113</v>
      </c>
      <c r="D2011" s="52" t="s">
        <v>113</v>
      </c>
      <c r="E2011" s="52" t="s">
        <v>584</v>
      </c>
      <c r="F2011" s="52" t="s">
        <v>581</v>
      </c>
      <c r="G2011" s="55" t="s">
        <v>277</v>
      </c>
      <c r="H2011" s="55"/>
      <c r="I2011" s="55"/>
      <c r="J2011" s="55"/>
      <c r="K2011" s="55">
        <v>0</v>
      </c>
      <c r="L2011" s="55">
        <v>0.21581400000000001</v>
      </c>
      <c r="M2011" s="55">
        <v>0.215812</v>
      </c>
      <c r="N2011" s="55">
        <v>0.15165600000000001</v>
      </c>
    </row>
    <row r="2012" spans="1:14" hidden="1" x14ac:dyDescent="0.35">
      <c r="A2012" s="52" t="s">
        <v>271</v>
      </c>
      <c r="B2012" s="52" t="s">
        <v>34</v>
      </c>
      <c r="C2012" s="52" t="s">
        <v>300</v>
      </c>
      <c r="D2012" s="52" t="s">
        <v>300</v>
      </c>
      <c r="E2012" s="52" t="s">
        <v>584</v>
      </c>
      <c r="F2012" s="52" t="s">
        <v>581</v>
      </c>
      <c r="G2012" s="55" t="s">
        <v>278</v>
      </c>
      <c r="H2012" s="55">
        <v>3.3502999999999998E-2</v>
      </c>
      <c r="I2012" s="55">
        <v>3.3502999999999998E-2</v>
      </c>
      <c r="J2012" s="55">
        <v>3.3502999999999998E-2</v>
      </c>
      <c r="K2012" s="55">
        <v>3.3502999999999998E-2</v>
      </c>
      <c r="L2012" s="55">
        <v>3.3502999999999998E-2</v>
      </c>
      <c r="M2012" s="55">
        <v>3.3502999999999998E-2</v>
      </c>
      <c r="N2012" s="55">
        <v>3.3502999999999998E-2</v>
      </c>
    </row>
    <row r="2013" spans="1:14" hidden="1" x14ac:dyDescent="0.35">
      <c r="A2013" s="52" t="s">
        <v>271</v>
      </c>
      <c r="B2013" s="52" t="s">
        <v>34</v>
      </c>
      <c r="C2013" s="52" t="s">
        <v>318</v>
      </c>
      <c r="D2013" s="52" t="s">
        <v>318</v>
      </c>
      <c r="E2013" s="52" t="s">
        <v>584</v>
      </c>
      <c r="F2013" s="52" t="s">
        <v>581</v>
      </c>
      <c r="G2013" s="55" t="s">
        <v>278</v>
      </c>
      <c r="H2013" s="55">
        <v>0</v>
      </c>
      <c r="I2013" s="55"/>
      <c r="J2013" s="55"/>
      <c r="K2013" s="55"/>
      <c r="L2013" s="55"/>
      <c r="M2013" s="55"/>
      <c r="N2013" s="55"/>
    </row>
    <row r="2014" spans="1:14" hidden="1" x14ac:dyDescent="0.35">
      <c r="A2014" s="52" t="s">
        <v>271</v>
      </c>
      <c r="B2014" s="52" t="s">
        <v>34</v>
      </c>
      <c r="C2014" s="52" t="s">
        <v>113</v>
      </c>
      <c r="D2014" s="52" t="s">
        <v>113</v>
      </c>
      <c r="E2014" s="52" t="s">
        <v>584</v>
      </c>
      <c r="F2014" s="52" t="s">
        <v>581</v>
      </c>
      <c r="G2014" s="55" t="s">
        <v>278</v>
      </c>
      <c r="H2014" s="55">
        <v>0.374218</v>
      </c>
      <c r="I2014" s="55">
        <v>0.374218</v>
      </c>
      <c r="J2014" s="55">
        <v>1.282616</v>
      </c>
      <c r="K2014" s="55">
        <v>0.374218</v>
      </c>
      <c r="L2014" s="55">
        <v>0.374218</v>
      </c>
      <c r="M2014" s="55">
        <v>2.0163899999999999</v>
      </c>
      <c r="N2014" s="55">
        <v>0.374218</v>
      </c>
    </row>
    <row r="2015" spans="1:14" hidden="1" x14ac:dyDescent="0.35">
      <c r="A2015" s="52" t="s">
        <v>271</v>
      </c>
      <c r="B2015" s="52" t="s">
        <v>34</v>
      </c>
      <c r="C2015" s="52" t="s">
        <v>113</v>
      </c>
      <c r="D2015" s="52" t="s">
        <v>113</v>
      </c>
      <c r="E2015" s="52" t="s">
        <v>584</v>
      </c>
      <c r="F2015" s="52" t="s">
        <v>26</v>
      </c>
      <c r="G2015" s="55" t="s">
        <v>275</v>
      </c>
      <c r="H2015" s="55">
        <v>-2.2460100000000001E-3</v>
      </c>
      <c r="I2015" s="55">
        <v>-2.2460100000000001E-3</v>
      </c>
      <c r="J2015" s="55">
        <v>0</v>
      </c>
      <c r="K2015" s="55">
        <v>0</v>
      </c>
      <c r="L2015" s="55">
        <v>0</v>
      </c>
      <c r="M2015" s="55">
        <v>-90.8446</v>
      </c>
      <c r="N2015" s="55">
        <v>-90.8446</v>
      </c>
    </row>
    <row r="2016" spans="1:14" hidden="1" x14ac:dyDescent="0.35">
      <c r="A2016" s="52" t="s">
        <v>271</v>
      </c>
      <c r="B2016" s="52" t="s">
        <v>34</v>
      </c>
      <c r="C2016" s="52" t="s">
        <v>318</v>
      </c>
      <c r="D2016" s="52" t="s">
        <v>318</v>
      </c>
      <c r="E2016" s="52" t="s">
        <v>584</v>
      </c>
      <c r="F2016" s="52" t="s">
        <v>26</v>
      </c>
      <c r="G2016" s="55" t="s">
        <v>275</v>
      </c>
      <c r="H2016" s="55">
        <v>0</v>
      </c>
      <c r="I2016" s="55"/>
      <c r="J2016" s="55"/>
      <c r="K2016" s="55"/>
      <c r="L2016" s="55"/>
      <c r="M2016" s="55"/>
      <c r="N2016" s="55"/>
    </row>
    <row r="2017" spans="1:14" hidden="1" x14ac:dyDescent="0.35">
      <c r="A2017" s="52" t="s">
        <v>271</v>
      </c>
      <c r="B2017" s="52" t="s">
        <v>34</v>
      </c>
      <c r="C2017" s="52" t="s">
        <v>380</v>
      </c>
      <c r="D2017" s="52" t="s">
        <v>380</v>
      </c>
      <c r="E2017" s="52" t="s">
        <v>584</v>
      </c>
      <c r="F2017" s="52" t="s">
        <v>26</v>
      </c>
      <c r="G2017" s="55" t="s">
        <v>275</v>
      </c>
      <c r="H2017" s="55"/>
      <c r="I2017" s="55"/>
      <c r="J2017" s="55">
        <v>0</v>
      </c>
      <c r="K2017" s="55">
        <v>0</v>
      </c>
      <c r="L2017" s="55">
        <v>0</v>
      </c>
      <c r="M2017" s="55">
        <v>0</v>
      </c>
      <c r="N2017" s="55">
        <v>0</v>
      </c>
    </row>
    <row r="2018" spans="1:14" hidden="1" x14ac:dyDescent="0.35">
      <c r="A2018" s="52" t="s">
        <v>271</v>
      </c>
      <c r="B2018" s="52" t="s">
        <v>34</v>
      </c>
      <c r="C2018" s="52" t="s">
        <v>113</v>
      </c>
      <c r="D2018" s="52" t="s">
        <v>113</v>
      </c>
      <c r="E2018" s="52" t="s">
        <v>584</v>
      </c>
      <c r="F2018" s="52" t="s">
        <v>26</v>
      </c>
      <c r="G2018" s="55" t="s">
        <v>277</v>
      </c>
      <c r="H2018" s="55">
        <v>0</v>
      </c>
      <c r="I2018" s="55"/>
      <c r="J2018" s="55"/>
      <c r="K2018" s="55"/>
      <c r="L2018" s="55"/>
      <c r="M2018" s="55">
        <v>0</v>
      </c>
      <c r="N2018" s="55">
        <v>0</v>
      </c>
    </row>
    <row r="2019" spans="1:14" hidden="1" x14ac:dyDescent="0.35">
      <c r="A2019" s="52" t="s">
        <v>271</v>
      </c>
      <c r="B2019" s="52" t="s">
        <v>34</v>
      </c>
      <c r="C2019" s="52" t="s">
        <v>380</v>
      </c>
      <c r="D2019" s="52" t="s">
        <v>380</v>
      </c>
      <c r="E2019" s="52" t="s">
        <v>584</v>
      </c>
      <c r="F2019" s="52" t="s">
        <v>26</v>
      </c>
      <c r="G2019" s="55" t="s">
        <v>277</v>
      </c>
      <c r="H2019" s="55"/>
      <c r="I2019" s="55"/>
      <c r="J2019" s="55"/>
      <c r="K2019" s="55"/>
      <c r="L2019" s="55"/>
      <c r="M2019" s="55"/>
      <c r="N2019" s="55">
        <v>0</v>
      </c>
    </row>
    <row r="2020" spans="1:14" hidden="1" x14ac:dyDescent="0.35">
      <c r="A2020" s="52" t="s">
        <v>271</v>
      </c>
      <c r="B2020" s="52" t="s">
        <v>34</v>
      </c>
      <c r="C2020" s="52" t="s">
        <v>113</v>
      </c>
      <c r="D2020" s="52" t="s">
        <v>113</v>
      </c>
      <c r="E2020" s="52" t="s">
        <v>584</v>
      </c>
      <c r="F2020" s="52" t="s">
        <v>26</v>
      </c>
      <c r="G2020" s="55" t="s">
        <v>278</v>
      </c>
      <c r="H2020" s="55">
        <v>2.2460100000000001E-3</v>
      </c>
      <c r="I2020" s="55">
        <v>2.2460100000000001E-3</v>
      </c>
      <c r="J2020" s="55">
        <v>0</v>
      </c>
      <c r="K2020" s="55">
        <v>0</v>
      </c>
      <c r="L2020" s="55">
        <v>0</v>
      </c>
      <c r="M2020" s="55">
        <v>0</v>
      </c>
      <c r="N2020" s="55">
        <v>0</v>
      </c>
    </row>
    <row r="2021" spans="1:14" hidden="1" x14ac:dyDescent="0.35">
      <c r="A2021" s="52" t="s">
        <v>271</v>
      </c>
      <c r="B2021" s="52" t="s">
        <v>34</v>
      </c>
      <c r="C2021" s="52" t="s">
        <v>318</v>
      </c>
      <c r="D2021" s="52" t="s">
        <v>318</v>
      </c>
      <c r="E2021" s="52" t="s">
        <v>584</v>
      </c>
      <c r="F2021" s="52" t="s">
        <v>26</v>
      </c>
      <c r="G2021" s="55" t="s">
        <v>278</v>
      </c>
      <c r="H2021" s="55">
        <v>0</v>
      </c>
      <c r="I2021" s="55"/>
      <c r="J2021" s="55"/>
      <c r="K2021" s="55"/>
      <c r="L2021" s="55"/>
      <c r="M2021" s="55"/>
      <c r="N2021" s="55"/>
    </row>
    <row r="2022" spans="1:14" hidden="1" x14ac:dyDescent="0.35">
      <c r="A2022" s="52" t="s">
        <v>271</v>
      </c>
      <c r="B2022" s="52" t="s">
        <v>34</v>
      </c>
      <c r="C2022" s="52" t="s">
        <v>380</v>
      </c>
      <c r="D2022" s="52" t="s">
        <v>380</v>
      </c>
      <c r="E2022" s="52" t="s">
        <v>584</v>
      </c>
      <c r="F2022" s="52" t="s">
        <v>26</v>
      </c>
      <c r="G2022" s="55" t="s">
        <v>278</v>
      </c>
      <c r="H2022" s="55"/>
      <c r="I2022" s="55"/>
      <c r="J2022" s="55">
        <v>0</v>
      </c>
      <c r="K2022" s="55">
        <v>0</v>
      </c>
      <c r="L2022" s="55">
        <v>0</v>
      </c>
      <c r="M2022" s="55">
        <v>0</v>
      </c>
      <c r="N2022" s="55">
        <v>0</v>
      </c>
    </row>
    <row r="2023" spans="1:14" hidden="1" x14ac:dyDescent="0.35">
      <c r="A2023" s="52" t="s">
        <v>271</v>
      </c>
      <c r="B2023" s="52" t="s">
        <v>34</v>
      </c>
      <c r="C2023" s="52" t="s">
        <v>113</v>
      </c>
      <c r="D2023" s="52" t="s">
        <v>113</v>
      </c>
      <c r="E2023" s="52" t="s">
        <v>584</v>
      </c>
      <c r="F2023" s="52" t="s">
        <v>26</v>
      </c>
      <c r="G2023" s="55" t="s">
        <v>279</v>
      </c>
      <c r="H2023" s="55"/>
      <c r="I2023" s="55"/>
      <c r="J2023" s="55"/>
      <c r="K2023" s="55"/>
      <c r="L2023" s="55">
        <v>0</v>
      </c>
      <c r="M2023" s="55">
        <v>90.8446</v>
      </c>
      <c r="N2023" s="55">
        <v>90.8446</v>
      </c>
    </row>
    <row r="2024" spans="1:14" hidden="1" x14ac:dyDescent="0.35">
      <c r="A2024" s="52" t="s">
        <v>271</v>
      </c>
      <c r="B2024" s="52" t="s">
        <v>174</v>
      </c>
      <c r="C2024" s="52" t="s">
        <v>203</v>
      </c>
      <c r="D2024" s="52" t="s">
        <v>203</v>
      </c>
      <c r="E2024" s="52" t="s">
        <v>584</v>
      </c>
      <c r="F2024" s="52" t="s">
        <v>581</v>
      </c>
      <c r="G2024" s="55" t="s">
        <v>275</v>
      </c>
      <c r="H2024" s="55">
        <v>17.284199999999998</v>
      </c>
      <c r="I2024" s="55">
        <v>2.1266159999999998</v>
      </c>
      <c r="J2024" s="55">
        <v>-1.9654180000000001</v>
      </c>
      <c r="K2024" s="55">
        <v>1.250823</v>
      </c>
      <c r="L2024" s="55">
        <v>0.54287799999999997</v>
      </c>
      <c r="M2024" s="55">
        <v>-20.883130000000001</v>
      </c>
      <c r="N2024" s="55"/>
    </row>
    <row r="2025" spans="1:14" hidden="1" x14ac:dyDescent="0.35">
      <c r="A2025" s="52" t="s">
        <v>271</v>
      </c>
      <c r="B2025" s="52" t="s">
        <v>174</v>
      </c>
      <c r="C2025" s="52" t="s">
        <v>203</v>
      </c>
      <c r="D2025" s="52" t="s">
        <v>203</v>
      </c>
      <c r="E2025" s="52" t="s">
        <v>584</v>
      </c>
      <c r="F2025" s="52" t="s">
        <v>581</v>
      </c>
      <c r="G2025" s="55" t="s">
        <v>276</v>
      </c>
      <c r="H2025" s="55">
        <v>6.6656180000000003</v>
      </c>
      <c r="I2025" s="55">
        <v>2.8320280000000002</v>
      </c>
      <c r="J2025" s="55">
        <v>2.3553489999999999</v>
      </c>
      <c r="K2025" s="55">
        <v>1.9728049999999999</v>
      </c>
      <c r="L2025" s="55">
        <v>1.629162</v>
      </c>
      <c r="M2025" s="55"/>
      <c r="N2025" s="55"/>
    </row>
    <row r="2026" spans="1:14" hidden="1" x14ac:dyDescent="0.35">
      <c r="A2026" s="52" t="s">
        <v>271</v>
      </c>
      <c r="B2026" s="52" t="s">
        <v>174</v>
      </c>
      <c r="C2026" s="52" t="s">
        <v>203</v>
      </c>
      <c r="D2026" s="52" t="s">
        <v>203</v>
      </c>
      <c r="E2026" s="52" t="s">
        <v>584</v>
      </c>
      <c r="F2026" s="52" t="s">
        <v>581</v>
      </c>
      <c r="G2026" s="55" t="s">
        <v>277</v>
      </c>
      <c r="H2026" s="55">
        <v>6.8011999999999997</v>
      </c>
      <c r="I2026" s="55">
        <v>0</v>
      </c>
      <c r="J2026" s="55">
        <v>0.83571510000000004</v>
      </c>
      <c r="K2026" s="55">
        <v>0.98796050000000002</v>
      </c>
      <c r="L2026" s="55"/>
      <c r="M2026" s="55"/>
      <c r="N2026" s="55"/>
    </row>
    <row r="2027" spans="1:14" hidden="1" x14ac:dyDescent="0.35">
      <c r="A2027" s="52" t="s">
        <v>271</v>
      </c>
      <c r="B2027" s="52" t="s">
        <v>174</v>
      </c>
      <c r="C2027" s="52" t="s">
        <v>203</v>
      </c>
      <c r="D2027" s="52" t="s">
        <v>203</v>
      </c>
      <c r="E2027" s="52" t="s">
        <v>584</v>
      </c>
      <c r="F2027" s="52" t="s">
        <v>581</v>
      </c>
      <c r="G2027" s="55" t="s">
        <v>278</v>
      </c>
      <c r="H2027" s="55">
        <v>3.61348</v>
      </c>
      <c r="I2027" s="55">
        <v>4.3426429999999998</v>
      </c>
      <c r="J2027" s="55">
        <v>5.5216279999999998</v>
      </c>
      <c r="K2027" s="55">
        <v>0</v>
      </c>
      <c r="L2027" s="55"/>
      <c r="M2027" s="55"/>
      <c r="N2027" s="55"/>
    </row>
    <row r="2028" spans="1:14" hidden="1" x14ac:dyDescent="0.35">
      <c r="A2028" s="52" t="s">
        <v>271</v>
      </c>
      <c r="B2028" s="52" t="s">
        <v>174</v>
      </c>
      <c r="C2028" s="52" t="s">
        <v>203</v>
      </c>
      <c r="D2028" s="52" t="s">
        <v>203</v>
      </c>
      <c r="E2028" s="52" t="s">
        <v>584</v>
      </c>
      <c r="F2028" s="52" t="s">
        <v>581</v>
      </c>
      <c r="G2028" s="55" t="s">
        <v>279</v>
      </c>
      <c r="H2028" s="55">
        <v>13.474399999999999</v>
      </c>
      <c r="I2028" s="55">
        <v>11.02407</v>
      </c>
      <c r="J2028" s="55">
        <v>10.156980000000001</v>
      </c>
      <c r="K2028" s="55">
        <v>9.9471620000000005</v>
      </c>
      <c r="L2028" s="55">
        <v>9.1649340000000006</v>
      </c>
      <c r="M2028" s="55">
        <v>23.563939999999999</v>
      </c>
      <c r="N2028" s="55">
        <v>2.405303</v>
      </c>
    </row>
    <row r="2029" spans="1:14" hidden="1" x14ac:dyDescent="0.35">
      <c r="A2029" s="52" t="s">
        <v>271</v>
      </c>
      <c r="B2029" s="52" t="s">
        <v>174</v>
      </c>
      <c r="C2029" s="52" t="s">
        <v>272</v>
      </c>
      <c r="D2029" s="52" t="s">
        <v>272</v>
      </c>
      <c r="E2029" s="52" t="s">
        <v>584</v>
      </c>
      <c r="F2029" s="52" t="s">
        <v>581</v>
      </c>
      <c r="G2029" s="55" t="s">
        <v>275</v>
      </c>
      <c r="H2029" s="55">
        <v>3.8320940000000001</v>
      </c>
      <c r="I2029" s="55">
        <v>2.9730780000000001</v>
      </c>
      <c r="J2029" s="55">
        <v>-4.4674129999999996</v>
      </c>
      <c r="K2029" s="55">
        <v>1.026691</v>
      </c>
      <c r="L2029" s="55">
        <v>0.5324025</v>
      </c>
      <c r="M2029" s="55">
        <v>0.36296390000000001</v>
      </c>
      <c r="N2029" s="55">
        <v>-6.3947320000000002E-2</v>
      </c>
    </row>
    <row r="2030" spans="1:14" hidden="1" x14ac:dyDescent="0.35">
      <c r="A2030" s="52" t="s">
        <v>271</v>
      </c>
      <c r="B2030" s="52" t="s">
        <v>174</v>
      </c>
      <c r="C2030" s="52" t="s">
        <v>272</v>
      </c>
      <c r="D2030" s="52" t="s">
        <v>272</v>
      </c>
      <c r="E2030" s="52" t="s">
        <v>584</v>
      </c>
      <c r="F2030" s="52" t="s">
        <v>581</v>
      </c>
      <c r="G2030" s="55" t="s">
        <v>276</v>
      </c>
      <c r="H2030" s="55">
        <v>3.1385100000000001</v>
      </c>
      <c r="I2030" s="55">
        <v>1.400244</v>
      </c>
      <c r="J2030" s="55">
        <v>1.2229380000000001</v>
      </c>
      <c r="K2030" s="55">
        <v>1.077707</v>
      </c>
      <c r="L2030" s="55">
        <v>0.94968940000000002</v>
      </c>
      <c r="M2030" s="55">
        <v>0.83690830000000005</v>
      </c>
      <c r="N2030" s="55">
        <v>0.73747459999999998</v>
      </c>
    </row>
    <row r="2031" spans="1:14" hidden="1" x14ac:dyDescent="0.35">
      <c r="A2031" s="52" t="s">
        <v>271</v>
      </c>
      <c r="B2031" s="52" t="s">
        <v>174</v>
      </c>
      <c r="C2031" s="52" t="s">
        <v>272</v>
      </c>
      <c r="D2031" s="52" t="s">
        <v>272</v>
      </c>
      <c r="E2031" s="52" t="s">
        <v>584</v>
      </c>
      <c r="F2031" s="52" t="s">
        <v>581</v>
      </c>
      <c r="G2031" s="55" t="s">
        <v>277</v>
      </c>
      <c r="H2031" s="55">
        <v>4.8411999999999997</v>
      </c>
      <c r="I2031" s="55">
        <v>0</v>
      </c>
      <c r="J2031" s="55">
        <v>0.40139720000000001</v>
      </c>
      <c r="K2031" s="55">
        <v>0.47452220000000001</v>
      </c>
      <c r="L2031" s="55">
        <v>0.45447490000000001</v>
      </c>
      <c r="M2031" s="55"/>
      <c r="N2031" s="55"/>
    </row>
    <row r="2032" spans="1:14" hidden="1" x14ac:dyDescent="0.35">
      <c r="A2032" s="52" t="s">
        <v>271</v>
      </c>
      <c r="B2032" s="52" t="s">
        <v>174</v>
      </c>
      <c r="C2032" s="52" t="s">
        <v>272</v>
      </c>
      <c r="D2032" s="52" t="s">
        <v>272</v>
      </c>
      <c r="E2032" s="52" t="s">
        <v>584</v>
      </c>
      <c r="F2032" s="52" t="s">
        <v>581</v>
      </c>
      <c r="G2032" s="55" t="s">
        <v>278</v>
      </c>
      <c r="H2032" s="55">
        <v>4.2913370000000004</v>
      </c>
      <c r="I2032" s="55">
        <v>0.25351810000000002</v>
      </c>
      <c r="J2032" s="55">
        <v>6.4837429999999996</v>
      </c>
      <c r="K2032" s="55">
        <v>0</v>
      </c>
      <c r="L2032" s="55"/>
      <c r="M2032" s="55"/>
      <c r="N2032" s="55"/>
    </row>
    <row r="2033" spans="1:14" hidden="1" x14ac:dyDescent="0.35">
      <c r="A2033" s="52" t="s">
        <v>271</v>
      </c>
      <c r="B2033" s="52" t="s">
        <v>174</v>
      </c>
      <c r="C2033" s="52" t="s">
        <v>272</v>
      </c>
      <c r="D2033" s="52" t="s">
        <v>272</v>
      </c>
      <c r="E2033" s="52" t="s">
        <v>584</v>
      </c>
      <c r="F2033" s="52" t="s">
        <v>581</v>
      </c>
      <c r="G2033" s="55" t="s">
        <v>279</v>
      </c>
      <c r="H2033" s="55">
        <v>6.4218190000000002</v>
      </c>
      <c r="I2033" s="55">
        <v>5.4226570000000001</v>
      </c>
      <c r="J2033" s="55">
        <v>5.1363130000000004</v>
      </c>
      <c r="K2033" s="55">
        <v>5.1557430000000002</v>
      </c>
      <c r="L2033" s="55">
        <v>4.879321</v>
      </c>
      <c r="M2033" s="55">
        <v>4.6441400000000002</v>
      </c>
      <c r="N2033" s="55">
        <v>4.4455229999999997</v>
      </c>
    </row>
    <row r="2034" spans="1:14" hidden="1" x14ac:dyDescent="0.35">
      <c r="A2034" s="52" t="s">
        <v>271</v>
      </c>
      <c r="B2034" s="52" t="s">
        <v>53</v>
      </c>
      <c r="C2034" s="52" t="s">
        <v>318</v>
      </c>
      <c r="D2034" s="52" t="s">
        <v>318</v>
      </c>
      <c r="E2034" s="52" t="s">
        <v>584</v>
      </c>
      <c r="F2034" s="52" t="s">
        <v>581</v>
      </c>
      <c r="G2034" s="55" t="s">
        <v>275</v>
      </c>
      <c r="H2034" s="55">
        <v>0</v>
      </c>
      <c r="I2034" s="55"/>
      <c r="J2034" s="55"/>
      <c r="K2034" s="55"/>
      <c r="L2034" s="55"/>
      <c r="M2034" s="55"/>
      <c r="N2034" s="55"/>
    </row>
    <row r="2035" spans="1:14" hidden="1" x14ac:dyDescent="0.35">
      <c r="A2035" s="52" t="s">
        <v>271</v>
      </c>
      <c r="B2035" s="52" t="s">
        <v>53</v>
      </c>
      <c r="C2035" s="52" t="s">
        <v>318</v>
      </c>
      <c r="D2035" s="52" t="s">
        <v>318</v>
      </c>
      <c r="E2035" s="52" t="s">
        <v>584</v>
      </c>
      <c r="F2035" s="52" t="s">
        <v>581</v>
      </c>
      <c r="G2035" s="55" t="s">
        <v>278</v>
      </c>
      <c r="H2035" s="55">
        <v>0</v>
      </c>
      <c r="I2035" s="55"/>
      <c r="J2035" s="55"/>
      <c r="K2035" s="55"/>
      <c r="L2035" s="55"/>
      <c r="M2035" s="55"/>
      <c r="N2035" s="55"/>
    </row>
    <row r="2036" spans="1:14" hidden="1" x14ac:dyDescent="0.35">
      <c r="A2036" s="52" t="s">
        <v>271</v>
      </c>
      <c r="B2036" s="52" t="s">
        <v>53</v>
      </c>
      <c r="C2036" s="52" t="s">
        <v>318</v>
      </c>
      <c r="D2036" s="52" t="s">
        <v>318</v>
      </c>
      <c r="E2036" s="52" t="s">
        <v>584</v>
      </c>
      <c r="F2036" s="52" t="s">
        <v>26</v>
      </c>
      <c r="G2036" s="55" t="s">
        <v>275</v>
      </c>
      <c r="H2036" s="55">
        <v>0</v>
      </c>
      <c r="I2036" s="55"/>
      <c r="J2036" s="55"/>
      <c r="K2036" s="55"/>
      <c r="L2036" s="55"/>
      <c r="M2036" s="55"/>
      <c r="N2036" s="55"/>
    </row>
    <row r="2037" spans="1:14" hidden="1" x14ac:dyDescent="0.35">
      <c r="A2037" s="52" t="s">
        <v>271</v>
      </c>
      <c r="B2037" s="52" t="s">
        <v>53</v>
      </c>
      <c r="C2037" s="52" t="s">
        <v>318</v>
      </c>
      <c r="D2037" s="52" t="s">
        <v>318</v>
      </c>
      <c r="E2037" s="52" t="s">
        <v>584</v>
      </c>
      <c r="F2037" s="52" t="s">
        <v>26</v>
      </c>
      <c r="G2037" s="55" t="s">
        <v>278</v>
      </c>
      <c r="H2037" s="55">
        <v>0</v>
      </c>
      <c r="I2037" s="55"/>
      <c r="J2037" s="55"/>
      <c r="K2037" s="55"/>
      <c r="L2037" s="55"/>
      <c r="M2037" s="55"/>
      <c r="N2037" s="55"/>
    </row>
    <row r="2038" spans="1:14" hidden="1" x14ac:dyDescent="0.35">
      <c r="A2038" s="52" t="s">
        <v>607</v>
      </c>
      <c r="B2038" s="52" t="s">
        <v>37</v>
      </c>
      <c r="C2038" s="52" t="s">
        <v>63</v>
      </c>
      <c r="D2038" s="52" t="s">
        <v>63</v>
      </c>
      <c r="E2038" s="52" t="s">
        <v>608</v>
      </c>
      <c r="F2038" s="52" t="s">
        <v>581</v>
      </c>
      <c r="G2038" s="55" t="s">
        <v>275</v>
      </c>
      <c r="H2038" s="55">
        <v>1.531779</v>
      </c>
      <c r="I2038" s="55">
        <v>0.46777020000000002</v>
      </c>
      <c r="J2038" s="55">
        <v>0.46329100000000001</v>
      </c>
      <c r="K2038" s="55">
        <v>0.44320359999999998</v>
      </c>
      <c r="L2038" s="55">
        <v>0.39322509999999999</v>
      </c>
      <c r="M2038" s="55">
        <v>0.26393149999999999</v>
      </c>
      <c r="N2038" s="55">
        <v>0.2402012</v>
      </c>
    </row>
    <row r="2039" spans="1:14" hidden="1" x14ac:dyDescent="0.35">
      <c r="A2039" s="52" t="s">
        <v>607</v>
      </c>
      <c r="B2039" s="52" t="s">
        <v>37</v>
      </c>
      <c r="C2039" s="52" t="s">
        <v>63</v>
      </c>
      <c r="D2039" s="52" t="s">
        <v>63</v>
      </c>
      <c r="E2039" s="52" t="s">
        <v>608</v>
      </c>
      <c r="F2039" s="52" t="s">
        <v>581</v>
      </c>
      <c r="G2039" s="55" t="s">
        <v>276</v>
      </c>
      <c r="H2039" s="55">
        <v>0.16830899999999999</v>
      </c>
      <c r="I2039" s="55">
        <v>5.1396400000000002E-2</v>
      </c>
      <c r="J2039" s="55">
        <v>5.0904699999999997E-2</v>
      </c>
      <c r="K2039" s="55">
        <v>4.8698600000000002E-2</v>
      </c>
      <c r="L2039" s="55">
        <v>4.3206099999999997E-2</v>
      </c>
      <c r="M2039" s="55">
        <v>0.10686759999999999</v>
      </c>
      <c r="N2039" s="55">
        <v>9.7260890000000003E-2</v>
      </c>
    </row>
    <row r="2040" spans="1:14" hidden="1" x14ac:dyDescent="0.35">
      <c r="A2040" s="52" t="s">
        <v>607</v>
      </c>
      <c r="B2040" s="52" t="s">
        <v>37</v>
      </c>
      <c r="C2040" s="52" t="s">
        <v>63</v>
      </c>
      <c r="D2040" s="52" t="s">
        <v>63</v>
      </c>
      <c r="E2040" s="52" t="s">
        <v>608</v>
      </c>
      <c r="F2040" s="52" t="s">
        <v>581</v>
      </c>
      <c r="G2040" s="55" t="s">
        <v>279</v>
      </c>
      <c r="H2040" s="55">
        <v>0.94165399999999999</v>
      </c>
      <c r="I2040" s="55">
        <v>0.76019579999999998</v>
      </c>
      <c r="J2040" s="55">
        <v>0.73661940000000004</v>
      </c>
      <c r="K2040" s="55">
        <v>0.80954999999999999</v>
      </c>
      <c r="L2040" s="55">
        <v>0.76965139999999999</v>
      </c>
      <c r="M2040" s="55">
        <v>0.71767119999999995</v>
      </c>
      <c r="N2040" s="55">
        <v>0.64642639999999996</v>
      </c>
    </row>
    <row r="2041" spans="1:14" hidden="1" x14ac:dyDescent="0.35">
      <c r="A2041" s="52" t="s">
        <v>607</v>
      </c>
      <c r="B2041" s="52" t="s">
        <v>37</v>
      </c>
      <c r="C2041" s="52" t="s">
        <v>63</v>
      </c>
      <c r="D2041" s="52" t="s">
        <v>63</v>
      </c>
      <c r="E2041" s="52" t="s">
        <v>608</v>
      </c>
      <c r="F2041" s="52" t="s">
        <v>26</v>
      </c>
      <c r="G2041" s="55" t="s">
        <v>275</v>
      </c>
      <c r="H2041" s="55">
        <v>-372.74630000000002</v>
      </c>
      <c r="I2041" s="55">
        <v>253.7818</v>
      </c>
      <c r="J2041" s="55">
        <v>581.99069999999995</v>
      </c>
      <c r="K2041" s="55">
        <v>616.93539999999996</v>
      </c>
      <c r="L2041" s="55">
        <v>527.79240000000004</v>
      </c>
      <c r="M2041" s="55">
        <v>374.49630000000002</v>
      </c>
      <c r="N2041" s="55">
        <v>430.34739999999999</v>
      </c>
    </row>
    <row r="2042" spans="1:14" hidden="1" x14ac:dyDescent="0.35">
      <c r="A2042" s="52" t="s">
        <v>607</v>
      </c>
      <c r="B2042" s="52" t="s">
        <v>37</v>
      </c>
      <c r="C2042" s="52" t="s">
        <v>63</v>
      </c>
      <c r="D2042" s="52" t="s">
        <v>63</v>
      </c>
      <c r="E2042" s="52" t="s">
        <v>608</v>
      </c>
      <c r="F2042" s="52" t="s">
        <v>26</v>
      </c>
      <c r="G2042" s="55" t="s">
        <v>276</v>
      </c>
      <c r="H2042" s="55">
        <v>-29.761330000000001</v>
      </c>
      <c r="I2042" s="55">
        <v>-32.818049999999999</v>
      </c>
      <c r="J2042" s="55">
        <v>33.370489999999997</v>
      </c>
      <c r="K2042" s="55">
        <v>25.737739999999999</v>
      </c>
      <c r="L2042" s="55">
        <v>8.5611719999999991</v>
      </c>
      <c r="M2042" s="55">
        <v>13.733700000000001</v>
      </c>
      <c r="N2042" s="55">
        <v>63.645740000000004</v>
      </c>
    </row>
    <row r="2043" spans="1:14" hidden="1" x14ac:dyDescent="0.35">
      <c r="A2043" s="52" t="s">
        <v>607</v>
      </c>
      <c r="B2043" s="52" t="s">
        <v>37</v>
      </c>
      <c r="C2043" s="52" t="s">
        <v>63</v>
      </c>
      <c r="D2043" s="52" t="s">
        <v>63</v>
      </c>
      <c r="E2043" s="52" t="s">
        <v>608</v>
      </c>
      <c r="F2043" s="52" t="s">
        <v>26</v>
      </c>
      <c r="G2043" s="55" t="s">
        <v>277</v>
      </c>
      <c r="H2043" s="55">
        <v>1079.604</v>
      </c>
      <c r="I2043" s="55">
        <v>422.1506</v>
      </c>
      <c r="J2043" s="55">
        <v>341.24889999999999</v>
      </c>
      <c r="K2043" s="55">
        <v>205.76900000000001</v>
      </c>
      <c r="L2043" s="55">
        <v>166.59</v>
      </c>
      <c r="M2043" s="55">
        <v>251.63839999999999</v>
      </c>
      <c r="N2043" s="55">
        <v>137.32589999999999</v>
      </c>
    </row>
    <row r="2044" spans="1:14" hidden="1" x14ac:dyDescent="0.35">
      <c r="A2044" s="52" t="s">
        <v>607</v>
      </c>
      <c r="B2044" s="52" t="s">
        <v>37</v>
      </c>
      <c r="C2044" s="52" t="s">
        <v>63</v>
      </c>
      <c r="D2044" s="52" t="s">
        <v>63</v>
      </c>
      <c r="E2044" s="52" t="s">
        <v>608</v>
      </c>
      <c r="F2044" s="52" t="s">
        <v>26</v>
      </c>
      <c r="G2044" s="55" t="s">
        <v>278</v>
      </c>
      <c r="H2044" s="55">
        <v>120.252</v>
      </c>
      <c r="I2044" s="55">
        <v>58.038139999999999</v>
      </c>
      <c r="J2044" s="55">
        <v>40.057760000000002</v>
      </c>
      <c r="K2044" s="55">
        <v>34.646129999999999</v>
      </c>
      <c r="L2044" s="55">
        <v>14.137639999999999</v>
      </c>
      <c r="M2044" s="55">
        <v>0</v>
      </c>
      <c r="N2044" s="55"/>
    </row>
    <row r="2045" spans="1:14" hidden="1" x14ac:dyDescent="0.35">
      <c r="A2045" s="52" t="s">
        <v>607</v>
      </c>
      <c r="B2045" s="52" t="s">
        <v>37</v>
      </c>
      <c r="C2045" s="52" t="s">
        <v>63</v>
      </c>
      <c r="D2045" s="52" t="s">
        <v>63</v>
      </c>
      <c r="E2045" s="52" t="s">
        <v>608</v>
      </c>
      <c r="F2045" s="52" t="s">
        <v>26</v>
      </c>
      <c r="G2045" s="55" t="s">
        <v>279</v>
      </c>
      <c r="H2045" s="55">
        <v>1602.6849999999999</v>
      </c>
      <c r="I2045" s="55">
        <v>1531.4159999999999</v>
      </c>
      <c r="J2045" s="55">
        <v>1834.8720000000001</v>
      </c>
      <c r="K2045" s="55">
        <v>1989.3040000000001</v>
      </c>
      <c r="L2045" s="55">
        <v>1860.921</v>
      </c>
      <c r="M2045" s="55">
        <v>1799.6479999999999</v>
      </c>
      <c r="N2045" s="55">
        <v>1788.5319999999999</v>
      </c>
    </row>
    <row r="2046" spans="1:14" hidden="1" x14ac:dyDescent="0.35">
      <c r="A2046" s="52" t="s">
        <v>607</v>
      </c>
      <c r="B2046" s="52" t="s">
        <v>37</v>
      </c>
      <c r="C2046" s="52" t="s">
        <v>63</v>
      </c>
      <c r="D2046" s="52" t="s">
        <v>63</v>
      </c>
      <c r="E2046" s="52" t="s">
        <v>609</v>
      </c>
      <c r="F2046" s="52" t="s">
        <v>581</v>
      </c>
      <c r="G2046" s="55" t="s">
        <v>275</v>
      </c>
      <c r="H2046" s="55">
        <v>0.42385800000000001</v>
      </c>
      <c r="I2046" s="55">
        <v>0.1201574</v>
      </c>
      <c r="J2046" s="55">
        <v>0.276449</v>
      </c>
      <c r="K2046" s="55">
        <v>0.3614966</v>
      </c>
      <c r="L2046" s="55">
        <v>0.43054320000000001</v>
      </c>
      <c r="M2046" s="55">
        <v>0.3874321</v>
      </c>
      <c r="N2046" s="55">
        <v>0.55699069999999995</v>
      </c>
    </row>
    <row r="2047" spans="1:14" hidden="1" x14ac:dyDescent="0.35">
      <c r="A2047" s="52" t="s">
        <v>607</v>
      </c>
      <c r="B2047" s="52" t="s">
        <v>37</v>
      </c>
      <c r="C2047" s="52" t="s">
        <v>63</v>
      </c>
      <c r="D2047" s="52" t="s">
        <v>63</v>
      </c>
      <c r="E2047" s="52" t="s">
        <v>609</v>
      </c>
      <c r="F2047" s="52" t="s">
        <v>581</v>
      </c>
      <c r="G2047" s="55" t="s">
        <v>276</v>
      </c>
      <c r="H2047" s="55">
        <v>4.3338000000000002E-2</v>
      </c>
      <c r="I2047" s="55">
        <v>1.23546E-2</v>
      </c>
      <c r="J2047" s="55">
        <v>2.9716599999999999E-2</v>
      </c>
      <c r="K2047" s="55">
        <v>3.8334399999999998E-2</v>
      </c>
      <c r="L2047" s="55">
        <v>4.5010000000000001E-2</v>
      </c>
      <c r="M2047" s="55">
        <v>0.1425331</v>
      </c>
      <c r="N2047" s="55">
        <v>0.2173937</v>
      </c>
    </row>
    <row r="2048" spans="1:14" hidden="1" x14ac:dyDescent="0.35">
      <c r="A2048" s="52" t="s">
        <v>607</v>
      </c>
      <c r="B2048" s="52" t="s">
        <v>37</v>
      </c>
      <c r="C2048" s="52" t="s">
        <v>63</v>
      </c>
      <c r="D2048" s="52" t="s">
        <v>63</v>
      </c>
      <c r="E2048" s="52" t="s">
        <v>609</v>
      </c>
      <c r="F2048" s="52" t="s">
        <v>581</v>
      </c>
      <c r="G2048" s="55" t="s">
        <v>279</v>
      </c>
      <c r="H2048" s="55">
        <v>0.191939</v>
      </c>
      <c r="I2048" s="55">
        <v>0.12045930000000001</v>
      </c>
      <c r="J2048" s="55">
        <v>0.27404919999999999</v>
      </c>
      <c r="K2048" s="55">
        <v>0.39226080000000002</v>
      </c>
      <c r="L2048" s="55">
        <v>0.4806744</v>
      </c>
      <c r="M2048" s="55">
        <v>0.57862899999999995</v>
      </c>
      <c r="N2048" s="55">
        <v>0.83362630000000004</v>
      </c>
    </row>
    <row r="2049" spans="1:14" hidden="1" x14ac:dyDescent="0.35">
      <c r="A2049" s="52" t="s">
        <v>607</v>
      </c>
      <c r="B2049" s="52" t="s">
        <v>37</v>
      </c>
      <c r="C2049" s="52" t="s">
        <v>63</v>
      </c>
      <c r="D2049" s="52" t="s">
        <v>63</v>
      </c>
      <c r="E2049" s="52" t="s">
        <v>609</v>
      </c>
      <c r="F2049" s="52" t="s">
        <v>26</v>
      </c>
      <c r="G2049" s="55" t="s">
        <v>275</v>
      </c>
      <c r="H2049" s="55">
        <v>16.180289999999999</v>
      </c>
      <c r="I2049" s="55">
        <v>136.5865</v>
      </c>
      <c r="J2049" s="55">
        <v>178.49709999999999</v>
      </c>
      <c r="K2049" s="55">
        <v>217.84630000000001</v>
      </c>
      <c r="L2049" s="55">
        <v>198.21879999999999</v>
      </c>
      <c r="M2049" s="55">
        <v>166.67740000000001</v>
      </c>
      <c r="N2049" s="55">
        <v>139.49969999999999</v>
      </c>
    </row>
    <row r="2050" spans="1:14" hidden="1" x14ac:dyDescent="0.35">
      <c r="A2050" s="52" t="s">
        <v>607</v>
      </c>
      <c r="B2050" s="52" t="s">
        <v>37</v>
      </c>
      <c r="C2050" s="52" t="s">
        <v>63</v>
      </c>
      <c r="D2050" s="52" t="s">
        <v>63</v>
      </c>
      <c r="E2050" s="52" t="s">
        <v>609</v>
      </c>
      <c r="F2050" s="52" t="s">
        <v>26</v>
      </c>
      <c r="G2050" s="55" t="s">
        <v>276</v>
      </c>
      <c r="H2050" s="55">
        <v>15.5242</v>
      </c>
      <c r="I2050" s="55">
        <v>2.2236150000000001</v>
      </c>
      <c r="J2050" s="55">
        <v>12.27807</v>
      </c>
      <c r="K2050" s="55">
        <v>18.292549999999999</v>
      </c>
      <c r="L2050" s="55">
        <v>20.34712</v>
      </c>
      <c r="M2050" s="55">
        <v>25.394850000000002</v>
      </c>
      <c r="N2050" s="55">
        <v>30.27244</v>
      </c>
    </row>
    <row r="2051" spans="1:14" hidden="1" x14ac:dyDescent="0.35">
      <c r="A2051" s="52" t="s">
        <v>607</v>
      </c>
      <c r="B2051" s="52" t="s">
        <v>37</v>
      </c>
      <c r="C2051" s="52" t="s">
        <v>63</v>
      </c>
      <c r="D2051" s="52" t="s">
        <v>63</v>
      </c>
      <c r="E2051" s="52" t="s">
        <v>609</v>
      </c>
      <c r="F2051" s="52" t="s">
        <v>26</v>
      </c>
      <c r="G2051" s="55" t="s">
        <v>277</v>
      </c>
      <c r="H2051" s="55">
        <v>230.69569999999999</v>
      </c>
      <c r="I2051" s="55">
        <v>80.827169999999995</v>
      </c>
      <c r="J2051" s="55">
        <v>93.965299999999999</v>
      </c>
      <c r="K2051" s="55">
        <v>55.036900000000003</v>
      </c>
      <c r="L2051" s="55">
        <v>44.265270000000001</v>
      </c>
      <c r="M2051" s="55">
        <v>45.110399999999998</v>
      </c>
      <c r="N2051" s="55">
        <v>56.091320000000003</v>
      </c>
    </row>
    <row r="2052" spans="1:14" hidden="1" x14ac:dyDescent="0.35">
      <c r="A2052" s="52" t="s">
        <v>607</v>
      </c>
      <c r="B2052" s="52" t="s">
        <v>37</v>
      </c>
      <c r="C2052" s="52" t="s">
        <v>63</v>
      </c>
      <c r="D2052" s="52" t="s">
        <v>63</v>
      </c>
      <c r="E2052" s="52" t="s">
        <v>609</v>
      </c>
      <c r="F2052" s="52" t="s">
        <v>26</v>
      </c>
      <c r="G2052" s="55" t="s">
        <v>278</v>
      </c>
      <c r="H2052" s="55">
        <v>31.19171</v>
      </c>
      <c r="I2052" s="55">
        <v>17.324359999999999</v>
      </c>
      <c r="J2052" s="55">
        <v>17.73143</v>
      </c>
      <c r="K2052" s="55">
        <v>16.502130000000001</v>
      </c>
      <c r="L2052" s="55">
        <v>15.923209999999999</v>
      </c>
      <c r="M2052" s="55">
        <v>14.861039999999999</v>
      </c>
      <c r="N2052" s="55">
        <v>20.802109999999999</v>
      </c>
    </row>
    <row r="2053" spans="1:14" hidden="1" x14ac:dyDescent="0.35">
      <c r="A2053" s="52" t="s">
        <v>607</v>
      </c>
      <c r="B2053" s="52" t="s">
        <v>37</v>
      </c>
      <c r="C2053" s="52" t="s">
        <v>63</v>
      </c>
      <c r="D2053" s="52" t="s">
        <v>63</v>
      </c>
      <c r="E2053" s="52" t="s">
        <v>609</v>
      </c>
      <c r="F2053" s="52" t="s">
        <v>26</v>
      </c>
      <c r="G2053" s="55" t="s">
        <v>279</v>
      </c>
      <c r="H2053" s="55">
        <v>269.60550000000001</v>
      </c>
      <c r="I2053" s="55">
        <v>223.20570000000001</v>
      </c>
      <c r="J2053" s="55">
        <v>253.7407</v>
      </c>
      <c r="K2053" s="55">
        <v>298.31659999999999</v>
      </c>
      <c r="L2053" s="55">
        <v>296.14830000000001</v>
      </c>
      <c r="M2053" s="55">
        <v>285.50220000000002</v>
      </c>
      <c r="N2053" s="55">
        <v>283.78269999999998</v>
      </c>
    </row>
    <row r="2054" spans="1:14" hidden="1" x14ac:dyDescent="0.35">
      <c r="A2054" s="52" t="s">
        <v>607</v>
      </c>
      <c r="B2054" s="52" t="s">
        <v>37</v>
      </c>
      <c r="C2054" s="52" t="s">
        <v>63</v>
      </c>
      <c r="D2054" s="52" t="s">
        <v>63</v>
      </c>
      <c r="E2054" s="52" t="s">
        <v>610</v>
      </c>
      <c r="F2054" s="52" t="s">
        <v>581</v>
      </c>
      <c r="G2054" s="55" t="s">
        <v>275</v>
      </c>
      <c r="H2054" s="55">
        <v>140.58799999999999</v>
      </c>
      <c r="I2054" s="55">
        <v>43.488590000000002</v>
      </c>
      <c r="J2054" s="55">
        <v>39.880240000000001</v>
      </c>
      <c r="K2054" s="55">
        <v>33.353169999999999</v>
      </c>
      <c r="L2054" s="55">
        <v>29.58006</v>
      </c>
      <c r="M2054" s="55">
        <v>24.564859999999999</v>
      </c>
      <c r="N2054" s="55">
        <v>23.361360000000001</v>
      </c>
    </row>
    <row r="2055" spans="1:14" hidden="1" x14ac:dyDescent="0.35">
      <c r="A2055" s="52" t="s">
        <v>607</v>
      </c>
      <c r="B2055" s="52" t="s">
        <v>37</v>
      </c>
      <c r="C2055" s="52" t="s">
        <v>63</v>
      </c>
      <c r="D2055" s="52" t="s">
        <v>63</v>
      </c>
      <c r="E2055" s="52" t="s">
        <v>610</v>
      </c>
      <c r="F2055" s="52" t="s">
        <v>581</v>
      </c>
      <c r="G2055" s="55" t="s">
        <v>276</v>
      </c>
      <c r="H2055" s="55">
        <v>9.7734989999999993</v>
      </c>
      <c r="I2055" s="55">
        <v>3.0232700000000001</v>
      </c>
      <c r="J2055" s="55">
        <v>4.4867160000000004</v>
      </c>
      <c r="K2055" s="55">
        <v>5.6736279999999999</v>
      </c>
      <c r="L2055" s="55">
        <v>5.8573919999999999</v>
      </c>
      <c r="M2055" s="55">
        <v>7.9612829999999999</v>
      </c>
      <c r="N2055" s="55">
        <v>8.1469550000000002</v>
      </c>
    </row>
    <row r="2056" spans="1:14" hidden="1" x14ac:dyDescent="0.35">
      <c r="A2056" s="52" t="s">
        <v>607</v>
      </c>
      <c r="B2056" s="52" t="s">
        <v>37</v>
      </c>
      <c r="C2056" s="52" t="s">
        <v>63</v>
      </c>
      <c r="D2056" s="52" t="s">
        <v>63</v>
      </c>
      <c r="E2056" s="52" t="s">
        <v>610</v>
      </c>
      <c r="F2056" s="52" t="s">
        <v>581</v>
      </c>
      <c r="G2056" s="55" t="s">
        <v>279</v>
      </c>
      <c r="H2056" s="55">
        <v>68.007109999999997</v>
      </c>
      <c r="I2056" s="55">
        <v>52.15014</v>
      </c>
      <c r="J2056" s="55">
        <v>48.577809999999999</v>
      </c>
      <c r="K2056" s="55">
        <v>48.418959999999998</v>
      </c>
      <c r="L2056" s="55">
        <v>46.677129999999998</v>
      </c>
      <c r="M2056" s="55">
        <v>46.206569999999999</v>
      </c>
      <c r="N2056" s="55">
        <v>44.125929999999997</v>
      </c>
    </row>
    <row r="2057" spans="1:14" hidden="1" x14ac:dyDescent="0.35">
      <c r="A2057" s="52" t="s">
        <v>607</v>
      </c>
      <c r="B2057" s="52" t="s">
        <v>37</v>
      </c>
      <c r="C2057" s="52" t="s">
        <v>63</v>
      </c>
      <c r="D2057" s="52" t="s">
        <v>63</v>
      </c>
      <c r="E2057" s="52" t="s">
        <v>610</v>
      </c>
      <c r="F2057" s="52" t="s">
        <v>26</v>
      </c>
      <c r="G2057" s="55" t="s">
        <v>275</v>
      </c>
      <c r="H2057" s="55">
        <v>60.845019999999998</v>
      </c>
      <c r="I2057" s="55">
        <v>56.337299999999999</v>
      </c>
      <c r="J2057" s="55">
        <v>80.491969999999995</v>
      </c>
      <c r="K2057" s="55">
        <v>61.34543</v>
      </c>
      <c r="L2057" s="55">
        <v>46.7654</v>
      </c>
      <c r="M2057" s="55">
        <v>39.5764</v>
      </c>
      <c r="N2057" s="55">
        <v>33.459290000000003</v>
      </c>
    </row>
    <row r="2058" spans="1:14" hidden="1" x14ac:dyDescent="0.35">
      <c r="A2058" s="52" t="s">
        <v>607</v>
      </c>
      <c r="B2058" s="52" t="s">
        <v>37</v>
      </c>
      <c r="C2058" s="52" t="s">
        <v>63</v>
      </c>
      <c r="D2058" s="52" t="s">
        <v>63</v>
      </c>
      <c r="E2058" s="52" t="s">
        <v>610</v>
      </c>
      <c r="F2058" s="52" t="s">
        <v>26</v>
      </c>
      <c r="G2058" s="55" t="s">
        <v>276</v>
      </c>
      <c r="H2058" s="55">
        <v>-12.44322</v>
      </c>
      <c r="I2058" s="55">
        <v>-10.803430000000001</v>
      </c>
      <c r="J2058" s="55">
        <v>-5.5231180000000002</v>
      </c>
      <c r="K2058" s="55">
        <v>-2.2018650000000002</v>
      </c>
      <c r="L2058" s="55">
        <v>-1.2300489999999999</v>
      </c>
      <c r="M2058" s="55">
        <v>0.71882590000000002</v>
      </c>
      <c r="N2058" s="55">
        <v>6.866447</v>
      </c>
    </row>
    <row r="2059" spans="1:14" hidden="1" x14ac:dyDescent="0.35">
      <c r="A2059" s="52" t="s">
        <v>607</v>
      </c>
      <c r="B2059" s="52" t="s">
        <v>37</v>
      </c>
      <c r="C2059" s="52" t="s">
        <v>63</v>
      </c>
      <c r="D2059" s="52" t="s">
        <v>63</v>
      </c>
      <c r="E2059" s="52" t="s">
        <v>610</v>
      </c>
      <c r="F2059" s="52" t="s">
        <v>26</v>
      </c>
      <c r="G2059" s="55" t="s">
        <v>277</v>
      </c>
      <c r="H2059" s="55">
        <v>77.488010000000003</v>
      </c>
      <c r="I2059" s="55">
        <v>39.786430000000003</v>
      </c>
      <c r="J2059" s="55">
        <v>23.795210000000001</v>
      </c>
      <c r="K2059" s="55">
        <v>16.42306</v>
      </c>
      <c r="L2059" s="55">
        <v>19.937270000000002</v>
      </c>
      <c r="M2059" s="55">
        <v>20.86645</v>
      </c>
      <c r="N2059" s="55">
        <v>18.42334</v>
      </c>
    </row>
    <row r="2060" spans="1:14" hidden="1" x14ac:dyDescent="0.35">
      <c r="A2060" s="52" t="s">
        <v>607</v>
      </c>
      <c r="B2060" s="52" t="s">
        <v>37</v>
      </c>
      <c r="C2060" s="52" t="s">
        <v>63</v>
      </c>
      <c r="D2060" s="52" t="s">
        <v>63</v>
      </c>
      <c r="E2060" s="52" t="s">
        <v>610</v>
      </c>
      <c r="F2060" s="52" t="s">
        <v>26</v>
      </c>
      <c r="G2060" s="55" t="s">
        <v>278</v>
      </c>
      <c r="H2060" s="55">
        <v>5.1560499999999996</v>
      </c>
      <c r="I2060" s="55">
        <v>3.2483369999999998</v>
      </c>
      <c r="J2060" s="55">
        <v>1.576508</v>
      </c>
      <c r="K2060" s="55">
        <v>3.037919</v>
      </c>
      <c r="L2060" s="55">
        <v>0.92940199999999995</v>
      </c>
      <c r="M2060" s="55">
        <v>0</v>
      </c>
      <c r="N2060" s="55"/>
    </row>
    <row r="2061" spans="1:14" hidden="1" x14ac:dyDescent="0.35">
      <c r="A2061" s="52" t="s">
        <v>607</v>
      </c>
      <c r="B2061" s="52" t="s">
        <v>37</v>
      </c>
      <c r="C2061" s="52" t="s">
        <v>63</v>
      </c>
      <c r="D2061" s="52" t="s">
        <v>63</v>
      </c>
      <c r="E2061" s="52" t="s">
        <v>610</v>
      </c>
      <c r="F2061" s="52" t="s">
        <v>26</v>
      </c>
      <c r="G2061" s="55" t="s">
        <v>279</v>
      </c>
      <c r="H2061" s="55">
        <v>256.78980000000001</v>
      </c>
      <c r="I2061" s="55">
        <v>197.34219999999999</v>
      </c>
      <c r="J2061" s="55">
        <v>187.8544</v>
      </c>
      <c r="K2061" s="55">
        <v>192.40190000000001</v>
      </c>
      <c r="L2061" s="55">
        <v>189.3657</v>
      </c>
      <c r="M2061" s="55">
        <v>183.88810000000001</v>
      </c>
      <c r="N2061" s="55">
        <v>173.3698</v>
      </c>
    </row>
    <row r="2062" spans="1:14" hidden="1" x14ac:dyDescent="0.35">
      <c r="A2062" s="52" t="s">
        <v>607</v>
      </c>
      <c r="B2062" s="52" t="s">
        <v>37</v>
      </c>
      <c r="C2062" s="52" t="s">
        <v>63</v>
      </c>
      <c r="D2062" s="52" t="s">
        <v>63</v>
      </c>
      <c r="E2062" s="52" t="s">
        <v>611</v>
      </c>
      <c r="F2062" s="52" t="s">
        <v>581</v>
      </c>
      <c r="G2062" s="55" t="s">
        <v>275</v>
      </c>
      <c r="H2062" s="55">
        <v>7.2907510000000002</v>
      </c>
      <c r="I2062" s="55">
        <v>2.6046680000000002</v>
      </c>
      <c r="J2062" s="55">
        <v>2.710178</v>
      </c>
      <c r="K2062" s="55">
        <v>2.5955189999999999</v>
      </c>
      <c r="L2062" s="55">
        <v>2.4633259999999999</v>
      </c>
      <c r="M2062" s="55">
        <v>2.0368520000000001</v>
      </c>
      <c r="N2062" s="55">
        <v>1.820665</v>
      </c>
    </row>
    <row r="2063" spans="1:14" hidden="1" x14ac:dyDescent="0.35">
      <c r="A2063" s="52" t="s">
        <v>607</v>
      </c>
      <c r="B2063" s="52" t="s">
        <v>37</v>
      </c>
      <c r="C2063" s="52" t="s">
        <v>63</v>
      </c>
      <c r="D2063" s="52" t="s">
        <v>63</v>
      </c>
      <c r="E2063" s="52" t="s">
        <v>611</v>
      </c>
      <c r="F2063" s="52" t="s">
        <v>581</v>
      </c>
      <c r="G2063" s="55" t="s">
        <v>276</v>
      </c>
      <c r="H2063" s="55">
        <v>0.78520800000000002</v>
      </c>
      <c r="I2063" s="55">
        <v>0.28040080000000001</v>
      </c>
      <c r="J2063" s="55">
        <v>0.3271906</v>
      </c>
      <c r="K2063" s="55">
        <v>0.32258690000000001</v>
      </c>
      <c r="L2063" s="55">
        <v>0.3120792</v>
      </c>
      <c r="M2063" s="55">
        <v>0.48113109999999998</v>
      </c>
      <c r="N2063" s="55">
        <v>0.7310044</v>
      </c>
    </row>
    <row r="2064" spans="1:14" hidden="1" x14ac:dyDescent="0.35">
      <c r="A2064" s="52" t="s">
        <v>607</v>
      </c>
      <c r="B2064" s="52" t="s">
        <v>37</v>
      </c>
      <c r="C2064" s="52" t="s">
        <v>63</v>
      </c>
      <c r="D2064" s="52" t="s">
        <v>63</v>
      </c>
      <c r="E2064" s="52" t="s">
        <v>611</v>
      </c>
      <c r="F2064" s="52" t="s">
        <v>581</v>
      </c>
      <c r="G2064" s="55" t="s">
        <v>279</v>
      </c>
      <c r="H2064" s="55">
        <v>3.298511</v>
      </c>
      <c r="I2064" s="55">
        <v>2.5775199999999998</v>
      </c>
      <c r="J2064" s="55">
        <v>2.6554009999999999</v>
      </c>
      <c r="K2064" s="55">
        <v>2.798816</v>
      </c>
      <c r="L2064" s="55">
        <v>2.741241</v>
      </c>
      <c r="M2064" s="55">
        <v>2.7084109999999999</v>
      </c>
      <c r="N2064" s="55">
        <v>2.7196609999999999</v>
      </c>
    </row>
    <row r="2065" spans="1:14" hidden="1" x14ac:dyDescent="0.35">
      <c r="A2065" s="52" t="s">
        <v>607</v>
      </c>
      <c r="B2065" s="52" t="s">
        <v>37</v>
      </c>
      <c r="C2065" s="52" t="s">
        <v>63</v>
      </c>
      <c r="D2065" s="52" t="s">
        <v>63</v>
      </c>
      <c r="E2065" s="52" t="s">
        <v>611</v>
      </c>
      <c r="F2065" s="52" t="s">
        <v>26</v>
      </c>
      <c r="G2065" s="55" t="s">
        <v>275</v>
      </c>
      <c r="H2065" s="55">
        <v>69.744370000000004</v>
      </c>
      <c r="I2065" s="55">
        <v>65.096339999999998</v>
      </c>
      <c r="J2065" s="55">
        <v>75.073560000000001</v>
      </c>
      <c r="K2065" s="55">
        <v>58.688400000000001</v>
      </c>
      <c r="L2065" s="55">
        <v>50.021160000000002</v>
      </c>
      <c r="M2065" s="55">
        <v>35.210050000000003</v>
      </c>
      <c r="N2065" s="55">
        <v>20.465679999999999</v>
      </c>
    </row>
    <row r="2066" spans="1:14" hidden="1" x14ac:dyDescent="0.35">
      <c r="A2066" s="52" t="s">
        <v>607</v>
      </c>
      <c r="B2066" s="52" t="s">
        <v>37</v>
      </c>
      <c r="C2066" s="52" t="s">
        <v>63</v>
      </c>
      <c r="D2066" s="52" t="s">
        <v>63</v>
      </c>
      <c r="E2066" s="52" t="s">
        <v>611</v>
      </c>
      <c r="F2066" s="52" t="s">
        <v>26</v>
      </c>
      <c r="G2066" s="55" t="s">
        <v>276</v>
      </c>
      <c r="H2066" s="55">
        <v>-11.02946</v>
      </c>
      <c r="I2066" s="55">
        <v>-12.118639999999999</v>
      </c>
      <c r="J2066" s="55">
        <v>-8.1905870000000007</v>
      </c>
      <c r="K2066" s="55">
        <v>-4.1994870000000004</v>
      </c>
      <c r="L2066" s="55">
        <v>-3.2718530000000001</v>
      </c>
      <c r="M2066" s="55">
        <v>0.19626099999999999</v>
      </c>
      <c r="N2066" s="55">
        <v>11.262560000000001</v>
      </c>
    </row>
    <row r="2067" spans="1:14" hidden="1" x14ac:dyDescent="0.35">
      <c r="A2067" s="52" t="s">
        <v>607</v>
      </c>
      <c r="B2067" s="52" t="s">
        <v>37</v>
      </c>
      <c r="C2067" s="52" t="s">
        <v>63</v>
      </c>
      <c r="D2067" s="52" t="s">
        <v>63</v>
      </c>
      <c r="E2067" s="52" t="s">
        <v>611</v>
      </c>
      <c r="F2067" s="52" t="s">
        <v>26</v>
      </c>
      <c r="G2067" s="55" t="s">
        <v>277</v>
      </c>
      <c r="H2067" s="55">
        <v>21.278580000000002</v>
      </c>
      <c r="I2067" s="55">
        <v>6.7717749999999999</v>
      </c>
      <c r="J2067" s="55">
        <v>4.3816050000000004</v>
      </c>
      <c r="K2067" s="55">
        <v>10.1599</v>
      </c>
      <c r="L2067" s="55">
        <v>11.882210000000001</v>
      </c>
      <c r="M2067" s="55">
        <v>17.46968</v>
      </c>
      <c r="N2067" s="55">
        <v>21.16029</v>
      </c>
    </row>
    <row r="2068" spans="1:14" hidden="1" x14ac:dyDescent="0.35">
      <c r="A2068" s="52" t="s">
        <v>607</v>
      </c>
      <c r="B2068" s="52" t="s">
        <v>37</v>
      </c>
      <c r="C2068" s="52" t="s">
        <v>63</v>
      </c>
      <c r="D2068" s="52" t="s">
        <v>63</v>
      </c>
      <c r="E2068" s="52" t="s">
        <v>611</v>
      </c>
      <c r="F2068" s="52" t="s">
        <v>26</v>
      </c>
      <c r="G2068" s="55" t="s">
        <v>278</v>
      </c>
      <c r="H2068" s="55">
        <v>1.9066149999999999</v>
      </c>
      <c r="I2068" s="55">
        <v>0</v>
      </c>
      <c r="J2068" s="55">
        <v>0.16853799999999999</v>
      </c>
      <c r="K2068" s="55">
        <v>0.404279</v>
      </c>
      <c r="L2068" s="55">
        <v>4.8010999999999998E-2</v>
      </c>
      <c r="M2068" s="55">
        <v>0</v>
      </c>
      <c r="N2068" s="55"/>
    </row>
    <row r="2069" spans="1:14" hidden="1" x14ac:dyDescent="0.35">
      <c r="A2069" s="52" t="s">
        <v>607</v>
      </c>
      <c r="B2069" s="52" t="s">
        <v>37</v>
      </c>
      <c r="C2069" s="52" t="s">
        <v>63</v>
      </c>
      <c r="D2069" s="52" t="s">
        <v>63</v>
      </c>
      <c r="E2069" s="52" t="s">
        <v>611</v>
      </c>
      <c r="F2069" s="52" t="s">
        <v>26</v>
      </c>
      <c r="G2069" s="55" t="s">
        <v>279</v>
      </c>
      <c r="H2069" s="55">
        <v>114.0279</v>
      </c>
      <c r="I2069" s="55">
        <v>91.753969999999995</v>
      </c>
      <c r="J2069" s="55">
        <v>95.833799999999997</v>
      </c>
      <c r="K2069" s="55">
        <v>101.94540000000001</v>
      </c>
      <c r="L2069" s="55">
        <v>101.6435</v>
      </c>
      <c r="M2069" s="55">
        <v>98.099980000000002</v>
      </c>
      <c r="N2069" s="55">
        <v>98.417839999999998</v>
      </c>
    </row>
    <row r="2070" spans="1:14" hidden="1" x14ac:dyDescent="0.35">
      <c r="A2070" s="52" t="s">
        <v>607</v>
      </c>
      <c r="B2070" s="52" t="s">
        <v>37</v>
      </c>
      <c r="C2070" s="52" t="s">
        <v>63</v>
      </c>
      <c r="D2070" s="52" t="s">
        <v>63</v>
      </c>
      <c r="E2070" s="52" t="s">
        <v>612</v>
      </c>
      <c r="F2070" s="52" t="s">
        <v>581</v>
      </c>
      <c r="G2070" s="55" t="s">
        <v>275</v>
      </c>
      <c r="H2070" s="55">
        <v>3.6893340000000001</v>
      </c>
      <c r="I2070" s="55">
        <v>1.686607</v>
      </c>
      <c r="J2070" s="55">
        <v>2.3307760000000002</v>
      </c>
      <c r="K2070" s="55">
        <v>2.147373</v>
      </c>
      <c r="L2070" s="55">
        <v>1.9306859999999999</v>
      </c>
      <c r="M2070" s="55">
        <v>1.7531429999999999</v>
      </c>
      <c r="N2070" s="55">
        <v>2.0910739999999999</v>
      </c>
    </row>
    <row r="2071" spans="1:14" hidden="1" x14ac:dyDescent="0.35">
      <c r="A2071" s="52" t="s">
        <v>607</v>
      </c>
      <c r="B2071" s="52" t="s">
        <v>37</v>
      </c>
      <c r="C2071" s="52" t="s">
        <v>63</v>
      </c>
      <c r="D2071" s="52" t="s">
        <v>63</v>
      </c>
      <c r="E2071" s="52" t="s">
        <v>612</v>
      </c>
      <c r="F2071" s="52" t="s">
        <v>581</v>
      </c>
      <c r="G2071" s="55" t="s">
        <v>276</v>
      </c>
      <c r="H2071" s="55"/>
      <c r="I2071" s="55">
        <v>0</v>
      </c>
      <c r="J2071" s="55"/>
      <c r="K2071" s="55">
        <v>0.57082160000000004</v>
      </c>
      <c r="L2071" s="55">
        <v>0.51322120000000004</v>
      </c>
      <c r="M2071" s="55">
        <v>0.46602569999999999</v>
      </c>
      <c r="N2071" s="55">
        <v>0.55585490000000004</v>
      </c>
    </row>
    <row r="2072" spans="1:14" hidden="1" x14ac:dyDescent="0.35">
      <c r="A2072" s="52" t="s">
        <v>607</v>
      </c>
      <c r="B2072" s="52" t="s">
        <v>37</v>
      </c>
      <c r="C2072" s="52" t="s">
        <v>63</v>
      </c>
      <c r="D2072" s="52" t="s">
        <v>63</v>
      </c>
      <c r="E2072" s="52" t="s">
        <v>612</v>
      </c>
      <c r="F2072" s="52" t="s">
        <v>581</v>
      </c>
      <c r="G2072" s="55" t="s">
        <v>279</v>
      </c>
      <c r="H2072" s="55">
        <v>0.52928900000000001</v>
      </c>
      <c r="I2072" s="55">
        <v>0.52991140000000003</v>
      </c>
      <c r="J2072" s="55">
        <v>0.73256679999999996</v>
      </c>
      <c r="K2072" s="55">
        <v>0.90449710000000005</v>
      </c>
      <c r="L2072" s="55">
        <v>0.8318468</v>
      </c>
      <c r="M2072" s="55">
        <v>0.80575140000000001</v>
      </c>
      <c r="N2072" s="55">
        <v>0.95432950000000005</v>
      </c>
    </row>
    <row r="2073" spans="1:14" hidden="1" x14ac:dyDescent="0.35">
      <c r="A2073" s="52" t="s">
        <v>607</v>
      </c>
      <c r="B2073" s="52" t="s">
        <v>37</v>
      </c>
      <c r="C2073" s="52" t="s">
        <v>63</v>
      </c>
      <c r="D2073" s="52" t="s">
        <v>63</v>
      </c>
      <c r="E2073" s="52" t="s">
        <v>612</v>
      </c>
      <c r="F2073" s="52" t="s">
        <v>26</v>
      </c>
      <c r="G2073" s="55" t="s">
        <v>275</v>
      </c>
      <c r="H2073" s="55">
        <v>6.3321560000000003</v>
      </c>
      <c r="I2073" s="55">
        <v>-1.3555569999999999</v>
      </c>
      <c r="J2073" s="55">
        <v>8.9865110000000001</v>
      </c>
      <c r="K2073" s="55">
        <v>9.8666660000000004</v>
      </c>
      <c r="L2073" s="55">
        <v>5.663557</v>
      </c>
      <c r="M2073" s="55">
        <v>3.5410599999999999</v>
      </c>
      <c r="N2073" s="55">
        <v>-1.308341</v>
      </c>
    </row>
    <row r="2074" spans="1:14" hidden="1" x14ac:dyDescent="0.35">
      <c r="A2074" s="52" t="s">
        <v>607</v>
      </c>
      <c r="B2074" s="52" t="s">
        <v>37</v>
      </c>
      <c r="C2074" s="52" t="s">
        <v>63</v>
      </c>
      <c r="D2074" s="52" t="s">
        <v>63</v>
      </c>
      <c r="E2074" s="52" t="s">
        <v>612</v>
      </c>
      <c r="F2074" s="52" t="s">
        <v>26</v>
      </c>
      <c r="G2074" s="55" t="s">
        <v>276</v>
      </c>
      <c r="H2074" s="55"/>
      <c r="I2074" s="55">
        <v>0</v>
      </c>
      <c r="J2074" s="55"/>
      <c r="K2074" s="55">
        <v>0.55445299999999997</v>
      </c>
      <c r="L2074" s="55">
        <v>0.60942739999999995</v>
      </c>
      <c r="M2074" s="55">
        <v>0.63999229999999996</v>
      </c>
      <c r="N2074" s="55">
        <v>1.2619499999999999</v>
      </c>
    </row>
    <row r="2075" spans="1:14" hidden="1" x14ac:dyDescent="0.35">
      <c r="A2075" s="52" t="s">
        <v>607</v>
      </c>
      <c r="B2075" s="52" t="s">
        <v>37</v>
      </c>
      <c r="C2075" s="52" t="s">
        <v>63</v>
      </c>
      <c r="D2075" s="52" t="s">
        <v>63</v>
      </c>
      <c r="E2075" s="52" t="s">
        <v>612</v>
      </c>
      <c r="F2075" s="52" t="s">
        <v>26</v>
      </c>
      <c r="G2075" s="55" t="s">
        <v>277</v>
      </c>
      <c r="H2075" s="55">
        <v>0</v>
      </c>
      <c r="I2075" s="55">
        <v>5.7176689999999999</v>
      </c>
      <c r="J2075" s="55">
        <v>0.63526020000000005</v>
      </c>
      <c r="K2075" s="55">
        <v>0</v>
      </c>
      <c r="L2075" s="55">
        <v>0.75479949999999996</v>
      </c>
      <c r="M2075" s="55">
        <v>1.0169060000000001</v>
      </c>
      <c r="N2075" s="55">
        <v>5.1619770000000003</v>
      </c>
    </row>
    <row r="2076" spans="1:14" hidden="1" x14ac:dyDescent="0.35">
      <c r="A2076" s="52" t="s">
        <v>607</v>
      </c>
      <c r="B2076" s="52" t="s">
        <v>37</v>
      </c>
      <c r="C2076" s="52" t="s">
        <v>63</v>
      </c>
      <c r="D2076" s="52" t="s">
        <v>63</v>
      </c>
      <c r="E2076" s="52" t="s">
        <v>612</v>
      </c>
      <c r="F2076" s="52" t="s">
        <v>26</v>
      </c>
      <c r="G2076" s="55" t="s">
        <v>278</v>
      </c>
      <c r="H2076" s="55">
        <v>0</v>
      </c>
      <c r="I2076" s="55">
        <v>1.7510399999999999</v>
      </c>
      <c r="J2076" s="55">
        <v>0</v>
      </c>
      <c r="K2076" s="55">
        <v>0</v>
      </c>
      <c r="L2076" s="55">
        <v>1.9595469999999999</v>
      </c>
      <c r="M2076" s="55">
        <v>2.7971020000000002</v>
      </c>
      <c r="N2076" s="55">
        <v>4.3416980000000001</v>
      </c>
    </row>
    <row r="2077" spans="1:14" hidden="1" x14ac:dyDescent="0.35">
      <c r="A2077" s="52" t="s">
        <v>607</v>
      </c>
      <c r="B2077" s="52" t="s">
        <v>37</v>
      </c>
      <c r="C2077" s="52" t="s">
        <v>63</v>
      </c>
      <c r="D2077" s="52" t="s">
        <v>63</v>
      </c>
      <c r="E2077" s="52" t="s">
        <v>612</v>
      </c>
      <c r="F2077" s="52" t="s">
        <v>26</v>
      </c>
      <c r="G2077" s="55" t="s">
        <v>279</v>
      </c>
      <c r="H2077" s="55">
        <v>5.7673519999999998</v>
      </c>
      <c r="I2077" s="55">
        <v>5.7221570000000002</v>
      </c>
      <c r="J2077" s="55">
        <v>7.9731949999999996</v>
      </c>
      <c r="K2077" s="55">
        <v>9.9353379999999998</v>
      </c>
      <c r="L2077" s="55">
        <v>9.3253599999999999</v>
      </c>
      <c r="M2077" s="55">
        <v>8.7893729999999994</v>
      </c>
      <c r="N2077" s="55">
        <v>10.410589999999999</v>
      </c>
    </row>
    <row r="2078" spans="1:14" hidden="1" x14ac:dyDescent="0.35">
      <c r="A2078" s="52" t="s">
        <v>607</v>
      </c>
      <c r="B2078" s="52" t="s">
        <v>37</v>
      </c>
      <c r="C2078" s="52" t="s">
        <v>63</v>
      </c>
      <c r="D2078" s="52" t="s">
        <v>63</v>
      </c>
      <c r="E2078" s="52" t="s">
        <v>584</v>
      </c>
      <c r="F2078" s="52" t="s">
        <v>581</v>
      </c>
      <c r="G2078" s="55" t="s">
        <v>275</v>
      </c>
      <c r="H2078" s="55"/>
      <c r="I2078" s="55"/>
      <c r="J2078" s="55"/>
      <c r="K2078" s="55"/>
      <c r="L2078" s="55"/>
      <c r="M2078" s="55">
        <v>0</v>
      </c>
      <c r="N2078" s="55">
        <v>0</v>
      </c>
    </row>
    <row r="2079" spans="1:14" hidden="1" x14ac:dyDescent="0.35">
      <c r="A2079" s="52" t="s">
        <v>607</v>
      </c>
      <c r="B2079" s="52" t="s">
        <v>37</v>
      </c>
      <c r="C2079" s="52" t="s">
        <v>63</v>
      </c>
      <c r="D2079" s="52" t="s">
        <v>63</v>
      </c>
      <c r="E2079" s="52" t="s">
        <v>584</v>
      </c>
      <c r="F2079" s="52" t="s">
        <v>581</v>
      </c>
      <c r="G2079" s="55" t="s">
        <v>276</v>
      </c>
      <c r="H2079" s="55"/>
      <c r="I2079" s="55"/>
      <c r="J2079" s="55"/>
      <c r="K2079" s="55"/>
      <c r="L2079" s="55"/>
      <c r="M2079" s="55">
        <v>0</v>
      </c>
      <c r="N2079" s="55">
        <v>0</v>
      </c>
    </row>
    <row r="2080" spans="1:14" hidden="1" x14ac:dyDescent="0.35">
      <c r="A2080" s="52" t="s">
        <v>607</v>
      </c>
      <c r="B2080" s="52" t="s">
        <v>37</v>
      </c>
      <c r="C2080" s="52" t="s">
        <v>63</v>
      </c>
      <c r="D2080" s="52" t="s">
        <v>63</v>
      </c>
      <c r="E2080" s="52" t="s">
        <v>584</v>
      </c>
      <c r="F2080" s="52" t="s">
        <v>581</v>
      </c>
      <c r="G2080" s="55" t="s">
        <v>279</v>
      </c>
      <c r="H2080" s="55"/>
      <c r="I2080" s="55"/>
      <c r="J2080" s="55"/>
      <c r="K2080" s="55"/>
      <c r="L2080" s="55"/>
      <c r="M2080" s="55">
        <v>0</v>
      </c>
      <c r="N2080" s="55">
        <v>0</v>
      </c>
    </row>
    <row r="2081" spans="1:14" hidden="1" x14ac:dyDescent="0.35">
      <c r="A2081" s="52" t="s">
        <v>607</v>
      </c>
      <c r="B2081" s="52" t="s">
        <v>37</v>
      </c>
      <c r="C2081" s="52" t="s">
        <v>63</v>
      </c>
      <c r="D2081" s="52" t="s">
        <v>63</v>
      </c>
      <c r="E2081" s="52" t="s">
        <v>584</v>
      </c>
      <c r="F2081" s="52" t="s">
        <v>26</v>
      </c>
      <c r="G2081" s="55" t="s">
        <v>275</v>
      </c>
      <c r="H2081" s="55">
        <v>0</v>
      </c>
      <c r="I2081" s="55"/>
      <c r="J2081" s="55"/>
      <c r="K2081" s="55"/>
      <c r="L2081" s="55"/>
      <c r="M2081" s="55">
        <v>0</v>
      </c>
      <c r="N2081" s="55">
        <v>0</v>
      </c>
    </row>
    <row r="2082" spans="1:14" hidden="1" x14ac:dyDescent="0.35">
      <c r="A2082" s="52" t="s">
        <v>607</v>
      </c>
      <c r="B2082" s="52" t="s">
        <v>37</v>
      </c>
      <c r="C2082" s="52" t="s">
        <v>63</v>
      </c>
      <c r="D2082" s="52" t="s">
        <v>63</v>
      </c>
      <c r="E2082" s="52" t="s">
        <v>584</v>
      </c>
      <c r="F2082" s="52" t="s">
        <v>26</v>
      </c>
      <c r="G2082" s="55" t="s">
        <v>276</v>
      </c>
      <c r="H2082" s="55">
        <v>0</v>
      </c>
      <c r="I2082" s="55"/>
      <c r="J2082" s="55"/>
      <c r="K2082" s="55"/>
      <c r="L2082" s="55"/>
      <c r="M2082" s="55">
        <v>0</v>
      </c>
      <c r="N2082" s="55">
        <v>0</v>
      </c>
    </row>
    <row r="2083" spans="1:14" hidden="1" x14ac:dyDescent="0.35">
      <c r="A2083" s="52" t="s">
        <v>607</v>
      </c>
      <c r="B2083" s="52" t="s">
        <v>37</v>
      </c>
      <c r="C2083" s="52" t="s">
        <v>63</v>
      </c>
      <c r="D2083" s="52" t="s">
        <v>63</v>
      </c>
      <c r="E2083" s="52" t="s">
        <v>584</v>
      </c>
      <c r="F2083" s="52" t="s">
        <v>26</v>
      </c>
      <c r="G2083" s="55" t="s">
        <v>277</v>
      </c>
      <c r="H2083" s="55"/>
      <c r="I2083" s="55"/>
      <c r="J2083" s="55"/>
      <c r="K2083" s="55"/>
      <c r="L2083" s="55"/>
      <c r="M2083" s="55">
        <v>0</v>
      </c>
      <c r="N2083" s="55">
        <v>0</v>
      </c>
    </row>
    <row r="2084" spans="1:14" hidden="1" x14ac:dyDescent="0.35">
      <c r="A2084" s="52" t="s">
        <v>607</v>
      </c>
      <c r="B2084" s="52" t="s">
        <v>37</v>
      </c>
      <c r="C2084" s="52" t="s">
        <v>63</v>
      </c>
      <c r="D2084" s="52" t="s">
        <v>63</v>
      </c>
      <c r="E2084" s="52" t="s">
        <v>584</v>
      </c>
      <c r="F2084" s="52" t="s">
        <v>26</v>
      </c>
      <c r="G2084" s="55" t="s">
        <v>279</v>
      </c>
      <c r="H2084" s="55"/>
      <c r="I2084" s="55"/>
      <c r="J2084" s="55"/>
      <c r="K2084" s="55"/>
      <c r="L2084" s="55"/>
      <c r="M2084" s="55">
        <v>0</v>
      </c>
      <c r="N2084" s="55">
        <v>0</v>
      </c>
    </row>
    <row r="2085" spans="1:14" hidden="1" x14ac:dyDescent="0.35">
      <c r="A2085" s="52" t="s">
        <v>607</v>
      </c>
      <c r="B2085" s="52" t="s">
        <v>37</v>
      </c>
      <c r="C2085" s="52" t="s">
        <v>99</v>
      </c>
      <c r="D2085" s="52" t="s">
        <v>100</v>
      </c>
      <c r="E2085" s="52" t="s">
        <v>584</v>
      </c>
      <c r="F2085" s="52" t="s">
        <v>581</v>
      </c>
      <c r="G2085" s="55" t="s">
        <v>275</v>
      </c>
      <c r="H2085" s="55">
        <v>0.140602</v>
      </c>
      <c r="I2085" s="55">
        <v>0.15794430000000001</v>
      </c>
      <c r="J2085" s="55">
        <v>3.8136200000000002E-2</v>
      </c>
      <c r="K2085" s="55">
        <v>3.2258500000000002E-2</v>
      </c>
      <c r="L2085" s="55">
        <v>2.2085199999999999E-2</v>
      </c>
      <c r="M2085" s="55">
        <v>1.8602899999999999E-2</v>
      </c>
      <c r="N2085" s="55">
        <v>1.5676699999999998E-2</v>
      </c>
    </row>
    <row r="2086" spans="1:14" hidden="1" x14ac:dyDescent="0.35">
      <c r="A2086" s="52" t="s">
        <v>607</v>
      </c>
      <c r="B2086" s="52" t="s">
        <v>37</v>
      </c>
      <c r="C2086" s="52" t="s">
        <v>99</v>
      </c>
      <c r="D2086" s="52" t="s">
        <v>100</v>
      </c>
      <c r="E2086" s="52" t="s">
        <v>584</v>
      </c>
      <c r="F2086" s="52" t="s">
        <v>581</v>
      </c>
      <c r="G2086" s="55" t="s">
        <v>276</v>
      </c>
      <c r="H2086" s="55">
        <v>1.8910000000000001E-3</v>
      </c>
      <c r="I2086" s="55">
        <v>-9.9945400000000004E-2</v>
      </c>
      <c r="J2086" s="55">
        <v>1.01317E-2</v>
      </c>
      <c r="K2086" s="55">
        <v>8.5732010000000008E-3</v>
      </c>
      <c r="L2086" s="55">
        <v>5.8693E-3</v>
      </c>
      <c r="M2086" s="55">
        <v>4.9452000000000003E-3</v>
      </c>
      <c r="N2086" s="55">
        <v>4.1672000000000002E-3</v>
      </c>
    </row>
    <row r="2087" spans="1:14" hidden="1" x14ac:dyDescent="0.35">
      <c r="A2087" s="52" t="s">
        <v>607</v>
      </c>
      <c r="B2087" s="52" t="s">
        <v>37</v>
      </c>
      <c r="C2087" s="52" t="s">
        <v>99</v>
      </c>
      <c r="D2087" s="52" t="s">
        <v>100</v>
      </c>
      <c r="E2087" s="52" t="s">
        <v>584</v>
      </c>
      <c r="F2087" s="52" t="s">
        <v>581</v>
      </c>
      <c r="G2087" s="55" t="s">
        <v>277</v>
      </c>
      <c r="H2087" s="55">
        <v>0</v>
      </c>
      <c r="I2087" s="55"/>
      <c r="J2087" s="55"/>
      <c r="K2087" s="55"/>
      <c r="L2087" s="55"/>
      <c r="M2087" s="55"/>
      <c r="N2087" s="55"/>
    </row>
    <row r="2088" spans="1:14" hidden="1" x14ac:dyDescent="0.35">
      <c r="A2088" s="52" t="s">
        <v>607</v>
      </c>
      <c r="B2088" s="52" t="s">
        <v>37</v>
      </c>
      <c r="C2088" s="52" t="s">
        <v>99</v>
      </c>
      <c r="D2088" s="52" t="s">
        <v>100</v>
      </c>
      <c r="E2088" s="52" t="s">
        <v>584</v>
      </c>
      <c r="F2088" s="52" t="s">
        <v>581</v>
      </c>
      <c r="G2088" s="55" t="s">
        <v>278</v>
      </c>
      <c r="H2088" s="55">
        <v>1.2999999999999999E-5</v>
      </c>
      <c r="I2088" s="55">
        <v>0</v>
      </c>
      <c r="J2088" s="55"/>
      <c r="K2088" s="55"/>
      <c r="L2088" s="55"/>
      <c r="M2088" s="55"/>
      <c r="N2088" s="55"/>
    </row>
    <row r="2089" spans="1:14" hidden="1" x14ac:dyDescent="0.35">
      <c r="A2089" s="52" t="s">
        <v>607</v>
      </c>
      <c r="B2089" s="52" t="s">
        <v>37</v>
      </c>
      <c r="C2089" s="52" t="s">
        <v>99</v>
      </c>
      <c r="D2089" s="52" t="s">
        <v>100</v>
      </c>
      <c r="E2089" s="52" t="s">
        <v>584</v>
      </c>
      <c r="F2089" s="52" t="s">
        <v>581</v>
      </c>
      <c r="G2089" s="55" t="s">
        <v>279</v>
      </c>
      <c r="H2089" s="55">
        <v>1.7707000000000001E-2</v>
      </c>
      <c r="I2089" s="55">
        <v>9.1731E-3</v>
      </c>
      <c r="J2089" s="55">
        <v>7.5753000000000001E-3</v>
      </c>
      <c r="K2089" s="55">
        <v>6.6852999999999999E-3</v>
      </c>
      <c r="L2089" s="55">
        <v>4.7869000000000002E-3</v>
      </c>
      <c r="M2089" s="55">
        <v>4.0178999999999996E-3</v>
      </c>
      <c r="N2089" s="55">
        <v>3.3749000000000001E-3</v>
      </c>
    </row>
    <row r="2090" spans="1:14" hidden="1" x14ac:dyDescent="0.35">
      <c r="A2090" s="52" t="s">
        <v>607</v>
      </c>
      <c r="B2090" s="52" t="s">
        <v>37</v>
      </c>
      <c r="C2090" s="52" t="s">
        <v>99</v>
      </c>
      <c r="D2090" s="52" t="s">
        <v>100</v>
      </c>
      <c r="E2090" s="52" t="s">
        <v>584</v>
      </c>
      <c r="F2090" s="52" t="s">
        <v>26</v>
      </c>
      <c r="G2090" s="55" t="s">
        <v>275</v>
      </c>
      <c r="H2090" s="55">
        <v>0.33548889999999998</v>
      </c>
      <c r="I2090" s="55">
        <v>0</v>
      </c>
      <c r="J2090" s="55"/>
      <c r="K2090" s="55"/>
      <c r="L2090" s="55"/>
      <c r="M2090" s="55"/>
      <c r="N2090" s="55"/>
    </row>
    <row r="2091" spans="1:14" hidden="1" x14ac:dyDescent="0.35">
      <c r="A2091" s="52" t="s">
        <v>607</v>
      </c>
      <c r="B2091" s="52" t="s">
        <v>37</v>
      </c>
      <c r="C2091" s="52" t="s">
        <v>99</v>
      </c>
      <c r="D2091" s="52" t="s">
        <v>100</v>
      </c>
      <c r="E2091" s="52" t="s">
        <v>584</v>
      </c>
      <c r="F2091" s="52" t="s">
        <v>26</v>
      </c>
      <c r="G2091" s="55" t="s">
        <v>276</v>
      </c>
      <c r="H2091" s="55">
        <v>-0.33548889999999998</v>
      </c>
      <c r="I2091" s="55">
        <v>0</v>
      </c>
      <c r="J2091" s="55"/>
      <c r="K2091" s="55"/>
      <c r="L2091" s="55"/>
      <c r="M2091" s="55"/>
      <c r="N2091" s="55"/>
    </row>
    <row r="2092" spans="1:14" hidden="1" x14ac:dyDescent="0.35">
      <c r="A2092" s="52" t="s">
        <v>607</v>
      </c>
      <c r="B2092" s="52" t="s">
        <v>37</v>
      </c>
      <c r="C2092" s="52" t="s">
        <v>99</v>
      </c>
      <c r="D2092" s="52" t="s">
        <v>101</v>
      </c>
      <c r="E2092" s="52" t="s">
        <v>584</v>
      </c>
      <c r="F2092" s="52" t="s">
        <v>581</v>
      </c>
      <c r="G2092" s="55" t="s">
        <v>275</v>
      </c>
      <c r="H2092" s="55">
        <v>2.2231000000000001E-2</v>
      </c>
      <c r="I2092" s="55">
        <v>-1.2223740000000001</v>
      </c>
      <c r="J2092" s="55">
        <v>0</v>
      </c>
      <c r="K2092" s="55"/>
      <c r="L2092" s="55"/>
      <c r="M2092" s="55"/>
      <c r="N2092" s="55"/>
    </row>
    <row r="2093" spans="1:14" hidden="1" x14ac:dyDescent="0.35">
      <c r="A2093" s="52" t="s">
        <v>607</v>
      </c>
      <c r="B2093" s="52" t="s">
        <v>37</v>
      </c>
      <c r="C2093" s="52" t="s">
        <v>99</v>
      </c>
      <c r="D2093" s="52" t="s">
        <v>101</v>
      </c>
      <c r="E2093" s="52" t="s">
        <v>584</v>
      </c>
      <c r="F2093" s="52" t="s">
        <v>581</v>
      </c>
      <c r="G2093" s="55" t="s">
        <v>276</v>
      </c>
      <c r="H2093" s="55">
        <v>5.9100000000000003E-3</v>
      </c>
      <c r="I2093" s="55">
        <v>-0.32493300000000003</v>
      </c>
      <c r="J2093" s="55">
        <v>0</v>
      </c>
      <c r="K2093" s="55"/>
      <c r="L2093" s="55"/>
      <c r="M2093" s="55"/>
      <c r="N2093" s="55"/>
    </row>
    <row r="2094" spans="1:14" hidden="1" x14ac:dyDescent="0.35">
      <c r="A2094" s="52" t="s">
        <v>607</v>
      </c>
      <c r="B2094" s="52" t="s">
        <v>37</v>
      </c>
      <c r="C2094" s="52" t="s">
        <v>99</v>
      </c>
      <c r="D2094" s="52" t="s">
        <v>101</v>
      </c>
      <c r="E2094" s="52" t="s">
        <v>584</v>
      </c>
      <c r="F2094" s="52" t="s">
        <v>581</v>
      </c>
      <c r="G2094" s="55" t="s">
        <v>279</v>
      </c>
      <c r="H2094" s="55">
        <v>2.2820000000000002E-3</v>
      </c>
      <c r="I2094" s="55">
        <v>1.5473079999999999</v>
      </c>
      <c r="J2094" s="55">
        <v>0</v>
      </c>
      <c r="K2094" s="55"/>
      <c r="L2094" s="55"/>
      <c r="M2094" s="55"/>
      <c r="N2094" s="55"/>
    </row>
    <row r="2095" spans="1:14" hidden="1" x14ac:dyDescent="0.35">
      <c r="A2095" s="52" t="s">
        <v>607</v>
      </c>
      <c r="B2095" s="52" t="s">
        <v>37</v>
      </c>
      <c r="C2095" s="52" t="s">
        <v>99</v>
      </c>
      <c r="D2095" s="52" t="s">
        <v>101</v>
      </c>
      <c r="E2095" s="52" t="s">
        <v>584</v>
      </c>
      <c r="F2095" s="52" t="s">
        <v>26</v>
      </c>
      <c r="G2095" s="55" t="s">
        <v>275</v>
      </c>
      <c r="H2095" s="55">
        <v>0</v>
      </c>
      <c r="I2095" s="55">
        <v>-3.4491809999999998</v>
      </c>
      <c r="J2095" s="55">
        <v>0</v>
      </c>
      <c r="K2095" s="55"/>
      <c r="L2095" s="55"/>
      <c r="M2095" s="55"/>
      <c r="N2095" s="55"/>
    </row>
    <row r="2096" spans="1:14" hidden="1" x14ac:dyDescent="0.35">
      <c r="A2096" s="52" t="s">
        <v>607</v>
      </c>
      <c r="B2096" s="52" t="s">
        <v>37</v>
      </c>
      <c r="C2096" s="52" t="s">
        <v>99</v>
      </c>
      <c r="D2096" s="52" t="s">
        <v>101</v>
      </c>
      <c r="E2096" s="52" t="s">
        <v>584</v>
      </c>
      <c r="F2096" s="52" t="s">
        <v>26</v>
      </c>
      <c r="G2096" s="55" t="s">
        <v>276</v>
      </c>
      <c r="H2096" s="55">
        <v>0</v>
      </c>
      <c r="I2096" s="55">
        <v>-0.91687099999999999</v>
      </c>
      <c r="J2096" s="55">
        <v>0</v>
      </c>
      <c r="K2096" s="55"/>
      <c r="L2096" s="55"/>
      <c r="M2096" s="55"/>
      <c r="N2096" s="55"/>
    </row>
    <row r="2097" spans="1:14" hidden="1" x14ac:dyDescent="0.35">
      <c r="A2097" s="52" t="s">
        <v>607</v>
      </c>
      <c r="B2097" s="52" t="s">
        <v>37</v>
      </c>
      <c r="C2097" s="52" t="s">
        <v>99</v>
      </c>
      <c r="D2097" s="52" t="s">
        <v>101</v>
      </c>
      <c r="E2097" s="52" t="s">
        <v>584</v>
      </c>
      <c r="F2097" s="52" t="s">
        <v>26</v>
      </c>
      <c r="G2097" s="55" t="s">
        <v>279</v>
      </c>
      <c r="H2097" s="55">
        <v>0</v>
      </c>
      <c r="I2097" s="55">
        <v>4.3660509999999997</v>
      </c>
      <c r="J2097" s="55">
        <v>0</v>
      </c>
      <c r="K2097" s="55"/>
      <c r="L2097" s="55"/>
      <c r="M2097" s="55"/>
      <c r="N2097" s="55"/>
    </row>
    <row r="2098" spans="1:14" hidden="1" x14ac:dyDescent="0.35">
      <c r="A2098" s="52" t="s">
        <v>607</v>
      </c>
      <c r="B2098" s="52" t="s">
        <v>37</v>
      </c>
      <c r="C2098" s="52" t="s">
        <v>118</v>
      </c>
      <c r="D2098" s="52" t="s">
        <v>118</v>
      </c>
      <c r="E2098" s="52" t="s">
        <v>584</v>
      </c>
      <c r="F2098" s="52" t="s">
        <v>581</v>
      </c>
      <c r="G2098" s="55" t="s">
        <v>275</v>
      </c>
      <c r="H2098" s="55">
        <v>3.2882000000000002E-2</v>
      </c>
      <c r="I2098" s="55">
        <v>4.1133000000000003E-3</v>
      </c>
      <c r="J2098" s="55">
        <v>-0.62167799999999995</v>
      </c>
      <c r="K2098" s="55">
        <v>0</v>
      </c>
      <c r="L2098" s="55"/>
      <c r="M2098" s="55"/>
      <c r="N2098" s="55"/>
    </row>
    <row r="2099" spans="1:14" hidden="1" x14ac:dyDescent="0.35">
      <c r="A2099" s="52" t="s">
        <v>607</v>
      </c>
      <c r="B2099" s="52" t="s">
        <v>37</v>
      </c>
      <c r="C2099" s="52" t="s">
        <v>118</v>
      </c>
      <c r="D2099" s="52" t="s">
        <v>118</v>
      </c>
      <c r="E2099" s="52" t="s">
        <v>584</v>
      </c>
      <c r="F2099" s="52" t="s">
        <v>581</v>
      </c>
      <c r="G2099" s="55" t="s">
        <v>276</v>
      </c>
      <c r="H2099" s="55">
        <v>8.741001E-3</v>
      </c>
      <c r="I2099" s="55">
        <v>1.0937E-3</v>
      </c>
      <c r="J2099" s="55">
        <v>-0.16525599999999999</v>
      </c>
      <c r="K2099" s="55">
        <v>0</v>
      </c>
      <c r="L2099" s="55"/>
      <c r="M2099" s="55"/>
      <c r="N2099" s="55"/>
    </row>
    <row r="2100" spans="1:14" hidden="1" x14ac:dyDescent="0.35">
      <c r="A2100" s="52" t="s">
        <v>607</v>
      </c>
      <c r="B2100" s="52" t="s">
        <v>37</v>
      </c>
      <c r="C2100" s="52" t="s">
        <v>118</v>
      </c>
      <c r="D2100" s="52" t="s">
        <v>118</v>
      </c>
      <c r="E2100" s="52" t="s">
        <v>584</v>
      </c>
      <c r="F2100" s="52" t="s">
        <v>581</v>
      </c>
      <c r="G2100" s="55" t="s">
        <v>279</v>
      </c>
      <c r="H2100" s="55">
        <v>3.075E-3</v>
      </c>
      <c r="I2100" s="55">
        <v>3.2489999999999998E-4</v>
      </c>
      <c r="J2100" s="55">
        <v>0.78693500000000005</v>
      </c>
      <c r="K2100" s="55">
        <v>0</v>
      </c>
      <c r="L2100" s="55"/>
      <c r="M2100" s="55"/>
      <c r="N2100" s="55"/>
    </row>
    <row r="2101" spans="1:14" hidden="1" x14ac:dyDescent="0.35">
      <c r="A2101" s="52" t="s">
        <v>607</v>
      </c>
      <c r="B2101" s="52" t="s">
        <v>37</v>
      </c>
      <c r="C2101" s="52" t="s">
        <v>118</v>
      </c>
      <c r="D2101" s="52" t="s">
        <v>118</v>
      </c>
      <c r="E2101" s="52" t="s">
        <v>584</v>
      </c>
      <c r="F2101" s="52" t="s">
        <v>26</v>
      </c>
      <c r="G2101" s="55" t="s">
        <v>275</v>
      </c>
      <c r="H2101" s="55">
        <v>0</v>
      </c>
      <c r="I2101" s="55">
        <v>0</v>
      </c>
      <c r="J2101" s="55">
        <v>-0.339167</v>
      </c>
      <c r="K2101" s="55">
        <v>0</v>
      </c>
      <c r="L2101" s="55"/>
      <c r="M2101" s="55"/>
      <c r="N2101" s="55"/>
    </row>
    <row r="2102" spans="1:14" hidden="1" x14ac:dyDescent="0.35">
      <c r="A2102" s="52" t="s">
        <v>607</v>
      </c>
      <c r="B2102" s="52" t="s">
        <v>37</v>
      </c>
      <c r="C2102" s="52" t="s">
        <v>118</v>
      </c>
      <c r="D2102" s="52" t="s">
        <v>118</v>
      </c>
      <c r="E2102" s="52" t="s">
        <v>584</v>
      </c>
      <c r="F2102" s="52" t="s">
        <v>26</v>
      </c>
      <c r="G2102" s="55" t="s">
        <v>276</v>
      </c>
      <c r="H2102" s="55">
        <v>0</v>
      </c>
      <c r="I2102" s="55">
        <v>0</v>
      </c>
      <c r="J2102" s="55">
        <v>-9.0158000000000002E-2</v>
      </c>
      <c r="K2102" s="55">
        <v>0</v>
      </c>
      <c r="L2102" s="55"/>
      <c r="M2102" s="55"/>
      <c r="N2102" s="55"/>
    </row>
    <row r="2103" spans="1:14" hidden="1" x14ac:dyDescent="0.35">
      <c r="A2103" s="52" t="s">
        <v>607</v>
      </c>
      <c r="B2103" s="52" t="s">
        <v>37</v>
      </c>
      <c r="C2103" s="52" t="s">
        <v>118</v>
      </c>
      <c r="D2103" s="52" t="s">
        <v>118</v>
      </c>
      <c r="E2103" s="52" t="s">
        <v>584</v>
      </c>
      <c r="F2103" s="52" t="s">
        <v>26</v>
      </c>
      <c r="G2103" s="55" t="s">
        <v>279</v>
      </c>
      <c r="H2103" s="55">
        <v>0</v>
      </c>
      <c r="I2103" s="55">
        <v>0</v>
      </c>
      <c r="J2103" s="55">
        <v>0.42932599999999999</v>
      </c>
      <c r="K2103" s="55">
        <v>0</v>
      </c>
      <c r="L2103" s="55"/>
      <c r="M2103" s="55"/>
      <c r="N2103" s="55"/>
    </row>
    <row r="2104" spans="1:14" hidden="1" x14ac:dyDescent="0.35">
      <c r="A2104" s="52" t="s">
        <v>607</v>
      </c>
      <c r="B2104" s="52" t="s">
        <v>37</v>
      </c>
      <c r="C2104" s="52" t="s">
        <v>70</v>
      </c>
      <c r="D2104" s="52" t="s">
        <v>70</v>
      </c>
      <c r="E2104" s="52" t="s">
        <v>584</v>
      </c>
      <c r="F2104" s="52" t="s">
        <v>581</v>
      </c>
      <c r="G2104" s="55" t="s">
        <v>275</v>
      </c>
      <c r="H2104" s="55">
        <v>1.2614999999999999E-2</v>
      </c>
      <c r="I2104" s="55">
        <v>-0.77948200000000001</v>
      </c>
      <c r="J2104" s="55">
        <v>0</v>
      </c>
      <c r="K2104" s="55"/>
      <c r="L2104" s="55"/>
      <c r="M2104" s="55"/>
      <c r="N2104" s="55"/>
    </row>
    <row r="2105" spans="1:14" hidden="1" x14ac:dyDescent="0.35">
      <c r="A2105" s="52" t="s">
        <v>607</v>
      </c>
      <c r="B2105" s="52" t="s">
        <v>37</v>
      </c>
      <c r="C2105" s="52" t="s">
        <v>70</v>
      </c>
      <c r="D2105" s="52" t="s">
        <v>70</v>
      </c>
      <c r="E2105" s="52" t="s">
        <v>584</v>
      </c>
      <c r="F2105" s="52" t="s">
        <v>581</v>
      </c>
      <c r="G2105" s="55" t="s">
        <v>276</v>
      </c>
      <c r="H2105" s="55">
        <v>3.3530000000000001E-3</v>
      </c>
      <c r="I2105" s="55">
        <v>-0.207204</v>
      </c>
      <c r="J2105" s="55">
        <v>0</v>
      </c>
      <c r="K2105" s="55"/>
      <c r="L2105" s="55"/>
      <c r="M2105" s="55"/>
      <c r="N2105" s="55"/>
    </row>
    <row r="2106" spans="1:14" hidden="1" x14ac:dyDescent="0.35">
      <c r="A2106" s="52" t="s">
        <v>607</v>
      </c>
      <c r="B2106" s="52" t="s">
        <v>37</v>
      </c>
      <c r="C2106" s="52" t="s">
        <v>70</v>
      </c>
      <c r="D2106" s="52" t="s">
        <v>70</v>
      </c>
      <c r="E2106" s="52" t="s">
        <v>584</v>
      </c>
      <c r="F2106" s="52" t="s">
        <v>581</v>
      </c>
      <c r="G2106" s="55" t="s">
        <v>279</v>
      </c>
      <c r="H2106" s="55">
        <v>1.436E-3</v>
      </c>
      <c r="I2106" s="55">
        <v>0.9866859</v>
      </c>
      <c r="J2106" s="55">
        <v>0</v>
      </c>
      <c r="K2106" s="55"/>
      <c r="L2106" s="55"/>
      <c r="M2106" s="55"/>
      <c r="N2106" s="55"/>
    </row>
    <row r="2107" spans="1:14" hidden="1" x14ac:dyDescent="0.35">
      <c r="A2107" s="52" t="s">
        <v>664</v>
      </c>
      <c r="B2107" s="52" t="s">
        <v>53</v>
      </c>
      <c r="C2107" s="52" t="s">
        <v>67</v>
      </c>
      <c r="D2107" s="52" t="s">
        <v>67</v>
      </c>
      <c r="E2107" s="52" t="s">
        <v>584</v>
      </c>
      <c r="F2107" s="52" t="s">
        <v>581</v>
      </c>
      <c r="G2107" s="55" t="s">
        <v>275</v>
      </c>
      <c r="H2107" s="55">
        <v>252.25020000000001</v>
      </c>
      <c r="I2107" s="55">
        <v>124.8502</v>
      </c>
      <c r="J2107" s="55">
        <v>108.26439999999999</v>
      </c>
      <c r="K2107" s="55">
        <v>98.114059999999995</v>
      </c>
      <c r="L2107" s="55">
        <v>87.692430000000002</v>
      </c>
      <c r="M2107" s="55">
        <v>56.837359999999997</v>
      </c>
      <c r="N2107" s="55">
        <v>42.607439999999997</v>
      </c>
    </row>
    <row r="2108" spans="1:14" hidden="1" x14ac:dyDescent="0.35">
      <c r="A2108" s="52" t="s">
        <v>664</v>
      </c>
      <c r="B2108" s="52" t="s">
        <v>53</v>
      </c>
      <c r="C2108" s="52" t="s">
        <v>67</v>
      </c>
      <c r="D2108" s="52" t="s">
        <v>67</v>
      </c>
      <c r="E2108" s="52" t="s">
        <v>584</v>
      </c>
      <c r="F2108" s="52" t="s">
        <v>581</v>
      </c>
      <c r="G2108" s="55" t="s">
        <v>276</v>
      </c>
      <c r="H2108" s="55">
        <v>121.7666</v>
      </c>
      <c r="I2108" s="55">
        <v>-3.1973569999999998</v>
      </c>
      <c r="J2108" s="55">
        <v>-4.8910200000000001</v>
      </c>
      <c r="K2108" s="55">
        <v>3.2454490000000003E-2</v>
      </c>
      <c r="L2108" s="55">
        <v>22.314959999999999</v>
      </c>
      <c r="M2108" s="55">
        <v>36.013570000000001</v>
      </c>
      <c r="N2108" s="55">
        <v>44.779690000000002</v>
      </c>
    </row>
    <row r="2109" spans="1:14" hidden="1" x14ac:dyDescent="0.35">
      <c r="A2109" s="52" t="s">
        <v>664</v>
      </c>
      <c r="B2109" s="52" t="s">
        <v>53</v>
      </c>
      <c r="C2109" s="52" t="s">
        <v>67</v>
      </c>
      <c r="D2109" s="52" t="s">
        <v>67</v>
      </c>
      <c r="E2109" s="52" t="s">
        <v>584</v>
      </c>
      <c r="F2109" s="52" t="s">
        <v>581</v>
      </c>
      <c r="G2109" s="55" t="s">
        <v>277</v>
      </c>
      <c r="H2109" s="55">
        <v>12.40659</v>
      </c>
      <c r="I2109" s="55">
        <v>9.2073900000000002</v>
      </c>
      <c r="J2109" s="55">
        <v>3.7756280000000002</v>
      </c>
      <c r="K2109" s="55">
        <v>1.8725890000000001</v>
      </c>
      <c r="L2109" s="55">
        <v>1.4699040000000001</v>
      </c>
      <c r="M2109" s="55">
        <v>1.503436</v>
      </c>
      <c r="N2109" s="55">
        <v>2.412995</v>
      </c>
    </row>
    <row r="2110" spans="1:14" hidden="1" x14ac:dyDescent="0.35">
      <c r="A2110" s="52" t="s">
        <v>664</v>
      </c>
      <c r="B2110" s="52" t="s">
        <v>53</v>
      </c>
      <c r="C2110" s="52" t="s">
        <v>67</v>
      </c>
      <c r="D2110" s="52" t="s">
        <v>67</v>
      </c>
      <c r="E2110" s="52" t="s">
        <v>584</v>
      </c>
      <c r="F2110" s="52" t="s">
        <v>581</v>
      </c>
      <c r="G2110" s="55" t="s">
        <v>278</v>
      </c>
      <c r="H2110" s="55">
        <v>0.1759685</v>
      </c>
      <c r="I2110" s="55">
        <v>0.1759685</v>
      </c>
      <c r="J2110" s="55">
        <v>0</v>
      </c>
      <c r="K2110" s="55">
        <v>0</v>
      </c>
      <c r="L2110" s="55">
        <v>0</v>
      </c>
      <c r="M2110" s="55">
        <v>0</v>
      </c>
      <c r="N2110" s="55">
        <v>0</v>
      </c>
    </row>
    <row r="2111" spans="1:14" hidden="1" x14ac:dyDescent="0.35">
      <c r="A2111" s="52" t="s">
        <v>664</v>
      </c>
      <c r="B2111" s="52" t="s">
        <v>53</v>
      </c>
      <c r="C2111" s="52" t="s">
        <v>67</v>
      </c>
      <c r="D2111" s="52" t="s">
        <v>67</v>
      </c>
      <c r="E2111" s="52" t="s">
        <v>584</v>
      </c>
      <c r="F2111" s="52" t="s">
        <v>581</v>
      </c>
      <c r="G2111" s="55" t="s">
        <v>279</v>
      </c>
      <c r="H2111" s="55">
        <v>178.48349999999999</v>
      </c>
      <c r="I2111" s="55">
        <v>157.3837</v>
      </c>
      <c r="J2111" s="55">
        <v>153.2655</v>
      </c>
      <c r="K2111" s="55">
        <v>150.4</v>
      </c>
      <c r="L2111" s="55">
        <v>72.646559999999994</v>
      </c>
      <c r="M2111" s="55">
        <v>71.080860000000001</v>
      </c>
      <c r="N2111" s="55">
        <v>58.446370000000002</v>
      </c>
    </row>
    <row r="2112" spans="1:14" hidden="1" x14ac:dyDescent="0.35">
      <c r="A2112" s="52" t="s">
        <v>664</v>
      </c>
      <c r="B2112" s="52" t="s">
        <v>53</v>
      </c>
      <c r="C2112" s="52" t="s">
        <v>67</v>
      </c>
      <c r="D2112" s="52" t="s">
        <v>67</v>
      </c>
      <c r="E2112" s="52" t="s">
        <v>584</v>
      </c>
      <c r="F2112" s="52" t="s">
        <v>26</v>
      </c>
      <c r="G2112" s="55" t="s">
        <v>275</v>
      </c>
      <c r="H2112" s="55">
        <v>374.35579999999999</v>
      </c>
      <c r="I2112" s="55">
        <v>278.99900000000002</v>
      </c>
      <c r="J2112" s="55">
        <v>265.47059999999999</v>
      </c>
      <c r="K2112" s="55">
        <v>342.66370000000001</v>
      </c>
      <c r="L2112" s="55">
        <v>357.0292</v>
      </c>
      <c r="M2112" s="55">
        <v>283.01960000000003</v>
      </c>
      <c r="N2112" s="55">
        <v>232.3783</v>
      </c>
    </row>
    <row r="2113" spans="1:14" hidden="1" x14ac:dyDescent="0.35">
      <c r="A2113" s="52" t="s">
        <v>664</v>
      </c>
      <c r="B2113" s="52" t="s">
        <v>53</v>
      </c>
      <c r="C2113" s="52" t="s">
        <v>67</v>
      </c>
      <c r="D2113" s="52" t="s">
        <v>67</v>
      </c>
      <c r="E2113" s="52" t="s">
        <v>584</v>
      </c>
      <c r="F2113" s="52" t="s">
        <v>26</v>
      </c>
      <c r="G2113" s="55" t="s">
        <v>276</v>
      </c>
      <c r="H2113" s="55">
        <v>322.78199999999998</v>
      </c>
      <c r="I2113" s="55">
        <v>319.52940000000001</v>
      </c>
      <c r="J2113" s="55">
        <v>307.97269999999997</v>
      </c>
      <c r="K2113" s="55">
        <v>306.47489999999999</v>
      </c>
      <c r="L2113" s="55">
        <v>312.56079999999997</v>
      </c>
      <c r="M2113" s="55">
        <v>347.81220000000002</v>
      </c>
      <c r="N2113" s="55">
        <v>351.17509999999999</v>
      </c>
    </row>
    <row r="2114" spans="1:14" hidden="1" x14ac:dyDescent="0.35">
      <c r="A2114" s="52" t="s">
        <v>664</v>
      </c>
      <c r="B2114" s="52" t="s">
        <v>53</v>
      </c>
      <c r="C2114" s="52" t="s">
        <v>67</v>
      </c>
      <c r="D2114" s="52" t="s">
        <v>67</v>
      </c>
      <c r="E2114" s="52" t="s">
        <v>584</v>
      </c>
      <c r="F2114" s="52" t="s">
        <v>26</v>
      </c>
      <c r="G2114" s="55" t="s">
        <v>277</v>
      </c>
      <c r="H2114" s="55">
        <v>29.697289999999999</v>
      </c>
      <c r="I2114" s="55">
        <v>106.98860000000001</v>
      </c>
      <c r="J2114" s="55">
        <v>118.6413</v>
      </c>
      <c r="K2114" s="55">
        <v>45.655700000000003</v>
      </c>
      <c r="L2114" s="55">
        <v>45.336689999999997</v>
      </c>
      <c r="M2114" s="55">
        <v>54.087879999999998</v>
      </c>
      <c r="N2114" s="55">
        <v>60.479419999999998</v>
      </c>
    </row>
    <row r="2115" spans="1:14" hidden="1" x14ac:dyDescent="0.35">
      <c r="A2115" s="52" t="s">
        <v>664</v>
      </c>
      <c r="B2115" s="52" t="s">
        <v>53</v>
      </c>
      <c r="C2115" s="52" t="s">
        <v>67</v>
      </c>
      <c r="D2115" s="52" t="s">
        <v>67</v>
      </c>
      <c r="E2115" s="52" t="s">
        <v>584</v>
      </c>
      <c r="F2115" s="52" t="s">
        <v>26</v>
      </c>
      <c r="G2115" s="55" t="s">
        <v>278</v>
      </c>
      <c r="H2115" s="55">
        <v>0.44653530000000002</v>
      </c>
      <c r="I2115" s="55">
        <v>0.44653530000000002</v>
      </c>
      <c r="J2115" s="55">
        <v>0.69745780000000002</v>
      </c>
      <c r="K2115" s="55">
        <v>1.2471540000000001</v>
      </c>
      <c r="L2115" s="55">
        <v>0.73577499999999996</v>
      </c>
      <c r="M2115" s="55">
        <v>2.1665380000000001</v>
      </c>
      <c r="N2115" s="55">
        <v>0.29241420000000001</v>
      </c>
    </row>
    <row r="2116" spans="1:14" hidden="1" x14ac:dyDescent="0.35">
      <c r="A2116" s="52" t="s">
        <v>664</v>
      </c>
      <c r="B2116" s="52" t="s">
        <v>53</v>
      </c>
      <c r="C2116" s="52" t="s">
        <v>67</v>
      </c>
      <c r="D2116" s="52" t="s">
        <v>67</v>
      </c>
      <c r="E2116" s="52" t="s">
        <v>584</v>
      </c>
      <c r="F2116" s="52" t="s">
        <v>26</v>
      </c>
      <c r="G2116" s="55" t="s">
        <v>279</v>
      </c>
      <c r="H2116" s="55">
        <v>142.55529999999999</v>
      </c>
      <c r="I2116" s="55">
        <v>126.45610000000001</v>
      </c>
      <c r="J2116" s="55">
        <v>130.91659999999999</v>
      </c>
      <c r="K2116" s="55">
        <v>143.18639999999999</v>
      </c>
      <c r="L2116" s="55">
        <v>148.84719999999999</v>
      </c>
      <c r="M2116" s="55">
        <v>149.83609999999999</v>
      </c>
      <c r="N2116" s="55">
        <v>139.90369999999999</v>
      </c>
    </row>
    <row r="2117" spans="1:14" hidden="1" x14ac:dyDescent="0.35">
      <c r="A2117" s="52" t="s">
        <v>664</v>
      </c>
      <c r="B2117" s="52" t="s">
        <v>53</v>
      </c>
      <c r="C2117" s="52" t="s">
        <v>52</v>
      </c>
      <c r="D2117" s="52" t="s">
        <v>52</v>
      </c>
      <c r="E2117" s="52" t="s">
        <v>584</v>
      </c>
      <c r="F2117" s="52" t="s">
        <v>581</v>
      </c>
      <c r="G2117" s="55" t="s">
        <v>275</v>
      </c>
      <c r="H2117" s="55">
        <v>242.95959999999999</v>
      </c>
      <c r="I2117" s="55">
        <v>117.7831</v>
      </c>
      <c r="J2117" s="55">
        <v>87.900800000000004</v>
      </c>
      <c r="K2117" s="55">
        <v>63.309800000000003</v>
      </c>
      <c r="L2117" s="55">
        <v>45.830010000000001</v>
      </c>
      <c r="M2117" s="55">
        <v>12.181929999999999</v>
      </c>
      <c r="N2117" s="55">
        <v>11.32658</v>
      </c>
    </row>
    <row r="2118" spans="1:14" hidden="1" x14ac:dyDescent="0.35">
      <c r="A2118" s="52" t="s">
        <v>664</v>
      </c>
      <c r="B2118" s="52" t="s">
        <v>53</v>
      </c>
      <c r="C2118" s="52" t="s">
        <v>52</v>
      </c>
      <c r="D2118" s="52" t="s">
        <v>52</v>
      </c>
      <c r="E2118" s="52" t="s">
        <v>584</v>
      </c>
      <c r="F2118" s="52" t="s">
        <v>581</v>
      </c>
      <c r="G2118" s="55" t="s">
        <v>276</v>
      </c>
      <c r="H2118" s="55">
        <v>207.8561</v>
      </c>
      <c r="I2118" s="55">
        <v>70.183120000000002</v>
      </c>
      <c r="J2118" s="55">
        <v>56.303069999999998</v>
      </c>
      <c r="K2118" s="55">
        <v>64.941599999999994</v>
      </c>
      <c r="L2118" s="55">
        <v>60.476349999999996</v>
      </c>
      <c r="M2118" s="55">
        <v>21.3766</v>
      </c>
      <c r="N2118" s="55">
        <v>20.554770000000001</v>
      </c>
    </row>
    <row r="2119" spans="1:14" hidden="1" x14ac:dyDescent="0.35">
      <c r="A2119" s="52" t="s">
        <v>664</v>
      </c>
      <c r="B2119" s="52" t="s">
        <v>53</v>
      </c>
      <c r="C2119" s="52" t="s">
        <v>52</v>
      </c>
      <c r="D2119" s="52" t="s">
        <v>52</v>
      </c>
      <c r="E2119" s="52" t="s">
        <v>584</v>
      </c>
      <c r="F2119" s="52" t="s">
        <v>581</v>
      </c>
      <c r="G2119" s="55" t="s">
        <v>277</v>
      </c>
      <c r="H2119" s="55">
        <v>20.861509999999999</v>
      </c>
      <c r="I2119" s="55">
        <v>16.310659999999999</v>
      </c>
      <c r="J2119" s="55">
        <v>14.56409</v>
      </c>
      <c r="K2119" s="55">
        <v>15.00389</v>
      </c>
      <c r="L2119" s="55">
        <v>16.601890000000001</v>
      </c>
      <c r="M2119" s="55">
        <v>14.25873</v>
      </c>
      <c r="N2119" s="55">
        <v>15.51282</v>
      </c>
    </row>
    <row r="2120" spans="1:14" hidden="1" x14ac:dyDescent="0.35">
      <c r="A2120" s="52" t="s">
        <v>664</v>
      </c>
      <c r="B2120" s="52" t="s">
        <v>53</v>
      </c>
      <c r="C2120" s="52" t="s">
        <v>52</v>
      </c>
      <c r="D2120" s="52" t="s">
        <v>52</v>
      </c>
      <c r="E2120" s="52" t="s">
        <v>584</v>
      </c>
      <c r="F2120" s="52" t="s">
        <v>581</v>
      </c>
      <c r="G2120" s="55" t="s">
        <v>278</v>
      </c>
      <c r="H2120" s="55">
        <v>0.1110231</v>
      </c>
      <c r="I2120" s="55">
        <v>0.1110231</v>
      </c>
      <c r="J2120" s="55">
        <v>3.6847759999999999E-3</v>
      </c>
      <c r="K2120" s="55">
        <v>3.6847759999999999E-3</v>
      </c>
      <c r="L2120" s="55">
        <v>3.6847759999999999E-3</v>
      </c>
      <c r="M2120" s="55">
        <v>0</v>
      </c>
      <c r="N2120" s="55"/>
    </row>
    <row r="2121" spans="1:14" hidden="1" x14ac:dyDescent="0.35">
      <c r="A2121" s="52" t="s">
        <v>664</v>
      </c>
      <c r="B2121" s="52" t="s">
        <v>53</v>
      </c>
      <c r="C2121" s="52" t="s">
        <v>52</v>
      </c>
      <c r="D2121" s="52" t="s">
        <v>52</v>
      </c>
      <c r="E2121" s="52" t="s">
        <v>584</v>
      </c>
      <c r="F2121" s="52" t="s">
        <v>581</v>
      </c>
      <c r="G2121" s="55" t="s">
        <v>279</v>
      </c>
      <c r="H2121" s="55">
        <v>156.85560000000001</v>
      </c>
      <c r="I2121" s="55">
        <v>93.728229999999996</v>
      </c>
      <c r="J2121" s="55">
        <v>103.52070000000001</v>
      </c>
      <c r="K2121" s="55">
        <v>90.324420000000003</v>
      </c>
      <c r="L2121" s="55">
        <v>68.73321</v>
      </c>
      <c r="M2121" s="55">
        <v>105.3126</v>
      </c>
      <c r="N2121" s="55">
        <v>78.807220000000001</v>
      </c>
    </row>
    <row r="2122" spans="1:14" hidden="1" x14ac:dyDescent="0.35">
      <c r="A2122" s="52" t="s">
        <v>664</v>
      </c>
      <c r="B2122" s="52" t="s">
        <v>53</v>
      </c>
      <c r="C2122" s="52" t="s">
        <v>52</v>
      </c>
      <c r="D2122" s="52" t="s">
        <v>52</v>
      </c>
      <c r="E2122" s="52" t="s">
        <v>584</v>
      </c>
      <c r="F2122" s="52" t="s">
        <v>26</v>
      </c>
      <c r="G2122" s="55" t="s">
        <v>275</v>
      </c>
      <c r="H2122" s="55">
        <v>221.7867</v>
      </c>
      <c r="I2122" s="55">
        <v>81.781120000000001</v>
      </c>
      <c r="J2122" s="55">
        <v>-11.98471</v>
      </c>
      <c r="K2122" s="55">
        <v>-189.81370000000001</v>
      </c>
      <c r="L2122" s="55">
        <v>-283.93369999999999</v>
      </c>
      <c r="M2122" s="55">
        <v>-282.8963</v>
      </c>
      <c r="N2122" s="55">
        <v>-107.80240000000001</v>
      </c>
    </row>
    <row r="2123" spans="1:14" hidden="1" x14ac:dyDescent="0.35">
      <c r="A2123" s="52" t="s">
        <v>664</v>
      </c>
      <c r="B2123" s="52" t="s">
        <v>53</v>
      </c>
      <c r="C2123" s="52" t="s">
        <v>52</v>
      </c>
      <c r="D2123" s="52" t="s">
        <v>52</v>
      </c>
      <c r="E2123" s="52" t="s">
        <v>584</v>
      </c>
      <c r="F2123" s="52" t="s">
        <v>26</v>
      </c>
      <c r="G2123" s="55" t="s">
        <v>276</v>
      </c>
      <c r="H2123" s="55">
        <v>223.57329999999999</v>
      </c>
      <c r="I2123" s="55">
        <v>135.9366</v>
      </c>
      <c r="J2123" s="55">
        <v>49.502560000000003</v>
      </c>
      <c r="K2123" s="55">
        <v>-35.18759</v>
      </c>
      <c r="L2123" s="55">
        <v>-64.15925</v>
      </c>
      <c r="M2123" s="55">
        <v>-68.212440000000001</v>
      </c>
      <c r="N2123" s="55">
        <v>-33.349400000000003</v>
      </c>
    </row>
    <row r="2124" spans="1:14" hidden="1" x14ac:dyDescent="0.35">
      <c r="A2124" s="52" t="s">
        <v>664</v>
      </c>
      <c r="B2124" s="52" t="s">
        <v>53</v>
      </c>
      <c r="C2124" s="52" t="s">
        <v>52</v>
      </c>
      <c r="D2124" s="52" t="s">
        <v>52</v>
      </c>
      <c r="E2124" s="52" t="s">
        <v>584</v>
      </c>
      <c r="F2124" s="52" t="s">
        <v>26</v>
      </c>
      <c r="G2124" s="55" t="s">
        <v>277</v>
      </c>
      <c r="H2124" s="55">
        <v>105.4768</v>
      </c>
      <c r="I2124" s="55">
        <v>154.5651</v>
      </c>
      <c r="J2124" s="55">
        <v>136.6421</v>
      </c>
      <c r="K2124" s="55">
        <v>372.28280000000001</v>
      </c>
      <c r="L2124" s="55">
        <v>483.2081</v>
      </c>
      <c r="M2124" s="55">
        <v>473.90780000000001</v>
      </c>
      <c r="N2124" s="55">
        <v>243.7929</v>
      </c>
    </row>
    <row r="2125" spans="1:14" hidden="1" x14ac:dyDescent="0.35">
      <c r="A2125" s="52" t="s">
        <v>664</v>
      </c>
      <c r="B2125" s="52" t="s">
        <v>53</v>
      </c>
      <c r="C2125" s="52" t="s">
        <v>52</v>
      </c>
      <c r="D2125" s="52" t="s">
        <v>52</v>
      </c>
      <c r="E2125" s="52" t="s">
        <v>584</v>
      </c>
      <c r="F2125" s="52" t="s">
        <v>26</v>
      </c>
      <c r="G2125" s="55" t="s">
        <v>278</v>
      </c>
      <c r="H2125" s="55">
        <v>15.0428</v>
      </c>
      <c r="I2125" s="55">
        <v>0.76677220000000001</v>
      </c>
      <c r="J2125" s="55">
        <v>0.86274680000000004</v>
      </c>
      <c r="K2125" s="55">
        <v>2.5982479999999999</v>
      </c>
      <c r="L2125" s="55">
        <v>0.88296070000000004</v>
      </c>
      <c r="M2125" s="55">
        <v>0.66376970000000002</v>
      </c>
      <c r="N2125" s="55">
        <v>30.929659999999998</v>
      </c>
    </row>
    <row r="2126" spans="1:14" hidden="1" x14ac:dyDescent="0.35">
      <c r="A2126" s="52" t="s">
        <v>664</v>
      </c>
      <c r="B2126" s="52" t="s">
        <v>53</v>
      </c>
      <c r="C2126" s="52" t="s">
        <v>52</v>
      </c>
      <c r="D2126" s="52" t="s">
        <v>52</v>
      </c>
      <c r="E2126" s="52" t="s">
        <v>584</v>
      </c>
      <c r="F2126" s="52" t="s">
        <v>26</v>
      </c>
      <c r="G2126" s="55" t="s">
        <v>279</v>
      </c>
      <c r="H2126" s="55">
        <v>200.37029999999999</v>
      </c>
      <c r="I2126" s="55">
        <v>181.62280000000001</v>
      </c>
      <c r="J2126" s="55">
        <v>177.6045</v>
      </c>
      <c r="K2126" s="55">
        <v>176.08320000000001</v>
      </c>
      <c r="L2126" s="55">
        <v>165.88489999999999</v>
      </c>
      <c r="M2126" s="55">
        <v>154.7979</v>
      </c>
      <c r="N2126" s="55">
        <v>156.91050000000001</v>
      </c>
    </row>
    <row r="2127" spans="1:14" hidden="1" x14ac:dyDescent="0.35">
      <c r="A2127" s="52" t="s">
        <v>664</v>
      </c>
      <c r="B2127" s="52" t="s">
        <v>53</v>
      </c>
      <c r="C2127" s="52" t="s">
        <v>151</v>
      </c>
      <c r="D2127" s="52" t="s">
        <v>151</v>
      </c>
      <c r="E2127" s="52" t="s">
        <v>584</v>
      </c>
      <c r="F2127" s="52" t="s">
        <v>26</v>
      </c>
      <c r="G2127" s="55" t="s">
        <v>275</v>
      </c>
      <c r="H2127" s="55">
        <v>143.0583</v>
      </c>
      <c r="I2127" s="55">
        <v>106.77030000000001</v>
      </c>
      <c r="J2127" s="55">
        <v>107.63720000000001</v>
      </c>
      <c r="K2127" s="55">
        <v>96.429820000000007</v>
      </c>
      <c r="L2127" s="55">
        <v>90.80341</v>
      </c>
      <c r="M2127" s="55">
        <v>87.147779999999997</v>
      </c>
      <c r="N2127" s="55">
        <v>84.300640000000001</v>
      </c>
    </row>
    <row r="2128" spans="1:14" hidden="1" x14ac:dyDescent="0.35">
      <c r="A2128" s="52" t="s">
        <v>664</v>
      </c>
      <c r="B2128" s="52" t="s">
        <v>53</v>
      </c>
      <c r="C2128" s="52" t="s">
        <v>151</v>
      </c>
      <c r="D2128" s="52" t="s">
        <v>151</v>
      </c>
      <c r="E2128" s="52" t="s">
        <v>584</v>
      </c>
      <c r="F2128" s="52" t="s">
        <v>26</v>
      </c>
      <c r="G2128" s="55" t="s">
        <v>276</v>
      </c>
      <c r="H2128" s="55">
        <v>228.55449999999999</v>
      </c>
      <c r="I2128" s="55">
        <v>174.39230000000001</v>
      </c>
      <c r="J2128" s="55">
        <v>176.27459999999999</v>
      </c>
      <c r="K2128" s="55">
        <v>160.39449999999999</v>
      </c>
      <c r="L2128" s="55">
        <v>151.6129</v>
      </c>
      <c r="M2128" s="55">
        <v>146.0625</v>
      </c>
      <c r="N2128" s="55">
        <v>141.69890000000001</v>
      </c>
    </row>
    <row r="2129" spans="1:14" hidden="1" x14ac:dyDescent="0.35">
      <c r="A2129" s="52" t="s">
        <v>664</v>
      </c>
      <c r="B2129" s="52" t="s">
        <v>53</v>
      </c>
      <c r="C2129" s="52" t="s">
        <v>151</v>
      </c>
      <c r="D2129" s="52" t="s">
        <v>151</v>
      </c>
      <c r="E2129" s="52" t="s">
        <v>584</v>
      </c>
      <c r="F2129" s="52" t="s">
        <v>26</v>
      </c>
      <c r="G2129" s="55" t="s">
        <v>277</v>
      </c>
      <c r="H2129" s="55">
        <v>2.1508500000000002</v>
      </c>
      <c r="I2129" s="55">
        <v>1.792478</v>
      </c>
      <c r="J2129" s="55">
        <v>3.2392129999999999</v>
      </c>
      <c r="K2129" s="55">
        <v>5.5573420000000002</v>
      </c>
      <c r="L2129" s="55">
        <v>7.9516850000000003</v>
      </c>
      <c r="M2129" s="55">
        <v>10.29622</v>
      </c>
      <c r="N2129" s="55">
        <v>11.86838</v>
      </c>
    </row>
    <row r="2130" spans="1:14" hidden="1" x14ac:dyDescent="0.35">
      <c r="A2130" s="52" t="s">
        <v>664</v>
      </c>
      <c r="B2130" s="52" t="s">
        <v>53</v>
      </c>
      <c r="C2130" s="52" t="s">
        <v>151</v>
      </c>
      <c r="D2130" s="52" t="s">
        <v>151</v>
      </c>
      <c r="E2130" s="52" t="s">
        <v>584</v>
      </c>
      <c r="F2130" s="52" t="s">
        <v>26</v>
      </c>
      <c r="G2130" s="55" t="s">
        <v>279</v>
      </c>
      <c r="H2130" s="55">
        <v>163.29089999999999</v>
      </c>
      <c r="I2130" s="55">
        <v>155.99770000000001</v>
      </c>
      <c r="J2130" s="55">
        <v>160.0291</v>
      </c>
      <c r="K2130" s="55">
        <v>162.9768</v>
      </c>
      <c r="L2130" s="55">
        <v>155.9417</v>
      </c>
      <c r="M2130" s="55">
        <v>151.97890000000001</v>
      </c>
      <c r="N2130" s="55">
        <v>148.77950000000001</v>
      </c>
    </row>
    <row r="2131" spans="1:14" hidden="1" x14ac:dyDescent="0.35">
      <c r="A2131" s="52" t="s">
        <v>664</v>
      </c>
      <c r="B2131" s="52" t="s">
        <v>53</v>
      </c>
      <c r="C2131" s="52" t="s">
        <v>145</v>
      </c>
      <c r="D2131" s="52" t="s">
        <v>145</v>
      </c>
      <c r="E2131" s="52" t="s">
        <v>584</v>
      </c>
      <c r="F2131" s="52" t="s">
        <v>581</v>
      </c>
      <c r="G2131" s="55" t="s">
        <v>275</v>
      </c>
      <c r="H2131" s="55">
        <v>10.77866</v>
      </c>
      <c r="I2131" s="55">
        <v>3.5013990000000002</v>
      </c>
      <c r="J2131" s="55">
        <v>3.326711</v>
      </c>
      <c r="K2131" s="55">
        <v>2.8719779999999999</v>
      </c>
      <c r="L2131" s="55">
        <v>2.7657080000000001</v>
      </c>
      <c r="M2131" s="55">
        <v>2.60155</v>
      </c>
      <c r="N2131" s="55">
        <v>2.500289</v>
      </c>
    </row>
    <row r="2132" spans="1:14" hidden="1" x14ac:dyDescent="0.35">
      <c r="A2132" s="52" t="s">
        <v>664</v>
      </c>
      <c r="B2132" s="52" t="s">
        <v>53</v>
      </c>
      <c r="C2132" s="52" t="s">
        <v>145</v>
      </c>
      <c r="D2132" s="52" t="s">
        <v>145</v>
      </c>
      <c r="E2132" s="52" t="s">
        <v>584</v>
      </c>
      <c r="F2132" s="52" t="s">
        <v>581</v>
      </c>
      <c r="G2132" s="55" t="s">
        <v>276</v>
      </c>
      <c r="H2132" s="55">
        <v>7.0811010000000003</v>
      </c>
      <c r="I2132" s="55">
        <v>2.6165210000000001</v>
      </c>
      <c r="J2132" s="55">
        <v>2.4606210000000002</v>
      </c>
      <c r="K2132" s="55">
        <v>2.2543829999999998</v>
      </c>
      <c r="L2132" s="55">
        <v>2.2271640000000001</v>
      </c>
      <c r="M2132" s="55">
        <v>2.1447189999999998</v>
      </c>
      <c r="N2132" s="55">
        <v>2.0750030000000002</v>
      </c>
    </row>
    <row r="2133" spans="1:14" hidden="1" x14ac:dyDescent="0.35">
      <c r="A2133" s="52" t="s">
        <v>664</v>
      </c>
      <c r="B2133" s="52" t="s">
        <v>53</v>
      </c>
      <c r="C2133" s="52" t="s">
        <v>145</v>
      </c>
      <c r="D2133" s="52" t="s">
        <v>145</v>
      </c>
      <c r="E2133" s="52" t="s">
        <v>584</v>
      </c>
      <c r="F2133" s="52" t="s">
        <v>581</v>
      </c>
      <c r="G2133" s="55" t="s">
        <v>277</v>
      </c>
      <c r="H2133" s="55">
        <v>0.60959920000000001</v>
      </c>
      <c r="I2133" s="55">
        <v>0.47073019999999999</v>
      </c>
      <c r="J2133" s="55">
        <v>0.40514299999999998</v>
      </c>
      <c r="K2133" s="55">
        <v>0.49232789999999998</v>
      </c>
      <c r="L2133" s="55">
        <v>0.56753810000000005</v>
      </c>
      <c r="M2133" s="55">
        <v>0.63020310000000002</v>
      </c>
      <c r="N2133" s="55">
        <v>0.6459587</v>
      </c>
    </row>
    <row r="2134" spans="1:14" hidden="1" x14ac:dyDescent="0.35">
      <c r="A2134" s="52" t="s">
        <v>664</v>
      </c>
      <c r="B2134" s="52" t="s">
        <v>53</v>
      </c>
      <c r="C2134" s="52" t="s">
        <v>145</v>
      </c>
      <c r="D2134" s="52" t="s">
        <v>145</v>
      </c>
      <c r="E2134" s="52" t="s">
        <v>584</v>
      </c>
      <c r="F2134" s="52" t="s">
        <v>581</v>
      </c>
      <c r="G2134" s="55" t="s">
        <v>279</v>
      </c>
      <c r="H2134" s="55">
        <v>5.7736429999999999</v>
      </c>
      <c r="I2134" s="55">
        <v>4.8148369999999998</v>
      </c>
      <c r="J2134" s="55">
        <v>4.645086</v>
      </c>
      <c r="K2134" s="55">
        <v>4.7244190000000001</v>
      </c>
      <c r="L2134" s="55">
        <v>4.6743319999999997</v>
      </c>
      <c r="M2134" s="55">
        <v>4.5271619999999997</v>
      </c>
      <c r="N2134" s="55">
        <v>4.4027900000000004</v>
      </c>
    </row>
    <row r="2135" spans="1:14" hidden="1" x14ac:dyDescent="0.35">
      <c r="A2135" s="52" t="s">
        <v>664</v>
      </c>
      <c r="B2135" s="52" t="s">
        <v>53</v>
      </c>
      <c r="C2135" s="52" t="s">
        <v>665</v>
      </c>
      <c r="D2135" s="52" t="s">
        <v>665</v>
      </c>
      <c r="E2135" s="52" t="s">
        <v>584</v>
      </c>
      <c r="F2135" s="52" t="s">
        <v>581</v>
      </c>
      <c r="G2135" s="55" t="s">
        <v>275</v>
      </c>
      <c r="H2135" s="55">
        <v>0.47947590000000001</v>
      </c>
      <c r="I2135" s="55">
        <v>0</v>
      </c>
      <c r="J2135" s="55">
        <v>-0.20405970000000001</v>
      </c>
      <c r="K2135" s="55">
        <v>0</v>
      </c>
      <c r="L2135" s="55"/>
      <c r="M2135" s="55"/>
      <c r="N2135" s="55"/>
    </row>
    <row r="2136" spans="1:14" hidden="1" x14ac:dyDescent="0.35">
      <c r="A2136" s="52" t="s">
        <v>664</v>
      </c>
      <c r="B2136" s="52" t="s">
        <v>53</v>
      </c>
      <c r="C2136" s="52" t="s">
        <v>665</v>
      </c>
      <c r="D2136" s="52" t="s">
        <v>665</v>
      </c>
      <c r="E2136" s="52" t="s">
        <v>584</v>
      </c>
      <c r="F2136" s="52" t="s">
        <v>581</v>
      </c>
      <c r="G2136" s="55" t="s">
        <v>276</v>
      </c>
      <c r="H2136" s="55">
        <v>0.80303310000000006</v>
      </c>
      <c r="I2136" s="55">
        <v>0</v>
      </c>
      <c r="J2136" s="55">
        <v>-0.28179720000000003</v>
      </c>
      <c r="K2136" s="55">
        <v>0</v>
      </c>
      <c r="L2136" s="55"/>
      <c r="M2136" s="55"/>
      <c r="N2136" s="55"/>
    </row>
    <row r="2137" spans="1:14" hidden="1" x14ac:dyDescent="0.35">
      <c r="A2137" s="52" t="s">
        <v>664</v>
      </c>
      <c r="B2137" s="52" t="s">
        <v>53</v>
      </c>
      <c r="C2137" s="52" t="s">
        <v>665</v>
      </c>
      <c r="D2137" s="52" t="s">
        <v>665</v>
      </c>
      <c r="E2137" s="52" t="s">
        <v>584</v>
      </c>
      <c r="F2137" s="52" t="s">
        <v>581</v>
      </c>
      <c r="G2137" s="55" t="s">
        <v>279</v>
      </c>
      <c r="H2137" s="55">
        <v>0.12644459999999999</v>
      </c>
      <c r="I2137" s="55">
        <v>0</v>
      </c>
      <c r="J2137" s="55">
        <v>0.48585509999999998</v>
      </c>
      <c r="K2137" s="55">
        <v>0</v>
      </c>
      <c r="L2137" s="55"/>
      <c r="M2137" s="55"/>
      <c r="N2137" s="55"/>
    </row>
    <row r="2138" spans="1:14" hidden="1" x14ac:dyDescent="0.35">
      <c r="A2138" s="52" t="s">
        <v>664</v>
      </c>
      <c r="B2138" s="52" t="s">
        <v>53</v>
      </c>
      <c r="C2138" s="52" t="s">
        <v>665</v>
      </c>
      <c r="D2138" s="52" t="s">
        <v>665</v>
      </c>
      <c r="E2138" s="52" t="s">
        <v>584</v>
      </c>
      <c r="F2138" s="52" t="s">
        <v>26</v>
      </c>
      <c r="G2138" s="55" t="s">
        <v>275</v>
      </c>
      <c r="H2138" s="55">
        <v>12.23236</v>
      </c>
      <c r="I2138" s="55">
        <v>4.9432299999999998</v>
      </c>
      <c r="J2138" s="55">
        <v>-8.0468119999999992</v>
      </c>
      <c r="K2138" s="55">
        <v>2.6603659999999998</v>
      </c>
      <c r="L2138" s="55">
        <v>0</v>
      </c>
      <c r="M2138" s="55">
        <v>0</v>
      </c>
      <c r="N2138" s="55">
        <v>0</v>
      </c>
    </row>
    <row r="2139" spans="1:14" hidden="1" x14ac:dyDescent="0.35">
      <c r="A2139" s="52" t="s">
        <v>664</v>
      </c>
      <c r="B2139" s="52" t="s">
        <v>53</v>
      </c>
      <c r="C2139" s="52" t="s">
        <v>665</v>
      </c>
      <c r="D2139" s="52" t="s">
        <v>665</v>
      </c>
      <c r="E2139" s="52" t="s">
        <v>584</v>
      </c>
      <c r="F2139" s="52" t="s">
        <v>26</v>
      </c>
      <c r="G2139" s="55" t="s">
        <v>276</v>
      </c>
      <c r="H2139" s="55">
        <v>7.1830319999999999</v>
      </c>
      <c r="I2139" s="55">
        <v>-5.0045299999999999</v>
      </c>
      <c r="J2139" s="55">
        <v>-21.550419999999999</v>
      </c>
      <c r="K2139" s="55">
        <v>-2.7216640000000001</v>
      </c>
      <c r="L2139" s="55">
        <v>-6.1298999999999999E-2</v>
      </c>
      <c r="M2139" s="55">
        <v>-0.1086057</v>
      </c>
      <c r="N2139" s="55">
        <v>-0.1086066</v>
      </c>
    </row>
    <row r="2140" spans="1:14" hidden="1" x14ac:dyDescent="0.35">
      <c r="A2140" s="52" t="s">
        <v>664</v>
      </c>
      <c r="B2140" s="52" t="s">
        <v>53</v>
      </c>
      <c r="C2140" s="52" t="s">
        <v>665</v>
      </c>
      <c r="D2140" s="52" t="s">
        <v>665</v>
      </c>
      <c r="E2140" s="52" t="s">
        <v>584</v>
      </c>
      <c r="F2140" s="52" t="s">
        <v>26</v>
      </c>
      <c r="G2140" s="55" t="s">
        <v>277</v>
      </c>
      <c r="H2140" s="55">
        <v>0.98999910000000002</v>
      </c>
      <c r="I2140" s="55">
        <v>0</v>
      </c>
      <c r="J2140" s="55"/>
      <c r="K2140" s="55"/>
      <c r="L2140" s="55">
        <v>0</v>
      </c>
      <c r="M2140" s="55">
        <v>4.7307599999999998E-2</v>
      </c>
      <c r="N2140" s="55">
        <v>4.7307599999999998E-2</v>
      </c>
    </row>
    <row r="2141" spans="1:14" hidden="1" x14ac:dyDescent="0.35">
      <c r="A2141" s="52" t="s">
        <v>664</v>
      </c>
      <c r="B2141" s="52" t="s">
        <v>53</v>
      </c>
      <c r="C2141" s="52" t="s">
        <v>665</v>
      </c>
      <c r="D2141" s="52" t="s">
        <v>665</v>
      </c>
      <c r="E2141" s="52" t="s">
        <v>584</v>
      </c>
      <c r="F2141" s="52" t="s">
        <v>26</v>
      </c>
      <c r="G2141" s="55" t="s">
        <v>278</v>
      </c>
      <c r="H2141" s="55">
        <v>6.1298999999999999E-2</v>
      </c>
      <c r="I2141" s="55">
        <v>6.1298999999999999E-2</v>
      </c>
      <c r="J2141" s="55">
        <v>1.2128060000000001</v>
      </c>
      <c r="K2141" s="55">
        <v>6.1298999999999999E-2</v>
      </c>
      <c r="L2141" s="55">
        <v>6.1298999999999999E-2</v>
      </c>
      <c r="M2141" s="55">
        <v>6.1298999999999999E-2</v>
      </c>
      <c r="N2141" s="55">
        <v>6.1298999999999999E-2</v>
      </c>
    </row>
    <row r="2142" spans="1:14" hidden="1" x14ac:dyDescent="0.35">
      <c r="A2142" s="52" t="s">
        <v>664</v>
      </c>
      <c r="B2142" s="52" t="s">
        <v>53</v>
      </c>
      <c r="C2142" s="52" t="s">
        <v>665</v>
      </c>
      <c r="D2142" s="52" t="s">
        <v>665</v>
      </c>
      <c r="E2142" s="52" t="s">
        <v>584</v>
      </c>
      <c r="F2142" s="52" t="s">
        <v>26</v>
      </c>
      <c r="G2142" s="55" t="s">
        <v>279</v>
      </c>
      <c r="H2142" s="55">
        <v>10.18614</v>
      </c>
      <c r="I2142" s="55">
        <v>0</v>
      </c>
      <c r="J2142" s="55">
        <v>28.384419999999999</v>
      </c>
      <c r="K2142" s="55">
        <v>0</v>
      </c>
      <c r="L2142" s="55"/>
      <c r="M2142" s="55"/>
      <c r="N2142" s="55"/>
    </row>
    <row r="2143" spans="1:14" hidden="1" x14ac:dyDescent="0.35">
      <c r="A2143" s="52" t="s">
        <v>664</v>
      </c>
      <c r="B2143" s="52" t="s">
        <v>53</v>
      </c>
      <c r="C2143" s="52" t="s">
        <v>318</v>
      </c>
      <c r="D2143" s="52" t="s">
        <v>318</v>
      </c>
      <c r="E2143" s="52" t="s">
        <v>584</v>
      </c>
      <c r="F2143" s="52" t="s">
        <v>581</v>
      </c>
      <c r="G2143" s="55" t="s">
        <v>275</v>
      </c>
      <c r="H2143" s="55">
        <v>0</v>
      </c>
      <c r="I2143" s="55"/>
      <c r="J2143" s="55"/>
      <c r="K2143" s="55"/>
      <c r="L2143" s="55"/>
      <c r="M2143" s="55"/>
      <c r="N2143" s="55"/>
    </row>
    <row r="2144" spans="1:14" hidden="1" x14ac:dyDescent="0.35">
      <c r="A2144" s="52" t="s">
        <v>664</v>
      </c>
      <c r="B2144" s="52" t="s">
        <v>53</v>
      </c>
      <c r="C2144" s="52" t="s">
        <v>318</v>
      </c>
      <c r="D2144" s="52" t="s">
        <v>318</v>
      </c>
      <c r="E2144" s="52" t="s">
        <v>584</v>
      </c>
      <c r="F2144" s="52" t="s">
        <v>581</v>
      </c>
      <c r="G2144" s="55" t="s">
        <v>276</v>
      </c>
      <c r="H2144" s="55">
        <v>0</v>
      </c>
      <c r="I2144" s="55"/>
      <c r="J2144" s="55"/>
      <c r="K2144" s="55"/>
      <c r="L2144" s="55"/>
      <c r="M2144" s="55"/>
      <c r="N2144" s="55"/>
    </row>
    <row r="2145" spans="1:14" hidden="1" x14ac:dyDescent="0.35">
      <c r="A2145" s="52" t="s">
        <v>664</v>
      </c>
      <c r="B2145" s="52" t="s">
        <v>53</v>
      </c>
      <c r="C2145" s="52" t="s">
        <v>318</v>
      </c>
      <c r="D2145" s="52" t="s">
        <v>318</v>
      </c>
      <c r="E2145" s="52" t="s">
        <v>584</v>
      </c>
      <c r="F2145" s="52" t="s">
        <v>581</v>
      </c>
      <c r="G2145" s="55" t="s">
        <v>278</v>
      </c>
      <c r="H2145" s="55">
        <v>0</v>
      </c>
      <c r="I2145" s="55"/>
      <c r="J2145" s="55"/>
      <c r="K2145" s="55"/>
      <c r="L2145" s="55"/>
      <c r="M2145" s="55"/>
      <c r="N2145" s="55"/>
    </row>
    <row r="2146" spans="1:14" hidden="1" x14ac:dyDescent="0.35">
      <c r="A2146" s="52" t="s">
        <v>664</v>
      </c>
      <c r="B2146" s="52" t="s">
        <v>53</v>
      </c>
      <c r="C2146" s="52" t="s">
        <v>318</v>
      </c>
      <c r="D2146" s="52" t="s">
        <v>318</v>
      </c>
      <c r="E2146" s="52" t="s">
        <v>584</v>
      </c>
      <c r="F2146" s="52" t="s">
        <v>26</v>
      </c>
      <c r="G2146" s="55" t="s">
        <v>275</v>
      </c>
      <c r="H2146" s="55">
        <v>0</v>
      </c>
      <c r="I2146" s="55"/>
      <c r="J2146" s="55"/>
      <c r="K2146" s="55"/>
      <c r="L2146" s="55"/>
      <c r="M2146" s="55"/>
      <c r="N2146" s="55"/>
    </row>
    <row r="2147" spans="1:14" hidden="1" x14ac:dyDescent="0.35">
      <c r="A2147" s="52" t="s">
        <v>664</v>
      </c>
      <c r="B2147" s="52" t="s">
        <v>53</v>
      </c>
      <c r="C2147" s="52" t="s">
        <v>318</v>
      </c>
      <c r="D2147" s="52" t="s">
        <v>318</v>
      </c>
      <c r="E2147" s="52" t="s">
        <v>584</v>
      </c>
      <c r="F2147" s="52" t="s">
        <v>26</v>
      </c>
      <c r="G2147" s="55" t="s">
        <v>276</v>
      </c>
      <c r="H2147" s="55">
        <v>0</v>
      </c>
      <c r="I2147" s="55"/>
      <c r="J2147" s="55"/>
      <c r="K2147" s="55"/>
      <c r="L2147" s="55"/>
      <c r="M2147" s="55"/>
      <c r="N2147" s="55"/>
    </row>
    <row r="2148" spans="1:14" hidden="1" x14ac:dyDescent="0.35">
      <c r="A2148" s="52" t="s">
        <v>664</v>
      </c>
      <c r="B2148" s="52" t="s">
        <v>53</v>
      </c>
      <c r="C2148" s="52" t="s">
        <v>318</v>
      </c>
      <c r="D2148" s="52" t="s">
        <v>318</v>
      </c>
      <c r="E2148" s="52" t="s">
        <v>584</v>
      </c>
      <c r="F2148" s="52" t="s">
        <v>26</v>
      </c>
      <c r="G2148" s="55" t="s">
        <v>278</v>
      </c>
      <c r="H2148" s="55">
        <v>0</v>
      </c>
      <c r="I2148" s="55"/>
      <c r="J2148" s="55"/>
      <c r="K2148" s="55"/>
      <c r="L2148" s="55"/>
      <c r="M2148" s="55"/>
      <c r="N2148" s="55"/>
    </row>
    <row r="2149" spans="1:14" hidden="1" x14ac:dyDescent="0.35">
      <c r="A2149" s="52" t="s">
        <v>664</v>
      </c>
      <c r="B2149" s="52" t="s">
        <v>53</v>
      </c>
      <c r="C2149" s="52" t="s">
        <v>824</v>
      </c>
      <c r="D2149" s="52" t="s">
        <v>824</v>
      </c>
      <c r="E2149" s="52" t="s">
        <v>584</v>
      </c>
      <c r="F2149" s="52" t="s">
        <v>26</v>
      </c>
      <c r="G2149" s="55" t="s">
        <v>275</v>
      </c>
      <c r="H2149" s="55">
        <v>-1.9223000000000001E-2</v>
      </c>
      <c r="I2149" s="55">
        <v>-1.8890000000000001E-2</v>
      </c>
      <c r="J2149" s="55">
        <v>0</v>
      </c>
      <c r="K2149" s="55">
        <v>0</v>
      </c>
      <c r="L2149" s="55">
        <v>0</v>
      </c>
      <c r="M2149" s="55">
        <v>0</v>
      </c>
      <c r="N2149" s="55">
        <v>0</v>
      </c>
    </row>
    <row r="2150" spans="1:14" hidden="1" x14ac:dyDescent="0.35">
      <c r="A2150" s="52" t="s">
        <v>664</v>
      </c>
      <c r="B2150" s="52" t="s">
        <v>53</v>
      </c>
      <c r="C2150" s="52" t="s">
        <v>824</v>
      </c>
      <c r="D2150" s="52" t="s">
        <v>824</v>
      </c>
      <c r="E2150" s="52" t="s">
        <v>584</v>
      </c>
      <c r="F2150" s="52" t="s">
        <v>26</v>
      </c>
      <c r="G2150" s="55" t="s">
        <v>276</v>
      </c>
      <c r="H2150" s="55">
        <v>-7.7619999999999998E-3</v>
      </c>
      <c r="I2150" s="55">
        <v>-8.0960000000000008E-3</v>
      </c>
      <c r="J2150" s="55">
        <v>-2.6984000000000001E-2</v>
      </c>
      <c r="K2150" s="55">
        <v>-2.6986E-2</v>
      </c>
      <c r="L2150" s="55">
        <v>-2.6984999999999999E-2</v>
      </c>
      <c r="M2150" s="55">
        <v>-2.6984999999999999E-2</v>
      </c>
      <c r="N2150" s="55">
        <v>-2.6984999999999999E-2</v>
      </c>
    </row>
    <row r="2151" spans="1:14" hidden="1" x14ac:dyDescent="0.35">
      <c r="A2151" s="52" t="s">
        <v>664</v>
      </c>
      <c r="B2151" s="52" t="s">
        <v>53</v>
      </c>
      <c r="C2151" s="52" t="s">
        <v>824</v>
      </c>
      <c r="D2151" s="52" t="s">
        <v>824</v>
      </c>
      <c r="E2151" s="52" t="s">
        <v>584</v>
      </c>
      <c r="F2151" s="52" t="s">
        <v>26</v>
      </c>
      <c r="G2151" s="55" t="s">
        <v>278</v>
      </c>
      <c r="H2151" s="55">
        <v>2.6984999999999999E-2</v>
      </c>
      <c r="I2151" s="55">
        <v>2.6984999999999999E-2</v>
      </c>
      <c r="J2151" s="55">
        <v>2.6984999999999999E-2</v>
      </c>
      <c r="K2151" s="55">
        <v>2.6984999999999999E-2</v>
      </c>
      <c r="L2151" s="55">
        <v>2.6984999999999999E-2</v>
      </c>
      <c r="M2151" s="55">
        <v>2.6984999999999999E-2</v>
      </c>
      <c r="N2151" s="55">
        <v>2.6984999999999999E-2</v>
      </c>
    </row>
    <row r="2152" spans="1:14" hidden="1" x14ac:dyDescent="0.35">
      <c r="A2152" s="52" t="s">
        <v>664</v>
      </c>
      <c r="B2152" s="52" t="s">
        <v>37</v>
      </c>
      <c r="C2152" s="52" t="s">
        <v>61</v>
      </c>
      <c r="D2152" s="52" t="s">
        <v>62</v>
      </c>
      <c r="E2152" s="52" t="s">
        <v>584</v>
      </c>
      <c r="F2152" s="52" t="s">
        <v>581</v>
      </c>
      <c r="G2152" s="55" t="s">
        <v>275</v>
      </c>
      <c r="H2152" s="55">
        <v>465.8854</v>
      </c>
      <c r="I2152" s="55">
        <v>-410.40940000000001</v>
      </c>
      <c r="J2152" s="55">
        <v>26.68487</v>
      </c>
      <c r="K2152" s="55">
        <v>-120.0444</v>
      </c>
      <c r="L2152" s="55">
        <v>403.21519999999998</v>
      </c>
      <c r="M2152" s="55">
        <v>371.34199999999998</v>
      </c>
      <c r="N2152" s="55">
        <v>330.29880000000003</v>
      </c>
    </row>
    <row r="2153" spans="1:14" hidden="1" x14ac:dyDescent="0.35">
      <c r="A2153" s="52" t="s">
        <v>664</v>
      </c>
      <c r="B2153" s="52" t="s">
        <v>37</v>
      </c>
      <c r="C2153" s="52" t="s">
        <v>61</v>
      </c>
      <c r="D2153" s="52" t="s">
        <v>62</v>
      </c>
      <c r="E2153" s="52" t="s">
        <v>584</v>
      </c>
      <c r="F2153" s="52" t="s">
        <v>581</v>
      </c>
      <c r="G2153" s="55" t="s">
        <v>276</v>
      </c>
      <c r="H2153" s="55">
        <v>155.84360000000001</v>
      </c>
      <c r="I2153" s="55">
        <v>-23.366409999999998</v>
      </c>
      <c r="J2153" s="55">
        <v>-176.5067</v>
      </c>
      <c r="K2153" s="55">
        <v>-139.26910000000001</v>
      </c>
      <c r="L2153" s="55">
        <v>-93.057950000000005</v>
      </c>
      <c r="M2153" s="55">
        <v>-429.31700000000001</v>
      </c>
      <c r="N2153" s="55">
        <v>-260.82130000000001</v>
      </c>
    </row>
    <row r="2154" spans="1:14" hidden="1" x14ac:dyDescent="0.35">
      <c r="A2154" s="52" t="s">
        <v>664</v>
      </c>
      <c r="B2154" s="52" t="s">
        <v>37</v>
      </c>
      <c r="C2154" s="52" t="s">
        <v>61</v>
      </c>
      <c r="D2154" s="52" t="s">
        <v>62</v>
      </c>
      <c r="E2154" s="52" t="s">
        <v>584</v>
      </c>
      <c r="F2154" s="52" t="s">
        <v>581</v>
      </c>
      <c r="G2154" s="55" t="s">
        <v>277</v>
      </c>
      <c r="H2154" s="55">
        <v>486.38650000000001</v>
      </c>
      <c r="I2154" s="55">
        <v>769.90899999999999</v>
      </c>
      <c r="J2154" s="55">
        <v>548.66700000000003</v>
      </c>
      <c r="K2154" s="55">
        <v>671.41</v>
      </c>
      <c r="L2154" s="55">
        <v>237.07069999999999</v>
      </c>
      <c r="M2154" s="55">
        <v>212.80869999999999</v>
      </c>
      <c r="N2154" s="55">
        <v>140.09389999999999</v>
      </c>
    </row>
    <row r="2155" spans="1:14" hidden="1" x14ac:dyDescent="0.35">
      <c r="A2155" s="52" t="s">
        <v>664</v>
      </c>
      <c r="B2155" s="52" t="s">
        <v>37</v>
      </c>
      <c r="C2155" s="52" t="s">
        <v>61</v>
      </c>
      <c r="D2155" s="52" t="s">
        <v>62</v>
      </c>
      <c r="E2155" s="52" t="s">
        <v>584</v>
      </c>
      <c r="F2155" s="52" t="s">
        <v>581</v>
      </c>
      <c r="G2155" s="55" t="s">
        <v>278</v>
      </c>
      <c r="H2155" s="55">
        <v>115.4918</v>
      </c>
      <c r="I2155" s="55">
        <v>154.22909999999999</v>
      </c>
      <c r="J2155" s="55">
        <v>158.67779999999999</v>
      </c>
      <c r="K2155" s="55">
        <v>130.7448</v>
      </c>
      <c r="L2155" s="55">
        <v>116.42659999999999</v>
      </c>
      <c r="M2155" s="55">
        <v>437.06459999999998</v>
      </c>
      <c r="N2155" s="55">
        <v>279.22059999999999</v>
      </c>
    </row>
    <row r="2156" spans="1:14" hidden="1" x14ac:dyDescent="0.35">
      <c r="A2156" s="52" t="s">
        <v>664</v>
      </c>
      <c r="B2156" s="52" t="s">
        <v>37</v>
      </c>
      <c r="C2156" s="52" t="s">
        <v>61</v>
      </c>
      <c r="D2156" s="52" t="s">
        <v>62</v>
      </c>
      <c r="E2156" s="52" t="s">
        <v>584</v>
      </c>
      <c r="F2156" s="52" t="s">
        <v>581</v>
      </c>
      <c r="G2156" s="55" t="s">
        <v>279</v>
      </c>
      <c r="H2156" s="55">
        <v>352.34550000000002</v>
      </c>
      <c r="I2156" s="55">
        <v>340.22620000000001</v>
      </c>
      <c r="J2156" s="55">
        <v>354.60770000000002</v>
      </c>
      <c r="K2156" s="55">
        <v>408.49700000000001</v>
      </c>
      <c r="L2156" s="55">
        <v>450.04430000000002</v>
      </c>
      <c r="M2156" s="55">
        <v>392.9563</v>
      </c>
      <c r="N2156" s="55">
        <v>400.44110000000001</v>
      </c>
    </row>
    <row r="2157" spans="1:14" hidden="1" x14ac:dyDescent="0.35">
      <c r="A2157" s="52" t="s">
        <v>664</v>
      </c>
      <c r="B2157" s="52" t="s">
        <v>37</v>
      </c>
      <c r="C2157" s="52" t="s">
        <v>61</v>
      </c>
      <c r="D2157" s="52" t="s">
        <v>62</v>
      </c>
      <c r="E2157" s="52" t="s">
        <v>584</v>
      </c>
      <c r="F2157" s="52" t="s">
        <v>26</v>
      </c>
      <c r="G2157" s="55" t="s">
        <v>275</v>
      </c>
      <c r="H2157" s="55">
        <v>3.4824480000000002</v>
      </c>
      <c r="I2157" s="55">
        <v>-3.5229979999999999</v>
      </c>
      <c r="J2157" s="55">
        <v>-0.48761179999999998</v>
      </c>
      <c r="K2157" s="55">
        <v>4.0923280000000002</v>
      </c>
      <c r="L2157" s="55">
        <v>3.892042</v>
      </c>
      <c r="M2157" s="55">
        <v>3.6145879999999999</v>
      </c>
      <c r="N2157" s="55">
        <v>-1.6639109999999999</v>
      </c>
    </row>
    <row r="2158" spans="1:14" hidden="1" x14ac:dyDescent="0.35">
      <c r="A2158" s="52" t="s">
        <v>664</v>
      </c>
      <c r="B2158" s="52" t="s">
        <v>37</v>
      </c>
      <c r="C2158" s="52" t="s">
        <v>61</v>
      </c>
      <c r="D2158" s="52" t="s">
        <v>62</v>
      </c>
      <c r="E2158" s="52" t="s">
        <v>584</v>
      </c>
      <c r="F2158" s="52" t="s">
        <v>26</v>
      </c>
      <c r="G2158" s="55" t="s">
        <v>276</v>
      </c>
      <c r="H2158" s="55">
        <v>1.087075</v>
      </c>
      <c r="I2158" s="55">
        <v>0.40093770000000001</v>
      </c>
      <c r="J2158" s="55">
        <v>0.87268480000000004</v>
      </c>
      <c r="K2158" s="55">
        <v>0.58760639999999997</v>
      </c>
      <c r="L2158" s="55">
        <v>0.56831160000000003</v>
      </c>
      <c r="M2158" s="55">
        <v>9.2887269999999994E-2</v>
      </c>
      <c r="N2158" s="55">
        <v>-1.108967</v>
      </c>
    </row>
    <row r="2159" spans="1:14" hidden="1" x14ac:dyDescent="0.35">
      <c r="A2159" s="52" t="s">
        <v>664</v>
      </c>
      <c r="B2159" s="52" t="s">
        <v>37</v>
      </c>
      <c r="C2159" s="52" t="s">
        <v>61</v>
      </c>
      <c r="D2159" s="52" t="s">
        <v>62</v>
      </c>
      <c r="E2159" s="52" t="s">
        <v>584</v>
      </c>
      <c r="F2159" s="52" t="s">
        <v>26</v>
      </c>
      <c r="G2159" s="55" t="s">
        <v>277</v>
      </c>
      <c r="H2159" s="55">
        <v>0.7588433</v>
      </c>
      <c r="I2159" s="55">
        <v>6.4408919999999998</v>
      </c>
      <c r="J2159" s="55">
        <v>6.1228350000000002</v>
      </c>
      <c r="K2159" s="55">
        <v>0</v>
      </c>
      <c r="L2159" s="55">
        <v>0</v>
      </c>
      <c r="M2159" s="55">
        <v>0</v>
      </c>
      <c r="N2159" s="55">
        <v>0</v>
      </c>
    </row>
    <row r="2160" spans="1:14" hidden="1" x14ac:dyDescent="0.35">
      <c r="A2160" s="52" t="s">
        <v>664</v>
      </c>
      <c r="B2160" s="52" t="s">
        <v>37</v>
      </c>
      <c r="C2160" s="52" t="s">
        <v>61</v>
      </c>
      <c r="D2160" s="52" t="s">
        <v>62</v>
      </c>
      <c r="E2160" s="52" t="s">
        <v>584</v>
      </c>
      <c r="F2160" s="52" t="s">
        <v>26</v>
      </c>
      <c r="G2160" s="55" t="s">
        <v>278</v>
      </c>
      <c r="H2160" s="55"/>
      <c r="I2160" s="55"/>
      <c r="J2160" s="55">
        <v>0</v>
      </c>
      <c r="K2160" s="55">
        <v>0</v>
      </c>
      <c r="L2160" s="55">
        <v>0</v>
      </c>
      <c r="M2160" s="55">
        <v>0</v>
      </c>
      <c r="N2160" s="55">
        <v>0</v>
      </c>
    </row>
    <row r="2161" spans="1:14" hidden="1" x14ac:dyDescent="0.35">
      <c r="A2161" s="52" t="s">
        <v>664</v>
      </c>
      <c r="B2161" s="52" t="s">
        <v>37</v>
      </c>
      <c r="C2161" s="52" t="s">
        <v>61</v>
      </c>
      <c r="D2161" s="52" t="s">
        <v>62</v>
      </c>
      <c r="E2161" s="52" t="s">
        <v>584</v>
      </c>
      <c r="F2161" s="52" t="s">
        <v>26</v>
      </c>
      <c r="G2161" s="55" t="s">
        <v>279</v>
      </c>
      <c r="H2161" s="55">
        <v>22.383690000000001</v>
      </c>
      <c r="I2161" s="55">
        <v>21.66441</v>
      </c>
      <c r="J2161" s="55">
        <v>24.299469999999999</v>
      </c>
      <c r="K2161" s="55">
        <v>21.49616</v>
      </c>
      <c r="L2161" s="55">
        <v>17.883199999999999</v>
      </c>
      <c r="M2161" s="55">
        <v>14.014480000000001</v>
      </c>
      <c r="N2161" s="55">
        <v>16.175260000000002</v>
      </c>
    </row>
    <row r="2162" spans="1:14" hidden="1" x14ac:dyDescent="0.35">
      <c r="A2162" s="52" t="s">
        <v>664</v>
      </c>
      <c r="B2162" s="52" t="s">
        <v>37</v>
      </c>
      <c r="C2162" s="52" t="s">
        <v>109</v>
      </c>
      <c r="D2162" s="52" t="s">
        <v>109</v>
      </c>
      <c r="E2162" s="52" t="s">
        <v>584</v>
      </c>
      <c r="F2162" s="52" t="s">
        <v>581</v>
      </c>
      <c r="G2162" s="55" t="s">
        <v>275</v>
      </c>
      <c r="H2162" s="55">
        <v>-8.2216839999999999E-2</v>
      </c>
      <c r="I2162" s="55">
        <v>9.189918E-3</v>
      </c>
      <c r="J2162" s="55">
        <v>-2.7324500000000002E-2</v>
      </c>
      <c r="K2162" s="55">
        <v>-8.7065480000000001E-2</v>
      </c>
      <c r="L2162" s="55"/>
      <c r="M2162" s="55">
        <v>0</v>
      </c>
      <c r="N2162" s="55"/>
    </row>
    <row r="2163" spans="1:14" hidden="1" x14ac:dyDescent="0.35">
      <c r="A2163" s="52" t="s">
        <v>664</v>
      </c>
      <c r="B2163" s="52" t="s">
        <v>37</v>
      </c>
      <c r="C2163" s="52" t="s">
        <v>109</v>
      </c>
      <c r="D2163" s="52" t="s">
        <v>109</v>
      </c>
      <c r="E2163" s="52" t="s">
        <v>584</v>
      </c>
      <c r="F2163" s="52" t="s">
        <v>581</v>
      </c>
      <c r="G2163" s="55" t="s">
        <v>276</v>
      </c>
      <c r="H2163" s="55">
        <v>-3.2704959999999998E-2</v>
      </c>
      <c r="I2163" s="55">
        <v>-9.5442089999999993E-2</v>
      </c>
      <c r="J2163" s="55">
        <v>-8.6750460000000001E-2</v>
      </c>
      <c r="K2163" s="55">
        <v>-8.3473240000000004E-2</v>
      </c>
      <c r="L2163" s="55"/>
      <c r="M2163" s="55"/>
      <c r="N2163" s="55"/>
    </row>
    <row r="2164" spans="1:14" hidden="1" x14ac:dyDescent="0.35">
      <c r="A2164" s="52" t="s">
        <v>664</v>
      </c>
      <c r="B2164" s="52" t="s">
        <v>37</v>
      </c>
      <c r="C2164" s="52" t="s">
        <v>109</v>
      </c>
      <c r="D2164" s="52" t="s">
        <v>109</v>
      </c>
      <c r="E2164" s="52" t="s">
        <v>584</v>
      </c>
      <c r="F2164" s="52" t="s">
        <v>581</v>
      </c>
      <c r="G2164" s="55" t="s">
        <v>277</v>
      </c>
      <c r="H2164" s="55">
        <v>0.53174259999999995</v>
      </c>
      <c r="I2164" s="55"/>
      <c r="J2164" s="55"/>
      <c r="K2164" s="55"/>
      <c r="L2164" s="55"/>
      <c r="M2164" s="55"/>
      <c r="N2164" s="55"/>
    </row>
    <row r="2165" spans="1:14" hidden="1" x14ac:dyDescent="0.35">
      <c r="A2165" s="52" t="s">
        <v>664</v>
      </c>
      <c r="B2165" s="52" t="s">
        <v>37</v>
      </c>
      <c r="C2165" s="52" t="s">
        <v>109</v>
      </c>
      <c r="D2165" s="52" t="s">
        <v>109</v>
      </c>
      <c r="E2165" s="52" t="s">
        <v>584</v>
      </c>
      <c r="F2165" s="52" t="s">
        <v>581</v>
      </c>
      <c r="G2165" s="55" t="s">
        <v>279</v>
      </c>
      <c r="H2165" s="55">
        <v>0.68554890000000002</v>
      </c>
      <c r="I2165" s="55">
        <v>0.63678979999999996</v>
      </c>
      <c r="J2165" s="55">
        <v>0.65305860000000004</v>
      </c>
      <c r="K2165" s="55">
        <v>0.70317050000000003</v>
      </c>
      <c r="L2165" s="55"/>
      <c r="M2165" s="55"/>
      <c r="N2165" s="55">
        <v>0</v>
      </c>
    </row>
    <row r="2166" spans="1:14" hidden="1" x14ac:dyDescent="0.35">
      <c r="A2166" s="52" t="s">
        <v>664</v>
      </c>
      <c r="B2166" s="52" t="s">
        <v>37</v>
      </c>
      <c r="C2166" s="52" t="s">
        <v>109</v>
      </c>
      <c r="D2166" s="52" t="s">
        <v>109</v>
      </c>
      <c r="E2166" s="52" t="s">
        <v>584</v>
      </c>
      <c r="F2166" s="52" t="s">
        <v>26</v>
      </c>
      <c r="G2166" s="55" t="s">
        <v>275</v>
      </c>
      <c r="H2166" s="55">
        <v>3.4915079999999999E-3</v>
      </c>
      <c r="I2166" s="55">
        <v>-2.5051919999999998E-3</v>
      </c>
      <c r="J2166" s="55">
        <v>-8.8544399999999999E-4</v>
      </c>
      <c r="K2166" s="55">
        <v>-1.9178960000000001E-3</v>
      </c>
      <c r="L2166" s="55"/>
      <c r="M2166" s="55"/>
      <c r="N2166" s="55"/>
    </row>
    <row r="2167" spans="1:14" hidden="1" x14ac:dyDescent="0.35">
      <c r="A2167" s="52" t="s">
        <v>664</v>
      </c>
      <c r="B2167" s="52" t="s">
        <v>37</v>
      </c>
      <c r="C2167" s="52" t="s">
        <v>109</v>
      </c>
      <c r="D2167" s="52" t="s">
        <v>109</v>
      </c>
      <c r="E2167" s="52" t="s">
        <v>584</v>
      </c>
      <c r="F2167" s="52" t="s">
        <v>26</v>
      </c>
      <c r="G2167" s="55" t="s">
        <v>276</v>
      </c>
      <c r="H2167" s="55">
        <v>9.2804629999999996E-4</v>
      </c>
      <c r="I2167" s="55">
        <v>-6.6576649999999999E-4</v>
      </c>
      <c r="J2167" s="55">
        <v>-2.3547840000000001E-4</v>
      </c>
      <c r="K2167" s="55">
        <v>-5.0995879999999997E-4</v>
      </c>
      <c r="L2167" s="55"/>
      <c r="M2167" s="55"/>
      <c r="N2167" s="55"/>
    </row>
    <row r="2168" spans="1:14" hidden="1" x14ac:dyDescent="0.35">
      <c r="A2168" s="52" t="s">
        <v>664</v>
      </c>
      <c r="B2168" s="52" t="s">
        <v>37</v>
      </c>
      <c r="C2168" s="52" t="s">
        <v>109</v>
      </c>
      <c r="D2168" s="52" t="s">
        <v>109</v>
      </c>
      <c r="E2168" s="52" t="s">
        <v>584</v>
      </c>
      <c r="F2168" s="52" t="s">
        <v>26</v>
      </c>
      <c r="G2168" s="55" t="s">
        <v>279</v>
      </c>
      <c r="H2168" s="55">
        <v>5.7007509999999997E-2</v>
      </c>
      <c r="I2168" s="55">
        <v>5.2524630000000003E-2</v>
      </c>
      <c r="J2168" s="55">
        <v>5.0666530000000001E-2</v>
      </c>
      <c r="K2168" s="55">
        <v>5.0147839999999999E-2</v>
      </c>
      <c r="L2168" s="55"/>
      <c r="M2168" s="55"/>
      <c r="N2168" s="55">
        <v>0</v>
      </c>
    </row>
    <row r="2169" spans="1:14" hidden="1" x14ac:dyDescent="0.35">
      <c r="A2169" s="52" t="s">
        <v>664</v>
      </c>
      <c r="B2169" s="52" t="s">
        <v>37</v>
      </c>
      <c r="C2169" s="52" t="s">
        <v>318</v>
      </c>
      <c r="D2169" s="52" t="s">
        <v>318</v>
      </c>
      <c r="E2169" s="52" t="s">
        <v>584</v>
      </c>
      <c r="F2169" s="52" t="s">
        <v>581</v>
      </c>
      <c r="G2169" s="55" t="s">
        <v>275</v>
      </c>
      <c r="H2169" s="55">
        <v>0</v>
      </c>
      <c r="I2169" s="55"/>
      <c r="J2169" s="55"/>
      <c r="K2169" s="55"/>
      <c r="L2169" s="55"/>
      <c r="M2169" s="55"/>
      <c r="N2169" s="55"/>
    </row>
    <row r="2170" spans="1:14" hidden="1" x14ac:dyDescent="0.35">
      <c r="A2170" s="52" t="s">
        <v>664</v>
      </c>
      <c r="B2170" s="52" t="s">
        <v>37</v>
      </c>
      <c r="C2170" s="52" t="s">
        <v>318</v>
      </c>
      <c r="D2170" s="52" t="s">
        <v>318</v>
      </c>
      <c r="E2170" s="52" t="s">
        <v>584</v>
      </c>
      <c r="F2170" s="52" t="s">
        <v>581</v>
      </c>
      <c r="G2170" s="55" t="s">
        <v>276</v>
      </c>
      <c r="H2170" s="55">
        <v>0</v>
      </c>
      <c r="I2170" s="55"/>
      <c r="J2170" s="55"/>
      <c r="K2170" s="55"/>
      <c r="L2170" s="55"/>
      <c r="M2170" s="55"/>
      <c r="N2170" s="55"/>
    </row>
    <row r="2171" spans="1:14" hidden="1" x14ac:dyDescent="0.35">
      <c r="A2171" s="52" t="s">
        <v>664</v>
      </c>
      <c r="B2171" s="52" t="s">
        <v>37</v>
      </c>
      <c r="C2171" s="52" t="s">
        <v>318</v>
      </c>
      <c r="D2171" s="52" t="s">
        <v>318</v>
      </c>
      <c r="E2171" s="52" t="s">
        <v>584</v>
      </c>
      <c r="F2171" s="52" t="s">
        <v>581</v>
      </c>
      <c r="G2171" s="55" t="s">
        <v>278</v>
      </c>
      <c r="H2171" s="55">
        <v>0</v>
      </c>
      <c r="I2171" s="55"/>
      <c r="J2171" s="55"/>
      <c r="K2171" s="55"/>
      <c r="L2171" s="55"/>
      <c r="M2171" s="55"/>
      <c r="N2171" s="55"/>
    </row>
    <row r="2172" spans="1:14" hidden="1" x14ac:dyDescent="0.35">
      <c r="A2172" s="52" t="s">
        <v>664</v>
      </c>
      <c r="B2172" s="52" t="s">
        <v>37</v>
      </c>
      <c r="C2172" s="52" t="s">
        <v>318</v>
      </c>
      <c r="D2172" s="52" t="s">
        <v>318</v>
      </c>
      <c r="E2172" s="52" t="s">
        <v>584</v>
      </c>
      <c r="F2172" s="52" t="s">
        <v>26</v>
      </c>
      <c r="G2172" s="55" t="s">
        <v>275</v>
      </c>
      <c r="H2172" s="55">
        <v>0</v>
      </c>
      <c r="I2172" s="55"/>
      <c r="J2172" s="55"/>
      <c r="K2172" s="55"/>
      <c r="L2172" s="55"/>
      <c r="M2172" s="55"/>
      <c r="N2172" s="55"/>
    </row>
    <row r="2173" spans="1:14" hidden="1" x14ac:dyDescent="0.35">
      <c r="A2173" s="52" t="s">
        <v>664</v>
      </c>
      <c r="B2173" s="52" t="s">
        <v>37</v>
      </c>
      <c r="C2173" s="52" t="s">
        <v>318</v>
      </c>
      <c r="D2173" s="52" t="s">
        <v>318</v>
      </c>
      <c r="E2173" s="52" t="s">
        <v>584</v>
      </c>
      <c r="F2173" s="52" t="s">
        <v>26</v>
      </c>
      <c r="G2173" s="55" t="s">
        <v>276</v>
      </c>
      <c r="H2173" s="55">
        <v>0</v>
      </c>
      <c r="I2173" s="55"/>
      <c r="J2173" s="55"/>
      <c r="K2173" s="55"/>
      <c r="L2173" s="55"/>
      <c r="M2173" s="55"/>
      <c r="N2173" s="55"/>
    </row>
    <row r="2174" spans="1:14" hidden="1" x14ac:dyDescent="0.35">
      <c r="A2174" s="52" t="s">
        <v>664</v>
      </c>
      <c r="B2174" s="52" t="s">
        <v>37</v>
      </c>
      <c r="C2174" s="52" t="s">
        <v>318</v>
      </c>
      <c r="D2174" s="52" t="s">
        <v>318</v>
      </c>
      <c r="E2174" s="52" t="s">
        <v>584</v>
      </c>
      <c r="F2174" s="52" t="s">
        <v>26</v>
      </c>
      <c r="G2174" s="55" t="s">
        <v>278</v>
      </c>
      <c r="H2174" s="55">
        <v>0</v>
      </c>
      <c r="I2174" s="55"/>
      <c r="J2174" s="55"/>
      <c r="K2174" s="55"/>
      <c r="L2174" s="55"/>
      <c r="M2174" s="55"/>
      <c r="N2174" s="55"/>
    </row>
    <row r="2175" spans="1:14" hidden="1" x14ac:dyDescent="0.35">
      <c r="A2175" s="52" t="s">
        <v>664</v>
      </c>
      <c r="B2175" s="52" t="s">
        <v>123</v>
      </c>
      <c r="C2175" s="52" t="s">
        <v>144</v>
      </c>
      <c r="D2175" s="52" t="s">
        <v>144</v>
      </c>
      <c r="E2175" s="52" t="s">
        <v>584</v>
      </c>
      <c r="F2175" s="52" t="s">
        <v>581</v>
      </c>
      <c r="G2175" s="55" t="s">
        <v>275</v>
      </c>
      <c r="H2175" s="55">
        <v>20.6401</v>
      </c>
      <c r="I2175" s="55">
        <v>-12.55889</v>
      </c>
      <c r="J2175" s="55">
        <v>-7.765784</v>
      </c>
      <c r="K2175" s="55">
        <v>0.79747190000000001</v>
      </c>
      <c r="L2175" s="55">
        <v>23.268730000000001</v>
      </c>
      <c r="M2175" s="55">
        <v>85.207790000000003</v>
      </c>
      <c r="N2175" s="55">
        <v>48.7468</v>
      </c>
    </row>
    <row r="2176" spans="1:14" hidden="1" x14ac:dyDescent="0.35">
      <c r="A2176" s="52" t="s">
        <v>664</v>
      </c>
      <c r="B2176" s="52" t="s">
        <v>123</v>
      </c>
      <c r="C2176" s="52" t="s">
        <v>144</v>
      </c>
      <c r="D2176" s="52" t="s">
        <v>144</v>
      </c>
      <c r="E2176" s="52" t="s">
        <v>584</v>
      </c>
      <c r="F2176" s="52" t="s">
        <v>581</v>
      </c>
      <c r="G2176" s="55" t="s">
        <v>276</v>
      </c>
      <c r="H2176" s="55"/>
      <c r="I2176" s="55"/>
      <c r="J2176" s="55">
        <v>0</v>
      </c>
      <c r="K2176" s="55">
        <v>0</v>
      </c>
      <c r="L2176" s="55">
        <v>0.53942889999999999</v>
      </c>
      <c r="M2176" s="55">
        <v>4.4569380000000001</v>
      </c>
      <c r="N2176" s="55">
        <v>2.6023049999999999</v>
      </c>
    </row>
    <row r="2177" spans="1:14" hidden="1" x14ac:dyDescent="0.35">
      <c r="A2177" s="52" t="s">
        <v>664</v>
      </c>
      <c r="B2177" s="52" t="s">
        <v>123</v>
      </c>
      <c r="C2177" s="52" t="s">
        <v>144</v>
      </c>
      <c r="D2177" s="52" t="s">
        <v>144</v>
      </c>
      <c r="E2177" s="52" t="s">
        <v>584</v>
      </c>
      <c r="F2177" s="52" t="s">
        <v>581</v>
      </c>
      <c r="G2177" s="55" t="s">
        <v>277</v>
      </c>
      <c r="H2177" s="55">
        <v>10.95473</v>
      </c>
      <c r="I2177" s="55">
        <v>17.57752</v>
      </c>
      <c r="J2177" s="55">
        <v>14.817880000000001</v>
      </c>
      <c r="K2177" s="55">
        <v>10.488720000000001</v>
      </c>
      <c r="L2177" s="55">
        <v>7.2668749999999998</v>
      </c>
      <c r="M2177" s="55">
        <v>7.0293349999999997</v>
      </c>
      <c r="N2177" s="55">
        <v>6.9719899999999999</v>
      </c>
    </row>
    <row r="2178" spans="1:14" hidden="1" x14ac:dyDescent="0.35">
      <c r="A2178" s="52" t="s">
        <v>664</v>
      </c>
      <c r="B2178" s="52" t="s">
        <v>123</v>
      </c>
      <c r="C2178" s="52" t="s">
        <v>144</v>
      </c>
      <c r="D2178" s="52" t="s">
        <v>144</v>
      </c>
      <c r="E2178" s="52" t="s">
        <v>584</v>
      </c>
      <c r="F2178" s="52" t="s">
        <v>581</v>
      </c>
      <c r="G2178" s="55" t="s">
        <v>278</v>
      </c>
      <c r="H2178" s="55">
        <v>0.19783709999999999</v>
      </c>
      <c r="I2178" s="55">
        <v>8.6855199999999994E-2</v>
      </c>
      <c r="J2178" s="55">
        <v>0</v>
      </c>
      <c r="K2178" s="55">
        <v>0</v>
      </c>
      <c r="L2178" s="55">
        <v>0</v>
      </c>
      <c r="M2178" s="55">
        <v>0</v>
      </c>
      <c r="N2178" s="55"/>
    </row>
    <row r="2179" spans="1:14" hidden="1" x14ac:dyDescent="0.35">
      <c r="A2179" s="52" t="s">
        <v>664</v>
      </c>
      <c r="B2179" s="52" t="s">
        <v>123</v>
      </c>
      <c r="C2179" s="52" t="s">
        <v>144</v>
      </c>
      <c r="D2179" s="52" t="s">
        <v>144</v>
      </c>
      <c r="E2179" s="52" t="s">
        <v>584</v>
      </c>
      <c r="F2179" s="52" t="s">
        <v>581</v>
      </c>
      <c r="G2179" s="55" t="s">
        <v>279</v>
      </c>
      <c r="H2179" s="55">
        <v>12.299620000000001</v>
      </c>
      <c r="I2179" s="55">
        <v>8.9174860000000002</v>
      </c>
      <c r="J2179" s="55">
        <v>9.3887250000000009</v>
      </c>
      <c r="K2179" s="55">
        <v>11.18684</v>
      </c>
      <c r="L2179" s="55">
        <v>10.548970000000001</v>
      </c>
      <c r="M2179" s="55">
        <v>18.238579999999999</v>
      </c>
      <c r="N2179" s="55">
        <v>15.398759999999999</v>
      </c>
    </row>
    <row r="2180" spans="1:14" hidden="1" x14ac:dyDescent="0.35">
      <c r="A2180" s="52" t="s">
        <v>664</v>
      </c>
      <c r="B2180" s="52" t="s">
        <v>123</v>
      </c>
      <c r="C2180" s="52" t="s">
        <v>144</v>
      </c>
      <c r="D2180" s="52" t="s">
        <v>144</v>
      </c>
      <c r="E2180" s="52" t="s">
        <v>584</v>
      </c>
      <c r="F2180" s="52" t="s">
        <v>26</v>
      </c>
      <c r="G2180" s="55" t="s">
        <v>275</v>
      </c>
      <c r="H2180" s="55">
        <v>53.343229999999998</v>
      </c>
      <c r="I2180" s="55">
        <v>-62.19988</v>
      </c>
      <c r="J2180" s="55">
        <v>-63.237749999999998</v>
      </c>
      <c r="K2180" s="55">
        <v>-36.119480000000003</v>
      </c>
      <c r="L2180" s="55">
        <v>-12.352220000000001</v>
      </c>
      <c r="M2180" s="55">
        <v>-4.6633959999999997</v>
      </c>
      <c r="N2180" s="55">
        <v>1.4023909999999999</v>
      </c>
    </row>
    <row r="2181" spans="1:14" hidden="1" x14ac:dyDescent="0.35">
      <c r="A2181" s="52" t="s">
        <v>664</v>
      </c>
      <c r="B2181" s="52" t="s">
        <v>123</v>
      </c>
      <c r="C2181" s="52" t="s">
        <v>144</v>
      </c>
      <c r="D2181" s="52" t="s">
        <v>144</v>
      </c>
      <c r="E2181" s="52" t="s">
        <v>584</v>
      </c>
      <c r="F2181" s="52" t="s">
        <v>26</v>
      </c>
      <c r="G2181" s="55" t="s">
        <v>276</v>
      </c>
      <c r="H2181" s="55"/>
      <c r="I2181" s="55"/>
      <c r="J2181" s="55">
        <v>0</v>
      </c>
      <c r="K2181" s="55">
        <v>0.1477513</v>
      </c>
      <c r="L2181" s="55">
        <v>7.5824710000000003E-2</v>
      </c>
      <c r="M2181" s="55">
        <v>-3.8177910000000002</v>
      </c>
      <c r="N2181" s="55">
        <v>-1.528607</v>
      </c>
    </row>
    <row r="2182" spans="1:14" hidden="1" x14ac:dyDescent="0.35">
      <c r="A2182" s="52" t="s">
        <v>664</v>
      </c>
      <c r="B2182" s="52" t="s">
        <v>123</v>
      </c>
      <c r="C2182" s="52" t="s">
        <v>144</v>
      </c>
      <c r="D2182" s="52" t="s">
        <v>144</v>
      </c>
      <c r="E2182" s="52" t="s">
        <v>584</v>
      </c>
      <c r="F2182" s="52" t="s">
        <v>26</v>
      </c>
      <c r="G2182" s="55" t="s">
        <v>277</v>
      </c>
      <c r="H2182" s="55">
        <v>27.95879</v>
      </c>
      <c r="I2182" s="55">
        <v>106.3767</v>
      </c>
      <c r="J2182" s="55">
        <v>81.161270000000002</v>
      </c>
      <c r="K2182" s="55">
        <v>48.519759999999998</v>
      </c>
      <c r="L2182" s="55">
        <v>25.88212</v>
      </c>
      <c r="M2182" s="55">
        <v>25.737159999999999</v>
      </c>
      <c r="N2182" s="55">
        <v>10.48156</v>
      </c>
    </row>
    <row r="2183" spans="1:14" hidden="1" x14ac:dyDescent="0.35">
      <c r="A2183" s="52" t="s">
        <v>664</v>
      </c>
      <c r="B2183" s="52" t="s">
        <v>123</v>
      </c>
      <c r="C2183" s="52" t="s">
        <v>144</v>
      </c>
      <c r="D2183" s="52" t="s">
        <v>144</v>
      </c>
      <c r="E2183" s="52" t="s">
        <v>584</v>
      </c>
      <c r="F2183" s="52" t="s">
        <v>26</v>
      </c>
      <c r="G2183" s="55" t="s">
        <v>278</v>
      </c>
      <c r="H2183" s="55"/>
      <c r="I2183" s="55">
        <v>0</v>
      </c>
      <c r="J2183" s="55">
        <v>0</v>
      </c>
      <c r="K2183" s="55">
        <v>0</v>
      </c>
      <c r="L2183" s="55">
        <v>0</v>
      </c>
      <c r="M2183" s="55">
        <v>0</v>
      </c>
      <c r="N2183" s="55">
        <v>0</v>
      </c>
    </row>
    <row r="2184" spans="1:14" hidden="1" x14ac:dyDescent="0.35">
      <c r="A2184" s="52" t="s">
        <v>664</v>
      </c>
      <c r="B2184" s="52" t="s">
        <v>123</v>
      </c>
      <c r="C2184" s="52" t="s">
        <v>144</v>
      </c>
      <c r="D2184" s="52" t="s">
        <v>144</v>
      </c>
      <c r="E2184" s="52" t="s">
        <v>584</v>
      </c>
      <c r="F2184" s="52" t="s">
        <v>26</v>
      </c>
      <c r="G2184" s="55" t="s">
        <v>279</v>
      </c>
      <c r="H2184" s="55">
        <v>41.025970000000001</v>
      </c>
      <c r="I2184" s="55">
        <v>33.314349999999997</v>
      </c>
      <c r="J2184" s="55">
        <v>33.1678</v>
      </c>
      <c r="K2184" s="55">
        <v>43.426920000000003</v>
      </c>
      <c r="L2184" s="55">
        <v>55.816510000000001</v>
      </c>
      <c r="M2184" s="55">
        <v>55.388219999999997</v>
      </c>
      <c r="N2184" s="55">
        <v>54.769910000000003</v>
      </c>
    </row>
    <row r="2185" spans="1:14" hidden="1" x14ac:dyDescent="0.35">
      <c r="A2185" s="52" t="s">
        <v>664</v>
      </c>
      <c r="B2185" s="52" t="s">
        <v>123</v>
      </c>
      <c r="C2185" s="52" t="s">
        <v>318</v>
      </c>
      <c r="D2185" s="52" t="s">
        <v>318</v>
      </c>
      <c r="E2185" s="52" t="s">
        <v>584</v>
      </c>
      <c r="F2185" s="52" t="s">
        <v>581</v>
      </c>
      <c r="G2185" s="55" t="s">
        <v>275</v>
      </c>
      <c r="H2185" s="55">
        <v>0</v>
      </c>
      <c r="I2185" s="55"/>
      <c r="J2185" s="55"/>
      <c r="K2185" s="55"/>
      <c r="L2185" s="55"/>
      <c r="M2185" s="55"/>
      <c r="N2185" s="55"/>
    </row>
    <row r="2186" spans="1:14" hidden="1" x14ac:dyDescent="0.35">
      <c r="A2186" s="52" t="s">
        <v>664</v>
      </c>
      <c r="B2186" s="52" t="s">
        <v>123</v>
      </c>
      <c r="C2186" s="52" t="s">
        <v>318</v>
      </c>
      <c r="D2186" s="52" t="s">
        <v>318</v>
      </c>
      <c r="E2186" s="52" t="s">
        <v>584</v>
      </c>
      <c r="F2186" s="52" t="s">
        <v>581</v>
      </c>
      <c r="G2186" s="55" t="s">
        <v>276</v>
      </c>
      <c r="H2186" s="55">
        <v>0</v>
      </c>
      <c r="I2186" s="55"/>
      <c r="J2186" s="55"/>
      <c r="K2186" s="55"/>
      <c r="L2186" s="55"/>
      <c r="M2186" s="55"/>
      <c r="N2186" s="55"/>
    </row>
    <row r="2187" spans="1:14" hidden="1" x14ac:dyDescent="0.35">
      <c r="A2187" s="52" t="s">
        <v>664</v>
      </c>
      <c r="B2187" s="52" t="s">
        <v>123</v>
      </c>
      <c r="C2187" s="52" t="s">
        <v>318</v>
      </c>
      <c r="D2187" s="52" t="s">
        <v>318</v>
      </c>
      <c r="E2187" s="52" t="s">
        <v>584</v>
      </c>
      <c r="F2187" s="52" t="s">
        <v>581</v>
      </c>
      <c r="G2187" s="55" t="s">
        <v>278</v>
      </c>
      <c r="H2187" s="55">
        <v>0</v>
      </c>
      <c r="I2187" s="55"/>
      <c r="J2187" s="55"/>
      <c r="K2187" s="55"/>
      <c r="L2187" s="55"/>
      <c r="M2187" s="55"/>
      <c r="N2187" s="55"/>
    </row>
    <row r="2188" spans="1:14" hidden="1" x14ac:dyDescent="0.35">
      <c r="A2188" s="52" t="s">
        <v>664</v>
      </c>
      <c r="B2188" s="52" t="s">
        <v>123</v>
      </c>
      <c r="C2188" s="52" t="s">
        <v>318</v>
      </c>
      <c r="D2188" s="52" t="s">
        <v>318</v>
      </c>
      <c r="E2188" s="52" t="s">
        <v>584</v>
      </c>
      <c r="F2188" s="52" t="s">
        <v>26</v>
      </c>
      <c r="G2188" s="55" t="s">
        <v>275</v>
      </c>
      <c r="H2188" s="55">
        <v>0</v>
      </c>
      <c r="I2188" s="55"/>
      <c r="J2188" s="55"/>
      <c r="K2188" s="55"/>
      <c r="L2188" s="55"/>
      <c r="M2188" s="55"/>
      <c r="N2188" s="55"/>
    </row>
    <row r="2189" spans="1:14" hidden="1" x14ac:dyDescent="0.35">
      <c r="A2189" s="52" t="s">
        <v>664</v>
      </c>
      <c r="B2189" s="52" t="s">
        <v>123</v>
      </c>
      <c r="C2189" s="52" t="s">
        <v>318</v>
      </c>
      <c r="D2189" s="52" t="s">
        <v>318</v>
      </c>
      <c r="E2189" s="52" t="s">
        <v>584</v>
      </c>
      <c r="F2189" s="52" t="s">
        <v>26</v>
      </c>
      <c r="G2189" s="55" t="s">
        <v>276</v>
      </c>
      <c r="H2189" s="55">
        <v>0</v>
      </c>
      <c r="I2189" s="55"/>
      <c r="J2189" s="55"/>
      <c r="K2189" s="55"/>
      <c r="L2189" s="55"/>
      <c r="M2189" s="55"/>
      <c r="N2189" s="55"/>
    </row>
    <row r="2190" spans="1:14" hidden="1" x14ac:dyDescent="0.35">
      <c r="A2190" s="52" t="s">
        <v>664</v>
      </c>
      <c r="B2190" s="52" t="s">
        <v>123</v>
      </c>
      <c r="C2190" s="52" t="s">
        <v>318</v>
      </c>
      <c r="D2190" s="52" t="s">
        <v>318</v>
      </c>
      <c r="E2190" s="52" t="s">
        <v>584</v>
      </c>
      <c r="F2190" s="52" t="s">
        <v>26</v>
      </c>
      <c r="G2190" s="55" t="s">
        <v>278</v>
      </c>
      <c r="H2190" s="55">
        <v>0</v>
      </c>
      <c r="I2190" s="55"/>
      <c r="J2190" s="55"/>
      <c r="K2190" s="55"/>
      <c r="L2190" s="55"/>
      <c r="M2190" s="55"/>
      <c r="N2190" s="55"/>
    </row>
    <row r="2191" spans="1:14" hidden="1" x14ac:dyDescent="0.35">
      <c r="A2191" s="52" t="s">
        <v>664</v>
      </c>
      <c r="B2191" s="52" t="s">
        <v>123</v>
      </c>
      <c r="C2191" s="52" t="s">
        <v>351</v>
      </c>
      <c r="D2191" s="52" t="s">
        <v>351</v>
      </c>
      <c r="E2191" s="52" t="s">
        <v>584</v>
      </c>
      <c r="F2191" s="52" t="s">
        <v>581</v>
      </c>
      <c r="G2191" s="55" t="s">
        <v>275</v>
      </c>
      <c r="H2191" s="55"/>
      <c r="I2191" s="55"/>
      <c r="J2191" s="55"/>
      <c r="K2191" s="55"/>
      <c r="L2191" s="55"/>
      <c r="M2191" s="55">
        <v>0</v>
      </c>
      <c r="N2191" s="55">
        <v>0</v>
      </c>
    </row>
    <row r="2192" spans="1:14" hidden="1" x14ac:dyDescent="0.35">
      <c r="A2192" s="52" t="s">
        <v>664</v>
      </c>
      <c r="B2192" s="52" t="s">
        <v>123</v>
      </c>
      <c r="C2192" s="52" t="s">
        <v>351</v>
      </c>
      <c r="D2192" s="52" t="s">
        <v>351</v>
      </c>
      <c r="E2192" s="52" t="s">
        <v>584</v>
      </c>
      <c r="F2192" s="52" t="s">
        <v>581</v>
      </c>
      <c r="G2192" s="55" t="s">
        <v>277</v>
      </c>
      <c r="H2192" s="55"/>
      <c r="I2192" s="55"/>
      <c r="J2192" s="55"/>
      <c r="K2192" s="55"/>
      <c r="L2192" s="55"/>
      <c r="M2192" s="55">
        <v>0</v>
      </c>
      <c r="N2192" s="55">
        <v>0</v>
      </c>
    </row>
    <row r="2193" spans="1:14" hidden="1" x14ac:dyDescent="0.35">
      <c r="A2193" s="52" t="s">
        <v>664</v>
      </c>
      <c r="B2193" s="52" t="s">
        <v>123</v>
      </c>
      <c r="C2193" s="52" t="s">
        <v>351</v>
      </c>
      <c r="D2193" s="52" t="s">
        <v>351</v>
      </c>
      <c r="E2193" s="52" t="s">
        <v>584</v>
      </c>
      <c r="F2193" s="52" t="s">
        <v>581</v>
      </c>
      <c r="G2193" s="55" t="s">
        <v>279</v>
      </c>
      <c r="H2193" s="55"/>
      <c r="I2193" s="55"/>
      <c r="J2193" s="55"/>
      <c r="K2193" s="55"/>
      <c r="L2193" s="55"/>
      <c r="M2193" s="55">
        <v>0</v>
      </c>
      <c r="N2193" s="55">
        <v>0</v>
      </c>
    </row>
    <row r="2194" spans="1:14" hidden="1" x14ac:dyDescent="0.35">
      <c r="A2194" s="52" t="s">
        <v>664</v>
      </c>
      <c r="B2194" s="52" t="s">
        <v>123</v>
      </c>
      <c r="C2194" s="52" t="s">
        <v>351</v>
      </c>
      <c r="D2194" s="52" t="s">
        <v>351</v>
      </c>
      <c r="E2194" s="52" t="s">
        <v>584</v>
      </c>
      <c r="F2194" s="52" t="s">
        <v>26</v>
      </c>
      <c r="G2194" s="55" t="s">
        <v>275</v>
      </c>
      <c r="H2194" s="55">
        <v>-156.5035</v>
      </c>
      <c r="I2194" s="55">
        <v>-70.177059999999997</v>
      </c>
      <c r="J2194" s="55">
        <v>0</v>
      </c>
      <c r="K2194" s="55">
        <v>0</v>
      </c>
      <c r="L2194" s="55">
        <v>0</v>
      </c>
      <c r="M2194" s="55">
        <v>0</v>
      </c>
      <c r="N2194" s="55">
        <v>0</v>
      </c>
    </row>
    <row r="2195" spans="1:14" hidden="1" x14ac:dyDescent="0.35">
      <c r="A2195" s="52" t="s">
        <v>664</v>
      </c>
      <c r="B2195" s="52" t="s">
        <v>123</v>
      </c>
      <c r="C2195" s="52" t="s">
        <v>351</v>
      </c>
      <c r="D2195" s="52" t="s">
        <v>351</v>
      </c>
      <c r="E2195" s="52" t="s">
        <v>584</v>
      </c>
      <c r="F2195" s="52" t="s">
        <v>26</v>
      </c>
      <c r="G2195" s="55" t="s">
        <v>276</v>
      </c>
      <c r="H2195" s="55"/>
      <c r="I2195" s="55"/>
      <c r="J2195" s="55">
        <v>-0.88146789999999997</v>
      </c>
      <c r="K2195" s="55">
        <v>-52.736420000000003</v>
      </c>
      <c r="L2195" s="55">
        <v>-65.393320000000003</v>
      </c>
      <c r="M2195" s="55">
        <v>-1.089718</v>
      </c>
      <c r="N2195" s="55">
        <v>-1.1231</v>
      </c>
    </row>
    <row r="2196" spans="1:14" hidden="1" x14ac:dyDescent="0.35">
      <c r="A2196" s="52" t="s">
        <v>664</v>
      </c>
      <c r="B2196" s="52" t="s">
        <v>123</v>
      </c>
      <c r="C2196" s="52" t="s">
        <v>351</v>
      </c>
      <c r="D2196" s="52" t="s">
        <v>351</v>
      </c>
      <c r="E2196" s="52" t="s">
        <v>584</v>
      </c>
      <c r="F2196" s="52" t="s">
        <v>26</v>
      </c>
      <c r="G2196" s="55" t="s">
        <v>277</v>
      </c>
      <c r="H2196" s="55"/>
      <c r="I2196" s="55"/>
      <c r="J2196" s="55">
        <v>0</v>
      </c>
      <c r="K2196" s="55">
        <v>0</v>
      </c>
      <c r="L2196" s="55">
        <v>0</v>
      </c>
      <c r="M2196" s="55">
        <v>0.20825099999999999</v>
      </c>
      <c r="N2196" s="55">
        <v>0.2416316</v>
      </c>
    </row>
    <row r="2197" spans="1:14" hidden="1" x14ac:dyDescent="0.35">
      <c r="A2197" s="52" t="s">
        <v>664</v>
      </c>
      <c r="B2197" s="52" t="s">
        <v>123</v>
      </c>
      <c r="C2197" s="52" t="s">
        <v>351</v>
      </c>
      <c r="D2197" s="52" t="s">
        <v>351</v>
      </c>
      <c r="E2197" s="52" t="s">
        <v>584</v>
      </c>
      <c r="F2197" s="52" t="s">
        <v>26</v>
      </c>
      <c r="G2197" s="55" t="s">
        <v>278</v>
      </c>
      <c r="H2197" s="55">
        <v>156.5035</v>
      </c>
      <c r="I2197" s="55">
        <v>70.177059999999997</v>
      </c>
      <c r="J2197" s="55">
        <v>0.88146789999999997</v>
      </c>
      <c r="K2197" s="55">
        <v>52.736420000000003</v>
      </c>
      <c r="L2197" s="55">
        <v>65.393320000000003</v>
      </c>
      <c r="M2197" s="55">
        <v>0.88146789999999997</v>
      </c>
      <c r="N2197" s="55">
        <v>0.88146789999999997</v>
      </c>
    </row>
    <row r="2198" spans="1:14" hidden="1" x14ac:dyDescent="0.35">
      <c r="A2198" s="52" t="s">
        <v>664</v>
      </c>
      <c r="B2198" s="52" t="s">
        <v>123</v>
      </c>
      <c r="C2198" s="52" t="s">
        <v>351</v>
      </c>
      <c r="D2198" s="52" t="s">
        <v>351</v>
      </c>
      <c r="E2198" s="52" t="s">
        <v>584</v>
      </c>
      <c r="F2198" s="52" t="s">
        <v>26</v>
      </c>
      <c r="G2198" s="55" t="s">
        <v>279</v>
      </c>
      <c r="H2198" s="55"/>
      <c r="I2198" s="55"/>
      <c r="J2198" s="55"/>
      <c r="K2198" s="55"/>
      <c r="L2198" s="55"/>
      <c r="M2198" s="55">
        <v>0</v>
      </c>
      <c r="N2198" s="55">
        <v>0</v>
      </c>
    </row>
    <row r="2199" spans="1:14" hidden="1" x14ac:dyDescent="0.35">
      <c r="A2199" s="52" t="s">
        <v>664</v>
      </c>
      <c r="B2199" s="52" t="s">
        <v>133</v>
      </c>
      <c r="C2199" s="52" t="s">
        <v>135</v>
      </c>
      <c r="D2199" s="52" t="s">
        <v>253</v>
      </c>
      <c r="E2199" s="52" t="s">
        <v>584</v>
      </c>
      <c r="F2199" s="52" t="s">
        <v>581</v>
      </c>
      <c r="G2199" s="55" t="s">
        <v>275</v>
      </c>
      <c r="H2199" s="55">
        <v>79.255250000000004</v>
      </c>
      <c r="I2199" s="55">
        <v>40.6541</v>
      </c>
      <c r="J2199" s="55">
        <v>36.595190000000002</v>
      </c>
      <c r="K2199" s="55">
        <v>2.349145</v>
      </c>
      <c r="L2199" s="55">
        <v>4.6187500000000004</v>
      </c>
      <c r="M2199" s="55">
        <v>4.482615</v>
      </c>
      <c r="N2199" s="55">
        <v>3.7951160000000002</v>
      </c>
    </row>
    <row r="2200" spans="1:14" hidden="1" x14ac:dyDescent="0.35">
      <c r="A2200" s="52" t="s">
        <v>664</v>
      </c>
      <c r="B2200" s="52" t="s">
        <v>133</v>
      </c>
      <c r="C2200" s="52" t="s">
        <v>135</v>
      </c>
      <c r="D2200" s="52" t="s">
        <v>253</v>
      </c>
      <c r="E2200" s="52" t="s">
        <v>584</v>
      </c>
      <c r="F2200" s="52" t="s">
        <v>581</v>
      </c>
      <c r="G2200" s="55" t="s">
        <v>276</v>
      </c>
      <c r="H2200" s="55">
        <v>39.253540000000001</v>
      </c>
      <c r="I2200" s="55">
        <v>16.422190000000001</v>
      </c>
      <c r="J2200" s="55">
        <v>20.829619999999998</v>
      </c>
      <c r="K2200" s="55">
        <v>18.435199999999998</v>
      </c>
      <c r="L2200" s="55">
        <v>17.091460000000001</v>
      </c>
      <c r="M2200" s="55">
        <v>12.69881</v>
      </c>
      <c r="N2200" s="55">
        <v>8.6623959999999993</v>
      </c>
    </row>
    <row r="2201" spans="1:14" hidden="1" x14ac:dyDescent="0.35">
      <c r="A2201" s="52" t="s">
        <v>664</v>
      </c>
      <c r="B2201" s="52" t="s">
        <v>133</v>
      </c>
      <c r="C2201" s="52" t="s">
        <v>135</v>
      </c>
      <c r="D2201" s="52" t="s">
        <v>253</v>
      </c>
      <c r="E2201" s="52" t="s">
        <v>584</v>
      </c>
      <c r="F2201" s="52" t="s">
        <v>581</v>
      </c>
      <c r="G2201" s="55" t="s">
        <v>277</v>
      </c>
      <c r="H2201" s="55">
        <v>10.98</v>
      </c>
      <c r="I2201" s="55">
        <v>9.9</v>
      </c>
      <c r="J2201" s="55">
        <v>4.95</v>
      </c>
      <c r="K2201" s="55">
        <v>42.61542</v>
      </c>
      <c r="L2201" s="55">
        <v>46.195500000000003</v>
      </c>
      <c r="M2201" s="55">
        <v>46.210830000000001</v>
      </c>
      <c r="N2201" s="55">
        <v>47.915759999999999</v>
      </c>
    </row>
    <row r="2202" spans="1:14" hidden="1" x14ac:dyDescent="0.35">
      <c r="A2202" s="52" t="s">
        <v>664</v>
      </c>
      <c r="B2202" s="52" t="s">
        <v>133</v>
      </c>
      <c r="C2202" s="52" t="s">
        <v>135</v>
      </c>
      <c r="D2202" s="52" t="s">
        <v>253</v>
      </c>
      <c r="E2202" s="52" t="s">
        <v>584</v>
      </c>
      <c r="F2202" s="52" t="s">
        <v>581</v>
      </c>
      <c r="G2202" s="55" t="s">
        <v>279</v>
      </c>
      <c r="H2202" s="55">
        <v>19.218640000000001</v>
      </c>
      <c r="I2202" s="55">
        <v>16.7698</v>
      </c>
      <c r="J2202" s="55">
        <v>18.750399999999999</v>
      </c>
      <c r="K2202" s="55">
        <v>18.809899999999999</v>
      </c>
      <c r="L2202" s="55">
        <v>18.62265</v>
      </c>
      <c r="M2202" s="55">
        <v>15.73373</v>
      </c>
      <c r="N2202" s="55">
        <v>13.287559999999999</v>
      </c>
    </row>
    <row r="2203" spans="1:14" hidden="1" x14ac:dyDescent="0.35">
      <c r="A2203" s="52" t="s">
        <v>664</v>
      </c>
      <c r="B2203" s="52" t="s">
        <v>150</v>
      </c>
      <c r="C2203" s="52" t="s">
        <v>287</v>
      </c>
      <c r="D2203" s="52" t="s">
        <v>287</v>
      </c>
      <c r="E2203" s="52" t="s">
        <v>584</v>
      </c>
      <c r="F2203" s="52" t="s">
        <v>581</v>
      </c>
      <c r="G2203" s="55" t="s">
        <v>275</v>
      </c>
      <c r="H2203" s="55">
        <v>-107.5534</v>
      </c>
      <c r="I2203" s="55">
        <v>25.596119999999999</v>
      </c>
      <c r="J2203" s="55">
        <v>26.29327</v>
      </c>
      <c r="K2203" s="55">
        <v>26.56315</v>
      </c>
      <c r="L2203" s="55">
        <v>-6.3214940000000004</v>
      </c>
      <c r="M2203" s="55">
        <v>-6.6488690000000004</v>
      </c>
      <c r="N2203" s="55">
        <v>-19.617039999999999</v>
      </c>
    </row>
    <row r="2204" spans="1:14" hidden="1" x14ac:dyDescent="0.35">
      <c r="A2204" s="52" t="s">
        <v>664</v>
      </c>
      <c r="B2204" s="52" t="s">
        <v>150</v>
      </c>
      <c r="C2204" s="52" t="s">
        <v>287</v>
      </c>
      <c r="D2204" s="52" t="s">
        <v>287</v>
      </c>
      <c r="E2204" s="52" t="s">
        <v>584</v>
      </c>
      <c r="F2204" s="52" t="s">
        <v>581</v>
      </c>
      <c r="G2204" s="55" t="s">
        <v>276</v>
      </c>
      <c r="H2204" s="55">
        <v>-26.560839999999999</v>
      </c>
      <c r="I2204" s="55">
        <v>-26.781649999999999</v>
      </c>
      <c r="J2204" s="55">
        <v>-8.2418770000000006</v>
      </c>
      <c r="K2204" s="55">
        <v>-8.1918380000000006</v>
      </c>
      <c r="L2204" s="55">
        <v>-88.409649999999999</v>
      </c>
      <c r="M2204" s="55">
        <v>-21.443380000000001</v>
      </c>
      <c r="N2204" s="55">
        <v>-10.30406</v>
      </c>
    </row>
    <row r="2205" spans="1:14" hidden="1" x14ac:dyDescent="0.35">
      <c r="A2205" s="52" t="s">
        <v>664</v>
      </c>
      <c r="B2205" s="52" t="s">
        <v>150</v>
      </c>
      <c r="C2205" s="52" t="s">
        <v>287</v>
      </c>
      <c r="D2205" s="52" t="s">
        <v>287</v>
      </c>
      <c r="E2205" s="52" t="s">
        <v>584</v>
      </c>
      <c r="F2205" s="52" t="s">
        <v>581</v>
      </c>
      <c r="G2205" s="55" t="s">
        <v>277</v>
      </c>
      <c r="H2205" s="55">
        <v>0</v>
      </c>
      <c r="I2205" s="55">
        <v>0.9</v>
      </c>
      <c r="J2205" s="55">
        <v>0.27</v>
      </c>
      <c r="K2205" s="55">
        <v>0</v>
      </c>
      <c r="L2205" s="55">
        <v>8.0092309999999998</v>
      </c>
      <c r="M2205" s="55">
        <v>10.00179</v>
      </c>
      <c r="N2205" s="55">
        <v>28.572880000000001</v>
      </c>
    </row>
    <row r="2206" spans="1:14" hidden="1" x14ac:dyDescent="0.35">
      <c r="A2206" s="52" t="s">
        <v>664</v>
      </c>
      <c r="B2206" s="52" t="s">
        <v>150</v>
      </c>
      <c r="C2206" s="52" t="s">
        <v>287</v>
      </c>
      <c r="D2206" s="52" t="s">
        <v>287</v>
      </c>
      <c r="E2206" s="52" t="s">
        <v>584</v>
      </c>
      <c r="F2206" s="52" t="s">
        <v>581</v>
      </c>
      <c r="G2206" s="55" t="s">
        <v>278</v>
      </c>
      <c r="H2206" s="55">
        <v>134.11420000000001</v>
      </c>
      <c r="I2206" s="55">
        <v>0.28553879999999998</v>
      </c>
      <c r="J2206" s="55">
        <v>0.20850650000000001</v>
      </c>
      <c r="K2206" s="55">
        <v>0.15123900000000001</v>
      </c>
      <c r="L2206" s="55">
        <v>86.721909999999994</v>
      </c>
      <c r="M2206" s="55">
        <v>16.87548</v>
      </c>
      <c r="N2206" s="55">
        <v>0.133239</v>
      </c>
    </row>
    <row r="2207" spans="1:14" hidden="1" x14ac:dyDescent="0.35">
      <c r="A2207" s="52" t="s">
        <v>664</v>
      </c>
      <c r="B2207" s="52" t="s">
        <v>150</v>
      </c>
      <c r="C2207" s="52" t="s">
        <v>287</v>
      </c>
      <c r="D2207" s="52" t="s">
        <v>287</v>
      </c>
      <c r="E2207" s="52" t="s">
        <v>584</v>
      </c>
      <c r="F2207" s="52" t="s">
        <v>581</v>
      </c>
      <c r="G2207" s="55" t="s">
        <v>279</v>
      </c>
      <c r="H2207" s="55"/>
      <c r="I2207" s="55"/>
      <c r="J2207" s="55"/>
      <c r="K2207" s="55"/>
      <c r="L2207" s="55">
        <v>0</v>
      </c>
      <c r="M2207" s="55">
        <v>1.2149749999999999</v>
      </c>
      <c r="N2207" s="55">
        <v>1.2149749999999999</v>
      </c>
    </row>
    <row r="2208" spans="1:14" hidden="1" x14ac:dyDescent="0.35">
      <c r="A2208" s="52" t="s">
        <v>664</v>
      </c>
      <c r="B2208" s="52" t="s">
        <v>150</v>
      </c>
      <c r="C2208" s="52" t="s">
        <v>318</v>
      </c>
      <c r="D2208" s="52" t="s">
        <v>318</v>
      </c>
      <c r="E2208" s="52" t="s">
        <v>584</v>
      </c>
      <c r="F2208" s="52" t="s">
        <v>581</v>
      </c>
      <c r="G2208" s="55" t="s">
        <v>275</v>
      </c>
      <c r="H2208" s="55">
        <v>0</v>
      </c>
      <c r="I2208" s="55"/>
      <c r="J2208" s="55"/>
      <c r="K2208" s="55"/>
      <c r="L2208" s="55"/>
      <c r="M2208" s="55"/>
      <c r="N2208" s="55"/>
    </row>
    <row r="2209" spans="1:14" hidden="1" x14ac:dyDescent="0.35">
      <c r="A2209" s="52" t="s">
        <v>664</v>
      </c>
      <c r="B2209" s="52" t="s">
        <v>150</v>
      </c>
      <c r="C2209" s="52" t="s">
        <v>318</v>
      </c>
      <c r="D2209" s="52" t="s">
        <v>318</v>
      </c>
      <c r="E2209" s="52" t="s">
        <v>584</v>
      </c>
      <c r="F2209" s="52" t="s">
        <v>581</v>
      </c>
      <c r="G2209" s="55" t="s">
        <v>276</v>
      </c>
      <c r="H2209" s="55">
        <v>0</v>
      </c>
      <c r="I2209" s="55"/>
      <c r="J2209" s="55"/>
      <c r="K2209" s="55"/>
      <c r="L2209" s="55"/>
      <c r="M2209" s="55"/>
      <c r="N2209" s="55"/>
    </row>
    <row r="2210" spans="1:14" hidden="1" x14ac:dyDescent="0.35">
      <c r="A2210" s="52" t="s">
        <v>664</v>
      </c>
      <c r="B2210" s="52" t="s">
        <v>150</v>
      </c>
      <c r="C2210" s="52" t="s">
        <v>318</v>
      </c>
      <c r="D2210" s="52" t="s">
        <v>318</v>
      </c>
      <c r="E2210" s="52" t="s">
        <v>584</v>
      </c>
      <c r="F2210" s="52" t="s">
        <v>581</v>
      </c>
      <c r="G2210" s="55" t="s">
        <v>278</v>
      </c>
      <c r="H2210" s="55">
        <v>0</v>
      </c>
      <c r="I2210" s="55"/>
      <c r="J2210" s="55"/>
      <c r="K2210" s="55"/>
      <c r="L2210" s="55"/>
      <c r="M2210" s="55"/>
      <c r="N2210" s="55"/>
    </row>
    <row r="2211" spans="1:14" hidden="1" x14ac:dyDescent="0.35">
      <c r="A2211" s="52" t="s">
        <v>664</v>
      </c>
      <c r="B2211" s="52" t="s">
        <v>150</v>
      </c>
      <c r="C2211" s="52" t="s">
        <v>318</v>
      </c>
      <c r="D2211" s="52" t="s">
        <v>318</v>
      </c>
      <c r="E2211" s="52" t="s">
        <v>584</v>
      </c>
      <c r="F2211" s="52" t="s">
        <v>26</v>
      </c>
      <c r="G2211" s="55" t="s">
        <v>275</v>
      </c>
      <c r="H2211" s="55">
        <v>0</v>
      </c>
      <c r="I2211" s="55"/>
      <c r="J2211" s="55"/>
      <c r="K2211" s="55"/>
      <c r="L2211" s="55"/>
      <c r="M2211" s="55"/>
      <c r="N2211" s="55"/>
    </row>
    <row r="2212" spans="1:14" hidden="1" x14ac:dyDescent="0.35">
      <c r="A2212" s="52" t="s">
        <v>664</v>
      </c>
      <c r="B2212" s="52" t="s">
        <v>150</v>
      </c>
      <c r="C2212" s="52" t="s">
        <v>318</v>
      </c>
      <c r="D2212" s="52" t="s">
        <v>318</v>
      </c>
      <c r="E2212" s="52" t="s">
        <v>584</v>
      </c>
      <c r="F2212" s="52" t="s">
        <v>26</v>
      </c>
      <c r="G2212" s="55" t="s">
        <v>276</v>
      </c>
      <c r="H2212" s="55">
        <v>0</v>
      </c>
      <c r="I2212" s="55"/>
      <c r="J2212" s="55"/>
      <c r="K2212" s="55"/>
      <c r="L2212" s="55"/>
      <c r="M2212" s="55"/>
      <c r="N2212" s="55"/>
    </row>
    <row r="2213" spans="1:14" hidden="1" x14ac:dyDescent="0.35">
      <c r="A2213" s="52" t="s">
        <v>664</v>
      </c>
      <c r="B2213" s="52" t="s">
        <v>150</v>
      </c>
      <c r="C2213" s="52" t="s">
        <v>318</v>
      </c>
      <c r="D2213" s="52" t="s">
        <v>318</v>
      </c>
      <c r="E2213" s="52" t="s">
        <v>584</v>
      </c>
      <c r="F2213" s="52" t="s">
        <v>26</v>
      </c>
      <c r="G2213" s="55" t="s">
        <v>278</v>
      </c>
      <c r="H2213" s="55">
        <v>0</v>
      </c>
      <c r="I2213" s="55"/>
      <c r="J2213" s="55"/>
      <c r="K2213" s="55"/>
      <c r="L2213" s="55"/>
      <c r="M2213" s="55"/>
      <c r="N2213" s="55"/>
    </row>
    <row r="2214" spans="1:14" hidden="1" x14ac:dyDescent="0.35">
      <c r="A2214" s="52" t="s">
        <v>664</v>
      </c>
      <c r="B2214" s="52" t="s">
        <v>34</v>
      </c>
      <c r="C2214" s="52" t="s">
        <v>304</v>
      </c>
      <c r="D2214" s="52" t="s">
        <v>304</v>
      </c>
      <c r="E2214" s="52" t="s">
        <v>584</v>
      </c>
      <c r="F2214" s="52" t="s">
        <v>581</v>
      </c>
      <c r="G2214" s="55" t="s">
        <v>275</v>
      </c>
      <c r="H2214" s="55">
        <v>-0.7180029</v>
      </c>
      <c r="I2214" s="55">
        <v>-0.71800299999999995</v>
      </c>
      <c r="J2214" s="55">
        <v>0</v>
      </c>
      <c r="K2214" s="55">
        <v>0</v>
      </c>
      <c r="L2214" s="55">
        <v>0</v>
      </c>
      <c r="M2214" s="55">
        <v>0</v>
      </c>
      <c r="N2214" s="55">
        <v>0</v>
      </c>
    </row>
    <row r="2215" spans="1:14" hidden="1" x14ac:dyDescent="0.35">
      <c r="A2215" s="52" t="s">
        <v>664</v>
      </c>
      <c r="B2215" s="52" t="s">
        <v>34</v>
      </c>
      <c r="C2215" s="52" t="s">
        <v>304</v>
      </c>
      <c r="D2215" s="52" t="s">
        <v>304</v>
      </c>
      <c r="E2215" s="52" t="s">
        <v>584</v>
      </c>
      <c r="F2215" s="52" t="s">
        <v>581</v>
      </c>
      <c r="G2215" s="55" t="s">
        <v>276</v>
      </c>
      <c r="H2215" s="55"/>
      <c r="I2215" s="55"/>
      <c r="J2215" s="55">
        <v>-175.55860000000001</v>
      </c>
      <c r="K2215" s="55">
        <v>-83.046589999999995</v>
      </c>
      <c r="L2215" s="55">
        <v>-0.71800299999999995</v>
      </c>
      <c r="M2215" s="55">
        <v>-0.71800299999999995</v>
      </c>
      <c r="N2215" s="55">
        <v>-0.7180029</v>
      </c>
    </row>
    <row r="2216" spans="1:14" hidden="1" x14ac:dyDescent="0.35">
      <c r="A2216" s="52" t="s">
        <v>664</v>
      </c>
      <c r="B2216" s="52" t="s">
        <v>34</v>
      </c>
      <c r="C2216" s="52" t="s">
        <v>304</v>
      </c>
      <c r="D2216" s="52" t="s">
        <v>304</v>
      </c>
      <c r="E2216" s="52" t="s">
        <v>584</v>
      </c>
      <c r="F2216" s="52" t="s">
        <v>581</v>
      </c>
      <c r="G2216" s="55" t="s">
        <v>277</v>
      </c>
      <c r="H2216" s="55"/>
      <c r="I2216" s="55"/>
      <c r="J2216" s="55"/>
      <c r="K2216" s="55"/>
      <c r="L2216" s="55"/>
      <c r="M2216" s="55"/>
      <c r="N2216" s="55">
        <v>0</v>
      </c>
    </row>
    <row r="2217" spans="1:14" hidden="1" x14ac:dyDescent="0.35">
      <c r="A2217" s="52" t="s">
        <v>664</v>
      </c>
      <c r="B2217" s="52" t="s">
        <v>34</v>
      </c>
      <c r="C2217" s="52" t="s">
        <v>304</v>
      </c>
      <c r="D2217" s="52" t="s">
        <v>304</v>
      </c>
      <c r="E2217" s="52" t="s">
        <v>584</v>
      </c>
      <c r="F2217" s="52" t="s">
        <v>581</v>
      </c>
      <c r="G2217" s="55" t="s">
        <v>278</v>
      </c>
      <c r="H2217" s="55">
        <v>0.7180029</v>
      </c>
      <c r="I2217" s="55">
        <v>0.71800299999999995</v>
      </c>
      <c r="J2217" s="55">
        <v>175.55860000000001</v>
      </c>
      <c r="K2217" s="55">
        <v>83.046599999999998</v>
      </c>
      <c r="L2217" s="55">
        <v>0.71800299999999995</v>
      </c>
      <c r="M2217" s="55">
        <v>0.71800299999999995</v>
      </c>
      <c r="N2217" s="55">
        <v>0.7180029</v>
      </c>
    </row>
    <row r="2218" spans="1:14" hidden="1" x14ac:dyDescent="0.35">
      <c r="A2218" s="52" t="s">
        <v>664</v>
      </c>
      <c r="B2218" s="52" t="s">
        <v>74</v>
      </c>
      <c r="C2218" s="52" t="s">
        <v>71</v>
      </c>
      <c r="D2218" s="52" t="s">
        <v>138</v>
      </c>
      <c r="E2218" s="52" t="s">
        <v>584</v>
      </c>
      <c r="F2218" s="52" t="s">
        <v>581</v>
      </c>
      <c r="G2218" s="55" t="s">
        <v>275</v>
      </c>
      <c r="H2218" s="55">
        <v>-7.6609750000000004E-3</v>
      </c>
      <c r="I2218" s="55">
        <v>-1.0461430000000001E-2</v>
      </c>
      <c r="J2218" s="55">
        <v>0</v>
      </c>
      <c r="K2218" s="55">
        <v>0</v>
      </c>
      <c r="L2218" s="55">
        <v>0</v>
      </c>
      <c r="M2218" s="55">
        <v>0</v>
      </c>
      <c r="N2218" s="55">
        <v>0</v>
      </c>
    </row>
    <row r="2219" spans="1:14" hidden="1" x14ac:dyDescent="0.35">
      <c r="A2219" s="52" t="s">
        <v>664</v>
      </c>
      <c r="B2219" s="52" t="s">
        <v>74</v>
      </c>
      <c r="C2219" s="52" t="s">
        <v>71</v>
      </c>
      <c r="D2219" s="52" t="s">
        <v>138</v>
      </c>
      <c r="E2219" s="52" t="s">
        <v>584</v>
      </c>
      <c r="F2219" s="52" t="s">
        <v>581</v>
      </c>
      <c r="G2219" s="55" t="s">
        <v>276</v>
      </c>
      <c r="H2219" s="55">
        <v>-5.1078879999999997E-3</v>
      </c>
      <c r="I2219" s="55">
        <v>-6.9734769999999996E-3</v>
      </c>
      <c r="J2219" s="55">
        <v>-1.7435570000000001E-2</v>
      </c>
      <c r="K2219" s="55">
        <v>-1.743457E-2</v>
      </c>
      <c r="L2219" s="55">
        <v>-1.743453E-2</v>
      </c>
      <c r="M2219" s="55">
        <v>-3.3434850000000002E-2</v>
      </c>
      <c r="N2219" s="55">
        <v>-0.1934352</v>
      </c>
    </row>
    <row r="2220" spans="1:14" hidden="1" x14ac:dyDescent="0.35">
      <c r="A2220" s="52" t="s">
        <v>664</v>
      </c>
      <c r="B2220" s="52" t="s">
        <v>74</v>
      </c>
      <c r="C2220" s="52" t="s">
        <v>71</v>
      </c>
      <c r="D2220" s="52" t="s">
        <v>138</v>
      </c>
      <c r="E2220" s="52" t="s">
        <v>584</v>
      </c>
      <c r="F2220" s="52" t="s">
        <v>581</v>
      </c>
      <c r="G2220" s="55" t="s">
        <v>277</v>
      </c>
      <c r="H2220" s="55"/>
      <c r="I2220" s="55"/>
      <c r="J2220" s="55"/>
      <c r="K2220" s="55"/>
      <c r="L2220" s="55">
        <v>0</v>
      </c>
      <c r="M2220" s="55">
        <v>1.6E-2</v>
      </c>
      <c r="N2220" s="55">
        <v>0.17599999999999999</v>
      </c>
    </row>
    <row r="2221" spans="1:14" hidden="1" x14ac:dyDescent="0.35">
      <c r="A2221" s="52" t="s">
        <v>664</v>
      </c>
      <c r="B2221" s="52" t="s">
        <v>74</v>
      </c>
      <c r="C2221" s="52" t="s">
        <v>71</v>
      </c>
      <c r="D2221" s="52" t="s">
        <v>138</v>
      </c>
      <c r="E2221" s="52" t="s">
        <v>584</v>
      </c>
      <c r="F2221" s="52" t="s">
        <v>581</v>
      </c>
      <c r="G2221" s="55" t="s">
        <v>278</v>
      </c>
      <c r="H2221" s="55">
        <v>1.27685E-2</v>
      </c>
      <c r="I2221" s="55">
        <v>1.7435059999999999E-2</v>
      </c>
      <c r="J2221" s="55">
        <v>1.7435059999999999E-2</v>
      </c>
      <c r="K2221" s="55">
        <v>1.7435059999999999E-2</v>
      </c>
      <c r="L2221" s="55">
        <v>1.7435059999999999E-2</v>
      </c>
      <c r="M2221" s="55">
        <v>1.7435059999999999E-2</v>
      </c>
      <c r="N2221" s="55">
        <v>1.7435059999999999E-2</v>
      </c>
    </row>
    <row r="2222" spans="1:14" hidden="1" x14ac:dyDescent="0.35">
      <c r="A2222" s="52" t="s">
        <v>664</v>
      </c>
      <c r="B2222" s="52" t="s">
        <v>74</v>
      </c>
      <c r="C2222" s="52" t="s">
        <v>318</v>
      </c>
      <c r="D2222" s="52" t="s">
        <v>318</v>
      </c>
      <c r="E2222" s="52" t="s">
        <v>584</v>
      </c>
      <c r="F2222" s="52" t="s">
        <v>581</v>
      </c>
      <c r="G2222" s="55" t="s">
        <v>275</v>
      </c>
      <c r="H2222" s="55">
        <v>0</v>
      </c>
      <c r="I2222" s="55"/>
      <c r="J2222" s="55"/>
      <c r="K2222" s="55"/>
      <c r="L2222" s="55"/>
      <c r="M2222" s="55"/>
      <c r="N2222" s="55"/>
    </row>
    <row r="2223" spans="1:14" hidden="1" x14ac:dyDescent="0.35">
      <c r="A2223" s="52" t="s">
        <v>664</v>
      </c>
      <c r="B2223" s="52" t="s">
        <v>74</v>
      </c>
      <c r="C2223" s="52" t="s">
        <v>318</v>
      </c>
      <c r="D2223" s="52" t="s">
        <v>318</v>
      </c>
      <c r="E2223" s="52" t="s">
        <v>584</v>
      </c>
      <c r="F2223" s="52" t="s">
        <v>581</v>
      </c>
      <c r="G2223" s="55" t="s">
        <v>276</v>
      </c>
      <c r="H2223" s="55">
        <v>0</v>
      </c>
      <c r="I2223" s="55"/>
      <c r="J2223" s="55"/>
      <c r="K2223" s="55"/>
      <c r="L2223" s="55"/>
      <c r="M2223" s="55"/>
      <c r="N2223" s="55"/>
    </row>
    <row r="2224" spans="1:14" hidden="1" x14ac:dyDescent="0.35">
      <c r="A2224" s="52" t="s">
        <v>664</v>
      </c>
      <c r="B2224" s="52" t="s">
        <v>74</v>
      </c>
      <c r="C2224" s="52" t="s">
        <v>318</v>
      </c>
      <c r="D2224" s="52" t="s">
        <v>318</v>
      </c>
      <c r="E2224" s="52" t="s">
        <v>584</v>
      </c>
      <c r="F2224" s="52" t="s">
        <v>581</v>
      </c>
      <c r="G2224" s="55" t="s">
        <v>278</v>
      </c>
      <c r="H2224" s="55">
        <v>0</v>
      </c>
      <c r="I2224" s="55"/>
      <c r="J2224" s="55"/>
      <c r="K2224" s="55"/>
      <c r="L2224" s="55"/>
      <c r="M2224" s="55"/>
      <c r="N2224" s="55"/>
    </row>
    <row r="2225" spans="1:14" hidden="1" x14ac:dyDescent="0.35">
      <c r="A2225" s="52" t="s">
        <v>664</v>
      </c>
      <c r="B2225" s="52" t="s">
        <v>74</v>
      </c>
      <c r="C2225" s="52" t="s">
        <v>318</v>
      </c>
      <c r="D2225" s="52" t="s">
        <v>318</v>
      </c>
      <c r="E2225" s="52" t="s">
        <v>584</v>
      </c>
      <c r="F2225" s="52" t="s">
        <v>26</v>
      </c>
      <c r="G2225" s="55" t="s">
        <v>275</v>
      </c>
      <c r="H2225" s="55">
        <v>0</v>
      </c>
      <c r="I2225" s="55"/>
      <c r="J2225" s="55"/>
      <c r="K2225" s="55"/>
      <c r="L2225" s="55"/>
      <c r="M2225" s="55"/>
      <c r="N2225" s="55"/>
    </row>
    <row r="2226" spans="1:14" hidden="1" x14ac:dyDescent="0.35">
      <c r="A2226" s="52" t="s">
        <v>664</v>
      </c>
      <c r="B2226" s="52" t="s">
        <v>74</v>
      </c>
      <c r="C2226" s="52" t="s">
        <v>318</v>
      </c>
      <c r="D2226" s="52" t="s">
        <v>318</v>
      </c>
      <c r="E2226" s="52" t="s">
        <v>584</v>
      </c>
      <c r="F2226" s="52" t="s">
        <v>26</v>
      </c>
      <c r="G2226" s="55" t="s">
        <v>276</v>
      </c>
      <c r="H2226" s="55">
        <v>0</v>
      </c>
      <c r="I2226" s="55"/>
      <c r="J2226" s="55"/>
      <c r="K2226" s="55"/>
      <c r="L2226" s="55"/>
      <c r="M2226" s="55"/>
      <c r="N2226" s="55"/>
    </row>
    <row r="2227" spans="1:14" hidden="1" x14ac:dyDescent="0.35">
      <c r="A2227" s="52" t="s">
        <v>664</v>
      </c>
      <c r="B2227" s="52" t="s">
        <v>74</v>
      </c>
      <c r="C2227" s="52" t="s">
        <v>318</v>
      </c>
      <c r="D2227" s="52" t="s">
        <v>318</v>
      </c>
      <c r="E2227" s="52" t="s">
        <v>584</v>
      </c>
      <c r="F2227" s="52" t="s">
        <v>26</v>
      </c>
      <c r="G2227" s="55" t="s">
        <v>278</v>
      </c>
      <c r="H2227" s="55">
        <v>0</v>
      </c>
      <c r="I2227" s="55"/>
      <c r="J2227" s="55"/>
      <c r="K2227" s="55"/>
      <c r="L2227" s="55"/>
      <c r="M2227" s="55"/>
      <c r="N2227" s="55"/>
    </row>
    <row r="2228" spans="1:14" hidden="1" x14ac:dyDescent="0.35">
      <c r="A2228" s="52" t="s">
        <v>664</v>
      </c>
      <c r="B2228" s="52" t="s">
        <v>160</v>
      </c>
      <c r="C2228" s="52" t="s">
        <v>318</v>
      </c>
      <c r="D2228" s="52" t="s">
        <v>318</v>
      </c>
      <c r="E2228" s="52" t="s">
        <v>584</v>
      </c>
      <c r="F2228" s="52" t="s">
        <v>581</v>
      </c>
      <c r="G2228" s="55" t="s">
        <v>275</v>
      </c>
      <c r="H2228" s="55">
        <v>0</v>
      </c>
      <c r="I2228" s="55"/>
      <c r="J2228" s="55"/>
      <c r="K2228" s="55"/>
      <c r="L2228" s="55"/>
      <c r="M2228" s="55"/>
      <c r="N2228" s="55"/>
    </row>
    <row r="2229" spans="1:14" hidden="1" x14ac:dyDescent="0.35">
      <c r="A2229" s="52" t="s">
        <v>664</v>
      </c>
      <c r="B2229" s="52" t="s">
        <v>351</v>
      </c>
      <c r="C2229" s="52" t="s">
        <v>351</v>
      </c>
      <c r="D2229" s="52" t="s">
        <v>351</v>
      </c>
      <c r="E2229" s="52" t="s">
        <v>584</v>
      </c>
      <c r="F2229" s="52" t="s">
        <v>581</v>
      </c>
      <c r="G2229" s="55" t="s">
        <v>275</v>
      </c>
      <c r="H2229" s="55"/>
      <c r="I2229" s="55">
        <v>-21.21584</v>
      </c>
      <c r="J2229" s="55">
        <v>0</v>
      </c>
      <c r="K2229" s="55">
        <v>0</v>
      </c>
      <c r="L2229" s="55">
        <v>0</v>
      </c>
      <c r="M2229" s="55">
        <v>0</v>
      </c>
      <c r="N2229" s="55">
        <v>0</v>
      </c>
    </row>
    <row r="2230" spans="1:14" hidden="1" x14ac:dyDescent="0.35">
      <c r="A2230" s="52" t="s">
        <v>664</v>
      </c>
      <c r="B2230" s="52" t="s">
        <v>351</v>
      </c>
      <c r="C2230" s="52" t="s">
        <v>351</v>
      </c>
      <c r="D2230" s="52" t="s">
        <v>351</v>
      </c>
      <c r="E2230" s="52" t="s">
        <v>584</v>
      </c>
      <c r="F2230" s="52" t="s">
        <v>581</v>
      </c>
      <c r="G2230" s="55" t="s">
        <v>276</v>
      </c>
      <c r="H2230" s="55"/>
      <c r="I2230" s="55"/>
      <c r="J2230" s="55">
        <v>-0.40913500000000003</v>
      </c>
      <c r="K2230" s="55">
        <v>-0.40913500000000003</v>
      </c>
      <c r="L2230" s="55">
        <v>-7.4055140000000002</v>
      </c>
      <c r="M2230" s="55">
        <v>-0.40913500000000003</v>
      </c>
      <c r="N2230" s="55">
        <v>-0.40913500000000003</v>
      </c>
    </row>
    <row r="2231" spans="1:14" hidden="1" x14ac:dyDescent="0.35">
      <c r="A2231" s="52" t="s">
        <v>664</v>
      </c>
      <c r="B2231" s="52" t="s">
        <v>160</v>
      </c>
      <c r="C2231" s="52" t="s">
        <v>318</v>
      </c>
      <c r="D2231" s="52" t="s">
        <v>318</v>
      </c>
      <c r="E2231" s="52" t="s">
        <v>584</v>
      </c>
      <c r="F2231" s="52" t="s">
        <v>581</v>
      </c>
      <c r="G2231" s="55" t="s">
        <v>276</v>
      </c>
      <c r="H2231" s="55">
        <v>0</v>
      </c>
      <c r="I2231" s="55"/>
      <c r="J2231" s="55"/>
      <c r="K2231" s="55"/>
      <c r="L2231" s="55"/>
      <c r="M2231" s="55"/>
      <c r="N2231" s="55"/>
    </row>
    <row r="2232" spans="1:14" hidden="1" x14ac:dyDescent="0.35">
      <c r="A2232" s="52" t="s">
        <v>664</v>
      </c>
      <c r="B2232" s="52" t="s">
        <v>160</v>
      </c>
      <c r="C2232" s="52" t="s">
        <v>318</v>
      </c>
      <c r="D2232" s="52" t="s">
        <v>318</v>
      </c>
      <c r="E2232" s="52" t="s">
        <v>584</v>
      </c>
      <c r="F2232" s="52" t="s">
        <v>581</v>
      </c>
      <c r="G2232" s="55" t="s">
        <v>278</v>
      </c>
      <c r="H2232" s="55">
        <v>0</v>
      </c>
      <c r="I2232" s="55"/>
      <c r="J2232" s="55"/>
      <c r="K2232" s="55"/>
      <c r="L2232" s="55"/>
      <c r="M2232" s="55"/>
      <c r="N2232" s="55"/>
    </row>
    <row r="2233" spans="1:14" hidden="1" x14ac:dyDescent="0.35">
      <c r="A2233" s="52" t="s">
        <v>664</v>
      </c>
      <c r="B2233" s="52" t="s">
        <v>351</v>
      </c>
      <c r="C2233" s="52" t="s">
        <v>351</v>
      </c>
      <c r="D2233" s="52" t="s">
        <v>351</v>
      </c>
      <c r="E2233" s="52" t="s">
        <v>584</v>
      </c>
      <c r="F2233" s="52" t="s">
        <v>581</v>
      </c>
      <c r="G2233" s="55" t="s">
        <v>278</v>
      </c>
      <c r="H2233" s="55"/>
      <c r="I2233" s="55">
        <v>21.21584</v>
      </c>
      <c r="J2233" s="55">
        <v>0.40913500000000003</v>
      </c>
      <c r="K2233" s="55">
        <v>0.40913500000000003</v>
      </c>
      <c r="L2233" s="55">
        <v>7.4055140000000002</v>
      </c>
      <c r="M2233" s="55">
        <v>0.40913500000000003</v>
      </c>
      <c r="N2233" s="55">
        <v>0.40913500000000003</v>
      </c>
    </row>
    <row r="2234" spans="1:14" hidden="1" x14ac:dyDescent="0.35">
      <c r="A2234" s="52" t="s">
        <v>664</v>
      </c>
      <c r="B2234" s="52" t="s">
        <v>160</v>
      </c>
      <c r="C2234" s="52" t="s">
        <v>318</v>
      </c>
      <c r="D2234" s="52" t="s">
        <v>318</v>
      </c>
      <c r="E2234" s="52" t="s">
        <v>584</v>
      </c>
      <c r="F2234" s="52" t="s">
        <v>26</v>
      </c>
      <c r="G2234" s="55" t="s">
        <v>275</v>
      </c>
      <c r="H2234" s="55">
        <v>0</v>
      </c>
      <c r="I2234" s="55"/>
      <c r="J2234" s="55"/>
      <c r="K2234" s="55"/>
      <c r="L2234" s="55"/>
      <c r="M2234" s="55"/>
      <c r="N2234" s="55"/>
    </row>
    <row r="2235" spans="1:14" hidden="1" x14ac:dyDescent="0.35">
      <c r="A2235" s="52" t="s">
        <v>664</v>
      </c>
      <c r="B2235" s="52" t="s">
        <v>160</v>
      </c>
      <c r="C2235" s="52" t="s">
        <v>318</v>
      </c>
      <c r="D2235" s="52" t="s">
        <v>318</v>
      </c>
      <c r="E2235" s="52" t="s">
        <v>584</v>
      </c>
      <c r="F2235" s="52" t="s">
        <v>26</v>
      </c>
      <c r="G2235" s="55" t="s">
        <v>276</v>
      </c>
      <c r="H2235" s="55">
        <v>0</v>
      </c>
      <c r="I2235" s="55"/>
      <c r="J2235" s="55"/>
      <c r="K2235" s="55"/>
      <c r="L2235" s="55"/>
      <c r="M2235" s="55"/>
      <c r="N2235" s="55"/>
    </row>
    <row r="2236" spans="1:14" hidden="1" x14ac:dyDescent="0.35">
      <c r="A2236" s="52" t="s">
        <v>664</v>
      </c>
      <c r="B2236" s="52" t="s">
        <v>160</v>
      </c>
      <c r="C2236" s="52" t="s">
        <v>318</v>
      </c>
      <c r="D2236" s="52" t="s">
        <v>318</v>
      </c>
      <c r="E2236" s="52" t="s">
        <v>584</v>
      </c>
      <c r="F2236" s="52" t="s">
        <v>26</v>
      </c>
      <c r="G2236" s="55" t="s">
        <v>278</v>
      </c>
      <c r="H2236" s="55">
        <v>0</v>
      </c>
      <c r="I2236" s="55"/>
      <c r="J2236" s="55"/>
      <c r="K2236" s="55"/>
      <c r="L2236" s="55"/>
      <c r="M2236" s="55"/>
      <c r="N2236" s="55"/>
    </row>
    <row r="2237" spans="1:14" hidden="1" x14ac:dyDescent="0.35">
      <c r="A2237" s="52" t="s">
        <v>226</v>
      </c>
      <c r="B2237" s="52" t="s">
        <v>37</v>
      </c>
      <c r="C2237" s="52" t="s">
        <v>79</v>
      </c>
      <c r="D2237" s="52" t="s">
        <v>79</v>
      </c>
      <c r="E2237" s="52" t="s">
        <v>614</v>
      </c>
      <c r="F2237" s="52" t="s">
        <v>581</v>
      </c>
      <c r="G2237" s="55" t="s">
        <v>275</v>
      </c>
      <c r="H2237" s="55">
        <v>138.4169</v>
      </c>
      <c r="I2237" s="55">
        <v>-92.444069999999996</v>
      </c>
      <c r="J2237" s="55">
        <v>216.41290000000001</v>
      </c>
      <c r="K2237" s="55">
        <v>177.96010000000001</v>
      </c>
      <c r="L2237" s="55">
        <v>151.40090000000001</v>
      </c>
      <c r="M2237" s="55">
        <v>106.1153</v>
      </c>
      <c r="N2237" s="55">
        <v>71.634219999999999</v>
      </c>
    </row>
    <row r="2238" spans="1:14" hidden="1" x14ac:dyDescent="0.35">
      <c r="A2238" s="52" t="s">
        <v>226</v>
      </c>
      <c r="B2238" s="52" t="s">
        <v>37</v>
      </c>
      <c r="C2238" s="52" t="s">
        <v>79</v>
      </c>
      <c r="D2238" s="52" t="s">
        <v>79</v>
      </c>
      <c r="E2238" s="52" t="s">
        <v>614</v>
      </c>
      <c r="F2238" s="52" t="s">
        <v>581</v>
      </c>
      <c r="G2238" s="55" t="s">
        <v>276</v>
      </c>
      <c r="H2238" s="55">
        <v>53.34543</v>
      </c>
      <c r="I2238" s="55">
        <v>-0.6593289</v>
      </c>
      <c r="J2238" s="55">
        <v>3.3909859999999998</v>
      </c>
      <c r="K2238" s="55">
        <v>-5.2844930000000003</v>
      </c>
      <c r="L2238" s="55">
        <v>-14.542109999999999</v>
      </c>
      <c r="M2238" s="55">
        <v>-0.15899179999999999</v>
      </c>
      <c r="N2238" s="55">
        <v>24.105160000000001</v>
      </c>
    </row>
    <row r="2239" spans="1:14" hidden="1" x14ac:dyDescent="0.35">
      <c r="A2239" s="52" t="s">
        <v>226</v>
      </c>
      <c r="B2239" s="52" t="s">
        <v>37</v>
      </c>
      <c r="C2239" s="52" t="s">
        <v>79</v>
      </c>
      <c r="D2239" s="52" t="s">
        <v>79</v>
      </c>
      <c r="E2239" s="52" t="s">
        <v>614</v>
      </c>
      <c r="F2239" s="52" t="s">
        <v>581</v>
      </c>
      <c r="G2239" s="55" t="s">
        <v>277</v>
      </c>
      <c r="H2239" s="55">
        <v>419.28300000000002</v>
      </c>
      <c r="I2239" s="55">
        <v>260.04500000000002</v>
      </c>
      <c r="J2239" s="55">
        <v>80.86703</v>
      </c>
      <c r="K2239" s="55">
        <v>66.545460000000006</v>
      </c>
      <c r="L2239" s="55">
        <v>90.634020000000007</v>
      </c>
      <c r="M2239" s="55">
        <v>123.2724</v>
      </c>
      <c r="N2239" s="55">
        <v>109.3349</v>
      </c>
    </row>
    <row r="2240" spans="1:14" hidden="1" x14ac:dyDescent="0.35">
      <c r="A2240" s="52" t="s">
        <v>226</v>
      </c>
      <c r="B2240" s="52" t="s">
        <v>37</v>
      </c>
      <c r="C2240" s="52" t="s">
        <v>79</v>
      </c>
      <c r="D2240" s="52" t="s">
        <v>79</v>
      </c>
      <c r="E2240" s="52" t="s">
        <v>614</v>
      </c>
      <c r="F2240" s="52" t="s">
        <v>581</v>
      </c>
      <c r="G2240" s="55" t="s">
        <v>278</v>
      </c>
      <c r="H2240" s="55">
        <v>92.916989999999998</v>
      </c>
      <c r="I2240" s="55">
        <v>159.95500000000001</v>
      </c>
      <c r="J2240" s="55">
        <v>9.5439349999999994</v>
      </c>
      <c r="K2240" s="55">
        <v>4.8867570000000002</v>
      </c>
      <c r="L2240" s="55">
        <v>2.1680950000000001</v>
      </c>
      <c r="M2240" s="55">
        <v>0</v>
      </c>
      <c r="N2240" s="55"/>
    </row>
    <row r="2241" spans="1:14" hidden="1" x14ac:dyDescent="0.35">
      <c r="A2241" s="52" t="s">
        <v>226</v>
      </c>
      <c r="B2241" s="52" t="s">
        <v>37</v>
      </c>
      <c r="C2241" s="52" t="s">
        <v>79</v>
      </c>
      <c r="D2241" s="52" t="s">
        <v>79</v>
      </c>
      <c r="E2241" s="52" t="s">
        <v>614</v>
      </c>
      <c r="F2241" s="52" t="s">
        <v>581</v>
      </c>
      <c r="G2241" s="55" t="s">
        <v>279</v>
      </c>
      <c r="H2241" s="55">
        <v>202.17089999999999</v>
      </c>
      <c r="I2241" s="55">
        <v>168.26750000000001</v>
      </c>
      <c r="J2241" s="55">
        <v>151.15729999999999</v>
      </c>
      <c r="K2241" s="55">
        <v>123.0937</v>
      </c>
      <c r="L2241" s="55">
        <v>107.8086</v>
      </c>
      <c r="M2241" s="55">
        <v>128.518</v>
      </c>
      <c r="N2241" s="55">
        <v>114.5432</v>
      </c>
    </row>
    <row r="2242" spans="1:14" hidden="1" x14ac:dyDescent="0.35">
      <c r="A2242" s="52" t="s">
        <v>226</v>
      </c>
      <c r="B2242" s="52" t="s">
        <v>37</v>
      </c>
      <c r="C2242" s="52" t="s">
        <v>79</v>
      </c>
      <c r="D2242" s="52" t="s">
        <v>79</v>
      </c>
      <c r="E2242" s="52" t="s">
        <v>614</v>
      </c>
      <c r="F2242" s="52" t="s">
        <v>26</v>
      </c>
      <c r="G2242" s="55" t="s">
        <v>275</v>
      </c>
      <c r="H2242" s="55">
        <v>5.8659280000000003</v>
      </c>
      <c r="I2242" s="55">
        <v>5.3298709999999998</v>
      </c>
      <c r="J2242" s="55">
        <v>7.1735939999999996</v>
      </c>
      <c r="K2242" s="55">
        <v>4.7879519999999998</v>
      </c>
      <c r="L2242" s="55">
        <v>4.8370920000000002</v>
      </c>
      <c r="M2242" s="55">
        <v>2.9911500000000002</v>
      </c>
      <c r="N2242" s="55">
        <v>2.6668449999999999</v>
      </c>
    </row>
    <row r="2243" spans="1:14" hidden="1" x14ac:dyDescent="0.35">
      <c r="A2243" s="52" t="s">
        <v>226</v>
      </c>
      <c r="B2243" s="52" t="s">
        <v>37</v>
      </c>
      <c r="C2243" s="52" t="s">
        <v>79</v>
      </c>
      <c r="D2243" s="52" t="s">
        <v>79</v>
      </c>
      <c r="E2243" s="52" t="s">
        <v>614</v>
      </c>
      <c r="F2243" s="52" t="s">
        <v>26</v>
      </c>
      <c r="G2243" s="55" t="s">
        <v>276</v>
      </c>
      <c r="H2243" s="55">
        <v>1.700458</v>
      </c>
      <c r="I2243" s="55">
        <v>1.545086</v>
      </c>
      <c r="J2243" s="55">
        <v>2.0795460000000001</v>
      </c>
      <c r="K2243" s="55">
        <v>1.3879760000000001</v>
      </c>
      <c r="L2243" s="55">
        <v>1.4022209999999999</v>
      </c>
      <c r="M2243" s="55">
        <v>0.86709440000000004</v>
      </c>
      <c r="N2243" s="55">
        <v>0.77309300000000003</v>
      </c>
    </row>
    <row r="2244" spans="1:14" hidden="1" x14ac:dyDescent="0.35">
      <c r="A2244" s="52" t="s">
        <v>226</v>
      </c>
      <c r="B2244" s="52" t="s">
        <v>37</v>
      </c>
      <c r="C2244" s="52" t="s">
        <v>79</v>
      </c>
      <c r="D2244" s="52" t="s">
        <v>79</v>
      </c>
      <c r="E2244" s="52" t="s">
        <v>614</v>
      </c>
      <c r="F2244" s="52" t="s">
        <v>26</v>
      </c>
      <c r="G2244" s="55" t="s">
        <v>279</v>
      </c>
      <c r="H2244" s="55">
        <v>33.646160000000002</v>
      </c>
      <c r="I2244" s="55">
        <v>37.660260000000001</v>
      </c>
      <c r="J2244" s="55">
        <v>34.161560000000001</v>
      </c>
      <c r="K2244" s="55">
        <v>28.18327</v>
      </c>
      <c r="L2244" s="55">
        <v>25.262119999999999</v>
      </c>
      <c r="M2244" s="55">
        <v>29.461760000000002</v>
      </c>
      <c r="N2244" s="55">
        <v>26.236930000000001</v>
      </c>
    </row>
    <row r="2245" spans="1:14" hidden="1" x14ac:dyDescent="0.35">
      <c r="A2245" s="52" t="s">
        <v>226</v>
      </c>
      <c r="B2245" s="52" t="s">
        <v>37</v>
      </c>
      <c r="C2245" s="52" t="s">
        <v>79</v>
      </c>
      <c r="D2245" s="52" t="s">
        <v>79</v>
      </c>
      <c r="E2245" s="52" t="s">
        <v>600</v>
      </c>
      <c r="F2245" s="52" t="s">
        <v>581</v>
      </c>
      <c r="G2245" s="55" t="s">
        <v>275</v>
      </c>
      <c r="H2245" s="55">
        <v>206.048</v>
      </c>
      <c r="I2245" s="55">
        <v>8.3990150000000003</v>
      </c>
      <c r="J2245" s="55">
        <v>116.4943</v>
      </c>
      <c r="K2245" s="55">
        <v>93.059229999999999</v>
      </c>
      <c r="L2245" s="55">
        <v>57.255130000000001</v>
      </c>
      <c r="M2245" s="55">
        <v>45.690559999999998</v>
      </c>
      <c r="N2245" s="55">
        <v>42.808639999999997</v>
      </c>
    </row>
    <row r="2246" spans="1:14" hidden="1" x14ac:dyDescent="0.35">
      <c r="A2246" s="52" t="s">
        <v>226</v>
      </c>
      <c r="B2246" s="52" t="s">
        <v>37</v>
      </c>
      <c r="C2246" s="52" t="s">
        <v>79</v>
      </c>
      <c r="D2246" s="52" t="s">
        <v>79</v>
      </c>
      <c r="E2246" s="52" t="s">
        <v>600</v>
      </c>
      <c r="F2246" s="52" t="s">
        <v>581</v>
      </c>
      <c r="G2246" s="55" t="s">
        <v>276</v>
      </c>
      <c r="H2246" s="55">
        <v>10.77835</v>
      </c>
      <c r="I2246" s="55">
        <v>-20.517810000000001</v>
      </c>
      <c r="J2246" s="55">
        <v>-23.162230000000001</v>
      </c>
      <c r="K2246" s="55">
        <v>-18.635249999999999</v>
      </c>
      <c r="L2246" s="55">
        <v>0.97913309999999998</v>
      </c>
      <c r="M2246" s="55">
        <v>2.0466950000000002</v>
      </c>
      <c r="N2246" s="55">
        <v>10.614839999999999</v>
      </c>
    </row>
    <row r="2247" spans="1:14" hidden="1" x14ac:dyDescent="0.35">
      <c r="A2247" s="52" t="s">
        <v>226</v>
      </c>
      <c r="B2247" s="52" t="s">
        <v>37</v>
      </c>
      <c r="C2247" s="52" t="s">
        <v>79</v>
      </c>
      <c r="D2247" s="52" t="s">
        <v>79</v>
      </c>
      <c r="E2247" s="52" t="s">
        <v>600</v>
      </c>
      <c r="F2247" s="52" t="s">
        <v>581</v>
      </c>
      <c r="G2247" s="55" t="s">
        <v>277</v>
      </c>
      <c r="H2247" s="55">
        <v>145.13390000000001</v>
      </c>
      <c r="I2247" s="55">
        <v>110.87560000000001</v>
      </c>
      <c r="J2247" s="55">
        <v>32.73968</v>
      </c>
      <c r="K2247" s="55">
        <v>31.439129999999999</v>
      </c>
      <c r="L2247" s="55">
        <v>40.964280000000002</v>
      </c>
      <c r="M2247" s="55">
        <v>40.320219999999999</v>
      </c>
      <c r="N2247" s="55">
        <v>29.321960000000001</v>
      </c>
    </row>
    <row r="2248" spans="1:14" hidden="1" x14ac:dyDescent="0.35">
      <c r="A2248" s="52" t="s">
        <v>226</v>
      </c>
      <c r="B2248" s="52" t="s">
        <v>37</v>
      </c>
      <c r="C2248" s="52" t="s">
        <v>79</v>
      </c>
      <c r="D2248" s="52" t="s">
        <v>79</v>
      </c>
      <c r="E2248" s="52" t="s">
        <v>600</v>
      </c>
      <c r="F2248" s="52" t="s">
        <v>581</v>
      </c>
      <c r="G2248" s="55" t="s">
        <v>278</v>
      </c>
      <c r="H2248" s="55">
        <v>16.62612</v>
      </c>
      <c r="I2248" s="55">
        <v>36.447679999999998</v>
      </c>
      <c r="J2248" s="55">
        <v>4.2632830000000004</v>
      </c>
      <c r="K2248" s="55">
        <v>5.4911849999999998</v>
      </c>
      <c r="L2248" s="55">
        <v>6.6738289999999996</v>
      </c>
      <c r="M2248" s="55">
        <v>6.994294</v>
      </c>
      <c r="N2248" s="55">
        <v>3.6958449999999998</v>
      </c>
    </row>
    <row r="2249" spans="1:14" hidden="1" x14ac:dyDescent="0.35">
      <c r="A2249" s="52" t="s">
        <v>226</v>
      </c>
      <c r="B2249" s="52" t="s">
        <v>37</v>
      </c>
      <c r="C2249" s="52" t="s">
        <v>79</v>
      </c>
      <c r="D2249" s="52" t="s">
        <v>79</v>
      </c>
      <c r="E2249" s="52" t="s">
        <v>600</v>
      </c>
      <c r="F2249" s="52" t="s">
        <v>581</v>
      </c>
      <c r="G2249" s="55" t="s">
        <v>279</v>
      </c>
      <c r="H2249" s="55">
        <v>141.00620000000001</v>
      </c>
      <c r="I2249" s="55">
        <v>97.748410000000007</v>
      </c>
      <c r="J2249" s="55">
        <v>88.19547</v>
      </c>
      <c r="K2249" s="55">
        <v>77.002039999999994</v>
      </c>
      <c r="L2249" s="55">
        <v>66.470339999999993</v>
      </c>
      <c r="M2249" s="55">
        <v>70.79974</v>
      </c>
      <c r="N2249" s="55">
        <v>63.200110000000002</v>
      </c>
    </row>
    <row r="2250" spans="1:14" hidden="1" x14ac:dyDescent="0.35">
      <c r="A2250" s="52" t="s">
        <v>226</v>
      </c>
      <c r="B2250" s="52" t="s">
        <v>37</v>
      </c>
      <c r="C2250" s="52" t="s">
        <v>79</v>
      </c>
      <c r="D2250" s="52" t="s">
        <v>79</v>
      </c>
      <c r="E2250" s="52" t="s">
        <v>600</v>
      </c>
      <c r="F2250" s="52" t="s">
        <v>26</v>
      </c>
      <c r="G2250" s="55" t="s">
        <v>275</v>
      </c>
      <c r="H2250" s="55">
        <v>8.6343019999999999</v>
      </c>
      <c r="I2250" s="55">
        <v>6.399267</v>
      </c>
      <c r="J2250" s="55">
        <v>8.6389960000000006</v>
      </c>
      <c r="K2250" s="55">
        <v>6.1790900000000004</v>
      </c>
      <c r="L2250" s="55">
        <v>6.1310560000000001</v>
      </c>
      <c r="M2250" s="55">
        <v>3.5631360000000001</v>
      </c>
      <c r="N2250" s="55">
        <v>3.1985869999999998</v>
      </c>
    </row>
    <row r="2251" spans="1:14" hidden="1" x14ac:dyDescent="0.35">
      <c r="A2251" s="52" t="s">
        <v>226</v>
      </c>
      <c r="B2251" s="52" t="s">
        <v>37</v>
      </c>
      <c r="C2251" s="52" t="s">
        <v>79</v>
      </c>
      <c r="D2251" s="52" t="s">
        <v>79</v>
      </c>
      <c r="E2251" s="52" t="s">
        <v>600</v>
      </c>
      <c r="F2251" s="52" t="s">
        <v>26</v>
      </c>
      <c r="G2251" s="55" t="s">
        <v>276</v>
      </c>
      <c r="H2251" s="55">
        <v>2.502999</v>
      </c>
      <c r="I2251" s="55">
        <v>1.8550819999999999</v>
      </c>
      <c r="J2251" s="55">
        <v>2.5043600000000001</v>
      </c>
      <c r="K2251" s="55">
        <v>1.7912539999999999</v>
      </c>
      <c r="L2251" s="55">
        <v>1.7773319999999999</v>
      </c>
      <c r="M2251" s="55">
        <v>1.0329159999999999</v>
      </c>
      <c r="N2251" s="55">
        <v>0.92723829999999996</v>
      </c>
    </row>
    <row r="2252" spans="1:14" hidden="1" x14ac:dyDescent="0.35">
      <c r="A2252" s="52" t="s">
        <v>226</v>
      </c>
      <c r="B2252" s="52" t="s">
        <v>37</v>
      </c>
      <c r="C2252" s="52" t="s">
        <v>79</v>
      </c>
      <c r="D2252" s="52" t="s">
        <v>79</v>
      </c>
      <c r="E2252" s="52" t="s">
        <v>600</v>
      </c>
      <c r="F2252" s="52" t="s">
        <v>26</v>
      </c>
      <c r="G2252" s="55" t="s">
        <v>279</v>
      </c>
      <c r="H2252" s="55">
        <v>48.448650000000001</v>
      </c>
      <c r="I2252" s="55">
        <v>44.362659999999998</v>
      </c>
      <c r="J2252" s="55">
        <v>40.590350000000001</v>
      </c>
      <c r="K2252" s="55">
        <v>35.598959999999998</v>
      </c>
      <c r="L2252" s="55">
        <v>31.37575</v>
      </c>
      <c r="M2252" s="55">
        <v>32.219709999999999</v>
      </c>
      <c r="N2252" s="55">
        <v>28.613140000000001</v>
      </c>
    </row>
    <row r="2253" spans="1:14" hidden="1" x14ac:dyDescent="0.35">
      <c r="A2253" s="52" t="s">
        <v>226</v>
      </c>
      <c r="B2253" s="52" t="s">
        <v>37</v>
      </c>
      <c r="C2253" s="52" t="s">
        <v>79</v>
      </c>
      <c r="D2253" s="52" t="s">
        <v>79</v>
      </c>
      <c r="E2253" s="52" t="s">
        <v>601</v>
      </c>
      <c r="F2253" s="52" t="s">
        <v>581</v>
      </c>
      <c r="G2253" s="55" t="s">
        <v>275</v>
      </c>
      <c r="H2253" s="55">
        <v>26.185169999999999</v>
      </c>
      <c r="I2253" s="55">
        <v>34.228279999999998</v>
      </c>
      <c r="J2253" s="55">
        <v>32.044800000000002</v>
      </c>
      <c r="K2253" s="55">
        <v>27.28425</v>
      </c>
      <c r="L2253" s="55">
        <v>18.36356</v>
      </c>
      <c r="M2253" s="55">
        <v>8.6690880000000003</v>
      </c>
      <c r="N2253" s="55">
        <v>9.8562060000000002</v>
      </c>
    </row>
    <row r="2254" spans="1:14" hidden="1" x14ac:dyDescent="0.35">
      <c r="A2254" s="52" t="s">
        <v>226</v>
      </c>
      <c r="B2254" s="52" t="s">
        <v>37</v>
      </c>
      <c r="C2254" s="52" t="s">
        <v>79</v>
      </c>
      <c r="D2254" s="52" t="s">
        <v>79</v>
      </c>
      <c r="E2254" s="52" t="s">
        <v>601</v>
      </c>
      <c r="F2254" s="52" t="s">
        <v>581</v>
      </c>
      <c r="G2254" s="55" t="s">
        <v>276</v>
      </c>
      <c r="H2254" s="55">
        <v>-1.9117189999999999</v>
      </c>
      <c r="I2254" s="55">
        <v>-8.9164239999999992</v>
      </c>
      <c r="J2254" s="55">
        <v>-4.163856</v>
      </c>
      <c r="K2254" s="55">
        <v>-4.8582080000000003</v>
      </c>
      <c r="L2254" s="55">
        <v>-2.5722640000000001</v>
      </c>
      <c r="M2254" s="55">
        <v>4.6314390000000003</v>
      </c>
      <c r="N2254" s="55">
        <v>4.4612100000000003</v>
      </c>
    </row>
    <row r="2255" spans="1:14" hidden="1" x14ac:dyDescent="0.35">
      <c r="A2255" s="52" t="s">
        <v>226</v>
      </c>
      <c r="B2255" s="52" t="s">
        <v>37</v>
      </c>
      <c r="C2255" s="52" t="s">
        <v>79</v>
      </c>
      <c r="D2255" s="52" t="s">
        <v>79</v>
      </c>
      <c r="E2255" s="52" t="s">
        <v>601</v>
      </c>
      <c r="F2255" s="52" t="s">
        <v>581</v>
      </c>
      <c r="G2255" s="55" t="s">
        <v>277</v>
      </c>
      <c r="H2255" s="55">
        <v>70.908259999999999</v>
      </c>
      <c r="I2255" s="55">
        <v>3.517207</v>
      </c>
      <c r="J2255" s="55">
        <v>16.31006</v>
      </c>
      <c r="K2255" s="55">
        <v>15.32259</v>
      </c>
      <c r="L2255" s="55">
        <v>22.345700000000001</v>
      </c>
      <c r="M2255" s="55">
        <v>29.571950000000001</v>
      </c>
      <c r="N2255" s="55">
        <v>32.537109999999998</v>
      </c>
    </row>
    <row r="2256" spans="1:14" hidden="1" x14ac:dyDescent="0.35">
      <c r="A2256" s="52" t="s">
        <v>226</v>
      </c>
      <c r="B2256" s="52" t="s">
        <v>37</v>
      </c>
      <c r="C2256" s="52" t="s">
        <v>79</v>
      </c>
      <c r="D2256" s="52" t="s">
        <v>79</v>
      </c>
      <c r="E2256" s="52" t="s">
        <v>601</v>
      </c>
      <c r="F2256" s="52" t="s">
        <v>581</v>
      </c>
      <c r="G2256" s="55" t="s">
        <v>278</v>
      </c>
      <c r="H2256" s="55">
        <v>34.606580000000001</v>
      </c>
      <c r="I2256" s="55">
        <v>16.861910000000002</v>
      </c>
      <c r="J2256" s="55">
        <v>3.8915039999999999</v>
      </c>
      <c r="K2256" s="55">
        <v>9.5843530000000001</v>
      </c>
      <c r="L2256" s="55">
        <v>7.4498340000000001</v>
      </c>
      <c r="M2256" s="55">
        <v>4.3345909999999996</v>
      </c>
      <c r="N2256" s="55">
        <v>1.2008270000000001</v>
      </c>
    </row>
    <row r="2257" spans="1:14" hidden="1" x14ac:dyDescent="0.35">
      <c r="A2257" s="52" t="s">
        <v>226</v>
      </c>
      <c r="B2257" s="52" t="s">
        <v>37</v>
      </c>
      <c r="C2257" s="52" t="s">
        <v>79</v>
      </c>
      <c r="D2257" s="52" t="s">
        <v>79</v>
      </c>
      <c r="E2257" s="52" t="s">
        <v>601</v>
      </c>
      <c r="F2257" s="52" t="s">
        <v>581</v>
      </c>
      <c r="G2257" s="55" t="s">
        <v>279</v>
      </c>
      <c r="H2257" s="55">
        <v>35.744709999999998</v>
      </c>
      <c r="I2257" s="55">
        <v>22.430520000000001</v>
      </c>
      <c r="J2257" s="55">
        <v>22.504740000000002</v>
      </c>
      <c r="K2257" s="55">
        <v>26.450099999999999</v>
      </c>
      <c r="L2257" s="55">
        <v>24.296040000000001</v>
      </c>
      <c r="M2257" s="55">
        <v>26.362660000000002</v>
      </c>
      <c r="N2257" s="55">
        <v>25.330559999999998</v>
      </c>
    </row>
    <row r="2258" spans="1:14" hidden="1" x14ac:dyDescent="0.35">
      <c r="A2258" s="52" t="s">
        <v>226</v>
      </c>
      <c r="B2258" s="52" t="s">
        <v>37</v>
      </c>
      <c r="C2258" s="52" t="s">
        <v>79</v>
      </c>
      <c r="D2258" s="52" t="s">
        <v>79</v>
      </c>
      <c r="E2258" s="52" t="s">
        <v>601</v>
      </c>
      <c r="F2258" s="52" t="s">
        <v>26</v>
      </c>
      <c r="G2258" s="55" t="s">
        <v>275</v>
      </c>
      <c r="H2258" s="55">
        <v>6.9061510000000004</v>
      </c>
      <c r="I2258" s="55">
        <v>5.0669199999999996</v>
      </c>
      <c r="J2258" s="55">
        <v>6.1648880000000004</v>
      </c>
      <c r="K2258" s="55">
        <v>5.7257290000000003</v>
      </c>
      <c r="L2258" s="55">
        <v>5.3924219999999998</v>
      </c>
      <c r="M2258" s="55">
        <v>5.0289950000000001</v>
      </c>
      <c r="N2258" s="55">
        <v>5.08758</v>
      </c>
    </row>
    <row r="2259" spans="1:14" hidden="1" x14ac:dyDescent="0.35">
      <c r="A2259" s="52" t="s">
        <v>226</v>
      </c>
      <c r="B2259" s="52" t="s">
        <v>37</v>
      </c>
      <c r="C2259" s="52" t="s">
        <v>79</v>
      </c>
      <c r="D2259" s="52" t="s">
        <v>79</v>
      </c>
      <c r="E2259" s="52" t="s">
        <v>601</v>
      </c>
      <c r="F2259" s="52" t="s">
        <v>26</v>
      </c>
      <c r="G2259" s="55" t="s">
        <v>276</v>
      </c>
      <c r="H2259" s="55">
        <v>1.835812</v>
      </c>
      <c r="I2259" s="55">
        <v>1.346903</v>
      </c>
      <c r="J2259" s="55">
        <v>1.6387670000000001</v>
      </c>
      <c r="K2259" s="55">
        <v>1.5220279999999999</v>
      </c>
      <c r="L2259" s="55">
        <v>1.433427</v>
      </c>
      <c r="M2259" s="55">
        <v>1.336822</v>
      </c>
      <c r="N2259" s="55">
        <v>1.3523959999999999</v>
      </c>
    </row>
    <row r="2260" spans="1:14" hidden="1" x14ac:dyDescent="0.35">
      <c r="A2260" s="52" t="s">
        <v>226</v>
      </c>
      <c r="B2260" s="52" t="s">
        <v>37</v>
      </c>
      <c r="C2260" s="52" t="s">
        <v>79</v>
      </c>
      <c r="D2260" s="52" t="s">
        <v>79</v>
      </c>
      <c r="E2260" s="52" t="s">
        <v>601</v>
      </c>
      <c r="F2260" s="52" t="s">
        <v>26</v>
      </c>
      <c r="G2260" s="55" t="s">
        <v>279</v>
      </c>
      <c r="H2260" s="55">
        <v>13.08808</v>
      </c>
      <c r="I2260" s="55">
        <v>10.59698</v>
      </c>
      <c r="J2260" s="55">
        <v>10.729279999999999</v>
      </c>
      <c r="K2260" s="55">
        <v>11.7148</v>
      </c>
      <c r="L2260" s="55">
        <v>10.75398</v>
      </c>
      <c r="M2260" s="55">
        <v>12.26501</v>
      </c>
      <c r="N2260" s="55">
        <v>12.101319999999999</v>
      </c>
    </row>
    <row r="2261" spans="1:14" hidden="1" x14ac:dyDescent="0.35">
      <c r="A2261" s="52" t="s">
        <v>226</v>
      </c>
      <c r="B2261" s="52" t="s">
        <v>37</v>
      </c>
      <c r="C2261" s="52" t="s">
        <v>79</v>
      </c>
      <c r="D2261" s="52" t="s">
        <v>79</v>
      </c>
      <c r="E2261" s="52" t="s">
        <v>615</v>
      </c>
      <c r="F2261" s="52" t="s">
        <v>581</v>
      </c>
      <c r="G2261" s="55" t="s">
        <v>275</v>
      </c>
      <c r="H2261" s="55">
        <v>-18.950839999999999</v>
      </c>
      <c r="I2261" s="55">
        <v>3.7526130000000002</v>
      </c>
      <c r="J2261" s="55">
        <v>2.5664989999999999</v>
      </c>
      <c r="K2261" s="55">
        <v>1.3065519999999999</v>
      </c>
      <c r="L2261" s="55">
        <v>2.6937150000000001</v>
      </c>
      <c r="M2261" s="55">
        <v>1.516143</v>
      </c>
      <c r="N2261" s="55">
        <v>1.1934549999999999</v>
      </c>
    </row>
    <row r="2262" spans="1:14" hidden="1" x14ac:dyDescent="0.35">
      <c r="A2262" s="52" t="s">
        <v>226</v>
      </c>
      <c r="B2262" s="52" t="s">
        <v>37</v>
      </c>
      <c r="C2262" s="52" t="s">
        <v>79</v>
      </c>
      <c r="D2262" s="52" t="s">
        <v>79</v>
      </c>
      <c r="E2262" s="52" t="s">
        <v>615</v>
      </c>
      <c r="F2262" s="52" t="s">
        <v>581</v>
      </c>
      <c r="G2262" s="55" t="s">
        <v>276</v>
      </c>
      <c r="H2262" s="55">
        <v>-0.202819</v>
      </c>
      <c r="I2262" s="55">
        <v>-4.1566600000000002E-2</v>
      </c>
      <c r="J2262" s="55">
        <v>-0.15952649999999999</v>
      </c>
      <c r="K2262" s="55">
        <v>-0.10578600000000001</v>
      </c>
      <c r="L2262" s="55">
        <v>-1.8048979999999999</v>
      </c>
      <c r="M2262" s="55">
        <v>0.3307563</v>
      </c>
      <c r="N2262" s="55">
        <v>0.2589629</v>
      </c>
    </row>
    <row r="2263" spans="1:14" hidden="1" x14ac:dyDescent="0.35">
      <c r="A2263" s="52" t="s">
        <v>226</v>
      </c>
      <c r="B2263" s="52" t="s">
        <v>37</v>
      </c>
      <c r="C2263" s="52" t="s">
        <v>79</v>
      </c>
      <c r="D2263" s="52" t="s">
        <v>79</v>
      </c>
      <c r="E2263" s="52" t="s">
        <v>615</v>
      </c>
      <c r="F2263" s="52" t="s">
        <v>581</v>
      </c>
      <c r="G2263" s="55" t="s">
        <v>277</v>
      </c>
      <c r="H2263" s="55">
        <v>17.162019999999998</v>
      </c>
      <c r="I2263" s="55">
        <v>0</v>
      </c>
      <c r="J2263" s="55">
        <v>0</v>
      </c>
      <c r="K2263" s="55">
        <v>1.0274650000000001</v>
      </c>
      <c r="L2263" s="55">
        <v>1.5228600000000001</v>
      </c>
      <c r="M2263" s="55">
        <v>0</v>
      </c>
      <c r="N2263" s="55">
        <v>0</v>
      </c>
    </row>
    <row r="2264" spans="1:14" hidden="1" x14ac:dyDescent="0.35">
      <c r="A2264" s="52" t="s">
        <v>226</v>
      </c>
      <c r="B2264" s="52" t="s">
        <v>37</v>
      </c>
      <c r="C2264" s="52" t="s">
        <v>79</v>
      </c>
      <c r="D2264" s="52" t="s">
        <v>79</v>
      </c>
      <c r="E2264" s="52" t="s">
        <v>615</v>
      </c>
      <c r="F2264" s="52" t="s">
        <v>581</v>
      </c>
      <c r="G2264" s="55" t="s">
        <v>278</v>
      </c>
      <c r="H2264" s="55">
        <v>7.1879840000000002</v>
      </c>
      <c r="I2264" s="55">
        <v>0</v>
      </c>
      <c r="J2264" s="55"/>
      <c r="K2264" s="55"/>
      <c r="L2264" s="55"/>
      <c r="M2264" s="55"/>
      <c r="N2264" s="55"/>
    </row>
    <row r="2265" spans="1:14" hidden="1" x14ac:dyDescent="0.35">
      <c r="A2265" s="52" t="s">
        <v>226</v>
      </c>
      <c r="B2265" s="52" t="s">
        <v>37</v>
      </c>
      <c r="C2265" s="52" t="s">
        <v>79</v>
      </c>
      <c r="D2265" s="52" t="s">
        <v>79</v>
      </c>
      <c r="E2265" s="52" t="s">
        <v>615</v>
      </c>
      <c r="F2265" s="52" t="s">
        <v>581</v>
      </c>
      <c r="G2265" s="55" t="s">
        <v>279</v>
      </c>
      <c r="H2265" s="55">
        <v>1.3662810000000001</v>
      </c>
      <c r="I2265" s="55">
        <v>1.7017150000000001</v>
      </c>
      <c r="J2265" s="55">
        <v>1.0552250000000001</v>
      </c>
      <c r="K2265" s="55">
        <v>1.010141</v>
      </c>
      <c r="L2265" s="55">
        <v>1.029242</v>
      </c>
      <c r="M2265" s="55">
        <v>0.9249482</v>
      </c>
      <c r="N2265" s="55">
        <v>0.72825759999999995</v>
      </c>
    </row>
    <row r="2266" spans="1:14" hidden="1" x14ac:dyDescent="0.35">
      <c r="A2266" s="52" t="s">
        <v>226</v>
      </c>
      <c r="B2266" s="52" t="s">
        <v>37</v>
      </c>
      <c r="C2266" s="52" t="s">
        <v>79</v>
      </c>
      <c r="D2266" s="52" t="s">
        <v>79</v>
      </c>
      <c r="E2266" s="52" t="s">
        <v>615</v>
      </c>
      <c r="F2266" s="52" t="s">
        <v>26</v>
      </c>
      <c r="G2266" s="55" t="s">
        <v>275</v>
      </c>
      <c r="H2266" s="55">
        <v>1.4803999999999999E-2</v>
      </c>
      <c r="I2266" s="55">
        <v>2.0758599999999999E-2</v>
      </c>
      <c r="J2266" s="55">
        <v>1.9155599999999998E-2</v>
      </c>
      <c r="K2266" s="55">
        <v>1.5003799999999999E-2</v>
      </c>
      <c r="L2266" s="55">
        <v>1.7116300000000001E-2</v>
      </c>
      <c r="M2266" s="55">
        <v>8.1706000000000001E-3</v>
      </c>
      <c r="N2266" s="55">
        <v>6.3730000000000002E-3</v>
      </c>
    </row>
    <row r="2267" spans="1:14" hidden="1" x14ac:dyDescent="0.35">
      <c r="A2267" s="52" t="s">
        <v>226</v>
      </c>
      <c r="B2267" s="52" t="s">
        <v>37</v>
      </c>
      <c r="C2267" s="52" t="s">
        <v>79</v>
      </c>
      <c r="D2267" s="52" t="s">
        <v>79</v>
      </c>
      <c r="E2267" s="52" t="s">
        <v>615</v>
      </c>
      <c r="F2267" s="52" t="s">
        <v>26</v>
      </c>
      <c r="G2267" s="55" t="s">
        <v>276</v>
      </c>
      <c r="H2267" s="55">
        <v>4.2909999999999997E-3</v>
      </c>
      <c r="I2267" s="55">
        <v>6.0177989999999999E-3</v>
      </c>
      <c r="J2267" s="55">
        <v>5.5520999999999999E-3</v>
      </c>
      <c r="K2267" s="55">
        <v>4.3493999999999998E-3</v>
      </c>
      <c r="L2267" s="55">
        <v>4.9617999999999997E-3</v>
      </c>
      <c r="M2267" s="55">
        <v>2.3684999999999999E-3</v>
      </c>
      <c r="N2267" s="55">
        <v>1.8469000000000001E-3</v>
      </c>
    </row>
    <row r="2268" spans="1:14" hidden="1" x14ac:dyDescent="0.35">
      <c r="A2268" s="52" t="s">
        <v>226</v>
      </c>
      <c r="B2268" s="52" t="s">
        <v>37</v>
      </c>
      <c r="C2268" s="52" t="s">
        <v>79</v>
      </c>
      <c r="D2268" s="52" t="s">
        <v>79</v>
      </c>
      <c r="E2268" s="52" t="s">
        <v>615</v>
      </c>
      <c r="F2268" s="52" t="s">
        <v>26</v>
      </c>
      <c r="G2268" s="55" t="s">
        <v>279</v>
      </c>
      <c r="H2268" s="55">
        <v>8.4917989999999999E-2</v>
      </c>
      <c r="I2268" s="55">
        <v>0.14723330000000001</v>
      </c>
      <c r="J2268" s="55">
        <v>9.2274900000000007E-2</v>
      </c>
      <c r="K2268" s="55">
        <v>8.9566699999999999E-2</v>
      </c>
      <c r="L2268" s="55">
        <v>9.3112500000000001E-2</v>
      </c>
      <c r="M2268" s="55">
        <v>8.2212499999999994E-2</v>
      </c>
      <c r="N2268" s="55">
        <v>6.4739790000000005E-2</v>
      </c>
    </row>
    <row r="2269" spans="1:14" hidden="1" x14ac:dyDescent="0.35">
      <c r="A2269" s="52" t="s">
        <v>226</v>
      </c>
      <c r="B2269" s="52" t="s">
        <v>37</v>
      </c>
      <c r="C2269" s="52" t="s">
        <v>79</v>
      </c>
      <c r="D2269" s="52" t="s">
        <v>79</v>
      </c>
      <c r="E2269" s="52" t="s">
        <v>584</v>
      </c>
      <c r="F2269" s="52" t="s">
        <v>581</v>
      </c>
      <c r="G2269" s="55" t="s">
        <v>275</v>
      </c>
      <c r="H2269" s="55">
        <v>9.0477000000000002E-2</v>
      </c>
      <c r="I2269" s="55">
        <v>3.2905700000000003E-2</v>
      </c>
      <c r="J2269" s="55">
        <v>3.0628300000000001E-2</v>
      </c>
      <c r="K2269" s="55">
        <v>2.48601E-2</v>
      </c>
      <c r="L2269" s="55">
        <v>2.4320999999999999E-2</v>
      </c>
      <c r="M2269" s="55">
        <v>2.3718199999999998E-2</v>
      </c>
      <c r="N2269" s="55">
        <v>2.32284E-2</v>
      </c>
    </row>
    <row r="2270" spans="1:14" hidden="1" x14ac:dyDescent="0.35">
      <c r="A2270" s="52" t="s">
        <v>226</v>
      </c>
      <c r="B2270" s="52" t="s">
        <v>37</v>
      </c>
      <c r="C2270" s="52" t="s">
        <v>79</v>
      </c>
      <c r="D2270" s="52" t="s">
        <v>79</v>
      </c>
      <c r="E2270" s="52" t="s">
        <v>584</v>
      </c>
      <c r="F2270" s="52" t="s">
        <v>581</v>
      </c>
      <c r="G2270" s="55" t="s">
        <v>276</v>
      </c>
      <c r="H2270" s="55">
        <v>2.4050999999999999E-2</v>
      </c>
      <c r="I2270" s="55">
        <v>8.7470989999999995E-3</v>
      </c>
      <c r="J2270" s="55">
        <v>8.1421010000000005E-3</v>
      </c>
      <c r="K2270" s="55">
        <v>6.6080000000000002E-3</v>
      </c>
      <c r="L2270" s="55">
        <v>6.4647000000000003E-3</v>
      </c>
      <c r="M2270" s="55">
        <v>6.3051000000000001E-3</v>
      </c>
      <c r="N2270" s="55">
        <v>6.1744E-3</v>
      </c>
    </row>
    <row r="2271" spans="1:14" hidden="1" x14ac:dyDescent="0.35">
      <c r="A2271" s="52" t="s">
        <v>226</v>
      </c>
      <c r="B2271" s="52" t="s">
        <v>37</v>
      </c>
      <c r="C2271" s="52" t="s">
        <v>79</v>
      </c>
      <c r="D2271" s="52" t="s">
        <v>79</v>
      </c>
      <c r="E2271" s="52" t="s">
        <v>584</v>
      </c>
      <c r="F2271" s="52" t="s">
        <v>581</v>
      </c>
      <c r="G2271" s="55" t="s">
        <v>279</v>
      </c>
      <c r="H2271" s="55">
        <v>3.3695999999999997E-2</v>
      </c>
      <c r="I2271" s="55">
        <v>2.1437600000000001E-2</v>
      </c>
      <c r="J2271" s="55">
        <v>1.84999E-2</v>
      </c>
      <c r="K2271" s="55">
        <v>1.38386E-2</v>
      </c>
      <c r="L2271" s="55">
        <v>1.43897E-2</v>
      </c>
      <c r="M2271" s="55">
        <v>1.4036399999999999E-2</v>
      </c>
      <c r="N2271" s="55">
        <v>1.3746E-2</v>
      </c>
    </row>
    <row r="2272" spans="1:14" hidden="1" x14ac:dyDescent="0.35">
      <c r="A2272" s="52" t="s">
        <v>226</v>
      </c>
      <c r="B2272" s="52" t="s">
        <v>37</v>
      </c>
      <c r="C2272" s="52" t="s">
        <v>79</v>
      </c>
      <c r="D2272" s="52" t="s">
        <v>79</v>
      </c>
      <c r="E2272" s="52" t="s">
        <v>584</v>
      </c>
      <c r="F2272" s="52" t="s">
        <v>26</v>
      </c>
      <c r="G2272" s="55" t="s">
        <v>275</v>
      </c>
      <c r="H2272" s="55">
        <v>-0.19175</v>
      </c>
      <c r="I2272" s="55">
        <v>-0.2294831</v>
      </c>
      <c r="J2272" s="55">
        <v>-0.17591999999999999</v>
      </c>
      <c r="K2272" s="55">
        <v>-0.226718</v>
      </c>
      <c r="L2272" s="55">
        <v>-0.18622939999999999</v>
      </c>
      <c r="M2272" s="55">
        <v>-0.1685719</v>
      </c>
      <c r="N2272" s="55">
        <v>-0.1545898</v>
      </c>
    </row>
    <row r="2273" spans="1:14" hidden="1" x14ac:dyDescent="0.35">
      <c r="A2273" s="52" t="s">
        <v>226</v>
      </c>
      <c r="B2273" s="52" t="s">
        <v>37</v>
      </c>
      <c r="C2273" s="52" t="s">
        <v>79</v>
      </c>
      <c r="D2273" s="52" t="s">
        <v>79</v>
      </c>
      <c r="E2273" s="52" t="s">
        <v>584</v>
      </c>
      <c r="F2273" s="52" t="s">
        <v>26</v>
      </c>
      <c r="G2273" s="55" t="s">
        <v>276</v>
      </c>
      <c r="H2273" s="55">
        <v>-6.7243999999999998E-2</v>
      </c>
      <c r="I2273" s="55">
        <v>-7.7435599999999993E-2</v>
      </c>
      <c r="J2273" s="55">
        <v>-6.31795E-2</v>
      </c>
      <c r="K2273" s="55">
        <v>-2.8161700000000001E-2</v>
      </c>
      <c r="L2273" s="55">
        <v>-7.6066700000000001E-2</v>
      </c>
      <c r="M2273" s="55">
        <v>-7.0750800000000003E-2</v>
      </c>
      <c r="N2273" s="55">
        <v>-6.5676799999999994E-2</v>
      </c>
    </row>
    <row r="2274" spans="1:14" hidden="1" x14ac:dyDescent="0.35">
      <c r="A2274" s="52" t="s">
        <v>226</v>
      </c>
      <c r="B2274" s="52" t="s">
        <v>37</v>
      </c>
      <c r="C2274" s="52" t="s">
        <v>79</v>
      </c>
      <c r="D2274" s="52" t="s">
        <v>79</v>
      </c>
      <c r="E2274" s="52" t="s">
        <v>584</v>
      </c>
      <c r="F2274" s="52" t="s">
        <v>26</v>
      </c>
      <c r="G2274" s="55" t="s">
        <v>277</v>
      </c>
      <c r="H2274" s="55">
        <v>0.50483199999999995</v>
      </c>
      <c r="I2274" s="55">
        <v>0.45623000000000002</v>
      </c>
      <c r="J2274" s="55">
        <v>0.4126187</v>
      </c>
      <c r="K2274" s="55">
        <v>0.37113580000000002</v>
      </c>
      <c r="L2274" s="55">
        <v>0.33223279999999999</v>
      </c>
      <c r="M2274" s="55">
        <v>0.29032530000000001</v>
      </c>
      <c r="N2274" s="55">
        <v>0.2543878</v>
      </c>
    </row>
    <row r="2275" spans="1:14" hidden="1" x14ac:dyDescent="0.35">
      <c r="A2275" s="52" t="s">
        <v>226</v>
      </c>
      <c r="B2275" s="52" t="s">
        <v>37</v>
      </c>
      <c r="C2275" s="52" t="s">
        <v>79</v>
      </c>
      <c r="D2275" s="52" t="s">
        <v>79</v>
      </c>
      <c r="E2275" s="52" t="s">
        <v>584</v>
      </c>
      <c r="F2275" s="52" t="s">
        <v>26</v>
      </c>
      <c r="G2275" s="55" t="s">
        <v>278</v>
      </c>
      <c r="H2275" s="55">
        <v>0</v>
      </c>
      <c r="I2275" s="55">
        <v>1.4899999999999999E-4</v>
      </c>
      <c r="J2275" s="55">
        <v>0</v>
      </c>
      <c r="K2275" s="55"/>
      <c r="L2275" s="55"/>
      <c r="M2275" s="55"/>
      <c r="N2275" s="55"/>
    </row>
    <row r="2276" spans="1:14" hidden="1" x14ac:dyDescent="0.35">
      <c r="A2276" s="52" t="s">
        <v>226</v>
      </c>
      <c r="B2276" s="52" t="s">
        <v>37</v>
      </c>
      <c r="C2276" s="52" t="s">
        <v>79</v>
      </c>
      <c r="D2276" s="52" t="s">
        <v>79</v>
      </c>
      <c r="E2276" s="52" t="s">
        <v>584</v>
      </c>
      <c r="F2276" s="52" t="s">
        <v>26</v>
      </c>
      <c r="G2276" s="55" t="s">
        <v>279</v>
      </c>
      <c r="H2276" s="55">
        <v>0.86338599999999999</v>
      </c>
      <c r="I2276" s="55">
        <v>0.7086829</v>
      </c>
      <c r="J2276" s="55">
        <v>0.65595369999999997</v>
      </c>
      <c r="K2276" s="55">
        <v>0.65190570000000003</v>
      </c>
      <c r="L2276" s="55">
        <v>0.63387340000000003</v>
      </c>
      <c r="M2276" s="55">
        <v>0.5779417</v>
      </c>
      <c r="N2276" s="55">
        <v>0.52894240000000003</v>
      </c>
    </row>
    <row r="2277" spans="1:14" hidden="1" x14ac:dyDescent="0.35">
      <c r="A2277" s="52" t="s">
        <v>226</v>
      </c>
      <c r="B2277" s="52" t="s">
        <v>37</v>
      </c>
      <c r="C2277" s="52" t="s">
        <v>79</v>
      </c>
      <c r="D2277" s="52" t="s">
        <v>79</v>
      </c>
      <c r="E2277" s="52" t="s">
        <v>598</v>
      </c>
      <c r="F2277" s="52" t="s">
        <v>581</v>
      </c>
      <c r="G2277" s="55" t="s">
        <v>275</v>
      </c>
      <c r="H2277" s="55">
        <v>3.2088999999999999E-2</v>
      </c>
      <c r="I2277" s="55">
        <v>4.8269000000000003E-3</v>
      </c>
      <c r="J2277" s="55">
        <v>4.6093999999999996E-3</v>
      </c>
      <c r="K2277" s="55">
        <v>3.5956E-3</v>
      </c>
      <c r="L2277" s="55">
        <v>3.3277399999999999E-2</v>
      </c>
      <c r="M2277" s="55">
        <v>2.2618599999999999E-2</v>
      </c>
      <c r="N2277" s="55">
        <v>1.6209000000000001E-2</v>
      </c>
    </row>
    <row r="2278" spans="1:14" hidden="1" x14ac:dyDescent="0.35">
      <c r="A2278" s="52" t="s">
        <v>226</v>
      </c>
      <c r="B2278" s="52" t="s">
        <v>37</v>
      </c>
      <c r="C2278" s="52" t="s">
        <v>79</v>
      </c>
      <c r="D2278" s="52" t="s">
        <v>79</v>
      </c>
      <c r="E2278" s="52" t="s">
        <v>598</v>
      </c>
      <c r="F2278" s="52" t="s">
        <v>581</v>
      </c>
      <c r="G2278" s="55" t="s">
        <v>276</v>
      </c>
      <c r="H2278" s="55">
        <v>9.8189999999999996E-3</v>
      </c>
      <c r="I2278" s="55">
        <v>1.4766E-3</v>
      </c>
      <c r="J2278" s="55">
        <v>1.4104E-3</v>
      </c>
      <c r="K2278" s="55">
        <v>1.1003E-3</v>
      </c>
      <c r="L2278" s="55">
        <v>1.0182699999999999E-2</v>
      </c>
      <c r="M2278" s="55">
        <v>6.9218999999999999E-3</v>
      </c>
      <c r="N2278" s="55">
        <v>4.9589999999999999E-3</v>
      </c>
    </row>
    <row r="2279" spans="1:14" hidden="1" x14ac:dyDescent="0.35">
      <c r="A2279" s="52" t="s">
        <v>226</v>
      </c>
      <c r="B2279" s="52" t="s">
        <v>37</v>
      </c>
      <c r="C2279" s="52" t="s">
        <v>79</v>
      </c>
      <c r="D2279" s="52" t="s">
        <v>79</v>
      </c>
      <c r="E2279" s="52" t="s">
        <v>598</v>
      </c>
      <c r="F2279" s="52" t="s">
        <v>581</v>
      </c>
      <c r="G2279" s="55" t="s">
        <v>279</v>
      </c>
      <c r="H2279" s="55">
        <v>3.5212E-2</v>
      </c>
      <c r="I2279" s="55">
        <v>2.7279500000000002E-2</v>
      </c>
      <c r="J2279" s="55">
        <v>2.4373700000000002E-2</v>
      </c>
      <c r="K2279" s="55">
        <v>2.3492699999999998E-2</v>
      </c>
      <c r="L2279" s="55">
        <v>8.8494000000000003E-2</v>
      </c>
      <c r="M2279" s="55">
        <v>9.2055600000000001E-2</v>
      </c>
      <c r="N2279" s="55">
        <v>6.4792600000000006E-2</v>
      </c>
    </row>
    <row r="2280" spans="1:14" hidden="1" x14ac:dyDescent="0.35">
      <c r="A2280" s="52" t="s">
        <v>226</v>
      </c>
      <c r="B2280" s="52" t="s">
        <v>37</v>
      </c>
      <c r="C2280" s="52" t="s">
        <v>79</v>
      </c>
      <c r="D2280" s="52" t="s">
        <v>79</v>
      </c>
      <c r="E2280" s="52" t="s">
        <v>598</v>
      </c>
      <c r="F2280" s="52" t="s">
        <v>26</v>
      </c>
      <c r="G2280" s="55" t="s">
        <v>275</v>
      </c>
      <c r="H2280" s="55">
        <v>0.52945489999999995</v>
      </c>
      <c r="I2280" s="55">
        <v>0.40840340000000003</v>
      </c>
      <c r="J2280" s="55">
        <v>0.87824089999999999</v>
      </c>
      <c r="K2280" s="55">
        <v>0.79385499999999998</v>
      </c>
      <c r="L2280" s="55">
        <v>-2.2814589999999999</v>
      </c>
      <c r="M2280" s="55">
        <v>0.27213169999999998</v>
      </c>
      <c r="N2280" s="55">
        <v>0.2089724</v>
      </c>
    </row>
    <row r="2281" spans="1:14" hidden="1" x14ac:dyDescent="0.35">
      <c r="A2281" s="52" t="s">
        <v>226</v>
      </c>
      <c r="B2281" s="52" t="s">
        <v>37</v>
      </c>
      <c r="C2281" s="52" t="s">
        <v>79</v>
      </c>
      <c r="D2281" s="52" t="s">
        <v>79</v>
      </c>
      <c r="E2281" s="52" t="s">
        <v>598</v>
      </c>
      <c r="F2281" s="52" t="s">
        <v>26</v>
      </c>
      <c r="G2281" s="55" t="s">
        <v>276</v>
      </c>
      <c r="H2281" s="55">
        <v>-0.51885199999999998</v>
      </c>
      <c r="I2281" s="55">
        <v>-0.41972019999999999</v>
      </c>
      <c r="J2281" s="55">
        <v>-0.87378509999999998</v>
      </c>
      <c r="K2281" s="55">
        <v>-0.79332150000000001</v>
      </c>
      <c r="L2281" s="55">
        <v>-8.0869410000000003E-2</v>
      </c>
      <c r="M2281" s="55">
        <v>-4.0175799999999998E-2</v>
      </c>
      <c r="N2281" s="55">
        <v>-3.4813200000000002E-2</v>
      </c>
    </row>
    <row r="2282" spans="1:14" hidden="1" x14ac:dyDescent="0.35">
      <c r="A2282" s="52" t="s">
        <v>226</v>
      </c>
      <c r="B2282" s="52" t="s">
        <v>37</v>
      </c>
      <c r="C2282" s="52" t="s">
        <v>79</v>
      </c>
      <c r="D2282" s="52" t="s">
        <v>79</v>
      </c>
      <c r="E2282" s="52" t="s">
        <v>598</v>
      </c>
      <c r="F2282" s="52" t="s">
        <v>26</v>
      </c>
      <c r="G2282" s="55" t="s">
        <v>277</v>
      </c>
      <c r="H2282" s="55">
        <v>0</v>
      </c>
      <c r="I2282" s="55"/>
      <c r="J2282" s="55"/>
      <c r="K2282" s="55">
        <v>0</v>
      </c>
      <c r="L2282" s="55">
        <v>2.2935300000000001</v>
      </c>
      <c r="M2282" s="55">
        <v>0</v>
      </c>
      <c r="N2282" s="55">
        <v>0</v>
      </c>
    </row>
    <row r="2283" spans="1:14" hidden="1" x14ac:dyDescent="0.35">
      <c r="A2283" s="52" t="s">
        <v>226</v>
      </c>
      <c r="B2283" s="52" t="s">
        <v>37</v>
      </c>
      <c r="C2283" s="52" t="s">
        <v>79</v>
      </c>
      <c r="D2283" s="52" t="s">
        <v>79</v>
      </c>
      <c r="E2283" s="52" t="s">
        <v>598</v>
      </c>
      <c r="F2283" s="52" t="s">
        <v>26</v>
      </c>
      <c r="G2283" s="55" t="s">
        <v>278</v>
      </c>
      <c r="H2283" s="55"/>
      <c r="I2283" s="55"/>
      <c r="J2283" s="55"/>
      <c r="K2283" s="55">
        <v>0</v>
      </c>
      <c r="L2283" s="55">
        <v>0.22792699999999999</v>
      </c>
      <c r="M2283" s="55">
        <v>0</v>
      </c>
      <c r="N2283" s="55"/>
    </row>
    <row r="2284" spans="1:14" hidden="1" x14ac:dyDescent="0.35">
      <c r="A2284" s="52" t="s">
        <v>226</v>
      </c>
      <c r="B2284" s="52" t="s">
        <v>37</v>
      </c>
      <c r="C2284" s="52" t="s">
        <v>79</v>
      </c>
      <c r="D2284" s="52" t="s">
        <v>79</v>
      </c>
      <c r="E2284" s="52" t="s">
        <v>598</v>
      </c>
      <c r="F2284" s="52" t="s">
        <v>26</v>
      </c>
      <c r="G2284" s="55" t="s">
        <v>279</v>
      </c>
      <c r="H2284" s="55">
        <v>0.28155400000000003</v>
      </c>
      <c r="I2284" s="55">
        <v>0.23624619999999999</v>
      </c>
      <c r="J2284" s="55">
        <v>0.211225</v>
      </c>
      <c r="K2284" s="55">
        <v>0.19846169999999999</v>
      </c>
      <c r="L2284" s="55">
        <v>0.74943660000000001</v>
      </c>
      <c r="M2284" s="55">
        <v>0.60142390000000001</v>
      </c>
      <c r="N2284" s="55">
        <v>0.41294829999999999</v>
      </c>
    </row>
    <row r="2285" spans="1:14" hidden="1" x14ac:dyDescent="0.35">
      <c r="A2285" s="52" t="s">
        <v>226</v>
      </c>
      <c r="B2285" s="52" t="s">
        <v>37</v>
      </c>
      <c r="C2285" s="52" t="s">
        <v>51</v>
      </c>
      <c r="D2285" s="52" t="s">
        <v>51</v>
      </c>
      <c r="E2285" s="52" t="s">
        <v>602</v>
      </c>
      <c r="F2285" s="52" t="s">
        <v>581</v>
      </c>
      <c r="G2285" s="55" t="s">
        <v>275</v>
      </c>
      <c r="H2285" s="55">
        <v>506.62130000000002</v>
      </c>
      <c r="I2285" s="55">
        <v>83.392399999999995</v>
      </c>
      <c r="J2285" s="55">
        <v>381.83300000000003</v>
      </c>
      <c r="K2285" s="55">
        <v>321.41539999999998</v>
      </c>
      <c r="L2285" s="55">
        <v>304.44409999999999</v>
      </c>
      <c r="M2285" s="55">
        <v>230.29750000000001</v>
      </c>
      <c r="N2285" s="55">
        <v>192.47069999999999</v>
      </c>
    </row>
    <row r="2286" spans="1:14" hidden="1" x14ac:dyDescent="0.35">
      <c r="A2286" s="52" t="s">
        <v>226</v>
      </c>
      <c r="B2286" s="52" t="s">
        <v>37</v>
      </c>
      <c r="C2286" s="52" t="s">
        <v>51</v>
      </c>
      <c r="D2286" s="52" t="s">
        <v>51</v>
      </c>
      <c r="E2286" s="52" t="s">
        <v>602</v>
      </c>
      <c r="F2286" s="52" t="s">
        <v>581</v>
      </c>
      <c r="G2286" s="55" t="s">
        <v>276</v>
      </c>
      <c r="H2286" s="55">
        <v>162.99940000000001</v>
      </c>
      <c r="I2286" s="55">
        <v>31.824349999999999</v>
      </c>
      <c r="J2286" s="55">
        <v>6.827896</v>
      </c>
      <c r="K2286" s="55">
        <v>2.394898</v>
      </c>
      <c r="L2286" s="55">
        <v>8.1314759999999993</v>
      </c>
      <c r="M2286" s="55">
        <v>30.113050000000001</v>
      </c>
      <c r="N2286" s="55">
        <v>54.02861</v>
      </c>
    </row>
    <row r="2287" spans="1:14" hidden="1" x14ac:dyDescent="0.35">
      <c r="A2287" s="52" t="s">
        <v>226</v>
      </c>
      <c r="B2287" s="52" t="s">
        <v>37</v>
      </c>
      <c r="C2287" s="52" t="s">
        <v>51</v>
      </c>
      <c r="D2287" s="52" t="s">
        <v>51</v>
      </c>
      <c r="E2287" s="52" t="s">
        <v>602</v>
      </c>
      <c r="F2287" s="52" t="s">
        <v>581</v>
      </c>
      <c r="G2287" s="55" t="s">
        <v>277</v>
      </c>
      <c r="H2287" s="55">
        <v>433.45429999999999</v>
      </c>
      <c r="I2287" s="55">
        <v>112.8263</v>
      </c>
      <c r="J2287" s="55">
        <v>59.950710000000001</v>
      </c>
      <c r="K2287" s="55">
        <v>32.05359</v>
      </c>
      <c r="L2287" s="55">
        <v>38.101050000000001</v>
      </c>
      <c r="M2287" s="55">
        <v>64.016400000000004</v>
      </c>
      <c r="N2287" s="55">
        <v>76.518510000000006</v>
      </c>
    </row>
    <row r="2288" spans="1:14" hidden="1" x14ac:dyDescent="0.35">
      <c r="A2288" s="52" t="s">
        <v>226</v>
      </c>
      <c r="B2288" s="52" t="s">
        <v>37</v>
      </c>
      <c r="C2288" s="52" t="s">
        <v>51</v>
      </c>
      <c r="D2288" s="52" t="s">
        <v>51</v>
      </c>
      <c r="E2288" s="52" t="s">
        <v>602</v>
      </c>
      <c r="F2288" s="52" t="s">
        <v>581</v>
      </c>
      <c r="G2288" s="55" t="s">
        <v>278</v>
      </c>
      <c r="H2288" s="55">
        <v>209.28579999999999</v>
      </c>
      <c r="I2288" s="55">
        <v>287.17360000000002</v>
      </c>
      <c r="J2288" s="55">
        <v>28.557189999999999</v>
      </c>
      <c r="K2288" s="55">
        <v>27.08999</v>
      </c>
      <c r="L2288" s="55">
        <v>25.853950000000001</v>
      </c>
      <c r="M2288" s="55">
        <v>28.09768</v>
      </c>
      <c r="N2288" s="55">
        <v>18.498169999999998</v>
      </c>
    </row>
    <row r="2289" spans="1:14" hidden="1" x14ac:dyDescent="0.35">
      <c r="A2289" s="52" t="s">
        <v>226</v>
      </c>
      <c r="B2289" s="52" t="s">
        <v>37</v>
      </c>
      <c r="C2289" s="52" t="s">
        <v>51</v>
      </c>
      <c r="D2289" s="52" t="s">
        <v>51</v>
      </c>
      <c r="E2289" s="52" t="s">
        <v>602</v>
      </c>
      <c r="F2289" s="52" t="s">
        <v>581</v>
      </c>
      <c r="G2289" s="55" t="s">
        <v>279</v>
      </c>
      <c r="H2289" s="55">
        <v>438.58150000000001</v>
      </c>
      <c r="I2289" s="55">
        <v>367.77710000000002</v>
      </c>
      <c r="J2289" s="55">
        <v>318.89280000000002</v>
      </c>
      <c r="K2289" s="55">
        <v>265.08339999999998</v>
      </c>
      <c r="L2289" s="55">
        <v>234.2338</v>
      </c>
      <c r="M2289" s="55">
        <v>274.09039999999999</v>
      </c>
      <c r="N2289" s="55">
        <v>263.00200000000001</v>
      </c>
    </row>
    <row r="2290" spans="1:14" hidden="1" x14ac:dyDescent="0.35">
      <c r="A2290" s="52" t="s">
        <v>226</v>
      </c>
      <c r="B2290" s="52" t="s">
        <v>37</v>
      </c>
      <c r="C2290" s="52" t="s">
        <v>51</v>
      </c>
      <c r="D2290" s="52" t="s">
        <v>51</v>
      </c>
      <c r="E2290" s="52" t="s">
        <v>602</v>
      </c>
      <c r="F2290" s="52" t="s">
        <v>26</v>
      </c>
      <c r="G2290" s="55" t="s">
        <v>275</v>
      </c>
      <c r="H2290" s="55">
        <v>7.1921910000000002</v>
      </c>
      <c r="I2290" s="55">
        <v>5.6291989999999998</v>
      </c>
      <c r="J2290" s="55">
        <v>7.1866640000000004</v>
      </c>
      <c r="K2290" s="55">
        <v>5.0413759999999996</v>
      </c>
      <c r="L2290" s="55">
        <v>5.2653749999999997</v>
      </c>
      <c r="M2290" s="55">
        <v>3.268421</v>
      </c>
      <c r="N2290" s="55">
        <v>3.1483509999999999</v>
      </c>
    </row>
    <row r="2291" spans="1:14" hidden="1" x14ac:dyDescent="0.35">
      <c r="A2291" s="52" t="s">
        <v>226</v>
      </c>
      <c r="B2291" s="52" t="s">
        <v>37</v>
      </c>
      <c r="C2291" s="52" t="s">
        <v>51</v>
      </c>
      <c r="D2291" s="52" t="s">
        <v>51</v>
      </c>
      <c r="E2291" s="52" t="s">
        <v>602</v>
      </c>
      <c r="F2291" s="52" t="s">
        <v>26</v>
      </c>
      <c r="G2291" s="55" t="s">
        <v>276</v>
      </c>
      <c r="H2291" s="55">
        <v>1.911818</v>
      </c>
      <c r="I2291" s="55">
        <v>1.4963709999999999</v>
      </c>
      <c r="J2291" s="55">
        <v>1.9103730000000001</v>
      </c>
      <c r="K2291" s="55">
        <v>1.3401190000000001</v>
      </c>
      <c r="L2291" s="55">
        <v>1.3996660000000001</v>
      </c>
      <c r="M2291" s="55">
        <v>0.86881379999999997</v>
      </c>
      <c r="N2291" s="55">
        <v>0.83689639999999998</v>
      </c>
    </row>
    <row r="2292" spans="1:14" hidden="1" x14ac:dyDescent="0.35">
      <c r="A2292" s="52" t="s">
        <v>226</v>
      </c>
      <c r="B2292" s="52" t="s">
        <v>37</v>
      </c>
      <c r="C2292" s="52" t="s">
        <v>51</v>
      </c>
      <c r="D2292" s="52" t="s">
        <v>51</v>
      </c>
      <c r="E2292" s="52" t="s">
        <v>602</v>
      </c>
      <c r="F2292" s="52" t="s">
        <v>26</v>
      </c>
      <c r="G2292" s="55" t="s">
        <v>279</v>
      </c>
      <c r="H2292" s="55">
        <v>32.676220000000001</v>
      </c>
      <c r="I2292" s="55">
        <v>31.683009999999999</v>
      </c>
      <c r="J2292" s="55">
        <v>27.673559999999998</v>
      </c>
      <c r="K2292" s="55">
        <v>23.28473</v>
      </c>
      <c r="L2292" s="55">
        <v>21.029769999999999</v>
      </c>
      <c r="M2292" s="55">
        <v>24.05631</v>
      </c>
      <c r="N2292" s="55">
        <v>23.060919999999999</v>
      </c>
    </row>
    <row r="2293" spans="1:14" hidden="1" x14ac:dyDescent="0.35">
      <c r="A2293" s="52" t="s">
        <v>226</v>
      </c>
      <c r="B2293" s="52" t="s">
        <v>37</v>
      </c>
      <c r="C2293" s="52" t="s">
        <v>105</v>
      </c>
      <c r="D2293" s="52" t="s">
        <v>105</v>
      </c>
      <c r="E2293" s="52" t="s">
        <v>632</v>
      </c>
      <c r="F2293" s="52" t="s">
        <v>581</v>
      </c>
      <c r="G2293" s="55" t="s">
        <v>275</v>
      </c>
      <c r="H2293" s="55">
        <v>-138.56819999999999</v>
      </c>
      <c r="I2293" s="55">
        <v>91.127340000000004</v>
      </c>
      <c r="J2293" s="55">
        <v>117.00109999999999</v>
      </c>
      <c r="K2293" s="55">
        <v>93.107190000000003</v>
      </c>
      <c r="L2293" s="55">
        <v>76.902959999999993</v>
      </c>
      <c r="M2293" s="55">
        <v>20.867609999999999</v>
      </c>
      <c r="N2293" s="55">
        <v>13.936959999999999</v>
      </c>
    </row>
    <row r="2294" spans="1:14" hidden="1" x14ac:dyDescent="0.35">
      <c r="A2294" s="52" t="s">
        <v>226</v>
      </c>
      <c r="B2294" s="52" t="s">
        <v>37</v>
      </c>
      <c r="C2294" s="52" t="s">
        <v>105</v>
      </c>
      <c r="D2294" s="52" t="s">
        <v>105</v>
      </c>
      <c r="E2294" s="52" t="s">
        <v>632</v>
      </c>
      <c r="F2294" s="52" t="s">
        <v>581</v>
      </c>
      <c r="G2294" s="55" t="s">
        <v>276</v>
      </c>
      <c r="H2294" s="55">
        <v>21.651890000000002</v>
      </c>
      <c r="I2294" s="55">
        <v>-29.324490000000001</v>
      </c>
      <c r="J2294" s="55">
        <v>-46.795819999999999</v>
      </c>
      <c r="K2294" s="55">
        <v>-34.255679999999998</v>
      </c>
      <c r="L2294" s="55">
        <v>-32.16865</v>
      </c>
      <c r="M2294" s="55">
        <v>8.6631090000000004</v>
      </c>
      <c r="N2294" s="55">
        <v>10.58493</v>
      </c>
    </row>
    <row r="2295" spans="1:14" hidden="1" x14ac:dyDescent="0.35">
      <c r="A2295" s="52" t="s">
        <v>226</v>
      </c>
      <c r="B2295" s="52" t="s">
        <v>37</v>
      </c>
      <c r="C2295" s="52" t="s">
        <v>105</v>
      </c>
      <c r="D2295" s="52" t="s">
        <v>105</v>
      </c>
      <c r="E2295" s="52" t="s">
        <v>632</v>
      </c>
      <c r="F2295" s="52" t="s">
        <v>581</v>
      </c>
      <c r="G2295" s="55" t="s">
        <v>277</v>
      </c>
      <c r="H2295" s="55">
        <v>304.17309999999998</v>
      </c>
      <c r="I2295" s="55">
        <v>12.516080000000001</v>
      </c>
      <c r="J2295" s="55">
        <v>8.1259499999999996</v>
      </c>
      <c r="K2295" s="55">
        <v>4.3085170000000002</v>
      </c>
      <c r="L2295" s="55">
        <v>9.9819460000000007</v>
      </c>
      <c r="M2295" s="55">
        <v>18.812930000000001</v>
      </c>
      <c r="N2295" s="55">
        <v>29.74146</v>
      </c>
    </row>
    <row r="2296" spans="1:14" hidden="1" x14ac:dyDescent="0.35">
      <c r="A2296" s="52" t="s">
        <v>226</v>
      </c>
      <c r="B2296" s="52" t="s">
        <v>37</v>
      </c>
      <c r="C2296" s="52" t="s">
        <v>105</v>
      </c>
      <c r="D2296" s="52" t="s">
        <v>105</v>
      </c>
      <c r="E2296" s="52" t="s">
        <v>632</v>
      </c>
      <c r="F2296" s="52" t="s">
        <v>581</v>
      </c>
      <c r="G2296" s="55" t="s">
        <v>278</v>
      </c>
      <c r="H2296" s="55">
        <v>128.31700000000001</v>
      </c>
      <c r="I2296" s="55">
        <v>24.134930000000001</v>
      </c>
      <c r="J2296" s="55">
        <v>6.0081990000000003</v>
      </c>
      <c r="K2296" s="55">
        <v>6.3703659999999998</v>
      </c>
      <c r="L2296" s="55">
        <v>8.4044799999999995</v>
      </c>
      <c r="M2296" s="55">
        <v>12.30433</v>
      </c>
      <c r="N2296" s="55">
        <v>8.7781529999999997</v>
      </c>
    </row>
    <row r="2297" spans="1:14" hidden="1" x14ac:dyDescent="0.35">
      <c r="A2297" s="52" t="s">
        <v>226</v>
      </c>
      <c r="B2297" s="52" t="s">
        <v>37</v>
      </c>
      <c r="C2297" s="52" t="s">
        <v>105</v>
      </c>
      <c r="D2297" s="52" t="s">
        <v>105</v>
      </c>
      <c r="E2297" s="52" t="s">
        <v>632</v>
      </c>
      <c r="F2297" s="52" t="s">
        <v>581</v>
      </c>
      <c r="G2297" s="55" t="s">
        <v>279</v>
      </c>
      <c r="H2297" s="55">
        <v>89.553210000000007</v>
      </c>
      <c r="I2297" s="55">
        <v>50.58493</v>
      </c>
      <c r="J2297" s="55">
        <v>41.529620000000001</v>
      </c>
      <c r="K2297" s="55">
        <v>35.53725</v>
      </c>
      <c r="L2297" s="55">
        <v>30.417249999999999</v>
      </c>
      <c r="M2297" s="55">
        <v>33.981400000000001</v>
      </c>
      <c r="N2297" s="55">
        <v>34.690629999999999</v>
      </c>
    </row>
    <row r="2298" spans="1:14" hidden="1" x14ac:dyDescent="0.35">
      <c r="A2298" s="52" t="s">
        <v>226</v>
      </c>
      <c r="B2298" s="52" t="s">
        <v>37</v>
      </c>
      <c r="C2298" s="52" t="s">
        <v>105</v>
      </c>
      <c r="D2298" s="52" t="s">
        <v>105</v>
      </c>
      <c r="E2298" s="52" t="s">
        <v>632</v>
      </c>
      <c r="F2298" s="52" t="s">
        <v>26</v>
      </c>
      <c r="G2298" s="55" t="s">
        <v>275</v>
      </c>
      <c r="H2298" s="55">
        <v>33.907490000000003</v>
      </c>
      <c r="I2298" s="55">
        <v>22.348659999999999</v>
      </c>
      <c r="J2298" s="55">
        <v>22.81643</v>
      </c>
      <c r="K2298" s="55">
        <v>17.284040000000001</v>
      </c>
      <c r="L2298" s="55">
        <v>15.268459999999999</v>
      </c>
      <c r="M2298" s="55">
        <v>12.524100000000001</v>
      </c>
      <c r="N2298" s="55">
        <v>12.497059999999999</v>
      </c>
    </row>
    <row r="2299" spans="1:14" hidden="1" x14ac:dyDescent="0.35">
      <c r="A2299" s="52" t="s">
        <v>226</v>
      </c>
      <c r="B2299" s="52" t="s">
        <v>37</v>
      </c>
      <c r="C2299" s="52" t="s">
        <v>105</v>
      </c>
      <c r="D2299" s="52" t="s">
        <v>105</v>
      </c>
      <c r="E2299" s="52" t="s">
        <v>632</v>
      </c>
      <c r="F2299" s="52" t="s">
        <v>26</v>
      </c>
      <c r="G2299" s="55" t="s">
        <v>276</v>
      </c>
      <c r="H2299" s="55">
        <v>11.753019999999999</v>
      </c>
      <c r="I2299" s="55">
        <v>7.7464810000000002</v>
      </c>
      <c r="J2299" s="55">
        <v>7.9086319999999999</v>
      </c>
      <c r="K2299" s="55">
        <v>5.9909869999999996</v>
      </c>
      <c r="L2299" s="55">
        <v>5.292351</v>
      </c>
      <c r="M2299" s="55">
        <v>4.3411010000000001</v>
      </c>
      <c r="N2299" s="55">
        <v>4.331728</v>
      </c>
    </row>
    <row r="2300" spans="1:14" hidden="1" x14ac:dyDescent="0.35">
      <c r="A2300" s="52" t="s">
        <v>226</v>
      </c>
      <c r="B2300" s="52" t="s">
        <v>37</v>
      </c>
      <c r="C2300" s="52" t="s">
        <v>105</v>
      </c>
      <c r="D2300" s="52" t="s">
        <v>105</v>
      </c>
      <c r="E2300" s="52" t="s">
        <v>632</v>
      </c>
      <c r="F2300" s="52" t="s">
        <v>26</v>
      </c>
      <c r="G2300" s="55" t="s">
        <v>279</v>
      </c>
      <c r="H2300" s="55">
        <v>80.634249999999994</v>
      </c>
      <c r="I2300" s="55">
        <v>59.215069999999997</v>
      </c>
      <c r="J2300" s="55">
        <v>49.394649999999999</v>
      </c>
      <c r="K2300" s="55">
        <v>42.472430000000003</v>
      </c>
      <c r="L2300" s="55">
        <v>36.750779999999999</v>
      </c>
      <c r="M2300" s="55">
        <v>38.679020000000001</v>
      </c>
      <c r="N2300" s="55">
        <v>38.359259999999999</v>
      </c>
    </row>
    <row r="2301" spans="1:14" hidden="1" x14ac:dyDescent="0.35">
      <c r="A2301" s="52" t="s">
        <v>226</v>
      </c>
      <c r="B2301" s="52" t="s">
        <v>37</v>
      </c>
      <c r="C2301" s="52" t="s">
        <v>105</v>
      </c>
      <c r="D2301" s="52" t="s">
        <v>105</v>
      </c>
      <c r="E2301" s="52" t="s">
        <v>619</v>
      </c>
      <c r="F2301" s="52" t="s">
        <v>581</v>
      </c>
      <c r="G2301" s="55" t="s">
        <v>275</v>
      </c>
      <c r="H2301" s="55">
        <v>52.952039999999997</v>
      </c>
      <c r="I2301" s="55">
        <v>18.255400000000002</v>
      </c>
      <c r="J2301" s="55">
        <v>20.436710000000001</v>
      </c>
      <c r="K2301" s="55">
        <v>21.720269999999999</v>
      </c>
      <c r="L2301" s="55">
        <v>20.866320000000002</v>
      </c>
      <c r="M2301" s="55">
        <v>15.61736</v>
      </c>
      <c r="N2301" s="55">
        <v>13.42817</v>
      </c>
    </row>
    <row r="2302" spans="1:14" hidden="1" x14ac:dyDescent="0.35">
      <c r="A2302" s="52" t="s">
        <v>226</v>
      </c>
      <c r="B2302" s="52" t="s">
        <v>37</v>
      </c>
      <c r="C2302" s="52" t="s">
        <v>105</v>
      </c>
      <c r="D2302" s="52" t="s">
        <v>105</v>
      </c>
      <c r="E2302" s="52" t="s">
        <v>619</v>
      </c>
      <c r="F2302" s="52" t="s">
        <v>581</v>
      </c>
      <c r="G2302" s="55" t="s">
        <v>276</v>
      </c>
      <c r="H2302" s="55">
        <v>18.354230000000001</v>
      </c>
      <c r="I2302" s="55">
        <v>6.3276859999999999</v>
      </c>
      <c r="J2302" s="55">
        <v>7.0837760000000003</v>
      </c>
      <c r="K2302" s="55">
        <v>7.5286759999999999</v>
      </c>
      <c r="L2302" s="55">
        <v>7.2326870000000003</v>
      </c>
      <c r="M2302" s="55">
        <v>5.4132870000000004</v>
      </c>
      <c r="N2302" s="55">
        <v>4.6544780000000001</v>
      </c>
    </row>
    <row r="2303" spans="1:14" hidden="1" x14ac:dyDescent="0.35">
      <c r="A2303" s="52" t="s">
        <v>226</v>
      </c>
      <c r="B2303" s="52" t="s">
        <v>37</v>
      </c>
      <c r="C2303" s="52" t="s">
        <v>105</v>
      </c>
      <c r="D2303" s="52" t="s">
        <v>105</v>
      </c>
      <c r="E2303" s="52" t="s">
        <v>619</v>
      </c>
      <c r="F2303" s="52" t="s">
        <v>581</v>
      </c>
      <c r="G2303" s="55" t="s">
        <v>279</v>
      </c>
      <c r="H2303" s="55">
        <v>31.064800000000002</v>
      </c>
      <c r="I2303" s="55">
        <v>22.408930000000002</v>
      </c>
      <c r="J2303" s="55">
        <v>23.480260000000001</v>
      </c>
      <c r="K2303" s="55">
        <v>26.34441</v>
      </c>
      <c r="L2303" s="55">
        <v>23.591010000000001</v>
      </c>
      <c r="M2303" s="55">
        <v>21.978470000000002</v>
      </c>
      <c r="N2303" s="55">
        <v>18.76972</v>
      </c>
    </row>
    <row r="2304" spans="1:14" hidden="1" x14ac:dyDescent="0.35">
      <c r="A2304" s="52" t="s">
        <v>226</v>
      </c>
      <c r="B2304" s="52" t="s">
        <v>37</v>
      </c>
      <c r="C2304" s="52" t="s">
        <v>105</v>
      </c>
      <c r="D2304" s="52" t="s">
        <v>105</v>
      </c>
      <c r="E2304" s="52" t="s">
        <v>619</v>
      </c>
      <c r="F2304" s="52" t="s">
        <v>26</v>
      </c>
      <c r="G2304" s="55" t="s">
        <v>275</v>
      </c>
      <c r="H2304" s="55">
        <v>-120.2012</v>
      </c>
      <c r="I2304" s="55">
        <v>21.625900000000001</v>
      </c>
      <c r="J2304" s="55">
        <v>11.232049999999999</v>
      </c>
      <c r="K2304" s="55">
        <v>18.66939</v>
      </c>
      <c r="L2304" s="55">
        <v>24.870229999999999</v>
      </c>
      <c r="M2304" s="55">
        <v>12.747120000000001</v>
      </c>
      <c r="N2304" s="55">
        <v>11.45393</v>
      </c>
    </row>
    <row r="2305" spans="1:14" hidden="1" x14ac:dyDescent="0.35">
      <c r="A2305" s="52" t="s">
        <v>226</v>
      </c>
      <c r="B2305" s="52" t="s">
        <v>37</v>
      </c>
      <c r="C2305" s="52" t="s">
        <v>105</v>
      </c>
      <c r="D2305" s="52" t="s">
        <v>105</v>
      </c>
      <c r="E2305" s="52" t="s">
        <v>619</v>
      </c>
      <c r="F2305" s="52" t="s">
        <v>26</v>
      </c>
      <c r="G2305" s="55" t="s">
        <v>276</v>
      </c>
      <c r="H2305" s="55">
        <v>-37.846879999999999</v>
      </c>
      <c r="I2305" s="55">
        <v>-21.806059999999999</v>
      </c>
      <c r="J2305" s="55">
        <v>-15.91746</v>
      </c>
      <c r="K2305" s="55">
        <v>-14.044919999999999</v>
      </c>
      <c r="L2305" s="55">
        <v>-16.182259999999999</v>
      </c>
      <c r="M2305" s="55">
        <v>0.13046279999999999</v>
      </c>
      <c r="N2305" s="55">
        <v>-0.48661789999999999</v>
      </c>
    </row>
    <row r="2306" spans="1:14" hidden="1" x14ac:dyDescent="0.35">
      <c r="A2306" s="52" t="s">
        <v>226</v>
      </c>
      <c r="B2306" s="52" t="s">
        <v>37</v>
      </c>
      <c r="C2306" s="52" t="s">
        <v>105</v>
      </c>
      <c r="D2306" s="52" t="s">
        <v>105</v>
      </c>
      <c r="E2306" s="52" t="s">
        <v>619</v>
      </c>
      <c r="F2306" s="52" t="s">
        <v>26</v>
      </c>
      <c r="G2306" s="55" t="s">
        <v>277</v>
      </c>
      <c r="H2306" s="55">
        <v>154.33009999999999</v>
      </c>
      <c r="I2306" s="55">
        <v>6.000413</v>
      </c>
      <c r="J2306" s="55">
        <v>22.5014</v>
      </c>
      <c r="K2306" s="55">
        <v>13.996320000000001</v>
      </c>
      <c r="L2306" s="55">
        <v>9.6396909999999991</v>
      </c>
      <c r="M2306" s="55">
        <v>0</v>
      </c>
      <c r="N2306" s="55">
        <v>0</v>
      </c>
    </row>
    <row r="2307" spans="1:14" hidden="1" x14ac:dyDescent="0.35">
      <c r="A2307" s="52" t="s">
        <v>226</v>
      </c>
      <c r="B2307" s="52" t="s">
        <v>37</v>
      </c>
      <c r="C2307" s="52" t="s">
        <v>105</v>
      </c>
      <c r="D2307" s="52" t="s">
        <v>105</v>
      </c>
      <c r="E2307" s="52" t="s">
        <v>619</v>
      </c>
      <c r="F2307" s="52" t="s">
        <v>26</v>
      </c>
      <c r="G2307" s="55" t="s">
        <v>278</v>
      </c>
      <c r="H2307" s="55">
        <v>22.07987</v>
      </c>
      <c r="I2307" s="55">
        <v>9.4891670000000001</v>
      </c>
      <c r="J2307" s="55">
        <v>2.0251600000000001</v>
      </c>
      <c r="K2307" s="55">
        <v>1.1867319999999999</v>
      </c>
      <c r="L2307" s="55">
        <v>0.18062120000000001</v>
      </c>
      <c r="M2307" s="55">
        <v>0</v>
      </c>
      <c r="N2307" s="55"/>
    </row>
    <row r="2308" spans="1:14" hidden="1" x14ac:dyDescent="0.35">
      <c r="A2308" s="52" t="s">
        <v>226</v>
      </c>
      <c r="B2308" s="52" t="s">
        <v>37</v>
      </c>
      <c r="C2308" s="52" t="s">
        <v>105</v>
      </c>
      <c r="D2308" s="52" t="s">
        <v>105</v>
      </c>
      <c r="E2308" s="52" t="s">
        <v>619</v>
      </c>
      <c r="F2308" s="52" t="s">
        <v>26</v>
      </c>
      <c r="G2308" s="55" t="s">
        <v>279</v>
      </c>
      <c r="H2308" s="55">
        <v>32.75226</v>
      </c>
      <c r="I2308" s="55">
        <v>30.476790000000001</v>
      </c>
      <c r="J2308" s="55">
        <v>32.173690000000001</v>
      </c>
      <c r="K2308" s="55">
        <v>36.54927</v>
      </c>
      <c r="L2308" s="55">
        <v>33.631349999999998</v>
      </c>
      <c r="M2308" s="55">
        <v>30.267990000000001</v>
      </c>
      <c r="N2308" s="55">
        <v>25.834810000000001</v>
      </c>
    </row>
    <row r="2309" spans="1:14" hidden="1" x14ac:dyDescent="0.35">
      <c r="A2309" s="52" t="s">
        <v>226</v>
      </c>
      <c r="B2309" s="52" t="s">
        <v>37</v>
      </c>
      <c r="C2309" s="52" t="s">
        <v>105</v>
      </c>
      <c r="D2309" s="52" t="s">
        <v>105</v>
      </c>
      <c r="E2309" s="52" t="s">
        <v>656</v>
      </c>
      <c r="F2309" s="52" t="s">
        <v>581</v>
      </c>
      <c r="G2309" s="55" t="s">
        <v>275</v>
      </c>
      <c r="H2309" s="55">
        <v>-57.06588</v>
      </c>
      <c r="I2309" s="55">
        <v>-2.3596119999999998</v>
      </c>
      <c r="J2309" s="55">
        <v>12.550990000000001</v>
      </c>
      <c r="K2309" s="55">
        <v>12.3629</v>
      </c>
      <c r="L2309" s="55">
        <v>16.638529999999999</v>
      </c>
      <c r="M2309" s="55">
        <v>7.9823449999999996</v>
      </c>
      <c r="N2309" s="55">
        <v>8.867267</v>
      </c>
    </row>
    <row r="2310" spans="1:14" hidden="1" x14ac:dyDescent="0.35">
      <c r="A2310" s="52" t="s">
        <v>226</v>
      </c>
      <c r="B2310" s="52" t="s">
        <v>37</v>
      </c>
      <c r="C2310" s="52" t="s">
        <v>105</v>
      </c>
      <c r="D2310" s="52" t="s">
        <v>105</v>
      </c>
      <c r="E2310" s="52" t="s">
        <v>656</v>
      </c>
      <c r="F2310" s="52" t="s">
        <v>581</v>
      </c>
      <c r="G2310" s="55" t="s">
        <v>276</v>
      </c>
      <c r="H2310" s="55">
        <v>2.5167579999999998</v>
      </c>
      <c r="I2310" s="55">
        <v>-0.25870480000000001</v>
      </c>
      <c r="J2310" s="55">
        <v>-1.405162</v>
      </c>
      <c r="K2310" s="55">
        <v>6.3333120000000007E-2</v>
      </c>
      <c r="L2310" s="55">
        <v>-6.411664</v>
      </c>
      <c r="M2310" s="55">
        <v>0.42292210000000002</v>
      </c>
      <c r="N2310" s="55">
        <v>2.1812369999999999</v>
      </c>
    </row>
    <row r="2311" spans="1:14" hidden="1" x14ac:dyDescent="0.35">
      <c r="A2311" s="52" t="s">
        <v>226</v>
      </c>
      <c r="B2311" s="52" t="s">
        <v>37</v>
      </c>
      <c r="C2311" s="52" t="s">
        <v>105</v>
      </c>
      <c r="D2311" s="52" t="s">
        <v>105</v>
      </c>
      <c r="E2311" s="52" t="s">
        <v>656</v>
      </c>
      <c r="F2311" s="52" t="s">
        <v>581</v>
      </c>
      <c r="G2311" s="55" t="s">
        <v>277</v>
      </c>
      <c r="H2311" s="55">
        <v>52.611969999999999</v>
      </c>
      <c r="I2311" s="55">
        <v>2.7928350000000002</v>
      </c>
      <c r="J2311" s="55">
        <v>7.652901</v>
      </c>
      <c r="K2311" s="55">
        <v>3.2654649999999998</v>
      </c>
      <c r="L2311" s="55">
        <v>4.5774689999999998</v>
      </c>
      <c r="M2311" s="55">
        <v>7.3384130000000001</v>
      </c>
      <c r="N2311" s="55">
        <v>6.46882</v>
      </c>
    </row>
    <row r="2312" spans="1:14" hidden="1" x14ac:dyDescent="0.35">
      <c r="A2312" s="52" t="s">
        <v>226</v>
      </c>
      <c r="B2312" s="52" t="s">
        <v>37</v>
      </c>
      <c r="C2312" s="52" t="s">
        <v>105</v>
      </c>
      <c r="D2312" s="52" t="s">
        <v>105</v>
      </c>
      <c r="E2312" s="52" t="s">
        <v>656</v>
      </c>
      <c r="F2312" s="52" t="s">
        <v>581</v>
      </c>
      <c r="G2312" s="55" t="s">
        <v>278</v>
      </c>
      <c r="H2312" s="55">
        <v>38.438040000000001</v>
      </c>
      <c r="I2312" s="55">
        <v>24.630479999999999</v>
      </c>
      <c r="J2312" s="55">
        <v>5.4304459999999999</v>
      </c>
      <c r="K2312" s="55">
        <v>5.41981</v>
      </c>
      <c r="L2312" s="55">
        <v>5.4604559999999998</v>
      </c>
      <c r="M2312" s="55">
        <v>3.3214549999999998</v>
      </c>
      <c r="N2312" s="55">
        <v>1.861626</v>
      </c>
    </row>
    <row r="2313" spans="1:14" hidden="1" x14ac:dyDescent="0.35">
      <c r="A2313" s="52" t="s">
        <v>226</v>
      </c>
      <c r="B2313" s="52" t="s">
        <v>37</v>
      </c>
      <c r="C2313" s="52" t="s">
        <v>105</v>
      </c>
      <c r="D2313" s="52" t="s">
        <v>105</v>
      </c>
      <c r="E2313" s="52" t="s">
        <v>656</v>
      </c>
      <c r="F2313" s="52" t="s">
        <v>581</v>
      </c>
      <c r="G2313" s="55" t="s">
        <v>279</v>
      </c>
      <c r="H2313" s="55">
        <v>8.6720430000000004</v>
      </c>
      <c r="I2313" s="55">
        <v>10.32315</v>
      </c>
      <c r="J2313" s="55">
        <v>9.6460840000000001</v>
      </c>
      <c r="K2313" s="55">
        <v>8.7123539999999995</v>
      </c>
      <c r="L2313" s="55">
        <v>7.8366889999999998</v>
      </c>
      <c r="M2313" s="55">
        <v>8.3786199999999997</v>
      </c>
      <c r="N2313" s="55">
        <v>8.2688009999999998</v>
      </c>
    </row>
    <row r="2314" spans="1:14" hidden="1" x14ac:dyDescent="0.35">
      <c r="A2314" s="52" t="s">
        <v>226</v>
      </c>
      <c r="B2314" s="52" t="s">
        <v>37</v>
      </c>
      <c r="C2314" s="52" t="s">
        <v>105</v>
      </c>
      <c r="D2314" s="52" t="s">
        <v>105</v>
      </c>
      <c r="E2314" s="52" t="s">
        <v>656</v>
      </c>
      <c r="F2314" s="52" t="s">
        <v>26</v>
      </c>
      <c r="G2314" s="55" t="s">
        <v>275</v>
      </c>
      <c r="H2314" s="55">
        <v>0.70071099999999997</v>
      </c>
      <c r="I2314" s="55">
        <v>1.0147139999999999</v>
      </c>
      <c r="J2314" s="55">
        <v>1.1528830000000001</v>
      </c>
      <c r="K2314" s="55">
        <v>0.93801140000000005</v>
      </c>
      <c r="L2314" s="55">
        <v>0.89298180000000005</v>
      </c>
      <c r="M2314" s="55">
        <v>0.74238009999999999</v>
      </c>
      <c r="N2314" s="55">
        <v>0.74073440000000002</v>
      </c>
    </row>
    <row r="2315" spans="1:14" hidden="1" x14ac:dyDescent="0.35">
      <c r="A2315" s="52" t="s">
        <v>226</v>
      </c>
      <c r="B2315" s="52" t="s">
        <v>37</v>
      </c>
      <c r="C2315" s="52" t="s">
        <v>105</v>
      </c>
      <c r="D2315" s="52" t="s">
        <v>105</v>
      </c>
      <c r="E2315" s="52" t="s">
        <v>656</v>
      </c>
      <c r="F2315" s="52" t="s">
        <v>26</v>
      </c>
      <c r="G2315" s="55" t="s">
        <v>276</v>
      </c>
      <c r="H2315" s="55">
        <v>0.24288000000000001</v>
      </c>
      <c r="I2315" s="55">
        <v>0.3517209</v>
      </c>
      <c r="J2315" s="55">
        <v>0.3996113</v>
      </c>
      <c r="K2315" s="55">
        <v>0.32513310000000001</v>
      </c>
      <c r="L2315" s="55">
        <v>0.30952560000000001</v>
      </c>
      <c r="M2315" s="55">
        <v>0.2573241</v>
      </c>
      <c r="N2315" s="55">
        <v>0.25675360000000003</v>
      </c>
    </row>
    <row r="2316" spans="1:14" hidden="1" x14ac:dyDescent="0.35">
      <c r="A2316" s="52" t="s">
        <v>226</v>
      </c>
      <c r="B2316" s="52" t="s">
        <v>37</v>
      </c>
      <c r="C2316" s="52" t="s">
        <v>105</v>
      </c>
      <c r="D2316" s="52" t="s">
        <v>105</v>
      </c>
      <c r="E2316" s="52" t="s">
        <v>656</v>
      </c>
      <c r="F2316" s="52" t="s">
        <v>26</v>
      </c>
      <c r="G2316" s="55" t="s">
        <v>279</v>
      </c>
      <c r="H2316" s="55">
        <v>1.4367289999999999</v>
      </c>
      <c r="I2316" s="55">
        <v>2.2966479999999998</v>
      </c>
      <c r="J2316" s="55">
        <v>2.1689820000000002</v>
      </c>
      <c r="K2316" s="55">
        <v>1.9890330000000001</v>
      </c>
      <c r="L2316" s="55">
        <v>1.8375699999999999</v>
      </c>
      <c r="M2316" s="55">
        <v>1.9004049999999999</v>
      </c>
      <c r="N2316" s="55">
        <v>1.865713</v>
      </c>
    </row>
    <row r="2317" spans="1:14" hidden="1" x14ac:dyDescent="0.35">
      <c r="A2317" s="52" t="s">
        <v>226</v>
      </c>
      <c r="B2317" s="52" t="s">
        <v>37</v>
      </c>
      <c r="C2317" s="52" t="s">
        <v>105</v>
      </c>
      <c r="D2317" s="52" t="s">
        <v>105</v>
      </c>
      <c r="E2317" s="52" t="s">
        <v>633</v>
      </c>
      <c r="F2317" s="52" t="s">
        <v>581</v>
      </c>
      <c r="G2317" s="55" t="s">
        <v>275</v>
      </c>
      <c r="H2317" s="55">
        <v>12.13847</v>
      </c>
      <c r="I2317" s="55">
        <v>3.6546729999999998</v>
      </c>
      <c r="J2317" s="55">
        <v>3.1818390000000001</v>
      </c>
      <c r="K2317" s="55">
        <v>2.9758930000000001</v>
      </c>
      <c r="L2317" s="55">
        <v>2.8437299999999999</v>
      </c>
      <c r="M2317" s="55">
        <v>2.3329230000000001</v>
      </c>
      <c r="N2317" s="55">
        <v>2.0913529999999998</v>
      </c>
    </row>
    <row r="2318" spans="1:14" hidden="1" x14ac:dyDescent="0.35">
      <c r="A2318" s="52" t="s">
        <v>226</v>
      </c>
      <c r="B2318" s="52" t="s">
        <v>37</v>
      </c>
      <c r="C2318" s="52" t="s">
        <v>105</v>
      </c>
      <c r="D2318" s="52" t="s">
        <v>105</v>
      </c>
      <c r="E2318" s="52" t="s">
        <v>633</v>
      </c>
      <c r="F2318" s="52" t="s">
        <v>581</v>
      </c>
      <c r="G2318" s="55" t="s">
        <v>276</v>
      </c>
      <c r="H2318" s="55">
        <v>4.2074379999999998</v>
      </c>
      <c r="I2318" s="55">
        <v>1.2667809999999999</v>
      </c>
      <c r="J2318" s="55">
        <v>1.1028899999999999</v>
      </c>
      <c r="K2318" s="55">
        <v>1.031506</v>
      </c>
      <c r="L2318" s="55">
        <v>0.98569410000000002</v>
      </c>
      <c r="M2318" s="55">
        <v>0.80863799999999997</v>
      </c>
      <c r="N2318" s="55">
        <v>0.72490540000000003</v>
      </c>
    </row>
    <row r="2319" spans="1:14" hidden="1" x14ac:dyDescent="0.35">
      <c r="A2319" s="52" t="s">
        <v>226</v>
      </c>
      <c r="B2319" s="52" t="s">
        <v>37</v>
      </c>
      <c r="C2319" s="52" t="s">
        <v>105</v>
      </c>
      <c r="D2319" s="52" t="s">
        <v>105</v>
      </c>
      <c r="E2319" s="52" t="s">
        <v>633</v>
      </c>
      <c r="F2319" s="52" t="s">
        <v>581</v>
      </c>
      <c r="G2319" s="55" t="s">
        <v>279</v>
      </c>
      <c r="H2319" s="55">
        <v>6.6974710000000002</v>
      </c>
      <c r="I2319" s="55">
        <v>4.093731</v>
      </c>
      <c r="J2319" s="55">
        <v>3.3564970000000001</v>
      </c>
      <c r="K2319" s="55">
        <v>3.311226</v>
      </c>
      <c r="L2319" s="55">
        <v>2.9962270000000002</v>
      </c>
      <c r="M2319" s="55">
        <v>3.0007670000000002</v>
      </c>
      <c r="N2319" s="55">
        <v>2.6677390000000001</v>
      </c>
    </row>
    <row r="2320" spans="1:14" hidden="1" x14ac:dyDescent="0.35">
      <c r="A2320" s="52" t="s">
        <v>226</v>
      </c>
      <c r="B2320" s="52" t="s">
        <v>37</v>
      </c>
      <c r="C2320" s="52" t="s">
        <v>105</v>
      </c>
      <c r="D2320" s="52" t="s">
        <v>105</v>
      </c>
      <c r="E2320" s="52" t="s">
        <v>633</v>
      </c>
      <c r="F2320" s="52" t="s">
        <v>26</v>
      </c>
      <c r="G2320" s="55" t="s">
        <v>275</v>
      </c>
      <c r="H2320" s="55">
        <v>-9.0020889999999998</v>
      </c>
      <c r="I2320" s="55">
        <v>7.8943459999999996</v>
      </c>
      <c r="J2320" s="55">
        <v>8.6112420000000007</v>
      </c>
      <c r="K2320" s="55">
        <v>6.6336649999999997</v>
      </c>
      <c r="L2320" s="55">
        <v>2.4621659999999999</v>
      </c>
      <c r="M2320" s="55">
        <v>1.9718</v>
      </c>
      <c r="N2320" s="55">
        <v>1.7400100000000001</v>
      </c>
    </row>
    <row r="2321" spans="1:14" hidden="1" x14ac:dyDescent="0.35">
      <c r="A2321" s="52" t="s">
        <v>226</v>
      </c>
      <c r="B2321" s="52" t="s">
        <v>37</v>
      </c>
      <c r="C2321" s="52" t="s">
        <v>105</v>
      </c>
      <c r="D2321" s="52" t="s">
        <v>105</v>
      </c>
      <c r="E2321" s="52" t="s">
        <v>633</v>
      </c>
      <c r="F2321" s="52" t="s">
        <v>26</v>
      </c>
      <c r="G2321" s="55" t="s">
        <v>276</v>
      </c>
      <c r="H2321" s="55">
        <v>-6.4347760000000003</v>
      </c>
      <c r="I2321" s="55">
        <v>-3.7444269999999999</v>
      </c>
      <c r="J2321" s="55">
        <v>-4.2912699999999999</v>
      </c>
      <c r="K2321" s="55">
        <v>-2.9105479999999999</v>
      </c>
      <c r="L2321" s="55">
        <v>-1.4996</v>
      </c>
      <c r="M2321" s="55">
        <v>0.54471400000000003</v>
      </c>
      <c r="N2321" s="55">
        <v>0.49212129999999998</v>
      </c>
    </row>
    <row r="2322" spans="1:14" hidden="1" x14ac:dyDescent="0.35">
      <c r="A2322" s="52" t="s">
        <v>226</v>
      </c>
      <c r="B2322" s="52" t="s">
        <v>37</v>
      </c>
      <c r="C2322" s="52" t="s">
        <v>105</v>
      </c>
      <c r="D2322" s="52" t="s">
        <v>105</v>
      </c>
      <c r="E2322" s="52" t="s">
        <v>633</v>
      </c>
      <c r="F2322" s="52" t="s">
        <v>26</v>
      </c>
      <c r="G2322" s="55" t="s">
        <v>277</v>
      </c>
      <c r="H2322" s="55">
        <v>15.138350000000001</v>
      </c>
      <c r="I2322" s="55">
        <v>0</v>
      </c>
      <c r="J2322" s="55"/>
      <c r="K2322" s="55">
        <v>0</v>
      </c>
      <c r="L2322" s="55">
        <v>2.501871</v>
      </c>
      <c r="M2322" s="55">
        <v>0</v>
      </c>
      <c r="N2322" s="55">
        <v>0</v>
      </c>
    </row>
    <row r="2323" spans="1:14" hidden="1" x14ac:dyDescent="0.35">
      <c r="A2323" s="52" t="s">
        <v>226</v>
      </c>
      <c r="B2323" s="52" t="s">
        <v>37</v>
      </c>
      <c r="C2323" s="52" t="s">
        <v>105</v>
      </c>
      <c r="D2323" s="52" t="s">
        <v>105</v>
      </c>
      <c r="E2323" s="52" t="s">
        <v>633</v>
      </c>
      <c r="F2323" s="52" t="s">
        <v>26</v>
      </c>
      <c r="G2323" s="55" t="s">
        <v>278</v>
      </c>
      <c r="H2323" s="55">
        <v>6.3216460000000003</v>
      </c>
      <c r="I2323" s="55">
        <v>0</v>
      </c>
      <c r="J2323" s="55"/>
      <c r="K2323" s="55"/>
      <c r="L2323" s="55"/>
      <c r="M2323" s="55"/>
      <c r="N2323" s="55"/>
    </row>
    <row r="2324" spans="1:14" hidden="1" x14ac:dyDescent="0.35">
      <c r="A2324" s="52" t="s">
        <v>226</v>
      </c>
      <c r="B2324" s="52" t="s">
        <v>37</v>
      </c>
      <c r="C2324" s="52" t="s">
        <v>105</v>
      </c>
      <c r="D2324" s="52" t="s">
        <v>105</v>
      </c>
      <c r="E2324" s="52" t="s">
        <v>633</v>
      </c>
      <c r="F2324" s="52" t="s">
        <v>26</v>
      </c>
      <c r="G2324" s="55" t="s">
        <v>279</v>
      </c>
      <c r="H2324" s="55">
        <v>13.03797</v>
      </c>
      <c r="I2324" s="55">
        <v>10.200559999999999</v>
      </c>
      <c r="J2324" s="55">
        <v>8.4081489999999999</v>
      </c>
      <c r="K2324" s="55">
        <v>8.4047169999999998</v>
      </c>
      <c r="L2324" s="55">
        <v>7.7997990000000001</v>
      </c>
      <c r="M2324" s="55">
        <v>7.5707820000000003</v>
      </c>
      <c r="N2324" s="55">
        <v>6.7258709999999997</v>
      </c>
    </row>
    <row r="2325" spans="1:14" hidden="1" x14ac:dyDescent="0.35">
      <c r="A2325" s="52" t="s">
        <v>226</v>
      </c>
      <c r="B2325" s="52" t="s">
        <v>37</v>
      </c>
      <c r="C2325" s="52" t="s">
        <v>35</v>
      </c>
      <c r="D2325" s="52" t="s">
        <v>39</v>
      </c>
      <c r="E2325" s="52" t="s">
        <v>580</v>
      </c>
      <c r="F2325" s="52" t="s">
        <v>581</v>
      </c>
      <c r="G2325" s="55" t="s">
        <v>275</v>
      </c>
      <c r="H2325" s="55">
        <v>-40.856960000000001</v>
      </c>
      <c r="I2325" s="55">
        <v>46.854790000000001</v>
      </c>
      <c r="J2325" s="55">
        <v>55.386339999999997</v>
      </c>
      <c r="K2325" s="55">
        <v>111.3165</v>
      </c>
      <c r="L2325" s="55">
        <v>81.196489999999997</v>
      </c>
      <c r="M2325" s="55">
        <v>26.800049999999999</v>
      </c>
      <c r="N2325" s="55">
        <v>25.782309999999999</v>
      </c>
    </row>
    <row r="2326" spans="1:14" hidden="1" x14ac:dyDescent="0.35">
      <c r="A2326" s="52" t="s">
        <v>226</v>
      </c>
      <c r="B2326" s="52" t="s">
        <v>37</v>
      </c>
      <c r="C2326" s="52" t="s">
        <v>35</v>
      </c>
      <c r="D2326" s="52" t="s">
        <v>39</v>
      </c>
      <c r="E2326" s="52" t="s">
        <v>580</v>
      </c>
      <c r="F2326" s="52" t="s">
        <v>581</v>
      </c>
      <c r="G2326" s="55" t="s">
        <v>276</v>
      </c>
      <c r="H2326" s="55">
        <v>29.943429999999999</v>
      </c>
      <c r="I2326" s="55">
        <v>-6.276097</v>
      </c>
      <c r="J2326" s="55">
        <v>-9.1517079999999993</v>
      </c>
      <c r="K2326" s="55">
        <v>-17.936599999999999</v>
      </c>
      <c r="L2326" s="55">
        <v>-8.8287580000000005</v>
      </c>
      <c r="M2326" s="55">
        <v>10.44431</v>
      </c>
      <c r="N2326" s="55">
        <v>10.329499999999999</v>
      </c>
    </row>
    <row r="2327" spans="1:14" hidden="1" x14ac:dyDescent="0.35">
      <c r="A2327" s="52" t="s">
        <v>226</v>
      </c>
      <c r="B2327" s="52" t="s">
        <v>37</v>
      </c>
      <c r="C2327" s="52" t="s">
        <v>35</v>
      </c>
      <c r="D2327" s="52" t="s">
        <v>39</v>
      </c>
      <c r="E2327" s="52" t="s">
        <v>580</v>
      </c>
      <c r="F2327" s="52" t="s">
        <v>581</v>
      </c>
      <c r="G2327" s="55" t="s">
        <v>277</v>
      </c>
      <c r="H2327" s="55">
        <v>28.67211</v>
      </c>
      <c r="I2327" s="55">
        <v>8.5804849999999995</v>
      </c>
      <c r="J2327" s="55">
        <v>51.57884</v>
      </c>
      <c r="K2327" s="55">
        <v>8.9110300000000002</v>
      </c>
      <c r="L2327" s="55">
        <v>12.298360000000001</v>
      </c>
      <c r="M2327" s="55">
        <v>23.49879</v>
      </c>
      <c r="N2327" s="55">
        <v>29.759889999999999</v>
      </c>
    </row>
    <row r="2328" spans="1:14" hidden="1" x14ac:dyDescent="0.35">
      <c r="A2328" s="52" t="s">
        <v>226</v>
      </c>
      <c r="B2328" s="52" t="s">
        <v>37</v>
      </c>
      <c r="C2328" s="52" t="s">
        <v>35</v>
      </c>
      <c r="D2328" s="52" t="s">
        <v>39</v>
      </c>
      <c r="E2328" s="52" t="s">
        <v>580</v>
      </c>
      <c r="F2328" s="52" t="s">
        <v>581</v>
      </c>
      <c r="G2328" s="55" t="s">
        <v>278</v>
      </c>
      <c r="H2328" s="55">
        <v>280.43790000000001</v>
      </c>
      <c r="I2328" s="55">
        <v>58.06297</v>
      </c>
      <c r="J2328" s="55">
        <v>33.052759999999999</v>
      </c>
      <c r="K2328" s="55">
        <v>25.577459999999999</v>
      </c>
      <c r="L2328" s="55">
        <v>31.923259999999999</v>
      </c>
      <c r="M2328" s="55">
        <v>51.431019999999997</v>
      </c>
      <c r="N2328" s="55">
        <v>56.392769999999999</v>
      </c>
    </row>
    <row r="2329" spans="1:14" hidden="1" x14ac:dyDescent="0.35">
      <c r="A2329" s="52" t="s">
        <v>226</v>
      </c>
      <c r="B2329" s="52" t="s">
        <v>37</v>
      </c>
      <c r="C2329" s="52" t="s">
        <v>35</v>
      </c>
      <c r="D2329" s="52" t="s">
        <v>39</v>
      </c>
      <c r="E2329" s="52" t="s">
        <v>580</v>
      </c>
      <c r="F2329" s="52" t="s">
        <v>581</v>
      </c>
      <c r="G2329" s="55" t="s">
        <v>279</v>
      </c>
      <c r="H2329" s="55">
        <v>80.771479999999997</v>
      </c>
      <c r="I2329" s="55">
        <v>54.696379999999998</v>
      </c>
      <c r="J2329" s="55">
        <v>63.128889999999998</v>
      </c>
      <c r="K2329" s="55">
        <v>64.059070000000006</v>
      </c>
      <c r="L2329" s="55">
        <v>54.453139999999998</v>
      </c>
      <c r="M2329" s="55">
        <v>62.044359999999998</v>
      </c>
      <c r="N2329" s="55">
        <v>66.701880000000003</v>
      </c>
    </row>
    <row r="2330" spans="1:14" hidden="1" x14ac:dyDescent="0.35">
      <c r="A2330" s="52" t="s">
        <v>226</v>
      </c>
      <c r="B2330" s="52" t="s">
        <v>37</v>
      </c>
      <c r="C2330" s="52" t="s">
        <v>35</v>
      </c>
      <c r="D2330" s="52" t="s">
        <v>39</v>
      </c>
      <c r="E2330" s="52" t="s">
        <v>580</v>
      </c>
      <c r="F2330" s="52" t="s">
        <v>26</v>
      </c>
      <c r="G2330" s="55" t="s">
        <v>275</v>
      </c>
      <c r="H2330" s="55">
        <v>10.352969999999999</v>
      </c>
      <c r="I2330" s="55">
        <v>7.0411130000000002</v>
      </c>
      <c r="J2330" s="55">
        <v>9.9955929999999995</v>
      </c>
      <c r="K2330" s="55">
        <v>9.1214809999999993</v>
      </c>
      <c r="L2330" s="55">
        <v>8.2783630000000006</v>
      </c>
      <c r="M2330" s="55">
        <v>7.0366220000000004</v>
      </c>
      <c r="N2330" s="55">
        <v>7.5835239999999997</v>
      </c>
    </row>
    <row r="2331" spans="1:14" hidden="1" x14ac:dyDescent="0.35">
      <c r="A2331" s="52" t="s">
        <v>226</v>
      </c>
      <c r="B2331" s="52" t="s">
        <v>37</v>
      </c>
      <c r="C2331" s="52" t="s">
        <v>35</v>
      </c>
      <c r="D2331" s="52" t="s">
        <v>39</v>
      </c>
      <c r="E2331" s="52" t="s">
        <v>580</v>
      </c>
      <c r="F2331" s="52" t="s">
        <v>26</v>
      </c>
      <c r="G2331" s="55" t="s">
        <v>276</v>
      </c>
      <c r="H2331" s="55">
        <v>2.752059</v>
      </c>
      <c r="I2331" s="55">
        <v>1.8716889999999999</v>
      </c>
      <c r="J2331" s="55">
        <v>2.6570589999999998</v>
      </c>
      <c r="K2331" s="55">
        <v>2.4247010000000002</v>
      </c>
      <c r="L2331" s="55">
        <v>2.200577</v>
      </c>
      <c r="M2331" s="55">
        <v>1.8704940000000001</v>
      </c>
      <c r="N2331" s="55">
        <v>2.0158719999999999</v>
      </c>
    </row>
    <row r="2332" spans="1:14" hidden="1" x14ac:dyDescent="0.35">
      <c r="A2332" s="52" t="s">
        <v>226</v>
      </c>
      <c r="B2332" s="52" t="s">
        <v>37</v>
      </c>
      <c r="C2332" s="52" t="s">
        <v>35</v>
      </c>
      <c r="D2332" s="52" t="s">
        <v>39</v>
      </c>
      <c r="E2332" s="52" t="s">
        <v>580</v>
      </c>
      <c r="F2332" s="52" t="s">
        <v>26</v>
      </c>
      <c r="G2332" s="55" t="s">
        <v>279</v>
      </c>
      <c r="H2332" s="55">
        <v>21.6633</v>
      </c>
      <c r="I2332" s="55">
        <v>16.356549999999999</v>
      </c>
      <c r="J2332" s="55">
        <v>19.01416</v>
      </c>
      <c r="K2332" s="55">
        <v>19.58924</v>
      </c>
      <c r="L2332" s="55">
        <v>17.046900000000001</v>
      </c>
      <c r="M2332" s="55">
        <v>18.964980000000001</v>
      </c>
      <c r="N2332" s="55">
        <v>20.343889999999998</v>
      </c>
    </row>
    <row r="2333" spans="1:14" hidden="1" x14ac:dyDescent="0.35">
      <c r="A2333" s="52" t="s">
        <v>226</v>
      </c>
      <c r="B2333" s="52" t="s">
        <v>37</v>
      </c>
      <c r="C2333" s="52" t="s">
        <v>35</v>
      </c>
      <c r="D2333" s="52" t="s">
        <v>39</v>
      </c>
      <c r="E2333" s="52" t="s">
        <v>591</v>
      </c>
      <c r="F2333" s="52" t="s">
        <v>581</v>
      </c>
      <c r="G2333" s="55" t="s">
        <v>275</v>
      </c>
      <c r="H2333" s="55">
        <v>7.2758289999999999</v>
      </c>
      <c r="I2333" s="55">
        <v>2.5124070000000001</v>
      </c>
      <c r="J2333" s="55">
        <v>2.2886669999999998</v>
      </c>
      <c r="K2333" s="55">
        <v>2.0472410000000001</v>
      </c>
      <c r="L2333" s="55">
        <v>1.8850100000000001</v>
      </c>
      <c r="M2333" s="55">
        <v>1.6198669999999999</v>
      </c>
      <c r="N2333" s="55">
        <v>1.466143</v>
      </c>
    </row>
    <row r="2334" spans="1:14" hidden="1" x14ac:dyDescent="0.35">
      <c r="A2334" s="52" t="s">
        <v>226</v>
      </c>
      <c r="B2334" s="52" t="s">
        <v>37</v>
      </c>
      <c r="C2334" s="52" t="s">
        <v>35</v>
      </c>
      <c r="D2334" s="52" t="s">
        <v>39</v>
      </c>
      <c r="E2334" s="52" t="s">
        <v>591</v>
      </c>
      <c r="F2334" s="52" t="s">
        <v>581</v>
      </c>
      <c r="G2334" s="55" t="s">
        <v>276</v>
      </c>
      <c r="H2334" s="55">
        <v>1.93408</v>
      </c>
      <c r="I2334" s="55">
        <v>0.66785530000000004</v>
      </c>
      <c r="J2334" s="55">
        <v>0.6083788</v>
      </c>
      <c r="K2334" s="55">
        <v>0.5442034</v>
      </c>
      <c r="L2334" s="55">
        <v>0.5010791</v>
      </c>
      <c r="M2334" s="55">
        <v>0.43059730000000002</v>
      </c>
      <c r="N2334" s="55">
        <v>0.38973419999999998</v>
      </c>
    </row>
    <row r="2335" spans="1:14" hidden="1" x14ac:dyDescent="0.35">
      <c r="A2335" s="52" t="s">
        <v>226</v>
      </c>
      <c r="B2335" s="52" t="s">
        <v>37</v>
      </c>
      <c r="C2335" s="52" t="s">
        <v>35</v>
      </c>
      <c r="D2335" s="52" t="s">
        <v>39</v>
      </c>
      <c r="E2335" s="52" t="s">
        <v>591</v>
      </c>
      <c r="F2335" s="52" t="s">
        <v>581</v>
      </c>
      <c r="G2335" s="55" t="s">
        <v>277</v>
      </c>
      <c r="H2335" s="55"/>
      <c r="I2335" s="55"/>
      <c r="J2335" s="55"/>
      <c r="K2335" s="55"/>
      <c r="L2335" s="55"/>
      <c r="M2335" s="55">
        <v>0</v>
      </c>
      <c r="N2335" s="55">
        <v>0</v>
      </c>
    </row>
    <row r="2336" spans="1:14" hidden="1" x14ac:dyDescent="0.35">
      <c r="A2336" s="52" t="s">
        <v>226</v>
      </c>
      <c r="B2336" s="52" t="s">
        <v>37</v>
      </c>
      <c r="C2336" s="52" t="s">
        <v>35</v>
      </c>
      <c r="D2336" s="52" t="s">
        <v>39</v>
      </c>
      <c r="E2336" s="52" t="s">
        <v>591</v>
      </c>
      <c r="F2336" s="52" t="s">
        <v>581</v>
      </c>
      <c r="G2336" s="55" t="s">
        <v>279</v>
      </c>
      <c r="H2336" s="55">
        <v>2.6590750000000001</v>
      </c>
      <c r="I2336" s="55">
        <v>1.720596</v>
      </c>
      <c r="J2336" s="55">
        <v>1.485921</v>
      </c>
      <c r="K2336" s="55">
        <v>1.3810659999999999</v>
      </c>
      <c r="L2336" s="55">
        <v>1.2136849999999999</v>
      </c>
      <c r="M2336" s="55">
        <v>1.2196880000000001</v>
      </c>
      <c r="N2336" s="55">
        <v>1.0979730000000001</v>
      </c>
    </row>
    <row r="2337" spans="1:14" hidden="1" x14ac:dyDescent="0.35">
      <c r="A2337" s="52" t="s">
        <v>226</v>
      </c>
      <c r="B2337" s="52" t="s">
        <v>37</v>
      </c>
      <c r="C2337" s="52" t="s">
        <v>35</v>
      </c>
      <c r="D2337" s="52" t="s">
        <v>39</v>
      </c>
      <c r="E2337" s="52" t="s">
        <v>591</v>
      </c>
      <c r="F2337" s="52" t="s">
        <v>26</v>
      </c>
      <c r="G2337" s="55" t="s">
        <v>275</v>
      </c>
      <c r="H2337" s="55">
        <v>9.3678999999999998E-2</v>
      </c>
      <c r="I2337" s="55">
        <v>6.2114999999999997E-2</v>
      </c>
      <c r="J2337" s="55">
        <v>7.38925E-2</v>
      </c>
      <c r="K2337" s="55">
        <v>5.83416E-2</v>
      </c>
      <c r="L2337" s="55">
        <v>5.3923499999999999E-2</v>
      </c>
      <c r="M2337" s="55">
        <v>3.4512899999999999E-2</v>
      </c>
      <c r="N2337" s="55">
        <v>3.09608E-2</v>
      </c>
    </row>
    <row r="2338" spans="1:14" hidden="1" x14ac:dyDescent="0.35">
      <c r="A2338" s="52" t="s">
        <v>226</v>
      </c>
      <c r="B2338" s="52" t="s">
        <v>37</v>
      </c>
      <c r="C2338" s="52" t="s">
        <v>35</v>
      </c>
      <c r="D2338" s="52" t="s">
        <v>39</v>
      </c>
      <c r="E2338" s="52" t="s">
        <v>591</v>
      </c>
      <c r="F2338" s="52" t="s">
        <v>26</v>
      </c>
      <c r="G2338" s="55" t="s">
        <v>276</v>
      </c>
      <c r="H2338" s="55">
        <v>2.4902000000000001E-2</v>
      </c>
      <c r="I2338" s="55">
        <v>1.6511499999999998E-2</v>
      </c>
      <c r="J2338" s="55">
        <v>1.96425E-2</v>
      </c>
      <c r="K2338" s="55">
        <v>1.55088E-2</v>
      </c>
      <c r="L2338" s="55">
        <v>1.4333500000000001E-2</v>
      </c>
      <c r="M2338" s="55">
        <v>9.1742000000000004E-3</v>
      </c>
      <c r="N2338" s="55">
        <v>8.2302E-3</v>
      </c>
    </row>
    <row r="2339" spans="1:14" hidden="1" x14ac:dyDescent="0.35">
      <c r="A2339" s="52" t="s">
        <v>226</v>
      </c>
      <c r="B2339" s="52" t="s">
        <v>37</v>
      </c>
      <c r="C2339" s="52" t="s">
        <v>35</v>
      </c>
      <c r="D2339" s="52" t="s">
        <v>39</v>
      </c>
      <c r="E2339" s="52" t="s">
        <v>591</v>
      </c>
      <c r="F2339" s="52" t="s">
        <v>26</v>
      </c>
      <c r="G2339" s="55" t="s">
        <v>279</v>
      </c>
      <c r="H2339" s="55">
        <v>0.392428</v>
      </c>
      <c r="I2339" s="55">
        <v>0.3070465</v>
      </c>
      <c r="J2339" s="55">
        <v>0.26805220000000002</v>
      </c>
      <c r="K2339" s="55">
        <v>0.25234509999999999</v>
      </c>
      <c r="L2339" s="55">
        <v>0.22618189999999999</v>
      </c>
      <c r="M2339" s="55">
        <v>0.22260679999999999</v>
      </c>
      <c r="N2339" s="55">
        <v>0.20018540000000001</v>
      </c>
    </row>
    <row r="2340" spans="1:14" hidden="1" x14ac:dyDescent="0.35">
      <c r="A2340" s="52" t="s">
        <v>226</v>
      </c>
      <c r="B2340" s="52" t="s">
        <v>37</v>
      </c>
      <c r="C2340" s="52" t="s">
        <v>35</v>
      </c>
      <c r="D2340" s="52" t="s">
        <v>38</v>
      </c>
      <c r="E2340" s="52" t="s">
        <v>580</v>
      </c>
      <c r="F2340" s="52" t="s">
        <v>581</v>
      </c>
      <c r="G2340" s="55" t="s">
        <v>275</v>
      </c>
      <c r="H2340" s="55">
        <v>-0.61326800000000004</v>
      </c>
      <c r="I2340" s="55">
        <v>2.1509E-2</v>
      </c>
      <c r="J2340" s="55">
        <v>1.7207E-2</v>
      </c>
      <c r="K2340" s="55">
        <v>-2.3960620000000001</v>
      </c>
      <c r="L2340" s="55">
        <v>-2.2464149999999998</v>
      </c>
      <c r="M2340" s="55">
        <v>-5.3319400000000003E-2</v>
      </c>
      <c r="N2340" s="55">
        <v>0.15069160000000001</v>
      </c>
    </row>
    <row r="2341" spans="1:14" hidden="1" x14ac:dyDescent="0.35">
      <c r="A2341" s="52" t="s">
        <v>226</v>
      </c>
      <c r="B2341" s="52" t="s">
        <v>37</v>
      </c>
      <c r="C2341" s="52" t="s">
        <v>35</v>
      </c>
      <c r="D2341" s="52" t="s">
        <v>38</v>
      </c>
      <c r="E2341" s="52" t="s">
        <v>580</v>
      </c>
      <c r="F2341" s="52" t="s">
        <v>581</v>
      </c>
      <c r="G2341" s="55" t="s">
        <v>276</v>
      </c>
      <c r="H2341" s="55">
        <v>-2.6887000000000001E-2</v>
      </c>
      <c r="I2341" s="55">
        <v>-2.1509E-2</v>
      </c>
      <c r="J2341" s="55">
        <v>-1.7207E-2</v>
      </c>
      <c r="K2341" s="55">
        <v>-0.30208960000000001</v>
      </c>
      <c r="L2341" s="55">
        <v>-0.33949469999999998</v>
      </c>
      <c r="M2341" s="55">
        <v>-0.1500978</v>
      </c>
      <c r="N2341" s="55">
        <v>-6.8682190000000004E-2</v>
      </c>
    </row>
    <row r="2342" spans="1:14" hidden="1" x14ac:dyDescent="0.35">
      <c r="A2342" s="52" t="s">
        <v>226</v>
      </c>
      <c r="B2342" s="52" t="s">
        <v>37</v>
      </c>
      <c r="C2342" s="52" t="s">
        <v>35</v>
      </c>
      <c r="D2342" s="52" t="s">
        <v>38</v>
      </c>
      <c r="E2342" s="52" t="s">
        <v>580</v>
      </c>
      <c r="F2342" s="52" t="s">
        <v>581</v>
      </c>
      <c r="G2342" s="55" t="s">
        <v>277</v>
      </c>
      <c r="H2342" s="55">
        <v>9.8676990000000006E-2</v>
      </c>
      <c r="I2342" s="55">
        <v>0</v>
      </c>
      <c r="J2342" s="55">
        <v>0</v>
      </c>
      <c r="K2342" s="55">
        <v>0.15467120000000001</v>
      </c>
      <c r="L2342" s="55">
        <v>0.72961370000000003</v>
      </c>
      <c r="M2342" s="55">
        <v>0</v>
      </c>
      <c r="N2342" s="55">
        <v>0</v>
      </c>
    </row>
    <row r="2343" spans="1:14" hidden="1" x14ac:dyDescent="0.35">
      <c r="A2343" s="52" t="s">
        <v>226</v>
      </c>
      <c r="B2343" s="52" t="s">
        <v>37</v>
      </c>
      <c r="C2343" s="52" t="s">
        <v>35</v>
      </c>
      <c r="D2343" s="52" t="s">
        <v>38</v>
      </c>
      <c r="E2343" s="52" t="s">
        <v>580</v>
      </c>
      <c r="F2343" s="52" t="s">
        <v>581</v>
      </c>
      <c r="G2343" s="55" t="s">
        <v>278</v>
      </c>
      <c r="H2343" s="55">
        <v>0.54147900000000004</v>
      </c>
      <c r="I2343" s="55">
        <v>0</v>
      </c>
      <c r="J2343" s="55">
        <v>0</v>
      </c>
      <c r="K2343" s="55">
        <v>1.5018100000000001</v>
      </c>
      <c r="L2343" s="55">
        <v>1.14103</v>
      </c>
      <c r="M2343" s="55">
        <v>0</v>
      </c>
      <c r="N2343" s="55"/>
    </row>
    <row r="2344" spans="1:14" hidden="1" x14ac:dyDescent="0.35">
      <c r="A2344" s="52" t="s">
        <v>226</v>
      </c>
      <c r="B2344" s="52" t="s">
        <v>37</v>
      </c>
      <c r="C2344" s="52" t="s">
        <v>35</v>
      </c>
      <c r="D2344" s="52" t="s">
        <v>38</v>
      </c>
      <c r="E2344" s="52" t="s">
        <v>580</v>
      </c>
      <c r="F2344" s="52" t="s">
        <v>581</v>
      </c>
      <c r="G2344" s="55" t="s">
        <v>279</v>
      </c>
      <c r="H2344" s="55"/>
      <c r="I2344" s="55"/>
      <c r="J2344" s="55">
        <v>0</v>
      </c>
      <c r="K2344" s="55">
        <v>1.675573</v>
      </c>
      <c r="L2344" s="55">
        <v>1.8812409999999999</v>
      </c>
      <c r="M2344" s="55">
        <v>1.1478219999999999</v>
      </c>
      <c r="N2344" s="55">
        <v>0.56277770000000005</v>
      </c>
    </row>
    <row r="2345" spans="1:14" hidden="1" x14ac:dyDescent="0.35">
      <c r="A2345" s="52" t="s">
        <v>226</v>
      </c>
      <c r="B2345" s="52" t="s">
        <v>37</v>
      </c>
      <c r="C2345" s="52" t="s">
        <v>35</v>
      </c>
      <c r="D2345" s="52" t="s">
        <v>38</v>
      </c>
      <c r="E2345" s="52" t="s">
        <v>580</v>
      </c>
      <c r="F2345" s="52" t="s">
        <v>26</v>
      </c>
      <c r="G2345" s="55" t="s">
        <v>275</v>
      </c>
      <c r="H2345" s="55"/>
      <c r="I2345" s="55"/>
      <c r="J2345" s="55">
        <v>0</v>
      </c>
      <c r="K2345" s="55">
        <v>-0.38802920000000002</v>
      </c>
      <c r="L2345" s="55">
        <v>-0.34357779999999999</v>
      </c>
      <c r="M2345" s="55">
        <v>-0.16330059999999999</v>
      </c>
      <c r="N2345" s="55">
        <v>-4.2829399999999997E-2</v>
      </c>
    </row>
    <row r="2346" spans="1:14" hidden="1" x14ac:dyDescent="0.35">
      <c r="A2346" s="52" t="s">
        <v>226</v>
      </c>
      <c r="B2346" s="52" t="s">
        <v>37</v>
      </c>
      <c r="C2346" s="52" t="s">
        <v>35</v>
      </c>
      <c r="D2346" s="52" t="s">
        <v>38</v>
      </c>
      <c r="E2346" s="52" t="s">
        <v>580</v>
      </c>
      <c r="F2346" s="52" t="s">
        <v>26</v>
      </c>
      <c r="G2346" s="55" t="s">
        <v>276</v>
      </c>
      <c r="H2346" s="55"/>
      <c r="I2346" s="55"/>
      <c r="J2346" s="55">
        <v>0</v>
      </c>
      <c r="K2346" s="55">
        <v>-0.10314669999999999</v>
      </c>
      <c r="L2346" s="55">
        <v>-9.1330099999999997E-2</v>
      </c>
      <c r="M2346" s="55">
        <v>-4.3408299999999997E-2</v>
      </c>
      <c r="N2346" s="55">
        <v>-1.1385599999999999E-2</v>
      </c>
    </row>
    <row r="2347" spans="1:14" hidden="1" x14ac:dyDescent="0.35">
      <c r="A2347" s="52" t="s">
        <v>226</v>
      </c>
      <c r="B2347" s="52" t="s">
        <v>37</v>
      </c>
      <c r="C2347" s="52" t="s">
        <v>35</v>
      </c>
      <c r="D2347" s="52" t="s">
        <v>38</v>
      </c>
      <c r="E2347" s="52" t="s">
        <v>580</v>
      </c>
      <c r="F2347" s="52" t="s">
        <v>26</v>
      </c>
      <c r="G2347" s="55" t="s">
        <v>279</v>
      </c>
      <c r="H2347" s="55"/>
      <c r="I2347" s="55"/>
      <c r="J2347" s="55">
        <v>0</v>
      </c>
      <c r="K2347" s="55">
        <v>0.70151629999999998</v>
      </c>
      <c r="L2347" s="55">
        <v>0.81574150000000001</v>
      </c>
      <c r="M2347" s="55">
        <v>0.51319890000000001</v>
      </c>
      <c r="N2347" s="55">
        <v>0.26275019999999999</v>
      </c>
    </row>
    <row r="2348" spans="1:14" hidden="1" x14ac:dyDescent="0.35">
      <c r="A2348" s="52" t="s">
        <v>226</v>
      </c>
      <c r="B2348" s="52" t="s">
        <v>37</v>
      </c>
      <c r="C2348" s="52" t="s">
        <v>46</v>
      </c>
      <c r="D2348" s="52" t="s">
        <v>46</v>
      </c>
      <c r="E2348" s="52" t="s">
        <v>584</v>
      </c>
      <c r="F2348" s="52" t="s">
        <v>581</v>
      </c>
      <c r="G2348" s="55" t="s">
        <v>275</v>
      </c>
      <c r="H2348" s="55">
        <v>-0.551369</v>
      </c>
      <c r="I2348" s="55">
        <v>-0.4140141</v>
      </c>
      <c r="J2348" s="55">
        <v>-6.0903900000000002</v>
      </c>
      <c r="K2348" s="55">
        <v>-0.23668059999999999</v>
      </c>
      <c r="L2348" s="55">
        <v>-0.2040527</v>
      </c>
      <c r="M2348" s="55">
        <v>-8.2106739999999991</v>
      </c>
      <c r="N2348" s="55">
        <v>-0.11068</v>
      </c>
    </row>
    <row r="2349" spans="1:14" hidden="1" x14ac:dyDescent="0.35">
      <c r="A2349" s="52" t="s">
        <v>226</v>
      </c>
      <c r="B2349" s="52" t="s">
        <v>37</v>
      </c>
      <c r="C2349" s="52" t="s">
        <v>46</v>
      </c>
      <c r="D2349" s="52" t="s">
        <v>46</v>
      </c>
      <c r="E2349" s="52" t="s">
        <v>584</v>
      </c>
      <c r="F2349" s="52" t="s">
        <v>581</v>
      </c>
      <c r="G2349" s="55" t="s">
        <v>276</v>
      </c>
      <c r="H2349" s="55">
        <v>-0.27602300000000002</v>
      </c>
      <c r="I2349" s="55">
        <v>-0.13695660000000001</v>
      </c>
      <c r="J2349" s="55">
        <v>-1.6426590000000001</v>
      </c>
      <c r="K2349" s="55">
        <v>-2.5967299999999999E-2</v>
      </c>
      <c r="L2349" s="55">
        <v>-8.4859299999999999E-2</v>
      </c>
      <c r="M2349" s="55">
        <v>-2.2119309999999999</v>
      </c>
      <c r="N2349" s="55">
        <v>-5.6780200000000003E-2</v>
      </c>
    </row>
    <row r="2350" spans="1:14" hidden="1" x14ac:dyDescent="0.35">
      <c r="A2350" s="52" t="s">
        <v>226</v>
      </c>
      <c r="B2350" s="52" t="s">
        <v>37</v>
      </c>
      <c r="C2350" s="52" t="s">
        <v>46</v>
      </c>
      <c r="D2350" s="52" t="s">
        <v>46</v>
      </c>
      <c r="E2350" s="52" t="s">
        <v>584</v>
      </c>
      <c r="F2350" s="52" t="s">
        <v>581</v>
      </c>
      <c r="G2350" s="55" t="s">
        <v>277</v>
      </c>
      <c r="H2350" s="55">
        <v>2.4338660000000001</v>
      </c>
      <c r="I2350" s="55"/>
      <c r="J2350" s="55"/>
      <c r="K2350" s="55"/>
      <c r="L2350" s="55"/>
      <c r="M2350" s="55"/>
      <c r="N2350" s="55"/>
    </row>
    <row r="2351" spans="1:14" hidden="1" x14ac:dyDescent="0.35">
      <c r="A2351" s="52" t="s">
        <v>226</v>
      </c>
      <c r="B2351" s="52" t="s">
        <v>37</v>
      </c>
      <c r="C2351" s="52" t="s">
        <v>46</v>
      </c>
      <c r="D2351" s="52" t="s">
        <v>46</v>
      </c>
      <c r="E2351" s="52" t="s">
        <v>584</v>
      </c>
      <c r="F2351" s="52" t="s">
        <v>581</v>
      </c>
      <c r="G2351" s="55" t="s">
        <v>278</v>
      </c>
      <c r="H2351" s="55">
        <v>0</v>
      </c>
      <c r="I2351" s="55">
        <v>3.3199999999999999E-4</v>
      </c>
      <c r="J2351" s="55">
        <v>0</v>
      </c>
      <c r="K2351" s="55"/>
      <c r="L2351" s="55"/>
      <c r="M2351" s="55"/>
      <c r="N2351" s="55"/>
    </row>
    <row r="2352" spans="1:14" hidden="1" x14ac:dyDescent="0.35">
      <c r="A2352" s="52" t="s">
        <v>226</v>
      </c>
      <c r="B2352" s="52" t="s">
        <v>37</v>
      </c>
      <c r="C2352" s="52" t="s">
        <v>46</v>
      </c>
      <c r="D2352" s="52" t="s">
        <v>46</v>
      </c>
      <c r="E2352" s="52" t="s">
        <v>584</v>
      </c>
      <c r="F2352" s="52" t="s">
        <v>581</v>
      </c>
      <c r="G2352" s="55" t="s">
        <v>279</v>
      </c>
      <c r="H2352" s="55">
        <v>2.1287560000000001</v>
      </c>
      <c r="I2352" s="55">
        <v>1.746454</v>
      </c>
      <c r="J2352" s="55">
        <v>8.8543769999999995</v>
      </c>
      <c r="K2352" s="55">
        <v>1.4195040000000001</v>
      </c>
      <c r="L2352" s="55">
        <v>1.4593719999999999</v>
      </c>
      <c r="M2352" s="55">
        <v>11.268140000000001</v>
      </c>
      <c r="N2352" s="55">
        <v>1.0250159999999999</v>
      </c>
    </row>
    <row r="2353" spans="1:14" hidden="1" x14ac:dyDescent="0.35">
      <c r="A2353" s="52" t="s">
        <v>226</v>
      </c>
      <c r="B2353" s="52" t="s">
        <v>37</v>
      </c>
      <c r="C2353" s="52" t="s">
        <v>46</v>
      </c>
      <c r="D2353" s="52" t="s">
        <v>46</v>
      </c>
      <c r="E2353" s="52" t="s">
        <v>584</v>
      </c>
      <c r="F2353" s="52" t="s">
        <v>26</v>
      </c>
      <c r="G2353" s="55" t="s">
        <v>275</v>
      </c>
      <c r="H2353" s="55">
        <v>3.7145480000000002</v>
      </c>
      <c r="I2353" s="55">
        <v>2.8364569999999998</v>
      </c>
      <c r="J2353" s="55">
        <v>0.64838059999999997</v>
      </c>
      <c r="K2353" s="55">
        <v>1.820319</v>
      </c>
      <c r="L2353" s="55">
        <v>1.38862</v>
      </c>
      <c r="M2353" s="55">
        <v>-7.8591990000000003</v>
      </c>
      <c r="N2353" s="55">
        <v>1.1431690000000001</v>
      </c>
    </row>
    <row r="2354" spans="1:14" hidden="1" x14ac:dyDescent="0.35">
      <c r="A2354" s="52" t="s">
        <v>226</v>
      </c>
      <c r="B2354" s="52" t="s">
        <v>37</v>
      </c>
      <c r="C2354" s="52" t="s">
        <v>46</v>
      </c>
      <c r="D2354" s="52" t="s">
        <v>46</v>
      </c>
      <c r="E2354" s="52" t="s">
        <v>584</v>
      </c>
      <c r="F2354" s="52" t="s">
        <v>26</v>
      </c>
      <c r="G2354" s="55" t="s">
        <v>276</v>
      </c>
      <c r="H2354" s="55">
        <v>2.8804989999999999E-2</v>
      </c>
      <c r="I2354" s="55">
        <v>-0.22968849999999999</v>
      </c>
      <c r="J2354" s="55">
        <v>-2.8953540000000002</v>
      </c>
      <c r="K2354" s="55">
        <v>0.48375770000000001</v>
      </c>
      <c r="L2354" s="55">
        <v>0.3690273</v>
      </c>
      <c r="M2354" s="55">
        <v>-2.0895549999999998</v>
      </c>
      <c r="N2354" s="55">
        <v>0.3038805</v>
      </c>
    </row>
    <row r="2355" spans="1:14" hidden="1" x14ac:dyDescent="0.35">
      <c r="A2355" s="52" t="s">
        <v>226</v>
      </c>
      <c r="B2355" s="52" t="s">
        <v>37</v>
      </c>
      <c r="C2355" s="52" t="s">
        <v>46</v>
      </c>
      <c r="D2355" s="52" t="s">
        <v>46</v>
      </c>
      <c r="E2355" s="52" t="s">
        <v>584</v>
      </c>
      <c r="F2355" s="52" t="s">
        <v>26</v>
      </c>
      <c r="G2355" s="55" t="s">
        <v>277</v>
      </c>
      <c r="H2355" s="55"/>
      <c r="I2355" s="55"/>
      <c r="J2355" s="55"/>
      <c r="K2355" s="55"/>
      <c r="L2355" s="55"/>
      <c r="M2355" s="55"/>
      <c r="N2355" s="55"/>
    </row>
    <row r="2356" spans="1:14" hidden="1" x14ac:dyDescent="0.35">
      <c r="A2356" s="52" t="s">
        <v>226</v>
      </c>
      <c r="B2356" s="52" t="s">
        <v>37</v>
      </c>
      <c r="C2356" s="52" t="s">
        <v>46</v>
      </c>
      <c r="D2356" s="52" t="s">
        <v>46</v>
      </c>
      <c r="E2356" s="52" t="s">
        <v>584</v>
      </c>
      <c r="F2356" s="52" t="s">
        <v>26</v>
      </c>
      <c r="G2356" s="55" t="s">
        <v>278</v>
      </c>
      <c r="H2356" s="55">
        <v>0</v>
      </c>
      <c r="I2356" s="55">
        <v>3.6800000000000001E-3</v>
      </c>
      <c r="J2356" s="55">
        <v>0</v>
      </c>
      <c r="K2356" s="55"/>
      <c r="L2356" s="55"/>
      <c r="M2356" s="55"/>
      <c r="N2356" s="55"/>
    </row>
    <row r="2357" spans="1:14" hidden="1" x14ac:dyDescent="0.35">
      <c r="A2357" s="52" t="s">
        <v>226</v>
      </c>
      <c r="B2357" s="52" t="s">
        <v>37</v>
      </c>
      <c r="C2357" s="52" t="s">
        <v>46</v>
      </c>
      <c r="D2357" s="52" t="s">
        <v>46</v>
      </c>
      <c r="E2357" s="52" t="s">
        <v>584</v>
      </c>
      <c r="F2357" s="52" t="s">
        <v>26</v>
      </c>
      <c r="G2357" s="55" t="s">
        <v>279</v>
      </c>
      <c r="H2357" s="55">
        <v>10.79928</v>
      </c>
      <c r="I2357" s="55">
        <v>9.0280699999999996</v>
      </c>
      <c r="J2357" s="55">
        <v>13.280950000000001</v>
      </c>
      <c r="K2357" s="55">
        <v>8.2882650000000009</v>
      </c>
      <c r="L2357" s="55">
        <v>8.3191959999999998</v>
      </c>
      <c r="M2357" s="55">
        <v>18.84751</v>
      </c>
      <c r="N2357" s="55">
        <v>6.8813810000000002</v>
      </c>
    </row>
    <row r="2358" spans="1:14" hidden="1" x14ac:dyDescent="0.35">
      <c r="A2358" s="52" t="s">
        <v>226</v>
      </c>
      <c r="B2358" s="52" t="s">
        <v>37</v>
      </c>
      <c r="C2358" s="52" t="s">
        <v>205</v>
      </c>
      <c r="D2358" s="52" t="s">
        <v>205</v>
      </c>
      <c r="E2358" s="52" t="s">
        <v>657</v>
      </c>
      <c r="F2358" s="52" t="s">
        <v>581</v>
      </c>
      <c r="G2358" s="55" t="s">
        <v>275</v>
      </c>
      <c r="H2358" s="55">
        <v>0.60066900000000001</v>
      </c>
      <c r="I2358" s="55">
        <v>0.12723309999999999</v>
      </c>
      <c r="J2358" s="55">
        <v>0.1180626</v>
      </c>
      <c r="K2358" s="55">
        <v>9.8383200000000004E-2</v>
      </c>
      <c r="L2358" s="55">
        <v>9.1761099999999998E-2</v>
      </c>
      <c r="M2358" s="55">
        <v>8.7297600000000003E-2</v>
      </c>
      <c r="N2358" s="55">
        <v>8.8418200000000002E-2</v>
      </c>
    </row>
    <row r="2359" spans="1:14" hidden="1" x14ac:dyDescent="0.35">
      <c r="A2359" s="52" t="s">
        <v>226</v>
      </c>
      <c r="B2359" s="52" t="s">
        <v>37</v>
      </c>
      <c r="C2359" s="52" t="s">
        <v>205</v>
      </c>
      <c r="D2359" s="52" t="s">
        <v>205</v>
      </c>
      <c r="E2359" s="52" t="s">
        <v>657</v>
      </c>
      <c r="F2359" s="52" t="s">
        <v>581</v>
      </c>
      <c r="G2359" s="55" t="s">
        <v>276</v>
      </c>
      <c r="H2359" s="55">
        <v>0.15967100000000001</v>
      </c>
      <c r="I2359" s="55">
        <v>3.3821499999999997E-2</v>
      </c>
      <c r="J2359" s="55">
        <v>3.1383500000000002E-2</v>
      </c>
      <c r="K2359" s="55">
        <v>2.6153200000000001E-2</v>
      </c>
      <c r="L2359" s="55">
        <v>2.43921E-2</v>
      </c>
      <c r="M2359" s="55">
        <v>2.3205400000000001E-2</v>
      </c>
      <c r="N2359" s="55">
        <v>2.3503400000000001E-2</v>
      </c>
    </row>
    <row r="2360" spans="1:14" hidden="1" x14ac:dyDescent="0.35">
      <c r="A2360" s="52" t="s">
        <v>226</v>
      </c>
      <c r="B2360" s="52" t="s">
        <v>37</v>
      </c>
      <c r="C2360" s="52" t="s">
        <v>205</v>
      </c>
      <c r="D2360" s="52" t="s">
        <v>205</v>
      </c>
      <c r="E2360" s="52" t="s">
        <v>657</v>
      </c>
      <c r="F2360" s="52" t="s">
        <v>581</v>
      </c>
      <c r="G2360" s="55" t="s">
        <v>277</v>
      </c>
      <c r="H2360" s="55"/>
      <c r="I2360" s="55"/>
      <c r="J2360" s="55"/>
      <c r="K2360" s="55"/>
      <c r="L2360" s="55">
        <v>0</v>
      </c>
      <c r="M2360" s="55">
        <v>0</v>
      </c>
      <c r="N2360" s="55">
        <v>0</v>
      </c>
    </row>
    <row r="2361" spans="1:14" hidden="1" x14ac:dyDescent="0.35">
      <c r="A2361" s="52" t="s">
        <v>226</v>
      </c>
      <c r="B2361" s="52" t="s">
        <v>37</v>
      </c>
      <c r="C2361" s="52" t="s">
        <v>205</v>
      </c>
      <c r="D2361" s="52" t="s">
        <v>205</v>
      </c>
      <c r="E2361" s="52" t="s">
        <v>657</v>
      </c>
      <c r="F2361" s="52" t="s">
        <v>581</v>
      </c>
      <c r="G2361" s="55" t="s">
        <v>279</v>
      </c>
      <c r="H2361" s="55">
        <v>0.51563099999999995</v>
      </c>
      <c r="I2361" s="55">
        <v>0.39436549999999998</v>
      </c>
      <c r="J2361" s="55">
        <v>0.35313600000000001</v>
      </c>
      <c r="K2361" s="55">
        <v>0.34156360000000002</v>
      </c>
      <c r="L2361" s="55">
        <v>0.31602960000000002</v>
      </c>
      <c r="M2361" s="55">
        <v>0.29122900000000002</v>
      </c>
      <c r="N2361" s="55">
        <v>0.25938260000000002</v>
      </c>
    </row>
    <row r="2362" spans="1:14" hidden="1" x14ac:dyDescent="0.35">
      <c r="A2362" s="52" t="s">
        <v>226</v>
      </c>
      <c r="B2362" s="52" t="s">
        <v>37</v>
      </c>
      <c r="C2362" s="52" t="s">
        <v>205</v>
      </c>
      <c r="D2362" s="52" t="s">
        <v>205</v>
      </c>
      <c r="E2362" s="52" t="s">
        <v>657</v>
      </c>
      <c r="F2362" s="52" t="s">
        <v>26</v>
      </c>
      <c r="G2362" s="55" t="s">
        <v>275</v>
      </c>
      <c r="H2362" s="55">
        <v>0.24331800000000001</v>
      </c>
      <c r="I2362" s="55">
        <v>0.17003109999999999</v>
      </c>
      <c r="J2362" s="55">
        <v>0.18116199999999999</v>
      </c>
      <c r="K2362" s="55">
        <v>0.15125</v>
      </c>
      <c r="L2362" s="55">
        <v>0.1344959</v>
      </c>
      <c r="M2362" s="55">
        <v>0.12243510000000001</v>
      </c>
      <c r="N2362" s="55">
        <v>0.116913</v>
      </c>
    </row>
    <row r="2363" spans="1:14" hidden="1" x14ac:dyDescent="0.35">
      <c r="A2363" s="52" t="s">
        <v>226</v>
      </c>
      <c r="B2363" s="52" t="s">
        <v>37</v>
      </c>
      <c r="C2363" s="52" t="s">
        <v>205</v>
      </c>
      <c r="D2363" s="52" t="s">
        <v>205</v>
      </c>
      <c r="E2363" s="52" t="s">
        <v>657</v>
      </c>
      <c r="F2363" s="52" t="s">
        <v>26</v>
      </c>
      <c r="G2363" s="55" t="s">
        <v>276</v>
      </c>
      <c r="H2363" s="55">
        <v>6.4680000000000001E-2</v>
      </c>
      <c r="I2363" s="55">
        <v>4.5197899999999999E-2</v>
      </c>
      <c r="J2363" s="55">
        <v>4.81573E-2</v>
      </c>
      <c r="K2363" s="55">
        <v>4.0205400000000002E-2</v>
      </c>
      <c r="L2363" s="55">
        <v>3.57513E-2</v>
      </c>
      <c r="M2363" s="55">
        <v>3.25458E-2</v>
      </c>
      <c r="N2363" s="55">
        <v>3.10782E-2</v>
      </c>
    </row>
    <row r="2364" spans="1:14" hidden="1" x14ac:dyDescent="0.35">
      <c r="A2364" s="52" t="s">
        <v>226</v>
      </c>
      <c r="B2364" s="52" t="s">
        <v>37</v>
      </c>
      <c r="C2364" s="52" t="s">
        <v>205</v>
      </c>
      <c r="D2364" s="52" t="s">
        <v>205</v>
      </c>
      <c r="E2364" s="52" t="s">
        <v>657</v>
      </c>
      <c r="F2364" s="52" t="s">
        <v>26</v>
      </c>
      <c r="G2364" s="55" t="s">
        <v>279</v>
      </c>
      <c r="H2364" s="55">
        <v>0.512436</v>
      </c>
      <c r="I2364" s="55">
        <v>0.4161879</v>
      </c>
      <c r="J2364" s="55">
        <v>0.37602989999999997</v>
      </c>
      <c r="K2364" s="55">
        <v>0.36705670000000001</v>
      </c>
      <c r="L2364" s="55">
        <v>0.34535840000000001</v>
      </c>
      <c r="M2364" s="55">
        <v>0.32194780000000001</v>
      </c>
      <c r="N2364" s="55">
        <v>0.29048980000000002</v>
      </c>
    </row>
    <row r="2365" spans="1:14" hidden="1" x14ac:dyDescent="0.35">
      <c r="A2365" s="52" t="s">
        <v>226</v>
      </c>
      <c r="B2365" s="52" t="s">
        <v>37</v>
      </c>
      <c r="C2365" s="52" t="s">
        <v>109</v>
      </c>
      <c r="D2365" s="52" t="s">
        <v>109</v>
      </c>
      <c r="E2365" s="52" t="s">
        <v>584</v>
      </c>
      <c r="F2365" s="52" t="s">
        <v>581</v>
      </c>
      <c r="G2365" s="55" t="s">
        <v>275</v>
      </c>
      <c r="H2365" s="55">
        <v>-0.200736</v>
      </c>
      <c r="I2365" s="55">
        <v>0.16629910000000001</v>
      </c>
      <c r="J2365" s="55">
        <v>0.14953920000000001</v>
      </c>
      <c r="K2365" s="55">
        <v>0.12693940000000001</v>
      </c>
      <c r="L2365" s="55">
        <v>0.10850600000000001</v>
      </c>
      <c r="M2365" s="55">
        <v>0.100761</v>
      </c>
      <c r="N2365" s="55">
        <v>8.7227109999999997E-2</v>
      </c>
    </row>
    <row r="2366" spans="1:14" hidden="1" x14ac:dyDescent="0.35">
      <c r="A2366" s="52" t="s">
        <v>226</v>
      </c>
      <c r="B2366" s="52" t="s">
        <v>37</v>
      </c>
      <c r="C2366" s="52" t="s">
        <v>109</v>
      </c>
      <c r="D2366" s="52" t="s">
        <v>109</v>
      </c>
      <c r="E2366" s="52" t="s">
        <v>584</v>
      </c>
      <c r="F2366" s="52" t="s">
        <v>581</v>
      </c>
      <c r="G2366" s="55" t="s">
        <v>276</v>
      </c>
      <c r="H2366" s="55">
        <v>-3.9459000000000001E-2</v>
      </c>
      <c r="I2366" s="55">
        <v>4.0436E-2</v>
      </c>
      <c r="J2366" s="55">
        <v>4.3279739999999997E-2</v>
      </c>
      <c r="K2366" s="55">
        <v>3.2997180000000001E-2</v>
      </c>
      <c r="L2366" s="55">
        <v>3.0323599999999999E-2</v>
      </c>
      <c r="M2366" s="55">
        <v>2.9721830000000001E-2</v>
      </c>
      <c r="N2366" s="55">
        <v>2.799192E-2</v>
      </c>
    </row>
    <row r="2367" spans="1:14" hidden="1" x14ac:dyDescent="0.35">
      <c r="A2367" s="52" t="s">
        <v>226</v>
      </c>
      <c r="B2367" s="52" t="s">
        <v>37</v>
      </c>
      <c r="C2367" s="52" t="s">
        <v>109</v>
      </c>
      <c r="D2367" s="52" t="s">
        <v>109</v>
      </c>
      <c r="E2367" s="52" t="s">
        <v>584</v>
      </c>
      <c r="F2367" s="52" t="s">
        <v>581</v>
      </c>
      <c r="G2367" s="55" t="s">
        <v>277</v>
      </c>
      <c r="H2367" s="55">
        <v>0.1054392</v>
      </c>
      <c r="I2367" s="55">
        <v>8.4671239999999995E-2</v>
      </c>
      <c r="J2367" s="55">
        <v>7.6259999999999994E-2</v>
      </c>
      <c r="K2367" s="55">
        <v>9.1888700000000004E-2</v>
      </c>
      <c r="L2367" s="55">
        <v>0.1023637</v>
      </c>
      <c r="M2367" s="55">
        <v>0.1021006</v>
      </c>
      <c r="N2367" s="55">
        <v>0.1101993</v>
      </c>
    </row>
    <row r="2368" spans="1:14" hidden="1" x14ac:dyDescent="0.35">
      <c r="A2368" s="52" t="s">
        <v>226</v>
      </c>
      <c r="B2368" s="52" t="s">
        <v>37</v>
      </c>
      <c r="C2368" s="52" t="s">
        <v>109</v>
      </c>
      <c r="D2368" s="52" t="s">
        <v>109</v>
      </c>
      <c r="E2368" s="52" t="s">
        <v>584</v>
      </c>
      <c r="F2368" s="52" t="s">
        <v>581</v>
      </c>
      <c r="G2368" s="55" t="s">
        <v>279</v>
      </c>
      <c r="H2368" s="55">
        <v>1.0446800000000001</v>
      </c>
      <c r="I2368" s="55">
        <v>5.6266999999999998E-2</v>
      </c>
      <c r="J2368" s="55">
        <v>5.3651249999999998E-2</v>
      </c>
      <c r="K2368" s="55">
        <v>5.431275E-2</v>
      </c>
      <c r="L2368" s="55">
        <v>5.205075E-2</v>
      </c>
      <c r="M2368" s="55">
        <v>5.0220000000000001E-2</v>
      </c>
      <c r="N2368" s="55">
        <v>4.8702000000000002E-2</v>
      </c>
    </row>
    <row r="2369" spans="1:14" hidden="1" x14ac:dyDescent="0.35">
      <c r="A2369" s="52" t="s">
        <v>226</v>
      </c>
      <c r="B2369" s="52" t="s">
        <v>37</v>
      </c>
      <c r="C2369" s="52" t="s">
        <v>109</v>
      </c>
      <c r="D2369" s="52" t="s">
        <v>109</v>
      </c>
      <c r="E2369" s="52" t="s">
        <v>584</v>
      </c>
      <c r="F2369" s="52" t="s">
        <v>26</v>
      </c>
      <c r="G2369" s="55" t="s">
        <v>275</v>
      </c>
      <c r="H2369" s="55">
        <v>-5.3475739999999998</v>
      </c>
      <c r="I2369" s="55">
        <v>2.6766399999999999E-2</v>
      </c>
      <c r="J2369" s="55">
        <v>2.7914379999999999E-2</v>
      </c>
      <c r="K2369" s="55">
        <v>2.5608300000000001E-2</v>
      </c>
      <c r="L2369" s="55">
        <v>2.5471500000000001E-2</v>
      </c>
      <c r="M2369" s="55">
        <v>2.5390920000000001E-2</v>
      </c>
      <c r="N2369" s="55">
        <v>2.50347E-2</v>
      </c>
    </row>
    <row r="2370" spans="1:14" hidden="1" x14ac:dyDescent="0.35">
      <c r="A2370" s="52" t="s">
        <v>226</v>
      </c>
      <c r="B2370" s="52" t="s">
        <v>37</v>
      </c>
      <c r="C2370" s="52" t="s">
        <v>109</v>
      </c>
      <c r="D2370" s="52" t="s">
        <v>109</v>
      </c>
      <c r="E2370" s="52" t="s">
        <v>584</v>
      </c>
      <c r="F2370" s="52" t="s">
        <v>26</v>
      </c>
      <c r="G2370" s="55" t="s">
        <v>276</v>
      </c>
      <c r="H2370" s="55">
        <v>-1.4215070000000001</v>
      </c>
      <c r="I2370" s="55">
        <v>7.1151000000000001E-3</v>
      </c>
      <c r="J2370" s="55">
        <v>7.4202000000000001E-3</v>
      </c>
      <c r="K2370" s="55">
        <v>6.8072239999999997E-3</v>
      </c>
      <c r="L2370" s="55">
        <v>6.7706750000000003E-3</v>
      </c>
      <c r="M2370" s="55">
        <v>6.7494240000000004E-3</v>
      </c>
      <c r="N2370" s="55">
        <v>6.6547500000000001E-3</v>
      </c>
    </row>
    <row r="2371" spans="1:14" hidden="1" x14ac:dyDescent="0.35">
      <c r="A2371" s="52" t="s">
        <v>226</v>
      </c>
      <c r="B2371" s="52" t="s">
        <v>37</v>
      </c>
      <c r="C2371" s="52" t="s">
        <v>109</v>
      </c>
      <c r="D2371" s="52" t="s">
        <v>109</v>
      </c>
      <c r="E2371" s="52" t="s">
        <v>584</v>
      </c>
      <c r="F2371" s="52" t="s">
        <v>26</v>
      </c>
      <c r="G2371" s="55" t="s">
        <v>279</v>
      </c>
      <c r="H2371" s="55">
        <v>9.0125620000000009</v>
      </c>
      <c r="I2371" s="55">
        <v>3.783425E-2</v>
      </c>
      <c r="J2371" s="55">
        <v>3.79805E-2</v>
      </c>
      <c r="K2371" s="55">
        <v>4.0020500000000001E-2</v>
      </c>
      <c r="L2371" s="55">
        <v>3.9739749999999997E-2</v>
      </c>
      <c r="M2371" s="55">
        <v>3.9604250000000001E-2</v>
      </c>
      <c r="N2371" s="55">
        <v>3.909075E-2</v>
      </c>
    </row>
    <row r="2372" spans="1:14" hidden="1" x14ac:dyDescent="0.35">
      <c r="A2372" s="52" t="s">
        <v>226</v>
      </c>
      <c r="B2372" s="52" t="s">
        <v>37</v>
      </c>
      <c r="C2372" s="52" t="s">
        <v>61</v>
      </c>
      <c r="D2372" s="52" t="s">
        <v>62</v>
      </c>
      <c r="E2372" s="52" t="s">
        <v>584</v>
      </c>
      <c r="F2372" s="52" t="s">
        <v>581</v>
      </c>
      <c r="G2372" s="55" t="s">
        <v>275</v>
      </c>
      <c r="H2372" s="55">
        <v>-0.32286789999999999</v>
      </c>
      <c r="I2372" s="55">
        <v>-0.51866630000000002</v>
      </c>
      <c r="J2372" s="55">
        <v>2.1254249999999999E-2</v>
      </c>
      <c r="K2372" s="55">
        <v>-3.1953819999999999</v>
      </c>
      <c r="L2372" s="55">
        <v>1.072848E-2</v>
      </c>
      <c r="M2372" s="55">
        <v>0</v>
      </c>
      <c r="N2372" s="55"/>
    </row>
    <row r="2373" spans="1:14" hidden="1" x14ac:dyDescent="0.35">
      <c r="A2373" s="52" t="s">
        <v>226</v>
      </c>
      <c r="B2373" s="52" t="s">
        <v>37</v>
      </c>
      <c r="C2373" s="52" t="s">
        <v>61</v>
      </c>
      <c r="D2373" s="52" t="s">
        <v>62</v>
      </c>
      <c r="E2373" s="52" t="s">
        <v>584</v>
      </c>
      <c r="F2373" s="52" t="s">
        <v>581</v>
      </c>
      <c r="G2373" s="55" t="s">
        <v>276</v>
      </c>
      <c r="H2373" s="55">
        <v>-0.1146919</v>
      </c>
      <c r="I2373" s="55">
        <v>-0.18656519999999999</v>
      </c>
      <c r="J2373" s="55">
        <v>-2.1254249999999999E-2</v>
      </c>
      <c r="K2373" s="55">
        <v>-0.87754540000000003</v>
      </c>
      <c r="L2373" s="55">
        <v>-1.072848E-2</v>
      </c>
      <c r="M2373" s="55">
        <v>0</v>
      </c>
      <c r="N2373" s="55"/>
    </row>
    <row r="2374" spans="1:14" hidden="1" x14ac:dyDescent="0.35">
      <c r="A2374" s="52" t="s">
        <v>226</v>
      </c>
      <c r="B2374" s="52" t="s">
        <v>37</v>
      </c>
      <c r="C2374" s="52" t="s">
        <v>61</v>
      </c>
      <c r="D2374" s="52" t="s">
        <v>62</v>
      </c>
      <c r="E2374" s="52" t="s">
        <v>584</v>
      </c>
      <c r="F2374" s="52" t="s">
        <v>581</v>
      </c>
      <c r="G2374" s="55" t="s">
        <v>277</v>
      </c>
      <c r="H2374" s="55">
        <v>0.12472660000000001</v>
      </c>
      <c r="I2374" s="55">
        <v>0</v>
      </c>
      <c r="J2374" s="55"/>
      <c r="K2374" s="55"/>
      <c r="L2374" s="55"/>
      <c r="M2374" s="55"/>
      <c r="N2374" s="55"/>
    </row>
    <row r="2375" spans="1:14" hidden="1" x14ac:dyDescent="0.35">
      <c r="A2375" s="52" t="s">
        <v>226</v>
      </c>
      <c r="B2375" s="52" t="s">
        <v>37</v>
      </c>
      <c r="C2375" s="52" t="s">
        <v>61</v>
      </c>
      <c r="D2375" s="52" t="s">
        <v>62</v>
      </c>
      <c r="E2375" s="52" t="s">
        <v>584</v>
      </c>
      <c r="F2375" s="52" t="s">
        <v>581</v>
      </c>
      <c r="G2375" s="55" t="s">
        <v>279</v>
      </c>
      <c r="H2375" s="55">
        <v>1.424998</v>
      </c>
      <c r="I2375" s="55">
        <v>1.0917570000000001</v>
      </c>
      <c r="J2375" s="55">
        <v>0</v>
      </c>
      <c r="K2375" s="55">
        <v>4.0729280000000001</v>
      </c>
      <c r="L2375" s="55">
        <v>0</v>
      </c>
      <c r="M2375" s="55"/>
      <c r="N2375" s="55"/>
    </row>
    <row r="2376" spans="1:14" hidden="1" x14ac:dyDescent="0.35">
      <c r="A2376" s="52" t="s">
        <v>226</v>
      </c>
      <c r="B2376" s="52" t="s">
        <v>37</v>
      </c>
      <c r="C2376" s="52" t="s">
        <v>61</v>
      </c>
      <c r="D2376" s="52" t="s">
        <v>62</v>
      </c>
      <c r="E2376" s="52" t="s">
        <v>584</v>
      </c>
      <c r="F2376" s="52" t="s">
        <v>26</v>
      </c>
      <c r="G2376" s="55" t="s">
        <v>275</v>
      </c>
      <c r="H2376" s="55">
        <v>-6.4621919999999999E-2</v>
      </c>
      <c r="I2376" s="55">
        <v>-4.2882440000000001E-2</v>
      </c>
      <c r="J2376" s="55">
        <v>0</v>
      </c>
      <c r="K2376" s="55">
        <v>-1.206798</v>
      </c>
      <c r="L2376" s="55">
        <v>0</v>
      </c>
      <c r="M2376" s="55"/>
      <c r="N2376" s="55"/>
    </row>
    <row r="2377" spans="1:14" hidden="1" x14ac:dyDescent="0.35">
      <c r="A2377" s="52" t="s">
        <v>226</v>
      </c>
      <c r="B2377" s="52" t="s">
        <v>37</v>
      </c>
      <c r="C2377" s="52" t="s">
        <v>61</v>
      </c>
      <c r="D2377" s="52" t="s">
        <v>62</v>
      </c>
      <c r="E2377" s="52" t="s">
        <v>584</v>
      </c>
      <c r="F2377" s="52" t="s">
        <v>26</v>
      </c>
      <c r="G2377" s="55" t="s">
        <v>276</v>
      </c>
      <c r="H2377" s="55">
        <v>-1.7177769999999998E-2</v>
      </c>
      <c r="I2377" s="55">
        <v>-1.1399050000000001E-2</v>
      </c>
      <c r="J2377" s="55">
        <v>0</v>
      </c>
      <c r="K2377" s="55">
        <v>-0.32079449999999998</v>
      </c>
      <c r="L2377" s="55">
        <v>0</v>
      </c>
      <c r="M2377" s="55"/>
      <c r="N2377" s="55"/>
    </row>
    <row r="2378" spans="1:14" hidden="1" x14ac:dyDescent="0.35">
      <c r="A2378" s="52" t="s">
        <v>226</v>
      </c>
      <c r="B2378" s="52" t="s">
        <v>37</v>
      </c>
      <c r="C2378" s="52" t="s">
        <v>61</v>
      </c>
      <c r="D2378" s="52" t="s">
        <v>62</v>
      </c>
      <c r="E2378" s="52" t="s">
        <v>584</v>
      </c>
      <c r="F2378" s="52" t="s">
        <v>26</v>
      </c>
      <c r="G2378" s="55" t="s">
        <v>279</v>
      </c>
      <c r="H2378" s="55">
        <v>0.14668300000000001</v>
      </c>
      <c r="I2378" s="55">
        <v>9.1476290000000002E-2</v>
      </c>
      <c r="J2378" s="55">
        <v>0</v>
      </c>
      <c r="K2378" s="55">
        <v>1.5275909999999999</v>
      </c>
      <c r="L2378" s="55">
        <v>0</v>
      </c>
      <c r="M2378" s="55"/>
      <c r="N2378" s="55"/>
    </row>
    <row r="2379" spans="1:14" hidden="1" x14ac:dyDescent="0.35">
      <c r="A2379" s="52" t="s">
        <v>226</v>
      </c>
      <c r="B2379" s="52" t="s">
        <v>37</v>
      </c>
      <c r="C2379" s="52" t="s">
        <v>118</v>
      </c>
      <c r="D2379" s="52" t="s">
        <v>118</v>
      </c>
      <c r="E2379" s="52" t="s">
        <v>584</v>
      </c>
      <c r="F2379" s="52" t="s">
        <v>581</v>
      </c>
      <c r="G2379" s="55" t="s">
        <v>275</v>
      </c>
      <c r="H2379" s="55">
        <v>-1.9591000000000001E-2</v>
      </c>
      <c r="I2379" s="55">
        <v>-2.0830600000000001E-2</v>
      </c>
      <c r="J2379" s="55">
        <v>-1.9794099999999999E-2</v>
      </c>
      <c r="K2379" s="55">
        <v>-2.4005700000000001E-2</v>
      </c>
      <c r="L2379" s="55">
        <v>-2.5491900000000001E-2</v>
      </c>
      <c r="M2379" s="55">
        <v>-2.6366899999999999E-2</v>
      </c>
      <c r="N2379" s="55">
        <v>-2.69965E-2</v>
      </c>
    </row>
    <row r="2380" spans="1:14" hidden="1" x14ac:dyDescent="0.35">
      <c r="A2380" s="52" t="s">
        <v>226</v>
      </c>
      <c r="B2380" s="52" t="s">
        <v>37</v>
      </c>
      <c r="C2380" s="52" t="s">
        <v>118</v>
      </c>
      <c r="D2380" s="52" t="s">
        <v>118</v>
      </c>
      <c r="E2380" s="52" t="s">
        <v>584</v>
      </c>
      <c r="F2380" s="52" t="s">
        <v>581</v>
      </c>
      <c r="G2380" s="55" t="s">
        <v>276</v>
      </c>
      <c r="H2380" s="55">
        <v>-4.7060000000000001E-3</v>
      </c>
      <c r="I2380" s="55">
        <v>-5.9769000000000003E-3</v>
      </c>
      <c r="J2380" s="55">
        <v>-5.8900000000000003E-3</v>
      </c>
      <c r="K2380" s="55">
        <v>-6.0704000000000001E-3</v>
      </c>
      <c r="L2380" s="55">
        <v>-6.2405000000000004E-3</v>
      </c>
      <c r="M2380" s="55">
        <v>-6.0565990000000002E-3</v>
      </c>
      <c r="N2380" s="55">
        <v>-6.1370000000000001E-3</v>
      </c>
    </row>
    <row r="2381" spans="1:14" hidden="1" x14ac:dyDescent="0.35">
      <c r="A2381" s="52" t="s">
        <v>226</v>
      </c>
      <c r="B2381" s="52" t="s">
        <v>37</v>
      </c>
      <c r="C2381" s="52" t="s">
        <v>118</v>
      </c>
      <c r="D2381" s="52" t="s">
        <v>118</v>
      </c>
      <c r="E2381" s="52" t="s">
        <v>584</v>
      </c>
      <c r="F2381" s="52" t="s">
        <v>581</v>
      </c>
      <c r="G2381" s="55" t="s">
        <v>277</v>
      </c>
      <c r="H2381" s="55">
        <v>2.8492E-2</v>
      </c>
      <c r="I2381" s="55">
        <v>2.4655E-2</v>
      </c>
      <c r="J2381" s="55">
        <v>2.3605000000000001E-2</v>
      </c>
      <c r="K2381" s="55">
        <v>2.8011999999999999E-2</v>
      </c>
      <c r="L2381" s="55">
        <v>2.9701999999999999E-2</v>
      </c>
      <c r="M2381" s="55">
        <v>3.0550999999999998E-2</v>
      </c>
      <c r="N2381" s="55">
        <v>3.1419999999999997E-2</v>
      </c>
    </row>
    <row r="2382" spans="1:14" hidden="1" x14ac:dyDescent="0.35">
      <c r="A2382" s="52" t="s">
        <v>226</v>
      </c>
      <c r="B2382" s="52" t="s">
        <v>37</v>
      </c>
      <c r="C2382" s="52" t="s">
        <v>118</v>
      </c>
      <c r="D2382" s="52" t="s">
        <v>118</v>
      </c>
      <c r="E2382" s="52" t="s">
        <v>584</v>
      </c>
      <c r="F2382" s="52" t="s">
        <v>581</v>
      </c>
      <c r="G2382" s="55" t="s">
        <v>278</v>
      </c>
      <c r="H2382" s="55">
        <v>1.16E-4</v>
      </c>
      <c r="I2382" s="55">
        <v>5.0000000000000004E-6</v>
      </c>
      <c r="J2382" s="55">
        <v>0</v>
      </c>
      <c r="K2382" s="55"/>
      <c r="L2382" s="55"/>
      <c r="M2382" s="55"/>
      <c r="N2382" s="55"/>
    </row>
    <row r="2383" spans="1:14" hidden="1" x14ac:dyDescent="0.35">
      <c r="A2383" s="52" t="s">
        <v>226</v>
      </c>
      <c r="B2383" s="52" t="s">
        <v>37</v>
      </c>
      <c r="C2383" s="52" t="s">
        <v>118</v>
      </c>
      <c r="D2383" s="52" t="s">
        <v>118</v>
      </c>
      <c r="E2383" s="52" t="s">
        <v>584</v>
      </c>
      <c r="F2383" s="52" t="s">
        <v>581</v>
      </c>
      <c r="G2383" s="55" t="s">
        <v>279</v>
      </c>
      <c r="H2383" s="55">
        <v>1.0865E-2</v>
      </c>
      <c r="I2383" s="55">
        <v>9.5048010000000002E-3</v>
      </c>
      <c r="J2383" s="55">
        <v>9.4979999999999995E-3</v>
      </c>
      <c r="K2383" s="55">
        <v>9.7113010000000003E-3</v>
      </c>
      <c r="L2383" s="55">
        <v>9.9073000000000008E-3</v>
      </c>
      <c r="M2383" s="55">
        <v>9.9923000000000008E-3</v>
      </c>
      <c r="N2383" s="55">
        <v>1.00763E-2</v>
      </c>
    </row>
    <row r="2384" spans="1:14" hidden="1" x14ac:dyDescent="0.35">
      <c r="A2384" s="52" t="s">
        <v>226</v>
      </c>
      <c r="B2384" s="52" t="s">
        <v>43</v>
      </c>
      <c r="C2384" s="52" t="s">
        <v>229</v>
      </c>
      <c r="D2384" s="52" t="s">
        <v>229</v>
      </c>
      <c r="E2384" s="52" t="s">
        <v>584</v>
      </c>
      <c r="F2384" s="52" t="s">
        <v>26</v>
      </c>
      <c r="G2384" s="55" t="s">
        <v>275</v>
      </c>
      <c r="H2384" s="55">
        <v>269.04320000000001</v>
      </c>
      <c r="I2384" s="55">
        <v>159.0634</v>
      </c>
      <c r="J2384" s="55">
        <v>161.8578</v>
      </c>
      <c r="K2384" s="55">
        <v>154.92240000000001</v>
      </c>
      <c r="L2384" s="55">
        <v>157.2363</v>
      </c>
      <c r="M2384" s="55">
        <v>159.6465</v>
      </c>
      <c r="N2384" s="55">
        <v>162.9434</v>
      </c>
    </row>
    <row r="2385" spans="1:14" hidden="1" x14ac:dyDescent="0.35">
      <c r="A2385" s="52" t="s">
        <v>226</v>
      </c>
      <c r="B2385" s="52" t="s">
        <v>43</v>
      </c>
      <c r="C2385" s="52" t="s">
        <v>229</v>
      </c>
      <c r="D2385" s="52" t="s">
        <v>229</v>
      </c>
      <c r="E2385" s="52" t="s">
        <v>584</v>
      </c>
      <c r="F2385" s="52" t="s">
        <v>26</v>
      </c>
      <c r="G2385" s="55" t="s">
        <v>276</v>
      </c>
      <c r="H2385" s="55">
        <v>144.86940000000001</v>
      </c>
      <c r="I2385" s="55">
        <v>86.860399999999998</v>
      </c>
      <c r="J2385" s="55">
        <v>88.801220000000001</v>
      </c>
      <c r="K2385" s="55">
        <v>85.949169999999995</v>
      </c>
      <c r="L2385" s="55">
        <v>87.970799999999997</v>
      </c>
      <c r="M2385" s="55">
        <v>89.882220000000004</v>
      </c>
      <c r="N2385" s="55">
        <v>91.773359999999997</v>
      </c>
    </row>
    <row r="2386" spans="1:14" hidden="1" x14ac:dyDescent="0.35">
      <c r="A2386" s="52" t="s">
        <v>226</v>
      </c>
      <c r="B2386" s="52" t="s">
        <v>43</v>
      </c>
      <c r="C2386" s="52" t="s">
        <v>229</v>
      </c>
      <c r="D2386" s="52" t="s">
        <v>229</v>
      </c>
      <c r="E2386" s="52" t="s">
        <v>584</v>
      </c>
      <c r="F2386" s="52" t="s">
        <v>26</v>
      </c>
      <c r="G2386" s="55" t="s">
        <v>277</v>
      </c>
      <c r="H2386" s="55">
        <v>0</v>
      </c>
      <c r="I2386" s="55">
        <v>2.4986259999999998</v>
      </c>
      <c r="J2386" s="55">
        <v>3.676288</v>
      </c>
      <c r="K2386" s="55">
        <v>5.9055910000000003</v>
      </c>
      <c r="L2386" s="55">
        <v>8.1623509999999992</v>
      </c>
      <c r="M2386" s="55">
        <v>10.33535</v>
      </c>
      <c r="N2386" s="55">
        <v>11.72293</v>
      </c>
    </row>
    <row r="2387" spans="1:14" hidden="1" x14ac:dyDescent="0.35">
      <c r="A2387" s="52" t="s">
        <v>226</v>
      </c>
      <c r="B2387" s="52" t="s">
        <v>43</v>
      </c>
      <c r="C2387" s="52" t="s">
        <v>229</v>
      </c>
      <c r="D2387" s="52" t="s">
        <v>229</v>
      </c>
      <c r="E2387" s="52" t="s">
        <v>584</v>
      </c>
      <c r="F2387" s="52" t="s">
        <v>26</v>
      </c>
      <c r="G2387" s="55" t="s">
        <v>279</v>
      </c>
      <c r="H2387" s="55">
        <v>263.2543</v>
      </c>
      <c r="I2387" s="55">
        <v>243.8244</v>
      </c>
      <c r="J2387" s="55">
        <v>254.65309999999999</v>
      </c>
      <c r="K2387" s="55">
        <v>278.47199999999998</v>
      </c>
      <c r="L2387" s="55">
        <v>285.48630000000003</v>
      </c>
      <c r="M2387" s="55">
        <v>292.67689999999999</v>
      </c>
      <c r="N2387" s="55">
        <v>300.04910000000001</v>
      </c>
    </row>
    <row r="2388" spans="1:14" hidden="1" x14ac:dyDescent="0.35">
      <c r="A2388" s="52" t="s">
        <v>226</v>
      </c>
      <c r="B2388" s="52" t="s">
        <v>43</v>
      </c>
      <c r="C2388" s="52" t="s">
        <v>42</v>
      </c>
      <c r="D2388" s="52" t="s">
        <v>42</v>
      </c>
      <c r="E2388" s="52" t="s">
        <v>584</v>
      </c>
      <c r="F2388" s="52" t="s">
        <v>581</v>
      </c>
      <c r="G2388" s="55" t="s">
        <v>275</v>
      </c>
      <c r="H2388" s="55">
        <v>284.98039999999997</v>
      </c>
      <c r="I2388" s="55">
        <v>85.749200000000002</v>
      </c>
      <c r="J2388" s="55">
        <v>93.083560000000006</v>
      </c>
      <c r="K2388" s="55">
        <v>79.769580000000005</v>
      </c>
      <c r="L2388" s="55">
        <v>62.555630000000001</v>
      </c>
      <c r="M2388" s="55">
        <v>58.692959999999999</v>
      </c>
      <c r="N2388" s="55">
        <v>58.302439999999997</v>
      </c>
    </row>
    <row r="2389" spans="1:14" hidden="1" x14ac:dyDescent="0.35">
      <c r="A2389" s="52" t="s">
        <v>226</v>
      </c>
      <c r="B2389" s="52" t="s">
        <v>43</v>
      </c>
      <c r="C2389" s="52" t="s">
        <v>42</v>
      </c>
      <c r="D2389" s="52" t="s">
        <v>42</v>
      </c>
      <c r="E2389" s="52" t="s">
        <v>584</v>
      </c>
      <c r="F2389" s="52" t="s">
        <v>581</v>
      </c>
      <c r="G2389" s="55" t="s">
        <v>276</v>
      </c>
      <c r="H2389" s="55">
        <v>123.11539999999999</v>
      </c>
      <c r="I2389" s="55">
        <v>46.904859999999999</v>
      </c>
      <c r="J2389" s="55">
        <v>52.192700000000002</v>
      </c>
      <c r="K2389" s="55">
        <v>51.69717</v>
      </c>
      <c r="L2389" s="55">
        <v>48.787089999999999</v>
      </c>
      <c r="M2389" s="55">
        <v>47.233559999999997</v>
      </c>
      <c r="N2389" s="55">
        <v>51.868389999999998</v>
      </c>
    </row>
    <row r="2390" spans="1:14" hidden="1" x14ac:dyDescent="0.35">
      <c r="A2390" s="52" t="s">
        <v>226</v>
      </c>
      <c r="B2390" s="52" t="s">
        <v>43</v>
      </c>
      <c r="C2390" s="52" t="s">
        <v>42</v>
      </c>
      <c r="D2390" s="52" t="s">
        <v>42</v>
      </c>
      <c r="E2390" s="52" t="s">
        <v>584</v>
      </c>
      <c r="F2390" s="52" t="s">
        <v>581</v>
      </c>
      <c r="G2390" s="55" t="s">
        <v>277</v>
      </c>
      <c r="H2390" s="55">
        <v>1.008</v>
      </c>
      <c r="I2390" s="55">
        <v>35.49738</v>
      </c>
      <c r="J2390" s="55">
        <v>34.046129999999998</v>
      </c>
      <c r="K2390" s="55">
        <v>37.677549999999997</v>
      </c>
      <c r="L2390" s="55">
        <v>47.479770000000002</v>
      </c>
      <c r="M2390" s="55">
        <v>44.332030000000003</v>
      </c>
      <c r="N2390" s="55">
        <v>51.405970000000003</v>
      </c>
    </row>
    <row r="2391" spans="1:14" hidden="1" x14ac:dyDescent="0.35">
      <c r="A2391" s="52" t="s">
        <v>226</v>
      </c>
      <c r="B2391" s="52" t="s">
        <v>43</v>
      </c>
      <c r="C2391" s="52" t="s">
        <v>42</v>
      </c>
      <c r="D2391" s="52" t="s">
        <v>42</v>
      </c>
      <c r="E2391" s="52" t="s">
        <v>584</v>
      </c>
      <c r="F2391" s="52" t="s">
        <v>581</v>
      </c>
      <c r="G2391" s="55" t="s">
        <v>278</v>
      </c>
      <c r="H2391" s="55">
        <v>9.7065990000000005E-2</v>
      </c>
      <c r="I2391" s="55">
        <v>8.0764740000000002E-2</v>
      </c>
      <c r="J2391" s="55">
        <v>0</v>
      </c>
      <c r="K2391" s="55">
        <v>0</v>
      </c>
      <c r="L2391" s="55">
        <v>0</v>
      </c>
      <c r="M2391" s="55">
        <v>0</v>
      </c>
      <c r="N2391" s="55">
        <v>0</v>
      </c>
    </row>
    <row r="2392" spans="1:14" hidden="1" x14ac:dyDescent="0.35">
      <c r="A2392" s="52" t="s">
        <v>226</v>
      </c>
      <c r="B2392" s="52" t="s">
        <v>43</v>
      </c>
      <c r="C2392" s="52" t="s">
        <v>42</v>
      </c>
      <c r="D2392" s="52" t="s">
        <v>42</v>
      </c>
      <c r="E2392" s="52" t="s">
        <v>584</v>
      </c>
      <c r="F2392" s="52" t="s">
        <v>581</v>
      </c>
      <c r="G2392" s="55" t="s">
        <v>279</v>
      </c>
      <c r="H2392" s="55">
        <v>59.081850000000003</v>
      </c>
      <c r="I2392" s="55">
        <v>47.839680000000001</v>
      </c>
      <c r="J2392" s="55">
        <v>51.117649999999998</v>
      </c>
      <c r="K2392" s="55">
        <v>52.737439999999999</v>
      </c>
      <c r="L2392" s="55">
        <v>50.373150000000003</v>
      </c>
      <c r="M2392" s="55">
        <v>48.353940000000001</v>
      </c>
      <c r="N2392" s="55">
        <v>49.752420000000001</v>
      </c>
    </row>
    <row r="2393" spans="1:14" hidden="1" x14ac:dyDescent="0.35">
      <c r="A2393" s="52" t="s">
        <v>226</v>
      </c>
      <c r="B2393" s="52" t="s">
        <v>43</v>
      </c>
      <c r="C2393" s="52" t="s">
        <v>42</v>
      </c>
      <c r="D2393" s="52" t="s">
        <v>42</v>
      </c>
      <c r="E2393" s="52" t="s">
        <v>584</v>
      </c>
      <c r="F2393" s="52" t="s">
        <v>26</v>
      </c>
      <c r="G2393" s="55" t="s">
        <v>275</v>
      </c>
      <c r="H2393" s="55">
        <v>-62.546469999999999</v>
      </c>
      <c r="I2393" s="55">
        <v>-46.910330000000002</v>
      </c>
      <c r="J2393" s="55">
        <v>-50.79316</v>
      </c>
      <c r="K2393" s="55">
        <v>-54.042119999999997</v>
      </c>
      <c r="L2393" s="55">
        <v>-90.920010000000005</v>
      </c>
      <c r="M2393" s="55">
        <v>-199.7424</v>
      </c>
      <c r="N2393" s="55">
        <v>-88.275909999999996</v>
      </c>
    </row>
    <row r="2394" spans="1:14" hidden="1" x14ac:dyDescent="0.35">
      <c r="A2394" s="52" t="s">
        <v>226</v>
      </c>
      <c r="B2394" s="52" t="s">
        <v>43</v>
      </c>
      <c r="C2394" s="52" t="s">
        <v>42</v>
      </c>
      <c r="D2394" s="52" t="s">
        <v>42</v>
      </c>
      <c r="E2394" s="52" t="s">
        <v>584</v>
      </c>
      <c r="F2394" s="52" t="s">
        <v>26</v>
      </c>
      <c r="G2394" s="55" t="s">
        <v>276</v>
      </c>
      <c r="H2394" s="55">
        <v>-33.552019999999999</v>
      </c>
      <c r="I2394" s="55">
        <v>-24.692219999999999</v>
      </c>
      <c r="J2394" s="55">
        <v>-27.23705</v>
      </c>
      <c r="K2394" s="55">
        <v>-28.533429999999999</v>
      </c>
      <c r="L2394" s="55">
        <v>-26.870149999999999</v>
      </c>
      <c r="M2394" s="55">
        <v>-25.495539999999998</v>
      </c>
      <c r="N2394" s="55">
        <v>-24.921520000000001</v>
      </c>
    </row>
    <row r="2395" spans="1:14" hidden="1" x14ac:dyDescent="0.35">
      <c r="A2395" s="52" t="s">
        <v>226</v>
      </c>
      <c r="B2395" s="52" t="s">
        <v>43</v>
      </c>
      <c r="C2395" s="52" t="s">
        <v>42</v>
      </c>
      <c r="D2395" s="52" t="s">
        <v>42</v>
      </c>
      <c r="E2395" s="52" t="s">
        <v>584</v>
      </c>
      <c r="F2395" s="52" t="s">
        <v>26</v>
      </c>
      <c r="G2395" s="55" t="s">
        <v>277</v>
      </c>
      <c r="H2395" s="55">
        <v>0</v>
      </c>
      <c r="I2395" s="55">
        <v>0.41868159999999999</v>
      </c>
      <c r="J2395" s="55">
        <v>0.1256043</v>
      </c>
      <c r="K2395" s="55">
        <v>0.96699999999999997</v>
      </c>
      <c r="L2395" s="55">
        <v>40.749299999999998</v>
      </c>
      <c r="M2395" s="55">
        <v>152.23929999999999</v>
      </c>
      <c r="N2395" s="55">
        <v>63.681379999999997</v>
      </c>
    </row>
    <row r="2396" spans="1:14" hidden="1" x14ac:dyDescent="0.35">
      <c r="A2396" s="52" t="s">
        <v>226</v>
      </c>
      <c r="B2396" s="52" t="s">
        <v>43</v>
      </c>
      <c r="C2396" s="52" t="s">
        <v>42</v>
      </c>
      <c r="D2396" s="52" t="s">
        <v>42</v>
      </c>
      <c r="E2396" s="52" t="s">
        <v>584</v>
      </c>
      <c r="F2396" s="52" t="s">
        <v>26</v>
      </c>
      <c r="G2396" s="55" t="s">
        <v>278</v>
      </c>
      <c r="H2396" s="55">
        <v>0.2355865</v>
      </c>
      <c r="I2396" s="55">
        <v>0.25188769999999999</v>
      </c>
      <c r="J2396" s="55">
        <v>0.13105040000000001</v>
      </c>
      <c r="K2396" s="55">
        <v>0.13105040000000001</v>
      </c>
      <c r="L2396" s="55">
        <v>0.13105040000000001</v>
      </c>
      <c r="M2396" s="55">
        <v>1.630125E-2</v>
      </c>
      <c r="N2396" s="55">
        <v>1.630125E-2</v>
      </c>
    </row>
    <row r="2397" spans="1:14" hidden="1" x14ac:dyDescent="0.35">
      <c r="A2397" s="52" t="s">
        <v>226</v>
      </c>
      <c r="B2397" s="52" t="s">
        <v>43</v>
      </c>
      <c r="C2397" s="52" t="s">
        <v>42</v>
      </c>
      <c r="D2397" s="52" t="s">
        <v>42</v>
      </c>
      <c r="E2397" s="52" t="s">
        <v>584</v>
      </c>
      <c r="F2397" s="52" t="s">
        <v>26</v>
      </c>
      <c r="G2397" s="55" t="s">
        <v>279</v>
      </c>
      <c r="H2397" s="55">
        <v>127.4323</v>
      </c>
      <c r="I2397" s="55">
        <v>99.763630000000006</v>
      </c>
      <c r="J2397" s="55">
        <v>108.8005</v>
      </c>
      <c r="K2397" s="55">
        <v>111.35469999999999</v>
      </c>
      <c r="L2397" s="55">
        <v>105.0859</v>
      </c>
      <c r="M2397" s="55">
        <v>99.670500000000004</v>
      </c>
      <c r="N2397" s="55">
        <v>102.7097</v>
      </c>
    </row>
    <row r="2398" spans="1:14" hidden="1" x14ac:dyDescent="0.35">
      <c r="A2398" s="52" t="s">
        <v>243</v>
      </c>
      <c r="B2398" s="52" t="s">
        <v>37</v>
      </c>
      <c r="C2398" s="52" t="s">
        <v>218</v>
      </c>
      <c r="D2398" s="52" t="s">
        <v>218</v>
      </c>
      <c r="E2398" s="52" t="s">
        <v>593</v>
      </c>
      <c r="F2398" s="52" t="s">
        <v>581</v>
      </c>
      <c r="G2398" s="55" t="s">
        <v>275</v>
      </c>
      <c r="H2398" s="55">
        <v>265.75299999999999</v>
      </c>
      <c r="I2398" s="55">
        <v>-42.70879</v>
      </c>
      <c r="J2398" s="55">
        <v>199.9854</v>
      </c>
      <c r="K2398" s="55">
        <v>190.82640000000001</v>
      </c>
      <c r="L2398" s="55">
        <v>171.6575</v>
      </c>
      <c r="M2398" s="55">
        <v>138.8486</v>
      </c>
      <c r="N2398" s="55">
        <v>108.61239999999999</v>
      </c>
    </row>
    <row r="2399" spans="1:14" hidden="1" x14ac:dyDescent="0.35">
      <c r="A2399" s="52" t="s">
        <v>243</v>
      </c>
      <c r="B2399" s="52" t="s">
        <v>37</v>
      </c>
      <c r="C2399" s="52" t="s">
        <v>218</v>
      </c>
      <c r="D2399" s="52" t="s">
        <v>218</v>
      </c>
      <c r="E2399" s="52" t="s">
        <v>593</v>
      </c>
      <c r="F2399" s="52" t="s">
        <v>581</v>
      </c>
      <c r="G2399" s="55" t="s">
        <v>276</v>
      </c>
      <c r="H2399" s="55">
        <v>-4.1370399999999998</v>
      </c>
      <c r="I2399" s="55">
        <v>-57.379309999999997</v>
      </c>
      <c r="J2399" s="55">
        <v>-57.234990000000003</v>
      </c>
      <c r="K2399" s="55">
        <v>-52.305070000000001</v>
      </c>
      <c r="L2399" s="55">
        <v>-16.940899999999999</v>
      </c>
      <c r="M2399" s="55">
        <v>-2.4311419999999999</v>
      </c>
      <c r="N2399" s="55">
        <v>16.9438</v>
      </c>
    </row>
    <row r="2400" spans="1:14" hidden="1" x14ac:dyDescent="0.35">
      <c r="A2400" s="52" t="s">
        <v>243</v>
      </c>
      <c r="B2400" s="52" t="s">
        <v>37</v>
      </c>
      <c r="C2400" s="52" t="s">
        <v>218</v>
      </c>
      <c r="D2400" s="52" t="s">
        <v>218</v>
      </c>
      <c r="E2400" s="52" t="s">
        <v>593</v>
      </c>
      <c r="F2400" s="52" t="s">
        <v>581</v>
      </c>
      <c r="G2400" s="55" t="s">
        <v>277</v>
      </c>
      <c r="H2400" s="55">
        <v>526.18539999999996</v>
      </c>
      <c r="I2400" s="55">
        <v>329.02089999999998</v>
      </c>
      <c r="J2400" s="55">
        <v>76.000630000000001</v>
      </c>
      <c r="K2400" s="55">
        <v>53.904690000000002</v>
      </c>
      <c r="L2400" s="55">
        <v>38.803019999999997</v>
      </c>
      <c r="M2400" s="55">
        <v>26.9985</v>
      </c>
      <c r="N2400" s="55">
        <v>24.32226</v>
      </c>
    </row>
    <row r="2401" spans="1:14" hidden="1" x14ac:dyDescent="0.35">
      <c r="A2401" s="52" t="s">
        <v>243</v>
      </c>
      <c r="B2401" s="52" t="s">
        <v>37</v>
      </c>
      <c r="C2401" s="52" t="s">
        <v>218</v>
      </c>
      <c r="D2401" s="52" t="s">
        <v>218</v>
      </c>
      <c r="E2401" s="52" t="s">
        <v>593</v>
      </c>
      <c r="F2401" s="52" t="s">
        <v>581</v>
      </c>
      <c r="G2401" s="55" t="s">
        <v>278</v>
      </c>
      <c r="H2401" s="55">
        <v>20.74465</v>
      </c>
      <c r="I2401" s="55">
        <v>20.979099999999999</v>
      </c>
      <c r="J2401" s="55">
        <v>38.65587</v>
      </c>
      <c r="K2401" s="55">
        <v>39.137500000000003</v>
      </c>
      <c r="L2401" s="55">
        <v>28.744240000000001</v>
      </c>
      <c r="M2401" s="55">
        <v>10.28073</v>
      </c>
      <c r="N2401" s="55">
        <v>8.4654690000000006</v>
      </c>
    </row>
    <row r="2402" spans="1:14" hidden="1" x14ac:dyDescent="0.35">
      <c r="A2402" s="52" t="s">
        <v>243</v>
      </c>
      <c r="B2402" s="52" t="s">
        <v>37</v>
      </c>
      <c r="C2402" s="52" t="s">
        <v>218</v>
      </c>
      <c r="D2402" s="52" t="s">
        <v>218</v>
      </c>
      <c r="E2402" s="52" t="s">
        <v>593</v>
      </c>
      <c r="F2402" s="52" t="s">
        <v>581</v>
      </c>
      <c r="G2402" s="55" t="s">
        <v>279</v>
      </c>
      <c r="H2402" s="55">
        <v>415.18389999999999</v>
      </c>
      <c r="I2402" s="55">
        <v>319.40499999999997</v>
      </c>
      <c r="J2402" s="55">
        <v>304.00540000000001</v>
      </c>
      <c r="K2402" s="55">
        <v>291.43079999999998</v>
      </c>
      <c r="L2402" s="55">
        <v>256.79880000000003</v>
      </c>
      <c r="M2402" s="55">
        <v>249.5549</v>
      </c>
      <c r="N2402" s="55">
        <v>218.2765</v>
      </c>
    </row>
    <row r="2403" spans="1:14" hidden="1" x14ac:dyDescent="0.35">
      <c r="A2403" s="52" t="s">
        <v>243</v>
      </c>
      <c r="B2403" s="52" t="s">
        <v>37</v>
      </c>
      <c r="C2403" s="52" t="s">
        <v>218</v>
      </c>
      <c r="D2403" s="52" t="s">
        <v>218</v>
      </c>
      <c r="E2403" s="52" t="s">
        <v>593</v>
      </c>
      <c r="F2403" s="52" t="s">
        <v>26</v>
      </c>
      <c r="G2403" s="55" t="s">
        <v>275</v>
      </c>
      <c r="H2403" s="55">
        <v>-74.124520000000004</v>
      </c>
      <c r="I2403" s="55">
        <v>-63.21284</v>
      </c>
      <c r="J2403" s="55">
        <v>-56.570030000000003</v>
      </c>
      <c r="K2403" s="55">
        <v>-59.995350000000002</v>
      </c>
      <c r="L2403" s="55">
        <v>-54.900530000000003</v>
      </c>
      <c r="M2403" s="55">
        <v>-56.684719999999999</v>
      </c>
      <c r="N2403" s="55">
        <v>-48.781880000000001</v>
      </c>
    </row>
    <row r="2404" spans="1:14" hidden="1" x14ac:dyDescent="0.35">
      <c r="A2404" s="52" t="s">
        <v>243</v>
      </c>
      <c r="B2404" s="52" t="s">
        <v>37</v>
      </c>
      <c r="C2404" s="52" t="s">
        <v>218</v>
      </c>
      <c r="D2404" s="52" t="s">
        <v>218</v>
      </c>
      <c r="E2404" s="52" t="s">
        <v>593</v>
      </c>
      <c r="F2404" s="52" t="s">
        <v>26</v>
      </c>
      <c r="G2404" s="55" t="s">
        <v>276</v>
      </c>
      <c r="H2404" s="55">
        <v>-19.704000000000001</v>
      </c>
      <c r="I2404" s="55">
        <v>-16.803419999999999</v>
      </c>
      <c r="J2404" s="55">
        <v>-15.037610000000001</v>
      </c>
      <c r="K2404" s="55">
        <v>-15.948130000000001</v>
      </c>
      <c r="L2404" s="55">
        <v>-14.59381</v>
      </c>
      <c r="M2404" s="55">
        <v>-15.06808</v>
      </c>
      <c r="N2404" s="55">
        <v>-12.96733</v>
      </c>
    </row>
    <row r="2405" spans="1:14" hidden="1" x14ac:dyDescent="0.35">
      <c r="A2405" s="52" t="s">
        <v>243</v>
      </c>
      <c r="B2405" s="52" t="s">
        <v>37</v>
      </c>
      <c r="C2405" s="52" t="s">
        <v>218</v>
      </c>
      <c r="D2405" s="52" t="s">
        <v>218</v>
      </c>
      <c r="E2405" s="52" t="s">
        <v>593</v>
      </c>
      <c r="F2405" s="52" t="s">
        <v>26</v>
      </c>
      <c r="G2405" s="55" t="s">
        <v>279</v>
      </c>
      <c r="H2405" s="55">
        <v>245.65129999999999</v>
      </c>
      <c r="I2405" s="55">
        <v>195.63509999999999</v>
      </c>
      <c r="J2405" s="55">
        <v>196.1011</v>
      </c>
      <c r="K2405" s="55">
        <v>192.32730000000001</v>
      </c>
      <c r="L2405" s="55">
        <v>175.9085</v>
      </c>
      <c r="M2405" s="55">
        <v>163.661</v>
      </c>
      <c r="N2405" s="55">
        <v>141.1002</v>
      </c>
    </row>
    <row r="2406" spans="1:14" hidden="1" x14ac:dyDescent="0.35">
      <c r="A2406" s="52" t="s">
        <v>243</v>
      </c>
      <c r="B2406" s="52" t="s">
        <v>37</v>
      </c>
      <c r="C2406" s="52" t="s">
        <v>218</v>
      </c>
      <c r="D2406" s="52" t="s">
        <v>218</v>
      </c>
      <c r="E2406" s="52" t="s">
        <v>594</v>
      </c>
      <c r="F2406" s="52" t="s">
        <v>581</v>
      </c>
      <c r="G2406" s="55" t="s">
        <v>275</v>
      </c>
      <c r="H2406" s="55">
        <v>72.534670000000006</v>
      </c>
      <c r="I2406" s="55">
        <v>38.279850000000003</v>
      </c>
      <c r="J2406" s="55">
        <v>69.215450000000004</v>
      </c>
      <c r="K2406" s="55">
        <v>42.317999999999998</v>
      </c>
      <c r="L2406" s="55">
        <v>47.838819999999998</v>
      </c>
      <c r="M2406" s="55">
        <v>28.821210000000001</v>
      </c>
      <c r="N2406" s="55">
        <v>19.98105</v>
      </c>
    </row>
    <row r="2407" spans="1:14" hidden="1" x14ac:dyDescent="0.35">
      <c r="A2407" s="52" t="s">
        <v>243</v>
      </c>
      <c r="B2407" s="52" t="s">
        <v>37</v>
      </c>
      <c r="C2407" s="52" t="s">
        <v>218</v>
      </c>
      <c r="D2407" s="52" t="s">
        <v>218</v>
      </c>
      <c r="E2407" s="52" t="s">
        <v>594</v>
      </c>
      <c r="F2407" s="52" t="s">
        <v>581</v>
      </c>
      <c r="G2407" s="55" t="s">
        <v>276</v>
      </c>
      <c r="H2407" s="55">
        <v>-16.598510000000001</v>
      </c>
      <c r="I2407" s="55">
        <v>-19.627970000000001</v>
      </c>
      <c r="J2407" s="55">
        <v>-25.775980000000001</v>
      </c>
      <c r="K2407" s="55">
        <v>-12.53449</v>
      </c>
      <c r="L2407" s="55">
        <v>1.666403E-2</v>
      </c>
      <c r="M2407" s="55">
        <v>3.1686230000000002</v>
      </c>
      <c r="N2407" s="55">
        <v>4.4212790000000002</v>
      </c>
    </row>
    <row r="2408" spans="1:14" hidden="1" x14ac:dyDescent="0.35">
      <c r="A2408" s="52" t="s">
        <v>243</v>
      </c>
      <c r="B2408" s="52" t="s">
        <v>37</v>
      </c>
      <c r="C2408" s="52" t="s">
        <v>218</v>
      </c>
      <c r="D2408" s="52" t="s">
        <v>218</v>
      </c>
      <c r="E2408" s="52" t="s">
        <v>594</v>
      </c>
      <c r="F2408" s="52" t="s">
        <v>581</v>
      </c>
      <c r="G2408" s="55" t="s">
        <v>277</v>
      </c>
      <c r="H2408" s="55">
        <v>119.33199999999999</v>
      </c>
      <c r="I2408" s="55">
        <v>45.269179999999999</v>
      </c>
      <c r="J2408" s="55">
        <v>14.77586</v>
      </c>
      <c r="K2408" s="55">
        <v>38.572620000000001</v>
      </c>
      <c r="L2408" s="55">
        <v>14.20321</v>
      </c>
      <c r="M2408" s="55">
        <v>15.61435</v>
      </c>
      <c r="N2408" s="55">
        <v>17.46959</v>
      </c>
    </row>
    <row r="2409" spans="1:14" hidden="1" x14ac:dyDescent="0.35">
      <c r="A2409" s="52" t="s">
        <v>243</v>
      </c>
      <c r="B2409" s="52" t="s">
        <v>37</v>
      </c>
      <c r="C2409" s="52" t="s">
        <v>218</v>
      </c>
      <c r="D2409" s="52" t="s">
        <v>218</v>
      </c>
      <c r="E2409" s="52" t="s">
        <v>594</v>
      </c>
      <c r="F2409" s="52" t="s">
        <v>581</v>
      </c>
      <c r="G2409" s="55" t="s">
        <v>278</v>
      </c>
      <c r="H2409" s="55">
        <v>2.7680259999999999</v>
      </c>
      <c r="I2409" s="55">
        <v>4.7308159999999999</v>
      </c>
      <c r="J2409" s="55">
        <v>7.4034979999999999</v>
      </c>
      <c r="K2409" s="55">
        <v>6.1646219999999996</v>
      </c>
      <c r="L2409" s="55">
        <v>7.487959</v>
      </c>
      <c r="M2409" s="55">
        <v>3.1943640000000002</v>
      </c>
      <c r="N2409" s="55">
        <v>2.6591800000000001</v>
      </c>
    </row>
    <row r="2410" spans="1:14" hidden="1" x14ac:dyDescent="0.35">
      <c r="A2410" s="52" t="s">
        <v>243</v>
      </c>
      <c r="B2410" s="52" t="s">
        <v>37</v>
      </c>
      <c r="C2410" s="52" t="s">
        <v>218</v>
      </c>
      <c r="D2410" s="52" t="s">
        <v>218</v>
      </c>
      <c r="E2410" s="52" t="s">
        <v>594</v>
      </c>
      <c r="F2410" s="52" t="s">
        <v>581</v>
      </c>
      <c r="G2410" s="55" t="s">
        <v>279</v>
      </c>
      <c r="H2410" s="55">
        <v>78.726020000000005</v>
      </c>
      <c r="I2410" s="55">
        <v>68.819000000000003</v>
      </c>
      <c r="J2410" s="55">
        <v>62.132159999999999</v>
      </c>
      <c r="K2410" s="55">
        <v>75.627899999999997</v>
      </c>
      <c r="L2410" s="55">
        <v>67.261510000000001</v>
      </c>
      <c r="M2410" s="55">
        <v>55.561140000000002</v>
      </c>
      <c r="N2410" s="55">
        <v>45.008400000000002</v>
      </c>
    </row>
    <row r="2411" spans="1:14" hidden="1" x14ac:dyDescent="0.35">
      <c r="A2411" s="52" t="s">
        <v>243</v>
      </c>
      <c r="B2411" s="52" t="s">
        <v>37</v>
      </c>
      <c r="C2411" s="52" t="s">
        <v>218</v>
      </c>
      <c r="D2411" s="52" t="s">
        <v>218</v>
      </c>
      <c r="E2411" s="52" t="s">
        <v>594</v>
      </c>
      <c r="F2411" s="52" t="s">
        <v>26</v>
      </c>
      <c r="G2411" s="55" t="s">
        <v>275</v>
      </c>
      <c r="H2411" s="55">
        <v>-8.1205029999999994</v>
      </c>
      <c r="I2411" s="55">
        <v>-8.4041770000000007</v>
      </c>
      <c r="J2411" s="55">
        <v>-6.8733680000000001</v>
      </c>
      <c r="K2411" s="55">
        <v>-9.2587659999999996</v>
      </c>
      <c r="L2411" s="55">
        <v>-8.5835380000000008</v>
      </c>
      <c r="M2411" s="55">
        <v>-7.2514370000000001</v>
      </c>
      <c r="N2411" s="55">
        <v>-5.7103120000000001</v>
      </c>
    </row>
    <row r="2412" spans="1:14" hidden="1" x14ac:dyDescent="0.35">
      <c r="A2412" s="52" t="s">
        <v>243</v>
      </c>
      <c r="B2412" s="52" t="s">
        <v>37</v>
      </c>
      <c r="C2412" s="52" t="s">
        <v>218</v>
      </c>
      <c r="D2412" s="52" t="s">
        <v>218</v>
      </c>
      <c r="E2412" s="52" t="s">
        <v>594</v>
      </c>
      <c r="F2412" s="52" t="s">
        <v>26</v>
      </c>
      <c r="G2412" s="55" t="s">
        <v>276</v>
      </c>
      <c r="H2412" s="55">
        <v>-2.1586210000000001</v>
      </c>
      <c r="I2412" s="55">
        <v>-2.2340200000000001</v>
      </c>
      <c r="J2412" s="55">
        <v>-1.8270999999999999</v>
      </c>
      <c r="K2412" s="55">
        <v>-2.4611900000000002</v>
      </c>
      <c r="L2412" s="55">
        <v>-2.281698</v>
      </c>
      <c r="M2412" s="55">
        <v>-1.9275990000000001</v>
      </c>
      <c r="N2412" s="55">
        <v>-1.5179290000000001</v>
      </c>
    </row>
    <row r="2413" spans="1:14" hidden="1" x14ac:dyDescent="0.35">
      <c r="A2413" s="52" t="s">
        <v>243</v>
      </c>
      <c r="B2413" s="52" t="s">
        <v>37</v>
      </c>
      <c r="C2413" s="52" t="s">
        <v>218</v>
      </c>
      <c r="D2413" s="52" t="s">
        <v>218</v>
      </c>
      <c r="E2413" s="52" t="s">
        <v>594</v>
      </c>
      <c r="F2413" s="52" t="s">
        <v>26</v>
      </c>
      <c r="G2413" s="55" t="s">
        <v>279</v>
      </c>
      <c r="H2413" s="55">
        <v>24.841930000000001</v>
      </c>
      <c r="I2413" s="55">
        <v>24.26763</v>
      </c>
      <c r="J2413" s="55">
        <v>22.01737</v>
      </c>
      <c r="K2413" s="55">
        <v>27.246839999999999</v>
      </c>
      <c r="L2413" s="55">
        <v>24.91001</v>
      </c>
      <c r="M2413" s="55">
        <v>19.82724</v>
      </c>
      <c r="N2413" s="55">
        <v>15.92718</v>
      </c>
    </row>
    <row r="2414" spans="1:14" hidden="1" x14ac:dyDescent="0.35">
      <c r="A2414" s="52" t="s">
        <v>243</v>
      </c>
      <c r="B2414" s="52" t="s">
        <v>37</v>
      </c>
      <c r="C2414" s="52" t="s">
        <v>218</v>
      </c>
      <c r="D2414" s="52" t="s">
        <v>218</v>
      </c>
      <c r="E2414" s="52" t="s">
        <v>584</v>
      </c>
      <c r="F2414" s="52" t="s">
        <v>581</v>
      </c>
      <c r="G2414" s="55" t="s">
        <v>275</v>
      </c>
      <c r="H2414" s="55">
        <v>59.340730000000001</v>
      </c>
      <c r="I2414" s="55">
        <v>7.9038240000000002</v>
      </c>
      <c r="J2414" s="55">
        <v>13.40147</v>
      </c>
      <c r="K2414" s="55">
        <v>11.83839</v>
      </c>
      <c r="L2414" s="55">
        <v>11.15865</v>
      </c>
      <c r="M2414" s="55">
        <v>9.3602980000000002</v>
      </c>
      <c r="N2414" s="55">
        <v>8.8427740000000004</v>
      </c>
    </row>
    <row r="2415" spans="1:14" hidden="1" x14ac:dyDescent="0.35">
      <c r="A2415" s="52" t="s">
        <v>243</v>
      </c>
      <c r="B2415" s="52" t="s">
        <v>37</v>
      </c>
      <c r="C2415" s="52" t="s">
        <v>218</v>
      </c>
      <c r="D2415" s="52" t="s">
        <v>218</v>
      </c>
      <c r="E2415" s="52" t="s">
        <v>584</v>
      </c>
      <c r="F2415" s="52" t="s">
        <v>581</v>
      </c>
      <c r="G2415" s="55" t="s">
        <v>276</v>
      </c>
      <c r="H2415" s="55">
        <v>10.76172</v>
      </c>
      <c r="I2415" s="55">
        <v>2.0865900000000002</v>
      </c>
      <c r="J2415" s="55">
        <v>3.656698</v>
      </c>
      <c r="K2415" s="55">
        <v>3.2646850000000001</v>
      </c>
      <c r="L2415" s="55">
        <v>3.056352</v>
      </c>
      <c r="M2415" s="55">
        <v>2.5533459999999999</v>
      </c>
      <c r="N2415" s="55">
        <v>2.3345630000000002</v>
      </c>
    </row>
    <row r="2416" spans="1:14" hidden="1" x14ac:dyDescent="0.35">
      <c r="A2416" s="52" t="s">
        <v>243</v>
      </c>
      <c r="B2416" s="52" t="s">
        <v>37</v>
      </c>
      <c r="C2416" s="52" t="s">
        <v>218</v>
      </c>
      <c r="D2416" s="52" t="s">
        <v>218</v>
      </c>
      <c r="E2416" s="52" t="s">
        <v>584</v>
      </c>
      <c r="F2416" s="52" t="s">
        <v>581</v>
      </c>
      <c r="G2416" s="55" t="s">
        <v>277</v>
      </c>
      <c r="H2416" s="55"/>
      <c r="I2416" s="55">
        <v>0</v>
      </c>
      <c r="J2416" s="55"/>
      <c r="K2416" s="55"/>
      <c r="L2416" s="55"/>
      <c r="M2416" s="55">
        <v>0.64489110000000005</v>
      </c>
      <c r="N2416" s="55">
        <v>0.61702920000000006</v>
      </c>
    </row>
    <row r="2417" spans="1:14" hidden="1" x14ac:dyDescent="0.35">
      <c r="A2417" s="52" t="s">
        <v>243</v>
      </c>
      <c r="B2417" s="52" t="s">
        <v>37</v>
      </c>
      <c r="C2417" s="52" t="s">
        <v>218</v>
      </c>
      <c r="D2417" s="52" t="s">
        <v>218</v>
      </c>
      <c r="E2417" s="52" t="s">
        <v>584</v>
      </c>
      <c r="F2417" s="52" t="s">
        <v>581</v>
      </c>
      <c r="G2417" s="55" t="s">
        <v>279</v>
      </c>
      <c r="H2417" s="55">
        <v>35.492400000000004</v>
      </c>
      <c r="I2417" s="55">
        <v>33.083570000000002</v>
      </c>
      <c r="J2417" s="55">
        <v>21.50704</v>
      </c>
      <c r="K2417" s="55">
        <v>20.914059999999999</v>
      </c>
      <c r="L2417" s="55">
        <v>19.409400000000002</v>
      </c>
      <c r="M2417" s="55">
        <v>19.495259999999998</v>
      </c>
      <c r="N2417" s="55">
        <v>18.032810000000001</v>
      </c>
    </row>
    <row r="2418" spans="1:14" hidden="1" x14ac:dyDescent="0.35">
      <c r="A2418" s="52" t="s">
        <v>243</v>
      </c>
      <c r="B2418" s="52" t="s">
        <v>37</v>
      </c>
      <c r="C2418" s="52" t="s">
        <v>218</v>
      </c>
      <c r="D2418" s="52" t="s">
        <v>218</v>
      </c>
      <c r="E2418" s="52" t="s">
        <v>584</v>
      </c>
      <c r="F2418" s="52" t="s">
        <v>26</v>
      </c>
      <c r="G2418" s="55" t="s">
        <v>275</v>
      </c>
      <c r="H2418" s="55">
        <v>-13.24417</v>
      </c>
      <c r="I2418" s="55">
        <v>-84.01379</v>
      </c>
      <c r="J2418" s="55">
        <v>-11.59586</v>
      </c>
      <c r="K2418" s="55">
        <v>-12.64344</v>
      </c>
      <c r="L2418" s="55">
        <v>-12.49804</v>
      </c>
      <c r="M2418" s="55">
        <v>-12.950889999999999</v>
      </c>
      <c r="N2418" s="55">
        <v>-12.01961</v>
      </c>
    </row>
    <row r="2419" spans="1:14" hidden="1" x14ac:dyDescent="0.35">
      <c r="A2419" s="52" t="s">
        <v>243</v>
      </c>
      <c r="B2419" s="52" t="s">
        <v>37</v>
      </c>
      <c r="C2419" s="52" t="s">
        <v>218</v>
      </c>
      <c r="D2419" s="52" t="s">
        <v>218</v>
      </c>
      <c r="E2419" s="52" t="s">
        <v>584</v>
      </c>
      <c r="F2419" s="52" t="s">
        <v>26</v>
      </c>
      <c r="G2419" s="55" t="s">
        <v>276</v>
      </c>
      <c r="H2419" s="55">
        <v>-3.8712019999999998</v>
      </c>
      <c r="I2419" s="55">
        <v>-22.33278</v>
      </c>
      <c r="J2419" s="55">
        <v>-2.5559530000000001</v>
      </c>
      <c r="K2419" s="55">
        <v>-2.8521269999999999</v>
      </c>
      <c r="L2419" s="55">
        <v>-2.879407</v>
      </c>
      <c r="M2419" s="55">
        <v>-3.0710929999999999</v>
      </c>
      <c r="N2419" s="55">
        <v>-3.0957949999999999</v>
      </c>
    </row>
    <row r="2420" spans="1:14" hidden="1" x14ac:dyDescent="0.35">
      <c r="A2420" s="52" t="s">
        <v>243</v>
      </c>
      <c r="B2420" s="52" t="s">
        <v>37</v>
      </c>
      <c r="C2420" s="52" t="s">
        <v>218</v>
      </c>
      <c r="D2420" s="52" t="s">
        <v>218</v>
      </c>
      <c r="E2420" s="52" t="s">
        <v>584</v>
      </c>
      <c r="F2420" s="52" t="s">
        <v>26</v>
      </c>
      <c r="G2420" s="55" t="s">
        <v>277</v>
      </c>
      <c r="H2420" s="55"/>
      <c r="I2420" s="55">
        <v>0</v>
      </c>
      <c r="J2420" s="55">
        <v>2.4757660000000001</v>
      </c>
      <c r="K2420" s="55">
        <v>2.8876629999999999</v>
      </c>
      <c r="L2420" s="55">
        <v>3.0561410000000002</v>
      </c>
      <c r="M2420" s="55">
        <v>3.1373190000000002</v>
      </c>
      <c r="N2420" s="55">
        <v>3.220564</v>
      </c>
    </row>
    <row r="2421" spans="1:14" hidden="1" x14ac:dyDescent="0.35">
      <c r="A2421" s="52" t="s">
        <v>243</v>
      </c>
      <c r="B2421" s="52" t="s">
        <v>37</v>
      </c>
      <c r="C2421" s="52" t="s">
        <v>218</v>
      </c>
      <c r="D2421" s="52" t="s">
        <v>218</v>
      </c>
      <c r="E2421" s="52" t="s">
        <v>584</v>
      </c>
      <c r="F2421" s="52" t="s">
        <v>26</v>
      </c>
      <c r="G2421" s="55" t="s">
        <v>279</v>
      </c>
      <c r="H2421" s="55">
        <v>42.7209</v>
      </c>
      <c r="I2421" s="55">
        <v>126.0645</v>
      </c>
      <c r="J2421" s="55">
        <v>30.744700000000002</v>
      </c>
      <c r="K2421" s="55">
        <v>30.362269999999999</v>
      </c>
      <c r="L2421" s="55">
        <v>28.876919999999998</v>
      </c>
      <c r="M2421" s="55">
        <v>28.36373</v>
      </c>
      <c r="N2421" s="55">
        <v>26.304120000000001</v>
      </c>
    </row>
    <row r="2422" spans="1:14" hidden="1" x14ac:dyDescent="0.35">
      <c r="A2422" s="52" t="s">
        <v>243</v>
      </c>
      <c r="B2422" s="52" t="s">
        <v>37</v>
      </c>
      <c r="C2422" s="52" t="s">
        <v>35</v>
      </c>
      <c r="D2422" s="52" t="s">
        <v>163</v>
      </c>
      <c r="E2422" s="52" t="s">
        <v>580</v>
      </c>
      <c r="F2422" s="52" t="s">
        <v>581</v>
      </c>
      <c r="G2422" s="55" t="s">
        <v>275</v>
      </c>
      <c r="H2422" s="55">
        <v>-154.30869999999999</v>
      </c>
      <c r="I2422" s="55">
        <v>-0.1115236</v>
      </c>
      <c r="J2422" s="55">
        <v>86.464399999999998</v>
      </c>
      <c r="K2422" s="55">
        <v>128.41849999999999</v>
      </c>
      <c r="L2422" s="55">
        <v>101.232</v>
      </c>
      <c r="M2422" s="55">
        <v>70.984750000000005</v>
      </c>
      <c r="N2422" s="55">
        <v>47.656419999999997</v>
      </c>
    </row>
    <row r="2423" spans="1:14" hidden="1" x14ac:dyDescent="0.35">
      <c r="A2423" s="52" t="s">
        <v>243</v>
      </c>
      <c r="B2423" s="52" t="s">
        <v>37</v>
      </c>
      <c r="C2423" s="52" t="s">
        <v>35</v>
      </c>
      <c r="D2423" s="52" t="s">
        <v>163</v>
      </c>
      <c r="E2423" s="52" t="s">
        <v>580</v>
      </c>
      <c r="F2423" s="52" t="s">
        <v>581</v>
      </c>
      <c r="G2423" s="55" t="s">
        <v>276</v>
      </c>
      <c r="H2423" s="55">
        <v>27.500260000000001</v>
      </c>
      <c r="I2423" s="55">
        <v>-38.383719999999997</v>
      </c>
      <c r="J2423" s="55">
        <v>-36.448889999999999</v>
      </c>
      <c r="K2423" s="55">
        <v>-51.042029999999997</v>
      </c>
      <c r="L2423" s="55">
        <v>-33.063589999999998</v>
      </c>
      <c r="M2423" s="55">
        <v>0.30086540000000001</v>
      </c>
      <c r="N2423" s="55">
        <v>6.5769070000000003</v>
      </c>
    </row>
    <row r="2424" spans="1:14" hidden="1" x14ac:dyDescent="0.35">
      <c r="A2424" s="52" t="s">
        <v>243</v>
      </c>
      <c r="B2424" s="52" t="s">
        <v>37</v>
      </c>
      <c r="C2424" s="52" t="s">
        <v>35</v>
      </c>
      <c r="D2424" s="52" t="s">
        <v>163</v>
      </c>
      <c r="E2424" s="52" t="s">
        <v>580</v>
      </c>
      <c r="F2424" s="52" t="s">
        <v>581</v>
      </c>
      <c r="G2424" s="55" t="s">
        <v>277</v>
      </c>
      <c r="H2424" s="55">
        <v>539.98159999999996</v>
      </c>
      <c r="I2424" s="55">
        <v>141.80109999999999</v>
      </c>
      <c r="J2424" s="55">
        <v>50.47916</v>
      </c>
      <c r="K2424" s="55">
        <v>14.13068</v>
      </c>
      <c r="L2424" s="55">
        <v>16.511949999999999</v>
      </c>
      <c r="M2424" s="55">
        <v>8.7844800000000003</v>
      </c>
      <c r="N2424" s="55">
        <v>18.010149999999999</v>
      </c>
    </row>
    <row r="2425" spans="1:14" hidden="1" x14ac:dyDescent="0.35">
      <c r="A2425" s="52" t="s">
        <v>243</v>
      </c>
      <c r="B2425" s="52" t="s">
        <v>37</v>
      </c>
      <c r="C2425" s="52" t="s">
        <v>35</v>
      </c>
      <c r="D2425" s="52" t="s">
        <v>163</v>
      </c>
      <c r="E2425" s="52" t="s">
        <v>580</v>
      </c>
      <c r="F2425" s="52" t="s">
        <v>581</v>
      </c>
      <c r="G2425" s="55" t="s">
        <v>278</v>
      </c>
      <c r="H2425" s="55">
        <v>30.018450000000001</v>
      </c>
      <c r="I2425" s="55">
        <v>13.19889</v>
      </c>
      <c r="J2425" s="55">
        <v>33.725969999999997</v>
      </c>
      <c r="K2425" s="55">
        <v>33.496139999999997</v>
      </c>
      <c r="L2425" s="55">
        <v>36.148620000000001</v>
      </c>
      <c r="M2425" s="55">
        <v>12.19004</v>
      </c>
      <c r="N2425" s="55">
        <v>15.176310000000001</v>
      </c>
    </row>
    <row r="2426" spans="1:14" hidden="1" x14ac:dyDescent="0.35">
      <c r="A2426" s="52" t="s">
        <v>243</v>
      </c>
      <c r="B2426" s="52" t="s">
        <v>37</v>
      </c>
      <c r="C2426" s="52" t="s">
        <v>35</v>
      </c>
      <c r="D2426" s="52" t="s">
        <v>163</v>
      </c>
      <c r="E2426" s="52" t="s">
        <v>580</v>
      </c>
      <c r="F2426" s="52" t="s">
        <v>581</v>
      </c>
      <c r="G2426" s="55" t="s">
        <v>279</v>
      </c>
      <c r="H2426" s="55">
        <v>224.696</v>
      </c>
      <c r="I2426" s="55">
        <v>159.94720000000001</v>
      </c>
      <c r="J2426" s="55">
        <v>165.67019999999999</v>
      </c>
      <c r="K2426" s="55">
        <v>166.59790000000001</v>
      </c>
      <c r="L2426" s="55">
        <v>144.97460000000001</v>
      </c>
      <c r="M2426" s="55">
        <v>139.58920000000001</v>
      </c>
      <c r="N2426" s="55">
        <v>123.9706</v>
      </c>
    </row>
    <row r="2427" spans="1:14" hidden="1" x14ac:dyDescent="0.35">
      <c r="A2427" s="52" t="s">
        <v>243</v>
      </c>
      <c r="B2427" s="52" t="s">
        <v>37</v>
      </c>
      <c r="C2427" s="52" t="s">
        <v>35</v>
      </c>
      <c r="D2427" s="52" t="s">
        <v>163</v>
      </c>
      <c r="E2427" s="52" t="s">
        <v>580</v>
      </c>
      <c r="F2427" s="52" t="s">
        <v>26</v>
      </c>
      <c r="G2427" s="55" t="s">
        <v>275</v>
      </c>
      <c r="H2427" s="55">
        <v>-10.79973</v>
      </c>
      <c r="I2427" s="55">
        <v>-11.97409</v>
      </c>
      <c r="J2427" s="55">
        <v>-9.5235210000000006</v>
      </c>
      <c r="K2427" s="55">
        <v>-11.64113</v>
      </c>
      <c r="L2427" s="55">
        <v>-10.15124</v>
      </c>
      <c r="M2427" s="55">
        <v>-11.303800000000001</v>
      </c>
      <c r="N2427" s="55">
        <v>-9.4295179999999998</v>
      </c>
    </row>
    <row r="2428" spans="1:14" hidden="1" x14ac:dyDescent="0.35">
      <c r="A2428" s="52" t="s">
        <v>243</v>
      </c>
      <c r="B2428" s="52" t="s">
        <v>37</v>
      </c>
      <c r="C2428" s="52" t="s">
        <v>35</v>
      </c>
      <c r="D2428" s="52" t="s">
        <v>163</v>
      </c>
      <c r="E2428" s="52" t="s">
        <v>580</v>
      </c>
      <c r="F2428" s="52" t="s">
        <v>26</v>
      </c>
      <c r="G2428" s="55" t="s">
        <v>276</v>
      </c>
      <c r="H2428" s="55">
        <v>-2.8708170000000002</v>
      </c>
      <c r="I2428" s="55">
        <v>-3.1829900000000002</v>
      </c>
      <c r="J2428" s="55">
        <v>-2.5315660000000002</v>
      </c>
      <c r="K2428" s="55">
        <v>-3.0944769999999999</v>
      </c>
      <c r="L2428" s="55">
        <v>-2.6984379999999999</v>
      </c>
      <c r="M2428" s="55">
        <v>-3.0048089999999998</v>
      </c>
      <c r="N2428" s="55">
        <v>-2.5065770000000001</v>
      </c>
    </row>
    <row r="2429" spans="1:14" hidden="1" x14ac:dyDescent="0.35">
      <c r="A2429" s="52" t="s">
        <v>243</v>
      </c>
      <c r="B2429" s="52" t="s">
        <v>37</v>
      </c>
      <c r="C2429" s="52" t="s">
        <v>35</v>
      </c>
      <c r="D2429" s="52" t="s">
        <v>163</v>
      </c>
      <c r="E2429" s="52" t="s">
        <v>580</v>
      </c>
      <c r="F2429" s="52" t="s">
        <v>26</v>
      </c>
      <c r="G2429" s="55" t="s">
        <v>279</v>
      </c>
      <c r="H2429" s="55">
        <v>53.895429999999998</v>
      </c>
      <c r="I2429" s="55">
        <v>53.80885</v>
      </c>
      <c r="J2429" s="55">
        <v>55.880879999999998</v>
      </c>
      <c r="K2429" s="55">
        <v>57.062930000000001</v>
      </c>
      <c r="L2429" s="55">
        <v>51.073230000000002</v>
      </c>
      <c r="M2429" s="55">
        <v>47.314869999999999</v>
      </c>
      <c r="N2429" s="55">
        <v>41.61741</v>
      </c>
    </row>
    <row r="2430" spans="1:14" hidden="1" x14ac:dyDescent="0.35">
      <c r="A2430" s="52" t="s">
        <v>243</v>
      </c>
      <c r="B2430" s="52" t="s">
        <v>37</v>
      </c>
      <c r="C2430" s="52" t="s">
        <v>35</v>
      </c>
      <c r="D2430" s="52" t="s">
        <v>163</v>
      </c>
      <c r="E2430" s="52" t="s">
        <v>582</v>
      </c>
      <c r="F2430" s="52" t="s">
        <v>581</v>
      </c>
      <c r="G2430" s="55" t="s">
        <v>275</v>
      </c>
      <c r="H2430" s="55">
        <v>-46.569099999999999</v>
      </c>
      <c r="I2430" s="55">
        <v>9.6792490000000004</v>
      </c>
      <c r="J2430" s="55">
        <v>38.139119999999998</v>
      </c>
      <c r="K2430" s="55">
        <v>52.546999999999997</v>
      </c>
      <c r="L2430" s="55">
        <v>38.672919999999998</v>
      </c>
      <c r="M2430" s="55">
        <v>15.55749</v>
      </c>
      <c r="N2430" s="55">
        <v>21.660299999999999</v>
      </c>
    </row>
    <row r="2431" spans="1:14" hidden="1" x14ac:dyDescent="0.35">
      <c r="A2431" s="52" t="s">
        <v>243</v>
      </c>
      <c r="B2431" s="52" t="s">
        <v>37</v>
      </c>
      <c r="C2431" s="52" t="s">
        <v>35</v>
      </c>
      <c r="D2431" s="52" t="s">
        <v>163</v>
      </c>
      <c r="E2431" s="52" t="s">
        <v>582</v>
      </c>
      <c r="F2431" s="52" t="s">
        <v>581</v>
      </c>
      <c r="G2431" s="55" t="s">
        <v>276</v>
      </c>
      <c r="H2431" s="55">
        <v>22.003900000000002</v>
      </c>
      <c r="I2431" s="55">
        <v>7.8515890000000005E-2</v>
      </c>
      <c r="J2431" s="55">
        <v>1.368239</v>
      </c>
      <c r="K2431" s="55">
        <v>4.246855</v>
      </c>
      <c r="L2431" s="55">
        <v>-5.3594400000000002</v>
      </c>
      <c r="M2431" s="55">
        <v>8.5441079999999996</v>
      </c>
      <c r="N2431" s="55">
        <v>12.86238</v>
      </c>
    </row>
    <row r="2432" spans="1:14" hidden="1" x14ac:dyDescent="0.35">
      <c r="A2432" s="52" t="s">
        <v>243</v>
      </c>
      <c r="B2432" s="52" t="s">
        <v>37</v>
      </c>
      <c r="C2432" s="52" t="s">
        <v>35</v>
      </c>
      <c r="D2432" s="52" t="s">
        <v>163</v>
      </c>
      <c r="E2432" s="52" t="s">
        <v>582</v>
      </c>
      <c r="F2432" s="52" t="s">
        <v>581</v>
      </c>
      <c r="G2432" s="55" t="s">
        <v>277</v>
      </c>
      <c r="H2432" s="55">
        <v>179.27619999999999</v>
      </c>
      <c r="I2432" s="55">
        <v>38.141289999999998</v>
      </c>
      <c r="J2432" s="55">
        <v>13.63405</v>
      </c>
      <c r="K2432" s="55">
        <v>3.6090399999999998</v>
      </c>
      <c r="L2432" s="55">
        <v>10.053000000000001</v>
      </c>
      <c r="M2432" s="55">
        <v>16.827059999999999</v>
      </c>
      <c r="N2432" s="55">
        <v>23.072600000000001</v>
      </c>
    </row>
    <row r="2433" spans="1:14" hidden="1" x14ac:dyDescent="0.35">
      <c r="A2433" s="52" t="s">
        <v>243</v>
      </c>
      <c r="B2433" s="52" t="s">
        <v>37</v>
      </c>
      <c r="C2433" s="52" t="s">
        <v>35</v>
      </c>
      <c r="D2433" s="52" t="s">
        <v>163</v>
      </c>
      <c r="E2433" s="52" t="s">
        <v>582</v>
      </c>
      <c r="F2433" s="52" t="s">
        <v>581</v>
      </c>
      <c r="G2433" s="55" t="s">
        <v>278</v>
      </c>
      <c r="H2433" s="55">
        <v>13.42384</v>
      </c>
      <c r="I2433" s="55">
        <v>6.8587100000000003</v>
      </c>
      <c r="J2433" s="55">
        <v>17.114170000000001</v>
      </c>
      <c r="K2433" s="55">
        <v>13.832000000000001</v>
      </c>
      <c r="L2433" s="55">
        <v>29.234030000000001</v>
      </c>
      <c r="M2433" s="55">
        <v>41.527470000000001</v>
      </c>
      <c r="N2433" s="55">
        <v>46.268239999999999</v>
      </c>
    </row>
    <row r="2434" spans="1:14" hidden="1" x14ac:dyDescent="0.35">
      <c r="A2434" s="52" t="s">
        <v>243</v>
      </c>
      <c r="B2434" s="52" t="s">
        <v>37</v>
      </c>
      <c r="C2434" s="52" t="s">
        <v>35</v>
      </c>
      <c r="D2434" s="52" t="s">
        <v>163</v>
      </c>
      <c r="E2434" s="52" t="s">
        <v>582</v>
      </c>
      <c r="F2434" s="52" t="s">
        <v>581</v>
      </c>
      <c r="G2434" s="55" t="s">
        <v>279</v>
      </c>
      <c r="H2434" s="55">
        <v>69.174750000000003</v>
      </c>
      <c r="I2434" s="55">
        <v>53.297640000000001</v>
      </c>
      <c r="J2434" s="55">
        <v>62.766260000000003</v>
      </c>
      <c r="K2434" s="55">
        <v>69.544049999999999</v>
      </c>
      <c r="L2434" s="55">
        <v>60.148350000000001</v>
      </c>
      <c r="M2434" s="55">
        <v>87.420289999999994</v>
      </c>
      <c r="N2434" s="55">
        <v>108.8005</v>
      </c>
    </row>
    <row r="2435" spans="1:14" hidden="1" x14ac:dyDescent="0.35">
      <c r="A2435" s="52" t="s">
        <v>243</v>
      </c>
      <c r="B2435" s="52" t="s">
        <v>37</v>
      </c>
      <c r="C2435" s="52" t="s">
        <v>35</v>
      </c>
      <c r="D2435" s="52" t="s">
        <v>163</v>
      </c>
      <c r="E2435" s="52" t="s">
        <v>582</v>
      </c>
      <c r="F2435" s="52" t="s">
        <v>26</v>
      </c>
      <c r="G2435" s="55" t="s">
        <v>275</v>
      </c>
      <c r="H2435" s="55">
        <v>0.48998799999999998</v>
      </c>
      <c r="I2435" s="55">
        <v>4.6804520000000002E-2</v>
      </c>
      <c r="J2435" s="55">
        <v>1.299906</v>
      </c>
      <c r="K2435" s="55">
        <v>0.70094109999999998</v>
      </c>
      <c r="L2435" s="55">
        <v>1.132566</v>
      </c>
      <c r="M2435" s="55">
        <v>-0.78455249999999999</v>
      </c>
      <c r="N2435" s="55">
        <v>-0.96793200000000001</v>
      </c>
    </row>
    <row r="2436" spans="1:14" hidden="1" x14ac:dyDescent="0.35">
      <c r="A2436" s="52" t="s">
        <v>243</v>
      </c>
      <c r="B2436" s="52" t="s">
        <v>37</v>
      </c>
      <c r="C2436" s="52" t="s">
        <v>35</v>
      </c>
      <c r="D2436" s="52" t="s">
        <v>163</v>
      </c>
      <c r="E2436" s="52" t="s">
        <v>582</v>
      </c>
      <c r="F2436" s="52" t="s">
        <v>26</v>
      </c>
      <c r="G2436" s="55" t="s">
        <v>276</v>
      </c>
      <c r="H2436" s="55">
        <v>0.130247</v>
      </c>
      <c r="I2436" s="55">
        <v>1.2440400000000001E-2</v>
      </c>
      <c r="J2436" s="55">
        <v>0.34554240000000003</v>
      </c>
      <c r="K2436" s="55">
        <v>0.18632850000000001</v>
      </c>
      <c r="L2436" s="55">
        <v>0.30105910000000002</v>
      </c>
      <c r="M2436" s="55">
        <v>-0.20855389999999999</v>
      </c>
      <c r="N2436" s="55">
        <v>-0.2572931</v>
      </c>
    </row>
    <row r="2437" spans="1:14" hidden="1" x14ac:dyDescent="0.35">
      <c r="A2437" s="52" t="s">
        <v>243</v>
      </c>
      <c r="B2437" s="52" t="s">
        <v>37</v>
      </c>
      <c r="C2437" s="52" t="s">
        <v>35</v>
      </c>
      <c r="D2437" s="52" t="s">
        <v>163</v>
      </c>
      <c r="E2437" s="52" t="s">
        <v>582</v>
      </c>
      <c r="F2437" s="52" t="s">
        <v>26</v>
      </c>
      <c r="G2437" s="55" t="s">
        <v>279</v>
      </c>
      <c r="H2437" s="55">
        <v>14.09707</v>
      </c>
      <c r="I2437" s="55">
        <v>15.46401</v>
      </c>
      <c r="J2437" s="55">
        <v>18.322990000000001</v>
      </c>
      <c r="K2437" s="55">
        <v>20.556319999999999</v>
      </c>
      <c r="L2437" s="55">
        <v>18.17858</v>
      </c>
      <c r="M2437" s="55">
        <v>25.76097</v>
      </c>
      <c r="N2437" s="55">
        <v>32.032429999999998</v>
      </c>
    </row>
    <row r="2438" spans="1:14" hidden="1" x14ac:dyDescent="0.35">
      <c r="A2438" s="52" t="s">
        <v>243</v>
      </c>
      <c r="B2438" s="52" t="s">
        <v>37</v>
      </c>
      <c r="C2438" s="52" t="s">
        <v>35</v>
      </c>
      <c r="D2438" s="52" t="s">
        <v>163</v>
      </c>
      <c r="E2438" s="52" t="s">
        <v>583</v>
      </c>
      <c r="F2438" s="52" t="s">
        <v>581</v>
      </c>
      <c r="G2438" s="55" t="s">
        <v>275</v>
      </c>
      <c r="H2438" s="55">
        <v>14.89068</v>
      </c>
      <c r="I2438" s="55">
        <v>3.8828800000000001</v>
      </c>
      <c r="J2438" s="55">
        <v>3.6002719999999999</v>
      </c>
      <c r="K2438" s="55">
        <v>3.1847219999999998</v>
      </c>
      <c r="L2438" s="55">
        <v>2.986548</v>
      </c>
      <c r="M2438" s="55">
        <v>2.4185780000000001</v>
      </c>
      <c r="N2438" s="55">
        <v>2.1937009999999999</v>
      </c>
    </row>
    <row r="2439" spans="1:14" hidden="1" x14ac:dyDescent="0.35">
      <c r="A2439" s="52" t="s">
        <v>243</v>
      </c>
      <c r="B2439" s="52" t="s">
        <v>37</v>
      </c>
      <c r="C2439" s="52" t="s">
        <v>35</v>
      </c>
      <c r="D2439" s="52" t="s">
        <v>163</v>
      </c>
      <c r="E2439" s="52" t="s">
        <v>583</v>
      </c>
      <c r="F2439" s="52" t="s">
        <v>581</v>
      </c>
      <c r="G2439" s="55" t="s">
        <v>276</v>
      </c>
      <c r="H2439" s="55">
        <v>1.970019</v>
      </c>
      <c r="I2439" s="55">
        <v>1.0321579999999999</v>
      </c>
      <c r="J2439" s="55">
        <v>0.95703530000000003</v>
      </c>
      <c r="K2439" s="55">
        <v>0.84657119999999997</v>
      </c>
      <c r="L2439" s="55">
        <v>0.79389290000000001</v>
      </c>
      <c r="M2439" s="55">
        <v>0.6429127</v>
      </c>
      <c r="N2439" s="55">
        <v>0.58313559999999998</v>
      </c>
    </row>
    <row r="2440" spans="1:14" hidden="1" x14ac:dyDescent="0.35">
      <c r="A2440" s="52" t="s">
        <v>243</v>
      </c>
      <c r="B2440" s="52" t="s">
        <v>37</v>
      </c>
      <c r="C2440" s="52" t="s">
        <v>35</v>
      </c>
      <c r="D2440" s="52" t="s">
        <v>163</v>
      </c>
      <c r="E2440" s="52" t="s">
        <v>583</v>
      </c>
      <c r="F2440" s="52" t="s">
        <v>581</v>
      </c>
      <c r="G2440" s="55" t="s">
        <v>277</v>
      </c>
      <c r="H2440" s="55"/>
      <c r="I2440" s="55"/>
      <c r="J2440" s="55"/>
      <c r="K2440" s="55"/>
      <c r="L2440" s="55"/>
      <c r="M2440" s="55">
        <v>0</v>
      </c>
      <c r="N2440" s="55">
        <v>0</v>
      </c>
    </row>
    <row r="2441" spans="1:14" hidden="1" x14ac:dyDescent="0.35">
      <c r="A2441" s="52" t="s">
        <v>243</v>
      </c>
      <c r="B2441" s="52" t="s">
        <v>37</v>
      </c>
      <c r="C2441" s="52" t="s">
        <v>35</v>
      </c>
      <c r="D2441" s="52" t="s">
        <v>163</v>
      </c>
      <c r="E2441" s="52" t="s">
        <v>583</v>
      </c>
      <c r="F2441" s="52" t="s">
        <v>581</v>
      </c>
      <c r="G2441" s="55" t="s">
        <v>279</v>
      </c>
      <c r="H2441" s="55">
        <v>7.1525280000000002</v>
      </c>
      <c r="I2441" s="55">
        <v>4.8482810000000001</v>
      </c>
      <c r="J2441" s="55">
        <v>4.167872</v>
      </c>
      <c r="K2441" s="55">
        <v>3.8769</v>
      </c>
      <c r="L2441" s="55">
        <v>3.3859710000000001</v>
      </c>
      <c r="M2441" s="55">
        <v>3.4487890000000001</v>
      </c>
      <c r="N2441" s="55">
        <v>3.1038739999999998</v>
      </c>
    </row>
    <row r="2442" spans="1:14" hidden="1" x14ac:dyDescent="0.35">
      <c r="A2442" s="52" t="s">
        <v>243</v>
      </c>
      <c r="B2442" s="52" t="s">
        <v>37</v>
      </c>
      <c r="C2442" s="52" t="s">
        <v>35</v>
      </c>
      <c r="D2442" s="52" t="s">
        <v>163</v>
      </c>
      <c r="E2442" s="52" t="s">
        <v>583</v>
      </c>
      <c r="F2442" s="52" t="s">
        <v>26</v>
      </c>
      <c r="G2442" s="55" t="s">
        <v>275</v>
      </c>
      <c r="H2442" s="55">
        <v>-7.2216000000000002E-2</v>
      </c>
      <c r="I2442" s="55">
        <v>-0.11095629999999999</v>
      </c>
      <c r="J2442" s="55">
        <v>-2.5393800000000001E-2</v>
      </c>
      <c r="K2442" s="55">
        <v>-6.1035489999999998E-2</v>
      </c>
      <c r="L2442" s="55">
        <v>-4.3862400000000003E-2</v>
      </c>
      <c r="M2442" s="55">
        <v>-0.1155441</v>
      </c>
      <c r="N2442" s="55">
        <v>-0.10423109999999999</v>
      </c>
    </row>
    <row r="2443" spans="1:14" hidden="1" x14ac:dyDescent="0.35">
      <c r="A2443" s="52" t="s">
        <v>243</v>
      </c>
      <c r="B2443" s="52" t="s">
        <v>37</v>
      </c>
      <c r="C2443" s="52" t="s">
        <v>35</v>
      </c>
      <c r="D2443" s="52" t="s">
        <v>163</v>
      </c>
      <c r="E2443" s="52" t="s">
        <v>583</v>
      </c>
      <c r="F2443" s="52" t="s">
        <v>26</v>
      </c>
      <c r="G2443" s="55" t="s">
        <v>276</v>
      </c>
      <c r="H2443" s="55">
        <v>-1.9196999999999999E-2</v>
      </c>
      <c r="I2443" s="55">
        <v>-2.94945E-2</v>
      </c>
      <c r="J2443" s="55">
        <v>-6.7503989999999998E-3</v>
      </c>
      <c r="K2443" s="55">
        <v>-1.62244E-2</v>
      </c>
      <c r="L2443" s="55">
        <v>-1.16601E-2</v>
      </c>
      <c r="M2443" s="55">
        <v>-3.0713799999999999E-2</v>
      </c>
      <c r="N2443" s="55">
        <v>-2.77069E-2</v>
      </c>
    </row>
    <row r="2444" spans="1:14" hidden="1" x14ac:dyDescent="0.35">
      <c r="A2444" s="52" t="s">
        <v>243</v>
      </c>
      <c r="B2444" s="52" t="s">
        <v>37</v>
      </c>
      <c r="C2444" s="52" t="s">
        <v>35</v>
      </c>
      <c r="D2444" s="52" t="s">
        <v>163</v>
      </c>
      <c r="E2444" s="52" t="s">
        <v>583</v>
      </c>
      <c r="F2444" s="52" t="s">
        <v>26</v>
      </c>
      <c r="G2444" s="55" t="s">
        <v>279</v>
      </c>
      <c r="H2444" s="55">
        <v>1.44123</v>
      </c>
      <c r="I2444" s="55">
        <v>1.4347719999999999</v>
      </c>
      <c r="J2444" s="55">
        <v>1.2453879999999999</v>
      </c>
      <c r="K2444" s="55">
        <v>1.1717470000000001</v>
      </c>
      <c r="L2444" s="55">
        <v>1.043466</v>
      </c>
      <c r="M2444" s="55">
        <v>1.039758</v>
      </c>
      <c r="N2444" s="55">
        <v>0.93512099999999998</v>
      </c>
    </row>
    <row r="2445" spans="1:14" hidden="1" x14ac:dyDescent="0.35">
      <c r="A2445" s="52" t="s">
        <v>243</v>
      </c>
      <c r="B2445" s="52" t="s">
        <v>37</v>
      </c>
      <c r="C2445" s="52" t="s">
        <v>35</v>
      </c>
      <c r="D2445" s="52" t="s">
        <v>36</v>
      </c>
      <c r="E2445" s="52" t="s">
        <v>584</v>
      </c>
      <c r="F2445" s="52" t="s">
        <v>581</v>
      </c>
      <c r="G2445" s="55" t="s">
        <v>275</v>
      </c>
      <c r="H2445" s="55">
        <v>2.2848310000000001</v>
      </c>
      <c r="I2445" s="55">
        <v>5.3637290000000002</v>
      </c>
      <c r="J2445" s="55">
        <v>5.0627620000000002</v>
      </c>
      <c r="K2445" s="55">
        <v>4.661251</v>
      </c>
      <c r="L2445" s="55">
        <v>4.7795949999999996</v>
      </c>
      <c r="M2445" s="55">
        <v>3.6119789999999998</v>
      </c>
      <c r="N2445" s="55">
        <v>3.4656349999999998</v>
      </c>
    </row>
    <row r="2446" spans="1:14" hidden="1" x14ac:dyDescent="0.35">
      <c r="A2446" s="52" t="s">
        <v>243</v>
      </c>
      <c r="B2446" s="52" t="s">
        <v>37</v>
      </c>
      <c r="C2446" s="52" t="s">
        <v>35</v>
      </c>
      <c r="D2446" s="52" t="s">
        <v>36</v>
      </c>
      <c r="E2446" s="52" t="s">
        <v>584</v>
      </c>
      <c r="F2446" s="52" t="s">
        <v>581</v>
      </c>
      <c r="G2446" s="55" t="s">
        <v>276</v>
      </c>
      <c r="H2446" s="55">
        <v>1.783952</v>
      </c>
      <c r="I2446" s="55">
        <v>0.12754499999999999</v>
      </c>
      <c r="J2446" s="55">
        <v>0.3848934</v>
      </c>
      <c r="K2446" s="55">
        <v>0.44943830000000001</v>
      </c>
      <c r="L2446" s="55">
        <v>2.1873119999999999E-3</v>
      </c>
      <c r="M2446" s="55">
        <v>0.96014549999999999</v>
      </c>
      <c r="N2446" s="55">
        <v>0.92124470000000003</v>
      </c>
    </row>
    <row r="2447" spans="1:14" hidden="1" x14ac:dyDescent="0.35">
      <c r="A2447" s="52" t="s">
        <v>243</v>
      </c>
      <c r="B2447" s="52" t="s">
        <v>37</v>
      </c>
      <c r="C2447" s="52" t="s">
        <v>35</v>
      </c>
      <c r="D2447" s="52" t="s">
        <v>36</v>
      </c>
      <c r="E2447" s="52" t="s">
        <v>584</v>
      </c>
      <c r="F2447" s="52" t="s">
        <v>581</v>
      </c>
      <c r="G2447" s="55" t="s">
        <v>277</v>
      </c>
      <c r="H2447" s="55">
        <v>11.648849999999999</v>
      </c>
      <c r="I2447" s="55">
        <v>0</v>
      </c>
      <c r="J2447" s="55"/>
      <c r="K2447" s="55"/>
      <c r="L2447" s="55"/>
      <c r="M2447" s="55"/>
      <c r="N2447" s="55"/>
    </row>
    <row r="2448" spans="1:14" hidden="1" x14ac:dyDescent="0.35">
      <c r="A2448" s="52" t="s">
        <v>243</v>
      </c>
      <c r="B2448" s="52" t="s">
        <v>37</v>
      </c>
      <c r="C2448" s="52" t="s">
        <v>35</v>
      </c>
      <c r="D2448" s="52" t="s">
        <v>36</v>
      </c>
      <c r="E2448" s="52" t="s">
        <v>584</v>
      </c>
      <c r="F2448" s="52" t="s">
        <v>581</v>
      </c>
      <c r="G2448" s="55" t="s">
        <v>279</v>
      </c>
      <c r="H2448" s="55">
        <v>5.7314579999999999</v>
      </c>
      <c r="I2448" s="55">
        <v>4.1132609999999996</v>
      </c>
      <c r="J2448" s="55">
        <v>3.9237500000000001</v>
      </c>
      <c r="K2448" s="55">
        <v>4.1246460000000003</v>
      </c>
      <c r="L2448" s="55">
        <v>4.233168</v>
      </c>
      <c r="M2448" s="55">
        <v>4.028397</v>
      </c>
      <c r="N2448" s="55">
        <v>3.848617</v>
      </c>
    </row>
    <row r="2449" spans="1:14" hidden="1" x14ac:dyDescent="0.35">
      <c r="A2449" s="52" t="s">
        <v>243</v>
      </c>
      <c r="B2449" s="52" t="s">
        <v>37</v>
      </c>
      <c r="C2449" s="52" t="s">
        <v>35</v>
      </c>
      <c r="D2449" s="52" t="s">
        <v>36</v>
      </c>
      <c r="E2449" s="52" t="s">
        <v>584</v>
      </c>
      <c r="F2449" s="52" t="s">
        <v>26</v>
      </c>
      <c r="G2449" s="55" t="s">
        <v>275</v>
      </c>
      <c r="H2449" s="55">
        <v>-8.4709989999999999E-3</v>
      </c>
      <c r="I2449" s="55">
        <v>-1.66257E-2</v>
      </c>
      <c r="J2449" s="55">
        <v>6.3874999999999999E-3</v>
      </c>
      <c r="K2449" s="55">
        <v>-2.1271399999999999E-2</v>
      </c>
      <c r="L2449" s="55">
        <v>-4.3867000000000003E-2</v>
      </c>
      <c r="M2449" s="55">
        <v>-4.2611999999999997E-2</v>
      </c>
      <c r="N2449" s="55">
        <v>-4.1758299999999998E-2</v>
      </c>
    </row>
    <row r="2450" spans="1:14" hidden="1" x14ac:dyDescent="0.35">
      <c r="A2450" s="52" t="s">
        <v>243</v>
      </c>
      <c r="B2450" s="52" t="s">
        <v>37</v>
      </c>
      <c r="C2450" s="52" t="s">
        <v>35</v>
      </c>
      <c r="D2450" s="52" t="s">
        <v>36</v>
      </c>
      <c r="E2450" s="52" t="s">
        <v>584</v>
      </c>
      <c r="F2450" s="52" t="s">
        <v>26</v>
      </c>
      <c r="G2450" s="55" t="s">
        <v>276</v>
      </c>
      <c r="H2450" s="55">
        <v>-2.251E-3</v>
      </c>
      <c r="I2450" s="55">
        <v>-4.4191999999999999E-3</v>
      </c>
      <c r="J2450" s="55">
        <v>1.6982E-3</v>
      </c>
      <c r="K2450" s="55">
        <v>-5.6547000000000004E-3</v>
      </c>
      <c r="L2450" s="55">
        <v>-1.1660999999999999E-2</v>
      </c>
      <c r="M2450" s="55">
        <v>-1.1326599999999999E-2</v>
      </c>
      <c r="N2450" s="55">
        <v>-1.1100499999999999E-2</v>
      </c>
    </row>
    <row r="2451" spans="1:14" hidden="1" x14ac:dyDescent="0.35">
      <c r="A2451" s="52" t="s">
        <v>243</v>
      </c>
      <c r="B2451" s="52" t="s">
        <v>37</v>
      </c>
      <c r="C2451" s="52" t="s">
        <v>35</v>
      </c>
      <c r="D2451" s="52" t="s">
        <v>36</v>
      </c>
      <c r="E2451" s="52" t="s">
        <v>584</v>
      </c>
      <c r="F2451" s="52" t="s">
        <v>26</v>
      </c>
      <c r="G2451" s="55" t="s">
        <v>279</v>
      </c>
      <c r="H2451" s="55">
        <v>0.53742400000000001</v>
      </c>
      <c r="I2451" s="55">
        <v>0.4625573</v>
      </c>
      <c r="J2451" s="55">
        <v>0.45432210000000001</v>
      </c>
      <c r="K2451" s="55">
        <v>0.4906913</v>
      </c>
      <c r="L2451" s="55">
        <v>0.51738660000000003</v>
      </c>
      <c r="M2451" s="55">
        <v>0.50349279999999996</v>
      </c>
      <c r="N2451" s="55">
        <v>0.49212679999999998</v>
      </c>
    </row>
    <row r="2452" spans="1:14" hidden="1" x14ac:dyDescent="0.35">
      <c r="A2452" s="52" t="s">
        <v>243</v>
      </c>
      <c r="B2452" s="52" t="s">
        <v>37</v>
      </c>
      <c r="C2452" s="52" t="s">
        <v>35</v>
      </c>
      <c r="D2452" s="52" t="s">
        <v>36</v>
      </c>
      <c r="E2452" s="52" t="s">
        <v>587</v>
      </c>
      <c r="F2452" s="52" t="s">
        <v>581</v>
      </c>
      <c r="G2452" s="55" t="s">
        <v>275</v>
      </c>
      <c r="H2452" s="55">
        <v>0.48652099999999998</v>
      </c>
      <c r="I2452" s="55">
        <v>0.1490697</v>
      </c>
      <c r="J2452" s="55">
        <v>0.15664020000000001</v>
      </c>
      <c r="K2452" s="55">
        <v>0.16247030000000001</v>
      </c>
      <c r="L2452" s="55">
        <v>9.6803100000000003E-2</v>
      </c>
      <c r="M2452" s="55">
        <v>7.6555700000000004E-2</v>
      </c>
      <c r="N2452" s="55">
        <v>6.9484799999999999E-2</v>
      </c>
    </row>
    <row r="2453" spans="1:14" hidden="1" x14ac:dyDescent="0.35">
      <c r="A2453" s="52" t="s">
        <v>243</v>
      </c>
      <c r="B2453" s="52" t="s">
        <v>37</v>
      </c>
      <c r="C2453" s="52" t="s">
        <v>35</v>
      </c>
      <c r="D2453" s="52" t="s">
        <v>36</v>
      </c>
      <c r="E2453" s="52" t="s">
        <v>587</v>
      </c>
      <c r="F2453" s="52" t="s">
        <v>581</v>
      </c>
      <c r="G2453" s="55" t="s">
        <v>276</v>
      </c>
      <c r="H2453" s="55">
        <v>8.9348999999999998E-2</v>
      </c>
      <c r="I2453" s="55">
        <v>7.6422E-3</v>
      </c>
      <c r="J2453" s="55">
        <v>-1.0079400000000001E-2</v>
      </c>
      <c r="K2453" s="55">
        <v>-3.3028399999999999E-2</v>
      </c>
      <c r="L2453" s="55">
        <v>2.57329E-2</v>
      </c>
      <c r="M2453" s="55">
        <v>2.0350699999999999E-2</v>
      </c>
      <c r="N2453" s="55">
        <v>1.8471399999999999E-2</v>
      </c>
    </row>
    <row r="2454" spans="1:14" hidden="1" x14ac:dyDescent="0.35">
      <c r="A2454" s="52" t="s">
        <v>243</v>
      </c>
      <c r="B2454" s="52" t="s">
        <v>37</v>
      </c>
      <c r="C2454" s="52" t="s">
        <v>35</v>
      </c>
      <c r="D2454" s="52" t="s">
        <v>36</v>
      </c>
      <c r="E2454" s="52" t="s">
        <v>587</v>
      </c>
      <c r="F2454" s="52" t="s">
        <v>581</v>
      </c>
      <c r="G2454" s="55" t="s">
        <v>277</v>
      </c>
      <c r="H2454" s="55">
        <v>0</v>
      </c>
      <c r="I2454" s="55"/>
      <c r="J2454" s="55"/>
      <c r="K2454" s="55"/>
      <c r="L2454" s="55"/>
      <c r="M2454" s="55">
        <v>0</v>
      </c>
      <c r="N2454" s="55">
        <v>0</v>
      </c>
    </row>
    <row r="2455" spans="1:14" hidden="1" x14ac:dyDescent="0.35">
      <c r="A2455" s="52" t="s">
        <v>243</v>
      </c>
      <c r="B2455" s="52" t="s">
        <v>37</v>
      </c>
      <c r="C2455" s="52" t="s">
        <v>35</v>
      </c>
      <c r="D2455" s="52" t="s">
        <v>36</v>
      </c>
      <c r="E2455" s="52" t="s">
        <v>587</v>
      </c>
      <c r="F2455" s="52" t="s">
        <v>581</v>
      </c>
      <c r="G2455" s="55" t="s">
        <v>279</v>
      </c>
      <c r="H2455" s="55">
        <v>0.265482</v>
      </c>
      <c r="I2455" s="55">
        <v>0.1761201</v>
      </c>
      <c r="J2455" s="55">
        <v>0.1511255</v>
      </c>
      <c r="K2455" s="55">
        <v>0.14036509999999999</v>
      </c>
      <c r="L2455" s="55">
        <v>0.1219567</v>
      </c>
      <c r="M2455" s="55">
        <v>0.1251979</v>
      </c>
      <c r="N2455" s="55">
        <v>0.1126649</v>
      </c>
    </row>
    <row r="2456" spans="1:14" hidden="1" x14ac:dyDescent="0.35">
      <c r="A2456" s="52" t="s">
        <v>243</v>
      </c>
      <c r="B2456" s="52" t="s">
        <v>37</v>
      </c>
      <c r="C2456" s="52" t="s">
        <v>35</v>
      </c>
      <c r="D2456" s="52" t="s">
        <v>36</v>
      </c>
      <c r="E2456" s="52" t="s">
        <v>587</v>
      </c>
      <c r="F2456" s="52" t="s">
        <v>26</v>
      </c>
      <c r="G2456" s="55" t="s">
        <v>275</v>
      </c>
      <c r="H2456" s="55">
        <v>-2.7409999999999999E-3</v>
      </c>
      <c r="I2456" s="55">
        <v>-3.2997E-3</v>
      </c>
      <c r="J2456" s="55">
        <v>-1.8324000000000001E-3</v>
      </c>
      <c r="K2456" s="55">
        <v>-2.1848000000000002E-3</v>
      </c>
      <c r="L2456" s="55">
        <v>-1.6894E-3</v>
      </c>
      <c r="M2456" s="55">
        <v>-2.8276999999999998E-3</v>
      </c>
      <c r="N2456" s="55">
        <v>-2.5468999999999999E-3</v>
      </c>
    </row>
    <row r="2457" spans="1:14" hidden="1" x14ac:dyDescent="0.35">
      <c r="A2457" s="52" t="s">
        <v>243</v>
      </c>
      <c r="B2457" s="52" t="s">
        <v>37</v>
      </c>
      <c r="C2457" s="52" t="s">
        <v>35</v>
      </c>
      <c r="D2457" s="52" t="s">
        <v>36</v>
      </c>
      <c r="E2457" s="52" t="s">
        <v>587</v>
      </c>
      <c r="F2457" s="52" t="s">
        <v>26</v>
      </c>
      <c r="G2457" s="55" t="s">
        <v>276</v>
      </c>
      <c r="H2457" s="55">
        <v>-7.2800000000000002E-4</v>
      </c>
      <c r="I2457" s="55">
        <v>-8.7770000000000003E-4</v>
      </c>
      <c r="J2457" s="55">
        <v>-4.8680000000000001E-4</v>
      </c>
      <c r="K2457" s="55">
        <v>-5.8069999999999997E-4</v>
      </c>
      <c r="L2457" s="55">
        <v>-4.4860000000000001E-4</v>
      </c>
      <c r="M2457" s="55">
        <v>-7.5219990000000003E-4</v>
      </c>
      <c r="N2457" s="55">
        <v>-6.7690000000000003E-4</v>
      </c>
    </row>
    <row r="2458" spans="1:14" hidden="1" x14ac:dyDescent="0.35">
      <c r="A2458" s="52" t="s">
        <v>243</v>
      </c>
      <c r="B2458" s="52" t="s">
        <v>37</v>
      </c>
      <c r="C2458" s="52" t="s">
        <v>35</v>
      </c>
      <c r="D2458" s="52" t="s">
        <v>36</v>
      </c>
      <c r="E2458" s="52" t="s">
        <v>587</v>
      </c>
      <c r="F2458" s="52" t="s">
        <v>26</v>
      </c>
      <c r="G2458" s="55" t="s">
        <v>279</v>
      </c>
      <c r="H2458" s="55">
        <v>2.1711000000000001E-2</v>
      </c>
      <c r="I2458" s="55">
        <v>2.1909399999999999E-2</v>
      </c>
      <c r="J2458" s="55">
        <v>1.8943499999999999E-2</v>
      </c>
      <c r="K2458" s="55">
        <v>1.7761699999999998E-2</v>
      </c>
      <c r="L2458" s="55">
        <v>1.56752E-2</v>
      </c>
      <c r="M2458" s="55">
        <v>1.58224E-2</v>
      </c>
      <c r="N2458" s="55">
        <v>1.42291E-2</v>
      </c>
    </row>
    <row r="2459" spans="1:14" hidden="1" x14ac:dyDescent="0.35">
      <c r="A2459" s="52" t="s">
        <v>243</v>
      </c>
      <c r="B2459" s="52" t="s">
        <v>37</v>
      </c>
      <c r="C2459" s="52" t="s">
        <v>35</v>
      </c>
      <c r="D2459" s="52" t="s">
        <v>36</v>
      </c>
      <c r="E2459" s="52" t="s">
        <v>589</v>
      </c>
      <c r="F2459" s="52" t="s">
        <v>581</v>
      </c>
      <c r="G2459" s="55" t="s">
        <v>275</v>
      </c>
      <c r="H2459" s="55"/>
      <c r="I2459" s="55"/>
      <c r="J2459" s="55"/>
      <c r="K2459" s="55"/>
      <c r="L2459" s="55"/>
      <c r="M2459" s="55">
        <v>0</v>
      </c>
      <c r="N2459" s="55">
        <v>-0.36758940000000001</v>
      </c>
    </row>
    <row r="2460" spans="1:14" hidden="1" x14ac:dyDescent="0.35">
      <c r="A2460" s="52" t="s">
        <v>243</v>
      </c>
      <c r="B2460" s="52" t="s">
        <v>37</v>
      </c>
      <c r="C2460" s="52" t="s">
        <v>35</v>
      </c>
      <c r="D2460" s="52" t="s">
        <v>36</v>
      </c>
      <c r="E2460" s="52" t="s">
        <v>589</v>
      </c>
      <c r="F2460" s="52" t="s">
        <v>581</v>
      </c>
      <c r="G2460" s="55" t="s">
        <v>276</v>
      </c>
      <c r="H2460" s="55"/>
      <c r="I2460" s="55"/>
      <c r="J2460" s="55"/>
      <c r="K2460" s="55"/>
      <c r="L2460" s="55"/>
      <c r="M2460" s="55">
        <v>0</v>
      </c>
      <c r="N2460" s="55">
        <v>-4.8598200000000001E-2</v>
      </c>
    </row>
    <row r="2461" spans="1:14" hidden="1" x14ac:dyDescent="0.35">
      <c r="A2461" s="52" t="s">
        <v>243</v>
      </c>
      <c r="B2461" s="52" t="s">
        <v>37</v>
      </c>
      <c r="C2461" s="52" t="s">
        <v>35</v>
      </c>
      <c r="D2461" s="52" t="s">
        <v>36</v>
      </c>
      <c r="E2461" s="52" t="s">
        <v>589</v>
      </c>
      <c r="F2461" s="52" t="s">
        <v>581</v>
      </c>
      <c r="G2461" s="55" t="s">
        <v>277</v>
      </c>
      <c r="H2461" s="55"/>
      <c r="I2461" s="55"/>
      <c r="J2461" s="55"/>
      <c r="K2461" s="55"/>
      <c r="L2461" s="55"/>
      <c r="M2461" s="55">
        <v>0</v>
      </c>
      <c r="N2461" s="55">
        <v>4.0805399999999999E-2</v>
      </c>
    </row>
    <row r="2462" spans="1:14" hidden="1" x14ac:dyDescent="0.35">
      <c r="A2462" s="52" t="s">
        <v>243</v>
      </c>
      <c r="B2462" s="52" t="s">
        <v>37</v>
      </c>
      <c r="C2462" s="52" t="s">
        <v>35</v>
      </c>
      <c r="D2462" s="52" t="s">
        <v>36</v>
      </c>
      <c r="E2462" s="52" t="s">
        <v>589</v>
      </c>
      <c r="F2462" s="52" t="s">
        <v>581</v>
      </c>
      <c r="G2462" s="55" t="s">
        <v>278</v>
      </c>
      <c r="H2462" s="55"/>
      <c r="I2462" s="55"/>
      <c r="J2462" s="55"/>
      <c r="K2462" s="55"/>
      <c r="L2462" s="55"/>
      <c r="M2462" s="55">
        <v>0</v>
      </c>
      <c r="N2462" s="55">
        <v>0.1901526</v>
      </c>
    </row>
    <row r="2463" spans="1:14" hidden="1" x14ac:dyDescent="0.35">
      <c r="A2463" s="52" t="s">
        <v>243</v>
      </c>
      <c r="B2463" s="52" t="s">
        <v>37</v>
      </c>
      <c r="C2463" s="52" t="s">
        <v>35</v>
      </c>
      <c r="D2463" s="52" t="s">
        <v>36</v>
      </c>
      <c r="E2463" s="52" t="s">
        <v>589</v>
      </c>
      <c r="F2463" s="52" t="s">
        <v>581</v>
      </c>
      <c r="G2463" s="55" t="s">
        <v>279</v>
      </c>
      <c r="H2463" s="55"/>
      <c r="I2463" s="55"/>
      <c r="J2463" s="55"/>
      <c r="K2463" s="55"/>
      <c r="L2463" s="55"/>
      <c r="M2463" s="55">
        <v>0</v>
      </c>
      <c r="N2463" s="55">
        <v>0.18522930000000001</v>
      </c>
    </row>
    <row r="2464" spans="1:14" hidden="1" x14ac:dyDescent="0.35">
      <c r="A2464" s="52" t="s">
        <v>243</v>
      </c>
      <c r="B2464" s="52" t="s">
        <v>37</v>
      </c>
      <c r="C2464" s="52" t="s">
        <v>35</v>
      </c>
      <c r="D2464" s="52" t="s">
        <v>36</v>
      </c>
      <c r="E2464" s="52" t="s">
        <v>589</v>
      </c>
      <c r="F2464" s="52" t="s">
        <v>26</v>
      </c>
      <c r="G2464" s="55" t="s">
        <v>275</v>
      </c>
      <c r="H2464" s="55"/>
      <c r="I2464" s="55"/>
      <c r="J2464" s="55"/>
      <c r="K2464" s="55"/>
      <c r="L2464" s="55"/>
      <c r="M2464" s="55">
        <v>0</v>
      </c>
      <c r="N2464" s="55">
        <v>-1.7284500000000001E-2</v>
      </c>
    </row>
    <row r="2465" spans="1:14" hidden="1" x14ac:dyDescent="0.35">
      <c r="A2465" s="52" t="s">
        <v>243</v>
      </c>
      <c r="B2465" s="52" t="s">
        <v>37</v>
      </c>
      <c r="C2465" s="52" t="s">
        <v>35</v>
      </c>
      <c r="D2465" s="52" t="s">
        <v>36</v>
      </c>
      <c r="E2465" s="52" t="s">
        <v>589</v>
      </c>
      <c r="F2465" s="52" t="s">
        <v>26</v>
      </c>
      <c r="G2465" s="55" t="s">
        <v>276</v>
      </c>
      <c r="H2465" s="55"/>
      <c r="I2465" s="55"/>
      <c r="J2465" s="55"/>
      <c r="K2465" s="55"/>
      <c r="L2465" s="55"/>
      <c r="M2465" s="55">
        <v>0</v>
      </c>
      <c r="N2465" s="55">
        <v>-4.5944999999999996E-3</v>
      </c>
    </row>
    <row r="2466" spans="1:14" hidden="1" x14ac:dyDescent="0.35">
      <c r="A2466" s="52" t="s">
        <v>243</v>
      </c>
      <c r="B2466" s="52" t="s">
        <v>37</v>
      </c>
      <c r="C2466" s="52" t="s">
        <v>35</v>
      </c>
      <c r="D2466" s="52" t="s">
        <v>36</v>
      </c>
      <c r="E2466" s="52" t="s">
        <v>589</v>
      </c>
      <c r="F2466" s="52" t="s">
        <v>26</v>
      </c>
      <c r="G2466" s="55" t="s">
        <v>279</v>
      </c>
      <c r="H2466" s="55"/>
      <c r="I2466" s="55"/>
      <c r="J2466" s="55"/>
      <c r="K2466" s="55"/>
      <c r="L2466" s="55"/>
      <c r="M2466" s="55">
        <v>0</v>
      </c>
      <c r="N2466" s="55">
        <v>2.1878999999999999E-2</v>
      </c>
    </row>
    <row r="2467" spans="1:14" hidden="1" x14ac:dyDescent="0.35">
      <c r="A2467" s="52" t="s">
        <v>243</v>
      </c>
      <c r="B2467" s="52" t="s">
        <v>37</v>
      </c>
      <c r="C2467" s="52" t="s">
        <v>35</v>
      </c>
      <c r="D2467" s="52" t="s">
        <v>39</v>
      </c>
      <c r="E2467" s="52" t="s">
        <v>584</v>
      </c>
      <c r="F2467" s="52" t="s">
        <v>581</v>
      </c>
      <c r="G2467" s="55" t="s">
        <v>275</v>
      </c>
      <c r="H2467" s="55">
        <v>12.06555</v>
      </c>
      <c r="I2467" s="55">
        <v>3.7302209999999998</v>
      </c>
      <c r="J2467" s="55">
        <v>3.3864070000000002</v>
      </c>
      <c r="K2467" s="55">
        <v>3.0803859999999998</v>
      </c>
      <c r="L2467" s="55">
        <v>2.9315389999999999</v>
      </c>
      <c r="M2467" s="55">
        <v>2.4936430000000001</v>
      </c>
      <c r="N2467" s="55">
        <v>2.3108599999999999</v>
      </c>
    </row>
    <row r="2468" spans="1:14" hidden="1" x14ac:dyDescent="0.35">
      <c r="A2468" s="52" t="s">
        <v>243</v>
      </c>
      <c r="B2468" s="52" t="s">
        <v>37</v>
      </c>
      <c r="C2468" s="52" t="s">
        <v>35</v>
      </c>
      <c r="D2468" s="52" t="s">
        <v>39</v>
      </c>
      <c r="E2468" s="52" t="s">
        <v>584</v>
      </c>
      <c r="F2468" s="52" t="s">
        <v>581</v>
      </c>
      <c r="G2468" s="55" t="s">
        <v>276</v>
      </c>
      <c r="H2468" s="55">
        <v>3.0451440000000001</v>
      </c>
      <c r="I2468" s="55">
        <v>0.82203780000000004</v>
      </c>
      <c r="J2468" s="55">
        <v>0.9001846</v>
      </c>
      <c r="K2468" s="55">
        <v>0.81883629999999996</v>
      </c>
      <c r="L2468" s="55">
        <v>0.77926989999999996</v>
      </c>
      <c r="M2468" s="55">
        <v>0.66286679999999998</v>
      </c>
      <c r="N2468" s="55">
        <v>0.61427989999999999</v>
      </c>
    </row>
    <row r="2469" spans="1:14" hidden="1" x14ac:dyDescent="0.35">
      <c r="A2469" s="52" t="s">
        <v>243</v>
      </c>
      <c r="B2469" s="52" t="s">
        <v>37</v>
      </c>
      <c r="C2469" s="52" t="s">
        <v>35</v>
      </c>
      <c r="D2469" s="52" t="s">
        <v>39</v>
      </c>
      <c r="E2469" s="52" t="s">
        <v>584</v>
      </c>
      <c r="F2469" s="52" t="s">
        <v>581</v>
      </c>
      <c r="G2469" s="55" t="s">
        <v>279</v>
      </c>
      <c r="H2469" s="55">
        <v>5.5332160000000004</v>
      </c>
      <c r="I2469" s="55">
        <v>3.5396049999999999</v>
      </c>
      <c r="J2469" s="55">
        <v>3.1160770000000002</v>
      </c>
      <c r="K2469" s="55">
        <v>2.9626109999999999</v>
      </c>
      <c r="L2469" s="55">
        <v>2.6485590000000001</v>
      </c>
      <c r="M2469" s="55">
        <v>2.7519520000000002</v>
      </c>
      <c r="N2469" s="55">
        <v>2.5333009999999998</v>
      </c>
    </row>
    <row r="2470" spans="1:14" hidden="1" x14ac:dyDescent="0.35">
      <c r="A2470" s="52" t="s">
        <v>243</v>
      </c>
      <c r="B2470" s="52" t="s">
        <v>37</v>
      </c>
      <c r="C2470" s="52" t="s">
        <v>35</v>
      </c>
      <c r="D2470" s="52" t="s">
        <v>39</v>
      </c>
      <c r="E2470" s="52" t="s">
        <v>584</v>
      </c>
      <c r="F2470" s="52" t="s">
        <v>26</v>
      </c>
      <c r="G2470" s="55" t="s">
        <v>275</v>
      </c>
      <c r="H2470" s="55">
        <v>-6.178699E-2</v>
      </c>
      <c r="I2470" s="55">
        <v>-9.7305799999999998E-2</v>
      </c>
      <c r="J2470" s="55">
        <v>-2.2782400000000001E-2</v>
      </c>
      <c r="K2470" s="55">
        <v>-5.60007E-2</v>
      </c>
      <c r="L2470" s="55">
        <v>-4.1159389999999997E-2</v>
      </c>
      <c r="M2470" s="55">
        <v>-0.1108928</v>
      </c>
      <c r="N2470" s="55">
        <v>-0.1023126</v>
      </c>
    </row>
    <row r="2471" spans="1:14" hidden="1" x14ac:dyDescent="0.35">
      <c r="A2471" s="52" t="s">
        <v>243</v>
      </c>
      <c r="B2471" s="52" t="s">
        <v>37</v>
      </c>
      <c r="C2471" s="52" t="s">
        <v>35</v>
      </c>
      <c r="D2471" s="52" t="s">
        <v>39</v>
      </c>
      <c r="E2471" s="52" t="s">
        <v>584</v>
      </c>
      <c r="F2471" s="52" t="s">
        <v>26</v>
      </c>
      <c r="G2471" s="55" t="s">
        <v>276</v>
      </c>
      <c r="H2471" s="55">
        <v>-1.6424000000000001E-2</v>
      </c>
      <c r="I2471" s="55">
        <v>-2.58661E-2</v>
      </c>
      <c r="J2471" s="55">
        <v>-6.0561E-3</v>
      </c>
      <c r="K2471" s="55">
        <v>-1.4885600000000001E-2</v>
      </c>
      <c r="L2471" s="55">
        <v>-1.0940800000000001E-2</v>
      </c>
      <c r="M2471" s="55">
        <v>-2.9477400000000001E-2</v>
      </c>
      <c r="N2471" s="55">
        <v>-2.71969E-2</v>
      </c>
    </row>
    <row r="2472" spans="1:14" hidden="1" x14ac:dyDescent="0.35">
      <c r="A2472" s="52" t="s">
        <v>243</v>
      </c>
      <c r="B2472" s="52" t="s">
        <v>37</v>
      </c>
      <c r="C2472" s="52" t="s">
        <v>35</v>
      </c>
      <c r="D2472" s="52" t="s">
        <v>39</v>
      </c>
      <c r="E2472" s="52" t="s">
        <v>584</v>
      </c>
      <c r="F2472" s="52" t="s">
        <v>26</v>
      </c>
      <c r="G2472" s="55" t="s">
        <v>279</v>
      </c>
      <c r="H2472" s="55">
        <v>1.233079</v>
      </c>
      <c r="I2472" s="55">
        <v>1.2582610000000001</v>
      </c>
      <c r="J2472" s="55">
        <v>1.1172599999999999</v>
      </c>
      <c r="K2472" s="55">
        <v>1.0750980000000001</v>
      </c>
      <c r="L2472" s="55">
        <v>0.97916360000000002</v>
      </c>
      <c r="M2472" s="55">
        <v>0.99789329999999998</v>
      </c>
      <c r="N2472" s="55">
        <v>0.91790349999999998</v>
      </c>
    </row>
    <row r="2473" spans="1:14" hidden="1" x14ac:dyDescent="0.35">
      <c r="A2473" s="52" t="s">
        <v>243</v>
      </c>
      <c r="B2473" s="52" t="s">
        <v>37</v>
      </c>
      <c r="C2473" s="52" t="s">
        <v>35</v>
      </c>
      <c r="D2473" s="52" t="s">
        <v>233</v>
      </c>
      <c r="E2473" s="52" t="s">
        <v>587</v>
      </c>
      <c r="F2473" s="52" t="s">
        <v>581</v>
      </c>
      <c r="G2473" s="55" t="s">
        <v>275</v>
      </c>
      <c r="H2473" s="55">
        <v>6.3127009999999997</v>
      </c>
      <c r="I2473" s="55">
        <v>1.3797459999999999</v>
      </c>
      <c r="J2473" s="55">
        <v>1.414385</v>
      </c>
      <c r="K2473" s="55">
        <v>1.457098</v>
      </c>
      <c r="L2473" s="55">
        <v>0.90818810000000005</v>
      </c>
      <c r="M2473" s="55">
        <v>0.73588200000000004</v>
      </c>
      <c r="N2473" s="55">
        <v>0.66735359999999999</v>
      </c>
    </row>
    <row r="2474" spans="1:14" hidden="1" x14ac:dyDescent="0.35">
      <c r="A2474" s="52" t="s">
        <v>243</v>
      </c>
      <c r="B2474" s="52" t="s">
        <v>37</v>
      </c>
      <c r="C2474" s="52" t="s">
        <v>35</v>
      </c>
      <c r="D2474" s="52" t="s">
        <v>233</v>
      </c>
      <c r="E2474" s="52" t="s">
        <v>587</v>
      </c>
      <c r="F2474" s="52" t="s">
        <v>581</v>
      </c>
      <c r="G2474" s="55" t="s">
        <v>276</v>
      </c>
      <c r="H2474" s="55">
        <v>-0.52652600000000005</v>
      </c>
      <c r="I2474" s="55">
        <v>0.1100121</v>
      </c>
      <c r="J2474" s="55">
        <v>-3.1511400000000002E-2</v>
      </c>
      <c r="K2474" s="55">
        <v>-0.23220279999999999</v>
      </c>
      <c r="L2474" s="55">
        <v>0.24141670000000001</v>
      </c>
      <c r="M2474" s="55">
        <v>0.19561419999999999</v>
      </c>
      <c r="N2474" s="55">
        <v>0.177397</v>
      </c>
    </row>
    <row r="2475" spans="1:14" hidden="1" x14ac:dyDescent="0.35">
      <c r="A2475" s="52" t="s">
        <v>243</v>
      </c>
      <c r="B2475" s="52" t="s">
        <v>37</v>
      </c>
      <c r="C2475" s="52" t="s">
        <v>35</v>
      </c>
      <c r="D2475" s="52" t="s">
        <v>233</v>
      </c>
      <c r="E2475" s="52" t="s">
        <v>587</v>
      </c>
      <c r="F2475" s="52" t="s">
        <v>581</v>
      </c>
      <c r="G2475" s="55" t="s">
        <v>277</v>
      </c>
      <c r="H2475" s="55">
        <v>0</v>
      </c>
      <c r="I2475" s="55"/>
      <c r="J2475" s="55"/>
      <c r="K2475" s="55"/>
      <c r="L2475" s="55"/>
      <c r="M2475" s="55">
        <v>0</v>
      </c>
      <c r="N2475" s="55">
        <v>0</v>
      </c>
    </row>
    <row r="2476" spans="1:14" hidden="1" x14ac:dyDescent="0.35">
      <c r="A2476" s="52" t="s">
        <v>243</v>
      </c>
      <c r="B2476" s="52" t="s">
        <v>37</v>
      </c>
      <c r="C2476" s="52" t="s">
        <v>35</v>
      </c>
      <c r="D2476" s="52" t="s">
        <v>233</v>
      </c>
      <c r="E2476" s="52" t="s">
        <v>587</v>
      </c>
      <c r="F2476" s="52" t="s">
        <v>581</v>
      </c>
      <c r="G2476" s="55" t="s">
        <v>279</v>
      </c>
      <c r="H2476" s="55">
        <v>2.4197310000000001</v>
      </c>
      <c r="I2476" s="55">
        <v>1.4335850000000001</v>
      </c>
      <c r="J2476" s="55">
        <v>1.2319169999999999</v>
      </c>
      <c r="K2476" s="55">
        <v>1.1449830000000001</v>
      </c>
      <c r="L2476" s="55">
        <v>0.99791459999999998</v>
      </c>
      <c r="M2476" s="55">
        <v>1.0193479999999999</v>
      </c>
      <c r="N2476" s="55">
        <v>0.91738450000000005</v>
      </c>
    </row>
    <row r="2477" spans="1:14" hidden="1" x14ac:dyDescent="0.35">
      <c r="A2477" s="52" t="s">
        <v>243</v>
      </c>
      <c r="B2477" s="52" t="s">
        <v>37</v>
      </c>
      <c r="C2477" s="52" t="s">
        <v>35</v>
      </c>
      <c r="D2477" s="52" t="s">
        <v>233</v>
      </c>
      <c r="E2477" s="52" t="s">
        <v>587</v>
      </c>
      <c r="F2477" s="52" t="s">
        <v>26</v>
      </c>
      <c r="G2477" s="55" t="s">
        <v>275</v>
      </c>
      <c r="H2477" s="55">
        <v>-1.2090999999999999E-2</v>
      </c>
      <c r="I2477" s="55">
        <v>-1.47308E-2</v>
      </c>
      <c r="J2477" s="55">
        <v>-7.9275990000000005E-3</v>
      </c>
      <c r="K2477" s="55">
        <v>-9.8410010000000003E-3</v>
      </c>
      <c r="L2477" s="55">
        <v>-7.826899E-3</v>
      </c>
      <c r="M2477" s="55">
        <v>-1.2935E-2</v>
      </c>
      <c r="N2477" s="55">
        <v>-1.16545E-2</v>
      </c>
    </row>
    <row r="2478" spans="1:14" hidden="1" x14ac:dyDescent="0.35">
      <c r="A2478" s="52" t="s">
        <v>243</v>
      </c>
      <c r="B2478" s="52" t="s">
        <v>37</v>
      </c>
      <c r="C2478" s="52" t="s">
        <v>35</v>
      </c>
      <c r="D2478" s="52" t="s">
        <v>233</v>
      </c>
      <c r="E2478" s="52" t="s">
        <v>587</v>
      </c>
      <c r="F2478" s="52" t="s">
        <v>26</v>
      </c>
      <c r="G2478" s="55" t="s">
        <v>276</v>
      </c>
      <c r="H2478" s="55">
        <v>-3.2139999999999998E-3</v>
      </c>
      <c r="I2478" s="55">
        <v>-3.9157999999999997E-3</v>
      </c>
      <c r="J2478" s="55">
        <v>-2.1071000000000002E-3</v>
      </c>
      <c r="K2478" s="55">
        <v>-2.6156E-3</v>
      </c>
      <c r="L2478" s="55">
        <v>-2.0804E-3</v>
      </c>
      <c r="M2478" s="55">
        <v>-3.4380000000000001E-3</v>
      </c>
      <c r="N2478" s="55">
        <v>-3.0980999999999999E-3</v>
      </c>
    </row>
    <row r="2479" spans="1:14" hidden="1" x14ac:dyDescent="0.35">
      <c r="A2479" s="52" t="s">
        <v>243</v>
      </c>
      <c r="B2479" s="52" t="s">
        <v>37</v>
      </c>
      <c r="C2479" s="52" t="s">
        <v>35</v>
      </c>
      <c r="D2479" s="52" t="s">
        <v>233</v>
      </c>
      <c r="E2479" s="52" t="s">
        <v>587</v>
      </c>
      <c r="F2479" s="52" t="s">
        <v>26</v>
      </c>
      <c r="G2479" s="55" t="s">
        <v>279</v>
      </c>
      <c r="H2479" s="55">
        <v>0.104228</v>
      </c>
      <c r="I2479" s="55">
        <v>0.1045436</v>
      </c>
      <c r="J2479" s="55">
        <v>9.0566690000000005E-2</v>
      </c>
      <c r="K2479" s="55">
        <v>8.5104990000000005E-2</v>
      </c>
      <c r="L2479" s="55">
        <v>7.5482999999999995E-2</v>
      </c>
      <c r="M2479" s="55">
        <v>7.5682399999999997E-2</v>
      </c>
      <c r="N2479" s="55">
        <v>6.8062999999999999E-2</v>
      </c>
    </row>
    <row r="2480" spans="1:14" hidden="1" x14ac:dyDescent="0.35">
      <c r="A2480" s="52" t="s">
        <v>243</v>
      </c>
      <c r="B2480" s="52" t="s">
        <v>37</v>
      </c>
      <c r="C2480" s="52" t="s">
        <v>79</v>
      </c>
      <c r="D2480" s="52" t="s">
        <v>79</v>
      </c>
      <c r="E2480" s="52" t="s">
        <v>600</v>
      </c>
      <c r="F2480" s="52" t="s">
        <v>581</v>
      </c>
      <c r="G2480" s="55" t="s">
        <v>275</v>
      </c>
      <c r="H2480" s="55">
        <v>-4.7587890000000002</v>
      </c>
      <c r="I2480" s="55">
        <v>7.854609</v>
      </c>
      <c r="J2480" s="55">
        <v>8.144641</v>
      </c>
      <c r="K2480" s="55">
        <v>11.955920000000001</v>
      </c>
      <c r="L2480" s="55">
        <v>6.5163149999999996</v>
      </c>
      <c r="M2480" s="55">
        <v>-7.7524090000000001</v>
      </c>
      <c r="N2480" s="55">
        <v>-5.8600640000000004</v>
      </c>
    </row>
    <row r="2481" spans="1:14" hidden="1" x14ac:dyDescent="0.35">
      <c r="A2481" s="52" t="s">
        <v>243</v>
      </c>
      <c r="B2481" s="52" t="s">
        <v>37</v>
      </c>
      <c r="C2481" s="52" t="s">
        <v>79</v>
      </c>
      <c r="D2481" s="52" t="s">
        <v>79</v>
      </c>
      <c r="E2481" s="52" t="s">
        <v>600</v>
      </c>
      <c r="F2481" s="52" t="s">
        <v>581</v>
      </c>
      <c r="G2481" s="55" t="s">
        <v>276</v>
      </c>
      <c r="H2481" s="55">
        <v>10.001799999999999</v>
      </c>
      <c r="I2481" s="55">
        <v>-10.32765</v>
      </c>
      <c r="J2481" s="55">
        <v>-11.78091</v>
      </c>
      <c r="K2481" s="55">
        <v>-15.90629</v>
      </c>
      <c r="L2481" s="55">
        <v>-10.27</v>
      </c>
      <c r="M2481" s="55">
        <v>-2.477884</v>
      </c>
      <c r="N2481" s="55">
        <v>-2.2362340000000001</v>
      </c>
    </row>
    <row r="2482" spans="1:14" hidden="1" x14ac:dyDescent="0.35">
      <c r="A2482" s="52" t="s">
        <v>243</v>
      </c>
      <c r="B2482" s="52" t="s">
        <v>37</v>
      </c>
      <c r="C2482" s="52" t="s">
        <v>79</v>
      </c>
      <c r="D2482" s="52" t="s">
        <v>79</v>
      </c>
      <c r="E2482" s="52" t="s">
        <v>600</v>
      </c>
      <c r="F2482" s="52" t="s">
        <v>581</v>
      </c>
      <c r="G2482" s="55" t="s">
        <v>277</v>
      </c>
      <c r="H2482" s="55">
        <v>103.6801</v>
      </c>
      <c r="I2482" s="55">
        <v>0</v>
      </c>
      <c r="J2482" s="55">
        <v>3.7164269999999999</v>
      </c>
      <c r="K2482" s="55">
        <v>1.342578</v>
      </c>
      <c r="L2482" s="55"/>
      <c r="M2482" s="55">
        <v>0</v>
      </c>
      <c r="N2482" s="55">
        <v>0</v>
      </c>
    </row>
    <row r="2483" spans="1:14" hidden="1" x14ac:dyDescent="0.35">
      <c r="A2483" s="52" t="s">
        <v>243</v>
      </c>
      <c r="B2483" s="52" t="s">
        <v>37</v>
      </c>
      <c r="C2483" s="52" t="s">
        <v>79</v>
      </c>
      <c r="D2483" s="52" t="s">
        <v>79</v>
      </c>
      <c r="E2483" s="52" t="s">
        <v>600</v>
      </c>
      <c r="F2483" s="52" t="s">
        <v>581</v>
      </c>
      <c r="G2483" s="55" t="s">
        <v>278</v>
      </c>
      <c r="H2483" s="55">
        <v>0</v>
      </c>
      <c r="I2483" s="55"/>
      <c r="J2483" s="55"/>
      <c r="K2483" s="55"/>
      <c r="L2483" s="55"/>
      <c r="M2483" s="55"/>
      <c r="N2483" s="55"/>
    </row>
    <row r="2484" spans="1:14" hidden="1" x14ac:dyDescent="0.35">
      <c r="A2484" s="52" t="s">
        <v>243</v>
      </c>
      <c r="B2484" s="52" t="s">
        <v>37</v>
      </c>
      <c r="C2484" s="52" t="s">
        <v>79</v>
      </c>
      <c r="D2484" s="52" t="s">
        <v>79</v>
      </c>
      <c r="E2484" s="52" t="s">
        <v>600</v>
      </c>
      <c r="F2484" s="52" t="s">
        <v>581</v>
      </c>
      <c r="G2484" s="55" t="s">
        <v>279</v>
      </c>
      <c r="H2484" s="55">
        <v>181.72550000000001</v>
      </c>
      <c r="I2484" s="55">
        <v>109.33920000000001</v>
      </c>
      <c r="J2484" s="55">
        <v>78.508849999999995</v>
      </c>
      <c r="K2484" s="55">
        <v>71.640360000000001</v>
      </c>
      <c r="L2484" s="55">
        <v>68.441829999999996</v>
      </c>
      <c r="M2484" s="55">
        <v>80.020769999999999</v>
      </c>
      <c r="N2484" s="55">
        <v>65.387389999999996</v>
      </c>
    </row>
    <row r="2485" spans="1:14" hidden="1" x14ac:dyDescent="0.35">
      <c r="A2485" s="52" t="s">
        <v>243</v>
      </c>
      <c r="B2485" s="52" t="s">
        <v>37</v>
      </c>
      <c r="C2485" s="52" t="s">
        <v>79</v>
      </c>
      <c r="D2485" s="52" t="s">
        <v>79</v>
      </c>
      <c r="E2485" s="52" t="s">
        <v>600</v>
      </c>
      <c r="F2485" s="52" t="s">
        <v>26</v>
      </c>
      <c r="G2485" s="55" t="s">
        <v>275</v>
      </c>
      <c r="H2485" s="55">
        <v>-30.75309</v>
      </c>
      <c r="I2485" s="55">
        <v>-18.717780000000001</v>
      </c>
      <c r="J2485" s="55">
        <v>2.0602109999999998</v>
      </c>
      <c r="K2485" s="55">
        <v>1.085745</v>
      </c>
      <c r="L2485" s="55">
        <v>-30.855309999999999</v>
      </c>
      <c r="M2485" s="55">
        <v>-38.433540000000001</v>
      </c>
      <c r="N2485" s="55">
        <v>-31.11591</v>
      </c>
    </row>
    <row r="2486" spans="1:14" hidden="1" x14ac:dyDescent="0.35">
      <c r="A2486" s="52" t="s">
        <v>243</v>
      </c>
      <c r="B2486" s="52" t="s">
        <v>37</v>
      </c>
      <c r="C2486" s="52" t="s">
        <v>79</v>
      </c>
      <c r="D2486" s="52" t="s">
        <v>79</v>
      </c>
      <c r="E2486" s="52" t="s">
        <v>600</v>
      </c>
      <c r="F2486" s="52" t="s">
        <v>26</v>
      </c>
      <c r="G2486" s="55" t="s">
        <v>276</v>
      </c>
      <c r="H2486" s="55">
        <v>-47.596559999999997</v>
      </c>
      <c r="I2486" s="55">
        <v>-39.856940000000002</v>
      </c>
      <c r="J2486" s="55">
        <v>-42.193429999999999</v>
      </c>
      <c r="K2486" s="55">
        <v>-40.081490000000002</v>
      </c>
      <c r="L2486" s="55">
        <v>-8.9769729999999992</v>
      </c>
      <c r="M2486" s="55">
        <v>-11.193049999999999</v>
      </c>
      <c r="N2486" s="55">
        <v>-9.2099510000000002</v>
      </c>
    </row>
    <row r="2487" spans="1:14" hidden="1" x14ac:dyDescent="0.35">
      <c r="A2487" s="52" t="s">
        <v>243</v>
      </c>
      <c r="B2487" s="52" t="s">
        <v>37</v>
      </c>
      <c r="C2487" s="52" t="s">
        <v>79</v>
      </c>
      <c r="D2487" s="52" t="s">
        <v>79</v>
      </c>
      <c r="E2487" s="52" t="s">
        <v>600</v>
      </c>
      <c r="F2487" s="52" t="s">
        <v>26</v>
      </c>
      <c r="G2487" s="55" t="s">
        <v>277</v>
      </c>
      <c r="H2487" s="55">
        <v>0</v>
      </c>
      <c r="I2487" s="55">
        <v>0</v>
      </c>
      <c r="J2487" s="55">
        <v>1.563558</v>
      </c>
      <c r="K2487" s="55">
        <v>0</v>
      </c>
      <c r="L2487" s="55"/>
      <c r="M2487" s="55">
        <v>0</v>
      </c>
      <c r="N2487" s="55">
        <v>0</v>
      </c>
    </row>
    <row r="2488" spans="1:14" hidden="1" x14ac:dyDescent="0.35">
      <c r="A2488" s="52" t="s">
        <v>243</v>
      </c>
      <c r="B2488" s="52" t="s">
        <v>37</v>
      </c>
      <c r="C2488" s="52" t="s">
        <v>79</v>
      </c>
      <c r="D2488" s="52" t="s">
        <v>79</v>
      </c>
      <c r="E2488" s="52" t="s">
        <v>600</v>
      </c>
      <c r="F2488" s="52" t="s">
        <v>26</v>
      </c>
      <c r="G2488" s="55" t="s">
        <v>278</v>
      </c>
      <c r="H2488" s="55">
        <v>0</v>
      </c>
      <c r="I2488" s="55"/>
      <c r="J2488" s="55"/>
      <c r="K2488" s="55"/>
      <c r="L2488" s="55"/>
      <c r="M2488" s="55"/>
      <c r="N2488" s="55"/>
    </row>
    <row r="2489" spans="1:14" hidden="1" x14ac:dyDescent="0.35">
      <c r="A2489" s="52" t="s">
        <v>243</v>
      </c>
      <c r="B2489" s="52" t="s">
        <v>37</v>
      </c>
      <c r="C2489" s="52" t="s">
        <v>79</v>
      </c>
      <c r="D2489" s="52" t="s">
        <v>79</v>
      </c>
      <c r="E2489" s="52" t="s">
        <v>600</v>
      </c>
      <c r="F2489" s="52" t="s">
        <v>26</v>
      </c>
      <c r="G2489" s="55" t="s">
        <v>279</v>
      </c>
      <c r="H2489" s="55">
        <v>201.2098</v>
      </c>
      <c r="I2489" s="55">
        <v>141.62479999999999</v>
      </c>
      <c r="J2489" s="55">
        <v>103.89449999999999</v>
      </c>
      <c r="K2489" s="55">
        <v>96.394959999999998</v>
      </c>
      <c r="L2489" s="55">
        <v>96.055269999999993</v>
      </c>
      <c r="M2489" s="55">
        <v>110.71129999999999</v>
      </c>
      <c r="N2489" s="55">
        <v>89.820599999999999</v>
      </c>
    </row>
    <row r="2490" spans="1:14" hidden="1" x14ac:dyDescent="0.35">
      <c r="A2490" s="52" t="s">
        <v>243</v>
      </c>
      <c r="B2490" s="52" t="s">
        <v>37</v>
      </c>
      <c r="C2490" s="52" t="s">
        <v>79</v>
      </c>
      <c r="D2490" s="52" t="s">
        <v>79</v>
      </c>
      <c r="E2490" s="52" t="s">
        <v>615</v>
      </c>
      <c r="F2490" s="52" t="s">
        <v>581</v>
      </c>
      <c r="G2490" s="55" t="s">
        <v>275</v>
      </c>
      <c r="H2490" s="55">
        <v>20.91226</v>
      </c>
      <c r="I2490" s="55">
        <v>11.114179999999999</v>
      </c>
      <c r="J2490" s="55">
        <v>10.33549</v>
      </c>
      <c r="K2490" s="55">
        <v>5.9637450000000003</v>
      </c>
      <c r="L2490" s="55">
        <v>2.855791</v>
      </c>
      <c r="M2490" s="55">
        <v>4.0667720000000003</v>
      </c>
      <c r="N2490" s="55">
        <v>3.034297</v>
      </c>
    </row>
    <row r="2491" spans="1:14" hidden="1" x14ac:dyDescent="0.35">
      <c r="A2491" s="52" t="s">
        <v>243</v>
      </c>
      <c r="B2491" s="52" t="s">
        <v>37</v>
      </c>
      <c r="C2491" s="52" t="s">
        <v>79</v>
      </c>
      <c r="D2491" s="52" t="s">
        <v>79</v>
      </c>
      <c r="E2491" s="52" t="s">
        <v>615</v>
      </c>
      <c r="F2491" s="52" t="s">
        <v>581</v>
      </c>
      <c r="G2491" s="55" t="s">
        <v>276</v>
      </c>
      <c r="H2491" s="55">
        <v>-3.311042</v>
      </c>
      <c r="I2491" s="55">
        <v>-6.3289970000000002</v>
      </c>
      <c r="J2491" s="55">
        <v>-6.2838830000000003</v>
      </c>
      <c r="K2491" s="55">
        <v>-3.5491109999999999</v>
      </c>
      <c r="L2491" s="55">
        <v>1.2903290000000001</v>
      </c>
      <c r="M2491" s="55">
        <v>0.937998</v>
      </c>
      <c r="N2491" s="55">
        <v>0.68687670000000001</v>
      </c>
    </row>
    <row r="2492" spans="1:14" hidden="1" x14ac:dyDescent="0.35">
      <c r="A2492" s="52" t="s">
        <v>243</v>
      </c>
      <c r="B2492" s="52" t="s">
        <v>37</v>
      </c>
      <c r="C2492" s="52" t="s">
        <v>79</v>
      </c>
      <c r="D2492" s="52" t="s">
        <v>79</v>
      </c>
      <c r="E2492" s="52" t="s">
        <v>615</v>
      </c>
      <c r="F2492" s="52" t="s">
        <v>581</v>
      </c>
      <c r="G2492" s="55" t="s">
        <v>277</v>
      </c>
      <c r="H2492" s="55">
        <v>0</v>
      </c>
      <c r="I2492" s="55"/>
      <c r="J2492" s="55">
        <v>0</v>
      </c>
      <c r="K2492" s="55">
        <v>3.2000160000000002</v>
      </c>
      <c r="L2492" s="55">
        <v>2.6341359999999998</v>
      </c>
      <c r="M2492" s="55">
        <v>0</v>
      </c>
      <c r="N2492" s="55">
        <v>0</v>
      </c>
    </row>
    <row r="2493" spans="1:14" hidden="1" x14ac:dyDescent="0.35">
      <c r="A2493" s="52" t="s">
        <v>243</v>
      </c>
      <c r="B2493" s="52" t="s">
        <v>37</v>
      </c>
      <c r="C2493" s="52" t="s">
        <v>79</v>
      </c>
      <c r="D2493" s="52" t="s">
        <v>79</v>
      </c>
      <c r="E2493" s="52" t="s">
        <v>615</v>
      </c>
      <c r="F2493" s="52" t="s">
        <v>581</v>
      </c>
      <c r="G2493" s="55" t="s">
        <v>279</v>
      </c>
      <c r="H2493" s="55">
        <v>10.30893</v>
      </c>
      <c r="I2493" s="55">
        <v>6.8613460000000002</v>
      </c>
      <c r="J2493" s="55">
        <v>5.4140240000000004</v>
      </c>
      <c r="K2493" s="55">
        <v>8.0524730000000009</v>
      </c>
      <c r="L2493" s="55">
        <v>8.7920540000000003</v>
      </c>
      <c r="M2493" s="55">
        <v>8.8299050000000001</v>
      </c>
      <c r="N2493" s="55">
        <v>6.5395770000000004</v>
      </c>
    </row>
    <row r="2494" spans="1:14" hidden="1" x14ac:dyDescent="0.35">
      <c r="A2494" s="52" t="s">
        <v>243</v>
      </c>
      <c r="B2494" s="52" t="s">
        <v>37</v>
      </c>
      <c r="C2494" s="52" t="s">
        <v>79</v>
      </c>
      <c r="D2494" s="52" t="s">
        <v>79</v>
      </c>
      <c r="E2494" s="52" t="s">
        <v>615</v>
      </c>
      <c r="F2494" s="52" t="s">
        <v>26</v>
      </c>
      <c r="G2494" s="55" t="s">
        <v>275</v>
      </c>
      <c r="H2494" s="55">
        <v>-0.48368</v>
      </c>
      <c r="I2494" s="55">
        <v>-0.50022049999999996</v>
      </c>
      <c r="J2494" s="55">
        <v>-0.20738699999999999</v>
      </c>
      <c r="K2494" s="55">
        <v>-0.48060550000000002</v>
      </c>
      <c r="L2494" s="55">
        <v>-0.4620822</v>
      </c>
      <c r="M2494" s="55">
        <v>-0.85767130000000003</v>
      </c>
      <c r="N2494" s="55">
        <v>-0.63679079999999999</v>
      </c>
    </row>
    <row r="2495" spans="1:14" hidden="1" x14ac:dyDescent="0.35">
      <c r="A2495" s="52" t="s">
        <v>243</v>
      </c>
      <c r="B2495" s="52" t="s">
        <v>37</v>
      </c>
      <c r="C2495" s="52" t="s">
        <v>79</v>
      </c>
      <c r="D2495" s="52" t="s">
        <v>79</v>
      </c>
      <c r="E2495" s="52" t="s">
        <v>615</v>
      </c>
      <c r="F2495" s="52" t="s">
        <v>26</v>
      </c>
      <c r="G2495" s="55" t="s">
        <v>276</v>
      </c>
      <c r="H2495" s="55">
        <v>-0.14021400000000001</v>
      </c>
      <c r="I2495" s="55">
        <v>-0.14500879999999999</v>
      </c>
      <c r="J2495" s="55">
        <v>-6.0119199999999998E-2</v>
      </c>
      <c r="K2495" s="55">
        <v>-0.13932259999999999</v>
      </c>
      <c r="L2495" s="55">
        <v>-0.13395219999999999</v>
      </c>
      <c r="M2495" s="55">
        <v>-0.2486304</v>
      </c>
      <c r="N2495" s="55">
        <v>-0.1846005</v>
      </c>
    </row>
    <row r="2496" spans="1:14" hidden="1" x14ac:dyDescent="0.35">
      <c r="A2496" s="52" t="s">
        <v>243</v>
      </c>
      <c r="B2496" s="52" t="s">
        <v>37</v>
      </c>
      <c r="C2496" s="52" t="s">
        <v>79</v>
      </c>
      <c r="D2496" s="52" t="s">
        <v>79</v>
      </c>
      <c r="E2496" s="52" t="s">
        <v>615</v>
      </c>
      <c r="F2496" s="52" t="s">
        <v>26</v>
      </c>
      <c r="G2496" s="55" t="s">
        <v>279</v>
      </c>
      <c r="H2496" s="55">
        <v>5.8503030000000003</v>
      </c>
      <c r="I2496" s="55">
        <v>4.6323020000000001</v>
      </c>
      <c r="J2496" s="55">
        <v>3.7430659999999998</v>
      </c>
      <c r="K2496" s="55">
        <v>5.6316579999999998</v>
      </c>
      <c r="L2496" s="55">
        <v>6.2799149999999999</v>
      </c>
      <c r="M2496" s="55">
        <v>6.151281</v>
      </c>
      <c r="N2496" s="55">
        <v>4.5543800000000001</v>
      </c>
    </row>
    <row r="2497" spans="1:14" hidden="1" x14ac:dyDescent="0.35">
      <c r="A2497" s="52" t="s">
        <v>243</v>
      </c>
      <c r="B2497" s="52" t="s">
        <v>37</v>
      </c>
      <c r="C2497" s="52" t="s">
        <v>79</v>
      </c>
      <c r="D2497" s="52" t="s">
        <v>79</v>
      </c>
      <c r="E2497" s="52" t="s">
        <v>584</v>
      </c>
      <c r="F2497" s="52" t="s">
        <v>581</v>
      </c>
      <c r="G2497" s="55" t="s">
        <v>275</v>
      </c>
      <c r="H2497" s="55">
        <v>2.3064170000000002</v>
      </c>
      <c r="I2497" s="55">
        <v>0.94335159999999996</v>
      </c>
      <c r="J2497" s="55">
        <v>0.76634219999999997</v>
      </c>
      <c r="K2497" s="55">
        <v>0.70010459999999997</v>
      </c>
      <c r="L2497" s="55">
        <v>0.65954250000000003</v>
      </c>
      <c r="M2497" s="55">
        <v>0.57722479999999998</v>
      </c>
      <c r="N2497" s="55">
        <v>0.5345105</v>
      </c>
    </row>
    <row r="2498" spans="1:14" hidden="1" x14ac:dyDescent="0.35">
      <c r="A2498" s="52" t="s">
        <v>243</v>
      </c>
      <c r="B2498" s="52" t="s">
        <v>37</v>
      </c>
      <c r="C2498" s="52" t="s">
        <v>79</v>
      </c>
      <c r="D2498" s="52" t="s">
        <v>79</v>
      </c>
      <c r="E2498" s="52" t="s">
        <v>584</v>
      </c>
      <c r="F2498" s="52" t="s">
        <v>581</v>
      </c>
      <c r="G2498" s="55" t="s">
        <v>276</v>
      </c>
      <c r="H2498" s="55">
        <v>0.46526400000000001</v>
      </c>
      <c r="I2498" s="55">
        <v>9.4953700000000002E-2</v>
      </c>
      <c r="J2498" s="55">
        <v>0.20371110000000001</v>
      </c>
      <c r="K2498" s="55">
        <v>0.18610399999999999</v>
      </c>
      <c r="L2498" s="55">
        <v>0.1753219</v>
      </c>
      <c r="M2498" s="55">
        <v>0.15343870000000001</v>
      </c>
      <c r="N2498" s="55">
        <v>0.14208460000000001</v>
      </c>
    </row>
    <row r="2499" spans="1:14" hidden="1" x14ac:dyDescent="0.35">
      <c r="A2499" s="52" t="s">
        <v>243</v>
      </c>
      <c r="B2499" s="52" t="s">
        <v>37</v>
      </c>
      <c r="C2499" s="52" t="s">
        <v>79</v>
      </c>
      <c r="D2499" s="52" t="s">
        <v>79</v>
      </c>
      <c r="E2499" s="52" t="s">
        <v>584</v>
      </c>
      <c r="F2499" s="52" t="s">
        <v>581</v>
      </c>
      <c r="G2499" s="55" t="s">
        <v>279</v>
      </c>
      <c r="H2499" s="55">
        <v>0.85111899999999996</v>
      </c>
      <c r="I2499" s="55">
        <v>0.58690989999999998</v>
      </c>
      <c r="J2499" s="55">
        <v>0.51940509999999995</v>
      </c>
      <c r="K2499" s="55">
        <v>0.49631189999999997</v>
      </c>
      <c r="L2499" s="55">
        <v>0.4482139</v>
      </c>
      <c r="M2499" s="55">
        <v>0.46172469999999999</v>
      </c>
      <c r="N2499" s="55">
        <v>0.4262242</v>
      </c>
    </row>
    <row r="2500" spans="1:14" hidden="1" x14ac:dyDescent="0.35">
      <c r="A2500" s="52" t="s">
        <v>243</v>
      </c>
      <c r="B2500" s="52" t="s">
        <v>37</v>
      </c>
      <c r="C2500" s="52" t="s">
        <v>79</v>
      </c>
      <c r="D2500" s="52" t="s">
        <v>79</v>
      </c>
      <c r="E2500" s="52" t="s">
        <v>584</v>
      </c>
      <c r="F2500" s="52" t="s">
        <v>26</v>
      </c>
      <c r="G2500" s="55" t="s">
        <v>275</v>
      </c>
      <c r="H2500" s="55">
        <v>1.0956539999999999</v>
      </c>
      <c r="I2500" s="55">
        <v>0.19072459999999999</v>
      </c>
      <c r="J2500" s="55">
        <v>0.30113329999999999</v>
      </c>
      <c r="K2500" s="55">
        <v>0.20445949999999999</v>
      </c>
      <c r="L2500" s="55">
        <v>0.1666338</v>
      </c>
      <c r="M2500" s="55">
        <v>8.1770999999999996E-2</v>
      </c>
      <c r="N2500" s="55">
        <v>7.6914300000000005E-2</v>
      </c>
    </row>
    <row r="2501" spans="1:14" hidden="1" x14ac:dyDescent="0.35">
      <c r="A2501" s="52" t="s">
        <v>243</v>
      </c>
      <c r="B2501" s="52" t="s">
        <v>37</v>
      </c>
      <c r="C2501" s="52" t="s">
        <v>79</v>
      </c>
      <c r="D2501" s="52" t="s">
        <v>79</v>
      </c>
      <c r="E2501" s="52" t="s">
        <v>584</v>
      </c>
      <c r="F2501" s="52" t="s">
        <v>26</v>
      </c>
      <c r="G2501" s="55" t="s">
        <v>276</v>
      </c>
      <c r="H2501" s="55">
        <v>-0.70392200000000005</v>
      </c>
      <c r="I2501" s="55">
        <v>5.0699000000000001E-2</v>
      </c>
      <c r="J2501" s="55">
        <v>8.0048900000000006E-2</v>
      </c>
      <c r="K2501" s="55">
        <v>5.43504E-2</v>
      </c>
      <c r="L2501" s="55">
        <v>4.4294989999999999E-2</v>
      </c>
      <c r="M2501" s="55">
        <v>2.17374E-2</v>
      </c>
      <c r="N2501" s="55">
        <v>2.0445999999999999E-2</v>
      </c>
    </row>
    <row r="2502" spans="1:14" hidden="1" x14ac:dyDescent="0.35">
      <c r="A2502" s="52" t="s">
        <v>243</v>
      </c>
      <c r="B2502" s="52" t="s">
        <v>37</v>
      </c>
      <c r="C2502" s="52" t="s">
        <v>79</v>
      </c>
      <c r="D2502" s="52" t="s">
        <v>79</v>
      </c>
      <c r="E2502" s="52" t="s">
        <v>584</v>
      </c>
      <c r="F2502" s="52" t="s">
        <v>26</v>
      </c>
      <c r="G2502" s="55" t="s">
        <v>277</v>
      </c>
      <c r="H2502" s="55"/>
      <c r="I2502" s="55">
        <v>0</v>
      </c>
      <c r="J2502" s="55"/>
      <c r="K2502" s="55"/>
      <c r="L2502" s="55">
        <v>0</v>
      </c>
      <c r="M2502" s="55"/>
      <c r="N2502" s="55"/>
    </row>
    <row r="2503" spans="1:14" hidden="1" x14ac:dyDescent="0.35">
      <c r="A2503" s="52" t="s">
        <v>243</v>
      </c>
      <c r="B2503" s="52" t="s">
        <v>37</v>
      </c>
      <c r="C2503" s="52" t="s">
        <v>79</v>
      </c>
      <c r="D2503" s="52" t="s">
        <v>79</v>
      </c>
      <c r="E2503" s="52" t="s">
        <v>584</v>
      </c>
      <c r="F2503" s="52" t="s">
        <v>26</v>
      </c>
      <c r="G2503" s="55" t="s">
        <v>279</v>
      </c>
      <c r="H2503" s="55">
        <v>2.4902280000000001</v>
      </c>
      <c r="I2503" s="55">
        <v>2.0494500000000002</v>
      </c>
      <c r="J2503" s="55">
        <v>1.890072</v>
      </c>
      <c r="K2503" s="55">
        <v>1.9076200000000001</v>
      </c>
      <c r="L2503" s="55">
        <v>1.853456</v>
      </c>
      <c r="M2503" s="55">
        <v>1.8486849999999999</v>
      </c>
      <c r="N2503" s="55">
        <v>1.747018</v>
      </c>
    </row>
    <row r="2504" spans="1:14" hidden="1" x14ac:dyDescent="0.35">
      <c r="A2504" s="52" t="s">
        <v>243</v>
      </c>
      <c r="B2504" s="52" t="s">
        <v>37</v>
      </c>
      <c r="C2504" s="52" t="s">
        <v>115</v>
      </c>
      <c r="D2504" s="52" t="s">
        <v>115</v>
      </c>
      <c r="E2504" s="52" t="s">
        <v>584</v>
      </c>
      <c r="F2504" s="52" t="s">
        <v>26</v>
      </c>
      <c r="G2504" s="55" t="s">
        <v>275</v>
      </c>
      <c r="H2504" s="55">
        <v>0</v>
      </c>
      <c r="I2504" s="55"/>
      <c r="J2504" s="55"/>
      <c r="K2504" s="55"/>
      <c r="L2504" s="55"/>
      <c r="M2504" s="55"/>
      <c r="N2504" s="55"/>
    </row>
    <row r="2505" spans="1:14" hidden="1" x14ac:dyDescent="0.35">
      <c r="A2505" s="52" t="s">
        <v>243</v>
      </c>
      <c r="B2505" s="52" t="s">
        <v>37</v>
      </c>
      <c r="C2505" s="52" t="s">
        <v>115</v>
      </c>
      <c r="D2505" s="52" t="s">
        <v>115</v>
      </c>
      <c r="E2505" s="52" t="s">
        <v>584</v>
      </c>
      <c r="F2505" s="52" t="s">
        <v>26</v>
      </c>
      <c r="G2505" s="55" t="s">
        <v>276</v>
      </c>
      <c r="H2505" s="55">
        <v>0</v>
      </c>
      <c r="I2505" s="55"/>
      <c r="J2505" s="55"/>
      <c r="K2505" s="55"/>
      <c r="L2505" s="55"/>
      <c r="M2505" s="55"/>
      <c r="N2505" s="55"/>
    </row>
    <row r="2506" spans="1:14" hidden="1" x14ac:dyDescent="0.35">
      <c r="A2506" s="52" t="s">
        <v>243</v>
      </c>
      <c r="B2506" s="52" t="s">
        <v>37</v>
      </c>
      <c r="C2506" s="52" t="s">
        <v>115</v>
      </c>
      <c r="D2506" s="52" t="s">
        <v>115</v>
      </c>
      <c r="E2506" s="52" t="s">
        <v>584</v>
      </c>
      <c r="F2506" s="52" t="s">
        <v>26</v>
      </c>
      <c r="G2506" s="55" t="s">
        <v>279</v>
      </c>
      <c r="H2506" s="55">
        <v>64.774150000000006</v>
      </c>
      <c r="I2506" s="55">
        <v>41.560339999999997</v>
      </c>
      <c r="J2506" s="55">
        <v>0</v>
      </c>
      <c r="K2506" s="55"/>
      <c r="L2506" s="55"/>
      <c r="M2506" s="55"/>
      <c r="N2506" s="55"/>
    </row>
    <row r="2507" spans="1:14" hidden="1" x14ac:dyDescent="0.35">
      <c r="A2507" s="52" t="s">
        <v>243</v>
      </c>
      <c r="B2507" s="52" t="s">
        <v>37</v>
      </c>
      <c r="C2507" s="52" t="s">
        <v>246</v>
      </c>
      <c r="D2507" s="52" t="s">
        <v>246</v>
      </c>
      <c r="E2507" s="52" t="s">
        <v>647</v>
      </c>
      <c r="F2507" s="52" t="s">
        <v>26</v>
      </c>
      <c r="G2507" s="55" t="s">
        <v>275</v>
      </c>
      <c r="H2507" s="55">
        <v>3.292573</v>
      </c>
      <c r="I2507" s="55">
        <v>1.3554379999999999</v>
      </c>
      <c r="J2507" s="55">
        <v>1.6883079999999999</v>
      </c>
      <c r="K2507" s="55">
        <v>3.075361</v>
      </c>
      <c r="L2507" s="55">
        <v>0.75765380000000004</v>
      </c>
      <c r="M2507" s="55">
        <v>0.19685340000000001</v>
      </c>
      <c r="N2507" s="55">
        <v>0.17832290000000001</v>
      </c>
    </row>
    <row r="2508" spans="1:14" hidden="1" x14ac:dyDescent="0.35">
      <c r="A2508" s="52" t="s">
        <v>243</v>
      </c>
      <c r="B2508" s="52" t="s">
        <v>37</v>
      </c>
      <c r="C2508" s="52" t="s">
        <v>246</v>
      </c>
      <c r="D2508" s="52" t="s">
        <v>246</v>
      </c>
      <c r="E2508" s="52" t="s">
        <v>647</v>
      </c>
      <c r="F2508" s="52" t="s">
        <v>26</v>
      </c>
      <c r="G2508" s="55" t="s">
        <v>276</v>
      </c>
      <c r="H2508" s="55">
        <v>-1.77183</v>
      </c>
      <c r="I2508" s="55">
        <v>-0.53032939999999995</v>
      </c>
      <c r="J2508" s="55">
        <v>-0.2394638</v>
      </c>
      <c r="K2508" s="55">
        <v>-2.083218</v>
      </c>
      <c r="L2508" s="55">
        <v>0.2318287</v>
      </c>
      <c r="M2508" s="55">
        <v>6.0233200000000001E-2</v>
      </c>
      <c r="N2508" s="55">
        <v>5.45637E-2</v>
      </c>
    </row>
    <row r="2509" spans="1:14" hidden="1" x14ac:dyDescent="0.35">
      <c r="A2509" s="52" t="s">
        <v>243</v>
      </c>
      <c r="B2509" s="52" t="s">
        <v>37</v>
      </c>
      <c r="C2509" s="52" t="s">
        <v>246</v>
      </c>
      <c r="D2509" s="52" t="s">
        <v>246</v>
      </c>
      <c r="E2509" s="52" t="s">
        <v>647</v>
      </c>
      <c r="F2509" s="52" t="s">
        <v>26</v>
      </c>
      <c r="G2509" s="55" t="s">
        <v>277</v>
      </c>
      <c r="H2509" s="55">
        <v>0</v>
      </c>
      <c r="I2509" s="55"/>
      <c r="J2509" s="55"/>
      <c r="K2509" s="55"/>
      <c r="L2509" s="55"/>
      <c r="M2509" s="55">
        <v>0</v>
      </c>
      <c r="N2509" s="55">
        <v>0</v>
      </c>
    </row>
    <row r="2510" spans="1:14" hidden="1" x14ac:dyDescent="0.35">
      <c r="A2510" s="52" t="s">
        <v>243</v>
      </c>
      <c r="B2510" s="52" t="s">
        <v>37</v>
      </c>
      <c r="C2510" s="52" t="s">
        <v>246</v>
      </c>
      <c r="D2510" s="52" t="s">
        <v>246</v>
      </c>
      <c r="E2510" s="52" t="s">
        <v>647</v>
      </c>
      <c r="F2510" s="52" t="s">
        <v>26</v>
      </c>
      <c r="G2510" s="55" t="s">
        <v>279</v>
      </c>
      <c r="H2510" s="55">
        <v>11.267200000000001</v>
      </c>
      <c r="I2510" s="55">
        <v>9.0427949999999999</v>
      </c>
      <c r="J2510" s="55">
        <v>8.0133829999999993</v>
      </c>
      <c r="K2510" s="55">
        <v>7.7379689999999997</v>
      </c>
      <c r="L2510" s="55">
        <v>7.069947</v>
      </c>
      <c r="M2510" s="55">
        <v>7.1978059999999999</v>
      </c>
      <c r="N2510" s="55">
        <v>6.6210310000000003</v>
      </c>
    </row>
    <row r="2511" spans="1:14" hidden="1" x14ac:dyDescent="0.35">
      <c r="A2511" s="52" t="s">
        <v>243</v>
      </c>
      <c r="B2511" s="52" t="s">
        <v>37</v>
      </c>
      <c r="C2511" s="52" t="s">
        <v>246</v>
      </c>
      <c r="D2511" s="52" t="s">
        <v>246</v>
      </c>
      <c r="E2511" s="52" t="s">
        <v>584</v>
      </c>
      <c r="F2511" s="52" t="s">
        <v>581</v>
      </c>
      <c r="G2511" s="55" t="s">
        <v>275</v>
      </c>
      <c r="H2511" s="55">
        <v>4.6633389999999997</v>
      </c>
      <c r="I2511" s="55">
        <v>1.8036019999999999</v>
      </c>
      <c r="J2511" s="55">
        <v>1.789992</v>
      </c>
      <c r="K2511" s="55">
        <v>1.7473320000000001</v>
      </c>
      <c r="L2511" s="55">
        <v>1.7032499999999999</v>
      </c>
      <c r="M2511" s="55">
        <v>1.669902</v>
      </c>
      <c r="N2511" s="55">
        <v>1.6443019999999999</v>
      </c>
    </row>
    <row r="2512" spans="1:14" hidden="1" x14ac:dyDescent="0.35">
      <c r="A2512" s="52" t="s">
        <v>243</v>
      </c>
      <c r="B2512" s="52" t="s">
        <v>37</v>
      </c>
      <c r="C2512" s="52" t="s">
        <v>246</v>
      </c>
      <c r="D2512" s="52" t="s">
        <v>246</v>
      </c>
      <c r="E2512" s="52" t="s">
        <v>584</v>
      </c>
      <c r="F2512" s="52" t="s">
        <v>581</v>
      </c>
      <c r="G2512" s="55" t="s">
        <v>276</v>
      </c>
      <c r="H2512" s="55">
        <v>1.0160750000000001</v>
      </c>
      <c r="I2512" s="55">
        <v>0.47943849999999999</v>
      </c>
      <c r="J2512" s="55">
        <v>0.47582079999999999</v>
      </c>
      <c r="K2512" s="55">
        <v>0.46448080000000003</v>
      </c>
      <c r="L2512" s="55">
        <v>0.45276329999999998</v>
      </c>
      <c r="M2512" s="55">
        <v>0.44389859999999998</v>
      </c>
      <c r="N2512" s="55">
        <v>0.43709330000000002</v>
      </c>
    </row>
    <row r="2513" spans="1:14" hidden="1" x14ac:dyDescent="0.35">
      <c r="A2513" s="52" t="s">
        <v>243</v>
      </c>
      <c r="B2513" s="52" t="s">
        <v>37</v>
      </c>
      <c r="C2513" s="52" t="s">
        <v>246</v>
      </c>
      <c r="D2513" s="52" t="s">
        <v>246</v>
      </c>
      <c r="E2513" s="52" t="s">
        <v>584</v>
      </c>
      <c r="F2513" s="52" t="s">
        <v>581</v>
      </c>
      <c r="G2513" s="55" t="s">
        <v>277</v>
      </c>
      <c r="H2513" s="55"/>
      <c r="I2513" s="55">
        <v>0</v>
      </c>
      <c r="J2513" s="55"/>
      <c r="K2513" s="55"/>
      <c r="L2513" s="55"/>
      <c r="M2513" s="55"/>
      <c r="N2513" s="55"/>
    </row>
    <row r="2514" spans="1:14" hidden="1" x14ac:dyDescent="0.35">
      <c r="A2514" s="52" t="s">
        <v>243</v>
      </c>
      <c r="B2514" s="52" t="s">
        <v>37</v>
      </c>
      <c r="C2514" s="52" t="s">
        <v>246</v>
      </c>
      <c r="D2514" s="52" t="s">
        <v>246</v>
      </c>
      <c r="E2514" s="52" t="s">
        <v>584</v>
      </c>
      <c r="F2514" s="52" t="s">
        <v>581</v>
      </c>
      <c r="G2514" s="55" t="s">
        <v>279</v>
      </c>
      <c r="H2514" s="55">
        <v>1.5776969999999999</v>
      </c>
      <c r="I2514" s="55">
        <v>1.1321509999999999</v>
      </c>
      <c r="J2514" s="55">
        <v>1.0929279999999999</v>
      </c>
      <c r="K2514" s="55">
        <v>1.162976</v>
      </c>
      <c r="L2514" s="55">
        <v>1.2135229999999999</v>
      </c>
      <c r="M2514" s="55">
        <v>1.1787289999999999</v>
      </c>
      <c r="N2514" s="55">
        <v>1.1509750000000001</v>
      </c>
    </row>
    <row r="2515" spans="1:14" hidden="1" x14ac:dyDescent="0.35">
      <c r="A2515" s="52" t="s">
        <v>243</v>
      </c>
      <c r="B2515" s="52" t="s">
        <v>37</v>
      </c>
      <c r="C2515" s="52" t="s">
        <v>246</v>
      </c>
      <c r="D2515" s="52" t="s">
        <v>246</v>
      </c>
      <c r="E2515" s="52" t="s">
        <v>584</v>
      </c>
      <c r="F2515" s="52" t="s">
        <v>26</v>
      </c>
      <c r="G2515" s="55" t="s">
        <v>275</v>
      </c>
      <c r="H2515" s="55">
        <v>5.9888999999999998E-2</v>
      </c>
      <c r="I2515" s="55">
        <v>2.9150300000000001E-2</v>
      </c>
      <c r="J2515" s="55">
        <v>-0.1138449</v>
      </c>
      <c r="K2515" s="55">
        <v>-0.13758190000000001</v>
      </c>
      <c r="L2515" s="55">
        <v>-0.1456104</v>
      </c>
      <c r="M2515" s="55">
        <v>-0.14552689999999999</v>
      </c>
      <c r="N2515" s="55">
        <v>-0.13565240000000001</v>
      </c>
    </row>
    <row r="2516" spans="1:14" hidden="1" x14ac:dyDescent="0.35">
      <c r="A2516" s="52" t="s">
        <v>243</v>
      </c>
      <c r="B2516" s="52" t="s">
        <v>37</v>
      </c>
      <c r="C2516" s="52" t="s">
        <v>246</v>
      </c>
      <c r="D2516" s="52" t="s">
        <v>246</v>
      </c>
      <c r="E2516" s="52" t="s">
        <v>584</v>
      </c>
      <c r="F2516" s="52" t="s">
        <v>26</v>
      </c>
      <c r="G2516" s="55" t="s">
        <v>276</v>
      </c>
      <c r="H2516" s="55">
        <v>-1.4479000000000001E-2</v>
      </c>
      <c r="I2516" s="55">
        <v>7.7483999999999999E-3</v>
      </c>
      <c r="J2516" s="55">
        <v>2.6841999999999999E-3</v>
      </c>
      <c r="K2516" s="55">
        <v>-4.5398000000000001E-3</v>
      </c>
      <c r="L2516" s="55">
        <v>-1.07928E-2</v>
      </c>
      <c r="M2516" s="55">
        <v>-1.5232900000000001E-2</v>
      </c>
      <c r="N2516" s="55">
        <v>-2.9645299999999999E-2</v>
      </c>
    </row>
    <row r="2517" spans="1:14" hidden="1" x14ac:dyDescent="0.35">
      <c r="A2517" s="52" t="s">
        <v>243</v>
      </c>
      <c r="B2517" s="52" t="s">
        <v>37</v>
      </c>
      <c r="C2517" s="52" t="s">
        <v>246</v>
      </c>
      <c r="D2517" s="52" t="s">
        <v>246</v>
      </c>
      <c r="E2517" s="52" t="s">
        <v>584</v>
      </c>
      <c r="F2517" s="52" t="s">
        <v>26</v>
      </c>
      <c r="G2517" s="55" t="s">
        <v>277</v>
      </c>
      <c r="H2517" s="55"/>
      <c r="I2517" s="55">
        <v>0</v>
      </c>
      <c r="J2517" s="55">
        <v>0.15493199999999999</v>
      </c>
      <c r="K2517" s="55">
        <v>0.181619</v>
      </c>
      <c r="L2517" s="55">
        <v>0.19237299999999999</v>
      </c>
      <c r="M2517" s="55">
        <v>0.19763900000000001</v>
      </c>
      <c r="N2517" s="55">
        <v>0.203044</v>
      </c>
    </row>
    <row r="2518" spans="1:14" hidden="1" x14ac:dyDescent="0.35">
      <c r="A2518" s="52" t="s">
        <v>243</v>
      </c>
      <c r="B2518" s="52" t="s">
        <v>37</v>
      </c>
      <c r="C2518" s="52" t="s">
        <v>246</v>
      </c>
      <c r="D2518" s="52" t="s">
        <v>246</v>
      </c>
      <c r="E2518" s="52" t="s">
        <v>584</v>
      </c>
      <c r="F2518" s="52" t="s">
        <v>26</v>
      </c>
      <c r="G2518" s="55" t="s">
        <v>279</v>
      </c>
      <c r="H2518" s="55">
        <v>7.5719999999999996E-2</v>
      </c>
      <c r="I2518" s="55">
        <v>6.6689300000000007E-2</v>
      </c>
      <c r="J2518" s="55">
        <v>6.6917610000000002E-2</v>
      </c>
      <c r="K2518" s="55">
        <v>7.39736E-2</v>
      </c>
      <c r="L2518" s="55">
        <v>8.0426999999999998E-2</v>
      </c>
      <c r="M2518" s="55">
        <v>8.243839E-2</v>
      </c>
      <c r="N2518" s="55">
        <v>8.4496500000000002E-2</v>
      </c>
    </row>
    <row r="2519" spans="1:14" hidden="1" x14ac:dyDescent="0.35">
      <c r="A2519" s="52" t="s">
        <v>243</v>
      </c>
      <c r="B2519" s="52" t="s">
        <v>37</v>
      </c>
      <c r="C2519" s="52" t="s">
        <v>46</v>
      </c>
      <c r="D2519" s="52" t="s">
        <v>46</v>
      </c>
      <c r="E2519" s="52" t="s">
        <v>584</v>
      </c>
      <c r="F2519" s="52" t="s">
        <v>581</v>
      </c>
      <c r="G2519" s="55" t="s">
        <v>275</v>
      </c>
      <c r="H2519" s="55">
        <v>3.029147</v>
      </c>
      <c r="I2519" s="55">
        <v>0.97015320000000005</v>
      </c>
      <c r="J2519" s="55">
        <v>0.97684749999999998</v>
      </c>
      <c r="K2519" s="55">
        <v>0.9308573</v>
      </c>
      <c r="L2519" s="55">
        <v>0.88540920000000001</v>
      </c>
      <c r="M2519" s="55">
        <v>0.59197710000000003</v>
      </c>
      <c r="N2519" s="55">
        <v>0.84194709999999995</v>
      </c>
    </row>
    <row r="2520" spans="1:14" hidden="1" x14ac:dyDescent="0.35">
      <c r="A2520" s="52" t="s">
        <v>243</v>
      </c>
      <c r="B2520" s="52" t="s">
        <v>37</v>
      </c>
      <c r="C2520" s="52" t="s">
        <v>46</v>
      </c>
      <c r="D2520" s="52" t="s">
        <v>46</v>
      </c>
      <c r="E2520" s="52" t="s">
        <v>584</v>
      </c>
      <c r="F2520" s="52" t="s">
        <v>581</v>
      </c>
      <c r="G2520" s="55" t="s">
        <v>276</v>
      </c>
      <c r="H2520" s="55">
        <v>0.16608400000000001</v>
      </c>
      <c r="I2520" s="55">
        <v>0.25788800000000001</v>
      </c>
      <c r="J2520" s="55">
        <v>0.2596678</v>
      </c>
      <c r="K2520" s="55">
        <v>0.24744350000000001</v>
      </c>
      <c r="L2520" s="55">
        <v>0.23536190000000001</v>
      </c>
      <c r="M2520" s="55">
        <v>0.1573609</v>
      </c>
      <c r="N2520" s="55">
        <v>0.2238086</v>
      </c>
    </row>
    <row r="2521" spans="1:14" hidden="1" x14ac:dyDescent="0.35">
      <c r="A2521" s="52" t="s">
        <v>243</v>
      </c>
      <c r="B2521" s="52" t="s">
        <v>37</v>
      </c>
      <c r="C2521" s="52" t="s">
        <v>46</v>
      </c>
      <c r="D2521" s="52" t="s">
        <v>46</v>
      </c>
      <c r="E2521" s="52" t="s">
        <v>584</v>
      </c>
      <c r="F2521" s="52" t="s">
        <v>581</v>
      </c>
      <c r="G2521" s="55" t="s">
        <v>277</v>
      </c>
      <c r="H2521" s="55"/>
      <c r="I2521" s="55">
        <v>0</v>
      </c>
      <c r="J2521" s="55"/>
      <c r="K2521" s="55"/>
      <c r="L2521" s="55"/>
      <c r="M2521" s="55"/>
      <c r="N2521" s="55"/>
    </row>
    <row r="2522" spans="1:14" hidden="1" x14ac:dyDescent="0.35">
      <c r="A2522" s="52" t="s">
        <v>243</v>
      </c>
      <c r="B2522" s="52" t="s">
        <v>37</v>
      </c>
      <c r="C2522" s="52" t="s">
        <v>46</v>
      </c>
      <c r="D2522" s="52" t="s">
        <v>46</v>
      </c>
      <c r="E2522" s="52" t="s">
        <v>584</v>
      </c>
      <c r="F2522" s="52" t="s">
        <v>581</v>
      </c>
      <c r="G2522" s="55" t="s">
        <v>279</v>
      </c>
      <c r="H2522" s="55">
        <v>1.1831560000000001</v>
      </c>
      <c r="I2522" s="55">
        <v>0.89600860000000004</v>
      </c>
      <c r="J2522" s="55">
        <v>0.8701953</v>
      </c>
      <c r="K2522" s="55">
        <v>0.93345650000000002</v>
      </c>
      <c r="L2522" s="55">
        <v>0.97808899999999999</v>
      </c>
      <c r="M2522" s="55">
        <v>1.2906249999999999</v>
      </c>
      <c r="N2522" s="55">
        <v>0.92541499999999999</v>
      </c>
    </row>
    <row r="2523" spans="1:14" hidden="1" x14ac:dyDescent="0.35">
      <c r="A2523" s="52" t="s">
        <v>243</v>
      </c>
      <c r="B2523" s="52" t="s">
        <v>37</v>
      </c>
      <c r="C2523" s="52" t="s">
        <v>46</v>
      </c>
      <c r="D2523" s="52" t="s">
        <v>46</v>
      </c>
      <c r="E2523" s="52" t="s">
        <v>584</v>
      </c>
      <c r="F2523" s="52" t="s">
        <v>26</v>
      </c>
      <c r="G2523" s="55" t="s">
        <v>275</v>
      </c>
      <c r="H2523" s="55">
        <v>-0.91250900000000001</v>
      </c>
      <c r="I2523" s="55">
        <v>-0.54512609999999995</v>
      </c>
      <c r="J2523" s="55">
        <v>-0.31982349999999998</v>
      </c>
      <c r="K2523" s="55">
        <v>-0.27797729999999998</v>
      </c>
      <c r="L2523" s="55">
        <v>-0.1256787</v>
      </c>
      <c r="M2523" s="55">
        <v>-11.848050000000001</v>
      </c>
      <c r="N2523" s="55">
        <v>-0.16943749999999999</v>
      </c>
    </row>
    <row r="2524" spans="1:14" hidden="1" x14ac:dyDescent="0.35">
      <c r="A2524" s="52" t="s">
        <v>243</v>
      </c>
      <c r="B2524" s="52" t="s">
        <v>37</v>
      </c>
      <c r="C2524" s="52" t="s">
        <v>46</v>
      </c>
      <c r="D2524" s="52" t="s">
        <v>46</v>
      </c>
      <c r="E2524" s="52" t="s">
        <v>584</v>
      </c>
      <c r="F2524" s="52" t="s">
        <v>26</v>
      </c>
      <c r="G2524" s="55" t="s">
        <v>276</v>
      </c>
      <c r="H2524" s="55">
        <v>-0.378859</v>
      </c>
      <c r="I2524" s="55">
        <v>-0.28284179999999998</v>
      </c>
      <c r="J2524" s="55">
        <v>-0.22506490000000001</v>
      </c>
      <c r="K2524" s="55">
        <v>-0.16452739999999999</v>
      </c>
      <c r="L2524" s="55">
        <v>-0.17986569999999999</v>
      </c>
      <c r="M2524" s="55">
        <v>-3.2270319999999999</v>
      </c>
      <c r="N2524" s="55">
        <v>-8.7937299999999996E-2</v>
      </c>
    </row>
    <row r="2525" spans="1:14" hidden="1" x14ac:dyDescent="0.35">
      <c r="A2525" s="52" t="s">
        <v>243</v>
      </c>
      <c r="B2525" s="52" t="s">
        <v>37</v>
      </c>
      <c r="C2525" s="52" t="s">
        <v>46</v>
      </c>
      <c r="D2525" s="52" t="s">
        <v>46</v>
      </c>
      <c r="E2525" s="52" t="s">
        <v>584</v>
      </c>
      <c r="F2525" s="52" t="s">
        <v>26</v>
      </c>
      <c r="G2525" s="55" t="s">
        <v>277</v>
      </c>
      <c r="H2525" s="55">
        <v>1.338846</v>
      </c>
      <c r="I2525" s="55">
        <v>0.8534678</v>
      </c>
      <c r="J2525" s="55">
        <v>0.60442490000000004</v>
      </c>
      <c r="K2525" s="55">
        <v>0.46341399999999999</v>
      </c>
      <c r="L2525" s="55"/>
      <c r="M2525" s="55"/>
      <c r="N2525" s="55"/>
    </row>
    <row r="2526" spans="1:14" hidden="1" x14ac:dyDescent="0.35">
      <c r="A2526" s="52" t="s">
        <v>243</v>
      </c>
      <c r="B2526" s="52" t="s">
        <v>37</v>
      </c>
      <c r="C2526" s="52" t="s">
        <v>46</v>
      </c>
      <c r="D2526" s="52" t="s">
        <v>46</v>
      </c>
      <c r="E2526" s="52" t="s">
        <v>584</v>
      </c>
      <c r="F2526" s="52" t="s">
        <v>26</v>
      </c>
      <c r="G2526" s="55" t="s">
        <v>279</v>
      </c>
      <c r="H2526" s="55">
        <v>0.61712100000000003</v>
      </c>
      <c r="I2526" s="55">
        <v>0.52106459999999999</v>
      </c>
      <c r="J2526" s="55">
        <v>0.50213129999999995</v>
      </c>
      <c r="K2526" s="55">
        <v>0.53270019999999996</v>
      </c>
      <c r="L2526" s="55">
        <v>0.55534969999999995</v>
      </c>
      <c r="M2526" s="55">
        <v>15.03298</v>
      </c>
      <c r="N2526" s="55">
        <v>0.2224188</v>
      </c>
    </row>
    <row r="2527" spans="1:14" hidden="1" x14ac:dyDescent="0.35">
      <c r="A2527" s="52" t="s">
        <v>243</v>
      </c>
      <c r="B2527" s="52" t="s">
        <v>37</v>
      </c>
      <c r="C2527" s="52" t="s">
        <v>107</v>
      </c>
      <c r="D2527" s="52" t="s">
        <v>107</v>
      </c>
      <c r="E2527" s="52" t="s">
        <v>584</v>
      </c>
      <c r="F2527" s="52" t="s">
        <v>581</v>
      </c>
      <c r="G2527" s="55" t="s">
        <v>275</v>
      </c>
      <c r="H2527" s="55">
        <v>5.3566999999999997E-2</v>
      </c>
      <c r="I2527" s="55">
        <v>3.4667000000000001E-3</v>
      </c>
      <c r="J2527" s="55">
        <v>4.0350000000000004E-3</v>
      </c>
      <c r="K2527" s="55">
        <v>1.5527E-3</v>
      </c>
      <c r="L2527" s="55">
        <v>-4.7759970000000001E-4</v>
      </c>
      <c r="M2527" s="55">
        <v>-2.657003E-4</v>
      </c>
      <c r="N2527" s="55">
        <v>-7.2400090000000004E-5</v>
      </c>
    </row>
    <row r="2528" spans="1:14" hidden="1" x14ac:dyDescent="0.35">
      <c r="A2528" s="52" t="s">
        <v>243</v>
      </c>
      <c r="B2528" s="52" t="s">
        <v>37</v>
      </c>
      <c r="C2528" s="52" t="s">
        <v>107</v>
      </c>
      <c r="D2528" s="52" t="s">
        <v>107</v>
      </c>
      <c r="E2528" s="52" t="s">
        <v>584</v>
      </c>
      <c r="F2528" s="52" t="s">
        <v>581</v>
      </c>
      <c r="G2528" s="55" t="s">
        <v>276</v>
      </c>
      <c r="H2528" s="55">
        <v>1.4241E-2</v>
      </c>
      <c r="I2528" s="55">
        <v>9.2119999999999995E-4</v>
      </c>
      <c r="J2528" s="55">
        <v>1.0721999999999999E-3</v>
      </c>
      <c r="K2528" s="55">
        <v>4.1340000000000002E-4</v>
      </c>
      <c r="L2528" s="55">
        <v>-1.2669990000000001E-4</v>
      </c>
      <c r="M2528" s="55">
        <v>-7.0699959999999995E-5</v>
      </c>
      <c r="N2528" s="55">
        <v>-1.8599850000000001E-5</v>
      </c>
    </row>
    <row r="2529" spans="1:14" hidden="1" x14ac:dyDescent="0.35">
      <c r="A2529" s="52" t="s">
        <v>243</v>
      </c>
      <c r="B2529" s="52" t="s">
        <v>37</v>
      </c>
      <c r="C2529" s="52" t="s">
        <v>107</v>
      </c>
      <c r="D2529" s="52" t="s">
        <v>107</v>
      </c>
      <c r="E2529" s="52" t="s">
        <v>584</v>
      </c>
      <c r="F2529" s="52" t="s">
        <v>581</v>
      </c>
      <c r="G2529" s="55" t="s">
        <v>279</v>
      </c>
      <c r="H2529" s="55">
        <v>7.2219000000000005E-2</v>
      </c>
      <c r="I2529" s="55">
        <v>4.7898799999999998E-2</v>
      </c>
      <c r="J2529" s="55">
        <v>4.6579700000000002E-2</v>
      </c>
      <c r="K2529" s="55">
        <v>5.0149600000000003E-2</v>
      </c>
      <c r="L2529" s="55">
        <v>5.2760899999999999E-2</v>
      </c>
      <c r="M2529" s="55">
        <v>5.1379399999999999E-2</v>
      </c>
      <c r="N2529" s="55">
        <v>5.02586E-2</v>
      </c>
    </row>
    <row r="2530" spans="1:14" hidden="1" x14ac:dyDescent="0.35">
      <c r="A2530" s="52" t="s">
        <v>243</v>
      </c>
      <c r="B2530" s="52" t="s">
        <v>37</v>
      </c>
      <c r="C2530" s="52" t="s">
        <v>107</v>
      </c>
      <c r="D2530" s="52" t="s">
        <v>107</v>
      </c>
      <c r="E2530" s="52" t="s">
        <v>584</v>
      </c>
      <c r="F2530" s="52" t="s">
        <v>26</v>
      </c>
      <c r="G2530" s="55" t="s">
        <v>275</v>
      </c>
      <c r="H2530" s="55">
        <v>-0.64893000000000001</v>
      </c>
      <c r="I2530" s="55">
        <v>-0.45089069999999998</v>
      </c>
      <c r="J2530" s="55">
        <v>-0.40672589999999997</v>
      </c>
      <c r="K2530" s="55">
        <v>-0.49744470000000002</v>
      </c>
      <c r="L2530" s="55">
        <v>-0.48091339999999999</v>
      </c>
      <c r="M2530" s="55">
        <v>-0.51803239999999995</v>
      </c>
      <c r="N2530" s="55">
        <v>-0.53380340000000004</v>
      </c>
    </row>
    <row r="2531" spans="1:14" hidden="1" x14ac:dyDescent="0.35">
      <c r="A2531" s="52" t="s">
        <v>243</v>
      </c>
      <c r="B2531" s="52" t="s">
        <v>37</v>
      </c>
      <c r="C2531" s="52" t="s">
        <v>107</v>
      </c>
      <c r="D2531" s="52" t="s">
        <v>107</v>
      </c>
      <c r="E2531" s="52" t="s">
        <v>584</v>
      </c>
      <c r="F2531" s="52" t="s">
        <v>26</v>
      </c>
      <c r="G2531" s="55" t="s">
        <v>276</v>
      </c>
      <c r="H2531" s="55">
        <v>-0.102981</v>
      </c>
      <c r="I2531" s="55">
        <v>-4.34007E-2</v>
      </c>
      <c r="J2531" s="55">
        <v>-5.0701900000000001E-2</v>
      </c>
      <c r="K2531" s="55">
        <v>-6.7648899999999998E-2</v>
      </c>
      <c r="L2531" s="55">
        <v>-0.1370767</v>
      </c>
      <c r="M2531" s="55">
        <v>-0.1177932</v>
      </c>
      <c r="N2531" s="55">
        <v>-0.1205077</v>
      </c>
    </row>
    <row r="2532" spans="1:14" hidden="1" x14ac:dyDescent="0.35">
      <c r="A2532" s="52" t="s">
        <v>243</v>
      </c>
      <c r="B2532" s="52" t="s">
        <v>37</v>
      </c>
      <c r="C2532" s="52" t="s">
        <v>107</v>
      </c>
      <c r="D2532" s="52" t="s">
        <v>107</v>
      </c>
      <c r="E2532" s="52" t="s">
        <v>584</v>
      </c>
      <c r="F2532" s="52" t="s">
        <v>26</v>
      </c>
      <c r="G2532" s="55" t="s">
        <v>277</v>
      </c>
      <c r="H2532" s="55">
        <v>0.78633500000000001</v>
      </c>
      <c r="I2532" s="55">
        <v>0.51679299999999995</v>
      </c>
      <c r="J2532" s="55">
        <v>0.49915999999999999</v>
      </c>
      <c r="K2532" s="55">
        <v>0.58686400000000005</v>
      </c>
      <c r="L2532" s="55">
        <v>0.62254600000000004</v>
      </c>
      <c r="M2532" s="55">
        <v>0.64052900000000002</v>
      </c>
      <c r="N2532" s="55">
        <v>0.65898400000000001</v>
      </c>
    </row>
    <row r="2533" spans="1:14" hidden="1" x14ac:dyDescent="0.35">
      <c r="A2533" s="52" t="s">
        <v>243</v>
      </c>
      <c r="B2533" s="52" t="s">
        <v>37</v>
      </c>
      <c r="C2533" s="52" t="s">
        <v>107</v>
      </c>
      <c r="D2533" s="52" t="s">
        <v>107</v>
      </c>
      <c r="E2533" s="52" t="s">
        <v>584</v>
      </c>
      <c r="F2533" s="52" t="s">
        <v>26</v>
      </c>
      <c r="G2533" s="55" t="s">
        <v>279</v>
      </c>
      <c r="H2533" s="55">
        <v>0.32182699999999997</v>
      </c>
      <c r="I2533" s="55">
        <v>0.2821593</v>
      </c>
      <c r="J2533" s="55">
        <v>0.2838078</v>
      </c>
      <c r="K2533" s="55">
        <v>0.31195850000000003</v>
      </c>
      <c r="L2533" s="55">
        <v>0.33777180000000001</v>
      </c>
      <c r="M2533" s="55">
        <v>0.34622380000000003</v>
      </c>
      <c r="N2533" s="55">
        <v>0.35485480000000003</v>
      </c>
    </row>
    <row r="2534" spans="1:14" hidden="1" x14ac:dyDescent="0.35">
      <c r="A2534" s="52" t="s">
        <v>243</v>
      </c>
      <c r="B2534" s="52" t="s">
        <v>37</v>
      </c>
      <c r="C2534" s="52" t="s">
        <v>110</v>
      </c>
      <c r="D2534" s="52" t="s">
        <v>110</v>
      </c>
      <c r="E2534" s="52" t="s">
        <v>584</v>
      </c>
      <c r="F2534" s="52" t="s">
        <v>26</v>
      </c>
      <c r="G2534" s="55" t="s">
        <v>275</v>
      </c>
      <c r="H2534" s="55">
        <v>3.5955000000000001E-2</v>
      </c>
      <c r="I2534" s="55">
        <v>2.8007600000000001E-2</v>
      </c>
      <c r="J2534" s="55">
        <v>3.2564099999999999E-2</v>
      </c>
      <c r="K2534" s="55">
        <v>2.8750999999999999E-2</v>
      </c>
      <c r="L2534" s="55">
        <v>2.5430999999999999E-2</v>
      </c>
      <c r="M2534" s="55">
        <v>2.4770799999999999E-2</v>
      </c>
      <c r="N2534" s="55">
        <v>2.4191899999999999E-2</v>
      </c>
    </row>
    <row r="2535" spans="1:14" hidden="1" x14ac:dyDescent="0.35">
      <c r="A2535" s="52" t="s">
        <v>243</v>
      </c>
      <c r="B2535" s="52" t="s">
        <v>37</v>
      </c>
      <c r="C2535" s="52" t="s">
        <v>110</v>
      </c>
      <c r="D2535" s="52" t="s">
        <v>110</v>
      </c>
      <c r="E2535" s="52" t="s">
        <v>584</v>
      </c>
      <c r="F2535" s="52" t="s">
        <v>26</v>
      </c>
      <c r="G2535" s="55" t="s">
        <v>276</v>
      </c>
      <c r="H2535" s="55">
        <v>8.5559999999999994E-3</v>
      </c>
      <c r="I2535" s="55">
        <v>7.4451989999999996E-3</v>
      </c>
      <c r="J2535" s="55">
        <v>8.6569999999999998E-3</v>
      </c>
      <c r="K2535" s="55">
        <v>7.6427999999999999E-3</v>
      </c>
      <c r="L2535" s="55">
        <v>6.7600999999999998E-3</v>
      </c>
      <c r="M2535" s="55">
        <v>6.5846999999999998E-3</v>
      </c>
      <c r="N2535" s="55">
        <v>6.4308000000000004E-3</v>
      </c>
    </row>
    <row r="2536" spans="1:14" hidden="1" x14ac:dyDescent="0.35">
      <c r="A2536" s="52" t="s">
        <v>243</v>
      </c>
      <c r="B2536" s="52" t="s">
        <v>37</v>
      </c>
      <c r="C2536" s="52" t="s">
        <v>110</v>
      </c>
      <c r="D2536" s="52" t="s">
        <v>110</v>
      </c>
      <c r="E2536" s="52" t="s">
        <v>584</v>
      </c>
      <c r="F2536" s="52" t="s">
        <v>26</v>
      </c>
      <c r="G2536" s="55" t="s">
        <v>279</v>
      </c>
      <c r="H2536" s="55">
        <v>7.4221999999999996E-2</v>
      </c>
      <c r="I2536" s="55">
        <v>6.4075599999999996E-2</v>
      </c>
      <c r="J2536" s="55">
        <v>6.3017799999999999E-2</v>
      </c>
      <c r="K2536" s="55">
        <v>6.8150500000000003E-2</v>
      </c>
      <c r="L2536" s="55">
        <v>7.192279E-2</v>
      </c>
      <c r="M2536" s="55">
        <v>6.9985099999999995E-2</v>
      </c>
      <c r="N2536" s="55">
        <v>6.8399500000000002E-2</v>
      </c>
    </row>
    <row r="2537" spans="1:14" hidden="1" x14ac:dyDescent="0.35">
      <c r="A2537" s="52" t="s">
        <v>243</v>
      </c>
      <c r="B2537" s="52" t="s">
        <v>37</v>
      </c>
      <c r="C2537" s="52" t="s">
        <v>249</v>
      </c>
      <c r="D2537" s="52" t="s">
        <v>249</v>
      </c>
      <c r="E2537" s="52" t="s">
        <v>584</v>
      </c>
      <c r="F2537" s="52" t="s">
        <v>581</v>
      </c>
      <c r="G2537" s="55" t="s">
        <v>275</v>
      </c>
      <c r="H2537" s="55">
        <v>0.107005</v>
      </c>
      <c r="I2537" s="55">
        <v>6.3871600000000001E-2</v>
      </c>
      <c r="J2537" s="55">
        <v>1.2174000000000001E-2</v>
      </c>
      <c r="K2537" s="55">
        <v>1.35928E-2</v>
      </c>
      <c r="L2537" s="55">
        <v>7.8236E-3</v>
      </c>
      <c r="M2537" s="55">
        <v>4.7888000000000002E-3</v>
      </c>
      <c r="N2537" s="55">
        <v>2.9572999999999999E-3</v>
      </c>
    </row>
    <row r="2538" spans="1:14" hidden="1" x14ac:dyDescent="0.35">
      <c r="A2538" s="52" t="s">
        <v>243</v>
      </c>
      <c r="B2538" s="52" t="s">
        <v>37</v>
      </c>
      <c r="C2538" s="52" t="s">
        <v>249</v>
      </c>
      <c r="D2538" s="52" t="s">
        <v>249</v>
      </c>
      <c r="E2538" s="52" t="s">
        <v>584</v>
      </c>
      <c r="F2538" s="52" t="s">
        <v>581</v>
      </c>
      <c r="G2538" s="55" t="s">
        <v>276</v>
      </c>
      <c r="H2538" s="55">
        <v>-3.9418000000000002E-2</v>
      </c>
      <c r="I2538" s="55">
        <v>-6.1533299999999999E-2</v>
      </c>
      <c r="J2538" s="55">
        <v>-7.9764989999999997E-3</v>
      </c>
      <c r="K2538" s="55">
        <v>-4.8526000000000003E-3</v>
      </c>
      <c r="L2538" s="55">
        <v>-2.3346E-3</v>
      </c>
      <c r="M2538" s="55">
        <v>-9.6429999999999997E-4</v>
      </c>
      <c r="N2538" s="55">
        <v>-2.9320000000000003E-4</v>
      </c>
    </row>
    <row r="2539" spans="1:14" hidden="1" x14ac:dyDescent="0.35">
      <c r="A2539" s="52" t="s">
        <v>243</v>
      </c>
      <c r="B2539" s="52" t="s">
        <v>37</v>
      </c>
      <c r="C2539" s="52" t="s">
        <v>249</v>
      </c>
      <c r="D2539" s="52" t="s">
        <v>249</v>
      </c>
      <c r="E2539" s="52" t="s">
        <v>584</v>
      </c>
      <c r="F2539" s="52" t="s">
        <v>581</v>
      </c>
      <c r="G2539" s="55" t="s">
        <v>277</v>
      </c>
      <c r="H2539" s="55">
        <v>3.2927999999999999E-2</v>
      </c>
      <c r="I2539" s="55">
        <v>1.8071E-2</v>
      </c>
      <c r="J2539" s="55">
        <v>9.9179999999999997E-3</v>
      </c>
      <c r="K2539" s="55">
        <v>0</v>
      </c>
      <c r="L2539" s="55"/>
      <c r="M2539" s="55"/>
      <c r="N2539" s="55"/>
    </row>
    <row r="2540" spans="1:14" hidden="1" x14ac:dyDescent="0.35">
      <c r="A2540" s="52" t="s">
        <v>243</v>
      </c>
      <c r="B2540" s="52" t="s">
        <v>37</v>
      </c>
      <c r="C2540" s="52" t="s">
        <v>249</v>
      </c>
      <c r="D2540" s="52" t="s">
        <v>249</v>
      </c>
      <c r="E2540" s="52" t="s">
        <v>584</v>
      </c>
      <c r="F2540" s="52" t="s">
        <v>581</v>
      </c>
      <c r="G2540" s="55" t="s">
        <v>279</v>
      </c>
      <c r="H2540" s="55">
        <v>5.5224000000000002E-2</v>
      </c>
      <c r="I2540" s="55">
        <v>3.0084699999999999E-2</v>
      </c>
      <c r="J2540" s="55">
        <v>2.0020699999999999E-2</v>
      </c>
      <c r="K2540" s="55">
        <v>1.4839700000000001E-2</v>
      </c>
      <c r="L2540" s="55">
        <v>1.086E-2</v>
      </c>
      <c r="M2540" s="55">
        <v>7.4640000000000001E-3</v>
      </c>
      <c r="N2540" s="55">
        <v>5.1324999999999999E-3</v>
      </c>
    </row>
    <row r="2541" spans="1:14" hidden="1" x14ac:dyDescent="0.35">
      <c r="A2541" s="52" t="s">
        <v>243</v>
      </c>
      <c r="B2541" s="52" t="s">
        <v>37</v>
      </c>
      <c r="C2541" s="52" t="s">
        <v>249</v>
      </c>
      <c r="D2541" s="52" t="s">
        <v>249</v>
      </c>
      <c r="E2541" s="52" t="s">
        <v>584</v>
      </c>
      <c r="F2541" s="52" t="s">
        <v>26</v>
      </c>
      <c r="G2541" s="55" t="s">
        <v>275</v>
      </c>
      <c r="H2541" s="55"/>
      <c r="I2541" s="55"/>
      <c r="J2541" s="55"/>
      <c r="K2541" s="55"/>
      <c r="L2541" s="55">
        <v>0</v>
      </c>
      <c r="M2541" s="55"/>
      <c r="N2541" s="55">
        <v>0</v>
      </c>
    </row>
    <row r="2542" spans="1:14" hidden="1" x14ac:dyDescent="0.35">
      <c r="A2542" s="52" t="s">
        <v>243</v>
      </c>
      <c r="B2542" s="52" t="s">
        <v>37</v>
      </c>
      <c r="C2542" s="52" t="s">
        <v>249</v>
      </c>
      <c r="D2542" s="52" t="s">
        <v>249</v>
      </c>
      <c r="E2542" s="52" t="s">
        <v>584</v>
      </c>
      <c r="F2542" s="52" t="s">
        <v>26</v>
      </c>
      <c r="G2542" s="55" t="s">
        <v>276</v>
      </c>
      <c r="H2542" s="55"/>
      <c r="I2542" s="55"/>
      <c r="J2542" s="55"/>
      <c r="K2542" s="55"/>
      <c r="L2542" s="55">
        <v>0</v>
      </c>
      <c r="M2542" s="55"/>
      <c r="N2542" s="55">
        <v>0</v>
      </c>
    </row>
    <row r="2543" spans="1:14" hidden="1" x14ac:dyDescent="0.35">
      <c r="A2543" s="52" t="s">
        <v>243</v>
      </c>
      <c r="B2543" s="52" t="s">
        <v>37</v>
      </c>
      <c r="C2543" s="52" t="s">
        <v>249</v>
      </c>
      <c r="D2543" s="52" t="s">
        <v>249</v>
      </c>
      <c r="E2543" s="52" t="s">
        <v>584</v>
      </c>
      <c r="F2543" s="52" t="s">
        <v>26</v>
      </c>
      <c r="G2543" s="55" t="s">
        <v>279</v>
      </c>
      <c r="H2543" s="55"/>
      <c r="I2543" s="55"/>
      <c r="J2543" s="55"/>
      <c r="K2543" s="55"/>
      <c r="L2543" s="55">
        <v>0</v>
      </c>
      <c r="M2543" s="55"/>
      <c r="N2543" s="55">
        <v>0</v>
      </c>
    </row>
    <row r="2544" spans="1:14" hidden="1" x14ac:dyDescent="0.35">
      <c r="A2544" s="52" t="s">
        <v>243</v>
      </c>
      <c r="B2544" s="52" t="s">
        <v>37</v>
      </c>
      <c r="C2544" s="52" t="s">
        <v>95</v>
      </c>
      <c r="D2544" s="52" t="s">
        <v>95</v>
      </c>
      <c r="E2544" s="52" t="s">
        <v>584</v>
      </c>
      <c r="F2544" s="52" t="s">
        <v>581</v>
      </c>
      <c r="G2544" s="55" t="s">
        <v>275</v>
      </c>
      <c r="H2544" s="55">
        <v>9.2119999999999997E-3</v>
      </c>
      <c r="I2544" s="55">
        <v>1.0734E-3</v>
      </c>
      <c r="J2544" s="55">
        <v>7.4700000000000005E-4</v>
      </c>
      <c r="K2544" s="55">
        <v>-0.10724</v>
      </c>
      <c r="L2544" s="55">
        <v>0</v>
      </c>
      <c r="M2544" s="55"/>
      <c r="N2544" s="55"/>
    </row>
    <row r="2545" spans="1:14" hidden="1" x14ac:dyDescent="0.35">
      <c r="A2545" s="52" t="s">
        <v>243</v>
      </c>
      <c r="B2545" s="52" t="s">
        <v>37</v>
      </c>
      <c r="C2545" s="52" t="s">
        <v>95</v>
      </c>
      <c r="D2545" s="52" t="s">
        <v>95</v>
      </c>
      <c r="E2545" s="52" t="s">
        <v>584</v>
      </c>
      <c r="F2545" s="52" t="s">
        <v>581</v>
      </c>
      <c r="G2545" s="55" t="s">
        <v>276</v>
      </c>
      <c r="H2545" s="55">
        <v>-1.9070000000000001E-3</v>
      </c>
      <c r="I2545" s="55">
        <v>2.8590000000000001E-4</v>
      </c>
      <c r="J2545" s="55">
        <v>1.9870000000000001E-4</v>
      </c>
      <c r="K2545" s="55">
        <v>-2.8507000000000001E-2</v>
      </c>
      <c r="L2545" s="55">
        <v>0</v>
      </c>
      <c r="M2545" s="55"/>
      <c r="N2545" s="55"/>
    </row>
    <row r="2546" spans="1:14" hidden="1" x14ac:dyDescent="0.35">
      <c r="A2546" s="52" t="s">
        <v>243</v>
      </c>
      <c r="B2546" s="52" t="s">
        <v>37</v>
      </c>
      <c r="C2546" s="52" t="s">
        <v>95</v>
      </c>
      <c r="D2546" s="52" t="s">
        <v>95</v>
      </c>
      <c r="E2546" s="52" t="s">
        <v>584</v>
      </c>
      <c r="F2546" s="52" t="s">
        <v>581</v>
      </c>
      <c r="G2546" s="55" t="s">
        <v>279</v>
      </c>
      <c r="H2546" s="55">
        <v>4.5120000000000004E-3</v>
      </c>
      <c r="I2546" s="55">
        <v>2.4710999999999999E-3</v>
      </c>
      <c r="J2546" s="55">
        <v>1.6444999999999999E-3</v>
      </c>
      <c r="K2546" s="55">
        <v>0.13574800000000001</v>
      </c>
      <c r="L2546" s="55">
        <v>0</v>
      </c>
      <c r="M2546" s="55"/>
      <c r="N2546" s="55"/>
    </row>
    <row r="2547" spans="1:14" hidden="1" x14ac:dyDescent="0.35">
      <c r="A2547" s="52" t="s">
        <v>243</v>
      </c>
      <c r="B2547" s="52" t="s">
        <v>37</v>
      </c>
      <c r="C2547" s="52" t="s">
        <v>95</v>
      </c>
      <c r="D2547" s="52" t="s">
        <v>95</v>
      </c>
      <c r="E2547" s="52" t="s">
        <v>584</v>
      </c>
      <c r="F2547" s="52" t="s">
        <v>26</v>
      </c>
      <c r="G2547" s="55" t="s">
        <v>275</v>
      </c>
      <c r="H2547" s="55">
        <v>9.9999999999999995E-7</v>
      </c>
      <c r="I2547" s="55">
        <v>0</v>
      </c>
      <c r="J2547" s="55">
        <v>0</v>
      </c>
      <c r="K2547" s="55">
        <v>-1.2433609999999999</v>
      </c>
      <c r="L2547" s="55">
        <v>0</v>
      </c>
      <c r="M2547" s="55"/>
      <c r="N2547" s="55"/>
    </row>
    <row r="2548" spans="1:14" hidden="1" x14ac:dyDescent="0.35">
      <c r="A2548" s="52" t="s">
        <v>243</v>
      </c>
      <c r="B2548" s="52" t="s">
        <v>37</v>
      </c>
      <c r="C2548" s="52" t="s">
        <v>95</v>
      </c>
      <c r="D2548" s="52" t="s">
        <v>95</v>
      </c>
      <c r="E2548" s="52" t="s">
        <v>584</v>
      </c>
      <c r="F2548" s="52" t="s">
        <v>26</v>
      </c>
      <c r="G2548" s="55" t="s">
        <v>276</v>
      </c>
      <c r="H2548" s="55">
        <v>-9.9999999999999995E-7</v>
      </c>
      <c r="I2548" s="55">
        <v>0</v>
      </c>
      <c r="J2548" s="55">
        <v>0</v>
      </c>
      <c r="K2548" s="55">
        <v>-0.33051399999999997</v>
      </c>
      <c r="L2548" s="55">
        <v>0</v>
      </c>
      <c r="M2548" s="55"/>
      <c r="N2548" s="55"/>
    </row>
    <row r="2549" spans="1:14" hidden="1" x14ac:dyDescent="0.35">
      <c r="A2549" s="52" t="s">
        <v>243</v>
      </c>
      <c r="B2549" s="52" t="s">
        <v>37</v>
      </c>
      <c r="C2549" s="52" t="s">
        <v>95</v>
      </c>
      <c r="D2549" s="52" t="s">
        <v>95</v>
      </c>
      <c r="E2549" s="52" t="s">
        <v>584</v>
      </c>
      <c r="F2549" s="52" t="s">
        <v>26</v>
      </c>
      <c r="G2549" s="55" t="s">
        <v>279</v>
      </c>
      <c r="H2549" s="55"/>
      <c r="I2549" s="55"/>
      <c r="J2549" s="55">
        <v>0</v>
      </c>
      <c r="K2549" s="55">
        <v>1.5738760000000001</v>
      </c>
      <c r="L2549" s="55">
        <v>0</v>
      </c>
      <c r="M2549" s="55"/>
      <c r="N2549" s="55"/>
    </row>
    <row r="2550" spans="1:14" hidden="1" x14ac:dyDescent="0.35">
      <c r="A2550" s="52" t="s">
        <v>243</v>
      </c>
      <c r="B2550" s="52" t="s">
        <v>37</v>
      </c>
      <c r="C2550" s="52" t="s">
        <v>61</v>
      </c>
      <c r="D2550" s="52" t="s">
        <v>62</v>
      </c>
      <c r="E2550" s="52" t="s">
        <v>584</v>
      </c>
      <c r="F2550" s="52" t="s">
        <v>581</v>
      </c>
      <c r="G2550" s="55" t="s">
        <v>275</v>
      </c>
      <c r="H2550" s="55">
        <v>0</v>
      </c>
      <c r="I2550" s="55"/>
      <c r="J2550" s="55">
        <v>0</v>
      </c>
      <c r="K2550" s="55">
        <v>0</v>
      </c>
      <c r="L2550" s="55">
        <v>0</v>
      </c>
      <c r="M2550" s="55">
        <v>0</v>
      </c>
      <c r="N2550" s="55">
        <v>0</v>
      </c>
    </row>
    <row r="2551" spans="1:14" hidden="1" x14ac:dyDescent="0.35">
      <c r="A2551" s="52" t="s">
        <v>243</v>
      </c>
      <c r="B2551" s="52" t="s">
        <v>37</v>
      </c>
      <c r="C2551" s="52" t="s">
        <v>318</v>
      </c>
      <c r="D2551" s="52" t="s">
        <v>318</v>
      </c>
      <c r="E2551" s="52" t="s">
        <v>584</v>
      </c>
      <c r="F2551" s="52" t="s">
        <v>581</v>
      </c>
      <c r="G2551" s="55" t="s">
        <v>275</v>
      </c>
      <c r="H2551" s="55">
        <v>0</v>
      </c>
      <c r="I2551" s="55"/>
      <c r="J2551" s="55"/>
      <c r="K2551" s="55"/>
      <c r="L2551" s="55"/>
      <c r="M2551" s="55"/>
      <c r="N2551" s="55"/>
    </row>
    <row r="2552" spans="1:14" hidden="1" x14ac:dyDescent="0.35">
      <c r="A2552" s="52" t="s">
        <v>243</v>
      </c>
      <c r="B2552" s="52" t="s">
        <v>37</v>
      </c>
      <c r="C2552" s="52" t="s">
        <v>61</v>
      </c>
      <c r="D2552" s="52" t="s">
        <v>62</v>
      </c>
      <c r="E2552" s="52" t="s">
        <v>584</v>
      </c>
      <c r="F2552" s="52" t="s">
        <v>581</v>
      </c>
      <c r="G2552" s="55" t="s">
        <v>276</v>
      </c>
      <c r="H2552" s="55"/>
      <c r="I2552" s="55"/>
      <c r="J2552" s="55">
        <v>0</v>
      </c>
      <c r="K2552" s="55">
        <v>0</v>
      </c>
      <c r="L2552" s="55">
        <v>0</v>
      </c>
      <c r="M2552" s="55">
        <v>0</v>
      </c>
      <c r="N2552" s="55">
        <v>0</v>
      </c>
    </row>
    <row r="2553" spans="1:14" hidden="1" x14ac:dyDescent="0.35">
      <c r="A2553" s="52" t="s">
        <v>243</v>
      </c>
      <c r="B2553" s="52" t="s">
        <v>37</v>
      </c>
      <c r="C2553" s="52" t="s">
        <v>248</v>
      </c>
      <c r="D2553" s="52" t="s">
        <v>248</v>
      </c>
      <c r="E2553" s="52" t="s">
        <v>635</v>
      </c>
      <c r="F2553" s="52" t="s">
        <v>581</v>
      </c>
      <c r="G2553" s="55" t="s">
        <v>276</v>
      </c>
      <c r="H2553" s="55"/>
      <c r="I2553" s="55"/>
      <c r="J2553" s="55"/>
      <c r="K2553" s="55"/>
      <c r="L2553" s="55"/>
      <c r="M2553" s="55">
        <v>0</v>
      </c>
      <c r="N2553" s="55"/>
    </row>
    <row r="2554" spans="1:14" hidden="1" x14ac:dyDescent="0.35">
      <c r="A2554" s="52" t="s">
        <v>243</v>
      </c>
      <c r="B2554" s="52" t="s">
        <v>37</v>
      </c>
      <c r="C2554" s="52" t="s">
        <v>248</v>
      </c>
      <c r="D2554" s="52" t="s">
        <v>248</v>
      </c>
      <c r="E2554" s="52" t="s">
        <v>635</v>
      </c>
      <c r="F2554" s="52" t="s">
        <v>581</v>
      </c>
      <c r="G2554" s="55" t="s">
        <v>277</v>
      </c>
      <c r="H2554" s="55"/>
      <c r="I2554" s="55"/>
      <c r="J2554" s="55"/>
      <c r="K2554" s="55"/>
      <c r="L2554" s="55"/>
      <c r="M2554" s="55">
        <v>0</v>
      </c>
      <c r="N2554" s="55"/>
    </row>
    <row r="2555" spans="1:14" hidden="1" x14ac:dyDescent="0.35">
      <c r="A2555" s="52" t="s">
        <v>243</v>
      </c>
      <c r="B2555" s="52" t="s">
        <v>37</v>
      </c>
      <c r="C2555" s="52" t="s">
        <v>61</v>
      </c>
      <c r="D2555" s="52" t="s">
        <v>62</v>
      </c>
      <c r="E2555" s="52" t="s">
        <v>584</v>
      </c>
      <c r="F2555" s="52" t="s">
        <v>581</v>
      </c>
      <c r="G2555" s="55" t="s">
        <v>278</v>
      </c>
      <c r="H2555" s="55"/>
      <c r="I2555" s="55"/>
      <c r="J2555" s="55">
        <v>0</v>
      </c>
      <c r="K2555" s="55">
        <v>0</v>
      </c>
      <c r="L2555" s="55">
        <v>0</v>
      </c>
      <c r="M2555" s="55">
        <v>0</v>
      </c>
      <c r="N2555" s="55"/>
    </row>
    <row r="2556" spans="1:14" hidden="1" x14ac:dyDescent="0.35">
      <c r="A2556" s="52" t="s">
        <v>243</v>
      </c>
      <c r="B2556" s="52" t="s">
        <v>37</v>
      </c>
      <c r="C2556" s="52" t="s">
        <v>318</v>
      </c>
      <c r="D2556" s="52" t="s">
        <v>318</v>
      </c>
      <c r="E2556" s="52" t="s">
        <v>584</v>
      </c>
      <c r="F2556" s="52" t="s">
        <v>581</v>
      </c>
      <c r="G2556" s="55" t="s">
        <v>278</v>
      </c>
      <c r="H2556" s="55">
        <v>0</v>
      </c>
      <c r="I2556" s="55"/>
      <c r="J2556" s="55"/>
      <c r="K2556" s="55"/>
      <c r="L2556" s="55"/>
      <c r="M2556" s="55"/>
      <c r="N2556" s="55"/>
    </row>
    <row r="2557" spans="1:14" hidden="1" x14ac:dyDescent="0.35">
      <c r="A2557" s="52" t="s">
        <v>243</v>
      </c>
      <c r="B2557" s="52" t="s">
        <v>37</v>
      </c>
      <c r="C2557" s="52" t="s">
        <v>248</v>
      </c>
      <c r="D2557" s="52" t="s">
        <v>248</v>
      </c>
      <c r="E2557" s="52" t="s">
        <v>635</v>
      </c>
      <c r="F2557" s="52" t="s">
        <v>581</v>
      </c>
      <c r="G2557" s="55" t="s">
        <v>278</v>
      </c>
      <c r="H2557" s="55"/>
      <c r="I2557" s="55"/>
      <c r="J2557" s="55"/>
      <c r="K2557" s="55"/>
      <c r="L2557" s="55"/>
      <c r="M2557" s="55">
        <v>0</v>
      </c>
      <c r="N2557" s="55"/>
    </row>
    <row r="2558" spans="1:14" hidden="1" x14ac:dyDescent="0.35">
      <c r="A2558" s="52" t="s">
        <v>243</v>
      </c>
      <c r="B2558" s="52" t="s">
        <v>37</v>
      </c>
      <c r="C2558" s="52" t="s">
        <v>248</v>
      </c>
      <c r="D2558" s="52" t="s">
        <v>248</v>
      </c>
      <c r="E2558" s="52" t="s">
        <v>635</v>
      </c>
      <c r="F2558" s="52" t="s">
        <v>581</v>
      </c>
      <c r="G2558" s="55" t="s">
        <v>279</v>
      </c>
      <c r="H2558" s="55"/>
      <c r="I2558" s="55"/>
      <c r="J2558" s="55"/>
      <c r="K2558" s="55"/>
      <c r="L2558" s="55"/>
      <c r="M2558" s="55">
        <v>0</v>
      </c>
      <c r="N2558" s="55"/>
    </row>
    <row r="2559" spans="1:14" hidden="1" x14ac:dyDescent="0.35">
      <c r="A2559" s="52" t="s">
        <v>243</v>
      </c>
      <c r="B2559" s="52" t="s">
        <v>37</v>
      </c>
      <c r="C2559" s="52" t="s">
        <v>318</v>
      </c>
      <c r="D2559" s="52" t="s">
        <v>318</v>
      </c>
      <c r="E2559" s="52" t="s">
        <v>584</v>
      </c>
      <c r="F2559" s="52" t="s">
        <v>26</v>
      </c>
      <c r="G2559" s="55" t="s">
        <v>275</v>
      </c>
      <c r="H2559" s="55">
        <v>0</v>
      </c>
      <c r="I2559" s="55"/>
      <c r="J2559" s="55"/>
      <c r="K2559" s="55"/>
      <c r="L2559" s="55"/>
      <c r="M2559" s="55"/>
      <c r="N2559" s="55"/>
    </row>
    <row r="2560" spans="1:14" hidden="1" x14ac:dyDescent="0.35">
      <c r="A2560" s="52" t="s">
        <v>243</v>
      </c>
      <c r="B2560" s="52" t="s">
        <v>37</v>
      </c>
      <c r="C2560" s="52" t="s">
        <v>248</v>
      </c>
      <c r="D2560" s="52" t="s">
        <v>248</v>
      </c>
      <c r="E2560" s="52" t="s">
        <v>635</v>
      </c>
      <c r="F2560" s="52" t="s">
        <v>26</v>
      </c>
      <c r="G2560" s="55" t="s">
        <v>276</v>
      </c>
      <c r="H2560" s="55"/>
      <c r="I2560" s="55"/>
      <c r="J2560" s="55"/>
      <c r="K2560" s="55"/>
      <c r="L2560" s="55"/>
      <c r="M2560" s="55">
        <v>0</v>
      </c>
      <c r="N2560" s="55"/>
    </row>
    <row r="2561" spans="1:14" hidden="1" x14ac:dyDescent="0.35">
      <c r="A2561" s="52" t="s">
        <v>243</v>
      </c>
      <c r="B2561" s="52" t="s">
        <v>37</v>
      </c>
      <c r="C2561" s="52" t="s">
        <v>318</v>
      </c>
      <c r="D2561" s="52" t="s">
        <v>318</v>
      </c>
      <c r="E2561" s="52" t="s">
        <v>584</v>
      </c>
      <c r="F2561" s="52" t="s">
        <v>26</v>
      </c>
      <c r="G2561" s="55" t="s">
        <v>278</v>
      </c>
      <c r="H2561" s="55">
        <v>0</v>
      </c>
      <c r="I2561" s="55"/>
      <c r="J2561" s="55"/>
      <c r="K2561" s="55"/>
      <c r="L2561" s="55"/>
      <c r="M2561" s="55"/>
      <c r="N2561" s="55"/>
    </row>
    <row r="2562" spans="1:14" hidden="1" x14ac:dyDescent="0.35">
      <c r="A2562" s="52" t="s">
        <v>243</v>
      </c>
      <c r="B2562" s="52" t="s">
        <v>37</v>
      </c>
      <c r="C2562" s="52" t="s">
        <v>248</v>
      </c>
      <c r="D2562" s="52" t="s">
        <v>248</v>
      </c>
      <c r="E2562" s="52" t="s">
        <v>635</v>
      </c>
      <c r="F2562" s="52" t="s">
        <v>26</v>
      </c>
      <c r="G2562" s="55" t="s">
        <v>279</v>
      </c>
      <c r="H2562" s="55"/>
      <c r="I2562" s="55"/>
      <c r="J2562" s="55"/>
      <c r="K2562" s="55"/>
      <c r="L2562" s="55"/>
      <c r="M2562" s="55">
        <v>0</v>
      </c>
      <c r="N2562" s="55"/>
    </row>
    <row r="2563" spans="1:14" hidden="1" x14ac:dyDescent="0.35">
      <c r="A2563" s="52" t="s">
        <v>243</v>
      </c>
      <c r="B2563" s="52" t="s">
        <v>37</v>
      </c>
      <c r="C2563" s="52" t="s">
        <v>315</v>
      </c>
      <c r="D2563" s="52" t="s">
        <v>315</v>
      </c>
      <c r="E2563" s="52" t="s">
        <v>584</v>
      </c>
      <c r="F2563" s="52" t="s">
        <v>581</v>
      </c>
      <c r="G2563" s="55" t="s">
        <v>275</v>
      </c>
      <c r="H2563" s="55">
        <v>-9.6665399999999995E-3</v>
      </c>
      <c r="I2563" s="55">
        <v>-1.0274859999999999</v>
      </c>
      <c r="J2563" s="55">
        <v>0</v>
      </c>
      <c r="K2563" s="55">
        <v>0</v>
      </c>
      <c r="L2563" s="55">
        <v>0</v>
      </c>
      <c r="M2563" s="55">
        <v>0</v>
      </c>
      <c r="N2563" s="55">
        <v>0</v>
      </c>
    </row>
    <row r="2564" spans="1:14" hidden="1" x14ac:dyDescent="0.35">
      <c r="A2564" s="52" t="s">
        <v>243</v>
      </c>
      <c r="B2564" s="52" t="s">
        <v>37</v>
      </c>
      <c r="C2564" s="52" t="s">
        <v>315</v>
      </c>
      <c r="D2564" s="52" t="s">
        <v>315</v>
      </c>
      <c r="E2564" s="52" t="s">
        <v>584</v>
      </c>
      <c r="F2564" s="52" t="s">
        <v>581</v>
      </c>
      <c r="G2564" s="55" t="s">
        <v>276</v>
      </c>
      <c r="H2564" s="55">
        <v>-2.56989E-3</v>
      </c>
      <c r="I2564" s="55">
        <v>-4.7191829999999997E-2</v>
      </c>
      <c r="J2564" s="55">
        <v>-1.2235920000000001E-2</v>
      </c>
      <c r="K2564" s="55">
        <v>-1.2235920000000001E-2</v>
      </c>
      <c r="L2564" s="55">
        <v>-1.2235920000000001E-2</v>
      </c>
      <c r="M2564" s="55">
        <v>-1.2235920000000001E-2</v>
      </c>
      <c r="N2564" s="55">
        <v>-7.5985919999999998E-2</v>
      </c>
    </row>
    <row r="2565" spans="1:14" hidden="1" x14ac:dyDescent="0.35">
      <c r="A2565" s="52" t="s">
        <v>243</v>
      </c>
      <c r="B2565" s="52" t="s">
        <v>37</v>
      </c>
      <c r="C2565" s="52" t="s">
        <v>315</v>
      </c>
      <c r="D2565" s="52" t="s">
        <v>315</v>
      </c>
      <c r="E2565" s="52" t="s">
        <v>584</v>
      </c>
      <c r="F2565" s="52" t="s">
        <v>581</v>
      </c>
      <c r="G2565" s="55" t="s">
        <v>277</v>
      </c>
      <c r="H2565" s="55"/>
      <c r="I2565" s="55"/>
      <c r="J2565" s="55"/>
      <c r="K2565" s="55"/>
      <c r="L2565" s="55"/>
      <c r="M2565" s="55">
        <v>0</v>
      </c>
      <c r="N2565" s="55">
        <v>6.3750000000000001E-2</v>
      </c>
    </row>
    <row r="2566" spans="1:14" hidden="1" x14ac:dyDescent="0.35">
      <c r="A2566" s="52" t="s">
        <v>243</v>
      </c>
      <c r="B2566" s="52" t="s">
        <v>37</v>
      </c>
      <c r="C2566" s="52" t="s">
        <v>315</v>
      </c>
      <c r="D2566" s="52" t="s">
        <v>315</v>
      </c>
      <c r="E2566" s="52" t="s">
        <v>584</v>
      </c>
      <c r="F2566" s="52" t="s">
        <v>581</v>
      </c>
      <c r="G2566" s="55" t="s">
        <v>278</v>
      </c>
      <c r="H2566" s="55">
        <v>1.2235920000000001E-2</v>
      </c>
      <c r="I2566" s="55">
        <v>1.074678</v>
      </c>
      <c r="J2566" s="55">
        <v>1.2235920000000001E-2</v>
      </c>
      <c r="K2566" s="55">
        <v>1.2235920000000001E-2</v>
      </c>
      <c r="L2566" s="55">
        <v>1.2235920000000001E-2</v>
      </c>
      <c r="M2566" s="55">
        <v>1.2235920000000001E-2</v>
      </c>
      <c r="N2566" s="55">
        <v>1.2235920000000001E-2</v>
      </c>
    </row>
    <row r="2567" spans="1:14" hidden="1" x14ac:dyDescent="0.35">
      <c r="A2567" s="52" t="s">
        <v>243</v>
      </c>
      <c r="B2567" s="52" t="s">
        <v>245</v>
      </c>
      <c r="C2567" s="52" t="s">
        <v>244</v>
      </c>
      <c r="D2567" s="52" t="s">
        <v>244</v>
      </c>
      <c r="E2567" s="52" t="s">
        <v>584</v>
      </c>
      <c r="F2567" s="52" t="s">
        <v>581</v>
      </c>
      <c r="G2567" s="55" t="s">
        <v>275</v>
      </c>
      <c r="H2567" s="55">
        <v>-1.6040589999999999</v>
      </c>
      <c r="I2567" s="55">
        <v>10.55988</v>
      </c>
      <c r="J2567" s="55">
        <v>2.3143319999999998</v>
      </c>
      <c r="K2567" s="55">
        <v>23.987300000000001</v>
      </c>
      <c r="L2567" s="55">
        <v>23.637070000000001</v>
      </c>
      <c r="M2567" s="55">
        <v>20.12603</v>
      </c>
      <c r="N2567" s="55">
        <v>11.21022</v>
      </c>
    </row>
    <row r="2568" spans="1:14" hidden="1" x14ac:dyDescent="0.35">
      <c r="A2568" s="52" t="s">
        <v>243</v>
      </c>
      <c r="B2568" s="52" t="s">
        <v>245</v>
      </c>
      <c r="C2568" s="52" t="s">
        <v>244</v>
      </c>
      <c r="D2568" s="52" t="s">
        <v>244</v>
      </c>
      <c r="E2568" s="52" t="s">
        <v>584</v>
      </c>
      <c r="F2568" s="52" t="s">
        <v>581</v>
      </c>
      <c r="G2568" s="55" t="s">
        <v>276</v>
      </c>
      <c r="H2568" s="55">
        <v>1.42662</v>
      </c>
      <c r="I2568" s="55">
        <v>0.63658599999999999</v>
      </c>
      <c r="J2568" s="55">
        <v>5.140536</v>
      </c>
      <c r="K2568" s="55">
        <v>6.0861960000000002</v>
      </c>
      <c r="L2568" s="55">
        <v>6.7826089999999999</v>
      </c>
      <c r="M2568" s="55">
        <v>7.2259820000000001</v>
      </c>
      <c r="N2568" s="55">
        <v>14.75276</v>
      </c>
    </row>
    <row r="2569" spans="1:14" hidden="1" x14ac:dyDescent="0.35">
      <c r="A2569" s="52" t="s">
        <v>243</v>
      </c>
      <c r="B2569" s="52" t="s">
        <v>245</v>
      </c>
      <c r="C2569" s="52" t="s">
        <v>244</v>
      </c>
      <c r="D2569" s="52" t="s">
        <v>244</v>
      </c>
      <c r="E2569" s="52" t="s">
        <v>584</v>
      </c>
      <c r="F2569" s="52" t="s">
        <v>581</v>
      </c>
      <c r="G2569" s="55" t="s">
        <v>277</v>
      </c>
      <c r="H2569" s="55">
        <v>6.5236939999999999</v>
      </c>
      <c r="I2569" s="55">
        <v>3.1222369999999999E-2</v>
      </c>
      <c r="J2569" s="55">
        <v>21.684270000000001</v>
      </c>
      <c r="K2569" s="55">
        <v>2.0722999999999998E-2</v>
      </c>
      <c r="L2569" s="55">
        <v>1.0173369999999999</v>
      </c>
      <c r="M2569" s="55">
        <v>4.9741910000000003</v>
      </c>
      <c r="N2569" s="55">
        <v>4.2956880000000002</v>
      </c>
    </row>
    <row r="2570" spans="1:14" hidden="1" x14ac:dyDescent="0.35">
      <c r="A2570" s="52" t="s">
        <v>243</v>
      </c>
      <c r="B2570" s="52" t="s">
        <v>245</v>
      </c>
      <c r="C2570" s="52" t="s">
        <v>244</v>
      </c>
      <c r="D2570" s="52" t="s">
        <v>244</v>
      </c>
      <c r="E2570" s="52" t="s">
        <v>584</v>
      </c>
      <c r="F2570" s="52" t="s">
        <v>581</v>
      </c>
      <c r="G2570" s="55" t="s">
        <v>279</v>
      </c>
      <c r="H2570" s="55">
        <v>0.63940589999999997</v>
      </c>
      <c r="I2570" s="55">
        <v>1.337555</v>
      </c>
      <c r="J2570" s="55">
        <v>3.1008339999999999</v>
      </c>
      <c r="K2570" s="55">
        <v>3.575272</v>
      </c>
      <c r="L2570" s="55">
        <v>3.8614730000000002</v>
      </c>
      <c r="M2570" s="55">
        <v>4.0041960000000003</v>
      </c>
      <c r="N2570" s="55">
        <v>3.7076989999999999</v>
      </c>
    </row>
    <row r="2571" spans="1:14" hidden="1" x14ac:dyDescent="0.35">
      <c r="A2571" s="52" t="s">
        <v>243</v>
      </c>
      <c r="B2571" s="52" t="s">
        <v>245</v>
      </c>
      <c r="C2571" s="52" t="s">
        <v>244</v>
      </c>
      <c r="D2571" s="52" t="s">
        <v>244</v>
      </c>
      <c r="E2571" s="52" t="s">
        <v>584</v>
      </c>
      <c r="F2571" s="52" t="s">
        <v>26</v>
      </c>
      <c r="G2571" s="55" t="s">
        <v>275</v>
      </c>
      <c r="H2571" s="55">
        <v>-206.7895</v>
      </c>
      <c r="I2571" s="55">
        <v>721.71280000000002</v>
      </c>
      <c r="J2571" s="55">
        <v>619.85910000000001</v>
      </c>
      <c r="K2571" s="55">
        <v>784.95569999999998</v>
      </c>
      <c r="L2571" s="55">
        <v>655.22329999999999</v>
      </c>
      <c r="M2571" s="55">
        <v>413.09359999999998</v>
      </c>
      <c r="N2571" s="55">
        <v>250.9529</v>
      </c>
    </row>
    <row r="2572" spans="1:14" hidden="1" x14ac:dyDescent="0.35">
      <c r="A2572" s="52" t="s">
        <v>243</v>
      </c>
      <c r="B2572" s="52" t="s">
        <v>245</v>
      </c>
      <c r="C2572" s="52" t="s">
        <v>244</v>
      </c>
      <c r="D2572" s="52" t="s">
        <v>244</v>
      </c>
      <c r="E2572" s="52" t="s">
        <v>584</v>
      </c>
      <c r="F2572" s="52" t="s">
        <v>26</v>
      </c>
      <c r="G2572" s="55" t="s">
        <v>276</v>
      </c>
      <c r="H2572" s="55">
        <v>77.421880000000002</v>
      </c>
      <c r="I2572" s="55">
        <v>86.567689999999999</v>
      </c>
      <c r="J2572" s="55">
        <v>234.92160000000001</v>
      </c>
      <c r="K2572" s="55">
        <v>334.18669999999997</v>
      </c>
      <c r="L2572" s="55">
        <v>377.03359999999998</v>
      </c>
      <c r="M2572" s="55">
        <v>416.06169999999997</v>
      </c>
      <c r="N2572" s="55">
        <v>677.79549999999995</v>
      </c>
    </row>
    <row r="2573" spans="1:14" hidden="1" x14ac:dyDescent="0.35">
      <c r="A2573" s="52" t="s">
        <v>243</v>
      </c>
      <c r="B2573" s="52" t="s">
        <v>245</v>
      </c>
      <c r="C2573" s="52" t="s">
        <v>244</v>
      </c>
      <c r="D2573" s="52" t="s">
        <v>244</v>
      </c>
      <c r="E2573" s="52" t="s">
        <v>584</v>
      </c>
      <c r="F2573" s="52" t="s">
        <v>26</v>
      </c>
      <c r="G2573" s="55" t="s">
        <v>277</v>
      </c>
      <c r="H2573" s="55">
        <v>507.77530000000002</v>
      </c>
      <c r="I2573" s="55">
        <v>81.907749999999993</v>
      </c>
      <c r="J2573" s="55">
        <v>262.00850000000003</v>
      </c>
      <c r="K2573" s="55">
        <v>21.984100000000002</v>
      </c>
      <c r="L2573" s="55">
        <v>150.74209999999999</v>
      </c>
      <c r="M2573" s="55">
        <v>394.6379</v>
      </c>
      <c r="N2573" s="55">
        <v>325.51119999999997</v>
      </c>
    </row>
    <row r="2574" spans="1:14" hidden="1" x14ac:dyDescent="0.35">
      <c r="A2574" s="52" t="s">
        <v>243</v>
      </c>
      <c r="B2574" s="52" t="s">
        <v>245</v>
      </c>
      <c r="C2574" s="52" t="s">
        <v>244</v>
      </c>
      <c r="D2574" s="52" t="s">
        <v>244</v>
      </c>
      <c r="E2574" s="52" t="s">
        <v>584</v>
      </c>
      <c r="F2574" s="52" t="s">
        <v>26</v>
      </c>
      <c r="G2574" s="55" t="s">
        <v>278</v>
      </c>
      <c r="H2574" s="55">
        <v>0.27863090000000001</v>
      </c>
      <c r="I2574" s="55">
        <v>0.2454877</v>
      </c>
      <c r="J2574" s="55">
        <v>0.20167209999999999</v>
      </c>
      <c r="K2574" s="55">
        <v>4.4894590000000001</v>
      </c>
      <c r="L2574" s="55">
        <v>4.7433170000000002</v>
      </c>
      <c r="M2574" s="55">
        <v>2.549475E-2</v>
      </c>
      <c r="N2574" s="55">
        <v>2.549475E-2</v>
      </c>
    </row>
    <row r="2575" spans="1:14" hidden="1" x14ac:dyDescent="0.35">
      <c r="A2575" s="52" t="s">
        <v>243</v>
      </c>
      <c r="B2575" s="52" t="s">
        <v>245</v>
      </c>
      <c r="C2575" s="52" t="s">
        <v>244</v>
      </c>
      <c r="D2575" s="52" t="s">
        <v>244</v>
      </c>
      <c r="E2575" s="52" t="s">
        <v>584</v>
      </c>
      <c r="F2575" s="52" t="s">
        <v>26</v>
      </c>
      <c r="G2575" s="55" t="s">
        <v>279</v>
      </c>
      <c r="H2575" s="55">
        <v>72.665009999999995</v>
      </c>
      <c r="I2575" s="55">
        <v>104.1875</v>
      </c>
      <c r="J2575" s="55">
        <v>124.2114</v>
      </c>
      <c r="K2575" s="55">
        <v>140.31129999999999</v>
      </c>
      <c r="L2575" s="55">
        <v>147.0932</v>
      </c>
      <c r="M2575" s="55">
        <v>152.25630000000001</v>
      </c>
      <c r="N2575" s="55">
        <v>156.19159999999999</v>
      </c>
    </row>
    <row r="2576" spans="1:14" hidden="1" x14ac:dyDescent="0.35">
      <c r="A2576" s="52" t="s">
        <v>243</v>
      </c>
      <c r="B2576" s="52" t="s">
        <v>245</v>
      </c>
      <c r="C2576" s="52" t="s">
        <v>247</v>
      </c>
      <c r="D2576" s="52" t="s">
        <v>247</v>
      </c>
      <c r="E2576" s="52" t="s">
        <v>584</v>
      </c>
      <c r="F2576" s="52" t="s">
        <v>26</v>
      </c>
      <c r="G2576" s="55" t="s">
        <v>275</v>
      </c>
      <c r="H2576" s="55">
        <v>-6.4525439999999996</v>
      </c>
      <c r="I2576" s="55">
        <v>-7.3032019999999997</v>
      </c>
      <c r="J2576" s="55">
        <v>-7.6905340000000004</v>
      </c>
      <c r="K2576" s="55">
        <v>-7.2987209999999996</v>
      </c>
      <c r="L2576" s="55">
        <v>-6.7483870000000001</v>
      </c>
      <c r="M2576" s="55">
        <v>-6.091316</v>
      </c>
      <c r="N2576" s="55">
        <v>-5.5198739999999997</v>
      </c>
    </row>
    <row r="2577" spans="1:14" hidden="1" x14ac:dyDescent="0.35">
      <c r="A2577" s="52" t="s">
        <v>243</v>
      </c>
      <c r="B2577" s="52" t="s">
        <v>245</v>
      </c>
      <c r="C2577" s="52" t="s">
        <v>247</v>
      </c>
      <c r="D2577" s="52" t="s">
        <v>247</v>
      </c>
      <c r="E2577" s="52" t="s">
        <v>584</v>
      </c>
      <c r="F2577" s="52" t="s">
        <v>26</v>
      </c>
      <c r="G2577" s="55" t="s">
        <v>276</v>
      </c>
      <c r="H2577" s="55"/>
      <c r="I2577" s="55">
        <v>0</v>
      </c>
      <c r="J2577" s="55"/>
      <c r="K2577" s="55"/>
      <c r="L2577" s="55"/>
      <c r="M2577" s="55"/>
      <c r="N2577" s="55">
        <v>5.1873900000000005E-4</v>
      </c>
    </row>
    <row r="2578" spans="1:14" hidden="1" x14ac:dyDescent="0.35">
      <c r="A2578" s="52" t="s">
        <v>243</v>
      </c>
      <c r="B2578" s="52" t="s">
        <v>245</v>
      </c>
      <c r="C2578" s="52" t="s">
        <v>247</v>
      </c>
      <c r="D2578" s="52" t="s">
        <v>247</v>
      </c>
      <c r="E2578" s="52" t="s">
        <v>584</v>
      </c>
      <c r="F2578" s="52" t="s">
        <v>26</v>
      </c>
      <c r="G2578" s="55" t="s">
        <v>277</v>
      </c>
      <c r="H2578" s="55">
        <v>11.010160000000001</v>
      </c>
      <c r="I2578" s="55">
        <v>9.9794990000000006</v>
      </c>
      <c r="J2578" s="55">
        <v>8.8363949999999996</v>
      </c>
      <c r="K2578" s="55">
        <v>8.2834260000000004</v>
      </c>
      <c r="L2578" s="55">
        <v>7.691128</v>
      </c>
      <c r="M2578" s="55">
        <v>6.9683760000000001</v>
      </c>
      <c r="N2578" s="55">
        <v>6.3373879999999998</v>
      </c>
    </row>
    <row r="2579" spans="1:14" hidden="1" x14ac:dyDescent="0.35">
      <c r="A2579" s="52" t="s">
        <v>243</v>
      </c>
      <c r="B2579" s="52" t="s">
        <v>245</v>
      </c>
      <c r="C2579" s="52" t="s">
        <v>247</v>
      </c>
      <c r="D2579" s="52" t="s">
        <v>247</v>
      </c>
      <c r="E2579" s="52" t="s">
        <v>584</v>
      </c>
      <c r="F2579" s="52" t="s">
        <v>26</v>
      </c>
      <c r="G2579" s="55" t="s">
        <v>279</v>
      </c>
      <c r="H2579" s="55">
        <v>2.0099529999999999</v>
      </c>
      <c r="I2579" s="55">
        <v>1.776662</v>
      </c>
      <c r="J2579" s="55">
        <v>1.753209</v>
      </c>
      <c r="K2579" s="55">
        <v>1.810403</v>
      </c>
      <c r="L2579" s="55">
        <v>1.738283</v>
      </c>
      <c r="M2579" s="55">
        <v>1.637858</v>
      </c>
      <c r="N2579" s="55">
        <v>1.54955</v>
      </c>
    </row>
    <row r="2580" spans="1:14" hidden="1" x14ac:dyDescent="0.35">
      <c r="A2580" s="52" t="s">
        <v>243</v>
      </c>
      <c r="B2580" s="52" t="s">
        <v>245</v>
      </c>
      <c r="C2580" s="52" t="s">
        <v>318</v>
      </c>
      <c r="D2580" s="52" t="s">
        <v>318</v>
      </c>
      <c r="E2580" s="52" t="s">
        <v>584</v>
      </c>
      <c r="F2580" s="52" t="s">
        <v>581</v>
      </c>
      <c r="G2580" s="55" t="s">
        <v>275</v>
      </c>
      <c r="H2580" s="55">
        <v>-8.2328209999999995</v>
      </c>
      <c r="I2580" s="55">
        <v>0</v>
      </c>
      <c r="J2580" s="55"/>
      <c r="K2580" s="55"/>
      <c r="L2580" s="55"/>
      <c r="M2580" s="55"/>
      <c r="N2580" s="55"/>
    </row>
    <row r="2581" spans="1:14" hidden="1" x14ac:dyDescent="0.35">
      <c r="A2581" s="52" t="s">
        <v>243</v>
      </c>
      <c r="B2581" s="52" t="s">
        <v>245</v>
      </c>
      <c r="C2581" s="52" t="s">
        <v>318</v>
      </c>
      <c r="D2581" s="52" t="s">
        <v>318</v>
      </c>
      <c r="E2581" s="52" t="s">
        <v>584</v>
      </c>
      <c r="F2581" s="52" t="s">
        <v>581</v>
      </c>
      <c r="G2581" s="55" t="s">
        <v>278</v>
      </c>
      <c r="H2581" s="55">
        <v>8.2328209999999995</v>
      </c>
      <c r="I2581" s="55">
        <v>0</v>
      </c>
      <c r="J2581" s="55"/>
      <c r="K2581" s="55"/>
      <c r="L2581" s="55"/>
      <c r="M2581" s="55"/>
      <c r="N2581" s="55"/>
    </row>
    <row r="2582" spans="1:14" hidden="1" x14ac:dyDescent="0.35">
      <c r="A2582" s="52" t="s">
        <v>243</v>
      </c>
      <c r="B2582" s="52" t="s">
        <v>245</v>
      </c>
      <c r="C2582" s="52" t="s">
        <v>318</v>
      </c>
      <c r="D2582" s="52" t="s">
        <v>318</v>
      </c>
      <c r="E2582" s="52" t="s">
        <v>584</v>
      </c>
      <c r="F2582" s="52" t="s">
        <v>26</v>
      </c>
      <c r="G2582" s="55" t="s">
        <v>275</v>
      </c>
      <c r="H2582" s="55">
        <v>-5.4885479999999998</v>
      </c>
      <c r="I2582" s="55">
        <v>0</v>
      </c>
      <c r="J2582" s="55"/>
      <c r="K2582" s="55"/>
      <c r="L2582" s="55"/>
      <c r="M2582" s="55"/>
      <c r="N2582" s="55"/>
    </row>
    <row r="2583" spans="1:14" hidden="1" x14ac:dyDescent="0.35">
      <c r="A2583" s="52" t="s">
        <v>243</v>
      </c>
      <c r="B2583" s="52" t="s">
        <v>245</v>
      </c>
      <c r="C2583" s="52" t="s">
        <v>318</v>
      </c>
      <c r="D2583" s="52" t="s">
        <v>318</v>
      </c>
      <c r="E2583" s="52" t="s">
        <v>584</v>
      </c>
      <c r="F2583" s="52" t="s">
        <v>26</v>
      </c>
      <c r="G2583" s="55" t="s">
        <v>278</v>
      </c>
      <c r="H2583" s="55">
        <v>5.4885479999999998</v>
      </c>
      <c r="I2583" s="55">
        <v>0</v>
      </c>
      <c r="J2583" s="55"/>
      <c r="K2583" s="55"/>
      <c r="L2583" s="55"/>
      <c r="M2583" s="55"/>
      <c r="N2583" s="55"/>
    </row>
    <row r="2584" spans="1:14" hidden="1" x14ac:dyDescent="0.35">
      <c r="A2584" s="52" t="s">
        <v>243</v>
      </c>
      <c r="B2584" s="52" t="s">
        <v>43</v>
      </c>
      <c r="C2584" s="52" t="s">
        <v>229</v>
      </c>
      <c r="D2584" s="52" t="s">
        <v>229</v>
      </c>
      <c r="E2584" s="52" t="s">
        <v>584</v>
      </c>
      <c r="F2584" s="52" t="s">
        <v>581</v>
      </c>
      <c r="G2584" s="55" t="s">
        <v>275</v>
      </c>
      <c r="H2584" s="55">
        <v>113.84010000000001</v>
      </c>
      <c r="I2584" s="55">
        <v>-31.248660000000001</v>
      </c>
      <c r="J2584" s="55">
        <v>-22.973089999999999</v>
      </c>
      <c r="K2584" s="55">
        <v>28.228950000000001</v>
      </c>
      <c r="L2584" s="55">
        <v>23.77439</v>
      </c>
      <c r="M2584" s="55">
        <v>-0.4687345</v>
      </c>
      <c r="N2584" s="55">
        <v>-8.0006369999999993</v>
      </c>
    </row>
    <row r="2585" spans="1:14" hidden="1" x14ac:dyDescent="0.35">
      <c r="A2585" s="52" t="s">
        <v>243</v>
      </c>
      <c r="B2585" s="52" t="s">
        <v>43</v>
      </c>
      <c r="C2585" s="52" t="s">
        <v>229</v>
      </c>
      <c r="D2585" s="52" t="s">
        <v>229</v>
      </c>
      <c r="E2585" s="52" t="s">
        <v>584</v>
      </c>
      <c r="F2585" s="52" t="s">
        <v>581</v>
      </c>
      <c r="G2585" s="55" t="s">
        <v>276</v>
      </c>
      <c r="H2585" s="55">
        <v>15.72312</v>
      </c>
      <c r="I2585" s="55">
        <v>8.8268079999999998</v>
      </c>
      <c r="J2585" s="55">
        <v>10.895189999999999</v>
      </c>
      <c r="K2585" s="55">
        <v>10.25802</v>
      </c>
      <c r="L2585" s="55">
        <v>12.62135</v>
      </c>
      <c r="M2585" s="55">
        <v>9.76647</v>
      </c>
      <c r="N2585" s="55">
        <v>8.1569099999999999</v>
      </c>
    </row>
    <row r="2586" spans="1:14" hidden="1" x14ac:dyDescent="0.35">
      <c r="A2586" s="52" t="s">
        <v>243</v>
      </c>
      <c r="B2586" s="52" t="s">
        <v>43</v>
      </c>
      <c r="C2586" s="52" t="s">
        <v>229</v>
      </c>
      <c r="D2586" s="52" t="s">
        <v>229</v>
      </c>
      <c r="E2586" s="52" t="s">
        <v>584</v>
      </c>
      <c r="F2586" s="52" t="s">
        <v>581</v>
      </c>
      <c r="G2586" s="55" t="s">
        <v>277</v>
      </c>
      <c r="H2586" s="55">
        <v>26.158249999999999</v>
      </c>
      <c r="I2586" s="55">
        <v>62.153570000000002</v>
      </c>
      <c r="J2586" s="55">
        <v>57.021450000000002</v>
      </c>
      <c r="K2586" s="55">
        <v>8.3441369999999999</v>
      </c>
      <c r="L2586" s="55">
        <v>6.0868840000000004</v>
      </c>
      <c r="M2586" s="55">
        <v>9.9548850000000009</v>
      </c>
      <c r="N2586" s="55">
        <v>9.8139040000000008</v>
      </c>
    </row>
    <row r="2587" spans="1:14" hidden="1" x14ac:dyDescent="0.35">
      <c r="A2587" s="52" t="s">
        <v>243</v>
      </c>
      <c r="B2587" s="52" t="s">
        <v>43</v>
      </c>
      <c r="C2587" s="52" t="s">
        <v>229</v>
      </c>
      <c r="D2587" s="52" t="s">
        <v>229</v>
      </c>
      <c r="E2587" s="52" t="s">
        <v>584</v>
      </c>
      <c r="F2587" s="52" t="s">
        <v>581</v>
      </c>
      <c r="G2587" s="55" t="s">
        <v>278</v>
      </c>
      <c r="H2587" s="55">
        <v>0.275393</v>
      </c>
      <c r="I2587" s="55">
        <v>0.275393</v>
      </c>
      <c r="J2587" s="55">
        <v>0.13253300000000001</v>
      </c>
      <c r="K2587" s="55">
        <v>0.13253300000000001</v>
      </c>
      <c r="L2587" s="55">
        <v>0.13253300000000001</v>
      </c>
      <c r="M2587" s="55">
        <v>0.13253300000000001</v>
      </c>
      <c r="N2587" s="55">
        <v>0.13253300000000001</v>
      </c>
    </row>
    <row r="2588" spans="1:14" hidden="1" x14ac:dyDescent="0.35">
      <c r="A2588" s="52" t="s">
        <v>243</v>
      </c>
      <c r="B2588" s="52" t="s">
        <v>43</v>
      </c>
      <c r="C2588" s="52" t="s">
        <v>229</v>
      </c>
      <c r="D2588" s="52" t="s">
        <v>229</v>
      </c>
      <c r="E2588" s="52" t="s">
        <v>584</v>
      </c>
      <c r="F2588" s="52" t="s">
        <v>581</v>
      </c>
      <c r="G2588" s="55" t="s">
        <v>279</v>
      </c>
      <c r="H2588" s="55">
        <v>36.382489999999997</v>
      </c>
      <c r="I2588" s="55">
        <v>52.800849999999997</v>
      </c>
      <c r="J2588" s="55">
        <v>54.67136</v>
      </c>
      <c r="K2588" s="55">
        <v>59.345289999999999</v>
      </c>
      <c r="L2588" s="55">
        <v>58.847810000000003</v>
      </c>
      <c r="M2588" s="55">
        <v>53.402790000000003</v>
      </c>
      <c r="N2588" s="55">
        <v>54.038620000000002</v>
      </c>
    </row>
    <row r="2589" spans="1:14" hidden="1" x14ac:dyDescent="0.35">
      <c r="A2589" s="52" t="s">
        <v>243</v>
      </c>
      <c r="B2589" s="52" t="s">
        <v>43</v>
      </c>
      <c r="C2589" s="52" t="s">
        <v>229</v>
      </c>
      <c r="D2589" s="52" t="s">
        <v>229</v>
      </c>
      <c r="E2589" s="52" t="s">
        <v>584</v>
      </c>
      <c r="F2589" s="52" t="s">
        <v>26</v>
      </c>
      <c r="G2589" s="55" t="s">
        <v>275</v>
      </c>
      <c r="H2589" s="55">
        <v>-20.826239999999999</v>
      </c>
      <c r="I2589" s="55">
        <v>-86.987170000000006</v>
      </c>
      <c r="J2589" s="55">
        <v>-18.609190000000002</v>
      </c>
      <c r="K2589" s="55">
        <v>45.132849999999998</v>
      </c>
      <c r="L2589" s="55">
        <v>55.50224</v>
      </c>
      <c r="M2589" s="55">
        <v>48.813389999999998</v>
      </c>
      <c r="N2589" s="55">
        <v>39.789250000000003</v>
      </c>
    </row>
    <row r="2590" spans="1:14" hidden="1" x14ac:dyDescent="0.35">
      <c r="A2590" s="52" t="s">
        <v>243</v>
      </c>
      <c r="B2590" s="52" t="s">
        <v>43</v>
      </c>
      <c r="C2590" s="52" t="s">
        <v>229</v>
      </c>
      <c r="D2590" s="52" t="s">
        <v>229</v>
      </c>
      <c r="E2590" s="52" t="s">
        <v>584</v>
      </c>
      <c r="F2590" s="52" t="s">
        <v>26</v>
      </c>
      <c r="G2590" s="55" t="s">
        <v>276</v>
      </c>
      <c r="H2590" s="55"/>
      <c r="I2590" s="55">
        <v>0</v>
      </c>
      <c r="J2590" s="55">
        <v>0.43159189999999997</v>
      </c>
      <c r="K2590" s="55">
        <v>7.599704</v>
      </c>
      <c r="L2590" s="55">
        <v>25.938189999999999</v>
      </c>
      <c r="M2590" s="55">
        <v>25.080359999999999</v>
      </c>
      <c r="N2590" s="55">
        <v>18.935549999999999</v>
      </c>
    </row>
    <row r="2591" spans="1:14" hidden="1" x14ac:dyDescent="0.35">
      <c r="A2591" s="52" t="s">
        <v>243</v>
      </c>
      <c r="B2591" s="52" t="s">
        <v>43</v>
      </c>
      <c r="C2591" s="52" t="s">
        <v>229</v>
      </c>
      <c r="D2591" s="52" t="s">
        <v>229</v>
      </c>
      <c r="E2591" s="52" t="s">
        <v>584</v>
      </c>
      <c r="F2591" s="52" t="s">
        <v>26</v>
      </c>
      <c r="G2591" s="55" t="s">
        <v>277</v>
      </c>
      <c r="H2591" s="55">
        <v>19.875170000000001</v>
      </c>
      <c r="I2591" s="55">
        <v>86.125720000000001</v>
      </c>
      <c r="J2591" s="55">
        <v>26.500229999999998</v>
      </c>
      <c r="K2591" s="55">
        <v>4.4213899999999997</v>
      </c>
      <c r="L2591" s="55">
        <v>6.0650380000000004</v>
      </c>
      <c r="M2591" s="55">
        <v>6.6596169999999999</v>
      </c>
      <c r="N2591" s="55">
        <v>4.2466720000000002</v>
      </c>
    </row>
    <row r="2592" spans="1:14" hidden="1" x14ac:dyDescent="0.35">
      <c r="A2592" s="52" t="s">
        <v>243</v>
      </c>
      <c r="B2592" s="52" t="s">
        <v>43</v>
      </c>
      <c r="C2592" s="52" t="s">
        <v>229</v>
      </c>
      <c r="D2592" s="52" t="s">
        <v>229</v>
      </c>
      <c r="E2592" s="52" t="s">
        <v>584</v>
      </c>
      <c r="F2592" s="52" t="s">
        <v>26</v>
      </c>
      <c r="G2592" s="55" t="s">
        <v>278</v>
      </c>
      <c r="H2592" s="55">
        <v>8.9638720000000005E-2</v>
      </c>
      <c r="I2592" s="55">
        <v>0</v>
      </c>
      <c r="J2592" s="55"/>
      <c r="K2592" s="55"/>
      <c r="L2592" s="55"/>
      <c r="M2592" s="55"/>
      <c r="N2592" s="55"/>
    </row>
    <row r="2593" spans="1:14" hidden="1" x14ac:dyDescent="0.35">
      <c r="A2593" s="52" t="s">
        <v>243</v>
      </c>
      <c r="B2593" s="52" t="s">
        <v>43</v>
      </c>
      <c r="C2593" s="52" t="s">
        <v>229</v>
      </c>
      <c r="D2593" s="52" t="s">
        <v>229</v>
      </c>
      <c r="E2593" s="52" t="s">
        <v>584</v>
      </c>
      <c r="F2593" s="52" t="s">
        <v>26</v>
      </c>
      <c r="G2593" s="55" t="s">
        <v>279</v>
      </c>
      <c r="H2593" s="55">
        <v>0.86143749999999997</v>
      </c>
      <c r="I2593" s="55">
        <v>0.86143749999999997</v>
      </c>
      <c r="J2593" s="55">
        <v>9.7447459999999992</v>
      </c>
      <c r="K2593" s="55">
        <v>23.626729999999998</v>
      </c>
      <c r="L2593" s="55">
        <v>32.970840000000003</v>
      </c>
      <c r="M2593" s="55">
        <v>36.893810000000002</v>
      </c>
      <c r="N2593" s="55">
        <v>32.617600000000003</v>
      </c>
    </row>
    <row r="2594" spans="1:14" hidden="1" x14ac:dyDescent="0.35">
      <c r="A2594" s="52" t="s">
        <v>243</v>
      </c>
      <c r="B2594" s="52" t="s">
        <v>43</v>
      </c>
      <c r="C2594" s="52" t="s">
        <v>42</v>
      </c>
      <c r="D2594" s="52" t="s">
        <v>42</v>
      </c>
      <c r="E2594" s="52" t="s">
        <v>584</v>
      </c>
      <c r="F2594" s="52" t="s">
        <v>581</v>
      </c>
      <c r="G2594" s="55" t="s">
        <v>275</v>
      </c>
      <c r="H2594" s="55">
        <v>144.74940000000001</v>
      </c>
      <c r="I2594" s="55">
        <v>43.552579999999999</v>
      </c>
      <c r="J2594" s="55">
        <v>47.280529999999999</v>
      </c>
      <c r="K2594" s="55">
        <v>40.517879999999998</v>
      </c>
      <c r="L2594" s="55">
        <v>31.60446</v>
      </c>
      <c r="M2594" s="55">
        <v>29.033290000000001</v>
      </c>
      <c r="N2594" s="55">
        <v>29.557469999999999</v>
      </c>
    </row>
    <row r="2595" spans="1:14" hidden="1" x14ac:dyDescent="0.35">
      <c r="A2595" s="52" t="s">
        <v>243</v>
      </c>
      <c r="B2595" s="52" t="s">
        <v>43</v>
      </c>
      <c r="C2595" s="52" t="s">
        <v>42</v>
      </c>
      <c r="D2595" s="52" t="s">
        <v>42</v>
      </c>
      <c r="E2595" s="52" t="s">
        <v>584</v>
      </c>
      <c r="F2595" s="52" t="s">
        <v>581</v>
      </c>
      <c r="G2595" s="55" t="s">
        <v>276</v>
      </c>
      <c r="H2595" s="55">
        <v>62.534790000000001</v>
      </c>
      <c r="I2595" s="55">
        <v>23.82469</v>
      </c>
      <c r="J2595" s="55">
        <v>26.510580000000001</v>
      </c>
      <c r="K2595" s="55">
        <v>26.258880000000001</v>
      </c>
      <c r="L2595" s="55">
        <v>24.780740000000002</v>
      </c>
      <c r="M2595" s="55">
        <v>23.99165</v>
      </c>
      <c r="N2595" s="55">
        <v>26.470379999999999</v>
      </c>
    </row>
    <row r="2596" spans="1:14" hidden="1" x14ac:dyDescent="0.35">
      <c r="A2596" s="52" t="s">
        <v>243</v>
      </c>
      <c r="B2596" s="52" t="s">
        <v>43</v>
      </c>
      <c r="C2596" s="52" t="s">
        <v>42</v>
      </c>
      <c r="D2596" s="52" t="s">
        <v>42</v>
      </c>
      <c r="E2596" s="52" t="s">
        <v>584</v>
      </c>
      <c r="F2596" s="52" t="s">
        <v>581</v>
      </c>
      <c r="G2596" s="55" t="s">
        <v>277</v>
      </c>
      <c r="H2596" s="55">
        <v>0.51200000000000001</v>
      </c>
      <c r="I2596" s="55">
        <v>18.03041</v>
      </c>
      <c r="J2596" s="55">
        <v>17.29327</v>
      </c>
      <c r="K2596" s="55">
        <v>19.137799999999999</v>
      </c>
      <c r="L2596" s="55">
        <v>24.281700000000001</v>
      </c>
      <c r="M2596" s="55">
        <v>23.29203</v>
      </c>
      <c r="N2596" s="55">
        <v>26.352679999999999</v>
      </c>
    </row>
    <row r="2597" spans="1:14" hidden="1" x14ac:dyDescent="0.35">
      <c r="A2597" s="52" t="s">
        <v>243</v>
      </c>
      <c r="B2597" s="52" t="s">
        <v>43</v>
      </c>
      <c r="C2597" s="52" t="s">
        <v>42</v>
      </c>
      <c r="D2597" s="52" t="s">
        <v>42</v>
      </c>
      <c r="E2597" s="52" t="s">
        <v>584</v>
      </c>
      <c r="F2597" s="52" t="s">
        <v>581</v>
      </c>
      <c r="G2597" s="55" t="s">
        <v>278</v>
      </c>
      <c r="H2597" s="55">
        <v>5.1867320000000001E-2</v>
      </c>
      <c r="I2597" s="55">
        <v>4.3587319999999999E-2</v>
      </c>
      <c r="J2597" s="55">
        <v>0</v>
      </c>
      <c r="K2597" s="55">
        <v>0</v>
      </c>
      <c r="L2597" s="55">
        <v>0</v>
      </c>
      <c r="M2597" s="55">
        <v>0</v>
      </c>
      <c r="N2597" s="55">
        <v>0</v>
      </c>
    </row>
    <row r="2598" spans="1:14" hidden="1" x14ac:dyDescent="0.35">
      <c r="A2598" s="52" t="s">
        <v>243</v>
      </c>
      <c r="B2598" s="52" t="s">
        <v>43</v>
      </c>
      <c r="C2598" s="52" t="s">
        <v>42</v>
      </c>
      <c r="D2598" s="52" t="s">
        <v>42</v>
      </c>
      <c r="E2598" s="52" t="s">
        <v>584</v>
      </c>
      <c r="F2598" s="52" t="s">
        <v>581</v>
      </c>
      <c r="G2598" s="55" t="s">
        <v>279</v>
      </c>
      <c r="H2598" s="55">
        <v>30.009830000000001</v>
      </c>
      <c r="I2598" s="55">
        <v>24.299520000000001</v>
      </c>
      <c r="J2598" s="55">
        <v>25.96452</v>
      </c>
      <c r="K2598" s="55">
        <v>26.787269999999999</v>
      </c>
      <c r="L2598" s="55">
        <v>25.591200000000001</v>
      </c>
      <c r="M2598" s="55">
        <v>24.565570000000001</v>
      </c>
      <c r="N2598" s="55">
        <v>25.31709</v>
      </c>
    </row>
    <row r="2599" spans="1:14" hidden="1" x14ac:dyDescent="0.35">
      <c r="A2599" s="52" t="s">
        <v>243</v>
      </c>
      <c r="B2599" s="52" t="s">
        <v>43</v>
      </c>
      <c r="C2599" s="52" t="s">
        <v>42</v>
      </c>
      <c r="D2599" s="52" t="s">
        <v>42</v>
      </c>
      <c r="E2599" s="52" t="s">
        <v>584</v>
      </c>
      <c r="F2599" s="52" t="s">
        <v>26</v>
      </c>
      <c r="G2599" s="55" t="s">
        <v>275</v>
      </c>
      <c r="H2599" s="55">
        <v>-31.727519999999998</v>
      </c>
      <c r="I2599" s="55">
        <v>-23.798639999999999</v>
      </c>
      <c r="J2599" s="55">
        <v>-25.759609999999999</v>
      </c>
      <c r="K2599" s="55">
        <v>-27.22072</v>
      </c>
      <c r="L2599" s="55">
        <v>-47.221139999999998</v>
      </c>
      <c r="M2599" s="55">
        <v>-106.2953</v>
      </c>
      <c r="N2599" s="55">
        <v>-41.857689999999998</v>
      </c>
    </row>
    <row r="2600" spans="1:14" hidden="1" x14ac:dyDescent="0.35">
      <c r="A2600" s="52" t="s">
        <v>243</v>
      </c>
      <c r="B2600" s="52" t="s">
        <v>43</v>
      </c>
      <c r="C2600" s="52" t="s">
        <v>42</v>
      </c>
      <c r="D2600" s="52" t="s">
        <v>42</v>
      </c>
      <c r="E2600" s="52" t="s">
        <v>584</v>
      </c>
      <c r="F2600" s="52" t="s">
        <v>26</v>
      </c>
      <c r="G2600" s="55" t="s">
        <v>276</v>
      </c>
      <c r="H2600" s="55">
        <v>-17.042300000000001</v>
      </c>
      <c r="I2600" s="55">
        <v>-12.54208</v>
      </c>
      <c r="J2600" s="55">
        <v>-13.83469</v>
      </c>
      <c r="K2600" s="55">
        <v>-14.493169999999999</v>
      </c>
      <c r="L2600" s="55">
        <v>-13.64833</v>
      </c>
      <c r="M2600" s="55">
        <v>-12.95011</v>
      </c>
      <c r="N2600" s="55">
        <v>-12.65991</v>
      </c>
    </row>
    <row r="2601" spans="1:14" hidden="1" x14ac:dyDescent="0.35">
      <c r="A2601" s="52" t="s">
        <v>243</v>
      </c>
      <c r="B2601" s="52" t="s">
        <v>43</v>
      </c>
      <c r="C2601" s="52" t="s">
        <v>42</v>
      </c>
      <c r="D2601" s="52" t="s">
        <v>42</v>
      </c>
      <c r="E2601" s="52" t="s">
        <v>584</v>
      </c>
      <c r="F2601" s="52" t="s">
        <v>26</v>
      </c>
      <c r="G2601" s="55" t="s">
        <v>277</v>
      </c>
      <c r="H2601" s="55">
        <v>0</v>
      </c>
      <c r="I2601" s="55">
        <v>0.22595519999999999</v>
      </c>
      <c r="J2601" s="55">
        <v>6.7786449999999998E-2</v>
      </c>
      <c r="K2601" s="55">
        <v>0.30599999999999999</v>
      </c>
      <c r="L2601" s="55">
        <v>21.77581</v>
      </c>
      <c r="M2601" s="55">
        <v>82.160889999999995</v>
      </c>
      <c r="N2601" s="55">
        <v>30.050270000000001</v>
      </c>
    </row>
    <row r="2602" spans="1:14" hidden="1" x14ac:dyDescent="0.35">
      <c r="A2602" s="52" t="s">
        <v>243</v>
      </c>
      <c r="B2602" s="52" t="s">
        <v>43</v>
      </c>
      <c r="C2602" s="52" t="s">
        <v>42</v>
      </c>
      <c r="D2602" s="52" t="s">
        <v>42</v>
      </c>
      <c r="E2602" s="52" t="s">
        <v>584</v>
      </c>
      <c r="F2602" s="52" t="s">
        <v>26</v>
      </c>
      <c r="G2602" s="55" t="s">
        <v>278</v>
      </c>
      <c r="H2602" s="55">
        <v>7.7541799999999994E-2</v>
      </c>
      <c r="I2602" s="55">
        <v>8.5821800000000004E-2</v>
      </c>
      <c r="J2602" s="55">
        <v>2.2493289999999999E-2</v>
      </c>
      <c r="K2602" s="55">
        <v>2.2493289999999999E-2</v>
      </c>
      <c r="L2602" s="55">
        <v>2.2493289999999999E-2</v>
      </c>
      <c r="M2602" s="55">
        <v>8.2799999999999992E-3</v>
      </c>
      <c r="N2602" s="55">
        <v>8.2799999999999992E-3</v>
      </c>
    </row>
    <row r="2603" spans="1:14" hidden="1" x14ac:dyDescent="0.35">
      <c r="A2603" s="52" t="s">
        <v>243</v>
      </c>
      <c r="B2603" s="52" t="s">
        <v>43</v>
      </c>
      <c r="C2603" s="52" t="s">
        <v>42</v>
      </c>
      <c r="D2603" s="52" t="s">
        <v>42</v>
      </c>
      <c r="E2603" s="52" t="s">
        <v>584</v>
      </c>
      <c r="F2603" s="52" t="s">
        <v>26</v>
      </c>
      <c r="G2603" s="55" t="s">
        <v>279</v>
      </c>
      <c r="H2603" s="55">
        <v>64.727500000000006</v>
      </c>
      <c r="I2603" s="55">
        <v>50.673589999999997</v>
      </c>
      <c r="J2603" s="55">
        <v>55.263739999999999</v>
      </c>
      <c r="K2603" s="55">
        <v>56.561109999999999</v>
      </c>
      <c r="L2603" s="55">
        <v>53.382840000000002</v>
      </c>
      <c r="M2603" s="55">
        <v>50.63214</v>
      </c>
      <c r="N2603" s="55">
        <v>52.351370000000003</v>
      </c>
    </row>
    <row r="2604" spans="1:14" hidden="1" x14ac:dyDescent="0.35">
      <c r="A2604" s="52" t="s">
        <v>243</v>
      </c>
      <c r="B2604" s="52" t="s">
        <v>43</v>
      </c>
      <c r="C2604" s="52" t="s">
        <v>318</v>
      </c>
      <c r="D2604" s="52" t="s">
        <v>318</v>
      </c>
      <c r="E2604" s="52" t="s">
        <v>584</v>
      </c>
      <c r="F2604" s="52" t="s">
        <v>581</v>
      </c>
      <c r="G2604" s="55" t="s">
        <v>275</v>
      </c>
      <c r="H2604" s="55">
        <v>-9.2728870000000008</v>
      </c>
      <c r="I2604" s="55">
        <v>0</v>
      </c>
      <c r="J2604" s="55"/>
      <c r="K2604" s="55"/>
      <c r="L2604" s="55"/>
      <c r="M2604" s="55"/>
      <c r="N2604" s="55"/>
    </row>
    <row r="2605" spans="1:14" hidden="1" x14ac:dyDescent="0.35">
      <c r="A2605" s="52" t="s">
        <v>243</v>
      </c>
      <c r="B2605" s="52" t="s">
        <v>43</v>
      </c>
      <c r="C2605" s="52" t="s">
        <v>318</v>
      </c>
      <c r="D2605" s="52" t="s">
        <v>318</v>
      </c>
      <c r="E2605" s="52" t="s">
        <v>584</v>
      </c>
      <c r="F2605" s="52" t="s">
        <v>581</v>
      </c>
      <c r="G2605" s="55" t="s">
        <v>278</v>
      </c>
      <c r="H2605" s="55">
        <v>9.2728870000000008</v>
      </c>
      <c r="I2605" s="55">
        <v>0</v>
      </c>
      <c r="J2605" s="55"/>
      <c r="K2605" s="55"/>
      <c r="L2605" s="55"/>
      <c r="M2605" s="55"/>
      <c r="N2605" s="55"/>
    </row>
    <row r="2606" spans="1:14" hidden="1" x14ac:dyDescent="0.35">
      <c r="A2606" s="52" t="s">
        <v>243</v>
      </c>
      <c r="B2606" s="52" t="s">
        <v>43</v>
      </c>
      <c r="C2606" s="52" t="s">
        <v>318</v>
      </c>
      <c r="D2606" s="52" t="s">
        <v>318</v>
      </c>
      <c r="E2606" s="52" t="s">
        <v>584</v>
      </c>
      <c r="F2606" s="52" t="s">
        <v>26</v>
      </c>
      <c r="G2606" s="55" t="s">
        <v>275</v>
      </c>
      <c r="H2606" s="55">
        <v>-6.1819249999999997</v>
      </c>
      <c r="I2606" s="55">
        <v>0</v>
      </c>
      <c r="J2606" s="55"/>
      <c r="K2606" s="55"/>
      <c r="L2606" s="55"/>
      <c r="M2606" s="55"/>
      <c r="N2606" s="55"/>
    </row>
    <row r="2607" spans="1:14" hidden="1" x14ac:dyDescent="0.35">
      <c r="A2607" s="52" t="s">
        <v>243</v>
      </c>
      <c r="B2607" s="52" t="s">
        <v>43</v>
      </c>
      <c r="C2607" s="52" t="s">
        <v>318</v>
      </c>
      <c r="D2607" s="52" t="s">
        <v>318</v>
      </c>
      <c r="E2607" s="52" t="s">
        <v>584</v>
      </c>
      <c r="F2607" s="52" t="s">
        <v>26</v>
      </c>
      <c r="G2607" s="55" t="s">
        <v>278</v>
      </c>
      <c r="H2607" s="55">
        <v>6.1819249999999997</v>
      </c>
      <c r="I2607" s="55">
        <v>0</v>
      </c>
      <c r="J2607" s="55"/>
      <c r="K2607" s="55"/>
      <c r="L2607" s="55"/>
      <c r="M2607" s="55"/>
      <c r="N2607" s="55"/>
    </row>
    <row r="2608" spans="1:14" hidden="1" x14ac:dyDescent="0.35">
      <c r="A2608" s="52" t="s">
        <v>243</v>
      </c>
      <c r="B2608" s="52" t="s">
        <v>388</v>
      </c>
      <c r="C2608" s="52" t="s">
        <v>229</v>
      </c>
      <c r="D2608" s="52" t="s">
        <v>229</v>
      </c>
      <c r="E2608" s="52" t="s">
        <v>584</v>
      </c>
      <c r="F2608" s="52" t="s">
        <v>581</v>
      </c>
      <c r="G2608" s="55" t="s">
        <v>275</v>
      </c>
      <c r="H2608" s="55">
        <v>-6.2825989999999998E-2</v>
      </c>
      <c r="I2608" s="55">
        <v>-6.2826000000000007E-2</v>
      </c>
      <c r="J2608" s="55">
        <v>6.1491990000000002E-3</v>
      </c>
      <c r="K2608" s="55">
        <v>-2.1828989999999999E-3</v>
      </c>
      <c r="L2608" s="55">
        <v>-1.0515999999999999E-2</v>
      </c>
      <c r="M2608" s="55">
        <v>-1.8847800000000001E-2</v>
      </c>
      <c r="N2608" s="55">
        <v>-0.12112199999999999</v>
      </c>
    </row>
    <row r="2609" spans="1:14" hidden="1" x14ac:dyDescent="0.35">
      <c r="A2609" s="52" t="s">
        <v>243</v>
      </c>
      <c r="B2609" s="52" t="s">
        <v>388</v>
      </c>
      <c r="C2609" s="52" t="s">
        <v>229</v>
      </c>
      <c r="D2609" s="52" t="s">
        <v>229</v>
      </c>
      <c r="E2609" s="52" t="s">
        <v>584</v>
      </c>
      <c r="F2609" s="52" t="s">
        <v>581</v>
      </c>
      <c r="G2609" s="55" t="s">
        <v>276</v>
      </c>
      <c r="H2609" s="55">
        <v>-5.9517E-2</v>
      </c>
      <c r="I2609" s="55">
        <v>-5.9517E-2</v>
      </c>
      <c r="J2609" s="55">
        <v>-1.7855099999999999E-2</v>
      </c>
      <c r="K2609" s="55">
        <v>-1.7854800000000001E-2</v>
      </c>
      <c r="L2609" s="55">
        <v>-1.7855099999999999E-2</v>
      </c>
      <c r="M2609" s="55">
        <v>-1.7855099999999999E-2</v>
      </c>
      <c r="N2609" s="55">
        <v>-2.8878299999999999E-2</v>
      </c>
    </row>
    <row r="2610" spans="1:14" hidden="1" x14ac:dyDescent="0.35">
      <c r="A2610" s="52" t="s">
        <v>243</v>
      </c>
      <c r="B2610" s="52" t="s">
        <v>388</v>
      </c>
      <c r="C2610" s="52" t="s">
        <v>229</v>
      </c>
      <c r="D2610" s="52" t="s">
        <v>229</v>
      </c>
      <c r="E2610" s="52" t="s">
        <v>584</v>
      </c>
      <c r="F2610" s="52" t="s">
        <v>581</v>
      </c>
      <c r="G2610" s="55" t="s">
        <v>277</v>
      </c>
      <c r="H2610" s="55"/>
      <c r="I2610" s="55"/>
      <c r="J2610" s="55"/>
      <c r="K2610" s="55">
        <v>0</v>
      </c>
      <c r="L2610" s="55">
        <v>0</v>
      </c>
      <c r="M2610" s="55">
        <v>0</v>
      </c>
      <c r="N2610" s="55">
        <v>0.15</v>
      </c>
    </row>
    <row r="2611" spans="1:14" hidden="1" x14ac:dyDescent="0.35">
      <c r="A2611" s="52" t="s">
        <v>243</v>
      </c>
      <c r="B2611" s="52" t="s">
        <v>388</v>
      </c>
      <c r="C2611" s="52" t="s">
        <v>229</v>
      </c>
      <c r="D2611" s="52" t="s">
        <v>229</v>
      </c>
      <c r="E2611" s="52" t="s">
        <v>584</v>
      </c>
      <c r="F2611" s="52" t="s">
        <v>581</v>
      </c>
      <c r="G2611" s="55" t="s">
        <v>278</v>
      </c>
      <c r="H2611" s="55">
        <v>0.12234299999999999</v>
      </c>
      <c r="I2611" s="55">
        <v>0.12234299999999999</v>
      </c>
      <c r="J2611" s="55">
        <v>3.6702899999999997E-2</v>
      </c>
      <c r="K2611" s="55">
        <v>3.6702899999999997E-2</v>
      </c>
      <c r="L2611" s="55">
        <v>3.6702899999999997E-2</v>
      </c>
      <c r="M2611" s="55">
        <v>3.6702899999999997E-2</v>
      </c>
      <c r="N2611" s="55">
        <v>0</v>
      </c>
    </row>
    <row r="2612" spans="1:14" hidden="1" x14ac:dyDescent="0.35">
      <c r="A2612" s="52" t="s">
        <v>243</v>
      </c>
      <c r="B2612" s="52" t="s">
        <v>388</v>
      </c>
      <c r="C2612" s="52" t="s">
        <v>229</v>
      </c>
      <c r="D2612" s="52" t="s">
        <v>229</v>
      </c>
      <c r="E2612" s="52" t="s">
        <v>584</v>
      </c>
      <c r="F2612" s="52" t="s">
        <v>581</v>
      </c>
      <c r="G2612" s="55" t="s">
        <v>279</v>
      </c>
      <c r="H2612" s="55"/>
      <c r="I2612" s="55"/>
      <c r="J2612" s="55"/>
      <c r="K2612" s="55">
        <v>0</v>
      </c>
      <c r="L2612" s="55">
        <v>0</v>
      </c>
      <c r="M2612" s="55">
        <v>0</v>
      </c>
      <c r="N2612" s="55">
        <v>0</v>
      </c>
    </row>
    <row r="2613" spans="1:14" hidden="1" x14ac:dyDescent="0.35">
      <c r="A2613" s="52" t="s">
        <v>243</v>
      </c>
      <c r="B2613" s="52" t="s">
        <v>388</v>
      </c>
      <c r="C2613" s="52" t="s">
        <v>229</v>
      </c>
      <c r="D2613" s="52" t="s">
        <v>229</v>
      </c>
      <c r="E2613" s="52" t="s">
        <v>584</v>
      </c>
      <c r="F2613" s="52" t="s">
        <v>26</v>
      </c>
      <c r="G2613" s="55" t="s">
        <v>275</v>
      </c>
      <c r="H2613" s="55">
        <v>-8.3768990000000002E-2</v>
      </c>
      <c r="I2613" s="55">
        <v>-8.3768980000000007E-2</v>
      </c>
      <c r="J2613" s="55">
        <v>4.7612990000000001E-2</v>
      </c>
      <c r="K2613" s="55">
        <v>3.1741999999999999E-2</v>
      </c>
      <c r="L2613" s="55">
        <v>1.5871E-2</v>
      </c>
      <c r="M2613" s="55">
        <v>0</v>
      </c>
      <c r="N2613" s="55">
        <v>0</v>
      </c>
    </row>
    <row r="2614" spans="1:14" hidden="1" x14ac:dyDescent="0.35">
      <c r="A2614" s="52" t="s">
        <v>243</v>
      </c>
      <c r="B2614" s="52" t="s">
        <v>388</v>
      </c>
      <c r="C2614" s="52" t="s">
        <v>229</v>
      </c>
      <c r="D2614" s="52" t="s">
        <v>229</v>
      </c>
      <c r="E2614" s="52" t="s">
        <v>584</v>
      </c>
      <c r="F2614" s="52" t="s">
        <v>26</v>
      </c>
      <c r="G2614" s="55" t="s">
        <v>276</v>
      </c>
      <c r="H2614" s="55">
        <v>-7.9354999999999995E-2</v>
      </c>
      <c r="I2614" s="55">
        <v>-7.9355999999999996E-2</v>
      </c>
      <c r="J2614" s="55">
        <v>0</v>
      </c>
      <c r="K2614" s="55">
        <v>0</v>
      </c>
      <c r="L2614" s="55">
        <v>0</v>
      </c>
      <c r="M2614" s="55">
        <v>0</v>
      </c>
      <c r="N2614" s="55">
        <v>0</v>
      </c>
    </row>
    <row r="2615" spans="1:14" hidden="1" x14ac:dyDescent="0.35">
      <c r="A2615" s="52" t="s">
        <v>243</v>
      </c>
      <c r="B2615" s="52" t="s">
        <v>388</v>
      </c>
      <c r="C2615" s="52" t="s">
        <v>229</v>
      </c>
      <c r="D2615" s="52" t="s">
        <v>229</v>
      </c>
      <c r="E2615" s="52" t="s">
        <v>584</v>
      </c>
      <c r="F2615" s="52" t="s">
        <v>26</v>
      </c>
      <c r="G2615" s="55" t="s">
        <v>277</v>
      </c>
      <c r="H2615" s="55"/>
      <c r="I2615" s="55">
        <v>0</v>
      </c>
      <c r="J2615" s="55">
        <v>0</v>
      </c>
      <c r="K2615" s="55">
        <v>0</v>
      </c>
      <c r="L2615" s="55">
        <v>0</v>
      </c>
      <c r="M2615" s="55">
        <v>0</v>
      </c>
      <c r="N2615" s="55">
        <v>0</v>
      </c>
    </row>
    <row r="2616" spans="1:14" hidden="1" x14ac:dyDescent="0.35">
      <c r="A2616" s="52" t="s">
        <v>243</v>
      </c>
      <c r="B2616" s="52" t="s">
        <v>388</v>
      </c>
      <c r="C2616" s="52" t="s">
        <v>229</v>
      </c>
      <c r="D2616" s="52" t="s">
        <v>229</v>
      </c>
      <c r="E2616" s="52" t="s">
        <v>584</v>
      </c>
      <c r="F2616" s="52" t="s">
        <v>26</v>
      </c>
      <c r="G2616" s="55" t="s">
        <v>278</v>
      </c>
      <c r="H2616" s="55">
        <v>0.16312399999999999</v>
      </c>
      <c r="I2616" s="55">
        <v>0.16312399999999999</v>
      </c>
      <c r="J2616" s="55">
        <v>0</v>
      </c>
      <c r="K2616" s="55">
        <v>0</v>
      </c>
      <c r="L2616" s="55">
        <v>0</v>
      </c>
      <c r="M2616" s="55">
        <v>0</v>
      </c>
      <c r="N2616" s="55"/>
    </row>
    <row r="2617" spans="1:14" hidden="1" x14ac:dyDescent="0.35">
      <c r="A2617" s="52" t="s">
        <v>243</v>
      </c>
      <c r="B2617" s="52" t="s">
        <v>388</v>
      </c>
      <c r="C2617" s="52" t="s">
        <v>229</v>
      </c>
      <c r="D2617" s="52" t="s">
        <v>229</v>
      </c>
      <c r="E2617" s="52" t="s">
        <v>584</v>
      </c>
      <c r="F2617" s="52" t="s">
        <v>26</v>
      </c>
      <c r="G2617" s="55" t="s">
        <v>279</v>
      </c>
      <c r="H2617" s="55"/>
      <c r="I2617" s="55"/>
      <c r="J2617" s="55"/>
      <c r="K2617" s="55">
        <v>0</v>
      </c>
      <c r="L2617" s="55">
        <v>0</v>
      </c>
      <c r="M2617" s="55">
        <v>0</v>
      </c>
      <c r="N2617" s="55">
        <v>0</v>
      </c>
    </row>
    <row r="2618" spans="1:14" hidden="1" x14ac:dyDescent="0.35">
      <c r="A2618" s="52" t="s">
        <v>243</v>
      </c>
      <c r="B2618" s="52" t="s">
        <v>388</v>
      </c>
      <c r="C2618" s="52" t="s">
        <v>318</v>
      </c>
      <c r="D2618" s="52" t="s">
        <v>318</v>
      </c>
      <c r="E2618" s="52" t="s">
        <v>584</v>
      </c>
      <c r="F2618" s="52" t="s">
        <v>581</v>
      </c>
      <c r="G2618" s="55" t="s">
        <v>275</v>
      </c>
      <c r="H2618" s="55">
        <v>2.115332</v>
      </c>
      <c r="I2618" s="55">
        <v>0</v>
      </c>
      <c r="J2618" s="55"/>
      <c r="K2618" s="55"/>
      <c r="L2618" s="55"/>
      <c r="M2618" s="55"/>
      <c r="N2618" s="55"/>
    </row>
    <row r="2619" spans="1:14" hidden="1" x14ac:dyDescent="0.35">
      <c r="A2619" s="52" t="s">
        <v>243</v>
      </c>
      <c r="B2619" s="52" t="s">
        <v>388</v>
      </c>
      <c r="C2619" s="52" t="s">
        <v>318</v>
      </c>
      <c r="D2619" s="52" t="s">
        <v>318</v>
      </c>
      <c r="E2619" s="52" t="s">
        <v>584</v>
      </c>
      <c r="F2619" s="52" t="s">
        <v>581</v>
      </c>
      <c r="G2619" s="55" t="s">
        <v>276</v>
      </c>
      <c r="H2619" s="55">
        <v>-3.4759159999999998</v>
      </c>
      <c r="I2619" s="55">
        <v>0</v>
      </c>
      <c r="J2619" s="55"/>
      <c r="K2619" s="55"/>
      <c r="L2619" s="55"/>
      <c r="M2619" s="55"/>
      <c r="N2619" s="55"/>
    </row>
    <row r="2620" spans="1:14" hidden="1" x14ac:dyDescent="0.35">
      <c r="A2620" s="52" t="s">
        <v>243</v>
      </c>
      <c r="B2620" s="52" t="s">
        <v>388</v>
      </c>
      <c r="C2620" s="52" t="s">
        <v>318</v>
      </c>
      <c r="D2620" s="52" t="s">
        <v>318</v>
      </c>
      <c r="E2620" s="52" t="s">
        <v>584</v>
      </c>
      <c r="F2620" s="52" t="s">
        <v>581</v>
      </c>
      <c r="G2620" s="55" t="s">
        <v>278</v>
      </c>
      <c r="H2620" s="55">
        <v>1.3605849999999999</v>
      </c>
      <c r="I2620" s="55">
        <v>0</v>
      </c>
      <c r="J2620" s="55"/>
      <c r="K2620" s="55"/>
      <c r="L2620" s="55"/>
      <c r="M2620" s="55"/>
      <c r="N2620" s="55"/>
    </row>
    <row r="2621" spans="1:14" hidden="1" x14ac:dyDescent="0.35">
      <c r="A2621" s="52" t="s">
        <v>243</v>
      </c>
      <c r="B2621" s="52" t="s">
        <v>388</v>
      </c>
      <c r="C2621" s="52" t="s">
        <v>318</v>
      </c>
      <c r="D2621" s="52" t="s">
        <v>318</v>
      </c>
      <c r="E2621" s="52" t="s">
        <v>584</v>
      </c>
      <c r="F2621" s="52" t="s">
        <v>26</v>
      </c>
      <c r="G2621" s="55" t="s">
        <v>275</v>
      </c>
      <c r="H2621" s="55">
        <v>1.4102220000000001</v>
      </c>
      <c r="I2621" s="55">
        <v>0</v>
      </c>
      <c r="J2621" s="55"/>
      <c r="K2621" s="55"/>
      <c r="L2621" s="55"/>
      <c r="M2621" s="55"/>
      <c r="N2621" s="55"/>
    </row>
    <row r="2622" spans="1:14" hidden="1" x14ac:dyDescent="0.35">
      <c r="A2622" s="52" t="s">
        <v>243</v>
      </c>
      <c r="B2622" s="52" t="s">
        <v>388</v>
      </c>
      <c r="C2622" s="52" t="s">
        <v>318</v>
      </c>
      <c r="D2622" s="52" t="s">
        <v>318</v>
      </c>
      <c r="E2622" s="52" t="s">
        <v>584</v>
      </c>
      <c r="F2622" s="52" t="s">
        <v>26</v>
      </c>
      <c r="G2622" s="55" t="s">
        <v>276</v>
      </c>
      <c r="H2622" s="55">
        <v>-2.3172779999999999</v>
      </c>
      <c r="I2622" s="55">
        <v>0</v>
      </c>
      <c r="J2622" s="55"/>
      <c r="K2622" s="55"/>
      <c r="L2622" s="55"/>
      <c r="M2622" s="55"/>
      <c r="N2622" s="55"/>
    </row>
    <row r="2623" spans="1:14" hidden="1" x14ac:dyDescent="0.35">
      <c r="A2623" s="52" t="s">
        <v>243</v>
      </c>
      <c r="B2623" s="52" t="s">
        <v>388</v>
      </c>
      <c r="C2623" s="52" t="s">
        <v>318</v>
      </c>
      <c r="D2623" s="52" t="s">
        <v>318</v>
      </c>
      <c r="E2623" s="52" t="s">
        <v>584</v>
      </c>
      <c r="F2623" s="52" t="s">
        <v>26</v>
      </c>
      <c r="G2623" s="55" t="s">
        <v>278</v>
      </c>
      <c r="H2623" s="55">
        <v>0.907057</v>
      </c>
      <c r="I2623" s="55">
        <v>0</v>
      </c>
      <c r="J2623" s="55"/>
      <c r="K2623" s="55"/>
      <c r="L2623" s="55"/>
      <c r="M2623" s="55"/>
      <c r="N2623" s="55"/>
    </row>
    <row r="2624" spans="1:14" hidden="1" x14ac:dyDescent="0.35">
      <c r="A2624" s="52" t="s">
        <v>243</v>
      </c>
      <c r="B2624" s="52" t="s">
        <v>387</v>
      </c>
      <c r="C2624" s="52" t="s">
        <v>318</v>
      </c>
      <c r="D2624" s="52" t="s">
        <v>318</v>
      </c>
      <c r="E2624" s="52" t="s">
        <v>584</v>
      </c>
      <c r="F2624" s="52" t="s">
        <v>581</v>
      </c>
      <c r="G2624" s="55" t="s">
        <v>275</v>
      </c>
      <c r="H2624" s="55">
        <v>0</v>
      </c>
      <c r="I2624" s="55"/>
      <c r="J2624" s="55"/>
      <c r="K2624" s="55"/>
      <c r="L2624" s="55"/>
      <c r="M2624" s="55"/>
      <c r="N2624" s="55"/>
    </row>
    <row r="2625" spans="1:14" hidden="1" x14ac:dyDescent="0.35">
      <c r="A2625" s="52" t="s">
        <v>243</v>
      </c>
      <c r="B2625" s="52" t="s">
        <v>387</v>
      </c>
      <c r="C2625" s="52" t="s">
        <v>318</v>
      </c>
      <c r="D2625" s="52" t="s">
        <v>318</v>
      </c>
      <c r="E2625" s="52" t="s">
        <v>584</v>
      </c>
      <c r="F2625" s="52" t="s">
        <v>581</v>
      </c>
      <c r="G2625" s="55" t="s">
        <v>278</v>
      </c>
      <c r="H2625" s="55">
        <v>0</v>
      </c>
      <c r="I2625" s="55"/>
      <c r="J2625" s="55"/>
      <c r="K2625" s="55"/>
      <c r="L2625" s="55"/>
      <c r="M2625" s="55"/>
      <c r="N2625" s="55"/>
    </row>
    <row r="2626" spans="1:14" hidden="1" x14ac:dyDescent="0.35">
      <c r="A2626" s="52" t="s">
        <v>243</v>
      </c>
      <c r="B2626" s="52" t="s">
        <v>387</v>
      </c>
      <c r="C2626" s="52" t="s">
        <v>318</v>
      </c>
      <c r="D2626" s="52" t="s">
        <v>318</v>
      </c>
      <c r="E2626" s="52" t="s">
        <v>584</v>
      </c>
      <c r="F2626" s="52" t="s">
        <v>26</v>
      </c>
      <c r="G2626" s="55" t="s">
        <v>275</v>
      </c>
      <c r="H2626" s="55">
        <v>0</v>
      </c>
      <c r="I2626" s="55"/>
      <c r="J2626" s="55"/>
      <c r="K2626" s="55"/>
      <c r="L2626" s="55"/>
      <c r="M2626" s="55"/>
      <c r="N2626" s="55"/>
    </row>
    <row r="2627" spans="1:14" hidden="1" x14ac:dyDescent="0.35">
      <c r="A2627" s="52" t="s">
        <v>243</v>
      </c>
      <c r="B2627" s="52" t="s">
        <v>387</v>
      </c>
      <c r="C2627" s="52" t="s">
        <v>318</v>
      </c>
      <c r="D2627" s="52" t="s">
        <v>318</v>
      </c>
      <c r="E2627" s="52" t="s">
        <v>584</v>
      </c>
      <c r="F2627" s="52" t="s">
        <v>26</v>
      </c>
      <c r="G2627" s="55" t="s">
        <v>278</v>
      </c>
      <c r="H2627" s="55">
        <v>0</v>
      </c>
      <c r="I2627" s="55"/>
      <c r="J2627" s="55"/>
      <c r="K2627" s="55"/>
      <c r="L2627" s="55"/>
      <c r="M2627" s="55"/>
      <c r="N2627" s="55"/>
    </row>
    <row r="2628" spans="1:14" hidden="1" x14ac:dyDescent="0.35">
      <c r="A2628" s="52" t="s">
        <v>243</v>
      </c>
      <c r="B2628" s="52" t="s">
        <v>265</v>
      </c>
      <c r="C2628" s="52" t="s">
        <v>318</v>
      </c>
      <c r="D2628" s="52" t="s">
        <v>318</v>
      </c>
      <c r="E2628" s="52" t="s">
        <v>584</v>
      </c>
      <c r="F2628" s="52" t="s">
        <v>581</v>
      </c>
      <c r="G2628" s="55" t="s">
        <v>275</v>
      </c>
      <c r="H2628" s="55">
        <v>-8.2108E-2</v>
      </c>
      <c r="I2628" s="55">
        <v>0</v>
      </c>
      <c r="J2628" s="55"/>
      <c r="K2628" s="55"/>
      <c r="L2628" s="55"/>
      <c r="M2628" s="55"/>
      <c r="N2628" s="55"/>
    </row>
    <row r="2629" spans="1:14" hidden="1" x14ac:dyDescent="0.35">
      <c r="A2629" s="52" t="s">
        <v>243</v>
      </c>
      <c r="B2629" s="52" t="s">
        <v>265</v>
      </c>
      <c r="C2629" s="52" t="s">
        <v>318</v>
      </c>
      <c r="D2629" s="52" t="s">
        <v>318</v>
      </c>
      <c r="E2629" s="52" t="s">
        <v>584</v>
      </c>
      <c r="F2629" s="52" t="s">
        <v>581</v>
      </c>
      <c r="G2629" s="55" t="s">
        <v>278</v>
      </c>
      <c r="H2629" s="55">
        <v>8.2108E-2</v>
      </c>
      <c r="I2629" s="55">
        <v>0</v>
      </c>
      <c r="J2629" s="55"/>
      <c r="K2629" s="55"/>
      <c r="L2629" s="55"/>
      <c r="M2629" s="55"/>
      <c r="N2629" s="55"/>
    </row>
    <row r="2630" spans="1:14" hidden="1" x14ac:dyDescent="0.35">
      <c r="A2630" s="52" t="s">
        <v>243</v>
      </c>
      <c r="B2630" s="52" t="s">
        <v>265</v>
      </c>
      <c r="C2630" s="52" t="s">
        <v>318</v>
      </c>
      <c r="D2630" s="52" t="s">
        <v>318</v>
      </c>
      <c r="E2630" s="52" t="s">
        <v>584</v>
      </c>
      <c r="F2630" s="52" t="s">
        <v>26</v>
      </c>
      <c r="G2630" s="55" t="s">
        <v>275</v>
      </c>
      <c r="H2630" s="55">
        <v>-5.4739999999999997E-2</v>
      </c>
      <c r="I2630" s="55">
        <v>0</v>
      </c>
      <c r="J2630" s="55"/>
      <c r="K2630" s="55"/>
      <c r="L2630" s="55"/>
      <c r="M2630" s="55"/>
      <c r="N2630" s="55"/>
    </row>
    <row r="2631" spans="1:14" hidden="1" x14ac:dyDescent="0.35">
      <c r="A2631" s="52" t="s">
        <v>243</v>
      </c>
      <c r="B2631" s="52" t="s">
        <v>265</v>
      </c>
      <c r="C2631" s="52" t="s">
        <v>318</v>
      </c>
      <c r="D2631" s="52" t="s">
        <v>318</v>
      </c>
      <c r="E2631" s="52" t="s">
        <v>584</v>
      </c>
      <c r="F2631" s="52" t="s">
        <v>26</v>
      </c>
      <c r="G2631" s="55" t="s">
        <v>278</v>
      </c>
      <c r="H2631" s="55">
        <v>5.4739999999999997E-2</v>
      </c>
      <c r="I2631" s="55">
        <v>0</v>
      </c>
      <c r="J2631" s="55"/>
      <c r="K2631" s="55"/>
      <c r="L2631" s="55"/>
      <c r="M2631" s="55"/>
      <c r="N2631" s="55"/>
    </row>
    <row r="2632" spans="1:14" hidden="1" x14ac:dyDescent="0.35">
      <c r="A2632" s="52" t="s">
        <v>243</v>
      </c>
      <c r="B2632" s="52" t="s">
        <v>265</v>
      </c>
      <c r="C2632" s="52" t="s">
        <v>44</v>
      </c>
      <c r="D2632" s="52" t="s">
        <v>44</v>
      </c>
      <c r="E2632" s="52" t="s">
        <v>584</v>
      </c>
      <c r="F2632" s="52" t="s">
        <v>581</v>
      </c>
      <c r="G2632" s="55" t="s">
        <v>275</v>
      </c>
      <c r="H2632" s="55">
        <v>-1.1197800000000001E-2</v>
      </c>
      <c r="I2632" s="55">
        <v>-1.1197800000000001E-2</v>
      </c>
      <c r="J2632" s="55">
        <v>0</v>
      </c>
      <c r="K2632" s="55">
        <v>0</v>
      </c>
      <c r="L2632" s="55">
        <v>0</v>
      </c>
      <c r="M2632" s="55">
        <v>0</v>
      </c>
      <c r="N2632" s="55">
        <v>0</v>
      </c>
    </row>
    <row r="2633" spans="1:14" hidden="1" x14ac:dyDescent="0.35">
      <c r="A2633" s="52" t="s">
        <v>243</v>
      </c>
      <c r="B2633" s="52" t="s">
        <v>265</v>
      </c>
      <c r="C2633" s="52" t="s">
        <v>44</v>
      </c>
      <c r="D2633" s="52" t="s">
        <v>44</v>
      </c>
      <c r="E2633" s="52" t="s">
        <v>584</v>
      </c>
      <c r="F2633" s="52" t="s">
        <v>581</v>
      </c>
      <c r="G2633" s="55" t="s">
        <v>276</v>
      </c>
      <c r="H2633" s="55">
        <v>-6.0293999999999999E-3</v>
      </c>
      <c r="I2633" s="55">
        <v>-6.0299999999999998E-3</v>
      </c>
      <c r="J2633" s="55">
        <v>-1.7226600000000002E-2</v>
      </c>
      <c r="K2633" s="55">
        <v>-1.7227200000000002E-2</v>
      </c>
      <c r="L2633" s="55">
        <v>-1.7227200000000002E-2</v>
      </c>
      <c r="M2633" s="55">
        <v>-1.7227800000000001E-2</v>
      </c>
      <c r="N2633" s="55">
        <v>-1.7227200000000002E-2</v>
      </c>
    </row>
    <row r="2634" spans="1:14" hidden="1" x14ac:dyDescent="0.35">
      <c r="A2634" s="52" t="s">
        <v>243</v>
      </c>
      <c r="B2634" s="52" t="s">
        <v>265</v>
      </c>
      <c r="C2634" s="52" t="s">
        <v>44</v>
      </c>
      <c r="D2634" s="52" t="s">
        <v>44</v>
      </c>
      <c r="E2634" s="52" t="s">
        <v>584</v>
      </c>
      <c r="F2634" s="52" t="s">
        <v>581</v>
      </c>
      <c r="G2634" s="55" t="s">
        <v>278</v>
      </c>
      <c r="H2634" s="55">
        <v>1.7227200000000002E-2</v>
      </c>
      <c r="I2634" s="55">
        <v>1.7227200000000002E-2</v>
      </c>
      <c r="J2634" s="55">
        <v>1.7227200000000002E-2</v>
      </c>
      <c r="K2634" s="55">
        <v>1.7227200000000002E-2</v>
      </c>
      <c r="L2634" s="55">
        <v>1.7227200000000002E-2</v>
      </c>
      <c r="M2634" s="55">
        <v>1.7227200000000002E-2</v>
      </c>
      <c r="N2634" s="55">
        <v>1.7227200000000002E-2</v>
      </c>
    </row>
    <row r="2635" spans="1:14" hidden="1" x14ac:dyDescent="0.35">
      <c r="A2635" s="52" t="s">
        <v>243</v>
      </c>
      <c r="B2635" s="52" t="s">
        <v>34</v>
      </c>
      <c r="C2635" s="52" t="s">
        <v>318</v>
      </c>
      <c r="D2635" s="52" t="s">
        <v>318</v>
      </c>
      <c r="E2635" s="52" t="s">
        <v>584</v>
      </c>
      <c r="F2635" s="52" t="s">
        <v>581</v>
      </c>
      <c r="G2635" s="55" t="s">
        <v>275</v>
      </c>
      <c r="H2635" s="55">
        <v>0.877077</v>
      </c>
      <c r="I2635" s="55">
        <v>0</v>
      </c>
      <c r="J2635" s="55"/>
      <c r="K2635" s="55"/>
      <c r="L2635" s="55"/>
      <c r="M2635" s="55"/>
      <c r="N2635" s="55"/>
    </row>
    <row r="2636" spans="1:14" hidden="1" x14ac:dyDescent="0.35">
      <c r="A2636" s="52" t="s">
        <v>243</v>
      </c>
      <c r="B2636" s="52" t="s">
        <v>34</v>
      </c>
      <c r="C2636" s="52" t="s">
        <v>318</v>
      </c>
      <c r="D2636" s="52" t="s">
        <v>318</v>
      </c>
      <c r="E2636" s="52" t="s">
        <v>584</v>
      </c>
      <c r="F2636" s="52" t="s">
        <v>581</v>
      </c>
      <c r="G2636" s="55" t="s">
        <v>276</v>
      </c>
      <c r="H2636" s="55">
        <v>-2.285927</v>
      </c>
      <c r="I2636" s="55">
        <v>0</v>
      </c>
      <c r="J2636" s="55"/>
      <c r="K2636" s="55"/>
      <c r="L2636" s="55"/>
      <c r="M2636" s="55"/>
      <c r="N2636" s="55"/>
    </row>
    <row r="2637" spans="1:14" hidden="1" x14ac:dyDescent="0.35">
      <c r="A2637" s="52" t="s">
        <v>243</v>
      </c>
      <c r="B2637" s="52" t="s">
        <v>34</v>
      </c>
      <c r="C2637" s="52" t="s">
        <v>318</v>
      </c>
      <c r="D2637" s="52" t="s">
        <v>318</v>
      </c>
      <c r="E2637" s="52" t="s">
        <v>584</v>
      </c>
      <c r="F2637" s="52" t="s">
        <v>581</v>
      </c>
      <c r="G2637" s="55" t="s">
        <v>278</v>
      </c>
      <c r="H2637" s="55">
        <v>1.408849</v>
      </c>
      <c r="I2637" s="55">
        <v>0</v>
      </c>
      <c r="J2637" s="55"/>
      <c r="K2637" s="55"/>
      <c r="L2637" s="55"/>
      <c r="M2637" s="55"/>
      <c r="N2637" s="55"/>
    </row>
    <row r="2638" spans="1:14" hidden="1" x14ac:dyDescent="0.35">
      <c r="A2638" s="52" t="s">
        <v>243</v>
      </c>
      <c r="B2638" s="52" t="s">
        <v>34</v>
      </c>
      <c r="C2638" s="52" t="s">
        <v>318</v>
      </c>
      <c r="D2638" s="52" t="s">
        <v>318</v>
      </c>
      <c r="E2638" s="52" t="s">
        <v>584</v>
      </c>
      <c r="F2638" s="52" t="s">
        <v>26</v>
      </c>
      <c r="G2638" s="55" t="s">
        <v>275</v>
      </c>
      <c r="H2638" s="55">
        <v>0.58471899999999999</v>
      </c>
      <c r="I2638" s="55">
        <v>0</v>
      </c>
      <c r="J2638" s="55"/>
      <c r="K2638" s="55"/>
      <c r="L2638" s="55"/>
      <c r="M2638" s="55"/>
      <c r="N2638" s="55"/>
    </row>
    <row r="2639" spans="1:14" hidden="1" x14ac:dyDescent="0.35">
      <c r="A2639" s="52" t="s">
        <v>243</v>
      </c>
      <c r="B2639" s="52" t="s">
        <v>34</v>
      </c>
      <c r="C2639" s="52" t="s">
        <v>318</v>
      </c>
      <c r="D2639" s="52" t="s">
        <v>318</v>
      </c>
      <c r="E2639" s="52" t="s">
        <v>584</v>
      </c>
      <c r="F2639" s="52" t="s">
        <v>26</v>
      </c>
      <c r="G2639" s="55" t="s">
        <v>276</v>
      </c>
      <c r="H2639" s="55">
        <v>-1.5239510000000001</v>
      </c>
      <c r="I2639" s="55">
        <v>0</v>
      </c>
      <c r="J2639" s="55"/>
      <c r="K2639" s="55"/>
      <c r="L2639" s="55"/>
      <c r="M2639" s="55"/>
      <c r="N2639" s="55"/>
    </row>
    <row r="2640" spans="1:14" hidden="1" x14ac:dyDescent="0.35">
      <c r="A2640" s="52" t="s">
        <v>243</v>
      </c>
      <c r="B2640" s="52" t="s">
        <v>34</v>
      </c>
      <c r="C2640" s="52" t="s">
        <v>318</v>
      </c>
      <c r="D2640" s="52" t="s">
        <v>318</v>
      </c>
      <c r="E2640" s="52" t="s">
        <v>584</v>
      </c>
      <c r="F2640" s="52" t="s">
        <v>26</v>
      </c>
      <c r="G2640" s="55" t="s">
        <v>278</v>
      </c>
      <c r="H2640" s="55">
        <v>0.93923290000000004</v>
      </c>
      <c r="I2640" s="55">
        <v>0</v>
      </c>
      <c r="J2640" s="55"/>
      <c r="K2640" s="55"/>
      <c r="L2640" s="55"/>
      <c r="M2640" s="55"/>
      <c r="N2640" s="55"/>
    </row>
    <row r="2641" spans="1:14" hidden="1" x14ac:dyDescent="0.35">
      <c r="A2641" s="52" t="s">
        <v>243</v>
      </c>
      <c r="B2641" s="52" t="s">
        <v>34</v>
      </c>
      <c r="C2641" s="52" t="s">
        <v>304</v>
      </c>
      <c r="D2641" s="52" t="s">
        <v>304</v>
      </c>
      <c r="E2641" s="52" t="s">
        <v>584</v>
      </c>
      <c r="F2641" s="52" t="s">
        <v>581</v>
      </c>
      <c r="G2641" s="55" t="s">
        <v>275</v>
      </c>
      <c r="H2641" s="55">
        <v>-0.2955933</v>
      </c>
      <c r="I2641" s="55">
        <v>-0.29559360000000001</v>
      </c>
      <c r="J2641" s="55">
        <v>0</v>
      </c>
      <c r="K2641" s="55">
        <v>0</v>
      </c>
      <c r="L2641" s="55">
        <v>0</v>
      </c>
      <c r="M2641" s="55">
        <v>0</v>
      </c>
      <c r="N2641" s="55">
        <v>0</v>
      </c>
    </row>
    <row r="2642" spans="1:14" hidden="1" x14ac:dyDescent="0.35">
      <c r="A2642" s="52" t="s">
        <v>243</v>
      </c>
      <c r="B2642" s="52" t="s">
        <v>34</v>
      </c>
      <c r="C2642" s="52" t="s">
        <v>304</v>
      </c>
      <c r="D2642" s="52" t="s">
        <v>304</v>
      </c>
      <c r="E2642" s="52" t="s">
        <v>584</v>
      </c>
      <c r="F2642" s="52" t="s">
        <v>581</v>
      </c>
      <c r="G2642" s="55" t="s">
        <v>276</v>
      </c>
      <c r="H2642" s="55"/>
      <c r="I2642" s="55"/>
      <c r="J2642" s="55">
        <v>-35.006749999999997</v>
      </c>
      <c r="K2642" s="55">
        <v>-18.62218</v>
      </c>
      <c r="L2642" s="55">
        <v>-0.29559340000000001</v>
      </c>
      <c r="M2642" s="55">
        <v>-0.31312839999999997</v>
      </c>
      <c r="N2642" s="55">
        <v>-0.33336060000000001</v>
      </c>
    </row>
    <row r="2643" spans="1:14" hidden="1" x14ac:dyDescent="0.35">
      <c r="A2643" s="52" t="s">
        <v>243</v>
      </c>
      <c r="B2643" s="52" t="s">
        <v>34</v>
      </c>
      <c r="C2643" s="52" t="s">
        <v>304</v>
      </c>
      <c r="D2643" s="52" t="s">
        <v>304</v>
      </c>
      <c r="E2643" s="52" t="s">
        <v>584</v>
      </c>
      <c r="F2643" s="52" t="s">
        <v>581</v>
      </c>
      <c r="G2643" s="55" t="s">
        <v>277</v>
      </c>
      <c r="H2643" s="55"/>
      <c r="I2643" s="55"/>
      <c r="J2643" s="55"/>
      <c r="K2643" s="55"/>
      <c r="L2643" s="55">
        <v>0</v>
      </c>
      <c r="M2643" s="55">
        <v>1.753505E-2</v>
      </c>
      <c r="N2643" s="55">
        <v>3.7767549999999997E-2</v>
      </c>
    </row>
    <row r="2644" spans="1:14" hidden="1" x14ac:dyDescent="0.35">
      <c r="A2644" s="52" t="s">
        <v>243</v>
      </c>
      <c r="B2644" s="52" t="s">
        <v>34</v>
      </c>
      <c r="C2644" s="52" t="s">
        <v>304</v>
      </c>
      <c r="D2644" s="52" t="s">
        <v>304</v>
      </c>
      <c r="E2644" s="52" t="s">
        <v>584</v>
      </c>
      <c r="F2644" s="52" t="s">
        <v>581</v>
      </c>
      <c r="G2644" s="55" t="s">
        <v>278</v>
      </c>
      <c r="H2644" s="55">
        <v>0.2955933</v>
      </c>
      <c r="I2644" s="55">
        <v>0.29559360000000001</v>
      </c>
      <c r="J2644" s="55">
        <v>35.006749999999997</v>
      </c>
      <c r="K2644" s="55">
        <v>18.62218</v>
      </c>
      <c r="L2644" s="55">
        <v>0.29559340000000001</v>
      </c>
      <c r="M2644" s="55">
        <v>0.29559340000000001</v>
      </c>
      <c r="N2644" s="55">
        <v>0.29559340000000001</v>
      </c>
    </row>
    <row r="2645" spans="1:14" hidden="1" x14ac:dyDescent="0.35">
      <c r="A2645" s="52" t="s">
        <v>243</v>
      </c>
      <c r="B2645" s="52" t="s">
        <v>288</v>
      </c>
      <c r="C2645" s="52" t="s">
        <v>244</v>
      </c>
      <c r="D2645" s="52" t="s">
        <v>244</v>
      </c>
      <c r="E2645" s="52" t="s">
        <v>584</v>
      </c>
      <c r="F2645" s="52" t="s">
        <v>581</v>
      </c>
      <c r="G2645" s="55" t="s">
        <v>275</v>
      </c>
      <c r="H2645" s="55"/>
      <c r="I2645" s="55"/>
      <c r="J2645" s="55"/>
      <c r="K2645" s="55"/>
      <c r="L2645" s="55"/>
      <c r="M2645" s="55">
        <v>0</v>
      </c>
      <c r="N2645" s="55">
        <v>-0.48647200000000002</v>
      </c>
    </row>
    <row r="2646" spans="1:14" hidden="1" x14ac:dyDescent="0.35">
      <c r="A2646" s="52" t="s">
        <v>243</v>
      </c>
      <c r="B2646" s="52" t="s">
        <v>288</v>
      </c>
      <c r="C2646" s="52" t="s">
        <v>244</v>
      </c>
      <c r="D2646" s="52" t="s">
        <v>244</v>
      </c>
      <c r="E2646" s="52" t="s">
        <v>584</v>
      </c>
      <c r="F2646" s="52" t="s">
        <v>581</v>
      </c>
      <c r="G2646" s="55" t="s">
        <v>277</v>
      </c>
      <c r="H2646" s="55"/>
      <c r="I2646" s="55"/>
      <c r="J2646" s="55"/>
      <c r="K2646" s="55"/>
      <c r="L2646" s="55"/>
      <c r="M2646" s="55">
        <v>0</v>
      </c>
      <c r="N2646" s="55">
        <v>0.25507469999999999</v>
      </c>
    </row>
    <row r="2647" spans="1:14" hidden="1" x14ac:dyDescent="0.35">
      <c r="A2647" s="52" t="s">
        <v>243</v>
      </c>
      <c r="B2647" s="52" t="s">
        <v>288</v>
      </c>
      <c r="C2647" s="52" t="s">
        <v>244</v>
      </c>
      <c r="D2647" s="52" t="s">
        <v>244</v>
      </c>
      <c r="E2647" s="52" t="s">
        <v>584</v>
      </c>
      <c r="F2647" s="52" t="s">
        <v>581</v>
      </c>
      <c r="G2647" s="55" t="s">
        <v>279</v>
      </c>
      <c r="H2647" s="55"/>
      <c r="I2647" s="55"/>
      <c r="J2647" s="55"/>
      <c r="K2647" s="55"/>
      <c r="L2647" s="55"/>
      <c r="M2647" s="55">
        <v>0</v>
      </c>
      <c r="N2647" s="55">
        <v>0.2313965</v>
      </c>
    </row>
    <row r="2648" spans="1:14" hidden="1" x14ac:dyDescent="0.35">
      <c r="A2648" s="52" t="s">
        <v>243</v>
      </c>
      <c r="B2648" s="52" t="s">
        <v>288</v>
      </c>
      <c r="C2648" s="52" t="s">
        <v>244</v>
      </c>
      <c r="D2648" s="52" t="s">
        <v>244</v>
      </c>
      <c r="E2648" s="52" t="s">
        <v>584</v>
      </c>
      <c r="F2648" s="52" t="s">
        <v>26</v>
      </c>
      <c r="G2648" s="55" t="s">
        <v>275</v>
      </c>
      <c r="H2648" s="55">
        <v>-0.1334581</v>
      </c>
      <c r="I2648" s="55">
        <v>-0.1334582</v>
      </c>
      <c r="J2648" s="55">
        <v>-6.7610550000000005E-2</v>
      </c>
      <c r="K2648" s="55">
        <v>-18.589580000000002</v>
      </c>
      <c r="L2648" s="55">
        <v>-0.59261050000000004</v>
      </c>
      <c r="M2648" s="55">
        <v>-13.94802</v>
      </c>
      <c r="N2648" s="55">
        <v>-13.236929999999999</v>
      </c>
    </row>
    <row r="2649" spans="1:14" hidden="1" x14ac:dyDescent="0.35">
      <c r="A2649" s="52" t="s">
        <v>243</v>
      </c>
      <c r="B2649" s="52" t="s">
        <v>288</v>
      </c>
      <c r="C2649" s="52" t="s">
        <v>244</v>
      </c>
      <c r="D2649" s="52" t="s">
        <v>244</v>
      </c>
      <c r="E2649" s="52" t="s">
        <v>584</v>
      </c>
      <c r="F2649" s="52" t="s">
        <v>26</v>
      </c>
      <c r="G2649" s="55" t="s">
        <v>276</v>
      </c>
      <c r="H2649" s="55"/>
      <c r="I2649" s="55"/>
      <c r="J2649" s="55">
        <v>-1.0455829999999999</v>
      </c>
      <c r="K2649" s="55">
        <v>-6.5593150000000003E-2</v>
      </c>
      <c r="L2649" s="55">
        <v>-6.5593150000000003E-2</v>
      </c>
      <c r="M2649" s="55">
        <v>-6.6905649999999997E-2</v>
      </c>
      <c r="N2649" s="55">
        <v>-6.6905649999999997E-2</v>
      </c>
    </row>
    <row r="2650" spans="1:14" hidden="1" x14ac:dyDescent="0.35">
      <c r="A2650" s="52" t="s">
        <v>243</v>
      </c>
      <c r="B2650" s="52" t="s">
        <v>288</v>
      </c>
      <c r="C2650" s="52" t="s">
        <v>244</v>
      </c>
      <c r="D2650" s="52" t="s">
        <v>244</v>
      </c>
      <c r="E2650" s="52" t="s">
        <v>584</v>
      </c>
      <c r="F2650" s="52" t="s">
        <v>26</v>
      </c>
      <c r="G2650" s="55" t="s">
        <v>277</v>
      </c>
      <c r="H2650" s="55"/>
      <c r="I2650" s="55"/>
      <c r="J2650" s="55">
        <v>0</v>
      </c>
      <c r="K2650" s="55">
        <v>0.52500000000000002</v>
      </c>
      <c r="L2650" s="55">
        <v>0.52500000000000002</v>
      </c>
      <c r="M2650" s="55">
        <v>13.88172</v>
      </c>
      <c r="N2650" s="55">
        <v>10.90438</v>
      </c>
    </row>
    <row r="2651" spans="1:14" hidden="1" x14ac:dyDescent="0.35">
      <c r="A2651" s="52" t="s">
        <v>243</v>
      </c>
      <c r="B2651" s="52" t="s">
        <v>288</v>
      </c>
      <c r="C2651" s="52" t="s">
        <v>244</v>
      </c>
      <c r="D2651" s="52" t="s">
        <v>244</v>
      </c>
      <c r="E2651" s="52" t="s">
        <v>584</v>
      </c>
      <c r="F2651" s="52" t="s">
        <v>26</v>
      </c>
      <c r="G2651" s="55" t="s">
        <v>278</v>
      </c>
      <c r="H2651" s="55">
        <v>0.1334582</v>
      </c>
      <c r="I2651" s="55">
        <v>0.1334582</v>
      </c>
      <c r="J2651" s="55">
        <v>1.113194</v>
      </c>
      <c r="K2651" s="55">
        <v>18.130179999999999</v>
      </c>
      <c r="L2651" s="55">
        <v>0.13320370000000001</v>
      </c>
      <c r="M2651" s="55">
        <v>0.13320370000000001</v>
      </c>
      <c r="N2651" s="55">
        <v>0.13320370000000001</v>
      </c>
    </row>
    <row r="2652" spans="1:14" hidden="1" x14ac:dyDescent="0.35">
      <c r="A2652" s="52" t="s">
        <v>243</v>
      </c>
      <c r="B2652" s="52" t="s">
        <v>288</v>
      </c>
      <c r="C2652" s="52" t="s">
        <v>244</v>
      </c>
      <c r="D2652" s="52" t="s">
        <v>244</v>
      </c>
      <c r="E2652" s="52" t="s">
        <v>584</v>
      </c>
      <c r="F2652" s="52" t="s">
        <v>26</v>
      </c>
      <c r="G2652" s="55" t="s">
        <v>279</v>
      </c>
      <c r="H2652" s="55"/>
      <c r="I2652" s="55"/>
      <c r="J2652" s="55"/>
      <c r="K2652" s="55"/>
      <c r="L2652" s="55"/>
      <c r="M2652" s="55">
        <v>0</v>
      </c>
      <c r="N2652" s="55">
        <v>2.2662499999999999</v>
      </c>
    </row>
    <row r="2653" spans="1:14" hidden="1" x14ac:dyDescent="0.35">
      <c r="A2653" s="52" t="s">
        <v>243</v>
      </c>
      <c r="B2653" s="52" t="s">
        <v>288</v>
      </c>
      <c r="C2653" s="52" t="s">
        <v>318</v>
      </c>
      <c r="D2653" s="52" t="s">
        <v>318</v>
      </c>
      <c r="E2653" s="52" t="s">
        <v>584</v>
      </c>
      <c r="F2653" s="52" t="s">
        <v>581</v>
      </c>
      <c r="G2653" s="55" t="s">
        <v>275</v>
      </c>
      <c r="H2653" s="55">
        <v>4.7030000000000002E-2</v>
      </c>
      <c r="I2653" s="55">
        <v>0</v>
      </c>
      <c r="J2653" s="55"/>
      <c r="K2653" s="55"/>
      <c r="L2653" s="55"/>
      <c r="M2653" s="55"/>
      <c r="N2653" s="55"/>
    </row>
    <row r="2654" spans="1:14" hidden="1" x14ac:dyDescent="0.35">
      <c r="A2654" s="52" t="s">
        <v>243</v>
      </c>
      <c r="B2654" s="52" t="s">
        <v>288</v>
      </c>
      <c r="C2654" s="52" t="s">
        <v>318</v>
      </c>
      <c r="D2654" s="52" t="s">
        <v>318</v>
      </c>
      <c r="E2654" s="52" t="s">
        <v>584</v>
      </c>
      <c r="F2654" s="52" t="s">
        <v>581</v>
      </c>
      <c r="G2654" s="55" t="s">
        <v>276</v>
      </c>
      <c r="H2654" s="55">
        <v>-0.68311699999999997</v>
      </c>
      <c r="I2654" s="55">
        <v>0</v>
      </c>
      <c r="J2654" s="55"/>
      <c r="K2654" s="55"/>
      <c r="L2654" s="55"/>
      <c r="M2654" s="55"/>
      <c r="N2654" s="55"/>
    </row>
    <row r="2655" spans="1:14" hidden="1" x14ac:dyDescent="0.35">
      <c r="A2655" s="52" t="s">
        <v>243</v>
      </c>
      <c r="B2655" s="52" t="s">
        <v>288</v>
      </c>
      <c r="C2655" s="52" t="s">
        <v>318</v>
      </c>
      <c r="D2655" s="52" t="s">
        <v>318</v>
      </c>
      <c r="E2655" s="52" t="s">
        <v>584</v>
      </c>
      <c r="F2655" s="52" t="s">
        <v>581</v>
      </c>
      <c r="G2655" s="55" t="s">
        <v>278</v>
      </c>
      <c r="H2655" s="55">
        <v>0.63608500000000001</v>
      </c>
      <c r="I2655" s="55">
        <v>0</v>
      </c>
      <c r="J2655" s="55"/>
      <c r="K2655" s="55"/>
      <c r="L2655" s="55"/>
      <c r="M2655" s="55"/>
      <c r="N2655" s="55"/>
    </row>
    <row r="2656" spans="1:14" hidden="1" x14ac:dyDescent="0.35">
      <c r="A2656" s="52" t="s">
        <v>243</v>
      </c>
      <c r="B2656" s="52" t="s">
        <v>288</v>
      </c>
      <c r="C2656" s="52" t="s">
        <v>318</v>
      </c>
      <c r="D2656" s="52" t="s">
        <v>318</v>
      </c>
      <c r="E2656" s="52" t="s">
        <v>584</v>
      </c>
      <c r="F2656" s="52" t="s">
        <v>26</v>
      </c>
      <c r="G2656" s="55" t="s">
        <v>275</v>
      </c>
      <c r="H2656" s="55">
        <v>3.1354E-2</v>
      </c>
      <c r="I2656" s="55">
        <v>0</v>
      </c>
      <c r="J2656" s="55"/>
      <c r="K2656" s="55"/>
      <c r="L2656" s="55"/>
      <c r="M2656" s="55"/>
      <c r="N2656" s="55"/>
    </row>
    <row r="2657" spans="1:14" hidden="1" x14ac:dyDescent="0.35">
      <c r="A2657" s="52" t="s">
        <v>243</v>
      </c>
      <c r="B2657" s="52" t="s">
        <v>288</v>
      </c>
      <c r="C2657" s="52" t="s">
        <v>318</v>
      </c>
      <c r="D2657" s="52" t="s">
        <v>318</v>
      </c>
      <c r="E2657" s="52" t="s">
        <v>584</v>
      </c>
      <c r="F2657" s="52" t="s">
        <v>26</v>
      </c>
      <c r="G2657" s="55" t="s">
        <v>276</v>
      </c>
      <c r="H2657" s="55">
        <v>-0.45541100000000001</v>
      </c>
      <c r="I2657" s="55">
        <v>0</v>
      </c>
      <c r="J2657" s="55"/>
      <c r="K2657" s="55"/>
      <c r="L2657" s="55"/>
      <c r="M2657" s="55"/>
      <c r="N2657" s="55"/>
    </row>
    <row r="2658" spans="1:14" hidden="1" x14ac:dyDescent="0.35">
      <c r="A2658" s="52" t="s">
        <v>243</v>
      </c>
      <c r="B2658" s="52" t="s">
        <v>288</v>
      </c>
      <c r="C2658" s="52" t="s">
        <v>318</v>
      </c>
      <c r="D2658" s="52" t="s">
        <v>318</v>
      </c>
      <c r="E2658" s="52" t="s">
        <v>584</v>
      </c>
      <c r="F2658" s="52" t="s">
        <v>26</v>
      </c>
      <c r="G2658" s="55" t="s">
        <v>278</v>
      </c>
      <c r="H2658" s="55">
        <v>0.42405700000000002</v>
      </c>
      <c r="I2658" s="55">
        <v>0</v>
      </c>
      <c r="J2658" s="55"/>
      <c r="K2658" s="55"/>
      <c r="L2658" s="55"/>
      <c r="M2658" s="55"/>
      <c r="N2658" s="55"/>
    </row>
    <row r="2659" spans="1:14" hidden="1" x14ac:dyDescent="0.35">
      <c r="A2659" s="52" t="s">
        <v>243</v>
      </c>
      <c r="B2659" s="52" t="s">
        <v>201</v>
      </c>
      <c r="C2659" s="52" t="s">
        <v>318</v>
      </c>
      <c r="D2659" s="52" t="s">
        <v>318</v>
      </c>
      <c r="E2659" s="52" t="s">
        <v>584</v>
      </c>
      <c r="F2659" s="52" t="s">
        <v>581</v>
      </c>
      <c r="G2659" s="55" t="s">
        <v>275</v>
      </c>
      <c r="H2659" s="55">
        <v>-19.427630000000001</v>
      </c>
      <c r="I2659" s="55">
        <v>0</v>
      </c>
      <c r="J2659" s="55"/>
      <c r="K2659" s="55"/>
      <c r="L2659" s="55"/>
      <c r="M2659" s="55"/>
      <c r="N2659" s="55"/>
    </row>
    <row r="2660" spans="1:14" hidden="1" x14ac:dyDescent="0.35">
      <c r="A2660" s="52" t="s">
        <v>243</v>
      </c>
      <c r="B2660" s="52" t="s">
        <v>201</v>
      </c>
      <c r="C2660" s="52" t="s">
        <v>318</v>
      </c>
      <c r="D2660" s="52" t="s">
        <v>318</v>
      </c>
      <c r="E2660" s="52" t="s">
        <v>584</v>
      </c>
      <c r="F2660" s="52" t="s">
        <v>581</v>
      </c>
      <c r="G2660" s="55" t="s">
        <v>278</v>
      </c>
      <c r="H2660" s="55">
        <v>19.427630000000001</v>
      </c>
      <c r="I2660" s="55">
        <v>0</v>
      </c>
      <c r="J2660" s="55"/>
      <c r="K2660" s="55"/>
      <c r="L2660" s="55"/>
      <c r="M2660" s="55"/>
      <c r="N2660" s="55"/>
    </row>
    <row r="2661" spans="1:14" hidden="1" x14ac:dyDescent="0.35">
      <c r="A2661" s="52" t="s">
        <v>243</v>
      </c>
      <c r="B2661" s="52" t="s">
        <v>201</v>
      </c>
      <c r="C2661" s="52" t="s">
        <v>362</v>
      </c>
      <c r="D2661" s="52" t="s">
        <v>362</v>
      </c>
      <c r="E2661" s="52" t="s">
        <v>584</v>
      </c>
      <c r="F2661" s="52" t="s">
        <v>26</v>
      </c>
      <c r="G2661" s="55" t="s">
        <v>275</v>
      </c>
      <c r="H2661" s="55">
        <v>-5.1534610000000001</v>
      </c>
      <c r="I2661" s="55">
        <v>-5.1534610000000001</v>
      </c>
      <c r="J2661" s="55">
        <v>0</v>
      </c>
      <c r="K2661" s="55">
        <v>0</v>
      </c>
      <c r="L2661" s="55">
        <v>0</v>
      </c>
      <c r="M2661" s="55">
        <v>0</v>
      </c>
      <c r="N2661" s="55">
        <v>0</v>
      </c>
    </row>
    <row r="2662" spans="1:14" hidden="1" x14ac:dyDescent="0.35">
      <c r="A2662" s="52" t="s">
        <v>243</v>
      </c>
      <c r="B2662" s="52" t="s">
        <v>201</v>
      </c>
      <c r="C2662" s="52" t="s">
        <v>318</v>
      </c>
      <c r="D2662" s="52" t="s">
        <v>318</v>
      </c>
      <c r="E2662" s="52" t="s">
        <v>584</v>
      </c>
      <c r="F2662" s="52" t="s">
        <v>26</v>
      </c>
      <c r="G2662" s="55" t="s">
        <v>275</v>
      </c>
      <c r="H2662" s="55">
        <v>-12.95176</v>
      </c>
      <c r="I2662" s="55">
        <v>0</v>
      </c>
      <c r="J2662" s="55"/>
      <c r="K2662" s="55"/>
      <c r="L2662" s="55"/>
      <c r="M2662" s="55"/>
      <c r="N2662" s="55"/>
    </row>
    <row r="2663" spans="1:14" hidden="1" x14ac:dyDescent="0.35">
      <c r="A2663" s="52" t="s">
        <v>243</v>
      </c>
      <c r="B2663" s="52" t="s">
        <v>201</v>
      </c>
      <c r="C2663" s="52" t="s">
        <v>362</v>
      </c>
      <c r="D2663" s="52" t="s">
        <v>362</v>
      </c>
      <c r="E2663" s="52" t="s">
        <v>584</v>
      </c>
      <c r="F2663" s="52" t="s">
        <v>26</v>
      </c>
      <c r="G2663" s="55" t="s">
        <v>276</v>
      </c>
      <c r="H2663" s="55"/>
      <c r="I2663" s="55"/>
      <c r="J2663" s="55">
        <v>-5.1534610000000001</v>
      </c>
      <c r="K2663" s="55">
        <v>-17.817170000000001</v>
      </c>
      <c r="L2663" s="55">
        <v>-0.13386319999999999</v>
      </c>
      <c r="M2663" s="55">
        <v>-0.13386319999999999</v>
      </c>
      <c r="N2663" s="55">
        <v>-0.14469679999999999</v>
      </c>
    </row>
    <row r="2664" spans="1:14" hidden="1" x14ac:dyDescent="0.35">
      <c r="A2664" s="52" t="s">
        <v>243</v>
      </c>
      <c r="B2664" s="52" t="s">
        <v>201</v>
      </c>
      <c r="C2664" s="52" t="s">
        <v>362</v>
      </c>
      <c r="D2664" s="52" t="s">
        <v>362</v>
      </c>
      <c r="E2664" s="52" t="s">
        <v>584</v>
      </c>
      <c r="F2664" s="52" t="s">
        <v>26</v>
      </c>
      <c r="G2664" s="55" t="s">
        <v>277</v>
      </c>
      <c r="H2664" s="55"/>
      <c r="I2664" s="55"/>
      <c r="J2664" s="55"/>
      <c r="K2664" s="55"/>
      <c r="L2664" s="55"/>
      <c r="M2664" s="55">
        <v>0</v>
      </c>
      <c r="N2664" s="55">
        <v>1.0833600000000001E-2</v>
      </c>
    </row>
    <row r="2665" spans="1:14" hidden="1" x14ac:dyDescent="0.35">
      <c r="A2665" s="52" t="s">
        <v>243</v>
      </c>
      <c r="B2665" s="52" t="s">
        <v>201</v>
      </c>
      <c r="C2665" s="52" t="s">
        <v>362</v>
      </c>
      <c r="D2665" s="52" t="s">
        <v>362</v>
      </c>
      <c r="E2665" s="52" t="s">
        <v>584</v>
      </c>
      <c r="F2665" s="52" t="s">
        <v>26</v>
      </c>
      <c r="G2665" s="55" t="s">
        <v>278</v>
      </c>
      <c r="H2665" s="55">
        <v>5.1534610000000001</v>
      </c>
      <c r="I2665" s="55">
        <v>5.1534610000000001</v>
      </c>
      <c r="J2665" s="55">
        <v>5.1534610000000001</v>
      </c>
      <c r="K2665" s="55">
        <v>17.817170000000001</v>
      </c>
      <c r="L2665" s="55">
        <v>0.13386319999999999</v>
      </c>
      <c r="M2665" s="55">
        <v>0.13386319999999999</v>
      </c>
      <c r="N2665" s="55">
        <v>0.13386319999999999</v>
      </c>
    </row>
    <row r="2666" spans="1:14" hidden="1" x14ac:dyDescent="0.35">
      <c r="A2666" s="52" t="s">
        <v>243</v>
      </c>
      <c r="B2666" s="52" t="s">
        <v>201</v>
      </c>
      <c r="C2666" s="52" t="s">
        <v>318</v>
      </c>
      <c r="D2666" s="52" t="s">
        <v>318</v>
      </c>
      <c r="E2666" s="52" t="s">
        <v>584</v>
      </c>
      <c r="F2666" s="52" t="s">
        <v>26</v>
      </c>
      <c r="G2666" s="55" t="s">
        <v>278</v>
      </c>
      <c r="H2666" s="55">
        <v>12.95176</v>
      </c>
      <c r="I2666" s="55">
        <v>0</v>
      </c>
      <c r="J2666" s="55"/>
      <c r="K2666" s="55"/>
      <c r="L2666" s="55"/>
      <c r="M2666" s="55"/>
      <c r="N2666" s="55"/>
    </row>
    <row r="2667" spans="1:14" hidden="1" x14ac:dyDescent="0.35">
      <c r="A2667" s="52" t="s">
        <v>243</v>
      </c>
      <c r="B2667" s="52" t="s">
        <v>201</v>
      </c>
      <c r="C2667" s="52" t="s">
        <v>297</v>
      </c>
      <c r="D2667" s="52" t="s">
        <v>297</v>
      </c>
      <c r="E2667" s="52" t="s">
        <v>584</v>
      </c>
      <c r="F2667" s="52" t="s">
        <v>26</v>
      </c>
      <c r="G2667" s="55" t="s">
        <v>275</v>
      </c>
      <c r="H2667" s="55">
        <v>-0.1600916</v>
      </c>
      <c r="I2667" s="55">
        <v>-110.0282</v>
      </c>
      <c r="J2667" s="55">
        <v>0</v>
      </c>
      <c r="K2667" s="55">
        <v>0</v>
      </c>
      <c r="L2667" s="55">
        <v>0</v>
      </c>
      <c r="M2667" s="55">
        <v>0</v>
      </c>
      <c r="N2667" s="55">
        <v>0</v>
      </c>
    </row>
    <row r="2668" spans="1:14" hidden="1" x14ac:dyDescent="0.35">
      <c r="A2668" s="52" t="s">
        <v>243</v>
      </c>
      <c r="B2668" s="52" t="s">
        <v>201</v>
      </c>
      <c r="C2668" s="52" t="s">
        <v>297</v>
      </c>
      <c r="D2668" s="52" t="s">
        <v>297</v>
      </c>
      <c r="E2668" s="52" t="s">
        <v>584</v>
      </c>
      <c r="F2668" s="52" t="s">
        <v>26</v>
      </c>
      <c r="G2668" s="55" t="s">
        <v>276</v>
      </c>
      <c r="H2668" s="55"/>
      <c r="I2668" s="55"/>
      <c r="J2668" s="55">
        <v>-0.1600916</v>
      </c>
      <c r="K2668" s="55">
        <v>-0.1600916</v>
      </c>
      <c r="L2668" s="55">
        <v>-0.1600916</v>
      </c>
      <c r="M2668" s="55">
        <v>-0.2034252</v>
      </c>
      <c r="N2668" s="55">
        <v>-0.20342479999999999</v>
      </c>
    </row>
    <row r="2669" spans="1:14" hidden="1" x14ac:dyDescent="0.35">
      <c r="A2669" s="52" t="s">
        <v>243</v>
      </c>
      <c r="B2669" s="52" t="s">
        <v>201</v>
      </c>
      <c r="C2669" s="52" t="s">
        <v>297</v>
      </c>
      <c r="D2669" s="52" t="s">
        <v>297</v>
      </c>
      <c r="E2669" s="52" t="s">
        <v>584</v>
      </c>
      <c r="F2669" s="52" t="s">
        <v>26</v>
      </c>
      <c r="G2669" s="55" t="s">
        <v>277</v>
      </c>
      <c r="H2669" s="55"/>
      <c r="I2669" s="55"/>
      <c r="J2669" s="55"/>
      <c r="K2669" s="55"/>
      <c r="L2669" s="55">
        <v>0</v>
      </c>
      <c r="M2669" s="55">
        <v>4.33336E-2</v>
      </c>
      <c r="N2669" s="55">
        <v>4.3333200000000002E-2</v>
      </c>
    </row>
    <row r="2670" spans="1:14" hidden="1" x14ac:dyDescent="0.35">
      <c r="A2670" s="52" t="s">
        <v>243</v>
      </c>
      <c r="B2670" s="52" t="s">
        <v>201</v>
      </c>
      <c r="C2670" s="52" t="s">
        <v>297</v>
      </c>
      <c r="D2670" s="52" t="s">
        <v>297</v>
      </c>
      <c r="E2670" s="52" t="s">
        <v>584</v>
      </c>
      <c r="F2670" s="52" t="s">
        <v>26</v>
      </c>
      <c r="G2670" s="55" t="s">
        <v>278</v>
      </c>
      <c r="H2670" s="55">
        <v>0.1600916</v>
      </c>
      <c r="I2670" s="55">
        <v>110.0282</v>
      </c>
      <c r="J2670" s="55">
        <v>0.1600916</v>
      </c>
      <c r="K2670" s="55">
        <v>0.1600916</v>
      </c>
      <c r="L2670" s="55">
        <v>0.1600916</v>
      </c>
      <c r="M2670" s="55">
        <v>0.1600916</v>
      </c>
      <c r="N2670" s="55">
        <v>0.1600916</v>
      </c>
    </row>
    <row r="2671" spans="1:14" hidden="1" x14ac:dyDescent="0.35">
      <c r="A2671" s="52" t="s">
        <v>222</v>
      </c>
      <c r="B2671" s="52" t="s">
        <v>37</v>
      </c>
      <c r="C2671" s="52" t="s">
        <v>51</v>
      </c>
      <c r="D2671" s="52" t="s">
        <v>51</v>
      </c>
      <c r="E2671" s="52" t="s">
        <v>602</v>
      </c>
      <c r="F2671" s="52" t="s">
        <v>581</v>
      </c>
      <c r="G2671" s="55" t="s">
        <v>275</v>
      </c>
      <c r="H2671" s="55">
        <v>70.80256</v>
      </c>
      <c r="I2671" s="55">
        <v>181.94980000000001</v>
      </c>
      <c r="J2671" s="55">
        <v>376.29059999999998</v>
      </c>
      <c r="K2671" s="55">
        <v>344.59359999999998</v>
      </c>
      <c r="L2671" s="55">
        <v>307.47210000000001</v>
      </c>
      <c r="M2671" s="55">
        <v>173.20750000000001</v>
      </c>
      <c r="N2671" s="55">
        <v>121.07340000000001</v>
      </c>
    </row>
    <row r="2672" spans="1:14" hidden="1" x14ac:dyDescent="0.35">
      <c r="A2672" s="52" t="s">
        <v>222</v>
      </c>
      <c r="B2672" s="52" t="s">
        <v>37</v>
      </c>
      <c r="C2672" s="52" t="s">
        <v>51</v>
      </c>
      <c r="D2672" s="52" t="s">
        <v>51</v>
      </c>
      <c r="E2672" s="52" t="s">
        <v>602</v>
      </c>
      <c r="F2672" s="52" t="s">
        <v>581</v>
      </c>
      <c r="G2672" s="55" t="s">
        <v>276</v>
      </c>
      <c r="H2672" s="55">
        <v>81.531589999999994</v>
      </c>
      <c r="I2672" s="55">
        <v>-28.206309999999998</v>
      </c>
      <c r="J2672" s="55">
        <v>-32.900289999999998</v>
      </c>
      <c r="K2672" s="55">
        <v>-49.745690000000003</v>
      </c>
      <c r="L2672" s="55">
        <v>-59.78051</v>
      </c>
      <c r="M2672" s="55">
        <v>14.62987</v>
      </c>
      <c r="N2672" s="55">
        <v>35.050350000000002</v>
      </c>
    </row>
    <row r="2673" spans="1:14" hidden="1" x14ac:dyDescent="0.35">
      <c r="A2673" s="52" t="s">
        <v>222</v>
      </c>
      <c r="B2673" s="52" t="s">
        <v>37</v>
      </c>
      <c r="C2673" s="52" t="s">
        <v>51</v>
      </c>
      <c r="D2673" s="52" t="s">
        <v>51</v>
      </c>
      <c r="E2673" s="52" t="s">
        <v>602</v>
      </c>
      <c r="F2673" s="52" t="s">
        <v>581</v>
      </c>
      <c r="G2673" s="55" t="s">
        <v>277</v>
      </c>
      <c r="H2673" s="55">
        <v>1217.4110000000001</v>
      </c>
      <c r="I2673" s="55">
        <v>308.65280000000001</v>
      </c>
      <c r="J2673" s="55">
        <v>98.613820000000004</v>
      </c>
      <c r="K2673" s="55">
        <v>46.576009999999997</v>
      </c>
      <c r="L2673" s="55">
        <v>71.971779999999995</v>
      </c>
      <c r="M2673" s="55">
        <v>68.90334</v>
      </c>
      <c r="N2673" s="55">
        <v>101.09610000000001</v>
      </c>
    </row>
    <row r="2674" spans="1:14" hidden="1" x14ac:dyDescent="0.35">
      <c r="A2674" s="52" t="s">
        <v>222</v>
      </c>
      <c r="B2674" s="52" t="s">
        <v>37</v>
      </c>
      <c r="C2674" s="52" t="s">
        <v>51</v>
      </c>
      <c r="D2674" s="52" t="s">
        <v>51</v>
      </c>
      <c r="E2674" s="52" t="s">
        <v>602</v>
      </c>
      <c r="F2674" s="52" t="s">
        <v>581</v>
      </c>
      <c r="G2674" s="55" t="s">
        <v>278</v>
      </c>
      <c r="H2674" s="55">
        <v>91.075370000000007</v>
      </c>
      <c r="I2674" s="55">
        <v>43.877160000000003</v>
      </c>
      <c r="J2674" s="55">
        <v>8.1232570000000006</v>
      </c>
      <c r="K2674" s="55">
        <v>7.0868080000000004</v>
      </c>
      <c r="L2674" s="55">
        <v>5.4565140000000003</v>
      </c>
      <c r="M2674" s="55">
        <v>1.611953</v>
      </c>
      <c r="N2674" s="55">
        <v>0.39203579999999999</v>
      </c>
    </row>
    <row r="2675" spans="1:14" hidden="1" x14ac:dyDescent="0.35">
      <c r="A2675" s="52" t="s">
        <v>222</v>
      </c>
      <c r="B2675" s="52" t="s">
        <v>37</v>
      </c>
      <c r="C2675" s="52" t="s">
        <v>51</v>
      </c>
      <c r="D2675" s="52" t="s">
        <v>51</v>
      </c>
      <c r="E2675" s="52" t="s">
        <v>602</v>
      </c>
      <c r="F2675" s="52" t="s">
        <v>581</v>
      </c>
      <c r="G2675" s="55" t="s">
        <v>279</v>
      </c>
      <c r="H2675" s="55">
        <v>637.31230000000005</v>
      </c>
      <c r="I2675" s="55">
        <v>551.27790000000005</v>
      </c>
      <c r="J2675" s="55">
        <v>452.45389999999998</v>
      </c>
      <c r="K2675" s="55">
        <v>366.43349999999998</v>
      </c>
      <c r="L2675" s="55">
        <v>301.2604</v>
      </c>
      <c r="M2675" s="55">
        <v>307.93299999999999</v>
      </c>
      <c r="N2675" s="55">
        <v>290.61989999999997</v>
      </c>
    </row>
    <row r="2676" spans="1:14" hidden="1" x14ac:dyDescent="0.35">
      <c r="A2676" s="52" t="s">
        <v>222</v>
      </c>
      <c r="B2676" s="52" t="s">
        <v>37</v>
      </c>
      <c r="C2676" s="52" t="s">
        <v>51</v>
      </c>
      <c r="D2676" s="52" t="s">
        <v>51</v>
      </c>
      <c r="E2676" s="52" t="s">
        <v>602</v>
      </c>
      <c r="F2676" s="52" t="s">
        <v>26</v>
      </c>
      <c r="G2676" s="55" t="s">
        <v>275</v>
      </c>
      <c r="H2676" s="55">
        <v>9.4551020000000001</v>
      </c>
      <c r="I2676" s="55">
        <v>6.3303820000000002</v>
      </c>
      <c r="J2676" s="55">
        <v>10.18831</v>
      </c>
      <c r="K2676" s="55">
        <v>6.2302280000000003</v>
      </c>
      <c r="L2676" s="55">
        <v>6.600403</v>
      </c>
      <c r="M2676" s="55">
        <v>1.9892749999999999</v>
      </c>
      <c r="N2676" s="55">
        <v>2.0758640000000002</v>
      </c>
    </row>
    <row r="2677" spans="1:14" hidden="1" x14ac:dyDescent="0.35">
      <c r="A2677" s="52" t="s">
        <v>222</v>
      </c>
      <c r="B2677" s="52" t="s">
        <v>37</v>
      </c>
      <c r="C2677" s="52" t="s">
        <v>51</v>
      </c>
      <c r="D2677" s="52" t="s">
        <v>51</v>
      </c>
      <c r="E2677" s="52" t="s">
        <v>602</v>
      </c>
      <c r="F2677" s="52" t="s">
        <v>26</v>
      </c>
      <c r="G2677" s="55" t="s">
        <v>276</v>
      </c>
      <c r="H2677" s="55">
        <v>2.5133429999999999</v>
      </c>
      <c r="I2677" s="55">
        <v>1.682755</v>
      </c>
      <c r="J2677" s="55">
        <v>2.7082959999999998</v>
      </c>
      <c r="K2677" s="55">
        <v>1.6561380000000001</v>
      </c>
      <c r="L2677" s="55">
        <v>1.754532</v>
      </c>
      <c r="M2677" s="55">
        <v>0.52879399999999999</v>
      </c>
      <c r="N2677" s="55">
        <v>0.55180340000000005</v>
      </c>
    </row>
    <row r="2678" spans="1:14" hidden="1" x14ac:dyDescent="0.35">
      <c r="A2678" s="52" t="s">
        <v>222</v>
      </c>
      <c r="B2678" s="52" t="s">
        <v>37</v>
      </c>
      <c r="C2678" s="52" t="s">
        <v>51</v>
      </c>
      <c r="D2678" s="52" t="s">
        <v>51</v>
      </c>
      <c r="E2678" s="52" t="s">
        <v>602</v>
      </c>
      <c r="F2678" s="52" t="s">
        <v>26</v>
      </c>
      <c r="G2678" s="55" t="s">
        <v>279</v>
      </c>
      <c r="H2678" s="55">
        <v>83.189760000000007</v>
      </c>
      <c r="I2678" s="55">
        <v>79.511080000000007</v>
      </c>
      <c r="J2678" s="55">
        <v>65.809229999999999</v>
      </c>
      <c r="K2678" s="55">
        <v>53.907400000000003</v>
      </c>
      <c r="L2678" s="55">
        <v>45.137810000000002</v>
      </c>
      <c r="M2678" s="55">
        <v>44.979259999999996</v>
      </c>
      <c r="N2678" s="55">
        <v>42.366549999999997</v>
      </c>
    </row>
    <row r="2679" spans="1:14" hidden="1" x14ac:dyDescent="0.35">
      <c r="A2679" s="52" t="s">
        <v>222</v>
      </c>
      <c r="B2679" s="52" t="s">
        <v>37</v>
      </c>
      <c r="C2679" s="52" t="s">
        <v>51</v>
      </c>
      <c r="D2679" s="52" t="s">
        <v>51</v>
      </c>
      <c r="E2679" s="52" t="s">
        <v>584</v>
      </c>
      <c r="F2679" s="52" t="s">
        <v>581</v>
      </c>
      <c r="G2679" s="55" t="s">
        <v>275</v>
      </c>
      <c r="H2679" s="55">
        <v>1.9499089999999999</v>
      </c>
      <c r="I2679" s="55">
        <v>0.4650068</v>
      </c>
      <c r="J2679" s="55">
        <v>-7.0875180000000002</v>
      </c>
      <c r="K2679" s="55">
        <v>0.57024269999999999</v>
      </c>
      <c r="L2679" s="55"/>
      <c r="M2679" s="55">
        <v>7.2715509999999997E-2</v>
      </c>
      <c r="N2679" s="55"/>
    </row>
    <row r="2680" spans="1:14" hidden="1" x14ac:dyDescent="0.35">
      <c r="A2680" s="52" t="s">
        <v>222</v>
      </c>
      <c r="B2680" s="52" t="s">
        <v>37</v>
      </c>
      <c r="C2680" s="52" t="s">
        <v>51</v>
      </c>
      <c r="D2680" s="52" t="s">
        <v>51</v>
      </c>
      <c r="E2680" s="52" t="s">
        <v>584</v>
      </c>
      <c r="F2680" s="52" t="s">
        <v>581</v>
      </c>
      <c r="G2680" s="55" t="s">
        <v>276</v>
      </c>
      <c r="H2680" s="55">
        <v>-0.58203000000000005</v>
      </c>
      <c r="I2680" s="55">
        <v>-1.173162</v>
      </c>
      <c r="J2680" s="55">
        <v>-2.9299339999999998</v>
      </c>
      <c r="K2680" s="55">
        <v>-0.70497969999999999</v>
      </c>
      <c r="L2680" s="55"/>
      <c r="M2680" s="55"/>
      <c r="N2680" s="55"/>
    </row>
    <row r="2681" spans="1:14" hidden="1" x14ac:dyDescent="0.35">
      <c r="A2681" s="52" t="s">
        <v>222</v>
      </c>
      <c r="B2681" s="52" t="s">
        <v>37</v>
      </c>
      <c r="C2681" s="52" t="s">
        <v>51</v>
      </c>
      <c r="D2681" s="52" t="s">
        <v>51</v>
      </c>
      <c r="E2681" s="52" t="s">
        <v>584</v>
      </c>
      <c r="F2681" s="52" t="s">
        <v>581</v>
      </c>
      <c r="G2681" s="55" t="s">
        <v>277</v>
      </c>
      <c r="H2681" s="55"/>
      <c r="I2681" s="55"/>
      <c r="J2681" s="55"/>
      <c r="K2681" s="55"/>
      <c r="L2681" s="55"/>
      <c r="M2681" s="55"/>
      <c r="N2681" s="55"/>
    </row>
    <row r="2682" spans="1:14" hidden="1" x14ac:dyDescent="0.35">
      <c r="A2682" s="52" t="s">
        <v>222</v>
      </c>
      <c r="B2682" s="52" t="s">
        <v>37</v>
      </c>
      <c r="C2682" s="52" t="s">
        <v>51</v>
      </c>
      <c r="D2682" s="52" t="s">
        <v>51</v>
      </c>
      <c r="E2682" s="52" t="s">
        <v>584</v>
      </c>
      <c r="F2682" s="52" t="s">
        <v>581</v>
      </c>
      <c r="G2682" s="55" t="s">
        <v>279</v>
      </c>
      <c r="H2682" s="55">
        <v>2.2472120000000002</v>
      </c>
      <c r="I2682" s="55">
        <v>1.6682429999999999</v>
      </c>
      <c r="J2682" s="55">
        <v>10.22237</v>
      </c>
      <c r="K2682" s="55">
        <v>0.44083860000000002</v>
      </c>
      <c r="L2682" s="55"/>
      <c r="M2682" s="55"/>
      <c r="N2682" s="55"/>
    </row>
    <row r="2683" spans="1:14" hidden="1" x14ac:dyDescent="0.35">
      <c r="A2683" s="52" t="s">
        <v>222</v>
      </c>
      <c r="B2683" s="52" t="s">
        <v>37</v>
      </c>
      <c r="C2683" s="52" t="s">
        <v>51</v>
      </c>
      <c r="D2683" s="52" t="s">
        <v>51</v>
      </c>
      <c r="E2683" s="52" t="s">
        <v>584</v>
      </c>
      <c r="F2683" s="52" t="s">
        <v>26</v>
      </c>
      <c r="G2683" s="55" t="s">
        <v>275</v>
      </c>
      <c r="H2683" s="55">
        <v>-3.140361</v>
      </c>
      <c r="I2683" s="55">
        <v>-3.2036700000000001E-2</v>
      </c>
      <c r="J2683" s="55">
        <v>-4.8203329999999998</v>
      </c>
      <c r="K2683" s="55"/>
      <c r="L2683" s="55"/>
      <c r="M2683" s="55">
        <v>-1.1086499999999999E-2</v>
      </c>
      <c r="N2683" s="55"/>
    </row>
    <row r="2684" spans="1:14" hidden="1" x14ac:dyDescent="0.35">
      <c r="A2684" s="52" t="s">
        <v>222</v>
      </c>
      <c r="B2684" s="52" t="s">
        <v>37</v>
      </c>
      <c r="C2684" s="52" t="s">
        <v>51</v>
      </c>
      <c r="D2684" s="52" t="s">
        <v>51</v>
      </c>
      <c r="E2684" s="52" t="s">
        <v>584</v>
      </c>
      <c r="F2684" s="52" t="s">
        <v>26</v>
      </c>
      <c r="G2684" s="55" t="s">
        <v>276</v>
      </c>
      <c r="H2684" s="55">
        <v>-0.40276299999999998</v>
      </c>
      <c r="I2684" s="55">
        <v>-8.5161999999999998E-3</v>
      </c>
      <c r="J2684" s="55">
        <v>-1.2813540000000001</v>
      </c>
      <c r="K2684" s="55"/>
      <c r="L2684" s="55"/>
      <c r="M2684" s="55"/>
      <c r="N2684" s="55"/>
    </row>
    <row r="2685" spans="1:14" hidden="1" x14ac:dyDescent="0.35">
      <c r="A2685" s="52" t="s">
        <v>222</v>
      </c>
      <c r="B2685" s="52" t="s">
        <v>37</v>
      </c>
      <c r="C2685" s="52" t="s">
        <v>51</v>
      </c>
      <c r="D2685" s="52" t="s">
        <v>51</v>
      </c>
      <c r="E2685" s="52" t="s">
        <v>584</v>
      </c>
      <c r="F2685" s="52" t="s">
        <v>26</v>
      </c>
      <c r="G2685" s="55" t="s">
        <v>277</v>
      </c>
      <c r="H2685" s="55">
        <v>3.5138199999999999</v>
      </c>
      <c r="I2685" s="55"/>
      <c r="J2685" s="55"/>
      <c r="K2685" s="55"/>
      <c r="L2685" s="55"/>
      <c r="M2685" s="55"/>
      <c r="N2685" s="55"/>
    </row>
    <row r="2686" spans="1:14" hidden="1" x14ac:dyDescent="0.35">
      <c r="A2686" s="52" t="s">
        <v>222</v>
      </c>
      <c r="B2686" s="52" t="s">
        <v>37</v>
      </c>
      <c r="C2686" s="52" t="s">
        <v>51</v>
      </c>
      <c r="D2686" s="52" t="s">
        <v>51</v>
      </c>
      <c r="E2686" s="52" t="s">
        <v>584</v>
      </c>
      <c r="F2686" s="52" t="s">
        <v>26</v>
      </c>
      <c r="G2686" s="55" t="s">
        <v>279</v>
      </c>
      <c r="H2686" s="55">
        <v>0.69402299999999995</v>
      </c>
      <c r="I2686" s="55">
        <v>0.59775940000000005</v>
      </c>
      <c r="J2686" s="55">
        <v>6.2896140000000003</v>
      </c>
      <c r="K2686" s="55">
        <v>0.19128390000000001</v>
      </c>
      <c r="L2686" s="55"/>
      <c r="M2686" s="55"/>
      <c r="N2686" s="55"/>
    </row>
    <row r="2687" spans="1:14" hidden="1" x14ac:dyDescent="0.35">
      <c r="A2687" s="52" t="s">
        <v>222</v>
      </c>
      <c r="B2687" s="52" t="s">
        <v>37</v>
      </c>
      <c r="C2687" s="52" t="s">
        <v>61</v>
      </c>
      <c r="D2687" s="52" t="s">
        <v>62</v>
      </c>
      <c r="E2687" s="52" t="s">
        <v>584</v>
      </c>
      <c r="F2687" s="52" t="s">
        <v>581</v>
      </c>
      <c r="G2687" s="55" t="s">
        <v>275</v>
      </c>
      <c r="H2687" s="55">
        <v>390.64949999999999</v>
      </c>
      <c r="I2687" s="55">
        <v>226.94739999999999</v>
      </c>
      <c r="J2687" s="55">
        <v>319.738</v>
      </c>
      <c r="K2687" s="55">
        <v>254.07570000000001</v>
      </c>
      <c r="L2687" s="55">
        <v>200.1036</v>
      </c>
      <c r="M2687" s="55">
        <v>150.59469999999999</v>
      </c>
      <c r="N2687" s="55">
        <v>108.6315</v>
      </c>
    </row>
    <row r="2688" spans="1:14" hidden="1" x14ac:dyDescent="0.35">
      <c r="A2688" s="52" t="s">
        <v>222</v>
      </c>
      <c r="B2688" s="52" t="s">
        <v>37</v>
      </c>
      <c r="C2688" s="52" t="s">
        <v>61</v>
      </c>
      <c r="D2688" s="52" t="s">
        <v>62</v>
      </c>
      <c r="E2688" s="52" t="s">
        <v>584</v>
      </c>
      <c r="F2688" s="52" t="s">
        <v>581</v>
      </c>
      <c r="G2688" s="55" t="s">
        <v>276</v>
      </c>
      <c r="H2688" s="55">
        <v>65.507130000000004</v>
      </c>
      <c r="I2688" s="55">
        <v>-28.08314</v>
      </c>
      <c r="J2688" s="55">
        <v>-128.35239999999999</v>
      </c>
      <c r="K2688" s="55">
        <v>-81.299149999999997</v>
      </c>
      <c r="L2688" s="55">
        <v>-114.2552</v>
      </c>
      <c r="M2688" s="55">
        <v>-81.709140000000005</v>
      </c>
      <c r="N2688" s="55">
        <v>-28.817979999999999</v>
      </c>
    </row>
    <row r="2689" spans="1:14" hidden="1" x14ac:dyDescent="0.35">
      <c r="A2689" s="52" t="s">
        <v>222</v>
      </c>
      <c r="B2689" s="52" t="s">
        <v>37</v>
      </c>
      <c r="C2689" s="52" t="s">
        <v>61</v>
      </c>
      <c r="D2689" s="52" t="s">
        <v>62</v>
      </c>
      <c r="E2689" s="52" t="s">
        <v>584</v>
      </c>
      <c r="F2689" s="52" t="s">
        <v>581</v>
      </c>
      <c r="G2689" s="55" t="s">
        <v>277</v>
      </c>
      <c r="H2689" s="55">
        <v>292.73820000000001</v>
      </c>
      <c r="I2689" s="55">
        <v>125.5758</v>
      </c>
      <c r="J2689" s="55">
        <v>72.385210000000001</v>
      </c>
      <c r="K2689" s="55">
        <v>77.551509999999993</v>
      </c>
      <c r="L2689" s="55">
        <v>91.372380000000007</v>
      </c>
      <c r="M2689" s="55">
        <v>89.839219999999997</v>
      </c>
      <c r="N2689" s="55">
        <v>88.984830000000002</v>
      </c>
    </row>
    <row r="2690" spans="1:14" hidden="1" x14ac:dyDescent="0.35">
      <c r="A2690" s="52" t="s">
        <v>222</v>
      </c>
      <c r="B2690" s="52" t="s">
        <v>37</v>
      </c>
      <c r="C2690" s="52" t="s">
        <v>61</v>
      </c>
      <c r="D2690" s="52" t="s">
        <v>62</v>
      </c>
      <c r="E2690" s="52" t="s">
        <v>584</v>
      </c>
      <c r="F2690" s="52" t="s">
        <v>581</v>
      </c>
      <c r="G2690" s="55" t="s">
        <v>278</v>
      </c>
      <c r="H2690" s="55">
        <v>56.116100000000003</v>
      </c>
      <c r="I2690" s="55">
        <v>62.434310000000004</v>
      </c>
      <c r="J2690" s="55">
        <v>124.98139999999999</v>
      </c>
      <c r="K2690" s="55">
        <v>104.3677</v>
      </c>
      <c r="L2690" s="55">
        <v>137.4931</v>
      </c>
      <c r="M2690" s="55">
        <v>115.71259999999999</v>
      </c>
      <c r="N2690" s="55">
        <v>55.993389999999998</v>
      </c>
    </row>
    <row r="2691" spans="1:14" hidden="1" x14ac:dyDescent="0.35">
      <c r="A2691" s="52" t="s">
        <v>222</v>
      </c>
      <c r="B2691" s="52" t="s">
        <v>37</v>
      </c>
      <c r="C2691" s="52" t="s">
        <v>61</v>
      </c>
      <c r="D2691" s="52" t="s">
        <v>62</v>
      </c>
      <c r="E2691" s="52" t="s">
        <v>584</v>
      </c>
      <c r="F2691" s="52" t="s">
        <v>581</v>
      </c>
      <c r="G2691" s="55" t="s">
        <v>279</v>
      </c>
      <c r="H2691" s="55">
        <v>185.89330000000001</v>
      </c>
      <c r="I2691" s="55">
        <v>189.89750000000001</v>
      </c>
      <c r="J2691" s="55">
        <v>196.13990000000001</v>
      </c>
      <c r="K2691" s="55">
        <v>204.6678</v>
      </c>
      <c r="L2691" s="55">
        <v>195.6711</v>
      </c>
      <c r="M2691" s="55">
        <v>188.68029999999999</v>
      </c>
      <c r="N2691" s="55">
        <v>179.4194</v>
      </c>
    </row>
    <row r="2692" spans="1:14" hidden="1" x14ac:dyDescent="0.35">
      <c r="A2692" s="52" t="s">
        <v>222</v>
      </c>
      <c r="B2692" s="52" t="s">
        <v>37</v>
      </c>
      <c r="C2692" s="52" t="s">
        <v>61</v>
      </c>
      <c r="D2692" s="52" t="s">
        <v>62</v>
      </c>
      <c r="E2692" s="52" t="s">
        <v>584</v>
      </c>
      <c r="F2692" s="52" t="s">
        <v>26</v>
      </c>
      <c r="G2692" s="55" t="s">
        <v>275</v>
      </c>
      <c r="H2692" s="55">
        <v>20.786239999999999</v>
      </c>
      <c r="I2692" s="55">
        <v>13.032220000000001</v>
      </c>
      <c r="J2692" s="55">
        <v>14.602969999999999</v>
      </c>
      <c r="K2692" s="55">
        <v>10.776109999999999</v>
      </c>
      <c r="L2692" s="55">
        <v>9.4141929999999991</v>
      </c>
      <c r="M2692" s="55">
        <v>7.0991920000000004</v>
      </c>
      <c r="N2692" s="55">
        <v>5.7653869999999996</v>
      </c>
    </row>
    <row r="2693" spans="1:14" hidden="1" x14ac:dyDescent="0.35">
      <c r="A2693" s="52" t="s">
        <v>222</v>
      </c>
      <c r="B2693" s="52" t="s">
        <v>37</v>
      </c>
      <c r="C2693" s="52" t="s">
        <v>61</v>
      </c>
      <c r="D2693" s="52" t="s">
        <v>62</v>
      </c>
      <c r="E2693" s="52" t="s">
        <v>584</v>
      </c>
      <c r="F2693" s="52" t="s">
        <v>26</v>
      </c>
      <c r="G2693" s="55" t="s">
        <v>276</v>
      </c>
      <c r="H2693" s="55">
        <v>4.1967939999999997</v>
      </c>
      <c r="I2693" s="55">
        <v>2.3057159999999999</v>
      </c>
      <c r="J2693" s="55">
        <v>2.2294070000000001</v>
      </c>
      <c r="K2693" s="55">
        <v>1.8645940000000001</v>
      </c>
      <c r="L2693" s="55">
        <v>1.971004</v>
      </c>
      <c r="M2693" s="55">
        <v>1.4709760000000001</v>
      </c>
      <c r="N2693" s="55">
        <v>1.4337519999999999</v>
      </c>
    </row>
    <row r="2694" spans="1:14" hidden="1" x14ac:dyDescent="0.35">
      <c r="A2694" s="52" t="s">
        <v>222</v>
      </c>
      <c r="B2694" s="52" t="s">
        <v>37</v>
      </c>
      <c r="C2694" s="52" t="s">
        <v>61</v>
      </c>
      <c r="D2694" s="52" t="s">
        <v>62</v>
      </c>
      <c r="E2694" s="52" t="s">
        <v>584</v>
      </c>
      <c r="F2694" s="52" t="s">
        <v>26</v>
      </c>
      <c r="G2694" s="55" t="s">
        <v>277</v>
      </c>
      <c r="H2694" s="55">
        <v>4.18588</v>
      </c>
      <c r="I2694" s="55">
        <v>3.5892460000000002</v>
      </c>
      <c r="J2694" s="55">
        <v>0.92019830000000002</v>
      </c>
      <c r="K2694" s="55">
        <v>0.49336170000000001</v>
      </c>
      <c r="L2694" s="55">
        <v>0.34917769999999998</v>
      </c>
      <c r="M2694" s="55">
        <v>0.14735999999999999</v>
      </c>
      <c r="N2694" s="55">
        <v>0.15493999999999999</v>
      </c>
    </row>
    <row r="2695" spans="1:14" hidden="1" x14ac:dyDescent="0.35">
      <c r="A2695" s="52" t="s">
        <v>222</v>
      </c>
      <c r="B2695" s="52" t="s">
        <v>37</v>
      </c>
      <c r="C2695" s="52" t="s">
        <v>61</v>
      </c>
      <c r="D2695" s="52" t="s">
        <v>62</v>
      </c>
      <c r="E2695" s="52" t="s">
        <v>584</v>
      </c>
      <c r="F2695" s="52" t="s">
        <v>26</v>
      </c>
      <c r="G2695" s="55" t="s">
        <v>278</v>
      </c>
      <c r="H2695" s="55"/>
      <c r="I2695" s="55"/>
      <c r="J2695" s="55">
        <v>0</v>
      </c>
      <c r="K2695" s="55">
        <v>0</v>
      </c>
      <c r="L2695" s="55">
        <v>0</v>
      </c>
      <c r="M2695" s="55">
        <v>0</v>
      </c>
      <c r="N2695" s="55">
        <v>0</v>
      </c>
    </row>
    <row r="2696" spans="1:14" hidden="1" x14ac:dyDescent="0.35">
      <c r="A2696" s="52" t="s">
        <v>222</v>
      </c>
      <c r="B2696" s="52" t="s">
        <v>37</v>
      </c>
      <c r="C2696" s="52" t="s">
        <v>61</v>
      </c>
      <c r="D2696" s="52" t="s">
        <v>62</v>
      </c>
      <c r="E2696" s="52" t="s">
        <v>584</v>
      </c>
      <c r="F2696" s="52" t="s">
        <v>26</v>
      </c>
      <c r="G2696" s="55" t="s">
        <v>279</v>
      </c>
      <c r="H2696" s="55">
        <v>37.345649999999999</v>
      </c>
      <c r="I2696" s="55">
        <v>34.573219999999999</v>
      </c>
      <c r="J2696" s="55">
        <v>33.358629999999998</v>
      </c>
      <c r="K2696" s="55">
        <v>32.432850000000002</v>
      </c>
      <c r="L2696" s="55">
        <v>28.942499999999999</v>
      </c>
      <c r="M2696" s="55">
        <v>26.719529999999999</v>
      </c>
      <c r="N2696" s="55">
        <v>22.10379</v>
      </c>
    </row>
    <row r="2697" spans="1:14" hidden="1" x14ac:dyDescent="0.35">
      <c r="A2697" s="52" t="s">
        <v>222</v>
      </c>
      <c r="B2697" s="52" t="s">
        <v>37</v>
      </c>
      <c r="C2697" s="52" t="s">
        <v>109</v>
      </c>
      <c r="D2697" s="52" t="s">
        <v>109</v>
      </c>
      <c r="E2697" s="52" t="s">
        <v>584</v>
      </c>
      <c r="F2697" s="52" t="s">
        <v>581</v>
      </c>
      <c r="G2697" s="55" t="s">
        <v>275</v>
      </c>
      <c r="H2697" s="55">
        <v>-0.91458099999999998</v>
      </c>
      <c r="I2697" s="55">
        <v>-0.41809059999999998</v>
      </c>
      <c r="J2697" s="55">
        <v>-2.9261570000000001E-2</v>
      </c>
      <c r="K2697" s="55">
        <v>-3.6983769999999999E-2</v>
      </c>
      <c r="L2697" s="55">
        <v>-3.8720600000000001E-2</v>
      </c>
      <c r="M2697" s="55">
        <v>0</v>
      </c>
      <c r="N2697" s="55">
        <v>-0.1227125</v>
      </c>
    </row>
    <row r="2698" spans="1:14" hidden="1" x14ac:dyDescent="0.35">
      <c r="A2698" s="52" t="s">
        <v>222</v>
      </c>
      <c r="B2698" s="52" t="s">
        <v>37</v>
      </c>
      <c r="C2698" s="52" t="s">
        <v>109</v>
      </c>
      <c r="D2698" s="52" t="s">
        <v>109</v>
      </c>
      <c r="E2698" s="52" t="s">
        <v>584</v>
      </c>
      <c r="F2698" s="52" t="s">
        <v>581</v>
      </c>
      <c r="G2698" s="55" t="s">
        <v>276</v>
      </c>
      <c r="H2698" s="55">
        <v>0.51563170000000003</v>
      </c>
      <c r="I2698" s="55">
        <v>-4.2293150000000002E-2</v>
      </c>
      <c r="J2698" s="55">
        <v>-87.797520000000006</v>
      </c>
      <c r="K2698" s="55">
        <v>-59.765169999999998</v>
      </c>
      <c r="L2698" s="55">
        <v>-1.332775</v>
      </c>
      <c r="M2698" s="55">
        <v>-19.55639</v>
      </c>
      <c r="N2698" s="55">
        <v>-32.718000000000004</v>
      </c>
    </row>
    <row r="2699" spans="1:14" hidden="1" x14ac:dyDescent="0.35">
      <c r="A2699" s="52" t="s">
        <v>222</v>
      </c>
      <c r="B2699" s="52" t="s">
        <v>37</v>
      </c>
      <c r="C2699" s="52" t="s">
        <v>109</v>
      </c>
      <c r="D2699" s="52" t="s">
        <v>109</v>
      </c>
      <c r="E2699" s="52" t="s">
        <v>584</v>
      </c>
      <c r="F2699" s="52" t="s">
        <v>581</v>
      </c>
      <c r="G2699" s="55" t="s">
        <v>277</v>
      </c>
      <c r="H2699" s="55"/>
      <c r="I2699" s="55">
        <v>0</v>
      </c>
      <c r="J2699" s="55">
        <v>0.25</v>
      </c>
      <c r="K2699" s="55">
        <v>0.64571199999999995</v>
      </c>
      <c r="L2699" s="55">
        <v>0.89571199999999995</v>
      </c>
      <c r="M2699" s="55">
        <v>0.64571199999999995</v>
      </c>
      <c r="N2699" s="55">
        <v>0.14571200000000001</v>
      </c>
    </row>
    <row r="2700" spans="1:14" hidden="1" x14ac:dyDescent="0.35">
      <c r="A2700" s="52" t="s">
        <v>222</v>
      </c>
      <c r="B2700" s="52" t="s">
        <v>37</v>
      </c>
      <c r="C2700" s="52" t="s">
        <v>109</v>
      </c>
      <c r="D2700" s="52" t="s">
        <v>109</v>
      </c>
      <c r="E2700" s="52" t="s">
        <v>584</v>
      </c>
      <c r="F2700" s="52" t="s">
        <v>581</v>
      </c>
      <c r="G2700" s="55" t="s">
        <v>278</v>
      </c>
      <c r="H2700" s="55">
        <v>0.42676999999999998</v>
      </c>
      <c r="I2700" s="55">
        <v>0.42676999999999998</v>
      </c>
      <c r="J2700" s="55">
        <v>87.539169999999999</v>
      </c>
      <c r="K2700" s="55">
        <v>59.109630000000003</v>
      </c>
      <c r="L2700" s="55">
        <v>0.42676999999999998</v>
      </c>
      <c r="M2700" s="55">
        <v>18.910679999999999</v>
      </c>
      <c r="N2700" s="55">
        <v>32.539670000000001</v>
      </c>
    </row>
    <row r="2701" spans="1:14" hidden="1" x14ac:dyDescent="0.35">
      <c r="A2701" s="52" t="s">
        <v>222</v>
      </c>
      <c r="B2701" s="52" t="s">
        <v>37</v>
      </c>
      <c r="C2701" s="52" t="s">
        <v>109</v>
      </c>
      <c r="D2701" s="52" t="s">
        <v>109</v>
      </c>
      <c r="E2701" s="52" t="s">
        <v>584</v>
      </c>
      <c r="F2701" s="52" t="s">
        <v>581</v>
      </c>
      <c r="G2701" s="55" t="s">
        <v>279</v>
      </c>
      <c r="H2701" s="55">
        <v>0.12065149999999999</v>
      </c>
      <c r="I2701" s="55">
        <v>0.3521494</v>
      </c>
      <c r="J2701" s="55">
        <v>0.11280850000000001</v>
      </c>
      <c r="K2701" s="55">
        <v>0.12236809999999999</v>
      </c>
      <c r="L2701" s="55">
        <v>0.124926</v>
      </c>
      <c r="M2701" s="55">
        <v>0</v>
      </c>
      <c r="N2701" s="55">
        <v>0.1553322</v>
      </c>
    </row>
    <row r="2702" spans="1:14" hidden="1" x14ac:dyDescent="0.35">
      <c r="A2702" s="52" t="s">
        <v>222</v>
      </c>
      <c r="B2702" s="52" t="s">
        <v>37</v>
      </c>
      <c r="C2702" s="52" t="s">
        <v>109</v>
      </c>
      <c r="D2702" s="52" t="s">
        <v>109</v>
      </c>
      <c r="E2702" s="52" t="s">
        <v>584</v>
      </c>
      <c r="F2702" s="52" t="s">
        <v>26</v>
      </c>
      <c r="G2702" s="55" t="s">
        <v>275</v>
      </c>
      <c r="H2702" s="55">
        <v>0</v>
      </c>
      <c r="I2702" s="55"/>
      <c r="J2702" s="55"/>
      <c r="K2702" s="55"/>
      <c r="L2702" s="55"/>
      <c r="M2702" s="55">
        <v>0</v>
      </c>
      <c r="N2702" s="55">
        <v>-2.7028750000000001E-2</v>
      </c>
    </row>
    <row r="2703" spans="1:14" hidden="1" x14ac:dyDescent="0.35">
      <c r="A2703" s="52" t="s">
        <v>222</v>
      </c>
      <c r="B2703" s="52" t="s">
        <v>37</v>
      </c>
      <c r="C2703" s="52" t="s">
        <v>109</v>
      </c>
      <c r="D2703" s="52" t="s">
        <v>109</v>
      </c>
      <c r="E2703" s="52" t="s">
        <v>584</v>
      </c>
      <c r="F2703" s="52" t="s">
        <v>26</v>
      </c>
      <c r="G2703" s="55" t="s">
        <v>276</v>
      </c>
      <c r="H2703" s="55">
        <v>0</v>
      </c>
      <c r="I2703" s="55"/>
      <c r="J2703" s="55"/>
      <c r="K2703" s="55"/>
      <c r="L2703" s="55"/>
      <c r="M2703" s="55">
        <v>0</v>
      </c>
      <c r="N2703" s="55">
        <v>-7.1847500000000002E-3</v>
      </c>
    </row>
    <row r="2704" spans="1:14" hidden="1" x14ac:dyDescent="0.35">
      <c r="A2704" s="52" t="s">
        <v>222</v>
      </c>
      <c r="B2704" s="52" t="s">
        <v>37</v>
      </c>
      <c r="C2704" s="52" t="s">
        <v>109</v>
      </c>
      <c r="D2704" s="52" t="s">
        <v>109</v>
      </c>
      <c r="E2704" s="52" t="s">
        <v>584</v>
      </c>
      <c r="F2704" s="52" t="s">
        <v>26</v>
      </c>
      <c r="G2704" s="55" t="s">
        <v>279</v>
      </c>
      <c r="H2704" s="55">
        <v>0</v>
      </c>
      <c r="I2704" s="55">
        <v>5.8571600000000001E-2</v>
      </c>
      <c r="J2704" s="55">
        <v>0</v>
      </c>
      <c r="K2704" s="55"/>
      <c r="L2704" s="55"/>
      <c r="M2704" s="55">
        <v>0</v>
      </c>
      <c r="N2704" s="55">
        <v>3.4213750000000001E-2</v>
      </c>
    </row>
    <row r="2705" spans="1:14" hidden="1" x14ac:dyDescent="0.35">
      <c r="A2705" s="52" t="s">
        <v>222</v>
      </c>
      <c r="B2705" s="52" t="s">
        <v>37</v>
      </c>
      <c r="C2705" s="52" t="s">
        <v>318</v>
      </c>
      <c r="D2705" s="52" t="s">
        <v>318</v>
      </c>
      <c r="E2705" s="52" t="s">
        <v>584</v>
      </c>
      <c r="F2705" s="52" t="s">
        <v>581</v>
      </c>
      <c r="G2705" s="55" t="s">
        <v>275</v>
      </c>
      <c r="H2705" s="55">
        <v>5.5203000000000002E-2</v>
      </c>
      <c r="I2705" s="55">
        <v>0</v>
      </c>
      <c r="J2705" s="55"/>
      <c r="K2705" s="55"/>
      <c r="L2705" s="55"/>
      <c r="M2705" s="55"/>
      <c r="N2705" s="55"/>
    </row>
    <row r="2706" spans="1:14" hidden="1" x14ac:dyDescent="0.35">
      <c r="A2706" s="52" t="s">
        <v>222</v>
      </c>
      <c r="B2706" s="52" t="s">
        <v>37</v>
      </c>
      <c r="C2706" s="52" t="s">
        <v>318</v>
      </c>
      <c r="D2706" s="52" t="s">
        <v>318</v>
      </c>
      <c r="E2706" s="52" t="s">
        <v>584</v>
      </c>
      <c r="F2706" s="52" t="s">
        <v>581</v>
      </c>
      <c r="G2706" s="55" t="s">
        <v>278</v>
      </c>
      <c r="H2706" s="55">
        <v>-5.5203000000000002E-2</v>
      </c>
      <c r="I2706" s="55">
        <v>0</v>
      </c>
      <c r="J2706" s="55"/>
      <c r="K2706" s="55"/>
      <c r="L2706" s="55"/>
      <c r="M2706" s="55"/>
      <c r="N2706" s="55"/>
    </row>
    <row r="2707" spans="1:14" hidden="1" x14ac:dyDescent="0.35">
      <c r="A2707" s="52" t="s">
        <v>222</v>
      </c>
      <c r="B2707" s="52" t="s">
        <v>37</v>
      </c>
      <c r="C2707" s="52" t="s">
        <v>318</v>
      </c>
      <c r="D2707" s="52" t="s">
        <v>318</v>
      </c>
      <c r="E2707" s="52" t="s">
        <v>584</v>
      </c>
      <c r="F2707" s="52" t="s">
        <v>26</v>
      </c>
      <c r="G2707" s="55" t="s">
        <v>275</v>
      </c>
      <c r="H2707" s="55">
        <v>3.6801E-2</v>
      </c>
      <c r="I2707" s="55">
        <v>0</v>
      </c>
      <c r="J2707" s="55"/>
      <c r="K2707" s="55"/>
      <c r="L2707" s="55"/>
      <c r="M2707" s="55"/>
      <c r="N2707" s="55"/>
    </row>
    <row r="2708" spans="1:14" hidden="1" x14ac:dyDescent="0.35">
      <c r="A2708" s="52" t="s">
        <v>222</v>
      </c>
      <c r="B2708" s="52" t="s">
        <v>37</v>
      </c>
      <c r="C2708" s="52" t="s">
        <v>318</v>
      </c>
      <c r="D2708" s="52" t="s">
        <v>318</v>
      </c>
      <c r="E2708" s="52" t="s">
        <v>584</v>
      </c>
      <c r="F2708" s="52" t="s">
        <v>26</v>
      </c>
      <c r="G2708" s="55" t="s">
        <v>278</v>
      </c>
      <c r="H2708" s="55">
        <v>-3.6801E-2</v>
      </c>
      <c r="I2708" s="55">
        <v>0</v>
      </c>
      <c r="J2708" s="55"/>
      <c r="K2708" s="55"/>
      <c r="L2708" s="55"/>
      <c r="M2708" s="55"/>
      <c r="N2708" s="55"/>
    </row>
    <row r="2709" spans="1:14" hidden="1" x14ac:dyDescent="0.35">
      <c r="A2709" s="52" t="s">
        <v>222</v>
      </c>
      <c r="B2709" s="52" t="s">
        <v>102</v>
      </c>
      <c r="C2709" s="52" t="s">
        <v>102</v>
      </c>
      <c r="D2709" s="52" t="s">
        <v>102</v>
      </c>
      <c r="E2709" s="52" t="s">
        <v>584</v>
      </c>
      <c r="F2709" s="52" t="s">
        <v>581</v>
      </c>
      <c r="G2709" s="55" t="s">
        <v>275</v>
      </c>
      <c r="H2709" s="55">
        <v>-871.84349999999995</v>
      </c>
      <c r="I2709" s="55">
        <v>-590.85680000000002</v>
      </c>
      <c r="J2709" s="55">
        <v>-323.68329999999997</v>
      </c>
      <c r="K2709" s="55">
        <v>-475.8997</v>
      </c>
      <c r="L2709" s="55">
        <v>-860.60109999999997</v>
      </c>
      <c r="M2709" s="55">
        <v>-834.81579999999997</v>
      </c>
      <c r="N2709" s="55">
        <v>-728.56240000000003</v>
      </c>
    </row>
    <row r="2710" spans="1:14" hidden="1" x14ac:dyDescent="0.35">
      <c r="A2710" s="52" t="s">
        <v>222</v>
      </c>
      <c r="B2710" s="52" t="s">
        <v>102</v>
      </c>
      <c r="C2710" s="52" t="s">
        <v>102</v>
      </c>
      <c r="D2710" s="52" t="s">
        <v>102</v>
      </c>
      <c r="E2710" s="52" t="s">
        <v>584</v>
      </c>
      <c r="F2710" s="52" t="s">
        <v>581</v>
      </c>
      <c r="G2710" s="55" t="s">
        <v>276</v>
      </c>
      <c r="H2710" s="55"/>
      <c r="I2710" s="55"/>
      <c r="J2710" s="55">
        <v>-164.8391</v>
      </c>
      <c r="K2710" s="55">
        <v>-131.93709999999999</v>
      </c>
      <c r="L2710" s="55">
        <v>-164.89760000000001</v>
      </c>
      <c r="M2710" s="55">
        <v>-98.918189999999996</v>
      </c>
      <c r="N2710" s="55">
        <v>-3.6901200000000002E-2</v>
      </c>
    </row>
    <row r="2711" spans="1:14" hidden="1" x14ac:dyDescent="0.35">
      <c r="A2711" s="52" t="s">
        <v>222</v>
      </c>
      <c r="B2711" s="52" t="s">
        <v>102</v>
      </c>
      <c r="C2711" s="52" t="s">
        <v>102</v>
      </c>
      <c r="D2711" s="52" t="s">
        <v>102</v>
      </c>
      <c r="E2711" s="52" t="s">
        <v>584</v>
      </c>
      <c r="F2711" s="52" t="s">
        <v>581</v>
      </c>
      <c r="G2711" s="55" t="s">
        <v>277</v>
      </c>
      <c r="H2711" s="55">
        <v>494.51659999999998</v>
      </c>
      <c r="I2711" s="55">
        <v>519.39099999999996</v>
      </c>
      <c r="J2711" s="55">
        <v>480.22059999999999</v>
      </c>
      <c r="K2711" s="55">
        <v>646.23379999999997</v>
      </c>
      <c r="L2711" s="55">
        <v>1288.6130000000001</v>
      </c>
      <c r="M2711" s="55">
        <v>1352.43</v>
      </c>
      <c r="N2711" s="55">
        <v>1447.239</v>
      </c>
    </row>
    <row r="2712" spans="1:14" hidden="1" x14ac:dyDescent="0.35">
      <c r="A2712" s="52" t="s">
        <v>222</v>
      </c>
      <c r="B2712" s="52" t="s">
        <v>102</v>
      </c>
      <c r="C2712" s="52" t="s">
        <v>102</v>
      </c>
      <c r="D2712" s="52" t="s">
        <v>102</v>
      </c>
      <c r="E2712" s="52" t="s">
        <v>584</v>
      </c>
      <c r="F2712" s="52" t="s">
        <v>581</v>
      </c>
      <c r="G2712" s="55" t="s">
        <v>278</v>
      </c>
      <c r="H2712" s="55">
        <v>363.66469999999998</v>
      </c>
      <c r="I2712" s="55">
        <v>226.24789999999999</v>
      </c>
      <c r="J2712" s="55">
        <v>165.15790000000001</v>
      </c>
      <c r="K2712" s="55">
        <v>132.1113</v>
      </c>
      <c r="L2712" s="55">
        <v>165.03049999999999</v>
      </c>
      <c r="M2712" s="55">
        <v>99.109629999999996</v>
      </c>
      <c r="N2712" s="55">
        <v>0.178845</v>
      </c>
    </row>
    <row r="2713" spans="1:14" hidden="1" x14ac:dyDescent="0.35">
      <c r="A2713" s="52" t="s">
        <v>222</v>
      </c>
      <c r="B2713" s="52" t="s">
        <v>102</v>
      </c>
      <c r="C2713" s="52" t="s">
        <v>102</v>
      </c>
      <c r="D2713" s="52" t="s">
        <v>102</v>
      </c>
      <c r="E2713" s="52" t="s">
        <v>584</v>
      </c>
      <c r="F2713" s="52" t="s">
        <v>581</v>
      </c>
      <c r="G2713" s="55" t="s">
        <v>279</v>
      </c>
      <c r="H2713" s="55">
        <v>19.769089999999998</v>
      </c>
      <c r="I2713" s="55">
        <v>150.1687</v>
      </c>
      <c r="J2713" s="55">
        <v>179.60220000000001</v>
      </c>
      <c r="K2713" s="55">
        <v>192.15350000000001</v>
      </c>
      <c r="L2713" s="55">
        <v>382.5453</v>
      </c>
      <c r="M2713" s="55">
        <v>548.39970000000005</v>
      </c>
      <c r="N2713" s="55">
        <v>645.52949999999998</v>
      </c>
    </row>
    <row r="2714" spans="1:14" hidden="1" x14ac:dyDescent="0.35">
      <c r="A2714" s="52" t="s">
        <v>222</v>
      </c>
      <c r="B2714" s="52" t="s">
        <v>102</v>
      </c>
      <c r="C2714" s="52" t="s">
        <v>102</v>
      </c>
      <c r="D2714" s="52" t="s">
        <v>102</v>
      </c>
      <c r="E2714" s="52" t="s">
        <v>584</v>
      </c>
      <c r="F2714" s="52" t="s">
        <v>26</v>
      </c>
      <c r="G2714" s="55" t="s">
        <v>275</v>
      </c>
      <c r="H2714" s="55">
        <v>-63.416379999999997</v>
      </c>
      <c r="I2714" s="55">
        <v>-3.0947100000000002E-2</v>
      </c>
      <c r="J2714" s="55">
        <v>-3.0947100000000002E-2</v>
      </c>
      <c r="K2714" s="55">
        <v>-3.0947100000000002E-2</v>
      </c>
      <c r="L2714" s="55">
        <v>-3.0947100000000002E-2</v>
      </c>
      <c r="M2714" s="55">
        <v>-3.0947100000000002E-2</v>
      </c>
      <c r="N2714" s="55">
        <v>-0.48094740000000002</v>
      </c>
    </row>
    <row r="2715" spans="1:14" hidden="1" x14ac:dyDescent="0.35">
      <c r="A2715" s="52" t="s">
        <v>222</v>
      </c>
      <c r="B2715" s="52" t="s">
        <v>102</v>
      </c>
      <c r="C2715" s="52" t="s">
        <v>102</v>
      </c>
      <c r="D2715" s="52" t="s">
        <v>102</v>
      </c>
      <c r="E2715" s="52" t="s">
        <v>584</v>
      </c>
      <c r="F2715" s="52" t="s">
        <v>26</v>
      </c>
      <c r="G2715" s="55" t="s">
        <v>277</v>
      </c>
      <c r="H2715" s="55"/>
      <c r="I2715" s="55"/>
      <c r="J2715" s="55"/>
      <c r="K2715" s="55"/>
      <c r="L2715" s="55"/>
      <c r="M2715" s="55">
        <v>0</v>
      </c>
      <c r="N2715" s="55">
        <v>0.45</v>
      </c>
    </row>
    <row r="2716" spans="1:14" hidden="1" x14ac:dyDescent="0.35">
      <c r="A2716" s="52" t="s">
        <v>222</v>
      </c>
      <c r="B2716" s="52" t="s">
        <v>102</v>
      </c>
      <c r="C2716" s="52" t="s">
        <v>102</v>
      </c>
      <c r="D2716" s="52" t="s">
        <v>102</v>
      </c>
      <c r="E2716" s="52" t="s">
        <v>584</v>
      </c>
      <c r="F2716" s="52" t="s">
        <v>26</v>
      </c>
      <c r="G2716" s="55" t="s">
        <v>278</v>
      </c>
      <c r="H2716" s="55">
        <v>63.416379999999997</v>
      </c>
      <c r="I2716" s="55">
        <v>3.0947100000000002E-2</v>
      </c>
      <c r="J2716" s="55">
        <v>3.0947100000000002E-2</v>
      </c>
      <c r="K2716" s="55">
        <v>3.0947100000000002E-2</v>
      </c>
      <c r="L2716" s="55">
        <v>3.0947100000000002E-2</v>
      </c>
      <c r="M2716" s="55">
        <v>3.0947100000000002E-2</v>
      </c>
      <c r="N2716" s="55">
        <v>3.0947100000000002E-2</v>
      </c>
    </row>
    <row r="2717" spans="1:14" hidden="1" x14ac:dyDescent="0.35">
      <c r="A2717" s="52" t="s">
        <v>222</v>
      </c>
      <c r="B2717" s="52" t="s">
        <v>102</v>
      </c>
      <c r="C2717" s="52" t="s">
        <v>318</v>
      </c>
      <c r="D2717" s="52" t="s">
        <v>318</v>
      </c>
      <c r="E2717" s="52" t="s">
        <v>584</v>
      </c>
      <c r="F2717" s="52" t="s">
        <v>581</v>
      </c>
      <c r="G2717" s="55" t="s">
        <v>275</v>
      </c>
      <c r="H2717" s="55">
        <v>110.494</v>
      </c>
      <c r="I2717" s="55">
        <v>0</v>
      </c>
      <c r="J2717" s="55"/>
      <c r="K2717" s="55"/>
      <c r="L2717" s="55"/>
      <c r="M2717" s="55"/>
      <c r="N2717" s="55"/>
    </row>
    <row r="2718" spans="1:14" hidden="1" x14ac:dyDescent="0.35">
      <c r="A2718" s="52" t="s">
        <v>222</v>
      </c>
      <c r="B2718" s="52" t="s">
        <v>102</v>
      </c>
      <c r="C2718" s="52" t="s">
        <v>318</v>
      </c>
      <c r="D2718" s="52" t="s">
        <v>318</v>
      </c>
      <c r="E2718" s="52" t="s">
        <v>584</v>
      </c>
      <c r="F2718" s="52" t="s">
        <v>581</v>
      </c>
      <c r="G2718" s="55" t="s">
        <v>278</v>
      </c>
      <c r="H2718" s="55">
        <v>-110.494</v>
      </c>
      <c r="I2718" s="55">
        <v>0</v>
      </c>
      <c r="J2718" s="55"/>
      <c r="K2718" s="55"/>
      <c r="L2718" s="55"/>
      <c r="M2718" s="55"/>
      <c r="N2718" s="55"/>
    </row>
    <row r="2719" spans="1:14" hidden="1" x14ac:dyDescent="0.35">
      <c r="A2719" s="52" t="s">
        <v>222</v>
      </c>
      <c r="B2719" s="52" t="s">
        <v>102</v>
      </c>
      <c r="C2719" s="52" t="s">
        <v>318</v>
      </c>
      <c r="D2719" s="52" t="s">
        <v>318</v>
      </c>
      <c r="E2719" s="52" t="s">
        <v>584</v>
      </c>
      <c r="F2719" s="52" t="s">
        <v>26</v>
      </c>
      <c r="G2719" s="55" t="s">
        <v>275</v>
      </c>
      <c r="H2719" s="55">
        <v>73.662660000000002</v>
      </c>
      <c r="I2719" s="55">
        <v>0</v>
      </c>
      <c r="J2719" s="55"/>
      <c r="K2719" s="55"/>
      <c r="L2719" s="55"/>
      <c r="M2719" s="55"/>
      <c r="N2719" s="55"/>
    </row>
    <row r="2720" spans="1:14" hidden="1" x14ac:dyDescent="0.35">
      <c r="A2720" s="52" t="s">
        <v>222</v>
      </c>
      <c r="B2720" s="52" t="s">
        <v>102</v>
      </c>
      <c r="C2720" s="52" t="s">
        <v>318</v>
      </c>
      <c r="D2720" s="52" t="s">
        <v>318</v>
      </c>
      <c r="E2720" s="52" t="s">
        <v>584</v>
      </c>
      <c r="F2720" s="52" t="s">
        <v>26</v>
      </c>
      <c r="G2720" s="55" t="s">
        <v>278</v>
      </c>
      <c r="H2720" s="55">
        <v>-73.662660000000002</v>
      </c>
      <c r="I2720" s="55">
        <v>0</v>
      </c>
      <c r="J2720" s="55"/>
      <c r="K2720" s="55"/>
      <c r="L2720" s="55"/>
      <c r="M2720" s="55"/>
      <c r="N2720" s="55"/>
    </row>
    <row r="2721" spans="1:14" hidden="1" x14ac:dyDescent="0.35">
      <c r="A2721" s="52" t="s">
        <v>222</v>
      </c>
      <c r="B2721" s="52" t="s">
        <v>102</v>
      </c>
      <c r="C2721" s="52" t="s">
        <v>290</v>
      </c>
      <c r="D2721" s="52" t="s">
        <v>290</v>
      </c>
      <c r="E2721" s="52" t="s">
        <v>584</v>
      </c>
      <c r="F2721" s="52" t="s">
        <v>581</v>
      </c>
      <c r="G2721" s="55" t="s">
        <v>275</v>
      </c>
      <c r="H2721" s="55">
        <v>-3.4615350000000003E-2</v>
      </c>
      <c r="I2721" s="55">
        <v>-31.473790000000001</v>
      </c>
      <c r="J2721" s="55">
        <v>0</v>
      </c>
      <c r="K2721" s="55">
        <v>0</v>
      </c>
      <c r="L2721" s="55">
        <v>0</v>
      </c>
      <c r="M2721" s="55">
        <v>0</v>
      </c>
      <c r="N2721" s="55">
        <v>0</v>
      </c>
    </row>
    <row r="2722" spans="1:14" hidden="1" x14ac:dyDescent="0.35">
      <c r="A2722" s="52" t="s">
        <v>222</v>
      </c>
      <c r="B2722" s="52" t="s">
        <v>102</v>
      </c>
      <c r="C2722" s="52" t="s">
        <v>290</v>
      </c>
      <c r="D2722" s="52" t="s">
        <v>290</v>
      </c>
      <c r="E2722" s="52" t="s">
        <v>584</v>
      </c>
      <c r="F2722" s="52" t="s">
        <v>581</v>
      </c>
      <c r="G2722" s="55" t="s">
        <v>276</v>
      </c>
      <c r="H2722" s="55"/>
      <c r="I2722" s="55"/>
      <c r="J2722" s="55">
        <v>-3.4615350000000003E-2</v>
      </c>
      <c r="K2722" s="55">
        <v>-3.4615350000000003E-2</v>
      </c>
      <c r="L2722" s="55">
        <v>-4.4365349999999998E-2</v>
      </c>
      <c r="M2722" s="55">
        <v>-4.4365349999999998E-2</v>
      </c>
      <c r="N2722" s="55">
        <v>-3.4615350000000003E-2</v>
      </c>
    </row>
    <row r="2723" spans="1:14" hidden="1" x14ac:dyDescent="0.35">
      <c r="A2723" s="52" t="s">
        <v>222</v>
      </c>
      <c r="B2723" s="52" t="s">
        <v>102</v>
      </c>
      <c r="C2723" s="52" t="s">
        <v>290</v>
      </c>
      <c r="D2723" s="52" t="s">
        <v>290</v>
      </c>
      <c r="E2723" s="52" t="s">
        <v>584</v>
      </c>
      <c r="F2723" s="52" t="s">
        <v>581</v>
      </c>
      <c r="G2723" s="55" t="s">
        <v>277</v>
      </c>
      <c r="H2723" s="55"/>
      <c r="I2723" s="55"/>
      <c r="J2723" s="55"/>
      <c r="K2723" s="55">
        <v>0</v>
      </c>
      <c r="L2723" s="55">
        <v>9.7499990000000005E-3</v>
      </c>
      <c r="M2723" s="55">
        <v>9.7499990000000005E-3</v>
      </c>
      <c r="N2723" s="55">
        <v>0</v>
      </c>
    </row>
    <row r="2724" spans="1:14" hidden="1" x14ac:dyDescent="0.35">
      <c r="A2724" s="52" t="s">
        <v>222</v>
      </c>
      <c r="B2724" s="52" t="s">
        <v>102</v>
      </c>
      <c r="C2724" s="52" t="s">
        <v>290</v>
      </c>
      <c r="D2724" s="52" t="s">
        <v>290</v>
      </c>
      <c r="E2724" s="52" t="s">
        <v>584</v>
      </c>
      <c r="F2724" s="52" t="s">
        <v>581</v>
      </c>
      <c r="G2724" s="55" t="s">
        <v>278</v>
      </c>
      <c r="H2724" s="55">
        <v>3.4615350000000003E-2</v>
      </c>
      <c r="I2724" s="55">
        <v>31.473790000000001</v>
      </c>
      <c r="J2724" s="55">
        <v>3.4615350000000003E-2</v>
      </c>
      <c r="K2724" s="55">
        <v>3.4615350000000003E-2</v>
      </c>
      <c r="L2724" s="55">
        <v>3.4615350000000003E-2</v>
      </c>
      <c r="M2724" s="55">
        <v>3.4615350000000003E-2</v>
      </c>
      <c r="N2724" s="55">
        <v>3.4615350000000003E-2</v>
      </c>
    </row>
    <row r="2725" spans="1:14" hidden="1" x14ac:dyDescent="0.35">
      <c r="A2725" s="52" t="s">
        <v>222</v>
      </c>
      <c r="B2725" s="52" t="s">
        <v>223</v>
      </c>
      <c r="C2725" s="52" t="s">
        <v>58</v>
      </c>
      <c r="D2725" s="52" t="s">
        <v>58</v>
      </c>
      <c r="E2725" s="52" t="s">
        <v>584</v>
      </c>
      <c r="F2725" s="52" t="s">
        <v>581</v>
      </c>
      <c r="G2725" s="55" t="s">
        <v>275</v>
      </c>
      <c r="H2725" s="55">
        <v>34.633000000000003</v>
      </c>
      <c r="I2725" s="55">
        <v>15.98081</v>
      </c>
      <c r="J2725" s="55">
        <v>16.650480000000002</v>
      </c>
      <c r="K2725" s="55">
        <v>3.8454489999999999</v>
      </c>
      <c r="L2725" s="55">
        <v>3.7728649999999999</v>
      </c>
      <c r="M2725" s="55">
        <v>3.3152750000000002</v>
      </c>
      <c r="N2725" s="55">
        <v>3.0205060000000001</v>
      </c>
    </row>
    <row r="2726" spans="1:14" hidden="1" x14ac:dyDescent="0.35">
      <c r="A2726" s="52" t="s">
        <v>222</v>
      </c>
      <c r="B2726" s="52" t="s">
        <v>223</v>
      </c>
      <c r="C2726" s="52" t="s">
        <v>58</v>
      </c>
      <c r="D2726" s="52" t="s">
        <v>58</v>
      </c>
      <c r="E2726" s="52" t="s">
        <v>584</v>
      </c>
      <c r="F2726" s="52" t="s">
        <v>581</v>
      </c>
      <c r="G2726" s="55" t="s">
        <v>276</v>
      </c>
      <c r="H2726" s="55">
        <v>8.6582439999999998</v>
      </c>
      <c r="I2726" s="55">
        <v>3.9952009999999998</v>
      </c>
      <c r="J2726" s="55">
        <v>4.4376410000000002</v>
      </c>
      <c r="K2726" s="55">
        <v>1.0391060000000001</v>
      </c>
      <c r="L2726" s="55">
        <v>1.0464690000000001</v>
      </c>
      <c r="M2726" s="55">
        <v>0.86530949999999995</v>
      </c>
      <c r="N2726" s="55">
        <v>0.67704310000000001</v>
      </c>
    </row>
    <row r="2727" spans="1:14" hidden="1" x14ac:dyDescent="0.35">
      <c r="A2727" s="52" t="s">
        <v>222</v>
      </c>
      <c r="B2727" s="52" t="s">
        <v>223</v>
      </c>
      <c r="C2727" s="52" t="s">
        <v>58</v>
      </c>
      <c r="D2727" s="52" t="s">
        <v>58</v>
      </c>
      <c r="E2727" s="52" t="s">
        <v>584</v>
      </c>
      <c r="F2727" s="52" t="s">
        <v>581</v>
      </c>
      <c r="G2727" s="55" t="s">
        <v>279</v>
      </c>
      <c r="H2727" s="55">
        <v>5.6389810000000002</v>
      </c>
      <c r="I2727" s="55">
        <v>4.9459900000000001</v>
      </c>
      <c r="J2727" s="55">
        <v>4.8182989999999997</v>
      </c>
      <c r="K2727" s="55">
        <v>1.4973270000000001</v>
      </c>
      <c r="L2727" s="55">
        <v>1.4629700000000001</v>
      </c>
      <c r="M2727" s="55">
        <v>1.3302799999999999</v>
      </c>
      <c r="N2727" s="55">
        <v>1.2489079999999999</v>
      </c>
    </row>
    <row r="2728" spans="1:14" hidden="1" x14ac:dyDescent="0.35">
      <c r="A2728" s="52" t="s">
        <v>222</v>
      </c>
      <c r="B2728" s="52" t="s">
        <v>223</v>
      </c>
      <c r="C2728" s="52" t="s">
        <v>58</v>
      </c>
      <c r="D2728" s="52" t="s">
        <v>58</v>
      </c>
      <c r="E2728" s="52" t="s">
        <v>584</v>
      </c>
      <c r="F2728" s="52" t="s">
        <v>26</v>
      </c>
      <c r="G2728" s="55" t="s">
        <v>275</v>
      </c>
      <c r="H2728" s="55">
        <v>308.58569999999997</v>
      </c>
      <c r="I2728" s="55">
        <v>209.9126</v>
      </c>
      <c r="J2728" s="55">
        <v>119.5001</v>
      </c>
      <c r="K2728" s="55">
        <v>106.87990000000001</v>
      </c>
      <c r="L2728" s="55">
        <v>95.416889999999995</v>
      </c>
      <c r="M2728" s="55">
        <v>79.949280000000002</v>
      </c>
      <c r="N2728" s="55">
        <v>74.979969999999994</v>
      </c>
    </row>
    <row r="2729" spans="1:14" hidden="1" x14ac:dyDescent="0.35">
      <c r="A2729" s="52" t="s">
        <v>222</v>
      </c>
      <c r="B2729" s="52" t="s">
        <v>223</v>
      </c>
      <c r="C2729" s="52" t="s">
        <v>58</v>
      </c>
      <c r="D2729" s="52" t="s">
        <v>58</v>
      </c>
      <c r="E2729" s="52" t="s">
        <v>584</v>
      </c>
      <c r="F2729" s="52" t="s">
        <v>26</v>
      </c>
      <c r="G2729" s="55" t="s">
        <v>276</v>
      </c>
      <c r="H2729" s="55">
        <v>57.849020000000003</v>
      </c>
      <c r="I2729" s="55">
        <v>35.919220000000003</v>
      </c>
      <c r="J2729" s="55">
        <v>17.12041</v>
      </c>
      <c r="K2729" s="55">
        <v>15.97166</v>
      </c>
      <c r="L2729" s="55">
        <v>15.02886</v>
      </c>
      <c r="M2729" s="55">
        <v>14.77557</v>
      </c>
      <c r="N2729" s="55">
        <v>16.134219999999999</v>
      </c>
    </row>
    <row r="2730" spans="1:14" hidden="1" x14ac:dyDescent="0.35">
      <c r="A2730" s="52" t="s">
        <v>222</v>
      </c>
      <c r="B2730" s="52" t="s">
        <v>223</v>
      </c>
      <c r="C2730" s="52" t="s">
        <v>58</v>
      </c>
      <c r="D2730" s="52" t="s">
        <v>58</v>
      </c>
      <c r="E2730" s="52" t="s">
        <v>584</v>
      </c>
      <c r="F2730" s="52" t="s">
        <v>26</v>
      </c>
      <c r="G2730" s="55" t="s">
        <v>277</v>
      </c>
      <c r="H2730" s="55">
        <v>38.836100000000002</v>
      </c>
      <c r="I2730" s="55">
        <v>31.455439999999999</v>
      </c>
      <c r="J2730" s="55">
        <v>36.70729</v>
      </c>
      <c r="K2730" s="55">
        <v>25.83071</v>
      </c>
      <c r="L2730" s="55">
        <v>28.36232</v>
      </c>
      <c r="M2730" s="55">
        <v>28.66939</v>
      </c>
      <c r="N2730" s="55">
        <v>31.23817</v>
      </c>
    </row>
    <row r="2731" spans="1:14" hidden="1" x14ac:dyDescent="0.35">
      <c r="A2731" s="52" t="s">
        <v>222</v>
      </c>
      <c r="B2731" s="52" t="s">
        <v>223</v>
      </c>
      <c r="C2731" s="52" t="s">
        <v>58</v>
      </c>
      <c r="D2731" s="52" t="s">
        <v>58</v>
      </c>
      <c r="E2731" s="52" t="s">
        <v>584</v>
      </c>
      <c r="F2731" s="52" t="s">
        <v>26</v>
      </c>
      <c r="G2731" s="55" t="s">
        <v>278</v>
      </c>
      <c r="H2731" s="55">
        <v>0.1055</v>
      </c>
      <c r="I2731" s="55">
        <v>0.1055</v>
      </c>
      <c r="J2731" s="55">
        <v>1.5824999999999999E-2</v>
      </c>
      <c r="K2731" s="55">
        <v>1.5824999999999999E-2</v>
      </c>
      <c r="L2731" s="55">
        <v>1.5824999999999999E-2</v>
      </c>
      <c r="M2731" s="55">
        <v>1.5824999999999999E-2</v>
      </c>
      <c r="N2731" s="55">
        <v>0</v>
      </c>
    </row>
    <row r="2732" spans="1:14" hidden="1" x14ac:dyDescent="0.35">
      <c r="A2732" s="52" t="s">
        <v>222</v>
      </c>
      <c r="B2732" s="52" t="s">
        <v>223</v>
      </c>
      <c r="C2732" s="52" t="s">
        <v>58</v>
      </c>
      <c r="D2732" s="52" t="s">
        <v>58</v>
      </c>
      <c r="E2732" s="52" t="s">
        <v>584</v>
      </c>
      <c r="F2732" s="52" t="s">
        <v>26</v>
      </c>
      <c r="G2732" s="55" t="s">
        <v>279</v>
      </c>
      <c r="H2732" s="55">
        <v>108.7504</v>
      </c>
      <c r="I2732" s="55">
        <v>95.414519999999996</v>
      </c>
      <c r="J2732" s="55">
        <v>91.981899999999996</v>
      </c>
      <c r="K2732" s="55">
        <v>88.978880000000004</v>
      </c>
      <c r="L2732" s="55">
        <v>84.768590000000003</v>
      </c>
      <c r="M2732" s="55">
        <v>79.627579999999995</v>
      </c>
      <c r="N2732" s="55">
        <v>80.659390000000002</v>
      </c>
    </row>
    <row r="2733" spans="1:14" hidden="1" x14ac:dyDescent="0.35">
      <c r="A2733" s="52" t="s">
        <v>222</v>
      </c>
      <c r="B2733" s="52" t="s">
        <v>223</v>
      </c>
      <c r="C2733" s="52" t="s">
        <v>318</v>
      </c>
      <c r="D2733" s="52" t="s">
        <v>318</v>
      </c>
      <c r="E2733" s="52" t="s">
        <v>584</v>
      </c>
      <c r="F2733" s="52" t="s">
        <v>581</v>
      </c>
      <c r="G2733" s="55" t="s">
        <v>275</v>
      </c>
      <c r="H2733" s="55">
        <v>2.7290999999999999E-2</v>
      </c>
      <c r="I2733" s="55">
        <v>0</v>
      </c>
      <c r="J2733" s="55"/>
      <c r="K2733" s="55"/>
      <c r="L2733" s="55"/>
      <c r="M2733" s="55"/>
      <c r="N2733" s="55"/>
    </row>
    <row r="2734" spans="1:14" hidden="1" x14ac:dyDescent="0.35">
      <c r="A2734" s="52" t="s">
        <v>222</v>
      </c>
      <c r="B2734" s="52" t="s">
        <v>223</v>
      </c>
      <c r="C2734" s="52" t="s">
        <v>318</v>
      </c>
      <c r="D2734" s="52" t="s">
        <v>318</v>
      </c>
      <c r="E2734" s="52" t="s">
        <v>584</v>
      </c>
      <c r="F2734" s="52" t="s">
        <v>581</v>
      </c>
      <c r="G2734" s="55" t="s">
        <v>278</v>
      </c>
      <c r="H2734" s="55">
        <v>-2.7290999999999999E-2</v>
      </c>
      <c r="I2734" s="55">
        <v>0</v>
      </c>
      <c r="J2734" s="55"/>
      <c r="K2734" s="55"/>
      <c r="L2734" s="55"/>
      <c r="M2734" s="55"/>
      <c r="N2734" s="55"/>
    </row>
    <row r="2735" spans="1:14" hidden="1" x14ac:dyDescent="0.35">
      <c r="A2735" s="52" t="s">
        <v>222</v>
      </c>
      <c r="B2735" s="52" t="s">
        <v>223</v>
      </c>
      <c r="C2735" s="52" t="s">
        <v>318</v>
      </c>
      <c r="D2735" s="52" t="s">
        <v>318</v>
      </c>
      <c r="E2735" s="52" t="s">
        <v>584</v>
      </c>
      <c r="F2735" s="52" t="s">
        <v>26</v>
      </c>
      <c r="G2735" s="55" t="s">
        <v>275</v>
      </c>
      <c r="H2735" s="55">
        <v>1.8194999999999999E-2</v>
      </c>
      <c r="I2735" s="55">
        <v>0</v>
      </c>
      <c r="J2735" s="55"/>
      <c r="K2735" s="55"/>
      <c r="L2735" s="55"/>
      <c r="M2735" s="55"/>
      <c r="N2735" s="55"/>
    </row>
    <row r="2736" spans="1:14" hidden="1" x14ac:dyDescent="0.35">
      <c r="A2736" s="52" t="s">
        <v>222</v>
      </c>
      <c r="B2736" s="52" t="s">
        <v>223</v>
      </c>
      <c r="C2736" s="52" t="s">
        <v>318</v>
      </c>
      <c r="D2736" s="52" t="s">
        <v>318</v>
      </c>
      <c r="E2736" s="52" t="s">
        <v>584</v>
      </c>
      <c r="F2736" s="52" t="s">
        <v>26</v>
      </c>
      <c r="G2736" s="55" t="s">
        <v>278</v>
      </c>
      <c r="H2736" s="55">
        <v>-1.8194999999999999E-2</v>
      </c>
      <c r="I2736" s="55">
        <v>0</v>
      </c>
      <c r="J2736" s="55"/>
      <c r="K2736" s="55"/>
      <c r="L2736" s="55"/>
      <c r="M2736" s="55"/>
      <c r="N2736" s="55"/>
    </row>
    <row r="2737" spans="1:14" hidden="1" x14ac:dyDescent="0.35">
      <c r="A2737" s="52" t="s">
        <v>222</v>
      </c>
      <c r="B2737" s="52" t="s">
        <v>59</v>
      </c>
      <c r="C2737" s="52" t="s">
        <v>58</v>
      </c>
      <c r="D2737" s="52" t="s">
        <v>58</v>
      </c>
      <c r="E2737" s="52" t="s">
        <v>584</v>
      </c>
      <c r="F2737" s="52" t="s">
        <v>581</v>
      </c>
      <c r="G2737" s="55" t="s">
        <v>275</v>
      </c>
      <c r="H2737" s="55">
        <v>12.404960000000001</v>
      </c>
      <c r="I2737" s="55">
        <v>21.017389999999999</v>
      </c>
      <c r="J2737" s="55">
        <v>22.812159999999999</v>
      </c>
      <c r="K2737" s="55">
        <v>29.671759999999999</v>
      </c>
      <c r="L2737" s="55">
        <v>29.147629999999999</v>
      </c>
      <c r="M2737" s="55">
        <v>27.55761</v>
      </c>
      <c r="N2737" s="55">
        <v>25.29738</v>
      </c>
    </row>
    <row r="2738" spans="1:14" hidden="1" x14ac:dyDescent="0.35">
      <c r="A2738" s="52" t="s">
        <v>222</v>
      </c>
      <c r="B2738" s="52" t="s">
        <v>59</v>
      </c>
      <c r="C2738" s="52" t="s">
        <v>58</v>
      </c>
      <c r="D2738" s="52" t="s">
        <v>58</v>
      </c>
      <c r="E2738" s="52" t="s">
        <v>584</v>
      </c>
      <c r="F2738" s="52" t="s">
        <v>581</v>
      </c>
      <c r="G2738" s="55" t="s">
        <v>276</v>
      </c>
      <c r="H2738" s="55">
        <v>4.6764289999999997</v>
      </c>
      <c r="I2738" s="55">
        <v>11.210100000000001</v>
      </c>
      <c r="J2738" s="55">
        <v>12.343070000000001</v>
      </c>
      <c r="K2738" s="55">
        <v>10.613950000000001</v>
      </c>
      <c r="L2738" s="55">
        <v>6.388414</v>
      </c>
      <c r="M2738" s="55">
        <v>4.8917770000000003</v>
      </c>
      <c r="N2738" s="55">
        <v>4.5375500000000004</v>
      </c>
    </row>
    <row r="2739" spans="1:14" hidden="1" x14ac:dyDescent="0.35">
      <c r="A2739" s="52" t="s">
        <v>222</v>
      </c>
      <c r="B2739" s="52" t="s">
        <v>59</v>
      </c>
      <c r="C2739" s="52" t="s">
        <v>58</v>
      </c>
      <c r="D2739" s="52" t="s">
        <v>58</v>
      </c>
      <c r="E2739" s="52" t="s">
        <v>584</v>
      </c>
      <c r="F2739" s="52" t="s">
        <v>581</v>
      </c>
      <c r="G2739" s="55" t="s">
        <v>277</v>
      </c>
      <c r="H2739" s="55">
        <v>2.6084990000000001</v>
      </c>
      <c r="I2739" s="55">
        <v>1.73658</v>
      </c>
      <c r="J2739" s="55">
        <v>0.9439324</v>
      </c>
      <c r="K2739" s="55">
        <v>0.41606349999999998</v>
      </c>
      <c r="L2739" s="55">
        <v>1.8541350000000001</v>
      </c>
      <c r="M2739" s="55">
        <v>1.782691</v>
      </c>
      <c r="N2739" s="55">
        <v>1.152236</v>
      </c>
    </row>
    <row r="2740" spans="1:14" hidden="1" x14ac:dyDescent="0.35">
      <c r="A2740" s="52" t="s">
        <v>222</v>
      </c>
      <c r="B2740" s="52" t="s">
        <v>59</v>
      </c>
      <c r="C2740" s="52" t="s">
        <v>58</v>
      </c>
      <c r="D2740" s="52" t="s">
        <v>58</v>
      </c>
      <c r="E2740" s="52" t="s">
        <v>584</v>
      </c>
      <c r="F2740" s="52" t="s">
        <v>581</v>
      </c>
      <c r="G2740" s="55" t="s">
        <v>278</v>
      </c>
      <c r="H2740" s="55">
        <v>0.120584</v>
      </c>
      <c r="I2740" s="55">
        <v>0.120584</v>
      </c>
      <c r="J2740" s="55">
        <v>0.120584</v>
      </c>
      <c r="K2740" s="55">
        <v>0.120584</v>
      </c>
      <c r="L2740" s="55">
        <v>0.120584</v>
      </c>
      <c r="M2740" s="55">
        <v>0.120584</v>
      </c>
      <c r="N2740" s="55">
        <v>0.120584</v>
      </c>
    </row>
    <row r="2741" spans="1:14" hidden="1" x14ac:dyDescent="0.35">
      <c r="A2741" s="52" t="s">
        <v>222</v>
      </c>
      <c r="B2741" s="52" t="s">
        <v>59</v>
      </c>
      <c r="C2741" s="52" t="s">
        <v>58</v>
      </c>
      <c r="D2741" s="52" t="s">
        <v>58</v>
      </c>
      <c r="E2741" s="52" t="s">
        <v>584</v>
      </c>
      <c r="F2741" s="52" t="s">
        <v>581</v>
      </c>
      <c r="G2741" s="55" t="s">
        <v>279</v>
      </c>
      <c r="H2741" s="55">
        <v>1.929028</v>
      </c>
      <c r="I2741" s="55">
        <v>5.5982440000000002</v>
      </c>
      <c r="J2741" s="55">
        <v>6.1917650000000002</v>
      </c>
      <c r="K2741" s="55">
        <v>7.4615400000000003</v>
      </c>
      <c r="L2741" s="55">
        <v>7.0191850000000002</v>
      </c>
      <c r="M2741" s="55">
        <v>6.5367709999999999</v>
      </c>
      <c r="N2741" s="55">
        <v>6.2471740000000002</v>
      </c>
    </row>
    <row r="2742" spans="1:14" hidden="1" x14ac:dyDescent="0.35">
      <c r="A2742" s="52" t="s">
        <v>222</v>
      </c>
      <c r="B2742" s="52" t="s">
        <v>59</v>
      </c>
      <c r="C2742" s="52" t="s">
        <v>58</v>
      </c>
      <c r="D2742" s="52" t="s">
        <v>58</v>
      </c>
      <c r="E2742" s="52" t="s">
        <v>584</v>
      </c>
      <c r="F2742" s="52" t="s">
        <v>26</v>
      </c>
      <c r="G2742" s="55" t="s">
        <v>275</v>
      </c>
      <c r="H2742" s="55">
        <v>62.739069999999998</v>
      </c>
      <c r="I2742" s="55">
        <v>78.220780000000005</v>
      </c>
      <c r="J2742" s="55">
        <v>19.449100000000001</v>
      </c>
      <c r="K2742" s="55">
        <v>42.208410000000001</v>
      </c>
      <c r="L2742" s="55">
        <v>23.635429999999999</v>
      </c>
      <c r="M2742" s="55">
        <v>57.339750000000002</v>
      </c>
      <c r="N2742" s="55">
        <v>92.293440000000004</v>
      </c>
    </row>
    <row r="2743" spans="1:14" hidden="1" x14ac:dyDescent="0.35">
      <c r="A2743" s="52" t="s">
        <v>222</v>
      </c>
      <c r="B2743" s="52" t="s">
        <v>59</v>
      </c>
      <c r="C2743" s="52" t="s">
        <v>58</v>
      </c>
      <c r="D2743" s="52" t="s">
        <v>58</v>
      </c>
      <c r="E2743" s="52" t="s">
        <v>584</v>
      </c>
      <c r="F2743" s="52" t="s">
        <v>26</v>
      </c>
      <c r="G2743" s="55" t="s">
        <v>276</v>
      </c>
      <c r="H2743" s="55">
        <v>11.386979999999999</v>
      </c>
      <c r="I2743" s="55">
        <v>6.7930539999999997</v>
      </c>
      <c r="J2743" s="55">
        <v>2.7444259999999998</v>
      </c>
      <c r="K2743" s="55">
        <v>2.8460839999999998</v>
      </c>
      <c r="L2743" s="55">
        <v>2.8526560000000001</v>
      </c>
      <c r="M2743" s="55">
        <v>2.1354250000000001</v>
      </c>
      <c r="N2743" s="55">
        <v>2.213695</v>
      </c>
    </row>
    <row r="2744" spans="1:14" hidden="1" x14ac:dyDescent="0.35">
      <c r="A2744" s="52" t="s">
        <v>222</v>
      </c>
      <c r="B2744" s="52" t="s">
        <v>59</v>
      </c>
      <c r="C2744" s="52" t="s">
        <v>58</v>
      </c>
      <c r="D2744" s="52" t="s">
        <v>58</v>
      </c>
      <c r="E2744" s="52" t="s">
        <v>584</v>
      </c>
      <c r="F2744" s="52" t="s">
        <v>26</v>
      </c>
      <c r="G2744" s="55" t="s">
        <v>277</v>
      </c>
      <c r="H2744" s="55">
        <v>108.0937</v>
      </c>
      <c r="I2744" s="55">
        <v>111.1698</v>
      </c>
      <c r="J2744" s="55">
        <v>124.98909999999999</v>
      </c>
      <c r="K2744" s="55">
        <v>69.674220000000005</v>
      </c>
      <c r="L2744" s="55">
        <v>84.934989999999999</v>
      </c>
      <c r="M2744" s="55">
        <v>54.87715</v>
      </c>
      <c r="N2744" s="55">
        <v>37.867519999999999</v>
      </c>
    </row>
    <row r="2745" spans="1:14" hidden="1" x14ac:dyDescent="0.35">
      <c r="A2745" s="52" t="s">
        <v>222</v>
      </c>
      <c r="B2745" s="52" t="s">
        <v>59</v>
      </c>
      <c r="C2745" s="52" t="s">
        <v>58</v>
      </c>
      <c r="D2745" s="52" t="s">
        <v>58</v>
      </c>
      <c r="E2745" s="52" t="s">
        <v>584</v>
      </c>
      <c r="F2745" s="52" t="s">
        <v>26</v>
      </c>
      <c r="G2745" s="55" t="s">
        <v>278</v>
      </c>
      <c r="H2745" s="55">
        <v>0.229406</v>
      </c>
      <c r="I2745" s="55">
        <v>0.229406</v>
      </c>
      <c r="J2745" s="55">
        <v>0.16984399999999999</v>
      </c>
      <c r="K2745" s="55">
        <v>0.10587000000000001</v>
      </c>
      <c r="L2745" s="55">
        <v>0.10587000000000001</v>
      </c>
      <c r="M2745" s="55">
        <v>0.10587000000000001</v>
      </c>
      <c r="N2745" s="55">
        <v>2.506392</v>
      </c>
    </row>
    <row r="2746" spans="1:14" hidden="1" x14ac:dyDescent="0.35">
      <c r="A2746" s="52" t="s">
        <v>222</v>
      </c>
      <c r="B2746" s="52" t="s">
        <v>59</v>
      </c>
      <c r="C2746" s="52" t="s">
        <v>58</v>
      </c>
      <c r="D2746" s="52" t="s">
        <v>58</v>
      </c>
      <c r="E2746" s="52" t="s">
        <v>584</v>
      </c>
      <c r="F2746" s="52" t="s">
        <v>26</v>
      </c>
      <c r="G2746" s="55" t="s">
        <v>279</v>
      </c>
      <c r="H2746" s="55">
        <v>50.04862</v>
      </c>
      <c r="I2746" s="55">
        <v>59.824010000000001</v>
      </c>
      <c r="J2746" s="55">
        <v>63.879809999999999</v>
      </c>
      <c r="K2746" s="55">
        <v>66.016710000000003</v>
      </c>
      <c r="L2746" s="55">
        <v>72.321629999999999</v>
      </c>
      <c r="M2746" s="55">
        <v>79.241950000000003</v>
      </c>
      <c r="N2746" s="55">
        <v>81.934070000000006</v>
      </c>
    </row>
    <row r="2747" spans="1:14" hidden="1" x14ac:dyDescent="0.35">
      <c r="A2747" s="52" t="s">
        <v>222</v>
      </c>
      <c r="B2747" s="52" t="s">
        <v>59</v>
      </c>
      <c r="C2747" s="52" t="s">
        <v>318</v>
      </c>
      <c r="D2747" s="52" t="s">
        <v>318</v>
      </c>
      <c r="E2747" s="52" t="s">
        <v>584</v>
      </c>
      <c r="F2747" s="52" t="s">
        <v>581</v>
      </c>
      <c r="G2747" s="55" t="s">
        <v>275</v>
      </c>
      <c r="H2747" s="55">
        <v>0.111138</v>
      </c>
      <c r="I2747" s="55">
        <v>0</v>
      </c>
      <c r="J2747" s="55"/>
      <c r="K2747" s="55"/>
      <c r="L2747" s="55"/>
      <c r="M2747" s="55"/>
      <c r="N2747" s="55"/>
    </row>
    <row r="2748" spans="1:14" hidden="1" x14ac:dyDescent="0.35">
      <c r="A2748" s="52" t="s">
        <v>222</v>
      </c>
      <c r="B2748" s="52" t="s">
        <v>59</v>
      </c>
      <c r="C2748" s="52" t="s">
        <v>318</v>
      </c>
      <c r="D2748" s="52" t="s">
        <v>318</v>
      </c>
      <c r="E2748" s="52" t="s">
        <v>584</v>
      </c>
      <c r="F2748" s="52" t="s">
        <v>581</v>
      </c>
      <c r="G2748" s="55" t="s">
        <v>278</v>
      </c>
      <c r="H2748" s="55">
        <v>-0.111138</v>
      </c>
      <c r="I2748" s="55">
        <v>0</v>
      </c>
      <c r="J2748" s="55"/>
      <c r="K2748" s="55"/>
      <c r="L2748" s="55"/>
      <c r="M2748" s="55"/>
      <c r="N2748" s="55"/>
    </row>
    <row r="2749" spans="1:14" hidden="1" x14ac:dyDescent="0.35">
      <c r="A2749" s="52" t="s">
        <v>222</v>
      </c>
      <c r="B2749" s="52" t="s">
        <v>59</v>
      </c>
      <c r="C2749" s="52" t="s">
        <v>318</v>
      </c>
      <c r="D2749" s="52" t="s">
        <v>318</v>
      </c>
      <c r="E2749" s="52" t="s">
        <v>584</v>
      </c>
      <c r="F2749" s="52" t="s">
        <v>26</v>
      </c>
      <c r="G2749" s="55" t="s">
        <v>275</v>
      </c>
      <c r="H2749" s="55">
        <v>7.4092000000000005E-2</v>
      </c>
      <c r="I2749" s="55">
        <v>0</v>
      </c>
      <c r="J2749" s="55"/>
      <c r="K2749" s="55"/>
      <c r="L2749" s="55"/>
      <c r="M2749" s="55"/>
      <c r="N2749" s="55"/>
    </row>
    <row r="2750" spans="1:14" hidden="1" x14ac:dyDescent="0.35">
      <c r="A2750" s="52" t="s">
        <v>222</v>
      </c>
      <c r="B2750" s="52" t="s">
        <v>59</v>
      </c>
      <c r="C2750" s="52" t="s">
        <v>161</v>
      </c>
      <c r="D2750" s="52" t="s">
        <v>161</v>
      </c>
      <c r="E2750" s="52" t="s">
        <v>584</v>
      </c>
      <c r="F2750" s="52" t="s">
        <v>26</v>
      </c>
      <c r="G2750" s="55" t="s">
        <v>275</v>
      </c>
      <c r="H2750" s="55"/>
      <c r="I2750" s="55"/>
      <c r="J2750" s="55">
        <v>0</v>
      </c>
      <c r="K2750" s="55">
        <v>0</v>
      </c>
      <c r="L2750" s="55">
        <v>0</v>
      </c>
      <c r="M2750" s="55">
        <v>0</v>
      </c>
      <c r="N2750" s="55">
        <v>0</v>
      </c>
    </row>
    <row r="2751" spans="1:14" hidden="1" x14ac:dyDescent="0.35">
      <c r="A2751" s="52" t="s">
        <v>222</v>
      </c>
      <c r="B2751" s="52" t="s">
        <v>59</v>
      </c>
      <c r="C2751" s="52" t="s">
        <v>318</v>
      </c>
      <c r="D2751" s="52" t="s">
        <v>318</v>
      </c>
      <c r="E2751" s="52" t="s">
        <v>584</v>
      </c>
      <c r="F2751" s="52" t="s">
        <v>26</v>
      </c>
      <c r="G2751" s="55" t="s">
        <v>278</v>
      </c>
      <c r="H2751" s="55">
        <v>-7.4092000000000005E-2</v>
      </c>
      <c r="I2751" s="55">
        <v>0</v>
      </c>
      <c r="J2751" s="55"/>
      <c r="K2751" s="55"/>
      <c r="L2751" s="55"/>
      <c r="M2751" s="55"/>
      <c r="N2751" s="55"/>
    </row>
    <row r="2752" spans="1:14" hidden="1" x14ac:dyDescent="0.35">
      <c r="A2752" s="52" t="s">
        <v>222</v>
      </c>
      <c r="B2752" s="52" t="s">
        <v>59</v>
      </c>
      <c r="C2752" s="52" t="s">
        <v>161</v>
      </c>
      <c r="D2752" s="52" t="s">
        <v>161</v>
      </c>
      <c r="E2752" s="52" t="s">
        <v>584</v>
      </c>
      <c r="F2752" s="52" t="s">
        <v>26</v>
      </c>
      <c r="G2752" s="55" t="s">
        <v>278</v>
      </c>
      <c r="H2752" s="55"/>
      <c r="I2752" s="55"/>
      <c r="J2752" s="55">
        <v>0</v>
      </c>
      <c r="K2752" s="55">
        <v>0</v>
      </c>
      <c r="L2752" s="55">
        <v>0</v>
      </c>
      <c r="M2752" s="55">
        <v>0</v>
      </c>
      <c r="N2752" s="55">
        <v>0</v>
      </c>
    </row>
    <row r="2753" spans="1:14" hidden="1" x14ac:dyDescent="0.35">
      <c r="A2753" s="52" t="s">
        <v>222</v>
      </c>
      <c r="B2753" s="52" t="s">
        <v>210</v>
      </c>
      <c r="C2753" s="52" t="s">
        <v>209</v>
      </c>
      <c r="D2753" s="52" t="s">
        <v>209</v>
      </c>
      <c r="E2753" s="52" t="s">
        <v>584</v>
      </c>
      <c r="F2753" s="52" t="s">
        <v>581</v>
      </c>
      <c r="G2753" s="55" t="s">
        <v>275</v>
      </c>
      <c r="H2753" s="55">
        <v>163.73320000000001</v>
      </c>
      <c r="I2753" s="55">
        <v>34.302819999999997</v>
      </c>
      <c r="J2753" s="55">
        <v>78.4465</v>
      </c>
      <c r="K2753" s="55">
        <v>76.111459999999994</v>
      </c>
      <c r="L2753" s="55">
        <v>84.205259999999996</v>
      </c>
      <c r="M2753" s="55">
        <v>78.768219999999999</v>
      </c>
      <c r="N2753" s="55">
        <v>66.624279999999999</v>
      </c>
    </row>
    <row r="2754" spans="1:14" hidden="1" x14ac:dyDescent="0.35">
      <c r="A2754" s="52" t="s">
        <v>222</v>
      </c>
      <c r="B2754" s="52" t="s">
        <v>210</v>
      </c>
      <c r="C2754" s="52" t="s">
        <v>209</v>
      </c>
      <c r="D2754" s="52" t="s">
        <v>209</v>
      </c>
      <c r="E2754" s="52" t="s">
        <v>584</v>
      </c>
      <c r="F2754" s="52" t="s">
        <v>581</v>
      </c>
      <c r="G2754" s="55" t="s">
        <v>276</v>
      </c>
      <c r="H2754" s="55">
        <v>53.211039999999997</v>
      </c>
      <c r="I2754" s="55">
        <v>16.09132</v>
      </c>
      <c r="J2754" s="55">
        <v>27.699280000000002</v>
      </c>
      <c r="K2754" s="55">
        <v>28.476790000000001</v>
      </c>
      <c r="L2754" s="55">
        <v>29.478390000000001</v>
      </c>
      <c r="M2754" s="55">
        <v>26.841470000000001</v>
      </c>
      <c r="N2754" s="55">
        <v>25.440770000000001</v>
      </c>
    </row>
    <row r="2755" spans="1:14" hidden="1" x14ac:dyDescent="0.35">
      <c r="A2755" s="52" t="s">
        <v>222</v>
      </c>
      <c r="B2755" s="52" t="s">
        <v>210</v>
      </c>
      <c r="C2755" s="52" t="s">
        <v>209</v>
      </c>
      <c r="D2755" s="52" t="s">
        <v>209</v>
      </c>
      <c r="E2755" s="52" t="s">
        <v>584</v>
      </c>
      <c r="F2755" s="52" t="s">
        <v>581</v>
      </c>
      <c r="G2755" s="55" t="s">
        <v>277</v>
      </c>
      <c r="H2755" s="55">
        <v>39.553229999999999</v>
      </c>
      <c r="I2755" s="55">
        <v>17.29026</v>
      </c>
      <c r="J2755" s="55">
        <v>18.59675</v>
      </c>
      <c r="K2755" s="55">
        <v>20.534960000000002</v>
      </c>
      <c r="L2755" s="55">
        <v>15.910830000000001</v>
      </c>
      <c r="M2755" s="55">
        <v>14.25906</v>
      </c>
      <c r="N2755" s="55">
        <v>11.091699999999999</v>
      </c>
    </row>
    <row r="2756" spans="1:14" hidden="1" x14ac:dyDescent="0.35">
      <c r="A2756" s="52" t="s">
        <v>222</v>
      </c>
      <c r="B2756" s="52" t="s">
        <v>210</v>
      </c>
      <c r="C2756" s="52" t="s">
        <v>209</v>
      </c>
      <c r="D2756" s="52" t="s">
        <v>209</v>
      </c>
      <c r="E2756" s="52" t="s">
        <v>584</v>
      </c>
      <c r="F2756" s="52" t="s">
        <v>581</v>
      </c>
      <c r="G2756" s="55" t="s">
        <v>278</v>
      </c>
      <c r="H2756" s="55">
        <v>6.8527229999999995E-2</v>
      </c>
      <c r="I2756" s="55">
        <v>6.8527240000000003E-2</v>
      </c>
      <c r="J2756" s="55">
        <v>6.8527229999999995E-2</v>
      </c>
      <c r="K2756" s="55">
        <v>6.8527229999999995E-2</v>
      </c>
      <c r="L2756" s="55">
        <v>0.1401627</v>
      </c>
      <c r="M2756" s="55">
        <v>6.8527240000000003E-2</v>
      </c>
      <c r="N2756" s="55">
        <v>0.6266465</v>
      </c>
    </row>
    <row r="2757" spans="1:14" hidden="1" x14ac:dyDescent="0.35">
      <c r="A2757" s="52" t="s">
        <v>222</v>
      </c>
      <c r="B2757" s="52" t="s">
        <v>210</v>
      </c>
      <c r="C2757" s="52" t="s">
        <v>209</v>
      </c>
      <c r="D2757" s="52" t="s">
        <v>209</v>
      </c>
      <c r="E2757" s="52" t="s">
        <v>584</v>
      </c>
      <c r="F2757" s="52" t="s">
        <v>581</v>
      </c>
      <c r="G2757" s="55" t="s">
        <v>279</v>
      </c>
      <c r="H2757" s="55">
        <v>44.59057</v>
      </c>
      <c r="I2757" s="55">
        <v>26.681629999999998</v>
      </c>
      <c r="J2757" s="55">
        <v>46.950249999999997</v>
      </c>
      <c r="K2757" s="55">
        <v>50.842739999999999</v>
      </c>
      <c r="L2757" s="55">
        <v>53.04551</v>
      </c>
      <c r="M2757" s="55">
        <v>47.999200000000002</v>
      </c>
      <c r="N2757" s="55">
        <v>42.471490000000003</v>
      </c>
    </row>
    <row r="2758" spans="1:14" hidden="1" x14ac:dyDescent="0.35">
      <c r="A2758" s="52" t="s">
        <v>222</v>
      </c>
      <c r="B2758" s="52" t="s">
        <v>210</v>
      </c>
      <c r="C2758" s="52" t="s">
        <v>209</v>
      </c>
      <c r="D2758" s="52" t="s">
        <v>209</v>
      </c>
      <c r="E2758" s="52" t="s">
        <v>584</v>
      </c>
      <c r="F2758" s="52" t="s">
        <v>26</v>
      </c>
      <c r="G2758" s="55" t="s">
        <v>275</v>
      </c>
      <c r="H2758" s="55">
        <v>-5.9694229999999999</v>
      </c>
      <c r="I2758" s="55">
        <v>-3.0696599999999998</v>
      </c>
      <c r="J2758" s="55">
        <v>-5.1754470000000001</v>
      </c>
      <c r="K2758" s="55">
        <v>-5.4279349999999997</v>
      </c>
      <c r="L2758" s="55">
        <v>-9.3498160000000006</v>
      </c>
      <c r="M2758" s="55">
        <v>-9.374269</v>
      </c>
      <c r="N2758" s="55">
        <v>-10.64697</v>
      </c>
    </row>
    <row r="2759" spans="1:14" hidden="1" x14ac:dyDescent="0.35">
      <c r="A2759" s="52" t="s">
        <v>222</v>
      </c>
      <c r="B2759" s="52" t="s">
        <v>210</v>
      </c>
      <c r="C2759" s="52" t="s">
        <v>209</v>
      </c>
      <c r="D2759" s="52" t="s">
        <v>209</v>
      </c>
      <c r="E2759" s="52" t="s">
        <v>584</v>
      </c>
      <c r="F2759" s="52" t="s">
        <v>26</v>
      </c>
      <c r="G2759" s="55" t="s">
        <v>276</v>
      </c>
      <c r="H2759" s="55">
        <v>19.87771</v>
      </c>
      <c r="I2759" s="55">
        <v>10.87731</v>
      </c>
      <c r="J2759" s="55">
        <v>21.422529999999998</v>
      </c>
      <c r="K2759" s="55">
        <v>22.26202</v>
      </c>
      <c r="L2759" s="55">
        <v>23.49972</v>
      </c>
      <c r="M2759" s="55">
        <v>24.422129999999999</v>
      </c>
      <c r="N2759" s="55">
        <v>23.29842</v>
      </c>
    </row>
    <row r="2760" spans="1:14" hidden="1" x14ac:dyDescent="0.35">
      <c r="A2760" s="52" t="s">
        <v>222</v>
      </c>
      <c r="B2760" s="52" t="s">
        <v>210</v>
      </c>
      <c r="C2760" s="52" t="s">
        <v>209</v>
      </c>
      <c r="D2760" s="52" t="s">
        <v>209</v>
      </c>
      <c r="E2760" s="52" t="s">
        <v>584</v>
      </c>
      <c r="F2760" s="52" t="s">
        <v>26</v>
      </c>
      <c r="G2760" s="55" t="s">
        <v>277</v>
      </c>
      <c r="H2760" s="55">
        <v>1.2694430000000001</v>
      </c>
      <c r="I2760" s="55">
        <v>0.8406998</v>
      </c>
      <c r="J2760" s="55">
        <v>0.65600009999999997</v>
      </c>
      <c r="K2760" s="55">
        <v>0.41</v>
      </c>
      <c r="L2760" s="55">
        <v>4.2051069999999999</v>
      </c>
      <c r="M2760" s="55">
        <v>4.1745080000000003</v>
      </c>
      <c r="N2760" s="55">
        <v>5.8653560000000002</v>
      </c>
    </row>
    <row r="2761" spans="1:14" hidden="1" x14ac:dyDescent="0.35">
      <c r="A2761" s="52" t="s">
        <v>222</v>
      </c>
      <c r="B2761" s="52" t="s">
        <v>210</v>
      </c>
      <c r="C2761" s="52" t="s">
        <v>209</v>
      </c>
      <c r="D2761" s="52" t="s">
        <v>209</v>
      </c>
      <c r="E2761" s="52" t="s">
        <v>584</v>
      </c>
      <c r="F2761" s="52" t="s">
        <v>26</v>
      </c>
      <c r="G2761" s="55" t="s">
        <v>278</v>
      </c>
      <c r="H2761" s="55">
        <v>0.147843</v>
      </c>
      <c r="I2761" s="55">
        <v>0.147843</v>
      </c>
      <c r="J2761" s="55">
        <v>0.147843</v>
      </c>
      <c r="K2761" s="55">
        <v>0.147843</v>
      </c>
      <c r="L2761" s="55">
        <v>0.147843</v>
      </c>
      <c r="M2761" s="55">
        <v>0.147843</v>
      </c>
      <c r="N2761" s="55">
        <v>0.147843</v>
      </c>
    </row>
    <row r="2762" spans="1:14" hidden="1" x14ac:dyDescent="0.35">
      <c r="A2762" s="52" t="s">
        <v>222</v>
      </c>
      <c r="B2762" s="52" t="s">
        <v>210</v>
      </c>
      <c r="C2762" s="52" t="s">
        <v>209</v>
      </c>
      <c r="D2762" s="52" t="s">
        <v>209</v>
      </c>
      <c r="E2762" s="52" t="s">
        <v>584</v>
      </c>
      <c r="F2762" s="52" t="s">
        <v>26</v>
      </c>
      <c r="G2762" s="55" t="s">
        <v>279</v>
      </c>
      <c r="H2762" s="55">
        <v>6.7160289999999998</v>
      </c>
      <c r="I2762" s="55">
        <v>3.3889420000000001</v>
      </c>
      <c r="J2762" s="55">
        <v>6.5494960000000004</v>
      </c>
      <c r="K2762" s="55">
        <v>7.2867769999999998</v>
      </c>
      <c r="L2762" s="55">
        <v>7.7377900000000004</v>
      </c>
      <c r="M2762" s="55">
        <v>8.0899099999999997</v>
      </c>
      <c r="N2762" s="55">
        <v>7.8034739999999996</v>
      </c>
    </row>
    <row r="2763" spans="1:14" hidden="1" x14ac:dyDescent="0.35">
      <c r="A2763" s="52" t="s">
        <v>222</v>
      </c>
      <c r="B2763" s="52" t="s">
        <v>210</v>
      </c>
      <c r="C2763" s="52" t="s">
        <v>376</v>
      </c>
      <c r="D2763" s="52" t="s">
        <v>376</v>
      </c>
      <c r="E2763" s="52" t="s">
        <v>584</v>
      </c>
      <c r="F2763" s="52" t="s">
        <v>581</v>
      </c>
      <c r="G2763" s="55" t="s">
        <v>275</v>
      </c>
      <c r="H2763" s="55">
        <v>-3.8232499999999998E-3</v>
      </c>
      <c r="I2763" s="55">
        <v>-3.8232499999999998E-3</v>
      </c>
      <c r="J2763" s="55">
        <v>0</v>
      </c>
      <c r="K2763" s="55">
        <v>0</v>
      </c>
      <c r="L2763" s="55">
        <v>0</v>
      </c>
      <c r="M2763" s="55">
        <v>0</v>
      </c>
      <c r="N2763" s="55">
        <v>0</v>
      </c>
    </row>
    <row r="2764" spans="1:14" hidden="1" x14ac:dyDescent="0.35">
      <c r="A2764" s="52" t="s">
        <v>222</v>
      </c>
      <c r="B2764" s="52" t="s">
        <v>210</v>
      </c>
      <c r="C2764" s="52" t="s">
        <v>318</v>
      </c>
      <c r="D2764" s="52" t="s">
        <v>318</v>
      </c>
      <c r="E2764" s="52" t="s">
        <v>584</v>
      </c>
      <c r="F2764" s="52" t="s">
        <v>581</v>
      </c>
      <c r="G2764" s="55" t="s">
        <v>275</v>
      </c>
      <c r="H2764" s="55">
        <v>5.269799E-2</v>
      </c>
      <c r="I2764" s="55">
        <v>0</v>
      </c>
      <c r="J2764" s="55"/>
      <c r="K2764" s="55"/>
      <c r="L2764" s="55"/>
      <c r="M2764" s="55"/>
      <c r="N2764" s="55"/>
    </row>
    <row r="2765" spans="1:14" hidden="1" x14ac:dyDescent="0.35">
      <c r="A2765" s="52" t="s">
        <v>222</v>
      </c>
      <c r="B2765" s="52" t="s">
        <v>210</v>
      </c>
      <c r="C2765" s="52" t="s">
        <v>376</v>
      </c>
      <c r="D2765" s="52" t="s">
        <v>376</v>
      </c>
      <c r="E2765" s="52" t="s">
        <v>584</v>
      </c>
      <c r="F2765" s="52" t="s">
        <v>581</v>
      </c>
      <c r="G2765" s="55" t="s">
        <v>276</v>
      </c>
      <c r="H2765" s="55"/>
      <c r="I2765" s="55"/>
      <c r="J2765" s="55">
        <v>-3.8232499999999998E-3</v>
      </c>
      <c r="K2765" s="55">
        <v>-3.8231680000000001E-3</v>
      </c>
      <c r="L2765" s="55">
        <v>-3.8232499999999998E-3</v>
      </c>
      <c r="M2765" s="55">
        <v>-3.8232499999999998E-3</v>
      </c>
      <c r="N2765" s="55">
        <v>-0.1256266</v>
      </c>
    </row>
    <row r="2766" spans="1:14" hidden="1" x14ac:dyDescent="0.35">
      <c r="A2766" s="52" t="s">
        <v>222</v>
      </c>
      <c r="B2766" s="52" t="s">
        <v>210</v>
      </c>
      <c r="C2766" s="52" t="s">
        <v>376</v>
      </c>
      <c r="D2766" s="52" t="s">
        <v>376</v>
      </c>
      <c r="E2766" s="52" t="s">
        <v>584</v>
      </c>
      <c r="F2766" s="52" t="s">
        <v>581</v>
      </c>
      <c r="G2766" s="55" t="s">
        <v>278</v>
      </c>
      <c r="H2766" s="55">
        <v>3.8232499999999998E-3</v>
      </c>
      <c r="I2766" s="55">
        <v>3.8232499999999998E-3</v>
      </c>
      <c r="J2766" s="55">
        <v>3.8232499999999998E-3</v>
      </c>
      <c r="K2766" s="55">
        <v>3.8231680000000001E-3</v>
      </c>
      <c r="L2766" s="55">
        <v>3.8232499999999998E-3</v>
      </c>
      <c r="M2766" s="55">
        <v>3.8232499999999998E-3</v>
      </c>
      <c r="N2766" s="55">
        <v>0.1256266</v>
      </c>
    </row>
    <row r="2767" spans="1:14" hidden="1" x14ac:dyDescent="0.35">
      <c r="A2767" s="52" t="s">
        <v>222</v>
      </c>
      <c r="B2767" s="52" t="s">
        <v>210</v>
      </c>
      <c r="C2767" s="52" t="s">
        <v>318</v>
      </c>
      <c r="D2767" s="52" t="s">
        <v>318</v>
      </c>
      <c r="E2767" s="52" t="s">
        <v>584</v>
      </c>
      <c r="F2767" s="52" t="s">
        <v>581</v>
      </c>
      <c r="G2767" s="55" t="s">
        <v>278</v>
      </c>
      <c r="H2767" s="55">
        <v>-5.269799E-2</v>
      </c>
      <c r="I2767" s="55">
        <v>0</v>
      </c>
      <c r="J2767" s="55"/>
      <c r="K2767" s="55"/>
      <c r="L2767" s="55"/>
      <c r="M2767" s="55"/>
      <c r="N2767" s="55"/>
    </row>
    <row r="2768" spans="1:14" hidden="1" x14ac:dyDescent="0.35">
      <c r="A2768" s="52" t="s">
        <v>222</v>
      </c>
      <c r="B2768" s="52" t="s">
        <v>210</v>
      </c>
      <c r="C2768" s="52" t="s">
        <v>318</v>
      </c>
      <c r="D2768" s="52" t="s">
        <v>318</v>
      </c>
      <c r="E2768" s="52" t="s">
        <v>584</v>
      </c>
      <c r="F2768" s="52" t="s">
        <v>26</v>
      </c>
      <c r="G2768" s="55" t="s">
        <v>275</v>
      </c>
      <c r="H2768" s="55">
        <v>3.5131990000000002E-2</v>
      </c>
      <c r="I2768" s="55">
        <v>0</v>
      </c>
      <c r="J2768" s="55"/>
      <c r="K2768" s="55"/>
      <c r="L2768" s="55"/>
      <c r="M2768" s="55"/>
      <c r="N2768" s="55"/>
    </row>
    <row r="2769" spans="1:14" hidden="1" x14ac:dyDescent="0.35">
      <c r="A2769" s="52" t="s">
        <v>222</v>
      </c>
      <c r="B2769" s="52" t="s">
        <v>210</v>
      </c>
      <c r="C2769" s="52" t="s">
        <v>318</v>
      </c>
      <c r="D2769" s="52" t="s">
        <v>318</v>
      </c>
      <c r="E2769" s="52" t="s">
        <v>584</v>
      </c>
      <c r="F2769" s="52" t="s">
        <v>26</v>
      </c>
      <c r="G2769" s="55" t="s">
        <v>278</v>
      </c>
      <c r="H2769" s="55">
        <v>-3.5131990000000002E-2</v>
      </c>
      <c r="I2769" s="55">
        <v>0</v>
      </c>
      <c r="J2769" s="55"/>
      <c r="K2769" s="55"/>
      <c r="L2769" s="55"/>
      <c r="M2769" s="55"/>
      <c r="N2769" s="55"/>
    </row>
    <row r="2770" spans="1:14" hidden="1" x14ac:dyDescent="0.35">
      <c r="A2770" s="52" t="s">
        <v>222</v>
      </c>
      <c r="B2770" s="52" t="s">
        <v>168</v>
      </c>
      <c r="C2770" s="52" t="s">
        <v>87</v>
      </c>
      <c r="D2770" s="52" t="s">
        <v>87</v>
      </c>
      <c r="E2770" s="52" t="s">
        <v>584</v>
      </c>
      <c r="F2770" s="52" t="s">
        <v>581</v>
      </c>
      <c r="G2770" s="55" t="s">
        <v>275</v>
      </c>
      <c r="H2770" s="55">
        <v>117.58929999999999</v>
      </c>
      <c r="I2770" s="55">
        <v>45.457389999999997</v>
      </c>
      <c r="J2770" s="55">
        <v>9.0851559999999996</v>
      </c>
      <c r="K2770" s="55">
        <v>2.9200490000000001</v>
      </c>
      <c r="L2770" s="55">
        <v>12.00489</v>
      </c>
      <c r="M2770" s="55">
        <v>10.939069999999999</v>
      </c>
      <c r="N2770" s="55">
        <v>7.6003270000000001</v>
      </c>
    </row>
    <row r="2771" spans="1:14" hidden="1" x14ac:dyDescent="0.35">
      <c r="A2771" s="52" t="s">
        <v>222</v>
      </c>
      <c r="B2771" s="52" t="s">
        <v>168</v>
      </c>
      <c r="C2771" s="52" t="s">
        <v>87</v>
      </c>
      <c r="D2771" s="52" t="s">
        <v>87</v>
      </c>
      <c r="E2771" s="52" t="s">
        <v>584</v>
      </c>
      <c r="F2771" s="52" t="s">
        <v>581</v>
      </c>
      <c r="G2771" s="55" t="s">
        <v>276</v>
      </c>
      <c r="H2771" s="55">
        <v>-28.04035</v>
      </c>
      <c r="I2771" s="55">
        <v>-9.989725</v>
      </c>
      <c r="J2771" s="55">
        <v>4.7316060000000002</v>
      </c>
      <c r="K2771" s="55">
        <v>13.18032</v>
      </c>
      <c r="L2771" s="55">
        <v>19.323550000000001</v>
      </c>
      <c r="M2771" s="55">
        <v>16.750579999999999</v>
      </c>
      <c r="N2771" s="55">
        <v>7.7599229999999997</v>
      </c>
    </row>
    <row r="2772" spans="1:14" hidden="1" x14ac:dyDescent="0.35">
      <c r="A2772" s="52" t="s">
        <v>222</v>
      </c>
      <c r="B2772" s="52" t="s">
        <v>168</v>
      </c>
      <c r="C2772" s="52" t="s">
        <v>87</v>
      </c>
      <c r="D2772" s="52" t="s">
        <v>87</v>
      </c>
      <c r="E2772" s="52" t="s">
        <v>584</v>
      </c>
      <c r="F2772" s="52" t="s">
        <v>581</v>
      </c>
      <c r="G2772" s="55" t="s">
        <v>277</v>
      </c>
      <c r="H2772" s="55">
        <v>6.1500009999999996</v>
      </c>
      <c r="I2772" s="55">
        <v>6.15</v>
      </c>
      <c r="J2772" s="55">
        <v>12.01863</v>
      </c>
      <c r="K2772" s="55">
        <v>13.032780000000001</v>
      </c>
      <c r="L2772" s="55"/>
      <c r="M2772" s="55"/>
      <c r="N2772" s="55"/>
    </row>
    <row r="2773" spans="1:14" hidden="1" x14ac:dyDescent="0.35">
      <c r="A2773" s="52" t="s">
        <v>222</v>
      </c>
      <c r="B2773" s="52" t="s">
        <v>168</v>
      </c>
      <c r="C2773" s="52" t="s">
        <v>87</v>
      </c>
      <c r="D2773" s="52" t="s">
        <v>87</v>
      </c>
      <c r="E2773" s="52" t="s">
        <v>584</v>
      </c>
      <c r="F2773" s="52" t="s">
        <v>581</v>
      </c>
      <c r="G2773" s="55" t="s">
        <v>278</v>
      </c>
      <c r="H2773" s="55">
        <v>6.6533259999999999</v>
      </c>
      <c r="I2773" s="55">
        <v>0.131496</v>
      </c>
      <c r="J2773" s="55">
        <v>0.131496</v>
      </c>
      <c r="K2773" s="55">
        <v>0.131496</v>
      </c>
      <c r="L2773" s="55">
        <v>0.131496</v>
      </c>
      <c r="M2773" s="55">
        <v>0.131496</v>
      </c>
      <c r="N2773" s="55">
        <v>0.131496</v>
      </c>
    </row>
    <row r="2774" spans="1:14" hidden="1" x14ac:dyDescent="0.35">
      <c r="A2774" s="52" t="s">
        <v>222</v>
      </c>
      <c r="B2774" s="52" t="s">
        <v>168</v>
      </c>
      <c r="C2774" s="52" t="s">
        <v>87</v>
      </c>
      <c r="D2774" s="52" t="s">
        <v>87</v>
      </c>
      <c r="E2774" s="52" t="s">
        <v>584</v>
      </c>
      <c r="F2774" s="52" t="s">
        <v>581</v>
      </c>
      <c r="G2774" s="55" t="s">
        <v>279</v>
      </c>
      <c r="H2774" s="55">
        <v>36.604289999999999</v>
      </c>
      <c r="I2774" s="55">
        <v>34.759050000000002</v>
      </c>
      <c r="J2774" s="55">
        <v>33.41639</v>
      </c>
      <c r="K2774" s="55">
        <v>37.136670000000002</v>
      </c>
      <c r="L2774" s="55">
        <v>40.095030000000001</v>
      </c>
      <c r="M2774" s="55">
        <v>40.232959999999999</v>
      </c>
      <c r="N2774" s="55">
        <v>38.96846</v>
      </c>
    </row>
    <row r="2775" spans="1:14" hidden="1" x14ac:dyDescent="0.35">
      <c r="A2775" s="52" t="s">
        <v>222</v>
      </c>
      <c r="B2775" s="52" t="s">
        <v>168</v>
      </c>
      <c r="C2775" s="52" t="s">
        <v>87</v>
      </c>
      <c r="D2775" s="52" t="s">
        <v>87</v>
      </c>
      <c r="E2775" s="52" t="s">
        <v>584</v>
      </c>
      <c r="F2775" s="52" t="s">
        <v>26</v>
      </c>
      <c r="G2775" s="55" t="s">
        <v>275</v>
      </c>
      <c r="H2775" s="55">
        <v>5.4309250000000002</v>
      </c>
      <c r="I2775" s="55">
        <v>4.1168370000000003</v>
      </c>
      <c r="J2775" s="55">
        <v>5.0530600000000003</v>
      </c>
      <c r="K2775" s="55">
        <v>4.3946110000000003</v>
      </c>
      <c r="L2775" s="55">
        <v>5.9266800000000002</v>
      </c>
      <c r="M2775" s="55">
        <v>5.6828640000000004</v>
      </c>
      <c r="N2775" s="55">
        <v>5.0887089999999997</v>
      </c>
    </row>
    <row r="2776" spans="1:14" hidden="1" x14ac:dyDescent="0.35">
      <c r="A2776" s="52" t="s">
        <v>222</v>
      </c>
      <c r="B2776" s="52" t="s">
        <v>168</v>
      </c>
      <c r="C2776" s="52" t="s">
        <v>87</v>
      </c>
      <c r="D2776" s="52" t="s">
        <v>87</v>
      </c>
      <c r="E2776" s="52" t="s">
        <v>584</v>
      </c>
      <c r="F2776" s="52" t="s">
        <v>26</v>
      </c>
      <c r="G2776" s="55" t="s">
        <v>276</v>
      </c>
      <c r="H2776" s="55">
        <v>9.6549650000000007</v>
      </c>
      <c r="I2776" s="55">
        <v>6.937303</v>
      </c>
      <c r="J2776" s="55">
        <v>6.973427</v>
      </c>
      <c r="K2776" s="55">
        <v>7.812646</v>
      </c>
      <c r="L2776" s="55">
        <v>10.53632</v>
      </c>
      <c r="M2776" s="55">
        <v>10.102869999999999</v>
      </c>
      <c r="N2776" s="55">
        <v>8.0714649999999999</v>
      </c>
    </row>
    <row r="2777" spans="1:14" hidden="1" x14ac:dyDescent="0.35">
      <c r="A2777" s="52" t="s">
        <v>222</v>
      </c>
      <c r="B2777" s="52" t="s">
        <v>168</v>
      </c>
      <c r="C2777" s="52" t="s">
        <v>87</v>
      </c>
      <c r="D2777" s="52" t="s">
        <v>87</v>
      </c>
      <c r="E2777" s="52" t="s">
        <v>584</v>
      </c>
      <c r="F2777" s="52" t="s">
        <v>26</v>
      </c>
      <c r="G2777" s="55" t="s">
        <v>279</v>
      </c>
      <c r="H2777" s="55">
        <v>4.3313499999999996</v>
      </c>
      <c r="I2777" s="55">
        <v>3.7429969999999999</v>
      </c>
      <c r="J2777" s="55">
        <v>3.6579039999999998</v>
      </c>
      <c r="K2777" s="55">
        <v>3.9481489999999999</v>
      </c>
      <c r="L2777" s="55">
        <v>5.1190100000000003</v>
      </c>
      <c r="M2777" s="55">
        <v>4.9291320000000001</v>
      </c>
      <c r="N2777" s="55">
        <v>4.2048160000000001</v>
      </c>
    </row>
    <row r="2778" spans="1:14" hidden="1" x14ac:dyDescent="0.35">
      <c r="A2778" s="52" t="s">
        <v>222</v>
      </c>
      <c r="B2778" s="52" t="s">
        <v>168</v>
      </c>
      <c r="C2778" s="52" t="s">
        <v>318</v>
      </c>
      <c r="D2778" s="52" t="s">
        <v>318</v>
      </c>
      <c r="E2778" s="52" t="s">
        <v>584</v>
      </c>
      <c r="F2778" s="52" t="s">
        <v>581</v>
      </c>
      <c r="G2778" s="55" t="s">
        <v>275</v>
      </c>
      <c r="H2778" s="55">
        <v>-2.7422200000000001</v>
      </c>
      <c r="I2778" s="55">
        <v>0</v>
      </c>
      <c r="J2778" s="55"/>
      <c r="K2778" s="55"/>
      <c r="L2778" s="55"/>
      <c r="M2778" s="55"/>
      <c r="N2778" s="55"/>
    </row>
    <row r="2779" spans="1:14" hidden="1" x14ac:dyDescent="0.35">
      <c r="A2779" s="52" t="s">
        <v>222</v>
      </c>
      <c r="B2779" s="52" t="s">
        <v>168</v>
      </c>
      <c r="C2779" s="52" t="s">
        <v>318</v>
      </c>
      <c r="D2779" s="52" t="s">
        <v>318</v>
      </c>
      <c r="E2779" s="52" t="s">
        <v>584</v>
      </c>
      <c r="F2779" s="52" t="s">
        <v>581</v>
      </c>
      <c r="G2779" s="55" t="s">
        <v>276</v>
      </c>
      <c r="H2779" s="55">
        <v>-7.8523379999999996</v>
      </c>
      <c r="I2779" s="55">
        <v>0</v>
      </c>
      <c r="J2779" s="55"/>
      <c r="K2779" s="55"/>
      <c r="L2779" s="55"/>
      <c r="M2779" s="55"/>
      <c r="N2779" s="55"/>
    </row>
    <row r="2780" spans="1:14" hidden="1" x14ac:dyDescent="0.35">
      <c r="A2780" s="52" t="s">
        <v>222</v>
      </c>
      <c r="B2780" s="52" t="s">
        <v>168</v>
      </c>
      <c r="C2780" s="52" t="s">
        <v>318</v>
      </c>
      <c r="D2780" s="52" t="s">
        <v>318</v>
      </c>
      <c r="E2780" s="52" t="s">
        <v>584</v>
      </c>
      <c r="F2780" s="52" t="s">
        <v>581</v>
      </c>
      <c r="G2780" s="55" t="s">
        <v>278</v>
      </c>
      <c r="H2780" s="55">
        <v>10.59456</v>
      </c>
      <c r="I2780" s="55">
        <v>0</v>
      </c>
      <c r="J2780" s="55"/>
      <c r="K2780" s="55"/>
      <c r="L2780" s="55"/>
      <c r="M2780" s="55"/>
      <c r="N2780" s="55"/>
    </row>
    <row r="2781" spans="1:14" hidden="1" x14ac:dyDescent="0.35">
      <c r="A2781" s="52" t="s">
        <v>222</v>
      </c>
      <c r="B2781" s="52" t="s">
        <v>168</v>
      </c>
      <c r="C2781" s="52" t="s">
        <v>318</v>
      </c>
      <c r="D2781" s="52" t="s">
        <v>318</v>
      </c>
      <c r="E2781" s="52" t="s">
        <v>584</v>
      </c>
      <c r="F2781" s="52" t="s">
        <v>26</v>
      </c>
      <c r="G2781" s="55" t="s">
        <v>275</v>
      </c>
      <c r="H2781" s="55">
        <v>-1.828146</v>
      </c>
      <c r="I2781" s="55">
        <v>0</v>
      </c>
      <c r="J2781" s="55"/>
      <c r="K2781" s="55"/>
      <c r="L2781" s="55"/>
      <c r="M2781" s="55"/>
      <c r="N2781" s="55"/>
    </row>
    <row r="2782" spans="1:14" hidden="1" x14ac:dyDescent="0.35">
      <c r="A2782" s="52" t="s">
        <v>222</v>
      </c>
      <c r="B2782" s="52" t="s">
        <v>168</v>
      </c>
      <c r="C2782" s="52" t="s">
        <v>318</v>
      </c>
      <c r="D2782" s="52" t="s">
        <v>318</v>
      </c>
      <c r="E2782" s="52" t="s">
        <v>584</v>
      </c>
      <c r="F2782" s="52" t="s">
        <v>26</v>
      </c>
      <c r="G2782" s="55" t="s">
        <v>276</v>
      </c>
      <c r="H2782" s="55">
        <v>-5.2348910000000002</v>
      </c>
      <c r="I2782" s="55">
        <v>0</v>
      </c>
      <c r="J2782" s="55"/>
      <c r="K2782" s="55"/>
      <c r="L2782" s="55"/>
      <c r="M2782" s="55"/>
      <c r="N2782" s="55"/>
    </row>
    <row r="2783" spans="1:14" hidden="1" x14ac:dyDescent="0.35">
      <c r="A2783" s="52" t="s">
        <v>222</v>
      </c>
      <c r="B2783" s="52" t="s">
        <v>168</v>
      </c>
      <c r="C2783" s="52" t="s">
        <v>318</v>
      </c>
      <c r="D2783" s="52" t="s">
        <v>318</v>
      </c>
      <c r="E2783" s="52" t="s">
        <v>584</v>
      </c>
      <c r="F2783" s="52" t="s">
        <v>26</v>
      </c>
      <c r="G2783" s="55" t="s">
        <v>278</v>
      </c>
      <c r="H2783" s="55">
        <v>7.0630379999999997</v>
      </c>
      <c r="I2783" s="55">
        <v>0</v>
      </c>
      <c r="J2783" s="55"/>
      <c r="K2783" s="55"/>
      <c r="L2783" s="55"/>
      <c r="M2783" s="55"/>
      <c r="N2783" s="55"/>
    </row>
    <row r="2784" spans="1:14" hidden="1" x14ac:dyDescent="0.35">
      <c r="A2784" s="52" t="s">
        <v>222</v>
      </c>
      <c r="B2784" s="52" t="s">
        <v>225</v>
      </c>
      <c r="C2784" s="52" t="s">
        <v>224</v>
      </c>
      <c r="D2784" s="52" t="s">
        <v>224</v>
      </c>
      <c r="E2784" s="52" t="s">
        <v>661</v>
      </c>
      <c r="F2784" s="52" t="s">
        <v>581</v>
      </c>
      <c r="G2784" s="55" t="s">
        <v>275</v>
      </c>
      <c r="H2784" s="55">
        <v>0</v>
      </c>
      <c r="I2784" s="55">
        <v>-10.85951</v>
      </c>
      <c r="J2784" s="55">
        <v>-8.7601770000000005</v>
      </c>
      <c r="K2784" s="55">
        <v>-4.3753190000000002</v>
      </c>
      <c r="L2784" s="55">
        <v>-0.41870279999999999</v>
      </c>
      <c r="M2784" s="55">
        <v>2.53722</v>
      </c>
      <c r="N2784" s="55">
        <v>1.8552169999999999</v>
      </c>
    </row>
    <row r="2785" spans="1:14" hidden="1" x14ac:dyDescent="0.35">
      <c r="A2785" s="52" t="s">
        <v>222</v>
      </c>
      <c r="B2785" s="52" t="s">
        <v>225</v>
      </c>
      <c r="C2785" s="52" t="s">
        <v>224</v>
      </c>
      <c r="D2785" s="52" t="s">
        <v>224</v>
      </c>
      <c r="E2785" s="52" t="s">
        <v>661</v>
      </c>
      <c r="F2785" s="52" t="s">
        <v>581</v>
      </c>
      <c r="G2785" s="55" t="s">
        <v>276</v>
      </c>
      <c r="H2785" s="55">
        <v>0</v>
      </c>
      <c r="I2785" s="55">
        <v>-0.82336149999999997</v>
      </c>
      <c r="J2785" s="55">
        <v>-0.92830800000000002</v>
      </c>
      <c r="K2785" s="55">
        <v>-1.096177</v>
      </c>
      <c r="L2785" s="55">
        <v>-1.260378</v>
      </c>
      <c r="M2785" s="55">
        <v>-1.330462</v>
      </c>
      <c r="N2785" s="55">
        <v>-0.79869319999999999</v>
      </c>
    </row>
    <row r="2786" spans="1:14" hidden="1" x14ac:dyDescent="0.35">
      <c r="A2786" s="52" t="s">
        <v>222</v>
      </c>
      <c r="B2786" s="52" t="s">
        <v>225</v>
      </c>
      <c r="C2786" s="52" t="s">
        <v>224</v>
      </c>
      <c r="D2786" s="52" t="s">
        <v>224</v>
      </c>
      <c r="E2786" s="52" t="s">
        <v>661</v>
      </c>
      <c r="F2786" s="52" t="s">
        <v>581</v>
      </c>
      <c r="G2786" s="55" t="s">
        <v>277</v>
      </c>
      <c r="H2786" s="55">
        <v>0</v>
      </c>
      <c r="I2786" s="55">
        <v>3.761539</v>
      </c>
      <c r="J2786" s="55">
        <v>3.7229920000000001</v>
      </c>
      <c r="K2786" s="55">
        <v>2.3611059999999999</v>
      </c>
      <c r="L2786" s="55">
        <v>1.733155</v>
      </c>
      <c r="M2786" s="55">
        <v>0</v>
      </c>
      <c r="N2786" s="55">
        <v>0</v>
      </c>
    </row>
    <row r="2787" spans="1:14" hidden="1" x14ac:dyDescent="0.35">
      <c r="A2787" s="52" t="s">
        <v>222</v>
      </c>
      <c r="B2787" s="52" t="s">
        <v>225</v>
      </c>
      <c r="C2787" s="52" t="s">
        <v>224</v>
      </c>
      <c r="D2787" s="52" t="s">
        <v>224</v>
      </c>
      <c r="E2787" s="52" t="s">
        <v>661</v>
      </c>
      <c r="F2787" s="52" t="s">
        <v>581</v>
      </c>
      <c r="G2787" s="55" t="s">
        <v>278</v>
      </c>
      <c r="H2787" s="55">
        <v>0</v>
      </c>
      <c r="I2787" s="55">
        <v>7.2832509999999999</v>
      </c>
      <c r="J2787" s="55">
        <v>6.909186</v>
      </c>
      <c r="K2787" s="55">
        <v>4.5927379999999998</v>
      </c>
      <c r="L2787" s="55">
        <v>1.424007</v>
      </c>
      <c r="M2787" s="55">
        <v>0</v>
      </c>
      <c r="N2787" s="55"/>
    </row>
    <row r="2788" spans="1:14" hidden="1" x14ac:dyDescent="0.35">
      <c r="A2788" s="52" t="s">
        <v>222</v>
      </c>
      <c r="B2788" s="52" t="s">
        <v>225</v>
      </c>
      <c r="C2788" s="52" t="s">
        <v>224</v>
      </c>
      <c r="D2788" s="52" t="s">
        <v>224</v>
      </c>
      <c r="E2788" s="52" t="s">
        <v>661</v>
      </c>
      <c r="F2788" s="52" t="s">
        <v>581</v>
      </c>
      <c r="G2788" s="55" t="s">
        <v>279</v>
      </c>
      <c r="H2788" s="55">
        <v>0</v>
      </c>
      <c r="I2788" s="55">
        <v>1.222966</v>
      </c>
      <c r="J2788" s="55">
        <v>2.0509759999999999</v>
      </c>
      <c r="K2788" s="55">
        <v>2.408655</v>
      </c>
      <c r="L2788" s="55">
        <v>2.365151</v>
      </c>
      <c r="M2788" s="55">
        <v>1.740559</v>
      </c>
      <c r="N2788" s="55">
        <v>1.2930250000000001</v>
      </c>
    </row>
    <row r="2789" spans="1:14" hidden="1" x14ac:dyDescent="0.35">
      <c r="A2789" s="52" t="s">
        <v>222</v>
      </c>
      <c r="B2789" s="52" t="s">
        <v>225</v>
      </c>
      <c r="C2789" s="52" t="s">
        <v>224</v>
      </c>
      <c r="D2789" s="52" t="s">
        <v>224</v>
      </c>
      <c r="E2789" s="52" t="s">
        <v>661</v>
      </c>
      <c r="F2789" s="52" t="s">
        <v>26</v>
      </c>
      <c r="G2789" s="55" t="s">
        <v>275</v>
      </c>
      <c r="H2789" s="55">
        <v>0</v>
      </c>
      <c r="I2789" s="55">
        <v>-0.16302720000000001</v>
      </c>
      <c r="J2789" s="55">
        <v>-5.3254099999999999E-2</v>
      </c>
      <c r="K2789" s="55">
        <v>-1.8500889999999999E-2</v>
      </c>
      <c r="L2789" s="55">
        <v>-1.5955799999999999E-2</v>
      </c>
      <c r="M2789" s="55">
        <v>1.3383010000000001E-3</v>
      </c>
      <c r="N2789" s="55">
        <v>1.9116999999999999E-2</v>
      </c>
    </row>
    <row r="2790" spans="1:14" hidden="1" x14ac:dyDescent="0.35">
      <c r="A2790" s="52" t="s">
        <v>222</v>
      </c>
      <c r="B2790" s="52" t="s">
        <v>225</v>
      </c>
      <c r="C2790" s="52" t="s">
        <v>224</v>
      </c>
      <c r="D2790" s="52" t="s">
        <v>224</v>
      </c>
      <c r="E2790" s="52" t="s">
        <v>661</v>
      </c>
      <c r="F2790" s="52" t="s">
        <v>26</v>
      </c>
      <c r="G2790" s="55" t="s">
        <v>276</v>
      </c>
      <c r="H2790" s="55">
        <v>0</v>
      </c>
      <c r="I2790" s="55">
        <v>-6.6330700000000006E-2</v>
      </c>
      <c r="J2790" s="55">
        <v>-2.0068200000000001E-2</v>
      </c>
      <c r="K2790" s="55">
        <v>-6.4431009999999997E-3</v>
      </c>
      <c r="L2790" s="55">
        <v>-5.5571989999999996E-3</v>
      </c>
      <c r="M2790" s="55">
        <v>4.6569990000000001E-4</v>
      </c>
      <c r="N2790" s="55">
        <v>6.6571E-3</v>
      </c>
    </row>
    <row r="2791" spans="1:14" hidden="1" x14ac:dyDescent="0.35">
      <c r="A2791" s="52" t="s">
        <v>222</v>
      </c>
      <c r="B2791" s="52" t="s">
        <v>225</v>
      </c>
      <c r="C2791" s="52" t="s">
        <v>224</v>
      </c>
      <c r="D2791" s="52" t="s">
        <v>224</v>
      </c>
      <c r="E2791" s="52" t="s">
        <v>661</v>
      </c>
      <c r="F2791" s="52" t="s">
        <v>26</v>
      </c>
      <c r="G2791" s="55" t="s">
        <v>279</v>
      </c>
      <c r="H2791" s="55">
        <v>0</v>
      </c>
      <c r="I2791" s="55">
        <v>0.28517429999999999</v>
      </c>
      <c r="J2791" s="55">
        <v>0.39308939999999998</v>
      </c>
      <c r="K2791" s="55">
        <v>0.43998350000000003</v>
      </c>
      <c r="L2791" s="55">
        <v>0.43122519999999998</v>
      </c>
      <c r="M2791" s="55">
        <v>0.31230449999999998</v>
      </c>
      <c r="N2791" s="55">
        <v>0.22467570000000001</v>
      </c>
    </row>
    <row r="2792" spans="1:14" hidden="1" x14ac:dyDescent="0.35">
      <c r="A2792" s="52" t="s">
        <v>222</v>
      </c>
      <c r="B2792" s="52" t="s">
        <v>225</v>
      </c>
      <c r="C2792" s="52" t="s">
        <v>318</v>
      </c>
      <c r="D2792" s="52" t="s">
        <v>318</v>
      </c>
      <c r="E2792" s="52" t="s">
        <v>584</v>
      </c>
      <c r="F2792" s="52" t="s">
        <v>581</v>
      </c>
      <c r="G2792" s="55" t="s">
        <v>275</v>
      </c>
      <c r="H2792" s="55">
        <v>1.779066</v>
      </c>
      <c r="I2792" s="55">
        <v>0</v>
      </c>
      <c r="J2792" s="55"/>
      <c r="K2792" s="55"/>
      <c r="L2792" s="55"/>
      <c r="M2792" s="55"/>
      <c r="N2792" s="55"/>
    </row>
    <row r="2793" spans="1:14" hidden="1" x14ac:dyDescent="0.35">
      <c r="A2793" s="52" t="s">
        <v>222</v>
      </c>
      <c r="B2793" s="52" t="s">
        <v>225</v>
      </c>
      <c r="C2793" s="52" t="s">
        <v>318</v>
      </c>
      <c r="D2793" s="52" t="s">
        <v>318</v>
      </c>
      <c r="E2793" s="52" t="s">
        <v>584</v>
      </c>
      <c r="F2793" s="52" t="s">
        <v>581</v>
      </c>
      <c r="G2793" s="55" t="s">
        <v>276</v>
      </c>
      <c r="H2793" s="55">
        <v>-2.0647479999999998</v>
      </c>
      <c r="I2793" s="55">
        <v>0</v>
      </c>
      <c r="J2793" s="55"/>
      <c r="K2793" s="55"/>
      <c r="L2793" s="55"/>
      <c r="M2793" s="55"/>
      <c r="N2793" s="55"/>
    </row>
    <row r="2794" spans="1:14" hidden="1" x14ac:dyDescent="0.35">
      <c r="A2794" s="52" t="s">
        <v>222</v>
      </c>
      <c r="B2794" s="52" t="s">
        <v>225</v>
      </c>
      <c r="C2794" s="52" t="s">
        <v>318</v>
      </c>
      <c r="D2794" s="52" t="s">
        <v>318</v>
      </c>
      <c r="E2794" s="52" t="s">
        <v>584</v>
      </c>
      <c r="F2794" s="52" t="s">
        <v>581</v>
      </c>
      <c r="G2794" s="55" t="s">
        <v>278</v>
      </c>
      <c r="H2794" s="55">
        <v>0.28567999999999999</v>
      </c>
      <c r="I2794" s="55">
        <v>0</v>
      </c>
      <c r="J2794" s="55"/>
      <c r="K2794" s="55"/>
      <c r="L2794" s="55"/>
      <c r="M2794" s="55"/>
      <c r="N2794" s="55"/>
    </row>
    <row r="2795" spans="1:14" hidden="1" x14ac:dyDescent="0.35">
      <c r="A2795" s="52" t="s">
        <v>222</v>
      </c>
      <c r="B2795" s="52" t="s">
        <v>225</v>
      </c>
      <c r="C2795" s="52" t="s">
        <v>318</v>
      </c>
      <c r="D2795" s="52" t="s">
        <v>318</v>
      </c>
      <c r="E2795" s="52" t="s">
        <v>584</v>
      </c>
      <c r="F2795" s="52" t="s">
        <v>26</v>
      </c>
      <c r="G2795" s="55" t="s">
        <v>275</v>
      </c>
      <c r="H2795" s="55">
        <v>1.1860440000000001</v>
      </c>
      <c r="I2795" s="55">
        <v>0</v>
      </c>
      <c r="J2795" s="55"/>
      <c r="K2795" s="55"/>
      <c r="L2795" s="55"/>
      <c r="M2795" s="55"/>
      <c r="N2795" s="55"/>
    </row>
    <row r="2796" spans="1:14" hidden="1" x14ac:dyDescent="0.35">
      <c r="A2796" s="52" t="s">
        <v>222</v>
      </c>
      <c r="B2796" s="52" t="s">
        <v>225</v>
      </c>
      <c r="C2796" s="52" t="s">
        <v>318</v>
      </c>
      <c r="D2796" s="52" t="s">
        <v>318</v>
      </c>
      <c r="E2796" s="52" t="s">
        <v>584</v>
      </c>
      <c r="F2796" s="52" t="s">
        <v>26</v>
      </c>
      <c r="G2796" s="55" t="s">
        <v>276</v>
      </c>
      <c r="H2796" s="55">
        <v>-1.376498</v>
      </c>
      <c r="I2796" s="55">
        <v>0</v>
      </c>
      <c r="J2796" s="55"/>
      <c r="K2796" s="55"/>
      <c r="L2796" s="55"/>
      <c r="M2796" s="55"/>
      <c r="N2796" s="55"/>
    </row>
    <row r="2797" spans="1:14" hidden="1" x14ac:dyDescent="0.35">
      <c r="A2797" s="52" t="s">
        <v>222</v>
      </c>
      <c r="B2797" s="52" t="s">
        <v>225</v>
      </c>
      <c r="C2797" s="52" t="s">
        <v>318</v>
      </c>
      <c r="D2797" s="52" t="s">
        <v>318</v>
      </c>
      <c r="E2797" s="52" t="s">
        <v>584</v>
      </c>
      <c r="F2797" s="52" t="s">
        <v>26</v>
      </c>
      <c r="G2797" s="55" t="s">
        <v>278</v>
      </c>
      <c r="H2797" s="55">
        <v>0.19045400000000001</v>
      </c>
      <c r="I2797" s="55">
        <v>0</v>
      </c>
      <c r="J2797" s="55"/>
      <c r="K2797" s="55"/>
      <c r="L2797" s="55"/>
      <c r="M2797" s="55"/>
      <c r="N2797" s="55"/>
    </row>
    <row r="2798" spans="1:14" hidden="1" x14ac:dyDescent="0.35">
      <c r="A2798" s="52" t="s">
        <v>222</v>
      </c>
      <c r="B2798" s="52" t="s">
        <v>74</v>
      </c>
      <c r="C2798" s="52" t="s">
        <v>318</v>
      </c>
      <c r="D2798" s="52" t="s">
        <v>318</v>
      </c>
      <c r="E2798" s="52" t="s">
        <v>584</v>
      </c>
      <c r="F2798" s="52" t="s">
        <v>581</v>
      </c>
      <c r="G2798" s="55" t="s">
        <v>275</v>
      </c>
      <c r="H2798" s="55">
        <v>0</v>
      </c>
      <c r="I2798" s="55"/>
      <c r="J2798" s="55"/>
      <c r="K2798" s="55"/>
      <c r="L2798" s="55"/>
      <c r="M2798" s="55"/>
      <c r="N2798" s="55"/>
    </row>
    <row r="2799" spans="1:14" hidden="1" x14ac:dyDescent="0.35">
      <c r="A2799" s="52" t="s">
        <v>222</v>
      </c>
      <c r="B2799" s="52" t="s">
        <v>60</v>
      </c>
      <c r="C2799" s="52" t="s">
        <v>318</v>
      </c>
      <c r="D2799" s="52" t="s">
        <v>318</v>
      </c>
      <c r="E2799" s="52" t="s">
        <v>584</v>
      </c>
      <c r="F2799" s="52" t="s">
        <v>581</v>
      </c>
      <c r="G2799" s="55" t="s">
        <v>275</v>
      </c>
      <c r="H2799" s="55">
        <v>3.1986000000000001E-2</v>
      </c>
      <c r="I2799" s="55">
        <v>0</v>
      </c>
      <c r="J2799" s="55"/>
      <c r="K2799" s="55"/>
      <c r="L2799" s="55"/>
      <c r="M2799" s="55"/>
      <c r="N2799" s="55"/>
    </row>
    <row r="2800" spans="1:14" hidden="1" x14ac:dyDescent="0.35">
      <c r="A2800" s="52" t="s">
        <v>222</v>
      </c>
      <c r="B2800" s="52" t="s">
        <v>307</v>
      </c>
      <c r="C2800" s="52" t="s">
        <v>318</v>
      </c>
      <c r="D2800" s="52" t="s">
        <v>318</v>
      </c>
      <c r="E2800" s="52" t="s">
        <v>584</v>
      </c>
      <c r="F2800" s="52" t="s">
        <v>581</v>
      </c>
      <c r="G2800" s="55" t="s">
        <v>275</v>
      </c>
      <c r="H2800" s="55">
        <v>0</v>
      </c>
      <c r="I2800" s="55"/>
      <c r="J2800" s="55"/>
      <c r="K2800" s="55"/>
      <c r="L2800" s="55"/>
      <c r="M2800" s="55"/>
      <c r="N2800" s="55"/>
    </row>
    <row r="2801" spans="1:14" hidden="1" x14ac:dyDescent="0.35">
      <c r="A2801" s="52" t="s">
        <v>222</v>
      </c>
      <c r="B2801" s="52" t="s">
        <v>307</v>
      </c>
      <c r="C2801" s="52" t="s">
        <v>318</v>
      </c>
      <c r="D2801" s="52" t="s">
        <v>318</v>
      </c>
      <c r="E2801" s="52" t="s">
        <v>584</v>
      </c>
      <c r="F2801" s="52" t="s">
        <v>581</v>
      </c>
      <c r="G2801" s="55" t="s">
        <v>276</v>
      </c>
      <c r="H2801" s="55">
        <v>0</v>
      </c>
      <c r="I2801" s="55"/>
      <c r="J2801" s="55"/>
      <c r="K2801" s="55"/>
      <c r="L2801" s="55"/>
      <c r="M2801" s="55"/>
      <c r="N2801" s="55"/>
    </row>
    <row r="2802" spans="1:14" hidden="1" x14ac:dyDescent="0.35">
      <c r="A2802" s="52" t="s">
        <v>222</v>
      </c>
      <c r="B2802" s="52" t="s">
        <v>74</v>
      </c>
      <c r="C2802" s="52" t="s">
        <v>318</v>
      </c>
      <c r="D2802" s="52" t="s">
        <v>318</v>
      </c>
      <c r="E2802" s="52" t="s">
        <v>584</v>
      </c>
      <c r="F2802" s="52" t="s">
        <v>581</v>
      </c>
      <c r="G2802" s="55" t="s">
        <v>278</v>
      </c>
      <c r="H2802" s="55">
        <v>0</v>
      </c>
      <c r="I2802" s="55"/>
      <c r="J2802" s="55"/>
      <c r="K2802" s="55"/>
      <c r="L2802" s="55"/>
      <c r="M2802" s="55"/>
      <c r="N2802" s="55"/>
    </row>
    <row r="2803" spans="1:14" hidden="1" x14ac:dyDescent="0.35">
      <c r="A2803" s="52" t="s">
        <v>222</v>
      </c>
      <c r="B2803" s="52" t="s">
        <v>60</v>
      </c>
      <c r="C2803" s="52" t="s">
        <v>318</v>
      </c>
      <c r="D2803" s="52" t="s">
        <v>318</v>
      </c>
      <c r="E2803" s="52" t="s">
        <v>584</v>
      </c>
      <c r="F2803" s="52" t="s">
        <v>581</v>
      </c>
      <c r="G2803" s="55" t="s">
        <v>278</v>
      </c>
      <c r="H2803" s="55">
        <v>-3.1986000000000001E-2</v>
      </c>
      <c r="I2803" s="55">
        <v>0</v>
      </c>
      <c r="J2803" s="55"/>
      <c r="K2803" s="55"/>
      <c r="L2803" s="55"/>
      <c r="M2803" s="55"/>
      <c r="N2803" s="55"/>
    </row>
    <row r="2804" spans="1:14" hidden="1" x14ac:dyDescent="0.35">
      <c r="A2804" s="52" t="s">
        <v>222</v>
      </c>
      <c r="B2804" s="52" t="s">
        <v>307</v>
      </c>
      <c r="C2804" s="52" t="s">
        <v>318</v>
      </c>
      <c r="D2804" s="52" t="s">
        <v>318</v>
      </c>
      <c r="E2804" s="52" t="s">
        <v>584</v>
      </c>
      <c r="F2804" s="52" t="s">
        <v>581</v>
      </c>
      <c r="G2804" s="55" t="s">
        <v>278</v>
      </c>
      <c r="H2804" s="55">
        <v>0</v>
      </c>
      <c r="I2804" s="55"/>
      <c r="J2804" s="55"/>
      <c r="K2804" s="55"/>
      <c r="L2804" s="55"/>
      <c r="M2804" s="55"/>
      <c r="N2804" s="55"/>
    </row>
    <row r="2805" spans="1:14" hidden="1" x14ac:dyDescent="0.35">
      <c r="A2805" s="52" t="s">
        <v>222</v>
      </c>
      <c r="B2805" s="52" t="s">
        <v>60</v>
      </c>
      <c r="C2805" s="52" t="s">
        <v>318</v>
      </c>
      <c r="D2805" s="52" t="s">
        <v>318</v>
      </c>
      <c r="E2805" s="52" t="s">
        <v>584</v>
      </c>
      <c r="F2805" s="52" t="s">
        <v>26</v>
      </c>
      <c r="G2805" s="55" t="s">
        <v>275</v>
      </c>
      <c r="H2805" s="55">
        <v>2.1323999999999999E-2</v>
      </c>
      <c r="I2805" s="55">
        <v>0</v>
      </c>
      <c r="J2805" s="55"/>
      <c r="K2805" s="55"/>
      <c r="L2805" s="55"/>
      <c r="M2805" s="55"/>
      <c r="N2805" s="55"/>
    </row>
    <row r="2806" spans="1:14" hidden="1" x14ac:dyDescent="0.35">
      <c r="A2806" s="52" t="s">
        <v>222</v>
      </c>
      <c r="B2806" s="52" t="s">
        <v>74</v>
      </c>
      <c r="C2806" s="52" t="s">
        <v>146</v>
      </c>
      <c r="D2806" s="52" t="s">
        <v>221</v>
      </c>
      <c r="E2806" s="52" t="s">
        <v>584</v>
      </c>
      <c r="F2806" s="52" t="s">
        <v>26</v>
      </c>
      <c r="G2806" s="55" t="s">
        <v>275</v>
      </c>
      <c r="H2806" s="55">
        <v>0</v>
      </c>
      <c r="I2806" s="55"/>
      <c r="J2806" s="55"/>
      <c r="K2806" s="55"/>
      <c r="L2806" s="55"/>
      <c r="M2806" s="55"/>
      <c r="N2806" s="55"/>
    </row>
    <row r="2807" spans="1:14" hidden="1" x14ac:dyDescent="0.35">
      <c r="A2807" s="52" t="s">
        <v>222</v>
      </c>
      <c r="B2807" s="52" t="s">
        <v>307</v>
      </c>
      <c r="C2807" s="52" t="s">
        <v>318</v>
      </c>
      <c r="D2807" s="52" t="s">
        <v>318</v>
      </c>
      <c r="E2807" s="52" t="s">
        <v>584</v>
      </c>
      <c r="F2807" s="52" t="s">
        <v>26</v>
      </c>
      <c r="G2807" s="55" t="s">
        <v>275</v>
      </c>
      <c r="H2807" s="55">
        <v>0</v>
      </c>
      <c r="I2807" s="55"/>
      <c r="J2807" s="55"/>
      <c r="K2807" s="55"/>
      <c r="L2807" s="55"/>
      <c r="M2807" s="55"/>
      <c r="N2807" s="55"/>
    </row>
    <row r="2808" spans="1:14" hidden="1" x14ac:dyDescent="0.35">
      <c r="A2808" s="52" t="s">
        <v>222</v>
      </c>
      <c r="B2808" s="52" t="s">
        <v>60</v>
      </c>
      <c r="C2808" s="52" t="s">
        <v>214</v>
      </c>
      <c r="D2808" s="52" t="s">
        <v>214</v>
      </c>
      <c r="E2808" s="52" t="s">
        <v>584</v>
      </c>
      <c r="F2808" s="52" t="s">
        <v>26</v>
      </c>
      <c r="G2808" s="55" t="s">
        <v>275</v>
      </c>
      <c r="H2808" s="55">
        <v>-0.123641</v>
      </c>
      <c r="I2808" s="55">
        <v>-8.0491999999999994E-2</v>
      </c>
      <c r="J2808" s="55">
        <v>0</v>
      </c>
      <c r="K2808" s="55">
        <v>0</v>
      </c>
      <c r="L2808" s="55">
        <v>0</v>
      </c>
      <c r="M2808" s="55">
        <v>0</v>
      </c>
      <c r="N2808" s="55">
        <v>0</v>
      </c>
    </row>
    <row r="2809" spans="1:14" hidden="1" x14ac:dyDescent="0.35">
      <c r="A2809" s="52" t="s">
        <v>222</v>
      </c>
      <c r="B2809" s="52" t="s">
        <v>74</v>
      </c>
      <c r="C2809" s="52" t="s">
        <v>318</v>
      </c>
      <c r="D2809" s="52" t="s">
        <v>318</v>
      </c>
      <c r="E2809" s="52" t="s">
        <v>584</v>
      </c>
      <c r="F2809" s="52" t="s">
        <v>26</v>
      </c>
      <c r="G2809" s="55" t="s">
        <v>275</v>
      </c>
      <c r="H2809" s="55">
        <v>0</v>
      </c>
      <c r="I2809" s="55"/>
      <c r="J2809" s="55"/>
      <c r="K2809" s="55"/>
      <c r="L2809" s="55"/>
      <c r="M2809" s="55"/>
      <c r="N2809" s="55"/>
    </row>
    <row r="2810" spans="1:14" hidden="1" x14ac:dyDescent="0.35">
      <c r="A2810" s="52" t="s">
        <v>222</v>
      </c>
      <c r="B2810" s="52" t="s">
        <v>74</v>
      </c>
      <c r="C2810" s="52" t="s">
        <v>146</v>
      </c>
      <c r="D2810" s="52" t="s">
        <v>221</v>
      </c>
      <c r="E2810" s="52" t="s">
        <v>584</v>
      </c>
      <c r="F2810" s="52" t="s">
        <v>26</v>
      </c>
      <c r="G2810" s="55" t="s">
        <v>276</v>
      </c>
      <c r="H2810" s="55">
        <v>0</v>
      </c>
      <c r="I2810" s="55"/>
      <c r="J2810" s="55"/>
      <c r="K2810" s="55"/>
      <c r="L2810" s="55"/>
      <c r="M2810" s="55"/>
      <c r="N2810" s="55"/>
    </row>
    <row r="2811" spans="1:14" hidden="1" x14ac:dyDescent="0.35">
      <c r="A2811" s="52" t="s">
        <v>222</v>
      </c>
      <c r="B2811" s="52" t="s">
        <v>307</v>
      </c>
      <c r="C2811" s="52" t="s">
        <v>318</v>
      </c>
      <c r="D2811" s="52" t="s">
        <v>318</v>
      </c>
      <c r="E2811" s="52" t="s">
        <v>584</v>
      </c>
      <c r="F2811" s="52" t="s">
        <v>26</v>
      </c>
      <c r="G2811" s="55" t="s">
        <v>276</v>
      </c>
      <c r="H2811" s="55">
        <v>0</v>
      </c>
      <c r="I2811" s="55"/>
      <c r="J2811" s="55"/>
      <c r="K2811" s="55"/>
      <c r="L2811" s="55"/>
      <c r="M2811" s="55"/>
      <c r="N2811" s="55"/>
    </row>
    <row r="2812" spans="1:14" hidden="1" x14ac:dyDescent="0.35">
      <c r="A2812" s="52" t="s">
        <v>222</v>
      </c>
      <c r="B2812" s="52" t="s">
        <v>60</v>
      </c>
      <c r="C2812" s="52" t="s">
        <v>214</v>
      </c>
      <c r="D2812" s="52" t="s">
        <v>214</v>
      </c>
      <c r="E2812" s="52" t="s">
        <v>584</v>
      </c>
      <c r="F2812" s="52" t="s">
        <v>26</v>
      </c>
      <c r="G2812" s="55" t="s">
        <v>276</v>
      </c>
      <c r="H2812" s="55"/>
      <c r="I2812" s="55"/>
      <c r="J2812" s="55">
        <v>-7.5956999999999997E-2</v>
      </c>
      <c r="K2812" s="55">
        <v>-0.274065</v>
      </c>
      <c r="L2812" s="55">
        <v>-36.457970000000003</v>
      </c>
      <c r="M2812" s="55">
        <v>-0.18386</v>
      </c>
      <c r="N2812" s="55">
        <v>-0.18386</v>
      </c>
    </row>
    <row r="2813" spans="1:14" hidden="1" x14ac:dyDescent="0.35">
      <c r="A2813" s="52" t="s">
        <v>222</v>
      </c>
      <c r="B2813" s="52" t="s">
        <v>60</v>
      </c>
      <c r="C2813" s="52" t="s">
        <v>318</v>
      </c>
      <c r="D2813" s="52" t="s">
        <v>318</v>
      </c>
      <c r="E2813" s="52" t="s">
        <v>584</v>
      </c>
      <c r="F2813" s="52" t="s">
        <v>26</v>
      </c>
      <c r="G2813" s="55" t="s">
        <v>278</v>
      </c>
      <c r="H2813" s="55">
        <v>-2.1323999999999999E-2</v>
      </c>
      <c r="I2813" s="55">
        <v>0</v>
      </c>
      <c r="J2813" s="55"/>
      <c r="K2813" s="55"/>
      <c r="L2813" s="55"/>
      <c r="M2813" s="55"/>
      <c r="N2813" s="55"/>
    </row>
    <row r="2814" spans="1:14" hidden="1" x14ac:dyDescent="0.35">
      <c r="A2814" s="52" t="s">
        <v>222</v>
      </c>
      <c r="B2814" s="52" t="s">
        <v>74</v>
      </c>
      <c r="C2814" s="52" t="s">
        <v>318</v>
      </c>
      <c r="D2814" s="52" t="s">
        <v>318</v>
      </c>
      <c r="E2814" s="52" t="s">
        <v>584</v>
      </c>
      <c r="F2814" s="52" t="s">
        <v>26</v>
      </c>
      <c r="G2814" s="55" t="s">
        <v>278</v>
      </c>
      <c r="H2814" s="55">
        <v>0</v>
      </c>
      <c r="I2814" s="55"/>
      <c r="J2814" s="55"/>
      <c r="K2814" s="55"/>
      <c r="L2814" s="55"/>
      <c r="M2814" s="55"/>
      <c r="N2814" s="55"/>
    </row>
    <row r="2815" spans="1:14" hidden="1" x14ac:dyDescent="0.35">
      <c r="A2815" s="52" t="s">
        <v>222</v>
      </c>
      <c r="B2815" s="52" t="s">
        <v>60</v>
      </c>
      <c r="C2815" s="52" t="s">
        <v>214</v>
      </c>
      <c r="D2815" s="52" t="s">
        <v>214</v>
      </c>
      <c r="E2815" s="52" t="s">
        <v>584</v>
      </c>
      <c r="F2815" s="52" t="s">
        <v>26</v>
      </c>
      <c r="G2815" s="55" t="s">
        <v>278</v>
      </c>
      <c r="H2815" s="55">
        <v>0.123641</v>
      </c>
      <c r="I2815" s="55">
        <v>8.0491999999999994E-2</v>
      </c>
      <c r="J2815" s="55">
        <v>7.5956999999999997E-2</v>
      </c>
      <c r="K2815" s="55">
        <v>0.274065</v>
      </c>
      <c r="L2815" s="55">
        <v>36.457970000000003</v>
      </c>
      <c r="M2815" s="55">
        <v>0.18386</v>
      </c>
      <c r="N2815" s="55">
        <v>0.18386</v>
      </c>
    </row>
    <row r="2816" spans="1:14" hidden="1" x14ac:dyDescent="0.35">
      <c r="A2816" s="52" t="s">
        <v>222</v>
      </c>
      <c r="B2816" s="52" t="s">
        <v>307</v>
      </c>
      <c r="C2816" s="52" t="s">
        <v>318</v>
      </c>
      <c r="D2816" s="52" t="s">
        <v>318</v>
      </c>
      <c r="E2816" s="52" t="s">
        <v>584</v>
      </c>
      <c r="F2816" s="52" t="s">
        <v>26</v>
      </c>
      <c r="G2816" s="55" t="s">
        <v>278</v>
      </c>
      <c r="H2816" s="55">
        <v>0</v>
      </c>
      <c r="I2816" s="55"/>
      <c r="J2816" s="55"/>
      <c r="K2816" s="55"/>
      <c r="L2816" s="55"/>
      <c r="M2816" s="55"/>
      <c r="N2816" s="55"/>
    </row>
    <row r="2817" spans="1:14" hidden="1" x14ac:dyDescent="0.35">
      <c r="A2817" s="52" t="s">
        <v>222</v>
      </c>
      <c r="B2817" s="52" t="s">
        <v>74</v>
      </c>
      <c r="C2817" s="52" t="s">
        <v>146</v>
      </c>
      <c r="D2817" s="52" t="s">
        <v>221</v>
      </c>
      <c r="E2817" s="52" t="s">
        <v>584</v>
      </c>
      <c r="F2817" s="52" t="s">
        <v>26</v>
      </c>
      <c r="G2817" s="55" t="s">
        <v>279</v>
      </c>
      <c r="H2817" s="55">
        <v>0</v>
      </c>
      <c r="I2817" s="55"/>
      <c r="J2817" s="55"/>
      <c r="K2817" s="55"/>
      <c r="L2817" s="55"/>
      <c r="M2817" s="55"/>
      <c r="N2817" s="55"/>
    </row>
    <row r="2818" spans="1:14" hidden="1" x14ac:dyDescent="0.35">
      <c r="A2818" s="52" t="s">
        <v>222</v>
      </c>
      <c r="B2818" s="52" t="s">
        <v>201</v>
      </c>
      <c r="C2818" s="52" t="s">
        <v>318</v>
      </c>
      <c r="D2818" s="52" t="s">
        <v>318</v>
      </c>
      <c r="E2818" s="52" t="s">
        <v>584</v>
      </c>
      <c r="F2818" s="52" t="s">
        <v>581</v>
      </c>
      <c r="G2818" s="55" t="s">
        <v>275</v>
      </c>
      <c r="H2818" s="55">
        <v>1.6077000000000001E-2</v>
      </c>
      <c r="I2818" s="55">
        <v>0</v>
      </c>
      <c r="J2818" s="55"/>
      <c r="K2818" s="55"/>
      <c r="L2818" s="55"/>
      <c r="M2818" s="55"/>
      <c r="N2818" s="55"/>
    </row>
    <row r="2819" spans="1:14" hidden="1" x14ac:dyDescent="0.35">
      <c r="A2819" s="52" t="s">
        <v>222</v>
      </c>
      <c r="B2819" s="52" t="s">
        <v>201</v>
      </c>
      <c r="C2819" s="52" t="s">
        <v>318</v>
      </c>
      <c r="D2819" s="52" t="s">
        <v>318</v>
      </c>
      <c r="E2819" s="52" t="s">
        <v>584</v>
      </c>
      <c r="F2819" s="52" t="s">
        <v>581</v>
      </c>
      <c r="G2819" s="55" t="s">
        <v>278</v>
      </c>
      <c r="H2819" s="55">
        <v>-1.6077000000000001E-2</v>
      </c>
      <c r="I2819" s="55">
        <v>0</v>
      </c>
      <c r="J2819" s="55"/>
      <c r="K2819" s="55"/>
      <c r="L2819" s="55"/>
      <c r="M2819" s="55"/>
      <c r="N2819" s="55"/>
    </row>
    <row r="2820" spans="1:14" hidden="1" x14ac:dyDescent="0.35">
      <c r="A2820" s="52" t="s">
        <v>222</v>
      </c>
      <c r="B2820" s="52" t="s">
        <v>201</v>
      </c>
      <c r="C2820" s="52" t="s">
        <v>318</v>
      </c>
      <c r="D2820" s="52" t="s">
        <v>318</v>
      </c>
      <c r="E2820" s="52" t="s">
        <v>584</v>
      </c>
      <c r="F2820" s="52" t="s">
        <v>26</v>
      </c>
      <c r="G2820" s="55" t="s">
        <v>275</v>
      </c>
      <c r="H2820" s="55">
        <v>1.0717000000000001E-2</v>
      </c>
      <c r="I2820" s="55">
        <v>0</v>
      </c>
      <c r="J2820" s="55"/>
      <c r="K2820" s="55"/>
      <c r="L2820" s="55"/>
      <c r="M2820" s="55"/>
      <c r="N2820" s="55"/>
    </row>
    <row r="2821" spans="1:14" hidden="1" x14ac:dyDescent="0.35">
      <c r="A2821" s="52" t="s">
        <v>222</v>
      </c>
      <c r="B2821" s="52" t="s">
        <v>201</v>
      </c>
      <c r="C2821" s="52" t="s">
        <v>318</v>
      </c>
      <c r="D2821" s="52" t="s">
        <v>318</v>
      </c>
      <c r="E2821" s="52" t="s">
        <v>584</v>
      </c>
      <c r="F2821" s="52" t="s">
        <v>26</v>
      </c>
      <c r="G2821" s="55" t="s">
        <v>278</v>
      </c>
      <c r="H2821" s="55">
        <v>-1.0717000000000001E-2</v>
      </c>
      <c r="I2821" s="55">
        <v>0</v>
      </c>
      <c r="J2821" s="55"/>
      <c r="K2821" s="55"/>
      <c r="L2821" s="55"/>
      <c r="M2821" s="55"/>
      <c r="N2821" s="55"/>
    </row>
    <row r="2822" spans="1:14" hidden="1" x14ac:dyDescent="0.35">
      <c r="A2822" s="52" t="s">
        <v>222</v>
      </c>
      <c r="B2822" s="52" t="s">
        <v>201</v>
      </c>
      <c r="C2822" s="52" t="s">
        <v>367</v>
      </c>
      <c r="D2822" s="52" t="s">
        <v>367</v>
      </c>
      <c r="E2822" s="52" t="s">
        <v>584</v>
      </c>
      <c r="F2822" s="52" t="s">
        <v>26</v>
      </c>
      <c r="G2822" s="55" t="s">
        <v>275</v>
      </c>
      <c r="H2822" s="55">
        <v>-6.2140800000000003E-2</v>
      </c>
      <c r="I2822" s="55">
        <v>-6.2140800000000003E-2</v>
      </c>
      <c r="J2822" s="55">
        <v>0</v>
      </c>
      <c r="K2822" s="55">
        <v>0</v>
      </c>
      <c r="L2822" s="55">
        <v>0</v>
      </c>
      <c r="M2822" s="55">
        <v>0</v>
      </c>
      <c r="N2822" s="55">
        <v>0</v>
      </c>
    </row>
    <row r="2823" spans="1:14" hidden="1" x14ac:dyDescent="0.35">
      <c r="A2823" s="52" t="s">
        <v>222</v>
      </c>
      <c r="B2823" s="52" t="s">
        <v>201</v>
      </c>
      <c r="C2823" s="52" t="s">
        <v>367</v>
      </c>
      <c r="D2823" s="52" t="s">
        <v>367</v>
      </c>
      <c r="E2823" s="52" t="s">
        <v>584</v>
      </c>
      <c r="F2823" s="52" t="s">
        <v>26</v>
      </c>
      <c r="G2823" s="55" t="s">
        <v>276</v>
      </c>
      <c r="H2823" s="55"/>
      <c r="I2823" s="55"/>
      <c r="J2823" s="55">
        <v>-6.2140800000000003E-2</v>
      </c>
      <c r="K2823" s="55">
        <v>-6.2140800000000003E-2</v>
      </c>
      <c r="L2823" s="55">
        <v>-6.2140800000000003E-2</v>
      </c>
      <c r="M2823" s="55">
        <v>-6.2140800000000003E-2</v>
      </c>
      <c r="N2823" s="55">
        <v>-6.2140800000000003E-2</v>
      </c>
    </row>
    <row r="2824" spans="1:14" hidden="1" x14ac:dyDescent="0.35">
      <c r="A2824" s="52" t="s">
        <v>222</v>
      </c>
      <c r="B2824" s="52" t="s">
        <v>201</v>
      </c>
      <c r="C2824" s="52" t="s">
        <v>367</v>
      </c>
      <c r="D2824" s="52" t="s">
        <v>367</v>
      </c>
      <c r="E2824" s="52" t="s">
        <v>584</v>
      </c>
      <c r="F2824" s="52" t="s">
        <v>26</v>
      </c>
      <c r="G2824" s="55" t="s">
        <v>278</v>
      </c>
      <c r="H2824" s="55">
        <v>6.2140500000000001E-2</v>
      </c>
      <c r="I2824" s="55">
        <v>6.2140800000000003E-2</v>
      </c>
      <c r="J2824" s="55">
        <v>6.2140800000000003E-2</v>
      </c>
      <c r="K2824" s="55">
        <v>6.2140800000000003E-2</v>
      </c>
      <c r="L2824" s="55">
        <v>6.2140800000000003E-2</v>
      </c>
      <c r="M2824" s="55">
        <v>6.2140800000000003E-2</v>
      </c>
      <c r="N2824" s="55">
        <v>6.2140800000000003E-2</v>
      </c>
    </row>
    <row r="2825" spans="1:14" hidden="1" x14ac:dyDescent="0.35">
      <c r="A2825" s="52" t="s">
        <v>222</v>
      </c>
      <c r="B2825" s="52" t="s">
        <v>291</v>
      </c>
      <c r="C2825" s="52" t="s">
        <v>318</v>
      </c>
      <c r="D2825" s="52" t="s">
        <v>318</v>
      </c>
      <c r="E2825" s="52" t="s">
        <v>584</v>
      </c>
      <c r="F2825" s="52" t="s">
        <v>581</v>
      </c>
      <c r="G2825" s="55" t="s">
        <v>275</v>
      </c>
      <c r="H2825" s="55">
        <v>5.7287090000000003</v>
      </c>
      <c r="I2825" s="55">
        <v>0</v>
      </c>
      <c r="J2825" s="55"/>
      <c r="K2825" s="55"/>
      <c r="L2825" s="55"/>
      <c r="M2825" s="55"/>
      <c r="N2825" s="55"/>
    </row>
    <row r="2826" spans="1:14" hidden="1" x14ac:dyDescent="0.35">
      <c r="A2826" s="52" t="s">
        <v>222</v>
      </c>
      <c r="B2826" s="52" t="s">
        <v>291</v>
      </c>
      <c r="C2826" s="52" t="s">
        <v>102</v>
      </c>
      <c r="D2826" s="52" t="s">
        <v>102</v>
      </c>
      <c r="E2826" s="52" t="s">
        <v>584</v>
      </c>
      <c r="F2826" s="52" t="s">
        <v>581</v>
      </c>
      <c r="G2826" s="55" t="s">
        <v>275</v>
      </c>
      <c r="H2826" s="55">
        <v>-22.0444</v>
      </c>
      <c r="I2826" s="55">
        <v>-6.6384940000000003E-2</v>
      </c>
      <c r="J2826" s="55">
        <v>0</v>
      </c>
      <c r="K2826" s="55">
        <v>0</v>
      </c>
      <c r="L2826" s="55">
        <v>0</v>
      </c>
      <c r="M2826" s="55">
        <v>0</v>
      </c>
      <c r="N2826" s="55">
        <v>0</v>
      </c>
    </row>
    <row r="2827" spans="1:14" hidden="1" x14ac:dyDescent="0.35">
      <c r="A2827" s="52" t="s">
        <v>222</v>
      </c>
      <c r="B2827" s="52" t="s">
        <v>291</v>
      </c>
      <c r="C2827" s="52" t="s">
        <v>102</v>
      </c>
      <c r="D2827" s="52" t="s">
        <v>102</v>
      </c>
      <c r="E2827" s="52" t="s">
        <v>584</v>
      </c>
      <c r="F2827" s="52" t="s">
        <v>581</v>
      </c>
      <c r="G2827" s="55" t="s">
        <v>276</v>
      </c>
      <c r="H2827" s="55"/>
      <c r="I2827" s="55"/>
      <c r="J2827" s="55">
        <v>-78.275139999999993</v>
      </c>
      <c r="K2827" s="55">
        <v>-6.6384940000000003E-2</v>
      </c>
      <c r="L2827" s="55">
        <v>-6.6384940000000003E-2</v>
      </c>
      <c r="M2827" s="55">
        <v>-6.6384940000000003E-2</v>
      </c>
      <c r="N2827" s="55">
        <v>-8.3054939999999994E-2</v>
      </c>
    </row>
    <row r="2828" spans="1:14" hidden="1" x14ac:dyDescent="0.35">
      <c r="A2828" s="52" t="s">
        <v>222</v>
      </c>
      <c r="B2828" s="52" t="s">
        <v>291</v>
      </c>
      <c r="C2828" s="52" t="s">
        <v>102</v>
      </c>
      <c r="D2828" s="52" t="s">
        <v>102</v>
      </c>
      <c r="E2828" s="52" t="s">
        <v>584</v>
      </c>
      <c r="F2828" s="52" t="s">
        <v>581</v>
      </c>
      <c r="G2828" s="55" t="s">
        <v>277</v>
      </c>
      <c r="H2828" s="55"/>
      <c r="I2828" s="55"/>
      <c r="J2828" s="55"/>
      <c r="K2828" s="55"/>
      <c r="L2828" s="55"/>
      <c r="M2828" s="55">
        <v>0</v>
      </c>
      <c r="N2828" s="55">
        <v>1.6670000000000001E-2</v>
      </c>
    </row>
    <row r="2829" spans="1:14" hidden="1" x14ac:dyDescent="0.35">
      <c r="A2829" s="52" t="s">
        <v>222</v>
      </c>
      <c r="B2829" s="52" t="s">
        <v>291</v>
      </c>
      <c r="C2829" s="52" t="s">
        <v>102</v>
      </c>
      <c r="D2829" s="52" t="s">
        <v>102</v>
      </c>
      <c r="E2829" s="52" t="s">
        <v>584</v>
      </c>
      <c r="F2829" s="52" t="s">
        <v>581</v>
      </c>
      <c r="G2829" s="55" t="s">
        <v>278</v>
      </c>
      <c r="H2829" s="55">
        <v>22.0444</v>
      </c>
      <c r="I2829" s="55">
        <v>6.6384940000000003E-2</v>
      </c>
      <c r="J2829" s="55">
        <v>78.275139999999993</v>
      </c>
      <c r="K2829" s="55">
        <v>6.6384940000000003E-2</v>
      </c>
      <c r="L2829" s="55">
        <v>6.6384940000000003E-2</v>
      </c>
      <c r="M2829" s="55">
        <v>6.6384940000000003E-2</v>
      </c>
      <c r="N2829" s="55">
        <v>6.6384940000000003E-2</v>
      </c>
    </row>
    <row r="2830" spans="1:14" hidden="1" x14ac:dyDescent="0.35">
      <c r="A2830" s="52" t="s">
        <v>222</v>
      </c>
      <c r="B2830" s="52" t="s">
        <v>291</v>
      </c>
      <c r="C2830" s="52" t="s">
        <v>318</v>
      </c>
      <c r="D2830" s="52" t="s">
        <v>318</v>
      </c>
      <c r="E2830" s="52" t="s">
        <v>584</v>
      </c>
      <c r="F2830" s="52" t="s">
        <v>581</v>
      </c>
      <c r="G2830" s="55" t="s">
        <v>278</v>
      </c>
      <c r="H2830" s="55">
        <v>-5.7287090000000003</v>
      </c>
      <c r="I2830" s="55">
        <v>0</v>
      </c>
      <c r="J2830" s="55"/>
      <c r="K2830" s="55"/>
      <c r="L2830" s="55"/>
      <c r="M2830" s="55"/>
      <c r="N2830" s="55"/>
    </row>
    <row r="2831" spans="1:14" hidden="1" x14ac:dyDescent="0.35">
      <c r="A2831" s="52" t="s">
        <v>222</v>
      </c>
      <c r="B2831" s="52" t="s">
        <v>291</v>
      </c>
      <c r="C2831" s="52" t="s">
        <v>318</v>
      </c>
      <c r="D2831" s="52" t="s">
        <v>318</v>
      </c>
      <c r="E2831" s="52" t="s">
        <v>584</v>
      </c>
      <c r="F2831" s="52" t="s">
        <v>26</v>
      </c>
      <c r="G2831" s="55" t="s">
        <v>275</v>
      </c>
      <c r="H2831" s="55">
        <v>3.8191389999999998</v>
      </c>
      <c r="I2831" s="55">
        <v>0</v>
      </c>
      <c r="J2831" s="55"/>
      <c r="K2831" s="55"/>
      <c r="L2831" s="55"/>
      <c r="M2831" s="55"/>
      <c r="N2831" s="55"/>
    </row>
    <row r="2832" spans="1:14" hidden="1" x14ac:dyDescent="0.35">
      <c r="A2832" s="52" t="s">
        <v>222</v>
      </c>
      <c r="B2832" s="52" t="s">
        <v>291</v>
      </c>
      <c r="C2832" s="52" t="s">
        <v>318</v>
      </c>
      <c r="D2832" s="52" t="s">
        <v>318</v>
      </c>
      <c r="E2832" s="52" t="s">
        <v>584</v>
      </c>
      <c r="F2832" s="52" t="s">
        <v>26</v>
      </c>
      <c r="G2832" s="55" t="s">
        <v>278</v>
      </c>
      <c r="H2832" s="55">
        <v>-3.8191389999999998</v>
      </c>
      <c r="I2832" s="55">
        <v>0</v>
      </c>
      <c r="J2832" s="55"/>
      <c r="K2832" s="55"/>
      <c r="L2832" s="55"/>
      <c r="M2832" s="55"/>
      <c r="N2832" s="55"/>
    </row>
    <row r="2833" spans="1:14" hidden="1" x14ac:dyDescent="0.35">
      <c r="A2833" s="52" t="s">
        <v>222</v>
      </c>
      <c r="B2833" s="52" t="s">
        <v>291</v>
      </c>
      <c r="C2833" s="52" t="s">
        <v>290</v>
      </c>
      <c r="D2833" s="52" t="s">
        <v>290</v>
      </c>
      <c r="E2833" s="52" t="s">
        <v>584</v>
      </c>
      <c r="F2833" s="52" t="s">
        <v>581</v>
      </c>
      <c r="G2833" s="55" t="s">
        <v>275</v>
      </c>
      <c r="H2833" s="55">
        <v>-9.9990010000000004E-2</v>
      </c>
      <c r="I2833" s="55">
        <v>-9.9990010000000004E-2</v>
      </c>
      <c r="J2833" s="55">
        <v>0</v>
      </c>
      <c r="K2833" s="55">
        <v>0</v>
      </c>
      <c r="L2833" s="55">
        <v>0</v>
      </c>
      <c r="M2833" s="55">
        <v>0</v>
      </c>
      <c r="N2833" s="55">
        <v>0</v>
      </c>
    </row>
    <row r="2834" spans="1:14" hidden="1" x14ac:dyDescent="0.35">
      <c r="A2834" s="52" t="s">
        <v>222</v>
      </c>
      <c r="B2834" s="52" t="s">
        <v>291</v>
      </c>
      <c r="C2834" s="52" t="s">
        <v>290</v>
      </c>
      <c r="D2834" s="52" t="s">
        <v>290</v>
      </c>
      <c r="E2834" s="52" t="s">
        <v>584</v>
      </c>
      <c r="F2834" s="52" t="s">
        <v>581</v>
      </c>
      <c r="G2834" s="55" t="s">
        <v>276</v>
      </c>
      <c r="H2834" s="55"/>
      <c r="I2834" s="55"/>
      <c r="J2834" s="55">
        <v>-16.717040000000001</v>
      </c>
      <c r="K2834" s="55">
        <v>-1.5084200000000001</v>
      </c>
      <c r="L2834" s="55">
        <v>-0.1041562</v>
      </c>
      <c r="M2834" s="55">
        <v>-0.1041562</v>
      </c>
      <c r="N2834" s="55">
        <v>-0.2249775</v>
      </c>
    </row>
    <row r="2835" spans="1:14" hidden="1" x14ac:dyDescent="0.35">
      <c r="A2835" s="52" t="s">
        <v>222</v>
      </c>
      <c r="B2835" s="52" t="s">
        <v>291</v>
      </c>
      <c r="C2835" s="52" t="s">
        <v>290</v>
      </c>
      <c r="D2835" s="52" t="s">
        <v>290</v>
      </c>
      <c r="E2835" s="52" t="s">
        <v>584</v>
      </c>
      <c r="F2835" s="52" t="s">
        <v>581</v>
      </c>
      <c r="G2835" s="55" t="s">
        <v>277</v>
      </c>
      <c r="H2835" s="55"/>
      <c r="I2835" s="55"/>
      <c r="J2835" s="55"/>
      <c r="K2835" s="55">
        <v>0</v>
      </c>
      <c r="L2835" s="55">
        <v>4.1662499999999998E-3</v>
      </c>
      <c r="M2835" s="55">
        <v>4.1662499999999998E-3</v>
      </c>
      <c r="N2835" s="55">
        <v>0.1249875</v>
      </c>
    </row>
    <row r="2836" spans="1:14" hidden="1" x14ac:dyDescent="0.35">
      <c r="A2836" s="52" t="s">
        <v>222</v>
      </c>
      <c r="B2836" s="52" t="s">
        <v>291</v>
      </c>
      <c r="C2836" s="52" t="s">
        <v>290</v>
      </c>
      <c r="D2836" s="52" t="s">
        <v>290</v>
      </c>
      <c r="E2836" s="52" t="s">
        <v>584</v>
      </c>
      <c r="F2836" s="52" t="s">
        <v>581</v>
      </c>
      <c r="G2836" s="55" t="s">
        <v>278</v>
      </c>
      <c r="H2836" s="55">
        <v>9.9990010000000004E-2</v>
      </c>
      <c r="I2836" s="55">
        <v>9.9990010000000004E-2</v>
      </c>
      <c r="J2836" s="55">
        <v>16.717040000000001</v>
      </c>
      <c r="K2836" s="55">
        <v>1.508419</v>
      </c>
      <c r="L2836" s="55">
        <v>9.9990010000000004E-2</v>
      </c>
      <c r="M2836" s="55">
        <v>9.9990010000000004E-2</v>
      </c>
      <c r="N2836" s="55">
        <v>9.9990010000000004E-2</v>
      </c>
    </row>
    <row r="2837" spans="1:14" hidden="1" x14ac:dyDescent="0.35">
      <c r="A2837" s="52" t="s">
        <v>222</v>
      </c>
      <c r="B2837" s="52" t="s">
        <v>291</v>
      </c>
      <c r="C2837" s="52" t="s">
        <v>290</v>
      </c>
      <c r="D2837" s="52" t="s">
        <v>290</v>
      </c>
      <c r="E2837" s="52" t="s">
        <v>584</v>
      </c>
      <c r="F2837" s="52" t="s">
        <v>581</v>
      </c>
      <c r="G2837" s="55" t="s">
        <v>279</v>
      </c>
      <c r="H2837" s="55"/>
      <c r="I2837" s="55"/>
      <c r="J2837" s="55"/>
      <c r="K2837" s="55"/>
      <c r="L2837" s="55"/>
      <c r="M2837" s="55"/>
      <c r="N2837" s="55">
        <v>0</v>
      </c>
    </row>
    <row r="2838" spans="1:14" hidden="1" x14ac:dyDescent="0.35">
      <c r="A2838" s="52" t="s">
        <v>222</v>
      </c>
      <c r="B2838" s="52" t="s">
        <v>291</v>
      </c>
      <c r="C2838" s="52" t="s">
        <v>290</v>
      </c>
      <c r="D2838" s="52" t="s">
        <v>290</v>
      </c>
      <c r="E2838" s="52" t="s">
        <v>584</v>
      </c>
      <c r="F2838" s="52" t="s">
        <v>26</v>
      </c>
      <c r="G2838" s="55" t="s">
        <v>275</v>
      </c>
      <c r="H2838" s="55"/>
      <c r="I2838" s="55"/>
      <c r="J2838" s="55"/>
      <c r="K2838" s="55"/>
      <c r="L2838" s="55"/>
      <c r="M2838" s="55"/>
      <c r="N2838" s="55">
        <v>0</v>
      </c>
    </row>
    <row r="2839" spans="1:14" hidden="1" x14ac:dyDescent="0.35">
      <c r="A2839" s="52" t="s">
        <v>222</v>
      </c>
      <c r="B2839" s="52" t="s">
        <v>291</v>
      </c>
      <c r="C2839" s="52" t="s">
        <v>290</v>
      </c>
      <c r="D2839" s="52" t="s">
        <v>290</v>
      </c>
      <c r="E2839" s="52" t="s">
        <v>584</v>
      </c>
      <c r="F2839" s="52" t="s">
        <v>26</v>
      </c>
      <c r="G2839" s="55" t="s">
        <v>276</v>
      </c>
      <c r="H2839" s="55"/>
      <c r="I2839" s="55"/>
      <c r="J2839" s="55"/>
      <c r="K2839" s="55"/>
      <c r="L2839" s="55"/>
      <c r="M2839" s="55"/>
      <c r="N2839" s="55">
        <v>0</v>
      </c>
    </row>
    <row r="2840" spans="1:14" hidden="1" x14ac:dyDescent="0.35">
      <c r="A2840" s="52" t="s">
        <v>222</v>
      </c>
      <c r="B2840" s="52" t="s">
        <v>291</v>
      </c>
      <c r="C2840" s="52" t="s">
        <v>290</v>
      </c>
      <c r="D2840" s="52" t="s">
        <v>290</v>
      </c>
      <c r="E2840" s="52" t="s">
        <v>584</v>
      </c>
      <c r="F2840" s="52" t="s">
        <v>26</v>
      </c>
      <c r="G2840" s="55" t="s">
        <v>279</v>
      </c>
      <c r="H2840" s="55"/>
      <c r="I2840" s="55"/>
      <c r="J2840" s="55"/>
      <c r="K2840" s="55"/>
      <c r="L2840" s="55"/>
      <c r="M2840" s="55"/>
      <c r="N2840" s="55">
        <v>0</v>
      </c>
    </row>
    <row r="2841" spans="1:14" hidden="1" x14ac:dyDescent="0.35">
      <c r="A2841" s="52" t="s">
        <v>222</v>
      </c>
      <c r="B2841" s="52" t="s">
        <v>34</v>
      </c>
      <c r="C2841" s="52" t="s">
        <v>113</v>
      </c>
      <c r="D2841" s="52" t="s">
        <v>113</v>
      </c>
      <c r="E2841" s="52" t="s">
        <v>584</v>
      </c>
      <c r="F2841" s="52" t="s">
        <v>581</v>
      </c>
      <c r="G2841" s="55" t="s">
        <v>275</v>
      </c>
      <c r="H2841" s="55">
        <v>-0.37873950000000001</v>
      </c>
      <c r="I2841" s="55">
        <v>-0.37873950000000001</v>
      </c>
      <c r="J2841" s="55">
        <v>0</v>
      </c>
      <c r="K2841" s="55">
        <v>0</v>
      </c>
      <c r="L2841" s="55">
        <v>0</v>
      </c>
      <c r="M2841" s="55">
        <v>0</v>
      </c>
      <c r="N2841" s="55">
        <v>0</v>
      </c>
    </row>
    <row r="2842" spans="1:14" hidden="1" x14ac:dyDescent="0.35">
      <c r="A2842" s="52" t="s">
        <v>222</v>
      </c>
      <c r="B2842" s="52" t="s">
        <v>34</v>
      </c>
      <c r="C2842" s="52" t="s">
        <v>318</v>
      </c>
      <c r="D2842" s="52" t="s">
        <v>318</v>
      </c>
      <c r="E2842" s="52" t="s">
        <v>584</v>
      </c>
      <c r="F2842" s="52" t="s">
        <v>581</v>
      </c>
      <c r="G2842" s="55" t="s">
        <v>275</v>
      </c>
      <c r="H2842" s="55">
        <v>0</v>
      </c>
      <c r="I2842" s="55"/>
      <c r="J2842" s="55"/>
      <c r="K2842" s="55"/>
      <c r="L2842" s="55"/>
      <c r="M2842" s="55"/>
      <c r="N2842" s="55"/>
    </row>
    <row r="2843" spans="1:14" hidden="1" x14ac:dyDescent="0.35">
      <c r="A2843" s="52" t="s">
        <v>222</v>
      </c>
      <c r="B2843" s="52" t="s">
        <v>34</v>
      </c>
      <c r="C2843" s="52" t="s">
        <v>113</v>
      </c>
      <c r="D2843" s="52" t="s">
        <v>113</v>
      </c>
      <c r="E2843" s="52" t="s">
        <v>584</v>
      </c>
      <c r="F2843" s="52" t="s">
        <v>581</v>
      </c>
      <c r="G2843" s="55" t="s">
        <v>276</v>
      </c>
      <c r="H2843" s="55"/>
      <c r="I2843" s="55"/>
      <c r="J2843" s="55">
        <v>-0.37873950000000001</v>
      </c>
      <c r="K2843" s="55">
        <v>-0.37873950000000001</v>
      </c>
      <c r="L2843" s="55">
        <v>-0.37873950000000001</v>
      </c>
      <c r="M2843" s="55">
        <v>-0.37873950000000001</v>
      </c>
      <c r="N2843" s="55">
        <v>-0.37873950000000001</v>
      </c>
    </row>
    <row r="2844" spans="1:14" hidden="1" x14ac:dyDescent="0.35">
      <c r="A2844" s="52" t="s">
        <v>222</v>
      </c>
      <c r="B2844" s="52" t="s">
        <v>34</v>
      </c>
      <c r="C2844" s="52" t="s">
        <v>113</v>
      </c>
      <c r="D2844" s="52" t="s">
        <v>113</v>
      </c>
      <c r="E2844" s="52" t="s">
        <v>584</v>
      </c>
      <c r="F2844" s="52" t="s">
        <v>581</v>
      </c>
      <c r="G2844" s="55" t="s">
        <v>277</v>
      </c>
      <c r="H2844" s="55"/>
      <c r="I2844" s="55"/>
      <c r="J2844" s="55"/>
      <c r="K2844" s="55"/>
      <c r="L2844" s="55"/>
      <c r="M2844" s="55"/>
      <c r="N2844" s="55">
        <v>0</v>
      </c>
    </row>
    <row r="2845" spans="1:14" hidden="1" x14ac:dyDescent="0.35">
      <c r="A2845" s="52" t="s">
        <v>222</v>
      </c>
      <c r="B2845" s="52" t="s">
        <v>34</v>
      </c>
      <c r="C2845" s="52" t="s">
        <v>318</v>
      </c>
      <c r="D2845" s="52" t="s">
        <v>318</v>
      </c>
      <c r="E2845" s="52" t="s">
        <v>584</v>
      </c>
      <c r="F2845" s="52" t="s">
        <v>581</v>
      </c>
      <c r="G2845" s="55" t="s">
        <v>278</v>
      </c>
      <c r="H2845" s="55">
        <v>0</v>
      </c>
      <c r="I2845" s="55"/>
      <c r="J2845" s="55"/>
      <c r="K2845" s="55"/>
      <c r="L2845" s="55"/>
      <c r="M2845" s="55"/>
      <c r="N2845" s="55"/>
    </row>
    <row r="2846" spans="1:14" hidden="1" x14ac:dyDescent="0.35">
      <c r="A2846" s="52" t="s">
        <v>222</v>
      </c>
      <c r="B2846" s="52" t="s">
        <v>34</v>
      </c>
      <c r="C2846" s="52" t="s">
        <v>113</v>
      </c>
      <c r="D2846" s="52" t="s">
        <v>113</v>
      </c>
      <c r="E2846" s="52" t="s">
        <v>584</v>
      </c>
      <c r="F2846" s="52" t="s">
        <v>581</v>
      </c>
      <c r="G2846" s="55" t="s">
        <v>278</v>
      </c>
      <c r="H2846" s="55">
        <v>0.37873950000000001</v>
      </c>
      <c r="I2846" s="55">
        <v>0.37873950000000001</v>
      </c>
      <c r="J2846" s="55">
        <v>0.37873950000000001</v>
      </c>
      <c r="K2846" s="55">
        <v>0.37873950000000001</v>
      </c>
      <c r="L2846" s="55">
        <v>0.37873950000000001</v>
      </c>
      <c r="M2846" s="55">
        <v>0.37873950000000001</v>
      </c>
      <c r="N2846" s="55">
        <v>0.37873950000000001</v>
      </c>
    </row>
    <row r="2847" spans="1:14" hidden="1" x14ac:dyDescent="0.35">
      <c r="A2847" s="52" t="s">
        <v>222</v>
      </c>
      <c r="B2847" s="52" t="s">
        <v>34</v>
      </c>
      <c r="C2847" s="52" t="s">
        <v>318</v>
      </c>
      <c r="D2847" s="52" t="s">
        <v>318</v>
      </c>
      <c r="E2847" s="52" t="s">
        <v>584</v>
      </c>
      <c r="F2847" s="52" t="s">
        <v>26</v>
      </c>
      <c r="G2847" s="55" t="s">
        <v>275</v>
      </c>
      <c r="H2847" s="55">
        <v>0</v>
      </c>
      <c r="I2847" s="55"/>
      <c r="J2847" s="55"/>
      <c r="K2847" s="55"/>
      <c r="L2847" s="55"/>
      <c r="M2847" s="55"/>
      <c r="N2847" s="55"/>
    </row>
    <row r="2848" spans="1:14" hidden="1" x14ac:dyDescent="0.35">
      <c r="A2848" s="52" t="s">
        <v>222</v>
      </c>
      <c r="B2848" s="52" t="s">
        <v>34</v>
      </c>
      <c r="C2848" s="52" t="s">
        <v>318</v>
      </c>
      <c r="D2848" s="52" t="s">
        <v>318</v>
      </c>
      <c r="E2848" s="52" t="s">
        <v>584</v>
      </c>
      <c r="F2848" s="52" t="s">
        <v>26</v>
      </c>
      <c r="G2848" s="55" t="s">
        <v>278</v>
      </c>
      <c r="H2848" s="55">
        <v>0</v>
      </c>
      <c r="I2848" s="55"/>
      <c r="J2848" s="55"/>
      <c r="K2848" s="55"/>
      <c r="L2848" s="55"/>
      <c r="M2848" s="55"/>
      <c r="N2848" s="55"/>
    </row>
    <row r="2849" spans="1:14" hidden="1" x14ac:dyDescent="0.35">
      <c r="A2849" s="52" t="s">
        <v>222</v>
      </c>
      <c r="B2849" s="52" t="s">
        <v>34</v>
      </c>
      <c r="C2849" s="52" t="s">
        <v>304</v>
      </c>
      <c r="D2849" s="52" t="s">
        <v>304</v>
      </c>
      <c r="E2849" s="52" t="s">
        <v>584</v>
      </c>
      <c r="F2849" s="52" t="s">
        <v>581</v>
      </c>
      <c r="G2849" s="55" t="s">
        <v>275</v>
      </c>
      <c r="H2849" s="55">
        <v>-0.21737570000000001</v>
      </c>
      <c r="I2849" s="55">
        <v>-0.21737600000000001</v>
      </c>
      <c r="J2849" s="55">
        <v>0</v>
      </c>
      <c r="K2849" s="55">
        <v>0</v>
      </c>
      <c r="L2849" s="55">
        <v>0</v>
      </c>
      <c r="M2849" s="55">
        <v>0</v>
      </c>
      <c r="N2849" s="55">
        <v>0</v>
      </c>
    </row>
    <row r="2850" spans="1:14" hidden="1" x14ac:dyDescent="0.35">
      <c r="A2850" s="52" t="s">
        <v>222</v>
      </c>
      <c r="B2850" s="52" t="s">
        <v>34</v>
      </c>
      <c r="C2850" s="52" t="s">
        <v>304</v>
      </c>
      <c r="D2850" s="52" t="s">
        <v>304</v>
      </c>
      <c r="E2850" s="52" t="s">
        <v>584</v>
      </c>
      <c r="F2850" s="52" t="s">
        <v>581</v>
      </c>
      <c r="G2850" s="55" t="s">
        <v>276</v>
      </c>
      <c r="H2850" s="55"/>
      <c r="I2850" s="55"/>
      <c r="J2850" s="55">
        <v>-19.060569999999998</v>
      </c>
      <c r="K2850" s="55">
        <v>-18.543959999999998</v>
      </c>
      <c r="L2850" s="55">
        <v>-0.21737580000000001</v>
      </c>
      <c r="M2850" s="55">
        <v>-0.22412000000000001</v>
      </c>
      <c r="N2850" s="55">
        <v>-0.24435229999999999</v>
      </c>
    </row>
    <row r="2851" spans="1:14" hidden="1" x14ac:dyDescent="0.35">
      <c r="A2851" s="52" t="s">
        <v>222</v>
      </c>
      <c r="B2851" s="52" t="s">
        <v>34</v>
      </c>
      <c r="C2851" s="52" t="s">
        <v>304</v>
      </c>
      <c r="D2851" s="52" t="s">
        <v>304</v>
      </c>
      <c r="E2851" s="52" t="s">
        <v>584</v>
      </c>
      <c r="F2851" s="52" t="s">
        <v>581</v>
      </c>
      <c r="G2851" s="55" t="s">
        <v>277</v>
      </c>
      <c r="H2851" s="55"/>
      <c r="I2851" s="55"/>
      <c r="J2851" s="55"/>
      <c r="K2851" s="55"/>
      <c r="L2851" s="55">
        <v>0</v>
      </c>
      <c r="M2851" s="55">
        <v>6.7442500000000002E-3</v>
      </c>
      <c r="N2851" s="55">
        <v>2.6976750000000001E-2</v>
      </c>
    </row>
    <row r="2852" spans="1:14" hidden="1" x14ac:dyDescent="0.35">
      <c r="A2852" s="52" t="s">
        <v>222</v>
      </c>
      <c r="B2852" s="52" t="s">
        <v>34</v>
      </c>
      <c r="C2852" s="52" t="s">
        <v>304</v>
      </c>
      <c r="D2852" s="52" t="s">
        <v>304</v>
      </c>
      <c r="E2852" s="52" t="s">
        <v>584</v>
      </c>
      <c r="F2852" s="52" t="s">
        <v>581</v>
      </c>
      <c r="G2852" s="55" t="s">
        <v>278</v>
      </c>
      <c r="H2852" s="55">
        <v>0.21737570000000001</v>
      </c>
      <c r="I2852" s="55">
        <v>0.21737600000000001</v>
      </c>
      <c r="J2852" s="55">
        <v>19.060569999999998</v>
      </c>
      <c r="K2852" s="55">
        <v>18.543959999999998</v>
      </c>
      <c r="L2852" s="55">
        <v>0.21737580000000001</v>
      </c>
      <c r="M2852" s="55">
        <v>0.21737580000000001</v>
      </c>
      <c r="N2852" s="55">
        <v>0.21737580000000001</v>
      </c>
    </row>
    <row r="2853" spans="1:14" hidden="1" x14ac:dyDescent="0.35">
      <c r="A2853" s="52" t="s">
        <v>250</v>
      </c>
      <c r="B2853" s="52" t="s">
        <v>37</v>
      </c>
      <c r="C2853" s="52" t="s">
        <v>35</v>
      </c>
      <c r="D2853" s="52" t="s">
        <v>36</v>
      </c>
      <c r="E2853" s="52" t="s">
        <v>589</v>
      </c>
      <c r="F2853" s="52" t="s">
        <v>581</v>
      </c>
      <c r="G2853" s="55" t="s">
        <v>275</v>
      </c>
      <c r="H2853" s="55">
        <v>-35.255580000000002</v>
      </c>
      <c r="I2853" s="55">
        <v>166.33969999999999</v>
      </c>
      <c r="J2853" s="55">
        <v>576.27139999999997</v>
      </c>
      <c r="K2853" s="55">
        <v>769.80309999999997</v>
      </c>
      <c r="L2853" s="55">
        <v>709.72249999999997</v>
      </c>
      <c r="M2853" s="55">
        <v>483.52609999999999</v>
      </c>
      <c r="N2853" s="55">
        <v>458.8021</v>
      </c>
    </row>
    <row r="2854" spans="1:14" hidden="1" x14ac:dyDescent="0.35">
      <c r="A2854" s="52" t="s">
        <v>250</v>
      </c>
      <c r="B2854" s="52" t="s">
        <v>37</v>
      </c>
      <c r="C2854" s="52" t="s">
        <v>35</v>
      </c>
      <c r="D2854" s="52" t="s">
        <v>36</v>
      </c>
      <c r="E2854" s="52" t="s">
        <v>589</v>
      </c>
      <c r="F2854" s="52" t="s">
        <v>581</v>
      </c>
      <c r="G2854" s="55" t="s">
        <v>276</v>
      </c>
      <c r="H2854" s="55">
        <v>72.138890000000004</v>
      </c>
      <c r="I2854" s="55">
        <v>-169.74940000000001</v>
      </c>
      <c r="J2854" s="55">
        <v>-88.749139999999997</v>
      </c>
      <c r="K2854" s="55">
        <v>-42.56109</v>
      </c>
      <c r="L2854" s="55">
        <v>2.0267300000000001</v>
      </c>
      <c r="M2854" s="55">
        <v>86.672150000000002</v>
      </c>
      <c r="N2854" s="55">
        <v>117.6656</v>
      </c>
    </row>
    <row r="2855" spans="1:14" hidden="1" x14ac:dyDescent="0.35">
      <c r="A2855" s="52" t="s">
        <v>250</v>
      </c>
      <c r="B2855" s="52" t="s">
        <v>37</v>
      </c>
      <c r="C2855" s="52" t="s">
        <v>35</v>
      </c>
      <c r="D2855" s="52" t="s">
        <v>36</v>
      </c>
      <c r="E2855" s="52" t="s">
        <v>589</v>
      </c>
      <c r="F2855" s="52" t="s">
        <v>581</v>
      </c>
      <c r="G2855" s="55" t="s">
        <v>277</v>
      </c>
      <c r="H2855" s="55">
        <v>1509.673</v>
      </c>
      <c r="I2855" s="55">
        <v>639.05930000000001</v>
      </c>
      <c r="J2855" s="55">
        <v>297.7765</v>
      </c>
      <c r="K2855" s="55">
        <v>93.409540000000007</v>
      </c>
      <c r="L2855" s="55">
        <v>116.1738</v>
      </c>
      <c r="M2855" s="55">
        <v>155.09200000000001</v>
      </c>
      <c r="N2855" s="55">
        <v>267.29969999999997</v>
      </c>
    </row>
    <row r="2856" spans="1:14" hidden="1" x14ac:dyDescent="0.35">
      <c r="A2856" s="52" t="s">
        <v>250</v>
      </c>
      <c r="B2856" s="52" t="s">
        <v>37</v>
      </c>
      <c r="C2856" s="52" t="s">
        <v>35</v>
      </c>
      <c r="D2856" s="52" t="s">
        <v>36</v>
      </c>
      <c r="E2856" s="52" t="s">
        <v>589</v>
      </c>
      <c r="F2856" s="52" t="s">
        <v>581</v>
      </c>
      <c r="G2856" s="55" t="s">
        <v>278</v>
      </c>
      <c r="H2856" s="55">
        <v>351.46370000000002</v>
      </c>
      <c r="I2856" s="55">
        <v>186.06049999999999</v>
      </c>
      <c r="J2856" s="55">
        <v>249.47409999999999</v>
      </c>
      <c r="K2856" s="55">
        <v>215.2732</v>
      </c>
      <c r="L2856" s="55">
        <v>214.01779999999999</v>
      </c>
      <c r="M2856" s="55">
        <v>256.00299999999999</v>
      </c>
      <c r="N2856" s="55">
        <v>167.25989999999999</v>
      </c>
    </row>
    <row r="2857" spans="1:14" hidden="1" x14ac:dyDescent="0.35">
      <c r="A2857" s="52" t="s">
        <v>250</v>
      </c>
      <c r="B2857" s="52" t="s">
        <v>37</v>
      </c>
      <c r="C2857" s="52" t="s">
        <v>35</v>
      </c>
      <c r="D2857" s="52" t="s">
        <v>36</v>
      </c>
      <c r="E2857" s="52" t="s">
        <v>589</v>
      </c>
      <c r="F2857" s="52" t="s">
        <v>581</v>
      </c>
      <c r="G2857" s="55" t="s">
        <v>279</v>
      </c>
      <c r="H2857" s="55">
        <v>732.05079999999998</v>
      </c>
      <c r="I2857" s="55">
        <v>628.61739999999998</v>
      </c>
      <c r="J2857" s="55">
        <v>737.05259999999998</v>
      </c>
      <c r="K2857" s="55">
        <v>768.33019999999999</v>
      </c>
      <c r="L2857" s="55">
        <v>704.32010000000002</v>
      </c>
      <c r="M2857" s="55">
        <v>820.66279999999995</v>
      </c>
      <c r="N2857" s="55">
        <v>834.57749999999999</v>
      </c>
    </row>
    <row r="2858" spans="1:14" hidden="1" x14ac:dyDescent="0.35">
      <c r="A2858" s="52" t="s">
        <v>250</v>
      </c>
      <c r="B2858" s="52" t="s">
        <v>37</v>
      </c>
      <c r="C2858" s="52" t="s">
        <v>35</v>
      </c>
      <c r="D2858" s="52" t="s">
        <v>36</v>
      </c>
      <c r="E2858" s="52" t="s">
        <v>589</v>
      </c>
      <c r="F2858" s="52" t="s">
        <v>26</v>
      </c>
      <c r="G2858" s="55" t="s">
        <v>275</v>
      </c>
      <c r="H2858" s="55">
        <v>-29.261880000000001</v>
      </c>
      <c r="I2858" s="55">
        <v>-33.545960000000001</v>
      </c>
      <c r="J2858" s="55">
        <v>-30.421130000000002</v>
      </c>
      <c r="K2858" s="55">
        <v>-37.951909999999998</v>
      </c>
      <c r="L2858" s="55">
        <v>-32.957009999999997</v>
      </c>
      <c r="M2858" s="55">
        <v>-50.706899999999997</v>
      </c>
      <c r="N2858" s="55">
        <v>-51.389769999999999</v>
      </c>
    </row>
    <row r="2859" spans="1:14" hidden="1" x14ac:dyDescent="0.35">
      <c r="A2859" s="52" t="s">
        <v>250</v>
      </c>
      <c r="B2859" s="52" t="s">
        <v>37</v>
      </c>
      <c r="C2859" s="52" t="s">
        <v>35</v>
      </c>
      <c r="D2859" s="52" t="s">
        <v>36</v>
      </c>
      <c r="E2859" s="52" t="s">
        <v>589</v>
      </c>
      <c r="F2859" s="52" t="s">
        <v>26</v>
      </c>
      <c r="G2859" s="55" t="s">
        <v>276</v>
      </c>
      <c r="H2859" s="55">
        <v>-7.7784579999999997</v>
      </c>
      <c r="I2859" s="55">
        <v>-8.9172689999999992</v>
      </c>
      <c r="J2859" s="55">
        <v>-8.0866410000000002</v>
      </c>
      <c r="K2859" s="55">
        <v>-10.088469999999999</v>
      </c>
      <c r="L2859" s="55">
        <v>-8.7607540000000004</v>
      </c>
      <c r="M2859" s="55">
        <v>-13.47907</v>
      </c>
      <c r="N2859" s="55">
        <v>-13.66057</v>
      </c>
    </row>
    <row r="2860" spans="1:14" hidden="1" x14ac:dyDescent="0.35">
      <c r="A2860" s="52" t="s">
        <v>250</v>
      </c>
      <c r="B2860" s="52" t="s">
        <v>37</v>
      </c>
      <c r="C2860" s="52" t="s">
        <v>35</v>
      </c>
      <c r="D2860" s="52" t="s">
        <v>36</v>
      </c>
      <c r="E2860" s="52" t="s">
        <v>589</v>
      </c>
      <c r="F2860" s="52" t="s">
        <v>26</v>
      </c>
      <c r="G2860" s="55" t="s">
        <v>279</v>
      </c>
      <c r="H2860" s="55">
        <v>161.7278</v>
      </c>
      <c r="I2860" s="55">
        <v>164.7456</v>
      </c>
      <c r="J2860" s="55">
        <v>194.37629999999999</v>
      </c>
      <c r="K2860" s="55">
        <v>205.47929999999999</v>
      </c>
      <c r="L2860" s="55">
        <v>193.11150000000001</v>
      </c>
      <c r="M2860" s="55">
        <v>219.28649999999999</v>
      </c>
      <c r="N2860" s="55">
        <v>222.6627</v>
      </c>
    </row>
    <row r="2861" spans="1:14" hidden="1" x14ac:dyDescent="0.35">
      <c r="A2861" s="52" t="s">
        <v>250</v>
      </c>
      <c r="B2861" s="52" t="s">
        <v>37</v>
      </c>
      <c r="C2861" s="52" t="s">
        <v>35</v>
      </c>
      <c r="D2861" s="52" t="s">
        <v>36</v>
      </c>
      <c r="E2861" s="52" t="s">
        <v>588</v>
      </c>
      <c r="F2861" s="52" t="s">
        <v>581</v>
      </c>
      <c r="G2861" s="55" t="s">
        <v>275</v>
      </c>
      <c r="H2861" s="55">
        <v>39.709600000000002</v>
      </c>
      <c r="I2861" s="55">
        <v>92.549210000000002</v>
      </c>
      <c r="J2861" s="55">
        <v>177.8536</v>
      </c>
      <c r="K2861" s="55">
        <v>203.15539999999999</v>
      </c>
      <c r="L2861" s="55">
        <v>143.4615</v>
      </c>
      <c r="M2861" s="55">
        <v>95.8797</v>
      </c>
      <c r="N2861" s="55">
        <v>79.426950000000005</v>
      </c>
    </row>
    <row r="2862" spans="1:14" hidden="1" x14ac:dyDescent="0.35">
      <c r="A2862" s="52" t="s">
        <v>250</v>
      </c>
      <c r="B2862" s="52" t="s">
        <v>37</v>
      </c>
      <c r="C2862" s="52" t="s">
        <v>35</v>
      </c>
      <c r="D2862" s="52" t="s">
        <v>36</v>
      </c>
      <c r="E2862" s="52" t="s">
        <v>588</v>
      </c>
      <c r="F2862" s="52" t="s">
        <v>581</v>
      </c>
      <c r="G2862" s="55" t="s">
        <v>276</v>
      </c>
      <c r="H2862" s="55">
        <v>14.570040000000001</v>
      </c>
      <c r="I2862" s="55">
        <v>-51.756909999999998</v>
      </c>
      <c r="J2862" s="55">
        <v>-50.826900000000002</v>
      </c>
      <c r="K2862" s="55">
        <v>-81.941190000000006</v>
      </c>
      <c r="L2862" s="55">
        <v>-18.59178</v>
      </c>
      <c r="M2862" s="55">
        <v>7.095065</v>
      </c>
      <c r="N2862" s="55">
        <v>15.832599999999999</v>
      </c>
    </row>
    <row r="2863" spans="1:14" hidden="1" x14ac:dyDescent="0.35">
      <c r="A2863" s="52" t="s">
        <v>250</v>
      </c>
      <c r="B2863" s="52" t="s">
        <v>37</v>
      </c>
      <c r="C2863" s="52" t="s">
        <v>35</v>
      </c>
      <c r="D2863" s="52" t="s">
        <v>36</v>
      </c>
      <c r="E2863" s="52" t="s">
        <v>588</v>
      </c>
      <c r="F2863" s="52" t="s">
        <v>581</v>
      </c>
      <c r="G2863" s="55" t="s">
        <v>277</v>
      </c>
      <c r="H2863" s="55">
        <v>414.66730000000001</v>
      </c>
      <c r="I2863" s="55">
        <v>148.85059999999999</v>
      </c>
      <c r="J2863" s="55">
        <v>45.313429999999997</v>
      </c>
      <c r="K2863" s="55">
        <v>17.143149999999999</v>
      </c>
      <c r="L2863" s="55">
        <v>19.33858</v>
      </c>
      <c r="M2863" s="55">
        <v>23.306760000000001</v>
      </c>
      <c r="N2863" s="55">
        <v>32.191850000000002</v>
      </c>
    </row>
    <row r="2864" spans="1:14" hidden="1" x14ac:dyDescent="0.35">
      <c r="A2864" s="52" t="s">
        <v>250</v>
      </c>
      <c r="B2864" s="52" t="s">
        <v>37</v>
      </c>
      <c r="C2864" s="52" t="s">
        <v>35</v>
      </c>
      <c r="D2864" s="52" t="s">
        <v>36</v>
      </c>
      <c r="E2864" s="52" t="s">
        <v>588</v>
      </c>
      <c r="F2864" s="52" t="s">
        <v>581</v>
      </c>
      <c r="G2864" s="55" t="s">
        <v>278</v>
      </c>
      <c r="H2864" s="55">
        <v>102.24209999999999</v>
      </c>
      <c r="I2864" s="55">
        <v>41.449809999999999</v>
      </c>
      <c r="J2864" s="55">
        <v>41.371250000000003</v>
      </c>
      <c r="K2864" s="55">
        <v>46.167110000000001</v>
      </c>
      <c r="L2864" s="55">
        <v>29.456499999999998</v>
      </c>
      <c r="M2864" s="55">
        <v>18.62548</v>
      </c>
      <c r="N2864" s="55">
        <v>11.65526</v>
      </c>
    </row>
    <row r="2865" spans="1:14" hidden="1" x14ac:dyDescent="0.35">
      <c r="A2865" s="52" t="s">
        <v>250</v>
      </c>
      <c r="B2865" s="52" t="s">
        <v>37</v>
      </c>
      <c r="C2865" s="52" t="s">
        <v>35</v>
      </c>
      <c r="D2865" s="52" t="s">
        <v>36</v>
      </c>
      <c r="E2865" s="52" t="s">
        <v>588</v>
      </c>
      <c r="F2865" s="52" t="s">
        <v>581</v>
      </c>
      <c r="G2865" s="55" t="s">
        <v>279</v>
      </c>
      <c r="H2865" s="55">
        <v>226.14099999999999</v>
      </c>
      <c r="I2865" s="55">
        <v>183.8236</v>
      </c>
      <c r="J2865" s="55">
        <v>157.96520000000001</v>
      </c>
      <c r="K2865" s="55">
        <v>142.60159999999999</v>
      </c>
      <c r="L2865" s="55">
        <v>121.2901</v>
      </c>
      <c r="M2865" s="55">
        <v>122.8963</v>
      </c>
      <c r="N2865" s="55">
        <v>114.4298</v>
      </c>
    </row>
    <row r="2866" spans="1:14" hidden="1" x14ac:dyDescent="0.35">
      <c r="A2866" s="52" t="s">
        <v>250</v>
      </c>
      <c r="B2866" s="52" t="s">
        <v>37</v>
      </c>
      <c r="C2866" s="52" t="s">
        <v>35</v>
      </c>
      <c r="D2866" s="52" t="s">
        <v>36</v>
      </c>
      <c r="E2866" s="52" t="s">
        <v>588</v>
      </c>
      <c r="F2866" s="52" t="s">
        <v>26</v>
      </c>
      <c r="G2866" s="55" t="s">
        <v>275</v>
      </c>
      <c r="H2866" s="55">
        <v>-5.6486359999999998</v>
      </c>
      <c r="I2866" s="55">
        <v>-6.4933189999999996</v>
      </c>
      <c r="J2866" s="55">
        <v>-3.7373090000000002</v>
      </c>
      <c r="K2866" s="55">
        <v>-4.4973089999999996</v>
      </c>
      <c r="L2866" s="55">
        <v>-3.4743360000000001</v>
      </c>
      <c r="M2866" s="55">
        <v>-5.2209399999999997</v>
      </c>
      <c r="N2866" s="55">
        <v>-4.7755380000000001</v>
      </c>
    </row>
    <row r="2867" spans="1:14" hidden="1" x14ac:dyDescent="0.35">
      <c r="A2867" s="52" t="s">
        <v>250</v>
      </c>
      <c r="B2867" s="52" t="s">
        <v>37</v>
      </c>
      <c r="C2867" s="52" t="s">
        <v>35</v>
      </c>
      <c r="D2867" s="52" t="s">
        <v>36</v>
      </c>
      <c r="E2867" s="52" t="s">
        <v>588</v>
      </c>
      <c r="F2867" s="52" t="s">
        <v>26</v>
      </c>
      <c r="G2867" s="55" t="s">
        <v>276</v>
      </c>
      <c r="H2867" s="55">
        <v>-1.5015430000000001</v>
      </c>
      <c r="I2867" s="55">
        <v>-1.726078</v>
      </c>
      <c r="J2867" s="55">
        <v>-0.99347160000000001</v>
      </c>
      <c r="K2867" s="55">
        <v>-1.1954819999999999</v>
      </c>
      <c r="L2867" s="55">
        <v>-0.9235603</v>
      </c>
      <c r="M2867" s="55">
        <v>-1.3878490000000001</v>
      </c>
      <c r="N2867" s="55">
        <v>-1.26945</v>
      </c>
    </row>
    <row r="2868" spans="1:14" hidden="1" x14ac:dyDescent="0.35">
      <c r="A2868" s="52" t="s">
        <v>250</v>
      </c>
      <c r="B2868" s="52" t="s">
        <v>37</v>
      </c>
      <c r="C2868" s="52" t="s">
        <v>35</v>
      </c>
      <c r="D2868" s="52" t="s">
        <v>36</v>
      </c>
      <c r="E2868" s="52" t="s">
        <v>588</v>
      </c>
      <c r="F2868" s="52" t="s">
        <v>26</v>
      </c>
      <c r="G2868" s="55" t="s">
        <v>279</v>
      </c>
      <c r="H2868" s="55">
        <v>44.897010000000002</v>
      </c>
      <c r="I2868" s="55">
        <v>43.135829999999999</v>
      </c>
      <c r="J2868" s="55">
        <v>37.366990000000001</v>
      </c>
      <c r="K2868" s="55">
        <v>34.212739999999997</v>
      </c>
      <c r="L2868" s="55">
        <v>29.885200000000001</v>
      </c>
      <c r="M2868" s="55">
        <v>29.32911</v>
      </c>
      <c r="N2868" s="55">
        <v>27.21424</v>
      </c>
    </row>
    <row r="2869" spans="1:14" hidden="1" x14ac:dyDescent="0.35">
      <c r="A2869" s="52" t="s">
        <v>250</v>
      </c>
      <c r="B2869" s="52" t="s">
        <v>37</v>
      </c>
      <c r="C2869" s="52" t="s">
        <v>35</v>
      </c>
      <c r="D2869" s="52" t="s">
        <v>36</v>
      </c>
      <c r="E2869" s="52" t="s">
        <v>590</v>
      </c>
      <c r="F2869" s="52" t="s">
        <v>581</v>
      </c>
      <c r="G2869" s="55" t="s">
        <v>275</v>
      </c>
      <c r="H2869" s="55">
        <v>26.557089999999999</v>
      </c>
      <c r="I2869" s="55">
        <v>95.69144</v>
      </c>
      <c r="J2869" s="55">
        <v>139.55510000000001</v>
      </c>
      <c r="K2869" s="55">
        <v>147.59989999999999</v>
      </c>
      <c r="L2869" s="55">
        <v>142.4144</v>
      </c>
      <c r="M2869" s="55">
        <v>92.725229999999996</v>
      </c>
      <c r="N2869" s="55">
        <v>67.408720000000002</v>
      </c>
    </row>
    <row r="2870" spans="1:14" hidden="1" x14ac:dyDescent="0.35">
      <c r="A2870" s="52" t="s">
        <v>250</v>
      </c>
      <c r="B2870" s="52" t="s">
        <v>37</v>
      </c>
      <c r="C2870" s="52" t="s">
        <v>35</v>
      </c>
      <c r="D2870" s="52" t="s">
        <v>36</v>
      </c>
      <c r="E2870" s="52" t="s">
        <v>590</v>
      </c>
      <c r="F2870" s="52" t="s">
        <v>581</v>
      </c>
      <c r="G2870" s="55" t="s">
        <v>276</v>
      </c>
      <c r="H2870" s="55">
        <v>49.376849999999997</v>
      </c>
      <c r="I2870" s="55">
        <v>-13.4992</v>
      </c>
      <c r="J2870" s="55">
        <v>-10.013920000000001</v>
      </c>
      <c r="K2870" s="55">
        <v>-21.106120000000001</v>
      </c>
      <c r="L2870" s="55">
        <v>-13.97101</v>
      </c>
      <c r="M2870" s="55">
        <v>14.077349999999999</v>
      </c>
      <c r="N2870" s="55">
        <v>18.31203</v>
      </c>
    </row>
    <row r="2871" spans="1:14" hidden="1" x14ac:dyDescent="0.35">
      <c r="A2871" s="52" t="s">
        <v>250</v>
      </c>
      <c r="B2871" s="52" t="s">
        <v>37</v>
      </c>
      <c r="C2871" s="52" t="s">
        <v>35</v>
      </c>
      <c r="D2871" s="52" t="s">
        <v>36</v>
      </c>
      <c r="E2871" s="52" t="s">
        <v>590</v>
      </c>
      <c r="F2871" s="52" t="s">
        <v>581</v>
      </c>
      <c r="G2871" s="55" t="s">
        <v>277</v>
      </c>
      <c r="H2871" s="55">
        <v>380.36840000000001</v>
      </c>
      <c r="I2871" s="55">
        <v>85.092740000000006</v>
      </c>
      <c r="J2871" s="55">
        <v>25.270109999999999</v>
      </c>
      <c r="K2871" s="55">
        <v>7.949579</v>
      </c>
      <c r="L2871" s="55">
        <v>10.0128</v>
      </c>
      <c r="M2871" s="55">
        <v>10.77412</v>
      </c>
      <c r="N2871" s="55">
        <v>28.77393</v>
      </c>
    </row>
    <row r="2872" spans="1:14" hidden="1" x14ac:dyDescent="0.35">
      <c r="A2872" s="52" t="s">
        <v>250</v>
      </c>
      <c r="B2872" s="52" t="s">
        <v>37</v>
      </c>
      <c r="C2872" s="52" t="s">
        <v>35</v>
      </c>
      <c r="D2872" s="52" t="s">
        <v>36</v>
      </c>
      <c r="E2872" s="52" t="s">
        <v>590</v>
      </c>
      <c r="F2872" s="52" t="s">
        <v>581</v>
      </c>
      <c r="G2872" s="55" t="s">
        <v>278</v>
      </c>
      <c r="H2872" s="55">
        <v>87.819429999999997</v>
      </c>
      <c r="I2872" s="55">
        <v>20.30603</v>
      </c>
      <c r="J2872" s="55">
        <v>21.258669999999999</v>
      </c>
      <c r="K2872" s="55">
        <v>23.126940000000001</v>
      </c>
      <c r="L2872" s="55">
        <v>13.13523</v>
      </c>
      <c r="M2872" s="55">
        <v>9.0381029999999996</v>
      </c>
      <c r="N2872" s="55">
        <v>8.5420110000000005</v>
      </c>
    </row>
    <row r="2873" spans="1:14" hidden="1" x14ac:dyDescent="0.35">
      <c r="A2873" s="52" t="s">
        <v>250</v>
      </c>
      <c r="B2873" s="52" t="s">
        <v>37</v>
      </c>
      <c r="C2873" s="52" t="s">
        <v>35</v>
      </c>
      <c r="D2873" s="52" t="s">
        <v>36</v>
      </c>
      <c r="E2873" s="52" t="s">
        <v>590</v>
      </c>
      <c r="F2873" s="52" t="s">
        <v>581</v>
      </c>
      <c r="G2873" s="55" t="s">
        <v>279</v>
      </c>
      <c r="H2873" s="55">
        <v>233.49270000000001</v>
      </c>
      <c r="I2873" s="55">
        <v>168.64869999999999</v>
      </c>
      <c r="J2873" s="55">
        <v>146.8082</v>
      </c>
      <c r="K2873" s="55">
        <v>137.54060000000001</v>
      </c>
      <c r="L2873" s="55">
        <v>119.7376</v>
      </c>
      <c r="M2873" s="55">
        <v>124.4973</v>
      </c>
      <c r="N2873" s="55">
        <v>117.6827</v>
      </c>
    </row>
    <row r="2874" spans="1:14" hidden="1" x14ac:dyDescent="0.35">
      <c r="A2874" s="52" t="s">
        <v>250</v>
      </c>
      <c r="B2874" s="52" t="s">
        <v>37</v>
      </c>
      <c r="C2874" s="52" t="s">
        <v>35</v>
      </c>
      <c r="D2874" s="52" t="s">
        <v>36</v>
      </c>
      <c r="E2874" s="52" t="s">
        <v>590</v>
      </c>
      <c r="F2874" s="52" t="s">
        <v>26</v>
      </c>
      <c r="G2874" s="55" t="s">
        <v>275</v>
      </c>
      <c r="H2874" s="55">
        <v>-9.9384490000000003</v>
      </c>
      <c r="I2874" s="55">
        <v>-9.4360619999999997</v>
      </c>
      <c r="J2874" s="55">
        <v>-6.4484459999999997</v>
      </c>
      <c r="K2874" s="55">
        <v>-7.1776359999999997</v>
      </c>
      <c r="L2874" s="55">
        <v>-5.9735969999999998</v>
      </c>
      <c r="M2874" s="55">
        <v>-7.9956050000000003</v>
      </c>
      <c r="N2874" s="55">
        <v>-7.483276</v>
      </c>
    </row>
    <row r="2875" spans="1:14" hidden="1" x14ac:dyDescent="0.35">
      <c r="A2875" s="52" t="s">
        <v>250</v>
      </c>
      <c r="B2875" s="52" t="s">
        <v>37</v>
      </c>
      <c r="C2875" s="52" t="s">
        <v>35</v>
      </c>
      <c r="D2875" s="52" t="s">
        <v>36</v>
      </c>
      <c r="E2875" s="52" t="s">
        <v>590</v>
      </c>
      <c r="F2875" s="52" t="s">
        <v>26</v>
      </c>
      <c r="G2875" s="55" t="s">
        <v>276</v>
      </c>
      <c r="H2875" s="55">
        <v>-2.6418729999999999</v>
      </c>
      <c r="I2875" s="55">
        <v>-2.5083150000000001</v>
      </c>
      <c r="J2875" s="55">
        <v>-1.7141439999999999</v>
      </c>
      <c r="K2875" s="55">
        <v>-1.907978</v>
      </c>
      <c r="L2875" s="55">
        <v>-1.5879220000000001</v>
      </c>
      <c r="M2875" s="55">
        <v>-2.1254119999999999</v>
      </c>
      <c r="N2875" s="55">
        <v>-1.989222</v>
      </c>
    </row>
    <row r="2876" spans="1:14" hidden="1" x14ac:dyDescent="0.35">
      <c r="A2876" s="52" t="s">
        <v>250</v>
      </c>
      <c r="B2876" s="52" t="s">
        <v>37</v>
      </c>
      <c r="C2876" s="52" t="s">
        <v>35</v>
      </c>
      <c r="D2876" s="52" t="s">
        <v>36</v>
      </c>
      <c r="E2876" s="52" t="s">
        <v>590</v>
      </c>
      <c r="F2876" s="52" t="s">
        <v>26</v>
      </c>
      <c r="G2876" s="55" t="s">
        <v>279</v>
      </c>
      <c r="H2876" s="55">
        <v>53.191540000000003</v>
      </c>
      <c r="I2876" s="55">
        <v>45.025089999999999</v>
      </c>
      <c r="J2876" s="55">
        <v>39.526020000000003</v>
      </c>
      <c r="K2876" s="55">
        <v>37.543680000000002</v>
      </c>
      <c r="L2876" s="55">
        <v>33.517780000000002</v>
      </c>
      <c r="M2876" s="55">
        <v>33.866100000000003</v>
      </c>
      <c r="N2876" s="55">
        <v>31.92689</v>
      </c>
    </row>
    <row r="2877" spans="1:14" hidden="1" x14ac:dyDescent="0.35">
      <c r="A2877" s="52" t="s">
        <v>250</v>
      </c>
      <c r="B2877" s="52" t="s">
        <v>37</v>
      </c>
      <c r="C2877" s="52" t="s">
        <v>35</v>
      </c>
      <c r="D2877" s="52" t="s">
        <v>36</v>
      </c>
      <c r="E2877" s="52" t="s">
        <v>584</v>
      </c>
      <c r="F2877" s="52" t="s">
        <v>581</v>
      </c>
      <c r="G2877" s="55" t="s">
        <v>275</v>
      </c>
      <c r="H2877" s="55">
        <v>191.143</v>
      </c>
      <c r="I2877" s="55">
        <v>58.020389999999999</v>
      </c>
      <c r="J2877" s="55">
        <v>65.779430000000005</v>
      </c>
      <c r="K2877" s="55">
        <v>61.802309999999999</v>
      </c>
      <c r="L2877" s="55">
        <v>58.755389999999998</v>
      </c>
      <c r="M2877" s="55">
        <v>49.244900000000001</v>
      </c>
      <c r="N2877" s="55">
        <v>44.310600000000001</v>
      </c>
    </row>
    <row r="2878" spans="1:14" hidden="1" x14ac:dyDescent="0.35">
      <c r="A2878" s="52" t="s">
        <v>250</v>
      </c>
      <c r="B2878" s="52" t="s">
        <v>37</v>
      </c>
      <c r="C2878" s="52" t="s">
        <v>35</v>
      </c>
      <c r="D2878" s="52" t="s">
        <v>36</v>
      </c>
      <c r="E2878" s="52" t="s">
        <v>584</v>
      </c>
      <c r="F2878" s="52" t="s">
        <v>581</v>
      </c>
      <c r="G2878" s="55" t="s">
        <v>276</v>
      </c>
      <c r="H2878" s="55">
        <v>50.307540000000003</v>
      </c>
      <c r="I2878" s="55">
        <v>16.167680000000001</v>
      </c>
      <c r="J2878" s="55">
        <v>15.66747</v>
      </c>
      <c r="K2878" s="55">
        <v>14.59576</v>
      </c>
      <c r="L2878" s="55">
        <v>15.200699999999999</v>
      </c>
      <c r="M2878" s="55">
        <v>12.2865</v>
      </c>
      <c r="N2878" s="55">
        <v>11.85934</v>
      </c>
    </row>
    <row r="2879" spans="1:14" hidden="1" x14ac:dyDescent="0.35">
      <c r="A2879" s="52" t="s">
        <v>250</v>
      </c>
      <c r="B2879" s="52" t="s">
        <v>37</v>
      </c>
      <c r="C2879" s="52" t="s">
        <v>35</v>
      </c>
      <c r="D2879" s="52" t="s">
        <v>36</v>
      </c>
      <c r="E2879" s="52" t="s">
        <v>584</v>
      </c>
      <c r="F2879" s="52" t="s">
        <v>581</v>
      </c>
      <c r="G2879" s="55" t="s">
        <v>277</v>
      </c>
      <c r="H2879" s="55">
        <v>1.9915499999999999</v>
      </c>
      <c r="I2879" s="55">
        <v>7.383502</v>
      </c>
      <c r="J2879" s="55">
        <v>0</v>
      </c>
      <c r="K2879" s="55"/>
      <c r="L2879" s="55"/>
      <c r="M2879" s="55">
        <v>0</v>
      </c>
      <c r="N2879" s="55">
        <v>0.37888739999999999</v>
      </c>
    </row>
    <row r="2880" spans="1:14" hidden="1" x14ac:dyDescent="0.35">
      <c r="A2880" s="52" t="s">
        <v>250</v>
      </c>
      <c r="B2880" s="52" t="s">
        <v>37</v>
      </c>
      <c r="C2880" s="52" t="s">
        <v>35</v>
      </c>
      <c r="D2880" s="52" t="s">
        <v>36</v>
      </c>
      <c r="E2880" s="52" t="s">
        <v>584</v>
      </c>
      <c r="F2880" s="52" t="s">
        <v>581</v>
      </c>
      <c r="G2880" s="55" t="s">
        <v>279</v>
      </c>
      <c r="H2880" s="55">
        <v>108.0547</v>
      </c>
      <c r="I2880" s="55">
        <v>76.90746</v>
      </c>
      <c r="J2880" s="55">
        <v>71.387159999999994</v>
      </c>
      <c r="K2880" s="55">
        <v>70.371660000000006</v>
      </c>
      <c r="L2880" s="55">
        <v>63.660330000000002</v>
      </c>
      <c r="M2880" s="55">
        <v>66.059259999999995</v>
      </c>
      <c r="N2880" s="55">
        <v>60.253210000000003</v>
      </c>
    </row>
    <row r="2881" spans="1:14" hidden="1" x14ac:dyDescent="0.35">
      <c r="A2881" s="52" t="s">
        <v>250</v>
      </c>
      <c r="B2881" s="52" t="s">
        <v>37</v>
      </c>
      <c r="C2881" s="52" t="s">
        <v>35</v>
      </c>
      <c r="D2881" s="52" t="s">
        <v>36</v>
      </c>
      <c r="E2881" s="52" t="s">
        <v>584</v>
      </c>
      <c r="F2881" s="52" t="s">
        <v>26</v>
      </c>
      <c r="G2881" s="55" t="s">
        <v>275</v>
      </c>
      <c r="H2881" s="55">
        <v>-6.1020240000000001</v>
      </c>
      <c r="I2881" s="55">
        <v>-5.358409</v>
      </c>
      <c r="J2881" s="55">
        <v>-4.2378859999999996</v>
      </c>
      <c r="K2881" s="55">
        <v>-4.6754160000000002</v>
      </c>
      <c r="L2881" s="55">
        <v>-4.2044379999999997</v>
      </c>
      <c r="M2881" s="55">
        <v>-5.1386960000000004</v>
      </c>
      <c r="N2881" s="55">
        <v>-4.6877319999999996</v>
      </c>
    </row>
    <row r="2882" spans="1:14" hidden="1" x14ac:dyDescent="0.35">
      <c r="A2882" s="52" t="s">
        <v>250</v>
      </c>
      <c r="B2882" s="52" t="s">
        <v>37</v>
      </c>
      <c r="C2882" s="52" t="s">
        <v>35</v>
      </c>
      <c r="D2882" s="52" t="s">
        <v>36</v>
      </c>
      <c r="E2882" s="52" t="s">
        <v>584</v>
      </c>
      <c r="F2882" s="52" t="s">
        <v>26</v>
      </c>
      <c r="G2882" s="55" t="s">
        <v>276</v>
      </c>
      <c r="H2882" s="55">
        <v>-1.622055</v>
      </c>
      <c r="I2882" s="55">
        <v>-1.4243889999999999</v>
      </c>
      <c r="J2882" s="55">
        <v>-1.1265270000000001</v>
      </c>
      <c r="K2882" s="55">
        <v>-1.2428360000000001</v>
      </c>
      <c r="L2882" s="55">
        <v>-1.1176360000000001</v>
      </c>
      <c r="M2882" s="55">
        <v>-1.365982</v>
      </c>
      <c r="N2882" s="55">
        <v>-1.246105</v>
      </c>
    </row>
    <row r="2883" spans="1:14" hidden="1" x14ac:dyDescent="0.35">
      <c r="A2883" s="52" t="s">
        <v>250</v>
      </c>
      <c r="B2883" s="52" t="s">
        <v>37</v>
      </c>
      <c r="C2883" s="52" t="s">
        <v>35</v>
      </c>
      <c r="D2883" s="52" t="s">
        <v>36</v>
      </c>
      <c r="E2883" s="52" t="s">
        <v>584</v>
      </c>
      <c r="F2883" s="52" t="s">
        <v>26</v>
      </c>
      <c r="G2883" s="55" t="s">
        <v>279</v>
      </c>
      <c r="H2883" s="55">
        <v>24.057369999999999</v>
      </c>
      <c r="I2883" s="55">
        <v>19.552689999999998</v>
      </c>
      <c r="J2883" s="55">
        <v>18.282869999999999</v>
      </c>
      <c r="K2883" s="55">
        <v>18.265930000000001</v>
      </c>
      <c r="L2883" s="55">
        <v>16.854320000000001</v>
      </c>
      <c r="M2883" s="55">
        <v>17.149149999999999</v>
      </c>
      <c r="N2883" s="55">
        <v>15.630990000000001</v>
      </c>
    </row>
    <row r="2884" spans="1:14" hidden="1" x14ac:dyDescent="0.35">
      <c r="A2884" s="52" t="s">
        <v>250</v>
      </c>
      <c r="B2884" s="52" t="s">
        <v>37</v>
      </c>
      <c r="C2884" s="52" t="s">
        <v>35</v>
      </c>
      <c r="D2884" s="52" t="s">
        <v>36</v>
      </c>
      <c r="E2884" s="52" t="s">
        <v>660</v>
      </c>
      <c r="F2884" s="52" t="s">
        <v>581</v>
      </c>
      <c r="G2884" s="55" t="s">
        <v>275</v>
      </c>
      <c r="H2884" s="55">
        <v>87.07302</v>
      </c>
      <c r="I2884" s="55">
        <v>19.388940000000002</v>
      </c>
      <c r="J2884" s="55">
        <v>18.434760000000001</v>
      </c>
      <c r="K2884" s="55">
        <v>16.468900000000001</v>
      </c>
      <c r="L2884" s="55">
        <v>15.37955</v>
      </c>
      <c r="M2884" s="55">
        <v>11.3752</v>
      </c>
      <c r="N2884" s="55">
        <v>10.3622</v>
      </c>
    </row>
    <row r="2885" spans="1:14" hidden="1" x14ac:dyDescent="0.35">
      <c r="A2885" s="52" t="s">
        <v>250</v>
      </c>
      <c r="B2885" s="52" t="s">
        <v>37</v>
      </c>
      <c r="C2885" s="52" t="s">
        <v>35</v>
      </c>
      <c r="D2885" s="52" t="s">
        <v>36</v>
      </c>
      <c r="E2885" s="52" t="s">
        <v>660</v>
      </c>
      <c r="F2885" s="52" t="s">
        <v>581</v>
      </c>
      <c r="G2885" s="55" t="s">
        <v>276</v>
      </c>
      <c r="H2885" s="55">
        <v>11.29449</v>
      </c>
      <c r="I2885" s="55">
        <v>4.9069500000000001</v>
      </c>
      <c r="J2885" s="55">
        <v>4.702718</v>
      </c>
      <c r="K2885" s="55">
        <v>3.6715249999999999</v>
      </c>
      <c r="L2885" s="55">
        <v>4.0038900000000002</v>
      </c>
      <c r="M2885" s="55">
        <v>3.023787</v>
      </c>
      <c r="N2885" s="55">
        <v>2.754508</v>
      </c>
    </row>
    <row r="2886" spans="1:14" hidden="1" x14ac:dyDescent="0.35">
      <c r="A2886" s="52" t="s">
        <v>250</v>
      </c>
      <c r="B2886" s="52" t="s">
        <v>37</v>
      </c>
      <c r="C2886" s="52" t="s">
        <v>35</v>
      </c>
      <c r="D2886" s="52" t="s">
        <v>36</v>
      </c>
      <c r="E2886" s="52" t="s">
        <v>660</v>
      </c>
      <c r="F2886" s="52" t="s">
        <v>581</v>
      </c>
      <c r="G2886" s="55" t="s">
        <v>277</v>
      </c>
      <c r="H2886" s="55">
        <v>0.77464200000000005</v>
      </c>
      <c r="I2886" s="55">
        <v>0</v>
      </c>
      <c r="J2886" s="55"/>
      <c r="K2886" s="55"/>
      <c r="L2886" s="55"/>
      <c r="M2886" s="55">
        <v>0</v>
      </c>
      <c r="N2886" s="55">
        <v>0</v>
      </c>
    </row>
    <row r="2887" spans="1:14" hidden="1" x14ac:dyDescent="0.35">
      <c r="A2887" s="52" t="s">
        <v>250</v>
      </c>
      <c r="B2887" s="52" t="s">
        <v>37</v>
      </c>
      <c r="C2887" s="52" t="s">
        <v>35</v>
      </c>
      <c r="D2887" s="52" t="s">
        <v>36</v>
      </c>
      <c r="E2887" s="52" t="s">
        <v>660</v>
      </c>
      <c r="F2887" s="52" t="s">
        <v>581</v>
      </c>
      <c r="G2887" s="55" t="s">
        <v>278</v>
      </c>
      <c r="H2887" s="55">
        <v>0</v>
      </c>
      <c r="I2887" s="55"/>
      <c r="J2887" s="55"/>
      <c r="K2887" s="55"/>
      <c r="L2887" s="55"/>
      <c r="M2887" s="55"/>
      <c r="N2887" s="55"/>
    </row>
    <row r="2888" spans="1:14" hidden="1" x14ac:dyDescent="0.35">
      <c r="A2888" s="52" t="s">
        <v>250</v>
      </c>
      <c r="B2888" s="52" t="s">
        <v>37</v>
      </c>
      <c r="C2888" s="52" t="s">
        <v>35</v>
      </c>
      <c r="D2888" s="52" t="s">
        <v>36</v>
      </c>
      <c r="E2888" s="52" t="s">
        <v>660</v>
      </c>
      <c r="F2888" s="52" t="s">
        <v>581</v>
      </c>
      <c r="G2888" s="55" t="s">
        <v>279</v>
      </c>
      <c r="H2888" s="55">
        <v>60.591799999999999</v>
      </c>
      <c r="I2888" s="55">
        <v>39.101709999999997</v>
      </c>
      <c r="J2888" s="55">
        <v>33.56767</v>
      </c>
      <c r="K2888" s="55">
        <v>31.161619999999999</v>
      </c>
      <c r="L2888" s="55">
        <v>27.085609999999999</v>
      </c>
      <c r="M2888" s="55">
        <v>27.812809999999999</v>
      </c>
      <c r="N2888" s="55">
        <v>25.055119999999999</v>
      </c>
    </row>
    <row r="2889" spans="1:14" hidden="1" x14ac:dyDescent="0.35">
      <c r="A2889" s="52" t="s">
        <v>250</v>
      </c>
      <c r="B2889" s="52" t="s">
        <v>37</v>
      </c>
      <c r="C2889" s="52" t="s">
        <v>35</v>
      </c>
      <c r="D2889" s="52" t="s">
        <v>36</v>
      </c>
      <c r="E2889" s="52" t="s">
        <v>660</v>
      </c>
      <c r="F2889" s="52" t="s">
        <v>26</v>
      </c>
      <c r="G2889" s="55" t="s">
        <v>275</v>
      </c>
      <c r="H2889" s="55">
        <v>-3.6185260000000001</v>
      </c>
      <c r="I2889" s="55">
        <v>-2.7917990000000001</v>
      </c>
      <c r="J2889" s="55">
        <v>-2.160676</v>
      </c>
      <c r="K2889" s="55">
        <v>-2.1509819999999999</v>
      </c>
      <c r="L2889" s="55">
        <v>-1.853016</v>
      </c>
      <c r="M2889" s="55">
        <v>-2.136244</v>
      </c>
      <c r="N2889" s="55">
        <v>-1.9244399999999999</v>
      </c>
    </row>
    <row r="2890" spans="1:14" hidden="1" x14ac:dyDescent="0.35">
      <c r="A2890" s="52" t="s">
        <v>250</v>
      </c>
      <c r="B2890" s="52" t="s">
        <v>37</v>
      </c>
      <c r="C2890" s="52" t="s">
        <v>35</v>
      </c>
      <c r="D2890" s="52" t="s">
        <v>36</v>
      </c>
      <c r="E2890" s="52" t="s">
        <v>660</v>
      </c>
      <c r="F2890" s="52" t="s">
        <v>26</v>
      </c>
      <c r="G2890" s="55" t="s">
        <v>276</v>
      </c>
      <c r="H2890" s="55">
        <v>-0.96188499999999999</v>
      </c>
      <c r="I2890" s="55">
        <v>-0.74212290000000003</v>
      </c>
      <c r="J2890" s="55">
        <v>-0.57435630000000004</v>
      </c>
      <c r="K2890" s="55">
        <v>-0.57178070000000003</v>
      </c>
      <c r="L2890" s="55">
        <v>-0.49257319999999999</v>
      </c>
      <c r="M2890" s="55">
        <v>-0.56786179999999997</v>
      </c>
      <c r="N2890" s="55">
        <v>-0.51155890000000004</v>
      </c>
    </row>
    <row r="2891" spans="1:14" hidden="1" x14ac:dyDescent="0.35">
      <c r="A2891" s="52" t="s">
        <v>250</v>
      </c>
      <c r="B2891" s="52" t="s">
        <v>37</v>
      </c>
      <c r="C2891" s="52" t="s">
        <v>35</v>
      </c>
      <c r="D2891" s="52" t="s">
        <v>36</v>
      </c>
      <c r="E2891" s="52" t="s">
        <v>660</v>
      </c>
      <c r="F2891" s="52" t="s">
        <v>26</v>
      </c>
      <c r="G2891" s="55" t="s">
        <v>279</v>
      </c>
      <c r="H2891" s="55">
        <v>10.682779999999999</v>
      </c>
      <c r="I2891" s="55">
        <v>7.8435220000000001</v>
      </c>
      <c r="J2891" s="55">
        <v>6.7792000000000003</v>
      </c>
      <c r="K2891" s="55">
        <v>6.3643939999999999</v>
      </c>
      <c r="L2891" s="55">
        <v>5.6312040000000003</v>
      </c>
      <c r="M2891" s="55">
        <v>5.6753960000000001</v>
      </c>
      <c r="N2891" s="55">
        <v>5.1098629999999998</v>
      </c>
    </row>
    <row r="2892" spans="1:14" hidden="1" x14ac:dyDescent="0.35">
      <c r="A2892" s="52" t="s">
        <v>250</v>
      </c>
      <c r="B2892" s="52" t="s">
        <v>37</v>
      </c>
      <c r="C2892" s="52" t="s">
        <v>114</v>
      </c>
      <c r="D2892" s="52" t="s">
        <v>114</v>
      </c>
      <c r="E2892" s="52" t="s">
        <v>584</v>
      </c>
      <c r="F2892" s="52" t="s">
        <v>581</v>
      </c>
      <c r="G2892" s="55" t="s">
        <v>275</v>
      </c>
      <c r="H2892" s="55">
        <v>4.7496929999999997</v>
      </c>
      <c r="I2892" s="55">
        <v>1.1462209999999999</v>
      </c>
      <c r="J2892" s="55">
        <v>1.2022109999999999</v>
      </c>
      <c r="K2892" s="55">
        <v>1.0060169999999999</v>
      </c>
      <c r="L2892" s="55">
        <v>0.79856240000000001</v>
      </c>
      <c r="M2892" s="55">
        <v>0.68635679999999999</v>
      </c>
      <c r="N2892" s="55">
        <v>0.47409030000000002</v>
      </c>
    </row>
    <row r="2893" spans="1:14" hidden="1" x14ac:dyDescent="0.35">
      <c r="A2893" s="52" t="s">
        <v>250</v>
      </c>
      <c r="B2893" s="52" t="s">
        <v>37</v>
      </c>
      <c r="C2893" s="52" t="s">
        <v>114</v>
      </c>
      <c r="D2893" s="52" t="s">
        <v>114</v>
      </c>
      <c r="E2893" s="52" t="s">
        <v>584</v>
      </c>
      <c r="F2893" s="52" t="s">
        <v>581</v>
      </c>
      <c r="G2893" s="55" t="s">
        <v>276</v>
      </c>
      <c r="H2893" s="55">
        <v>2.7997800000000002</v>
      </c>
      <c r="I2893" s="55">
        <v>0.25749759999999999</v>
      </c>
      <c r="J2893" s="55">
        <v>-0.1697179</v>
      </c>
      <c r="K2893" s="55">
        <v>-0.4764697</v>
      </c>
      <c r="L2893" s="55">
        <v>-0.46726000000000001</v>
      </c>
      <c r="M2893" s="55">
        <v>-0.42948589999999998</v>
      </c>
      <c r="N2893" s="55">
        <v>-0.31589820000000002</v>
      </c>
    </row>
    <row r="2894" spans="1:14" hidden="1" x14ac:dyDescent="0.35">
      <c r="A2894" s="52" t="s">
        <v>250</v>
      </c>
      <c r="B2894" s="52" t="s">
        <v>37</v>
      </c>
      <c r="C2894" s="52" t="s">
        <v>114</v>
      </c>
      <c r="D2894" s="52" t="s">
        <v>114</v>
      </c>
      <c r="E2894" s="52" t="s">
        <v>584</v>
      </c>
      <c r="F2894" s="52" t="s">
        <v>581</v>
      </c>
      <c r="G2894" s="55" t="s">
        <v>277</v>
      </c>
      <c r="H2894" s="55">
        <v>4.2465609999999998</v>
      </c>
      <c r="I2894" s="55">
        <v>2.3640789999999998</v>
      </c>
      <c r="J2894" s="55">
        <v>1.547579</v>
      </c>
      <c r="K2894" s="55">
        <v>1.2108449999999999</v>
      </c>
      <c r="L2894" s="55">
        <v>0.84594740000000002</v>
      </c>
      <c r="M2894" s="55">
        <v>0.55207519999999999</v>
      </c>
      <c r="N2894" s="55">
        <v>0.39762890000000001</v>
      </c>
    </row>
    <row r="2895" spans="1:14" hidden="1" x14ac:dyDescent="0.35">
      <c r="A2895" s="52" t="s">
        <v>250</v>
      </c>
      <c r="B2895" s="52" t="s">
        <v>37</v>
      </c>
      <c r="C2895" s="52" t="s">
        <v>114</v>
      </c>
      <c r="D2895" s="52" t="s">
        <v>114</v>
      </c>
      <c r="E2895" s="52" t="s">
        <v>584</v>
      </c>
      <c r="F2895" s="52" t="s">
        <v>581</v>
      </c>
      <c r="G2895" s="55" t="s">
        <v>279</v>
      </c>
      <c r="H2895" s="55">
        <v>2.54061</v>
      </c>
      <c r="I2895" s="55">
        <v>1.218502</v>
      </c>
      <c r="J2895" s="55">
        <v>0.81558419999999998</v>
      </c>
      <c r="K2895" s="55">
        <v>0.59288240000000003</v>
      </c>
      <c r="L2895" s="55">
        <v>0.42596909999999999</v>
      </c>
      <c r="M2895" s="55">
        <v>0.29268119999999997</v>
      </c>
      <c r="N2895" s="55">
        <v>0.2010952</v>
      </c>
    </row>
    <row r="2896" spans="1:14" hidden="1" x14ac:dyDescent="0.35">
      <c r="A2896" s="52" t="s">
        <v>250</v>
      </c>
      <c r="B2896" s="52" t="s">
        <v>37</v>
      </c>
      <c r="C2896" s="52" t="s">
        <v>114</v>
      </c>
      <c r="D2896" s="52" t="s">
        <v>114</v>
      </c>
      <c r="E2896" s="52" t="s">
        <v>584</v>
      </c>
      <c r="F2896" s="52" t="s">
        <v>26</v>
      </c>
      <c r="G2896" s="55" t="s">
        <v>275</v>
      </c>
      <c r="H2896" s="55">
        <v>0.46486699999999997</v>
      </c>
      <c r="I2896" s="55">
        <v>0.24637629999999999</v>
      </c>
      <c r="J2896" s="55">
        <v>0.20816979999999999</v>
      </c>
      <c r="K2896" s="55">
        <v>0.11715830000000001</v>
      </c>
      <c r="L2896" s="55">
        <v>6.5873609999999999E-2</v>
      </c>
      <c r="M2896" s="55">
        <v>4.52843E-2</v>
      </c>
      <c r="N2896" s="55">
        <v>3.1044499999999999E-2</v>
      </c>
    </row>
    <row r="2897" spans="1:14" hidden="1" x14ac:dyDescent="0.35">
      <c r="A2897" s="52" t="s">
        <v>250</v>
      </c>
      <c r="B2897" s="52" t="s">
        <v>37</v>
      </c>
      <c r="C2897" s="52" t="s">
        <v>114</v>
      </c>
      <c r="D2897" s="52" t="s">
        <v>114</v>
      </c>
      <c r="E2897" s="52" t="s">
        <v>584</v>
      </c>
      <c r="F2897" s="52" t="s">
        <v>26</v>
      </c>
      <c r="G2897" s="55" t="s">
        <v>276</v>
      </c>
      <c r="H2897" s="55">
        <v>0.203044</v>
      </c>
      <c r="I2897" s="55">
        <v>0.10761220000000001</v>
      </c>
      <c r="J2897" s="55">
        <v>9.0925099999999995E-2</v>
      </c>
      <c r="K2897" s="55">
        <v>5.1171899999999999E-2</v>
      </c>
      <c r="L2897" s="55">
        <v>2.8772300000000001E-2</v>
      </c>
      <c r="M2897" s="55">
        <v>1.9779499999999998E-2</v>
      </c>
      <c r="N2897" s="55">
        <v>1.3559999999999999E-2</v>
      </c>
    </row>
    <row r="2898" spans="1:14" hidden="1" x14ac:dyDescent="0.35">
      <c r="A2898" s="52" t="s">
        <v>250</v>
      </c>
      <c r="B2898" s="52" t="s">
        <v>37</v>
      </c>
      <c r="C2898" s="52" t="s">
        <v>114</v>
      </c>
      <c r="D2898" s="52" t="s">
        <v>114</v>
      </c>
      <c r="E2898" s="52" t="s">
        <v>584</v>
      </c>
      <c r="F2898" s="52" t="s">
        <v>26</v>
      </c>
      <c r="G2898" s="55" t="s">
        <v>279</v>
      </c>
      <c r="H2898" s="55">
        <v>1.7751049999999999</v>
      </c>
      <c r="I2898" s="55">
        <v>1.046476</v>
      </c>
      <c r="J2898" s="55">
        <v>0.70399259999999997</v>
      </c>
      <c r="K2898" s="55">
        <v>0.52097439999999995</v>
      </c>
      <c r="L2898" s="55">
        <v>0.37931429999999999</v>
      </c>
      <c r="M2898" s="55">
        <v>0.26062279999999999</v>
      </c>
      <c r="N2898" s="55">
        <v>0.17906030000000001</v>
      </c>
    </row>
    <row r="2899" spans="1:14" hidden="1" x14ac:dyDescent="0.35">
      <c r="A2899" s="52" t="s">
        <v>240</v>
      </c>
      <c r="B2899" s="52" t="s">
        <v>37</v>
      </c>
      <c r="C2899" s="52" t="s">
        <v>79</v>
      </c>
      <c r="D2899" s="52" t="s">
        <v>79</v>
      </c>
      <c r="E2899" s="52" t="s">
        <v>615</v>
      </c>
      <c r="F2899" s="52" t="s">
        <v>581</v>
      </c>
      <c r="G2899" s="55" t="s">
        <v>275</v>
      </c>
      <c r="H2899" s="55">
        <v>232.19319999999999</v>
      </c>
      <c r="I2899" s="55">
        <v>207.78460000000001</v>
      </c>
      <c r="J2899" s="55">
        <v>331.50420000000003</v>
      </c>
      <c r="K2899" s="55">
        <v>287.09210000000002</v>
      </c>
      <c r="L2899" s="55">
        <v>229.8297</v>
      </c>
      <c r="M2899" s="55">
        <v>150.90969999999999</v>
      </c>
      <c r="N2899" s="55">
        <v>121.1155</v>
      </c>
    </row>
    <row r="2900" spans="1:14" hidden="1" x14ac:dyDescent="0.35">
      <c r="A2900" s="52" t="s">
        <v>240</v>
      </c>
      <c r="B2900" s="52" t="s">
        <v>37</v>
      </c>
      <c r="C2900" s="52" t="s">
        <v>79</v>
      </c>
      <c r="D2900" s="52" t="s">
        <v>79</v>
      </c>
      <c r="E2900" s="52" t="s">
        <v>615</v>
      </c>
      <c r="F2900" s="52" t="s">
        <v>581</v>
      </c>
      <c r="G2900" s="55" t="s">
        <v>276</v>
      </c>
      <c r="H2900" s="55">
        <v>44.761360000000003</v>
      </c>
      <c r="I2900" s="55">
        <v>-29.511839999999999</v>
      </c>
      <c r="J2900" s="55">
        <v>-29.569769999999998</v>
      </c>
      <c r="K2900" s="55">
        <v>-18.919129999999999</v>
      </c>
      <c r="L2900" s="55">
        <v>-16.590039999999998</v>
      </c>
      <c r="M2900" s="55">
        <v>24.614799999999999</v>
      </c>
      <c r="N2900" s="55">
        <v>32.520330000000001</v>
      </c>
    </row>
    <row r="2901" spans="1:14" hidden="1" x14ac:dyDescent="0.35">
      <c r="A2901" s="52" t="s">
        <v>240</v>
      </c>
      <c r="B2901" s="52" t="s">
        <v>37</v>
      </c>
      <c r="C2901" s="52" t="s">
        <v>79</v>
      </c>
      <c r="D2901" s="52" t="s">
        <v>79</v>
      </c>
      <c r="E2901" s="52" t="s">
        <v>615</v>
      </c>
      <c r="F2901" s="52" t="s">
        <v>581</v>
      </c>
      <c r="G2901" s="55" t="s">
        <v>277</v>
      </c>
      <c r="H2901" s="55">
        <v>679.75480000000005</v>
      </c>
      <c r="I2901" s="55">
        <v>187.3329</v>
      </c>
      <c r="J2901" s="55">
        <v>74.652360000000002</v>
      </c>
      <c r="K2901" s="55">
        <v>45.049410000000002</v>
      </c>
      <c r="L2901" s="55">
        <v>59.383009999999999</v>
      </c>
      <c r="M2901" s="55">
        <v>56.19314</v>
      </c>
      <c r="N2901" s="55">
        <v>65.695260000000005</v>
      </c>
    </row>
    <row r="2902" spans="1:14" hidden="1" x14ac:dyDescent="0.35">
      <c r="A2902" s="52" t="s">
        <v>240</v>
      </c>
      <c r="B2902" s="52" t="s">
        <v>37</v>
      </c>
      <c r="C2902" s="52" t="s">
        <v>79</v>
      </c>
      <c r="D2902" s="52" t="s">
        <v>79</v>
      </c>
      <c r="E2902" s="52" t="s">
        <v>615</v>
      </c>
      <c r="F2902" s="52" t="s">
        <v>581</v>
      </c>
      <c r="G2902" s="55" t="s">
        <v>278</v>
      </c>
      <c r="H2902" s="55">
        <v>55.01397</v>
      </c>
      <c r="I2902" s="55">
        <v>21.14762</v>
      </c>
      <c r="J2902" s="55">
        <v>17.858149999999998</v>
      </c>
      <c r="K2902" s="55">
        <v>16.76783</v>
      </c>
      <c r="L2902" s="55">
        <v>11.84615</v>
      </c>
      <c r="M2902" s="55">
        <v>4.0282270000000002</v>
      </c>
      <c r="N2902" s="55">
        <v>1.8564909999999999</v>
      </c>
    </row>
    <row r="2903" spans="1:14" hidden="1" x14ac:dyDescent="0.35">
      <c r="A2903" s="52" t="s">
        <v>240</v>
      </c>
      <c r="B2903" s="52" t="s">
        <v>37</v>
      </c>
      <c r="C2903" s="52" t="s">
        <v>79</v>
      </c>
      <c r="D2903" s="52" t="s">
        <v>79</v>
      </c>
      <c r="E2903" s="52" t="s">
        <v>615</v>
      </c>
      <c r="F2903" s="52" t="s">
        <v>581</v>
      </c>
      <c r="G2903" s="55" t="s">
        <v>279</v>
      </c>
      <c r="H2903" s="55">
        <v>434.91399999999999</v>
      </c>
      <c r="I2903" s="55">
        <v>327.9966</v>
      </c>
      <c r="J2903" s="55">
        <v>317.32569999999998</v>
      </c>
      <c r="K2903" s="55">
        <v>285.2115</v>
      </c>
      <c r="L2903" s="55">
        <v>236.3913</v>
      </c>
      <c r="M2903" s="55">
        <v>224.54570000000001</v>
      </c>
      <c r="N2903" s="55">
        <v>205.589</v>
      </c>
    </row>
    <row r="2904" spans="1:14" hidden="1" x14ac:dyDescent="0.35">
      <c r="A2904" s="52" t="s">
        <v>240</v>
      </c>
      <c r="B2904" s="52" t="s">
        <v>37</v>
      </c>
      <c r="C2904" s="52" t="s">
        <v>79</v>
      </c>
      <c r="D2904" s="52" t="s">
        <v>79</v>
      </c>
      <c r="E2904" s="52" t="s">
        <v>615</v>
      </c>
      <c r="F2904" s="52" t="s">
        <v>26</v>
      </c>
      <c r="G2904" s="55" t="s">
        <v>275</v>
      </c>
      <c r="H2904" s="55">
        <v>-41.733710000000002</v>
      </c>
      <c r="I2904" s="55">
        <v>-40.448500000000003</v>
      </c>
      <c r="J2904" s="55">
        <v>-33.120780000000003</v>
      </c>
      <c r="K2904" s="55">
        <v>-35.864719999999998</v>
      </c>
      <c r="L2904" s="55">
        <v>-32.078020000000002</v>
      </c>
      <c r="M2904" s="55">
        <v>-32.350349999999999</v>
      </c>
      <c r="N2904" s="55">
        <v>-29.314540000000001</v>
      </c>
    </row>
    <row r="2905" spans="1:14" hidden="1" x14ac:dyDescent="0.35">
      <c r="A2905" s="52" t="s">
        <v>240</v>
      </c>
      <c r="B2905" s="52" t="s">
        <v>37</v>
      </c>
      <c r="C2905" s="52" t="s">
        <v>79</v>
      </c>
      <c r="D2905" s="52" t="s">
        <v>79</v>
      </c>
      <c r="E2905" s="52" t="s">
        <v>615</v>
      </c>
      <c r="F2905" s="52" t="s">
        <v>26</v>
      </c>
      <c r="G2905" s="55" t="s">
        <v>276</v>
      </c>
      <c r="H2905" s="55">
        <v>-12.09821</v>
      </c>
      <c r="I2905" s="55">
        <v>-11.72561</v>
      </c>
      <c r="J2905" s="55">
        <v>-9.6013739999999999</v>
      </c>
      <c r="K2905" s="55">
        <v>-10.39681</v>
      </c>
      <c r="L2905" s="55">
        <v>-9.2990940000000002</v>
      </c>
      <c r="M2905" s="55">
        <v>-9.3780370000000008</v>
      </c>
      <c r="N2905" s="55">
        <v>-8.4979849999999999</v>
      </c>
    </row>
    <row r="2906" spans="1:14" hidden="1" x14ac:dyDescent="0.35">
      <c r="A2906" s="52" t="s">
        <v>240</v>
      </c>
      <c r="B2906" s="52" t="s">
        <v>37</v>
      </c>
      <c r="C2906" s="52" t="s">
        <v>79</v>
      </c>
      <c r="D2906" s="52" t="s">
        <v>79</v>
      </c>
      <c r="E2906" s="52" t="s">
        <v>615</v>
      </c>
      <c r="F2906" s="52" t="s">
        <v>26</v>
      </c>
      <c r="G2906" s="55" t="s">
        <v>279</v>
      </c>
      <c r="H2906" s="55">
        <v>206.28880000000001</v>
      </c>
      <c r="I2906" s="55">
        <v>180.03659999999999</v>
      </c>
      <c r="J2906" s="55">
        <v>176.04230000000001</v>
      </c>
      <c r="K2906" s="55">
        <v>161.0941</v>
      </c>
      <c r="L2906" s="55">
        <v>138.05510000000001</v>
      </c>
      <c r="M2906" s="55">
        <v>126.1223</v>
      </c>
      <c r="N2906" s="55">
        <v>115.179</v>
      </c>
    </row>
    <row r="2907" spans="1:14" hidden="1" x14ac:dyDescent="0.35">
      <c r="A2907" s="52" t="s">
        <v>240</v>
      </c>
      <c r="B2907" s="52" t="s">
        <v>37</v>
      </c>
      <c r="C2907" s="52" t="s">
        <v>79</v>
      </c>
      <c r="D2907" s="52" t="s">
        <v>79</v>
      </c>
      <c r="E2907" s="52" t="s">
        <v>640</v>
      </c>
      <c r="F2907" s="52" t="s">
        <v>581</v>
      </c>
      <c r="G2907" s="55" t="s">
        <v>275</v>
      </c>
      <c r="H2907" s="55">
        <v>28.838200000000001</v>
      </c>
      <c r="I2907" s="55">
        <v>44.799039999999998</v>
      </c>
      <c r="J2907" s="55">
        <v>150.91579999999999</v>
      </c>
      <c r="K2907" s="55">
        <v>160.75460000000001</v>
      </c>
      <c r="L2907" s="55">
        <v>155.8888</v>
      </c>
      <c r="M2907" s="55">
        <v>117.66719999999999</v>
      </c>
      <c r="N2907" s="55">
        <v>88.112210000000005</v>
      </c>
    </row>
    <row r="2908" spans="1:14" hidden="1" x14ac:dyDescent="0.35">
      <c r="A2908" s="52" t="s">
        <v>240</v>
      </c>
      <c r="B2908" s="52" t="s">
        <v>37</v>
      </c>
      <c r="C2908" s="52" t="s">
        <v>79</v>
      </c>
      <c r="D2908" s="52" t="s">
        <v>79</v>
      </c>
      <c r="E2908" s="52" t="s">
        <v>640</v>
      </c>
      <c r="F2908" s="52" t="s">
        <v>581</v>
      </c>
      <c r="G2908" s="55" t="s">
        <v>276</v>
      </c>
      <c r="H2908" s="55">
        <v>34.925159999999998</v>
      </c>
      <c r="I2908" s="55">
        <v>-18.28276</v>
      </c>
      <c r="J2908" s="55">
        <v>-34.81523</v>
      </c>
      <c r="K2908" s="55">
        <v>-35.447780000000002</v>
      </c>
      <c r="L2908" s="55">
        <v>-20.534189999999999</v>
      </c>
      <c r="M2908" s="55">
        <v>1.247932</v>
      </c>
      <c r="N2908" s="55">
        <v>5.714709</v>
      </c>
    </row>
    <row r="2909" spans="1:14" hidden="1" x14ac:dyDescent="0.35">
      <c r="A2909" s="52" t="s">
        <v>240</v>
      </c>
      <c r="B2909" s="52" t="s">
        <v>37</v>
      </c>
      <c r="C2909" s="52" t="s">
        <v>79</v>
      </c>
      <c r="D2909" s="52" t="s">
        <v>79</v>
      </c>
      <c r="E2909" s="52" t="s">
        <v>640</v>
      </c>
      <c r="F2909" s="52" t="s">
        <v>581</v>
      </c>
      <c r="G2909" s="55" t="s">
        <v>277</v>
      </c>
      <c r="H2909" s="55">
        <v>469.11439999999999</v>
      </c>
      <c r="I2909" s="55">
        <v>171.9015</v>
      </c>
      <c r="J2909" s="55">
        <v>108.65349999999999</v>
      </c>
      <c r="K2909" s="55">
        <v>78.495450000000005</v>
      </c>
      <c r="L2909" s="55">
        <v>47.59346</v>
      </c>
      <c r="M2909" s="55">
        <v>0</v>
      </c>
      <c r="N2909" s="55">
        <v>0</v>
      </c>
    </row>
    <row r="2910" spans="1:14" hidden="1" x14ac:dyDescent="0.35">
      <c r="A2910" s="52" t="s">
        <v>240</v>
      </c>
      <c r="B2910" s="52" t="s">
        <v>37</v>
      </c>
      <c r="C2910" s="52" t="s">
        <v>79</v>
      </c>
      <c r="D2910" s="52" t="s">
        <v>79</v>
      </c>
      <c r="E2910" s="52" t="s">
        <v>640</v>
      </c>
      <c r="F2910" s="52" t="s">
        <v>581</v>
      </c>
      <c r="G2910" s="55" t="s">
        <v>278</v>
      </c>
      <c r="H2910" s="55">
        <v>52.985399999999998</v>
      </c>
      <c r="I2910" s="55">
        <v>26.43412</v>
      </c>
      <c r="J2910" s="55">
        <v>21.6553</v>
      </c>
      <c r="K2910" s="55">
        <v>8.7349969999999999</v>
      </c>
      <c r="L2910" s="55">
        <v>0</v>
      </c>
      <c r="M2910" s="55"/>
      <c r="N2910" s="55"/>
    </row>
    <row r="2911" spans="1:14" hidden="1" x14ac:dyDescent="0.35">
      <c r="A2911" s="52" t="s">
        <v>240</v>
      </c>
      <c r="B2911" s="52" t="s">
        <v>37</v>
      </c>
      <c r="C2911" s="52" t="s">
        <v>79</v>
      </c>
      <c r="D2911" s="52" t="s">
        <v>79</v>
      </c>
      <c r="E2911" s="52" t="s">
        <v>640</v>
      </c>
      <c r="F2911" s="52" t="s">
        <v>581</v>
      </c>
      <c r="G2911" s="55" t="s">
        <v>279</v>
      </c>
      <c r="H2911" s="55">
        <v>200.59379999999999</v>
      </c>
      <c r="I2911" s="55">
        <v>144.7901</v>
      </c>
      <c r="J2911" s="55">
        <v>149.42400000000001</v>
      </c>
      <c r="K2911" s="55">
        <v>134.50450000000001</v>
      </c>
      <c r="L2911" s="55">
        <v>107.161</v>
      </c>
      <c r="M2911" s="55">
        <v>85.317530000000005</v>
      </c>
      <c r="N2911" s="55">
        <v>67.351640000000003</v>
      </c>
    </row>
    <row r="2912" spans="1:14" hidden="1" x14ac:dyDescent="0.35">
      <c r="A2912" s="52" t="s">
        <v>240</v>
      </c>
      <c r="B2912" s="52" t="s">
        <v>37</v>
      </c>
      <c r="C2912" s="52" t="s">
        <v>79</v>
      </c>
      <c r="D2912" s="52" t="s">
        <v>79</v>
      </c>
      <c r="E2912" s="52" t="s">
        <v>640</v>
      </c>
      <c r="F2912" s="52" t="s">
        <v>26</v>
      </c>
      <c r="G2912" s="55" t="s">
        <v>275</v>
      </c>
      <c r="H2912" s="55">
        <v>-1.334336</v>
      </c>
      <c r="I2912" s="55">
        <v>-0.9416407</v>
      </c>
      <c r="J2912" s="55">
        <v>-0.72834520000000003</v>
      </c>
      <c r="K2912" s="55">
        <v>-0.80136739999999995</v>
      </c>
      <c r="L2912" s="55">
        <v>-0.59722359999999997</v>
      </c>
      <c r="M2912" s="55">
        <v>-0.6572692</v>
      </c>
      <c r="N2912" s="55">
        <v>-0.52028030000000003</v>
      </c>
    </row>
    <row r="2913" spans="1:14" hidden="1" x14ac:dyDescent="0.35">
      <c r="A2913" s="52" t="s">
        <v>240</v>
      </c>
      <c r="B2913" s="52" t="s">
        <v>37</v>
      </c>
      <c r="C2913" s="52" t="s">
        <v>79</v>
      </c>
      <c r="D2913" s="52" t="s">
        <v>79</v>
      </c>
      <c r="E2913" s="52" t="s">
        <v>640</v>
      </c>
      <c r="F2913" s="52" t="s">
        <v>26</v>
      </c>
      <c r="G2913" s="55" t="s">
        <v>276</v>
      </c>
      <c r="H2913" s="55">
        <v>-0.38680599999999998</v>
      </c>
      <c r="I2913" s="55">
        <v>-0.27297280000000002</v>
      </c>
      <c r="J2913" s="55">
        <v>-0.2111421</v>
      </c>
      <c r="K2913" s="55">
        <v>-0.23230609999999999</v>
      </c>
      <c r="L2913" s="55">
        <v>-0.1731347</v>
      </c>
      <c r="M2913" s="55">
        <v>-0.1905327</v>
      </c>
      <c r="N2913" s="55">
        <v>-0.15082400000000001</v>
      </c>
    </row>
    <row r="2914" spans="1:14" hidden="1" x14ac:dyDescent="0.35">
      <c r="A2914" s="52" t="s">
        <v>240</v>
      </c>
      <c r="B2914" s="52" t="s">
        <v>37</v>
      </c>
      <c r="C2914" s="52" t="s">
        <v>79</v>
      </c>
      <c r="D2914" s="52" t="s">
        <v>79</v>
      </c>
      <c r="E2914" s="52" t="s">
        <v>640</v>
      </c>
      <c r="F2914" s="52" t="s">
        <v>26</v>
      </c>
      <c r="G2914" s="55" t="s">
        <v>279</v>
      </c>
      <c r="H2914" s="55">
        <v>8.2880420000000008</v>
      </c>
      <c r="I2914" s="55">
        <v>5.132358</v>
      </c>
      <c r="J2914" s="55">
        <v>5.3315460000000003</v>
      </c>
      <c r="K2914" s="55">
        <v>4.8696719999999996</v>
      </c>
      <c r="L2914" s="55">
        <v>3.9664440000000001</v>
      </c>
      <c r="M2914" s="55">
        <v>3.099291</v>
      </c>
      <c r="N2914" s="55">
        <v>2.4467660000000002</v>
      </c>
    </row>
    <row r="2915" spans="1:14" hidden="1" x14ac:dyDescent="0.35">
      <c r="A2915" s="52" t="s">
        <v>240</v>
      </c>
      <c r="B2915" s="52" t="s">
        <v>37</v>
      </c>
      <c r="C2915" s="52" t="s">
        <v>79</v>
      </c>
      <c r="D2915" s="52" t="s">
        <v>79</v>
      </c>
      <c r="E2915" s="52" t="s">
        <v>601</v>
      </c>
      <c r="F2915" s="52" t="s">
        <v>581</v>
      </c>
      <c r="G2915" s="55" t="s">
        <v>275</v>
      </c>
      <c r="H2915" s="55">
        <v>4.8335540000000004</v>
      </c>
      <c r="I2915" s="55">
        <v>0.67481539999999995</v>
      </c>
      <c r="J2915" s="55">
        <v>1.0440799999999999</v>
      </c>
      <c r="K2915" s="55">
        <v>0.66159559999999995</v>
      </c>
      <c r="L2915" s="55">
        <v>0.90817210000000004</v>
      </c>
      <c r="M2915" s="55">
        <v>0.14235980000000001</v>
      </c>
      <c r="N2915" s="55">
        <v>0.1186417</v>
      </c>
    </row>
    <row r="2916" spans="1:14" hidden="1" x14ac:dyDescent="0.35">
      <c r="A2916" s="52" t="s">
        <v>240</v>
      </c>
      <c r="B2916" s="52" t="s">
        <v>37</v>
      </c>
      <c r="C2916" s="52" t="s">
        <v>79</v>
      </c>
      <c r="D2916" s="52" t="s">
        <v>79</v>
      </c>
      <c r="E2916" s="52" t="s">
        <v>601</v>
      </c>
      <c r="F2916" s="52" t="s">
        <v>581</v>
      </c>
      <c r="G2916" s="55" t="s">
        <v>276</v>
      </c>
      <c r="H2916" s="55">
        <v>1.28487</v>
      </c>
      <c r="I2916" s="55">
        <v>0.17938000000000001</v>
      </c>
      <c r="J2916" s="55">
        <v>0.27754030000000002</v>
      </c>
      <c r="K2916" s="55">
        <v>0.17586869999999999</v>
      </c>
      <c r="L2916" s="55">
        <v>0.2414135</v>
      </c>
      <c r="M2916" s="55">
        <v>3.7842720000000003E-2</v>
      </c>
      <c r="N2916" s="55">
        <v>3.1538509999999999E-2</v>
      </c>
    </row>
    <row r="2917" spans="1:14" hidden="1" x14ac:dyDescent="0.35">
      <c r="A2917" s="52" t="s">
        <v>240</v>
      </c>
      <c r="B2917" s="52" t="s">
        <v>37</v>
      </c>
      <c r="C2917" s="52" t="s">
        <v>79</v>
      </c>
      <c r="D2917" s="52" t="s">
        <v>79</v>
      </c>
      <c r="E2917" s="52" t="s">
        <v>601</v>
      </c>
      <c r="F2917" s="52" t="s">
        <v>581</v>
      </c>
      <c r="G2917" s="55" t="s">
        <v>279</v>
      </c>
      <c r="H2917" s="55">
        <v>6.1119960000000004</v>
      </c>
      <c r="I2917" s="55">
        <v>7.7917820000000004</v>
      </c>
      <c r="J2917" s="55">
        <v>8.6566209999999995</v>
      </c>
      <c r="K2917" s="55">
        <v>6.8716169999999996</v>
      </c>
      <c r="L2917" s="55">
        <v>5.5010469999999998</v>
      </c>
      <c r="M2917" s="55">
        <v>5.2754380000000003</v>
      </c>
      <c r="N2917" s="55">
        <v>4.4244880000000002</v>
      </c>
    </row>
    <row r="2918" spans="1:14" hidden="1" x14ac:dyDescent="0.35">
      <c r="A2918" s="52" t="s">
        <v>240</v>
      </c>
      <c r="B2918" s="52" t="s">
        <v>37</v>
      </c>
      <c r="C2918" s="52" t="s">
        <v>79</v>
      </c>
      <c r="D2918" s="52" t="s">
        <v>79</v>
      </c>
      <c r="E2918" s="52" t="s">
        <v>601</v>
      </c>
      <c r="F2918" s="52" t="s">
        <v>26</v>
      </c>
      <c r="G2918" s="55" t="s">
        <v>275</v>
      </c>
      <c r="H2918" s="55">
        <v>-65.342690000000005</v>
      </c>
      <c r="I2918" s="55">
        <v>-30.114329999999999</v>
      </c>
      <c r="J2918" s="55">
        <v>-8.2266499999999994</v>
      </c>
      <c r="K2918" s="55">
        <v>6.7754570000000003</v>
      </c>
      <c r="L2918" s="55">
        <v>3.9655279999999999</v>
      </c>
      <c r="M2918" s="55">
        <v>0.67961450000000001</v>
      </c>
      <c r="N2918" s="55">
        <v>-0.55023549999999999</v>
      </c>
    </row>
    <row r="2919" spans="1:14" hidden="1" x14ac:dyDescent="0.35">
      <c r="A2919" s="52" t="s">
        <v>240</v>
      </c>
      <c r="B2919" s="52" t="s">
        <v>37</v>
      </c>
      <c r="C2919" s="52" t="s">
        <v>79</v>
      </c>
      <c r="D2919" s="52" t="s">
        <v>79</v>
      </c>
      <c r="E2919" s="52" t="s">
        <v>601</v>
      </c>
      <c r="F2919" s="52" t="s">
        <v>26</v>
      </c>
      <c r="G2919" s="55" t="s">
        <v>276</v>
      </c>
      <c r="H2919" s="55">
        <v>-8.8015570000000007</v>
      </c>
      <c r="I2919" s="55">
        <v>-8.1961949999999995</v>
      </c>
      <c r="J2919" s="55">
        <v>-8.6034450000000007</v>
      </c>
      <c r="K2919" s="55">
        <v>-11.12256</v>
      </c>
      <c r="L2919" s="55">
        <v>-7.7810600000000001</v>
      </c>
      <c r="M2919" s="55">
        <v>-4.1367370000000001</v>
      </c>
      <c r="N2919" s="55">
        <v>-1.9723349999999999</v>
      </c>
    </row>
    <row r="2920" spans="1:14" hidden="1" x14ac:dyDescent="0.35">
      <c r="A2920" s="52" t="s">
        <v>240</v>
      </c>
      <c r="B2920" s="52" t="s">
        <v>37</v>
      </c>
      <c r="C2920" s="52" t="s">
        <v>79</v>
      </c>
      <c r="D2920" s="52" t="s">
        <v>79</v>
      </c>
      <c r="E2920" s="52" t="s">
        <v>601</v>
      </c>
      <c r="F2920" s="52" t="s">
        <v>26</v>
      </c>
      <c r="G2920" s="55" t="s">
        <v>277</v>
      </c>
      <c r="H2920" s="55">
        <v>67.069450000000003</v>
      </c>
      <c r="I2920" s="55">
        <v>32.960349999999998</v>
      </c>
      <c r="J2920" s="55">
        <v>14.380549999999999</v>
      </c>
      <c r="K2920" s="55">
        <v>2.0451320000000002</v>
      </c>
      <c r="L2920" s="55">
        <v>2.4353199999999999</v>
      </c>
      <c r="M2920" s="55">
        <v>0.46918339999999997</v>
      </c>
      <c r="N2920" s="55">
        <v>0</v>
      </c>
    </row>
    <row r="2921" spans="1:14" hidden="1" x14ac:dyDescent="0.35">
      <c r="A2921" s="52" t="s">
        <v>240</v>
      </c>
      <c r="B2921" s="52" t="s">
        <v>37</v>
      </c>
      <c r="C2921" s="52" t="s">
        <v>79</v>
      </c>
      <c r="D2921" s="52" t="s">
        <v>79</v>
      </c>
      <c r="E2921" s="52" t="s">
        <v>601</v>
      </c>
      <c r="F2921" s="52" t="s">
        <v>26</v>
      </c>
      <c r="G2921" s="55" t="s">
        <v>278</v>
      </c>
      <c r="H2921" s="55">
        <v>4.4518800000000001</v>
      </c>
      <c r="I2921" s="55">
        <v>2.1809919999999998</v>
      </c>
      <c r="J2921" s="55">
        <v>0.92697200000000002</v>
      </c>
      <c r="K2921" s="55"/>
      <c r="L2921" s="55">
        <v>0</v>
      </c>
      <c r="M2921" s="55"/>
      <c r="N2921" s="55"/>
    </row>
    <row r="2922" spans="1:14" hidden="1" x14ac:dyDescent="0.35">
      <c r="A2922" s="52" t="s">
        <v>240</v>
      </c>
      <c r="B2922" s="52" t="s">
        <v>37</v>
      </c>
      <c r="C2922" s="52" t="s">
        <v>79</v>
      </c>
      <c r="D2922" s="52" t="s">
        <v>79</v>
      </c>
      <c r="E2922" s="52" t="s">
        <v>601</v>
      </c>
      <c r="F2922" s="52" t="s">
        <v>26</v>
      </c>
      <c r="G2922" s="55" t="s">
        <v>279</v>
      </c>
      <c r="H2922" s="55">
        <v>31.148969999999998</v>
      </c>
      <c r="I2922" s="55">
        <v>26.92765</v>
      </c>
      <c r="J2922" s="55">
        <v>30.376159999999999</v>
      </c>
      <c r="K2922" s="55">
        <v>24.379159999999999</v>
      </c>
      <c r="L2922" s="55">
        <v>20.277480000000001</v>
      </c>
      <c r="M2922" s="55">
        <v>18.534269999999999</v>
      </c>
      <c r="N2922" s="55">
        <v>15.54392</v>
      </c>
    </row>
    <row r="2923" spans="1:14" hidden="1" x14ac:dyDescent="0.35">
      <c r="A2923" s="52" t="s">
        <v>240</v>
      </c>
      <c r="B2923" s="52" t="s">
        <v>37</v>
      </c>
      <c r="C2923" s="52" t="s">
        <v>63</v>
      </c>
      <c r="D2923" s="52" t="s">
        <v>63</v>
      </c>
      <c r="E2923" s="52" t="s">
        <v>621</v>
      </c>
      <c r="F2923" s="52" t="s">
        <v>26</v>
      </c>
      <c r="G2923" s="55" t="s">
        <v>275</v>
      </c>
      <c r="H2923" s="55">
        <v>-108.62390000000001</v>
      </c>
      <c r="I2923" s="55">
        <v>-58.458300000000001</v>
      </c>
      <c r="J2923" s="55">
        <v>47.354500000000002</v>
      </c>
      <c r="K2923" s="55">
        <v>21.14406</v>
      </c>
      <c r="L2923" s="55">
        <v>10.515079999999999</v>
      </c>
      <c r="M2923" s="55">
        <v>8.8866169999999993</v>
      </c>
      <c r="N2923" s="55">
        <v>5.9976250000000002</v>
      </c>
    </row>
    <row r="2924" spans="1:14" hidden="1" x14ac:dyDescent="0.35">
      <c r="A2924" s="52" t="s">
        <v>240</v>
      </c>
      <c r="B2924" s="52" t="s">
        <v>37</v>
      </c>
      <c r="C2924" s="52" t="s">
        <v>63</v>
      </c>
      <c r="D2924" s="52" t="s">
        <v>63</v>
      </c>
      <c r="E2924" s="52" t="s">
        <v>621</v>
      </c>
      <c r="F2924" s="52" t="s">
        <v>26</v>
      </c>
      <c r="G2924" s="55" t="s">
        <v>276</v>
      </c>
      <c r="H2924" s="55">
        <v>-11.59488</v>
      </c>
      <c r="I2924" s="55">
        <v>-12.453150000000001</v>
      </c>
      <c r="J2924" s="55">
        <v>3.335553</v>
      </c>
      <c r="K2924" s="55">
        <v>-4.0062350000000002</v>
      </c>
      <c r="L2924" s="55">
        <v>-6.4152570000000004</v>
      </c>
      <c r="M2924" s="55">
        <v>-9.1893220000000007</v>
      </c>
      <c r="N2924" s="55">
        <v>-6.9044280000000002</v>
      </c>
    </row>
    <row r="2925" spans="1:14" hidden="1" x14ac:dyDescent="0.35">
      <c r="A2925" s="52" t="s">
        <v>240</v>
      </c>
      <c r="B2925" s="52" t="s">
        <v>37</v>
      </c>
      <c r="C2925" s="52" t="s">
        <v>63</v>
      </c>
      <c r="D2925" s="52" t="s">
        <v>63</v>
      </c>
      <c r="E2925" s="52" t="s">
        <v>621</v>
      </c>
      <c r="F2925" s="52" t="s">
        <v>26</v>
      </c>
      <c r="G2925" s="55" t="s">
        <v>277</v>
      </c>
      <c r="H2925" s="55">
        <v>198.41749999999999</v>
      </c>
      <c r="I2925" s="55">
        <v>113.5938</v>
      </c>
      <c r="J2925" s="55">
        <v>67.923959999999994</v>
      </c>
      <c r="K2925" s="55">
        <v>46.219560000000001</v>
      </c>
      <c r="L2925" s="55">
        <v>22.519739999999999</v>
      </c>
      <c r="M2925" s="55">
        <v>0</v>
      </c>
      <c r="N2925" s="55">
        <v>0</v>
      </c>
    </row>
    <row r="2926" spans="1:14" hidden="1" x14ac:dyDescent="0.35">
      <c r="A2926" s="52" t="s">
        <v>240</v>
      </c>
      <c r="B2926" s="52" t="s">
        <v>37</v>
      </c>
      <c r="C2926" s="52" t="s">
        <v>63</v>
      </c>
      <c r="D2926" s="52" t="s">
        <v>63</v>
      </c>
      <c r="E2926" s="52" t="s">
        <v>621</v>
      </c>
      <c r="F2926" s="52" t="s">
        <v>26</v>
      </c>
      <c r="G2926" s="55" t="s">
        <v>278</v>
      </c>
      <c r="H2926" s="55">
        <v>13.59843</v>
      </c>
      <c r="I2926" s="55">
        <v>7.8642880000000002</v>
      </c>
      <c r="J2926" s="55">
        <v>7.4206149999999997</v>
      </c>
      <c r="K2926" s="55">
        <v>3.96441</v>
      </c>
      <c r="L2926" s="55">
        <v>0.3225594</v>
      </c>
      <c r="M2926" s="55">
        <v>0</v>
      </c>
      <c r="N2926" s="55"/>
    </row>
    <row r="2927" spans="1:14" hidden="1" x14ac:dyDescent="0.35">
      <c r="A2927" s="52" t="s">
        <v>240</v>
      </c>
      <c r="B2927" s="52" t="s">
        <v>37</v>
      </c>
      <c r="C2927" s="52" t="s">
        <v>63</v>
      </c>
      <c r="D2927" s="52" t="s">
        <v>63</v>
      </c>
      <c r="E2927" s="52" t="s">
        <v>621</v>
      </c>
      <c r="F2927" s="52" t="s">
        <v>26</v>
      </c>
      <c r="G2927" s="55" t="s">
        <v>279</v>
      </c>
      <c r="H2927" s="55">
        <v>760.84249999999997</v>
      </c>
      <c r="I2927" s="55">
        <v>670.8569</v>
      </c>
      <c r="J2927" s="55">
        <v>893.38610000000006</v>
      </c>
      <c r="K2927" s="55">
        <v>1000.7329999999999</v>
      </c>
      <c r="L2927" s="55">
        <v>925.93910000000005</v>
      </c>
      <c r="M2927" s="55">
        <v>811.62059999999997</v>
      </c>
      <c r="N2927" s="55">
        <v>710.85559999999998</v>
      </c>
    </row>
    <row r="2928" spans="1:14" hidden="1" x14ac:dyDescent="0.35">
      <c r="A2928" s="52" t="s">
        <v>240</v>
      </c>
      <c r="B2928" s="52" t="s">
        <v>37</v>
      </c>
      <c r="C2928" s="52" t="s">
        <v>63</v>
      </c>
      <c r="D2928" s="52" t="s">
        <v>63</v>
      </c>
      <c r="E2928" s="52" t="s">
        <v>584</v>
      </c>
      <c r="F2928" s="52" t="s">
        <v>26</v>
      </c>
      <c r="G2928" s="55" t="s">
        <v>275</v>
      </c>
      <c r="H2928" s="55">
        <v>-11.19083</v>
      </c>
      <c r="I2928" s="55">
        <v>-6.0198539999999996</v>
      </c>
      <c r="J2928" s="55">
        <v>-2.7791869999999999</v>
      </c>
      <c r="K2928" s="55">
        <v>0.1337595</v>
      </c>
      <c r="L2928" s="55">
        <v>-285.32600000000002</v>
      </c>
      <c r="M2928" s="55">
        <v>0.72396799999999994</v>
      </c>
      <c r="N2928" s="55"/>
    </row>
    <row r="2929" spans="1:14" hidden="1" x14ac:dyDescent="0.35">
      <c r="A2929" s="52" t="s">
        <v>240</v>
      </c>
      <c r="B2929" s="52" t="s">
        <v>37</v>
      </c>
      <c r="C2929" s="52" t="s">
        <v>63</v>
      </c>
      <c r="D2929" s="52" t="s">
        <v>63</v>
      </c>
      <c r="E2929" s="52" t="s">
        <v>584</v>
      </c>
      <c r="F2929" s="52" t="s">
        <v>26</v>
      </c>
      <c r="G2929" s="55" t="s">
        <v>276</v>
      </c>
      <c r="H2929" s="55">
        <v>-1.6117060000000001</v>
      </c>
      <c r="I2929" s="55">
        <v>-1.489995</v>
      </c>
      <c r="J2929" s="55">
        <v>-1.298908</v>
      </c>
      <c r="K2929" s="55">
        <v>-1.1752100000000001</v>
      </c>
      <c r="L2929" s="55">
        <v>-32.342329999999997</v>
      </c>
      <c r="M2929" s="55">
        <v>-0.72396899999999997</v>
      </c>
      <c r="N2929" s="55"/>
    </row>
    <row r="2930" spans="1:14" hidden="1" x14ac:dyDescent="0.35">
      <c r="A2930" s="52" t="s">
        <v>240</v>
      </c>
      <c r="B2930" s="52" t="s">
        <v>37</v>
      </c>
      <c r="C2930" s="52" t="s">
        <v>63</v>
      </c>
      <c r="D2930" s="52" t="s">
        <v>63</v>
      </c>
      <c r="E2930" s="52" t="s">
        <v>584</v>
      </c>
      <c r="F2930" s="52" t="s">
        <v>26</v>
      </c>
      <c r="G2930" s="55" t="s">
        <v>277</v>
      </c>
      <c r="H2930" s="55">
        <v>12.04927</v>
      </c>
      <c r="I2930" s="55">
        <v>6.6127820000000002</v>
      </c>
      <c r="J2930" s="55">
        <v>3.6291699999999998</v>
      </c>
      <c r="K2930" s="55"/>
      <c r="L2930" s="55"/>
      <c r="M2930" s="55"/>
      <c r="N2930" s="55"/>
    </row>
    <row r="2931" spans="1:14" hidden="1" x14ac:dyDescent="0.35">
      <c r="A2931" s="52" t="s">
        <v>240</v>
      </c>
      <c r="B2931" s="52" t="s">
        <v>37</v>
      </c>
      <c r="C2931" s="52" t="s">
        <v>63</v>
      </c>
      <c r="D2931" s="52" t="s">
        <v>63</v>
      </c>
      <c r="E2931" s="52" t="s">
        <v>584</v>
      </c>
      <c r="F2931" s="52" t="s">
        <v>26</v>
      </c>
      <c r="G2931" s="55" t="s">
        <v>279</v>
      </c>
      <c r="H2931" s="55">
        <v>9.4399010000000008</v>
      </c>
      <c r="I2931" s="55">
        <v>7.9810990000000004</v>
      </c>
      <c r="J2931" s="55">
        <v>7.666982</v>
      </c>
      <c r="K2931" s="55">
        <v>8.0911310000000007</v>
      </c>
      <c r="L2931" s="55">
        <v>317.66840000000002</v>
      </c>
      <c r="M2931" s="55"/>
      <c r="N2931" s="55">
        <v>0</v>
      </c>
    </row>
    <row r="2932" spans="1:14" hidden="1" x14ac:dyDescent="0.35">
      <c r="A2932" s="52" t="s">
        <v>240</v>
      </c>
      <c r="B2932" s="52" t="s">
        <v>37</v>
      </c>
      <c r="C2932" s="52" t="s">
        <v>63</v>
      </c>
      <c r="D2932" s="52" t="s">
        <v>63</v>
      </c>
      <c r="E2932" s="52" t="s">
        <v>610</v>
      </c>
      <c r="F2932" s="52" t="s">
        <v>26</v>
      </c>
      <c r="G2932" s="55" t="s">
        <v>275</v>
      </c>
      <c r="H2932" s="55">
        <v>-14.21025</v>
      </c>
      <c r="I2932" s="55">
        <v>0.44767059999999997</v>
      </c>
      <c r="J2932" s="55">
        <v>1.9635020000000001</v>
      </c>
      <c r="K2932" s="55">
        <v>1.4443900000000001</v>
      </c>
      <c r="L2932" s="55">
        <v>1.2208049999999999</v>
      </c>
      <c r="M2932" s="55">
        <v>1.070875</v>
      </c>
      <c r="N2932" s="55">
        <v>0.9478704</v>
      </c>
    </row>
    <row r="2933" spans="1:14" hidden="1" x14ac:dyDescent="0.35">
      <c r="A2933" s="52" t="s">
        <v>240</v>
      </c>
      <c r="B2933" s="52" t="s">
        <v>37</v>
      </c>
      <c r="C2933" s="52" t="s">
        <v>63</v>
      </c>
      <c r="D2933" s="52" t="s">
        <v>63</v>
      </c>
      <c r="E2933" s="52" t="s">
        <v>610</v>
      </c>
      <c r="F2933" s="52" t="s">
        <v>26</v>
      </c>
      <c r="G2933" s="55" t="s">
        <v>276</v>
      </c>
      <c r="H2933" s="55">
        <v>-0.56097399999999997</v>
      </c>
      <c r="I2933" s="55">
        <v>-0.37957190000000002</v>
      </c>
      <c r="J2933" s="55">
        <v>-0.37500119999999998</v>
      </c>
      <c r="K2933" s="55">
        <v>-0.23225779999999999</v>
      </c>
      <c r="L2933" s="55">
        <v>-0.2097164</v>
      </c>
      <c r="M2933" s="55">
        <v>-0.22619</v>
      </c>
      <c r="N2933" s="55">
        <v>-0.17356940000000001</v>
      </c>
    </row>
    <row r="2934" spans="1:14" hidden="1" x14ac:dyDescent="0.35">
      <c r="A2934" s="52" t="s">
        <v>240</v>
      </c>
      <c r="B2934" s="52" t="s">
        <v>37</v>
      </c>
      <c r="C2934" s="52" t="s">
        <v>63</v>
      </c>
      <c r="D2934" s="52" t="s">
        <v>63</v>
      </c>
      <c r="E2934" s="52" t="s">
        <v>610</v>
      </c>
      <c r="F2934" s="52" t="s">
        <v>26</v>
      </c>
      <c r="G2934" s="55" t="s">
        <v>277</v>
      </c>
      <c r="H2934" s="55">
        <v>15.67877</v>
      </c>
      <c r="I2934" s="55">
        <v>1.684231</v>
      </c>
      <c r="J2934" s="55">
        <v>0</v>
      </c>
      <c r="K2934" s="55"/>
      <c r="L2934" s="55"/>
      <c r="M2934" s="55">
        <v>0</v>
      </c>
      <c r="N2934" s="55">
        <v>0</v>
      </c>
    </row>
    <row r="2935" spans="1:14" hidden="1" x14ac:dyDescent="0.35">
      <c r="A2935" s="52" t="s">
        <v>240</v>
      </c>
      <c r="B2935" s="52" t="s">
        <v>37</v>
      </c>
      <c r="C2935" s="52" t="s">
        <v>63</v>
      </c>
      <c r="D2935" s="52" t="s">
        <v>63</v>
      </c>
      <c r="E2935" s="52" t="s">
        <v>610</v>
      </c>
      <c r="F2935" s="52" t="s">
        <v>26</v>
      </c>
      <c r="G2935" s="55" t="s">
        <v>278</v>
      </c>
      <c r="H2935" s="55">
        <v>0.32971299999999998</v>
      </c>
      <c r="I2935" s="55">
        <v>0</v>
      </c>
      <c r="J2935" s="55"/>
      <c r="K2935" s="55"/>
      <c r="L2935" s="55"/>
      <c r="M2935" s="55"/>
      <c r="N2935" s="55"/>
    </row>
    <row r="2936" spans="1:14" hidden="1" x14ac:dyDescent="0.35">
      <c r="A2936" s="52" t="s">
        <v>240</v>
      </c>
      <c r="B2936" s="52" t="s">
        <v>37</v>
      </c>
      <c r="C2936" s="52" t="s">
        <v>63</v>
      </c>
      <c r="D2936" s="52" t="s">
        <v>63</v>
      </c>
      <c r="E2936" s="52" t="s">
        <v>610</v>
      </c>
      <c r="F2936" s="52" t="s">
        <v>26</v>
      </c>
      <c r="G2936" s="55" t="s">
        <v>279</v>
      </c>
      <c r="H2936" s="55">
        <v>2.4433199999999999</v>
      </c>
      <c r="I2936" s="55">
        <v>3.9143089999999998</v>
      </c>
      <c r="J2936" s="55">
        <v>2.9613670000000001</v>
      </c>
      <c r="K2936" s="55">
        <v>2.7300610000000001</v>
      </c>
      <c r="L2936" s="55">
        <v>2.5359449999999999</v>
      </c>
      <c r="M2936" s="55">
        <v>2.4085049999999999</v>
      </c>
      <c r="N2936" s="55">
        <v>2.2130109999999998</v>
      </c>
    </row>
    <row r="2937" spans="1:14" hidden="1" x14ac:dyDescent="0.35">
      <c r="A2937" s="52" t="s">
        <v>240</v>
      </c>
      <c r="B2937" s="52" t="s">
        <v>37</v>
      </c>
      <c r="C2937" s="52" t="s">
        <v>46</v>
      </c>
      <c r="D2937" s="52" t="s">
        <v>46</v>
      </c>
      <c r="E2937" s="52" t="s">
        <v>641</v>
      </c>
      <c r="F2937" s="52" t="s">
        <v>26</v>
      </c>
      <c r="G2937" s="55" t="s">
        <v>275</v>
      </c>
      <c r="H2937" s="55">
        <v>121.473</v>
      </c>
      <c r="I2937" s="55">
        <v>187.83539999999999</v>
      </c>
      <c r="J2937" s="55">
        <v>189.07589999999999</v>
      </c>
      <c r="K2937" s="55">
        <v>188.2921</v>
      </c>
      <c r="L2937" s="55">
        <v>128.5463</v>
      </c>
      <c r="M2937" s="55">
        <v>94.409419999999997</v>
      </c>
      <c r="N2937" s="55">
        <v>48.154530000000001</v>
      </c>
    </row>
    <row r="2938" spans="1:14" hidden="1" x14ac:dyDescent="0.35">
      <c r="A2938" s="52" t="s">
        <v>240</v>
      </c>
      <c r="B2938" s="52" t="s">
        <v>37</v>
      </c>
      <c r="C2938" s="52" t="s">
        <v>46</v>
      </c>
      <c r="D2938" s="52" t="s">
        <v>46</v>
      </c>
      <c r="E2938" s="52" t="s">
        <v>641</v>
      </c>
      <c r="F2938" s="52" t="s">
        <v>26</v>
      </c>
      <c r="G2938" s="55" t="s">
        <v>276</v>
      </c>
      <c r="H2938" s="55">
        <v>-16.52805</v>
      </c>
      <c r="I2938" s="55">
        <v>-17.41694</v>
      </c>
      <c r="J2938" s="55">
        <v>4.4948199999999998</v>
      </c>
      <c r="K2938" s="55">
        <v>10.23573</v>
      </c>
      <c r="L2938" s="55">
        <v>22.908329999999999</v>
      </c>
      <c r="M2938" s="55">
        <v>27.82846</v>
      </c>
      <c r="N2938" s="55">
        <v>28.00685</v>
      </c>
    </row>
    <row r="2939" spans="1:14" hidden="1" x14ac:dyDescent="0.35">
      <c r="A2939" s="52" t="s">
        <v>240</v>
      </c>
      <c r="B2939" s="52" t="s">
        <v>37</v>
      </c>
      <c r="C2939" s="52" t="s">
        <v>46</v>
      </c>
      <c r="D2939" s="52" t="s">
        <v>46</v>
      </c>
      <c r="E2939" s="52" t="s">
        <v>641</v>
      </c>
      <c r="F2939" s="52" t="s">
        <v>26</v>
      </c>
      <c r="G2939" s="55" t="s">
        <v>277</v>
      </c>
      <c r="H2939" s="55">
        <v>151.14160000000001</v>
      </c>
      <c r="I2939" s="55">
        <v>65.420699999999997</v>
      </c>
      <c r="J2939" s="55">
        <v>71.254050000000007</v>
      </c>
      <c r="K2939" s="55">
        <v>28.938739999999999</v>
      </c>
      <c r="L2939" s="55">
        <v>44.048769999999998</v>
      </c>
      <c r="M2939" s="55">
        <v>58.711599999999997</v>
      </c>
      <c r="N2939" s="55">
        <v>123.0749</v>
      </c>
    </row>
    <row r="2940" spans="1:14" hidden="1" x14ac:dyDescent="0.35">
      <c r="A2940" s="52" t="s">
        <v>240</v>
      </c>
      <c r="B2940" s="52" t="s">
        <v>37</v>
      </c>
      <c r="C2940" s="52" t="s">
        <v>46</v>
      </c>
      <c r="D2940" s="52" t="s">
        <v>46</v>
      </c>
      <c r="E2940" s="52" t="s">
        <v>641</v>
      </c>
      <c r="F2940" s="52" t="s">
        <v>26</v>
      </c>
      <c r="G2940" s="55" t="s">
        <v>278</v>
      </c>
      <c r="H2940" s="55">
        <v>9.5404999999999998</v>
      </c>
      <c r="I2940" s="55">
        <v>2.3559990000000002</v>
      </c>
      <c r="J2940" s="55">
        <v>5.7672549999999996</v>
      </c>
      <c r="K2940" s="55">
        <v>3.8002910000000001</v>
      </c>
      <c r="L2940" s="55">
        <v>3.8645679999999998</v>
      </c>
      <c r="M2940" s="55">
        <v>2.653759</v>
      </c>
      <c r="N2940" s="55">
        <v>1.0616559999999999</v>
      </c>
    </row>
    <row r="2941" spans="1:14" hidden="1" x14ac:dyDescent="0.35">
      <c r="A2941" s="52" t="s">
        <v>240</v>
      </c>
      <c r="B2941" s="52" t="s">
        <v>37</v>
      </c>
      <c r="C2941" s="52" t="s">
        <v>46</v>
      </c>
      <c r="D2941" s="52" t="s">
        <v>46</v>
      </c>
      <c r="E2941" s="52" t="s">
        <v>641</v>
      </c>
      <c r="F2941" s="52" t="s">
        <v>26</v>
      </c>
      <c r="G2941" s="55" t="s">
        <v>279</v>
      </c>
      <c r="H2941" s="55">
        <v>354.4495</v>
      </c>
      <c r="I2941" s="55">
        <v>284.9006</v>
      </c>
      <c r="J2941" s="55">
        <v>285.65519999999998</v>
      </c>
      <c r="K2941" s="55">
        <v>267.82639999999998</v>
      </c>
      <c r="L2941" s="55">
        <v>233.78960000000001</v>
      </c>
      <c r="M2941" s="55">
        <v>245.0136</v>
      </c>
      <c r="N2941" s="55">
        <v>267.09800000000001</v>
      </c>
    </row>
    <row r="2942" spans="1:14" hidden="1" x14ac:dyDescent="0.35">
      <c r="A2942" s="52" t="s">
        <v>240</v>
      </c>
      <c r="B2942" s="52" t="s">
        <v>37</v>
      </c>
      <c r="C2942" s="52" t="s">
        <v>115</v>
      </c>
      <c r="D2942" s="52" t="s">
        <v>115</v>
      </c>
      <c r="E2942" s="52" t="s">
        <v>597</v>
      </c>
      <c r="F2942" s="52" t="s">
        <v>581</v>
      </c>
      <c r="G2942" s="55" t="s">
        <v>275</v>
      </c>
      <c r="H2942" s="55">
        <v>-189.64830000000001</v>
      </c>
      <c r="I2942" s="55">
        <v>-25.719090000000001</v>
      </c>
      <c r="J2942" s="55">
        <v>51.718380000000003</v>
      </c>
      <c r="K2942" s="55">
        <v>70.953649999999996</v>
      </c>
      <c r="L2942" s="55">
        <v>83.528319999999994</v>
      </c>
      <c r="M2942" s="55">
        <v>52.345140000000001</v>
      </c>
      <c r="N2942" s="55">
        <v>34.091180000000001</v>
      </c>
    </row>
    <row r="2943" spans="1:14" hidden="1" x14ac:dyDescent="0.35">
      <c r="A2943" s="52" t="s">
        <v>240</v>
      </c>
      <c r="B2943" s="52" t="s">
        <v>37</v>
      </c>
      <c r="C2943" s="52" t="s">
        <v>115</v>
      </c>
      <c r="D2943" s="52" t="s">
        <v>115</v>
      </c>
      <c r="E2943" s="52" t="s">
        <v>597</v>
      </c>
      <c r="F2943" s="52" t="s">
        <v>581</v>
      </c>
      <c r="G2943" s="55" t="s">
        <v>276</v>
      </c>
      <c r="H2943" s="55">
        <v>7.7203249999999999</v>
      </c>
      <c r="I2943" s="55">
        <v>-13.17972</v>
      </c>
      <c r="J2943" s="55">
        <v>-18.14</v>
      </c>
      <c r="K2943" s="55">
        <v>-33.144620000000003</v>
      </c>
      <c r="L2943" s="55">
        <v>-28.444790000000001</v>
      </c>
      <c r="M2943" s="55">
        <v>-6.2250399999999999</v>
      </c>
      <c r="N2943" s="55">
        <v>-0.82690269999999999</v>
      </c>
    </row>
    <row r="2944" spans="1:14" hidden="1" x14ac:dyDescent="0.35">
      <c r="A2944" s="52" t="s">
        <v>240</v>
      </c>
      <c r="B2944" s="52" t="s">
        <v>37</v>
      </c>
      <c r="C2944" s="52" t="s">
        <v>115</v>
      </c>
      <c r="D2944" s="52" t="s">
        <v>115</v>
      </c>
      <c r="E2944" s="52" t="s">
        <v>597</v>
      </c>
      <c r="F2944" s="52" t="s">
        <v>581</v>
      </c>
      <c r="G2944" s="55" t="s">
        <v>277</v>
      </c>
      <c r="H2944" s="55">
        <v>349.84019999999998</v>
      </c>
      <c r="I2944" s="55">
        <v>101.08199999999999</v>
      </c>
      <c r="J2944" s="55">
        <v>45.40455</v>
      </c>
      <c r="K2944" s="55">
        <v>20.03416</v>
      </c>
      <c r="L2944" s="55">
        <v>9.9768919999999994</v>
      </c>
      <c r="M2944" s="55">
        <v>0</v>
      </c>
      <c r="N2944" s="55">
        <v>0</v>
      </c>
    </row>
    <row r="2945" spans="1:14" hidden="1" x14ac:dyDescent="0.35">
      <c r="A2945" s="52" t="s">
        <v>240</v>
      </c>
      <c r="B2945" s="52" t="s">
        <v>37</v>
      </c>
      <c r="C2945" s="52" t="s">
        <v>115</v>
      </c>
      <c r="D2945" s="52" t="s">
        <v>115</v>
      </c>
      <c r="E2945" s="52" t="s">
        <v>597</v>
      </c>
      <c r="F2945" s="52" t="s">
        <v>581</v>
      </c>
      <c r="G2945" s="55" t="s">
        <v>278</v>
      </c>
      <c r="H2945" s="55">
        <v>85.351690000000005</v>
      </c>
      <c r="I2945" s="55">
        <v>41.047249999999998</v>
      </c>
      <c r="J2945" s="55">
        <v>25.287310000000002</v>
      </c>
      <c r="K2945" s="55">
        <v>30.23884</v>
      </c>
      <c r="L2945" s="55">
        <v>14.23062</v>
      </c>
      <c r="M2945" s="55">
        <v>0</v>
      </c>
      <c r="N2945" s="55">
        <v>0</v>
      </c>
    </row>
    <row r="2946" spans="1:14" hidden="1" x14ac:dyDescent="0.35">
      <c r="A2946" s="52" t="s">
        <v>240</v>
      </c>
      <c r="B2946" s="52" t="s">
        <v>37</v>
      </c>
      <c r="C2946" s="52" t="s">
        <v>115</v>
      </c>
      <c r="D2946" s="52" t="s">
        <v>115</v>
      </c>
      <c r="E2946" s="52" t="s">
        <v>597</v>
      </c>
      <c r="F2946" s="52" t="s">
        <v>581</v>
      </c>
      <c r="G2946" s="55" t="s">
        <v>279</v>
      </c>
      <c r="H2946" s="55">
        <v>110.1101</v>
      </c>
      <c r="I2946" s="55">
        <v>103.6707</v>
      </c>
      <c r="J2946" s="55">
        <v>96.657520000000005</v>
      </c>
      <c r="K2946" s="55">
        <v>85.006640000000004</v>
      </c>
      <c r="L2946" s="55">
        <v>66.586359999999999</v>
      </c>
      <c r="M2946" s="55">
        <v>52.300240000000002</v>
      </c>
      <c r="N2946" s="55">
        <v>37.52534</v>
      </c>
    </row>
    <row r="2947" spans="1:14" hidden="1" x14ac:dyDescent="0.35">
      <c r="A2947" s="52" t="s">
        <v>240</v>
      </c>
      <c r="B2947" s="52" t="s">
        <v>37</v>
      </c>
      <c r="C2947" s="52" t="s">
        <v>115</v>
      </c>
      <c r="D2947" s="52" t="s">
        <v>115</v>
      </c>
      <c r="E2947" s="52" t="s">
        <v>597</v>
      </c>
      <c r="F2947" s="52" t="s">
        <v>26</v>
      </c>
      <c r="G2947" s="55" t="s">
        <v>275</v>
      </c>
      <c r="H2947" s="55">
        <v>4.3248689999999996</v>
      </c>
      <c r="I2947" s="55">
        <v>3.0736319999999999</v>
      </c>
      <c r="J2947" s="55">
        <v>8.5268920000000001</v>
      </c>
      <c r="K2947" s="55">
        <v>5.2309929999999998</v>
      </c>
      <c r="L2947" s="55">
        <v>6.592905</v>
      </c>
      <c r="M2947" s="55">
        <v>0.14655560000000001</v>
      </c>
      <c r="N2947" s="55">
        <v>8.3083420000000005E-2</v>
      </c>
    </row>
    <row r="2948" spans="1:14" hidden="1" x14ac:dyDescent="0.35">
      <c r="A2948" s="52" t="s">
        <v>240</v>
      </c>
      <c r="B2948" s="52" t="s">
        <v>37</v>
      </c>
      <c r="C2948" s="52" t="s">
        <v>115</v>
      </c>
      <c r="D2948" s="52" t="s">
        <v>115</v>
      </c>
      <c r="E2948" s="52" t="s">
        <v>597</v>
      </c>
      <c r="F2948" s="52" t="s">
        <v>26</v>
      </c>
      <c r="G2948" s="55" t="s">
        <v>276</v>
      </c>
      <c r="H2948" s="55">
        <v>1.1496550000000001</v>
      </c>
      <c r="I2948" s="55">
        <v>0.81704880000000002</v>
      </c>
      <c r="J2948" s="55">
        <v>2.266645</v>
      </c>
      <c r="K2948" s="55">
        <v>1.3905240000000001</v>
      </c>
      <c r="L2948" s="55">
        <v>1.7525440000000001</v>
      </c>
      <c r="M2948" s="55">
        <v>3.8957690000000003E-2</v>
      </c>
      <c r="N2948" s="55">
        <v>2.2086399999999999E-2</v>
      </c>
    </row>
    <row r="2949" spans="1:14" hidden="1" x14ac:dyDescent="0.35">
      <c r="A2949" s="52" t="s">
        <v>240</v>
      </c>
      <c r="B2949" s="52" t="s">
        <v>37</v>
      </c>
      <c r="C2949" s="52" t="s">
        <v>115</v>
      </c>
      <c r="D2949" s="52" t="s">
        <v>115</v>
      </c>
      <c r="E2949" s="52" t="s">
        <v>597</v>
      </c>
      <c r="F2949" s="52" t="s">
        <v>26</v>
      </c>
      <c r="G2949" s="55" t="s">
        <v>279</v>
      </c>
      <c r="H2949" s="55">
        <v>61.932029999999997</v>
      </c>
      <c r="I2949" s="55">
        <v>80.915040000000005</v>
      </c>
      <c r="J2949" s="55">
        <v>75.84084</v>
      </c>
      <c r="K2949" s="55">
        <v>67.291370000000001</v>
      </c>
      <c r="L2949" s="55">
        <v>53.549860000000002</v>
      </c>
      <c r="M2949" s="55">
        <v>41.448509999999999</v>
      </c>
      <c r="N2949" s="55">
        <v>29.72728</v>
      </c>
    </row>
    <row r="2950" spans="1:14" hidden="1" x14ac:dyDescent="0.35">
      <c r="A2950" s="52" t="s">
        <v>240</v>
      </c>
      <c r="B2950" s="52" t="s">
        <v>37</v>
      </c>
      <c r="C2950" s="52" t="s">
        <v>115</v>
      </c>
      <c r="D2950" s="52" t="s">
        <v>115</v>
      </c>
      <c r="E2950" s="52" t="s">
        <v>596</v>
      </c>
      <c r="F2950" s="52" t="s">
        <v>581</v>
      </c>
      <c r="G2950" s="55" t="s">
        <v>275</v>
      </c>
      <c r="H2950" s="55">
        <v>18.044419999999999</v>
      </c>
      <c r="I2950" s="55">
        <v>2.2849410000000001E-2</v>
      </c>
      <c r="J2950" s="55">
        <v>13.112209999999999</v>
      </c>
      <c r="K2950" s="55">
        <v>9.7483719999999998</v>
      </c>
      <c r="L2950" s="55">
        <v>12.239509999999999</v>
      </c>
      <c r="M2950" s="55">
        <v>9.3199159999999992</v>
      </c>
      <c r="N2950" s="55">
        <v>7.456582</v>
      </c>
    </row>
    <row r="2951" spans="1:14" hidden="1" x14ac:dyDescent="0.35">
      <c r="A2951" s="52" t="s">
        <v>240</v>
      </c>
      <c r="B2951" s="52" t="s">
        <v>37</v>
      </c>
      <c r="C2951" s="52" t="s">
        <v>115</v>
      </c>
      <c r="D2951" s="52" t="s">
        <v>115</v>
      </c>
      <c r="E2951" s="52" t="s">
        <v>596</v>
      </c>
      <c r="F2951" s="52" t="s">
        <v>581</v>
      </c>
      <c r="G2951" s="55" t="s">
        <v>276</v>
      </c>
      <c r="H2951" s="55">
        <v>-10.776899999999999</v>
      </c>
      <c r="I2951" s="55">
        <v>-1.37144</v>
      </c>
      <c r="J2951" s="55">
        <v>-5.0327279999999996</v>
      </c>
      <c r="K2951" s="55">
        <v>2.0481600000000002</v>
      </c>
      <c r="L2951" s="55">
        <v>-0.32887889999999997</v>
      </c>
      <c r="M2951" s="55">
        <v>0.48879089999999997</v>
      </c>
      <c r="N2951" s="55">
        <v>0.80893300000000001</v>
      </c>
    </row>
    <row r="2952" spans="1:14" hidden="1" x14ac:dyDescent="0.35">
      <c r="A2952" s="52" t="s">
        <v>240</v>
      </c>
      <c r="B2952" s="52" t="s">
        <v>37</v>
      </c>
      <c r="C2952" s="52" t="s">
        <v>115</v>
      </c>
      <c r="D2952" s="52" t="s">
        <v>115</v>
      </c>
      <c r="E2952" s="52" t="s">
        <v>596</v>
      </c>
      <c r="F2952" s="52" t="s">
        <v>581</v>
      </c>
      <c r="G2952" s="55" t="s">
        <v>277</v>
      </c>
      <c r="H2952" s="55">
        <v>29.692710000000002</v>
      </c>
      <c r="I2952" s="55">
        <v>13.50041</v>
      </c>
      <c r="J2952" s="55">
        <v>8.70472</v>
      </c>
      <c r="K2952" s="55">
        <v>5.1474399999999996</v>
      </c>
      <c r="L2952" s="55">
        <v>2.5070700000000001</v>
      </c>
      <c r="M2952" s="55">
        <v>0</v>
      </c>
      <c r="N2952" s="55">
        <v>0</v>
      </c>
    </row>
    <row r="2953" spans="1:14" hidden="1" x14ac:dyDescent="0.35">
      <c r="A2953" s="52" t="s">
        <v>240</v>
      </c>
      <c r="B2953" s="52" t="s">
        <v>37</v>
      </c>
      <c r="C2953" s="52" t="s">
        <v>115</v>
      </c>
      <c r="D2953" s="52" t="s">
        <v>115</v>
      </c>
      <c r="E2953" s="52" t="s">
        <v>596</v>
      </c>
      <c r="F2953" s="52" t="s">
        <v>581</v>
      </c>
      <c r="G2953" s="55" t="s">
        <v>279</v>
      </c>
      <c r="H2953" s="55">
        <v>20.114609999999999</v>
      </c>
      <c r="I2953" s="55">
        <v>13.70716</v>
      </c>
      <c r="J2953" s="55">
        <v>17.773620000000001</v>
      </c>
      <c r="K2953" s="55">
        <v>18.9116</v>
      </c>
      <c r="L2953" s="55">
        <v>14.751189999999999</v>
      </c>
      <c r="M2953" s="55">
        <v>12.64564</v>
      </c>
      <c r="N2953" s="55">
        <v>10.58765</v>
      </c>
    </row>
    <row r="2954" spans="1:14" hidden="1" x14ac:dyDescent="0.35">
      <c r="A2954" s="52" t="s">
        <v>240</v>
      </c>
      <c r="B2954" s="52" t="s">
        <v>37</v>
      </c>
      <c r="C2954" s="52" t="s">
        <v>115</v>
      </c>
      <c r="D2954" s="52" t="s">
        <v>115</v>
      </c>
      <c r="E2954" s="52" t="s">
        <v>596</v>
      </c>
      <c r="F2954" s="52" t="s">
        <v>26</v>
      </c>
      <c r="G2954" s="55" t="s">
        <v>275</v>
      </c>
      <c r="H2954" s="55">
        <v>1.134236</v>
      </c>
      <c r="I2954" s="55">
        <v>0.89754</v>
      </c>
      <c r="J2954" s="55">
        <v>1.9728889999999999</v>
      </c>
      <c r="K2954" s="55">
        <v>1.6535949999999999</v>
      </c>
      <c r="L2954" s="55">
        <v>1.5145980000000001</v>
      </c>
      <c r="M2954" s="55">
        <v>0.52328039999999998</v>
      </c>
      <c r="N2954" s="55">
        <v>0.43358190000000002</v>
      </c>
    </row>
    <row r="2955" spans="1:14" hidden="1" x14ac:dyDescent="0.35">
      <c r="A2955" s="52" t="s">
        <v>240</v>
      </c>
      <c r="B2955" s="52" t="s">
        <v>37</v>
      </c>
      <c r="C2955" s="52" t="s">
        <v>115</v>
      </c>
      <c r="D2955" s="52" t="s">
        <v>115</v>
      </c>
      <c r="E2955" s="52" t="s">
        <v>596</v>
      </c>
      <c r="F2955" s="52" t="s">
        <v>26</v>
      </c>
      <c r="G2955" s="55" t="s">
        <v>276</v>
      </c>
      <c r="H2955" s="55">
        <v>0.301506</v>
      </c>
      <c r="I2955" s="55">
        <v>0.2385881</v>
      </c>
      <c r="J2955" s="55">
        <v>0.52443949999999995</v>
      </c>
      <c r="K2955" s="55">
        <v>0.43956309999999998</v>
      </c>
      <c r="L2955" s="55">
        <v>0.40261449999999999</v>
      </c>
      <c r="M2955" s="55">
        <v>0.13910059999999999</v>
      </c>
      <c r="N2955" s="55">
        <v>0.11525539999999999</v>
      </c>
    </row>
    <row r="2956" spans="1:14" hidden="1" x14ac:dyDescent="0.35">
      <c r="A2956" s="52" t="s">
        <v>240</v>
      </c>
      <c r="B2956" s="52" t="s">
        <v>37</v>
      </c>
      <c r="C2956" s="52" t="s">
        <v>115</v>
      </c>
      <c r="D2956" s="52" t="s">
        <v>115</v>
      </c>
      <c r="E2956" s="52" t="s">
        <v>596</v>
      </c>
      <c r="F2956" s="52" t="s">
        <v>26</v>
      </c>
      <c r="G2956" s="55" t="s">
        <v>279</v>
      </c>
      <c r="H2956" s="55">
        <v>8.6908469999999998</v>
      </c>
      <c r="I2956" s="55">
        <v>9.0244949999999999</v>
      </c>
      <c r="J2956" s="55">
        <v>11.828670000000001</v>
      </c>
      <c r="K2956" s="55">
        <v>12.724830000000001</v>
      </c>
      <c r="L2956" s="55">
        <v>10.053369999999999</v>
      </c>
      <c r="M2956" s="55">
        <v>8.5214040000000004</v>
      </c>
      <c r="N2956" s="55">
        <v>7.1270350000000002</v>
      </c>
    </row>
    <row r="2957" spans="1:14" hidden="1" x14ac:dyDescent="0.35">
      <c r="A2957" s="52" t="s">
        <v>240</v>
      </c>
      <c r="B2957" s="52" t="s">
        <v>37</v>
      </c>
      <c r="C2957" s="52" t="s">
        <v>105</v>
      </c>
      <c r="D2957" s="52" t="s">
        <v>105</v>
      </c>
      <c r="E2957" s="52" t="s">
        <v>642</v>
      </c>
      <c r="F2957" s="52" t="s">
        <v>581</v>
      </c>
      <c r="G2957" s="55" t="s">
        <v>275</v>
      </c>
      <c r="H2957" s="55">
        <v>8.5002700000000004</v>
      </c>
      <c r="I2957" s="55">
        <v>34.692889999999998</v>
      </c>
      <c r="J2957" s="55">
        <v>46.37388</v>
      </c>
      <c r="K2957" s="55">
        <v>32.575769999999999</v>
      </c>
      <c r="L2957" s="55">
        <v>24.57647</v>
      </c>
      <c r="M2957" s="55">
        <v>13.28506</v>
      </c>
      <c r="N2957" s="55">
        <v>11.031370000000001</v>
      </c>
    </row>
    <row r="2958" spans="1:14" hidden="1" x14ac:dyDescent="0.35">
      <c r="A2958" s="52" t="s">
        <v>240</v>
      </c>
      <c r="B2958" s="52" t="s">
        <v>37</v>
      </c>
      <c r="C2958" s="52" t="s">
        <v>105</v>
      </c>
      <c r="D2958" s="52" t="s">
        <v>105</v>
      </c>
      <c r="E2958" s="52" t="s">
        <v>642</v>
      </c>
      <c r="F2958" s="52" t="s">
        <v>581</v>
      </c>
      <c r="G2958" s="55" t="s">
        <v>276</v>
      </c>
      <c r="H2958" s="55">
        <v>1.126671</v>
      </c>
      <c r="I2958" s="55">
        <v>-19.422560000000001</v>
      </c>
      <c r="J2958" s="55">
        <v>-26.141559999999998</v>
      </c>
      <c r="K2958" s="55">
        <v>-15.653650000000001</v>
      </c>
      <c r="L2958" s="55">
        <v>-4.4640199999999997</v>
      </c>
      <c r="M2958" s="55">
        <v>1.517587</v>
      </c>
      <c r="N2958" s="55">
        <v>2.2379660000000001</v>
      </c>
    </row>
    <row r="2959" spans="1:14" hidden="1" x14ac:dyDescent="0.35">
      <c r="A2959" s="52" t="s">
        <v>240</v>
      </c>
      <c r="B2959" s="52" t="s">
        <v>37</v>
      </c>
      <c r="C2959" s="52" t="s">
        <v>105</v>
      </c>
      <c r="D2959" s="52" t="s">
        <v>105</v>
      </c>
      <c r="E2959" s="52" t="s">
        <v>642</v>
      </c>
      <c r="F2959" s="52" t="s">
        <v>581</v>
      </c>
      <c r="G2959" s="55" t="s">
        <v>277</v>
      </c>
      <c r="H2959" s="55">
        <v>79.636179999999996</v>
      </c>
      <c r="I2959" s="55">
        <v>13.47841</v>
      </c>
      <c r="J2959" s="55">
        <v>4.6850230000000002</v>
      </c>
      <c r="K2959" s="55">
        <v>2.6326649999999998</v>
      </c>
      <c r="L2959" s="55">
        <v>1.735519</v>
      </c>
      <c r="M2959" s="55">
        <v>0</v>
      </c>
      <c r="N2959" s="55">
        <v>0</v>
      </c>
    </row>
    <row r="2960" spans="1:14" hidden="1" x14ac:dyDescent="0.35">
      <c r="A2960" s="52" t="s">
        <v>240</v>
      </c>
      <c r="B2960" s="52" t="s">
        <v>37</v>
      </c>
      <c r="C2960" s="52" t="s">
        <v>105</v>
      </c>
      <c r="D2960" s="52" t="s">
        <v>105</v>
      </c>
      <c r="E2960" s="52" t="s">
        <v>642</v>
      </c>
      <c r="F2960" s="52" t="s">
        <v>581</v>
      </c>
      <c r="G2960" s="55" t="s">
        <v>278</v>
      </c>
      <c r="H2960" s="55">
        <v>9.4263879999999993</v>
      </c>
      <c r="I2960" s="55">
        <v>2.6916660000000001</v>
      </c>
      <c r="J2960" s="55">
        <v>3.7011790000000002</v>
      </c>
      <c r="K2960" s="55">
        <v>4.0797369999999997</v>
      </c>
      <c r="L2960" s="55">
        <v>1.7995909999999999</v>
      </c>
      <c r="M2960" s="55">
        <v>0</v>
      </c>
      <c r="N2960" s="55">
        <v>0</v>
      </c>
    </row>
    <row r="2961" spans="1:14" hidden="1" x14ac:dyDescent="0.35">
      <c r="A2961" s="52" t="s">
        <v>240</v>
      </c>
      <c r="B2961" s="52" t="s">
        <v>37</v>
      </c>
      <c r="C2961" s="52" t="s">
        <v>105</v>
      </c>
      <c r="D2961" s="52" t="s">
        <v>105</v>
      </c>
      <c r="E2961" s="52" t="s">
        <v>642</v>
      </c>
      <c r="F2961" s="52" t="s">
        <v>581</v>
      </c>
      <c r="G2961" s="55" t="s">
        <v>279</v>
      </c>
      <c r="H2961" s="55">
        <v>76.649929999999998</v>
      </c>
      <c r="I2961" s="55">
        <v>67.848219999999998</v>
      </c>
      <c r="J2961" s="55">
        <v>54.840580000000003</v>
      </c>
      <c r="K2961" s="55">
        <v>48.608460000000001</v>
      </c>
      <c r="L2961" s="55">
        <v>40.453429999999997</v>
      </c>
      <c r="M2961" s="55">
        <v>40.40372</v>
      </c>
      <c r="N2961" s="55">
        <v>35.860140000000001</v>
      </c>
    </row>
    <row r="2962" spans="1:14" hidden="1" x14ac:dyDescent="0.35">
      <c r="A2962" s="52" t="s">
        <v>240</v>
      </c>
      <c r="B2962" s="52" t="s">
        <v>37</v>
      </c>
      <c r="C2962" s="52" t="s">
        <v>105</v>
      </c>
      <c r="D2962" s="52" t="s">
        <v>105</v>
      </c>
      <c r="E2962" s="52" t="s">
        <v>642</v>
      </c>
      <c r="F2962" s="52" t="s">
        <v>26</v>
      </c>
      <c r="G2962" s="55" t="s">
        <v>275</v>
      </c>
      <c r="H2962" s="55">
        <v>-13.65456</v>
      </c>
      <c r="I2962" s="55">
        <v>-3.8356180000000002</v>
      </c>
      <c r="J2962" s="55">
        <v>-2.7525170000000001</v>
      </c>
      <c r="K2962" s="55">
        <v>-2.6441020000000002</v>
      </c>
      <c r="L2962" s="55">
        <v>-2.1444529999999999</v>
      </c>
      <c r="M2962" s="55">
        <v>-2.4698509999999998</v>
      </c>
      <c r="N2962" s="55">
        <v>-2.1941860000000002</v>
      </c>
    </row>
    <row r="2963" spans="1:14" hidden="1" x14ac:dyDescent="0.35">
      <c r="A2963" s="52" t="s">
        <v>240</v>
      </c>
      <c r="B2963" s="52" t="s">
        <v>37</v>
      </c>
      <c r="C2963" s="52" t="s">
        <v>105</v>
      </c>
      <c r="D2963" s="52" t="s">
        <v>105</v>
      </c>
      <c r="E2963" s="52" t="s">
        <v>642</v>
      </c>
      <c r="F2963" s="52" t="s">
        <v>26</v>
      </c>
      <c r="G2963" s="55" t="s">
        <v>276</v>
      </c>
      <c r="H2963" s="55">
        <v>-4.7329460000000001</v>
      </c>
      <c r="I2963" s="55">
        <v>-1.3294980000000001</v>
      </c>
      <c r="J2963" s="55">
        <v>-0.95407620000000004</v>
      </c>
      <c r="K2963" s="55">
        <v>-0.91649599999999998</v>
      </c>
      <c r="L2963" s="55">
        <v>-0.74330909999999994</v>
      </c>
      <c r="M2963" s="55">
        <v>-0.85609979999999997</v>
      </c>
      <c r="N2963" s="55">
        <v>-0.76054960000000005</v>
      </c>
    </row>
    <row r="2964" spans="1:14" hidden="1" x14ac:dyDescent="0.35">
      <c r="A2964" s="52" t="s">
        <v>240</v>
      </c>
      <c r="B2964" s="52" t="s">
        <v>37</v>
      </c>
      <c r="C2964" s="52" t="s">
        <v>105</v>
      </c>
      <c r="D2964" s="52" t="s">
        <v>105</v>
      </c>
      <c r="E2964" s="52" t="s">
        <v>642</v>
      </c>
      <c r="F2964" s="52" t="s">
        <v>26</v>
      </c>
      <c r="G2964" s="55" t="s">
        <v>279</v>
      </c>
      <c r="H2964" s="55">
        <v>45.66874</v>
      </c>
      <c r="I2964" s="55">
        <v>12.13062</v>
      </c>
      <c r="J2964" s="55">
        <v>9.8814539999999997</v>
      </c>
      <c r="K2964" s="55">
        <v>8.8593519999999994</v>
      </c>
      <c r="L2964" s="55">
        <v>7.562335</v>
      </c>
      <c r="M2964" s="55">
        <v>7.3405480000000001</v>
      </c>
      <c r="N2964" s="55">
        <v>6.5135339999999999</v>
      </c>
    </row>
    <row r="2965" spans="1:14" hidden="1" x14ac:dyDescent="0.35">
      <c r="A2965" s="52" t="s">
        <v>240</v>
      </c>
      <c r="B2965" s="52" t="s">
        <v>37</v>
      </c>
      <c r="C2965" s="52" t="s">
        <v>105</v>
      </c>
      <c r="D2965" s="52" t="s">
        <v>105</v>
      </c>
      <c r="E2965" s="52" t="s">
        <v>643</v>
      </c>
      <c r="F2965" s="52" t="s">
        <v>581</v>
      </c>
      <c r="G2965" s="55" t="s">
        <v>275</v>
      </c>
      <c r="H2965" s="55">
        <v>4.5448259999999996</v>
      </c>
      <c r="I2965" s="55">
        <v>0.48903600000000003</v>
      </c>
      <c r="J2965" s="55">
        <v>0.4290659</v>
      </c>
      <c r="K2965" s="55">
        <v>0.25512800000000002</v>
      </c>
      <c r="L2965" s="55">
        <v>0.26306659999999998</v>
      </c>
      <c r="M2965" s="55">
        <v>2.773722E-2</v>
      </c>
      <c r="N2965" s="55">
        <v>3.5696520000000002E-2</v>
      </c>
    </row>
    <row r="2966" spans="1:14" hidden="1" x14ac:dyDescent="0.35">
      <c r="A2966" s="52" t="s">
        <v>240</v>
      </c>
      <c r="B2966" s="52" t="s">
        <v>37</v>
      </c>
      <c r="C2966" s="52" t="s">
        <v>105</v>
      </c>
      <c r="D2966" s="52" t="s">
        <v>105</v>
      </c>
      <c r="E2966" s="52" t="s">
        <v>643</v>
      </c>
      <c r="F2966" s="52" t="s">
        <v>581</v>
      </c>
      <c r="G2966" s="55" t="s">
        <v>276</v>
      </c>
      <c r="H2966" s="55">
        <v>1.0701750000000001</v>
      </c>
      <c r="I2966" s="55">
        <v>7.9559009999999999E-2</v>
      </c>
      <c r="J2966" s="55">
        <v>0.1487214</v>
      </c>
      <c r="K2966" s="55">
        <v>8.8432079999999996E-2</v>
      </c>
      <c r="L2966" s="55">
        <v>9.1184029999999999E-2</v>
      </c>
      <c r="M2966" s="55">
        <v>9.6107090000000003E-3</v>
      </c>
      <c r="N2966" s="55">
        <v>1.2373220000000001E-2</v>
      </c>
    </row>
    <row r="2967" spans="1:14" hidden="1" x14ac:dyDescent="0.35">
      <c r="A2967" s="52" t="s">
        <v>240</v>
      </c>
      <c r="B2967" s="52" t="s">
        <v>37</v>
      </c>
      <c r="C2967" s="52" t="s">
        <v>105</v>
      </c>
      <c r="D2967" s="52" t="s">
        <v>105</v>
      </c>
      <c r="E2967" s="52" t="s">
        <v>643</v>
      </c>
      <c r="F2967" s="52" t="s">
        <v>581</v>
      </c>
      <c r="G2967" s="55" t="s">
        <v>277</v>
      </c>
      <c r="H2967" s="55"/>
      <c r="I2967" s="55">
        <v>0</v>
      </c>
      <c r="J2967" s="55"/>
      <c r="K2967" s="55">
        <v>0</v>
      </c>
      <c r="L2967" s="55"/>
      <c r="M2967" s="55">
        <v>0</v>
      </c>
      <c r="N2967" s="55">
        <v>0</v>
      </c>
    </row>
    <row r="2968" spans="1:14" hidden="1" x14ac:dyDescent="0.35">
      <c r="A2968" s="52" t="s">
        <v>240</v>
      </c>
      <c r="B2968" s="52" t="s">
        <v>37</v>
      </c>
      <c r="C2968" s="52" t="s">
        <v>105</v>
      </c>
      <c r="D2968" s="52" t="s">
        <v>105</v>
      </c>
      <c r="E2968" s="52" t="s">
        <v>643</v>
      </c>
      <c r="F2968" s="52" t="s">
        <v>581</v>
      </c>
      <c r="G2968" s="55" t="s">
        <v>279</v>
      </c>
      <c r="H2968" s="55">
        <v>7.7285500000000003</v>
      </c>
      <c r="I2968" s="55">
        <v>4.5627129999999996</v>
      </c>
      <c r="J2968" s="55">
        <v>4.23482</v>
      </c>
      <c r="K2968" s="55">
        <v>3.7928899999999999</v>
      </c>
      <c r="L2968" s="55">
        <v>3.3886419999999999</v>
      </c>
      <c r="M2968" s="55">
        <v>3.4056160000000002</v>
      </c>
      <c r="N2968" s="55">
        <v>3.115459</v>
      </c>
    </row>
    <row r="2969" spans="1:14" hidden="1" x14ac:dyDescent="0.35">
      <c r="A2969" s="52" t="s">
        <v>240</v>
      </c>
      <c r="B2969" s="52" t="s">
        <v>37</v>
      </c>
      <c r="C2969" s="52" t="s">
        <v>105</v>
      </c>
      <c r="D2969" s="52" t="s">
        <v>105</v>
      </c>
      <c r="E2969" s="52" t="s">
        <v>643</v>
      </c>
      <c r="F2969" s="52" t="s">
        <v>26</v>
      </c>
      <c r="G2969" s="55" t="s">
        <v>275</v>
      </c>
      <c r="H2969" s="55">
        <v>0.20931900000000001</v>
      </c>
      <c r="I2969" s="55">
        <v>1.2569220000000001</v>
      </c>
      <c r="J2969" s="55">
        <v>-0.69625199999999998</v>
      </c>
      <c r="K2969" s="55">
        <v>-0.73804369999999997</v>
      </c>
      <c r="L2969" s="55">
        <v>-0.64023359999999996</v>
      </c>
      <c r="M2969" s="55">
        <v>-0.83948440000000002</v>
      </c>
      <c r="N2969" s="55">
        <v>-0.76865600000000001</v>
      </c>
    </row>
    <row r="2970" spans="1:14" hidden="1" x14ac:dyDescent="0.35">
      <c r="A2970" s="52" t="s">
        <v>240</v>
      </c>
      <c r="B2970" s="52" t="s">
        <v>37</v>
      </c>
      <c r="C2970" s="52" t="s">
        <v>105</v>
      </c>
      <c r="D2970" s="52" t="s">
        <v>105</v>
      </c>
      <c r="E2970" s="52" t="s">
        <v>643</v>
      </c>
      <c r="F2970" s="52" t="s">
        <v>26</v>
      </c>
      <c r="G2970" s="55" t="s">
        <v>276</v>
      </c>
      <c r="H2970" s="55">
        <v>-4.4658220000000002</v>
      </c>
      <c r="I2970" s="55">
        <v>-2.5487959999999998</v>
      </c>
      <c r="J2970" s="55">
        <v>-0.24133360000000001</v>
      </c>
      <c r="K2970" s="55">
        <v>-0.25582189999999999</v>
      </c>
      <c r="L2970" s="55">
        <v>-0.2219169</v>
      </c>
      <c r="M2970" s="55">
        <v>-0.29098170000000001</v>
      </c>
      <c r="N2970" s="55">
        <v>-0.26643109999999998</v>
      </c>
    </row>
    <row r="2971" spans="1:14" hidden="1" x14ac:dyDescent="0.35">
      <c r="A2971" s="52" t="s">
        <v>240</v>
      </c>
      <c r="B2971" s="52" t="s">
        <v>37</v>
      </c>
      <c r="C2971" s="52" t="s">
        <v>105</v>
      </c>
      <c r="D2971" s="52" t="s">
        <v>105</v>
      </c>
      <c r="E2971" s="52" t="s">
        <v>643</v>
      </c>
      <c r="F2971" s="52" t="s">
        <v>26</v>
      </c>
      <c r="G2971" s="55" t="s">
        <v>277</v>
      </c>
      <c r="H2971" s="55"/>
      <c r="I2971" s="55">
        <v>0</v>
      </c>
      <c r="J2971" s="55">
        <v>1.9999999999999999E-6</v>
      </c>
      <c r="K2971" s="55">
        <v>0</v>
      </c>
      <c r="L2971" s="55"/>
      <c r="M2971" s="55">
        <v>0</v>
      </c>
      <c r="N2971" s="55">
        <v>0</v>
      </c>
    </row>
    <row r="2972" spans="1:14" hidden="1" x14ac:dyDescent="0.35">
      <c r="A2972" s="52" t="s">
        <v>240</v>
      </c>
      <c r="B2972" s="52" t="s">
        <v>37</v>
      </c>
      <c r="C2972" s="52" t="s">
        <v>105</v>
      </c>
      <c r="D2972" s="52" t="s">
        <v>105</v>
      </c>
      <c r="E2972" s="52" t="s">
        <v>643</v>
      </c>
      <c r="F2972" s="52" t="s">
        <v>26</v>
      </c>
      <c r="G2972" s="55" t="s">
        <v>279</v>
      </c>
      <c r="H2972" s="55">
        <v>18.33905</v>
      </c>
      <c r="I2972" s="55">
        <v>4.9263539999999999</v>
      </c>
      <c r="J2972" s="55">
        <v>4.6626820000000002</v>
      </c>
      <c r="K2972" s="55">
        <v>4.1790820000000002</v>
      </c>
      <c r="L2972" s="55">
        <v>3.7317179999999999</v>
      </c>
      <c r="M2972" s="55">
        <v>3.7571789999999998</v>
      </c>
      <c r="N2972" s="55">
        <v>3.4358939999999998</v>
      </c>
    </row>
    <row r="2973" spans="1:14" hidden="1" x14ac:dyDescent="0.35">
      <c r="A2973" s="52" t="s">
        <v>240</v>
      </c>
      <c r="B2973" s="52" t="s">
        <v>37</v>
      </c>
      <c r="C2973" s="52" t="s">
        <v>241</v>
      </c>
      <c r="D2973" s="52" t="s">
        <v>241</v>
      </c>
      <c r="E2973" s="52" t="s">
        <v>620</v>
      </c>
      <c r="F2973" s="52" t="s">
        <v>581</v>
      </c>
      <c r="G2973" s="55" t="s">
        <v>275</v>
      </c>
      <c r="H2973" s="55">
        <v>1.525468</v>
      </c>
      <c r="I2973" s="55">
        <v>0.54701379999999999</v>
      </c>
      <c r="J2973" s="55">
        <v>0.88461239999999997</v>
      </c>
      <c r="K2973" s="55">
        <v>0.43294569999999999</v>
      </c>
      <c r="L2973" s="55">
        <v>0.41944730000000002</v>
      </c>
      <c r="M2973" s="55">
        <v>0.27471309999999999</v>
      </c>
      <c r="N2973" s="55">
        <v>0.25442229999999999</v>
      </c>
    </row>
    <row r="2974" spans="1:14" hidden="1" x14ac:dyDescent="0.35">
      <c r="A2974" s="52" t="s">
        <v>240</v>
      </c>
      <c r="B2974" s="52" t="s">
        <v>37</v>
      </c>
      <c r="C2974" s="52" t="s">
        <v>241</v>
      </c>
      <c r="D2974" s="52" t="s">
        <v>241</v>
      </c>
      <c r="E2974" s="52" t="s">
        <v>620</v>
      </c>
      <c r="F2974" s="52" t="s">
        <v>581</v>
      </c>
      <c r="G2974" s="55" t="s">
        <v>276</v>
      </c>
      <c r="H2974" s="55">
        <v>0.36238100000000001</v>
      </c>
      <c r="I2974" s="55">
        <v>5.6503610000000003E-2</v>
      </c>
      <c r="J2974" s="55">
        <v>-0.22578400000000001</v>
      </c>
      <c r="K2974" s="55">
        <v>0.15006749999999999</v>
      </c>
      <c r="L2974" s="55">
        <v>0.1453884</v>
      </c>
      <c r="M2974" s="55">
        <v>9.5220600000000002E-2</v>
      </c>
      <c r="N2974" s="55">
        <v>8.818761E-2</v>
      </c>
    </row>
    <row r="2975" spans="1:14" hidden="1" x14ac:dyDescent="0.35">
      <c r="A2975" s="52" t="s">
        <v>240</v>
      </c>
      <c r="B2975" s="52" t="s">
        <v>37</v>
      </c>
      <c r="C2975" s="52" t="s">
        <v>241</v>
      </c>
      <c r="D2975" s="52" t="s">
        <v>241</v>
      </c>
      <c r="E2975" s="52" t="s">
        <v>620</v>
      </c>
      <c r="F2975" s="52" t="s">
        <v>581</v>
      </c>
      <c r="G2975" s="55" t="s">
        <v>277</v>
      </c>
      <c r="H2975" s="55"/>
      <c r="I2975" s="55"/>
      <c r="J2975" s="55"/>
      <c r="K2975" s="55"/>
      <c r="L2975" s="55"/>
      <c r="M2975" s="55">
        <v>0</v>
      </c>
      <c r="N2975" s="55">
        <v>0</v>
      </c>
    </row>
    <row r="2976" spans="1:14" hidden="1" x14ac:dyDescent="0.35">
      <c r="A2976" s="52" t="s">
        <v>240</v>
      </c>
      <c r="B2976" s="52" t="s">
        <v>37</v>
      </c>
      <c r="C2976" s="52" t="s">
        <v>241</v>
      </c>
      <c r="D2976" s="52" t="s">
        <v>241</v>
      </c>
      <c r="E2976" s="52" t="s">
        <v>620</v>
      </c>
      <c r="F2976" s="52" t="s">
        <v>581</v>
      </c>
      <c r="G2976" s="55" t="s">
        <v>279</v>
      </c>
      <c r="H2976" s="55">
        <v>1.3296790000000001</v>
      </c>
      <c r="I2976" s="55">
        <v>1.442933</v>
      </c>
      <c r="J2976" s="55">
        <v>1.413149</v>
      </c>
      <c r="K2976" s="55">
        <v>1.369977</v>
      </c>
      <c r="L2976" s="55">
        <v>1.1652709999999999</v>
      </c>
      <c r="M2976" s="55">
        <v>1.188933</v>
      </c>
      <c r="N2976" s="55">
        <v>1.081113</v>
      </c>
    </row>
    <row r="2977" spans="1:14" hidden="1" x14ac:dyDescent="0.35">
      <c r="A2977" s="52" t="s">
        <v>240</v>
      </c>
      <c r="B2977" s="52" t="s">
        <v>37</v>
      </c>
      <c r="C2977" s="52" t="s">
        <v>241</v>
      </c>
      <c r="D2977" s="52" t="s">
        <v>241</v>
      </c>
      <c r="E2977" s="52" t="s">
        <v>620</v>
      </c>
      <c r="F2977" s="52" t="s">
        <v>26</v>
      </c>
      <c r="G2977" s="55" t="s">
        <v>275</v>
      </c>
      <c r="H2977" s="55">
        <v>-2.3153389999999998</v>
      </c>
      <c r="I2977" s="55">
        <v>-0.67263200000000001</v>
      </c>
      <c r="J2977" s="55">
        <v>-0.61288089999999995</v>
      </c>
      <c r="K2977" s="55">
        <v>-0.62833090000000003</v>
      </c>
      <c r="L2977" s="55">
        <v>-0.53700689999999995</v>
      </c>
      <c r="M2977" s="55">
        <v>-0.58818179999999998</v>
      </c>
      <c r="N2977" s="55">
        <v>-0.53486659999999997</v>
      </c>
    </row>
    <row r="2978" spans="1:14" hidden="1" x14ac:dyDescent="0.35">
      <c r="A2978" s="52" t="s">
        <v>240</v>
      </c>
      <c r="B2978" s="52" t="s">
        <v>37</v>
      </c>
      <c r="C2978" s="52" t="s">
        <v>241</v>
      </c>
      <c r="D2978" s="52" t="s">
        <v>241</v>
      </c>
      <c r="E2978" s="52" t="s">
        <v>620</v>
      </c>
      <c r="F2978" s="52" t="s">
        <v>26</v>
      </c>
      <c r="G2978" s="55" t="s">
        <v>276</v>
      </c>
      <c r="H2978" s="55">
        <v>-0.80254289999999995</v>
      </c>
      <c r="I2978" s="55">
        <v>-0.23314699999999999</v>
      </c>
      <c r="J2978" s="55">
        <v>-0.21243590000000001</v>
      </c>
      <c r="K2978" s="55">
        <v>-0.21779219999999999</v>
      </c>
      <c r="L2978" s="55">
        <v>-0.18613740000000001</v>
      </c>
      <c r="M2978" s="55">
        <v>-0.2038759</v>
      </c>
      <c r="N2978" s="55">
        <v>-0.18539539999999999</v>
      </c>
    </row>
    <row r="2979" spans="1:14" hidden="1" x14ac:dyDescent="0.35">
      <c r="A2979" s="52" t="s">
        <v>240</v>
      </c>
      <c r="B2979" s="52" t="s">
        <v>37</v>
      </c>
      <c r="C2979" s="52" t="s">
        <v>241</v>
      </c>
      <c r="D2979" s="52" t="s">
        <v>241</v>
      </c>
      <c r="E2979" s="52" t="s">
        <v>620</v>
      </c>
      <c r="F2979" s="52" t="s">
        <v>26</v>
      </c>
      <c r="G2979" s="55" t="s">
        <v>279</v>
      </c>
      <c r="H2979" s="55">
        <v>6.0649119999999996</v>
      </c>
      <c r="I2979" s="55">
        <v>1.698337</v>
      </c>
      <c r="J2979" s="55">
        <v>1.6754100000000001</v>
      </c>
      <c r="K2979" s="55">
        <v>1.6432610000000001</v>
      </c>
      <c r="L2979" s="55">
        <v>1.4262239999999999</v>
      </c>
      <c r="M2979" s="55">
        <v>1.4224509999999999</v>
      </c>
      <c r="N2979" s="55">
        <v>1.2929630000000001</v>
      </c>
    </row>
    <row r="2980" spans="1:14" hidden="1" x14ac:dyDescent="0.35">
      <c r="A2980" s="52" t="s">
        <v>240</v>
      </c>
      <c r="B2980" s="52" t="s">
        <v>37</v>
      </c>
      <c r="C2980" s="52" t="s">
        <v>35</v>
      </c>
      <c r="D2980" s="52" t="s">
        <v>36</v>
      </c>
      <c r="E2980" s="52" t="s">
        <v>644</v>
      </c>
      <c r="F2980" s="52" t="s">
        <v>581</v>
      </c>
      <c r="G2980" s="55" t="s">
        <v>275</v>
      </c>
      <c r="H2980" s="55">
        <v>2.2741090000000002</v>
      </c>
      <c r="I2980" s="55">
        <v>0.91143249999999998</v>
      </c>
      <c r="J2980" s="55">
        <v>1.0496030000000001</v>
      </c>
      <c r="K2980" s="55">
        <v>0.62053700000000001</v>
      </c>
      <c r="L2980" s="55">
        <v>0.32655099999999998</v>
      </c>
      <c r="M2980" s="55">
        <v>0.28088869999999999</v>
      </c>
      <c r="N2980" s="55">
        <v>0.25598900000000002</v>
      </c>
    </row>
    <row r="2981" spans="1:14" hidden="1" x14ac:dyDescent="0.35">
      <c r="A2981" s="52" t="s">
        <v>240</v>
      </c>
      <c r="B2981" s="52" t="s">
        <v>37</v>
      </c>
      <c r="C2981" s="52" t="s">
        <v>35</v>
      </c>
      <c r="D2981" s="52" t="s">
        <v>36</v>
      </c>
      <c r="E2981" s="52" t="s">
        <v>644</v>
      </c>
      <c r="F2981" s="52" t="s">
        <v>581</v>
      </c>
      <c r="G2981" s="55" t="s">
        <v>276</v>
      </c>
      <c r="H2981" s="55">
        <v>-0.54446300000000003</v>
      </c>
      <c r="I2981" s="55">
        <v>-0.35544320000000001</v>
      </c>
      <c r="J2981" s="55">
        <v>-0.5462477</v>
      </c>
      <c r="K2981" s="55">
        <v>-0.17274310000000001</v>
      </c>
      <c r="L2981" s="55">
        <v>8.6804699999999999E-2</v>
      </c>
      <c r="M2981" s="55">
        <v>7.4667300000000006E-2</v>
      </c>
      <c r="N2981" s="55">
        <v>6.8047899999999995E-2</v>
      </c>
    </row>
    <row r="2982" spans="1:14" hidden="1" x14ac:dyDescent="0.35">
      <c r="A2982" s="52" t="s">
        <v>240</v>
      </c>
      <c r="B2982" s="52" t="s">
        <v>37</v>
      </c>
      <c r="C2982" s="52" t="s">
        <v>35</v>
      </c>
      <c r="D2982" s="52" t="s">
        <v>36</v>
      </c>
      <c r="E2982" s="52" t="s">
        <v>644</v>
      </c>
      <c r="F2982" s="52" t="s">
        <v>581</v>
      </c>
      <c r="G2982" s="55" t="s">
        <v>277</v>
      </c>
      <c r="H2982" s="55">
        <v>0</v>
      </c>
      <c r="I2982" s="55"/>
      <c r="J2982" s="55"/>
      <c r="K2982" s="55"/>
      <c r="L2982" s="55">
        <v>0</v>
      </c>
      <c r="M2982" s="55">
        <v>0</v>
      </c>
      <c r="N2982" s="55">
        <v>0</v>
      </c>
    </row>
    <row r="2983" spans="1:14" hidden="1" x14ac:dyDescent="0.35">
      <c r="A2983" s="52" t="s">
        <v>240</v>
      </c>
      <c r="B2983" s="52" t="s">
        <v>37</v>
      </c>
      <c r="C2983" s="52" t="s">
        <v>35</v>
      </c>
      <c r="D2983" s="52" t="s">
        <v>36</v>
      </c>
      <c r="E2983" s="52" t="s">
        <v>644</v>
      </c>
      <c r="F2983" s="52" t="s">
        <v>581</v>
      </c>
      <c r="G2983" s="55" t="s">
        <v>279</v>
      </c>
      <c r="H2983" s="55">
        <v>0.56840199999999996</v>
      </c>
      <c r="I2983" s="55">
        <v>0.36652590000000002</v>
      </c>
      <c r="J2983" s="55">
        <v>0.31479170000000001</v>
      </c>
      <c r="K2983" s="55">
        <v>0.29288150000000002</v>
      </c>
      <c r="L2983" s="55">
        <v>0.25782769999999999</v>
      </c>
      <c r="M2983" s="55">
        <v>0.25416680000000003</v>
      </c>
      <c r="N2983" s="55">
        <v>0.226711</v>
      </c>
    </row>
    <row r="2984" spans="1:14" hidden="1" x14ac:dyDescent="0.35">
      <c r="A2984" s="52" t="s">
        <v>240</v>
      </c>
      <c r="B2984" s="52" t="s">
        <v>37</v>
      </c>
      <c r="C2984" s="52" t="s">
        <v>35</v>
      </c>
      <c r="D2984" s="52" t="s">
        <v>36</v>
      </c>
      <c r="E2984" s="52" t="s">
        <v>644</v>
      </c>
      <c r="F2984" s="52" t="s">
        <v>26</v>
      </c>
      <c r="G2984" s="55" t="s">
        <v>275</v>
      </c>
      <c r="H2984" s="55">
        <v>1.3365999999999999E-2</v>
      </c>
      <c r="I2984" s="55">
        <v>6.2989999999999999E-3</v>
      </c>
      <c r="J2984" s="55">
        <v>1.11909E-2</v>
      </c>
      <c r="K2984" s="55">
        <v>7.1345000000000002E-3</v>
      </c>
      <c r="L2984" s="55">
        <v>6.8887000000000002E-3</v>
      </c>
      <c r="M2984" s="55">
        <v>2.2147E-3</v>
      </c>
      <c r="N2984" s="55">
        <v>2.4091999999999998E-3</v>
      </c>
    </row>
    <row r="2985" spans="1:14" hidden="1" x14ac:dyDescent="0.35">
      <c r="A2985" s="52" t="s">
        <v>240</v>
      </c>
      <c r="B2985" s="52" t="s">
        <v>37</v>
      </c>
      <c r="C2985" s="52" t="s">
        <v>35</v>
      </c>
      <c r="D2985" s="52" t="s">
        <v>36</v>
      </c>
      <c r="E2985" s="52" t="s">
        <v>644</v>
      </c>
      <c r="F2985" s="52" t="s">
        <v>26</v>
      </c>
      <c r="G2985" s="55" t="s">
        <v>276</v>
      </c>
      <c r="H2985" s="55">
        <v>3.5530000000000002E-3</v>
      </c>
      <c r="I2985" s="55">
        <v>1.6743000000000001E-3</v>
      </c>
      <c r="J2985" s="55">
        <v>2.9751000000000001E-3</v>
      </c>
      <c r="K2985" s="55">
        <v>1.8963999999999999E-3</v>
      </c>
      <c r="L2985" s="55">
        <v>1.8315E-3</v>
      </c>
      <c r="M2985" s="55">
        <v>5.886E-4</v>
      </c>
      <c r="N2985" s="55">
        <v>6.4030000000000001E-4</v>
      </c>
    </row>
    <row r="2986" spans="1:14" hidden="1" x14ac:dyDescent="0.35">
      <c r="A2986" s="52" t="s">
        <v>240</v>
      </c>
      <c r="B2986" s="52" t="s">
        <v>37</v>
      </c>
      <c r="C2986" s="52" t="s">
        <v>35</v>
      </c>
      <c r="D2986" s="52" t="s">
        <v>36</v>
      </c>
      <c r="E2986" s="52" t="s">
        <v>644</v>
      </c>
      <c r="F2986" s="52" t="s">
        <v>26</v>
      </c>
      <c r="G2986" s="55" t="s">
        <v>279</v>
      </c>
      <c r="H2986" s="55">
        <v>0.13978199999999999</v>
      </c>
      <c r="I2986" s="55">
        <v>0.1069393</v>
      </c>
      <c r="J2986" s="55">
        <v>9.2690010000000003E-2</v>
      </c>
      <c r="K2986" s="55">
        <v>8.7256600000000004E-2</v>
      </c>
      <c r="L2986" s="55">
        <v>7.8192499999999998E-2</v>
      </c>
      <c r="M2986" s="55">
        <v>7.5802190000000005E-2</v>
      </c>
      <c r="N2986" s="55">
        <v>6.7610100000000006E-2</v>
      </c>
    </row>
    <row r="2987" spans="1:14" hidden="1" x14ac:dyDescent="0.35">
      <c r="A2987" s="52" t="s">
        <v>672</v>
      </c>
      <c r="B2987" s="52" t="s">
        <v>73</v>
      </c>
      <c r="C2987" s="52" t="s">
        <v>87</v>
      </c>
      <c r="D2987" s="52" t="s">
        <v>132</v>
      </c>
      <c r="E2987" s="52" t="s">
        <v>584</v>
      </c>
      <c r="F2987" s="52" t="s">
        <v>581</v>
      </c>
      <c r="G2987" s="55" t="s">
        <v>275</v>
      </c>
      <c r="H2987" s="55">
        <v>-325.84070000000003</v>
      </c>
      <c r="I2987" s="55">
        <v>-127.5767</v>
      </c>
      <c r="J2987" s="55">
        <v>99.012590000000003</v>
      </c>
      <c r="K2987" s="55">
        <v>142.25829999999999</v>
      </c>
      <c r="L2987" s="55">
        <v>177.5027</v>
      </c>
      <c r="M2987" s="55">
        <v>131.31630000000001</v>
      </c>
      <c r="N2987" s="55">
        <v>118.6818</v>
      </c>
    </row>
    <row r="2988" spans="1:14" hidden="1" x14ac:dyDescent="0.35">
      <c r="A2988" s="52" t="s">
        <v>672</v>
      </c>
      <c r="B2988" s="52" t="s">
        <v>73</v>
      </c>
      <c r="C2988" s="52" t="s">
        <v>87</v>
      </c>
      <c r="D2988" s="52" t="s">
        <v>132</v>
      </c>
      <c r="E2988" s="52" t="s">
        <v>584</v>
      </c>
      <c r="F2988" s="52" t="s">
        <v>581</v>
      </c>
      <c r="G2988" s="55" t="s">
        <v>276</v>
      </c>
      <c r="H2988" s="55">
        <v>33.680590000000002</v>
      </c>
      <c r="I2988" s="55">
        <v>-179.91229999999999</v>
      </c>
      <c r="J2988" s="55">
        <v>-128.23410000000001</v>
      </c>
      <c r="K2988" s="55">
        <v>-223.40379999999999</v>
      </c>
      <c r="L2988" s="55">
        <v>-231.35830000000001</v>
      </c>
      <c r="M2988" s="55">
        <v>-187.7552</v>
      </c>
      <c r="N2988" s="55">
        <v>-45.94115</v>
      </c>
    </row>
    <row r="2989" spans="1:14" hidden="1" x14ac:dyDescent="0.35">
      <c r="A2989" s="52" t="s">
        <v>672</v>
      </c>
      <c r="B2989" s="52" t="s">
        <v>73</v>
      </c>
      <c r="C2989" s="52" t="s">
        <v>87</v>
      </c>
      <c r="D2989" s="52" t="s">
        <v>132</v>
      </c>
      <c r="E2989" s="52" t="s">
        <v>584</v>
      </c>
      <c r="F2989" s="52" t="s">
        <v>581</v>
      </c>
      <c r="G2989" s="55" t="s">
        <v>277</v>
      </c>
      <c r="H2989" s="55">
        <v>668.53440000000001</v>
      </c>
      <c r="I2989" s="55">
        <v>450</v>
      </c>
      <c r="J2989" s="55">
        <v>270</v>
      </c>
      <c r="K2989" s="55">
        <v>225</v>
      </c>
      <c r="L2989" s="55">
        <v>166.97460000000001</v>
      </c>
      <c r="M2989" s="55">
        <v>171.386</v>
      </c>
      <c r="N2989" s="55">
        <v>128.583</v>
      </c>
    </row>
    <row r="2990" spans="1:14" hidden="1" x14ac:dyDescent="0.35">
      <c r="A2990" s="52" t="s">
        <v>672</v>
      </c>
      <c r="B2990" s="52" t="s">
        <v>73</v>
      </c>
      <c r="C2990" s="52" t="s">
        <v>87</v>
      </c>
      <c r="D2990" s="52" t="s">
        <v>132</v>
      </c>
      <c r="E2990" s="52" t="s">
        <v>584</v>
      </c>
      <c r="F2990" s="52" t="s">
        <v>581</v>
      </c>
      <c r="G2990" s="55" t="s">
        <v>278</v>
      </c>
      <c r="H2990" s="55">
        <v>6.9399890000000006E-2</v>
      </c>
      <c r="I2990" s="55"/>
      <c r="J2990" s="55"/>
      <c r="K2990" s="55"/>
      <c r="L2990" s="55"/>
      <c r="M2990" s="55"/>
      <c r="N2990" s="55"/>
    </row>
    <row r="2991" spans="1:14" hidden="1" x14ac:dyDescent="0.35">
      <c r="A2991" s="52" t="s">
        <v>672</v>
      </c>
      <c r="B2991" s="52" t="s">
        <v>73</v>
      </c>
      <c r="C2991" s="52" t="s">
        <v>87</v>
      </c>
      <c r="D2991" s="52" t="s">
        <v>132</v>
      </c>
      <c r="E2991" s="52" t="s">
        <v>584</v>
      </c>
      <c r="F2991" s="52" t="s">
        <v>581</v>
      </c>
      <c r="G2991" s="55" t="s">
        <v>279</v>
      </c>
      <c r="H2991" s="55">
        <v>409.68900000000002</v>
      </c>
      <c r="I2991" s="55">
        <v>478.9443</v>
      </c>
      <c r="J2991" s="55">
        <v>524.23969999999997</v>
      </c>
      <c r="K2991" s="55">
        <v>551.94110000000001</v>
      </c>
      <c r="L2991" s="55">
        <v>509.48070000000001</v>
      </c>
      <c r="M2991" s="55">
        <v>430.37479999999999</v>
      </c>
      <c r="N2991" s="55">
        <v>460.9434</v>
      </c>
    </row>
    <row r="2992" spans="1:14" hidden="1" x14ac:dyDescent="0.35">
      <c r="A2992" s="52" t="s">
        <v>672</v>
      </c>
      <c r="B2992" s="52" t="s">
        <v>73</v>
      </c>
      <c r="C2992" s="52" t="s">
        <v>87</v>
      </c>
      <c r="D2992" s="52" t="s">
        <v>132</v>
      </c>
      <c r="E2992" s="52" t="s">
        <v>584</v>
      </c>
      <c r="F2992" s="52" t="s">
        <v>26</v>
      </c>
      <c r="G2992" s="55" t="s">
        <v>275</v>
      </c>
      <c r="H2992" s="55">
        <v>9.1074129999999993</v>
      </c>
      <c r="I2992" s="55">
        <v>10.94993</v>
      </c>
      <c r="J2992" s="55">
        <v>17.076170000000001</v>
      </c>
      <c r="K2992" s="55">
        <v>15.579940000000001</v>
      </c>
      <c r="L2992" s="55">
        <v>14.567780000000001</v>
      </c>
      <c r="M2992" s="55">
        <v>12.743359999999999</v>
      </c>
      <c r="N2992" s="55">
        <v>15.51965</v>
      </c>
    </row>
    <row r="2993" spans="1:14" hidden="1" x14ac:dyDescent="0.35">
      <c r="A2993" s="52" t="s">
        <v>672</v>
      </c>
      <c r="B2993" s="52" t="s">
        <v>73</v>
      </c>
      <c r="C2993" s="52" t="s">
        <v>87</v>
      </c>
      <c r="D2993" s="52" t="s">
        <v>132</v>
      </c>
      <c r="E2993" s="52" t="s">
        <v>584</v>
      </c>
      <c r="F2993" s="52" t="s">
        <v>26</v>
      </c>
      <c r="G2993" s="55" t="s">
        <v>276</v>
      </c>
      <c r="H2993" s="55">
        <v>32.582140000000003</v>
      </c>
      <c r="I2993" s="55">
        <v>39.152230000000003</v>
      </c>
      <c r="J2993" s="55">
        <v>61.00909</v>
      </c>
      <c r="K2993" s="55">
        <v>55.665210000000002</v>
      </c>
      <c r="L2993" s="55">
        <v>52.025109999999998</v>
      </c>
      <c r="M2993" s="55">
        <v>45.461069999999999</v>
      </c>
      <c r="N2993" s="55">
        <v>55.259630000000001</v>
      </c>
    </row>
    <row r="2994" spans="1:14" hidden="1" x14ac:dyDescent="0.35">
      <c r="A2994" s="52" t="s">
        <v>672</v>
      </c>
      <c r="B2994" s="52" t="s">
        <v>73</v>
      </c>
      <c r="C2994" s="52" t="s">
        <v>87</v>
      </c>
      <c r="D2994" s="52" t="s">
        <v>132</v>
      </c>
      <c r="E2994" s="52" t="s">
        <v>584</v>
      </c>
      <c r="F2994" s="52" t="s">
        <v>26</v>
      </c>
      <c r="G2994" s="55" t="s">
        <v>277</v>
      </c>
      <c r="H2994" s="55"/>
      <c r="I2994" s="55"/>
      <c r="J2994" s="55"/>
      <c r="K2994" s="55">
        <v>0</v>
      </c>
      <c r="L2994" s="55">
        <v>6.5250009999999999E-3</v>
      </c>
      <c r="M2994" s="55">
        <v>6.5250009999999999E-3</v>
      </c>
      <c r="N2994" s="55">
        <v>0.1305</v>
      </c>
    </row>
    <row r="2995" spans="1:14" hidden="1" x14ac:dyDescent="0.35">
      <c r="A2995" s="52" t="s">
        <v>672</v>
      </c>
      <c r="B2995" s="52" t="s">
        <v>73</v>
      </c>
      <c r="C2995" s="52" t="s">
        <v>87</v>
      </c>
      <c r="D2995" s="52" t="s">
        <v>132</v>
      </c>
      <c r="E2995" s="52" t="s">
        <v>584</v>
      </c>
      <c r="F2995" s="52" t="s">
        <v>26</v>
      </c>
      <c r="G2995" s="55" t="s">
        <v>278</v>
      </c>
      <c r="H2995" s="55"/>
      <c r="I2995" s="55">
        <v>4.5336599999999998E-2</v>
      </c>
      <c r="J2995" s="55">
        <v>5.4461700000000002E-2</v>
      </c>
      <c r="K2995" s="55">
        <v>4.5991799999999999E-2</v>
      </c>
      <c r="L2995" s="55">
        <v>4.1261399999999997E-2</v>
      </c>
      <c r="M2995" s="55">
        <v>8.47638E-2</v>
      </c>
      <c r="N2995" s="55">
        <v>8.47638E-2</v>
      </c>
    </row>
    <row r="2996" spans="1:14" hidden="1" x14ac:dyDescent="0.35">
      <c r="A2996" s="52" t="s">
        <v>672</v>
      </c>
      <c r="B2996" s="52" t="s">
        <v>73</v>
      </c>
      <c r="C2996" s="52" t="s">
        <v>87</v>
      </c>
      <c r="D2996" s="52" t="s">
        <v>132</v>
      </c>
      <c r="E2996" s="52" t="s">
        <v>584</v>
      </c>
      <c r="F2996" s="52" t="s">
        <v>26</v>
      </c>
      <c r="G2996" s="55" t="s">
        <v>279</v>
      </c>
      <c r="H2996" s="55">
        <v>16.749310000000001</v>
      </c>
      <c r="I2996" s="55">
        <v>25.153210000000001</v>
      </c>
      <c r="J2996" s="55">
        <v>25.997199999999999</v>
      </c>
      <c r="K2996" s="55">
        <v>23.403670000000002</v>
      </c>
      <c r="L2996" s="55">
        <v>18.075009999999999</v>
      </c>
      <c r="M2996" s="55">
        <v>15.93655</v>
      </c>
      <c r="N2996" s="55">
        <v>19.145130000000002</v>
      </c>
    </row>
    <row r="2997" spans="1:14" hidden="1" x14ac:dyDescent="0.35">
      <c r="A2997" s="52" t="s">
        <v>672</v>
      </c>
      <c r="B2997" s="52" t="s">
        <v>73</v>
      </c>
      <c r="C2997" s="52" t="s">
        <v>87</v>
      </c>
      <c r="D2997" s="52" t="s">
        <v>131</v>
      </c>
      <c r="E2997" s="52" t="s">
        <v>584</v>
      </c>
      <c r="F2997" s="52" t="s">
        <v>581</v>
      </c>
      <c r="G2997" s="55" t="s">
        <v>275</v>
      </c>
      <c r="H2997" s="55">
        <v>-105.5419</v>
      </c>
      <c r="I2997" s="55">
        <v>-78.500200000000007</v>
      </c>
      <c r="J2997" s="55">
        <v>16.15391</v>
      </c>
      <c r="K2997" s="55">
        <v>21.480090000000001</v>
      </c>
      <c r="L2997" s="55">
        <v>25.459890000000001</v>
      </c>
      <c r="M2997" s="55">
        <v>15.73359</v>
      </c>
      <c r="N2997" s="55">
        <v>4.7843540000000004</v>
      </c>
    </row>
    <row r="2998" spans="1:14" hidden="1" x14ac:dyDescent="0.35">
      <c r="A2998" s="52" t="s">
        <v>672</v>
      </c>
      <c r="B2998" s="52" t="s">
        <v>73</v>
      </c>
      <c r="C2998" s="52" t="s">
        <v>87</v>
      </c>
      <c r="D2998" s="52" t="s">
        <v>131</v>
      </c>
      <c r="E2998" s="52" t="s">
        <v>584</v>
      </c>
      <c r="F2998" s="52" t="s">
        <v>581</v>
      </c>
      <c r="G2998" s="55" t="s">
        <v>276</v>
      </c>
      <c r="H2998" s="55">
        <v>-132.18199999999999</v>
      </c>
      <c r="I2998" s="55">
        <v>-134.8227</v>
      </c>
      <c r="J2998" s="55">
        <v>-148.55799999999999</v>
      </c>
      <c r="K2998" s="55">
        <v>-143.28989999999999</v>
      </c>
      <c r="L2998" s="55">
        <v>-93.470179999999999</v>
      </c>
      <c r="M2998" s="55">
        <v>-99.304450000000003</v>
      </c>
      <c r="N2998" s="55">
        <v>-113.20189999999999</v>
      </c>
    </row>
    <row r="2999" spans="1:14" hidden="1" x14ac:dyDescent="0.35">
      <c r="A2999" s="52" t="s">
        <v>672</v>
      </c>
      <c r="B2999" s="52" t="s">
        <v>73</v>
      </c>
      <c r="C2999" s="52" t="s">
        <v>87</v>
      </c>
      <c r="D2999" s="52" t="s">
        <v>131</v>
      </c>
      <c r="E2999" s="52" t="s">
        <v>584</v>
      </c>
      <c r="F2999" s="52" t="s">
        <v>581</v>
      </c>
      <c r="G2999" s="55" t="s">
        <v>277</v>
      </c>
      <c r="H2999" s="55">
        <v>171.60939999999999</v>
      </c>
      <c r="I2999" s="55">
        <v>159.82230000000001</v>
      </c>
      <c r="J2999" s="55">
        <v>67.683980000000005</v>
      </c>
      <c r="K2999" s="55">
        <v>69.114670000000004</v>
      </c>
      <c r="L2999" s="55">
        <v>71.004270000000005</v>
      </c>
      <c r="M2999" s="55">
        <v>68.543539999999993</v>
      </c>
      <c r="N2999" s="55">
        <v>54.603679999999997</v>
      </c>
    </row>
    <row r="3000" spans="1:14" hidden="1" x14ac:dyDescent="0.35">
      <c r="A3000" s="52" t="s">
        <v>672</v>
      </c>
      <c r="B3000" s="52" t="s">
        <v>73</v>
      </c>
      <c r="C3000" s="52" t="s">
        <v>87</v>
      </c>
      <c r="D3000" s="52" t="s">
        <v>131</v>
      </c>
      <c r="E3000" s="52" t="s">
        <v>584</v>
      </c>
      <c r="F3000" s="52" t="s">
        <v>581</v>
      </c>
      <c r="G3000" s="55" t="s">
        <v>278</v>
      </c>
      <c r="H3000" s="55">
        <v>71.691410000000005</v>
      </c>
      <c r="I3000" s="55">
        <v>0.17787710000000001</v>
      </c>
      <c r="J3000" s="55">
        <v>12.81936</v>
      </c>
      <c r="K3000" s="55">
        <v>0.16217719999999999</v>
      </c>
      <c r="L3000" s="55">
        <v>0.14549860000000001</v>
      </c>
      <c r="M3000" s="55">
        <v>0.298902</v>
      </c>
      <c r="N3000" s="55">
        <v>0.298902</v>
      </c>
    </row>
    <row r="3001" spans="1:14" hidden="1" x14ac:dyDescent="0.35">
      <c r="A3001" s="52" t="s">
        <v>672</v>
      </c>
      <c r="B3001" s="52" t="s">
        <v>73</v>
      </c>
      <c r="C3001" s="52" t="s">
        <v>87</v>
      </c>
      <c r="D3001" s="52" t="s">
        <v>131</v>
      </c>
      <c r="E3001" s="52" t="s">
        <v>584</v>
      </c>
      <c r="F3001" s="52" t="s">
        <v>581</v>
      </c>
      <c r="G3001" s="55" t="s">
        <v>279</v>
      </c>
      <c r="H3001" s="55">
        <v>149.7663</v>
      </c>
      <c r="I3001" s="55">
        <v>151.64420000000001</v>
      </c>
      <c r="J3001" s="55">
        <v>151.05340000000001</v>
      </c>
      <c r="K3001" s="55">
        <v>199.21969999999999</v>
      </c>
      <c r="L3001" s="55">
        <v>243.27969999999999</v>
      </c>
      <c r="M3001" s="55">
        <v>243.80439999999999</v>
      </c>
      <c r="N3001" s="55">
        <v>216.09899999999999</v>
      </c>
    </row>
    <row r="3002" spans="1:14" hidden="1" x14ac:dyDescent="0.35">
      <c r="A3002" s="52" t="s">
        <v>672</v>
      </c>
      <c r="B3002" s="52" t="s">
        <v>73</v>
      </c>
      <c r="C3002" s="52" t="s">
        <v>87</v>
      </c>
      <c r="D3002" s="52" t="s">
        <v>131</v>
      </c>
      <c r="E3002" s="52" t="s">
        <v>584</v>
      </c>
      <c r="F3002" s="52" t="s">
        <v>26</v>
      </c>
      <c r="G3002" s="55" t="s">
        <v>275</v>
      </c>
      <c r="H3002" s="55">
        <v>-4.3591999999999997E-3</v>
      </c>
      <c r="I3002" s="55">
        <v>-0.19517039999999999</v>
      </c>
      <c r="J3002" s="55">
        <v>0</v>
      </c>
      <c r="K3002" s="55">
        <v>0</v>
      </c>
      <c r="L3002" s="55">
        <v>0</v>
      </c>
      <c r="M3002" s="55">
        <v>0</v>
      </c>
      <c r="N3002" s="55">
        <v>0</v>
      </c>
    </row>
    <row r="3003" spans="1:14" hidden="1" x14ac:dyDescent="0.35">
      <c r="A3003" s="52" t="s">
        <v>672</v>
      </c>
      <c r="B3003" s="52" t="s">
        <v>73</v>
      </c>
      <c r="C3003" s="52" t="s">
        <v>87</v>
      </c>
      <c r="D3003" s="52" t="s">
        <v>131</v>
      </c>
      <c r="E3003" s="52" t="s">
        <v>584</v>
      </c>
      <c r="F3003" s="52" t="s">
        <v>26</v>
      </c>
      <c r="G3003" s="55" t="s">
        <v>276</v>
      </c>
      <c r="H3003" s="55">
        <v>-8.736961E-2</v>
      </c>
      <c r="I3003" s="55">
        <v>-0.1231288</v>
      </c>
      <c r="J3003" s="55">
        <v>-0.18341979999999999</v>
      </c>
      <c r="K3003" s="55">
        <v>-4.0620149999999997</v>
      </c>
      <c r="L3003" s="55">
        <v>-8.0414070000000004E-2</v>
      </c>
      <c r="M3003" s="55">
        <v>-2.5664400000000001</v>
      </c>
      <c r="N3003" s="55">
        <v>-0.25199569999999999</v>
      </c>
    </row>
    <row r="3004" spans="1:14" hidden="1" x14ac:dyDescent="0.35">
      <c r="A3004" s="52" t="s">
        <v>672</v>
      </c>
      <c r="B3004" s="52" t="s">
        <v>73</v>
      </c>
      <c r="C3004" s="52" t="s">
        <v>87</v>
      </c>
      <c r="D3004" s="52" t="s">
        <v>131</v>
      </c>
      <c r="E3004" s="52" t="s">
        <v>584</v>
      </c>
      <c r="F3004" s="52" t="s">
        <v>26</v>
      </c>
      <c r="G3004" s="55" t="s">
        <v>277</v>
      </c>
      <c r="H3004" s="55">
        <v>0</v>
      </c>
      <c r="I3004" s="55">
        <v>0.23200000000000001</v>
      </c>
      <c r="J3004" s="55">
        <v>7.9750009999999996E-2</v>
      </c>
      <c r="K3004" s="55">
        <v>1.67475</v>
      </c>
      <c r="L3004" s="55">
        <v>0</v>
      </c>
      <c r="M3004" s="55">
        <v>2.4359999999999999</v>
      </c>
      <c r="N3004" s="55">
        <v>0.11600000000000001</v>
      </c>
    </row>
    <row r="3005" spans="1:14" hidden="1" x14ac:dyDescent="0.35">
      <c r="A3005" s="52" t="s">
        <v>672</v>
      </c>
      <c r="B3005" s="52" t="s">
        <v>73</v>
      </c>
      <c r="C3005" s="52" t="s">
        <v>87</v>
      </c>
      <c r="D3005" s="52" t="s">
        <v>131</v>
      </c>
      <c r="E3005" s="52" t="s">
        <v>584</v>
      </c>
      <c r="F3005" s="52" t="s">
        <v>26</v>
      </c>
      <c r="G3005" s="55" t="s">
        <v>278</v>
      </c>
      <c r="H3005" s="55">
        <v>9.1728790000000004E-2</v>
      </c>
      <c r="I3005" s="55">
        <v>8.6299000000000001E-2</v>
      </c>
      <c r="J3005" s="55">
        <v>0.103669</v>
      </c>
      <c r="K3005" s="55">
        <v>2.3872640000000001</v>
      </c>
      <c r="L3005" s="55">
        <v>7.8542100000000004E-2</v>
      </c>
      <c r="M3005" s="55">
        <v>0.12856870000000001</v>
      </c>
      <c r="N3005" s="55">
        <v>0.12856870000000001</v>
      </c>
    </row>
    <row r="3006" spans="1:14" hidden="1" x14ac:dyDescent="0.35">
      <c r="A3006" s="52" t="s">
        <v>672</v>
      </c>
      <c r="B3006" s="52" t="s">
        <v>73</v>
      </c>
      <c r="C3006" s="52" t="s">
        <v>87</v>
      </c>
      <c r="D3006" s="52" t="s">
        <v>131</v>
      </c>
      <c r="E3006" s="52" t="s">
        <v>584</v>
      </c>
      <c r="F3006" s="52" t="s">
        <v>26</v>
      </c>
      <c r="G3006" s="55" t="s">
        <v>279</v>
      </c>
      <c r="H3006" s="55"/>
      <c r="I3006" s="55"/>
      <c r="J3006" s="55"/>
      <c r="K3006" s="55">
        <v>0</v>
      </c>
      <c r="L3006" s="55">
        <v>1.8722000000000001E-3</v>
      </c>
      <c r="M3006" s="55">
        <v>1.8722000000000001E-3</v>
      </c>
      <c r="N3006" s="55">
        <v>7.4263999999999997E-3</v>
      </c>
    </row>
    <row r="3007" spans="1:14" hidden="1" x14ac:dyDescent="0.35">
      <c r="A3007" s="52" t="s">
        <v>672</v>
      </c>
      <c r="B3007" s="52" t="s">
        <v>73</v>
      </c>
      <c r="C3007" s="52" t="s">
        <v>87</v>
      </c>
      <c r="D3007" s="52" t="s">
        <v>87</v>
      </c>
      <c r="E3007" s="52" t="s">
        <v>584</v>
      </c>
      <c r="F3007" s="52" t="s">
        <v>581</v>
      </c>
      <c r="G3007" s="55" t="s">
        <v>275</v>
      </c>
      <c r="H3007" s="55"/>
      <c r="I3007" s="55">
        <v>0</v>
      </c>
      <c r="J3007" s="55">
        <v>-0.1135188</v>
      </c>
      <c r="K3007" s="55">
        <v>-9.2037599999999997E-2</v>
      </c>
      <c r="L3007" s="55">
        <v>-2.2274129999999999</v>
      </c>
      <c r="M3007" s="55">
        <v>-40.978009999999998</v>
      </c>
      <c r="N3007" s="55">
        <v>-108.2893</v>
      </c>
    </row>
    <row r="3008" spans="1:14" hidden="1" x14ac:dyDescent="0.35">
      <c r="A3008" s="52" t="s">
        <v>672</v>
      </c>
      <c r="B3008" s="52" t="s">
        <v>73</v>
      </c>
      <c r="C3008" s="52" t="s">
        <v>87</v>
      </c>
      <c r="D3008" s="52" t="s">
        <v>87</v>
      </c>
      <c r="E3008" s="52" t="s">
        <v>584</v>
      </c>
      <c r="F3008" s="52" t="s">
        <v>581</v>
      </c>
      <c r="G3008" s="55" t="s">
        <v>276</v>
      </c>
      <c r="H3008" s="55"/>
      <c r="I3008" s="55">
        <v>0</v>
      </c>
      <c r="J3008" s="55">
        <v>-2.1480929999999999E-2</v>
      </c>
      <c r="K3008" s="55">
        <v>-4.2962130000000001E-2</v>
      </c>
      <c r="L3008" s="55">
        <v>-0.47258640000000002</v>
      </c>
      <c r="M3008" s="55">
        <v>-8.5643510000000003</v>
      </c>
      <c r="N3008" s="55">
        <v>-30.608370000000001</v>
      </c>
    </row>
    <row r="3009" spans="1:14" hidden="1" x14ac:dyDescent="0.35">
      <c r="A3009" s="52" t="s">
        <v>672</v>
      </c>
      <c r="B3009" s="52" t="s">
        <v>73</v>
      </c>
      <c r="C3009" s="52" t="s">
        <v>87</v>
      </c>
      <c r="D3009" s="52" t="s">
        <v>87</v>
      </c>
      <c r="E3009" s="52" t="s">
        <v>584</v>
      </c>
      <c r="F3009" s="52" t="s">
        <v>581</v>
      </c>
      <c r="G3009" s="55" t="s">
        <v>277</v>
      </c>
      <c r="H3009" s="55">
        <v>3.2851530000000002</v>
      </c>
      <c r="I3009" s="55">
        <v>0</v>
      </c>
      <c r="J3009" s="55">
        <v>0.13500000000000001</v>
      </c>
      <c r="K3009" s="55">
        <v>0.13500000000000001</v>
      </c>
      <c r="L3009" s="55">
        <v>2.7</v>
      </c>
      <c r="M3009" s="55">
        <v>49.206420000000001</v>
      </c>
      <c r="N3009" s="55">
        <v>138.56180000000001</v>
      </c>
    </row>
    <row r="3010" spans="1:14" hidden="1" x14ac:dyDescent="0.35">
      <c r="A3010" s="52" t="s">
        <v>672</v>
      </c>
      <c r="B3010" s="52" t="s">
        <v>73</v>
      </c>
      <c r="C3010" s="52" t="s">
        <v>87</v>
      </c>
      <c r="D3010" s="52" t="s">
        <v>87</v>
      </c>
      <c r="E3010" s="52" t="s">
        <v>584</v>
      </c>
      <c r="F3010" s="52" t="s">
        <v>581</v>
      </c>
      <c r="G3010" s="55" t="s">
        <v>278</v>
      </c>
      <c r="H3010" s="55">
        <v>74.470569999999995</v>
      </c>
      <c r="I3010" s="55">
        <v>0</v>
      </c>
      <c r="J3010" s="55"/>
      <c r="K3010" s="55"/>
      <c r="L3010" s="55"/>
      <c r="M3010" s="55"/>
      <c r="N3010" s="55"/>
    </row>
    <row r="3011" spans="1:14" hidden="1" x14ac:dyDescent="0.35">
      <c r="A3011" s="52" t="s">
        <v>672</v>
      </c>
      <c r="B3011" s="52" t="s">
        <v>73</v>
      </c>
      <c r="C3011" s="52" t="s">
        <v>87</v>
      </c>
      <c r="D3011" s="52" t="s">
        <v>87</v>
      </c>
      <c r="E3011" s="52" t="s">
        <v>584</v>
      </c>
      <c r="F3011" s="52" t="s">
        <v>581</v>
      </c>
      <c r="G3011" s="55" t="s">
        <v>279</v>
      </c>
      <c r="H3011" s="55">
        <v>0</v>
      </c>
      <c r="I3011" s="55"/>
      <c r="J3011" s="55"/>
      <c r="K3011" s="55"/>
      <c r="L3011" s="55">
        <v>0</v>
      </c>
      <c r="M3011" s="55">
        <v>0.33594750000000001</v>
      </c>
      <c r="N3011" s="55">
        <v>0.33594750000000001</v>
      </c>
    </row>
    <row r="3012" spans="1:14" hidden="1" x14ac:dyDescent="0.35">
      <c r="A3012" s="52" t="s">
        <v>672</v>
      </c>
      <c r="B3012" s="52" t="s">
        <v>73</v>
      </c>
      <c r="C3012" s="52" t="s">
        <v>87</v>
      </c>
      <c r="D3012" s="52" t="s">
        <v>87</v>
      </c>
      <c r="E3012" s="52" t="s">
        <v>584</v>
      </c>
      <c r="F3012" s="52" t="s">
        <v>26</v>
      </c>
      <c r="G3012" s="55" t="s">
        <v>275</v>
      </c>
      <c r="H3012" s="55"/>
      <c r="I3012" s="55"/>
      <c r="J3012" s="55"/>
      <c r="K3012" s="55"/>
      <c r="L3012" s="55">
        <v>0</v>
      </c>
      <c r="M3012" s="55">
        <v>-0.71680160000000004</v>
      </c>
      <c r="N3012" s="55">
        <v>-3.1010360000000001</v>
      </c>
    </row>
    <row r="3013" spans="1:14" hidden="1" x14ac:dyDescent="0.35">
      <c r="A3013" s="52" t="s">
        <v>672</v>
      </c>
      <c r="B3013" s="52" t="s">
        <v>73</v>
      </c>
      <c r="C3013" s="52" t="s">
        <v>87</v>
      </c>
      <c r="D3013" s="52" t="s">
        <v>87</v>
      </c>
      <c r="E3013" s="52" t="s">
        <v>584</v>
      </c>
      <c r="F3013" s="52" t="s">
        <v>26</v>
      </c>
      <c r="G3013" s="55" t="s">
        <v>276</v>
      </c>
      <c r="H3013" s="55"/>
      <c r="I3013" s="55"/>
      <c r="J3013" s="55"/>
      <c r="K3013" s="55"/>
      <c r="L3013" s="55">
        <v>0</v>
      </c>
      <c r="M3013" s="55">
        <v>-0.16878399999999999</v>
      </c>
      <c r="N3013" s="55">
        <v>-0.77903730000000004</v>
      </c>
    </row>
    <row r="3014" spans="1:14" hidden="1" x14ac:dyDescent="0.35">
      <c r="A3014" s="52" t="s">
        <v>672</v>
      </c>
      <c r="B3014" s="52" t="s">
        <v>73</v>
      </c>
      <c r="C3014" s="52" t="s">
        <v>87</v>
      </c>
      <c r="D3014" s="52" t="s">
        <v>87</v>
      </c>
      <c r="E3014" s="52" t="s">
        <v>584</v>
      </c>
      <c r="F3014" s="52" t="s">
        <v>26</v>
      </c>
      <c r="G3014" s="55" t="s">
        <v>277</v>
      </c>
      <c r="H3014" s="55"/>
      <c r="I3014" s="55"/>
      <c r="J3014" s="55"/>
      <c r="K3014" s="55"/>
      <c r="L3014" s="55">
        <v>0</v>
      </c>
      <c r="M3014" s="55">
        <v>0.84069819999999995</v>
      </c>
      <c r="N3014" s="55">
        <v>3.8351850000000001</v>
      </c>
    </row>
    <row r="3015" spans="1:14" hidden="1" x14ac:dyDescent="0.35">
      <c r="A3015" s="52" t="s">
        <v>672</v>
      </c>
      <c r="B3015" s="52" t="s">
        <v>73</v>
      </c>
      <c r="C3015" s="52" t="s">
        <v>87</v>
      </c>
      <c r="D3015" s="52" t="s">
        <v>87</v>
      </c>
      <c r="E3015" s="52" t="s">
        <v>584</v>
      </c>
      <c r="F3015" s="52" t="s">
        <v>26</v>
      </c>
      <c r="G3015" s="55" t="s">
        <v>279</v>
      </c>
      <c r="H3015" s="55"/>
      <c r="I3015" s="55"/>
      <c r="J3015" s="55"/>
      <c r="K3015" s="55"/>
      <c r="L3015" s="55">
        <v>0</v>
      </c>
      <c r="M3015" s="55">
        <v>4.4887499999999997E-2</v>
      </c>
      <c r="N3015" s="55">
        <v>4.4887499999999997E-2</v>
      </c>
    </row>
    <row r="3016" spans="1:14" hidden="1" x14ac:dyDescent="0.35">
      <c r="A3016" s="52" t="s">
        <v>672</v>
      </c>
      <c r="B3016" s="52" t="s">
        <v>73</v>
      </c>
      <c r="C3016" s="52" t="s">
        <v>87</v>
      </c>
      <c r="D3016" s="52" t="s">
        <v>330</v>
      </c>
      <c r="E3016" s="52" t="s">
        <v>584</v>
      </c>
      <c r="F3016" s="52" t="s">
        <v>581</v>
      </c>
      <c r="G3016" s="55" t="s">
        <v>275</v>
      </c>
      <c r="H3016" s="55">
        <v>-6.09174E-3</v>
      </c>
      <c r="I3016" s="55">
        <v>5.3137400000000004E-4</v>
      </c>
      <c r="J3016" s="55">
        <v>-0.32633909999999999</v>
      </c>
      <c r="K3016" s="55">
        <v>-5.588101</v>
      </c>
      <c r="L3016" s="55">
        <v>-2.911098</v>
      </c>
      <c r="M3016" s="55">
        <v>-51.292299999999997</v>
      </c>
      <c r="N3016" s="55">
        <v>-77.350769999999997</v>
      </c>
    </row>
    <row r="3017" spans="1:14" hidden="1" x14ac:dyDescent="0.35">
      <c r="A3017" s="52" t="s">
        <v>672</v>
      </c>
      <c r="B3017" s="52" t="s">
        <v>73</v>
      </c>
      <c r="C3017" s="52" t="s">
        <v>87</v>
      </c>
      <c r="D3017" s="52" t="s">
        <v>330</v>
      </c>
      <c r="E3017" s="52" t="s">
        <v>584</v>
      </c>
      <c r="F3017" s="52" t="s">
        <v>581</v>
      </c>
      <c r="G3017" s="55" t="s">
        <v>276</v>
      </c>
      <c r="H3017" s="55">
        <v>-0.1221001</v>
      </c>
      <c r="I3017" s="55">
        <v>-8.4274520000000006E-2</v>
      </c>
      <c r="J3017" s="55">
        <v>-0.56137990000000004</v>
      </c>
      <c r="K3017" s="55">
        <v>-1.260165</v>
      </c>
      <c r="L3017" s="55">
        <v>-2.6253869999999999</v>
      </c>
      <c r="M3017" s="55">
        <v>-12.652329999999999</v>
      </c>
      <c r="N3017" s="55">
        <v>-29.48564</v>
      </c>
    </row>
    <row r="3018" spans="1:14" hidden="1" x14ac:dyDescent="0.35">
      <c r="A3018" s="52" t="s">
        <v>672</v>
      </c>
      <c r="B3018" s="52" t="s">
        <v>73</v>
      </c>
      <c r="C3018" s="52" t="s">
        <v>87</v>
      </c>
      <c r="D3018" s="52" t="s">
        <v>330</v>
      </c>
      <c r="E3018" s="52" t="s">
        <v>584</v>
      </c>
      <c r="F3018" s="52" t="s">
        <v>581</v>
      </c>
      <c r="G3018" s="55" t="s">
        <v>277</v>
      </c>
      <c r="H3018" s="55"/>
      <c r="I3018" s="55">
        <v>0</v>
      </c>
      <c r="J3018" s="55">
        <v>0.38900000000000001</v>
      </c>
      <c r="K3018" s="55">
        <v>6.7185249999999996</v>
      </c>
      <c r="L3018" s="55">
        <v>4.5639370000000001</v>
      </c>
      <c r="M3018" s="55">
        <v>62.969990000000003</v>
      </c>
      <c r="N3018" s="55">
        <v>105.8618</v>
      </c>
    </row>
    <row r="3019" spans="1:14" hidden="1" x14ac:dyDescent="0.35">
      <c r="A3019" s="52" t="s">
        <v>672</v>
      </c>
      <c r="B3019" s="52" t="s">
        <v>73</v>
      </c>
      <c r="C3019" s="52" t="s">
        <v>87</v>
      </c>
      <c r="D3019" s="52" t="s">
        <v>330</v>
      </c>
      <c r="E3019" s="52" t="s">
        <v>584</v>
      </c>
      <c r="F3019" s="52" t="s">
        <v>581</v>
      </c>
      <c r="G3019" s="55" t="s">
        <v>278</v>
      </c>
      <c r="H3019" s="55">
        <v>0.12819259999999999</v>
      </c>
      <c r="I3019" s="55">
        <v>8.3743150000000002E-2</v>
      </c>
      <c r="J3019" s="55">
        <v>0.50169870000000005</v>
      </c>
      <c r="K3019" s="55">
        <v>0.13121749999999999</v>
      </c>
      <c r="L3019" s="55">
        <v>5.4607040000000003E-2</v>
      </c>
      <c r="M3019" s="55">
        <v>5.6690530000000003E-2</v>
      </c>
      <c r="N3019" s="55">
        <v>5.6690530000000003E-2</v>
      </c>
    </row>
    <row r="3020" spans="1:14" hidden="1" x14ac:dyDescent="0.35">
      <c r="A3020" s="52" t="s">
        <v>672</v>
      </c>
      <c r="B3020" s="52" t="s">
        <v>73</v>
      </c>
      <c r="C3020" s="52" t="s">
        <v>87</v>
      </c>
      <c r="D3020" s="52" t="s">
        <v>330</v>
      </c>
      <c r="E3020" s="52" t="s">
        <v>584</v>
      </c>
      <c r="F3020" s="52" t="s">
        <v>581</v>
      </c>
      <c r="G3020" s="55" t="s">
        <v>279</v>
      </c>
      <c r="H3020" s="55"/>
      <c r="I3020" s="55"/>
      <c r="J3020" s="55"/>
      <c r="K3020" s="55">
        <v>0</v>
      </c>
      <c r="L3020" s="55">
        <v>0.91794039999999999</v>
      </c>
      <c r="M3020" s="55">
        <v>0.91794039999999999</v>
      </c>
      <c r="N3020" s="55">
        <v>0.91794039999999999</v>
      </c>
    </row>
    <row r="3021" spans="1:14" hidden="1" x14ac:dyDescent="0.35">
      <c r="A3021" s="52" t="s">
        <v>672</v>
      </c>
      <c r="B3021" s="52" t="s">
        <v>73</v>
      </c>
      <c r="C3021" s="52" t="s">
        <v>87</v>
      </c>
      <c r="D3021" s="52" t="s">
        <v>330</v>
      </c>
      <c r="E3021" s="52" t="s">
        <v>584</v>
      </c>
      <c r="F3021" s="52" t="s">
        <v>26</v>
      </c>
      <c r="G3021" s="55" t="s">
        <v>275</v>
      </c>
      <c r="H3021" s="55">
        <v>-1.6143500000000001E-3</v>
      </c>
      <c r="I3021" s="55">
        <v>1.4081780000000001E-4</v>
      </c>
      <c r="J3021" s="55">
        <v>0</v>
      </c>
      <c r="K3021" s="55">
        <v>0</v>
      </c>
      <c r="L3021" s="55">
        <v>-1.4718640000000001</v>
      </c>
      <c r="M3021" s="55">
        <v>-18.727060000000002</v>
      </c>
      <c r="N3021" s="55">
        <v>-16.522459999999999</v>
      </c>
    </row>
    <row r="3022" spans="1:14" hidden="1" x14ac:dyDescent="0.35">
      <c r="A3022" s="52" t="s">
        <v>672</v>
      </c>
      <c r="B3022" s="52" t="s">
        <v>73</v>
      </c>
      <c r="C3022" s="52" t="s">
        <v>87</v>
      </c>
      <c r="D3022" s="52" t="s">
        <v>330</v>
      </c>
      <c r="E3022" s="52" t="s">
        <v>584</v>
      </c>
      <c r="F3022" s="52" t="s">
        <v>26</v>
      </c>
      <c r="G3022" s="55" t="s">
        <v>276</v>
      </c>
      <c r="H3022" s="55">
        <v>-3.2346130000000001E-2</v>
      </c>
      <c r="I3022" s="55">
        <v>-2.232549E-2</v>
      </c>
      <c r="J3022" s="55">
        <v>-2.6649610000000001E-2</v>
      </c>
      <c r="K3022" s="55">
        <v>-2.2505210000000001E-2</v>
      </c>
      <c r="L3022" s="55">
        <v>-0.64533940000000001</v>
      </c>
      <c r="M3022" s="55">
        <v>-4.2398199999999999</v>
      </c>
      <c r="N3022" s="55">
        <v>-8.0719940000000001</v>
      </c>
    </row>
    <row r="3023" spans="1:14" hidden="1" x14ac:dyDescent="0.35">
      <c r="A3023" s="52" t="s">
        <v>672</v>
      </c>
      <c r="B3023" s="52" t="s">
        <v>73</v>
      </c>
      <c r="C3023" s="52" t="s">
        <v>87</v>
      </c>
      <c r="D3023" s="52" t="s">
        <v>330</v>
      </c>
      <c r="E3023" s="52" t="s">
        <v>584</v>
      </c>
      <c r="F3023" s="52" t="s">
        <v>26</v>
      </c>
      <c r="G3023" s="55" t="s">
        <v>277</v>
      </c>
      <c r="H3023" s="55"/>
      <c r="I3023" s="55"/>
      <c r="J3023" s="55"/>
      <c r="K3023" s="55">
        <v>0</v>
      </c>
      <c r="L3023" s="55">
        <v>1.627562</v>
      </c>
      <c r="M3023" s="55">
        <v>22.455950000000001</v>
      </c>
      <c r="N3023" s="55">
        <v>24.08352</v>
      </c>
    </row>
    <row r="3024" spans="1:14" hidden="1" x14ac:dyDescent="0.35">
      <c r="A3024" s="52" t="s">
        <v>672</v>
      </c>
      <c r="B3024" s="52" t="s">
        <v>73</v>
      </c>
      <c r="C3024" s="52" t="s">
        <v>87</v>
      </c>
      <c r="D3024" s="52" t="s">
        <v>330</v>
      </c>
      <c r="E3024" s="52" t="s">
        <v>584</v>
      </c>
      <c r="F3024" s="52" t="s">
        <v>26</v>
      </c>
      <c r="G3024" s="55" t="s">
        <v>278</v>
      </c>
      <c r="H3024" s="55">
        <v>3.3960480000000001E-2</v>
      </c>
      <c r="I3024" s="55">
        <v>2.218467E-2</v>
      </c>
      <c r="J3024" s="55">
        <v>2.6650389999999999E-2</v>
      </c>
      <c r="K3024" s="55">
        <v>2.2505979999999998E-2</v>
      </c>
      <c r="L3024" s="55">
        <v>2.0190659999999999E-2</v>
      </c>
      <c r="M3024" s="55">
        <v>4.147907E-2</v>
      </c>
      <c r="N3024" s="55">
        <v>4.147907E-2</v>
      </c>
    </row>
    <row r="3025" spans="1:14" hidden="1" x14ac:dyDescent="0.35">
      <c r="A3025" s="52" t="s">
        <v>672</v>
      </c>
      <c r="B3025" s="52" t="s">
        <v>73</v>
      </c>
      <c r="C3025" s="52" t="s">
        <v>87</v>
      </c>
      <c r="D3025" s="52" t="s">
        <v>330</v>
      </c>
      <c r="E3025" s="52" t="s">
        <v>584</v>
      </c>
      <c r="F3025" s="52" t="s">
        <v>26</v>
      </c>
      <c r="G3025" s="55" t="s">
        <v>279</v>
      </c>
      <c r="H3025" s="55"/>
      <c r="I3025" s="55"/>
      <c r="J3025" s="55"/>
      <c r="K3025" s="55">
        <v>0</v>
      </c>
      <c r="L3025" s="55">
        <v>0.46945140000000002</v>
      </c>
      <c r="M3025" s="55">
        <v>0.46945140000000002</v>
      </c>
      <c r="N3025" s="55">
        <v>0.4694507</v>
      </c>
    </row>
    <row r="3026" spans="1:14" hidden="1" x14ac:dyDescent="0.35">
      <c r="A3026" s="52" t="s">
        <v>672</v>
      </c>
      <c r="B3026" s="52" t="s">
        <v>73</v>
      </c>
      <c r="C3026" s="52" t="s">
        <v>87</v>
      </c>
      <c r="D3026" s="52" t="s">
        <v>88</v>
      </c>
      <c r="E3026" s="52" t="s">
        <v>584</v>
      </c>
      <c r="F3026" s="52" t="s">
        <v>581</v>
      </c>
      <c r="G3026" s="55" t="s">
        <v>275</v>
      </c>
      <c r="H3026" s="55">
        <v>-2.5460999999999999E-3</v>
      </c>
      <c r="I3026" s="55"/>
      <c r="J3026" s="55"/>
      <c r="K3026" s="55"/>
      <c r="L3026" s="55">
        <v>-1.1606339999999999</v>
      </c>
      <c r="M3026" s="55">
        <v>-15.328670000000001</v>
      </c>
      <c r="N3026" s="55">
        <v>-13.5185</v>
      </c>
    </row>
    <row r="3027" spans="1:14" hidden="1" x14ac:dyDescent="0.35">
      <c r="A3027" s="52" t="s">
        <v>672</v>
      </c>
      <c r="B3027" s="52" t="s">
        <v>73</v>
      </c>
      <c r="C3027" s="52" t="s">
        <v>87</v>
      </c>
      <c r="D3027" s="52" t="s">
        <v>88</v>
      </c>
      <c r="E3027" s="52" t="s">
        <v>584</v>
      </c>
      <c r="F3027" s="52" t="s">
        <v>581</v>
      </c>
      <c r="G3027" s="55" t="s">
        <v>276</v>
      </c>
      <c r="H3027" s="55">
        <v>-5.1020099999999999E-2</v>
      </c>
      <c r="I3027" s="55"/>
      <c r="J3027" s="55"/>
      <c r="K3027" s="55"/>
      <c r="L3027" s="55">
        <v>-0.3434913</v>
      </c>
      <c r="M3027" s="55">
        <v>-3.277396</v>
      </c>
      <c r="N3027" s="55">
        <v>-6.4239439999999997</v>
      </c>
    </row>
    <row r="3028" spans="1:14" hidden="1" x14ac:dyDescent="0.35">
      <c r="A3028" s="52" t="s">
        <v>672</v>
      </c>
      <c r="B3028" s="52" t="s">
        <v>73</v>
      </c>
      <c r="C3028" s="52" t="s">
        <v>87</v>
      </c>
      <c r="D3028" s="52" t="s">
        <v>88</v>
      </c>
      <c r="E3028" s="52" t="s">
        <v>584</v>
      </c>
      <c r="F3028" s="52" t="s">
        <v>581</v>
      </c>
      <c r="G3028" s="55" t="s">
        <v>277</v>
      </c>
      <c r="H3028" s="55"/>
      <c r="I3028" s="55">
        <v>0</v>
      </c>
      <c r="J3028" s="55">
        <v>0</v>
      </c>
      <c r="K3028" s="55">
        <v>0</v>
      </c>
      <c r="L3028" s="55">
        <v>1.3363719999999999</v>
      </c>
      <c r="M3028" s="55">
        <v>18.438310000000001</v>
      </c>
      <c r="N3028" s="55">
        <v>19.77468</v>
      </c>
    </row>
    <row r="3029" spans="1:14" hidden="1" x14ac:dyDescent="0.35">
      <c r="A3029" s="52" t="s">
        <v>672</v>
      </c>
      <c r="B3029" s="52" t="s">
        <v>73</v>
      </c>
      <c r="C3029" s="52" t="s">
        <v>87</v>
      </c>
      <c r="D3029" s="52" t="s">
        <v>88</v>
      </c>
      <c r="E3029" s="52" t="s">
        <v>584</v>
      </c>
      <c r="F3029" s="52" t="s">
        <v>581</v>
      </c>
      <c r="G3029" s="55" t="s">
        <v>278</v>
      </c>
      <c r="H3029" s="55">
        <v>5.3566200000000001E-2</v>
      </c>
      <c r="I3029" s="55"/>
      <c r="J3029" s="55">
        <v>0</v>
      </c>
      <c r="K3029" s="55"/>
      <c r="L3029" s="55">
        <v>0</v>
      </c>
      <c r="M3029" s="55">
        <v>0</v>
      </c>
      <c r="N3029" s="55"/>
    </row>
    <row r="3030" spans="1:14" hidden="1" x14ac:dyDescent="0.35">
      <c r="A3030" s="52" t="s">
        <v>672</v>
      </c>
      <c r="B3030" s="52" t="s">
        <v>73</v>
      </c>
      <c r="C3030" s="52" t="s">
        <v>87</v>
      </c>
      <c r="D3030" s="52" t="s">
        <v>88</v>
      </c>
      <c r="E3030" s="52" t="s">
        <v>584</v>
      </c>
      <c r="F3030" s="52" t="s">
        <v>581</v>
      </c>
      <c r="G3030" s="55" t="s">
        <v>279</v>
      </c>
      <c r="H3030" s="55"/>
      <c r="I3030" s="55"/>
      <c r="J3030" s="55"/>
      <c r="K3030" s="55">
        <v>0</v>
      </c>
      <c r="L3030" s="55">
        <v>0.16775370000000001</v>
      </c>
      <c r="M3030" s="55">
        <v>0.16775370000000001</v>
      </c>
      <c r="N3030" s="55">
        <v>0.16775370000000001</v>
      </c>
    </row>
    <row r="3031" spans="1:14" hidden="1" x14ac:dyDescent="0.35">
      <c r="A3031" s="52" t="s">
        <v>672</v>
      </c>
      <c r="B3031" s="52" t="s">
        <v>73</v>
      </c>
      <c r="C3031" s="52" t="s">
        <v>87</v>
      </c>
      <c r="D3031" s="52" t="s">
        <v>88</v>
      </c>
      <c r="E3031" s="52" t="s">
        <v>584</v>
      </c>
      <c r="F3031" s="52" t="s">
        <v>26</v>
      </c>
      <c r="G3031" s="55" t="s">
        <v>275</v>
      </c>
      <c r="H3031" s="55">
        <v>-2.1589500000000002E-3</v>
      </c>
      <c r="I3031" s="55">
        <v>4.0967670000000001E-4</v>
      </c>
      <c r="J3031" s="55">
        <v>-9.7324620000000001E-2</v>
      </c>
      <c r="K3031" s="55">
        <v>-1.0614589999999999</v>
      </c>
      <c r="L3031" s="55">
        <v>-0.40507530000000003</v>
      </c>
      <c r="M3031" s="55">
        <v>-7.9031520000000004</v>
      </c>
      <c r="N3031" s="55">
        <v>-19.528659999999999</v>
      </c>
    </row>
    <row r="3032" spans="1:14" hidden="1" x14ac:dyDescent="0.35">
      <c r="A3032" s="52" t="s">
        <v>672</v>
      </c>
      <c r="B3032" s="52" t="s">
        <v>73</v>
      </c>
      <c r="C3032" s="52" t="s">
        <v>87</v>
      </c>
      <c r="D3032" s="52" t="s">
        <v>88</v>
      </c>
      <c r="E3032" s="52" t="s">
        <v>584</v>
      </c>
      <c r="F3032" s="52" t="s">
        <v>26</v>
      </c>
      <c r="G3032" s="55" t="s">
        <v>276</v>
      </c>
      <c r="H3032" s="55">
        <v>-4.3273140000000002E-2</v>
      </c>
      <c r="I3032" s="55">
        <v>-6.5081840000000002E-2</v>
      </c>
      <c r="J3032" s="55">
        <v>-7.5450139999999999E-2</v>
      </c>
      <c r="K3032" s="55">
        <v>-0.49723980000000001</v>
      </c>
      <c r="L3032" s="55">
        <v>-0.49181629999999998</v>
      </c>
      <c r="M3032" s="55">
        <v>-2.06555</v>
      </c>
      <c r="N3032" s="55">
        <v>-6.1147070000000001</v>
      </c>
    </row>
    <row r="3033" spans="1:14" hidden="1" x14ac:dyDescent="0.35">
      <c r="A3033" s="52" t="s">
        <v>672</v>
      </c>
      <c r="B3033" s="52" t="s">
        <v>73</v>
      </c>
      <c r="C3033" s="52" t="s">
        <v>87</v>
      </c>
      <c r="D3033" s="52" t="s">
        <v>88</v>
      </c>
      <c r="E3033" s="52" t="s">
        <v>584</v>
      </c>
      <c r="F3033" s="52" t="s">
        <v>26</v>
      </c>
      <c r="G3033" s="55" t="s">
        <v>277</v>
      </c>
      <c r="H3033" s="55"/>
      <c r="I3033" s="55">
        <v>0</v>
      </c>
      <c r="J3033" s="55">
        <v>0.1167</v>
      </c>
      <c r="K3033" s="55">
        <v>1.2837000000000001</v>
      </c>
      <c r="L3033" s="55">
        <v>0.70756169999999996</v>
      </c>
      <c r="M3033" s="55">
        <v>9.7624399999999998</v>
      </c>
      <c r="N3033" s="55">
        <v>25.437110000000001</v>
      </c>
    </row>
    <row r="3034" spans="1:14" hidden="1" x14ac:dyDescent="0.35">
      <c r="A3034" s="52" t="s">
        <v>672</v>
      </c>
      <c r="B3034" s="52" t="s">
        <v>73</v>
      </c>
      <c r="C3034" s="52" t="s">
        <v>87</v>
      </c>
      <c r="D3034" s="52" t="s">
        <v>88</v>
      </c>
      <c r="E3034" s="52" t="s">
        <v>584</v>
      </c>
      <c r="F3034" s="52" t="s">
        <v>26</v>
      </c>
      <c r="G3034" s="55" t="s">
        <v>278</v>
      </c>
      <c r="H3034" s="55">
        <v>4.5432090000000001E-2</v>
      </c>
      <c r="I3034" s="55">
        <v>6.4672049999999995E-2</v>
      </c>
      <c r="J3034" s="55">
        <v>5.8683560000000003E-2</v>
      </c>
      <c r="K3034" s="55">
        <v>0.27628910000000001</v>
      </c>
      <c r="L3034" s="55">
        <v>4.849465E-2</v>
      </c>
      <c r="M3034" s="55">
        <v>6.5425499999999998E-2</v>
      </c>
      <c r="N3034" s="55">
        <v>6.5425499999999998E-2</v>
      </c>
    </row>
    <row r="3035" spans="1:14" hidden="1" x14ac:dyDescent="0.35">
      <c r="A3035" s="52" t="s">
        <v>672</v>
      </c>
      <c r="B3035" s="52" t="s">
        <v>73</v>
      </c>
      <c r="C3035" s="52" t="s">
        <v>87</v>
      </c>
      <c r="D3035" s="52" t="s">
        <v>88</v>
      </c>
      <c r="E3035" s="52" t="s">
        <v>584</v>
      </c>
      <c r="F3035" s="52" t="s">
        <v>26</v>
      </c>
      <c r="G3035" s="55" t="s">
        <v>279</v>
      </c>
      <c r="H3035" s="55"/>
      <c r="I3035" s="55"/>
      <c r="J3035" s="55"/>
      <c r="K3035" s="55">
        <v>0</v>
      </c>
      <c r="L3035" s="55">
        <v>0.1408354</v>
      </c>
      <c r="M3035" s="55">
        <v>0.1408354</v>
      </c>
      <c r="N3035" s="55">
        <v>0.14083519999999999</v>
      </c>
    </row>
    <row r="3036" spans="1:14" hidden="1" x14ac:dyDescent="0.35">
      <c r="A3036" s="52" t="s">
        <v>672</v>
      </c>
      <c r="B3036" s="52" t="s">
        <v>73</v>
      </c>
      <c r="C3036" s="52" t="s">
        <v>87</v>
      </c>
      <c r="D3036" s="52" t="s">
        <v>208</v>
      </c>
      <c r="E3036" s="52" t="s">
        <v>584</v>
      </c>
      <c r="F3036" s="52" t="s">
        <v>581</v>
      </c>
      <c r="G3036" s="55" t="s">
        <v>275</v>
      </c>
      <c r="H3036" s="55">
        <v>-1.1590349999999999E-2</v>
      </c>
      <c r="I3036" s="55">
        <v>-4.8872999999999998E-3</v>
      </c>
      <c r="J3036" s="55">
        <v>-0.70894330000000005</v>
      </c>
      <c r="K3036" s="55">
        <v>4.7125649999999998E-2</v>
      </c>
      <c r="L3036" s="55">
        <v>0.12208140000000001</v>
      </c>
      <c r="M3036" s="55">
        <v>0.1226788</v>
      </c>
      <c r="N3036" s="55">
        <v>-0.67861249999999995</v>
      </c>
    </row>
    <row r="3037" spans="1:14" hidden="1" x14ac:dyDescent="0.35">
      <c r="A3037" s="52" t="s">
        <v>672</v>
      </c>
      <c r="B3037" s="52" t="s">
        <v>73</v>
      </c>
      <c r="C3037" s="52" t="s">
        <v>87</v>
      </c>
      <c r="D3037" s="52" t="s">
        <v>208</v>
      </c>
      <c r="E3037" s="52" t="s">
        <v>584</v>
      </c>
      <c r="F3037" s="52" t="s">
        <v>581</v>
      </c>
      <c r="G3037" s="55" t="s">
        <v>276</v>
      </c>
      <c r="H3037" s="55">
        <v>-6.7083000000000004E-2</v>
      </c>
      <c r="I3037" s="55">
        <v>-4.6506449999999998E-2</v>
      </c>
      <c r="J3037" s="55">
        <v>-2.995841</v>
      </c>
      <c r="K3037" s="55">
        <v>-1.6088960000000001</v>
      </c>
      <c r="L3037" s="55">
        <v>-0.1960443</v>
      </c>
      <c r="M3037" s="55">
        <v>-0.24522910000000001</v>
      </c>
      <c r="N3037" s="55">
        <v>-0.793547</v>
      </c>
    </row>
    <row r="3038" spans="1:14" hidden="1" x14ac:dyDescent="0.35">
      <c r="A3038" s="52" t="s">
        <v>672</v>
      </c>
      <c r="B3038" s="52" t="s">
        <v>73</v>
      </c>
      <c r="C3038" s="52" t="s">
        <v>87</v>
      </c>
      <c r="D3038" s="52" t="s">
        <v>208</v>
      </c>
      <c r="E3038" s="52" t="s">
        <v>584</v>
      </c>
      <c r="F3038" s="52" t="s">
        <v>581</v>
      </c>
      <c r="G3038" s="55" t="s">
        <v>277</v>
      </c>
      <c r="H3038" s="55"/>
      <c r="I3038" s="55">
        <v>0</v>
      </c>
      <c r="J3038" s="55">
        <v>7.4999999999999997E-2</v>
      </c>
      <c r="K3038" s="55">
        <v>7.4999999999999997E-2</v>
      </c>
      <c r="L3038" s="55">
        <v>2.71875E-2</v>
      </c>
      <c r="M3038" s="55">
        <v>3.2987500000000003E-2</v>
      </c>
      <c r="N3038" s="55">
        <v>1.3825959999999999</v>
      </c>
    </row>
    <row r="3039" spans="1:14" hidden="1" x14ac:dyDescent="0.35">
      <c r="A3039" s="52" t="s">
        <v>672</v>
      </c>
      <c r="B3039" s="52" t="s">
        <v>73</v>
      </c>
      <c r="C3039" s="52" t="s">
        <v>87</v>
      </c>
      <c r="D3039" s="52" t="s">
        <v>208</v>
      </c>
      <c r="E3039" s="52" t="s">
        <v>584</v>
      </c>
      <c r="F3039" s="52" t="s">
        <v>581</v>
      </c>
      <c r="G3039" s="55" t="s">
        <v>278</v>
      </c>
      <c r="H3039" s="55">
        <v>7.8672950000000005E-2</v>
      </c>
      <c r="I3039" s="55">
        <v>5.1393899999999999E-2</v>
      </c>
      <c r="J3039" s="55">
        <v>3.6297839999999999</v>
      </c>
      <c r="K3039" s="55">
        <v>1.4867710000000001</v>
      </c>
      <c r="L3039" s="55">
        <v>4.6774999999999997E-2</v>
      </c>
      <c r="M3039" s="55">
        <v>8.9562749999999997E-2</v>
      </c>
      <c r="N3039" s="55">
        <v>8.9562749999999997E-2</v>
      </c>
    </row>
    <row r="3040" spans="1:14" hidden="1" x14ac:dyDescent="0.35">
      <c r="A3040" s="52" t="s">
        <v>672</v>
      </c>
      <c r="B3040" s="52" t="s">
        <v>73</v>
      </c>
      <c r="C3040" s="52" t="s">
        <v>87</v>
      </c>
      <c r="D3040" s="52" t="s">
        <v>208</v>
      </c>
      <c r="E3040" s="52" t="s">
        <v>584</v>
      </c>
      <c r="F3040" s="52" t="s">
        <v>581</v>
      </c>
      <c r="G3040" s="55" t="s">
        <v>279</v>
      </c>
      <c r="H3040" s="55"/>
      <c r="I3040" s="55"/>
      <c r="J3040" s="55"/>
      <c r="K3040" s="55"/>
      <c r="L3040" s="55"/>
      <c r="M3040" s="55"/>
      <c r="N3040" s="55">
        <v>0</v>
      </c>
    </row>
    <row r="3041" spans="1:14" hidden="1" x14ac:dyDescent="0.35">
      <c r="A3041" s="52" t="s">
        <v>672</v>
      </c>
      <c r="B3041" s="52" t="s">
        <v>73</v>
      </c>
      <c r="C3041" s="52" t="s">
        <v>87</v>
      </c>
      <c r="D3041" s="52" t="s">
        <v>208</v>
      </c>
      <c r="E3041" s="52" t="s">
        <v>584</v>
      </c>
      <c r="F3041" s="52" t="s">
        <v>26</v>
      </c>
      <c r="G3041" s="55" t="s">
        <v>275</v>
      </c>
      <c r="H3041" s="55">
        <v>-1.0195E-3</v>
      </c>
      <c r="I3041" s="55">
        <v>8.9500100000000001E-5</v>
      </c>
      <c r="J3041" s="55">
        <v>1.7585000000000001E-3</v>
      </c>
      <c r="K3041" s="55">
        <v>8.7000000000000001E-4</v>
      </c>
      <c r="L3041" s="55">
        <v>0</v>
      </c>
      <c r="M3041" s="55">
        <v>0</v>
      </c>
      <c r="N3041" s="55">
        <v>0</v>
      </c>
    </row>
    <row r="3042" spans="1:14" hidden="1" x14ac:dyDescent="0.35">
      <c r="A3042" s="52" t="s">
        <v>672</v>
      </c>
      <c r="B3042" s="52" t="s">
        <v>73</v>
      </c>
      <c r="C3042" s="52" t="s">
        <v>87</v>
      </c>
      <c r="D3042" s="52" t="s">
        <v>208</v>
      </c>
      <c r="E3042" s="52" t="s">
        <v>584</v>
      </c>
      <c r="F3042" s="52" t="s">
        <v>26</v>
      </c>
      <c r="G3042" s="55" t="s">
        <v>276</v>
      </c>
      <c r="H3042" s="55">
        <v>-2.0431999999999999E-2</v>
      </c>
      <c r="I3042" s="55">
        <v>-1.4102E-2</v>
      </c>
      <c r="J3042" s="55">
        <v>0</v>
      </c>
      <c r="K3042" s="55">
        <v>0</v>
      </c>
      <c r="L3042" s="55">
        <v>0</v>
      </c>
      <c r="M3042" s="55">
        <v>0</v>
      </c>
      <c r="N3042" s="55">
        <v>0</v>
      </c>
    </row>
    <row r="3043" spans="1:14" hidden="1" x14ac:dyDescent="0.35">
      <c r="A3043" s="52" t="s">
        <v>672</v>
      </c>
      <c r="B3043" s="52" t="s">
        <v>73</v>
      </c>
      <c r="C3043" s="52" t="s">
        <v>87</v>
      </c>
      <c r="D3043" s="52" t="s">
        <v>208</v>
      </c>
      <c r="E3043" s="52" t="s">
        <v>584</v>
      </c>
      <c r="F3043" s="52" t="s">
        <v>26</v>
      </c>
      <c r="G3043" s="55" t="s">
        <v>277</v>
      </c>
      <c r="H3043" s="55"/>
      <c r="I3043" s="55"/>
      <c r="J3043" s="55"/>
      <c r="K3043" s="55"/>
      <c r="L3043" s="55"/>
      <c r="M3043" s="55"/>
      <c r="N3043" s="55">
        <v>0</v>
      </c>
    </row>
    <row r="3044" spans="1:14" hidden="1" x14ac:dyDescent="0.35">
      <c r="A3044" s="52" t="s">
        <v>672</v>
      </c>
      <c r="B3044" s="52" t="s">
        <v>73</v>
      </c>
      <c r="C3044" s="52" t="s">
        <v>87</v>
      </c>
      <c r="D3044" s="52" t="s">
        <v>208</v>
      </c>
      <c r="E3044" s="52" t="s">
        <v>584</v>
      </c>
      <c r="F3044" s="52" t="s">
        <v>26</v>
      </c>
      <c r="G3044" s="55" t="s">
        <v>278</v>
      </c>
      <c r="H3044" s="55">
        <v>2.1451499999999998E-2</v>
      </c>
      <c r="I3044" s="55">
        <v>1.40135E-2</v>
      </c>
      <c r="J3044" s="55">
        <v>0</v>
      </c>
      <c r="K3044" s="55">
        <v>0</v>
      </c>
      <c r="L3044" s="55">
        <v>0</v>
      </c>
      <c r="M3044" s="55">
        <v>0</v>
      </c>
      <c r="N3044" s="55"/>
    </row>
    <row r="3045" spans="1:14" hidden="1" x14ac:dyDescent="0.35">
      <c r="A3045" s="52" t="s">
        <v>672</v>
      </c>
      <c r="B3045" s="52" t="s">
        <v>73</v>
      </c>
      <c r="C3045" s="52" t="s">
        <v>87</v>
      </c>
      <c r="D3045" s="52" t="s">
        <v>208</v>
      </c>
      <c r="E3045" s="52" t="s">
        <v>584</v>
      </c>
      <c r="F3045" s="52" t="s">
        <v>26</v>
      </c>
      <c r="G3045" s="55" t="s">
        <v>279</v>
      </c>
      <c r="H3045" s="55"/>
      <c r="I3045" s="55"/>
      <c r="J3045" s="55"/>
      <c r="K3045" s="55"/>
      <c r="L3045" s="55"/>
      <c r="M3045" s="55"/>
      <c r="N3045" s="55">
        <v>0</v>
      </c>
    </row>
    <row r="3046" spans="1:14" hidden="1" x14ac:dyDescent="0.35">
      <c r="A3046" s="52" t="s">
        <v>672</v>
      </c>
      <c r="B3046" s="52" t="s">
        <v>73</v>
      </c>
      <c r="C3046" s="52" t="s">
        <v>87</v>
      </c>
      <c r="D3046" s="52" t="s">
        <v>331</v>
      </c>
      <c r="E3046" s="52" t="s">
        <v>584</v>
      </c>
      <c r="F3046" s="52" t="s">
        <v>581</v>
      </c>
      <c r="G3046" s="55" t="s">
        <v>275</v>
      </c>
      <c r="H3046" s="55">
        <v>1.0269999999999999E-3</v>
      </c>
      <c r="I3046" s="55">
        <v>6.8720000000000001E-4</v>
      </c>
      <c r="J3046" s="55">
        <v>3.2239999999999998E-4</v>
      </c>
      <c r="K3046" s="55">
        <v>0</v>
      </c>
      <c r="L3046" s="55"/>
      <c r="M3046" s="55"/>
      <c r="N3046" s="55"/>
    </row>
    <row r="3047" spans="1:14" hidden="1" x14ac:dyDescent="0.35">
      <c r="A3047" s="52" t="s">
        <v>672</v>
      </c>
      <c r="B3047" s="52" t="s">
        <v>73</v>
      </c>
      <c r="C3047" s="52" t="s">
        <v>87</v>
      </c>
      <c r="D3047" s="52" t="s">
        <v>331</v>
      </c>
      <c r="E3047" s="52" t="s">
        <v>584</v>
      </c>
      <c r="F3047" s="52" t="s">
        <v>581</v>
      </c>
      <c r="G3047" s="55" t="s">
        <v>276</v>
      </c>
      <c r="H3047" s="55">
        <v>-1.0269999999999999E-3</v>
      </c>
      <c r="I3047" s="55">
        <v>-6.8720000000000001E-4</v>
      </c>
      <c r="J3047" s="55">
        <v>0</v>
      </c>
      <c r="K3047" s="55">
        <v>0</v>
      </c>
      <c r="L3047" s="55"/>
      <c r="M3047" s="55"/>
      <c r="N3047" s="55"/>
    </row>
    <row r="3048" spans="1:14" hidden="1" x14ac:dyDescent="0.35">
      <c r="A3048" s="52" t="s">
        <v>672</v>
      </c>
      <c r="B3048" s="52" t="s">
        <v>73</v>
      </c>
      <c r="C3048" s="52" t="s">
        <v>87</v>
      </c>
      <c r="D3048" s="52" t="s">
        <v>331</v>
      </c>
      <c r="E3048" s="52" t="s">
        <v>584</v>
      </c>
      <c r="F3048" s="52" t="s">
        <v>581</v>
      </c>
      <c r="G3048" s="55" t="s">
        <v>278</v>
      </c>
      <c r="H3048" s="55">
        <v>0</v>
      </c>
      <c r="I3048" s="55"/>
      <c r="J3048" s="55"/>
      <c r="K3048" s="55"/>
      <c r="L3048" s="55"/>
      <c r="M3048" s="55"/>
      <c r="N3048" s="55"/>
    </row>
    <row r="3049" spans="1:14" hidden="1" x14ac:dyDescent="0.35">
      <c r="A3049" s="52" t="s">
        <v>672</v>
      </c>
      <c r="B3049" s="52" t="s">
        <v>73</v>
      </c>
      <c r="C3049" s="52" t="s">
        <v>87</v>
      </c>
      <c r="D3049" s="52" t="s">
        <v>332</v>
      </c>
      <c r="E3049" s="52" t="s">
        <v>584</v>
      </c>
      <c r="F3049" s="52" t="s">
        <v>581</v>
      </c>
      <c r="G3049" s="55" t="s">
        <v>275</v>
      </c>
      <c r="H3049" s="55">
        <v>-1.2243E-3</v>
      </c>
      <c r="I3049" s="55">
        <v>1.072499E-4</v>
      </c>
      <c r="J3049" s="55">
        <v>0</v>
      </c>
      <c r="K3049" s="55">
        <v>0</v>
      </c>
      <c r="L3049" s="55">
        <v>0</v>
      </c>
      <c r="M3049" s="55">
        <v>0</v>
      </c>
      <c r="N3049" s="55">
        <v>0</v>
      </c>
    </row>
    <row r="3050" spans="1:14" hidden="1" x14ac:dyDescent="0.35">
      <c r="A3050" s="52" t="s">
        <v>672</v>
      </c>
      <c r="B3050" s="52" t="s">
        <v>73</v>
      </c>
      <c r="C3050" s="52" t="s">
        <v>87</v>
      </c>
      <c r="D3050" s="52" t="s">
        <v>332</v>
      </c>
      <c r="E3050" s="52" t="s">
        <v>584</v>
      </c>
      <c r="F3050" s="52" t="s">
        <v>581</v>
      </c>
      <c r="G3050" s="55" t="s">
        <v>276</v>
      </c>
      <c r="H3050" s="55">
        <v>-2.4538250000000001E-2</v>
      </c>
      <c r="I3050" s="55">
        <v>-1.6936150000000001E-2</v>
      </c>
      <c r="J3050" s="55">
        <v>-1.7919069999999999</v>
      </c>
      <c r="K3050" s="55">
        <v>-0.30718869999999998</v>
      </c>
      <c r="L3050" s="55">
        <v>-1.9304999999999999E-2</v>
      </c>
      <c r="M3050" s="55">
        <v>-0.1152036</v>
      </c>
      <c r="N3050" s="55">
        <v>-3.8837150000000001E-2</v>
      </c>
    </row>
    <row r="3051" spans="1:14" hidden="1" x14ac:dyDescent="0.35">
      <c r="A3051" s="52" t="s">
        <v>672</v>
      </c>
      <c r="B3051" s="52" t="s">
        <v>73</v>
      </c>
      <c r="C3051" s="52" t="s">
        <v>87</v>
      </c>
      <c r="D3051" s="52" t="s">
        <v>332</v>
      </c>
      <c r="E3051" s="52" t="s">
        <v>584</v>
      </c>
      <c r="F3051" s="52" t="s">
        <v>581</v>
      </c>
      <c r="G3051" s="55" t="s">
        <v>277</v>
      </c>
      <c r="H3051" s="55"/>
      <c r="I3051" s="55"/>
      <c r="J3051" s="55"/>
      <c r="K3051" s="55">
        <v>0</v>
      </c>
      <c r="L3051" s="55">
        <v>3.9874999999999997E-3</v>
      </c>
      <c r="M3051" s="55">
        <v>8.3737500000000006E-2</v>
      </c>
      <c r="N3051" s="55">
        <v>0</v>
      </c>
    </row>
    <row r="3052" spans="1:14" hidden="1" x14ac:dyDescent="0.35">
      <c r="A3052" s="52" t="s">
        <v>672</v>
      </c>
      <c r="B3052" s="52" t="s">
        <v>73</v>
      </c>
      <c r="C3052" s="52" t="s">
        <v>87</v>
      </c>
      <c r="D3052" s="52" t="s">
        <v>332</v>
      </c>
      <c r="E3052" s="52" t="s">
        <v>584</v>
      </c>
      <c r="F3052" s="52" t="s">
        <v>581</v>
      </c>
      <c r="G3052" s="55" t="s">
        <v>278</v>
      </c>
      <c r="H3052" s="55">
        <v>2.5762E-2</v>
      </c>
      <c r="I3052" s="55">
        <v>1.6829449999999999E-2</v>
      </c>
      <c r="J3052" s="55">
        <v>1.7919069999999999</v>
      </c>
      <c r="K3052" s="55">
        <v>0.30718820000000002</v>
      </c>
      <c r="L3052" s="55">
        <v>1.5316949999999999E-2</v>
      </c>
      <c r="M3052" s="55">
        <v>3.1466050000000002E-2</v>
      </c>
      <c r="N3052" s="55">
        <v>3.1466050000000002E-2</v>
      </c>
    </row>
    <row r="3053" spans="1:14" hidden="1" x14ac:dyDescent="0.35">
      <c r="A3053" s="52" t="s">
        <v>672</v>
      </c>
      <c r="B3053" s="52" t="s">
        <v>73</v>
      </c>
      <c r="C3053" s="52" t="s">
        <v>87</v>
      </c>
      <c r="D3053" s="52" t="s">
        <v>332</v>
      </c>
      <c r="E3053" s="52" t="s">
        <v>584</v>
      </c>
      <c r="F3053" s="52" t="s">
        <v>581</v>
      </c>
      <c r="G3053" s="55" t="s">
        <v>279</v>
      </c>
      <c r="H3053" s="55"/>
      <c r="I3053" s="55"/>
      <c r="J3053" s="55"/>
      <c r="K3053" s="55"/>
      <c r="L3053" s="55"/>
      <c r="M3053" s="55">
        <v>0</v>
      </c>
      <c r="N3053" s="55">
        <v>7.3716500000000004E-3</v>
      </c>
    </row>
    <row r="3054" spans="1:14" hidden="1" x14ac:dyDescent="0.35">
      <c r="A3054" s="52" t="s">
        <v>672</v>
      </c>
      <c r="B3054" s="52" t="s">
        <v>73</v>
      </c>
      <c r="C3054" s="52" t="s">
        <v>87</v>
      </c>
      <c r="D3054" s="52" t="s">
        <v>332</v>
      </c>
      <c r="E3054" s="52" t="s">
        <v>584</v>
      </c>
      <c r="F3054" s="52" t="s">
        <v>26</v>
      </c>
      <c r="G3054" s="55" t="s">
        <v>275</v>
      </c>
      <c r="H3054" s="55"/>
      <c r="I3054" s="55"/>
      <c r="J3054" s="55"/>
      <c r="K3054" s="55"/>
      <c r="L3054" s="55"/>
      <c r="M3054" s="55">
        <v>0</v>
      </c>
      <c r="N3054" s="55">
        <v>0</v>
      </c>
    </row>
    <row r="3055" spans="1:14" hidden="1" x14ac:dyDescent="0.35">
      <c r="A3055" s="52" t="s">
        <v>672</v>
      </c>
      <c r="B3055" s="52" t="s">
        <v>73</v>
      </c>
      <c r="C3055" s="52" t="s">
        <v>87</v>
      </c>
      <c r="D3055" s="52" t="s">
        <v>332</v>
      </c>
      <c r="E3055" s="52" t="s">
        <v>584</v>
      </c>
      <c r="F3055" s="52" t="s">
        <v>26</v>
      </c>
      <c r="G3055" s="55" t="s">
        <v>276</v>
      </c>
      <c r="H3055" s="55"/>
      <c r="I3055" s="55"/>
      <c r="J3055" s="55"/>
      <c r="K3055" s="55"/>
      <c r="L3055" s="55"/>
      <c r="M3055" s="55">
        <v>0</v>
      </c>
      <c r="N3055" s="55">
        <v>-5.7034999999999996E-4</v>
      </c>
    </row>
    <row r="3056" spans="1:14" hidden="1" x14ac:dyDescent="0.35">
      <c r="A3056" s="52" t="s">
        <v>672</v>
      </c>
      <c r="B3056" s="52" t="s">
        <v>73</v>
      </c>
      <c r="C3056" s="52" t="s">
        <v>87</v>
      </c>
      <c r="D3056" s="52" t="s">
        <v>332</v>
      </c>
      <c r="E3056" s="52" t="s">
        <v>584</v>
      </c>
      <c r="F3056" s="52" t="s">
        <v>26</v>
      </c>
      <c r="G3056" s="55" t="s">
        <v>279</v>
      </c>
      <c r="H3056" s="55"/>
      <c r="I3056" s="55"/>
      <c r="J3056" s="55"/>
      <c r="K3056" s="55"/>
      <c r="L3056" s="55"/>
      <c r="M3056" s="55">
        <v>0</v>
      </c>
      <c r="N3056" s="55">
        <v>5.7034999999999996E-4</v>
      </c>
    </row>
    <row r="3057" spans="1:14" hidden="1" x14ac:dyDescent="0.35">
      <c r="A3057" s="52" t="s">
        <v>672</v>
      </c>
      <c r="B3057" s="52" t="s">
        <v>73</v>
      </c>
      <c r="C3057" s="52" t="s">
        <v>71</v>
      </c>
      <c r="D3057" s="52" t="s">
        <v>140</v>
      </c>
      <c r="E3057" s="52" t="s">
        <v>584</v>
      </c>
      <c r="F3057" s="52" t="s">
        <v>581</v>
      </c>
      <c r="G3057" s="55" t="s">
        <v>275</v>
      </c>
      <c r="H3057" s="55">
        <v>166.613</v>
      </c>
      <c r="I3057" s="55">
        <v>81.127369999999999</v>
      </c>
      <c r="J3057" s="55">
        <v>61.963050000000003</v>
      </c>
      <c r="K3057" s="55">
        <v>37.4024</v>
      </c>
      <c r="L3057" s="55">
        <v>36.223320000000001</v>
      </c>
      <c r="M3057" s="55">
        <v>32.648870000000002</v>
      </c>
      <c r="N3057" s="55">
        <v>64.759529999999998</v>
      </c>
    </row>
    <row r="3058" spans="1:14" hidden="1" x14ac:dyDescent="0.35">
      <c r="A3058" s="52" t="s">
        <v>672</v>
      </c>
      <c r="B3058" s="52" t="s">
        <v>73</v>
      </c>
      <c r="C3058" s="52" t="s">
        <v>71</v>
      </c>
      <c r="D3058" s="52" t="s">
        <v>140</v>
      </c>
      <c r="E3058" s="52" t="s">
        <v>584</v>
      </c>
      <c r="F3058" s="52" t="s">
        <v>581</v>
      </c>
      <c r="G3058" s="55" t="s">
        <v>276</v>
      </c>
      <c r="H3058" s="55">
        <v>432.10860000000002</v>
      </c>
      <c r="I3058" s="55">
        <v>101.97790000000001</v>
      </c>
      <c r="J3058" s="55">
        <v>103.8596</v>
      </c>
      <c r="K3058" s="55">
        <v>75.445790000000002</v>
      </c>
      <c r="L3058" s="55">
        <v>50.829940000000001</v>
      </c>
      <c r="M3058" s="55">
        <v>29.611619999999998</v>
      </c>
      <c r="N3058" s="55">
        <v>18.442959999999999</v>
      </c>
    </row>
    <row r="3059" spans="1:14" hidden="1" x14ac:dyDescent="0.35">
      <c r="A3059" s="52" t="s">
        <v>672</v>
      </c>
      <c r="B3059" s="52" t="s">
        <v>73</v>
      </c>
      <c r="C3059" s="52" t="s">
        <v>71</v>
      </c>
      <c r="D3059" s="52" t="s">
        <v>140</v>
      </c>
      <c r="E3059" s="52" t="s">
        <v>584</v>
      </c>
      <c r="F3059" s="52" t="s">
        <v>581</v>
      </c>
      <c r="G3059" s="55" t="s">
        <v>277</v>
      </c>
      <c r="H3059" s="55">
        <v>73.516900000000007</v>
      </c>
      <c r="I3059" s="55">
        <v>71.126630000000006</v>
      </c>
      <c r="J3059" s="55">
        <v>68.112840000000006</v>
      </c>
      <c r="K3059" s="55">
        <v>69.972340000000003</v>
      </c>
      <c r="L3059" s="55">
        <v>59.507510000000003</v>
      </c>
      <c r="M3059" s="55">
        <v>50.015210000000003</v>
      </c>
      <c r="N3059" s="55">
        <v>0</v>
      </c>
    </row>
    <row r="3060" spans="1:14" hidden="1" x14ac:dyDescent="0.35">
      <c r="A3060" s="52" t="s">
        <v>672</v>
      </c>
      <c r="B3060" s="52" t="s">
        <v>73</v>
      </c>
      <c r="C3060" s="52" t="s">
        <v>71</v>
      </c>
      <c r="D3060" s="52" t="s">
        <v>140</v>
      </c>
      <c r="E3060" s="52" t="s">
        <v>584</v>
      </c>
      <c r="F3060" s="52" t="s">
        <v>581</v>
      </c>
      <c r="G3060" s="55" t="s">
        <v>278</v>
      </c>
      <c r="H3060" s="55">
        <v>4.4060250000000002E-2</v>
      </c>
      <c r="I3060" s="55">
        <v>0</v>
      </c>
      <c r="J3060" s="55"/>
      <c r="K3060" s="55">
        <v>0</v>
      </c>
      <c r="L3060" s="55"/>
      <c r="M3060" s="55"/>
      <c r="N3060" s="55"/>
    </row>
    <row r="3061" spans="1:14" hidden="1" x14ac:dyDescent="0.35">
      <c r="A3061" s="52" t="s">
        <v>672</v>
      </c>
      <c r="B3061" s="52" t="s">
        <v>73</v>
      </c>
      <c r="C3061" s="52" t="s">
        <v>71</v>
      </c>
      <c r="D3061" s="52" t="s">
        <v>140</v>
      </c>
      <c r="E3061" s="52" t="s">
        <v>584</v>
      </c>
      <c r="F3061" s="52" t="s">
        <v>581</v>
      </c>
      <c r="G3061" s="55" t="s">
        <v>279</v>
      </c>
      <c r="H3061" s="55">
        <v>101.3052</v>
      </c>
      <c r="I3061" s="55">
        <v>94.455119999999994</v>
      </c>
      <c r="J3061" s="55">
        <v>91.912649999999999</v>
      </c>
      <c r="K3061" s="55">
        <v>107.2129</v>
      </c>
      <c r="L3061" s="55">
        <v>106.2704</v>
      </c>
      <c r="M3061" s="55">
        <v>105.55200000000001</v>
      </c>
      <c r="N3061" s="55">
        <v>105.3402</v>
      </c>
    </row>
    <row r="3062" spans="1:14" hidden="1" x14ac:dyDescent="0.35">
      <c r="A3062" s="52" t="s">
        <v>672</v>
      </c>
      <c r="B3062" s="52" t="s">
        <v>73</v>
      </c>
      <c r="C3062" s="52" t="s">
        <v>71</v>
      </c>
      <c r="D3062" s="52" t="s">
        <v>140</v>
      </c>
      <c r="E3062" s="52" t="s">
        <v>584</v>
      </c>
      <c r="F3062" s="52" t="s">
        <v>26</v>
      </c>
      <c r="G3062" s="55" t="s">
        <v>275</v>
      </c>
      <c r="H3062" s="55">
        <v>14.47423</v>
      </c>
      <c r="I3062" s="55">
        <v>10.407439999999999</v>
      </c>
      <c r="J3062" s="55">
        <v>11.83474</v>
      </c>
      <c r="K3062" s="55">
        <v>11.39029</v>
      </c>
      <c r="L3062" s="55">
        <v>10.36228</v>
      </c>
      <c r="M3062" s="55">
        <v>8.9185090000000002</v>
      </c>
      <c r="N3062" s="55">
        <v>7.7053630000000002</v>
      </c>
    </row>
    <row r="3063" spans="1:14" hidden="1" x14ac:dyDescent="0.35">
      <c r="A3063" s="52" t="s">
        <v>672</v>
      </c>
      <c r="B3063" s="52" t="s">
        <v>73</v>
      </c>
      <c r="C3063" s="52" t="s">
        <v>71</v>
      </c>
      <c r="D3063" s="52" t="s">
        <v>140</v>
      </c>
      <c r="E3063" s="52" t="s">
        <v>584</v>
      </c>
      <c r="F3063" s="52" t="s">
        <v>26</v>
      </c>
      <c r="G3063" s="55" t="s">
        <v>276</v>
      </c>
      <c r="H3063" s="55">
        <v>51.724319999999999</v>
      </c>
      <c r="I3063" s="55">
        <v>37.168190000000003</v>
      </c>
      <c r="J3063" s="55">
        <v>42.018949999999997</v>
      </c>
      <c r="K3063" s="55">
        <v>40.653689999999997</v>
      </c>
      <c r="L3063" s="55">
        <v>36.968710000000002</v>
      </c>
      <c r="M3063" s="55">
        <v>31.786269999999998</v>
      </c>
      <c r="N3063" s="55">
        <v>27.365359999999999</v>
      </c>
    </row>
    <row r="3064" spans="1:14" hidden="1" x14ac:dyDescent="0.35">
      <c r="A3064" s="52" t="s">
        <v>672</v>
      </c>
      <c r="B3064" s="52" t="s">
        <v>73</v>
      </c>
      <c r="C3064" s="52" t="s">
        <v>71</v>
      </c>
      <c r="D3064" s="52" t="s">
        <v>140</v>
      </c>
      <c r="E3064" s="52" t="s">
        <v>584</v>
      </c>
      <c r="F3064" s="52" t="s">
        <v>26</v>
      </c>
      <c r="G3064" s="55" t="s">
        <v>277</v>
      </c>
      <c r="H3064" s="55"/>
      <c r="I3064" s="55"/>
      <c r="J3064" s="55"/>
      <c r="K3064" s="55">
        <v>0</v>
      </c>
      <c r="L3064" s="55">
        <v>4.7124999999999997E-3</v>
      </c>
      <c r="M3064" s="55">
        <v>4.7124999999999997E-3</v>
      </c>
      <c r="N3064" s="55">
        <v>9.4250009999999995E-2</v>
      </c>
    </row>
    <row r="3065" spans="1:14" hidden="1" x14ac:dyDescent="0.35">
      <c r="A3065" s="52" t="s">
        <v>672</v>
      </c>
      <c r="B3065" s="52" t="s">
        <v>73</v>
      </c>
      <c r="C3065" s="52" t="s">
        <v>71</v>
      </c>
      <c r="D3065" s="52" t="s">
        <v>140</v>
      </c>
      <c r="E3065" s="52" t="s">
        <v>584</v>
      </c>
      <c r="F3065" s="52" t="s">
        <v>26</v>
      </c>
      <c r="G3065" s="55" t="s">
        <v>278</v>
      </c>
      <c r="H3065" s="55"/>
      <c r="I3065" s="55">
        <v>2.878265E-2</v>
      </c>
      <c r="J3065" s="55">
        <v>0.25440869999999999</v>
      </c>
      <c r="K3065" s="55">
        <v>2.919865E-2</v>
      </c>
      <c r="L3065" s="55">
        <v>2.6195650000000001E-2</v>
      </c>
      <c r="M3065" s="55">
        <v>5.3814800000000003E-2</v>
      </c>
      <c r="N3065" s="55">
        <v>5.3814800000000003E-2</v>
      </c>
    </row>
    <row r="3066" spans="1:14" hidden="1" x14ac:dyDescent="0.35">
      <c r="A3066" s="52" t="s">
        <v>672</v>
      </c>
      <c r="B3066" s="52" t="s">
        <v>73</v>
      </c>
      <c r="C3066" s="52" t="s">
        <v>71</v>
      </c>
      <c r="D3066" s="52" t="s">
        <v>140</v>
      </c>
      <c r="E3066" s="52" t="s">
        <v>584</v>
      </c>
      <c r="F3066" s="52" t="s">
        <v>26</v>
      </c>
      <c r="G3066" s="55" t="s">
        <v>279</v>
      </c>
      <c r="H3066" s="55">
        <v>15.128019999999999</v>
      </c>
      <c r="I3066" s="55">
        <v>12.14522</v>
      </c>
      <c r="J3066" s="55">
        <v>8.6195740000000001</v>
      </c>
      <c r="K3066" s="55">
        <v>7.7337300000000004</v>
      </c>
      <c r="L3066" s="55">
        <v>4.7629650000000003</v>
      </c>
      <c r="M3066" s="55">
        <v>4.1642469999999996</v>
      </c>
      <c r="N3066" s="55">
        <v>3.6636120000000001</v>
      </c>
    </row>
    <row r="3067" spans="1:14" hidden="1" x14ac:dyDescent="0.35">
      <c r="A3067" s="52" t="s">
        <v>672</v>
      </c>
      <c r="B3067" s="52" t="s">
        <v>73</v>
      </c>
      <c r="C3067" s="52" t="s">
        <v>71</v>
      </c>
      <c r="D3067" s="52" t="s">
        <v>142</v>
      </c>
      <c r="E3067" s="52" t="s">
        <v>584</v>
      </c>
      <c r="F3067" s="52" t="s">
        <v>581</v>
      </c>
      <c r="G3067" s="55" t="s">
        <v>275</v>
      </c>
      <c r="H3067" s="55">
        <v>188.74889999999999</v>
      </c>
      <c r="I3067" s="55">
        <v>102.6855</v>
      </c>
      <c r="J3067" s="55">
        <v>36.951160000000002</v>
      </c>
      <c r="K3067" s="55">
        <v>64.853870000000001</v>
      </c>
      <c r="L3067" s="55">
        <v>65.810860000000005</v>
      </c>
      <c r="M3067" s="55">
        <v>63.303669999999997</v>
      </c>
      <c r="N3067" s="55">
        <v>48.710070000000002</v>
      </c>
    </row>
    <row r="3068" spans="1:14" hidden="1" x14ac:dyDescent="0.35">
      <c r="A3068" s="52" t="s">
        <v>672</v>
      </c>
      <c r="B3068" s="52" t="s">
        <v>73</v>
      </c>
      <c r="C3068" s="52" t="s">
        <v>71</v>
      </c>
      <c r="D3068" s="52" t="s">
        <v>142</v>
      </c>
      <c r="E3068" s="52" t="s">
        <v>584</v>
      </c>
      <c r="F3068" s="52" t="s">
        <v>581</v>
      </c>
      <c r="G3068" s="55" t="s">
        <v>276</v>
      </c>
      <c r="H3068" s="55">
        <v>140.49870000000001</v>
      </c>
      <c r="I3068" s="55">
        <v>16.560690000000001</v>
      </c>
      <c r="J3068" s="55">
        <v>29.914439999999999</v>
      </c>
      <c r="K3068" s="55">
        <v>73.568600000000004</v>
      </c>
      <c r="L3068" s="55">
        <v>106.065</v>
      </c>
      <c r="M3068" s="55">
        <v>85.227999999999994</v>
      </c>
      <c r="N3068" s="55">
        <v>71.624600000000001</v>
      </c>
    </row>
    <row r="3069" spans="1:14" hidden="1" x14ac:dyDescent="0.35">
      <c r="A3069" s="52" t="s">
        <v>672</v>
      </c>
      <c r="B3069" s="52" t="s">
        <v>73</v>
      </c>
      <c r="C3069" s="52" t="s">
        <v>71</v>
      </c>
      <c r="D3069" s="52" t="s">
        <v>142</v>
      </c>
      <c r="E3069" s="52" t="s">
        <v>584</v>
      </c>
      <c r="F3069" s="52" t="s">
        <v>581</v>
      </c>
      <c r="G3069" s="55" t="s">
        <v>277</v>
      </c>
      <c r="H3069" s="55">
        <v>65.525450000000006</v>
      </c>
      <c r="I3069" s="55">
        <v>73.005589999999998</v>
      </c>
      <c r="J3069" s="55">
        <v>100.7492</v>
      </c>
      <c r="K3069" s="55">
        <v>48.276020000000003</v>
      </c>
      <c r="L3069" s="55">
        <v>42.542969999999997</v>
      </c>
      <c r="M3069" s="55">
        <v>31.167179999999998</v>
      </c>
      <c r="N3069" s="55">
        <v>34.36609</v>
      </c>
    </row>
    <row r="3070" spans="1:14" hidden="1" x14ac:dyDescent="0.35">
      <c r="A3070" s="52" t="s">
        <v>672</v>
      </c>
      <c r="B3070" s="52" t="s">
        <v>73</v>
      </c>
      <c r="C3070" s="52" t="s">
        <v>71</v>
      </c>
      <c r="D3070" s="52" t="s">
        <v>142</v>
      </c>
      <c r="E3070" s="52" t="s">
        <v>584</v>
      </c>
      <c r="F3070" s="52" t="s">
        <v>581</v>
      </c>
      <c r="G3070" s="55" t="s">
        <v>278</v>
      </c>
      <c r="H3070" s="55">
        <v>9.4862649999999995</v>
      </c>
      <c r="I3070" s="55">
        <v>1.0518540000000001</v>
      </c>
      <c r="J3070" s="55">
        <v>12.394819999999999</v>
      </c>
      <c r="K3070" s="55">
        <v>4.5846679999999997</v>
      </c>
      <c r="L3070" s="55">
        <v>0.24571799999999999</v>
      </c>
      <c r="M3070" s="55">
        <v>2.5400969999999998</v>
      </c>
      <c r="N3070" s="55">
        <v>0.50478639999999997</v>
      </c>
    </row>
    <row r="3071" spans="1:14" hidden="1" x14ac:dyDescent="0.35">
      <c r="A3071" s="52" t="s">
        <v>672</v>
      </c>
      <c r="B3071" s="52" t="s">
        <v>73</v>
      </c>
      <c r="C3071" s="52" t="s">
        <v>71</v>
      </c>
      <c r="D3071" s="52" t="s">
        <v>142</v>
      </c>
      <c r="E3071" s="52" t="s">
        <v>584</v>
      </c>
      <c r="F3071" s="52" t="s">
        <v>581</v>
      </c>
      <c r="G3071" s="55" t="s">
        <v>279</v>
      </c>
      <c r="H3071" s="55">
        <v>38.267409999999998</v>
      </c>
      <c r="I3071" s="55">
        <v>33.489080000000001</v>
      </c>
      <c r="J3071" s="55">
        <v>31.233730000000001</v>
      </c>
      <c r="K3071" s="55">
        <v>44.704439999999998</v>
      </c>
      <c r="L3071" s="55">
        <v>48.32114</v>
      </c>
      <c r="M3071" s="55">
        <v>44.104140000000001</v>
      </c>
      <c r="N3071" s="55">
        <v>40.64922</v>
      </c>
    </row>
    <row r="3072" spans="1:14" hidden="1" x14ac:dyDescent="0.35">
      <c r="A3072" s="52" t="s">
        <v>672</v>
      </c>
      <c r="B3072" s="52" t="s">
        <v>73</v>
      </c>
      <c r="C3072" s="52" t="s">
        <v>71</v>
      </c>
      <c r="D3072" s="52" t="s">
        <v>142</v>
      </c>
      <c r="E3072" s="52" t="s">
        <v>584</v>
      </c>
      <c r="F3072" s="52" t="s">
        <v>26</v>
      </c>
      <c r="G3072" s="55" t="s">
        <v>275</v>
      </c>
      <c r="H3072" s="55">
        <v>7.4041079999999999</v>
      </c>
      <c r="I3072" s="55">
        <v>3.0965159999999998</v>
      </c>
      <c r="J3072" s="55">
        <v>1.6355139999999999</v>
      </c>
      <c r="K3072" s="55">
        <v>2.398765</v>
      </c>
      <c r="L3072" s="55">
        <v>3.0504760000000002</v>
      </c>
      <c r="M3072" s="55">
        <v>2.5756260000000002</v>
      </c>
      <c r="N3072" s="55">
        <v>2.0115259999999999</v>
      </c>
    </row>
    <row r="3073" spans="1:14" hidden="1" x14ac:dyDescent="0.35">
      <c r="A3073" s="52" t="s">
        <v>672</v>
      </c>
      <c r="B3073" s="52" t="s">
        <v>73</v>
      </c>
      <c r="C3073" s="52" t="s">
        <v>71</v>
      </c>
      <c r="D3073" s="52" t="s">
        <v>142</v>
      </c>
      <c r="E3073" s="52" t="s">
        <v>584</v>
      </c>
      <c r="F3073" s="52" t="s">
        <v>26</v>
      </c>
      <c r="G3073" s="55" t="s">
        <v>276</v>
      </c>
      <c r="H3073" s="55">
        <v>5.1085969999999996</v>
      </c>
      <c r="I3073" s="55">
        <v>-2.6220249999999998</v>
      </c>
      <c r="J3073" s="55">
        <v>10.896660000000001</v>
      </c>
      <c r="K3073" s="55">
        <v>8.2876609999999999</v>
      </c>
      <c r="L3073" s="55">
        <v>7.5449299999999999</v>
      </c>
      <c r="M3073" s="55">
        <v>5.7605810000000002</v>
      </c>
      <c r="N3073" s="55">
        <v>4.3560730000000003</v>
      </c>
    </row>
    <row r="3074" spans="1:14" hidden="1" x14ac:dyDescent="0.35">
      <c r="A3074" s="52" t="s">
        <v>672</v>
      </c>
      <c r="B3074" s="52" t="s">
        <v>73</v>
      </c>
      <c r="C3074" s="52" t="s">
        <v>71</v>
      </c>
      <c r="D3074" s="52" t="s">
        <v>142</v>
      </c>
      <c r="E3074" s="52" t="s">
        <v>584</v>
      </c>
      <c r="F3074" s="52" t="s">
        <v>26</v>
      </c>
      <c r="G3074" s="55" t="s">
        <v>277</v>
      </c>
      <c r="H3074" s="55">
        <v>0</v>
      </c>
      <c r="I3074" s="55">
        <v>0.18892539999999999</v>
      </c>
      <c r="J3074" s="55">
        <v>3.2482199999999999</v>
      </c>
      <c r="K3074" s="55">
        <v>0.85928610000000005</v>
      </c>
      <c r="L3074" s="55">
        <v>0</v>
      </c>
      <c r="M3074" s="55">
        <v>5.9450000000000003E-2</v>
      </c>
      <c r="N3074" s="55">
        <v>5.9450000000000003E-2</v>
      </c>
    </row>
    <row r="3075" spans="1:14" hidden="1" x14ac:dyDescent="0.35">
      <c r="A3075" s="52" t="s">
        <v>672</v>
      </c>
      <c r="B3075" s="52" t="s">
        <v>73</v>
      </c>
      <c r="C3075" s="52" t="s">
        <v>71</v>
      </c>
      <c r="D3075" s="52" t="s">
        <v>142</v>
      </c>
      <c r="E3075" s="52" t="s">
        <v>584</v>
      </c>
      <c r="F3075" s="52" t="s">
        <v>26</v>
      </c>
      <c r="G3075" s="55" t="s">
        <v>278</v>
      </c>
      <c r="H3075" s="55">
        <v>2.2405600000000001E-2</v>
      </c>
      <c r="I3075" s="55">
        <v>11.304650000000001</v>
      </c>
      <c r="J3075" s="55">
        <v>6.2870549999999997E-2</v>
      </c>
      <c r="K3075" s="55">
        <v>5.3093349999999997E-2</v>
      </c>
      <c r="L3075" s="55">
        <v>4.7632599999999997E-2</v>
      </c>
      <c r="M3075" s="55">
        <v>9.7853350000000006E-2</v>
      </c>
      <c r="N3075" s="55">
        <v>9.785336E-2</v>
      </c>
    </row>
    <row r="3076" spans="1:14" hidden="1" x14ac:dyDescent="0.35">
      <c r="A3076" s="52" t="s">
        <v>672</v>
      </c>
      <c r="B3076" s="52" t="s">
        <v>73</v>
      </c>
      <c r="C3076" s="52" t="s">
        <v>71</v>
      </c>
      <c r="D3076" s="52" t="s">
        <v>142</v>
      </c>
      <c r="E3076" s="52" t="s">
        <v>584</v>
      </c>
      <c r="F3076" s="52" t="s">
        <v>26</v>
      </c>
      <c r="G3076" s="55" t="s">
        <v>279</v>
      </c>
      <c r="H3076" s="55">
        <v>13.087949999999999</v>
      </c>
      <c r="I3076" s="55">
        <v>12.36867</v>
      </c>
      <c r="J3076" s="55">
        <v>12.997920000000001</v>
      </c>
      <c r="K3076" s="55">
        <v>18.117239999999999</v>
      </c>
      <c r="L3076" s="55">
        <v>16.619679999999999</v>
      </c>
      <c r="M3076" s="55">
        <v>13.330679999999999</v>
      </c>
      <c r="N3076" s="55">
        <v>10.360189999999999</v>
      </c>
    </row>
    <row r="3077" spans="1:14" hidden="1" x14ac:dyDescent="0.35">
      <c r="A3077" s="52" t="s">
        <v>672</v>
      </c>
      <c r="B3077" s="52" t="s">
        <v>73</v>
      </c>
      <c r="C3077" s="52" t="s">
        <v>71</v>
      </c>
      <c r="D3077" s="52" t="s">
        <v>139</v>
      </c>
      <c r="E3077" s="52" t="s">
        <v>584</v>
      </c>
      <c r="F3077" s="52" t="s">
        <v>581</v>
      </c>
      <c r="G3077" s="55" t="s">
        <v>275</v>
      </c>
      <c r="H3077" s="55">
        <v>69.955929999999995</v>
      </c>
      <c r="I3077" s="55">
        <v>45.130310000000001</v>
      </c>
      <c r="J3077" s="55">
        <v>40.003459999999997</v>
      </c>
      <c r="K3077" s="55">
        <v>24.274750000000001</v>
      </c>
      <c r="L3077" s="55">
        <v>-0.76265550000000004</v>
      </c>
      <c r="M3077" s="55">
        <v>-32.197929999999999</v>
      </c>
      <c r="N3077" s="55">
        <v>-124.86</v>
      </c>
    </row>
    <row r="3078" spans="1:14" hidden="1" x14ac:dyDescent="0.35">
      <c r="A3078" s="52" t="s">
        <v>672</v>
      </c>
      <c r="B3078" s="52" t="s">
        <v>73</v>
      </c>
      <c r="C3078" s="52" t="s">
        <v>71</v>
      </c>
      <c r="D3078" s="52" t="s">
        <v>139</v>
      </c>
      <c r="E3078" s="52" t="s">
        <v>584</v>
      </c>
      <c r="F3078" s="52" t="s">
        <v>581</v>
      </c>
      <c r="G3078" s="55" t="s">
        <v>276</v>
      </c>
      <c r="H3078" s="55">
        <v>-36.124670000000002</v>
      </c>
      <c r="I3078" s="55">
        <v>36.753270000000001</v>
      </c>
      <c r="J3078" s="55">
        <v>55.225769999999997</v>
      </c>
      <c r="K3078" s="55">
        <v>27.33473</v>
      </c>
      <c r="L3078" s="55">
        <v>21.80245</v>
      </c>
      <c r="M3078" s="55">
        <v>-0.34933579999999997</v>
      </c>
      <c r="N3078" s="55">
        <v>-54.122340000000001</v>
      </c>
    </row>
    <row r="3079" spans="1:14" hidden="1" x14ac:dyDescent="0.35">
      <c r="A3079" s="52" t="s">
        <v>672</v>
      </c>
      <c r="B3079" s="52" t="s">
        <v>73</v>
      </c>
      <c r="C3079" s="52" t="s">
        <v>71</v>
      </c>
      <c r="D3079" s="52" t="s">
        <v>139</v>
      </c>
      <c r="E3079" s="52" t="s">
        <v>584</v>
      </c>
      <c r="F3079" s="52" t="s">
        <v>581</v>
      </c>
      <c r="G3079" s="55" t="s">
        <v>277</v>
      </c>
      <c r="H3079" s="55">
        <v>19.323070000000001</v>
      </c>
      <c r="I3079" s="55">
        <v>6.8954459999999997</v>
      </c>
      <c r="J3079" s="55">
        <v>8.8092419999999994</v>
      </c>
      <c r="K3079" s="55">
        <v>12.378270000000001</v>
      </c>
      <c r="L3079" s="55">
        <v>20.34995</v>
      </c>
      <c r="M3079" s="55">
        <v>56.516399999999997</v>
      </c>
      <c r="N3079" s="55">
        <v>163.83600000000001</v>
      </c>
    </row>
    <row r="3080" spans="1:14" hidden="1" x14ac:dyDescent="0.35">
      <c r="A3080" s="52" t="s">
        <v>672</v>
      </c>
      <c r="B3080" s="52" t="s">
        <v>73</v>
      </c>
      <c r="C3080" s="52" t="s">
        <v>71</v>
      </c>
      <c r="D3080" s="52" t="s">
        <v>139</v>
      </c>
      <c r="E3080" s="52" t="s">
        <v>584</v>
      </c>
      <c r="F3080" s="52" t="s">
        <v>581</v>
      </c>
      <c r="G3080" s="55" t="s">
        <v>278</v>
      </c>
      <c r="H3080" s="55">
        <v>125.35760000000001</v>
      </c>
      <c r="I3080" s="55">
        <v>0.3656411</v>
      </c>
      <c r="J3080" s="55">
        <v>1.4144509999999999</v>
      </c>
      <c r="K3080" s="55">
        <v>6.6617480000000002</v>
      </c>
      <c r="L3080" s="55">
        <v>0.27184639999999999</v>
      </c>
      <c r="M3080" s="55">
        <v>0.55846209999999996</v>
      </c>
      <c r="N3080" s="55">
        <v>0.34204299999999999</v>
      </c>
    </row>
    <row r="3081" spans="1:14" hidden="1" x14ac:dyDescent="0.35">
      <c r="A3081" s="52" t="s">
        <v>672</v>
      </c>
      <c r="B3081" s="52" t="s">
        <v>73</v>
      </c>
      <c r="C3081" s="52" t="s">
        <v>71</v>
      </c>
      <c r="D3081" s="52" t="s">
        <v>139</v>
      </c>
      <c r="E3081" s="52" t="s">
        <v>584</v>
      </c>
      <c r="F3081" s="52" t="s">
        <v>581</v>
      </c>
      <c r="G3081" s="55" t="s">
        <v>279</v>
      </c>
      <c r="H3081" s="55">
        <v>21.031320000000001</v>
      </c>
      <c r="I3081" s="55">
        <v>19.002099999999999</v>
      </c>
      <c r="J3081" s="55">
        <v>20.229430000000001</v>
      </c>
      <c r="K3081" s="55">
        <v>21.43327</v>
      </c>
      <c r="L3081" s="55">
        <v>16.378050000000002</v>
      </c>
      <c r="M3081" s="55">
        <v>13.298970000000001</v>
      </c>
      <c r="N3081" s="55">
        <v>83.99897</v>
      </c>
    </row>
    <row r="3082" spans="1:14" hidden="1" x14ac:dyDescent="0.35">
      <c r="A3082" s="52" t="s">
        <v>672</v>
      </c>
      <c r="B3082" s="52" t="s">
        <v>73</v>
      </c>
      <c r="C3082" s="52" t="s">
        <v>71</v>
      </c>
      <c r="D3082" s="52" t="s">
        <v>139</v>
      </c>
      <c r="E3082" s="52" t="s">
        <v>584</v>
      </c>
      <c r="F3082" s="52" t="s">
        <v>26</v>
      </c>
      <c r="G3082" s="55" t="s">
        <v>275</v>
      </c>
      <c r="H3082" s="55">
        <v>3.9385309999999998</v>
      </c>
      <c r="I3082" s="55">
        <v>8.9281880000000005</v>
      </c>
      <c r="J3082" s="55">
        <v>8.2379730000000002</v>
      </c>
      <c r="K3082" s="55">
        <v>0.65791619999999995</v>
      </c>
      <c r="L3082" s="55">
        <v>-34.473759999999999</v>
      </c>
      <c r="M3082" s="55">
        <v>-84.591750000000005</v>
      </c>
      <c r="N3082" s="55">
        <v>-16.217549999999999</v>
      </c>
    </row>
    <row r="3083" spans="1:14" hidden="1" x14ac:dyDescent="0.35">
      <c r="A3083" s="52" t="s">
        <v>672</v>
      </c>
      <c r="B3083" s="52" t="s">
        <v>73</v>
      </c>
      <c r="C3083" s="52" t="s">
        <v>71</v>
      </c>
      <c r="D3083" s="52" t="s">
        <v>139</v>
      </c>
      <c r="E3083" s="52" t="s">
        <v>584</v>
      </c>
      <c r="F3083" s="52" t="s">
        <v>26</v>
      </c>
      <c r="G3083" s="55" t="s">
        <v>276</v>
      </c>
      <c r="H3083" s="55">
        <v>-16.01437</v>
      </c>
      <c r="I3083" s="55">
        <v>0.87824619999999998</v>
      </c>
      <c r="J3083" s="55">
        <v>1.356436</v>
      </c>
      <c r="K3083" s="55">
        <v>-2.13855</v>
      </c>
      <c r="L3083" s="55">
        <v>-3.4083950000000001</v>
      </c>
      <c r="M3083" s="55">
        <v>-22.058070000000001</v>
      </c>
      <c r="N3083" s="55">
        <v>6.8163049999999998</v>
      </c>
    </row>
    <row r="3084" spans="1:14" hidden="1" x14ac:dyDescent="0.35">
      <c r="A3084" s="52" t="s">
        <v>672</v>
      </c>
      <c r="B3084" s="52" t="s">
        <v>73</v>
      </c>
      <c r="C3084" s="52" t="s">
        <v>71</v>
      </c>
      <c r="D3084" s="52" t="s">
        <v>139</v>
      </c>
      <c r="E3084" s="52" t="s">
        <v>584</v>
      </c>
      <c r="F3084" s="52" t="s">
        <v>26</v>
      </c>
      <c r="G3084" s="55" t="s">
        <v>277</v>
      </c>
      <c r="H3084" s="55"/>
      <c r="I3084" s="55">
        <v>0</v>
      </c>
      <c r="J3084" s="55">
        <v>0.32500000000000001</v>
      </c>
      <c r="K3084" s="55">
        <v>3.5750000000000002</v>
      </c>
      <c r="L3084" s="55">
        <v>43.103850000000001</v>
      </c>
      <c r="M3084" s="55">
        <v>110.515</v>
      </c>
      <c r="N3084" s="55">
        <v>63.075040000000001</v>
      </c>
    </row>
    <row r="3085" spans="1:14" hidden="1" x14ac:dyDescent="0.35">
      <c r="A3085" s="52" t="s">
        <v>672</v>
      </c>
      <c r="B3085" s="52" t="s">
        <v>73</v>
      </c>
      <c r="C3085" s="52" t="s">
        <v>71</v>
      </c>
      <c r="D3085" s="52" t="s">
        <v>139</v>
      </c>
      <c r="E3085" s="52" t="s">
        <v>584</v>
      </c>
      <c r="F3085" s="52" t="s">
        <v>26</v>
      </c>
      <c r="G3085" s="55" t="s">
        <v>278</v>
      </c>
      <c r="H3085" s="55">
        <v>29.370010000000001</v>
      </c>
      <c r="I3085" s="55">
        <v>0.1026189</v>
      </c>
      <c r="J3085" s="55">
        <v>7.2532150000000004E-2</v>
      </c>
      <c r="K3085" s="55">
        <v>6.0131410000000001</v>
      </c>
      <c r="L3085" s="55">
        <v>5.4952099999999997E-2</v>
      </c>
      <c r="M3085" s="55">
        <v>0.1128904</v>
      </c>
      <c r="N3085" s="55">
        <v>0.1128904</v>
      </c>
    </row>
    <row r="3086" spans="1:14" hidden="1" x14ac:dyDescent="0.35">
      <c r="A3086" s="52" t="s">
        <v>672</v>
      </c>
      <c r="B3086" s="52" t="s">
        <v>73</v>
      </c>
      <c r="C3086" s="52" t="s">
        <v>71</v>
      </c>
      <c r="D3086" s="52" t="s">
        <v>139</v>
      </c>
      <c r="E3086" s="52" t="s">
        <v>584</v>
      </c>
      <c r="F3086" s="52" t="s">
        <v>26</v>
      </c>
      <c r="G3086" s="55" t="s">
        <v>279</v>
      </c>
      <c r="H3086" s="55">
        <v>3.600085</v>
      </c>
      <c r="I3086" s="55">
        <v>2.3265370000000001</v>
      </c>
      <c r="J3086" s="55">
        <v>1.212944</v>
      </c>
      <c r="K3086" s="55">
        <v>0.88148970000000004</v>
      </c>
      <c r="L3086" s="55">
        <v>0.79718409999999995</v>
      </c>
      <c r="M3086" s="55">
        <v>0.75592979999999999</v>
      </c>
      <c r="N3086" s="55">
        <v>15.61886</v>
      </c>
    </row>
    <row r="3087" spans="1:14" hidden="1" x14ac:dyDescent="0.35">
      <c r="A3087" s="52" t="s">
        <v>672</v>
      </c>
      <c r="B3087" s="52" t="s">
        <v>73</v>
      </c>
      <c r="C3087" s="52" t="s">
        <v>71</v>
      </c>
      <c r="D3087" s="52" t="s">
        <v>143</v>
      </c>
      <c r="E3087" s="52" t="s">
        <v>584</v>
      </c>
      <c r="F3087" s="52" t="s">
        <v>581</v>
      </c>
      <c r="G3087" s="55" t="s">
        <v>275</v>
      </c>
      <c r="H3087" s="55">
        <v>-38.915219999999998</v>
      </c>
      <c r="I3087" s="55">
        <v>8.4939450000000001</v>
      </c>
      <c r="J3087" s="55">
        <v>5.1856920000000004</v>
      </c>
      <c r="K3087" s="55">
        <v>1.231023</v>
      </c>
      <c r="L3087" s="55">
        <v>-63.171799999999998</v>
      </c>
      <c r="M3087" s="55">
        <v>-5.1298620000000001</v>
      </c>
      <c r="N3087" s="55">
        <v>-24.78856</v>
      </c>
    </row>
    <row r="3088" spans="1:14" hidden="1" x14ac:dyDescent="0.35">
      <c r="A3088" s="52" t="s">
        <v>672</v>
      </c>
      <c r="B3088" s="52" t="s">
        <v>73</v>
      </c>
      <c r="C3088" s="52" t="s">
        <v>71</v>
      </c>
      <c r="D3088" s="52" t="s">
        <v>143</v>
      </c>
      <c r="E3088" s="52" t="s">
        <v>584</v>
      </c>
      <c r="F3088" s="52" t="s">
        <v>581</v>
      </c>
      <c r="G3088" s="55" t="s">
        <v>276</v>
      </c>
      <c r="H3088" s="55">
        <v>5.4434009999999997</v>
      </c>
      <c r="I3088" s="55">
        <v>10.807499999999999</v>
      </c>
      <c r="J3088" s="55">
        <v>1.043812</v>
      </c>
      <c r="K3088" s="55">
        <v>3.680345</v>
      </c>
      <c r="L3088" s="55">
        <v>-12.309240000000001</v>
      </c>
      <c r="M3088" s="55">
        <v>3.5452539999999999</v>
      </c>
      <c r="N3088" s="55">
        <v>24.736609999999999</v>
      </c>
    </row>
    <row r="3089" spans="1:14" hidden="1" x14ac:dyDescent="0.35">
      <c r="A3089" s="52" t="s">
        <v>672</v>
      </c>
      <c r="B3089" s="52" t="s">
        <v>73</v>
      </c>
      <c r="C3089" s="52" t="s">
        <v>71</v>
      </c>
      <c r="D3089" s="52" t="s">
        <v>143</v>
      </c>
      <c r="E3089" s="52" t="s">
        <v>584</v>
      </c>
      <c r="F3089" s="52" t="s">
        <v>581</v>
      </c>
      <c r="G3089" s="55" t="s">
        <v>277</v>
      </c>
      <c r="H3089" s="55">
        <v>54.549520000000001</v>
      </c>
      <c r="I3089" s="55">
        <v>7.7642360000000004</v>
      </c>
      <c r="J3089" s="55">
        <v>12.24958</v>
      </c>
      <c r="K3089" s="55">
        <v>17.856000000000002</v>
      </c>
      <c r="L3089" s="55">
        <v>95.369190000000003</v>
      </c>
      <c r="M3089" s="55">
        <v>52.140120000000003</v>
      </c>
      <c r="N3089" s="55">
        <v>90.936160000000001</v>
      </c>
    </row>
    <row r="3090" spans="1:14" hidden="1" x14ac:dyDescent="0.35">
      <c r="A3090" s="52" t="s">
        <v>672</v>
      </c>
      <c r="B3090" s="52" t="s">
        <v>73</v>
      </c>
      <c r="C3090" s="52" t="s">
        <v>71</v>
      </c>
      <c r="D3090" s="52" t="s">
        <v>143</v>
      </c>
      <c r="E3090" s="52" t="s">
        <v>584</v>
      </c>
      <c r="F3090" s="52" t="s">
        <v>581</v>
      </c>
      <c r="G3090" s="55" t="s">
        <v>278</v>
      </c>
      <c r="H3090" s="55">
        <v>0.51026510000000003</v>
      </c>
      <c r="I3090" s="55">
        <v>4.2840850000000001</v>
      </c>
      <c r="J3090" s="55">
        <v>9.9929459999999999</v>
      </c>
      <c r="K3090" s="55">
        <v>0.27209620000000001</v>
      </c>
      <c r="L3090" s="55">
        <v>0.22278780000000001</v>
      </c>
      <c r="M3090" s="55">
        <v>0.45768140000000002</v>
      </c>
      <c r="N3090" s="55">
        <v>0.3202623</v>
      </c>
    </row>
    <row r="3091" spans="1:14" hidden="1" x14ac:dyDescent="0.35">
      <c r="A3091" s="52" t="s">
        <v>672</v>
      </c>
      <c r="B3091" s="52" t="s">
        <v>73</v>
      </c>
      <c r="C3091" s="52" t="s">
        <v>71</v>
      </c>
      <c r="D3091" s="52" t="s">
        <v>143</v>
      </c>
      <c r="E3091" s="52" t="s">
        <v>584</v>
      </c>
      <c r="F3091" s="52" t="s">
        <v>581</v>
      </c>
      <c r="G3091" s="55" t="s">
        <v>279</v>
      </c>
      <c r="H3091" s="55">
        <v>32.363190000000003</v>
      </c>
      <c r="I3091" s="55">
        <v>10.47052</v>
      </c>
      <c r="J3091" s="55">
        <v>2.6182919999999998</v>
      </c>
      <c r="K3091" s="55">
        <v>3.2155969999999998</v>
      </c>
      <c r="L3091" s="55">
        <v>3.068152</v>
      </c>
      <c r="M3091" s="55">
        <v>12.65667</v>
      </c>
      <c r="N3091" s="55">
        <v>18.96452</v>
      </c>
    </row>
    <row r="3092" spans="1:14" hidden="1" x14ac:dyDescent="0.35">
      <c r="A3092" s="52" t="s">
        <v>672</v>
      </c>
      <c r="B3092" s="52" t="s">
        <v>73</v>
      </c>
      <c r="C3092" s="52" t="s">
        <v>71</v>
      </c>
      <c r="D3092" s="52" t="s">
        <v>143</v>
      </c>
      <c r="E3092" s="52" t="s">
        <v>584</v>
      </c>
      <c r="F3092" s="52" t="s">
        <v>26</v>
      </c>
      <c r="G3092" s="55" t="s">
        <v>275</v>
      </c>
      <c r="H3092" s="55">
        <v>0.145762</v>
      </c>
      <c r="I3092" s="55">
        <v>-0.12362579999999999</v>
      </c>
      <c r="J3092" s="55">
        <v>0.1246965</v>
      </c>
      <c r="K3092" s="55">
        <v>5.247226E-2</v>
      </c>
      <c r="L3092" s="55">
        <v>-0.7310991</v>
      </c>
      <c r="M3092" s="55">
        <v>-0.28191270000000002</v>
      </c>
      <c r="N3092" s="55">
        <v>-0.88519060000000005</v>
      </c>
    </row>
    <row r="3093" spans="1:14" hidden="1" x14ac:dyDescent="0.35">
      <c r="A3093" s="52" t="s">
        <v>672</v>
      </c>
      <c r="B3093" s="52" t="s">
        <v>73</v>
      </c>
      <c r="C3093" s="52" t="s">
        <v>71</v>
      </c>
      <c r="D3093" s="52" t="s">
        <v>143</v>
      </c>
      <c r="E3093" s="52" t="s">
        <v>584</v>
      </c>
      <c r="F3093" s="52" t="s">
        <v>26</v>
      </c>
      <c r="G3093" s="55" t="s">
        <v>276</v>
      </c>
      <c r="H3093" s="55">
        <v>0.92140330000000004</v>
      </c>
      <c r="I3093" s="55">
        <v>-0.25731559999999998</v>
      </c>
      <c r="J3093" s="55">
        <v>-1.498181</v>
      </c>
      <c r="K3093" s="55">
        <v>-3.7925510000000003E-2</v>
      </c>
      <c r="L3093" s="55">
        <v>-0.27853430000000001</v>
      </c>
      <c r="M3093" s="55">
        <v>3.866435E-2</v>
      </c>
      <c r="N3093" s="55">
        <v>-0.78733940000000002</v>
      </c>
    </row>
    <row r="3094" spans="1:14" hidden="1" x14ac:dyDescent="0.35">
      <c r="A3094" s="52" t="s">
        <v>672</v>
      </c>
      <c r="B3094" s="52" t="s">
        <v>73</v>
      </c>
      <c r="C3094" s="52" t="s">
        <v>71</v>
      </c>
      <c r="D3094" s="52" t="s">
        <v>143</v>
      </c>
      <c r="E3094" s="52" t="s">
        <v>584</v>
      </c>
      <c r="F3094" s="52" t="s">
        <v>26</v>
      </c>
      <c r="G3094" s="55" t="s">
        <v>277</v>
      </c>
      <c r="H3094" s="55">
        <v>0.199681</v>
      </c>
      <c r="I3094" s="55">
        <v>0.1721665</v>
      </c>
      <c r="J3094" s="55">
        <v>0</v>
      </c>
      <c r="K3094" s="55">
        <v>3.854142E-2</v>
      </c>
      <c r="L3094" s="55">
        <v>1.0343279999999999</v>
      </c>
      <c r="M3094" s="55">
        <v>0.94429229999999997</v>
      </c>
      <c r="N3094" s="55">
        <v>3.4612039999999999</v>
      </c>
    </row>
    <row r="3095" spans="1:14" hidden="1" x14ac:dyDescent="0.35">
      <c r="A3095" s="52" t="s">
        <v>672</v>
      </c>
      <c r="B3095" s="52" t="s">
        <v>73</v>
      </c>
      <c r="C3095" s="52" t="s">
        <v>71</v>
      </c>
      <c r="D3095" s="52" t="s">
        <v>143</v>
      </c>
      <c r="E3095" s="52" t="s">
        <v>584</v>
      </c>
      <c r="F3095" s="52" t="s">
        <v>26</v>
      </c>
      <c r="G3095" s="55" t="s">
        <v>278</v>
      </c>
      <c r="H3095" s="55"/>
      <c r="I3095" s="55">
        <v>5.7887260000000003E-2</v>
      </c>
      <c r="J3095" s="55">
        <v>1.552773</v>
      </c>
      <c r="K3095" s="55">
        <v>5.8723860000000003E-2</v>
      </c>
      <c r="L3095" s="55">
        <v>5.2684500000000002E-2</v>
      </c>
      <c r="M3095" s="55">
        <v>0.1082322</v>
      </c>
      <c r="N3095" s="55">
        <v>0.1082322</v>
      </c>
    </row>
    <row r="3096" spans="1:14" hidden="1" x14ac:dyDescent="0.35">
      <c r="A3096" s="52" t="s">
        <v>672</v>
      </c>
      <c r="B3096" s="52" t="s">
        <v>73</v>
      </c>
      <c r="C3096" s="52" t="s">
        <v>71</v>
      </c>
      <c r="D3096" s="52" t="s">
        <v>143</v>
      </c>
      <c r="E3096" s="52" t="s">
        <v>584</v>
      </c>
      <c r="F3096" s="52" t="s">
        <v>26</v>
      </c>
      <c r="G3096" s="55" t="s">
        <v>279</v>
      </c>
      <c r="H3096" s="55">
        <v>0.93771839999999995</v>
      </c>
      <c r="I3096" s="55">
        <v>3.9288949999999998</v>
      </c>
      <c r="J3096" s="55">
        <v>6.5634650000000003E-2</v>
      </c>
      <c r="K3096" s="55">
        <v>5.6437309999999997E-2</v>
      </c>
      <c r="L3096" s="55">
        <v>3.8205259999999998E-2</v>
      </c>
      <c r="M3096" s="55">
        <v>0.3274321</v>
      </c>
      <c r="N3096" s="55">
        <v>0.48599019999999998</v>
      </c>
    </row>
    <row r="3097" spans="1:14" hidden="1" x14ac:dyDescent="0.35">
      <c r="A3097" s="52" t="s">
        <v>672</v>
      </c>
      <c r="B3097" s="52" t="s">
        <v>73</v>
      </c>
      <c r="C3097" s="52" t="s">
        <v>71</v>
      </c>
      <c r="D3097" s="52" t="s">
        <v>141</v>
      </c>
      <c r="E3097" s="52" t="s">
        <v>584</v>
      </c>
      <c r="F3097" s="52" t="s">
        <v>581</v>
      </c>
      <c r="G3097" s="55" t="s">
        <v>275</v>
      </c>
      <c r="H3097" s="55">
        <v>-39.219470000000001</v>
      </c>
      <c r="I3097" s="55">
        <v>7.8238209999999997</v>
      </c>
      <c r="J3097" s="55">
        <v>26.123449999999998</v>
      </c>
      <c r="K3097" s="55">
        <v>20.882370000000002</v>
      </c>
      <c r="L3097" s="55">
        <v>15.816990000000001</v>
      </c>
      <c r="M3097" s="55">
        <v>9.6017569999999992</v>
      </c>
      <c r="N3097" s="55">
        <v>1.95018</v>
      </c>
    </row>
    <row r="3098" spans="1:14" hidden="1" x14ac:dyDescent="0.35">
      <c r="A3098" s="52" t="s">
        <v>672</v>
      </c>
      <c r="B3098" s="52" t="s">
        <v>73</v>
      </c>
      <c r="C3098" s="52" t="s">
        <v>71</v>
      </c>
      <c r="D3098" s="52" t="s">
        <v>141</v>
      </c>
      <c r="E3098" s="52" t="s">
        <v>584</v>
      </c>
      <c r="F3098" s="52" t="s">
        <v>581</v>
      </c>
      <c r="G3098" s="55" t="s">
        <v>276</v>
      </c>
      <c r="H3098" s="55">
        <v>-14.46208</v>
      </c>
      <c r="I3098" s="55">
        <v>-2.9095170000000001</v>
      </c>
      <c r="J3098" s="55">
        <v>22.489350000000002</v>
      </c>
      <c r="K3098" s="55">
        <v>9.1893720000000005</v>
      </c>
      <c r="L3098" s="55">
        <v>1.242856</v>
      </c>
      <c r="M3098" s="55">
        <v>-2.3851569999999999E-2</v>
      </c>
      <c r="N3098" s="55">
        <v>2.9714900000000002</v>
      </c>
    </row>
    <row r="3099" spans="1:14" hidden="1" x14ac:dyDescent="0.35">
      <c r="A3099" s="52" t="s">
        <v>672</v>
      </c>
      <c r="B3099" s="52" t="s">
        <v>73</v>
      </c>
      <c r="C3099" s="52" t="s">
        <v>71</v>
      </c>
      <c r="D3099" s="52" t="s">
        <v>141</v>
      </c>
      <c r="E3099" s="52" t="s">
        <v>584</v>
      </c>
      <c r="F3099" s="52" t="s">
        <v>581</v>
      </c>
      <c r="G3099" s="55" t="s">
        <v>277</v>
      </c>
      <c r="H3099" s="55">
        <v>53.3429</v>
      </c>
      <c r="I3099" s="55">
        <v>11.9596</v>
      </c>
      <c r="J3099" s="55">
        <v>0.84099979999999996</v>
      </c>
      <c r="K3099" s="55">
        <v>1.369632</v>
      </c>
      <c r="L3099" s="55">
        <v>2.2626219999999999</v>
      </c>
      <c r="M3099" s="55">
        <v>2.752812</v>
      </c>
      <c r="N3099" s="55">
        <v>3.0525310000000001</v>
      </c>
    </row>
    <row r="3100" spans="1:14" hidden="1" x14ac:dyDescent="0.35">
      <c r="A3100" s="52" t="s">
        <v>672</v>
      </c>
      <c r="B3100" s="52" t="s">
        <v>73</v>
      </c>
      <c r="C3100" s="52" t="s">
        <v>71</v>
      </c>
      <c r="D3100" s="52" t="s">
        <v>141</v>
      </c>
      <c r="E3100" s="52" t="s">
        <v>584</v>
      </c>
      <c r="F3100" s="52" t="s">
        <v>581</v>
      </c>
      <c r="G3100" s="55" t="s">
        <v>278</v>
      </c>
      <c r="H3100" s="55">
        <v>6.7191799999999996E-2</v>
      </c>
      <c r="I3100" s="55">
        <v>4.3893849999999998E-2</v>
      </c>
      <c r="J3100" s="55">
        <v>5.2728650000000002E-2</v>
      </c>
      <c r="K3100" s="55">
        <v>4.4528249999999998E-2</v>
      </c>
      <c r="L3100" s="55">
        <v>3.9948999999999998E-2</v>
      </c>
      <c r="M3100" s="55">
        <v>8.2068349999999998E-2</v>
      </c>
      <c r="N3100" s="55">
        <v>8.2068349999999998E-2</v>
      </c>
    </row>
    <row r="3101" spans="1:14" hidden="1" x14ac:dyDescent="0.35">
      <c r="A3101" s="52" t="s">
        <v>672</v>
      </c>
      <c r="B3101" s="52" t="s">
        <v>73</v>
      </c>
      <c r="C3101" s="52" t="s">
        <v>71</v>
      </c>
      <c r="D3101" s="52" t="s">
        <v>141</v>
      </c>
      <c r="E3101" s="52" t="s">
        <v>584</v>
      </c>
      <c r="F3101" s="52" t="s">
        <v>581</v>
      </c>
      <c r="G3101" s="55" t="s">
        <v>279</v>
      </c>
      <c r="H3101" s="55">
        <v>0.27146530000000002</v>
      </c>
      <c r="I3101" s="55">
        <v>3.7224240000000002</v>
      </c>
      <c r="J3101" s="55">
        <v>6.7943210000000001</v>
      </c>
      <c r="K3101" s="55">
        <v>6.9966379999999999</v>
      </c>
      <c r="L3101" s="55">
        <v>5.386984</v>
      </c>
      <c r="M3101" s="55">
        <v>4.4908080000000004</v>
      </c>
      <c r="N3101" s="55">
        <v>3.9531890000000001</v>
      </c>
    </row>
    <row r="3102" spans="1:14" hidden="1" x14ac:dyDescent="0.35">
      <c r="A3102" s="52" t="s">
        <v>672</v>
      </c>
      <c r="B3102" s="52" t="s">
        <v>73</v>
      </c>
      <c r="C3102" s="52" t="s">
        <v>71</v>
      </c>
      <c r="D3102" s="52" t="s">
        <v>141</v>
      </c>
      <c r="E3102" s="52" t="s">
        <v>584</v>
      </c>
      <c r="F3102" s="52" t="s">
        <v>26</v>
      </c>
      <c r="G3102" s="55" t="s">
        <v>275</v>
      </c>
      <c r="H3102" s="55">
        <v>-0.81801590000000002</v>
      </c>
      <c r="I3102" s="55">
        <v>0.1845406</v>
      </c>
      <c r="J3102" s="55">
        <v>1.5133650000000001</v>
      </c>
      <c r="K3102" s="55">
        <v>1.1817759999999999</v>
      </c>
      <c r="L3102" s="55">
        <v>0.90402360000000004</v>
      </c>
      <c r="M3102" s="55">
        <v>0.54115420000000003</v>
      </c>
      <c r="N3102" s="55">
        <v>0.28409679999999998</v>
      </c>
    </row>
    <row r="3103" spans="1:14" hidden="1" x14ac:dyDescent="0.35">
      <c r="A3103" s="52" t="s">
        <v>672</v>
      </c>
      <c r="B3103" s="52" t="s">
        <v>73</v>
      </c>
      <c r="C3103" s="52" t="s">
        <v>71</v>
      </c>
      <c r="D3103" s="52" t="s">
        <v>141</v>
      </c>
      <c r="E3103" s="52" t="s">
        <v>584</v>
      </c>
      <c r="F3103" s="52" t="s">
        <v>26</v>
      </c>
      <c r="G3103" s="55" t="s">
        <v>276</v>
      </c>
      <c r="H3103" s="55">
        <v>-0.4890678</v>
      </c>
      <c r="I3103" s="55">
        <v>7.1505780000000005E-2</v>
      </c>
      <c r="J3103" s="55">
        <v>2.8689369999999998</v>
      </c>
      <c r="K3103" s="55">
        <v>1.8949780000000001</v>
      </c>
      <c r="L3103" s="55">
        <v>1.1438109999999999</v>
      </c>
      <c r="M3103" s="55">
        <v>0.84280319999999997</v>
      </c>
      <c r="N3103" s="55">
        <v>0.6877799</v>
      </c>
    </row>
    <row r="3104" spans="1:14" hidden="1" x14ac:dyDescent="0.35">
      <c r="A3104" s="52" t="s">
        <v>672</v>
      </c>
      <c r="B3104" s="52" t="s">
        <v>73</v>
      </c>
      <c r="C3104" s="52" t="s">
        <v>71</v>
      </c>
      <c r="D3104" s="52" t="s">
        <v>141</v>
      </c>
      <c r="E3104" s="52" t="s">
        <v>584</v>
      </c>
      <c r="F3104" s="52" t="s">
        <v>26</v>
      </c>
      <c r="G3104" s="55" t="s">
        <v>277</v>
      </c>
      <c r="H3104" s="55">
        <v>1.2839780000000001</v>
      </c>
      <c r="I3104" s="55">
        <v>0.55027709999999996</v>
      </c>
      <c r="J3104" s="55">
        <v>0</v>
      </c>
      <c r="K3104" s="55"/>
      <c r="L3104" s="55"/>
      <c r="M3104" s="55"/>
      <c r="N3104" s="55"/>
    </row>
    <row r="3105" spans="1:14" hidden="1" x14ac:dyDescent="0.35">
      <c r="A3105" s="52" t="s">
        <v>672</v>
      </c>
      <c r="B3105" s="52" t="s">
        <v>73</v>
      </c>
      <c r="C3105" s="52" t="s">
        <v>71</v>
      </c>
      <c r="D3105" s="52" t="s">
        <v>141</v>
      </c>
      <c r="E3105" s="52" t="s">
        <v>584</v>
      </c>
      <c r="F3105" s="52" t="s">
        <v>26</v>
      </c>
      <c r="G3105" s="55" t="s">
        <v>279</v>
      </c>
      <c r="H3105" s="55">
        <v>2.31062E-2</v>
      </c>
      <c r="I3105" s="55">
        <v>0.26700889999999999</v>
      </c>
      <c r="J3105" s="55">
        <v>0.8436669</v>
      </c>
      <c r="K3105" s="55">
        <v>0.63436029999999999</v>
      </c>
      <c r="L3105" s="55">
        <v>0.32082240000000001</v>
      </c>
      <c r="M3105" s="55">
        <v>0.2252555</v>
      </c>
      <c r="N3105" s="55">
        <v>0.16606460000000001</v>
      </c>
    </row>
    <row r="3106" spans="1:14" hidden="1" x14ac:dyDescent="0.35">
      <c r="A3106" s="52" t="s">
        <v>672</v>
      </c>
      <c r="B3106" s="52" t="s">
        <v>73</v>
      </c>
      <c r="C3106" s="52" t="s">
        <v>71</v>
      </c>
      <c r="D3106" s="52" t="s">
        <v>334</v>
      </c>
      <c r="E3106" s="52" t="s">
        <v>584</v>
      </c>
      <c r="F3106" s="52" t="s">
        <v>581</v>
      </c>
      <c r="G3106" s="55" t="s">
        <v>275</v>
      </c>
      <c r="H3106" s="55">
        <v>-24.432960000000001</v>
      </c>
      <c r="I3106" s="55">
        <v>0.55728319999999998</v>
      </c>
      <c r="J3106" s="55">
        <v>5.7040059999999997</v>
      </c>
      <c r="K3106" s="55">
        <v>6.6995810000000002</v>
      </c>
      <c r="L3106" s="55">
        <v>-15.27971</v>
      </c>
      <c r="M3106" s="55">
        <v>-93.003979999999999</v>
      </c>
      <c r="N3106" s="55">
        <v>-484.49160000000001</v>
      </c>
    </row>
    <row r="3107" spans="1:14" hidden="1" x14ac:dyDescent="0.35">
      <c r="A3107" s="52" t="s">
        <v>672</v>
      </c>
      <c r="B3107" s="52" t="s">
        <v>73</v>
      </c>
      <c r="C3107" s="52" t="s">
        <v>71</v>
      </c>
      <c r="D3107" s="52" t="s">
        <v>334</v>
      </c>
      <c r="E3107" s="52" t="s">
        <v>584</v>
      </c>
      <c r="F3107" s="52" t="s">
        <v>581</v>
      </c>
      <c r="G3107" s="55" t="s">
        <v>276</v>
      </c>
      <c r="H3107" s="55">
        <v>-31.06316</v>
      </c>
      <c r="I3107" s="55">
        <v>-37.315570000000001</v>
      </c>
      <c r="J3107" s="55">
        <v>-8.0994250000000001</v>
      </c>
      <c r="K3107" s="55">
        <v>-5.2549799999999998</v>
      </c>
      <c r="L3107" s="55">
        <v>-10.76708</v>
      </c>
      <c r="M3107" s="55">
        <v>-30.482700000000001</v>
      </c>
      <c r="N3107" s="55">
        <v>-126.8882</v>
      </c>
    </row>
    <row r="3108" spans="1:14" hidden="1" x14ac:dyDescent="0.35">
      <c r="A3108" s="52" t="s">
        <v>672</v>
      </c>
      <c r="B3108" s="52" t="s">
        <v>73</v>
      </c>
      <c r="C3108" s="52" t="s">
        <v>71</v>
      </c>
      <c r="D3108" s="52" t="s">
        <v>334</v>
      </c>
      <c r="E3108" s="52" t="s">
        <v>584</v>
      </c>
      <c r="F3108" s="52" t="s">
        <v>581</v>
      </c>
      <c r="G3108" s="55" t="s">
        <v>277</v>
      </c>
      <c r="H3108" s="55">
        <v>36</v>
      </c>
      <c r="I3108" s="55">
        <v>1.416193</v>
      </c>
      <c r="J3108" s="55">
        <v>0.9949865</v>
      </c>
      <c r="K3108" s="55">
        <v>0.13087699999999999</v>
      </c>
      <c r="L3108" s="55">
        <v>24.216190000000001</v>
      </c>
      <c r="M3108" s="55">
        <v>119.6953</v>
      </c>
      <c r="N3108" s="55">
        <v>605.64710000000002</v>
      </c>
    </row>
    <row r="3109" spans="1:14" hidden="1" x14ac:dyDescent="0.35">
      <c r="A3109" s="52" t="s">
        <v>672</v>
      </c>
      <c r="B3109" s="52" t="s">
        <v>73</v>
      </c>
      <c r="C3109" s="52" t="s">
        <v>71</v>
      </c>
      <c r="D3109" s="52" t="s">
        <v>334</v>
      </c>
      <c r="E3109" s="52" t="s">
        <v>584</v>
      </c>
      <c r="F3109" s="52" t="s">
        <v>581</v>
      </c>
      <c r="G3109" s="55" t="s">
        <v>278</v>
      </c>
      <c r="H3109" s="55">
        <v>19.496120000000001</v>
      </c>
      <c r="I3109" s="55">
        <v>35.342089999999999</v>
      </c>
      <c r="J3109" s="55">
        <v>3.9622660000000001</v>
      </c>
      <c r="K3109" s="55">
        <v>0.98635459999999997</v>
      </c>
      <c r="L3109" s="55">
        <v>3.7327029999999999</v>
      </c>
      <c r="M3109" s="55">
        <v>0.62214570000000002</v>
      </c>
      <c r="N3109" s="55">
        <v>0.47046460000000001</v>
      </c>
    </row>
    <row r="3110" spans="1:14" hidden="1" x14ac:dyDescent="0.35">
      <c r="A3110" s="52" t="s">
        <v>672</v>
      </c>
      <c r="B3110" s="52" t="s">
        <v>73</v>
      </c>
      <c r="C3110" s="52" t="s">
        <v>71</v>
      </c>
      <c r="D3110" s="52" t="s">
        <v>334</v>
      </c>
      <c r="E3110" s="52" t="s">
        <v>584</v>
      </c>
      <c r="F3110" s="52" t="s">
        <v>581</v>
      </c>
      <c r="G3110" s="55" t="s">
        <v>279</v>
      </c>
      <c r="H3110" s="55"/>
      <c r="I3110" s="55"/>
      <c r="J3110" s="55"/>
      <c r="K3110" s="55">
        <v>0</v>
      </c>
      <c r="L3110" s="55">
        <v>0.1909032</v>
      </c>
      <c r="M3110" s="55">
        <v>5.2622340000000003</v>
      </c>
      <c r="N3110" s="55">
        <v>5.2622350000000004</v>
      </c>
    </row>
    <row r="3111" spans="1:14" hidden="1" x14ac:dyDescent="0.35">
      <c r="A3111" s="52" t="s">
        <v>672</v>
      </c>
      <c r="B3111" s="52" t="s">
        <v>73</v>
      </c>
      <c r="C3111" s="52" t="s">
        <v>71</v>
      </c>
      <c r="D3111" s="52" t="s">
        <v>334</v>
      </c>
      <c r="E3111" s="52" t="s">
        <v>584</v>
      </c>
      <c r="F3111" s="52" t="s">
        <v>26</v>
      </c>
      <c r="G3111" s="55" t="s">
        <v>275</v>
      </c>
      <c r="H3111" s="55">
        <v>-8.4095270000000006</v>
      </c>
      <c r="I3111" s="55">
        <v>1.4791460000000001</v>
      </c>
      <c r="J3111" s="55">
        <v>1.4995529999999999</v>
      </c>
      <c r="K3111" s="55">
        <v>-4.8801659999999997E-2</v>
      </c>
      <c r="L3111" s="55">
        <v>-1.2215039999999999</v>
      </c>
      <c r="M3111" s="55">
        <v>-21.46529</v>
      </c>
      <c r="N3111" s="55">
        <v>-88.468220000000002</v>
      </c>
    </row>
    <row r="3112" spans="1:14" hidden="1" x14ac:dyDescent="0.35">
      <c r="A3112" s="52" t="s">
        <v>672</v>
      </c>
      <c r="B3112" s="52" t="s">
        <v>73</v>
      </c>
      <c r="C3112" s="52" t="s">
        <v>71</v>
      </c>
      <c r="D3112" s="52" t="s">
        <v>334</v>
      </c>
      <c r="E3112" s="52" t="s">
        <v>584</v>
      </c>
      <c r="F3112" s="52" t="s">
        <v>26</v>
      </c>
      <c r="G3112" s="55" t="s">
        <v>276</v>
      </c>
      <c r="H3112" s="55">
        <v>-1.6057619999999999</v>
      </c>
      <c r="I3112" s="55">
        <v>-1.6224670000000001</v>
      </c>
      <c r="J3112" s="55">
        <v>-1.644884</v>
      </c>
      <c r="K3112" s="55">
        <v>-1.96133</v>
      </c>
      <c r="L3112" s="55">
        <v>-2.498478</v>
      </c>
      <c r="M3112" s="55">
        <v>-7.6414569999999999</v>
      </c>
      <c r="N3112" s="55">
        <v>-24.026440000000001</v>
      </c>
    </row>
    <row r="3113" spans="1:14" hidden="1" x14ac:dyDescent="0.35">
      <c r="A3113" s="52" t="s">
        <v>672</v>
      </c>
      <c r="B3113" s="52" t="s">
        <v>73</v>
      </c>
      <c r="C3113" s="52" t="s">
        <v>71</v>
      </c>
      <c r="D3113" s="52" t="s">
        <v>334</v>
      </c>
      <c r="E3113" s="52" t="s">
        <v>584</v>
      </c>
      <c r="F3113" s="52" t="s">
        <v>26</v>
      </c>
      <c r="G3113" s="55" t="s">
        <v>277</v>
      </c>
      <c r="H3113" s="55">
        <v>9.9999990000000007</v>
      </c>
      <c r="I3113" s="55">
        <v>0.1333336</v>
      </c>
      <c r="J3113" s="55">
        <v>0.1333336</v>
      </c>
      <c r="K3113" s="55">
        <v>2</v>
      </c>
      <c r="L3113" s="55">
        <v>3.3258920000000001</v>
      </c>
      <c r="M3113" s="55">
        <v>27.781079999999999</v>
      </c>
      <c r="N3113" s="55">
        <v>111.169</v>
      </c>
    </row>
    <row r="3114" spans="1:14" hidden="1" x14ac:dyDescent="0.35">
      <c r="A3114" s="52" t="s">
        <v>672</v>
      </c>
      <c r="B3114" s="52" t="s">
        <v>73</v>
      </c>
      <c r="C3114" s="52" t="s">
        <v>71</v>
      </c>
      <c r="D3114" s="52" t="s">
        <v>334</v>
      </c>
      <c r="E3114" s="52" t="s">
        <v>584</v>
      </c>
      <c r="F3114" s="52" t="s">
        <v>26</v>
      </c>
      <c r="G3114" s="55" t="s">
        <v>278</v>
      </c>
      <c r="H3114" s="55">
        <v>1.5289199999999999E-2</v>
      </c>
      <c r="I3114" s="55">
        <v>9.9875999999999993E-3</v>
      </c>
      <c r="J3114" s="55">
        <v>1.1998E-2</v>
      </c>
      <c r="K3114" s="55">
        <v>1.0132E-2</v>
      </c>
      <c r="L3114" s="55">
        <v>9.0900000000000009E-3</v>
      </c>
      <c r="M3114" s="55">
        <v>0</v>
      </c>
      <c r="N3114" s="55"/>
    </row>
    <row r="3115" spans="1:14" hidden="1" x14ac:dyDescent="0.35">
      <c r="A3115" s="52" t="s">
        <v>672</v>
      </c>
      <c r="B3115" s="52" t="s">
        <v>73</v>
      </c>
      <c r="C3115" s="52" t="s">
        <v>71</v>
      </c>
      <c r="D3115" s="52" t="s">
        <v>334</v>
      </c>
      <c r="E3115" s="52" t="s">
        <v>584</v>
      </c>
      <c r="F3115" s="52" t="s">
        <v>26</v>
      </c>
      <c r="G3115" s="55" t="s">
        <v>279</v>
      </c>
      <c r="H3115" s="55"/>
      <c r="I3115" s="55"/>
      <c r="J3115" s="55"/>
      <c r="K3115" s="55">
        <v>0</v>
      </c>
      <c r="L3115" s="55">
        <v>0.38500000000000001</v>
      </c>
      <c r="M3115" s="55">
        <v>1.3256669999999999</v>
      </c>
      <c r="N3115" s="55">
        <v>1.3256669999999999</v>
      </c>
    </row>
    <row r="3116" spans="1:14" hidden="1" x14ac:dyDescent="0.35">
      <c r="A3116" s="52" t="s">
        <v>672</v>
      </c>
      <c r="B3116" s="52" t="s">
        <v>73</v>
      </c>
      <c r="C3116" s="52" t="s">
        <v>71</v>
      </c>
      <c r="D3116" s="52" t="s">
        <v>75</v>
      </c>
      <c r="E3116" s="52" t="s">
        <v>584</v>
      </c>
      <c r="F3116" s="52" t="s">
        <v>581</v>
      </c>
      <c r="G3116" s="55" t="s">
        <v>275</v>
      </c>
      <c r="H3116" s="55">
        <v>4.4914509999999998E-2</v>
      </c>
      <c r="I3116" s="55">
        <v>1.7243850000000002E-2</v>
      </c>
      <c r="J3116" s="55">
        <v>3.2848380000000003E-2</v>
      </c>
      <c r="K3116" s="55">
        <v>1.51206E-2</v>
      </c>
      <c r="L3116" s="55">
        <v>4.2312000000000001E-3</v>
      </c>
      <c r="M3116" s="55">
        <v>3.8566999999999998E-3</v>
      </c>
      <c r="N3116" s="55">
        <v>0</v>
      </c>
    </row>
    <row r="3117" spans="1:14" hidden="1" x14ac:dyDescent="0.35">
      <c r="A3117" s="52" t="s">
        <v>672</v>
      </c>
      <c r="B3117" s="52" t="s">
        <v>73</v>
      </c>
      <c r="C3117" s="52" t="s">
        <v>71</v>
      </c>
      <c r="D3117" s="52" t="s">
        <v>75</v>
      </c>
      <c r="E3117" s="52" t="s">
        <v>584</v>
      </c>
      <c r="F3117" s="52" t="s">
        <v>581</v>
      </c>
      <c r="G3117" s="55" t="s">
        <v>276</v>
      </c>
      <c r="H3117" s="55">
        <v>8.0776500000000001E-2</v>
      </c>
      <c r="I3117" s="55">
        <v>-3.549575E-2</v>
      </c>
      <c r="J3117" s="55">
        <v>-0.59547459999999997</v>
      </c>
      <c r="K3117" s="55">
        <v>-7.1672739999999999</v>
      </c>
      <c r="L3117" s="55">
        <v>-0.1159993</v>
      </c>
      <c r="M3117" s="55">
        <v>-0.31104680000000001</v>
      </c>
      <c r="N3117" s="55">
        <v>-1.094104</v>
      </c>
    </row>
    <row r="3118" spans="1:14" hidden="1" x14ac:dyDescent="0.35">
      <c r="A3118" s="52" t="s">
        <v>672</v>
      </c>
      <c r="B3118" s="52" t="s">
        <v>73</v>
      </c>
      <c r="C3118" s="52" t="s">
        <v>71</v>
      </c>
      <c r="D3118" s="52" t="s">
        <v>75</v>
      </c>
      <c r="E3118" s="52" t="s">
        <v>584</v>
      </c>
      <c r="F3118" s="52" t="s">
        <v>581</v>
      </c>
      <c r="G3118" s="55" t="s">
        <v>277</v>
      </c>
      <c r="H3118" s="55">
        <v>1.6811400000000001E-2</v>
      </c>
      <c r="I3118" s="55">
        <v>1.2855800000000001E-2</v>
      </c>
      <c r="J3118" s="55">
        <v>0</v>
      </c>
      <c r="K3118" s="55">
        <v>0</v>
      </c>
      <c r="L3118" s="55">
        <v>4.7850000000000002E-3</v>
      </c>
      <c r="M3118" s="55">
        <v>8.7409399999999998E-2</v>
      </c>
      <c r="N3118" s="55">
        <v>0.87432480000000001</v>
      </c>
    </row>
    <row r="3119" spans="1:14" hidden="1" x14ac:dyDescent="0.35">
      <c r="A3119" s="52" t="s">
        <v>672</v>
      </c>
      <c r="B3119" s="52" t="s">
        <v>73</v>
      </c>
      <c r="C3119" s="52" t="s">
        <v>71</v>
      </c>
      <c r="D3119" s="52" t="s">
        <v>75</v>
      </c>
      <c r="E3119" s="52" t="s">
        <v>584</v>
      </c>
      <c r="F3119" s="52" t="s">
        <v>581</v>
      </c>
      <c r="G3119" s="55" t="s">
        <v>278</v>
      </c>
      <c r="H3119" s="55">
        <v>0.17994089999999999</v>
      </c>
      <c r="I3119" s="55">
        <v>0.1175484</v>
      </c>
      <c r="J3119" s="55">
        <v>0.64402470000000001</v>
      </c>
      <c r="K3119" s="55">
        <v>7.1521520000000001</v>
      </c>
      <c r="L3119" s="55">
        <v>0.1069832</v>
      </c>
      <c r="M3119" s="55">
        <v>0.21977959999999999</v>
      </c>
      <c r="N3119" s="55">
        <v>0.21977959999999999</v>
      </c>
    </row>
    <row r="3120" spans="1:14" hidden="1" x14ac:dyDescent="0.35">
      <c r="A3120" s="52" t="s">
        <v>672</v>
      </c>
      <c r="B3120" s="52" t="s">
        <v>73</v>
      </c>
      <c r="C3120" s="52" t="s">
        <v>71</v>
      </c>
      <c r="D3120" s="52" t="s">
        <v>75</v>
      </c>
      <c r="E3120" s="52" t="s">
        <v>584</v>
      </c>
      <c r="F3120" s="52" t="s">
        <v>581</v>
      </c>
      <c r="G3120" s="55" t="s">
        <v>279</v>
      </c>
      <c r="H3120" s="55">
        <v>0.1071891</v>
      </c>
      <c r="I3120" s="55">
        <v>8.7578199999999995E-2</v>
      </c>
      <c r="J3120" s="55">
        <v>8.1816100000000003E-2</v>
      </c>
      <c r="K3120" s="55">
        <v>0</v>
      </c>
      <c r="L3120" s="55"/>
      <c r="M3120" s="55"/>
      <c r="N3120" s="55">
        <v>0</v>
      </c>
    </row>
    <row r="3121" spans="1:14" hidden="1" x14ac:dyDescent="0.35">
      <c r="A3121" s="52" t="s">
        <v>672</v>
      </c>
      <c r="B3121" s="52" t="s">
        <v>73</v>
      </c>
      <c r="C3121" s="52" t="s">
        <v>71</v>
      </c>
      <c r="D3121" s="52" t="s">
        <v>75</v>
      </c>
      <c r="E3121" s="52" t="s">
        <v>584</v>
      </c>
      <c r="F3121" s="52" t="s">
        <v>26</v>
      </c>
      <c r="G3121" s="55" t="s">
        <v>275</v>
      </c>
      <c r="H3121" s="55"/>
      <c r="I3121" s="55"/>
      <c r="J3121" s="55"/>
      <c r="K3121" s="55"/>
      <c r="L3121" s="55"/>
      <c r="M3121" s="55"/>
      <c r="N3121" s="55">
        <v>0</v>
      </c>
    </row>
    <row r="3122" spans="1:14" hidden="1" x14ac:dyDescent="0.35">
      <c r="A3122" s="52" t="s">
        <v>672</v>
      </c>
      <c r="B3122" s="52" t="s">
        <v>73</v>
      </c>
      <c r="C3122" s="52" t="s">
        <v>71</v>
      </c>
      <c r="D3122" s="52" t="s">
        <v>75</v>
      </c>
      <c r="E3122" s="52" t="s">
        <v>584</v>
      </c>
      <c r="F3122" s="52" t="s">
        <v>26</v>
      </c>
      <c r="G3122" s="55" t="s">
        <v>276</v>
      </c>
      <c r="H3122" s="55"/>
      <c r="I3122" s="55"/>
      <c r="J3122" s="55"/>
      <c r="K3122" s="55"/>
      <c r="L3122" s="55"/>
      <c r="M3122" s="55"/>
      <c r="N3122" s="55">
        <v>0</v>
      </c>
    </row>
    <row r="3123" spans="1:14" hidden="1" x14ac:dyDescent="0.35">
      <c r="A3123" s="52" t="s">
        <v>672</v>
      </c>
      <c r="B3123" s="52" t="s">
        <v>73</v>
      </c>
      <c r="C3123" s="52" t="s">
        <v>71</v>
      </c>
      <c r="D3123" s="52" t="s">
        <v>75</v>
      </c>
      <c r="E3123" s="52" t="s">
        <v>584</v>
      </c>
      <c r="F3123" s="52" t="s">
        <v>26</v>
      </c>
      <c r="G3123" s="55" t="s">
        <v>277</v>
      </c>
      <c r="H3123" s="55"/>
      <c r="I3123" s="55"/>
      <c r="J3123" s="55"/>
      <c r="K3123" s="55"/>
      <c r="L3123" s="55"/>
      <c r="M3123" s="55"/>
      <c r="N3123" s="55">
        <v>0</v>
      </c>
    </row>
    <row r="3124" spans="1:14" hidden="1" x14ac:dyDescent="0.35">
      <c r="A3124" s="52" t="s">
        <v>672</v>
      </c>
      <c r="B3124" s="52" t="s">
        <v>73</v>
      </c>
      <c r="C3124" s="52" t="s">
        <v>71</v>
      </c>
      <c r="D3124" s="52" t="s">
        <v>75</v>
      </c>
      <c r="E3124" s="52" t="s">
        <v>584</v>
      </c>
      <c r="F3124" s="52" t="s">
        <v>26</v>
      </c>
      <c r="G3124" s="55" t="s">
        <v>279</v>
      </c>
      <c r="H3124" s="55"/>
      <c r="I3124" s="55"/>
      <c r="J3124" s="55"/>
      <c r="K3124" s="55"/>
      <c r="L3124" s="55"/>
      <c r="M3124" s="55"/>
      <c r="N3124" s="55">
        <v>0</v>
      </c>
    </row>
    <row r="3125" spans="1:14" hidden="1" x14ac:dyDescent="0.35">
      <c r="A3125" s="52" t="s">
        <v>672</v>
      </c>
      <c r="B3125" s="52" t="s">
        <v>73</v>
      </c>
      <c r="C3125" s="52" t="s">
        <v>71</v>
      </c>
      <c r="D3125" s="52" t="s">
        <v>72</v>
      </c>
      <c r="E3125" s="52" t="s">
        <v>584</v>
      </c>
      <c r="F3125" s="52" t="s">
        <v>581</v>
      </c>
      <c r="G3125" s="55" t="s">
        <v>275</v>
      </c>
      <c r="H3125" s="55">
        <v>1.6067549999999999</v>
      </c>
      <c r="I3125" s="55">
        <v>-5.7958999999999996</v>
      </c>
      <c r="J3125" s="55">
        <v>3.6930000000000001E-3</v>
      </c>
      <c r="K3125" s="55">
        <v>1.8273E-3</v>
      </c>
      <c r="L3125" s="55">
        <v>0</v>
      </c>
      <c r="M3125" s="55">
        <v>0</v>
      </c>
      <c r="N3125" s="55">
        <v>0</v>
      </c>
    </row>
    <row r="3126" spans="1:14" hidden="1" x14ac:dyDescent="0.35">
      <c r="A3126" s="52" t="s">
        <v>672</v>
      </c>
      <c r="B3126" s="52" t="s">
        <v>73</v>
      </c>
      <c r="C3126" s="52" t="s">
        <v>71</v>
      </c>
      <c r="D3126" s="52" t="s">
        <v>72</v>
      </c>
      <c r="E3126" s="52" t="s">
        <v>584</v>
      </c>
      <c r="F3126" s="52" t="s">
        <v>581</v>
      </c>
      <c r="G3126" s="55" t="s">
        <v>276</v>
      </c>
      <c r="H3126" s="55">
        <v>-2.0095860000000001</v>
      </c>
      <c r="I3126" s="55">
        <v>-24.799869999999999</v>
      </c>
      <c r="J3126" s="55">
        <v>-8.898847</v>
      </c>
      <c r="K3126" s="55">
        <v>-2.4235699999999998</v>
      </c>
      <c r="L3126" s="55">
        <v>-0.38189780000000001</v>
      </c>
      <c r="M3126" s="55">
        <v>-0.42435580000000001</v>
      </c>
      <c r="N3126" s="55">
        <v>-0.54615449999999999</v>
      </c>
    </row>
    <row r="3127" spans="1:14" hidden="1" x14ac:dyDescent="0.35">
      <c r="A3127" s="52" t="s">
        <v>672</v>
      </c>
      <c r="B3127" s="52" t="s">
        <v>73</v>
      </c>
      <c r="C3127" s="52" t="s">
        <v>71</v>
      </c>
      <c r="D3127" s="52" t="s">
        <v>72</v>
      </c>
      <c r="E3127" s="52" t="s">
        <v>584</v>
      </c>
      <c r="F3127" s="52" t="s">
        <v>581</v>
      </c>
      <c r="G3127" s="55" t="s">
        <v>277</v>
      </c>
      <c r="H3127" s="55"/>
      <c r="I3127" s="55">
        <v>0</v>
      </c>
      <c r="J3127" s="55">
        <v>5.8000009999999998E-2</v>
      </c>
      <c r="K3127" s="55">
        <v>0.69889999999999997</v>
      </c>
      <c r="L3127" s="55">
        <v>6.9599999999999995E-2</v>
      </c>
      <c r="M3127" s="55">
        <v>8.6999999999999994E-3</v>
      </c>
      <c r="N3127" s="55">
        <v>0.1305</v>
      </c>
    </row>
    <row r="3128" spans="1:14" hidden="1" x14ac:dyDescent="0.35">
      <c r="A3128" s="52" t="s">
        <v>672</v>
      </c>
      <c r="B3128" s="52" t="s">
        <v>73</v>
      </c>
      <c r="C3128" s="52" t="s">
        <v>71</v>
      </c>
      <c r="D3128" s="52" t="s">
        <v>72</v>
      </c>
      <c r="E3128" s="52" t="s">
        <v>584</v>
      </c>
      <c r="F3128" s="52" t="s">
        <v>581</v>
      </c>
      <c r="G3128" s="55" t="s">
        <v>278</v>
      </c>
      <c r="H3128" s="55">
        <v>0.40283089999999999</v>
      </c>
      <c r="I3128" s="55">
        <v>30.595770000000002</v>
      </c>
      <c r="J3128" s="55">
        <v>8.8408479999999994</v>
      </c>
      <c r="K3128" s="55">
        <v>1.7246710000000001</v>
      </c>
      <c r="L3128" s="55">
        <v>0.18802060000000001</v>
      </c>
      <c r="M3128" s="55">
        <v>0.29137829999999998</v>
      </c>
      <c r="N3128" s="55">
        <v>0.29137829999999998</v>
      </c>
    </row>
    <row r="3129" spans="1:14" hidden="1" x14ac:dyDescent="0.35">
      <c r="A3129" s="52" t="s">
        <v>672</v>
      </c>
      <c r="B3129" s="52" t="s">
        <v>73</v>
      </c>
      <c r="C3129" s="52" t="s">
        <v>71</v>
      </c>
      <c r="D3129" s="52" t="s">
        <v>72</v>
      </c>
      <c r="E3129" s="52" t="s">
        <v>584</v>
      </c>
      <c r="F3129" s="52" t="s">
        <v>581</v>
      </c>
      <c r="G3129" s="55" t="s">
        <v>279</v>
      </c>
      <c r="H3129" s="55"/>
      <c r="I3129" s="55"/>
      <c r="J3129" s="55"/>
      <c r="K3129" s="55">
        <v>0</v>
      </c>
      <c r="L3129" s="55">
        <v>0.1242784</v>
      </c>
      <c r="M3129" s="55">
        <v>0.1242772</v>
      </c>
      <c r="N3129" s="55">
        <v>0.124278</v>
      </c>
    </row>
    <row r="3130" spans="1:14" hidden="1" x14ac:dyDescent="0.35">
      <c r="A3130" s="52" t="s">
        <v>672</v>
      </c>
      <c r="B3130" s="52" t="s">
        <v>73</v>
      </c>
      <c r="C3130" s="52" t="s">
        <v>71</v>
      </c>
      <c r="D3130" s="52" t="s">
        <v>72</v>
      </c>
      <c r="E3130" s="52" t="s">
        <v>584</v>
      </c>
      <c r="F3130" s="52" t="s">
        <v>26</v>
      </c>
      <c r="G3130" s="55" t="s">
        <v>275</v>
      </c>
      <c r="H3130" s="55"/>
      <c r="I3130" s="55"/>
      <c r="J3130" s="55"/>
      <c r="K3130" s="55">
        <v>0</v>
      </c>
      <c r="L3130" s="55">
        <v>0</v>
      </c>
      <c r="M3130" s="55">
        <v>0</v>
      </c>
      <c r="N3130" s="55">
        <v>0</v>
      </c>
    </row>
    <row r="3131" spans="1:14" hidden="1" x14ac:dyDescent="0.35">
      <c r="A3131" s="52" t="s">
        <v>672</v>
      </c>
      <c r="B3131" s="52" t="s">
        <v>73</v>
      </c>
      <c r="C3131" s="52" t="s">
        <v>71</v>
      </c>
      <c r="D3131" s="52" t="s">
        <v>72</v>
      </c>
      <c r="E3131" s="52" t="s">
        <v>584</v>
      </c>
      <c r="F3131" s="52" t="s">
        <v>26</v>
      </c>
      <c r="G3131" s="55" t="s">
        <v>276</v>
      </c>
      <c r="H3131" s="55"/>
      <c r="I3131" s="55"/>
      <c r="J3131" s="55"/>
      <c r="K3131" s="55">
        <v>0</v>
      </c>
      <c r="L3131" s="55">
        <v>-9.8251999999999992E-3</v>
      </c>
      <c r="M3131" s="55">
        <v>-9.8256000000000003E-3</v>
      </c>
      <c r="N3131" s="55">
        <v>-9.8251999999999992E-3</v>
      </c>
    </row>
    <row r="3132" spans="1:14" hidden="1" x14ac:dyDescent="0.35">
      <c r="A3132" s="52" t="s">
        <v>672</v>
      </c>
      <c r="B3132" s="52" t="s">
        <v>73</v>
      </c>
      <c r="C3132" s="52" t="s">
        <v>71</v>
      </c>
      <c r="D3132" s="52" t="s">
        <v>72</v>
      </c>
      <c r="E3132" s="52" t="s">
        <v>584</v>
      </c>
      <c r="F3132" s="52" t="s">
        <v>26</v>
      </c>
      <c r="G3132" s="55" t="s">
        <v>277</v>
      </c>
      <c r="H3132" s="55"/>
      <c r="I3132" s="55"/>
      <c r="J3132" s="55"/>
      <c r="K3132" s="55">
        <v>0</v>
      </c>
      <c r="L3132" s="55">
        <v>0</v>
      </c>
      <c r="M3132" s="55">
        <v>0</v>
      </c>
      <c r="N3132" s="55">
        <v>0</v>
      </c>
    </row>
    <row r="3133" spans="1:14" hidden="1" x14ac:dyDescent="0.35">
      <c r="A3133" s="52" t="s">
        <v>672</v>
      </c>
      <c r="B3133" s="52" t="s">
        <v>73</v>
      </c>
      <c r="C3133" s="52" t="s">
        <v>71</v>
      </c>
      <c r="D3133" s="52" t="s">
        <v>72</v>
      </c>
      <c r="E3133" s="52" t="s">
        <v>584</v>
      </c>
      <c r="F3133" s="52" t="s">
        <v>26</v>
      </c>
      <c r="G3133" s="55" t="s">
        <v>279</v>
      </c>
      <c r="H3133" s="55"/>
      <c r="I3133" s="55"/>
      <c r="J3133" s="55"/>
      <c r="K3133" s="55">
        <v>0</v>
      </c>
      <c r="L3133" s="55">
        <v>9.8251999999999992E-3</v>
      </c>
      <c r="M3133" s="55">
        <v>9.8251999999999992E-3</v>
      </c>
      <c r="N3133" s="55">
        <v>9.8251999999999992E-3</v>
      </c>
    </row>
    <row r="3134" spans="1:14" hidden="1" x14ac:dyDescent="0.35">
      <c r="A3134" s="52" t="s">
        <v>672</v>
      </c>
      <c r="B3134" s="52" t="s">
        <v>73</v>
      </c>
      <c r="C3134" s="52" t="s">
        <v>71</v>
      </c>
      <c r="D3134" s="52" t="s">
        <v>335</v>
      </c>
      <c r="E3134" s="52" t="s">
        <v>584</v>
      </c>
      <c r="F3134" s="52" t="s">
        <v>581</v>
      </c>
      <c r="G3134" s="55" t="s">
        <v>275</v>
      </c>
      <c r="H3134" s="55">
        <v>-1.9983000000000002E-3</v>
      </c>
      <c r="I3134" s="55">
        <v>-0.12595770000000001</v>
      </c>
      <c r="J3134" s="55">
        <v>-0.10431509999999999</v>
      </c>
      <c r="K3134" s="55">
        <v>4.5883199999999999E-2</v>
      </c>
      <c r="L3134" s="55">
        <v>-2.1146850000000001</v>
      </c>
      <c r="M3134" s="55">
        <v>-4.5244980000000004</v>
      </c>
      <c r="N3134" s="55">
        <v>-96.969139999999996</v>
      </c>
    </row>
    <row r="3135" spans="1:14" hidden="1" x14ac:dyDescent="0.35">
      <c r="A3135" s="52" t="s">
        <v>672</v>
      </c>
      <c r="B3135" s="52" t="s">
        <v>73</v>
      </c>
      <c r="C3135" s="52" t="s">
        <v>71</v>
      </c>
      <c r="D3135" s="52" t="s">
        <v>335</v>
      </c>
      <c r="E3135" s="52" t="s">
        <v>584</v>
      </c>
      <c r="F3135" s="52" t="s">
        <v>581</v>
      </c>
      <c r="G3135" s="55" t="s">
        <v>276</v>
      </c>
      <c r="H3135" s="55">
        <v>-4.0046999999999999E-2</v>
      </c>
      <c r="I3135" s="55">
        <v>-5.15088E-2</v>
      </c>
      <c r="J3135" s="55">
        <v>-7.8679200000000005E-2</v>
      </c>
      <c r="K3135" s="55">
        <v>-7.3746889999999996E-2</v>
      </c>
      <c r="L3135" s="55">
        <v>-0.47931360000000001</v>
      </c>
      <c r="M3135" s="55">
        <v>-1.92279</v>
      </c>
      <c r="N3135" s="55">
        <v>-20.457560000000001</v>
      </c>
    </row>
    <row r="3136" spans="1:14" hidden="1" x14ac:dyDescent="0.35">
      <c r="A3136" s="52" t="s">
        <v>672</v>
      </c>
      <c r="B3136" s="52" t="s">
        <v>73</v>
      </c>
      <c r="C3136" s="52" t="s">
        <v>71</v>
      </c>
      <c r="D3136" s="52" t="s">
        <v>335</v>
      </c>
      <c r="E3136" s="52" t="s">
        <v>584</v>
      </c>
      <c r="F3136" s="52" t="s">
        <v>581</v>
      </c>
      <c r="G3136" s="55" t="s">
        <v>277</v>
      </c>
      <c r="H3136" s="55">
        <v>0</v>
      </c>
      <c r="I3136" s="55">
        <v>0.15</v>
      </c>
      <c r="J3136" s="55">
        <v>0.15</v>
      </c>
      <c r="K3136" s="55">
        <v>0</v>
      </c>
      <c r="L3136" s="55">
        <v>2.5690010000000001</v>
      </c>
      <c r="M3136" s="55">
        <v>5.7374010000000002</v>
      </c>
      <c r="N3136" s="55">
        <v>116.76819999999999</v>
      </c>
    </row>
    <row r="3137" spans="1:14" hidden="1" x14ac:dyDescent="0.35">
      <c r="A3137" s="52" t="s">
        <v>672</v>
      </c>
      <c r="B3137" s="52" t="s">
        <v>73</v>
      </c>
      <c r="C3137" s="52" t="s">
        <v>71</v>
      </c>
      <c r="D3137" s="52" t="s">
        <v>335</v>
      </c>
      <c r="E3137" s="52" t="s">
        <v>584</v>
      </c>
      <c r="F3137" s="52" t="s">
        <v>581</v>
      </c>
      <c r="G3137" s="55" t="s">
        <v>278</v>
      </c>
      <c r="H3137" s="55">
        <v>4.2044999999999999E-2</v>
      </c>
      <c r="I3137" s="55">
        <v>2.7466500000000001E-2</v>
      </c>
      <c r="J3137" s="55">
        <v>3.2994599999999999E-2</v>
      </c>
      <c r="K3137" s="55">
        <v>2.78634E-2</v>
      </c>
      <c r="L3137" s="55">
        <v>2.4997800000000001E-2</v>
      </c>
      <c r="M3137" s="55">
        <v>5.1353700000000002E-2</v>
      </c>
      <c r="N3137" s="55">
        <v>0</v>
      </c>
    </row>
    <row r="3138" spans="1:14" hidden="1" x14ac:dyDescent="0.35">
      <c r="A3138" s="52" t="s">
        <v>672</v>
      </c>
      <c r="B3138" s="52" t="s">
        <v>73</v>
      </c>
      <c r="C3138" s="52" t="s">
        <v>71</v>
      </c>
      <c r="D3138" s="52" t="s">
        <v>335</v>
      </c>
      <c r="E3138" s="52" t="s">
        <v>584</v>
      </c>
      <c r="F3138" s="52" t="s">
        <v>581</v>
      </c>
      <c r="G3138" s="55" t="s">
        <v>279</v>
      </c>
      <c r="H3138" s="55"/>
      <c r="I3138" s="55"/>
      <c r="J3138" s="55"/>
      <c r="K3138" s="55"/>
      <c r="L3138" s="55">
        <v>0</v>
      </c>
      <c r="M3138" s="55">
        <v>0.65853329999999999</v>
      </c>
      <c r="N3138" s="55">
        <v>0.65853329999999999</v>
      </c>
    </row>
    <row r="3139" spans="1:14" hidden="1" x14ac:dyDescent="0.35">
      <c r="A3139" s="52" t="s">
        <v>672</v>
      </c>
      <c r="B3139" s="52" t="s">
        <v>73</v>
      </c>
      <c r="C3139" s="52" t="s">
        <v>71</v>
      </c>
      <c r="D3139" s="52" t="s">
        <v>335</v>
      </c>
      <c r="E3139" s="52" t="s">
        <v>584</v>
      </c>
      <c r="F3139" s="52" t="s">
        <v>26</v>
      </c>
      <c r="G3139" s="55" t="s">
        <v>275</v>
      </c>
      <c r="H3139" s="55"/>
      <c r="I3139" s="55"/>
      <c r="J3139" s="55"/>
      <c r="K3139" s="55"/>
      <c r="L3139" s="55">
        <v>0</v>
      </c>
      <c r="M3139" s="55">
        <v>-0.1003629</v>
      </c>
      <c r="N3139" s="55">
        <v>-1.471112</v>
      </c>
    </row>
    <row r="3140" spans="1:14" hidden="1" x14ac:dyDescent="0.35">
      <c r="A3140" s="52" t="s">
        <v>672</v>
      </c>
      <c r="B3140" s="52" t="s">
        <v>73</v>
      </c>
      <c r="C3140" s="52" t="s">
        <v>71</v>
      </c>
      <c r="D3140" s="52" t="s">
        <v>335</v>
      </c>
      <c r="E3140" s="52" t="s">
        <v>584</v>
      </c>
      <c r="F3140" s="52" t="s">
        <v>26</v>
      </c>
      <c r="G3140" s="55" t="s">
        <v>276</v>
      </c>
      <c r="H3140" s="55"/>
      <c r="I3140" s="55"/>
      <c r="J3140" s="55"/>
      <c r="K3140" s="55"/>
      <c r="L3140" s="55">
        <v>0</v>
      </c>
      <c r="M3140" s="55">
        <v>-3.8059799999999998E-2</v>
      </c>
      <c r="N3140" s="55">
        <v>-0.3187545</v>
      </c>
    </row>
    <row r="3141" spans="1:14" hidden="1" x14ac:dyDescent="0.35">
      <c r="A3141" s="52" t="s">
        <v>672</v>
      </c>
      <c r="B3141" s="52" t="s">
        <v>73</v>
      </c>
      <c r="C3141" s="52" t="s">
        <v>71</v>
      </c>
      <c r="D3141" s="52" t="s">
        <v>335</v>
      </c>
      <c r="E3141" s="52" t="s">
        <v>584</v>
      </c>
      <c r="F3141" s="52" t="s">
        <v>26</v>
      </c>
      <c r="G3141" s="55" t="s">
        <v>277</v>
      </c>
      <c r="H3141" s="55"/>
      <c r="I3141" s="55"/>
      <c r="J3141" s="55"/>
      <c r="K3141" s="55"/>
      <c r="L3141" s="55">
        <v>0</v>
      </c>
      <c r="M3141" s="55">
        <v>0.1125984</v>
      </c>
      <c r="N3141" s="55">
        <v>1.7640420000000001</v>
      </c>
    </row>
    <row r="3142" spans="1:14" hidden="1" x14ac:dyDescent="0.35">
      <c r="A3142" s="52" t="s">
        <v>672</v>
      </c>
      <c r="B3142" s="52" t="s">
        <v>73</v>
      </c>
      <c r="C3142" s="52" t="s">
        <v>71</v>
      </c>
      <c r="D3142" s="52" t="s">
        <v>335</v>
      </c>
      <c r="E3142" s="52" t="s">
        <v>584</v>
      </c>
      <c r="F3142" s="52" t="s">
        <v>26</v>
      </c>
      <c r="G3142" s="55" t="s">
        <v>279</v>
      </c>
      <c r="H3142" s="55"/>
      <c r="I3142" s="55"/>
      <c r="J3142" s="55"/>
      <c r="K3142" s="55"/>
      <c r="L3142" s="55">
        <v>0</v>
      </c>
      <c r="M3142" s="55">
        <v>2.5824300000000001E-2</v>
      </c>
      <c r="N3142" s="55">
        <v>2.5824300000000001E-2</v>
      </c>
    </row>
    <row r="3143" spans="1:14" hidden="1" x14ac:dyDescent="0.35">
      <c r="A3143" s="52" t="s">
        <v>672</v>
      </c>
      <c r="B3143" s="52" t="s">
        <v>73</v>
      </c>
      <c r="C3143" s="52" t="s">
        <v>71</v>
      </c>
      <c r="D3143" s="52" t="s">
        <v>336</v>
      </c>
      <c r="E3143" s="52" t="s">
        <v>584</v>
      </c>
      <c r="F3143" s="52" t="s">
        <v>581</v>
      </c>
      <c r="G3143" s="55" t="s">
        <v>275</v>
      </c>
      <c r="H3143" s="55">
        <v>-2.41075E-2</v>
      </c>
      <c r="I3143" s="55">
        <v>-3.7212489999999998E-3</v>
      </c>
      <c r="J3143" s="55">
        <v>0</v>
      </c>
      <c r="K3143" s="55">
        <v>0</v>
      </c>
      <c r="L3143" s="55">
        <v>0</v>
      </c>
      <c r="M3143" s="55">
        <v>0</v>
      </c>
      <c r="N3143" s="55">
        <v>0</v>
      </c>
    </row>
    <row r="3144" spans="1:14" hidden="1" x14ac:dyDescent="0.35">
      <c r="A3144" s="52" t="s">
        <v>672</v>
      </c>
      <c r="B3144" s="52" t="s">
        <v>73</v>
      </c>
      <c r="C3144" s="52" t="s">
        <v>71</v>
      </c>
      <c r="D3144" s="52" t="s">
        <v>336</v>
      </c>
      <c r="E3144" s="52" t="s">
        <v>584</v>
      </c>
      <c r="F3144" s="52" t="s">
        <v>581</v>
      </c>
      <c r="G3144" s="55" t="s">
        <v>276</v>
      </c>
      <c r="H3144" s="55">
        <v>-0.17118349999999999</v>
      </c>
      <c r="I3144" s="55">
        <v>-5.3193400000000002E-2</v>
      </c>
      <c r="J3144" s="55">
        <v>-4.1363529999999997</v>
      </c>
      <c r="K3144" s="55">
        <v>-5.7736919999999997E-2</v>
      </c>
      <c r="L3144" s="55">
        <v>-7.0649799999999999E-2</v>
      </c>
      <c r="M3144" s="55">
        <v>-0.12526280000000001</v>
      </c>
      <c r="N3144" s="55">
        <v>-0.48341279999999998</v>
      </c>
    </row>
    <row r="3145" spans="1:14" hidden="1" x14ac:dyDescent="0.35">
      <c r="A3145" s="52" t="s">
        <v>672</v>
      </c>
      <c r="B3145" s="52" t="s">
        <v>73</v>
      </c>
      <c r="C3145" s="52" t="s">
        <v>71</v>
      </c>
      <c r="D3145" s="52" t="s">
        <v>336</v>
      </c>
      <c r="E3145" s="52" t="s">
        <v>584</v>
      </c>
      <c r="F3145" s="52" t="s">
        <v>581</v>
      </c>
      <c r="G3145" s="55" t="s">
        <v>277</v>
      </c>
      <c r="H3145" s="55"/>
      <c r="I3145" s="55"/>
      <c r="J3145" s="55"/>
      <c r="K3145" s="55">
        <v>0</v>
      </c>
      <c r="L3145" s="55">
        <v>1.8849999999999999E-2</v>
      </c>
      <c r="M3145" s="55">
        <v>1.8849999999999999E-2</v>
      </c>
      <c r="N3145" s="55">
        <v>0.377</v>
      </c>
    </row>
    <row r="3146" spans="1:14" hidden="1" x14ac:dyDescent="0.35">
      <c r="A3146" s="52" t="s">
        <v>672</v>
      </c>
      <c r="B3146" s="52" t="s">
        <v>73</v>
      </c>
      <c r="C3146" s="52" t="s">
        <v>71</v>
      </c>
      <c r="D3146" s="52" t="s">
        <v>336</v>
      </c>
      <c r="E3146" s="52" t="s">
        <v>584</v>
      </c>
      <c r="F3146" s="52" t="s">
        <v>581</v>
      </c>
      <c r="G3146" s="55" t="s">
        <v>278</v>
      </c>
      <c r="H3146" s="55">
        <v>0.19529099999999999</v>
      </c>
      <c r="I3146" s="55">
        <v>5.6914649999999997E-2</v>
      </c>
      <c r="J3146" s="55">
        <v>4.136355</v>
      </c>
      <c r="K3146" s="55">
        <v>5.7737539999999997E-2</v>
      </c>
      <c r="L3146" s="55">
        <v>5.17998E-2</v>
      </c>
      <c r="M3146" s="55">
        <v>0.10641349999999999</v>
      </c>
      <c r="N3146" s="55">
        <v>0.10641349999999999</v>
      </c>
    </row>
    <row r="3147" spans="1:14" hidden="1" x14ac:dyDescent="0.35">
      <c r="A3147" s="52" t="s">
        <v>672</v>
      </c>
      <c r="B3147" s="52" t="s">
        <v>73</v>
      </c>
      <c r="C3147" s="52" t="s">
        <v>71</v>
      </c>
      <c r="D3147" s="52" t="s">
        <v>336</v>
      </c>
      <c r="E3147" s="52" t="s">
        <v>584</v>
      </c>
      <c r="F3147" s="52" t="s">
        <v>581</v>
      </c>
      <c r="G3147" s="55" t="s">
        <v>279</v>
      </c>
      <c r="H3147" s="55"/>
      <c r="I3147" s="55"/>
      <c r="J3147" s="55"/>
      <c r="K3147" s="55"/>
      <c r="L3147" s="55"/>
      <c r="M3147" s="55"/>
      <c r="N3147" s="55">
        <v>0</v>
      </c>
    </row>
    <row r="3148" spans="1:14" hidden="1" x14ac:dyDescent="0.35">
      <c r="A3148" s="52" t="s">
        <v>672</v>
      </c>
      <c r="B3148" s="52" t="s">
        <v>73</v>
      </c>
      <c r="C3148" s="52" t="s">
        <v>71</v>
      </c>
      <c r="D3148" s="52" t="s">
        <v>336</v>
      </c>
      <c r="E3148" s="52" t="s">
        <v>584</v>
      </c>
      <c r="F3148" s="52" t="s">
        <v>26</v>
      </c>
      <c r="G3148" s="55" t="s">
        <v>275</v>
      </c>
      <c r="H3148" s="55">
        <v>0</v>
      </c>
      <c r="I3148" s="55">
        <v>-3.1465009999999999E-3</v>
      </c>
      <c r="J3148" s="55">
        <v>0</v>
      </c>
      <c r="K3148" s="55">
        <v>0</v>
      </c>
      <c r="L3148" s="55">
        <v>0</v>
      </c>
      <c r="M3148" s="55">
        <v>0</v>
      </c>
      <c r="N3148" s="55">
        <v>0</v>
      </c>
    </row>
    <row r="3149" spans="1:14" hidden="1" x14ac:dyDescent="0.35">
      <c r="A3149" s="52" t="s">
        <v>672</v>
      </c>
      <c r="B3149" s="52" t="s">
        <v>73</v>
      </c>
      <c r="C3149" s="52" t="s">
        <v>71</v>
      </c>
      <c r="D3149" s="52" t="s">
        <v>336</v>
      </c>
      <c r="E3149" s="52" t="s">
        <v>584</v>
      </c>
      <c r="F3149" s="52" t="s">
        <v>26</v>
      </c>
      <c r="G3149" s="55" t="s">
        <v>276</v>
      </c>
      <c r="H3149" s="55"/>
      <c r="I3149" s="55">
        <v>-6.7515099999999995E-2</v>
      </c>
      <c r="J3149" s="55">
        <v>-0.1016027</v>
      </c>
      <c r="K3149" s="55">
        <v>-16.906669999999998</v>
      </c>
      <c r="L3149" s="55">
        <v>-6.9023269999999998E-2</v>
      </c>
      <c r="M3149" s="55">
        <v>-0.2093264</v>
      </c>
      <c r="N3149" s="55">
        <v>-0.29886390000000002</v>
      </c>
    </row>
    <row r="3150" spans="1:14" hidden="1" x14ac:dyDescent="0.35">
      <c r="A3150" s="52" t="s">
        <v>672</v>
      </c>
      <c r="B3150" s="52" t="s">
        <v>73</v>
      </c>
      <c r="C3150" s="52" t="s">
        <v>71</v>
      </c>
      <c r="D3150" s="52" t="s">
        <v>336</v>
      </c>
      <c r="E3150" s="52" t="s">
        <v>584</v>
      </c>
      <c r="F3150" s="52" t="s">
        <v>26</v>
      </c>
      <c r="G3150" s="55" t="s">
        <v>277</v>
      </c>
      <c r="H3150" s="55"/>
      <c r="I3150" s="55"/>
      <c r="J3150" s="55"/>
      <c r="K3150" s="55">
        <v>0</v>
      </c>
      <c r="L3150" s="55">
        <v>4.7124999999999997E-3</v>
      </c>
      <c r="M3150" s="55">
        <v>7.7212500000000003E-2</v>
      </c>
      <c r="N3150" s="55">
        <v>0.16675000000000001</v>
      </c>
    </row>
    <row r="3151" spans="1:14" hidden="1" x14ac:dyDescent="0.35">
      <c r="A3151" s="52" t="s">
        <v>672</v>
      </c>
      <c r="B3151" s="52" t="s">
        <v>73</v>
      </c>
      <c r="C3151" s="52" t="s">
        <v>71</v>
      </c>
      <c r="D3151" s="52" t="s">
        <v>336</v>
      </c>
      <c r="E3151" s="52" t="s">
        <v>584</v>
      </c>
      <c r="F3151" s="52" t="s">
        <v>26</v>
      </c>
      <c r="G3151" s="55" t="s">
        <v>278</v>
      </c>
      <c r="H3151" s="55"/>
      <c r="I3151" s="55">
        <v>7.066095E-2</v>
      </c>
      <c r="J3151" s="55">
        <v>0.1016027</v>
      </c>
      <c r="K3151" s="55">
        <v>16.906669999999998</v>
      </c>
      <c r="L3151" s="55">
        <v>6.4310300000000001E-2</v>
      </c>
      <c r="M3151" s="55">
        <v>0.13211390000000001</v>
      </c>
      <c r="N3151" s="55">
        <v>0.13211390000000001</v>
      </c>
    </row>
    <row r="3152" spans="1:14" hidden="1" x14ac:dyDescent="0.35">
      <c r="A3152" s="52" t="s">
        <v>672</v>
      </c>
      <c r="B3152" s="52" t="s">
        <v>73</v>
      </c>
      <c r="C3152" s="52" t="s">
        <v>71</v>
      </c>
      <c r="D3152" s="52" t="s">
        <v>336</v>
      </c>
      <c r="E3152" s="52" t="s">
        <v>584</v>
      </c>
      <c r="F3152" s="52" t="s">
        <v>26</v>
      </c>
      <c r="G3152" s="55" t="s">
        <v>279</v>
      </c>
      <c r="H3152" s="55"/>
      <c r="I3152" s="55"/>
      <c r="J3152" s="55"/>
      <c r="K3152" s="55"/>
      <c r="L3152" s="55"/>
      <c r="M3152" s="55"/>
      <c r="N3152" s="55">
        <v>0</v>
      </c>
    </row>
    <row r="3153" spans="1:14" hidden="1" x14ac:dyDescent="0.35">
      <c r="A3153" s="52" t="s">
        <v>672</v>
      </c>
      <c r="B3153" s="52" t="s">
        <v>73</v>
      </c>
      <c r="C3153" s="52" t="s">
        <v>71</v>
      </c>
      <c r="D3153" s="52" t="s">
        <v>78</v>
      </c>
      <c r="E3153" s="52" t="s">
        <v>584</v>
      </c>
      <c r="F3153" s="52" t="s">
        <v>581</v>
      </c>
      <c r="G3153" s="55" t="s">
        <v>275</v>
      </c>
      <c r="H3153" s="55">
        <v>-4.8579549999999996</v>
      </c>
      <c r="I3153" s="55">
        <v>1.096487</v>
      </c>
      <c r="J3153" s="55">
        <v>1.0943579999999999</v>
      </c>
      <c r="K3153" s="55">
        <v>1.0946119999999999</v>
      </c>
      <c r="L3153" s="55">
        <v>-2.8088000000000002E-3</v>
      </c>
      <c r="M3153" s="55">
        <v>-9.3247989999999999E-3</v>
      </c>
      <c r="N3153" s="55">
        <v>-5.7413199999999998E-2</v>
      </c>
    </row>
    <row r="3154" spans="1:14" hidden="1" x14ac:dyDescent="0.35">
      <c r="A3154" s="52" t="s">
        <v>672</v>
      </c>
      <c r="B3154" s="52" t="s">
        <v>73</v>
      </c>
      <c r="C3154" s="52" t="s">
        <v>71</v>
      </c>
      <c r="D3154" s="52" t="s">
        <v>78</v>
      </c>
      <c r="E3154" s="52" t="s">
        <v>584</v>
      </c>
      <c r="F3154" s="52" t="s">
        <v>581</v>
      </c>
      <c r="G3154" s="55" t="s">
        <v>276</v>
      </c>
      <c r="H3154" s="55">
        <v>-22.258220000000001</v>
      </c>
      <c r="I3154" s="55">
        <v>-1.142458</v>
      </c>
      <c r="J3154" s="55">
        <v>-1.1495820000000001</v>
      </c>
      <c r="K3154" s="55">
        <v>-1.1412469999999999</v>
      </c>
      <c r="L3154" s="55">
        <v>-3.9030799999999997E-2</v>
      </c>
      <c r="M3154" s="55">
        <v>-7.6626399999999997E-2</v>
      </c>
      <c r="N3154" s="55">
        <v>-8.6537989999999995E-2</v>
      </c>
    </row>
    <row r="3155" spans="1:14" hidden="1" x14ac:dyDescent="0.35">
      <c r="A3155" s="52" t="s">
        <v>672</v>
      </c>
      <c r="B3155" s="52" t="s">
        <v>73</v>
      </c>
      <c r="C3155" s="52" t="s">
        <v>71</v>
      </c>
      <c r="D3155" s="52" t="s">
        <v>78</v>
      </c>
      <c r="E3155" s="52" t="s">
        <v>584</v>
      </c>
      <c r="F3155" s="52" t="s">
        <v>581</v>
      </c>
      <c r="G3155" s="55" t="s">
        <v>277</v>
      </c>
      <c r="H3155" s="55"/>
      <c r="I3155" s="55"/>
      <c r="J3155" s="55"/>
      <c r="K3155" s="55"/>
      <c r="L3155" s="55"/>
      <c r="M3155" s="55">
        <v>0</v>
      </c>
      <c r="N3155" s="55">
        <v>5.8000009999999998E-2</v>
      </c>
    </row>
    <row r="3156" spans="1:14" hidden="1" x14ac:dyDescent="0.35">
      <c r="A3156" s="52" t="s">
        <v>672</v>
      </c>
      <c r="B3156" s="52" t="s">
        <v>73</v>
      </c>
      <c r="C3156" s="52" t="s">
        <v>71</v>
      </c>
      <c r="D3156" s="52" t="s">
        <v>78</v>
      </c>
      <c r="E3156" s="52" t="s">
        <v>584</v>
      </c>
      <c r="F3156" s="52" t="s">
        <v>581</v>
      </c>
      <c r="G3156" s="55" t="s">
        <v>278</v>
      </c>
      <c r="H3156" s="55">
        <v>27.11617</v>
      </c>
      <c r="I3156" s="55">
        <v>4.5971199999999997E-2</v>
      </c>
      <c r="J3156" s="55">
        <v>5.5224000000000002E-2</v>
      </c>
      <c r="K3156" s="55">
        <v>4.6635200000000002E-2</v>
      </c>
      <c r="L3156" s="55">
        <v>4.18392E-2</v>
      </c>
      <c r="M3156" s="55">
        <v>8.5951600000000003E-2</v>
      </c>
      <c r="N3156" s="55">
        <v>8.5951600000000003E-2</v>
      </c>
    </row>
    <row r="3157" spans="1:14" hidden="1" x14ac:dyDescent="0.35">
      <c r="A3157" s="52" t="s">
        <v>672</v>
      </c>
      <c r="B3157" s="52" t="s">
        <v>73</v>
      </c>
      <c r="C3157" s="52" t="s">
        <v>97</v>
      </c>
      <c r="D3157" s="52" t="s">
        <v>98</v>
      </c>
      <c r="E3157" s="52" t="s">
        <v>584</v>
      </c>
      <c r="F3157" s="52" t="s">
        <v>581</v>
      </c>
      <c r="G3157" s="55" t="s">
        <v>275</v>
      </c>
      <c r="H3157" s="55">
        <v>-96.391850000000005</v>
      </c>
      <c r="I3157" s="55">
        <v>144.70050000000001</v>
      </c>
      <c r="J3157" s="55">
        <v>251.11320000000001</v>
      </c>
      <c r="K3157" s="55">
        <v>272.96069999999997</v>
      </c>
      <c r="L3157" s="55">
        <v>291.84469999999999</v>
      </c>
      <c r="M3157" s="55">
        <v>259.10480000000001</v>
      </c>
      <c r="N3157" s="55">
        <v>222.44239999999999</v>
      </c>
    </row>
    <row r="3158" spans="1:14" hidden="1" x14ac:dyDescent="0.35">
      <c r="A3158" s="52" t="s">
        <v>672</v>
      </c>
      <c r="B3158" s="52" t="s">
        <v>73</v>
      </c>
      <c r="C3158" s="52" t="s">
        <v>97</v>
      </c>
      <c r="D3158" s="52" t="s">
        <v>98</v>
      </c>
      <c r="E3158" s="52" t="s">
        <v>584</v>
      </c>
      <c r="F3158" s="52" t="s">
        <v>581</v>
      </c>
      <c r="G3158" s="55" t="s">
        <v>276</v>
      </c>
      <c r="H3158" s="55">
        <v>-112.983</v>
      </c>
      <c r="I3158" s="55">
        <v>170.83510000000001</v>
      </c>
      <c r="J3158" s="55">
        <v>210.0436</v>
      </c>
      <c r="K3158" s="55">
        <v>247.95150000000001</v>
      </c>
      <c r="L3158" s="55">
        <v>515.21900000000005</v>
      </c>
      <c r="M3158" s="55">
        <v>565.65279999999996</v>
      </c>
      <c r="N3158" s="55">
        <v>623.64670000000001</v>
      </c>
    </row>
    <row r="3159" spans="1:14" hidden="1" x14ac:dyDescent="0.35">
      <c r="A3159" s="52" t="s">
        <v>672</v>
      </c>
      <c r="B3159" s="52" t="s">
        <v>73</v>
      </c>
      <c r="C3159" s="52" t="s">
        <v>97</v>
      </c>
      <c r="D3159" s="52" t="s">
        <v>98</v>
      </c>
      <c r="E3159" s="52" t="s">
        <v>584</v>
      </c>
      <c r="F3159" s="52" t="s">
        <v>581</v>
      </c>
      <c r="G3159" s="55" t="s">
        <v>277</v>
      </c>
      <c r="H3159" s="55">
        <v>351.78710000000001</v>
      </c>
      <c r="I3159" s="55">
        <v>223.03989999999999</v>
      </c>
      <c r="J3159" s="55">
        <v>121.4147</v>
      </c>
      <c r="K3159" s="55">
        <v>53.392919999999997</v>
      </c>
      <c r="L3159" s="55">
        <v>46.200420000000001</v>
      </c>
      <c r="M3159" s="55">
        <v>51.902880000000003</v>
      </c>
      <c r="N3159" s="55">
        <v>51.906559999999999</v>
      </c>
    </row>
    <row r="3160" spans="1:14" hidden="1" x14ac:dyDescent="0.35">
      <c r="A3160" s="52" t="s">
        <v>672</v>
      </c>
      <c r="B3160" s="52" t="s">
        <v>73</v>
      </c>
      <c r="C3160" s="52" t="s">
        <v>97</v>
      </c>
      <c r="D3160" s="52" t="s">
        <v>98</v>
      </c>
      <c r="E3160" s="52" t="s">
        <v>584</v>
      </c>
      <c r="F3160" s="52" t="s">
        <v>581</v>
      </c>
      <c r="G3160" s="55" t="s">
        <v>278</v>
      </c>
      <c r="H3160" s="55">
        <v>10.39823</v>
      </c>
      <c r="I3160" s="55">
        <v>11.487</v>
      </c>
      <c r="J3160" s="55">
        <v>15.053750000000001</v>
      </c>
      <c r="K3160" s="55">
        <v>5.6120929999999998</v>
      </c>
      <c r="L3160" s="55">
        <v>0.17879</v>
      </c>
      <c r="M3160" s="55">
        <v>0.36729489999999998</v>
      </c>
      <c r="N3160" s="55">
        <v>0.36729489999999998</v>
      </c>
    </row>
    <row r="3161" spans="1:14" hidden="1" x14ac:dyDescent="0.35">
      <c r="A3161" s="52" t="s">
        <v>672</v>
      </c>
      <c r="B3161" s="52" t="s">
        <v>73</v>
      </c>
      <c r="C3161" s="52" t="s">
        <v>97</v>
      </c>
      <c r="D3161" s="52" t="s">
        <v>98</v>
      </c>
      <c r="E3161" s="52" t="s">
        <v>584</v>
      </c>
      <c r="F3161" s="52" t="s">
        <v>581</v>
      </c>
      <c r="G3161" s="55" t="s">
        <v>279</v>
      </c>
      <c r="H3161" s="55">
        <v>16.534890000000001</v>
      </c>
      <c r="I3161" s="55">
        <v>52.001390000000001</v>
      </c>
      <c r="J3161" s="55">
        <v>53.782780000000002</v>
      </c>
      <c r="K3161" s="55">
        <v>74.955709999999996</v>
      </c>
      <c r="L3161" s="55">
        <v>114.7277</v>
      </c>
      <c r="M3161" s="55">
        <v>117.849</v>
      </c>
      <c r="N3161" s="55">
        <v>120.59950000000001</v>
      </c>
    </row>
    <row r="3162" spans="1:14" hidden="1" x14ac:dyDescent="0.35">
      <c r="A3162" s="52" t="s">
        <v>672</v>
      </c>
      <c r="B3162" s="52" t="s">
        <v>73</v>
      </c>
      <c r="C3162" s="52" t="s">
        <v>97</v>
      </c>
      <c r="D3162" s="52" t="s">
        <v>98</v>
      </c>
      <c r="E3162" s="52" t="s">
        <v>584</v>
      </c>
      <c r="F3162" s="52" t="s">
        <v>26</v>
      </c>
      <c r="G3162" s="55" t="s">
        <v>275</v>
      </c>
      <c r="H3162" s="55">
        <v>-0.88798549999999998</v>
      </c>
      <c r="I3162" s="55">
        <v>1.394037</v>
      </c>
      <c r="J3162" s="55">
        <v>4.4145139999999996</v>
      </c>
      <c r="K3162" s="55">
        <v>3.5068630000000001</v>
      </c>
      <c r="L3162" s="55">
        <v>3.2962150000000001</v>
      </c>
      <c r="M3162" s="55">
        <v>3.0707970000000002</v>
      </c>
      <c r="N3162" s="55">
        <v>2.8519000000000001</v>
      </c>
    </row>
    <row r="3163" spans="1:14" hidden="1" x14ac:dyDescent="0.35">
      <c r="A3163" s="52" t="s">
        <v>672</v>
      </c>
      <c r="B3163" s="52" t="s">
        <v>73</v>
      </c>
      <c r="C3163" s="52" t="s">
        <v>97</v>
      </c>
      <c r="D3163" s="52" t="s">
        <v>98</v>
      </c>
      <c r="E3163" s="52" t="s">
        <v>584</v>
      </c>
      <c r="F3163" s="52" t="s">
        <v>26</v>
      </c>
      <c r="G3163" s="55" t="s">
        <v>276</v>
      </c>
      <c r="H3163" s="55">
        <v>-1.6939139999999999</v>
      </c>
      <c r="I3163" s="55">
        <v>5.8541040000000004</v>
      </c>
      <c r="J3163" s="55">
        <v>8.6284229999999997</v>
      </c>
      <c r="K3163" s="55">
        <v>6.4994079999999999</v>
      </c>
      <c r="L3163" s="55">
        <v>7.1597749999999998</v>
      </c>
      <c r="M3163" s="55">
        <v>7.9688699999999999</v>
      </c>
      <c r="N3163" s="55">
        <v>8.5973260000000007</v>
      </c>
    </row>
    <row r="3164" spans="1:14" hidden="1" x14ac:dyDescent="0.35">
      <c r="A3164" s="52" t="s">
        <v>672</v>
      </c>
      <c r="B3164" s="52" t="s">
        <v>73</v>
      </c>
      <c r="C3164" s="52" t="s">
        <v>97</v>
      </c>
      <c r="D3164" s="52" t="s">
        <v>98</v>
      </c>
      <c r="E3164" s="52" t="s">
        <v>584</v>
      </c>
      <c r="F3164" s="52" t="s">
        <v>26</v>
      </c>
      <c r="G3164" s="55" t="s">
        <v>277</v>
      </c>
      <c r="H3164" s="55">
        <v>2.355829</v>
      </c>
      <c r="I3164" s="55">
        <v>2.639427</v>
      </c>
      <c r="J3164" s="55">
        <v>0.1049702</v>
      </c>
      <c r="K3164" s="55">
        <v>1.7994860000000001E-2</v>
      </c>
      <c r="L3164" s="55">
        <v>0</v>
      </c>
      <c r="M3164" s="55">
        <v>0</v>
      </c>
      <c r="N3164" s="55">
        <v>0</v>
      </c>
    </row>
    <row r="3165" spans="1:14" hidden="1" x14ac:dyDescent="0.35">
      <c r="A3165" s="52" t="s">
        <v>672</v>
      </c>
      <c r="B3165" s="52" t="s">
        <v>73</v>
      </c>
      <c r="C3165" s="52" t="s">
        <v>97</v>
      </c>
      <c r="D3165" s="52" t="s">
        <v>98</v>
      </c>
      <c r="E3165" s="52" t="s">
        <v>584</v>
      </c>
      <c r="F3165" s="52" t="s">
        <v>26</v>
      </c>
      <c r="G3165" s="55" t="s">
        <v>278</v>
      </c>
      <c r="H3165" s="55">
        <v>3.9748600000000002E-2</v>
      </c>
      <c r="I3165" s="55">
        <v>2.5965999999999999E-2</v>
      </c>
      <c r="J3165" s="55">
        <v>0</v>
      </c>
      <c r="K3165" s="55">
        <v>0</v>
      </c>
      <c r="L3165" s="55">
        <v>0</v>
      </c>
      <c r="M3165" s="55">
        <v>0</v>
      </c>
      <c r="N3165" s="55">
        <v>0</v>
      </c>
    </row>
    <row r="3166" spans="1:14" hidden="1" x14ac:dyDescent="0.35">
      <c r="A3166" s="52" t="s">
        <v>672</v>
      </c>
      <c r="B3166" s="52" t="s">
        <v>73</v>
      </c>
      <c r="C3166" s="52" t="s">
        <v>97</v>
      </c>
      <c r="D3166" s="52" t="s">
        <v>98</v>
      </c>
      <c r="E3166" s="52" t="s">
        <v>584</v>
      </c>
      <c r="F3166" s="52" t="s">
        <v>26</v>
      </c>
      <c r="G3166" s="55" t="s">
        <v>279</v>
      </c>
      <c r="H3166" s="55">
        <v>0.1863223</v>
      </c>
      <c r="I3166" s="55">
        <v>8.3316370000000006</v>
      </c>
      <c r="J3166" s="55">
        <v>9.031955</v>
      </c>
      <c r="K3166" s="55">
        <v>12.18934</v>
      </c>
      <c r="L3166" s="55">
        <v>12.71654</v>
      </c>
      <c r="M3166" s="55">
        <v>13.442209999999999</v>
      </c>
      <c r="N3166" s="55">
        <v>13.931699999999999</v>
      </c>
    </row>
    <row r="3167" spans="1:14" hidden="1" x14ac:dyDescent="0.35">
      <c r="A3167" s="52" t="s">
        <v>672</v>
      </c>
      <c r="B3167" s="52" t="s">
        <v>73</v>
      </c>
      <c r="C3167" s="52" t="s">
        <v>97</v>
      </c>
      <c r="D3167" s="52" t="s">
        <v>171</v>
      </c>
      <c r="E3167" s="52" t="s">
        <v>584</v>
      </c>
      <c r="F3167" s="52" t="s">
        <v>581</v>
      </c>
      <c r="G3167" s="55" t="s">
        <v>275</v>
      </c>
      <c r="H3167" s="55">
        <v>-16.544920000000001</v>
      </c>
      <c r="I3167" s="55">
        <v>3.211239</v>
      </c>
      <c r="J3167" s="55">
        <v>3.682423</v>
      </c>
      <c r="K3167" s="55">
        <v>3.9862190000000002</v>
      </c>
      <c r="L3167" s="55">
        <v>-0.71741500000000002</v>
      </c>
      <c r="M3167" s="55">
        <v>-8.9325299999999999</v>
      </c>
      <c r="N3167" s="55">
        <v>-45.144469999999998</v>
      </c>
    </row>
    <row r="3168" spans="1:14" hidden="1" x14ac:dyDescent="0.35">
      <c r="A3168" s="52" t="s">
        <v>672</v>
      </c>
      <c r="B3168" s="52" t="s">
        <v>73</v>
      </c>
      <c r="C3168" s="52" t="s">
        <v>97</v>
      </c>
      <c r="D3168" s="52" t="s">
        <v>171</v>
      </c>
      <c r="E3168" s="52" t="s">
        <v>584</v>
      </c>
      <c r="F3168" s="52" t="s">
        <v>581</v>
      </c>
      <c r="G3168" s="55" t="s">
        <v>276</v>
      </c>
      <c r="H3168" s="55">
        <v>-12.62501</v>
      </c>
      <c r="I3168" s="55">
        <v>-5.9223429999999997</v>
      </c>
      <c r="J3168" s="55">
        <v>-4.1752209999999996</v>
      </c>
      <c r="K3168" s="55">
        <v>-4.148301</v>
      </c>
      <c r="L3168" s="55">
        <v>-3.9591240000000001</v>
      </c>
      <c r="M3168" s="55">
        <v>-7.4455840000000002</v>
      </c>
      <c r="N3168" s="55">
        <v>-13.7728</v>
      </c>
    </row>
    <row r="3169" spans="1:14" hidden="1" x14ac:dyDescent="0.35">
      <c r="A3169" s="52" t="s">
        <v>672</v>
      </c>
      <c r="B3169" s="52" t="s">
        <v>73</v>
      </c>
      <c r="C3169" s="52" t="s">
        <v>97</v>
      </c>
      <c r="D3169" s="52" t="s">
        <v>171</v>
      </c>
      <c r="E3169" s="52" t="s">
        <v>584</v>
      </c>
      <c r="F3169" s="52" t="s">
        <v>581</v>
      </c>
      <c r="G3169" s="55" t="s">
        <v>277</v>
      </c>
      <c r="H3169" s="55">
        <v>23</v>
      </c>
      <c r="I3169" s="55">
        <v>0.3008672</v>
      </c>
      <c r="J3169" s="55">
        <v>0.3008672</v>
      </c>
      <c r="K3169" s="55">
        <v>0</v>
      </c>
      <c r="L3169" s="55">
        <v>4.5311250000000003</v>
      </c>
      <c r="M3169" s="55">
        <v>14.78215</v>
      </c>
      <c r="N3169" s="55">
        <v>57.450069999999997</v>
      </c>
    </row>
    <row r="3170" spans="1:14" hidden="1" x14ac:dyDescent="0.35">
      <c r="A3170" s="52" t="s">
        <v>672</v>
      </c>
      <c r="B3170" s="52" t="s">
        <v>73</v>
      </c>
      <c r="C3170" s="52" t="s">
        <v>97</v>
      </c>
      <c r="D3170" s="52" t="s">
        <v>171</v>
      </c>
      <c r="E3170" s="52" t="s">
        <v>584</v>
      </c>
      <c r="F3170" s="52" t="s">
        <v>581</v>
      </c>
      <c r="G3170" s="55" t="s">
        <v>278</v>
      </c>
      <c r="H3170" s="55">
        <v>6.1699260000000002</v>
      </c>
      <c r="I3170" s="55">
        <v>2.4102359999999998</v>
      </c>
      <c r="J3170" s="55">
        <v>0.19193209999999999</v>
      </c>
      <c r="K3170" s="55">
        <v>0.16208249999999999</v>
      </c>
      <c r="L3170" s="55">
        <v>0.14541309999999999</v>
      </c>
      <c r="M3170" s="55">
        <v>0.29872710000000002</v>
      </c>
      <c r="N3170" s="55">
        <v>0.16997209999999999</v>
      </c>
    </row>
    <row r="3171" spans="1:14" hidden="1" x14ac:dyDescent="0.35">
      <c r="A3171" s="52" t="s">
        <v>672</v>
      </c>
      <c r="B3171" s="52" t="s">
        <v>73</v>
      </c>
      <c r="C3171" s="52" t="s">
        <v>97</v>
      </c>
      <c r="D3171" s="52" t="s">
        <v>171</v>
      </c>
      <c r="E3171" s="52" t="s">
        <v>584</v>
      </c>
      <c r="F3171" s="52" t="s">
        <v>581</v>
      </c>
      <c r="G3171" s="55" t="s">
        <v>279</v>
      </c>
      <c r="H3171" s="55"/>
      <c r="I3171" s="55"/>
      <c r="J3171" s="55"/>
      <c r="K3171" s="55"/>
      <c r="L3171" s="55">
        <v>0</v>
      </c>
      <c r="M3171" s="55">
        <v>1.297237</v>
      </c>
      <c r="N3171" s="55">
        <v>1.297237</v>
      </c>
    </row>
    <row r="3172" spans="1:14" hidden="1" x14ac:dyDescent="0.35">
      <c r="A3172" s="52" t="s">
        <v>672</v>
      </c>
      <c r="B3172" s="52" t="s">
        <v>73</v>
      </c>
      <c r="C3172" s="52" t="s">
        <v>97</v>
      </c>
      <c r="D3172" s="52" t="s">
        <v>171</v>
      </c>
      <c r="E3172" s="52" t="s">
        <v>584</v>
      </c>
      <c r="F3172" s="52" t="s">
        <v>26</v>
      </c>
      <c r="G3172" s="55" t="s">
        <v>275</v>
      </c>
      <c r="H3172" s="55">
        <v>0</v>
      </c>
      <c r="I3172" s="55">
        <v>2.7168359999999998E-4</v>
      </c>
      <c r="J3172" s="55">
        <v>0</v>
      </c>
      <c r="K3172" s="55">
        <v>0</v>
      </c>
      <c r="L3172" s="55">
        <v>0</v>
      </c>
      <c r="M3172" s="55">
        <v>-1.0867089999999999</v>
      </c>
      <c r="N3172" s="55">
        <v>-3.9265059999999998</v>
      </c>
    </row>
    <row r="3173" spans="1:14" hidden="1" x14ac:dyDescent="0.35">
      <c r="A3173" s="52" t="s">
        <v>672</v>
      </c>
      <c r="B3173" s="52" t="s">
        <v>73</v>
      </c>
      <c r="C3173" s="52" t="s">
        <v>97</v>
      </c>
      <c r="D3173" s="52" t="s">
        <v>171</v>
      </c>
      <c r="E3173" s="52" t="s">
        <v>584</v>
      </c>
      <c r="F3173" s="52" t="s">
        <v>26</v>
      </c>
      <c r="G3173" s="55" t="s">
        <v>276</v>
      </c>
      <c r="H3173" s="55"/>
      <c r="I3173" s="55">
        <v>-4.3011590000000002E-2</v>
      </c>
      <c r="J3173" s="55">
        <v>-0.2379849</v>
      </c>
      <c r="K3173" s="55">
        <v>-4.3358189999999998E-2</v>
      </c>
      <c r="L3173" s="55">
        <v>-3.8897540000000001E-2</v>
      </c>
      <c r="M3173" s="55">
        <v>-0.37958340000000002</v>
      </c>
      <c r="N3173" s="55">
        <v>-1.2865219999999999</v>
      </c>
    </row>
    <row r="3174" spans="1:14" hidden="1" x14ac:dyDescent="0.35">
      <c r="A3174" s="52" t="s">
        <v>672</v>
      </c>
      <c r="B3174" s="52" t="s">
        <v>73</v>
      </c>
      <c r="C3174" s="52" t="s">
        <v>97</v>
      </c>
      <c r="D3174" s="52" t="s">
        <v>171</v>
      </c>
      <c r="E3174" s="52" t="s">
        <v>584</v>
      </c>
      <c r="F3174" s="52" t="s">
        <v>26</v>
      </c>
      <c r="G3174" s="55" t="s">
        <v>277</v>
      </c>
      <c r="H3174" s="55"/>
      <c r="I3174" s="55"/>
      <c r="J3174" s="55"/>
      <c r="K3174" s="55"/>
      <c r="L3174" s="55">
        <v>0</v>
      </c>
      <c r="M3174" s="55">
        <v>1.267889</v>
      </c>
      <c r="N3174" s="55">
        <v>5.0146240000000004</v>
      </c>
    </row>
    <row r="3175" spans="1:14" hidden="1" x14ac:dyDescent="0.35">
      <c r="A3175" s="52" t="s">
        <v>672</v>
      </c>
      <c r="B3175" s="52" t="s">
        <v>73</v>
      </c>
      <c r="C3175" s="52" t="s">
        <v>97</v>
      </c>
      <c r="D3175" s="52" t="s">
        <v>171</v>
      </c>
      <c r="E3175" s="52" t="s">
        <v>584</v>
      </c>
      <c r="F3175" s="52" t="s">
        <v>26</v>
      </c>
      <c r="G3175" s="55" t="s">
        <v>278</v>
      </c>
      <c r="H3175" s="55"/>
      <c r="I3175" s="55">
        <v>4.2739010000000001E-2</v>
      </c>
      <c r="J3175" s="55">
        <v>0.237984</v>
      </c>
      <c r="K3175" s="55">
        <v>4.335729E-2</v>
      </c>
      <c r="L3175" s="55">
        <v>3.8897540000000001E-2</v>
      </c>
      <c r="M3175" s="55">
        <v>7.9908980000000004E-2</v>
      </c>
      <c r="N3175" s="55">
        <v>7.9908980000000004E-2</v>
      </c>
    </row>
    <row r="3176" spans="1:14" hidden="1" x14ac:dyDescent="0.35">
      <c r="A3176" s="52" t="s">
        <v>672</v>
      </c>
      <c r="B3176" s="52" t="s">
        <v>73</v>
      </c>
      <c r="C3176" s="52" t="s">
        <v>97</v>
      </c>
      <c r="D3176" s="52" t="s">
        <v>171</v>
      </c>
      <c r="E3176" s="52" t="s">
        <v>584</v>
      </c>
      <c r="F3176" s="52" t="s">
        <v>26</v>
      </c>
      <c r="G3176" s="55" t="s">
        <v>279</v>
      </c>
      <c r="H3176" s="55"/>
      <c r="I3176" s="55"/>
      <c r="J3176" s="55"/>
      <c r="K3176" s="55"/>
      <c r="L3176" s="55">
        <v>0</v>
      </c>
      <c r="M3176" s="55">
        <v>0.11849510000000001</v>
      </c>
      <c r="N3176" s="55">
        <v>0.11849510000000001</v>
      </c>
    </row>
    <row r="3177" spans="1:14" hidden="1" x14ac:dyDescent="0.35">
      <c r="A3177" s="52" t="s">
        <v>672</v>
      </c>
      <c r="B3177" s="52" t="s">
        <v>73</v>
      </c>
      <c r="C3177" s="52" t="s">
        <v>80</v>
      </c>
      <c r="D3177" s="52" t="s">
        <v>152</v>
      </c>
      <c r="E3177" s="52" t="s">
        <v>584</v>
      </c>
      <c r="F3177" s="52" t="s">
        <v>581</v>
      </c>
      <c r="G3177" s="55" t="s">
        <v>275</v>
      </c>
      <c r="H3177" s="55">
        <v>26.94125</v>
      </c>
      <c r="I3177" s="55">
        <v>11.61665</v>
      </c>
      <c r="J3177" s="55">
        <v>24.459119999999999</v>
      </c>
      <c r="K3177" s="55">
        <v>24.34544</v>
      </c>
      <c r="L3177" s="55">
        <v>24.338660000000001</v>
      </c>
      <c r="M3177" s="55">
        <v>14.21491</v>
      </c>
      <c r="N3177" s="55">
        <v>-16.009889999999999</v>
      </c>
    </row>
    <row r="3178" spans="1:14" hidden="1" x14ac:dyDescent="0.35">
      <c r="A3178" s="52" t="s">
        <v>672</v>
      </c>
      <c r="B3178" s="52" t="s">
        <v>73</v>
      </c>
      <c r="C3178" s="52" t="s">
        <v>80</v>
      </c>
      <c r="D3178" s="52" t="s">
        <v>152</v>
      </c>
      <c r="E3178" s="52" t="s">
        <v>584</v>
      </c>
      <c r="F3178" s="52" t="s">
        <v>581</v>
      </c>
      <c r="G3178" s="55" t="s">
        <v>276</v>
      </c>
      <c r="H3178" s="55">
        <v>105.5155</v>
      </c>
      <c r="I3178" s="55">
        <v>57.117179999999998</v>
      </c>
      <c r="J3178" s="55">
        <v>51.512419999999999</v>
      </c>
      <c r="K3178" s="55">
        <v>66.047690000000003</v>
      </c>
      <c r="L3178" s="55">
        <v>79.382249999999999</v>
      </c>
      <c r="M3178" s="55">
        <v>72.452089999999998</v>
      </c>
      <c r="N3178" s="55">
        <v>54.927680000000002</v>
      </c>
    </row>
    <row r="3179" spans="1:14" hidden="1" x14ac:dyDescent="0.35">
      <c r="A3179" s="52" t="s">
        <v>672</v>
      </c>
      <c r="B3179" s="52" t="s">
        <v>73</v>
      </c>
      <c r="C3179" s="52" t="s">
        <v>80</v>
      </c>
      <c r="D3179" s="52" t="s">
        <v>152</v>
      </c>
      <c r="E3179" s="52" t="s">
        <v>584</v>
      </c>
      <c r="F3179" s="52" t="s">
        <v>581</v>
      </c>
      <c r="G3179" s="55" t="s">
        <v>277</v>
      </c>
      <c r="H3179" s="55">
        <v>6.0015479999999997</v>
      </c>
      <c r="I3179" s="55">
        <v>9.7893100000000004</v>
      </c>
      <c r="J3179" s="55">
        <v>0</v>
      </c>
      <c r="K3179" s="55">
        <v>0.17499999999999999</v>
      </c>
      <c r="L3179" s="55">
        <v>2.1568290000000001</v>
      </c>
      <c r="M3179" s="55">
        <v>11.5901</v>
      </c>
      <c r="N3179" s="55">
        <v>45.033799999999999</v>
      </c>
    </row>
    <row r="3180" spans="1:14" hidden="1" x14ac:dyDescent="0.35">
      <c r="A3180" s="52" t="s">
        <v>672</v>
      </c>
      <c r="B3180" s="52" t="s">
        <v>73</v>
      </c>
      <c r="C3180" s="52" t="s">
        <v>80</v>
      </c>
      <c r="D3180" s="52" t="s">
        <v>152</v>
      </c>
      <c r="E3180" s="52" t="s">
        <v>584</v>
      </c>
      <c r="F3180" s="52" t="s">
        <v>581</v>
      </c>
      <c r="G3180" s="55" t="s">
        <v>278</v>
      </c>
      <c r="H3180" s="55">
        <v>23.908339999999999</v>
      </c>
      <c r="I3180" s="55">
        <v>0.1319642</v>
      </c>
      <c r="J3180" s="55">
        <v>16.651250000000001</v>
      </c>
      <c r="K3180" s="55">
        <v>2.8121139999999998</v>
      </c>
      <c r="L3180" s="55">
        <v>9.5105889999999998E-2</v>
      </c>
      <c r="M3180" s="55">
        <v>0.195379</v>
      </c>
      <c r="N3180" s="55">
        <v>4.5597230000000002E-2</v>
      </c>
    </row>
    <row r="3181" spans="1:14" hidden="1" x14ac:dyDescent="0.35">
      <c r="A3181" s="52" t="s">
        <v>672</v>
      </c>
      <c r="B3181" s="52" t="s">
        <v>73</v>
      </c>
      <c r="C3181" s="52" t="s">
        <v>80</v>
      </c>
      <c r="D3181" s="52" t="s">
        <v>152</v>
      </c>
      <c r="E3181" s="52" t="s">
        <v>584</v>
      </c>
      <c r="F3181" s="52" t="s">
        <v>581</v>
      </c>
      <c r="G3181" s="55" t="s">
        <v>279</v>
      </c>
      <c r="H3181" s="55">
        <v>7.7802179999999996</v>
      </c>
      <c r="I3181" s="55">
        <v>7.3829380000000002</v>
      </c>
      <c r="J3181" s="55">
        <v>9.8926309999999997</v>
      </c>
      <c r="K3181" s="55">
        <v>12.97667</v>
      </c>
      <c r="L3181" s="55">
        <v>15.588509999999999</v>
      </c>
      <c r="M3181" s="55">
        <v>15.02467</v>
      </c>
      <c r="N3181" s="55">
        <v>13.270149999999999</v>
      </c>
    </row>
    <row r="3182" spans="1:14" hidden="1" x14ac:dyDescent="0.35">
      <c r="A3182" s="52" t="s">
        <v>672</v>
      </c>
      <c r="B3182" s="52" t="s">
        <v>73</v>
      </c>
      <c r="C3182" s="52" t="s">
        <v>80</v>
      </c>
      <c r="D3182" s="52" t="s">
        <v>152</v>
      </c>
      <c r="E3182" s="52" t="s">
        <v>584</v>
      </c>
      <c r="F3182" s="52" t="s">
        <v>26</v>
      </c>
      <c r="G3182" s="55" t="s">
        <v>275</v>
      </c>
      <c r="H3182" s="55">
        <v>-52.453609999999998</v>
      </c>
      <c r="I3182" s="55">
        <v>-63.853929999999998</v>
      </c>
      <c r="J3182" s="55">
        <v>2.0475850000000002</v>
      </c>
      <c r="K3182" s="55">
        <v>55.902320000000003</v>
      </c>
      <c r="L3182" s="55">
        <v>67.630070000000003</v>
      </c>
      <c r="M3182" s="55">
        <v>50.052959999999999</v>
      </c>
      <c r="N3182" s="55">
        <v>46.71378</v>
      </c>
    </row>
    <row r="3183" spans="1:14" hidden="1" x14ac:dyDescent="0.35">
      <c r="A3183" s="52" t="s">
        <v>672</v>
      </c>
      <c r="B3183" s="52" t="s">
        <v>73</v>
      </c>
      <c r="C3183" s="52" t="s">
        <v>80</v>
      </c>
      <c r="D3183" s="52" t="s">
        <v>152</v>
      </c>
      <c r="E3183" s="52" t="s">
        <v>584</v>
      </c>
      <c r="F3183" s="52" t="s">
        <v>26</v>
      </c>
      <c r="G3183" s="55" t="s">
        <v>276</v>
      </c>
      <c r="H3183" s="55">
        <v>25.93328</v>
      </c>
      <c r="I3183" s="55">
        <v>-4.537928</v>
      </c>
      <c r="J3183" s="55">
        <v>61.230359999999997</v>
      </c>
      <c r="K3183" s="55">
        <v>55.672600000000003</v>
      </c>
      <c r="L3183" s="55">
        <v>114.4795</v>
      </c>
      <c r="M3183" s="55">
        <v>97.511840000000007</v>
      </c>
      <c r="N3183" s="55">
        <v>74.122230000000002</v>
      </c>
    </row>
    <row r="3184" spans="1:14" hidden="1" x14ac:dyDescent="0.35">
      <c r="A3184" s="52" t="s">
        <v>672</v>
      </c>
      <c r="B3184" s="52" t="s">
        <v>73</v>
      </c>
      <c r="C3184" s="52" t="s">
        <v>80</v>
      </c>
      <c r="D3184" s="52" t="s">
        <v>152</v>
      </c>
      <c r="E3184" s="52" t="s">
        <v>584</v>
      </c>
      <c r="F3184" s="52" t="s">
        <v>26</v>
      </c>
      <c r="G3184" s="55" t="s">
        <v>277</v>
      </c>
      <c r="H3184" s="55">
        <v>88.311779999999999</v>
      </c>
      <c r="I3184" s="55">
        <v>111.8368</v>
      </c>
      <c r="J3184" s="55">
        <v>79.832909999999998</v>
      </c>
      <c r="K3184" s="55">
        <v>29.346409999999999</v>
      </c>
      <c r="L3184" s="55">
        <v>36.97045</v>
      </c>
      <c r="M3184" s="55">
        <v>50.594200000000001</v>
      </c>
      <c r="N3184" s="55">
        <v>37.537269999999999</v>
      </c>
    </row>
    <row r="3185" spans="1:14" hidden="1" x14ac:dyDescent="0.35">
      <c r="A3185" s="52" t="s">
        <v>672</v>
      </c>
      <c r="B3185" s="52" t="s">
        <v>73</v>
      </c>
      <c r="C3185" s="52" t="s">
        <v>80</v>
      </c>
      <c r="D3185" s="52" t="s">
        <v>152</v>
      </c>
      <c r="E3185" s="52" t="s">
        <v>584</v>
      </c>
      <c r="F3185" s="52" t="s">
        <v>26</v>
      </c>
      <c r="G3185" s="55" t="s">
        <v>278</v>
      </c>
      <c r="H3185" s="55">
        <v>9.6696509999999999E-2</v>
      </c>
      <c r="I3185" s="55">
        <v>7.6476939999999993E-2</v>
      </c>
      <c r="J3185" s="55">
        <v>0.18671550000000001</v>
      </c>
      <c r="K3185" s="55">
        <v>3.7057790000000002</v>
      </c>
      <c r="L3185" s="55">
        <v>8.7053140000000001E-2</v>
      </c>
      <c r="M3185" s="55">
        <v>0.1429887</v>
      </c>
      <c r="N3185" s="55">
        <v>0.1429887</v>
      </c>
    </row>
    <row r="3186" spans="1:14" hidden="1" x14ac:dyDescent="0.35">
      <c r="A3186" s="52" t="s">
        <v>672</v>
      </c>
      <c r="B3186" s="52" t="s">
        <v>73</v>
      </c>
      <c r="C3186" s="52" t="s">
        <v>80</v>
      </c>
      <c r="D3186" s="52" t="s">
        <v>152</v>
      </c>
      <c r="E3186" s="52" t="s">
        <v>584</v>
      </c>
      <c r="F3186" s="52" t="s">
        <v>26</v>
      </c>
      <c r="G3186" s="55" t="s">
        <v>279</v>
      </c>
      <c r="H3186" s="55">
        <v>101.0889</v>
      </c>
      <c r="I3186" s="55">
        <v>103.8177</v>
      </c>
      <c r="J3186" s="55">
        <v>112.3626</v>
      </c>
      <c r="K3186" s="55">
        <v>106.7835</v>
      </c>
      <c r="L3186" s="55">
        <v>87.839740000000006</v>
      </c>
      <c r="M3186" s="55">
        <v>85.286900000000003</v>
      </c>
      <c r="N3186" s="55">
        <v>79.649410000000003</v>
      </c>
    </row>
    <row r="3187" spans="1:14" hidden="1" x14ac:dyDescent="0.35">
      <c r="A3187" s="52" t="s">
        <v>672</v>
      </c>
      <c r="B3187" s="52" t="s">
        <v>73</v>
      </c>
      <c r="C3187" s="52" t="s">
        <v>80</v>
      </c>
      <c r="D3187" s="52" t="s">
        <v>347</v>
      </c>
      <c r="E3187" s="52" t="s">
        <v>584</v>
      </c>
      <c r="F3187" s="52" t="s">
        <v>581</v>
      </c>
      <c r="G3187" s="55" t="s">
        <v>275</v>
      </c>
      <c r="H3187" s="55">
        <v>-1.1648800000000001E-2</v>
      </c>
      <c r="I3187" s="55"/>
      <c r="J3187" s="55"/>
      <c r="K3187" s="55">
        <v>0</v>
      </c>
      <c r="L3187" s="55">
        <v>-0.77894600000000003</v>
      </c>
      <c r="M3187" s="55">
        <v>-7.6376860000000004</v>
      </c>
      <c r="N3187" s="55">
        <v>6.1873259999999997</v>
      </c>
    </row>
    <row r="3188" spans="1:14" hidden="1" x14ac:dyDescent="0.35">
      <c r="A3188" s="52" t="s">
        <v>672</v>
      </c>
      <c r="B3188" s="52" t="s">
        <v>73</v>
      </c>
      <c r="C3188" s="52" t="s">
        <v>80</v>
      </c>
      <c r="D3188" s="52" t="s">
        <v>347</v>
      </c>
      <c r="E3188" s="52" t="s">
        <v>584</v>
      </c>
      <c r="F3188" s="52" t="s">
        <v>581</v>
      </c>
      <c r="G3188" s="55" t="s">
        <v>276</v>
      </c>
      <c r="H3188" s="55">
        <v>-0.1062652</v>
      </c>
      <c r="I3188" s="55"/>
      <c r="J3188" s="55"/>
      <c r="K3188" s="55">
        <v>0</v>
      </c>
      <c r="L3188" s="55">
        <v>-0.56734439999999997</v>
      </c>
      <c r="M3188" s="55">
        <v>-2.012429</v>
      </c>
      <c r="N3188" s="55">
        <v>21.76709</v>
      </c>
    </row>
    <row r="3189" spans="1:14" hidden="1" x14ac:dyDescent="0.35">
      <c r="A3189" s="52" t="s">
        <v>672</v>
      </c>
      <c r="B3189" s="52" t="s">
        <v>73</v>
      </c>
      <c r="C3189" s="52" t="s">
        <v>80</v>
      </c>
      <c r="D3189" s="52" t="s">
        <v>347</v>
      </c>
      <c r="E3189" s="52" t="s">
        <v>584</v>
      </c>
      <c r="F3189" s="52" t="s">
        <v>581</v>
      </c>
      <c r="G3189" s="55" t="s">
        <v>277</v>
      </c>
      <c r="H3189" s="55"/>
      <c r="I3189" s="55"/>
      <c r="J3189" s="55"/>
      <c r="K3189" s="55">
        <v>0</v>
      </c>
      <c r="L3189" s="55">
        <v>0.77754469999999998</v>
      </c>
      <c r="M3189" s="55">
        <v>9.0813000000000006</v>
      </c>
      <c r="N3189" s="55">
        <v>2.4647109999999999</v>
      </c>
    </row>
    <row r="3190" spans="1:14" hidden="1" x14ac:dyDescent="0.35">
      <c r="A3190" s="52" t="s">
        <v>672</v>
      </c>
      <c r="B3190" s="52" t="s">
        <v>73</v>
      </c>
      <c r="C3190" s="52" t="s">
        <v>80</v>
      </c>
      <c r="D3190" s="52" t="s">
        <v>347</v>
      </c>
      <c r="E3190" s="52" t="s">
        <v>584</v>
      </c>
      <c r="F3190" s="52" t="s">
        <v>581</v>
      </c>
      <c r="G3190" s="55" t="s">
        <v>278</v>
      </c>
      <c r="H3190" s="55">
        <v>0.1179137</v>
      </c>
      <c r="I3190" s="55">
        <v>0</v>
      </c>
      <c r="J3190" s="55">
        <v>0</v>
      </c>
      <c r="K3190" s="55">
        <v>0</v>
      </c>
      <c r="L3190" s="55">
        <v>0</v>
      </c>
      <c r="M3190" s="55"/>
      <c r="N3190" s="55">
        <v>0</v>
      </c>
    </row>
    <row r="3191" spans="1:14" hidden="1" x14ac:dyDescent="0.35">
      <c r="A3191" s="52" t="s">
        <v>672</v>
      </c>
      <c r="B3191" s="52" t="s">
        <v>73</v>
      </c>
      <c r="C3191" s="52" t="s">
        <v>80</v>
      </c>
      <c r="D3191" s="52" t="s">
        <v>347</v>
      </c>
      <c r="E3191" s="52" t="s">
        <v>584</v>
      </c>
      <c r="F3191" s="52" t="s">
        <v>581</v>
      </c>
      <c r="G3191" s="55" t="s">
        <v>279</v>
      </c>
      <c r="H3191" s="55"/>
      <c r="I3191" s="55"/>
      <c r="J3191" s="55"/>
      <c r="K3191" s="55">
        <v>0</v>
      </c>
      <c r="L3191" s="55">
        <v>0.56874610000000003</v>
      </c>
      <c r="M3191" s="55">
        <v>0.56881539999999997</v>
      </c>
      <c r="N3191" s="55">
        <v>5.7133190000000003</v>
      </c>
    </row>
    <row r="3192" spans="1:14" hidden="1" x14ac:dyDescent="0.35">
      <c r="A3192" s="52" t="s">
        <v>672</v>
      </c>
      <c r="B3192" s="52" t="s">
        <v>73</v>
      </c>
      <c r="C3192" s="52" t="s">
        <v>80</v>
      </c>
      <c r="D3192" s="52" t="s">
        <v>347</v>
      </c>
      <c r="E3192" s="52" t="s">
        <v>584</v>
      </c>
      <c r="F3192" s="52" t="s">
        <v>26</v>
      </c>
      <c r="G3192" s="55" t="s">
        <v>275</v>
      </c>
      <c r="H3192" s="55">
        <v>-4.3269570000000002</v>
      </c>
      <c r="I3192" s="55">
        <v>-8.7182040000000001</v>
      </c>
      <c r="J3192" s="55">
        <v>0.45877430000000002</v>
      </c>
      <c r="K3192" s="55">
        <v>-4.4856870000000004</v>
      </c>
      <c r="L3192" s="55">
        <v>-14.77408</v>
      </c>
      <c r="M3192" s="55">
        <v>-76.06035</v>
      </c>
      <c r="N3192" s="55">
        <v>-36.320399999999999</v>
      </c>
    </row>
    <row r="3193" spans="1:14" hidden="1" x14ac:dyDescent="0.35">
      <c r="A3193" s="52" t="s">
        <v>672</v>
      </c>
      <c r="B3193" s="52" t="s">
        <v>73</v>
      </c>
      <c r="C3193" s="52" t="s">
        <v>80</v>
      </c>
      <c r="D3193" s="52" t="s">
        <v>347</v>
      </c>
      <c r="E3193" s="52" t="s">
        <v>584</v>
      </c>
      <c r="F3193" s="52" t="s">
        <v>26</v>
      </c>
      <c r="G3193" s="55" t="s">
        <v>276</v>
      </c>
      <c r="H3193" s="55">
        <v>-19.94584</v>
      </c>
      <c r="I3193" s="55">
        <v>-42.29495</v>
      </c>
      <c r="J3193" s="55">
        <v>-7.8609939999999998</v>
      </c>
      <c r="K3193" s="55">
        <v>-15.89537</v>
      </c>
      <c r="L3193" s="55">
        <v>-14.331340000000001</v>
      </c>
      <c r="M3193" s="55">
        <v>-35.612589999999997</v>
      </c>
      <c r="N3193" s="55">
        <v>12.7348</v>
      </c>
    </row>
    <row r="3194" spans="1:14" hidden="1" x14ac:dyDescent="0.35">
      <c r="A3194" s="52" t="s">
        <v>672</v>
      </c>
      <c r="B3194" s="52" t="s">
        <v>73</v>
      </c>
      <c r="C3194" s="52" t="s">
        <v>80</v>
      </c>
      <c r="D3194" s="52" t="s">
        <v>347</v>
      </c>
      <c r="E3194" s="52" t="s">
        <v>584</v>
      </c>
      <c r="F3194" s="52" t="s">
        <v>26</v>
      </c>
      <c r="G3194" s="55" t="s">
        <v>277</v>
      </c>
      <c r="H3194" s="55"/>
      <c r="I3194" s="55">
        <v>0</v>
      </c>
      <c r="J3194" s="55">
        <v>0.60853740000000001</v>
      </c>
      <c r="K3194" s="55">
        <v>6.6075619999999997</v>
      </c>
      <c r="L3194" s="55">
        <v>19.087510000000002</v>
      </c>
      <c r="M3194" s="55">
        <v>97.001720000000006</v>
      </c>
      <c r="N3194" s="55">
        <v>81.226140000000001</v>
      </c>
    </row>
    <row r="3195" spans="1:14" hidden="1" x14ac:dyDescent="0.35">
      <c r="A3195" s="52" t="s">
        <v>672</v>
      </c>
      <c r="B3195" s="52" t="s">
        <v>73</v>
      </c>
      <c r="C3195" s="52" t="s">
        <v>80</v>
      </c>
      <c r="D3195" s="52" t="s">
        <v>347</v>
      </c>
      <c r="E3195" s="52" t="s">
        <v>584</v>
      </c>
      <c r="F3195" s="52" t="s">
        <v>26</v>
      </c>
      <c r="G3195" s="55" t="s">
        <v>278</v>
      </c>
      <c r="H3195" s="55">
        <v>24.2728</v>
      </c>
      <c r="I3195" s="55">
        <v>51.013150000000003</v>
      </c>
      <c r="J3195" s="55">
        <v>6.7936820000000004</v>
      </c>
      <c r="K3195" s="55">
        <v>13.7735</v>
      </c>
      <c r="L3195" s="55">
        <v>9.3527480000000001</v>
      </c>
      <c r="M3195" s="55">
        <v>14.00583</v>
      </c>
      <c r="N3195" s="55">
        <v>0.36379660000000003</v>
      </c>
    </row>
    <row r="3196" spans="1:14" hidden="1" x14ac:dyDescent="0.35">
      <c r="A3196" s="52" t="s">
        <v>672</v>
      </c>
      <c r="B3196" s="52" t="s">
        <v>73</v>
      </c>
      <c r="C3196" s="52" t="s">
        <v>80</v>
      </c>
      <c r="D3196" s="52" t="s">
        <v>347</v>
      </c>
      <c r="E3196" s="52" t="s">
        <v>584</v>
      </c>
      <c r="F3196" s="52" t="s">
        <v>26</v>
      </c>
      <c r="G3196" s="55" t="s">
        <v>279</v>
      </c>
      <c r="H3196" s="55"/>
      <c r="I3196" s="55"/>
      <c r="J3196" s="55"/>
      <c r="K3196" s="55">
        <v>0</v>
      </c>
      <c r="L3196" s="55">
        <v>0.66516019999999998</v>
      </c>
      <c r="M3196" s="55">
        <v>0.66538609999999998</v>
      </c>
      <c r="N3196" s="55">
        <v>16.925049999999999</v>
      </c>
    </row>
    <row r="3197" spans="1:14" hidden="1" x14ac:dyDescent="0.35">
      <c r="A3197" s="52" t="s">
        <v>672</v>
      </c>
      <c r="B3197" s="52" t="s">
        <v>73</v>
      </c>
      <c r="C3197" s="52" t="s">
        <v>80</v>
      </c>
      <c r="D3197" s="52" t="s">
        <v>345</v>
      </c>
      <c r="E3197" s="52" t="s">
        <v>584</v>
      </c>
      <c r="F3197" s="52" t="s">
        <v>581</v>
      </c>
      <c r="G3197" s="55" t="s">
        <v>275</v>
      </c>
      <c r="H3197" s="55">
        <v>-2.4978000000000001E-3</v>
      </c>
      <c r="I3197" s="55">
        <v>2.1840029999999999E-4</v>
      </c>
      <c r="J3197" s="55">
        <v>4.3086000000000001E-3</v>
      </c>
      <c r="K3197" s="55">
        <v>2.1318000000000001E-3</v>
      </c>
      <c r="L3197" s="55">
        <v>0</v>
      </c>
      <c r="M3197" s="55">
        <v>0</v>
      </c>
      <c r="N3197" s="55">
        <v>0</v>
      </c>
    </row>
    <row r="3198" spans="1:14" hidden="1" x14ac:dyDescent="0.35">
      <c r="A3198" s="52" t="s">
        <v>672</v>
      </c>
      <c r="B3198" s="52" t="s">
        <v>73</v>
      </c>
      <c r="C3198" s="52" t="s">
        <v>80</v>
      </c>
      <c r="D3198" s="52" t="s">
        <v>345</v>
      </c>
      <c r="E3198" s="52" t="s">
        <v>584</v>
      </c>
      <c r="F3198" s="52" t="s">
        <v>581</v>
      </c>
      <c r="G3198" s="55" t="s">
        <v>276</v>
      </c>
      <c r="H3198" s="55">
        <v>-5.0058600000000002E-2</v>
      </c>
      <c r="I3198" s="55">
        <v>-3.4550999999999998E-2</v>
      </c>
      <c r="J3198" s="55">
        <v>0</v>
      </c>
      <c r="K3198" s="55">
        <v>0</v>
      </c>
      <c r="L3198" s="55">
        <v>0</v>
      </c>
      <c r="M3198" s="55">
        <v>0</v>
      </c>
      <c r="N3198" s="55">
        <v>0</v>
      </c>
    </row>
    <row r="3199" spans="1:14" hidden="1" x14ac:dyDescent="0.35">
      <c r="A3199" s="52" t="s">
        <v>672</v>
      </c>
      <c r="B3199" s="52" t="s">
        <v>73</v>
      </c>
      <c r="C3199" s="52" t="s">
        <v>80</v>
      </c>
      <c r="D3199" s="52" t="s">
        <v>345</v>
      </c>
      <c r="E3199" s="52" t="s">
        <v>584</v>
      </c>
      <c r="F3199" s="52" t="s">
        <v>581</v>
      </c>
      <c r="G3199" s="55" t="s">
        <v>278</v>
      </c>
      <c r="H3199" s="55">
        <v>5.2556400000000003E-2</v>
      </c>
      <c r="I3199" s="55">
        <v>3.4333200000000001E-2</v>
      </c>
      <c r="J3199" s="55">
        <v>0</v>
      </c>
      <c r="K3199" s="55">
        <v>0</v>
      </c>
      <c r="L3199" s="55">
        <v>0</v>
      </c>
      <c r="M3199" s="55">
        <v>0</v>
      </c>
      <c r="N3199" s="55">
        <v>0</v>
      </c>
    </row>
    <row r="3200" spans="1:14" hidden="1" x14ac:dyDescent="0.35">
      <c r="A3200" s="52" t="s">
        <v>672</v>
      </c>
      <c r="B3200" s="52" t="s">
        <v>73</v>
      </c>
      <c r="C3200" s="52" t="s">
        <v>80</v>
      </c>
      <c r="D3200" s="52" t="s">
        <v>83</v>
      </c>
      <c r="E3200" s="52" t="s">
        <v>584</v>
      </c>
      <c r="F3200" s="52" t="s">
        <v>26</v>
      </c>
      <c r="G3200" s="55" t="s">
        <v>275</v>
      </c>
      <c r="H3200" s="55">
        <v>-1.2489000000000001E-3</v>
      </c>
      <c r="I3200" s="55">
        <v>3.3858E-3</v>
      </c>
      <c r="J3200" s="55">
        <v>2.1543000000000001E-3</v>
      </c>
      <c r="K3200" s="55">
        <v>-0.15060209999999999</v>
      </c>
      <c r="L3200" s="55">
        <v>-0.1229679</v>
      </c>
      <c r="M3200" s="55">
        <v>5.7400489999999998E-2</v>
      </c>
      <c r="N3200" s="55">
        <v>-2.9759579999999999</v>
      </c>
    </row>
    <row r="3201" spans="1:14" hidden="1" x14ac:dyDescent="0.35">
      <c r="A3201" s="52" t="s">
        <v>672</v>
      </c>
      <c r="B3201" s="52" t="s">
        <v>73</v>
      </c>
      <c r="C3201" s="52" t="s">
        <v>80</v>
      </c>
      <c r="D3201" s="52" t="s">
        <v>83</v>
      </c>
      <c r="E3201" s="52" t="s">
        <v>584</v>
      </c>
      <c r="F3201" s="52" t="s">
        <v>26</v>
      </c>
      <c r="G3201" s="55" t="s">
        <v>276</v>
      </c>
      <c r="H3201" s="55">
        <v>-2.5029300000000001E-2</v>
      </c>
      <c r="I3201" s="55">
        <v>-3.3855000000000001E-3</v>
      </c>
      <c r="J3201" s="55">
        <v>-2.1540000000000001E-3</v>
      </c>
      <c r="K3201" s="55">
        <v>-2.9766299999999999E-2</v>
      </c>
      <c r="L3201" s="55">
        <v>-5.7400199999999998E-2</v>
      </c>
      <c r="M3201" s="55">
        <v>-5.7400199999999998E-2</v>
      </c>
      <c r="N3201" s="55">
        <v>-0.63140390000000002</v>
      </c>
    </row>
    <row r="3202" spans="1:14" hidden="1" x14ac:dyDescent="0.35">
      <c r="A3202" s="52" t="s">
        <v>672</v>
      </c>
      <c r="B3202" s="52" t="s">
        <v>73</v>
      </c>
      <c r="C3202" s="52" t="s">
        <v>80</v>
      </c>
      <c r="D3202" s="52" t="s">
        <v>83</v>
      </c>
      <c r="E3202" s="52" t="s">
        <v>584</v>
      </c>
      <c r="F3202" s="52" t="s">
        <v>26</v>
      </c>
      <c r="G3202" s="55" t="s">
        <v>277</v>
      </c>
      <c r="H3202" s="55"/>
      <c r="I3202" s="55"/>
      <c r="J3202" s="55">
        <v>0</v>
      </c>
      <c r="K3202" s="55">
        <v>0.1803681</v>
      </c>
      <c r="L3202" s="55">
        <v>0.1803681</v>
      </c>
      <c r="M3202" s="55">
        <v>0</v>
      </c>
      <c r="N3202" s="55">
        <v>3.607361</v>
      </c>
    </row>
    <row r="3203" spans="1:14" hidden="1" x14ac:dyDescent="0.35">
      <c r="A3203" s="52" t="s">
        <v>672</v>
      </c>
      <c r="B3203" s="52" t="s">
        <v>73</v>
      </c>
      <c r="C3203" s="52" t="s">
        <v>80</v>
      </c>
      <c r="D3203" s="52" t="s">
        <v>83</v>
      </c>
      <c r="E3203" s="52" t="s">
        <v>584</v>
      </c>
      <c r="F3203" s="52" t="s">
        <v>26</v>
      </c>
      <c r="G3203" s="55" t="s">
        <v>278</v>
      </c>
      <c r="H3203" s="55">
        <v>2.6278200000000002E-2</v>
      </c>
      <c r="I3203" s="55">
        <v>0</v>
      </c>
      <c r="J3203" s="55"/>
      <c r="K3203" s="55"/>
      <c r="L3203" s="55"/>
      <c r="M3203" s="55"/>
      <c r="N3203" s="55"/>
    </row>
    <row r="3204" spans="1:14" hidden="1" x14ac:dyDescent="0.35">
      <c r="A3204" s="52" t="s">
        <v>672</v>
      </c>
      <c r="B3204" s="52" t="s">
        <v>73</v>
      </c>
      <c r="C3204" s="52" t="s">
        <v>80</v>
      </c>
      <c r="D3204" s="52" t="s">
        <v>83</v>
      </c>
      <c r="E3204" s="52" t="s">
        <v>584</v>
      </c>
      <c r="F3204" s="52" t="s">
        <v>26</v>
      </c>
      <c r="G3204" s="55" t="s">
        <v>279</v>
      </c>
      <c r="H3204" s="55"/>
      <c r="I3204" s="55"/>
      <c r="J3204" s="55"/>
      <c r="K3204" s="55"/>
      <c r="L3204" s="55"/>
      <c r="M3204" s="55"/>
      <c r="N3204" s="55">
        <v>0</v>
      </c>
    </row>
    <row r="3205" spans="1:14" hidden="1" x14ac:dyDescent="0.35">
      <c r="A3205" s="52" t="s">
        <v>672</v>
      </c>
      <c r="B3205" s="52" t="s">
        <v>73</v>
      </c>
      <c r="C3205" s="52" t="s">
        <v>80</v>
      </c>
      <c r="D3205" s="52" t="s">
        <v>346</v>
      </c>
      <c r="E3205" s="52" t="s">
        <v>584</v>
      </c>
      <c r="F3205" s="52" t="s">
        <v>581</v>
      </c>
      <c r="G3205" s="55" t="s">
        <v>275</v>
      </c>
      <c r="H3205" s="55">
        <v>-1.241841</v>
      </c>
      <c r="I3205" s="55">
        <v>0.28047879999999997</v>
      </c>
      <c r="J3205" s="55">
        <v>0.27869100000000002</v>
      </c>
      <c r="K3205" s="55">
        <v>0.2788506</v>
      </c>
      <c r="L3205" s="55">
        <v>-2.24946E-2</v>
      </c>
      <c r="M3205" s="55">
        <v>-2.2671400000000001E-2</v>
      </c>
      <c r="N3205" s="55">
        <v>2.408E-3</v>
      </c>
    </row>
    <row r="3206" spans="1:14" hidden="1" x14ac:dyDescent="0.35">
      <c r="A3206" s="52" t="s">
        <v>672</v>
      </c>
      <c r="B3206" s="52" t="s">
        <v>73</v>
      </c>
      <c r="C3206" s="52" t="s">
        <v>80</v>
      </c>
      <c r="D3206" s="52" t="s">
        <v>346</v>
      </c>
      <c r="E3206" s="52" t="s">
        <v>584</v>
      </c>
      <c r="F3206" s="52" t="s">
        <v>581</v>
      </c>
      <c r="G3206" s="55" t="s">
        <v>276</v>
      </c>
      <c r="H3206" s="55">
        <v>-5.70364</v>
      </c>
      <c r="I3206" s="55">
        <v>-0.30254320000000001</v>
      </c>
      <c r="J3206" s="55">
        <v>-0.30519639999999998</v>
      </c>
      <c r="K3206" s="55">
        <v>-0.3012338</v>
      </c>
      <c r="L3206" s="55">
        <v>-2.2236599999999999E-2</v>
      </c>
      <c r="M3206" s="55">
        <v>-4.3232E-2</v>
      </c>
      <c r="N3206" s="55">
        <v>-4.3661600000000002E-2</v>
      </c>
    </row>
    <row r="3207" spans="1:14" hidden="1" x14ac:dyDescent="0.35">
      <c r="A3207" s="52" t="s">
        <v>672</v>
      </c>
      <c r="B3207" s="52" t="s">
        <v>73</v>
      </c>
      <c r="C3207" s="52" t="s">
        <v>80</v>
      </c>
      <c r="D3207" s="52" t="s">
        <v>346</v>
      </c>
      <c r="E3207" s="52" t="s">
        <v>584</v>
      </c>
      <c r="F3207" s="52" t="s">
        <v>581</v>
      </c>
      <c r="G3207" s="55" t="s">
        <v>277</v>
      </c>
      <c r="H3207" s="55"/>
      <c r="I3207" s="55"/>
      <c r="J3207" s="55"/>
      <c r="K3207" s="55">
        <v>0</v>
      </c>
      <c r="L3207" s="55">
        <v>2.4649999999999998E-2</v>
      </c>
      <c r="M3207" s="55">
        <v>2.4649999999999998E-2</v>
      </c>
      <c r="N3207" s="55">
        <v>0</v>
      </c>
    </row>
    <row r="3208" spans="1:14" hidden="1" x14ac:dyDescent="0.35">
      <c r="A3208" s="52" t="s">
        <v>672</v>
      </c>
      <c r="B3208" s="52" t="s">
        <v>73</v>
      </c>
      <c r="C3208" s="52" t="s">
        <v>80</v>
      </c>
      <c r="D3208" s="52" t="s">
        <v>346</v>
      </c>
      <c r="E3208" s="52" t="s">
        <v>584</v>
      </c>
      <c r="F3208" s="52" t="s">
        <v>581</v>
      </c>
      <c r="G3208" s="55" t="s">
        <v>278</v>
      </c>
      <c r="H3208" s="55">
        <v>6.945481</v>
      </c>
      <c r="I3208" s="55">
        <v>2.2064400000000001E-2</v>
      </c>
      <c r="J3208" s="55">
        <v>2.6505399999999998E-2</v>
      </c>
      <c r="K3208" s="55">
        <v>2.2383199999999999E-2</v>
      </c>
      <c r="L3208" s="55">
        <v>2.00812E-2</v>
      </c>
      <c r="M3208" s="55">
        <v>4.1253600000000001E-2</v>
      </c>
      <c r="N3208" s="55">
        <v>4.1253600000000001E-2</v>
      </c>
    </row>
    <row r="3209" spans="1:14" hidden="1" x14ac:dyDescent="0.35">
      <c r="A3209" s="52" t="s">
        <v>672</v>
      </c>
      <c r="B3209" s="52" t="s">
        <v>73</v>
      </c>
      <c r="C3209" s="52" t="s">
        <v>80</v>
      </c>
      <c r="D3209" s="52" t="s">
        <v>346</v>
      </c>
      <c r="E3209" s="52" t="s">
        <v>584</v>
      </c>
      <c r="F3209" s="52" t="s">
        <v>26</v>
      </c>
      <c r="G3209" s="55" t="s">
        <v>275</v>
      </c>
      <c r="H3209" s="55">
        <v>-4.1100000000000002E-4</v>
      </c>
      <c r="I3209" s="55">
        <v>3.6000039999999997E-5</v>
      </c>
      <c r="J3209" s="55">
        <v>0</v>
      </c>
      <c r="K3209" s="55">
        <v>0</v>
      </c>
      <c r="L3209" s="55">
        <v>0</v>
      </c>
      <c r="M3209" s="55">
        <v>0</v>
      </c>
      <c r="N3209" s="55">
        <v>0</v>
      </c>
    </row>
    <row r="3210" spans="1:14" hidden="1" x14ac:dyDescent="0.35">
      <c r="A3210" s="52" t="s">
        <v>672</v>
      </c>
      <c r="B3210" s="52" t="s">
        <v>73</v>
      </c>
      <c r="C3210" s="52" t="s">
        <v>80</v>
      </c>
      <c r="D3210" s="52" t="s">
        <v>346</v>
      </c>
      <c r="E3210" s="52" t="s">
        <v>584</v>
      </c>
      <c r="F3210" s="52" t="s">
        <v>26</v>
      </c>
      <c r="G3210" s="55" t="s">
        <v>276</v>
      </c>
      <c r="H3210" s="55">
        <v>-8.2378499999999997E-3</v>
      </c>
      <c r="I3210" s="55">
        <v>-5.6857499999999998E-3</v>
      </c>
      <c r="J3210" s="55">
        <v>-6.7872000000000002E-3</v>
      </c>
      <c r="K3210" s="55">
        <v>-5.7314999999999996E-3</v>
      </c>
      <c r="L3210" s="55">
        <v>-5.1422999999999998E-3</v>
      </c>
      <c r="M3210" s="55">
        <v>-1.6000799999999999E-2</v>
      </c>
      <c r="N3210" s="55">
        <v>-1.6000799999999999E-2</v>
      </c>
    </row>
    <row r="3211" spans="1:14" hidden="1" x14ac:dyDescent="0.35">
      <c r="A3211" s="52" t="s">
        <v>672</v>
      </c>
      <c r="B3211" s="52" t="s">
        <v>73</v>
      </c>
      <c r="C3211" s="52" t="s">
        <v>80</v>
      </c>
      <c r="D3211" s="52" t="s">
        <v>346</v>
      </c>
      <c r="E3211" s="52" t="s">
        <v>584</v>
      </c>
      <c r="F3211" s="52" t="s">
        <v>26</v>
      </c>
      <c r="G3211" s="55" t="s">
        <v>277</v>
      </c>
      <c r="H3211" s="55"/>
      <c r="I3211" s="55"/>
      <c r="J3211" s="55"/>
      <c r="K3211" s="55"/>
      <c r="L3211" s="55">
        <v>0</v>
      </c>
      <c r="M3211" s="55">
        <v>5.4374999999999996E-3</v>
      </c>
      <c r="N3211" s="55">
        <v>5.4374999999999996E-3</v>
      </c>
    </row>
    <row r="3212" spans="1:14" hidden="1" x14ac:dyDescent="0.35">
      <c r="A3212" s="52" t="s">
        <v>672</v>
      </c>
      <c r="B3212" s="52" t="s">
        <v>73</v>
      </c>
      <c r="C3212" s="52" t="s">
        <v>80</v>
      </c>
      <c r="D3212" s="52" t="s">
        <v>346</v>
      </c>
      <c r="E3212" s="52" t="s">
        <v>584</v>
      </c>
      <c r="F3212" s="52" t="s">
        <v>26</v>
      </c>
      <c r="G3212" s="55" t="s">
        <v>278</v>
      </c>
      <c r="H3212" s="55">
        <v>8.6488499999999996E-3</v>
      </c>
      <c r="I3212" s="55">
        <v>5.6499000000000002E-3</v>
      </c>
      <c r="J3212" s="55">
        <v>6.7870500000000002E-3</v>
      </c>
      <c r="K3212" s="55">
        <v>5.7314999999999996E-3</v>
      </c>
      <c r="L3212" s="55">
        <v>5.1421499999999998E-3</v>
      </c>
      <c r="M3212" s="55">
        <v>1.0563599999999999E-2</v>
      </c>
      <c r="N3212" s="55">
        <v>1.0563599999999999E-2</v>
      </c>
    </row>
    <row r="3213" spans="1:14" hidden="1" x14ac:dyDescent="0.35">
      <c r="A3213" s="52" t="s">
        <v>672</v>
      </c>
      <c r="B3213" s="52" t="s">
        <v>73</v>
      </c>
      <c r="C3213" s="52" t="s">
        <v>80</v>
      </c>
      <c r="D3213" s="52" t="s">
        <v>81</v>
      </c>
      <c r="E3213" s="52" t="s">
        <v>584</v>
      </c>
      <c r="F3213" s="52" t="s">
        <v>581</v>
      </c>
      <c r="G3213" s="55" t="s">
        <v>275</v>
      </c>
      <c r="H3213" s="55">
        <v>-3.1823999999999998E-2</v>
      </c>
      <c r="I3213" s="55"/>
      <c r="J3213" s="55"/>
      <c r="K3213" s="55"/>
      <c r="L3213" s="55">
        <v>0</v>
      </c>
      <c r="M3213" s="55"/>
      <c r="N3213" s="55"/>
    </row>
    <row r="3214" spans="1:14" hidden="1" x14ac:dyDescent="0.35">
      <c r="A3214" s="52" t="s">
        <v>672</v>
      </c>
      <c r="B3214" s="52" t="s">
        <v>73</v>
      </c>
      <c r="C3214" s="52" t="s">
        <v>80</v>
      </c>
      <c r="D3214" s="52" t="s">
        <v>81</v>
      </c>
      <c r="E3214" s="52" t="s">
        <v>584</v>
      </c>
      <c r="F3214" s="52" t="s">
        <v>581</v>
      </c>
      <c r="G3214" s="55" t="s">
        <v>276</v>
      </c>
      <c r="H3214" s="55">
        <v>-0.14552699999999999</v>
      </c>
      <c r="I3214" s="55"/>
      <c r="J3214" s="55"/>
      <c r="K3214" s="55"/>
      <c r="L3214" s="55">
        <v>0</v>
      </c>
      <c r="M3214" s="55"/>
      <c r="N3214" s="55"/>
    </row>
    <row r="3215" spans="1:14" hidden="1" x14ac:dyDescent="0.35">
      <c r="A3215" s="52" t="s">
        <v>672</v>
      </c>
      <c r="B3215" s="52" t="s">
        <v>73</v>
      </c>
      <c r="C3215" s="52" t="s">
        <v>80</v>
      </c>
      <c r="D3215" s="52" t="s">
        <v>81</v>
      </c>
      <c r="E3215" s="52" t="s">
        <v>584</v>
      </c>
      <c r="F3215" s="52" t="s">
        <v>581</v>
      </c>
      <c r="G3215" s="55" t="s">
        <v>277</v>
      </c>
      <c r="H3215" s="55"/>
      <c r="I3215" s="55"/>
      <c r="J3215" s="55"/>
      <c r="K3215" s="55">
        <v>0</v>
      </c>
      <c r="L3215" s="55"/>
      <c r="M3215" s="55"/>
      <c r="N3215" s="55">
        <v>0</v>
      </c>
    </row>
    <row r="3216" spans="1:14" hidden="1" x14ac:dyDescent="0.35">
      <c r="A3216" s="52" t="s">
        <v>672</v>
      </c>
      <c r="B3216" s="52" t="s">
        <v>73</v>
      </c>
      <c r="C3216" s="52" t="s">
        <v>80</v>
      </c>
      <c r="D3216" s="52" t="s">
        <v>81</v>
      </c>
      <c r="E3216" s="52" t="s">
        <v>584</v>
      </c>
      <c r="F3216" s="52" t="s">
        <v>581</v>
      </c>
      <c r="G3216" s="55" t="s">
        <v>278</v>
      </c>
      <c r="H3216" s="55">
        <v>0.1773516</v>
      </c>
      <c r="I3216" s="55">
        <v>0</v>
      </c>
      <c r="J3216" s="55"/>
      <c r="K3216" s="55">
        <v>0</v>
      </c>
      <c r="L3216" s="55"/>
      <c r="M3216" s="55"/>
      <c r="N3216" s="55"/>
    </row>
    <row r="3217" spans="1:14" hidden="1" x14ac:dyDescent="0.35">
      <c r="A3217" s="52" t="s">
        <v>672</v>
      </c>
      <c r="B3217" s="52" t="s">
        <v>73</v>
      </c>
      <c r="C3217" s="52" t="s">
        <v>80</v>
      </c>
      <c r="D3217" s="52" t="s">
        <v>81</v>
      </c>
      <c r="E3217" s="52" t="s">
        <v>584</v>
      </c>
      <c r="F3217" s="52" t="s">
        <v>26</v>
      </c>
      <c r="G3217" s="55" t="s">
        <v>275</v>
      </c>
      <c r="H3217" s="55">
        <v>-2.0260799999999999E-2</v>
      </c>
      <c r="I3217" s="55">
        <v>-3.3754810000000002</v>
      </c>
      <c r="J3217" s="55">
        <v>0</v>
      </c>
      <c r="K3217" s="55">
        <v>0</v>
      </c>
      <c r="L3217" s="55">
        <v>0</v>
      </c>
      <c r="M3217" s="55">
        <v>0</v>
      </c>
      <c r="N3217" s="55">
        <v>0</v>
      </c>
    </row>
    <row r="3218" spans="1:14" hidden="1" x14ac:dyDescent="0.35">
      <c r="A3218" s="52" t="s">
        <v>672</v>
      </c>
      <c r="B3218" s="52" t="s">
        <v>73</v>
      </c>
      <c r="C3218" s="52" t="s">
        <v>80</v>
      </c>
      <c r="D3218" s="52" t="s">
        <v>81</v>
      </c>
      <c r="E3218" s="52" t="s">
        <v>584</v>
      </c>
      <c r="F3218" s="52" t="s">
        <v>26</v>
      </c>
      <c r="G3218" s="55" t="s">
        <v>276</v>
      </c>
      <c r="H3218" s="55">
        <v>-9.2651399999999995E-2</v>
      </c>
      <c r="I3218" s="55">
        <v>-14.36999</v>
      </c>
      <c r="J3218" s="55">
        <v>-3.9340350000000002</v>
      </c>
      <c r="K3218" s="55">
        <v>-0.1923589</v>
      </c>
      <c r="L3218" s="55">
        <v>-0.18997620000000001</v>
      </c>
      <c r="M3218" s="55">
        <v>-0.3719268</v>
      </c>
      <c r="N3218" s="55">
        <v>-0.35452620000000001</v>
      </c>
    </row>
    <row r="3219" spans="1:14" hidden="1" x14ac:dyDescent="0.35">
      <c r="A3219" s="52" t="s">
        <v>672</v>
      </c>
      <c r="B3219" s="52" t="s">
        <v>73</v>
      </c>
      <c r="C3219" s="52" t="s">
        <v>80</v>
      </c>
      <c r="D3219" s="52" t="s">
        <v>81</v>
      </c>
      <c r="E3219" s="52" t="s">
        <v>584</v>
      </c>
      <c r="F3219" s="52" t="s">
        <v>26</v>
      </c>
      <c r="G3219" s="55" t="s">
        <v>277</v>
      </c>
      <c r="H3219" s="55"/>
      <c r="I3219" s="55"/>
      <c r="J3219" s="55"/>
      <c r="K3219" s="55">
        <v>0</v>
      </c>
      <c r="L3219" s="55">
        <v>1.7399999999999999E-2</v>
      </c>
      <c r="M3219" s="55">
        <v>1.7399999999999999E-2</v>
      </c>
      <c r="N3219" s="55">
        <v>0</v>
      </c>
    </row>
    <row r="3220" spans="1:14" hidden="1" x14ac:dyDescent="0.35">
      <c r="A3220" s="52" t="s">
        <v>672</v>
      </c>
      <c r="B3220" s="52" t="s">
        <v>73</v>
      </c>
      <c r="C3220" s="52" t="s">
        <v>80</v>
      </c>
      <c r="D3220" s="52" t="s">
        <v>81</v>
      </c>
      <c r="E3220" s="52" t="s">
        <v>584</v>
      </c>
      <c r="F3220" s="52" t="s">
        <v>26</v>
      </c>
      <c r="G3220" s="55" t="s">
        <v>278</v>
      </c>
      <c r="H3220" s="55">
        <v>0.1129122</v>
      </c>
      <c r="I3220" s="55">
        <v>17.745470000000001</v>
      </c>
      <c r="J3220" s="55">
        <v>3.934034</v>
      </c>
      <c r="K3220" s="55">
        <v>0.19235820000000001</v>
      </c>
      <c r="L3220" s="55">
        <v>0.1725756</v>
      </c>
      <c r="M3220" s="55">
        <v>0.35452679999999998</v>
      </c>
      <c r="N3220" s="55">
        <v>0.35452679999999998</v>
      </c>
    </row>
    <row r="3221" spans="1:14" hidden="1" x14ac:dyDescent="0.35">
      <c r="A3221" s="52" t="s">
        <v>672</v>
      </c>
      <c r="B3221" s="52" t="s">
        <v>73</v>
      </c>
      <c r="C3221" s="52" t="s">
        <v>155</v>
      </c>
      <c r="D3221" s="52" t="s">
        <v>155</v>
      </c>
      <c r="E3221" s="52" t="s">
        <v>584</v>
      </c>
      <c r="F3221" s="52" t="s">
        <v>581</v>
      </c>
      <c r="G3221" s="55" t="s">
        <v>275</v>
      </c>
      <c r="H3221" s="55">
        <v>9.2327460000000006</v>
      </c>
      <c r="I3221" s="55">
        <v>25.241869999999999</v>
      </c>
      <c r="J3221" s="55">
        <v>21.045999999999999</v>
      </c>
      <c r="K3221" s="55">
        <v>15.39086</v>
      </c>
      <c r="L3221" s="55">
        <v>10.77969</v>
      </c>
      <c r="M3221" s="55">
        <v>2.6692360000000002</v>
      </c>
      <c r="N3221" s="55">
        <v>0.56429079999999998</v>
      </c>
    </row>
    <row r="3222" spans="1:14" hidden="1" x14ac:dyDescent="0.35">
      <c r="A3222" s="52" t="s">
        <v>672</v>
      </c>
      <c r="B3222" s="52" t="s">
        <v>73</v>
      </c>
      <c r="C3222" s="52" t="s">
        <v>155</v>
      </c>
      <c r="D3222" s="52" t="s">
        <v>155</v>
      </c>
      <c r="E3222" s="52" t="s">
        <v>584</v>
      </c>
      <c r="F3222" s="52" t="s">
        <v>581</v>
      </c>
      <c r="G3222" s="55" t="s">
        <v>276</v>
      </c>
      <c r="H3222" s="55">
        <v>9.0977209999999999</v>
      </c>
      <c r="I3222" s="55">
        <v>23.677160000000001</v>
      </c>
      <c r="J3222" s="55">
        <v>11.54027</v>
      </c>
      <c r="K3222" s="55">
        <v>-4.8039180000000004</v>
      </c>
      <c r="L3222" s="55">
        <v>-1.810684</v>
      </c>
      <c r="M3222" s="55">
        <v>3.4676640000000001</v>
      </c>
      <c r="N3222" s="55">
        <v>2.8172329999999999</v>
      </c>
    </row>
    <row r="3223" spans="1:14" hidden="1" x14ac:dyDescent="0.35">
      <c r="A3223" s="52" t="s">
        <v>672</v>
      </c>
      <c r="B3223" s="52" t="s">
        <v>73</v>
      </c>
      <c r="C3223" s="52" t="s">
        <v>155</v>
      </c>
      <c r="D3223" s="52" t="s">
        <v>155</v>
      </c>
      <c r="E3223" s="52" t="s">
        <v>584</v>
      </c>
      <c r="F3223" s="52" t="s">
        <v>581</v>
      </c>
      <c r="G3223" s="55" t="s">
        <v>277</v>
      </c>
      <c r="H3223" s="55">
        <v>11.91541</v>
      </c>
      <c r="I3223" s="55">
        <v>0</v>
      </c>
      <c r="J3223" s="55">
        <v>0</v>
      </c>
      <c r="K3223" s="55">
        <v>0.31900000000000001</v>
      </c>
      <c r="L3223" s="55">
        <v>0.4883806</v>
      </c>
      <c r="M3223" s="55">
        <v>0.50055099999999997</v>
      </c>
      <c r="N3223" s="55">
        <v>0.55361199999999999</v>
      </c>
    </row>
    <row r="3224" spans="1:14" hidden="1" x14ac:dyDescent="0.35">
      <c r="A3224" s="52" t="s">
        <v>672</v>
      </c>
      <c r="B3224" s="52" t="s">
        <v>73</v>
      </c>
      <c r="C3224" s="52" t="s">
        <v>155</v>
      </c>
      <c r="D3224" s="52" t="s">
        <v>155</v>
      </c>
      <c r="E3224" s="52" t="s">
        <v>584</v>
      </c>
      <c r="F3224" s="52" t="s">
        <v>581</v>
      </c>
      <c r="G3224" s="55" t="s">
        <v>278</v>
      </c>
      <c r="H3224" s="55">
        <v>6.1574410000000004</v>
      </c>
      <c r="I3224" s="55">
        <v>0.15054699999999999</v>
      </c>
      <c r="J3224" s="55">
        <v>0.18084839999999999</v>
      </c>
      <c r="K3224" s="55">
        <v>3.7393079999999999</v>
      </c>
      <c r="L3224" s="55">
        <v>0.7801148</v>
      </c>
      <c r="M3224" s="55">
        <v>4.6371950000000002E-2</v>
      </c>
      <c r="N3224" s="55">
        <v>4.6371950000000002E-2</v>
      </c>
    </row>
    <row r="3225" spans="1:14" hidden="1" x14ac:dyDescent="0.35">
      <c r="A3225" s="52" t="s">
        <v>672</v>
      </c>
      <c r="B3225" s="52" t="s">
        <v>73</v>
      </c>
      <c r="C3225" s="52" t="s">
        <v>155</v>
      </c>
      <c r="D3225" s="52" t="s">
        <v>155</v>
      </c>
      <c r="E3225" s="52" t="s">
        <v>584</v>
      </c>
      <c r="F3225" s="52" t="s">
        <v>581</v>
      </c>
      <c r="G3225" s="55" t="s">
        <v>279</v>
      </c>
      <c r="H3225" s="55">
        <v>3.8032270000000001</v>
      </c>
      <c r="I3225" s="55">
        <v>6.4389719999999997</v>
      </c>
      <c r="J3225" s="55">
        <v>4.558897</v>
      </c>
      <c r="K3225" s="55">
        <v>3.8119480000000001</v>
      </c>
      <c r="L3225" s="55">
        <v>3.2733840000000001</v>
      </c>
      <c r="M3225" s="55">
        <v>2.821431</v>
      </c>
      <c r="N3225" s="55">
        <v>2.4876640000000001</v>
      </c>
    </row>
    <row r="3226" spans="1:14" hidden="1" x14ac:dyDescent="0.35">
      <c r="A3226" s="52" t="s">
        <v>672</v>
      </c>
      <c r="B3226" s="52" t="s">
        <v>73</v>
      </c>
      <c r="C3226" s="52" t="s">
        <v>155</v>
      </c>
      <c r="D3226" s="52" t="s">
        <v>155</v>
      </c>
      <c r="E3226" s="52" t="s">
        <v>584</v>
      </c>
      <c r="F3226" s="52" t="s">
        <v>26</v>
      </c>
      <c r="G3226" s="55" t="s">
        <v>275</v>
      </c>
      <c r="H3226" s="55">
        <v>-0.13614399999999999</v>
      </c>
      <c r="I3226" s="55">
        <v>1.7133969999999998E-2</v>
      </c>
      <c r="J3226" s="55">
        <v>0.39638250000000003</v>
      </c>
      <c r="K3226" s="55">
        <v>0.23985210000000001</v>
      </c>
      <c r="L3226" s="55">
        <v>0.1662226</v>
      </c>
      <c r="M3226" s="55">
        <v>0.1115206</v>
      </c>
      <c r="N3226" s="55">
        <v>5.8845460000000002E-2</v>
      </c>
    </row>
    <row r="3227" spans="1:14" hidden="1" x14ac:dyDescent="0.35">
      <c r="A3227" s="52" t="s">
        <v>672</v>
      </c>
      <c r="B3227" s="52" t="s">
        <v>73</v>
      </c>
      <c r="C3227" s="52" t="s">
        <v>155</v>
      </c>
      <c r="D3227" s="52" t="s">
        <v>155</v>
      </c>
      <c r="E3227" s="52" t="s">
        <v>584</v>
      </c>
      <c r="F3227" s="52" t="s">
        <v>26</v>
      </c>
      <c r="G3227" s="55" t="s">
        <v>276</v>
      </c>
      <c r="H3227" s="55">
        <v>-0.12894710000000001</v>
      </c>
      <c r="I3227" s="55">
        <v>-0.13810910000000001</v>
      </c>
      <c r="J3227" s="55">
        <v>0.89383190000000001</v>
      </c>
      <c r="K3227" s="55">
        <v>0.36256640000000001</v>
      </c>
      <c r="L3227" s="55">
        <v>0.27082719999999999</v>
      </c>
      <c r="M3227" s="55">
        <v>0.19443940000000001</v>
      </c>
      <c r="N3227" s="55">
        <v>0.14754410000000001</v>
      </c>
    </row>
    <row r="3228" spans="1:14" hidden="1" x14ac:dyDescent="0.35">
      <c r="A3228" s="52" t="s">
        <v>672</v>
      </c>
      <c r="B3228" s="52" t="s">
        <v>73</v>
      </c>
      <c r="C3228" s="52" t="s">
        <v>155</v>
      </c>
      <c r="D3228" s="52" t="s">
        <v>155</v>
      </c>
      <c r="E3228" s="52" t="s">
        <v>584</v>
      </c>
      <c r="F3228" s="52" t="s">
        <v>26</v>
      </c>
      <c r="G3228" s="55" t="s">
        <v>277</v>
      </c>
      <c r="H3228" s="55">
        <v>0.2377087</v>
      </c>
      <c r="I3228" s="55">
        <v>0.1018752</v>
      </c>
      <c r="J3228" s="55">
        <v>0</v>
      </c>
      <c r="K3228" s="55"/>
      <c r="L3228" s="55"/>
      <c r="M3228" s="55"/>
      <c r="N3228" s="55">
        <v>0</v>
      </c>
    </row>
    <row r="3229" spans="1:14" hidden="1" x14ac:dyDescent="0.35">
      <c r="A3229" s="52" t="s">
        <v>672</v>
      </c>
      <c r="B3229" s="52" t="s">
        <v>73</v>
      </c>
      <c r="C3229" s="52" t="s">
        <v>155</v>
      </c>
      <c r="D3229" s="52" t="s">
        <v>155</v>
      </c>
      <c r="E3229" s="52" t="s">
        <v>584</v>
      </c>
      <c r="F3229" s="52" t="s">
        <v>26</v>
      </c>
      <c r="G3229" s="55" t="s">
        <v>278</v>
      </c>
      <c r="H3229" s="55">
        <v>2.3889500000000001E-2</v>
      </c>
      <c r="I3229" s="55">
        <v>1.5606E-2</v>
      </c>
      <c r="J3229" s="55">
        <v>0</v>
      </c>
      <c r="K3229" s="55">
        <v>0</v>
      </c>
      <c r="L3229" s="55">
        <v>0</v>
      </c>
      <c r="M3229" s="55">
        <v>0</v>
      </c>
      <c r="N3229" s="55">
        <v>0</v>
      </c>
    </row>
    <row r="3230" spans="1:14" hidden="1" x14ac:dyDescent="0.35">
      <c r="A3230" s="52" t="s">
        <v>672</v>
      </c>
      <c r="B3230" s="52" t="s">
        <v>73</v>
      </c>
      <c r="C3230" s="52" t="s">
        <v>155</v>
      </c>
      <c r="D3230" s="52" t="s">
        <v>155</v>
      </c>
      <c r="E3230" s="52" t="s">
        <v>584</v>
      </c>
      <c r="F3230" s="52" t="s">
        <v>26</v>
      </c>
      <c r="G3230" s="55" t="s">
        <v>279</v>
      </c>
      <c r="H3230" s="55">
        <v>3.4929000000000002E-3</v>
      </c>
      <c r="I3230" s="55">
        <v>3.4930500000000001E-3</v>
      </c>
      <c r="J3230" s="55">
        <v>0.1941485</v>
      </c>
      <c r="K3230" s="55">
        <v>0.13142989999999999</v>
      </c>
      <c r="L3230" s="55">
        <v>9.9316500000000002E-2</v>
      </c>
      <c r="M3230" s="55">
        <v>7.1547749999999993E-2</v>
      </c>
      <c r="N3230" s="55">
        <v>5.05052E-2</v>
      </c>
    </row>
    <row r="3231" spans="1:14" hidden="1" x14ac:dyDescent="0.35">
      <c r="A3231" s="52" t="s">
        <v>672</v>
      </c>
      <c r="B3231" s="52" t="s">
        <v>73</v>
      </c>
      <c r="C3231" s="52" t="s">
        <v>155</v>
      </c>
      <c r="D3231" s="52" t="s">
        <v>358</v>
      </c>
      <c r="E3231" s="52" t="s">
        <v>584</v>
      </c>
      <c r="F3231" s="52" t="s">
        <v>581</v>
      </c>
      <c r="G3231" s="55" t="s">
        <v>275</v>
      </c>
      <c r="H3231" s="55">
        <v>-2.6060400000000001E-2</v>
      </c>
      <c r="I3231" s="55">
        <v>-6.0163999999999999E-3</v>
      </c>
      <c r="J3231" s="55">
        <v>0</v>
      </c>
      <c r="K3231" s="55">
        <v>0</v>
      </c>
      <c r="L3231" s="55">
        <v>0</v>
      </c>
      <c r="M3231" s="55">
        <v>0</v>
      </c>
      <c r="N3231" s="55">
        <v>0</v>
      </c>
    </row>
    <row r="3232" spans="1:14" hidden="1" x14ac:dyDescent="0.35">
      <c r="A3232" s="52" t="s">
        <v>672</v>
      </c>
      <c r="B3232" s="52" t="s">
        <v>73</v>
      </c>
      <c r="C3232" s="52" t="s">
        <v>155</v>
      </c>
      <c r="D3232" s="52" t="s">
        <v>358</v>
      </c>
      <c r="E3232" s="52" t="s">
        <v>584</v>
      </c>
      <c r="F3232" s="52" t="s">
        <v>581</v>
      </c>
      <c r="G3232" s="55" t="s">
        <v>276</v>
      </c>
      <c r="H3232" s="55">
        <v>-0.18424679999999999</v>
      </c>
      <c r="I3232" s="55">
        <v>-0.13136819999999999</v>
      </c>
      <c r="J3232" s="55">
        <v>-1.9689399999999999</v>
      </c>
      <c r="K3232" s="55">
        <v>-4.7122650000000004</v>
      </c>
      <c r="L3232" s="55">
        <v>-0.1308366</v>
      </c>
      <c r="M3232" s="55">
        <v>-0.39606780000000003</v>
      </c>
      <c r="N3232" s="55">
        <v>-0.63601419999999997</v>
      </c>
    </row>
    <row r="3233" spans="1:14" hidden="1" x14ac:dyDescent="0.35">
      <c r="A3233" s="52" t="s">
        <v>672</v>
      </c>
      <c r="B3233" s="52" t="s">
        <v>73</v>
      </c>
      <c r="C3233" s="52" t="s">
        <v>155</v>
      </c>
      <c r="D3233" s="52" t="s">
        <v>358</v>
      </c>
      <c r="E3233" s="52" t="s">
        <v>584</v>
      </c>
      <c r="F3233" s="52" t="s">
        <v>581</v>
      </c>
      <c r="G3233" s="55" t="s">
        <v>277</v>
      </c>
      <c r="H3233" s="55"/>
      <c r="I3233" s="55"/>
      <c r="J3233" s="55"/>
      <c r="K3233" s="55">
        <v>0</v>
      </c>
      <c r="L3233" s="55">
        <v>5.7999999999999996E-3</v>
      </c>
      <c r="M3233" s="55">
        <v>0.13919999999999999</v>
      </c>
      <c r="N3233" s="55">
        <v>0.3654</v>
      </c>
    </row>
    <row r="3234" spans="1:14" hidden="1" x14ac:dyDescent="0.35">
      <c r="A3234" s="52" t="s">
        <v>672</v>
      </c>
      <c r="B3234" s="52" t="s">
        <v>73</v>
      </c>
      <c r="C3234" s="52" t="s">
        <v>155</v>
      </c>
      <c r="D3234" s="52" t="s">
        <v>358</v>
      </c>
      <c r="E3234" s="52" t="s">
        <v>584</v>
      </c>
      <c r="F3234" s="52" t="s">
        <v>581</v>
      </c>
      <c r="G3234" s="55" t="s">
        <v>278</v>
      </c>
      <c r="H3234" s="55">
        <v>0.21030660000000001</v>
      </c>
      <c r="I3234" s="55">
        <v>0.1373848</v>
      </c>
      <c r="J3234" s="55">
        <v>1.9689399999999999</v>
      </c>
      <c r="K3234" s="55">
        <v>4.7122669999999998</v>
      </c>
      <c r="L3234" s="55">
        <v>0.12503739999999999</v>
      </c>
      <c r="M3234" s="55">
        <v>0.25686759999999997</v>
      </c>
      <c r="N3234" s="55">
        <v>0.25686759999999997</v>
      </c>
    </row>
    <row r="3235" spans="1:14" hidden="1" x14ac:dyDescent="0.35">
      <c r="A3235" s="52" t="s">
        <v>672</v>
      </c>
      <c r="B3235" s="52" t="s">
        <v>73</v>
      </c>
      <c r="C3235" s="52" t="s">
        <v>155</v>
      </c>
      <c r="D3235" s="52" t="s">
        <v>358</v>
      </c>
      <c r="E3235" s="52" t="s">
        <v>584</v>
      </c>
      <c r="F3235" s="52" t="s">
        <v>581</v>
      </c>
      <c r="G3235" s="55" t="s">
        <v>279</v>
      </c>
      <c r="H3235" s="55"/>
      <c r="I3235" s="55"/>
      <c r="J3235" s="55"/>
      <c r="K3235" s="55"/>
      <c r="L3235" s="55"/>
      <c r="M3235" s="55">
        <v>0</v>
      </c>
      <c r="N3235" s="55">
        <v>1.3746599999999999E-2</v>
      </c>
    </row>
    <row r="3236" spans="1:14" hidden="1" x14ac:dyDescent="0.35">
      <c r="A3236" s="52" t="s">
        <v>672</v>
      </c>
      <c r="B3236" s="52" t="s">
        <v>73</v>
      </c>
      <c r="C3236" s="52" t="s">
        <v>155</v>
      </c>
      <c r="D3236" s="52" t="s">
        <v>358</v>
      </c>
      <c r="E3236" s="52" t="s">
        <v>584</v>
      </c>
      <c r="F3236" s="52" t="s">
        <v>26</v>
      </c>
      <c r="G3236" s="55" t="s">
        <v>275</v>
      </c>
      <c r="H3236" s="55"/>
      <c r="I3236" s="55"/>
      <c r="J3236" s="55"/>
      <c r="K3236" s="55"/>
      <c r="L3236" s="55"/>
      <c r="M3236" s="55">
        <v>0</v>
      </c>
      <c r="N3236" s="55">
        <v>0</v>
      </c>
    </row>
    <row r="3237" spans="1:14" hidden="1" x14ac:dyDescent="0.35">
      <c r="A3237" s="52" t="s">
        <v>672</v>
      </c>
      <c r="B3237" s="52" t="s">
        <v>73</v>
      </c>
      <c r="C3237" s="52" t="s">
        <v>155</v>
      </c>
      <c r="D3237" s="52" t="s">
        <v>358</v>
      </c>
      <c r="E3237" s="52" t="s">
        <v>584</v>
      </c>
      <c r="F3237" s="52" t="s">
        <v>26</v>
      </c>
      <c r="G3237" s="55" t="s">
        <v>276</v>
      </c>
      <c r="H3237" s="55"/>
      <c r="I3237" s="55"/>
      <c r="J3237" s="55"/>
      <c r="K3237" s="55"/>
      <c r="L3237" s="55"/>
      <c r="M3237" s="55">
        <v>0</v>
      </c>
      <c r="N3237" s="55">
        <v>-1.1002E-3</v>
      </c>
    </row>
    <row r="3238" spans="1:14" hidden="1" x14ac:dyDescent="0.35">
      <c r="A3238" s="52" t="s">
        <v>672</v>
      </c>
      <c r="B3238" s="52" t="s">
        <v>73</v>
      </c>
      <c r="C3238" s="52" t="s">
        <v>155</v>
      </c>
      <c r="D3238" s="52" t="s">
        <v>358</v>
      </c>
      <c r="E3238" s="52" t="s">
        <v>584</v>
      </c>
      <c r="F3238" s="52" t="s">
        <v>26</v>
      </c>
      <c r="G3238" s="55" t="s">
        <v>279</v>
      </c>
      <c r="H3238" s="55"/>
      <c r="I3238" s="55"/>
      <c r="J3238" s="55"/>
      <c r="K3238" s="55"/>
      <c r="L3238" s="55"/>
      <c r="M3238" s="55">
        <v>0</v>
      </c>
      <c r="N3238" s="55">
        <v>1.1004000000000001E-3</v>
      </c>
    </row>
    <row r="3239" spans="1:14" hidden="1" x14ac:dyDescent="0.35">
      <c r="A3239" s="52" t="s">
        <v>672</v>
      </c>
      <c r="B3239" s="52" t="s">
        <v>73</v>
      </c>
      <c r="C3239" s="52" t="s">
        <v>324</v>
      </c>
      <c r="D3239" s="52" t="s">
        <v>324</v>
      </c>
      <c r="E3239" s="52" t="s">
        <v>584</v>
      </c>
      <c r="F3239" s="52" t="s">
        <v>581</v>
      </c>
      <c r="G3239" s="55" t="s">
        <v>275</v>
      </c>
      <c r="H3239" s="55">
        <v>-2.979538E-2</v>
      </c>
      <c r="I3239" s="55">
        <v>-1.1436489999999999</v>
      </c>
      <c r="J3239" s="55">
        <v>0</v>
      </c>
      <c r="K3239" s="55">
        <v>0</v>
      </c>
      <c r="L3239" s="55">
        <v>0</v>
      </c>
      <c r="M3239" s="55">
        <v>0</v>
      </c>
      <c r="N3239" s="55">
        <v>0</v>
      </c>
    </row>
    <row r="3240" spans="1:14" hidden="1" x14ac:dyDescent="0.35">
      <c r="A3240" s="52" t="s">
        <v>672</v>
      </c>
      <c r="B3240" s="52" t="s">
        <v>73</v>
      </c>
      <c r="C3240" s="52" t="s">
        <v>324</v>
      </c>
      <c r="D3240" s="52" t="s">
        <v>324</v>
      </c>
      <c r="E3240" s="52" t="s">
        <v>584</v>
      </c>
      <c r="F3240" s="52" t="s">
        <v>581</v>
      </c>
      <c r="G3240" s="55" t="s">
        <v>276</v>
      </c>
      <c r="H3240" s="55">
        <v>-0.19566720000000001</v>
      </c>
      <c r="I3240" s="55">
        <v>-4.9402660000000003</v>
      </c>
      <c r="J3240" s="55">
        <v>-0.17320369999999999</v>
      </c>
      <c r="K3240" s="55">
        <v>-4.6761900000000001</v>
      </c>
      <c r="L3240" s="55">
        <v>-0.13122439999999999</v>
      </c>
      <c r="M3240" s="55">
        <v>-0.30457990000000001</v>
      </c>
      <c r="N3240" s="55">
        <v>-0.31857930000000001</v>
      </c>
    </row>
    <row r="3241" spans="1:14" hidden="1" x14ac:dyDescent="0.35">
      <c r="A3241" s="52" t="s">
        <v>672</v>
      </c>
      <c r="B3241" s="52" t="s">
        <v>73</v>
      </c>
      <c r="C3241" s="52" t="s">
        <v>324</v>
      </c>
      <c r="D3241" s="52" t="s">
        <v>324</v>
      </c>
      <c r="E3241" s="52" t="s">
        <v>584</v>
      </c>
      <c r="F3241" s="52" t="s">
        <v>581</v>
      </c>
      <c r="G3241" s="55" t="s">
        <v>277</v>
      </c>
      <c r="H3241" s="55"/>
      <c r="I3241" s="55"/>
      <c r="J3241" s="55"/>
      <c r="K3241" s="55"/>
      <c r="L3241" s="55">
        <v>0</v>
      </c>
      <c r="M3241" s="55">
        <v>3.5000000000000003E-2</v>
      </c>
      <c r="N3241" s="55">
        <v>4.9000000000000002E-2</v>
      </c>
    </row>
    <row r="3242" spans="1:14" hidden="1" x14ac:dyDescent="0.35">
      <c r="A3242" s="52" t="s">
        <v>672</v>
      </c>
      <c r="B3242" s="52" t="s">
        <v>73</v>
      </c>
      <c r="C3242" s="52" t="s">
        <v>324</v>
      </c>
      <c r="D3242" s="52" t="s">
        <v>324</v>
      </c>
      <c r="E3242" s="52" t="s">
        <v>584</v>
      </c>
      <c r="F3242" s="52" t="s">
        <v>581</v>
      </c>
      <c r="G3242" s="55" t="s">
        <v>278</v>
      </c>
      <c r="H3242" s="55">
        <v>0.2254623</v>
      </c>
      <c r="I3242" s="55">
        <v>6.083914</v>
      </c>
      <c r="J3242" s="55">
        <v>0.173204</v>
      </c>
      <c r="K3242" s="55">
        <v>4.6761900000000001</v>
      </c>
      <c r="L3242" s="55">
        <v>0.1312246</v>
      </c>
      <c r="M3242" s="55">
        <v>0.26957910000000002</v>
      </c>
      <c r="N3242" s="55">
        <v>0.26957910000000002</v>
      </c>
    </row>
    <row r="3243" spans="1:14" hidden="1" x14ac:dyDescent="0.35">
      <c r="A3243" s="52" t="s">
        <v>672</v>
      </c>
      <c r="B3243" s="52" t="s">
        <v>73</v>
      </c>
      <c r="C3243" s="52" t="s">
        <v>324</v>
      </c>
      <c r="D3243" s="52" t="s">
        <v>324</v>
      </c>
      <c r="E3243" s="52" t="s">
        <v>584</v>
      </c>
      <c r="F3243" s="52" t="s">
        <v>26</v>
      </c>
      <c r="G3243" s="55" t="s">
        <v>275</v>
      </c>
      <c r="H3243" s="55">
        <v>8.0198800000000001E-2</v>
      </c>
      <c r="I3243" s="55">
        <v>7.1650640000000002E-2</v>
      </c>
      <c r="J3243" s="55">
        <v>8.0771960000000004E-2</v>
      </c>
      <c r="K3243" s="55">
        <v>1.7948000000000001E-4</v>
      </c>
      <c r="L3243" s="55">
        <v>0</v>
      </c>
      <c r="M3243" s="55">
        <v>0</v>
      </c>
      <c r="N3243" s="55">
        <v>0</v>
      </c>
    </row>
    <row r="3244" spans="1:14" hidden="1" x14ac:dyDescent="0.35">
      <c r="A3244" s="52" t="s">
        <v>672</v>
      </c>
      <c r="B3244" s="52" t="s">
        <v>73</v>
      </c>
      <c r="C3244" s="52" t="s">
        <v>324</v>
      </c>
      <c r="D3244" s="52" t="s">
        <v>324</v>
      </c>
      <c r="E3244" s="52" t="s">
        <v>584</v>
      </c>
      <c r="F3244" s="52" t="s">
        <v>26</v>
      </c>
      <c r="G3244" s="55" t="s">
        <v>276</v>
      </c>
      <c r="H3244" s="55">
        <v>-8.4624599999999994E-2</v>
      </c>
      <c r="I3244" s="55">
        <v>-0.1237275</v>
      </c>
      <c r="J3244" s="55">
        <v>-0.27712940000000003</v>
      </c>
      <c r="K3244" s="55">
        <v>-3.1464409999999998E-3</v>
      </c>
      <c r="L3244" s="55">
        <v>-2.8228799999999998E-3</v>
      </c>
      <c r="M3244" s="55">
        <v>-5.7990000000000003E-3</v>
      </c>
      <c r="N3244" s="55">
        <v>-7.1989999999999997E-3</v>
      </c>
    </row>
    <row r="3245" spans="1:14" hidden="1" x14ac:dyDescent="0.35">
      <c r="A3245" s="52" t="s">
        <v>672</v>
      </c>
      <c r="B3245" s="52" t="s">
        <v>73</v>
      </c>
      <c r="C3245" s="52" t="s">
        <v>324</v>
      </c>
      <c r="D3245" s="52" t="s">
        <v>324</v>
      </c>
      <c r="E3245" s="52" t="s">
        <v>584</v>
      </c>
      <c r="F3245" s="52" t="s">
        <v>26</v>
      </c>
      <c r="G3245" s="55" t="s">
        <v>277</v>
      </c>
      <c r="H3245" s="55"/>
      <c r="I3245" s="55"/>
      <c r="J3245" s="55"/>
      <c r="K3245" s="55"/>
      <c r="L3245" s="55">
        <v>0</v>
      </c>
      <c r="M3245" s="55">
        <v>0</v>
      </c>
      <c r="N3245" s="55">
        <v>1.4E-3</v>
      </c>
    </row>
    <row r="3246" spans="1:14" hidden="1" x14ac:dyDescent="0.35">
      <c r="A3246" s="52" t="s">
        <v>672</v>
      </c>
      <c r="B3246" s="52" t="s">
        <v>73</v>
      </c>
      <c r="C3246" s="52" t="s">
        <v>324</v>
      </c>
      <c r="D3246" s="52" t="s">
        <v>324</v>
      </c>
      <c r="E3246" s="52" t="s">
        <v>584</v>
      </c>
      <c r="F3246" s="52" t="s">
        <v>26</v>
      </c>
      <c r="G3246" s="55" t="s">
        <v>278</v>
      </c>
      <c r="H3246" s="55">
        <v>4.4257999999999997E-3</v>
      </c>
      <c r="I3246" s="55">
        <v>5.2076919999999999E-2</v>
      </c>
      <c r="J3246" s="55">
        <v>0.27712930000000002</v>
      </c>
      <c r="K3246" s="55">
        <v>3.1464000000000002E-3</v>
      </c>
      <c r="L3246" s="55">
        <v>2.8228400000000001E-3</v>
      </c>
      <c r="M3246" s="55">
        <v>5.7990000000000003E-3</v>
      </c>
      <c r="N3246" s="55">
        <v>5.7990000000000003E-3</v>
      </c>
    </row>
    <row r="3247" spans="1:14" hidden="1" x14ac:dyDescent="0.35">
      <c r="A3247" s="52" t="s">
        <v>672</v>
      </c>
      <c r="B3247" s="52" t="s">
        <v>73</v>
      </c>
      <c r="C3247" s="52" t="s">
        <v>325</v>
      </c>
      <c r="D3247" s="52" t="s">
        <v>325</v>
      </c>
      <c r="E3247" s="52" t="s">
        <v>584</v>
      </c>
      <c r="F3247" s="52" t="s">
        <v>581</v>
      </c>
      <c r="G3247" s="55" t="s">
        <v>275</v>
      </c>
      <c r="H3247" s="55">
        <v>2.6502880000000002</v>
      </c>
      <c r="I3247" s="55">
        <v>2.7148780000000001</v>
      </c>
      <c r="J3247" s="55">
        <v>6.3877789999999997E-3</v>
      </c>
      <c r="K3247" s="55">
        <v>-7.2916140000000004E-2</v>
      </c>
      <c r="L3247" s="55">
        <v>-6.2400240000000003E-2</v>
      </c>
      <c r="M3247" s="55">
        <v>2.518254E-2</v>
      </c>
      <c r="N3247" s="55">
        <v>-0.87948780000000004</v>
      </c>
    </row>
    <row r="3248" spans="1:14" hidden="1" x14ac:dyDescent="0.35">
      <c r="A3248" s="52" t="s">
        <v>672</v>
      </c>
      <c r="B3248" s="52" t="s">
        <v>73</v>
      </c>
      <c r="C3248" s="52" t="s">
        <v>325</v>
      </c>
      <c r="D3248" s="52" t="s">
        <v>325</v>
      </c>
      <c r="E3248" s="52" t="s">
        <v>584</v>
      </c>
      <c r="F3248" s="52" t="s">
        <v>581</v>
      </c>
      <c r="G3248" s="55" t="s">
        <v>276</v>
      </c>
      <c r="H3248" s="55">
        <v>-3.5426350000000002</v>
      </c>
      <c r="I3248" s="55">
        <v>-3.2978160000000001</v>
      </c>
      <c r="J3248" s="55">
        <v>-22.169260000000001</v>
      </c>
      <c r="K3248" s="55">
        <v>-1.4654450000000001</v>
      </c>
      <c r="L3248" s="55">
        <v>-5.0702280000000002</v>
      </c>
      <c r="M3248" s="55">
        <v>-0.70252340000000002</v>
      </c>
      <c r="N3248" s="55">
        <v>-6.3825260000000004</v>
      </c>
    </row>
    <row r="3249" spans="1:14" hidden="1" x14ac:dyDescent="0.35">
      <c r="A3249" s="52" t="s">
        <v>672</v>
      </c>
      <c r="B3249" s="52" t="s">
        <v>73</v>
      </c>
      <c r="C3249" s="52" t="s">
        <v>325</v>
      </c>
      <c r="D3249" s="52" t="s">
        <v>325</v>
      </c>
      <c r="E3249" s="52" t="s">
        <v>584</v>
      </c>
      <c r="F3249" s="52" t="s">
        <v>581</v>
      </c>
      <c r="G3249" s="55" t="s">
        <v>277</v>
      </c>
      <c r="H3249" s="55"/>
      <c r="I3249" s="55"/>
      <c r="J3249" s="55">
        <v>0</v>
      </c>
      <c r="K3249" s="55">
        <v>0.09</v>
      </c>
      <c r="L3249" s="55">
        <v>0.09</v>
      </c>
      <c r="M3249" s="55">
        <v>7.1749999999999994E-2</v>
      </c>
      <c r="N3249" s="55">
        <v>1.1549119999999999</v>
      </c>
    </row>
    <row r="3250" spans="1:14" hidden="1" x14ac:dyDescent="0.35">
      <c r="A3250" s="52" t="s">
        <v>672</v>
      </c>
      <c r="B3250" s="52" t="s">
        <v>73</v>
      </c>
      <c r="C3250" s="52" t="s">
        <v>325</v>
      </c>
      <c r="D3250" s="52" t="s">
        <v>325</v>
      </c>
      <c r="E3250" s="52" t="s">
        <v>584</v>
      </c>
      <c r="F3250" s="52" t="s">
        <v>581</v>
      </c>
      <c r="G3250" s="55" t="s">
        <v>278</v>
      </c>
      <c r="H3250" s="55">
        <v>0.89234780000000002</v>
      </c>
      <c r="I3250" s="55">
        <v>0.58293550000000005</v>
      </c>
      <c r="J3250" s="55">
        <v>22.17023</v>
      </c>
      <c r="K3250" s="55">
        <v>1.4520010000000001</v>
      </c>
      <c r="L3250" s="55">
        <v>5.0426299999999999</v>
      </c>
      <c r="M3250" s="55">
        <v>0.60559050000000003</v>
      </c>
      <c r="N3250" s="55">
        <v>6.1071010000000001</v>
      </c>
    </row>
    <row r="3251" spans="1:14" hidden="1" x14ac:dyDescent="0.35">
      <c r="A3251" s="52" t="s">
        <v>672</v>
      </c>
      <c r="B3251" s="52" t="s">
        <v>73</v>
      </c>
      <c r="C3251" s="52" t="s">
        <v>325</v>
      </c>
      <c r="D3251" s="52" t="s">
        <v>325</v>
      </c>
      <c r="E3251" s="52" t="s">
        <v>584</v>
      </c>
      <c r="F3251" s="52" t="s">
        <v>581</v>
      </c>
      <c r="G3251" s="55" t="s">
        <v>279</v>
      </c>
      <c r="H3251" s="55"/>
      <c r="I3251" s="55"/>
      <c r="J3251" s="55"/>
      <c r="K3251" s="55"/>
      <c r="L3251" s="55"/>
      <c r="M3251" s="55"/>
      <c r="N3251" s="55">
        <v>0</v>
      </c>
    </row>
    <row r="3252" spans="1:14" hidden="1" x14ac:dyDescent="0.35">
      <c r="A3252" s="52" t="s">
        <v>672</v>
      </c>
      <c r="B3252" s="52" t="s">
        <v>73</v>
      </c>
      <c r="C3252" s="52" t="s">
        <v>325</v>
      </c>
      <c r="D3252" s="52" t="s">
        <v>325</v>
      </c>
      <c r="E3252" s="52" t="s">
        <v>584</v>
      </c>
      <c r="F3252" s="52" t="s">
        <v>26</v>
      </c>
      <c r="G3252" s="55" t="s">
        <v>275</v>
      </c>
      <c r="H3252" s="55">
        <v>-1.5204000000000001E-3</v>
      </c>
      <c r="I3252" s="55">
        <v>1.3265010000000001E-4</v>
      </c>
      <c r="J3252" s="55">
        <v>2.62255E-3</v>
      </c>
      <c r="K3252" s="55">
        <v>1.2974499999999999E-3</v>
      </c>
      <c r="L3252" s="55">
        <v>0</v>
      </c>
      <c r="M3252" s="55">
        <v>0</v>
      </c>
      <c r="N3252" s="55">
        <v>0</v>
      </c>
    </row>
    <row r="3253" spans="1:14" hidden="1" x14ac:dyDescent="0.35">
      <c r="A3253" s="52" t="s">
        <v>672</v>
      </c>
      <c r="B3253" s="52" t="s">
        <v>73</v>
      </c>
      <c r="C3253" s="52" t="s">
        <v>325</v>
      </c>
      <c r="D3253" s="52" t="s">
        <v>325</v>
      </c>
      <c r="E3253" s="52" t="s">
        <v>584</v>
      </c>
      <c r="F3253" s="52" t="s">
        <v>26</v>
      </c>
      <c r="G3253" s="55" t="s">
        <v>276</v>
      </c>
      <c r="H3253" s="55">
        <v>-3.0470299999999999E-2</v>
      </c>
      <c r="I3253" s="55">
        <v>-2.1031149999999998E-2</v>
      </c>
      <c r="J3253" s="55">
        <v>0</v>
      </c>
      <c r="K3253" s="55">
        <v>0</v>
      </c>
      <c r="L3253" s="55">
        <v>0</v>
      </c>
      <c r="M3253" s="55">
        <v>0</v>
      </c>
      <c r="N3253" s="55">
        <v>0</v>
      </c>
    </row>
    <row r="3254" spans="1:14" hidden="1" x14ac:dyDescent="0.35">
      <c r="A3254" s="52" t="s">
        <v>672</v>
      </c>
      <c r="B3254" s="52" t="s">
        <v>73</v>
      </c>
      <c r="C3254" s="52" t="s">
        <v>325</v>
      </c>
      <c r="D3254" s="52" t="s">
        <v>325</v>
      </c>
      <c r="E3254" s="52" t="s">
        <v>584</v>
      </c>
      <c r="F3254" s="52" t="s">
        <v>26</v>
      </c>
      <c r="G3254" s="55" t="s">
        <v>277</v>
      </c>
      <c r="H3254" s="55"/>
      <c r="I3254" s="55"/>
      <c r="J3254" s="55"/>
      <c r="K3254" s="55"/>
      <c r="L3254" s="55"/>
      <c r="M3254" s="55"/>
      <c r="N3254" s="55">
        <v>0</v>
      </c>
    </row>
    <row r="3255" spans="1:14" hidden="1" x14ac:dyDescent="0.35">
      <c r="A3255" s="52" t="s">
        <v>672</v>
      </c>
      <c r="B3255" s="52" t="s">
        <v>73</v>
      </c>
      <c r="C3255" s="52" t="s">
        <v>325</v>
      </c>
      <c r="D3255" s="52" t="s">
        <v>325</v>
      </c>
      <c r="E3255" s="52" t="s">
        <v>584</v>
      </c>
      <c r="F3255" s="52" t="s">
        <v>26</v>
      </c>
      <c r="G3255" s="55" t="s">
        <v>278</v>
      </c>
      <c r="H3255" s="55">
        <v>3.1990699999999997E-2</v>
      </c>
      <c r="I3255" s="55">
        <v>2.08985E-2</v>
      </c>
      <c r="J3255" s="55">
        <v>0</v>
      </c>
      <c r="K3255" s="55">
        <v>0</v>
      </c>
      <c r="L3255" s="55">
        <v>0</v>
      </c>
      <c r="M3255" s="55">
        <v>0</v>
      </c>
      <c r="N3255" s="55">
        <v>0</v>
      </c>
    </row>
    <row r="3256" spans="1:14" hidden="1" x14ac:dyDescent="0.35">
      <c r="A3256" s="52" t="s">
        <v>672</v>
      </c>
      <c r="B3256" s="52" t="s">
        <v>73</v>
      </c>
      <c r="C3256" s="52" t="s">
        <v>325</v>
      </c>
      <c r="D3256" s="52" t="s">
        <v>325</v>
      </c>
      <c r="E3256" s="52" t="s">
        <v>584</v>
      </c>
      <c r="F3256" s="52" t="s">
        <v>26</v>
      </c>
      <c r="G3256" s="55" t="s">
        <v>279</v>
      </c>
      <c r="H3256" s="55"/>
      <c r="I3256" s="55"/>
      <c r="J3256" s="55"/>
      <c r="K3256" s="55"/>
      <c r="L3256" s="55"/>
      <c r="M3256" s="55"/>
      <c r="N3256" s="55">
        <v>0</v>
      </c>
    </row>
    <row r="3257" spans="1:14" hidden="1" x14ac:dyDescent="0.35">
      <c r="A3257" s="52" t="s">
        <v>672</v>
      </c>
      <c r="B3257" s="52" t="s">
        <v>73</v>
      </c>
      <c r="C3257" s="52" t="s">
        <v>325</v>
      </c>
      <c r="D3257" s="52" t="s">
        <v>326</v>
      </c>
      <c r="E3257" s="52" t="s">
        <v>584</v>
      </c>
      <c r="F3257" s="52" t="s">
        <v>581</v>
      </c>
      <c r="G3257" s="55" t="s">
        <v>275</v>
      </c>
      <c r="H3257" s="55">
        <v>2.2902089999999999</v>
      </c>
      <c r="I3257" s="55">
        <v>2.2921860000000001</v>
      </c>
      <c r="J3257" s="55">
        <v>0.83672400000000002</v>
      </c>
      <c r="K3257" s="55">
        <v>-1.6859500000000001E-3</v>
      </c>
      <c r="L3257" s="55">
        <v>-2.0019999999999999E-3</v>
      </c>
      <c r="M3257" s="55">
        <v>-6.64615E-3</v>
      </c>
      <c r="N3257" s="55">
        <v>-8.7349490000000005E-3</v>
      </c>
    </row>
    <row r="3258" spans="1:14" hidden="1" x14ac:dyDescent="0.35">
      <c r="A3258" s="52" t="s">
        <v>672</v>
      </c>
      <c r="B3258" s="52" t="s">
        <v>73</v>
      </c>
      <c r="C3258" s="52" t="s">
        <v>325</v>
      </c>
      <c r="D3258" s="52" t="s">
        <v>326</v>
      </c>
      <c r="E3258" s="52" t="s">
        <v>584</v>
      </c>
      <c r="F3258" s="52" t="s">
        <v>581</v>
      </c>
      <c r="G3258" s="55" t="s">
        <v>276</v>
      </c>
      <c r="H3258" s="55">
        <v>-2.3284769999999999</v>
      </c>
      <c r="I3258" s="55">
        <v>-2.3171849999999998</v>
      </c>
      <c r="J3258" s="55">
        <v>-0.86675539999999995</v>
      </c>
      <c r="K3258" s="55">
        <v>-2.36747E-2</v>
      </c>
      <c r="L3258" s="55">
        <v>-2.075045E-2</v>
      </c>
      <c r="M3258" s="55">
        <v>-4.0094600000000001E-2</v>
      </c>
      <c r="N3258" s="55">
        <v>-4.1068649999999998E-2</v>
      </c>
    </row>
    <row r="3259" spans="1:14" hidden="1" x14ac:dyDescent="0.35">
      <c r="A3259" s="52" t="s">
        <v>672</v>
      </c>
      <c r="B3259" s="52" t="s">
        <v>73</v>
      </c>
      <c r="C3259" s="52" t="s">
        <v>325</v>
      </c>
      <c r="D3259" s="52" t="s">
        <v>326</v>
      </c>
      <c r="E3259" s="52" t="s">
        <v>584</v>
      </c>
      <c r="F3259" s="52" t="s">
        <v>581</v>
      </c>
      <c r="G3259" s="55" t="s">
        <v>277</v>
      </c>
      <c r="H3259" s="55"/>
      <c r="I3259" s="55"/>
      <c r="J3259" s="55"/>
      <c r="K3259" s="55"/>
      <c r="L3259" s="55"/>
      <c r="M3259" s="55">
        <v>0</v>
      </c>
      <c r="N3259" s="55">
        <v>3.0625000000000001E-3</v>
      </c>
    </row>
    <row r="3260" spans="1:14" hidden="1" x14ac:dyDescent="0.35">
      <c r="A3260" s="52" t="s">
        <v>672</v>
      </c>
      <c r="B3260" s="52" t="s">
        <v>73</v>
      </c>
      <c r="C3260" s="52" t="s">
        <v>325</v>
      </c>
      <c r="D3260" s="52" t="s">
        <v>326</v>
      </c>
      <c r="E3260" s="52" t="s">
        <v>584</v>
      </c>
      <c r="F3260" s="52" t="s">
        <v>581</v>
      </c>
      <c r="G3260" s="55" t="s">
        <v>278</v>
      </c>
      <c r="H3260" s="55">
        <v>3.8268299999999998E-2</v>
      </c>
      <c r="I3260" s="55">
        <v>2.49991E-2</v>
      </c>
      <c r="J3260" s="55">
        <v>3.003105E-2</v>
      </c>
      <c r="K3260" s="55">
        <v>2.5360649999999998E-2</v>
      </c>
      <c r="L3260" s="55">
        <v>2.275245E-2</v>
      </c>
      <c r="M3260" s="55">
        <v>4.6741089999999999E-2</v>
      </c>
      <c r="N3260" s="55">
        <v>4.6741089999999999E-2</v>
      </c>
    </row>
    <row r="3261" spans="1:14" hidden="1" x14ac:dyDescent="0.35">
      <c r="A3261" s="52" t="s">
        <v>672</v>
      </c>
      <c r="B3261" s="52" t="s">
        <v>73</v>
      </c>
      <c r="C3261" s="52" t="s">
        <v>325</v>
      </c>
      <c r="D3261" s="52" t="s">
        <v>326</v>
      </c>
      <c r="E3261" s="52" t="s">
        <v>584</v>
      </c>
      <c r="F3261" s="52" t="s">
        <v>26</v>
      </c>
      <c r="G3261" s="55" t="s">
        <v>275</v>
      </c>
      <c r="H3261" s="55">
        <v>0</v>
      </c>
      <c r="I3261" s="55"/>
      <c r="J3261" s="55"/>
      <c r="K3261" s="55"/>
      <c r="L3261" s="55">
        <v>0</v>
      </c>
      <c r="M3261" s="55"/>
      <c r="N3261" s="55"/>
    </row>
    <row r="3262" spans="1:14" hidden="1" x14ac:dyDescent="0.35">
      <c r="A3262" s="52" t="s">
        <v>672</v>
      </c>
      <c r="B3262" s="52" t="s">
        <v>73</v>
      </c>
      <c r="C3262" s="52" t="s">
        <v>325</v>
      </c>
      <c r="D3262" s="52" t="s">
        <v>326</v>
      </c>
      <c r="E3262" s="52" t="s">
        <v>584</v>
      </c>
      <c r="F3262" s="52" t="s">
        <v>26</v>
      </c>
      <c r="G3262" s="55" t="s">
        <v>276</v>
      </c>
      <c r="H3262" s="55"/>
      <c r="I3262" s="55"/>
      <c r="J3262" s="55"/>
      <c r="K3262" s="55"/>
      <c r="L3262" s="55">
        <v>0</v>
      </c>
      <c r="M3262" s="55"/>
      <c r="N3262" s="55"/>
    </row>
    <row r="3263" spans="1:14" hidden="1" x14ac:dyDescent="0.35">
      <c r="A3263" s="52" t="s">
        <v>672</v>
      </c>
      <c r="B3263" s="52" t="s">
        <v>73</v>
      </c>
      <c r="C3263" s="52" t="s">
        <v>325</v>
      </c>
      <c r="D3263" s="52" t="s">
        <v>326</v>
      </c>
      <c r="E3263" s="52" t="s">
        <v>584</v>
      </c>
      <c r="F3263" s="52" t="s">
        <v>26</v>
      </c>
      <c r="G3263" s="55" t="s">
        <v>277</v>
      </c>
      <c r="H3263" s="55"/>
      <c r="I3263" s="55"/>
      <c r="J3263" s="55"/>
      <c r="K3263" s="55"/>
      <c r="L3263" s="55"/>
      <c r="M3263" s="55">
        <v>0</v>
      </c>
      <c r="N3263" s="55"/>
    </row>
    <row r="3264" spans="1:14" hidden="1" x14ac:dyDescent="0.35">
      <c r="A3264" s="52" t="s">
        <v>672</v>
      </c>
      <c r="B3264" s="52" t="s">
        <v>73</v>
      </c>
      <c r="C3264" s="52" t="s">
        <v>325</v>
      </c>
      <c r="D3264" s="52" t="s">
        <v>326</v>
      </c>
      <c r="E3264" s="52" t="s">
        <v>584</v>
      </c>
      <c r="F3264" s="52" t="s">
        <v>26</v>
      </c>
      <c r="G3264" s="55" t="s">
        <v>278</v>
      </c>
      <c r="H3264" s="55">
        <v>0</v>
      </c>
      <c r="I3264" s="55"/>
      <c r="J3264" s="55"/>
      <c r="K3264" s="55"/>
      <c r="L3264" s="55"/>
      <c r="M3264" s="55"/>
      <c r="N3264" s="55"/>
    </row>
    <row r="3265" spans="1:14" hidden="1" x14ac:dyDescent="0.35">
      <c r="A3265" s="52" t="s">
        <v>672</v>
      </c>
      <c r="B3265" s="52" t="s">
        <v>73</v>
      </c>
      <c r="C3265" s="52" t="s">
        <v>327</v>
      </c>
      <c r="D3265" s="52" t="s">
        <v>327</v>
      </c>
      <c r="E3265" s="52" t="s">
        <v>584</v>
      </c>
      <c r="F3265" s="52" t="s">
        <v>581</v>
      </c>
      <c r="G3265" s="55" t="s">
        <v>275</v>
      </c>
      <c r="H3265" s="55">
        <v>1.395084</v>
      </c>
      <c r="I3265" s="55">
        <v>-0.71900869999999995</v>
      </c>
      <c r="J3265" s="55">
        <v>2.5133500000000001E-3</v>
      </c>
      <c r="K3265" s="55">
        <v>1.24355E-3</v>
      </c>
      <c r="L3265" s="55">
        <v>0</v>
      </c>
      <c r="M3265" s="55">
        <v>0</v>
      </c>
      <c r="N3265" s="55">
        <v>0</v>
      </c>
    </row>
    <row r="3266" spans="1:14" hidden="1" x14ac:dyDescent="0.35">
      <c r="A3266" s="52" t="s">
        <v>672</v>
      </c>
      <c r="B3266" s="52" t="s">
        <v>73</v>
      </c>
      <c r="C3266" s="52" t="s">
        <v>327</v>
      </c>
      <c r="D3266" s="52" t="s">
        <v>327</v>
      </c>
      <c r="E3266" s="52" t="s">
        <v>584</v>
      </c>
      <c r="F3266" s="52" t="s">
        <v>581</v>
      </c>
      <c r="G3266" s="55" t="s">
        <v>276</v>
      </c>
      <c r="H3266" s="55">
        <v>-1.4809969999999999</v>
      </c>
      <c r="I3266" s="55">
        <v>-10.448510000000001</v>
      </c>
      <c r="J3266" s="55">
        <v>-4.3361129999999998E-2</v>
      </c>
      <c r="K3266" s="55">
        <v>-3.6617709999999998E-2</v>
      </c>
      <c r="L3266" s="55">
        <v>-3.2851709999999999E-2</v>
      </c>
      <c r="M3266" s="55">
        <v>-0.12873799999999999</v>
      </c>
      <c r="N3266" s="55">
        <v>-0.12873870000000001</v>
      </c>
    </row>
    <row r="3267" spans="1:14" hidden="1" x14ac:dyDescent="0.35">
      <c r="A3267" s="52" t="s">
        <v>672</v>
      </c>
      <c r="B3267" s="52" t="s">
        <v>73</v>
      </c>
      <c r="C3267" s="52" t="s">
        <v>327</v>
      </c>
      <c r="D3267" s="52" t="s">
        <v>327</v>
      </c>
      <c r="E3267" s="52" t="s">
        <v>584</v>
      </c>
      <c r="F3267" s="52" t="s">
        <v>581</v>
      </c>
      <c r="G3267" s="55" t="s">
        <v>277</v>
      </c>
      <c r="H3267" s="55"/>
      <c r="I3267" s="55"/>
      <c r="J3267" s="55"/>
      <c r="K3267" s="55"/>
      <c r="L3267" s="55">
        <v>0</v>
      </c>
      <c r="M3267" s="55">
        <v>6.1249999999999999E-2</v>
      </c>
      <c r="N3267" s="55">
        <v>6.1249999999999999E-2</v>
      </c>
    </row>
    <row r="3268" spans="1:14" hidden="1" x14ac:dyDescent="0.35">
      <c r="A3268" s="52" t="s">
        <v>672</v>
      </c>
      <c r="B3268" s="52" t="s">
        <v>73</v>
      </c>
      <c r="C3268" s="52" t="s">
        <v>327</v>
      </c>
      <c r="D3268" s="52" t="s">
        <v>327</v>
      </c>
      <c r="E3268" s="52" t="s">
        <v>584</v>
      </c>
      <c r="F3268" s="52" t="s">
        <v>581</v>
      </c>
      <c r="G3268" s="55" t="s">
        <v>278</v>
      </c>
      <c r="H3268" s="55">
        <v>8.5913100000000006E-2</v>
      </c>
      <c r="I3268" s="55">
        <v>11.16752</v>
      </c>
      <c r="J3268" s="55">
        <v>4.3361150000000001E-2</v>
      </c>
      <c r="K3268" s="55">
        <v>3.6617700000000003E-2</v>
      </c>
      <c r="L3268" s="55">
        <v>3.2851699999999998E-2</v>
      </c>
      <c r="M3268" s="55">
        <v>6.7488400000000004E-2</v>
      </c>
      <c r="N3268" s="55">
        <v>6.7488400000000004E-2</v>
      </c>
    </row>
    <row r="3269" spans="1:14" hidden="1" x14ac:dyDescent="0.35">
      <c r="A3269" s="52" t="s">
        <v>672</v>
      </c>
      <c r="B3269" s="52" t="s">
        <v>73</v>
      </c>
      <c r="C3269" s="52" t="s">
        <v>327</v>
      </c>
      <c r="D3269" s="52" t="s">
        <v>327</v>
      </c>
      <c r="E3269" s="52" t="s">
        <v>584</v>
      </c>
      <c r="F3269" s="52" t="s">
        <v>26</v>
      </c>
      <c r="G3269" s="55" t="s">
        <v>275</v>
      </c>
      <c r="H3269" s="55">
        <v>0</v>
      </c>
      <c r="I3269" s="55"/>
      <c r="J3269" s="55"/>
      <c r="K3269" s="55"/>
      <c r="L3269" s="55">
        <v>0</v>
      </c>
      <c r="M3269" s="55"/>
      <c r="N3269" s="55"/>
    </row>
    <row r="3270" spans="1:14" hidden="1" x14ac:dyDescent="0.35">
      <c r="A3270" s="52" t="s">
        <v>672</v>
      </c>
      <c r="B3270" s="52" t="s">
        <v>73</v>
      </c>
      <c r="C3270" s="52" t="s">
        <v>327</v>
      </c>
      <c r="D3270" s="52" t="s">
        <v>327</v>
      </c>
      <c r="E3270" s="52" t="s">
        <v>584</v>
      </c>
      <c r="F3270" s="52" t="s">
        <v>26</v>
      </c>
      <c r="G3270" s="55" t="s">
        <v>276</v>
      </c>
      <c r="H3270" s="55"/>
      <c r="I3270" s="55"/>
      <c r="J3270" s="55"/>
      <c r="K3270" s="55"/>
      <c r="L3270" s="55">
        <v>0</v>
      </c>
      <c r="M3270" s="55"/>
      <c r="N3270" s="55"/>
    </row>
    <row r="3271" spans="1:14" hidden="1" x14ac:dyDescent="0.35">
      <c r="A3271" s="52" t="s">
        <v>672</v>
      </c>
      <c r="B3271" s="52" t="s">
        <v>73</v>
      </c>
      <c r="C3271" s="52" t="s">
        <v>327</v>
      </c>
      <c r="D3271" s="52" t="s">
        <v>327</v>
      </c>
      <c r="E3271" s="52" t="s">
        <v>584</v>
      </c>
      <c r="F3271" s="52" t="s">
        <v>26</v>
      </c>
      <c r="G3271" s="55" t="s">
        <v>277</v>
      </c>
      <c r="H3271" s="55"/>
      <c r="I3271" s="55"/>
      <c r="J3271" s="55"/>
      <c r="K3271" s="55"/>
      <c r="L3271" s="55">
        <v>0</v>
      </c>
      <c r="M3271" s="55"/>
      <c r="N3271" s="55">
        <v>0</v>
      </c>
    </row>
    <row r="3272" spans="1:14" hidden="1" x14ac:dyDescent="0.35">
      <c r="A3272" s="52" t="s">
        <v>672</v>
      </c>
      <c r="B3272" s="52" t="s">
        <v>73</v>
      </c>
      <c r="C3272" s="52" t="s">
        <v>327</v>
      </c>
      <c r="D3272" s="52" t="s">
        <v>327</v>
      </c>
      <c r="E3272" s="52" t="s">
        <v>584</v>
      </c>
      <c r="F3272" s="52" t="s">
        <v>26</v>
      </c>
      <c r="G3272" s="55" t="s">
        <v>278</v>
      </c>
      <c r="H3272" s="55">
        <v>0</v>
      </c>
      <c r="I3272" s="55"/>
      <c r="J3272" s="55">
        <v>0</v>
      </c>
      <c r="K3272" s="55"/>
      <c r="L3272" s="55"/>
      <c r="M3272" s="55"/>
      <c r="N3272" s="55"/>
    </row>
    <row r="3273" spans="1:14" hidden="1" x14ac:dyDescent="0.35">
      <c r="A3273" s="52" t="s">
        <v>672</v>
      </c>
      <c r="B3273" s="52" t="s">
        <v>73</v>
      </c>
      <c r="C3273" s="52" t="s">
        <v>184</v>
      </c>
      <c r="D3273" s="52" t="s">
        <v>184</v>
      </c>
      <c r="E3273" s="52" t="s">
        <v>584</v>
      </c>
      <c r="F3273" s="52" t="s">
        <v>581</v>
      </c>
      <c r="G3273" s="55" t="s">
        <v>275</v>
      </c>
      <c r="H3273" s="55">
        <v>-6.9747000000000003E-3</v>
      </c>
      <c r="I3273" s="55">
        <v>3.1740030000000001E-4</v>
      </c>
      <c r="J3273" s="55">
        <v>0</v>
      </c>
      <c r="K3273" s="55">
        <v>0</v>
      </c>
      <c r="L3273" s="55">
        <v>0</v>
      </c>
      <c r="M3273" s="55">
        <v>0</v>
      </c>
      <c r="N3273" s="55">
        <v>0</v>
      </c>
    </row>
    <row r="3274" spans="1:14" hidden="1" x14ac:dyDescent="0.35">
      <c r="A3274" s="52" t="s">
        <v>672</v>
      </c>
      <c r="B3274" s="52" t="s">
        <v>73</v>
      </c>
      <c r="C3274" s="52" t="s">
        <v>184</v>
      </c>
      <c r="D3274" s="52" t="s">
        <v>184</v>
      </c>
      <c r="E3274" s="52" t="s">
        <v>584</v>
      </c>
      <c r="F3274" s="52" t="s">
        <v>581</v>
      </c>
      <c r="G3274" s="55" t="s">
        <v>276</v>
      </c>
      <c r="H3274" s="55">
        <v>-6.9535799999999995E-2</v>
      </c>
      <c r="I3274" s="55">
        <v>-5.0298299999999997E-2</v>
      </c>
      <c r="J3274" s="55">
        <v>-6.0041400000000002E-2</v>
      </c>
      <c r="K3274" s="55">
        <v>-2.4321480000000002</v>
      </c>
      <c r="L3274" s="55">
        <v>-0.47249730000000001</v>
      </c>
      <c r="M3274" s="55">
        <v>-0.1021494</v>
      </c>
      <c r="N3274" s="55">
        <v>-0.1891497</v>
      </c>
    </row>
    <row r="3275" spans="1:14" hidden="1" x14ac:dyDescent="0.35">
      <c r="A3275" s="52" t="s">
        <v>672</v>
      </c>
      <c r="B3275" s="52" t="s">
        <v>73</v>
      </c>
      <c r="C3275" s="52" t="s">
        <v>184</v>
      </c>
      <c r="D3275" s="52" t="s">
        <v>184</v>
      </c>
      <c r="E3275" s="52" t="s">
        <v>584</v>
      </c>
      <c r="F3275" s="52" t="s">
        <v>581</v>
      </c>
      <c r="G3275" s="55" t="s">
        <v>277</v>
      </c>
      <c r="H3275" s="55"/>
      <c r="I3275" s="55"/>
      <c r="J3275" s="55"/>
      <c r="K3275" s="55"/>
      <c r="L3275" s="55">
        <v>0</v>
      </c>
      <c r="M3275" s="55">
        <v>8.6999999999999994E-3</v>
      </c>
      <c r="N3275" s="55">
        <v>9.5699999999999993E-2</v>
      </c>
    </row>
    <row r="3276" spans="1:14" hidden="1" x14ac:dyDescent="0.35">
      <c r="A3276" s="52" t="s">
        <v>672</v>
      </c>
      <c r="B3276" s="52" t="s">
        <v>73</v>
      </c>
      <c r="C3276" s="52" t="s">
        <v>184</v>
      </c>
      <c r="D3276" s="52" t="s">
        <v>184</v>
      </c>
      <c r="E3276" s="52" t="s">
        <v>584</v>
      </c>
      <c r="F3276" s="52" t="s">
        <v>581</v>
      </c>
      <c r="G3276" s="55" t="s">
        <v>278</v>
      </c>
      <c r="H3276" s="55">
        <v>7.6510499999999995E-2</v>
      </c>
      <c r="I3276" s="55">
        <v>4.9981200000000003E-2</v>
      </c>
      <c r="J3276" s="55">
        <v>6.0041410000000003E-2</v>
      </c>
      <c r="K3276" s="55">
        <v>2.4321480000000002</v>
      </c>
      <c r="L3276" s="55">
        <v>0.47249730000000001</v>
      </c>
      <c r="M3276" s="55">
        <v>9.3449699999999997E-2</v>
      </c>
      <c r="N3276" s="55">
        <v>9.3449699999999997E-2</v>
      </c>
    </row>
    <row r="3277" spans="1:14" hidden="1" x14ac:dyDescent="0.35">
      <c r="A3277" s="52" t="s">
        <v>672</v>
      </c>
      <c r="B3277" s="52" t="s">
        <v>73</v>
      </c>
      <c r="C3277" s="52" t="s">
        <v>184</v>
      </c>
      <c r="D3277" s="52" t="s">
        <v>184</v>
      </c>
      <c r="E3277" s="52" t="s">
        <v>584</v>
      </c>
      <c r="F3277" s="52" t="s">
        <v>581</v>
      </c>
      <c r="G3277" s="55" t="s">
        <v>279</v>
      </c>
      <c r="H3277" s="55"/>
      <c r="I3277" s="55"/>
      <c r="J3277" s="55"/>
      <c r="K3277" s="55"/>
      <c r="L3277" s="55"/>
      <c r="M3277" s="55"/>
      <c r="N3277" s="55">
        <v>0</v>
      </c>
    </row>
    <row r="3278" spans="1:14" hidden="1" x14ac:dyDescent="0.35">
      <c r="A3278" s="52" t="s">
        <v>672</v>
      </c>
      <c r="B3278" s="52" t="s">
        <v>73</v>
      </c>
      <c r="C3278" s="52" t="s">
        <v>184</v>
      </c>
      <c r="D3278" s="52" t="s">
        <v>184</v>
      </c>
      <c r="E3278" s="52" t="s">
        <v>584</v>
      </c>
      <c r="F3278" s="52" t="s">
        <v>26</v>
      </c>
      <c r="G3278" s="55" t="s">
        <v>275</v>
      </c>
      <c r="H3278" s="55">
        <v>0</v>
      </c>
      <c r="I3278" s="55"/>
      <c r="J3278" s="55"/>
      <c r="K3278" s="55"/>
      <c r="L3278" s="55">
        <v>0</v>
      </c>
      <c r="M3278" s="55"/>
      <c r="N3278" s="55"/>
    </row>
    <row r="3279" spans="1:14" hidden="1" x14ac:dyDescent="0.35">
      <c r="A3279" s="52" t="s">
        <v>672</v>
      </c>
      <c r="B3279" s="52" t="s">
        <v>73</v>
      </c>
      <c r="C3279" s="52" t="s">
        <v>184</v>
      </c>
      <c r="D3279" s="52" t="s">
        <v>184</v>
      </c>
      <c r="E3279" s="52" t="s">
        <v>584</v>
      </c>
      <c r="F3279" s="52" t="s">
        <v>26</v>
      </c>
      <c r="G3279" s="55" t="s">
        <v>276</v>
      </c>
      <c r="H3279" s="55"/>
      <c r="I3279" s="55"/>
      <c r="J3279" s="55"/>
      <c r="K3279" s="55"/>
      <c r="L3279" s="55">
        <v>0</v>
      </c>
      <c r="M3279" s="55"/>
      <c r="N3279" s="55"/>
    </row>
    <row r="3280" spans="1:14" hidden="1" x14ac:dyDescent="0.35">
      <c r="A3280" s="52" t="s">
        <v>672</v>
      </c>
      <c r="B3280" s="52" t="s">
        <v>73</v>
      </c>
      <c r="C3280" s="52" t="s">
        <v>184</v>
      </c>
      <c r="D3280" s="52" t="s">
        <v>184</v>
      </c>
      <c r="E3280" s="52" t="s">
        <v>584</v>
      </c>
      <c r="F3280" s="52" t="s">
        <v>26</v>
      </c>
      <c r="G3280" s="55" t="s">
        <v>277</v>
      </c>
      <c r="H3280" s="55"/>
      <c r="I3280" s="55"/>
      <c r="J3280" s="55"/>
      <c r="K3280" s="55"/>
      <c r="L3280" s="55">
        <v>0</v>
      </c>
      <c r="M3280" s="55">
        <v>0</v>
      </c>
      <c r="N3280" s="55"/>
    </row>
    <row r="3281" spans="1:14" hidden="1" x14ac:dyDescent="0.35">
      <c r="A3281" s="52" t="s">
        <v>672</v>
      </c>
      <c r="B3281" s="52" t="s">
        <v>73</v>
      </c>
      <c r="C3281" s="52" t="s">
        <v>184</v>
      </c>
      <c r="D3281" s="52" t="s">
        <v>184</v>
      </c>
      <c r="E3281" s="52" t="s">
        <v>584</v>
      </c>
      <c r="F3281" s="52" t="s">
        <v>26</v>
      </c>
      <c r="G3281" s="55" t="s">
        <v>278</v>
      </c>
      <c r="H3281" s="55"/>
      <c r="I3281" s="55"/>
      <c r="J3281" s="55">
        <v>0</v>
      </c>
      <c r="K3281" s="55">
        <v>0</v>
      </c>
      <c r="L3281" s="55">
        <v>0</v>
      </c>
      <c r="M3281" s="55">
        <v>0</v>
      </c>
      <c r="N3281" s="55"/>
    </row>
    <row r="3282" spans="1:14" hidden="1" x14ac:dyDescent="0.35">
      <c r="A3282" s="52" t="s">
        <v>672</v>
      </c>
      <c r="B3282" s="52" t="s">
        <v>73</v>
      </c>
      <c r="C3282" s="52" t="s">
        <v>184</v>
      </c>
      <c r="D3282" s="52" t="s">
        <v>184</v>
      </c>
      <c r="E3282" s="52" t="s">
        <v>584</v>
      </c>
      <c r="F3282" s="52" t="s">
        <v>26</v>
      </c>
      <c r="G3282" s="55" t="s">
        <v>279</v>
      </c>
      <c r="H3282" s="55"/>
      <c r="I3282" s="55"/>
      <c r="J3282" s="55"/>
      <c r="K3282" s="55"/>
      <c r="L3282" s="55"/>
      <c r="M3282" s="55"/>
      <c r="N3282" s="55">
        <v>0</v>
      </c>
    </row>
    <row r="3283" spans="1:14" hidden="1" x14ac:dyDescent="0.35">
      <c r="A3283" s="52" t="s">
        <v>672</v>
      </c>
      <c r="B3283" s="52" t="s">
        <v>73</v>
      </c>
      <c r="C3283" s="52" t="s">
        <v>184</v>
      </c>
      <c r="D3283" s="52" t="s">
        <v>356</v>
      </c>
      <c r="E3283" s="52" t="s">
        <v>584</v>
      </c>
      <c r="F3283" s="52" t="s">
        <v>581</v>
      </c>
      <c r="G3283" s="55" t="s">
        <v>275</v>
      </c>
      <c r="H3283" s="55">
        <v>-1.5031849999999999E-2</v>
      </c>
      <c r="I3283" s="55">
        <v>-0.1097786</v>
      </c>
      <c r="J3283" s="55">
        <v>0</v>
      </c>
      <c r="K3283" s="55">
        <v>0</v>
      </c>
      <c r="L3283" s="55">
        <v>0</v>
      </c>
      <c r="M3283" s="55">
        <v>0</v>
      </c>
      <c r="N3283" s="55">
        <v>0</v>
      </c>
    </row>
    <row r="3284" spans="1:14" hidden="1" x14ac:dyDescent="0.35">
      <c r="A3284" s="52" t="s">
        <v>672</v>
      </c>
      <c r="B3284" s="52" t="s">
        <v>73</v>
      </c>
      <c r="C3284" s="52" t="s">
        <v>184</v>
      </c>
      <c r="D3284" s="52" t="s">
        <v>356</v>
      </c>
      <c r="E3284" s="52" t="s">
        <v>584</v>
      </c>
      <c r="F3284" s="52" t="s">
        <v>581</v>
      </c>
      <c r="G3284" s="55" t="s">
        <v>276</v>
      </c>
      <c r="H3284" s="55">
        <v>-0.1220329</v>
      </c>
      <c r="I3284" s="55">
        <v>-0.4943225</v>
      </c>
      <c r="J3284" s="55">
        <v>-3.3696249999999997E-2</v>
      </c>
      <c r="K3284" s="55">
        <v>-2.84557E-2</v>
      </c>
      <c r="L3284" s="55">
        <v>-2.5529E-2</v>
      </c>
      <c r="M3284" s="55">
        <v>-5.4348E-2</v>
      </c>
      <c r="N3284" s="55">
        <v>-5.4348E-2</v>
      </c>
    </row>
    <row r="3285" spans="1:14" hidden="1" x14ac:dyDescent="0.35">
      <c r="A3285" s="52" t="s">
        <v>672</v>
      </c>
      <c r="B3285" s="52" t="s">
        <v>73</v>
      </c>
      <c r="C3285" s="52" t="s">
        <v>184</v>
      </c>
      <c r="D3285" s="52" t="s">
        <v>356</v>
      </c>
      <c r="E3285" s="52" t="s">
        <v>584</v>
      </c>
      <c r="F3285" s="52" t="s">
        <v>581</v>
      </c>
      <c r="G3285" s="55" t="s">
        <v>277</v>
      </c>
      <c r="H3285" s="55"/>
      <c r="I3285" s="55"/>
      <c r="J3285" s="55"/>
      <c r="K3285" s="55">
        <v>0</v>
      </c>
      <c r="L3285" s="55">
        <v>0</v>
      </c>
      <c r="M3285" s="55">
        <v>1.9032999999999999E-3</v>
      </c>
      <c r="N3285" s="55">
        <v>1.9032999999999999E-3</v>
      </c>
    </row>
    <row r="3286" spans="1:14" hidden="1" x14ac:dyDescent="0.35">
      <c r="A3286" s="52" t="s">
        <v>672</v>
      </c>
      <c r="B3286" s="52" t="s">
        <v>73</v>
      </c>
      <c r="C3286" s="52" t="s">
        <v>184</v>
      </c>
      <c r="D3286" s="52" t="s">
        <v>356</v>
      </c>
      <c r="E3286" s="52" t="s">
        <v>584</v>
      </c>
      <c r="F3286" s="52" t="s">
        <v>581</v>
      </c>
      <c r="G3286" s="55" t="s">
        <v>278</v>
      </c>
      <c r="H3286" s="55">
        <v>0.1370652</v>
      </c>
      <c r="I3286" s="55">
        <v>0.60410140000000001</v>
      </c>
      <c r="J3286" s="55">
        <v>3.3695900000000001E-2</v>
      </c>
      <c r="K3286" s="55">
        <v>2.8455350000000001E-2</v>
      </c>
      <c r="L3286" s="55">
        <v>2.5529E-2</v>
      </c>
      <c r="M3286" s="55">
        <v>5.244505E-2</v>
      </c>
      <c r="N3286" s="55">
        <v>5.244505E-2</v>
      </c>
    </row>
    <row r="3287" spans="1:14" hidden="1" x14ac:dyDescent="0.35">
      <c r="A3287" s="52" t="s">
        <v>672</v>
      </c>
      <c r="B3287" s="52" t="s">
        <v>73</v>
      </c>
      <c r="C3287" s="52" t="s">
        <v>184</v>
      </c>
      <c r="D3287" s="52" t="s">
        <v>356</v>
      </c>
      <c r="E3287" s="52" t="s">
        <v>584</v>
      </c>
      <c r="F3287" s="52" t="s">
        <v>581</v>
      </c>
      <c r="G3287" s="55" t="s">
        <v>279</v>
      </c>
      <c r="H3287" s="55"/>
      <c r="I3287" s="55"/>
      <c r="J3287" s="55"/>
      <c r="K3287" s="55"/>
      <c r="L3287" s="55"/>
      <c r="M3287" s="55"/>
      <c r="N3287" s="55">
        <v>0</v>
      </c>
    </row>
    <row r="3288" spans="1:14" hidden="1" x14ac:dyDescent="0.35">
      <c r="A3288" s="52" t="s">
        <v>672</v>
      </c>
      <c r="B3288" s="52" t="s">
        <v>73</v>
      </c>
      <c r="C3288" s="52" t="s">
        <v>184</v>
      </c>
      <c r="D3288" s="52" t="s">
        <v>356</v>
      </c>
      <c r="E3288" s="52" t="s">
        <v>584</v>
      </c>
      <c r="F3288" s="52" t="s">
        <v>26</v>
      </c>
      <c r="G3288" s="55" t="s">
        <v>275</v>
      </c>
      <c r="H3288" s="55">
        <v>0</v>
      </c>
      <c r="I3288" s="55">
        <v>-4.0204999999999998E-3</v>
      </c>
      <c r="J3288" s="55">
        <v>0</v>
      </c>
      <c r="K3288" s="55">
        <v>0</v>
      </c>
      <c r="L3288" s="55">
        <v>0</v>
      </c>
      <c r="M3288" s="55">
        <v>0</v>
      </c>
      <c r="N3288" s="55">
        <v>0</v>
      </c>
    </row>
    <row r="3289" spans="1:14" hidden="1" x14ac:dyDescent="0.35">
      <c r="A3289" s="52" t="s">
        <v>672</v>
      </c>
      <c r="B3289" s="52" t="s">
        <v>73</v>
      </c>
      <c r="C3289" s="52" t="s">
        <v>184</v>
      </c>
      <c r="D3289" s="52" t="s">
        <v>356</v>
      </c>
      <c r="E3289" s="52" t="s">
        <v>584</v>
      </c>
      <c r="F3289" s="52" t="s">
        <v>26</v>
      </c>
      <c r="G3289" s="55" t="s">
        <v>276</v>
      </c>
      <c r="H3289" s="55"/>
      <c r="I3289" s="55">
        <v>-5.7468499999999999E-2</v>
      </c>
      <c r="J3289" s="55">
        <v>-6.474977</v>
      </c>
      <c r="K3289" s="55">
        <v>-6.2378000000000003E-2</v>
      </c>
      <c r="L3289" s="55">
        <v>-7.0462520000000001E-2</v>
      </c>
      <c r="M3289" s="55">
        <v>-0.129465</v>
      </c>
      <c r="N3289" s="55">
        <v>-0.25996599999999997</v>
      </c>
    </row>
    <row r="3290" spans="1:14" hidden="1" x14ac:dyDescent="0.35">
      <c r="A3290" s="52" t="s">
        <v>672</v>
      </c>
      <c r="B3290" s="52" t="s">
        <v>73</v>
      </c>
      <c r="C3290" s="52" t="s">
        <v>184</v>
      </c>
      <c r="D3290" s="52" t="s">
        <v>356</v>
      </c>
      <c r="E3290" s="52" t="s">
        <v>584</v>
      </c>
      <c r="F3290" s="52" t="s">
        <v>26</v>
      </c>
      <c r="G3290" s="55" t="s">
        <v>277</v>
      </c>
      <c r="H3290" s="55"/>
      <c r="I3290" s="55"/>
      <c r="J3290" s="55"/>
      <c r="K3290" s="55">
        <v>0</v>
      </c>
      <c r="L3290" s="55">
        <v>1.4500000000000001E-2</v>
      </c>
      <c r="M3290" s="55">
        <v>1.4500000000000001E-2</v>
      </c>
      <c r="N3290" s="55">
        <v>0.14499999999999999</v>
      </c>
    </row>
    <row r="3291" spans="1:14" hidden="1" x14ac:dyDescent="0.35">
      <c r="A3291" s="52" t="s">
        <v>672</v>
      </c>
      <c r="B3291" s="52" t="s">
        <v>73</v>
      </c>
      <c r="C3291" s="52" t="s">
        <v>184</v>
      </c>
      <c r="D3291" s="52" t="s">
        <v>356</v>
      </c>
      <c r="E3291" s="52" t="s">
        <v>584</v>
      </c>
      <c r="F3291" s="52" t="s">
        <v>26</v>
      </c>
      <c r="G3291" s="55" t="s">
        <v>278</v>
      </c>
      <c r="H3291" s="55"/>
      <c r="I3291" s="55">
        <v>6.1489000000000002E-2</v>
      </c>
      <c r="J3291" s="55">
        <v>6.474977</v>
      </c>
      <c r="K3291" s="55">
        <v>6.2377500000000002E-2</v>
      </c>
      <c r="L3291" s="55">
        <v>5.5962499999999998E-2</v>
      </c>
      <c r="M3291" s="55">
        <v>0.1149655</v>
      </c>
      <c r="N3291" s="55">
        <v>0.1149655</v>
      </c>
    </row>
    <row r="3292" spans="1:14" hidden="1" x14ac:dyDescent="0.35">
      <c r="A3292" s="52" t="s">
        <v>672</v>
      </c>
      <c r="B3292" s="52" t="s">
        <v>73</v>
      </c>
      <c r="C3292" s="52" t="s">
        <v>184</v>
      </c>
      <c r="D3292" s="52" t="s">
        <v>356</v>
      </c>
      <c r="E3292" s="52" t="s">
        <v>584</v>
      </c>
      <c r="F3292" s="52" t="s">
        <v>26</v>
      </c>
      <c r="G3292" s="55" t="s">
        <v>279</v>
      </c>
      <c r="H3292" s="55"/>
      <c r="I3292" s="55"/>
      <c r="J3292" s="55"/>
      <c r="K3292" s="55"/>
      <c r="L3292" s="55"/>
      <c r="M3292" s="55"/>
      <c r="N3292" s="55">
        <v>0</v>
      </c>
    </row>
    <row r="3293" spans="1:14" hidden="1" x14ac:dyDescent="0.35">
      <c r="A3293" s="52" t="s">
        <v>672</v>
      </c>
      <c r="B3293" s="52" t="s">
        <v>73</v>
      </c>
      <c r="C3293" s="52" t="s">
        <v>338</v>
      </c>
      <c r="D3293" s="52" t="s">
        <v>338</v>
      </c>
      <c r="E3293" s="52" t="s">
        <v>584</v>
      </c>
      <c r="F3293" s="52" t="s">
        <v>581</v>
      </c>
      <c r="G3293" s="55" t="s">
        <v>275</v>
      </c>
      <c r="H3293" s="55">
        <v>-1.12722E-2</v>
      </c>
      <c r="I3293" s="55">
        <v>-3.4884009999999999E-3</v>
      </c>
      <c r="J3293" s="55">
        <v>0</v>
      </c>
      <c r="K3293" s="55">
        <v>0</v>
      </c>
      <c r="L3293" s="55">
        <v>0</v>
      </c>
      <c r="M3293" s="55">
        <v>0</v>
      </c>
      <c r="N3293" s="55">
        <v>0</v>
      </c>
    </row>
    <row r="3294" spans="1:14" hidden="1" x14ac:dyDescent="0.35">
      <c r="A3294" s="52" t="s">
        <v>672</v>
      </c>
      <c r="B3294" s="52" t="s">
        <v>73</v>
      </c>
      <c r="C3294" s="52" t="s">
        <v>338</v>
      </c>
      <c r="D3294" s="52" t="s">
        <v>338</v>
      </c>
      <c r="E3294" s="52" t="s">
        <v>584</v>
      </c>
      <c r="F3294" s="52" t="s">
        <v>581</v>
      </c>
      <c r="G3294" s="55" t="s">
        <v>276</v>
      </c>
      <c r="H3294" s="55">
        <v>-7.0399509999999998E-2</v>
      </c>
      <c r="I3294" s="55">
        <v>-4.9864810000000002E-2</v>
      </c>
      <c r="J3294" s="55">
        <v>-6.4091389999999998E-2</v>
      </c>
      <c r="K3294" s="55">
        <v>-2.5546410000000002</v>
      </c>
      <c r="L3294" s="55">
        <v>-4.8557999999999997E-2</v>
      </c>
      <c r="M3294" s="55">
        <v>-0.11025359999999999</v>
      </c>
      <c r="N3294" s="55">
        <v>-0.42525390000000002</v>
      </c>
    </row>
    <row r="3295" spans="1:14" hidden="1" x14ac:dyDescent="0.35">
      <c r="A3295" s="52" t="s">
        <v>672</v>
      </c>
      <c r="B3295" s="52" t="s">
        <v>73</v>
      </c>
      <c r="C3295" s="52" t="s">
        <v>338</v>
      </c>
      <c r="D3295" s="52" t="s">
        <v>338</v>
      </c>
      <c r="E3295" s="52" t="s">
        <v>584</v>
      </c>
      <c r="F3295" s="52" t="s">
        <v>581</v>
      </c>
      <c r="G3295" s="55" t="s">
        <v>277</v>
      </c>
      <c r="H3295" s="55"/>
      <c r="I3295" s="55"/>
      <c r="J3295" s="55"/>
      <c r="K3295" s="55"/>
      <c r="L3295" s="55">
        <v>0</v>
      </c>
      <c r="M3295" s="55">
        <v>1.0500000000000001E-2</v>
      </c>
      <c r="N3295" s="55">
        <v>0.32550000000000001</v>
      </c>
    </row>
    <row r="3296" spans="1:14" hidden="1" x14ac:dyDescent="0.35">
      <c r="A3296" s="52" t="s">
        <v>672</v>
      </c>
      <c r="B3296" s="52" t="s">
        <v>73</v>
      </c>
      <c r="C3296" s="52" t="s">
        <v>338</v>
      </c>
      <c r="D3296" s="52" t="s">
        <v>338</v>
      </c>
      <c r="E3296" s="52" t="s">
        <v>584</v>
      </c>
      <c r="F3296" s="52" t="s">
        <v>581</v>
      </c>
      <c r="G3296" s="55" t="s">
        <v>278</v>
      </c>
      <c r="H3296" s="55">
        <v>8.1671999999999995E-2</v>
      </c>
      <c r="I3296" s="55">
        <v>5.3353200000000003E-2</v>
      </c>
      <c r="J3296" s="55">
        <v>6.4091700000000001E-2</v>
      </c>
      <c r="K3296" s="55">
        <v>2.5546410000000002</v>
      </c>
      <c r="L3296" s="55">
        <v>4.8557999999999997E-2</v>
      </c>
      <c r="M3296" s="55">
        <v>9.9753900000000006E-2</v>
      </c>
      <c r="N3296" s="55">
        <v>9.9753900000000006E-2</v>
      </c>
    </row>
    <row r="3297" spans="1:14" hidden="1" x14ac:dyDescent="0.35">
      <c r="A3297" s="52" t="s">
        <v>672</v>
      </c>
      <c r="B3297" s="52" t="s">
        <v>73</v>
      </c>
      <c r="C3297" s="52" t="s">
        <v>338</v>
      </c>
      <c r="D3297" s="52" t="s">
        <v>338</v>
      </c>
      <c r="E3297" s="52" t="s">
        <v>584</v>
      </c>
      <c r="F3297" s="52" t="s">
        <v>581</v>
      </c>
      <c r="G3297" s="55" t="s">
        <v>279</v>
      </c>
      <c r="H3297" s="55"/>
      <c r="I3297" s="55"/>
      <c r="J3297" s="55"/>
      <c r="K3297" s="55"/>
      <c r="L3297" s="55"/>
      <c r="M3297" s="55"/>
      <c r="N3297" s="55">
        <v>0</v>
      </c>
    </row>
    <row r="3298" spans="1:14" hidden="1" x14ac:dyDescent="0.35">
      <c r="A3298" s="52" t="s">
        <v>672</v>
      </c>
      <c r="B3298" s="52" t="s">
        <v>73</v>
      </c>
      <c r="C3298" s="52" t="s">
        <v>338</v>
      </c>
      <c r="D3298" s="52" t="s">
        <v>338</v>
      </c>
      <c r="E3298" s="52" t="s">
        <v>584</v>
      </c>
      <c r="F3298" s="52" t="s">
        <v>26</v>
      </c>
      <c r="G3298" s="55" t="s">
        <v>275</v>
      </c>
      <c r="H3298" s="55"/>
      <c r="I3298" s="55"/>
      <c r="J3298" s="55"/>
      <c r="K3298" s="55"/>
      <c r="L3298" s="55"/>
      <c r="M3298" s="55"/>
      <c r="N3298" s="55">
        <v>0</v>
      </c>
    </row>
    <row r="3299" spans="1:14" hidden="1" x14ac:dyDescent="0.35">
      <c r="A3299" s="52" t="s">
        <v>672</v>
      </c>
      <c r="B3299" s="52" t="s">
        <v>73</v>
      </c>
      <c r="C3299" s="52" t="s">
        <v>338</v>
      </c>
      <c r="D3299" s="52" t="s">
        <v>338</v>
      </c>
      <c r="E3299" s="52" t="s">
        <v>584</v>
      </c>
      <c r="F3299" s="52" t="s">
        <v>26</v>
      </c>
      <c r="G3299" s="55" t="s">
        <v>276</v>
      </c>
      <c r="H3299" s="55"/>
      <c r="I3299" s="55"/>
      <c r="J3299" s="55"/>
      <c r="K3299" s="55"/>
      <c r="L3299" s="55"/>
      <c r="M3299" s="55"/>
      <c r="N3299" s="55">
        <v>0</v>
      </c>
    </row>
    <row r="3300" spans="1:14" hidden="1" x14ac:dyDescent="0.35">
      <c r="A3300" s="52" t="s">
        <v>672</v>
      </c>
      <c r="B3300" s="52" t="s">
        <v>73</v>
      </c>
      <c r="C3300" s="52" t="s">
        <v>338</v>
      </c>
      <c r="D3300" s="52" t="s">
        <v>338</v>
      </c>
      <c r="E3300" s="52" t="s">
        <v>584</v>
      </c>
      <c r="F3300" s="52" t="s">
        <v>26</v>
      </c>
      <c r="G3300" s="55" t="s">
        <v>279</v>
      </c>
      <c r="H3300" s="55"/>
      <c r="I3300" s="55"/>
      <c r="J3300" s="55"/>
      <c r="K3300" s="55"/>
      <c r="L3300" s="55"/>
      <c r="M3300" s="55"/>
      <c r="N3300" s="55">
        <v>0</v>
      </c>
    </row>
    <row r="3301" spans="1:14" hidden="1" x14ac:dyDescent="0.35">
      <c r="A3301" s="52" t="s">
        <v>672</v>
      </c>
      <c r="B3301" s="52" t="s">
        <v>73</v>
      </c>
      <c r="C3301" s="52" t="s">
        <v>328</v>
      </c>
      <c r="D3301" s="52" t="s">
        <v>328</v>
      </c>
      <c r="E3301" s="52" t="s">
        <v>584</v>
      </c>
      <c r="F3301" s="52" t="s">
        <v>581</v>
      </c>
      <c r="G3301" s="55" t="s">
        <v>275</v>
      </c>
      <c r="H3301" s="55">
        <v>-4.4656000000000001E-3</v>
      </c>
      <c r="I3301" s="55">
        <v>-2.5799280000000002</v>
      </c>
      <c r="J3301" s="55">
        <v>0</v>
      </c>
      <c r="K3301" s="55">
        <v>0</v>
      </c>
      <c r="L3301" s="55">
        <v>0</v>
      </c>
      <c r="M3301" s="55">
        <v>0</v>
      </c>
      <c r="N3301" s="55">
        <v>0</v>
      </c>
    </row>
    <row r="3302" spans="1:14" hidden="1" x14ac:dyDescent="0.35">
      <c r="A3302" s="52" t="s">
        <v>672</v>
      </c>
      <c r="B3302" s="52" t="s">
        <v>73</v>
      </c>
      <c r="C3302" s="52" t="s">
        <v>328</v>
      </c>
      <c r="D3302" s="52" t="s">
        <v>328</v>
      </c>
      <c r="E3302" s="52" t="s">
        <v>584</v>
      </c>
      <c r="F3302" s="52" t="s">
        <v>581</v>
      </c>
      <c r="G3302" s="55" t="s">
        <v>276</v>
      </c>
      <c r="H3302" s="55">
        <v>-8.9495199999999997E-2</v>
      </c>
      <c r="I3302" s="55">
        <v>-10.999459999999999</v>
      </c>
      <c r="J3302" s="55">
        <v>-7.373478E-2</v>
      </c>
      <c r="K3302" s="55">
        <v>-6.2266799999999997E-2</v>
      </c>
      <c r="L3302" s="55">
        <v>-0.125864</v>
      </c>
      <c r="M3302" s="55">
        <v>-0.18476319999999999</v>
      </c>
      <c r="N3302" s="55">
        <v>-2.214763</v>
      </c>
    </row>
    <row r="3303" spans="1:14" hidden="1" x14ac:dyDescent="0.35">
      <c r="A3303" s="52" t="s">
        <v>672</v>
      </c>
      <c r="B3303" s="52" t="s">
        <v>73</v>
      </c>
      <c r="C3303" s="52" t="s">
        <v>328</v>
      </c>
      <c r="D3303" s="52" t="s">
        <v>328</v>
      </c>
      <c r="E3303" s="52" t="s">
        <v>584</v>
      </c>
      <c r="F3303" s="52" t="s">
        <v>581</v>
      </c>
      <c r="G3303" s="55" t="s">
        <v>277</v>
      </c>
      <c r="H3303" s="55"/>
      <c r="I3303" s="55"/>
      <c r="J3303" s="55"/>
      <c r="K3303" s="55">
        <v>0</v>
      </c>
      <c r="L3303" s="55">
        <v>7.0000000000000007E-2</v>
      </c>
      <c r="M3303" s="55">
        <v>7.0000000000000007E-2</v>
      </c>
      <c r="N3303" s="55">
        <v>2.1</v>
      </c>
    </row>
    <row r="3304" spans="1:14" hidden="1" x14ac:dyDescent="0.35">
      <c r="A3304" s="52" t="s">
        <v>672</v>
      </c>
      <c r="B3304" s="52" t="s">
        <v>73</v>
      </c>
      <c r="C3304" s="52" t="s">
        <v>328</v>
      </c>
      <c r="D3304" s="52" t="s">
        <v>328</v>
      </c>
      <c r="E3304" s="52" t="s">
        <v>584</v>
      </c>
      <c r="F3304" s="52" t="s">
        <v>581</v>
      </c>
      <c r="G3304" s="55" t="s">
        <v>278</v>
      </c>
      <c r="H3304" s="55">
        <v>9.3960399999999999E-2</v>
      </c>
      <c r="I3304" s="55">
        <v>13.57939</v>
      </c>
      <c r="J3304" s="55">
        <v>7.3734800000000003E-2</v>
      </c>
      <c r="K3304" s="55">
        <v>6.2267599999999999E-2</v>
      </c>
      <c r="L3304" s="55">
        <v>5.5863999999999997E-2</v>
      </c>
      <c r="M3304" s="55">
        <v>0.1147628</v>
      </c>
      <c r="N3304" s="55">
        <v>0.1147628</v>
      </c>
    </row>
    <row r="3305" spans="1:14" hidden="1" x14ac:dyDescent="0.35">
      <c r="A3305" s="52" t="s">
        <v>672</v>
      </c>
      <c r="B3305" s="52" t="s">
        <v>73</v>
      </c>
      <c r="C3305" s="52" t="s">
        <v>328</v>
      </c>
      <c r="D3305" s="52" t="s">
        <v>328</v>
      </c>
      <c r="E3305" s="52" t="s">
        <v>584</v>
      </c>
      <c r="F3305" s="52" t="s">
        <v>581</v>
      </c>
      <c r="G3305" s="55" t="s">
        <v>279</v>
      </c>
      <c r="H3305" s="55"/>
      <c r="I3305" s="55"/>
      <c r="J3305" s="55"/>
      <c r="K3305" s="55"/>
      <c r="L3305" s="55"/>
      <c r="M3305" s="55"/>
      <c r="N3305" s="55">
        <v>0</v>
      </c>
    </row>
    <row r="3306" spans="1:14" hidden="1" x14ac:dyDescent="0.35">
      <c r="A3306" s="52" t="s">
        <v>672</v>
      </c>
      <c r="B3306" s="52" t="s">
        <v>73</v>
      </c>
      <c r="C3306" s="52" t="s">
        <v>328</v>
      </c>
      <c r="D3306" s="52" t="s">
        <v>328</v>
      </c>
      <c r="E3306" s="52" t="s">
        <v>584</v>
      </c>
      <c r="F3306" s="52" t="s">
        <v>26</v>
      </c>
      <c r="G3306" s="55" t="s">
        <v>275</v>
      </c>
      <c r="H3306" s="55">
        <v>0</v>
      </c>
      <c r="I3306" s="55"/>
      <c r="J3306" s="55"/>
      <c r="K3306" s="55"/>
      <c r="L3306" s="55">
        <v>0</v>
      </c>
      <c r="M3306" s="55"/>
      <c r="N3306" s="55"/>
    </row>
    <row r="3307" spans="1:14" hidden="1" x14ac:dyDescent="0.35">
      <c r="A3307" s="52" t="s">
        <v>672</v>
      </c>
      <c r="B3307" s="52" t="s">
        <v>73</v>
      </c>
      <c r="C3307" s="52" t="s">
        <v>328</v>
      </c>
      <c r="D3307" s="52" t="s">
        <v>328</v>
      </c>
      <c r="E3307" s="52" t="s">
        <v>584</v>
      </c>
      <c r="F3307" s="52" t="s">
        <v>26</v>
      </c>
      <c r="G3307" s="55" t="s">
        <v>276</v>
      </c>
      <c r="H3307" s="55"/>
      <c r="I3307" s="55"/>
      <c r="J3307" s="55"/>
      <c r="K3307" s="55"/>
      <c r="L3307" s="55">
        <v>0</v>
      </c>
      <c r="M3307" s="55"/>
      <c r="N3307" s="55"/>
    </row>
    <row r="3308" spans="1:14" hidden="1" x14ac:dyDescent="0.35">
      <c r="A3308" s="52" t="s">
        <v>672</v>
      </c>
      <c r="B3308" s="52" t="s">
        <v>73</v>
      </c>
      <c r="C3308" s="52" t="s">
        <v>328</v>
      </c>
      <c r="D3308" s="52" t="s">
        <v>328</v>
      </c>
      <c r="E3308" s="52" t="s">
        <v>584</v>
      </c>
      <c r="F3308" s="52" t="s">
        <v>26</v>
      </c>
      <c r="G3308" s="55" t="s">
        <v>277</v>
      </c>
      <c r="H3308" s="55"/>
      <c r="I3308" s="55"/>
      <c r="J3308" s="55"/>
      <c r="K3308" s="55">
        <v>0</v>
      </c>
      <c r="L3308" s="55"/>
      <c r="M3308" s="55">
        <v>0</v>
      </c>
      <c r="N3308" s="55">
        <v>0</v>
      </c>
    </row>
    <row r="3309" spans="1:14" hidden="1" x14ac:dyDescent="0.35">
      <c r="A3309" s="52" t="s">
        <v>672</v>
      </c>
      <c r="B3309" s="52" t="s">
        <v>73</v>
      </c>
      <c r="C3309" s="52" t="s">
        <v>328</v>
      </c>
      <c r="D3309" s="52" t="s">
        <v>328</v>
      </c>
      <c r="E3309" s="52" t="s">
        <v>584</v>
      </c>
      <c r="F3309" s="52" t="s">
        <v>26</v>
      </c>
      <c r="G3309" s="55" t="s">
        <v>278</v>
      </c>
      <c r="H3309" s="55">
        <v>0</v>
      </c>
      <c r="I3309" s="55"/>
      <c r="J3309" s="55">
        <v>0</v>
      </c>
      <c r="K3309" s="55"/>
      <c r="L3309" s="55"/>
      <c r="M3309" s="55"/>
      <c r="N3309" s="55"/>
    </row>
    <row r="3310" spans="1:14" hidden="1" x14ac:dyDescent="0.35">
      <c r="A3310" s="52" t="s">
        <v>672</v>
      </c>
      <c r="B3310" s="52" t="s">
        <v>73</v>
      </c>
      <c r="C3310" s="52" t="s">
        <v>328</v>
      </c>
      <c r="D3310" s="52" t="s">
        <v>328</v>
      </c>
      <c r="E3310" s="52" t="s">
        <v>584</v>
      </c>
      <c r="F3310" s="52" t="s">
        <v>26</v>
      </c>
      <c r="G3310" s="55" t="s">
        <v>279</v>
      </c>
      <c r="H3310" s="55"/>
      <c r="I3310" s="55"/>
      <c r="J3310" s="55"/>
      <c r="K3310" s="55"/>
      <c r="L3310" s="55"/>
      <c r="M3310" s="55"/>
      <c r="N3310" s="55">
        <v>0</v>
      </c>
    </row>
    <row r="3311" spans="1:14" hidden="1" x14ac:dyDescent="0.35">
      <c r="A3311" s="52" t="s">
        <v>672</v>
      </c>
      <c r="B3311" s="52" t="s">
        <v>73</v>
      </c>
      <c r="C3311" s="52" t="s">
        <v>318</v>
      </c>
      <c r="D3311" s="52" t="s">
        <v>318</v>
      </c>
      <c r="E3311" s="52" t="s">
        <v>584</v>
      </c>
      <c r="F3311" s="52" t="s">
        <v>581</v>
      </c>
      <c r="G3311" s="55" t="s">
        <v>275</v>
      </c>
      <c r="H3311" s="55">
        <v>0</v>
      </c>
      <c r="I3311" s="55"/>
      <c r="J3311" s="55"/>
      <c r="K3311" s="55"/>
      <c r="L3311" s="55"/>
      <c r="M3311" s="55"/>
      <c r="N3311" s="55"/>
    </row>
    <row r="3312" spans="1:14" hidden="1" x14ac:dyDescent="0.35">
      <c r="A3312" s="52" t="s">
        <v>672</v>
      </c>
      <c r="B3312" s="52" t="s">
        <v>73</v>
      </c>
      <c r="C3312" s="52" t="s">
        <v>318</v>
      </c>
      <c r="D3312" s="52" t="s">
        <v>318</v>
      </c>
      <c r="E3312" s="52" t="s">
        <v>584</v>
      </c>
      <c r="F3312" s="52" t="s">
        <v>581</v>
      </c>
      <c r="G3312" s="55" t="s">
        <v>276</v>
      </c>
      <c r="H3312" s="55">
        <v>0</v>
      </c>
      <c r="I3312" s="55"/>
      <c r="J3312" s="55"/>
      <c r="K3312" s="55"/>
      <c r="L3312" s="55"/>
      <c r="M3312" s="55"/>
      <c r="N3312" s="55"/>
    </row>
    <row r="3313" spans="1:14" hidden="1" x14ac:dyDescent="0.35">
      <c r="A3313" s="52" t="s">
        <v>672</v>
      </c>
      <c r="B3313" s="52" t="s">
        <v>73</v>
      </c>
      <c r="C3313" s="52" t="s">
        <v>318</v>
      </c>
      <c r="D3313" s="52" t="s">
        <v>318</v>
      </c>
      <c r="E3313" s="52" t="s">
        <v>584</v>
      </c>
      <c r="F3313" s="52" t="s">
        <v>581</v>
      </c>
      <c r="G3313" s="55" t="s">
        <v>278</v>
      </c>
      <c r="H3313" s="55">
        <v>0</v>
      </c>
      <c r="I3313" s="55"/>
      <c r="J3313" s="55"/>
      <c r="K3313" s="55"/>
      <c r="L3313" s="55"/>
      <c r="M3313" s="55"/>
      <c r="N3313" s="55"/>
    </row>
    <row r="3314" spans="1:14" hidden="1" x14ac:dyDescent="0.35">
      <c r="A3314" s="52" t="s">
        <v>672</v>
      </c>
      <c r="B3314" s="52" t="s">
        <v>73</v>
      </c>
      <c r="C3314" s="52" t="s">
        <v>318</v>
      </c>
      <c r="D3314" s="52" t="s">
        <v>318</v>
      </c>
      <c r="E3314" s="52" t="s">
        <v>584</v>
      </c>
      <c r="F3314" s="52" t="s">
        <v>26</v>
      </c>
      <c r="G3314" s="55" t="s">
        <v>275</v>
      </c>
      <c r="H3314" s="55">
        <v>0</v>
      </c>
      <c r="I3314" s="55"/>
      <c r="J3314" s="55"/>
      <c r="K3314" s="55"/>
      <c r="L3314" s="55"/>
      <c r="M3314" s="55"/>
      <c r="N3314" s="55"/>
    </row>
    <row r="3315" spans="1:14" hidden="1" x14ac:dyDescent="0.35">
      <c r="A3315" s="52" t="s">
        <v>672</v>
      </c>
      <c r="B3315" s="52" t="s">
        <v>73</v>
      </c>
      <c r="C3315" s="52" t="s">
        <v>318</v>
      </c>
      <c r="D3315" s="52" t="s">
        <v>318</v>
      </c>
      <c r="E3315" s="52" t="s">
        <v>584</v>
      </c>
      <c r="F3315" s="52" t="s">
        <v>26</v>
      </c>
      <c r="G3315" s="55" t="s">
        <v>276</v>
      </c>
      <c r="H3315" s="55">
        <v>0</v>
      </c>
      <c r="I3315" s="55"/>
      <c r="J3315" s="55"/>
      <c r="K3315" s="55"/>
      <c r="L3315" s="55"/>
      <c r="M3315" s="55"/>
      <c r="N3315" s="55"/>
    </row>
    <row r="3316" spans="1:14" hidden="1" x14ac:dyDescent="0.35">
      <c r="A3316" s="52" t="s">
        <v>672</v>
      </c>
      <c r="B3316" s="52" t="s">
        <v>73</v>
      </c>
      <c r="C3316" s="52" t="s">
        <v>318</v>
      </c>
      <c r="D3316" s="52" t="s">
        <v>318</v>
      </c>
      <c r="E3316" s="52" t="s">
        <v>584</v>
      </c>
      <c r="F3316" s="52" t="s">
        <v>26</v>
      </c>
      <c r="G3316" s="55" t="s">
        <v>278</v>
      </c>
      <c r="H3316" s="55">
        <v>0</v>
      </c>
      <c r="I3316" s="55"/>
      <c r="J3316" s="55"/>
      <c r="K3316" s="55"/>
      <c r="L3316" s="55"/>
      <c r="M3316" s="55"/>
      <c r="N3316" s="55"/>
    </row>
    <row r="3317" spans="1:14" hidden="1" x14ac:dyDescent="0.35">
      <c r="A3317" s="52" t="s">
        <v>672</v>
      </c>
      <c r="B3317" s="52" t="s">
        <v>73</v>
      </c>
      <c r="C3317" s="52" t="s">
        <v>354</v>
      </c>
      <c r="D3317" s="52" t="s">
        <v>355</v>
      </c>
      <c r="E3317" s="52" t="s">
        <v>584</v>
      </c>
      <c r="F3317" s="52" t="s">
        <v>581</v>
      </c>
      <c r="G3317" s="55" t="s">
        <v>275</v>
      </c>
      <c r="H3317" s="55">
        <v>0.45291140000000002</v>
      </c>
      <c r="I3317" s="55">
        <v>-1.744054</v>
      </c>
      <c r="J3317" s="55">
        <v>0</v>
      </c>
      <c r="K3317" s="55">
        <v>0</v>
      </c>
      <c r="L3317" s="55">
        <v>0</v>
      </c>
      <c r="M3317" s="55">
        <v>0</v>
      </c>
      <c r="N3317" s="55">
        <v>0</v>
      </c>
    </row>
    <row r="3318" spans="1:14" hidden="1" x14ac:dyDescent="0.35">
      <c r="A3318" s="52" t="s">
        <v>672</v>
      </c>
      <c r="B3318" s="52" t="s">
        <v>73</v>
      </c>
      <c r="C3318" s="52" t="s">
        <v>354</v>
      </c>
      <c r="D3318" s="52" t="s">
        <v>355</v>
      </c>
      <c r="E3318" s="52" t="s">
        <v>584</v>
      </c>
      <c r="F3318" s="52" t="s">
        <v>581</v>
      </c>
      <c r="G3318" s="55" t="s">
        <v>276</v>
      </c>
      <c r="H3318" s="55">
        <v>-0.52581520000000004</v>
      </c>
      <c r="I3318" s="55">
        <v>-7.4098889999999997</v>
      </c>
      <c r="J3318" s="55">
        <v>-1.9803020000000001E-2</v>
      </c>
      <c r="K3318" s="55">
        <v>-1.6723390000000001E-2</v>
      </c>
      <c r="L3318" s="55">
        <v>-1.5003610000000001E-2</v>
      </c>
      <c r="M3318" s="55">
        <v>-3.08224E-2</v>
      </c>
      <c r="N3318" s="55">
        <v>-6.5822000000000006E-2</v>
      </c>
    </row>
    <row r="3319" spans="1:14" hidden="1" x14ac:dyDescent="0.35">
      <c r="A3319" s="52" t="s">
        <v>672</v>
      </c>
      <c r="B3319" s="52" t="s">
        <v>73</v>
      </c>
      <c r="C3319" s="52" t="s">
        <v>354</v>
      </c>
      <c r="D3319" s="52" t="s">
        <v>355</v>
      </c>
      <c r="E3319" s="52" t="s">
        <v>584</v>
      </c>
      <c r="F3319" s="52" t="s">
        <v>581</v>
      </c>
      <c r="G3319" s="55" t="s">
        <v>277</v>
      </c>
      <c r="H3319" s="55"/>
      <c r="I3319" s="55"/>
      <c r="J3319" s="55"/>
      <c r="K3319" s="55"/>
      <c r="L3319" s="55"/>
      <c r="M3319" s="55">
        <v>0</v>
      </c>
      <c r="N3319" s="55">
        <v>3.5000000000000003E-2</v>
      </c>
    </row>
    <row r="3320" spans="1:14" hidden="1" x14ac:dyDescent="0.35">
      <c r="A3320" s="52" t="s">
        <v>672</v>
      </c>
      <c r="B3320" s="52" t="s">
        <v>73</v>
      </c>
      <c r="C3320" s="52" t="s">
        <v>354</v>
      </c>
      <c r="D3320" s="52" t="s">
        <v>355</v>
      </c>
      <c r="E3320" s="52" t="s">
        <v>584</v>
      </c>
      <c r="F3320" s="52" t="s">
        <v>581</v>
      </c>
      <c r="G3320" s="55" t="s">
        <v>278</v>
      </c>
      <c r="H3320" s="55">
        <v>7.2903599999999999E-2</v>
      </c>
      <c r="I3320" s="55">
        <v>9.1539420000000007</v>
      </c>
      <c r="J3320" s="55">
        <v>1.98032E-2</v>
      </c>
      <c r="K3320" s="55">
        <v>1.6723399999999999E-2</v>
      </c>
      <c r="L3320" s="55">
        <v>1.5003600000000001E-2</v>
      </c>
      <c r="M3320" s="55">
        <v>3.0822200000000001E-2</v>
      </c>
      <c r="N3320" s="55">
        <v>3.0822200000000001E-2</v>
      </c>
    </row>
    <row r="3321" spans="1:14" hidden="1" x14ac:dyDescent="0.35">
      <c r="A3321" s="52" t="s">
        <v>672</v>
      </c>
      <c r="B3321" s="52" t="s">
        <v>73</v>
      </c>
      <c r="C3321" s="52" t="s">
        <v>354</v>
      </c>
      <c r="D3321" s="52" t="s">
        <v>355</v>
      </c>
      <c r="E3321" s="52" t="s">
        <v>584</v>
      </c>
      <c r="F3321" s="52" t="s">
        <v>26</v>
      </c>
      <c r="G3321" s="55" t="s">
        <v>275</v>
      </c>
      <c r="H3321" s="55">
        <v>0</v>
      </c>
      <c r="I3321" s="55">
        <v>0.45657360000000002</v>
      </c>
      <c r="J3321" s="55">
        <v>0.45405040000000002</v>
      </c>
      <c r="K3321" s="55">
        <v>-2.1007999999999999E-3</v>
      </c>
      <c r="L3321" s="55">
        <v>-2.4935999999999999E-3</v>
      </c>
      <c r="M3321" s="55">
        <v>-8.2787989999999999E-3</v>
      </c>
      <c r="N3321" s="55">
        <v>-7.6727999999999996E-3</v>
      </c>
    </row>
    <row r="3322" spans="1:14" hidden="1" x14ac:dyDescent="0.35">
      <c r="A3322" s="52" t="s">
        <v>672</v>
      </c>
      <c r="B3322" s="52" t="s">
        <v>73</v>
      </c>
      <c r="C3322" s="52" t="s">
        <v>354</v>
      </c>
      <c r="D3322" s="52" t="s">
        <v>355</v>
      </c>
      <c r="E3322" s="52" t="s">
        <v>584</v>
      </c>
      <c r="F3322" s="52" t="s">
        <v>26</v>
      </c>
      <c r="G3322" s="55" t="s">
        <v>276</v>
      </c>
      <c r="H3322" s="55"/>
      <c r="I3322" s="55">
        <v>-0.48771360000000002</v>
      </c>
      <c r="J3322" s="55">
        <v>-0.49145759999999999</v>
      </c>
      <c r="K3322" s="55">
        <v>-2.9489600000000001E-2</v>
      </c>
      <c r="L3322" s="55">
        <v>-2.5847200000000001E-2</v>
      </c>
      <c r="M3322" s="55">
        <v>-4.9942800000000002E-2</v>
      </c>
      <c r="N3322" s="55">
        <v>-5.05484E-2</v>
      </c>
    </row>
    <row r="3323" spans="1:14" hidden="1" x14ac:dyDescent="0.35">
      <c r="A3323" s="52" t="s">
        <v>672</v>
      </c>
      <c r="B3323" s="52" t="s">
        <v>73</v>
      </c>
      <c r="C3323" s="52" t="s">
        <v>354</v>
      </c>
      <c r="D3323" s="52" t="s">
        <v>355</v>
      </c>
      <c r="E3323" s="52" t="s">
        <v>584</v>
      </c>
      <c r="F3323" s="52" t="s">
        <v>26</v>
      </c>
      <c r="G3323" s="55" t="s">
        <v>277</v>
      </c>
      <c r="H3323" s="55"/>
      <c r="I3323" s="55"/>
      <c r="J3323" s="55"/>
      <c r="K3323" s="55"/>
      <c r="L3323" s="55"/>
      <c r="M3323" s="55">
        <v>0</v>
      </c>
      <c r="N3323" s="55"/>
    </row>
    <row r="3324" spans="1:14" hidden="1" x14ac:dyDescent="0.35">
      <c r="A3324" s="52" t="s">
        <v>672</v>
      </c>
      <c r="B3324" s="52" t="s">
        <v>73</v>
      </c>
      <c r="C3324" s="52" t="s">
        <v>354</v>
      </c>
      <c r="D3324" s="52" t="s">
        <v>355</v>
      </c>
      <c r="E3324" s="52" t="s">
        <v>584</v>
      </c>
      <c r="F3324" s="52" t="s">
        <v>26</v>
      </c>
      <c r="G3324" s="55" t="s">
        <v>278</v>
      </c>
      <c r="H3324" s="55">
        <v>0</v>
      </c>
      <c r="I3324" s="55">
        <v>3.11396E-2</v>
      </c>
      <c r="J3324" s="55">
        <v>3.7407599999999999E-2</v>
      </c>
      <c r="K3324" s="55">
        <v>3.159E-2</v>
      </c>
      <c r="L3324" s="55">
        <v>2.8340799999999999E-2</v>
      </c>
      <c r="M3324" s="55">
        <v>5.8221599999999998E-2</v>
      </c>
      <c r="N3324" s="55">
        <v>5.8221599999999998E-2</v>
      </c>
    </row>
    <row r="3325" spans="1:14" hidden="1" x14ac:dyDescent="0.35">
      <c r="A3325" s="52" t="s">
        <v>672</v>
      </c>
      <c r="B3325" s="52" t="s">
        <v>73</v>
      </c>
      <c r="C3325" s="52" t="s">
        <v>354</v>
      </c>
      <c r="D3325" s="52" t="s">
        <v>354</v>
      </c>
      <c r="E3325" s="52" t="s">
        <v>584</v>
      </c>
      <c r="F3325" s="52" t="s">
        <v>581</v>
      </c>
      <c r="G3325" s="55" t="s">
        <v>275</v>
      </c>
      <c r="H3325" s="55">
        <v>-2.0119399999999999E-2</v>
      </c>
      <c r="I3325" s="55">
        <v>-6.225899E-3</v>
      </c>
      <c r="J3325" s="55">
        <v>0</v>
      </c>
      <c r="K3325" s="55">
        <v>0</v>
      </c>
      <c r="L3325" s="55">
        <v>0</v>
      </c>
      <c r="M3325" s="55">
        <v>0</v>
      </c>
      <c r="N3325" s="55">
        <v>0</v>
      </c>
    </row>
    <row r="3326" spans="1:14" hidden="1" x14ac:dyDescent="0.35">
      <c r="A3326" s="52" t="s">
        <v>672</v>
      </c>
      <c r="B3326" s="52" t="s">
        <v>73</v>
      </c>
      <c r="C3326" s="52" t="s">
        <v>354</v>
      </c>
      <c r="D3326" s="52" t="s">
        <v>354</v>
      </c>
      <c r="E3326" s="52" t="s">
        <v>584</v>
      </c>
      <c r="F3326" s="52" t="s">
        <v>581</v>
      </c>
      <c r="G3326" s="55" t="s">
        <v>276</v>
      </c>
      <c r="H3326" s="55">
        <v>-0.12565190000000001</v>
      </c>
      <c r="I3326" s="55">
        <v>-8.8999800000000004E-2</v>
      </c>
      <c r="J3326" s="55">
        <v>-0.1143935</v>
      </c>
      <c r="K3326" s="55">
        <v>-3.8473790000000001</v>
      </c>
      <c r="L3326" s="55">
        <v>-8.6668099999999998E-2</v>
      </c>
      <c r="M3326" s="55">
        <v>-0.17804410000000001</v>
      </c>
      <c r="N3326" s="55">
        <v>-0.202545</v>
      </c>
    </row>
    <row r="3327" spans="1:14" hidden="1" x14ac:dyDescent="0.35">
      <c r="A3327" s="52" t="s">
        <v>672</v>
      </c>
      <c r="B3327" s="52" t="s">
        <v>73</v>
      </c>
      <c r="C3327" s="52" t="s">
        <v>354</v>
      </c>
      <c r="D3327" s="52" t="s">
        <v>354</v>
      </c>
      <c r="E3327" s="52" t="s">
        <v>584</v>
      </c>
      <c r="F3327" s="52" t="s">
        <v>581</v>
      </c>
      <c r="G3327" s="55" t="s">
        <v>277</v>
      </c>
      <c r="H3327" s="55"/>
      <c r="I3327" s="55"/>
      <c r="J3327" s="55"/>
      <c r="K3327" s="55"/>
      <c r="L3327" s="55"/>
      <c r="M3327" s="55">
        <v>0</v>
      </c>
      <c r="N3327" s="55">
        <v>2.4500000000000001E-2</v>
      </c>
    </row>
    <row r="3328" spans="1:14" hidden="1" x14ac:dyDescent="0.35">
      <c r="A3328" s="52" t="s">
        <v>672</v>
      </c>
      <c r="B3328" s="52" t="s">
        <v>73</v>
      </c>
      <c r="C3328" s="52" t="s">
        <v>354</v>
      </c>
      <c r="D3328" s="52" t="s">
        <v>354</v>
      </c>
      <c r="E3328" s="52" t="s">
        <v>584</v>
      </c>
      <c r="F3328" s="52" t="s">
        <v>581</v>
      </c>
      <c r="G3328" s="55" t="s">
        <v>278</v>
      </c>
      <c r="H3328" s="55">
        <v>0.14577129999999999</v>
      </c>
      <c r="I3328" s="55">
        <v>9.52263E-2</v>
      </c>
      <c r="J3328" s="55">
        <v>0.1143933</v>
      </c>
      <c r="K3328" s="55">
        <v>3.8473790000000001</v>
      </c>
      <c r="L3328" s="55">
        <v>8.66677E-2</v>
      </c>
      <c r="M3328" s="55">
        <v>0.17804439999999999</v>
      </c>
      <c r="N3328" s="55">
        <v>0.17804439999999999</v>
      </c>
    </row>
    <row r="3329" spans="1:14" hidden="1" x14ac:dyDescent="0.35">
      <c r="A3329" s="52" t="s">
        <v>672</v>
      </c>
      <c r="B3329" s="52" t="s">
        <v>73</v>
      </c>
      <c r="C3329" s="52" t="s">
        <v>354</v>
      </c>
      <c r="D3329" s="52" t="s">
        <v>354</v>
      </c>
      <c r="E3329" s="52" t="s">
        <v>584</v>
      </c>
      <c r="F3329" s="52" t="s">
        <v>26</v>
      </c>
      <c r="G3329" s="55" t="s">
        <v>275</v>
      </c>
      <c r="H3329" s="55">
        <v>0</v>
      </c>
      <c r="I3329" s="55"/>
      <c r="J3329" s="55"/>
      <c r="K3329" s="55"/>
      <c r="L3329" s="55">
        <v>0</v>
      </c>
      <c r="M3329" s="55"/>
      <c r="N3329" s="55"/>
    </row>
    <row r="3330" spans="1:14" hidden="1" x14ac:dyDescent="0.35">
      <c r="A3330" s="52" t="s">
        <v>672</v>
      </c>
      <c r="B3330" s="52" t="s">
        <v>73</v>
      </c>
      <c r="C3330" s="52" t="s">
        <v>354</v>
      </c>
      <c r="D3330" s="52" t="s">
        <v>354</v>
      </c>
      <c r="E3330" s="52" t="s">
        <v>584</v>
      </c>
      <c r="F3330" s="52" t="s">
        <v>26</v>
      </c>
      <c r="G3330" s="55" t="s">
        <v>276</v>
      </c>
      <c r="H3330" s="55"/>
      <c r="I3330" s="55"/>
      <c r="J3330" s="55"/>
      <c r="K3330" s="55"/>
      <c r="L3330" s="55">
        <v>0</v>
      </c>
      <c r="M3330" s="55"/>
      <c r="N3330" s="55"/>
    </row>
    <row r="3331" spans="1:14" hidden="1" x14ac:dyDescent="0.35">
      <c r="A3331" s="52" t="s">
        <v>672</v>
      </c>
      <c r="B3331" s="52" t="s">
        <v>73</v>
      </c>
      <c r="C3331" s="52" t="s">
        <v>354</v>
      </c>
      <c r="D3331" s="52" t="s">
        <v>354</v>
      </c>
      <c r="E3331" s="52" t="s">
        <v>584</v>
      </c>
      <c r="F3331" s="52" t="s">
        <v>26</v>
      </c>
      <c r="G3331" s="55" t="s">
        <v>277</v>
      </c>
      <c r="H3331" s="55"/>
      <c r="I3331" s="55"/>
      <c r="J3331" s="55"/>
      <c r="K3331" s="55"/>
      <c r="L3331" s="55"/>
      <c r="M3331" s="55">
        <v>0</v>
      </c>
      <c r="N3331" s="55"/>
    </row>
    <row r="3332" spans="1:14" hidden="1" x14ac:dyDescent="0.35">
      <c r="A3332" s="52" t="s">
        <v>672</v>
      </c>
      <c r="B3332" s="52" t="s">
        <v>73</v>
      </c>
      <c r="C3332" s="52" t="s">
        <v>354</v>
      </c>
      <c r="D3332" s="52" t="s">
        <v>354</v>
      </c>
      <c r="E3332" s="52" t="s">
        <v>584</v>
      </c>
      <c r="F3332" s="52" t="s">
        <v>26</v>
      </c>
      <c r="G3332" s="55" t="s">
        <v>278</v>
      </c>
      <c r="H3332" s="55"/>
      <c r="I3332" s="55"/>
      <c r="J3332" s="55">
        <v>0</v>
      </c>
      <c r="K3332" s="55"/>
      <c r="L3332" s="55">
        <v>0</v>
      </c>
      <c r="M3332" s="55"/>
      <c r="N3332" s="55"/>
    </row>
    <row r="3333" spans="1:14" hidden="1" x14ac:dyDescent="0.35">
      <c r="A3333" s="52" t="s">
        <v>672</v>
      </c>
      <c r="B3333" s="52" t="s">
        <v>73</v>
      </c>
      <c r="C3333" s="52" t="s">
        <v>339</v>
      </c>
      <c r="D3333" s="52" t="s">
        <v>340</v>
      </c>
      <c r="E3333" s="52" t="s">
        <v>584</v>
      </c>
      <c r="F3333" s="52" t="s">
        <v>581</v>
      </c>
      <c r="G3333" s="55" t="s">
        <v>275</v>
      </c>
      <c r="H3333" s="55">
        <v>-7.362501</v>
      </c>
      <c r="I3333" s="55">
        <v>1.663921</v>
      </c>
      <c r="J3333" s="55">
        <v>1.661729</v>
      </c>
      <c r="K3333" s="55">
        <v>1.661924</v>
      </c>
      <c r="L3333" s="55">
        <v>-2.1670000000000001E-3</v>
      </c>
      <c r="M3333" s="55">
        <v>-3.6624999999999998E-2</v>
      </c>
      <c r="N3333" s="55">
        <v>-3.0529199999999999E-2</v>
      </c>
    </row>
    <row r="3334" spans="1:14" hidden="1" x14ac:dyDescent="0.35">
      <c r="A3334" s="52" t="s">
        <v>672</v>
      </c>
      <c r="B3334" s="52" t="s">
        <v>73</v>
      </c>
      <c r="C3334" s="52" t="s">
        <v>339</v>
      </c>
      <c r="D3334" s="52" t="s">
        <v>340</v>
      </c>
      <c r="E3334" s="52" t="s">
        <v>584</v>
      </c>
      <c r="F3334" s="52" t="s">
        <v>581</v>
      </c>
      <c r="G3334" s="55" t="s">
        <v>276</v>
      </c>
      <c r="H3334" s="55">
        <v>-33.698390000000003</v>
      </c>
      <c r="I3334" s="55">
        <v>-1.6909810000000001</v>
      </c>
      <c r="J3334" s="55">
        <v>-1.6942349999999999</v>
      </c>
      <c r="K3334" s="55">
        <v>-1.689376</v>
      </c>
      <c r="L3334" s="55">
        <v>-2.2461600000000002E-2</v>
      </c>
      <c r="M3334" s="55">
        <v>-4.8969400000000003E-2</v>
      </c>
      <c r="N3334" s="55">
        <v>-5.5065410000000002E-2</v>
      </c>
    </row>
    <row r="3335" spans="1:14" hidden="1" x14ac:dyDescent="0.35">
      <c r="A3335" s="52" t="s">
        <v>672</v>
      </c>
      <c r="B3335" s="52" t="s">
        <v>73</v>
      </c>
      <c r="C3335" s="52" t="s">
        <v>339</v>
      </c>
      <c r="D3335" s="52" t="s">
        <v>340</v>
      </c>
      <c r="E3335" s="52" t="s">
        <v>584</v>
      </c>
      <c r="F3335" s="52" t="s">
        <v>581</v>
      </c>
      <c r="G3335" s="55" t="s">
        <v>277</v>
      </c>
      <c r="H3335" s="55"/>
      <c r="I3335" s="55"/>
      <c r="J3335" s="55"/>
      <c r="K3335" s="55"/>
      <c r="L3335" s="55">
        <v>0</v>
      </c>
      <c r="M3335" s="55">
        <v>3.5000000000000003E-2</v>
      </c>
      <c r="N3335" s="55">
        <v>3.5000000000000003E-2</v>
      </c>
    </row>
    <row r="3336" spans="1:14" hidden="1" x14ac:dyDescent="0.35">
      <c r="A3336" s="52" t="s">
        <v>672</v>
      </c>
      <c r="B3336" s="52" t="s">
        <v>73</v>
      </c>
      <c r="C3336" s="52" t="s">
        <v>339</v>
      </c>
      <c r="D3336" s="52" t="s">
        <v>340</v>
      </c>
      <c r="E3336" s="52" t="s">
        <v>584</v>
      </c>
      <c r="F3336" s="52" t="s">
        <v>581</v>
      </c>
      <c r="G3336" s="55" t="s">
        <v>278</v>
      </c>
      <c r="H3336" s="55">
        <v>41.060890000000001</v>
      </c>
      <c r="I3336" s="55">
        <v>2.7060399999999998E-2</v>
      </c>
      <c r="J3336" s="55">
        <v>3.2507000000000001E-2</v>
      </c>
      <c r="K3336" s="55">
        <v>2.74516E-2</v>
      </c>
      <c r="L3336" s="55">
        <v>2.4628400000000002E-2</v>
      </c>
      <c r="M3336" s="55">
        <v>5.0594600000000003E-2</v>
      </c>
      <c r="N3336" s="55">
        <v>5.0594600000000003E-2</v>
      </c>
    </row>
    <row r="3337" spans="1:14" hidden="1" x14ac:dyDescent="0.35">
      <c r="A3337" s="52" t="s">
        <v>672</v>
      </c>
      <c r="B3337" s="52" t="s">
        <v>73</v>
      </c>
      <c r="C3337" s="52" t="s">
        <v>344</v>
      </c>
      <c r="D3337" s="52" t="s">
        <v>344</v>
      </c>
      <c r="E3337" s="52" t="s">
        <v>584</v>
      </c>
      <c r="F3337" s="52" t="s">
        <v>581</v>
      </c>
      <c r="G3337" s="55" t="s">
        <v>275</v>
      </c>
      <c r="H3337" s="55">
        <v>-2.9193400000000001E-2</v>
      </c>
      <c r="I3337" s="55">
        <v>-9.7360020000000005E-3</v>
      </c>
      <c r="J3337" s="55">
        <v>0</v>
      </c>
      <c r="K3337" s="55">
        <v>0</v>
      </c>
      <c r="L3337" s="55">
        <v>0</v>
      </c>
      <c r="M3337" s="55">
        <v>0</v>
      </c>
      <c r="N3337" s="55">
        <v>0</v>
      </c>
    </row>
    <row r="3338" spans="1:14" hidden="1" x14ac:dyDescent="0.35">
      <c r="A3338" s="52" t="s">
        <v>672</v>
      </c>
      <c r="B3338" s="52" t="s">
        <v>73</v>
      </c>
      <c r="C3338" s="52" t="s">
        <v>344</v>
      </c>
      <c r="D3338" s="52" t="s">
        <v>344</v>
      </c>
      <c r="E3338" s="52" t="s">
        <v>584</v>
      </c>
      <c r="F3338" s="52" t="s">
        <v>581</v>
      </c>
      <c r="G3338" s="55" t="s">
        <v>276</v>
      </c>
      <c r="H3338" s="55">
        <v>-0.1749696</v>
      </c>
      <c r="I3338" s="55">
        <v>-0.12363590000000001</v>
      </c>
      <c r="J3338" s="55">
        <v>-5.1042610000000002</v>
      </c>
      <c r="K3338" s="55">
        <v>-2.6981030000000001</v>
      </c>
      <c r="L3338" s="55">
        <v>-0.1213843</v>
      </c>
      <c r="M3338" s="55">
        <v>-0.26336549999999997</v>
      </c>
      <c r="N3338" s="55">
        <v>-0.2878636</v>
      </c>
    </row>
    <row r="3339" spans="1:14" hidden="1" x14ac:dyDescent="0.35">
      <c r="A3339" s="52" t="s">
        <v>672</v>
      </c>
      <c r="B3339" s="52" t="s">
        <v>73</v>
      </c>
      <c r="C3339" s="52" t="s">
        <v>344</v>
      </c>
      <c r="D3339" s="52" t="s">
        <v>344</v>
      </c>
      <c r="E3339" s="52" t="s">
        <v>584</v>
      </c>
      <c r="F3339" s="52" t="s">
        <v>581</v>
      </c>
      <c r="G3339" s="55" t="s">
        <v>277</v>
      </c>
      <c r="H3339" s="55"/>
      <c r="I3339" s="55"/>
      <c r="J3339" s="55"/>
      <c r="K3339" s="55"/>
      <c r="L3339" s="55">
        <v>0</v>
      </c>
      <c r="M3339" s="55">
        <v>1.4E-2</v>
      </c>
      <c r="N3339" s="55">
        <v>3.85E-2</v>
      </c>
    </row>
    <row r="3340" spans="1:14" hidden="1" x14ac:dyDescent="0.35">
      <c r="A3340" s="52" t="s">
        <v>672</v>
      </c>
      <c r="B3340" s="52" t="s">
        <v>73</v>
      </c>
      <c r="C3340" s="52" t="s">
        <v>344</v>
      </c>
      <c r="D3340" s="52" t="s">
        <v>344</v>
      </c>
      <c r="E3340" s="52" t="s">
        <v>584</v>
      </c>
      <c r="F3340" s="52" t="s">
        <v>581</v>
      </c>
      <c r="G3340" s="55" t="s">
        <v>278</v>
      </c>
      <c r="H3340" s="55">
        <v>0.20416339999999999</v>
      </c>
      <c r="I3340" s="55">
        <v>0.13337189999999999</v>
      </c>
      <c r="J3340" s="55">
        <v>5.10426</v>
      </c>
      <c r="K3340" s="55">
        <v>2.6981030000000001</v>
      </c>
      <c r="L3340" s="55">
        <v>0.1213843</v>
      </c>
      <c r="M3340" s="55">
        <v>0.24936430000000001</v>
      </c>
      <c r="N3340" s="55">
        <v>0.24936430000000001</v>
      </c>
    </row>
    <row r="3341" spans="1:14" hidden="1" x14ac:dyDescent="0.35">
      <c r="A3341" s="52" t="s">
        <v>672</v>
      </c>
      <c r="B3341" s="52" t="s">
        <v>73</v>
      </c>
      <c r="C3341" s="52" t="s">
        <v>322</v>
      </c>
      <c r="D3341" s="52" t="s">
        <v>323</v>
      </c>
      <c r="E3341" s="52" t="s">
        <v>584</v>
      </c>
      <c r="F3341" s="52" t="s">
        <v>581</v>
      </c>
      <c r="G3341" s="55" t="s">
        <v>275</v>
      </c>
      <c r="H3341" s="55">
        <v>-1.9817700000000001E-2</v>
      </c>
      <c r="I3341" s="55">
        <v>-6.1333999999999998E-3</v>
      </c>
      <c r="J3341" s="55">
        <v>0</v>
      </c>
      <c r="K3341" s="55">
        <v>0</v>
      </c>
      <c r="L3341" s="55">
        <v>0</v>
      </c>
      <c r="M3341" s="55">
        <v>0</v>
      </c>
      <c r="N3341" s="55">
        <v>0</v>
      </c>
    </row>
    <row r="3342" spans="1:14" hidden="1" x14ac:dyDescent="0.35">
      <c r="A3342" s="52" t="s">
        <v>672</v>
      </c>
      <c r="B3342" s="52" t="s">
        <v>73</v>
      </c>
      <c r="C3342" s="52" t="s">
        <v>322</v>
      </c>
      <c r="D3342" s="52" t="s">
        <v>323</v>
      </c>
      <c r="E3342" s="52" t="s">
        <v>584</v>
      </c>
      <c r="F3342" s="52" t="s">
        <v>581</v>
      </c>
      <c r="G3342" s="55" t="s">
        <v>276</v>
      </c>
      <c r="H3342" s="55">
        <v>-0.1237698</v>
      </c>
      <c r="I3342" s="55">
        <v>-8.7666590000000003E-2</v>
      </c>
      <c r="J3342" s="55">
        <v>-5.0567250000000001</v>
      </c>
      <c r="K3342" s="55">
        <v>-9.5155219999999999E-2</v>
      </c>
      <c r="L3342" s="55">
        <v>-8.5369210000000001E-2</v>
      </c>
      <c r="M3342" s="55">
        <v>-0.1998759</v>
      </c>
      <c r="N3342" s="55">
        <v>-0.19987659999999999</v>
      </c>
    </row>
    <row r="3343" spans="1:14" hidden="1" x14ac:dyDescent="0.35">
      <c r="A3343" s="52" t="s">
        <v>672</v>
      </c>
      <c r="B3343" s="52" t="s">
        <v>73</v>
      </c>
      <c r="C3343" s="52" t="s">
        <v>322</v>
      </c>
      <c r="D3343" s="52" t="s">
        <v>323</v>
      </c>
      <c r="E3343" s="52" t="s">
        <v>584</v>
      </c>
      <c r="F3343" s="52" t="s">
        <v>581</v>
      </c>
      <c r="G3343" s="55" t="s">
        <v>277</v>
      </c>
      <c r="H3343" s="55"/>
      <c r="I3343" s="55"/>
      <c r="J3343" s="55"/>
      <c r="K3343" s="55"/>
      <c r="L3343" s="55">
        <v>0</v>
      </c>
      <c r="M3343" s="55">
        <v>2.4500000000000001E-2</v>
      </c>
      <c r="N3343" s="55">
        <v>2.4500000000000001E-2</v>
      </c>
    </row>
    <row r="3344" spans="1:14" hidden="1" x14ac:dyDescent="0.35">
      <c r="A3344" s="52" t="s">
        <v>672</v>
      </c>
      <c r="B3344" s="52" t="s">
        <v>73</v>
      </c>
      <c r="C3344" s="52" t="s">
        <v>322</v>
      </c>
      <c r="D3344" s="52" t="s">
        <v>323</v>
      </c>
      <c r="E3344" s="52" t="s">
        <v>584</v>
      </c>
      <c r="F3344" s="52" t="s">
        <v>581</v>
      </c>
      <c r="G3344" s="55" t="s">
        <v>278</v>
      </c>
      <c r="H3344" s="55">
        <v>0.14358679999999999</v>
      </c>
      <c r="I3344" s="55">
        <v>9.3799289999999994E-2</v>
      </c>
      <c r="J3344" s="55">
        <v>5.0567229999999999</v>
      </c>
      <c r="K3344" s="55">
        <v>9.5155190000000001E-2</v>
      </c>
      <c r="L3344" s="55">
        <v>8.5369200000000006E-2</v>
      </c>
      <c r="M3344" s="55">
        <v>0.17537659999999999</v>
      </c>
      <c r="N3344" s="55">
        <v>0.17537659999999999</v>
      </c>
    </row>
    <row r="3345" spans="1:14" hidden="1" x14ac:dyDescent="0.35">
      <c r="A3345" s="52" t="s">
        <v>672</v>
      </c>
      <c r="B3345" s="52" t="s">
        <v>73</v>
      </c>
      <c r="C3345" s="52" t="s">
        <v>322</v>
      </c>
      <c r="D3345" s="52" t="s">
        <v>323</v>
      </c>
      <c r="E3345" s="52" t="s">
        <v>584</v>
      </c>
      <c r="F3345" s="52" t="s">
        <v>26</v>
      </c>
      <c r="G3345" s="55" t="s">
        <v>275</v>
      </c>
      <c r="H3345" s="55">
        <v>0</v>
      </c>
      <c r="I3345" s="55"/>
      <c r="J3345" s="55"/>
      <c r="K3345" s="55"/>
      <c r="L3345" s="55">
        <v>0</v>
      </c>
      <c r="M3345" s="55"/>
      <c r="N3345" s="55"/>
    </row>
    <row r="3346" spans="1:14" hidden="1" x14ac:dyDescent="0.35">
      <c r="A3346" s="52" t="s">
        <v>672</v>
      </c>
      <c r="B3346" s="52" t="s">
        <v>73</v>
      </c>
      <c r="C3346" s="52" t="s">
        <v>322</v>
      </c>
      <c r="D3346" s="52" t="s">
        <v>323</v>
      </c>
      <c r="E3346" s="52" t="s">
        <v>584</v>
      </c>
      <c r="F3346" s="52" t="s">
        <v>26</v>
      </c>
      <c r="G3346" s="55" t="s">
        <v>276</v>
      </c>
      <c r="H3346" s="55"/>
      <c r="I3346" s="55"/>
      <c r="J3346" s="55"/>
      <c r="K3346" s="55"/>
      <c r="L3346" s="55">
        <v>0</v>
      </c>
      <c r="M3346" s="55"/>
      <c r="N3346" s="55"/>
    </row>
    <row r="3347" spans="1:14" hidden="1" x14ac:dyDescent="0.35">
      <c r="A3347" s="52" t="s">
        <v>672</v>
      </c>
      <c r="B3347" s="52" t="s">
        <v>73</v>
      </c>
      <c r="C3347" s="52" t="s">
        <v>322</v>
      </c>
      <c r="D3347" s="52" t="s">
        <v>323</v>
      </c>
      <c r="E3347" s="52" t="s">
        <v>584</v>
      </c>
      <c r="F3347" s="52" t="s">
        <v>26</v>
      </c>
      <c r="G3347" s="55" t="s">
        <v>277</v>
      </c>
      <c r="H3347" s="55"/>
      <c r="I3347" s="55"/>
      <c r="J3347" s="55"/>
      <c r="K3347" s="55"/>
      <c r="L3347" s="55">
        <v>0</v>
      </c>
      <c r="M3347" s="55"/>
      <c r="N3347" s="55"/>
    </row>
    <row r="3348" spans="1:14" hidden="1" x14ac:dyDescent="0.35">
      <c r="A3348" s="52" t="s">
        <v>672</v>
      </c>
      <c r="B3348" s="52" t="s">
        <v>73</v>
      </c>
      <c r="C3348" s="52" t="s">
        <v>322</v>
      </c>
      <c r="D3348" s="52" t="s">
        <v>323</v>
      </c>
      <c r="E3348" s="52" t="s">
        <v>584</v>
      </c>
      <c r="F3348" s="52" t="s">
        <v>26</v>
      </c>
      <c r="G3348" s="55" t="s">
        <v>278</v>
      </c>
      <c r="H3348" s="55"/>
      <c r="I3348" s="55">
        <v>0</v>
      </c>
      <c r="J3348" s="55"/>
      <c r="K3348" s="55">
        <v>0</v>
      </c>
      <c r="L3348" s="55"/>
      <c r="M3348" s="55"/>
      <c r="N3348" s="55"/>
    </row>
    <row r="3349" spans="1:14" hidden="1" x14ac:dyDescent="0.35">
      <c r="A3349" s="52" t="s">
        <v>232</v>
      </c>
      <c r="B3349" s="52" t="s">
        <v>37</v>
      </c>
      <c r="C3349" s="52" t="s">
        <v>35</v>
      </c>
      <c r="D3349" s="52" t="s">
        <v>189</v>
      </c>
      <c r="E3349" s="52" t="s">
        <v>590</v>
      </c>
      <c r="F3349" s="52" t="s">
        <v>581</v>
      </c>
      <c r="G3349" s="55" t="s">
        <v>275</v>
      </c>
      <c r="H3349" s="55">
        <v>107.3556</v>
      </c>
      <c r="I3349" s="55">
        <v>157.26900000000001</v>
      </c>
      <c r="J3349" s="55">
        <v>202.262</v>
      </c>
      <c r="K3349" s="55">
        <v>211.3493</v>
      </c>
      <c r="L3349" s="55">
        <v>183.50239999999999</v>
      </c>
      <c r="M3349" s="55">
        <v>121.6438</v>
      </c>
      <c r="N3349" s="55">
        <v>73.982380000000006</v>
      </c>
    </row>
    <row r="3350" spans="1:14" hidden="1" x14ac:dyDescent="0.35">
      <c r="A3350" s="52" t="s">
        <v>232</v>
      </c>
      <c r="B3350" s="52" t="s">
        <v>37</v>
      </c>
      <c r="C3350" s="52" t="s">
        <v>35</v>
      </c>
      <c r="D3350" s="52" t="s">
        <v>189</v>
      </c>
      <c r="E3350" s="52" t="s">
        <v>590</v>
      </c>
      <c r="F3350" s="52" t="s">
        <v>581</v>
      </c>
      <c r="G3350" s="55" t="s">
        <v>276</v>
      </c>
      <c r="H3350" s="55">
        <v>60.219929999999998</v>
      </c>
      <c r="I3350" s="55">
        <v>21.663340000000002</v>
      </c>
      <c r="J3350" s="55">
        <v>8.6835989999999992</v>
      </c>
      <c r="K3350" s="55">
        <v>-2.5112480000000001</v>
      </c>
      <c r="L3350" s="55">
        <v>0.57286930000000003</v>
      </c>
      <c r="M3350" s="55">
        <v>22.074570000000001</v>
      </c>
      <c r="N3350" s="55">
        <v>23.549880000000002</v>
      </c>
    </row>
    <row r="3351" spans="1:14" hidden="1" x14ac:dyDescent="0.35">
      <c r="A3351" s="52" t="s">
        <v>232</v>
      </c>
      <c r="B3351" s="52" t="s">
        <v>37</v>
      </c>
      <c r="C3351" s="52" t="s">
        <v>35</v>
      </c>
      <c r="D3351" s="52" t="s">
        <v>189</v>
      </c>
      <c r="E3351" s="52" t="s">
        <v>590</v>
      </c>
      <c r="F3351" s="52" t="s">
        <v>581</v>
      </c>
      <c r="G3351" s="55" t="s">
        <v>277</v>
      </c>
      <c r="H3351" s="55">
        <v>356.52679999999998</v>
      </c>
      <c r="I3351" s="55">
        <v>72.930970000000002</v>
      </c>
      <c r="J3351" s="55">
        <v>33.149279999999997</v>
      </c>
      <c r="K3351" s="55">
        <v>5.5730519999999997</v>
      </c>
      <c r="L3351" s="55">
        <v>5.0452310000000002</v>
      </c>
      <c r="M3351" s="55">
        <v>6.999155</v>
      </c>
      <c r="N3351" s="55">
        <v>40.757370000000002</v>
      </c>
    </row>
    <row r="3352" spans="1:14" hidden="1" x14ac:dyDescent="0.35">
      <c r="A3352" s="52" t="s">
        <v>232</v>
      </c>
      <c r="B3352" s="52" t="s">
        <v>37</v>
      </c>
      <c r="C3352" s="52" t="s">
        <v>35</v>
      </c>
      <c r="D3352" s="52" t="s">
        <v>189</v>
      </c>
      <c r="E3352" s="52" t="s">
        <v>590</v>
      </c>
      <c r="F3352" s="52" t="s">
        <v>581</v>
      </c>
      <c r="G3352" s="55" t="s">
        <v>278</v>
      </c>
      <c r="H3352" s="55">
        <v>65.738389999999995</v>
      </c>
      <c r="I3352" s="55">
        <v>21.533829999999998</v>
      </c>
      <c r="J3352" s="55">
        <v>21.185759999999998</v>
      </c>
      <c r="K3352" s="55">
        <v>10.10155</v>
      </c>
      <c r="L3352" s="55">
        <v>8.3904289999999992</v>
      </c>
      <c r="M3352" s="55">
        <v>5.2651240000000001</v>
      </c>
      <c r="N3352" s="55">
        <v>11.9336</v>
      </c>
    </row>
    <row r="3353" spans="1:14" hidden="1" x14ac:dyDescent="0.35">
      <c r="A3353" s="52" t="s">
        <v>232</v>
      </c>
      <c r="B3353" s="52" t="s">
        <v>37</v>
      </c>
      <c r="C3353" s="52" t="s">
        <v>35</v>
      </c>
      <c r="D3353" s="52" t="s">
        <v>189</v>
      </c>
      <c r="E3353" s="52" t="s">
        <v>590</v>
      </c>
      <c r="F3353" s="52" t="s">
        <v>581</v>
      </c>
      <c r="G3353" s="55" t="s">
        <v>279</v>
      </c>
      <c r="H3353" s="55">
        <v>245.721</v>
      </c>
      <c r="I3353" s="55">
        <v>237.631</v>
      </c>
      <c r="J3353" s="55">
        <v>214.07640000000001</v>
      </c>
      <c r="K3353" s="55">
        <v>190.32220000000001</v>
      </c>
      <c r="L3353" s="55">
        <v>154.88030000000001</v>
      </c>
      <c r="M3353" s="55">
        <v>153.46870000000001</v>
      </c>
      <c r="N3353" s="55">
        <v>143.0932</v>
      </c>
    </row>
    <row r="3354" spans="1:14" hidden="1" x14ac:dyDescent="0.35">
      <c r="A3354" s="52" t="s">
        <v>232</v>
      </c>
      <c r="B3354" s="52" t="s">
        <v>37</v>
      </c>
      <c r="C3354" s="52" t="s">
        <v>35</v>
      </c>
      <c r="D3354" s="52" t="s">
        <v>189</v>
      </c>
      <c r="E3354" s="52" t="s">
        <v>590</v>
      </c>
      <c r="F3354" s="52" t="s">
        <v>26</v>
      </c>
      <c r="G3354" s="55" t="s">
        <v>275</v>
      </c>
      <c r="H3354" s="55">
        <v>-19.440809999999999</v>
      </c>
      <c r="I3354" s="55">
        <v>-11.47663</v>
      </c>
      <c r="J3354" s="55">
        <v>-9.4809400000000004</v>
      </c>
      <c r="K3354" s="55">
        <v>-9.0421759999999995</v>
      </c>
      <c r="L3354" s="55">
        <v>-7.3748760000000004</v>
      </c>
      <c r="M3354" s="55">
        <v>-8.0642099999999992</v>
      </c>
      <c r="N3354" s="55">
        <v>-7.4454979999999997</v>
      </c>
    </row>
    <row r="3355" spans="1:14" hidden="1" x14ac:dyDescent="0.35">
      <c r="A3355" s="52" t="s">
        <v>232</v>
      </c>
      <c r="B3355" s="52" t="s">
        <v>37</v>
      </c>
      <c r="C3355" s="52" t="s">
        <v>35</v>
      </c>
      <c r="D3355" s="52" t="s">
        <v>189</v>
      </c>
      <c r="E3355" s="52" t="s">
        <v>590</v>
      </c>
      <c r="F3355" s="52" t="s">
        <v>26</v>
      </c>
      <c r="G3355" s="55" t="s">
        <v>276</v>
      </c>
      <c r="H3355" s="55">
        <v>-5.1678090000000001</v>
      </c>
      <c r="I3355" s="55">
        <v>-3.0507379999999999</v>
      </c>
      <c r="J3355" s="55">
        <v>-2.5202420000000001</v>
      </c>
      <c r="K3355" s="55">
        <v>-2.4036179999999998</v>
      </c>
      <c r="L3355" s="55">
        <v>-1.9604140000000001</v>
      </c>
      <c r="M3355" s="55">
        <v>-2.143656</v>
      </c>
      <c r="N3355" s="55">
        <v>-1.9791829999999999</v>
      </c>
    </row>
    <row r="3356" spans="1:14" hidden="1" x14ac:dyDescent="0.35">
      <c r="A3356" s="52" t="s">
        <v>232</v>
      </c>
      <c r="B3356" s="52" t="s">
        <v>37</v>
      </c>
      <c r="C3356" s="52" t="s">
        <v>35</v>
      </c>
      <c r="D3356" s="52" t="s">
        <v>189</v>
      </c>
      <c r="E3356" s="52" t="s">
        <v>590</v>
      </c>
      <c r="F3356" s="52" t="s">
        <v>26</v>
      </c>
      <c r="G3356" s="55" t="s">
        <v>279</v>
      </c>
      <c r="H3356" s="55">
        <v>52.577219999999997</v>
      </c>
      <c r="I3356" s="55">
        <v>29.299600000000002</v>
      </c>
      <c r="J3356" s="55">
        <v>26.496490000000001</v>
      </c>
      <c r="K3356" s="55">
        <v>23.917210000000001</v>
      </c>
      <c r="L3356" s="55">
        <v>19.879190000000001</v>
      </c>
      <c r="M3356" s="55">
        <v>19.396139999999999</v>
      </c>
      <c r="N3356" s="55">
        <v>18.008109999999999</v>
      </c>
    </row>
    <row r="3357" spans="1:14" hidden="1" x14ac:dyDescent="0.35">
      <c r="A3357" s="52" t="s">
        <v>232</v>
      </c>
      <c r="B3357" s="52" t="s">
        <v>37</v>
      </c>
      <c r="C3357" s="52" t="s">
        <v>35</v>
      </c>
      <c r="D3357" s="52" t="s">
        <v>189</v>
      </c>
      <c r="E3357" s="52" t="s">
        <v>586</v>
      </c>
      <c r="F3357" s="52" t="s">
        <v>581</v>
      </c>
      <c r="G3357" s="55" t="s">
        <v>275</v>
      </c>
      <c r="H3357" s="55">
        <v>38.624519999999997</v>
      </c>
      <c r="I3357" s="55">
        <v>21.21078</v>
      </c>
      <c r="J3357" s="55">
        <v>23.119070000000001</v>
      </c>
      <c r="K3357" s="55">
        <v>17.489550000000001</v>
      </c>
      <c r="L3357" s="55">
        <v>16.287980000000001</v>
      </c>
      <c r="M3357" s="55">
        <v>12.51418</v>
      </c>
      <c r="N3357" s="55">
        <v>12.089119999999999</v>
      </c>
    </row>
    <row r="3358" spans="1:14" hidden="1" x14ac:dyDescent="0.35">
      <c r="A3358" s="52" t="s">
        <v>232</v>
      </c>
      <c r="B3358" s="52" t="s">
        <v>37</v>
      </c>
      <c r="C3358" s="52" t="s">
        <v>35</v>
      </c>
      <c r="D3358" s="52" t="s">
        <v>189</v>
      </c>
      <c r="E3358" s="52" t="s">
        <v>586</v>
      </c>
      <c r="F3358" s="52" t="s">
        <v>581</v>
      </c>
      <c r="G3358" s="55" t="s">
        <v>276</v>
      </c>
      <c r="H3358" s="55">
        <v>11.009230000000001</v>
      </c>
      <c r="I3358" s="55">
        <v>3.7451439999999998</v>
      </c>
      <c r="J3358" s="55">
        <v>0.400893</v>
      </c>
      <c r="K3358" s="55">
        <v>2.3351280000000001</v>
      </c>
      <c r="L3358" s="55">
        <v>2.9053659999999999</v>
      </c>
      <c r="M3358" s="55">
        <v>3.3136830000000002</v>
      </c>
      <c r="N3358" s="55">
        <v>3.315099</v>
      </c>
    </row>
    <row r="3359" spans="1:14" hidden="1" x14ac:dyDescent="0.35">
      <c r="A3359" s="52" t="s">
        <v>232</v>
      </c>
      <c r="B3359" s="52" t="s">
        <v>37</v>
      </c>
      <c r="C3359" s="52" t="s">
        <v>35</v>
      </c>
      <c r="D3359" s="52" t="s">
        <v>189</v>
      </c>
      <c r="E3359" s="52" t="s">
        <v>586</v>
      </c>
      <c r="F3359" s="52" t="s">
        <v>581</v>
      </c>
      <c r="G3359" s="55" t="s">
        <v>277</v>
      </c>
      <c r="H3359" s="55">
        <v>15.698639999999999</v>
      </c>
      <c r="I3359" s="55">
        <v>4.3331790000000003</v>
      </c>
      <c r="J3359" s="55">
        <v>1.580406</v>
      </c>
      <c r="K3359" s="55">
        <v>1.0639799999999999</v>
      </c>
      <c r="L3359" s="55">
        <v>1.7544770000000001</v>
      </c>
      <c r="M3359" s="55">
        <v>1.7946059999999999</v>
      </c>
      <c r="N3359" s="55">
        <v>3.0166930000000001</v>
      </c>
    </row>
    <row r="3360" spans="1:14" hidden="1" x14ac:dyDescent="0.35">
      <c r="A3360" s="52" t="s">
        <v>232</v>
      </c>
      <c r="B3360" s="52" t="s">
        <v>37</v>
      </c>
      <c r="C3360" s="52" t="s">
        <v>35</v>
      </c>
      <c r="D3360" s="52" t="s">
        <v>189</v>
      </c>
      <c r="E3360" s="52" t="s">
        <v>586</v>
      </c>
      <c r="F3360" s="52" t="s">
        <v>581</v>
      </c>
      <c r="G3360" s="55" t="s">
        <v>278</v>
      </c>
      <c r="H3360" s="55">
        <v>3.297701</v>
      </c>
      <c r="I3360" s="55">
        <v>0</v>
      </c>
      <c r="J3360" s="55">
        <v>1.9333940000000001</v>
      </c>
      <c r="K3360" s="55">
        <v>3.006097</v>
      </c>
      <c r="L3360" s="55">
        <v>3.2046830000000002</v>
      </c>
      <c r="M3360" s="55">
        <v>2.4562590000000002</v>
      </c>
      <c r="N3360" s="55">
        <v>1.424436</v>
      </c>
    </row>
    <row r="3361" spans="1:14" hidden="1" x14ac:dyDescent="0.35">
      <c r="A3361" s="52" t="s">
        <v>232</v>
      </c>
      <c r="B3361" s="52" t="s">
        <v>37</v>
      </c>
      <c r="C3361" s="52" t="s">
        <v>35</v>
      </c>
      <c r="D3361" s="52" t="s">
        <v>189</v>
      </c>
      <c r="E3361" s="52" t="s">
        <v>586</v>
      </c>
      <c r="F3361" s="52" t="s">
        <v>581</v>
      </c>
      <c r="G3361" s="55" t="s">
        <v>279</v>
      </c>
      <c r="H3361" s="55">
        <v>33.124180000000003</v>
      </c>
      <c r="I3361" s="55">
        <v>30.672650000000001</v>
      </c>
      <c r="J3361" s="55">
        <v>26.454409999999999</v>
      </c>
      <c r="K3361" s="55">
        <v>24.652000000000001</v>
      </c>
      <c r="L3361" s="55">
        <v>22.46058</v>
      </c>
      <c r="M3361" s="55">
        <v>23.542960000000001</v>
      </c>
      <c r="N3361" s="55">
        <v>21.9617</v>
      </c>
    </row>
    <row r="3362" spans="1:14" hidden="1" x14ac:dyDescent="0.35">
      <c r="A3362" s="52" t="s">
        <v>232</v>
      </c>
      <c r="B3362" s="52" t="s">
        <v>37</v>
      </c>
      <c r="C3362" s="52" t="s">
        <v>35</v>
      </c>
      <c r="D3362" s="52" t="s">
        <v>189</v>
      </c>
      <c r="E3362" s="52" t="s">
        <v>586</v>
      </c>
      <c r="F3362" s="52" t="s">
        <v>26</v>
      </c>
      <c r="G3362" s="55" t="s">
        <v>275</v>
      </c>
      <c r="H3362" s="55">
        <v>-2.8177020000000002</v>
      </c>
      <c r="I3362" s="55">
        <v>-1.586851</v>
      </c>
      <c r="J3362" s="55">
        <v>-1.2777540000000001</v>
      </c>
      <c r="K3362" s="55">
        <v>-1.257536</v>
      </c>
      <c r="L3362" s="55">
        <v>-1.135778</v>
      </c>
      <c r="M3362" s="55">
        <v>-1.287971</v>
      </c>
      <c r="N3362" s="55">
        <v>-1.190831</v>
      </c>
    </row>
    <row r="3363" spans="1:14" hidden="1" x14ac:dyDescent="0.35">
      <c r="A3363" s="52" t="s">
        <v>232</v>
      </c>
      <c r="B3363" s="52" t="s">
        <v>37</v>
      </c>
      <c r="C3363" s="52" t="s">
        <v>35</v>
      </c>
      <c r="D3363" s="52" t="s">
        <v>189</v>
      </c>
      <c r="E3363" s="52" t="s">
        <v>586</v>
      </c>
      <c r="F3363" s="52" t="s">
        <v>26</v>
      </c>
      <c r="G3363" s="55" t="s">
        <v>276</v>
      </c>
      <c r="H3363" s="55">
        <v>-0.74900800000000001</v>
      </c>
      <c r="I3363" s="55">
        <v>-0.42182019999999998</v>
      </c>
      <c r="J3363" s="55">
        <v>-0.33965529999999999</v>
      </c>
      <c r="K3363" s="55">
        <v>-0.33428099999999999</v>
      </c>
      <c r="L3363" s="55">
        <v>-0.3019173</v>
      </c>
      <c r="M3363" s="55">
        <v>-0.34237260000000003</v>
      </c>
      <c r="N3363" s="55">
        <v>-0.3165502</v>
      </c>
    </row>
    <row r="3364" spans="1:14" hidden="1" x14ac:dyDescent="0.35">
      <c r="A3364" s="52" t="s">
        <v>232</v>
      </c>
      <c r="B3364" s="52" t="s">
        <v>37</v>
      </c>
      <c r="C3364" s="52" t="s">
        <v>35</v>
      </c>
      <c r="D3364" s="52" t="s">
        <v>189</v>
      </c>
      <c r="E3364" s="52" t="s">
        <v>586</v>
      </c>
      <c r="F3364" s="52" t="s">
        <v>26</v>
      </c>
      <c r="G3364" s="55" t="s">
        <v>279</v>
      </c>
      <c r="H3364" s="55">
        <v>6.972143</v>
      </c>
      <c r="I3364" s="55">
        <v>3.7402549999999999</v>
      </c>
      <c r="J3364" s="55">
        <v>3.236148</v>
      </c>
      <c r="K3364" s="55">
        <v>3.050843</v>
      </c>
      <c r="L3364" s="55">
        <v>2.827375</v>
      </c>
      <c r="M3364" s="55">
        <v>2.9150960000000001</v>
      </c>
      <c r="N3364" s="55">
        <v>2.7201770000000001</v>
      </c>
    </row>
    <row r="3365" spans="1:14" hidden="1" x14ac:dyDescent="0.35">
      <c r="A3365" s="52" t="s">
        <v>232</v>
      </c>
      <c r="B3365" s="52" t="s">
        <v>37</v>
      </c>
      <c r="C3365" s="52" t="s">
        <v>35</v>
      </c>
      <c r="D3365" s="52" t="s">
        <v>164</v>
      </c>
      <c r="E3365" s="52" t="s">
        <v>580</v>
      </c>
      <c r="F3365" s="52" t="s">
        <v>581</v>
      </c>
      <c r="G3365" s="55" t="s">
        <v>275</v>
      </c>
      <c r="H3365" s="55">
        <v>-86.798259999999999</v>
      </c>
      <c r="I3365" s="55">
        <v>44.146560000000001</v>
      </c>
      <c r="J3365" s="55">
        <v>20.455570000000002</v>
      </c>
      <c r="K3365" s="55">
        <v>65.648349999999994</v>
      </c>
      <c r="L3365" s="55">
        <v>11.174060000000001</v>
      </c>
      <c r="M3365" s="55">
        <v>-5.7727529999999998</v>
      </c>
      <c r="N3365" s="55">
        <v>-0.1960673</v>
      </c>
    </row>
    <row r="3366" spans="1:14" hidden="1" x14ac:dyDescent="0.35">
      <c r="A3366" s="52" t="s">
        <v>232</v>
      </c>
      <c r="B3366" s="52" t="s">
        <v>37</v>
      </c>
      <c r="C3366" s="52" t="s">
        <v>35</v>
      </c>
      <c r="D3366" s="52" t="s">
        <v>164</v>
      </c>
      <c r="E3366" s="52" t="s">
        <v>580</v>
      </c>
      <c r="F3366" s="52" t="s">
        <v>581</v>
      </c>
      <c r="G3366" s="55" t="s">
        <v>276</v>
      </c>
      <c r="H3366" s="55">
        <v>-22.92745</v>
      </c>
      <c r="I3366" s="55">
        <v>-64.538839999999993</v>
      </c>
      <c r="J3366" s="55">
        <v>-36.910060000000001</v>
      </c>
      <c r="K3366" s="55">
        <v>-79.323149999999998</v>
      </c>
      <c r="L3366" s="55">
        <v>-21.593419999999998</v>
      </c>
      <c r="M3366" s="55">
        <v>-5.7115619999999998</v>
      </c>
      <c r="N3366" s="55">
        <v>-4.8491720000000003</v>
      </c>
    </row>
    <row r="3367" spans="1:14" hidden="1" x14ac:dyDescent="0.35">
      <c r="A3367" s="52" t="s">
        <v>232</v>
      </c>
      <c r="B3367" s="52" t="s">
        <v>37</v>
      </c>
      <c r="C3367" s="52" t="s">
        <v>35</v>
      </c>
      <c r="D3367" s="52" t="s">
        <v>164</v>
      </c>
      <c r="E3367" s="52" t="s">
        <v>580</v>
      </c>
      <c r="F3367" s="52" t="s">
        <v>581</v>
      </c>
      <c r="G3367" s="55" t="s">
        <v>277</v>
      </c>
      <c r="H3367" s="55">
        <v>211.6551</v>
      </c>
      <c r="I3367" s="55">
        <v>26.93995</v>
      </c>
      <c r="J3367" s="55">
        <v>29.200890000000001</v>
      </c>
      <c r="K3367" s="55">
        <v>21.73244</v>
      </c>
      <c r="L3367" s="55">
        <v>19.2196</v>
      </c>
      <c r="M3367" s="55">
        <v>5.248596</v>
      </c>
      <c r="N3367" s="55">
        <v>0</v>
      </c>
    </row>
    <row r="3368" spans="1:14" hidden="1" x14ac:dyDescent="0.35">
      <c r="A3368" s="52" t="s">
        <v>232</v>
      </c>
      <c r="B3368" s="52" t="s">
        <v>37</v>
      </c>
      <c r="C3368" s="52" t="s">
        <v>35</v>
      </c>
      <c r="D3368" s="52" t="s">
        <v>164</v>
      </c>
      <c r="E3368" s="52" t="s">
        <v>580</v>
      </c>
      <c r="F3368" s="52" t="s">
        <v>581</v>
      </c>
      <c r="G3368" s="55" t="s">
        <v>278</v>
      </c>
      <c r="H3368" s="55">
        <v>34.047989999999999</v>
      </c>
      <c r="I3368" s="55">
        <v>0</v>
      </c>
      <c r="J3368" s="55"/>
      <c r="K3368" s="55">
        <v>0</v>
      </c>
      <c r="L3368" s="55">
        <v>3.5392329999999999</v>
      </c>
      <c r="M3368" s="55">
        <v>0.66930900000000004</v>
      </c>
      <c r="N3368" s="55">
        <v>0</v>
      </c>
    </row>
    <row r="3369" spans="1:14" hidden="1" x14ac:dyDescent="0.35">
      <c r="A3369" s="52" t="s">
        <v>232</v>
      </c>
      <c r="B3369" s="52" t="s">
        <v>37</v>
      </c>
      <c r="C3369" s="52" t="s">
        <v>35</v>
      </c>
      <c r="D3369" s="52" t="s">
        <v>164</v>
      </c>
      <c r="E3369" s="52" t="s">
        <v>580</v>
      </c>
      <c r="F3369" s="52" t="s">
        <v>581</v>
      </c>
      <c r="G3369" s="55" t="s">
        <v>279</v>
      </c>
      <c r="H3369" s="55">
        <v>168.81559999999999</v>
      </c>
      <c r="I3369" s="55">
        <v>151.5564</v>
      </c>
      <c r="J3369" s="55">
        <v>154.85319999999999</v>
      </c>
      <c r="K3369" s="55">
        <v>165.3947</v>
      </c>
      <c r="L3369" s="55">
        <v>156.84289999999999</v>
      </c>
      <c r="M3369" s="55">
        <v>161.71639999999999</v>
      </c>
      <c r="N3369" s="55">
        <v>140.14869999999999</v>
      </c>
    </row>
    <row r="3370" spans="1:14" hidden="1" x14ac:dyDescent="0.35">
      <c r="A3370" s="52" t="s">
        <v>232</v>
      </c>
      <c r="B3370" s="52" t="s">
        <v>37</v>
      </c>
      <c r="C3370" s="52" t="s">
        <v>35</v>
      </c>
      <c r="D3370" s="52" t="s">
        <v>164</v>
      </c>
      <c r="E3370" s="52" t="s">
        <v>580</v>
      </c>
      <c r="F3370" s="52" t="s">
        <v>26</v>
      </c>
      <c r="G3370" s="55" t="s">
        <v>275</v>
      </c>
      <c r="H3370" s="55">
        <v>-75.380390000000006</v>
      </c>
      <c r="I3370" s="55">
        <v>-42.146659999999997</v>
      </c>
      <c r="J3370" s="55">
        <v>-39.596330000000002</v>
      </c>
      <c r="K3370" s="55">
        <v>-45.074010000000001</v>
      </c>
      <c r="L3370" s="55">
        <v>-43.254849999999998</v>
      </c>
      <c r="M3370" s="55">
        <v>-47.886749999999999</v>
      </c>
      <c r="N3370" s="55">
        <v>-41.636719999999997</v>
      </c>
    </row>
    <row r="3371" spans="1:14" hidden="1" x14ac:dyDescent="0.35">
      <c r="A3371" s="52" t="s">
        <v>232</v>
      </c>
      <c r="B3371" s="52" t="s">
        <v>37</v>
      </c>
      <c r="C3371" s="52" t="s">
        <v>35</v>
      </c>
      <c r="D3371" s="52" t="s">
        <v>164</v>
      </c>
      <c r="E3371" s="52" t="s">
        <v>580</v>
      </c>
      <c r="F3371" s="52" t="s">
        <v>26</v>
      </c>
      <c r="G3371" s="55" t="s">
        <v>276</v>
      </c>
      <c r="H3371" s="55">
        <v>-20.03782</v>
      </c>
      <c r="I3371" s="55">
        <v>-11.20354</v>
      </c>
      <c r="J3371" s="55">
        <v>-10.52561</v>
      </c>
      <c r="K3371" s="55">
        <v>-11.9817</v>
      </c>
      <c r="L3371" s="55">
        <v>-11.49813</v>
      </c>
      <c r="M3371" s="55">
        <v>-12.72939</v>
      </c>
      <c r="N3371" s="55">
        <v>-11.06799</v>
      </c>
    </row>
    <row r="3372" spans="1:14" hidden="1" x14ac:dyDescent="0.35">
      <c r="A3372" s="52" t="s">
        <v>232</v>
      </c>
      <c r="B3372" s="52" t="s">
        <v>37</v>
      </c>
      <c r="C3372" s="52" t="s">
        <v>35</v>
      </c>
      <c r="D3372" s="52" t="s">
        <v>164</v>
      </c>
      <c r="E3372" s="52" t="s">
        <v>580</v>
      </c>
      <c r="F3372" s="52" t="s">
        <v>26</v>
      </c>
      <c r="G3372" s="55" t="s">
        <v>279</v>
      </c>
      <c r="H3372" s="55">
        <v>203.9384</v>
      </c>
      <c r="I3372" s="55">
        <v>107.31570000000001</v>
      </c>
      <c r="J3372" s="55">
        <v>110.2572</v>
      </c>
      <c r="K3372" s="55">
        <v>118.9821</v>
      </c>
      <c r="L3372" s="55">
        <v>114.8874</v>
      </c>
      <c r="M3372" s="55">
        <v>115.8638</v>
      </c>
      <c r="N3372" s="55">
        <v>100.2629</v>
      </c>
    </row>
    <row r="3373" spans="1:14" hidden="1" x14ac:dyDescent="0.35">
      <c r="A3373" s="52" t="s">
        <v>232</v>
      </c>
      <c r="B3373" s="52" t="s">
        <v>37</v>
      </c>
      <c r="C3373" s="52" t="s">
        <v>35</v>
      </c>
      <c r="D3373" s="52" t="s">
        <v>129</v>
      </c>
      <c r="E3373" s="52" t="s">
        <v>580</v>
      </c>
      <c r="F3373" s="52" t="s">
        <v>581</v>
      </c>
      <c r="G3373" s="55" t="s">
        <v>275</v>
      </c>
      <c r="H3373" s="55">
        <v>151.00919999999999</v>
      </c>
      <c r="I3373" s="55">
        <v>79.650459999999995</v>
      </c>
      <c r="J3373" s="55">
        <v>85.314089999999993</v>
      </c>
      <c r="K3373" s="55">
        <v>73.749279999999999</v>
      </c>
      <c r="L3373" s="55">
        <v>58.83334</v>
      </c>
      <c r="M3373" s="55">
        <v>41.683529999999998</v>
      </c>
      <c r="N3373" s="55">
        <v>25.653379999999999</v>
      </c>
    </row>
    <row r="3374" spans="1:14" hidden="1" x14ac:dyDescent="0.35">
      <c r="A3374" s="52" t="s">
        <v>232</v>
      </c>
      <c r="B3374" s="52" t="s">
        <v>37</v>
      </c>
      <c r="C3374" s="52" t="s">
        <v>35</v>
      </c>
      <c r="D3374" s="52" t="s">
        <v>129</v>
      </c>
      <c r="E3374" s="52" t="s">
        <v>580</v>
      </c>
      <c r="F3374" s="52" t="s">
        <v>581</v>
      </c>
      <c r="G3374" s="55" t="s">
        <v>276</v>
      </c>
      <c r="H3374" s="55">
        <v>4.5901420000000002</v>
      </c>
      <c r="I3374" s="55">
        <v>3.968899</v>
      </c>
      <c r="J3374" s="55">
        <v>0.1724763</v>
      </c>
      <c r="K3374" s="55">
        <v>-0.18803220000000001</v>
      </c>
      <c r="L3374" s="55">
        <v>6.3663569999999998</v>
      </c>
      <c r="M3374" s="55">
        <v>9.5753540000000008</v>
      </c>
      <c r="N3374" s="55">
        <v>10.034750000000001</v>
      </c>
    </row>
    <row r="3375" spans="1:14" hidden="1" x14ac:dyDescent="0.35">
      <c r="A3375" s="52" t="s">
        <v>232</v>
      </c>
      <c r="B3375" s="52" t="s">
        <v>37</v>
      </c>
      <c r="C3375" s="52" t="s">
        <v>35</v>
      </c>
      <c r="D3375" s="52" t="s">
        <v>129</v>
      </c>
      <c r="E3375" s="52" t="s">
        <v>580</v>
      </c>
      <c r="F3375" s="52" t="s">
        <v>581</v>
      </c>
      <c r="G3375" s="55" t="s">
        <v>277</v>
      </c>
      <c r="H3375" s="55">
        <v>71.678340000000006</v>
      </c>
      <c r="I3375" s="55">
        <v>15.11406</v>
      </c>
      <c r="J3375" s="55">
        <v>5.7620389999999997</v>
      </c>
      <c r="K3375" s="55">
        <v>2.2015750000000001</v>
      </c>
      <c r="L3375" s="55">
        <v>2.7061120000000001</v>
      </c>
      <c r="M3375" s="55">
        <v>3.8975840000000002</v>
      </c>
      <c r="N3375" s="55">
        <v>10.35262</v>
      </c>
    </row>
    <row r="3376" spans="1:14" hidden="1" x14ac:dyDescent="0.35">
      <c r="A3376" s="52" t="s">
        <v>232</v>
      </c>
      <c r="B3376" s="52" t="s">
        <v>37</v>
      </c>
      <c r="C3376" s="52" t="s">
        <v>35</v>
      </c>
      <c r="D3376" s="52" t="s">
        <v>129</v>
      </c>
      <c r="E3376" s="52" t="s">
        <v>580</v>
      </c>
      <c r="F3376" s="52" t="s">
        <v>581</v>
      </c>
      <c r="G3376" s="55" t="s">
        <v>278</v>
      </c>
      <c r="H3376" s="55">
        <v>16.263480000000001</v>
      </c>
      <c r="I3376" s="55">
        <v>8.2248300000000008</v>
      </c>
      <c r="J3376" s="55">
        <v>4.0540960000000004</v>
      </c>
      <c r="K3376" s="55">
        <v>3.6016400000000002</v>
      </c>
      <c r="L3376" s="55">
        <v>4.4340529999999996</v>
      </c>
      <c r="M3376" s="55">
        <v>4.587485</v>
      </c>
      <c r="N3376" s="55">
        <v>13.37598</v>
      </c>
    </row>
    <row r="3377" spans="1:14" hidden="1" x14ac:dyDescent="0.35">
      <c r="A3377" s="52" t="s">
        <v>232</v>
      </c>
      <c r="B3377" s="52" t="s">
        <v>37</v>
      </c>
      <c r="C3377" s="52" t="s">
        <v>35</v>
      </c>
      <c r="D3377" s="52" t="s">
        <v>129</v>
      </c>
      <c r="E3377" s="52" t="s">
        <v>580</v>
      </c>
      <c r="F3377" s="52" t="s">
        <v>581</v>
      </c>
      <c r="G3377" s="55" t="s">
        <v>279</v>
      </c>
      <c r="H3377" s="55">
        <v>108.1194</v>
      </c>
      <c r="I3377" s="55">
        <v>98.450779999999995</v>
      </c>
      <c r="J3377" s="55">
        <v>81.703670000000002</v>
      </c>
      <c r="K3377" s="55">
        <v>71.379440000000002</v>
      </c>
      <c r="L3377" s="55">
        <v>60.045090000000002</v>
      </c>
      <c r="M3377" s="55">
        <v>62.699350000000003</v>
      </c>
      <c r="N3377" s="55">
        <v>61.243969999999997</v>
      </c>
    </row>
    <row r="3378" spans="1:14" hidden="1" x14ac:dyDescent="0.35">
      <c r="A3378" s="52" t="s">
        <v>232</v>
      </c>
      <c r="B3378" s="52" t="s">
        <v>37</v>
      </c>
      <c r="C3378" s="52" t="s">
        <v>35</v>
      </c>
      <c r="D3378" s="52" t="s">
        <v>129</v>
      </c>
      <c r="E3378" s="52" t="s">
        <v>580</v>
      </c>
      <c r="F3378" s="52" t="s">
        <v>26</v>
      </c>
      <c r="G3378" s="55" t="s">
        <v>275</v>
      </c>
      <c r="H3378" s="55">
        <v>-15.93488</v>
      </c>
      <c r="I3378" s="55">
        <v>-8.8535190000000004</v>
      </c>
      <c r="J3378" s="55">
        <v>-6.8891730000000004</v>
      </c>
      <c r="K3378" s="55">
        <v>-6.3914010000000001</v>
      </c>
      <c r="L3378" s="55">
        <v>-5.3985510000000003</v>
      </c>
      <c r="M3378" s="55">
        <v>-6.0880989999999997</v>
      </c>
      <c r="N3378" s="55">
        <v>-5.923775</v>
      </c>
    </row>
    <row r="3379" spans="1:14" hidden="1" x14ac:dyDescent="0.35">
      <c r="A3379" s="52" t="s">
        <v>232</v>
      </c>
      <c r="B3379" s="52" t="s">
        <v>37</v>
      </c>
      <c r="C3379" s="52" t="s">
        <v>35</v>
      </c>
      <c r="D3379" s="52" t="s">
        <v>129</v>
      </c>
      <c r="E3379" s="52" t="s">
        <v>580</v>
      </c>
      <c r="F3379" s="52" t="s">
        <v>26</v>
      </c>
      <c r="G3379" s="55" t="s">
        <v>276</v>
      </c>
      <c r="H3379" s="55">
        <v>-4.2358560000000001</v>
      </c>
      <c r="I3379" s="55">
        <v>-2.3534730000000001</v>
      </c>
      <c r="J3379" s="55">
        <v>-1.8312999999999999</v>
      </c>
      <c r="K3379" s="55">
        <v>-1.6989810000000001</v>
      </c>
      <c r="L3379" s="55">
        <v>-1.4350560000000001</v>
      </c>
      <c r="M3379" s="55">
        <v>-1.61836</v>
      </c>
      <c r="N3379" s="55">
        <v>-1.5746720000000001</v>
      </c>
    </row>
    <row r="3380" spans="1:14" hidden="1" x14ac:dyDescent="0.35">
      <c r="A3380" s="52" t="s">
        <v>232</v>
      </c>
      <c r="B3380" s="52" t="s">
        <v>37</v>
      </c>
      <c r="C3380" s="52" t="s">
        <v>35</v>
      </c>
      <c r="D3380" s="52" t="s">
        <v>129</v>
      </c>
      <c r="E3380" s="52" t="s">
        <v>580</v>
      </c>
      <c r="F3380" s="52" t="s">
        <v>26</v>
      </c>
      <c r="G3380" s="55" t="s">
        <v>279</v>
      </c>
      <c r="H3380" s="55">
        <v>39.42942</v>
      </c>
      <c r="I3380" s="55">
        <v>20.861689999999999</v>
      </c>
      <c r="J3380" s="55">
        <v>17.426110000000001</v>
      </c>
      <c r="K3380" s="55">
        <v>15.45083</v>
      </c>
      <c r="L3380" s="55">
        <v>13.26952</v>
      </c>
      <c r="M3380" s="55">
        <v>13.62603</v>
      </c>
      <c r="N3380" s="55">
        <v>13.275069999999999</v>
      </c>
    </row>
    <row r="3381" spans="1:14" hidden="1" x14ac:dyDescent="0.35">
      <c r="A3381" s="52" t="s">
        <v>232</v>
      </c>
      <c r="B3381" s="52" t="s">
        <v>37</v>
      </c>
      <c r="C3381" s="52" t="s">
        <v>35</v>
      </c>
      <c r="D3381" s="52" t="s">
        <v>129</v>
      </c>
      <c r="E3381" s="52" t="s">
        <v>583</v>
      </c>
      <c r="F3381" s="52" t="s">
        <v>581</v>
      </c>
      <c r="G3381" s="55" t="s">
        <v>275</v>
      </c>
      <c r="H3381" s="55">
        <v>-7.3077209999999999</v>
      </c>
      <c r="I3381" s="55">
        <v>-5.3151630000000001</v>
      </c>
      <c r="J3381" s="55">
        <v>-0.62123450000000002</v>
      </c>
      <c r="K3381" s="55">
        <v>-0.1179374</v>
      </c>
      <c r="L3381" s="55">
        <v>-0.57677230000000002</v>
      </c>
      <c r="M3381" s="55">
        <v>0.8983814</v>
      </c>
      <c r="N3381" s="55">
        <v>0.74061739999999998</v>
      </c>
    </row>
    <row r="3382" spans="1:14" hidden="1" x14ac:dyDescent="0.35">
      <c r="A3382" s="52" t="s">
        <v>232</v>
      </c>
      <c r="B3382" s="52" t="s">
        <v>37</v>
      </c>
      <c r="C3382" s="52" t="s">
        <v>35</v>
      </c>
      <c r="D3382" s="52" t="s">
        <v>129</v>
      </c>
      <c r="E3382" s="52" t="s">
        <v>583</v>
      </c>
      <c r="F3382" s="52" t="s">
        <v>581</v>
      </c>
      <c r="G3382" s="55" t="s">
        <v>276</v>
      </c>
      <c r="H3382" s="55">
        <v>-0.66634199999999999</v>
      </c>
      <c r="I3382" s="55">
        <v>-0.7666385</v>
      </c>
      <c r="J3382" s="55">
        <v>-0.88001010000000002</v>
      </c>
      <c r="K3382" s="55">
        <v>-1.1633530000000001</v>
      </c>
      <c r="L3382" s="55">
        <v>-1.002219</v>
      </c>
      <c r="M3382" s="55">
        <v>-0.62878840000000003</v>
      </c>
      <c r="N3382" s="55">
        <v>-0.10059700000000001</v>
      </c>
    </row>
    <row r="3383" spans="1:14" hidden="1" x14ac:dyDescent="0.35">
      <c r="A3383" s="52" t="s">
        <v>232</v>
      </c>
      <c r="B3383" s="52" t="s">
        <v>37</v>
      </c>
      <c r="C3383" s="52" t="s">
        <v>35</v>
      </c>
      <c r="D3383" s="52" t="s">
        <v>129</v>
      </c>
      <c r="E3383" s="52" t="s">
        <v>583</v>
      </c>
      <c r="F3383" s="52" t="s">
        <v>581</v>
      </c>
      <c r="G3383" s="55" t="s">
        <v>277</v>
      </c>
      <c r="H3383" s="55">
        <v>7.8087109999999997</v>
      </c>
      <c r="I3383" s="55">
        <v>5.8340500000000004</v>
      </c>
      <c r="J3383" s="55">
        <v>1.5820890000000001</v>
      </c>
      <c r="K3383" s="55">
        <v>1.2074039999999999</v>
      </c>
      <c r="L3383" s="55">
        <v>1.637594</v>
      </c>
      <c r="M3383" s="55">
        <v>0</v>
      </c>
      <c r="N3383" s="55">
        <v>0</v>
      </c>
    </row>
    <row r="3384" spans="1:14" hidden="1" x14ac:dyDescent="0.35">
      <c r="A3384" s="52" t="s">
        <v>232</v>
      </c>
      <c r="B3384" s="52" t="s">
        <v>37</v>
      </c>
      <c r="C3384" s="52" t="s">
        <v>35</v>
      </c>
      <c r="D3384" s="52" t="s">
        <v>129</v>
      </c>
      <c r="E3384" s="52" t="s">
        <v>583</v>
      </c>
      <c r="F3384" s="52" t="s">
        <v>581</v>
      </c>
      <c r="G3384" s="55" t="s">
        <v>278</v>
      </c>
      <c r="H3384" s="55">
        <v>0.54299989999999998</v>
      </c>
      <c r="I3384" s="55">
        <v>0.583538</v>
      </c>
      <c r="J3384" s="55">
        <v>0.28226400000000001</v>
      </c>
      <c r="K3384" s="55">
        <v>0.16531399999999999</v>
      </c>
      <c r="L3384" s="55">
        <v>4.0917599999999998E-2</v>
      </c>
      <c r="M3384" s="55">
        <v>0</v>
      </c>
      <c r="N3384" s="55"/>
    </row>
    <row r="3385" spans="1:14" hidden="1" x14ac:dyDescent="0.35">
      <c r="A3385" s="52" t="s">
        <v>232</v>
      </c>
      <c r="B3385" s="52" t="s">
        <v>37</v>
      </c>
      <c r="C3385" s="52" t="s">
        <v>35</v>
      </c>
      <c r="D3385" s="52" t="s">
        <v>129</v>
      </c>
      <c r="E3385" s="52" t="s">
        <v>583</v>
      </c>
      <c r="F3385" s="52" t="s">
        <v>581</v>
      </c>
      <c r="G3385" s="55" t="s">
        <v>279</v>
      </c>
      <c r="H3385" s="55">
        <v>2.3644669999999999</v>
      </c>
      <c r="I3385" s="55">
        <v>1.7414860000000001</v>
      </c>
      <c r="J3385" s="55">
        <v>2.2477360000000002</v>
      </c>
      <c r="K3385" s="55">
        <v>1.977279</v>
      </c>
      <c r="L3385" s="55">
        <v>1.9331370000000001</v>
      </c>
      <c r="M3385" s="55">
        <v>1.4469780000000001</v>
      </c>
      <c r="N3385" s="55">
        <v>0.81445990000000001</v>
      </c>
    </row>
    <row r="3386" spans="1:14" hidden="1" x14ac:dyDescent="0.35">
      <c r="A3386" s="52" t="s">
        <v>232</v>
      </c>
      <c r="B3386" s="52" t="s">
        <v>37</v>
      </c>
      <c r="C3386" s="52" t="s">
        <v>35</v>
      </c>
      <c r="D3386" s="52" t="s">
        <v>129</v>
      </c>
      <c r="E3386" s="52" t="s">
        <v>583</v>
      </c>
      <c r="F3386" s="52" t="s">
        <v>26</v>
      </c>
      <c r="G3386" s="55" t="s">
        <v>275</v>
      </c>
      <c r="H3386" s="55">
        <v>-8.0990000000000006E-2</v>
      </c>
      <c r="I3386" s="55">
        <v>-5.6822600000000001E-2</v>
      </c>
      <c r="J3386" s="55">
        <v>-6.2401900000000003E-2</v>
      </c>
      <c r="K3386" s="55">
        <v>-5.4583600000000003E-2</v>
      </c>
      <c r="L3386" s="55">
        <v>-4.9899100000000002E-2</v>
      </c>
      <c r="M3386" s="55">
        <v>-5.1673999999999998E-2</v>
      </c>
      <c r="N3386" s="55">
        <v>-4.3100399999999997E-2</v>
      </c>
    </row>
    <row r="3387" spans="1:14" hidden="1" x14ac:dyDescent="0.35">
      <c r="A3387" s="52" t="s">
        <v>232</v>
      </c>
      <c r="B3387" s="52" t="s">
        <v>37</v>
      </c>
      <c r="C3387" s="52" t="s">
        <v>35</v>
      </c>
      <c r="D3387" s="52" t="s">
        <v>129</v>
      </c>
      <c r="E3387" s="52" t="s">
        <v>583</v>
      </c>
      <c r="F3387" s="52" t="s">
        <v>26</v>
      </c>
      <c r="G3387" s="55" t="s">
        <v>276</v>
      </c>
      <c r="H3387" s="55">
        <v>-2.1529E-2</v>
      </c>
      <c r="I3387" s="55">
        <v>-1.5105199999999999E-2</v>
      </c>
      <c r="J3387" s="55">
        <v>-1.65877E-2</v>
      </c>
      <c r="K3387" s="55">
        <v>-1.45098E-2</v>
      </c>
      <c r="L3387" s="55">
        <v>-1.3264400000000001E-2</v>
      </c>
      <c r="M3387" s="55">
        <v>-1.3736699999999999E-2</v>
      </c>
      <c r="N3387" s="55">
        <v>-1.1456600000000001E-2</v>
      </c>
    </row>
    <row r="3388" spans="1:14" hidden="1" x14ac:dyDescent="0.35">
      <c r="A3388" s="52" t="s">
        <v>232</v>
      </c>
      <c r="B3388" s="52" t="s">
        <v>37</v>
      </c>
      <c r="C3388" s="52" t="s">
        <v>35</v>
      </c>
      <c r="D3388" s="52" t="s">
        <v>129</v>
      </c>
      <c r="E3388" s="52" t="s">
        <v>583</v>
      </c>
      <c r="F3388" s="52" t="s">
        <v>26</v>
      </c>
      <c r="G3388" s="55" t="s">
        <v>279</v>
      </c>
      <c r="H3388" s="55">
        <v>0.192415</v>
      </c>
      <c r="I3388" s="55">
        <v>0.1297219</v>
      </c>
      <c r="J3388" s="55">
        <v>0.1539826</v>
      </c>
      <c r="K3388" s="55">
        <v>0.12842690000000001</v>
      </c>
      <c r="L3388" s="55">
        <v>0.1209561</v>
      </c>
      <c r="M3388" s="55">
        <v>0.11413909999999999</v>
      </c>
      <c r="N3388" s="55">
        <v>9.5682589999999998E-2</v>
      </c>
    </row>
    <row r="3389" spans="1:14" hidden="1" x14ac:dyDescent="0.35">
      <c r="A3389" s="52" t="s">
        <v>232</v>
      </c>
      <c r="B3389" s="52" t="s">
        <v>37</v>
      </c>
      <c r="C3389" s="52" t="s">
        <v>35</v>
      </c>
      <c r="D3389" s="52" t="s">
        <v>38</v>
      </c>
      <c r="E3389" s="52" t="s">
        <v>584</v>
      </c>
      <c r="F3389" s="52" t="s">
        <v>581</v>
      </c>
      <c r="G3389" s="55" t="s">
        <v>275</v>
      </c>
      <c r="H3389" s="55">
        <v>95.710620000000006</v>
      </c>
      <c r="I3389" s="55">
        <v>24.831209999999999</v>
      </c>
      <c r="J3389" s="55">
        <v>25.687169999999998</v>
      </c>
      <c r="K3389" s="55">
        <v>23.31879</v>
      </c>
      <c r="L3389" s="55">
        <v>21.779060000000001</v>
      </c>
      <c r="M3389" s="55">
        <v>20.920819999999999</v>
      </c>
      <c r="N3389" s="55">
        <v>20.053830000000001</v>
      </c>
    </row>
    <row r="3390" spans="1:14" hidden="1" x14ac:dyDescent="0.35">
      <c r="A3390" s="52" t="s">
        <v>232</v>
      </c>
      <c r="B3390" s="52" t="s">
        <v>37</v>
      </c>
      <c r="C3390" s="52" t="s">
        <v>35</v>
      </c>
      <c r="D3390" s="52" t="s">
        <v>38</v>
      </c>
      <c r="E3390" s="52" t="s">
        <v>584</v>
      </c>
      <c r="F3390" s="52" t="s">
        <v>581</v>
      </c>
      <c r="G3390" s="55" t="s">
        <v>276</v>
      </c>
      <c r="H3390" s="55">
        <v>28.96463</v>
      </c>
      <c r="I3390" s="55">
        <v>3.6874989999999999</v>
      </c>
      <c r="J3390" s="55">
        <v>3.4589720000000002</v>
      </c>
      <c r="K3390" s="55">
        <v>3.3255750000000002</v>
      </c>
      <c r="L3390" s="55">
        <v>3.7085400000000002</v>
      </c>
      <c r="M3390" s="55">
        <v>3.9699909999999998</v>
      </c>
      <c r="N3390" s="55">
        <v>3.8468650000000002</v>
      </c>
    </row>
    <row r="3391" spans="1:14" hidden="1" x14ac:dyDescent="0.35">
      <c r="A3391" s="52" t="s">
        <v>232</v>
      </c>
      <c r="B3391" s="52" t="s">
        <v>37</v>
      </c>
      <c r="C3391" s="52" t="s">
        <v>35</v>
      </c>
      <c r="D3391" s="52" t="s">
        <v>38</v>
      </c>
      <c r="E3391" s="52" t="s">
        <v>584</v>
      </c>
      <c r="F3391" s="52" t="s">
        <v>581</v>
      </c>
      <c r="G3391" s="55" t="s">
        <v>277</v>
      </c>
      <c r="H3391" s="55">
        <v>51.106090000000002</v>
      </c>
      <c r="I3391" s="55">
        <v>42.190199999999997</v>
      </c>
      <c r="J3391" s="55">
        <v>39.411340000000003</v>
      </c>
      <c r="K3391" s="55">
        <v>38.195839999999997</v>
      </c>
      <c r="L3391" s="55">
        <v>35.726779999999998</v>
      </c>
      <c r="M3391" s="55">
        <v>32.420119999999997</v>
      </c>
      <c r="N3391" s="55">
        <v>30.290120000000002</v>
      </c>
    </row>
    <row r="3392" spans="1:14" hidden="1" x14ac:dyDescent="0.35">
      <c r="A3392" s="52" t="s">
        <v>232</v>
      </c>
      <c r="B3392" s="52" t="s">
        <v>37</v>
      </c>
      <c r="C3392" s="52" t="s">
        <v>35</v>
      </c>
      <c r="D3392" s="52" t="s">
        <v>38</v>
      </c>
      <c r="E3392" s="52" t="s">
        <v>584</v>
      </c>
      <c r="F3392" s="52" t="s">
        <v>581</v>
      </c>
      <c r="G3392" s="55" t="s">
        <v>279</v>
      </c>
      <c r="H3392" s="55">
        <v>50.14152</v>
      </c>
      <c r="I3392" s="55">
        <v>37.176290000000002</v>
      </c>
      <c r="J3392" s="55">
        <v>35.08849</v>
      </c>
      <c r="K3392" s="55">
        <v>35.79945</v>
      </c>
      <c r="L3392" s="55">
        <v>35.703879999999998</v>
      </c>
      <c r="M3392" s="55">
        <v>34.152729999999998</v>
      </c>
      <c r="N3392" s="55">
        <v>32.369909999999997</v>
      </c>
    </row>
    <row r="3393" spans="1:14" hidden="1" x14ac:dyDescent="0.35">
      <c r="A3393" s="52" t="s">
        <v>232</v>
      </c>
      <c r="B3393" s="52" t="s">
        <v>37</v>
      </c>
      <c r="C3393" s="52" t="s">
        <v>35</v>
      </c>
      <c r="D3393" s="52" t="s">
        <v>38</v>
      </c>
      <c r="E3393" s="52" t="s">
        <v>584</v>
      </c>
      <c r="F3393" s="52" t="s">
        <v>26</v>
      </c>
      <c r="G3393" s="55" t="s">
        <v>275</v>
      </c>
      <c r="H3393" s="55">
        <v>-8.5069510000000008</v>
      </c>
      <c r="I3393" s="55">
        <v>-5.8350780000000002</v>
      </c>
      <c r="J3393" s="55">
        <v>-4.2346009999999996</v>
      </c>
      <c r="K3393" s="55">
        <v>-4.2963180000000003</v>
      </c>
      <c r="L3393" s="55">
        <v>-3.959441</v>
      </c>
      <c r="M3393" s="55">
        <v>-3.6254140000000001</v>
      </c>
      <c r="N3393" s="55">
        <v>-3.126652</v>
      </c>
    </row>
    <row r="3394" spans="1:14" hidden="1" x14ac:dyDescent="0.35">
      <c r="A3394" s="52" t="s">
        <v>232</v>
      </c>
      <c r="B3394" s="52" t="s">
        <v>37</v>
      </c>
      <c r="C3394" s="52" t="s">
        <v>35</v>
      </c>
      <c r="D3394" s="52" t="s">
        <v>38</v>
      </c>
      <c r="E3394" s="52" t="s">
        <v>584</v>
      </c>
      <c r="F3394" s="52" t="s">
        <v>26</v>
      </c>
      <c r="G3394" s="55" t="s">
        <v>276</v>
      </c>
      <c r="H3394" s="55">
        <v>-2.2613400000000001</v>
      </c>
      <c r="I3394" s="55">
        <v>-1.551099</v>
      </c>
      <c r="J3394" s="55">
        <v>-1.1256539999999999</v>
      </c>
      <c r="K3394" s="55">
        <v>-1.142058</v>
      </c>
      <c r="L3394" s="55">
        <v>-1.0525119999999999</v>
      </c>
      <c r="M3394" s="55">
        <v>-0.96371850000000003</v>
      </c>
      <c r="N3394" s="55">
        <v>-0.83113519999999996</v>
      </c>
    </row>
    <row r="3395" spans="1:14" hidden="1" x14ac:dyDescent="0.35">
      <c r="A3395" s="52" t="s">
        <v>232</v>
      </c>
      <c r="B3395" s="52" t="s">
        <v>37</v>
      </c>
      <c r="C3395" s="52" t="s">
        <v>35</v>
      </c>
      <c r="D3395" s="52" t="s">
        <v>38</v>
      </c>
      <c r="E3395" s="52" t="s">
        <v>584</v>
      </c>
      <c r="F3395" s="52" t="s">
        <v>26</v>
      </c>
      <c r="G3395" s="55" t="s">
        <v>279</v>
      </c>
      <c r="H3395" s="55">
        <v>33.056640000000002</v>
      </c>
      <c r="I3395" s="55">
        <v>20.419</v>
      </c>
      <c r="J3395" s="55">
        <v>15.90893</v>
      </c>
      <c r="K3395" s="55">
        <v>13.66766</v>
      </c>
      <c r="L3395" s="55">
        <v>11.403359999999999</v>
      </c>
      <c r="M3395" s="55">
        <v>9.5070370000000004</v>
      </c>
      <c r="N3395" s="55">
        <v>7.7763249999999999</v>
      </c>
    </row>
    <row r="3396" spans="1:14" hidden="1" x14ac:dyDescent="0.35">
      <c r="A3396" s="52" t="s">
        <v>232</v>
      </c>
      <c r="B3396" s="52" t="s">
        <v>37</v>
      </c>
      <c r="C3396" s="52" t="s">
        <v>35</v>
      </c>
      <c r="D3396" s="52" t="s">
        <v>38</v>
      </c>
      <c r="E3396" s="52" t="s">
        <v>586</v>
      </c>
      <c r="F3396" s="52" t="s">
        <v>581</v>
      </c>
      <c r="G3396" s="55" t="s">
        <v>275</v>
      </c>
      <c r="H3396" s="55">
        <v>23.254339999999999</v>
      </c>
      <c r="I3396" s="55">
        <v>7.0433640000000004</v>
      </c>
      <c r="J3396" s="55">
        <v>6.5288130000000004</v>
      </c>
      <c r="K3396" s="55">
        <v>6.2111010000000002</v>
      </c>
      <c r="L3396" s="55">
        <v>4.93438</v>
      </c>
      <c r="M3396" s="55">
        <v>5.2636399999999997</v>
      </c>
      <c r="N3396" s="55">
        <v>4.6817120000000001</v>
      </c>
    </row>
    <row r="3397" spans="1:14" hidden="1" x14ac:dyDescent="0.35">
      <c r="A3397" s="52" t="s">
        <v>232</v>
      </c>
      <c r="B3397" s="52" t="s">
        <v>37</v>
      </c>
      <c r="C3397" s="52" t="s">
        <v>35</v>
      </c>
      <c r="D3397" s="52" t="s">
        <v>38</v>
      </c>
      <c r="E3397" s="52" t="s">
        <v>586</v>
      </c>
      <c r="F3397" s="52" t="s">
        <v>581</v>
      </c>
      <c r="G3397" s="55" t="s">
        <v>276</v>
      </c>
      <c r="H3397" s="55">
        <v>1.670051</v>
      </c>
      <c r="I3397" s="55">
        <v>1.0953889999999999</v>
      </c>
      <c r="J3397" s="55">
        <v>2.0592229999999998</v>
      </c>
      <c r="K3397" s="55">
        <v>1.7266919999999999</v>
      </c>
      <c r="L3397" s="55">
        <v>1.517142</v>
      </c>
      <c r="M3397" s="55">
        <v>1.062867</v>
      </c>
      <c r="N3397" s="55">
        <v>0.95861320000000005</v>
      </c>
    </row>
    <row r="3398" spans="1:14" hidden="1" x14ac:dyDescent="0.35">
      <c r="A3398" s="52" t="s">
        <v>232</v>
      </c>
      <c r="B3398" s="52" t="s">
        <v>37</v>
      </c>
      <c r="C3398" s="52" t="s">
        <v>35</v>
      </c>
      <c r="D3398" s="52" t="s">
        <v>38</v>
      </c>
      <c r="E3398" s="52" t="s">
        <v>586</v>
      </c>
      <c r="F3398" s="52" t="s">
        <v>581</v>
      </c>
      <c r="G3398" s="55" t="s">
        <v>277</v>
      </c>
      <c r="H3398" s="55">
        <v>0</v>
      </c>
      <c r="I3398" s="55">
        <v>1.661289</v>
      </c>
      <c r="J3398" s="55">
        <v>1.8544849999999999</v>
      </c>
      <c r="K3398" s="55">
        <v>0.99238999999999999</v>
      </c>
      <c r="L3398" s="55">
        <v>1.6740409999999999</v>
      </c>
      <c r="M3398" s="55">
        <v>0</v>
      </c>
      <c r="N3398" s="55">
        <v>0</v>
      </c>
    </row>
    <row r="3399" spans="1:14" hidden="1" x14ac:dyDescent="0.35">
      <c r="A3399" s="52" t="s">
        <v>232</v>
      </c>
      <c r="B3399" s="52" t="s">
        <v>37</v>
      </c>
      <c r="C3399" s="52" t="s">
        <v>35</v>
      </c>
      <c r="D3399" s="52" t="s">
        <v>38</v>
      </c>
      <c r="E3399" s="52" t="s">
        <v>586</v>
      </c>
      <c r="F3399" s="52" t="s">
        <v>581</v>
      </c>
      <c r="G3399" s="55" t="s">
        <v>279</v>
      </c>
      <c r="H3399" s="55">
        <v>11.70229</v>
      </c>
      <c r="I3399" s="55">
        <v>10.288729999999999</v>
      </c>
      <c r="J3399" s="55">
        <v>10.119339999999999</v>
      </c>
      <c r="K3399" s="55">
        <v>9.1909620000000007</v>
      </c>
      <c r="L3399" s="55">
        <v>7.8088819999999997</v>
      </c>
      <c r="M3399" s="55">
        <v>7.7833750000000004</v>
      </c>
      <c r="N3399" s="55">
        <v>6.8510540000000004</v>
      </c>
    </row>
    <row r="3400" spans="1:14" hidden="1" x14ac:dyDescent="0.35">
      <c r="A3400" s="52" t="s">
        <v>232</v>
      </c>
      <c r="B3400" s="52" t="s">
        <v>37</v>
      </c>
      <c r="C3400" s="52" t="s">
        <v>35</v>
      </c>
      <c r="D3400" s="52" t="s">
        <v>38</v>
      </c>
      <c r="E3400" s="52" t="s">
        <v>586</v>
      </c>
      <c r="F3400" s="52" t="s">
        <v>26</v>
      </c>
      <c r="G3400" s="55" t="s">
        <v>275</v>
      </c>
      <c r="H3400" s="55">
        <v>-0.95828190000000002</v>
      </c>
      <c r="I3400" s="55">
        <v>-0.52666060000000003</v>
      </c>
      <c r="J3400" s="55">
        <v>-0.47722039999999999</v>
      </c>
      <c r="K3400" s="55">
        <v>-0.46422400000000003</v>
      </c>
      <c r="L3400" s="55">
        <v>-0.398262</v>
      </c>
      <c r="M3400" s="55">
        <v>-0.43099599999999999</v>
      </c>
      <c r="N3400" s="55">
        <v>-0.3777336</v>
      </c>
    </row>
    <row r="3401" spans="1:14" hidden="1" x14ac:dyDescent="0.35">
      <c r="A3401" s="52" t="s">
        <v>232</v>
      </c>
      <c r="B3401" s="52" t="s">
        <v>37</v>
      </c>
      <c r="C3401" s="52" t="s">
        <v>35</v>
      </c>
      <c r="D3401" s="52" t="s">
        <v>38</v>
      </c>
      <c r="E3401" s="52" t="s">
        <v>586</v>
      </c>
      <c r="F3401" s="52" t="s">
        <v>26</v>
      </c>
      <c r="G3401" s="55" t="s">
        <v>276</v>
      </c>
      <c r="H3401" s="55">
        <v>-0.25473299999999999</v>
      </c>
      <c r="I3401" s="55">
        <v>-0.1399987</v>
      </c>
      <c r="J3401" s="55">
        <v>-0.12685669999999999</v>
      </c>
      <c r="K3401" s="55">
        <v>-0.1234016</v>
      </c>
      <c r="L3401" s="55">
        <v>-0.1058663</v>
      </c>
      <c r="M3401" s="55">
        <v>-0.11456860000000001</v>
      </c>
      <c r="N3401" s="55">
        <v>-0.10041070000000001</v>
      </c>
    </row>
    <row r="3402" spans="1:14" hidden="1" x14ac:dyDescent="0.35">
      <c r="A3402" s="52" t="s">
        <v>232</v>
      </c>
      <c r="B3402" s="52" t="s">
        <v>37</v>
      </c>
      <c r="C3402" s="52" t="s">
        <v>35</v>
      </c>
      <c r="D3402" s="52" t="s">
        <v>38</v>
      </c>
      <c r="E3402" s="52" t="s">
        <v>586</v>
      </c>
      <c r="F3402" s="52" t="s">
        <v>26</v>
      </c>
      <c r="G3402" s="55" t="s">
        <v>279</v>
      </c>
      <c r="H3402" s="55">
        <v>2.5445869999999999</v>
      </c>
      <c r="I3402" s="55">
        <v>1.297925</v>
      </c>
      <c r="J3402" s="55">
        <v>1.281507</v>
      </c>
      <c r="K3402" s="55">
        <v>1.181594</v>
      </c>
      <c r="L3402" s="55">
        <v>1.0243800000000001</v>
      </c>
      <c r="M3402" s="55">
        <v>1.0042819999999999</v>
      </c>
      <c r="N3402" s="55">
        <v>0.882328</v>
      </c>
    </row>
    <row r="3403" spans="1:14" hidden="1" x14ac:dyDescent="0.35">
      <c r="A3403" s="52" t="s">
        <v>232</v>
      </c>
      <c r="B3403" s="52" t="s">
        <v>37</v>
      </c>
      <c r="C3403" s="52" t="s">
        <v>35</v>
      </c>
      <c r="D3403" s="52" t="s">
        <v>38</v>
      </c>
      <c r="E3403" s="52" t="s">
        <v>644</v>
      </c>
      <c r="F3403" s="52" t="s">
        <v>581</v>
      </c>
      <c r="G3403" s="55" t="s">
        <v>275</v>
      </c>
      <c r="H3403" s="55">
        <v>12.79804</v>
      </c>
      <c r="I3403" s="55">
        <v>3.225784</v>
      </c>
      <c r="J3403" s="55">
        <v>3.431155</v>
      </c>
      <c r="K3403" s="55">
        <v>2.5940340000000002</v>
      </c>
      <c r="L3403" s="55">
        <v>2.2270509999999999</v>
      </c>
      <c r="M3403" s="55">
        <v>1.7744800000000001</v>
      </c>
      <c r="N3403" s="55">
        <v>1.5921190000000001</v>
      </c>
    </row>
    <row r="3404" spans="1:14" hidden="1" x14ac:dyDescent="0.35">
      <c r="A3404" s="52" t="s">
        <v>232</v>
      </c>
      <c r="B3404" s="52" t="s">
        <v>37</v>
      </c>
      <c r="C3404" s="52" t="s">
        <v>35</v>
      </c>
      <c r="D3404" s="52" t="s">
        <v>38</v>
      </c>
      <c r="E3404" s="52" t="s">
        <v>644</v>
      </c>
      <c r="F3404" s="52" t="s">
        <v>581</v>
      </c>
      <c r="G3404" s="55" t="s">
        <v>276</v>
      </c>
      <c r="H3404" s="55">
        <v>0.84121400000000002</v>
      </c>
      <c r="I3404" s="55">
        <v>0.57010879999999997</v>
      </c>
      <c r="J3404" s="55">
        <v>2.367561E-2</v>
      </c>
      <c r="K3404" s="55">
        <v>0.42844460000000001</v>
      </c>
      <c r="L3404" s="55">
        <v>0.59200079999999999</v>
      </c>
      <c r="M3404" s="55">
        <v>0.47169749999999999</v>
      </c>
      <c r="N3404" s="55">
        <v>0.42322149999999997</v>
      </c>
    </row>
    <row r="3405" spans="1:14" hidden="1" x14ac:dyDescent="0.35">
      <c r="A3405" s="52" t="s">
        <v>232</v>
      </c>
      <c r="B3405" s="52" t="s">
        <v>37</v>
      </c>
      <c r="C3405" s="52" t="s">
        <v>35</v>
      </c>
      <c r="D3405" s="52" t="s">
        <v>38</v>
      </c>
      <c r="E3405" s="52" t="s">
        <v>644</v>
      </c>
      <c r="F3405" s="52" t="s">
        <v>581</v>
      </c>
      <c r="G3405" s="55" t="s">
        <v>277</v>
      </c>
      <c r="H3405" s="55">
        <v>0</v>
      </c>
      <c r="I3405" s="55"/>
      <c r="J3405" s="55"/>
      <c r="K3405" s="55"/>
      <c r="L3405" s="55"/>
      <c r="M3405" s="55"/>
      <c r="N3405" s="55"/>
    </row>
    <row r="3406" spans="1:14" hidden="1" x14ac:dyDescent="0.35">
      <c r="A3406" s="52" t="s">
        <v>232</v>
      </c>
      <c r="B3406" s="52" t="s">
        <v>37</v>
      </c>
      <c r="C3406" s="52" t="s">
        <v>35</v>
      </c>
      <c r="D3406" s="52" t="s">
        <v>38</v>
      </c>
      <c r="E3406" s="52" t="s">
        <v>644</v>
      </c>
      <c r="F3406" s="52" t="s">
        <v>581</v>
      </c>
      <c r="G3406" s="55" t="s">
        <v>279</v>
      </c>
      <c r="H3406" s="55">
        <v>6.233409</v>
      </c>
      <c r="I3406" s="55">
        <v>3.958656</v>
      </c>
      <c r="J3406" s="55">
        <v>3.3923190000000001</v>
      </c>
      <c r="K3406" s="55">
        <v>3.159154</v>
      </c>
      <c r="L3406" s="55">
        <v>2.7800940000000001</v>
      </c>
      <c r="M3406" s="55">
        <v>2.8402820000000002</v>
      </c>
      <c r="N3406" s="55">
        <v>2.5791970000000002</v>
      </c>
    </row>
    <row r="3407" spans="1:14" hidden="1" x14ac:dyDescent="0.35">
      <c r="A3407" s="52" t="s">
        <v>232</v>
      </c>
      <c r="B3407" s="52" t="s">
        <v>37</v>
      </c>
      <c r="C3407" s="52" t="s">
        <v>35</v>
      </c>
      <c r="D3407" s="52" t="s">
        <v>38</v>
      </c>
      <c r="E3407" s="52" t="s">
        <v>644</v>
      </c>
      <c r="F3407" s="52" t="s">
        <v>26</v>
      </c>
      <c r="G3407" s="55" t="s">
        <v>275</v>
      </c>
      <c r="H3407" s="55">
        <v>-0.77923200000000004</v>
      </c>
      <c r="I3407" s="55">
        <v>-0.32240449999999998</v>
      </c>
      <c r="J3407" s="55">
        <v>-0.2636251</v>
      </c>
      <c r="K3407" s="55">
        <v>-0.260764</v>
      </c>
      <c r="L3407" s="55">
        <v>-0.23404810000000001</v>
      </c>
      <c r="M3407" s="55">
        <v>-0.25617580000000001</v>
      </c>
      <c r="N3407" s="55">
        <v>-0.23641490000000001</v>
      </c>
    </row>
    <row r="3408" spans="1:14" hidden="1" x14ac:dyDescent="0.35">
      <c r="A3408" s="52" t="s">
        <v>232</v>
      </c>
      <c r="B3408" s="52" t="s">
        <v>37</v>
      </c>
      <c r="C3408" s="52" t="s">
        <v>35</v>
      </c>
      <c r="D3408" s="52" t="s">
        <v>38</v>
      </c>
      <c r="E3408" s="52" t="s">
        <v>644</v>
      </c>
      <c r="F3408" s="52" t="s">
        <v>26</v>
      </c>
      <c r="G3408" s="55" t="s">
        <v>276</v>
      </c>
      <c r="H3408" s="55">
        <v>-0.20713699999999999</v>
      </c>
      <c r="I3408" s="55">
        <v>-8.5702700000000007E-2</v>
      </c>
      <c r="J3408" s="55">
        <v>-7.0078100000000004E-2</v>
      </c>
      <c r="K3408" s="55">
        <v>-6.9317299999999998E-2</v>
      </c>
      <c r="L3408" s="55">
        <v>-6.2215399999999997E-2</v>
      </c>
      <c r="M3408" s="55">
        <v>-6.80978E-2</v>
      </c>
      <c r="N3408" s="55">
        <v>-6.28446E-2</v>
      </c>
    </row>
    <row r="3409" spans="1:14" hidden="1" x14ac:dyDescent="0.35">
      <c r="A3409" s="52" t="s">
        <v>232</v>
      </c>
      <c r="B3409" s="52" t="s">
        <v>37</v>
      </c>
      <c r="C3409" s="52" t="s">
        <v>35</v>
      </c>
      <c r="D3409" s="52" t="s">
        <v>38</v>
      </c>
      <c r="E3409" s="52" t="s">
        <v>644</v>
      </c>
      <c r="F3409" s="52" t="s">
        <v>26</v>
      </c>
      <c r="G3409" s="55" t="s">
        <v>279</v>
      </c>
      <c r="H3409" s="55">
        <v>1.9583600000000001</v>
      </c>
      <c r="I3409" s="55">
        <v>0.73559059999999998</v>
      </c>
      <c r="J3409" s="55">
        <v>0.63694099999999998</v>
      </c>
      <c r="K3409" s="55">
        <v>0.60256589999999999</v>
      </c>
      <c r="L3409" s="55">
        <v>0.54210999999999998</v>
      </c>
      <c r="M3409" s="55">
        <v>0.54661490000000001</v>
      </c>
      <c r="N3409" s="55">
        <v>0.49912659999999998</v>
      </c>
    </row>
    <row r="3410" spans="1:14" hidden="1" x14ac:dyDescent="0.35">
      <c r="A3410" s="52" t="s">
        <v>232</v>
      </c>
      <c r="B3410" s="52" t="s">
        <v>37</v>
      </c>
      <c r="C3410" s="52" t="s">
        <v>35</v>
      </c>
      <c r="D3410" s="52" t="s">
        <v>39</v>
      </c>
      <c r="E3410" s="52" t="s">
        <v>582</v>
      </c>
      <c r="F3410" s="52" t="s">
        <v>581</v>
      </c>
      <c r="G3410" s="55" t="s">
        <v>275</v>
      </c>
      <c r="H3410" s="55">
        <v>-74.110789999999994</v>
      </c>
      <c r="I3410" s="55">
        <v>1.5132730000000001</v>
      </c>
      <c r="J3410" s="55">
        <v>43.542160000000003</v>
      </c>
      <c r="K3410" s="55">
        <v>48.840490000000003</v>
      </c>
      <c r="L3410" s="55">
        <v>46.978969999999997</v>
      </c>
      <c r="M3410" s="55">
        <v>34.56035</v>
      </c>
      <c r="N3410" s="55">
        <v>28.787279999999999</v>
      </c>
    </row>
    <row r="3411" spans="1:14" hidden="1" x14ac:dyDescent="0.35">
      <c r="A3411" s="52" t="s">
        <v>232</v>
      </c>
      <c r="B3411" s="52" t="s">
        <v>37</v>
      </c>
      <c r="C3411" s="52" t="s">
        <v>35</v>
      </c>
      <c r="D3411" s="52" t="s">
        <v>39</v>
      </c>
      <c r="E3411" s="52" t="s">
        <v>582</v>
      </c>
      <c r="F3411" s="52" t="s">
        <v>581</v>
      </c>
      <c r="G3411" s="55" t="s">
        <v>276</v>
      </c>
      <c r="H3411" s="55">
        <v>6.7011729999999998</v>
      </c>
      <c r="I3411" s="55">
        <v>1.239598</v>
      </c>
      <c r="J3411" s="55">
        <v>0.57109220000000005</v>
      </c>
      <c r="K3411" s="55">
        <v>-3.1211359999999999</v>
      </c>
      <c r="L3411" s="55">
        <v>-4.729247</v>
      </c>
      <c r="M3411" s="55">
        <v>3.0178020000000001</v>
      </c>
      <c r="N3411" s="55">
        <v>5.9538099999999998</v>
      </c>
    </row>
    <row r="3412" spans="1:14" hidden="1" x14ac:dyDescent="0.35">
      <c r="A3412" s="52" t="s">
        <v>232</v>
      </c>
      <c r="B3412" s="52" t="s">
        <v>37</v>
      </c>
      <c r="C3412" s="52" t="s">
        <v>35</v>
      </c>
      <c r="D3412" s="52" t="s">
        <v>39</v>
      </c>
      <c r="E3412" s="52" t="s">
        <v>582</v>
      </c>
      <c r="F3412" s="52" t="s">
        <v>581</v>
      </c>
      <c r="G3412" s="55" t="s">
        <v>277</v>
      </c>
      <c r="H3412" s="55">
        <v>121.2118</v>
      </c>
      <c r="I3412" s="55">
        <v>40.429720000000003</v>
      </c>
      <c r="J3412" s="55">
        <v>12.90141</v>
      </c>
      <c r="K3412" s="55">
        <v>5.2612329999999998</v>
      </c>
      <c r="L3412" s="55">
        <v>5.6858120000000003</v>
      </c>
      <c r="M3412" s="55">
        <v>7.5021089999999999</v>
      </c>
      <c r="N3412" s="55">
        <v>7.9100400000000004</v>
      </c>
    </row>
    <row r="3413" spans="1:14" hidden="1" x14ac:dyDescent="0.35">
      <c r="A3413" s="52" t="s">
        <v>232</v>
      </c>
      <c r="B3413" s="52" t="s">
        <v>37</v>
      </c>
      <c r="C3413" s="52" t="s">
        <v>35</v>
      </c>
      <c r="D3413" s="52" t="s">
        <v>39</v>
      </c>
      <c r="E3413" s="52" t="s">
        <v>582</v>
      </c>
      <c r="F3413" s="52" t="s">
        <v>581</v>
      </c>
      <c r="G3413" s="55" t="s">
        <v>278</v>
      </c>
      <c r="H3413" s="55">
        <v>36.555149999999998</v>
      </c>
      <c r="I3413" s="55">
        <v>20.842479999999998</v>
      </c>
      <c r="J3413" s="55">
        <v>10.9177</v>
      </c>
      <c r="K3413" s="55">
        <v>9.6591020000000007</v>
      </c>
      <c r="L3413" s="55">
        <v>8.7663650000000004</v>
      </c>
      <c r="M3413" s="55">
        <v>3.1862189999999999</v>
      </c>
      <c r="N3413" s="55">
        <v>2.65815</v>
      </c>
    </row>
    <row r="3414" spans="1:14" hidden="1" x14ac:dyDescent="0.35">
      <c r="A3414" s="52" t="s">
        <v>232</v>
      </c>
      <c r="B3414" s="52" t="s">
        <v>37</v>
      </c>
      <c r="C3414" s="52" t="s">
        <v>35</v>
      </c>
      <c r="D3414" s="52" t="s">
        <v>39</v>
      </c>
      <c r="E3414" s="52" t="s">
        <v>582</v>
      </c>
      <c r="F3414" s="52" t="s">
        <v>581</v>
      </c>
      <c r="G3414" s="55" t="s">
        <v>279</v>
      </c>
      <c r="H3414" s="55">
        <v>30.19502</v>
      </c>
      <c r="I3414" s="55">
        <v>39.994459999999997</v>
      </c>
      <c r="J3414" s="55">
        <v>39.728459999999998</v>
      </c>
      <c r="K3414" s="55">
        <v>36.677430000000001</v>
      </c>
      <c r="L3414" s="55">
        <v>31.66994</v>
      </c>
      <c r="M3414" s="55">
        <v>32.41525</v>
      </c>
      <c r="N3414" s="55">
        <v>29.641159999999999</v>
      </c>
    </row>
    <row r="3415" spans="1:14" hidden="1" x14ac:dyDescent="0.35">
      <c r="A3415" s="52" t="s">
        <v>232</v>
      </c>
      <c r="B3415" s="52" t="s">
        <v>37</v>
      </c>
      <c r="C3415" s="52" t="s">
        <v>35</v>
      </c>
      <c r="D3415" s="52" t="s">
        <v>39</v>
      </c>
      <c r="E3415" s="52" t="s">
        <v>582</v>
      </c>
      <c r="F3415" s="52" t="s">
        <v>26</v>
      </c>
      <c r="G3415" s="55" t="s">
        <v>275</v>
      </c>
      <c r="H3415" s="55">
        <v>-3.2823880000000001</v>
      </c>
      <c r="I3415" s="55">
        <v>-2.8154979999999998</v>
      </c>
      <c r="J3415" s="55">
        <v>-2.2931300000000001</v>
      </c>
      <c r="K3415" s="55">
        <v>-2.4207239999999999</v>
      </c>
      <c r="L3415" s="55">
        <v>-2.0136059999999998</v>
      </c>
      <c r="M3415" s="55">
        <v>-2.5618989999999999</v>
      </c>
      <c r="N3415" s="55">
        <v>-2.3151440000000001</v>
      </c>
    </row>
    <row r="3416" spans="1:14" hidden="1" x14ac:dyDescent="0.35">
      <c r="A3416" s="52" t="s">
        <v>232</v>
      </c>
      <c r="B3416" s="52" t="s">
        <v>37</v>
      </c>
      <c r="C3416" s="52" t="s">
        <v>35</v>
      </c>
      <c r="D3416" s="52" t="s">
        <v>39</v>
      </c>
      <c r="E3416" s="52" t="s">
        <v>582</v>
      </c>
      <c r="F3416" s="52" t="s">
        <v>26</v>
      </c>
      <c r="G3416" s="55" t="s">
        <v>276</v>
      </c>
      <c r="H3416" s="55">
        <v>-0.87253700000000001</v>
      </c>
      <c r="I3416" s="55">
        <v>-0.74842249999999999</v>
      </c>
      <c r="J3416" s="55">
        <v>-0.60956759999999999</v>
      </c>
      <c r="K3416" s="55">
        <v>-0.64348300000000003</v>
      </c>
      <c r="L3416" s="55">
        <v>-0.53526169999999995</v>
      </c>
      <c r="M3416" s="55">
        <v>-0.68101049999999996</v>
      </c>
      <c r="N3416" s="55">
        <v>-0.61541840000000003</v>
      </c>
    </row>
    <row r="3417" spans="1:14" hidden="1" x14ac:dyDescent="0.35">
      <c r="A3417" s="52" t="s">
        <v>232</v>
      </c>
      <c r="B3417" s="52" t="s">
        <v>37</v>
      </c>
      <c r="C3417" s="52" t="s">
        <v>35</v>
      </c>
      <c r="D3417" s="52" t="s">
        <v>39</v>
      </c>
      <c r="E3417" s="52" t="s">
        <v>582</v>
      </c>
      <c r="F3417" s="52" t="s">
        <v>26</v>
      </c>
      <c r="G3417" s="55" t="s">
        <v>279</v>
      </c>
      <c r="H3417" s="55">
        <v>14.36965</v>
      </c>
      <c r="I3417" s="55">
        <v>11.103870000000001</v>
      </c>
      <c r="J3417" s="55">
        <v>11.06152</v>
      </c>
      <c r="K3417" s="55">
        <v>10.364990000000001</v>
      </c>
      <c r="L3417" s="55">
        <v>9.1446240000000003</v>
      </c>
      <c r="M3417" s="55">
        <v>9.1866730000000008</v>
      </c>
      <c r="N3417" s="55">
        <v>8.3700469999999996</v>
      </c>
    </row>
    <row r="3418" spans="1:14" hidden="1" x14ac:dyDescent="0.35">
      <c r="A3418" s="52" t="s">
        <v>232</v>
      </c>
      <c r="B3418" s="52" t="s">
        <v>37</v>
      </c>
      <c r="C3418" s="52" t="s">
        <v>35</v>
      </c>
      <c r="D3418" s="52" t="s">
        <v>233</v>
      </c>
      <c r="E3418" s="52" t="s">
        <v>589</v>
      </c>
      <c r="F3418" s="52" t="s">
        <v>581</v>
      </c>
      <c r="G3418" s="55" t="s">
        <v>275</v>
      </c>
      <c r="H3418" s="55">
        <v>-8.1430299999999995</v>
      </c>
      <c r="I3418" s="55">
        <v>28.669979999999999</v>
      </c>
      <c r="J3418" s="55">
        <v>26.32732</v>
      </c>
      <c r="K3418" s="55">
        <v>34.373989999999999</v>
      </c>
      <c r="L3418" s="55">
        <v>28.848929999999999</v>
      </c>
      <c r="M3418" s="55">
        <v>18.73658</v>
      </c>
      <c r="N3418" s="55">
        <v>16.464310000000001</v>
      </c>
    </row>
    <row r="3419" spans="1:14" hidden="1" x14ac:dyDescent="0.35">
      <c r="A3419" s="52" t="s">
        <v>232</v>
      </c>
      <c r="B3419" s="52" t="s">
        <v>37</v>
      </c>
      <c r="C3419" s="52" t="s">
        <v>35</v>
      </c>
      <c r="D3419" s="52" t="s">
        <v>233</v>
      </c>
      <c r="E3419" s="52" t="s">
        <v>589</v>
      </c>
      <c r="F3419" s="52" t="s">
        <v>581</v>
      </c>
      <c r="G3419" s="55" t="s">
        <v>276</v>
      </c>
      <c r="H3419" s="55">
        <v>9.0293430000000008</v>
      </c>
      <c r="I3419" s="55">
        <v>-2.8576669999999998E-2</v>
      </c>
      <c r="J3419" s="55">
        <v>-3.49722</v>
      </c>
      <c r="K3419" s="55">
        <v>-7.8686769999999999</v>
      </c>
      <c r="L3419" s="55">
        <v>-2.8232629999999999</v>
      </c>
      <c r="M3419" s="55">
        <v>3.0453619999999999</v>
      </c>
      <c r="N3419" s="55">
        <v>2.6386729999999998</v>
      </c>
    </row>
    <row r="3420" spans="1:14" hidden="1" x14ac:dyDescent="0.35">
      <c r="A3420" s="52" t="s">
        <v>232</v>
      </c>
      <c r="B3420" s="52" t="s">
        <v>37</v>
      </c>
      <c r="C3420" s="52" t="s">
        <v>35</v>
      </c>
      <c r="D3420" s="52" t="s">
        <v>233</v>
      </c>
      <c r="E3420" s="52" t="s">
        <v>589</v>
      </c>
      <c r="F3420" s="52" t="s">
        <v>581</v>
      </c>
      <c r="G3420" s="55" t="s">
        <v>277</v>
      </c>
      <c r="H3420" s="55">
        <v>83.689840000000004</v>
      </c>
      <c r="I3420" s="55">
        <v>10.435</v>
      </c>
      <c r="J3420" s="55">
        <v>12.467320000000001</v>
      </c>
      <c r="K3420" s="55">
        <v>5.2080869999999999</v>
      </c>
      <c r="L3420" s="55">
        <v>2.6716929999999999</v>
      </c>
      <c r="M3420" s="55">
        <v>0</v>
      </c>
      <c r="N3420" s="55">
        <v>0</v>
      </c>
    </row>
    <row r="3421" spans="1:14" hidden="1" x14ac:dyDescent="0.35">
      <c r="A3421" s="52" t="s">
        <v>232</v>
      </c>
      <c r="B3421" s="52" t="s">
        <v>37</v>
      </c>
      <c r="C3421" s="52" t="s">
        <v>35</v>
      </c>
      <c r="D3421" s="52" t="s">
        <v>233</v>
      </c>
      <c r="E3421" s="52" t="s">
        <v>589</v>
      </c>
      <c r="F3421" s="52" t="s">
        <v>581</v>
      </c>
      <c r="G3421" s="55" t="s">
        <v>278</v>
      </c>
      <c r="H3421" s="55">
        <v>8.4946909999999995</v>
      </c>
      <c r="I3421" s="55">
        <v>1.0825560000000001</v>
      </c>
      <c r="J3421" s="55">
        <v>1.2282599999999999</v>
      </c>
      <c r="K3421" s="55">
        <v>0.51637599999999995</v>
      </c>
      <c r="L3421" s="55">
        <v>0</v>
      </c>
      <c r="M3421" s="55"/>
      <c r="N3421" s="55"/>
    </row>
    <row r="3422" spans="1:14" hidden="1" x14ac:dyDescent="0.35">
      <c r="A3422" s="52" t="s">
        <v>232</v>
      </c>
      <c r="B3422" s="52" t="s">
        <v>37</v>
      </c>
      <c r="C3422" s="52" t="s">
        <v>35</v>
      </c>
      <c r="D3422" s="52" t="s">
        <v>233</v>
      </c>
      <c r="E3422" s="52" t="s">
        <v>589</v>
      </c>
      <c r="F3422" s="52" t="s">
        <v>581</v>
      </c>
      <c r="G3422" s="55" t="s">
        <v>279</v>
      </c>
      <c r="H3422" s="55">
        <v>39.519750000000002</v>
      </c>
      <c r="I3422" s="55">
        <v>36.010420000000003</v>
      </c>
      <c r="J3422" s="55">
        <v>30.44164</v>
      </c>
      <c r="K3422" s="55">
        <v>28.243970000000001</v>
      </c>
      <c r="L3422" s="55">
        <v>23.16422</v>
      </c>
      <c r="M3422" s="55">
        <v>22.362310000000001</v>
      </c>
      <c r="N3422" s="55">
        <v>19.4252</v>
      </c>
    </row>
    <row r="3423" spans="1:14" hidden="1" x14ac:dyDescent="0.35">
      <c r="A3423" s="52" t="s">
        <v>232</v>
      </c>
      <c r="B3423" s="52" t="s">
        <v>37</v>
      </c>
      <c r="C3423" s="52" t="s">
        <v>35</v>
      </c>
      <c r="D3423" s="52" t="s">
        <v>233</v>
      </c>
      <c r="E3423" s="52" t="s">
        <v>589</v>
      </c>
      <c r="F3423" s="52" t="s">
        <v>26</v>
      </c>
      <c r="G3423" s="55" t="s">
        <v>275</v>
      </c>
      <c r="H3423" s="55">
        <v>-3.1398950000000001</v>
      </c>
      <c r="I3423" s="55">
        <v>-1.748705</v>
      </c>
      <c r="J3423" s="55">
        <v>-1.3621289999999999</v>
      </c>
      <c r="K3423" s="55">
        <v>-1.352789</v>
      </c>
      <c r="L3423" s="55">
        <v>-1.1114040000000001</v>
      </c>
      <c r="M3423" s="55">
        <v>-1.1828270000000001</v>
      </c>
      <c r="N3423" s="55">
        <v>-1.020321</v>
      </c>
    </row>
    <row r="3424" spans="1:14" hidden="1" x14ac:dyDescent="0.35">
      <c r="A3424" s="52" t="s">
        <v>232</v>
      </c>
      <c r="B3424" s="52" t="s">
        <v>37</v>
      </c>
      <c r="C3424" s="52" t="s">
        <v>35</v>
      </c>
      <c r="D3424" s="52" t="s">
        <v>233</v>
      </c>
      <c r="E3424" s="52" t="s">
        <v>589</v>
      </c>
      <c r="F3424" s="52" t="s">
        <v>26</v>
      </c>
      <c r="G3424" s="55" t="s">
        <v>276</v>
      </c>
      <c r="H3424" s="55">
        <v>-0.83466010000000002</v>
      </c>
      <c r="I3424" s="55">
        <v>-0.46484540000000002</v>
      </c>
      <c r="J3424" s="55">
        <v>-0.36208420000000002</v>
      </c>
      <c r="K3424" s="55">
        <v>-0.35960150000000002</v>
      </c>
      <c r="L3424" s="55">
        <v>-0.29543560000000002</v>
      </c>
      <c r="M3424" s="55">
        <v>-0.31442219999999999</v>
      </c>
      <c r="N3424" s="55">
        <v>-0.27122429999999997</v>
      </c>
    </row>
    <row r="3425" spans="1:14" hidden="1" x14ac:dyDescent="0.35">
      <c r="A3425" s="52" t="s">
        <v>232</v>
      </c>
      <c r="B3425" s="52" t="s">
        <v>37</v>
      </c>
      <c r="C3425" s="52" t="s">
        <v>35</v>
      </c>
      <c r="D3425" s="52" t="s">
        <v>233</v>
      </c>
      <c r="E3425" s="52" t="s">
        <v>589</v>
      </c>
      <c r="F3425" s="52" t="s">
        <v>26</v>
      </c>
      <c r="G3425" s="55" t="s">
        <v>279</v>
      </c>
      <c r="H3425" s="55">
        <v>8.4917800000000003</v>
      </c>
      <c r="I3425" s="55">
        <v>4.4554549999999997</v>
      </c>
      <c r="J3425" s="55">
        <v>3.786537</v>
      </c>
      <c r="K3425" s="55">
        <v>3.5651130000000002</v>
      </c>
      <c r="L3425" s="55">
        <v>2.9866109999999999</v>
      </c>
      <c r="M3425" s="55">
        <v>2.8376899999999998</v>
      </c>
      <c r="N3425" s="55">
        <v>2.4563359999999999</v>
      </c>
    </row>
    <row r="3426" spans="1:14" hidden="1" x14ac:dyDescent="0.35">
      <c r="A3426" s="52" t="s">
        <v>232</v>
      </c>
      <c r="B3426" s="52" t="s">
        <v>37</v>
      </c>
      <c r="C3426" s="52" t="s">
        <v>35</v>
      </c>
      <c r="D3426" s="52" t="s">
        <v>233</v>
      </c>
      <c r="E3426" s="52" t="s">
        <v>644</v>
      </c>
      <c r="F3426" s="52" t="s">
        <v>581</v>
      </c>
      <c r="G3426" s="55" t="s">
        <v>275</v>
      </c>
      <c r="H3426" s="55">
        <v>2.313126</v>
      </c>
      <c r="I3426" s="55">
        <v>-8.9763099999999998E-2</v>
      </c>
      <c r="J3426" s="55">
        <v>-0.65709070000000003</v>
      </c>
      <c r="K3426" s="55">
        <v>-0.52064359999999998</v>
      </c>
      <c r="L3426" s="55">
        <v>0.15978410000000001</v>
      </c>
      <c r="M3426" s="55">
        <v>0.12061769999999999</v>
      </c>
      <c r="N3426" s="55">
        <v>0.1561535</v>
      </c>
    </row>
    <row r="3427" spans="1:14" hidden="1" x14ac:dyDescent="0.35">
      <c r="A3427" s="52" t="s">
        <v>232</v>
      </c>
      <c r="B3427" s="52" t="s">
        <v>37</v>
      </c>
      <c r="C3427" s="52" t="s">
        <v>35</v>
      </c>
      <c r="D3427" s="52" t="s">
        <v>233</v>
      </c>
      <c r="E3427" s="52" t="s">
        <v>644</v>
      </c>
      <c r="F3427" s="52" t="s">
        <v>581</v>
      </c>
      <c r="G3427" s="55" t="s">
        <v>276</v>
      </c>
      <c r="H3427" s="55">
        <v>-1.322384</v>
      </c>
      <c r="I3427" s="55">
        <v>-2.44084E-2</v>
      </c>
      <c r="J3427" s="55">
        <v>-1.1779899999999999E-2</v>
      </c>
      <c r="K3427" s="55">
        <v>-3.5764200000000003E-2</v>
      </c>
      <c r="L3427" s="55">
        <v>-2.11919E-2</v>
      </c>
      <c r="M3427" s="55">
        <v>-4.04985E-2</v>
      </c>
      <c r="N3427" s="55">
        <v>-6.5955899999999998E-2</v>
      </c>
    </row>
    <row r="3428" spans="1:14" hidden="1" x14ac:dyDescent="0.35">
      <c r="A3428" s="52" t="s">
        <v>232</v>
      </c>
      <c r="B3428" s="52" t="s">
        <v>37</v>
      </c>
      <c r="C3428" s="52" t="s">
        <v>35</v>
      </c>
      <c r="D3428" s="52" t="s">
        <v>233</v>
      </c>
      <c r="E3428" s="52" t="s">
        <v>644</v>
      </c>
      <c r="F3428" s="52" t="s">
        <v>581</v>
      </c>
      <c r="G3428" s="55" t="s">
        <v>277</v>
      </c>
      <c r="H3428" s="55">
        <v>0</v>
      </c>
      <c r="I3428" s="55">
        <v>0.24830450000000001</v>
      </c>
      <c r="J3428" s="55">
        <v>0.81562829999999997</v>
      </c>
      <c r="K3428" s="55">
        <v>0.68548509999999996</v>
      </c>
      <c r="L3428" s="55"/>
      <c r="M3428" s="55">
        <v>0</v>
      </c>
      <c r="N3428" s="55"/>
    </row>
    <row r="3429" spans="1:14" hidden="1" x14ac:dyDescent="0.35">
      <c r="A3429" s="52" t="s">
        <v>232</v>
      </c>
      <c r="B3429" s="52" t="s">
        <v>37</v>
      </c>
      <c r="C3429" s="52" t="s">
        <v>35</v>
      </c>
      <c r="D3429" s="52" t="s">
        <v>233</v>
      </c>
      <c r="E3429" s="52" t="s">
        <v>644</v>
      </c>
      <c r="F3429" s="52" t="s">
        <v>581</v>
      </c>
      <c r="G3429" s="55" t="s">
        <v>279</v>
      </c>
      <c r="H3429" s="55">
        <v>1.025428</v>
      </c>
      <c r="I3429" s="55">
        <v>0.94185160000000001</v>
      </c>
      <c r="J3429" s="55">
        <v>0.83233860000000004</v>
      </c>
      <c r="K3429" s="55">
        <v>0.77330549999999998</v>
      </c>
      <c r="L3429" s="55">
        <v>0.66833960000000003</v>
      </c>
      <c r="M3429" s="55">
        <v>0.6510572</v>
      </c>
      <c r="N3429" s="55">
        <v>0.56870759999999998</v>
      </c>
    </row>
    <row r="3430" spans="1:14" hidden="1" x14ac:dyDescent="0.35">
      <c r="A3430" s="52" t="s">
        <v>232</v>
      </c>
      <c r="B3430" s="52" t="s">
        <v>37</v>
      </c>
      <c r="C3430" s="52" t="s">
        <v>35</v>
      </c>
      <c r="D3430" s="52" t="s">
        <v>233</v>
      </c>
      <c r="E3430" s="52" t="s">
        <v>644</v>
      </c>
      <c r="F3430" s="52" t="s">
        <v>26</v>
      </c>
      <c r="G3430" s="55" t="s">
        <v>275</v>
      </c>
      <c r="H3430" s="55">
        <v>-0.29202899999999998</v>
      </c>
      <c r="I3430" s="55">
        <v>-0.15266109999999999</v>
      </c>
      <c r="J3430" s="55">
        <v>-0.1297381</v>
      </c>
      <c r="K3430" s="55">
        <v>-0.12362529999999999</v>
      </c>
      <c r="L3430" s="55">
        <v>-0.1068481</v>
      </c>
      <c r="M3430" s="55">
        <v>-0.10706549999999999</v>
      </c>
      <c r="N3430" s="55">
        <v>-9.2095490000000002E-2</v>
      </c>
    </row>
    <row r="3431" spans="1:14" hidden="1" x14ac:dyDescent="0.35">
      <c r="A3431" s="52" t="s">
        <v>232</v>
      </c>
      <c r="B3431" s="52" t="s">
        <v>37</v>
      </c>
      <c r="C3431" s="52" t="s">
        <v>35</v>
      </c>
      <c r="D3431" s="52" t="s">
        <v>233</v>
      </c>
      <c r="E3431" s="52" t="s">
        <v>644</v>
      </c>
      <c r="F3431" s="52" t="s">
        <v>26</v>
      </c>
      <c r="G3431" s="55" t="s">
        <v>276</v>
      </c>
      <c r="H3431" s="55">
        <v>-7.7628000000000003E-2</v>
      </c>
      <c r="I3431" s="55">
        <v>-4.0581199999999998E-2</v>
      </c>
      <c r="J3431" s="55">
        <v>-3.4487999999999998E-2</v>
      </c>
      <c r="K3431" s="55">
        <v>-3.2862299999999997E-2</v>
      </c>
      <c r="L3431" s="55">
        <v>-2.8403299999999999E-2</v>
      </c>
      <c r="M3431" s="55">
        <v>-2.8460800000000001E-2</v>
      </c>
      <c r="N3431" s="55">
        <v>-2.44814E-2</v>
      </c>
    </row>
    <row r="3432" spans="1:14" hidden="1" x14ac:dyDescent="0.35">
      <c r="A3432" s="52" t="s">
        <v>232</v>
      </c>
      <c r="B3432" s="52" t="s">
        <v>37</v>
      </c>
      <c r="C3432" s="52" t="s">
        <v>35</v>
      </c>
      <c r="D3432" s="52" t="s">
        <v>233</v>
      </c>
      <c r="E3432" s="52" t="s">
        <v>644</v>
      </c>
      <c r="F3432" s="52" t="s">
        <v>26</v>
      </c>
      <c r="G3432" s="55" t="s">
        <v>279</v>
      </c>
      <c r="H3432" s="55">
        <v>0.57191999999999998</v>
      </c>
      <c r="I3432" s="55">
        <v>0.28717409999999999</v>
      </c>
      <c r="J3432" s="55">
        <v>0.25396419999999997</v>
      </c>
      <c r="K3432" s="55">
        <v>0.23880199999999999</v>
      </c>
      <c r="L3432" s="55">
        <v>0.20856730000000001</v>
      </c>
      <c r="M3432" s="55">
        <v>0.20166110000000001</v>
      </c>
      <c r="N3432" s="55">
        <v>0.1758847</v>
      </c>
    </row>
    <row r="3433" spans="1:14" hidden="1" x14ac:dyDescent="0.35">
      <c r="A3433" s="52" t="s">
        <v>232</v>
      </c>
      <c r="B3433" s="52" t="s">
        <v>37</v>
      </c>
      <c r="C3433" s="52" t="s">
        <v>35</v>
      </c>
      <c r="D3433" s="52" t="s">
        <v>207</v>
      </c>
      <c r="E3433" s="52" t="s">
        <v>592</v>
      </c>
      <c r="F3433" s="52" t="s">
        <v>581</v>
      </c>
      <c r="G3433" s="55" t="s">
        <v>275</v>
      </c>
      <c r="H3433" s="55">
        <v>33.818779999999997</v>
      </c>
      <c r="I3433" s="55">
        <v>13.5825</v>
      </c>
      <c r="J3433" s="55">
        <v>10.584899999999999</v>
      </c>
      <c r="K3433" s="55">
        <v>8.5626049999999996</v>
      </c>
      <c r="L3433" s="55">
        <v>7.1200700000000001</v>
      </c>
      <c r="M3433" s="55">
        <v>7.3943570000000003</v>
      </c>
      <c r="N3433" s="55">
        <v>6.7550780000000001</v>
      </c>
    </row>
    <row r="3434" spans="1:14" hidden="1" x14ac:dyDescent="0.35">
      <c r="A3434" s="52" t="s">
        <v>232</v>
      </c>
      <c r="B3434" s="52" t="s">
        <v>37</v>
      </c>
      <c r="C3434" s="52" t="s">
        <v>35</v>
      </c>
      <c r="D3434" s="52" t="s">
        <v>207</v>
      </c>
      <c r="E3434" s="52" t="s">
        <v>592</v>
      </c>
      <c r="F3434" s="52" t="s">
        <v>581</v>
      </c>
      <c r="G3434" s="55" t="s">
        <v>276</v>
      </c>
      <c r="H3434" s="55">
        <v>0.52227999999999997</v>
      </c>
      <c r="I3434" s="55">
        <v>0.81892690000000001</v>
      </c>
      <c r="J3434" s="55">
        <v>0.4328996</v>
      </c>
      <c r="K3434" s="55">
        <v>1.3646130000000001</v>
      </c>
      <c r="L3434" s="55">
        <v>1.932488</v>
      </c>
      <c r="M3434" s="55">
        <v>1.762543</v>
      </c>
      <c r="N3434" s="55">
        <v>1.4647060000000001</v>
      </c>
    </row>
    <row r="3435" spans="1:14" hidden="1" x14ac:dyDescent="0.35">
      <c r="A3435" s="52" t="s">
        <v>232</v>
      </c>
      <c r="B3435" s="52" t="s">
        <v>37</v>
      </c>
      <c r="C3435" s="52" t="s">
        <v>35</v>
      </c>
      <c r="D3435" s="52" t="s">
        <v>207</v>
      </c>
      <c r="E3435" s="52" t="s">
        <v>592</v>
      </c>
      <c r="F3435" s="52" t="s">
        <v>581</v>
      </c>
      <c r="G3435" s="55" t="s">
        <v>277</v>
      </c>
      <c r="H3435" s="55">
        <v>2.5846990000000001</v>
      </c>
      <c r="I3435" s="55">
        <v>0</v>
      </c>
      <c r="J3435" s="55">
        <v>1.934563</v>
      </c>
      <c r="K3435" s="55">
        <v>1.7157770000000001</v>
      </c>
      <c r="L3435" s="55">
        <v>2.1632609999999999</v>
      </c>
      <c r="M3435" s="55">
        <v>0</v>
      </c>
      <c r="N3435" s="55">
        <v>0</v>
      </c>
    </row>
    <row r="3436" spans="1:14" hidden="1" x14ac:dyDescent="0.35">
      <c r="A3436" s="52" t="s">
        <v>232</v>
      </c>
      <c r="B3436" s="52" t="s">
        <v>37</v>
      </c>
      <c r="C3436" s="52" t="s">
        <v>35</v>
      </c>
      <c r="D3436" s="52" t="s">
        <v>207</v>
      </c>
      <c r="E3436" s="52" t="s">
        <v>592</v>
      </c>
      <c r="F3436" s="52" t="s">
        <v>581</v>
      </c>
      <c r="G3436" s="55" t="s">
        <v>278</v>
      </c>
      <c r="H3436" s="55">
        <v>0</v>
      </c>
      <c r="I3436" s="55"/>
      <c r="J3436" s="55"/>
      <c r="K3436" s="55"/>
      <c r="L3436" s="55"/>
      <c r="M3436" s="55"/>
      <c r="N3436" s="55"/>
    </row>
    <row r="3437" spans="1:14" hidden="1" x14ac:dyDescent="0.35">
      <c r="A3437" s="52" t="s">
        <v>232</v>
      </c>
      <c r="B3437" s="52" t="s">
        <v>37</v>
      </c>
      <c r="C3437" s="52" t="s">
        <v>35</v>
      </c>
      <c r="D3437" s="52" t="s">
        <v>207</v>
      </c>
      <c r="E3437" s="52" t="s">
        <v>592</v>
      </c>
      <c r="F3437" s="52" t="s">
        <v>581</v>
      </c>
      <c r="G3437" s="55" t="s">
        <v>279</v>
      </c>
      <c r="H3437" s="55">
        <v>14.98461</v>
      </c>
      <c r="I3437" s="55">
        <v>12.224019999999999</v>
      </c>
      <c r="J3437" s="55">
        <v>10.2948</v>
      </c>
      <c r="K3437" s="55">
        <v>9.7027669999999997</v>
      </c>
      <c r="L3437" s="55">
        <v>8.8332479999999993</v>
      </c>
      <c r="M3437" s="55">
        <v>8.8426080000000002</v>
      </c>
      <c r="N3437" s="55">
        <v>7.8584050000000003</v>
      </c>
    </row>
    <row r="3438" spans="1:14" hidden="1" x14ac:dyDescent="0.35">
      <c r="A3438" s="52" t="s">
        <v>232</v>
      </c>
      <c r="B3438" s="52" t="s">
        <v>37</v>
      </c>
      <c r="C3438" s="52" t="s">
        <v>35</v>
      </c>
      <c r="D3438" s="52" t="s">
        <v>207</v>
      </c>
      <c r="E3438" s="52" t="s">
        <v>592</v>
      </c>
      <c r="F3438" s="52" t="s">
        <v>26</v>
      </c>
      <c r="G3438" s="55" t="s">
        <v>275</v>
      </c>
      <c r="H3438" s="55">
        <v>-1.878471</v>
      </c>
      <c r="I3438" s="55">
        <v>-0.9371678</v>
      </c>
      <c r="J3438" s="55">
        <v>-0.72857769999999999</v>
      </c>
      <c r="K3438" s="55">
        <v>-0.73370559999999996</v>
      </c>
      <c r="L3438" s="55">
        <v>-0.67265989999999998</v>
      </c>
      <c r="M3438" s="55">
        <v>-0.73301989999999995</v>
      </c>
      <c r="N3438" s="55">
        <v>-0.64943490000000004</v>
      </c>
    </row>
    <row r="3439" spans="1:14" hidden="1" x14ac:dyDescent="0.35">
      <c r="A3439" s="52" t="s">
        <v>232</v>
      </c>
      <c r="B3439" s="52" t="s">
        <v>37</v>
      </c>
      <c r="C3439" s="52" t="s">
        <v>35</v>
      </c>
      <c r="D3439" s="52" t="s">
        <v>207</v>
      </c>
      <c r="E3439" s="52" t="s">
        <v>592</v>
      </c>
      <c r="F3439" s="52" t="s">
        <v>26</v>
      </c>
      <c r="G3439" s="55" t="s">
        <v>276</v>
      </c>
      <c r="H3439" s="55">
        <v>-0.49934000000000001</v>
      </c>
      <c r="I3439" s="55">
        <v>-0.24912129999999999</v>
      </c>
      <c r="J3439" s="55">
        <v>-0.19367180000000001</v>
      </c>
      <c r="K3439" s="55">
        <v>-0.19503519999999999</v>
      </c>
      <c r="L3439" s="55">
        <v>-0.178809</v>
      </c>
      <c r="M3439" s="55">
        <v>-0.19485259999999999</v>
      </c>
      <c r="N3439" s="55">
        <v>-0.1726335</v>
      </c>
    </row>
    <row r="3440" spans="1:14" hidden="1" x14ac:dyDescent="0.35">
      <c r="A3440" s="52" t="s">
        <v>232</v>
      </c>
      <c r="B3440" s="52" t="s">
        <v>37</v>
      </c>
      <c r="C3440" s="52" t="s">
        <v>35</v>
      </c>
      <c r="D3440" s="52" t="s">
        <v>207</v>
      </c>
      <c r="E3440" s="52" t="s">
        <v>592</v>
      </c>
      <c r="F3440" s="52" t="s">
        <v>26</v>
      </c>
      <c r="G3440" s="55" t="s">
        <v>279</v>
      </c>
      <c r="H3440" s="55">
        <v>5.0802810000000003</v>
      </c>
      <c r="I3440" s="55">
        <v>2.3771369999999998</v>
      </c>
      <c r="J3440" s="55">
        <v>2.0119570000000002</v>
      </c>
      <c r="K3440" s="55">
        <v>1.9235</v>
      </c>
      <c r="L3440" s="55">
        <v>1.781226</v>
      </c>
      <c r="M3440" s="55">
        <v>1.7593799999999999</v>
      </c>
      <c r="N3440" s="55">
        <v>1.5613900000000001</v>
      </c>
    </row>
    <row r="3441" spans="1:14" hidden="1" x14ac:dyDescent="0.35">
      <c r="A3441" s="52" t="s">
        <v>232</v>
      </c>
      <c r="B3441" s="52" t="s">
        <v>37</v>
      </c>
      <c r="C3441" s="52" t="s">
        <v>35</v>
      </c>
      <c r="D3441" s="52" t="s">
        <v>207</v>
      </c>
      <c r="E3441" s="52" t="s">
        <v>591</v>
      </c>
      <c r="F3441" s="52" t="s">
        <v>581</v>
      </c>
      <c r="G3441" s="55" t="s">
        <v>275</v>
      </c>
      <c r="H3441" s="55">
        <v>12.99785</v>
      </c>
      <c r="I3441" s="55">
        <v>2.5449199999999998</v>
      </c>
      <c r="J3441" s="55">
        <v>6.1992130000000003</v>
      </c>
      <c r="K3441" s="55">
        <v>6.319204</v>
      </c>
      <c r="L3441" s="55">
        <v>6.5119540000000002</v>
      </c>
      <c r="M3441" s="55">
        <v>6.3371230000000001</v>
      </c>
      <c r="N3441" s="55">
        <v>5.339404</v>
      </c>
    </row>
    <row r="3442" spans="1:14" hidden="1" x14ac:dyDescent="0.35">
      <c r="A3442" s="52" t="s">
        <v>232</v>
      </c>
      <c r="B3442" s="52" t="s">
        <v>37</v>
      </c>
      <c r="C3442" s="52" t="s">
        <v>35</v>
      </c>
      <c r="D3442" s="52" t="s">
        <v>207</v>
      </c>
      <c r="E3442" s="52" t="s">
        <v>591</v>
      </c>
      <c r="F3442" s="52" t="s">
        <v>581</v>
      </c>
      <c r="G3442" s="55" t="s">
        <v>276</v>
      </c>
      <c r="H3442" s="55">
        <v>2.9761470000000001</v>
      </c>
      <c r="I3442" s="55">
        <v>0.84378719999999996</v>
      </c>
      <c r="J3442" s="55">
        <v>1.1537649999999999</v>
      </c>
      <c r="K3442" s="55">
        <v>1.0710329999999999</v>
      </c>
      <c r="L3442" s="55">
        <v>0.72071180000000001</v>
      </c>
      <c r="M3442" s="55">
        <v>0.69442559999999998</v>
      </c>
      <c r="N3442" s="55">
        <v>0.99403699999999995</v>
      </c>
    </row>
    <row r="3443" spans="1:14" hidden="1" x14ac:dyDescent="0.35">
      <c r="A3443" s="52" t="s">
        <v>232</v>
      </c>
      <c r="B3443" s="52" t="s">
        <v>37</v>
      </c>
      <c r="C3443" s="52" t="s">
        <v>35</v>
      </c>
      <c r="D3443" s="52" t="s">
        <v>207</v>
      </c>
      <c r="E3443" s="52" t="s">
        <v>591</v>
      </c>
      <c r="F3443" s="52" t="s">
        <v>581</v>
      </c>
      <c r="G3443" s="55" t="s">
        <v>277</v>
      </c>
      <c r="H3443" s="55">
        <v>9.4670430000000003</v>
      </c>
      <c r="I3443" s="55">
        <v>7.1178999999999997</v>
      </c>
      <c r="J3443" s="55">
        <v>2.9068710000000002</v>
      </c>
      <c r="K3443" s="55">
        <v>1.8769769999999999</v>
      </c>
      <c r="L3443" s="55">
        <v>1.695935</v>
      </c>
      <c r="M3443" s="55">
        <v>0</v>
      </c>
      <c r="N3443" s="55">
        <v>0</v>
      </c>
    </row>
    <row r="3444" spans="1:14" hidden="1" x14ac:dyDescent="0.35">
      <c r="A3444" s="52" t="s">
        <v>232</v>
      </c>
      <c r="B3444" s="52" t="s">
        <v>37</v>
      </c>
      <c r="C3444" s="52" t="s">
        <v>35</v>
      </c>
      <c r="D3444" s="52" t="s">
        <v>207</v>
      </c>
      <c r="E3444" s="52" t="s">
        <v>591</v>
      </c>
      <c r="F3444" s="52" t="s">
        <v>581</v>
      </c>
      <c r="G3444" s="55" t="s">
        <v>279</v>
      </c>
      <c r="H3444" s="55">
        <v>12.021459999999999</v>
      </c>
      <c r="I3444" s="55">
        <v>11.094760000000001</v>
      </c>
      <c r="J3444" s="55">
        <v>9.9953950000000003</v>
      </c>
      <c r="K3444" s="55">
        <v>9.4972329999999996</v>
      </c>
      <c r="L3444" s="55">
        <v>8.3987859999999994</v>
      </c>
      <c r="M3444" s="55">
        <v>8.5580879999999997</v>
      </c>
      <c r="N3444" s="55">
        <v>7.631348</v>
      </c>
    </row>
    <row r="3445" spans="1:14" hidden="1" x14ac:dyDescent="0.35">
      <c r="A3445" s="52" t="s">
        <v>232</v>
      </c>
      <c r="B3445" s="52" t="s">
        <v>37</v>
      </c>
      <c r="C3445" s="52" t="s">
        <v>35</v>
      </c>
      <c r="D3445" s="52" t="s">
        <v>207</v>
      </c>
      <c r="E3445" s="52" t="s">
        <v>591</v>
      </c>
      <c r="F3445" s="52" t="s">
        <v>26</v>
      </c>
      <c r="G3445" s="55" t="s">
        <v>275</v>
      </c>
      <c r="H3445" s="55">
        <v>-2.399505</v>
      </c>
      <c r="I3445" s="55">
        <v>-1.329107</v>
      </c>
      <c r="J3445" s="55">
        <v>-1.1060460000000001</v>
      </c>
      <c r="K3445" s="55">
        <v>-1.114986</v>
      </c>
      <c r="L3445" s="55">
        <v>-0.98155490000000001</v>
      </c>
      <c r="M3445" s="55">
        <v>-1.095572</v>
      </c>
      <c r="N3445" s="55">
        <v>-0.9759042</v>
      </c>
    </row>
    <row r="3446" spans="1:14" hidden="1" x14ac:dyDescent="0.35">
      <c r="A3446" s="52" t="s">
        <v>232</v>
      </c>
      <c r="B3446" s="52" t="s">
        <v>37</v>
      </c>
      <c r="C3446" s="52" t="s">
        <v>35</v>
      </c>
      <c r="D3446" s="52" t="s">
        <v>207</v>
      </c>
      <c r="E3446" s="52" t="s">
        <v>591</v>
      </c>
      <c r="F3446" s="52" t="s">
        <v>26</v>
      </c>
      <c r="G3446" s="55" t="s">
        <v>276</v>
      </c>
      <c r="H3446" s="55">
        <v>-0.63784300000000005</v>
      </c>
      <c r="I3446" s="55">
        <v>-0.35330679999999998</v>
      </c>
      <c r="J3446" s="55">
        <v>-0.29401189999999999</v>
      </c>
      <c r="K3446" s="55">
        <v>-0.29638829999999999</v>
      </c>
      <c r="L3446" s="55">
        <v>-0.26091979999999998</v>
      </c>
      <c r="M3446" s="55">
        <v>-0.29122740000000003</v>
      </c>
      <c r="N3446" s="55">
        <v>-0.25941769999999997</v>
      </c>
    </row>
    <row r="3447" spans="1:14" hidden="1" x14ac:dyDescent="0.35">
      <c r="A3447" s="52" t="s">
        <v>232</v>
      </c>
      <c r="B3447" s="52" t="s">
        <v>37</v>
      </c>
      <c r="C3447" s="52" t="s">
        <v>35</v>
      </c>
      <c r="D3447" s="52" t="s">
        <v>207</v>
      </c>
      <c r="E3447" s="52" t="s">
        <v>591</v>
      </c>
      <c r="F3447" s="52" t="s">
        <v>26</v>
      </c>
      <c r="G3447" s="55" t="s">
        <v>279</v>
      </c>
      <c r="H3447" s="55">
        <v>6.1724370000000004</v>
      </c>
      <c r="I3447" s="55">
        <v>3.2405710000000001</v>
      </c>
      <c r="J3447" s="55">
        <v>2.9296199999999999</v>
      </c>
      <c r="K3447" s="55">
        <v>2.8189609999999998</v>
      </c>
      <c r="L3447" s="55">
        <v>2.5375800000000002</v>
      </c>
      <c r="M3447" s="55">
        <v>2.5472790000000001</v>
      </c>
      <c r="N3447" s="55">
        <v>2.2700490000000002</v>
      </c>
    </row>
    <row r="3448" spans="1:14" hidden="1" x14ac:dyDescent="0.35">
      <c r="A3448" s="52" t="s">
        <v>232</v>
      </c>
      <c r="B3448" s="52" t="s">
        <v>37</v>
      </c>
      <c r="C3448" s="52" t="s">
        <v>35</v>
      </c>
      <c r="D3448" s="52" t="s">
        <v>207</v>
      </c>
      <c r="E3448" s="52" t="s">
        <v>584</v>
      </c>
      <c r="F3448" s="52" t="s">
        <v>581</v>
      </c>
      <c r="G3448" s="55" t="s">
        <v>275</v>
      </c>
      <c r="H3448" s="55">
        <v>2.5038819999999999</v>
      </c>
      <c r="I3448" s="55">
        <v>0.87000869999999997</v>
      </c>
      <c r="J3448" s="55">
        <v>0.8570892</v>
      </c>
      <c r="K3448" s="55">
        <v>0.81230840000000004</v>
      </c>
      <c r="L3448" s="55">
        <v>0.76799070000000003</v>
      </c>
      <c r="M3448" s="55">
        <v>-41.922669999999997</v>
      </c>
      <c r="N3448" s="55"/>
    </row>
    <row r="3449" spans="1:14" hidden="1" x14ac:dyDescent="0.35">
      <c r="A3449" s="52" t="s">
        <v>232</v>
      </c>
      <c r="B3449" s="52" t="s">
        <v>37</v>
      </c>
      <c r="C3449" s="52" t="s">
        <v>35</v>
      </c>
      <c r="D3449" s="52" t="s">
        <v>207</v>
      </c>
      <c r="E3449" s="52" t="s">
        <v>584</v>
      </c>
      <c r="F3449" s="52" t="s">
        <v>581</v>
      </c>
      <c r="G3449" s="55" t="s">
        <v>276</v>
      </c>
      <c r="H3449" s="55">
        <v>0.66558989999999996</v>
      </c>
      <c r="I3449" s="55">
        <v>0.23126749999999999</v>
      </c>
      <c r="J3449" s="55">
        <v>0.2278337</v>
      </c>
      <c r="K3449" s="55">
        <v>0.21593039999999999</v>
      </c>
      <c r="L3449" s="55">
        <v>0.20414979999999999</v>
      </c>
      <c r="M3449" s="55">
        <v>-11.144</v>
      </c>
      <c r="N3449" s="55"/>
    </row>
    <row r="3450" spans="1:14" hidden="1" x14ac:dyDescent="0.35">
      <c r="A3450" s="52" t="s">
        <v>232</v>
      </c>
      <c r="B3450" s="52" t="s">
        <v>37</v>
      </c>
      <c r="C3450" s="52" t="s">
        <v>35</v>
      </c>
      <c r="D3450" s="52" t="s">
        <v>207</v>
      </c>
      <c r="E3450" s="52" t="s">
        <v>584</v>
      </c>
      <c r="F3450" s="52" t="s">
        <v>581</v>
      </c>
      <c r="G3450" s="55" t="s">
        <v>277</v>
      </c>
      <c r="H3450" s="55"/>
      <c r="I3450" s="55"/>
      <c r="J3450" s="55"/>
      <c r="K3450" s="55">
        <v>0</v>
      </c>
      <c r="L3450" s="55"/>
      <c r="M3450" s="55"/>
      <c r="N3450" s="55"/>
    </row>
    <row r="3451" spans="1:14" hidden="1" x14ac:dyDescent="0.35">
      <c r="A3451" s="52" t="s">
        <v>232</v>
      </c>
      <c r="B3451" s="52" t="s">
        <v>37</v>
      </c>
      <c r="C3451" s="52" t="s">
        <v>35</v>
      </c>
      <c r="D3451" s="52" t="s">
        <v>207</v>
      </c>
      <c r="E3451" s="52" t="s">
        <v>584</v>
      </c>
      <c r="F3451" s="52" t="s">
        <v>581</v>
      </c>
      <c r="G3451" s="55" t="s">
        <v>279</v>
      </c>
      <c r="H3451" s="55">
        <v>1.268751</v>
      </c>
      <c r="I3451" s="55">
        <v>0.98738780000000004</v>
      </c>
      <c r="J3451" s="55">
        <v>0.95016319999999999</v>
      </c>
      <c r="K3451" s="55">
        <v>0.97524330000000004</v>
      </c>
      <c r="L3451" s="55">
        <v>0.98400140000000003</v>
      </c>
      <c r="M3451" s="55">
        <v>53.066670000000002</v>
      </c>
      <c r="N3451" s="55">
        <v>0</v>
      </c>
    </row>
    <row r="3452" spans="1:14" hidden="1" x14ac:dyDescent="0.35">
      <c r="A3452" s="52" t="s">
        <v>232</v>
      </c>
      <c r="B3452" s="52" t="s">
        <v>37</v>
      </c>
      <c r="C3452" s="52" t="s">
        <v>35</v>
      </c>
      <c r="D3452" s="52" t="s">
        <v>207</v>
      </c>
      <c r="E3452" s="52" t="s">
        <v>584</v>
      </c>
      <c r="F3452" s="52" t="s">
        <v>26</v>
      </c>
      <c r="G3452" s="55" t="s">
        <v>275</v>
      </c>
      <c r="H3452" s="55">
        <v>-24.449549999999999</v>
      </c>
      <c r="I3452" s="55">
        <v>-2.5580189999999998</v>
      </c>
      <c r="J3452" s="55">
        <v>-2.5317129999999999</v>
      </c>
      <c r="K3452" s="55">
        <v>-3.8110140000000001</v>
      </c>
      <c r="L3452" s="55">
        <v>-4.2405809999999997</v>
      </c>
      <c r="M3452" s="55">
        <v>-142.45150000000001</v>
      </c>
      <c r="N3452" s="55"/>
    </row>
    <row r="3453" spans="1:14" hidden="1" x14ac:dyDescent="0.35">
      <c r="A3453" s="52" t="s">
        <v>232</v>
      </c>
      <c r="B3453" s="52" t="s">
        <v>37</v>
      </c>
      <c r="C3453" s="52" t="s">
        <v>35</v>
      </c>
      <c r="D3453" s="52" t="s">
        <v>207</v>
      </c>
      <c r="E3453" s="52" t="s">
        <v>584</v>
      </c>
      <c r="F3453" s="52" t="s">
        <v>26</v>
      </c>
      <c r="G3453" s="55" t="s">
        <v>276</v>
      </c>
      <c r="H3453" s="55">
        <v>-10.68765</v>
      </c>
      <c r="I3453" s="55">
        <v>-5.0385109999999997</v>
      </c>
      <c r="J3453" s="55">
        <v>-2.9458139999999999</v>
      </c>
      <c r="K3453" s="55">
        <v>-2.1650589999999998</v>
      </c>
      <c r="L3453" s="55">
        <v>-1.6831970000000001</v>
      </c>
      <c r="M3453" s="55">
        <v>-37.866860000000003</v>
      </c>
      <c r="N3453" s="55"/>
    </row>
    <row r="3454" spans="1:14" hidden="1" x14ac:dyDescent="0.35">
      <c r="A3454" s="52" t="s">
        <v>232</v>
      </c>
      <c r="B3454" s="52" t="s">
        <v>37</v>
      </c>
      <c r="C3454" s="52" t="s">
        <v>35</v>
      </c>
      <c r="D3454" s="52" t="s">
        <v>207</v>
      </c>
      <c r="E3454" s="52" t="s">
        <v>584</v>
      </c>
      <c r="F3454" s="52" t="s">
        <v>26</v>
      </c>
      <c r="G3454" s="55" t="s">
        <v>277</v>
      </c>
      <c r="H3454" s="55">
        <v>25.73404</v>
      </c>
      <c r="I3454" s="55"/>
      <c r="J3454" s="55"/>
      <c r="K3454" s="55"/>
      <c r="L3454" s="55"/>
      <c r="M3454" s="55"/>
      <c r="N3454" s="55"/>
    </row>
    <row r="3455" spans="1:14" hidden="1" x14ac:dyDescent="0.35">
      <c r="A3455" s="52" t="s">
        <v>232</v>
      </c>
      <c r="B3455" s="52" t="s">
        <v>37</v>
      </c>
      <c r="C3455" s="52" t="s">
        <v>35</v>
      </c>
      <c r="D3455" s="52" t="s">
        <v>207</v>
      </c>
      <c r="E3455" s="52" t="s">
        <v>584</v>
      </c>
      <c r="F3455" s="52" t="s">
        <v>26</v>
      </c>
      <c r="G3455" s="55" t="s">
        <v>279</v>
      </c>
      <c r="H3455" s="55">
        <v>33.32647</v>
      </c>
      <c r="I3455" s="55">
        <v>23.97756</v>
      </c>
      <c r="J3455" s="55">
        <v>19.490639999999999</v>
      </c>
      <c r="K3455" s="55">
        <v>17.449020000000001</v>
      </c>
      <c r="L3455" s="55">
        <v>15.18282</v>
      </c>
      <c r="M3455" s="55">
        <v>180.3184</v>
      </c>
      <c r="N3455" s="55">
        <v>0</v>
      </c>
    </row>
    <row r="3456" spans="1:14" hidden="1" x14ac:dyDescent="0.35">
      <c r="A3456" s="52" t="s">
        <v>232</v>
      </c>
      <c r="B3456" s="52" t="s">
        <v>37</v>
      </c>
      <c r="C3456" s="52" t="s">
        <v>35</v>
      </c>
      <c r="D3456" s="52" t="s">
        <v>207</v>
      </c>
      <c r="E3456" s="52" t="s">
        <v>651</v>
      </c>
      <c r="F3456" s="52" t="s">
        <v>581</v>
      </c>
      <c r="G3456" s="55" t="s">
        <v>275</v>
      </c>
      <c r="H3456" s="55">
        <v>-2.690804</v>
      </c>
      <c r="I3456" s="55">
        <v>-3.9772660000000002</v>
      </c>
      <c r="J3456" s="55">
        <v>-2.7066129999999999</v>
      </c>
      <c r="K3456" s="55">
        <v>-2.5595460000000001</v>
      </c>
      <c r="L3456" s="55">
        <v>-1.7895970000000001</v>
      </c>
      <c r="M3456" s="55">
        <v>0.94364490000000001</v>
      </c>
      <c r="N3456" s="55">
        <v>0.69658710000000001</v>
      </c>
    </row>
    <row r="3457" spans="1:14" hidden="1" x14ac:dyDescent="0.35">
      <c r="A3457" s="52" t="s">
        <v>232</v>
      </c>
      <c r="B3457" s="52" t="s">
        <v>37</v>
      </c>
      <c r="C3457" s="52" t="s">
        <v>35</v>
      </c>
      <c r="D3457" s="52" t="s">
        <v>207</v>
      </c>
      <c r="E3457" s="52" t="s">
        <v>651</v>
      </c>
      <c r="F3457" s="52" t="s">
        <v>581</v>
      </c>
      <c r="G3457" s="55" t="s">
        <v>276</v>
      </c>
      <c r="H3457" s="55">
        <v>7.2979000000000002E-2</v>
      </c>
      <c r="I3457" s="55">
        <v>-0.2217056</v>
      </c>
      <c r="J3457" s="55">
        <v>-0.30035990000000001</v>
      </c>
      <c r="K3457" s="55">
        <v>-0.36855139999999997</v>
      </c>
      <c r="L3457" s="55">
        <v>-0.65134879999999995</v>
      </c>
      <c r="M3457" s="55">
        <v>-0.59229189999999998</v>
      </c>
      <c r="N3457" s="55">
        <v>-0.38721990000000001</v>
      </c>
    </row>
    <row r="3458" spans="1:14" hidden="1" x14ac:dyDescent="0.35">
      <c r="A3458" s="52" t="s">
        <v>232</v>
      </c>
      <c r="B3458" s="52" t="s">
        <v>37</v>
      </c>
      <c r="C3458" s="52" t="s">
        <v>35</v>
      </c>
      <c r="D3458" s="52" t="s">
        <v>207</v>
      </c>
      <c r="E3458" s="52" t="s">
        <v>651</v>
      </c>
      <c r="F3458" s="52" t="s">
        <v>581</v>
      </c>
      <c r="G3458" s="55" t="s">
        <v>277</v>
      </c>
      <c r="H3458" s="55">
        <v>3.6778050000000002</v>
      </c>
      <c r="I3458" s="55">
        <v>4.67204</v>
      </c>
      <c r="J3458" s="55">
        <v>3.4996659999999999</v>
      </c>
      <c r="K3458" s="55">
        <v>3.3893399999999998</v>
      </c>
      <c r="L3458" s="55">
        <v>2.9120180000000002</v>
      </c>
      <c r="M3458" s="55">
        <v>0</v>
      </c>
      <c r="N3458" s="55">
        <v>0</v>
      </c>
    </row>
    <row r="3459" spans="1:14" hidden="1" x14ac:dyDescent="0.35">
      <c r="A3459" s="52" t="s">
        <v>232</v>
      </c>
      <c r="B3459" s="52" t="s">
        <v>37</v>
      </c>
      <c r="C3459" s="52" t="s">
        <v>35</v>
      </c>
      <c r="D3459" s="52" t="s">
        <v>207</v>
      </c>
      <c r="E3459" s="52" t="s">
        <v>651</v>
      </c>
      <c r="F3459" s="52" t="s">
        <v>581</v>
      </c>
      <c r="G3459" s="55" t="s">
        <v>278</v>
      </c>
      <c r="H3459" s="55">
        <v>2.8879999999999999E-2</v>
      </c>
      <c r="I3459" s="55">
        <v>0</v>
      </c>
      <c r="J3459" s="55"/>
      <c r="K3459" s="55"/>
      <c r="L3459" s="55"/>
      <c r="M3459" s="55"/>
      <c r="N3459" s="55"/>
    </row>
    <row r="3460" spans="1:14" hidden="1" x14ac:dyDescent="0.35">
      <c r="A3460" s="52" t="s">
        <v>232</v>
      </c>
      <c r="B3460" s="52" t="s">
        <v>37</v>
      </c>
      <c r="C3460" s="52" t="s">
        <v>35</v>
      </c>
      <c r="D3460" s="52" t="s">
        <v>207</v>
      </c>
      <c r="E3460" s="52" t="s">
        <v>651</v>
      </c>
      <c r="F3460" s="52" t="s">
        <v>581</v>
      </c>
      <c r="G3460" s="55" t="s">
        <v>279</v>
      </c>
      <c r="H3460" s="55">
        <v>0.53157200000000004</v>
      </c>
      <c r="I3460" s="55">
        <v>0.51654219999999995</v>
      </c>
      <c r="J3460" s="55">
        <v>0.49526880000000001</v>
      </c>
      <c r="K3460" s="55">
        <v>0.49357250000000003</v>
      </c>
      <c r="L3460" s="55">
        <v>0.45743630000000002</v>
      </c>
      <c r="M3460" s="55">
        <v>0.42960579999999998</v>
      </c>
      <c r="N3460" s="55">
        <v>0.36268309999999998</v>
      </c>
    </row>
    <row r="3461" spans="1:14" hidden="1" x14ac:dyDescent="0.35">
      <c r="A3461" s="52" t="s">
        <v>232</v>
      </c>
      <c r="B3461" s="52" t="s">
        <v>37</v>
      </c>
      <c r="C3461" s="52" t="s">
        <v>35</v>
      </c>
      <c r="D3461" s="52" t="s">
        <v>207</v>
      </c>
      <c r="E3461" s="52" t="s">
        <v>651</v>
      </c>
      <c r="F3461" s="52" t="s">
        <v>26</v>
      </c>
      <c r="G3461" s="55" t="s">
        <v>275</v>
      </c>
      <c r="H3461" s="55">
        <v>-6.8707000000000004E-2</v>
      </c>
      <c r="I3461" s="55">
        <v>-3.94153E-2</v>
      </c>
      <c r="J3461" s="55">
        <v>-3.4828400000000002E-2</v>
      </c>
      <c r="K3461" s="55">
        <v>-3.6946600000000003E-2</v>
      </c>
      <c r="L3461" s="55">
        <v>-3.3911799999999999E-2</v>
      </c>
      <c r="M3461" s="55">
        <v>-3.49497E-2</v>
      </c>
      <c r="N3461" s="55">
        <v>-2.9831699999999999E-2</v>
      </c>
    </row>
    <row r="3462" spans="1:14" hidden="1" x14ac:dyDescent="0.35">
      <c r="A3462" s="52" t="s">
        <v>232</v>
      </c>
      <c r="B3462" s="52" t="s">
        <v>37</v>
      </c>
      <c r="C3462" s="52" t="s">
        <v>35</v>
      </c>
      <c r="D3462" s="52" t="s">
        <v>207</v>
      </c>
      <c r="E3462" s="52" t="s">
        <v>651</v>
      </c>
      <c r="F3462" s="52" t="s">
        <v>26</v>
      </c>
      <c r="G3462" s="55" t="s">
        <v>276</v>
      </c>
      <c r="H3462" s="55">
        <v>-1.8263000000000001E-2</v>
      </c>
      <c r="I3462" s="55">
        <v>-1.04774E-2</v>
      </c>
      <c r="J3462" s="55">
        <v>-9.2592000000000004E-3</v>
      </c>
      <c r="K3462" s="55">
        <v>-9.8209000000000005E-3</v>
      </c>
      <c r="L3462" s="55">
        <v>-9.0147000000000005E-3</v>
      </c>
      <c r="M3462" s="55">
        <v>-9.2904000000000007E-3</v>
      </c>
      <c r="N3462" s="55">
        <v>-7.9307000000000006E-3</v>
      </c>
    </row>
    <row r="3463" spans="1:14" hidden="1" x14ac:dyDescent="0.35">
      <c r="A3463" s="52" t="s">
        <v>232</v>
      </c>
      <c r="B3463" s="52" t="s">
        <v>37</v>
      </c>
      <c r="C3463" s="52" t="s">
        <v>35</v>
      </c>
      <c r="D3463" s="52" t="s">
        <v>207</v>
      </c>
      <c r="E3463" s="52" t="s">
        <v>651</v>
      </c>
      <c r="F3463" s="52" t="s">
        <v>26</v>
      </c>
      <c r="G3463" s="55" t="s">
        <v>279</v>
      </c>
      <c r="H3463" s="55">
        <v>0.176866</v>
      </c>
      <c r="I3463" s="55">
        <v>9.62205E-2</v>
      </c>
      <c r="J3463" s="55">
        <v>9.2376E-2</v>
      </c>
      <c r="K3463" s="55">
        <v>9.3202199999999999E-2</v>
      </c>
      <c r="L3463" s="55">
        <v>8.7721099999999996E-2</v>
      </c>
      <c r="M3463" s="55">
        <v>8.1777500000000003E-2</v>
      </c>
      <c r="N3463" s="55">
        <v>6.9978600000000002E-2</v>
      </c>
    </row>
    <row r="3464" spans="1:14" hidden="1" x14ac:dyDescent="0.35">
      <c r="A3464" s="52" t="s">
        <v>232</v>
      </c>
      <c r="B3464" s="52" t="s">
        <v>37</v>
      </c>
      <c r="C3464" s="52" t="s">
        <v>35</v>
      </c>
      <c r="D3464" s="52" t="s">
        <v>36</v>
      </c>
      <c r="E3464" s="52" t="s">
        <v>644</v>
      </c>
      <c r="F3464" s="52" t="s">
        <v>581</v>
      </c>
      <c r="G3464" s="55" t="s">
        <v>275</v>
      </c>
      <c r="H3464" s="55">
        <v>19.484629999999999</v>
      </c>
      <c r="I3464" s="55">
        <v>0.46775159999999999</v>
      </c>
      <c r="J3464" s="55">
        <v>2.8114840000000001</v>
      </c>
      <c r="K3464" s="55">
        <v>4.5968840000000002</v>
      </c>
      <c r="L3464" s="55">
        <v>4.7409179999999997</v>
      </c>
      <c r="M3464" s="55">
        <v>5.7882020000000001</v>
      </c>
      <c r="N3464" s="55">
        <v>4.8368589999999996</v>
      </c>
    </row>
    <row r="3465" spans="1:14" hidden="1" x14ac:dyDescent="0.35">
      <c r="A3465" s="52" t="s">
        <v>232</v>
      </c>
      <c r="B3465" s="52" t="s">
        <v>37</v>
      </c>
      <c r="C3465" s="52" t="s">
        <v>35</v>
      </c>
      <c r="D3465" s="52" t="s">
        <v>36</v>
      </c>
      <c r="E3465" s="52" t="s">
        <v>644</v>
      </c>
      <c r="F3465" s="52" t="s">
        <v>581</v>
      </c>
      <c r="G3465" s="55" t="s">
        <v>276</v>
      </c>
      <c r="H3465" s="55">
        <v>2.0755889999999999</v>
      </c>
      <c r="I3465" s="55">
        <v>1.233719</v>
      </c>
      <c r="J3465" s="55">
        <v>1.1150439999999999</v>
      </c>
      <c r="K3465" s="55">
        <v>0.77413980000000004</v>
      </c>
      <c r="L3465" s="55">
        <v>0.78361930000000002</v>
      </c>
      <c r="M3465" s="55">
        <v>0.2934254</v>
      </c>
      <c r="N3465" s="55">
        <v>0.48864790000000002</v>
      </c>
    </row>
    <row r="3466" spans="1:14" hidden="1" x14ac:dyDescent="0.35">
      <c r="A3466" s="52" t="s">
        <v>232</v>
      </c>
      <c r="B3466" s="52" t="s">
        <v>37</v>
      </c>
      <c r="C3466" s="52" t="s">
        <v>35</v>
      </c>
      <c r="D3466" s="52" t="s">
        <v>36</v>
      </c>
      <c r="E3466" s="52" t="s">
        <v>644</v>
      </c>
      <c r="F3466" s="52" t="s">
        <v>581</v>
      </c>
      <c r="G3466" s="55" t="s">
        <v>277</v>
      </c>
      <c r="H3466" s="55">
        <v>3.9071699999999998</v>
      </c>
      <c r="I3466" s="55">
        <v>7.1998350000000002</v>
      </c>
      <c r="J3466" s="55">
        <v>4.7873960000000002</v>
      </c>
      <c r="K3466" s="55">
        <v>2.4157549999999999</v>
      </c>
      <c r="L3466" s="55">
        <v>2.4082110000000001</v>
      </c>
      <c r="M3466" s="55">
        <v>0</v>
      </c>
      <c r="N3466" s="55">
        <v>0</v>
      </c>
    </row>
    <row r="3467" spans="1:14" hidden="1" x14ac:dyDescent="0.35">
      <c r="A3467" s="52" t="s">
        <v>232</v>
      </c>
      <c r="B3467" s="52" t="s">
        <v>37</v>
      </c>
      <c r="C3467" s="52" t="s">
        <v>35</v>
      </c>
      <c r="D3467" s="52" t="s">
        <v>36</v>
      </c>
      <c r="E3467" s="52" t="s">
        <v>644</v>
      </c>
      <c r="F3467" s="52" t="s">
        <v>581</v>
      </c>
      <c r="G3467" s="55" t="s">
        <v>278</v>
      </c>
      <c r="H3467" s="55">
        <v>0.33701100000000001</v>
      </c>
      <c r="I3467" s="55">
        <v>0.81805229999999995</v>
      </c>
      <c r="J3467" s="55">
        <v>0.945106</v>
      </c>
      <c r="K3467" s="55">
        <v>0.79166990000000004</v>
      </c>
      <c r="L3467" s="55">
        <v>0.1085122</v>
      </c>
      <c r="M3467" s="55">
        <v>0</v>
      </c>
      <c r="N3467" s="55"/>
    </row>
    <row r="3468" spans="1:14" hidden="1" x14ac:dyDescent="0.35">
      <c r="A3468" s="52" t="s">
        <v>232</v>
      </c>
      <c r="B3468" s="52" t="s">
        <v>37</v>
      </c>
      <c r="C3468" s="52" t="s">
        <v>35</v>
      </c>
      <c r="D3468" s="52" t="s">
        <v>36</v>
      </c>
      <c r="E3468" s="52" t="s">
        <v>644</v>
      </c>
      <c r="F3468" s="52" t="s">
        <v>581</v>
      </c>
      <c r="G3468" s="55" t="s">
        <v>279</v>
      </c>
      <c r="H3468" s="55">
        <v>13.028840000000001</v>
      </c>
      <c r="I3468" s="55">
        <v>11.46283</v>
      </c>
      <c r="J3468" s="55">
        <v>10.55991</v>
      </c>
      <c r="K3468" s="55">
        <v>9.9854299999999991</v>
      </c>
      <c r="L3468" s="55">
        <v>8.7096999999999998</v>
      </c>
      <c r="M3468" s="55">
        <v>8.6354059999999997</v>
      </c>
      <c r="N3468" s="55">
        <v>7.6999029999999999</v>
      </c>
    </row>
    <row r="3469" spans="1:14" hidden="1" x14ac:dyDescent="0.35">
      <c r="A3469" s="52" t="s">
        <v>232</v>
      </c>
      <c r="B3469" s="52" t="s">
        <v>37</v>
      </c>
      <c r="C3469" s="52" t="s">
        <v>35</v>
      </c>
      <c r="D3469" s="52" t="s">
        <v>36</v>
      </c>
      <c r="E3469" s="52" t="s">
        <v>644</v>
      </c>
      <c r="F3469" s="52" t="s">
        <v>26</v>
      </c>
      <c r="G3469" s="55" t="s">
        <v>275</v>
      </c>
      <c r="H3469" s="55">
        <v>-2.0056370000000001</v>
      </c>
      <c r="I3469" s="55">
        <v>-1.1612830000000001</v>
      </c>
      <c r="J3469" s="55">
        <v>-1.0259119999999999</v>
      </c>
      <c r="K3469" s="55">
        <v>-1.0286789999999999</v>
      </c>
      <c r="L3469" s="55">
        <v>-0.91209209999999996</v>
      </c>
      <c r="M3469" s="55">
        <v>-0.96830830000000001</v>
      </c>
      <c r="N3469" s="55">
        <v>-0.87851109999999999</v>
      </c>
    </row>
    <row r="3470" spans="1:14" hidden="1" x14ac:dyDescent="0.35">
      <c r="A3470" s="52" t="s">
        <v>232</v>
      </c>
      <c r="B3470" s="52" t="s">
        <v>37</v>
      </c>
      <c r="C3470" s="52" t="s">
        <v>35</v>
      </c>
      <c r="D3470" s="52" t="s">
        <v>36</v>
      </c>
      <c r="E3470" s="52" t="s">
        <v>644</v>
      </c>
      <c r="F3470" s="52" t="s">
        <v>26</v>
      </c>
      <c r="G3470" s="55" t="s">
        <v>276</v>
      </c>
      <c r="H3470" s="55">
        <v>-0.53314499999999998</v>
      </c>
      <c r="I3470" s="55">
        <v>-0.30869489999999999</v>
      </c>
      <c r="J3470" s="55">
        <v>-0.27271030000000002</v>
      </c>
      <c r="K3470" s="55">
        <v>-0.27344619999999997</v>
      </c>
      <c r="L3470" s="55">
        <v>-0.2424549</v>
      </c>
      <c r="M3470" s="55">
        <v>-0.25739859999999998</v>
      </c>
      <c r="N3470" s="55">
        <v>-0.23352819999999999</v>
      </c>
    </row>
    <row r="3471" spans="1:14" hidden="1" x14ac:dyDescent="0.35">
      <c r="A3471" s="52" t="s">
        <v>232</v>
      </c>
      <c r="B3471" s="52" t="s">
        <v>37</v>
      </c>
      <c r="C3471" s="52" t="s">
        <v>35</v>
      </c>
      <c r="D3471" s="52" t="s">
        <v>36</v>
      </c>
      <c r="E3471" s="52" t="s">
        <v>644</v>
      </c>
      <c r="F3471" s="52" t="s">
        <v>26</v>
      </c>
      <c r="G3471" s="55" t="s">
        <v>279</v>
      </c>
      <c r="H3471" s="55">
        <v>4.9097660000000003</v>
      </c>
      <c r="I3471" s="55">
        <v>2.6048770000000001</v>
      </c>
      <c r="J3471" s="55">
        <v>2.4538180000000001</v>
      </c>
      <c r="K3471" s="55">
        <v>2.359076</v>
      </c>
      <c r="L3471" s="55">
        <v>2.1059380000000001</v>
      </c>
      <c r="M3471" s="55">
        <v>2.0489790000000001</v>
      </c>
      <c r="N3471" s="55">
        <v>1.831772</v>
      </c>
    </row>
    <row r="3472" spans="1:14" hidden="1" x14ac:dyDescent="0.35">
      <c r="A3472" s="52" t="s">
        <v>232</v>
      </c>
      <c r="B3472" s="52" t="s">
        <v>37</v>
      </c>
      <c r="C3472" s="52" t="s">
        <v>79</v>
      </c>
      <c r="D3472" s="52" t="s">
        <v>79</v>
      </c>
      <c r="E3472" s="52" t="s">
        <v>640</v>
      </c>
      <c r="F3472" s="52" t="s">
        <v>581</v>
      </c>
      <c r="G3472" s="55" t="s">
        <v>275</v>
      </c>
      <c r="H3472" s="55">
        <v>37.221380000000003</v>
      </c>
      <c r="I3472" s="55">
        <v>4.5793739999999996</v>
      </c>
      <c r="J3472" s="55">
        <v>4.1984219999999999</v>
      </c>
      <c r="K3472" s="55">
        <v>2.1837629999999999</v>
      </c>
      <c r="L3472" s="55">
        <v>5.8768399999999996</v>
      </c>
      <c r="M3472" s="55">
        <v>7.6045780000000001</v>
      </c>
      <c r="N3472" s="55">
        <v>6.3412800000000002</v>
      </c>
    </row>
    <row r="3473" spans="1:14" hidden="1" x14ac:dyDescent="0.35">
      <c r="A3473" s="52" t="s">
        <v>232</v>
      </c>
      <c r="B3473" s="52" t="s">
        <v>37</v>
      </c>
      <c r="C3473" s="52" t="s">
        <v>79</v>
      </c>
      <c r="D3473" s="52" t="s">
        <v>79</v>
      </c>
      <c r="E3473" s="52" t="s">
        <v>640</v>
      </c>
      <c r="F3473" s="52" t="s">
        <v>581</v>
      </c>
      <c r="G3473" s="55" t="s">
        <v>276</v>
      </c>
      <c r="H3473" s="55">
        <v>-19.610389999999999</v>
      </c>
      <c r="I3473" s="55">
        <v>-0.21813579999999999</v>
      </c>
      <c r="J3473" s="55">
        <v>1.5481050000000001</v>
      </c>
      <c r="K3473" s="55">
        <v>1.0486180000000001</v>
      </c>
      <c r="L3473" s="55">
        <v>-0.14728559999999999</v>
      </c>
      <c r="M3473" s="55">
        <v>0.47740680000000002</v>
      </c>
      <c r="N3473" s="55">
        <v>0.56724160000000001</v>
      </c>
    </row>
    <row r="3474" spans="1:14" hidden="1" x14ac:dyDescent="0.35">
      <c r="A3474" s="52" t="s">
        <v>232</v>
      </c>
      <c r="B3474" s="52" t="s">
        <v>37</v>
      </c>
      <c r="C3474" s="52" t="s">
        <v>79</v>
      </c>
      <c r="D3474" s="52" t="s">
        <v>79</v>
      </c>
      <c r="E3474" s="52" t="s">
        <v>640</v>
      </c>
      <c r="F3474" s="52" t="s">
        <v>581</v>
      </c>
      <c r="G3474" s="55" t="s">
        <v>277</v>
      </c>
      <c r="H3474" s="55">
        <v>20.690339999999999</v>
      </c>
      <c r="I3474" s="55">
        <v>8.2910430000000002</v>
      </c>
      <c r="J3474" s="55">
        <v>7.1263379999999996</v>
      </c>
      <c r="K3474" s="55">
        <v>7.7598669999999998</v>
      </c>
      <c r="L3474" s="55">
        <v>5.241968</v>
      </c>
      <c r="M3474" s="55">
        <v>0</v>
      </c>
      <c r="N3474" s="55">
        <v>0</v>
      </c>
    </row>
    <row r="3475" spans="1:14" hidden="1" x14ac:dyDescent="0.35">
      <c r="A3475" s="52" t="s">
        <v>232</v>
      </c>
      <c r="B3475" s="52" t="s">
        <v>37</v>
      </c>
      <c r="C3475" s="52" t="s">
        <v>79</v>
      </c>
      <c r="D3475" s="52" t="s">
        <v>79</v>
      </c>
      <c r="E3475" s="52" t="s">
        <v>640</v>
      </c>
      <c r="F3475" s="52" t="s">
        <v>581</v>
      </c>
      <c r="G3475" s="55" t="s">
        <v>278</v>
      </c>
      <c r="H3475" s="55">
        <v>0</v>
      </c>
      <c r="I3475" s="55"/>
      <c r="J3475" s="55"/>
      <c r="K3475" s="55"/>
      <c r="L3475" s="55"/>
      <c r="M3475" s="55"/>
      <c r="N3475" s="55"/>
    </row>
    <row r="3476" spans="1:14" hidden="1" x14ac:dyDescent="0.35">
      <c r="A3476" s="52" t="s">
        <v>232</v>
      </c>
      <c r="B3476" s="52" t="s">
        <v>37</v>
      </c>
      <c r="C3476" s="52" t="s">
        <v>79</v>
      </c>
      <c r="D3476" s="52" t="s">
        <v>79</v>
      </c>
      <c r="E3476" s="52" t="s">
        <v>640</v>
      </c>
      <c r="F3476" s="52" t="s">
        <v>581</v>
      </c>
      <c r="G3476" s="55" t="s">
        <v>279</v>
      </c>
      <c r="H3476" s="55">
        <v>12.384510000000001</v>
      </c>
      <c r="I3476" s="55">
        <v>7.8034169999999996</v>
      </c>
      <c r="J3476" s="55">
        <v>7.5797929999999996</v>
      </c>
      <c r="K3476" s="55">
        <v>6.8057939999999997</v>
      </c>
      <c r="L3476" s="55">
        <v>6.2718350000000003</v>
      </c>
      <c r="M3476" s="55">
        <v>4.9790039999999998</v>
      </c>
      <c r="N3476" s="55">
        <v>4.0625619999999998</v>
      </c>
    </row>
    <row r="3477" spans="1:14" hidden="1" x14ac:dyDescent="0.35">
      <c r="A3477" s="52" t="s">
        <v>232</v>
      </c>
      <c r="B3477" s="52" t="s">
        <v>37</v>
      </c>
      <c r="C3477" s="52" t="s">
        <v>79</v>
      </c>
      <c r="D3477" s="52" t="s">
        <v>79</v>
      </c>
      <c r="E3477" s="52" t="s">
        <v>640</v>
      </c>
      <c r="F3477" s="52" t="s">
        <v>26</v>
      </c>
      <c r="G3477" s="55" t="s">
        <v>275</v>
      </c>
      <c r="H3477" s="55">
        <v>0.19189200000000001</v>
      </c>
      <c r="I3477" s="55">
        <v>9.8343600000000003E-2</v>
      </c>
      <c r="J3477" s="55">
        <v>0.24106079999999999</v>
      </c>
      <c r="K3477" s="55">
        <v>0.1171938</v>
      </c>
      <c r="L3477" s="55">
        <v>0.13865669999999999</v>
      </c>
      <c r="M3477" s="55">
        <v>3.5865099999999997E-2</v>
      </c>
      <c r="N3477" s="55">
        <v>4.4935599999999999E-2</v>
      </c>
    </row>
    <row r="3478" spans="1:14" hidden="1" x14ac:dyDescent="0.35">
      <c r="A3478" s="52" t="s">
        <v>232</v>
      </c>
      <c r="B3478" s="52" t="s">
        <v>37</v>
      </c>
      <c r="C3478" s="52" t="s">
        <v>79</v>
      </c>
      <c r="D3478" s="52" t="s">
        <v>79</v>
      </c>
      <c r="E3478" s="52" t="s">
        <v>640</v>
      </c>
      <c r="F3478" s="52" t="s">
        <v>26</v>
      </c>
      <c r="G3478" s="55" t="s">
        <v>276</v>
      </c>
      <c r="H3478" s="55">
        <v>5.5625000000000001E-2</v>
      </c>
      <c r="I3478" s="55">
        <v>2.85084E-2</v>
      </c>
      <c r="J3478" s="55">
        <v>6.9879899999999995E-2</v>
      </c>
      <c r="K3478" s="55">
        <v>3.3972000000000002E-2</v>
      </c>
      <c r="L3478" s="55">
        <v>4.0195000000000002E-2</v>
      </c>
      <c r="M3478" s="55">
        <v>1.0396499999999999E-2</v>
      </c>
      <c r="N3478" s="55">
        <v>1.3024900000000001E-2</v>
      </c>
    </row>
    <row r="3479" spans="1:14" hidden="1" x14ac:dyDescent="0.35">
      <c r="A3479" s="52" t="s">
        <v>232</v>
      </c>
      <c r="B3479" s="52" t="s">
        <v>37</v>
      </c>
      <c r="C3479" s="52" t="s">
        <v>79</v>
      </c>
      <c r="D3479" s="52" t="s">
        <v>79</v>
      </c>
      <c r="E3479" s="52" t="s">
        <v>640</v>
      </c>
      <c r="F3479" s="52" t="s">
        <v>26</v>
      </c>
      <c r="G3479" s="55" t="s">
        <v>279</v>
      </c>
      <c r="H3479" s="55">
        <v>2.3521260000000002</v>
      </c>
      <c r="I3479" s="55">
        <v>2.0457420000000002</v>
      </c>
      <c r="J3479" s="55">
        <v>2.1351680000000002</v>
      </c>
      <c r="K3479" s="55">
        <v>1.8198799999999999</v>
      </c>
      <c r="L3479" s="55">
        <v>1.7282690000000001</v>
      </c>
      <c r="M3479" s="55">
        <v>1.3472550000000001</v>
      </c>
      <c r="N3479" s="55">
        <v>1.0898570000000001</v>
      </c>
    </row>
    <row r="3480" spans="1:14" hidden="1" x14ac:dyDescent="0.35">
      <c r="A3480" s="52" t="s">
        <v>232</v>
      </c>
      <c r="B3480" s="52" t="s">
        <v>37</v>
      </c>
      <c r="C3480" s="52" t="s">
        <v>79</v>
      </c>
      <c r="D3480" s="52" t="s">
        <v>79</v>
      </c>
      <c r="E3480" s="52" t="s">
        <v>584</v>
      </c>
      <c r="F3480" s="52" t="s">
        <v>581</v>
      </c>
      <c r="G3480" s="55" t="s">
        <v>275</v>
      </c>
      <c r="H3480" s="55">
        <v>3.187891</v>
      </c>
      <c r="I3480" s="55">
        <v>1.425759</v>
      </c>
      <c r="J3480" s="55">
        <v>-0.26818059999999999</v>
      </c>
      <c r="K3480" s="55">
        <v>-0.54532329999999996</v>
      </c>
      <c r="L3480" s="55">
        <v>-0.66156950000000003</v>
      </c>
      <c r="M3480" s="55">
        <v>-0.71005479999999999</v>
      </c>
      <c r="N3480" s="55">
        <v>-0.62844880000000003</v>
      </c>
    </row>
    <row r="3481" spans="1:14" hidden="1" x14ac:dyDescent="0.35">
      <c r="A3481" s="52" t="s">
        <v>232</v>
      </c>
      <c r="B3481" s="52" t="s">
        <v>37</v>
      </c>
      <c r="C3481" s="52" t="s">
        <v>79</v>
      </c>
      <c r="D3481" s="52" t="s">
        <v>79</v>
      </c>
      <c r="E3481" s="52" t="s">
        <v>584</v>
      </c>
      <c r="F3481" s="52" t="s">
        <v>581</v>
      </c>
      <c r="G3481" s="55" t="s">
        <v>276</v>
      </c>
      <c r="H3481" s="55">
        <v>0.85776839999999999</v>
      </c>
      <c r="I3481" s="55">
        <v>0.26968439999999999</v>
      </c>
      <c r="J3481" s="55">
        <v>2.8392049999999999E-2</v>
      </c>
      <c r="K3481" s="55">
        <v>-1.1815000000000001E-2</v>
      </c>
      <c r="L3481" s="55">
        <v>-1.0650359999999999E-2</v>
      </c>
      <c r="M3481" s="55">
        <v>-1.924114E-2</v>
      </c>
      <c r="N3481" s="55">
        <v>-0.15383279999999999</v>
      </c>
    </row>
    <row r="3482" spans="1:14" hidden="1" x14ac:dyDescent="0.35">
      <c r="A3482" s="52" t="s">
        <v>232</v>
      </c>
      <c r="B3482" s="52" t="s">
        <v>37</v>
      </c>
      <c r="C3482" s="52" t="s">
        <v>79</v>
      </c>
      <c r="D3482" s="52" t="s">
        <v>79</v>
      </c>
      <c r="E3482" s="52" t="s">
        <v>584</v>
      </c>
      <c r="F3482" s="52" t="s">
        <v>581</v>
      </c>
      <c r="G3482" s="55" t="s">
        <v>277</v>
      </c>
      <c r="H3482" s="55">
        <v>0.38579580000000002</v>
      </c>
      <c r="I3482" s="55">
        <v>1.95E-6</v>
      </c>
      <c r="J3482" s="55">
        <v>1.056576</v>
      </c>
      <c r="K3482" s="55">
        <v>1.272214</v>
      </c>
      <c r="L3482" s="55">
        <v>1.397904</v>
      </c>
      <c r="M3482" s="55">
        <v>1.415467</v>
      </c>
      <c r="N3482" s="55">
        <v>1.272748</v>
      </c>
    </row>
    <row r="3483" spans="1:14" hidden="1" x14ac:dyDescent="0.35">
      <c r="A3483" s="52" t="s">
        <v>232</v>
      </c>
      <c r="B3483" s="52" t="s">
        <v>37</v>
      </c>
      <c r="C3483" s="52" t="s">
        <v>79</v>
      </c>
      <c r="D3483" s="52" t="s">
        <v>79</v>
      </c>
      <c r="E3483" s="52" t="s">
        <v>584</v>
      </c>
      <c r="F3483" s="52" t="s">
        <v>581</v>
      </c>
      <c r="G3483" s="55" t="s">
        <v>279</v>
      </c>
      <c r="H3483" s="55">
        <v>1.4817579999999999</v>
      </c>
      <c r="I3483" s="55">
        <v>1.1091899999999999</v>
      </c>
      <c r="J3483" s="55">
        <v>1.926755</v>
      </c>
      <c r="K3483" s="55">
        <v>2.0145400000000002</v>
      </c>
      <c r="L3483" s="55">
        <v>1.9975830000000001</v>
      </c>
      <c r="M3483" s="55">
        <v>1.9642090000000001</v>
      </c>
      <c r="N3483" s="55">
        <v>1.877048</v>
      </c>
    </row>
    <row r="3484" spans="1:14" hidden="1" x14ac:dyDescent="0.35">
      <c r="A3484" s="52" t="s">
        <v>232</v>
      </c>
      <c r="B3484" s="52" t="s">
        <v>37</v>
      </c>
      <c r="C3484" s="52" t="s">
        <v>79</v>
      </c>
      <c r="D3484" s="52" t="s">
        <v>79</v>
      </c>
      <c r="E3484" s="52" t="s">
        <v>584</v>
      </c>
      <c r="F3484" s="52" t="s">
        <v>26</v>
      </c>
      <c r="G3484" s="55" t="s">
        <v>275</v>
      </c>
      <c r="H3484" s="55">
        <v>1.2091689999999999</v>
      </c>
      <c r="I3484" s="55">
        <v>0.3470008</v>
      </c>
      <c r="J3484" s="55">
        <v>2.3131740000000001</v>
      </c>
      <c r="K3484" s="55">
        <v>1.804961</v>
      </c>
      <c r="L3484" s="55">
        <v>1.518432</v>
      </c>
      <c r="M3484" s="55">
        <v>1.2129399999999999</v>
      </c>
      <c r="N3484" s="55">
        <v>0.8743398</v>
      </c>
    </row>
    <row r="3485" spans="1:14" hidden="1" x14ac:dyDescent="0.35">
      <c r="A3485" s="52" t="s">
        <v>232</v>
      </c>
      <c r="B3485" s="52" t="s">
        <v>37</v>
      </c>
      <c r="C3485" s="52" t="s">
        <v>79</v>
      </c>
      <c r="D3485" s="52" t="s">
        <v>79</v>
      </c>
      <c r="E3485" s="52" t="s">
        <v>584</v>
      </c>
      <c r="F3485" s="52" t="s">
        <v>26</v>
      </c>
      <c r="G3485" s="55" t="s">
        <v>276</v>
      </c>
      <c r="H3485" s="55">
        <v>0.44916739999999999</v>
      </c>
      <c r="I3485" s="55">
        <v>6.7642279999999999E-2</v>
      </c>
      <c r="J3485" s="55">
        <v>0.246866</v>
      </c>
      <c r="K3485" s="55">
        <v>0.1924051</v>
      </c>
      <c r="L3485" s="55">
        <v>0.16299630000000001</v>
      </c>
      <c r="M3485" s="55">
        <v>0.15521019999999999</v>
      </c>
      <c r="N3485" s="55">
        <v>0.2324193</v>
      </c>
    </row>
    <row r="3486" spans="1:14" hidden="1" x14ac:dyDescent="0.35">
      <c r="A3486" s="52" t="s">
        <v>232</v>
      </c>
      <c r="B3486" s="52" t="s">
        <v>37</v>
      </c>
      <c r="C3486" s="52" t="s">
        <v>79</v>
      </c>
      <c r="D3486" s="52" t="s">
        <v>79</v>
      </c>
      <c r="E3486" s="52" t="s">
        <v>584</v>
      </c>
      <c r="F3486" s="52" t="s">
        <v>26</v>
      </c>
      <c r="G3486" s="55" t="s">
        <v>277</v>
      </c>
      <c r="H3486" s="55">
        <v>1.8261529999999999</v>
      </c>
      <c r="I3486" s="55">
        <v>1.5357780000000001</v>
      </c>
      <c r="J3486" s="55"/>
      <c r="K3486" s="55">
        <v>0</v>
      </c>
      <c r="L3486" s="55"/>
      <c r="M3486" s="55"/>
      <c r="N3486" s="55"/>
    </row>
    <row r="3487" spans="1:14" hidden="1" x14ac:dyDescent="0.35">
      <c r="A3487" s="52" t="s">
        <v>232</v>
      </c>
      <c r="B3487" s="52" t="s">
        <v>37</v>
      </c>
      <c r="C3487" s="52" t="s">
        <v>79</v>
      </c>
      <c r="D3487" s="52" t="s">
        <v>79</v>
      </c>
      <c r="E3487" s="52" t="s">
        <v>584</v>
      </c>
      <c r="F3487" s="52" t="s">
        <v>26</v>
      </c>
      <c r="G3487" s="55" t="s">
        <v>279</v>
      </c>
      <c r="H3487" s="55">
        <v>6.4132910000000001</v>
      </c>
      <c r="I3487" s="55">
        <v>5.2059870000000004</v>
      </c>
      <c r="J3487" s="55">
        <v>3.9008949999999998</v>
      </c>
      <c r="K3487" s="55">
        <v>3.5879539999999999</v>
      </c>
      <c r="L3487" s="55">
        <v>3.0857019999999999</v>
      </c>
      <c r="M3487" s="55">
        <v>2.5932339999999998</v>
      </c>
      <c r="N3487" s="55">
        <v>2.185352</v>
      </c>
    </row>
    <row r="3488" spans="1:14" hidden="1" x14ac:dyDescent="0.35">
      <c r="A3488" s="52" t="s">
        <v>232</v>
      </c>
      <c r="B3488" s="52" t="s">
        <v>37</v>
      </c>
      <c r="C3488" s="52" t="s">
        <v>46</v>
      </c>
      <c r="D3488" s="52" t="s">
        <v>46</v>
      </c>
      <c r="E3488" s="52" t="s">
        <v>584</v>
      </c>
      <c r="F3488" s="52" t="s">
        <v>581</v>
      </c>
      <c r="G3488" s="55" t="s">
        <v>275</v>
      </c>
      <c r="H3488" s="55">
        <v>8.4225999999999995E-2</v>
      </c>
      <c r="I3488" s="55">
        <v>1.80781E-2</v>
      </c>
      <c r="J3488" s="55">
        <v>1.24262E-2</v>
      </c>
      <c r="K3488" s="55">
        <v>7.5181989999999997E-3</v>
      </c>
      <c r="L3488" s="55">
        <v>4.0201000000000004E-3</v>
      </c>
      <c r="M3488" s="55">
        <v>-6.5499920000000004E-4</v>
      </c>
      <c r="N3488" s="55">
        <v>-8.5079960000000005E-4</v>
      </c>
    </row>
    <row r="3489" spans="1:14" hidden="1" x14ac:dyDescent="0.35">
      <c r="A3489" s="52" t="s">
        <v>232</v>
      </c>
      <c r="B3489" s="52" t="s">
        <v>37</v>
      </c>
      <c r="C3489" s="52" t="s">
        <v>46</v>
      </c>
      <c r="D3489" s="52" t="s">
        <v>46</v>
      </c>
      <c r="E3489" s="52" t="s">
        <v>584</v>
      </c>
      <c r="F3489" s="52" t="s">
        <v>581</v>
      </c>
      <c r="G3489" s="55" t="s">
        <v>276</v>
      </c>
      <c r="H3489" s="55">
        <v>2.2388999999999999E-2</v>
      </c>
      <c r="I3489" s="55">
        <v>4.8063000000000003E-3</v>
      </c>
      <c r="J3489" s="55">
        <v>3.3037000000000001E-3</v>
      </c>
      <c r="K3489" s="55">
        <v>1.9989000000000001E-3</v>
      </c>
      <c r="L3489" s="55">
        <v>1.0698999999999999E-3</v>
      </c>
      <c r="M3489" s="55">
        <v>-1.747997E-4</v>
      </c>
      <c r="N3489" s="55">
        <v>-2.2709999999999999E-4</v>
      </c>
    </row>
    <row r="3490" spans="1:14" hidden="1" x14ac:dyDescent="0.35">
      <c r="A3490" s="52" t="s">
        <v>232</v>
      </c>
      <c r="B3490" s="52" t="s">
        <v>37</v>
      </c>
      <c r="C3490" s="52" t="s">
        <v>46</v>
      </c>
      <c r="D3490" s="52" t="s">
        <v>46</v>
      </c>
      <c r="E3490" s="52" t="s">
        <v>584</v>
      </c>
      <c r="F3490" s="52" t="s">
        <v>581</v>
      </c>
      <c r="G3490" s="55" t="s">
        <v>279</v>
      </c>
      <c r="H3490" s="55">
        <v>5.6910000000000002E-2</v>
      </c>
      <c r="I3490" s="55">
        <v>4.2214399999999999E-2</v>
      </c>
      <c r="J3490" s="55">
        <v>3.8960000000000002E-2</v>
      </c>
      <c r="K3490" s="55">
        <v>3.8555399999999997E-2</v>
      </c>
      <c r="L3490" s="55">
        <v>3.8218500000000002E-2</v>
      </c>
      <c r="M3490" s="55">
        <v>3.2973200000000001E-2</v>
      </c>
      <c r="N3490" s="55">
        <v>3.2590300000000003E-2</v>
      </c>
    </row>
    <row r="3491" spans="1:14" hidden="1" x14ac:dyDescent="0.35">
      <c r="A3491" s="52" t="s">
        <v>232</v>
      </c>
      <c r="B3491" s="52" t="s">
        <v>37</v>
      </c>
      <c r="C3491" s="52" t="s">
        <v>46</v>
      </c>
      <c r="D3491" s="52" t="s">
        <v>46</v>
      </c>
      <c r="E3491" s="52" t="s">
        <v>584</v>
      </c>
      <c r="F3491" s="52" t="s">
        <v>26</v>
      </c>
      <c r="G3491" s="55" t="s">
        <v>275</v>
      </c>
      <c r="H3491" s="55">
        <v>-33.876690000000004</v>
      </c>
      <c r="I3491" s="55">
        <v>-29.04279</v>
      </c>
      <c r="J3491" s="55">
        <v>-21.8721</v>
      </c>
      <c r="K3491" s="55">
        <v>-21.345690000000001</v>
      </c>
      <c r="L3491" s="55">
        <v>-21.1248</v>
      </c>
      <c r="M3491" s="55">
        <v>-19.956700000000001</v>
      </c>
      <c r="N3491" s="55">
        <v>-18.444040000000001</v>
      </c>
    </row>
    <row r="3492" spans="1:14" hidden="1" x14ac:dyDescent="0.35">
      <c r="A3492" s="52" t="s">
        <v>232</v>
      </c>
      <c r="B3492" s="52" t="s">
        <v>37</v>
      </c>
      <c r="C3492" s="52" t="s">
        <v>46</v>
      </c>
      <c r="D3492" s="52" t="s">
        <v>46</v>
      </c>
      <c r="E3492" s="52" t="s">
        <v>584</v>
      </c>
      <c r="F3492" s="52" t="s">
        <v>26</v>
      </c>
      <c r="G3492" s="55" t="s">
        <v>276</v>
      </c>
      <c r="H3492" s="55">
        <v>-8.5617090000000005</v>
      </c>
      <c r="I3492" s="55">
        <v>-4.9291119999999999</v>
      </c>
      <c r="J3492" s="55">
        <v>-8.5179089999999995</v>
      </c>
      <c r="K3492" s="55">
        <v>-8.4769670000000001</v>
      </c>
      <c r="L3492" s="55">
        <v>-7.7248659999999996</v>
      </c>
      <c r="M3492" s="55">
        <v>-6.645346</v>
      </c>
      <c r="N3492" s="55">
        <v>-6.1928109999999998</v>
      </c>
    </row>
    <row r="3493" spans="1:14" hidden="1" x14ac:dyDescent="0.35">
      <c r="A3493" s="52" t="s">
        <v>232</v>
      </c>
      <c r="B3493" s="52" t="s">
        <v>37</v>
      </c>
      <c r="C3493" s="52" t="s">
        <v>46</v>
      </c>
      <c r="D3493" s="52" t="s">
        <v>46</v>
      </c>
      <c r="E3493" s="52" t="s">
        <v>584</v>
      </c>
      <c r="F3493" s="52" t="s">
        <v>26</v>
      </c>
      <c r="G3493" s="55" t="s">
        <v>277</v>
      </c>
      <c r="H3493" s="55">
        <v>47.881210000000003</v>
      </c>
      <c r="I3493" s="55">
        <v>37.97645</v>
      </c>
      <c r="J3493" s="55">
        <v>35.276240000000001</v>
      </c>
      <c r="K3493" s="55">
        <v>33.674160000000001</v>
      </c>
      <c r="L3493" s="55">
        <v>31.835940000000001</v>
      </c>
      <c r="M3493" s="55">
        <v>29.411290000000001</v>
      </c>
      <c r="N3493" s="55">
        <v>27.28182</v>
      </c>
    </row>
    <row r="3494" spans="1:14" hidden="1" x14ac:dyDescent="0.35">
      <c r="A3494" s="52" t="s">
        <v>232</v>
      </c>
      <c r="B3494" s="52" t="s">
        <v>37</v>
      </c>
      <c r="C3494" s="52" t="s">
        <v>46</v>
      </c>
      <c r="D3494" s="52" t="s">
        <v>46</v>
      </c>
      <c r="E3494" s="52" t="s">
        <v>584</v>
      </c>
      <c r="F3494" s="52" t="s">
        <v>26</v>
      </c>
      <c r="G3494" s="55" t="s">
        <v>279</v>
      </c>
      <c r="H3494" s="55">
        <v>16.452000000000002</v>
      </c>
      <c r="I3494" s="55">
        <v>13.890459999999999</v>
      </c>
      <c r="J3494" s="55">
        <v>13.387779999999999</v>
      </c>
      <c r="K3494" s="55">
        <v>14.03618</v>
      </c>
      <c r="L3494" s="55">
        <v>14.36567</v>
      </c>
      <c r="M3494" s="55">
        <v>13.63137</v>
      </c>
      <c r="N3494" s="55">
        <v>12.982290000000001</v>
      </c>
    </row>
    <row r="3495" spans="1:14" hidden="1" x14ac:dyDescent="0.35">
      <c r="A3495" s="52" t="s">
        <v>232</v>
      </c>
      <c r="B3495" s="52" t="s">
        <v>37</v>
      </c>
      <c r="C3495" s="52" t="s">
        <v>109</v>
      </c>
      <c r="D3495" s="52" t="s">
        <v>109</v>
      </c>
      <c r="E3495" s="52" t="s">
        <v>584</v>
      </c>
      <c r="F3495" s="52" t="s">
        <v>581</v>
      </c>
      <c r="G3495" s="55" t="s">
        <v>275</v>
      </c>
      <c r="H3495" s="55">
        <v>13.36164</v>
      </c>
      <c r="I3495" s="55">
        <v>4.6451799999999999</v>
      </c>
      <c r="J3495" s="55">
        <v>4.0906330000000004</v>
      </c>
      <c r="K3495" s="55">
        <v>2.484464</v>
      </c>
      <c r="L3495" s="55">
        <v>1.453314</v>
      </c>
      <c r="M3495" s="55">
        <v>0.78941629999999996</v>
      </c>
      <c r="N3495" s="55">
        <v>0.98848460000000005</v>
      </c>
    </row>
    <row r="3496" spans="1:14" hidden="1" x14ac:dyDescent="0.35">
      <c r="A3496" s="52" t="s">
        <v>232</v>
      </c>
      <c r="B3496" s="52" t="s">
        <v>37</v>
      </c>
      <c r="C3496" s="52" t="s">
        <v>109</v>
      </c>
      <c r="D3496" s="52" t="s">
        <v>109</v>
      </c>
      <c r="E3496" s="52" t="s">
        <v>584</v>
      </c>
      <c r="F3496" s="52" t="s">
        <v>581</v>
      </c>
      <c r="G3496" s="55" t="s">
        <v>276</v>
      </c>
      <c r="H3496" s="55">
        <v>3.4100090000000001</v>
      </c>
      <c r="I3496" s="55">
        <v>1.1080350000000001</v>
      </c>
      <c r="J3496" s="55">
        <v>0.99357949999999995</v>
      </c>
      <c r="K3496" s="55">
        <v>0.61480440000000003</v>
      </c>
      <c r="L3496" s="55">
        <v>0.38092670000000001</v>
      </c>
      <c r="M3496" s="55">
        <v>0.21429329999999999</v>
      </c>
      <c r="N3496" s="55">
        <v>0.1236358</v>
      </c>
    </row>
    <row r="3497" spans="1:14" hidden="1" x14ac:dyDescent="0.35">
      <c r="A3497" s="52" t="s">
        <v>232</v>
      </c>
      <c r="B3497" s="52" t="s">
        <v>37</v>
      </c>
      <c r="C3497" s="52" t="s">
        <v>109</v>
      </c>
      <c r="D3497" s="52" t="s">
        <v>109</v>
      </c>
      <c r="E3497" s="52" t="s">
        <v>584</v>
      </c>
      <c r="F3497" s="52" t="s">
        <v>581</v>
      </c>
      <c r="G3497" s="55" t="s">
        <v>277</v>
      </c>
      <c r="H3497" s="55">
        <v>0.9546365</v>
      </c>
      <c r="I3497" s="55">
        <v>0.81060980000000005</v>
      </c>
      <c r="J3497" s="55">
        <v>0.75048539999999997</v>
      </c>
      <c r="K3497" s="55">
        <v>0.84770129999999999</v>
      </c>
      <c r="L3497" s="55">
        <v>0.90397419999999995</v>
      </c>
      <c r="M3497" s="55">
        <v>0.89579629999999999</v>
      </c>
      <c r="N3497" s="55">
        <v>0.2089463</v>
      </c>
    </row>
    <row r="3498" spans="1:14" hidden="1" x14ac:dyDescent="0.35">
      <c r="A3498" s="52" t="s">
        <v>232</v>
      </c>
      <c r="B3498" s="52" t="s">
        <v>37</v>
      </c>
      <c r="C3498" s="52" t="s">
        <v>109</v>
      </c>
      <c r="D3498" s="52" t="s">
        <v>109</v>
      </c>
      <c r="E3498" s="52" t="s">
        <v>584</v>
      </c>
      <c r="F3498" s="52" t="s">
        <v>581</v>
      </c>
      <c r="G3498" s="55" t="s">
        <v>278</v>
      </c>
      <c r="H3498" s="55">
        <v>1.020019E-2</v>
      </c>
      <c r="I3498" s="55">
        <v>1.020019E-2</v>
      </c>
      <c r="J3498" s="55">
        <v>1.020019E-2</v>
      </c>
      <c r="K3498" s="55">
        <v>1.020019E-2</v>
      </c>
      <c r="L3498" s="55">
        <v>1.020019E-2</v>
      </c>
      <c r="M3498" s="55">
        <v>1.020019E-2</v>
      </c>
      <c r="N3498" s="55">
        <v>1.020019E-2</v>
      </c>
    </row>
    <row r="3499" spans="1:14" hidden="1" x14ac:dyDescent="0.35">
      <c r="A3499" s="52" t="s">
        <v>232</v>
      </c>
      <c r="B3499" s="52" t="s">
        <v>37</v>
      </c>
      <c r="C3499" s="52" t="s">
        <v>109</v>
      </c>
      <c r="D3499" s="52" t="s">
        <v>109</v>
      </c>
      <c r="E3499" s="52" t="s">
        <v>584</v>
      </c>
      <c r="F3499" s="52" t="s">
        <v>581</v>
      </c>
      <c r="G3499" s="55" t="s">
        <v>279</v>
      </c>
      <c r="H3499" s="55">
        <v>3.365713</v>
      </c>
      <c r="I3499" s="55">
        <v>2.6400009999999998</v>
      </c>
      <c r="J3499" s="55">
        <v>2.3513269999999999</v>
      </c>
      <c r="K3499" s="55">
        <v>1.88558</v>
      </c>
      <c r="L3499" s="55">
        <v>1.464205</v>
      </c>
      <c r="M3499" s="55">
        <v>1.1665639999999999</v>
      </c>
      <c r="N3499" s="55">
        <v>0.95679619999999999</v>
      </c>
    </row>
    <row r="3500" spans="1:14" hidden="1" x14ac:dyDescent="0.35">
      <c r="A3500" s="52" t="s">
        <v>232</v>
      </c>
      <c r="B3500" s="52" t="s">
        <v>37</v>
      </c>
      <c r="C3500" s="52" t="s">
        <v>109</v>
      </c>
      <c r="D3500" s="52" t="s">
        <v>109</v>
      </c>
      <c r="E3500" s="52" t="s">
        <v>584</v>
      </c>
      <c r="F3500" s="52" t="s">
        <v>26</v>
      </c>
      <c r="G3500" s="55" t="s">
        <v>275</v>
      </c>
      <c r="H3500" s="55">
        <v>3.933611</v>
      </c>
      <c r="I3500" s="55">
        <v>1.3439140000000001</v>
      </c>
      <c r="J3500" s="55">
        <v>0.69586720000000002</v>
      </c>
      <c r="K3500" s="55">
        <v>2.7068890000000002E-2</v>
      </c>
      <c r="L3500" s="55">
        <v>-1.9389380000000001E-2</v>
      </c>
      <c r="M3500" s="55">
        <v>-0.1151987</v>
      </c>
      <c r="N3500" s="55">
        <v>-0.88366789999999995</v>
      </c>
    </row>
    <row r="3501" spans="1:14" hidden="1" x14ac:dyDescent="0.35">
      <c r="A3501" s="52" t="s">
        <v>232</v>
      </c>
      <c r="B3501" s="52" t="s">
        <v>37</v>
      </c>
      <c r="C3501" s="52" t="s">
        <v>109</v>
      </c>
      <c r="D3501" s="52" t="s">
        <v>109</v>
      </c>
      <c r="E3501" s="52" t="s">
        <v>584</v>
      </c>
      <c r="F3501" s="52" t="s">
        <v>26</v>
      </c>
      <c r="G3501" s="55" t="s">
        <v>276</v>
      </c>
      <c r="H3501" s="55">
        <v>0.96093899999999999</v>
      </c>
      <c r="I3501" s="55">
        <v>0.18004220000000001</v>
      </c>
      <c r="J3501" s="55">
        <v>-5.8160570000000003E-3</v>
      </c>
      <c r="K3501" s="55">
        <v>-0.1715325</v>
      </c>
      <c r="L3501" s="55">
        <v>-0.24526690000000001</v>
      </c>
      <c r="M3501" s="55">
        <v>-0.23931640000000001</v>
      </c>
      <c r="N3501" s="55">
        <v>-0.27168769999999998</v>
      </c>
    </row>
    <row r="3502" spans="1:14" hidden="1" x14ac:dyDescent="0.35">
      <c r="A3502" s="52" t="s">
        <v>232</v>
      </c>
      <c r="B3502" s="52" t="s">
        <v>37</v>
      </c>
      <c r="C3502" s="52" t="s">
        <v>109</v>
      </c>
      <c r="D3502" s="52" t="s">
        <v>109</v>
      </c>
      <c r="E3502" s="52" t="s">
        <v>584</v>
      </c>
      <c r="F3502" s="52" t="s">
        <v>26</v>
      </c>
      <c r="G3502" s="55" t="s">
        <v>277</v>
      </c>
      <c r="H3502" s="55">
        <v>2.7058119999999999</v>
      </c>
      <c r="I3502" s="55">
        <v>2.131618</v>
      </c>
      <c r="J3502" s="55">
        <v>1.9146890000000001</v>
      </c>
      <c r="K3502" s="55">
        <v>1.6245989999999999</v>
      </c>
      <c r="L3502" s="55">
        <v>1.160391</v>
      </c>
      <c r="M3502" s="55">
        <v>0.84712189999999998</v>
      </c>
      <c r="N3502" s="55">
        <v>1.3703620000000001</v>
      </c>
    </row>
    <row r="3503" spans="1:14" hidden="1" x14ac:dyDescent="0.35">
      <c r="A3503" s="52" t="s">
        <v>232</v>
      </c>
      <c r="B3503" s="52" t="s">
        <v>37</v>
      </c>
      <c r="C3503" s="52" t="s">
        <v>109</v>
      </c>
      <c r="D3503" s="52" t="s">
        <v>109</v>
      </c>
      <c r="E3503" s="52" t="s">
        <v>584</v>
      </c>
      <c r="F3503" s="52" t="s">
        <v>26</v>
      </c>
      <c r="G3503" s="55" t="s">
        <v>279</v>
      </c>
      <c r="H3503" s="55">
        <v>9.498075</v>
      </c>
      <c r="I3503" s="55">
        <v>6.3995329999999999</v>
      </c>
      <c r="J3503" s="55">
        <v>4.8649420000000001</v>
      </c>
      <c r="K3503" s="55">
        <v>3.9234360000000001</v>
      </c>
      <c r="L3503" s="55">
        <v>3.0840260000000002</v>
      </c>
      <c r="M3503" s="55">
        <v>2.5059279999999999</v>
      </c>
      <c r="N3503" s="55">
        <v>2.1078130000000002</v>
      </c>
    </row>
    <row r="3504" spans="1:14" hidden="1" x14ac:dyDescent="0.35">
      <c r="A3504" s="52" t="s">
        <v>232</v>
      </c>
      <c r="B3504" s="52" t="s">
        <v>37</v>
      </c>
      <c r="C3504" s="52" t="s">
        <v>61</v>
      </c>
      <c r="D3504" s="52" t="s">
        <v>62</v>
      </c>
      <c r="E3504" s="52" t="s">
        <v>584</v>
      </c>
      <c r="F3504" s="52" t="s">
        <v>581</v>
      </c>
      <c r="G3504" s="55" t="s">
        <v>275</v>
      </c>
      <c r="H3504" s="55">
        <v>12.93324</v>
      </c>
      <c r="I3504" s="55">
        <v>-0.65833520000000001</v>
      </c>
      <c r="J3504" s="55">
        <v>2.4635509999999998</v>
      </c>
      <c r="K3504" s="55">
        <v>-16.820740000000001</v>
      </c>
      <c r="L3504" s="55">
        <v>-16.004960000000001</v>
      </c>
      <c r="M3504" s="55">
        <v>-0.21860940000000001</v>
      </c>
      <c r="N3504" s="55">
        <v>-26.104289999999999</v>
      </c>
    </row>
    <row r="3505" spans="1:14" hidden="1" x14ac:dyDescent="0.35">
      <c r="A3505" s="52" t="s">
        <v>232</v>
      </c>
      <c r="B3505" s="52" t="s">
        <v>37</v>
      </c>
      <c r="C3505" s="52" t="s">
        <v>61</v>
      </c>
      <c r="D3505" s="52" t="s">
        <v>62</v>
      </c>
      <c r="E3505" s="52" t="s">
        <v>584</v>
      </c>
      <c r="F3505" s="52" t="s">
        <v>581</v>
      </c>
      <c r="G3505" s="55" t="s">
        <v>276</v>
      </c>
      <c r="H3505" s="55">
        <v>2.7822719999999999</v>
      </c>
      <c r="I3505" s="55">
        <v>-0.59153259999999996</v>
      </c>
      <c r="J3505" s="55">
        <v>2.9251860000000001E-2</v>
      </c>
      <c r="K3505" s="55">
        <v>-5.0034660000000004</v>
      </c>
      <c r="L3505" s="55">
        <v>-4.5561489999999996</v>
      </c>
      <c r="M3505" s="55">
        <v>-6.633057</v>
      </c>
      <c r="N3505" s="55">
        <v>-9.9841899999999999</v>
      </c>
    </row>
    <row r="3506" spans="1:14" hidden="1" x14ac:dyDescent="0.35">
      <c r="A3506" s="52" t="s">
        <v>232</v>
      </c>
      <c r="B3506" s="52" t="s">
        <v>37</v>
      </c>
      <c r="C3506" s="52" t="s">
        <v>61</v>
      </c>
      <c r="D3506" s="52" t="s">
        <v>62</v>
      </c>
      <c r="E3506" s="52" t="s">
        <v>584</v>
      </c>
      <c r="F3506" s="52" t="s">
        <v>581</v>
      </c>
      <c r="G3506" s="55" t="s">
        <v>277</v>
      </c>
      <c r="H3506" s="55">
        <v>2.34259</v>
      </c>
      <c r="I3506" s="55">
        <v>1.7638940000000001</v>
      </c>
      <c r="J3506" s="55">
        <v>0.65901940000000003</v>
      </c>
      <c r="K3506" s="55">
        <v>0.68765810000000005</v>
      </c>
      <c r="L3506" s="55">
        <v>0.50282360000000004</v>
      </c>
      <c r="M3506" s="55">
        <v>0.4369169</v>
      </c>
      <c r="N3506" s="55">
        <v>0.1612391</v>
      </c>
    </row>
    <row r="3507" spans="1:14" hidden="1" x14ac:dyDescent="0.35">
      <c r="A3507" s="52" t="s">
        <v>232</v>
      </c>
      <c r="B3507" s="52" t="s">
        <v>37</v>
      </c>
      <c r="C3507" s="52" t="s">
        <v>61</v>
      </c>
      <c r="D3507" s="52" t="s">
        <v>62</v>
      </c>
      <c r="E3507" s="52" t="s">
        <v>584</v>
      </c>
      <c r="F3507" s="52" t="s">
        <v>581</v>
      </c>
      <c r="G3507" s="55" t="s">
        <v>278</v>
      </c>
      <c r="H3507" s="55">
        <v>8.6702249999999995E-2</v>
      </c>
      <c r="I3507" s="55">
        <v>8.6702249999999995E-2</v>
      </c>
      <c r="J3507" s="55">
        <v>5.3082249999999997E-2</v>
      </c>
      <c r="K3507" s="55">
        <v>5.3082249999999997E-2</v>
      </c>
      <c r="L3507" s="55">
        <v>5.3082249999999997E-2</v>
      </c>
      <c r="M3507" s="55">
        <v>6.4130830000000003</v>
      </c>
      <c r="N3507" s="55">
        <v>2.9531990000000001</v>
      </c>
    </row>
    <row r="3508" spans="1:14" hidden="1" x14ac:dyDescent="0.35">
      <c r="A3508" s="52" t="s">
        <v>232</v>
      </c>
      <c r="B3508" s="52" t="s">
        <v>37</v>
      </c>
      <c r="C3508" s="52" t="s">
        <v>61</v>
      </c>
      <c r="D3508" s="52" t="s">
        <v>62</v>
      </c>
      <c r="E3508" s="52" t="s">
        <v>584</v>
      </c>
      <c r="F3508" s="52" t="s">
        <v>581</v>
      </c>
      <c r="G3508" s="55" t="s">
        <v>279</v>
      </c>
      <c r="H3508" s="55">
        <v>13.808160000000001</v>
      </c>
      <c r="I3508" s="55">
        <v>12.37255</v>
      </c>
      <c r="J3508" s="55">
        <v>6.665457</v>
      </c>
      <c r="K3508" s="55">
        <v>29.411370000000002</v>
      </c>
      <c r="L3508" s="55">
        <v>27.125830000000001</v>
      </c>
      <c r="M3508" s="55">
        <v>2.5207649999999999</v>
      </c>
      <c r="N3508" s="55">
        <v>34.993699999999997</v>
      </c>
    </row>
    <row r="3509" spans="1:14" hidden="1" x14ac:dyDescent="0.35">
      <c r="A3509" s="52" t="s">
        <v>232</v>
      </c>
      <c r="B3509" s="52" t="s">
        <v>37</v>
      </c>
      <c r="C3509" s="52" t="s">
        <v>61</v>
      </c>
      <c r="D3509" s="52" t="s">
        <v>62</v>
      </c>
      <c r="E3509" s="52" t="s">
        <v>584</v>
      </c>
      <c r="F3509" s="52" t="s">
        <v>26</v>
      </c>
      <c r="G3509" s="55" t="s">
        <v>275</v>
      </c>
      <c r="H3509" s="55">
        <v>0.2167432</v>
      </c>
      <c r="I3509" s="55">
        <v>8.6006700000000005E-2</v>
      </c>
      <c r="J3509" s="55">
        <v>0.16683400000000001</v>
      </c>
      <c r="K3509" s="55">
        <v>-2.3526060000000002</v>
      </c>
      <c r="L3509" s="55">
        <v>-51.241309999999999</v>
      </c>
      <c r="M3509" s="55">
        <v>-5.6405609999999999</v>
      </c>
      <c r="N3509" s="55">
        <v>-17.525410000000001</v>
      </c>
    </row>
    <row r="3510" spans="1:14" hidden="1" x14ac:dyDescent="0.35">
      <c r="A3510" s="52" t="s">
        <v>232</v>
      </c>
      <c r="B3510" s="52" t="s">
        <v>37</v>
      </c>
      <c r="C3510" s="52" t="s">
        <v>61</v>
      </c>
      <c r="D3510" s="52" t="s">
        <v>62</v>
      </c>
      <c r="E3510" s="52" t="s">
        <v>584</v>
      </c>
      <c r="F3510" s="52" t="s">
        <v>26</v>
      </c>
      <c r="G3510" s="55" t="s">
        <v>276</v>
      </c>
      <c r="H3510" s="55">
        <v>-8.4131890000000001E-2</v>
      </c>
      <c r="I3510" s="55">
        <v>-6.2272420000000002E-2</v>
      </c>
      <c r="J3510" s="55">
        <v>-4.4566950000000001E-2</v>
      </c>
      <c r="K3510" s="55">
        <v>-0.68498320000000001</v>
      </c>
      <c r="L3510" s="55">
        <v>-13.656219999999999</v>
      </c>
      <c r="M3510" s="55">
        <v>-1.5095700000000001</v>
      </c>
      <c r="N3510" s="55">
        <v>-4.658652</v>
      </c>
    </row>
    <row r="3511" spans="1:14" hidden="1" x14ac:dyDescent="0.35">
      <c r="A3511" s="52" t="s">
        <v>232</v>
      </c>
      <c r="B3511" s="52" t="s">
        <v>37</v>
      </c>
      <c r="C3511" s="52" t="s">
        <v>61</v>
      </c>
      <c r="D3511" s="52" t="s">
        <v>62</v>
      </c>
      <c r="E3511" s="52" t="s">
        <v>584</v>
      </c>
      <c r="F3511" s="52" t="s">
        <v>26</v>
      </c>
      <c r="G3511" s="55" t="s">
        <v>277</v>
      </c>
      <c r="H3511" s="55">
        <v>0.42924299999999999</v>
      </c>
      <c r="I3511" s="55"/>
      <c r="J3511" s="55"/>
      <c r="K3511" s="55"/>
      <c r="L3511" s="55">
        <v>0</v>
      </c>
      <c r="M3511" s="55"/>
      <c r="N3511" s="55"/>
    </row>
    <row r="3512" spans="1:14" hidden="1" x14ac:dyDescent="0.35">
      <c r="A3512" s="52" t="s">
        <v>232</v>
      </c>
      <c r="B3512" s="52" t="s">
        <v>37</v>
      </c>
      <c r="C3512" s="52" t="s">
        <v>61</v>
      </c>
      <c r="D3512" s="52" t="s">
        <v>62</v>
      </c>
      <c r="E3512" s="52" t="s">
        <v>584</v>
      </c>
      <c r="F3512" s="52" t="s">
        <v>26</v>
      </c>
      <c r="G3512" s="55" t="s">
        <v>279</v>
      </c>
      <c r="H3512" s="55">
        <v>3.5598860000000001</v>
      </c>
      <c r="I3512" s="55">
        <v>2.7775340000000002</v>
      </c>
      <c r="J3512" s="55">
        <v>2.6083889999999998</v>
      </c>
      <c r="K3512" s="55">
        <v>4.6602230000000002</v>
      </c>
      <c r="L3512" s="55">
        <v>65.935919999999996</v>
      </c>
      <c r="M3512" s="55">
        <v>7.4942310000000001</v>
      </c>
      <c r="N3512" s="55">
        <v>22.423580000000001</v>
      </c>
    </row>
    <row r="3513" spans="1:14" hidden="1" x14ac:dyDescent="0.35">
      <c r="A3513" s="52" t="s">
        <v>232</v>
      </c>
      <c r="B3513" s="52" t="s">
        <v>37</v>
      </c>
      <c r="C3513" s="52" t="s">
        <v>318</v>
      </c>
      <c r="D3513" s="52" t="s">
        <v>318</v>
      </c>
      <c r="E3513" s="52" t="s">
        <v>584</v>
      </c>
      <c r="F3513" s="52" t="s">
        <v>581</v>
      </c>
      <c r="G3513" s="55" t="s">
        <v>275</v>
      </c>
      <c r="H3513" s="55">
        <v>0</v>
      </c>
      <c r="I3513" s="55"/>
      <c r="J3513" s="55"/>
      <c r="K3513" s="55"/>
      <c r="L3513" s="55"/>
      <c r="M3513" s="55"/>
      <c r="N3513" s="55"/>
    </row>
    <row r="3514" spans="1:14" hidden="1" x14ac:dyDescent="0.35">
      <c r="A3514" s="52" t="s">
        <v>232</v>
      </c>
      <c r="B3514" s="52" t="s">
        <v>37</v>
      </c>
      <c r="C3514" s="52" t="s">
        <v>318</v>
      </c>
      <c r="D3514" s="52" t="s">
        <v>318</v>
      </c>
      <c r="E3514" s="52" t="s">
        <v>584</v>
      </c>
      <c r="F3514" s="52" t="s">
        <v>581</v>
      </c>
      <c r="G3514" s="55" t="s">
        <v>278</v>
      </c>
      <c r="H3514" s="55">
        <v>0</v>
      </c>
      <c r="I3514" s="55"/>
      <c r="J3514" s="55"/>
      <c r="K3514" s="55"/>
      <c r="L3514" s="55"/>
      <c r="M3514" s="55"/>
      <c r="N3514" s="55"/>
    </row>
    <row r="3515" spans="1:14" hidden="1" x14ac:dyDescent="0.35">
      <c r="A3515" s="52" t="s">
        <v>232</v>
      </c>
      <c r="B3515" s="52" t="s">
        <v>37</v>
      </c>
      <c r="C3515" s="52" t="s">
        <v>318</v>
      </c>
      <c r="D3515" s="52" t="s">
        <v>318</v>
      </c>
      <c r="E3515" s="52" t="s">
        <v>584</v>
      </c>
      <c r="F3515" s="52" t="s">
        <v>26</v>
      </c>
      <c r="G3515" s="55" t="s">
        <v>275</v>
      </c>
      <c r="H3515" s="55">
        <v>0</v>
      </c>
      <c r="I3515" s="55"/>
      <c r="J3515" s="55"/>
      <c r="K3515" s="55"/>
      <c r="L3515" s="55"/>
      <c r="M3515" s="55"/>
      <c r="N3515" s="55"/>
    </row>
    <row r="3516" spans="1:14" hidden="1" x14ac:dyDescent="0.35">
      <c r="A3516" s="52" t="s">
        <v>232</v>
      </c>
      <c r="B3516" s="52" t="s">
        <v>37</v>
      </c>
      <c r="C3516" s="52" t="s">
        <v>318</v>
      </c>
      <c r="D3516" s="52" t="s">
        <v>318</v>
      </c>
      <c r="E3516" s="52" t="s">
        <v>584</v>
      </c>
      <c r="F3516" s="52" t="s">
        <v>26</v>
      </c>
      <c r="G3516" s="55" t="s">
        <v>278</v>
      </c>
      <c r="H3516" s="55">
        <v>0</v>
      </c>
      <c r="I3516" s="55"/>
      <c r="J3516" s="55"/>
      <c r="K3516" s="55"/>
      <c r="L3516" s="55"/>
      <c r="M3516" s="55"/>
      <c r="N3516" s="55"/>
    </row>
    <row r="3517" spans="1:14" hidden="1" x14ac:dyDescent="0.35">
      <c r="A3517" s="52" t="s">
        <v>232</v>
      </c>
      <c r="B3517" s="52" t="s">
        <v>121</v>
      </c>
      <c r="C3517" s="52" t="s">
        <v>173</v>
      </c>
      <c r="D3517" s="52" t="s">
        <v>173</v>
      </c>
      <c r="E3517" s="52" t="s">
        <v>584</v>
      </c>
      <c r="F3517" s="52" t="s">
        <v>581</v>
      </c>
      <c r="G3517" s="55" t="s">
        <v>275</v>
      </c>
      <c r="H3517" s="55">
        <v>204.55719999999999</v>
      </c>
      <c r="I3517" s="55">
        <v>70.306910000000002</v>
      </c>
      <c r="J3517" s="55">
        <v>69.389740000000003</v>
      </c>
      <c r="K3517" s="55">
        <v>62.14085</v>
      </c>
      <c r="L3517" s="55">
        <v>53.868380000000002</v>
      </c>
      <c r="M3517" s="55">
        <v>49.418640000000003</v>
      </c>
      <c r="N3517" s="55">
        <v>35.438279999999999</v>
      </c>
    </row>
    <row r="3518" spans="1:14" hidden="1" x14ac:dyDescent="0.35">
      <c r="A3518" s="52" t="s">
        <v>232</v>
      </c>
      <c r="B3518" s="52" t="s">
        <v>121</v>
      </c>
      <c r="C3518" s="52" t="s">
        <v>173</v>
      </c>
      <c r="D3518" s="52" t="s">
        <v>173</v>
      </c>
      <c r="E3518" s="52" t="s">
        <v>584</v>
      </c>
      <c r="F3518" s="52" t="s">
        <v>581</v>
      </c>
      <c r="G3518" s="55" t="s">
        <v>276</v>
      </c>
      <c r="H3518" s="55">
        <v>9.1247539999999994</v>
      </c>
      <c r="I3518" s="55">
        <v>3.4137430000000002</v>
      </c>
      <c r="J3518" s="55">
        <v>3.0568430000000002</v>
      </c>
      <c r="K3518" s="55">
        <v>3.0853860000000002</v>
      </c>
      <c r="L3518" s="55">
        <v>2.8517450000000002</v>
      </c>
      <c r="M3518" s="55">
        <v>2.8563040000000002</v>
      </c>
      <c r="N3518" s="55">
        <v>2.8418410000000001</v>
      </c>
    </row>
    <row r="3519" spans="1:14" hidden="1" x14ac:dyDescent="0.35">
      <c r="A3519" s="52" t="s">
        <v>232</v>
      </c>
      <c r="B3519" s="52" t="s">
        <v>121</v>
      </c>
      <c r="C3519" s="52" t="s">
        <v>173</v>
      </c>
      <c r="D3519" s="52" t="s">
        <v>173</v>
      </c>
      <c r="E3519" s="52" t="s">
        <v>584</v>
      </c>
      <c r="F3519" s="52" t="s">
        <v>581</v>
      </c>
      <c r="G3519" s="55" t="s">
        <v>277</v>
      </c>
      <c r="H3519" s="55">
        <v>58.515709999999999</v>
      </c>
      <c r="I3519" s="55">
        <v>45.49203</v>
      </c>
      <c r="J3519" s="55">
        <v>38.904000000000003</v>
      </c>
      <c r="K3519" s="55">
        <v>35.525289999999998</v>
      </c>
      <c r="L3519" s="55">
        <v>34.892769999999999</v>
      </c>
      <c r="M3519" s="55">
        <v>31.753340000000001</v>
      </c>
      <c r="N3519" s="55">
        <v>34.924819999999997</v>
      </c>
    </row>
    <row r="3520" spans="1:14" hidden="1" x14ac:dyDescent="0.35">
      <c r="A3520" s="52" t="s">
        <v>232</v>
      </c>
      <c r="B3520" s="52" t="s">
        <v>121</v>
      </c>
      <c r="C3520" s="52" t="s">
        <v>173</v>
      </c>
      <c r="D3520" s="52" t="s">
        <v>173</v>
      </c>
      <c r="E3520" s="52" t="s">
        <v>584</v>
      </c>
      <c r="F3520" s="52" t="s">
        <v>581</v>
      </c>
      <c r="G3520" s="55" t="s">
        <v>278</v>
      </c>
      <c r="H3520" s="55">
        <v>11.952859999999999</v>
      </c>
      <c r="I3520" s="55">
        <v>0.56189940000000005</v>
      </c>
      <c r="J3520" s="55">
        <v>0.274312</v>
      </c>
      <c r="K3520" s="55">
        <v>0.274312</v>
      </c>
      <c r="L3520" s="55">
        <v>0.2743121</v>
      </c>
      <c r="M3520" s="55">
        <v>0.274312</v>
      </c>
      <c r="N3520" s="55">
        <v>0.274312</v>
      </c>
    </row>
    <row r="3521" spans="1:14" hidden="1" x14ac:dyDescent="0.35">
      <c r="A3521" s="52" t="s">
        <v>232</v>
      </c>
      <c r="B3521" s="52" t="s">
        <v>121</v>
      </c>
      <c r="C3521" s="52" t="s">
        <v>173</v>
      </c>
      <c r="D3521" s="52" t="s">
        <v>173</v>
      </c>
      <c r="E3521" s="52" t="s">
        <v>584</v>
      </c>
      <c r="F3521" s="52" t="s">
        <v>581</v>
      </c>
      <c r="G3521" s="55" t="s">
        <v>279</v>
      </c>
      <c r="H3521" s="55">
        <v>50.987520000000004</v>
      </c>
      <c r="I3521" s="55">
        <v>41.623170000000002</v>
      </c>
      <c r="J3521" s="55">
        <v>40.683050000000001</v>
      </c>
      <c r="K3521" s="55">
        <v>40.37979</v>
      </c>
      <c r="L3521" s="55">
        <v>37.290860000000002</v>
      </c>
      <c r="M3521" s="55">
        <v>35.216610000000003</v>
      </c>
      <c r="N3521" s="55">
        <v>30.617609999999999</v>
      </c>
    </row>
    <row r="3522" spans="1:14" hidden="1" x14ac:dyDescent="0.35">
      <c r="A3522" s="52" t="s">
        <v>232</v>
      </c>
      <c r="B3522" s="52" t="s">
        <v>121</v>
      </c>
      <c r="C3522" s="52" t="s">
        <v>173</v>
      </c>
      <c r="D3522" s="52" t="s">
        <v>173</v>
      </c>
      <c r="E3522" s="52" t="s">
        <v>584</v>
      </c>
      <c r="F3522" s="52" t="s">
        <v>26</v>
      </c>
      <c r="G3522" s="55" t="s">
        <v>275</v>
      </c>
      <c r="H3522" s="55">
        <v>-63.444949999999999</v>
      </c>
      <c r="I3522" s="55">
        <v>-24.876149999999999</v>
      </c>
      <c r="J3522" s="55">
        <v>-23.596170000000001</v>
      </c>
      <c r="K3522" s="55">
        <v>-31.284880000000001</v>
      </c>
      <c r="L3522" s="55">
        <v>-29.370149999999999</v>
      </c>
      <c r="M3522" s="55">
        <v>-26.899889999999999</v>
      </c>
      <c r="N3522" s="55">
        <v>-27.382380000000001</v>
      </c>
    </row>
    <row r="3523" spans="1:14" hidden="1" x14ac:dyDescent="0.35">
      <c r="A3523" s="52" t="s">
        <v>232</v>
      </c>
      <c r="B3523" s="52" t="s">
        <v>121</v>
      </c>
      <c r="C3523" s="52" t="s">
        <v>173</v>
      </c>
      <c r="D3523" s="52" t="s">
        <v>173</v>
      </c>
      <c r="E3523" s="52" t="s">
        <v>584</v>
      </c>
      <c r="F3523" s="52" t="s">
        <v>26</v>
      </c>
      <c r="G3523" s="55" t="s">
        <v>276</v>
      </c>
      <c r="H3523" s="55">
        <v>-0.87296830000000003</v>
      </c>
      <c r="I3523" s="55">
        <v>1.1625399999999999</v>
      </c>
      <c r="J3523" s="55">
        <v>1.0749629999999999</v>
      </c>
      <c r="K3523" s="55">
        <v>0.78173040000000005</v>
      </c>
      <c r="L3523" s="55">
        <v>0.76559219999999994</v>
      </c>
      <c r="M3523" s="55">
        <v>0.44092569999999998</v>
      </c>
      <c r="N3523" s="55">
        <v>0.16630449999999999</v>
      </c>
    </row>
    <row r="3524" spans="1:14" hidden="1" x14ac:dyDescent="0.35">
      <c r="A3524" s="52" t="s">
        <v>232</v>
      </c>
      <c r="B3524" s="52" t="s">
        <v>121</v>
      </c>
      <c r="C3524" s="52" t="s">
        <v>173</v>
      </c>
      <c r="D3524" s="52" t="s">
        <v>173</v>
      </c>
      <c r="E3524" s="52" t="s">
        <v>584</v>
      </c>
      <c r="F3524" s="52" t="s">
        <v>26</v>
      </c>
      <c r="G3524" s="55" t="s">
        <v>277</v>
      </c>
      <c r="H3524" s="55">
        <v>131.27629999999999</v>
      </c>
      <c r="I3524" s="55">
        <v>98.122929999999997</v>
      </c>
      <c r="J3524" s="55">
        <v>89.009619999999998</v>
      </c>
      <c r="K3524" s="55">
        <v>84.629390000000001</v>
      </c>
      <c r="L3524" s="55">
        <v>78.886799999999994</v>
      </c>
      <c r="M3524" s="55">
        <v>73.773570000000007</v>
      </c>
      <c r="N3524" s="55">
        <v>68.153530000000003</v>
      </c>
    </row>
    <row r="3525" spans="1:14" hidden="1" x14ac:dyDescent="0.35">
      <c r="A3525" s="52" t="s">
        <v>232</v>
      </c>
      <c r="B3525" s="52" t="s">
        <v>121</v>
      </c>
      <c r="C3525" s="52" t="s">
        <v>173</v>
      </c>
      <c r="D3525" s="52" t="s">
        <v>173</v>
      </c>
      <c r="E3525" s="52" t="s">
        <v>584</v>
      </c>
      <c r="F3525" s="52" t="s">
        <v>26</v>
      </c>
      <c r="G3525" s="55" t="s">
        <v>278</v>
      </c>
      <c r="H3525" s="55">
        <v>0.27219969999999999</v>
      </c>
      <c r="I3525" s="55">
        <v>0.27219969999999999</v>
      </c>
      <c r="J3525" s="55">
        <v>0.1019041</v>
      </c>
      <c r="K3525" s="55">
        <v>0.1019041</v>
      </c>
      <c r="L3525" s="55">
        <v>0.1019041</v>
      </c>
      <c r="M3525" s="55">
        <v>0.1019041</v>
      </c>
      <c r="N3525" s="55">
        <v>0.1019041</v>
      </c>
    </row>
    <row r="3526" spans="1:14" hidden="1" x14ac:dyDescent="0.35">
      <c r="A3526" s="52" t="s">
        <v>232</v>
      </c>
      <c r="B3526" s="52" t="s">
        <v>121</v>
      </c>
      <c r="C3526" s="52" t="s">
        <v>173</v>
      </c>
      <c r="D3526" s="52" t="s">
        <v>173</v>
      </c>
      <c r="E3526" s="52" t="s">
        <v>584</v>
      </c>
      <c r="F3526" s="52" t="s">
        <v>26</v>
      </c>
      <c r="G3526" s="55" t="s">
        <v>279</v>
      </c>
      <c r="H3526" s="55">
        <v>134.77529999999999</v>
      </c>
      <c r="I3526" s="55">
        <v>111.07769999999999</v>
      </c>
      <c r="J3526" s="55">
        <v>106.4359</v>
      </c>
      <c r="K3526" s="55">
        <v>102.74930000000001</v>
      </c>
      <c r="L3526" s="55">
        <v>97.009659999999997</v>
      </c>
      <c r="M3526" s="55">
        <v>90.539429999999996</v>
      </c>
      <c r="N3526" s="55">
        <v>80.010549999999995</v>
      </c>
    </row>
    <row r="3527" spans="1:14" hidden="1" x14ac:dyDescent="0.35">
      <c r="A3527" s="52" t="s">
        <v>232</v>
      </c>
      <c r="B3527" s="52" t="s">
        <v>121</v>
      </c>
      <c r="C3527" s="52" t="s">
        <v>173</v>
      </c>
      <c r="D3527" s="52" t="s">
        <v>234</v>
      </c>
      <c r="E3527" s="52" t="s">
        <v>584</v>
      </c>
      <c r="F3527" s="52" t="s">
        <v>581</v>
      </c>
      <c r="G3527" s="55" t="s">
        <v>275</v>
      </c>
      <c r="H3527" s="55">
        <v>10.166980000000001</v>
      </c>
      <c r="I3527" s="55">
        <v>4.8801639999999997</v>
      </c>
      <c r="J3527" s="55">
        <v>4.2844139999999999</v>
      </c>
      <c r="K3527" s="55">
        <v>2.5244599999999999</v>
      </c>
      <c r="L3527" s="55">
        <v>1.2992269999999999</v>
      </c>
      <c r="M3527" s="55">
        <v>1.0709310000000001</v>
      </c>
      <c r="N3527" s="55">
        <v>0.47190310000000002</v>
      </c>
    </row>
    <row r="3528" spans="1:14" hidden="1" x14ac:dyDescent="0.35">
      <c r="A3528" s="52" t="s">
        <v>232</v>
      </c>
      <c r="B3528" s="52" t="s">
        <v>121</v>
      </c>
      <c r="C3528" s="52" t="s">
        <v>173</v>
      </c>
      <c r="D3528" s="52" t="s">
        <v>234</v>
      </c>
      <c r="E3528" s="52" t="s">
        <v>584</v>
      </c>
      <c r="F3528" s="52" t="s">
        <v>581</v>
      </c>
      <c r="G3528" s="55" t="s">
        <v>276</v>
      </c>
      <c r="H3528" s="55">
        <v>2.5940889999999999</v>
      </c>
      <c r="I3528" s="55">
        <v>0.98655179999999998</v>
      </c>
      <c r="J3528" s="55">
        <v>0.78933050000000005</v>
      </c>
      <c r="K3528" s="55">
        <v>0.65864990000000001</v>
      </c>
      <c r="L3528" s="55">
        <v>0.46000340000000001</v>
      </c>
      <c r="M3528" s="55">
        <v>0.3790615</v>
      </c>
      <c r="N3528" s="55">
        <v>0.2624725</v>
      </c>
    </row>
    <row r="3529" spans="1:14" hidden="1" x14ac:dyDescent="0.35">
      <c r="A3529" s="52" t="s">
        <v>232</v>
      </c>
      <c r="B3529" s="52" t="s">
        <v>121</v>
      </c>
      <c r="C3529" s="52" t="s">
        <v>173</v>
      </c>
      <c r="D3529" s="52" t="s">
        <v>234</v>
      </c>
      <c r="E3529" s="52" t="s">
        <v>584</v>
      </c>
      <c r="F3529" s="52" t="s">
        <v>581</v>
      </c>
      <c r="G3529" s="55" t="s">
        <v>277</v>
      </c>
      <c r="H3529" s="55">
        <v>6.1473719999999998</v>
      </c>
      <c r="I3529" s="55">
        <v>4.6563090000000003</v>
      </c>
      <c r="J3529" s="55">
        <v>4.1205259999999999</v>
      </c>
      <c r="K3529" s="55">
        <v>5.122992</v>
      </c>
      <c r="L3529" s="55">
        <v>4.8220409999999996</v>
      </c>
      <c r="M3529" s="55">
        <v>4.6041470000000002</v>
      </c>
      <c r="N3529" s="55">
        <v>4.1456980000000003</v>
      </c>
    </row>
    <row r="3530" spans="1:14" hidden="1" x14ac:dyDescent="0.35">
      <c r="A3530" s="52" t="s">
        <v>232</v>
      </c>
      <c r="B3530" s="52" t="s">
        <v>121</v>
      </c>
      <c r="C3530" s="52" t="s">
        <v>173</v>
      </c>
      <c r="D3530" s="52" t="s">
        <v>234</v>
      </c>
      <c r="E3530" s="52" t="s">
        <v>584</v>
      </c>
      <c r="F3530" s="52" t="s">
        <v>581</v>
      </c>
      <c r="G3530" s="55" t="s">
        <v>278</v>
      </c>
      <c r="H3530" s="55">
        <v>6.550831E-2</v>
      </c>
      <c r="I3530" s="55">
        <v>6.550831E-2</v>
      </c>
      <c r="J3530" s="55">
        <v>0</v>
      </c>
      <c r="K3530" s="55">
        <v>0</v>
      </c>
      <c r="L3530" s="55">
        <v>0</v>
      </c>
      <c r="M3530" s="55">
        <v>0</v>
      </c>
      <c r="N3530" s="55">
        <v>0</v>
      </c>
    </row>
    <row r="3531" spans="1:14" hidden="1" x14ac:dyDescent="0.35">
      <c r="A3531" s="52" t="s">
        <v>232</v>
      </c>
      <c r="B3531" s="52" t="s">
        <v>121</v>
      </c>
      <c r="C3531" s="52" t="s">
        <v>173</v>
      </c>
      <c r="D3531" s="52" t="s">
        <v>234</v>
      </c>
      <c r="E3531" s="52" t="s">
        <v>584</v>
      </c>
      <c r="F3531" s="52" t="s">
        <v>581</v>
      </c>
      <c r="G3531" s="55" t="s">
        <v>279</v>
      </c>
      <c r="H3531" s="55">
        <v>4.5384710000000004</v>
      </c>
      <c r="I3531" s="55">
        <v>4.0431619999999997</v>
      </c>
      <c r="J3531" s="55">
        <v>3.526446</v>
      </c>
      <c r="K3531" s="55">
        <v>3.3366359999999999</v>
      </c>
      <c r="L3531" s="55">
        <v>2.8683610000000002</v>
      </c>
      <c r="M3531" s="55">
        <v>2.665232</v>
      </c>
      <c r="N3531" s="55">
        <v>2.2431380000000001</v>
      </c>
    </row>
    <row r="3532" spans="1:14" hidden="1" x14ac:dyDescent="0.35">
      <c r="A3532" s="52" t="s">
        <v>232</v>
      </c>
      <c r="B3532" s="52" t="s">
        <v>121</v>
      </c>
      <c r="C3532" s="52" t="s">
        <v>173</v>
      </c>
      <c r="D3532" s="52" t="s">
        <v>234</v>
      </c>
      <c r="E3532" s="52" t="s">
        <v>584</v>
      </c>
      <c r="F3532" s="52" t="s">
        <v>26</v>
      </c>
      <c r="G3532" s="55" t="s">
        <v>275</v>
      </c>
      <c r="H3532" s="55">
        <v>-0.20553650000000001</v>
      </c>
      <c r="I3532" s="55">
        <v>0.1520717</v>
      </c>
      <c r="J3532" s="55">
        <v>0.37730330000000001</v>
      </c>
      <c r="K3532" s="55">
        <v>0.34573759999999998</v>
      </c>
      <c r="L3532" s="55">
        <v>0.183721</v>
      </c>
      <c r="M3532" s="55">
        <v>0.15075150000000001</v>
      </c>
      <c r="N3532" s="55">
        <v>0.1096703</v>
      </c>
    </row>
    <row r="3533" spans="1:14" hidden="1" x14ac:dyDescent="0.35">
      <c r="A3533" s="52" t="s">
        <v>232</v>
      </c>
      <c r="B3533" s="52" t="s">
        <v>121</v>
      </c>
      <c r="C3533" s="52" t="s">
        <v>173</v>
      </c>
      <c r="D3533" s="52" t="s">
        <v>234</v>
      </c>
      <c r="E3533" s="52" t="s">
        <v>584</v>
      </c>
      <c r="F3533" s="52" t="s">
        <v>26</v>
      </c>
      <c r="G3533" s="55" t="s">
        <v>276</v>
      </c>
      <c r="H3533" s="55">
        <v>1.429471E-2</v>
      </c>
      <c r="I3533" s="55">
        <v>0.1036958</v>
      </c>
      <c r="J3533" s="55">
        <v>-0.16838639999999999</v>
      </c>
      <c r="K3533" s="55">
        <v>-42.561120000000003</v>
      </c>
      <c r="L3533" s="55">
        <v>-22.093419999999998</v>
      </c>
      <c r="M3533" s="55">
        <v>-11.082100000000001</v>
      </c>
      <c r="N3533" s="55">
        <v>-5.5352920000000001</v>
      </c>
    </row>
    <row r="3534" spans="1:14" hidden="1" x14ac:dyDescent="0.35">
      <c r="A3534" s="52" t="s">
        <v>232</v>
      </c>
      <c r="B3534" s="52" t="s">
        <v>121</v>
      </c>
      <c r="C3534" s="52" t="s">
        <v>173</v>
      </c>
      <c r="D3534" s="52" t="s">
        <v>234</v>
      </c>
      <c r="E3534" s="52" t="s">
        <v>584</v>
      </c>
      <c r="F3534" s="52" t="s">
        <v>26</v>
      </c>
      <c r="G3534" s="55" t="s">
        <v>278</v>
      </c>
      <c r="H3534" s="55">
        <v>0.262712</v>
      </c>
      <c r="I3534" s="55">
        <v>0.262712</v>
      </c>
      <c r="J3534" s="55">
        <v>0.262712</v>
      </c>
      <c r="K3534" s="55">
        <v>42.647550000000003</v>
      </c>
      <c r="L3534" s="55">
        <v>22.31174</v>
      </c>
      <c r="M3534" s="55">
        <v>11.330909999999999</v>
      </c>
      <c r="N3534" s="55">
        <v>5.7957939999999999</v>
      </c>
    </row>
    <row r="3535" spans="1:14" hidden="1" x14ac:dyDescent="0.35">
      <c r="A3535" s="52" t="s">
        <v>232</v>
      </c>
      <c r="B3535" s="52" t="s">
        <v>121</v>
      </c>
      <c r="C3535" s="52" t="s">
        <v>173</v>
      </c>
      <c r="D3535" s="52" t="s">
        <v>234</v>
      </c>
      <c r="E3535" s="52" t="s">
        <v>584</v>
      </c>
      <c r="F3535" s="52" t="s">
        <v>26</v>
      </c>
      <c r="G3535" s="55" t="s">
        <v>279</v>
      </c>
      <c r="H3535" s="55">
        <v>1.230947</v>
      </c>
      <c r="I3535" s="55">
        <v>1.0947480000000001</v>
      </c>
      <c r="J3535" s="55">
        <v>0.9485787</v>
      </c>
      <c r="K3535" s="55">
        <v>0.96135190000000004</v>
      </c>
      <c r="L3535" s="55">
        <v>1.009312</v>
      </c>
      <c r="M3535" s="55">
        <v>0.996749</v>
      </c>
      <c r="N3535" s="55">
        <v>0.93234870000000003</v>
      </c>
    </row>
    <row r="3536" spans="1:14" hidden="1" x14ac:dyDescent="0.35">
      <c r="A3536" s="52" t="s">
        <v>232</v>
      </c>
      <c r="B3536" s="52" t="s">
        <v>121</v>
      </c>
      <c r="C3536" s="52" t="s">
        <v>172</v>
      </c>
      <c r="D3536" s="52" t="s">
        <v>172</v>
      </c>
      <c r="E3536" s="52" t="s">
        <v>584</v>
      </c>
      <c r="F3536" s="52" t="s">
        <v>581</v>
      </c>
      <c r="G3536" s="55" t="s">
        <v>275</v>
      </c>
      <c r="H3536" s="55">
        <v>192.9248</v>
      </c>
      <c r="I3536" s="55">
        <v>81.496629999999996</v>
      </c>
      <c r="J3536" s="55">
        <v>66.500919999999994</v>
      </c>
      <c r="K3536" s="55">
        <v>60.499369999999999</v>
      </c>
      <c r="L3536" s="55">
        <v>55.366349999999997</v>
      </c>
      <c r="M3536" s="55">
        <v>55.582610000000003</v>
      </c>
      <c r="N3536" s="55">
        <v>51.361910000000002</v>
      </c>
    </row>
    <row r="3537" spans="1:14" hidden="1" x14ac:dyDescent="0.35">
      <c r="A3537" s="52" t="s">
        <v>232</v>
      </c>
      <c r="B3537" s="52" t="s">
        <v>121</v>
      </c>
      <c r="C3537" s="52" t="s">
        <v>172</v>
      </c>
      <c r="D3537" s="52" t="s">
        <v>172</v>
      </c>
      <c r="E3537" s="52" t="s">
        <v>584</v>
      </c>
      <c r="F3537" s="52" t="s">
        <v>581</v>
      </c>
      <c r="G3537" s="55" t="s">
        <v>276</v>
      </c>
      <c r="H3537" s="55">
        <v>48.619300000000003</v>
      </c>
      <c r="I3537" s="55">
        <v>20.808979999999998</v>
      </c>
      <c r="J3537" s="55">
        <v>19.000990000000002</v>
      </c>
      <c r="K3537" s="55">
        <v>17.446439999999999</v>
      </c>
      <c r="L3537" s="55">
        <v>15.865349999999999</v>
      </c>
      <c r="M3537" s="55">
        <v>14.330030000000001</v>
      </c>
      <c r="N3537" s="55">
        <v>12.9322</v>
      </c>
    </row>
    <row r="3538" spans="1:14" hidden="1" x14ac:dyDescent="0.35">
      <c r="A3538" s="52" t="s">
        <v>232</v>
      </c>
      <c r="B3538" s="52" t="s">
        <v>121</v>
      </c>
      <c r="C3538" s="52" t="s">
        <v>172</v>
      </c>
      <c r="D3538" s="52" t="s">
        <v>172</v>
      </c>
      <c r="E3538" s="52" t="s">
        <v>584</v>
      </c>
      <c r="F3538" s="52" t="s">
        <v>581</v>
      </c>
      <c r="G3538" s="55" t="s">
        <v>277</v>
      </c>
      <c r="H3538" s="55">
        <v>60.31221</v>
      </c>
      <c r="I3538" s="55">
        <v>46.690170000000002</v>
      </c>
      <c r="J3538" s="55">
        <v>42.437289999999997</v>
      </c>
      <c r="K3538" s="55">
        <v>49.055100000000003</v>
      </c>
      <c r="L3538" s="55">
        <v>44.699039999999997</v>
      </c>
      <c r="M3538" s="55">
        <v>41.239400000000003</v>
      </c>
      <c r="N3538" s="55">
        <v>40.783909999999999</v>
      </c>
    </row>
    <row r="3539" spans="1:14" hidden="1" x14ac:dyDescent="0.35">
      <c r="A3539" s="52" t="s">
        <v>232</v>
      </c>
      <c r="B3539" s="52" t="s">
        <v>121</v>
      </c>
      <c r="C3539" s="52" t="s">
        <v>172</v>
      </c>
      <c r="D3539" s="52" t="s">
        <v>172</v>
      </c>
      <c r="E3539" s="52" t="s">
        <v>584</v>
      </c>
      <c r="F3539" s="52" t="s">
        <v>581</v>
      </c>
      <c r="G3539" s="55" t="s">
        <v>278</v>
      </c>
      <c r="H3539" s="55">
        <v>1.089384E-2</v>
      </c>
      <c r="I3539" s="55">
        <v>1.089384E-2</v>
      </c>
      <c r="J3539" s="55">
        <v>1.089384E-2</v>
      </c>
      <c r="K3539" s="55">
        <v>5.7806400000000001E-2</v>
      </c>
      <c r="L3539" s="55">
        <v>1.089384E-2</v>
      </c>
      <c r="M3539" s="55">
        <v>1.089384E-2</v>
      </c>
      <c r="N3539" s="55">
        <v>1.089384E-2</v>
      </c>
    </row>
    <row r="3540" spans="1:14" hidden="1" x14ac:dyDescent="0.35">
      <c r="A3540" s="52" t="s">
        <v>232</v>
      </c>
      <c r="B3540" s="52" t="s">
        <v>121</v>
      </c>
      <c r="C3540" s="52" t="s">
        <v>172</v>
      </c>
      <c r="D3540" s="52" t="s">
        <v>172</v>
      </c>
      <c r="E3540" s="52" t="s">
        <v>584</v>
      </c>
      <c r="F3540" s="52" t="s">
        <v>581</v>
      </c>
      <c r="G3540" s="55" t="s">
        <v>279</v>
      </c>
      <c r="H3540" s="55">
        <v>78.127709999999993</v>
      </c>
      <c r="I3540" s="55">
        <v>67.463470000000001</v>
      </c>
      <c r="J3540" s="55">
        <v>71.302760000000006</v>
      </c>
      <c r="K3540" s="55">
        <v>62.475589999999997</v>
      </c>
      <c r="L3540" s="55">
        <v>59.472329999999999</v>
      </c>
      <c r="M3540" s="55">
        <v>53.382449999999999</v>
      </c>
      <c r="N3540" s="55">
        <v>49.578800000000001</v>
      </c>
    </row>
    <row r="3541" spans="1:14" hidden="1" x14ac:dyDescent="0.35">
      <c r="A3541" s="52" t="s">
        <v>232</v>
      </c>
      <c r="B3541" s="52" t="s">
        <v>121</v>
      </c>
      <c r="C3541" s="52" t="s">
        <v>172</v>
      </c>
      <c r="D3541" s="52" t="s">
        <v>172</v>
      </c>
      <c r="E3541" s="52" t="s">
        <v>584</v>
      </c>
      <c r="F3541" s="52" t="s">
        <v>26</v>
      </c>
      <c r="G3541" s="55" t="s">
        <v>275</v>
      </c>
      <c r="H3541" s="55">
        <v>-46.512729999999998</v>
      </c>
      <c r="I3541" s="55">
        <v>3.5502799999999999</v>
      </c>
      <c r="J3541" s="55">
        <v>3.790632</v>
      </c>
      <c r="K3541" s="55">
        <v>3.2106300000000001</v>
      </c>
      <c r="L3541" s="55">
        <v>3.1104150000000002</v>
      </c>
      <c r="M3541" s="55">
        <v>3.0572020000000002</v>
      </c>
      <c r="N3541" s="55">
        <v>3.0877089999999998</v>
      </c>
    </row>
    <row r="3542" spans="1:14" hidden="1" x14ac:dyDescent="0.35">
      <c r="A3542" s="52" t="s">
        <v>232</v>
      </c>
      <c r="B3542" s="52" t="s">
        <v>121</v>
      </c>
      <c r="C3542" s="52" t="s">
        <v>172</v>
      </c>
      <c r="D3542" s="52" t="s">
        <v>172</v>
      </c>
      <c r="E3542" s="52" t="s">
        <v>584</v>
      </c>
      <c r="F3542" s="52" t="s">
        <v>26</v>
      </c>
      <c r="G3542" s="55" t="s">
        <v>276</v>
      </c>
      <c r="H3542" s="55">
        <v>-0.1402157</v>
      </c>
      <c r="I3542" s="55">
        <v>0.66834059999999995</v>
      </c>
      <c r="J3542" s="55">
        <v>-7.3022559999999999</v>
      </c>
      <c r="K3542" s="55">
        <v>-2.7029480000000001</v>
      </c>
      <c r="L3542" s="55">
        <v>-20.821020000000001</v>
      </c>
      <c r="M3542" s="55">
        <v>-14.83633</v>
      </c>
      <c r="N3542" s="55">
        <v>-10.43544</v>
      </c>
    </row>
    <row r="3543" spans="1:14" hidden="1" x14ac:dyDescent="0.35">
      <c r="A3543" s="52" t="s">
        <v>232</v>
      </c>
      <c r="B3543" s="52" t="s">
        <v>121</v>
      </c>
      <c r="C3543" s="52" t="s">
        <v>172</v>
      </c>
      <c r="D3543" s="52" t="s">
        <v>172</v>
      </c>
      <c r="E3543" s="52" t="s">
        <v>584</v>
      </c>
      <c r="F3543" s="52" t="s">
        <v>26</v>
      </c>
      <c r="G3543" s="55" t="s">
        <v>277</v>
      </c>
      <c r="H3543" s="55">
        <v>0.33991579999999999</v>
      </c>
      <c r="I3543" s="55">
        <v>0.25687680000000002</v>
      </c>
      <c r="J3543" s="55">
        <v>0.2630981</v>
      </c>
      <c r="K3543" s="55">
        <v>0.35765279999999999</v>
      </c>
      <c r="L3543" s="55">
        <v>0.41114400000000001</v>
      </c>
      <c r="M3543" s="55">
        <v>0.44519059999999999</v>
      </c>
      <c r="N3543" s="55">
        <v>0.47009640000000003</v>
      </c>
    </row>
    <row r="3544" spans="1:14" hidden="1" x14ac:dyDescent="0.35">
      <c r="A3544" s="52" t="s">
        <v>232</v>
      </c>
      <c r="B3544" s="52" t="s">
        <v>121</v>
      </c>
      <c r="C3544" s="52" t="s">
        <v>172</v>
      </c>
      <c r="D3544" s="52" t="s">
        <v>172</v>
      </c>
      <c r="E3544" s="52" t="s">
        <v>584</v>
      </c>
      <c r="F3544" s="52" t="s">
        <v>26</v>
      </c>
      <c r="G3544" s="55" t="s">
        <v>278</v>
      </c>
      <c r="H3544" s="55">
        <v>47.13944</v>
      </c>
      <c r="I3544" s="55">
        <v>0.40355089999999999</v>
      </c>
      <c r="J3544" s="55">
        <v>7.914676</v>
      </c>
      <c r="K3544" s="55">
        <v>3.1880920000000001</v>
      </c>
      <c r="L3544" s="55">
        <v>21.275110000000002</v>
      </c>
      <c r="M3544" s="55">
        <v>15.28144</v>
      </c>
      <c r="N3544" s="55">
        <v>10.87543</v>
      </c>
    </row>
    <row r="3545" spans="1:14" hidden="1" x14ac:dyDescent="0.35">
      <c r="A3545" s="52" t="s">
        <v>232</v>
      </c>
      <c r="B3545" s="52" t="s">
        <v>121</v>
      </c>
      <c r="C3545" s="52" t="s">
        <v>172</v>
      </c>
      <c r="D3545" s="52" t="s">
        <v>172</v>
      </c>
      <c r="E3545" s="52" t="s">
        <v>584</v>
      </c>
      <c r="F3545" s="52" t="s">
        <v>26</v>
      </c>
      <c r="G3545" s="55" t="s">
        <v>279</v>
      </c>
      <c r="H3545" s="55">
        <v>15.23424</v>
      </c>
      <c r="I3545" s="55">
        <v>13.55752</v>
      </c>
      <c r="J3545" s="55">
        <v>12.929830000000001</v>
      </c>
      <c r="K3545" s="55">
        <v>12.963329999999999</v>
      </c>
      <c r="L3545" s="55">
        <v>11.917249999999999</v>
      </c>
      <c r="M3545" s="55">
        <v>10.887980000000001</v>
      </c>
      <c r="N3545" s="55">
        <v>10.11192</v>
      </c>
    </row>
    <row r="3546" spans="1:14" hidden="1" x14ac:dyDescent="0.35">
      <c r="A3546" s="52" t="s">
        <v>232</v>
      </c>
      <c r="B3546" s="52" t="s">
        <v>121</v>
      </c>
      <c r="C3546" s="52" t="s">
        <v>235</v>
      </c>
      <c r="D3546" s="52" t="s">
        <v>235</v>
      </c>
      <c r="E3546" s="52" t="s">
        <v>584</v>
      </c>
      <c r="F3546" s="52" t="s">
        <v>581</v>
      </c>
      <c r="G3546" s="55" t="s">
        <v>275</v>
      </c>
      <c r="H3546" s="55">
        <v>206.93700000000001</v>
      </c>
      <c r="I3546" s="55">
        <v>85.904129999999995</v>
      </c>
      <c r="J3546" s="55">
        <v>68.901650000000004</v>
      </c>
      <c r="K3546" s="55">
        <v>60.30254</v>
      </c>
      <c r="L3546" s="55">
        <v>49.60519</v>
      </c>
      <c r="M3546" s="55">
        <v>25.42981</v>
      </c>
      <c r="N3546" s="55">
        <v>-6.136018</v>
      </c>
    </row>
    <row r="3547" spans="1:14" hidden="1" x14ac:dyDescent="0.35">
      <c r="A3547" s="52" t="s">
        <v>232</v>
      </c>
      <c r="B3547" s="52" t="s">
        <v>121</v>
      </c>
      <c r="C3547" s="52" t="s">
        <v>235</v>
      </c>
      <c r="D3547" s="52" t="s">
        <v>235</v>
      </c>
      <c r="E3547" s="52" t="s">
        <v>584</v>
      </c>
      <c r="F3547" s="52" t="s">
        <v>581</v>
      </c>
      <c r="G3547" s="55" t="s">
        <v>276</v>
      </c>
      <c r="H3547" s="55">
        <v>16.505199999999999</v>
      </c>
      <c r="I3547" s="55">
        <v>6.2624129999999996</v>
      </c>
      <c r="J3547" s="55">
        <v>5.7843809999999998</v>
      </c>
      <c r="K3547" s="55">
        <v>4.8905120000000002</v>
      </c>
      <c r="L3547" s="55">
        <v>4.1907699999999997</v>
      </c>
      <c r="M3547" s="55">
        <v>3.6660400000000002</v>
      </c>
      <c r="N3547" s="55">
        <v>3.0806040000000001</v>
      </c>
    </row>
    <row r="3548" spans="1:14" hidden="1" x14ac:dyDescent="0.35">
      <c r="A3548" s="52" t="s">
        <v>232</v>
      </c>
      <c r="B3548" s="52" t="s">
        <v>121</v>
      </c>
      <c r="C3548" s="52" t="s">
        <v>235</v>
      </c>
      <c r="D3548" s="52" t="s">
        <v>235</v>
      </c>
      <c r="E3548" s="52" t="s">
        <v>584</v>
      </c>
      <c r="F3548" s="52" t="s">
        <v>581</v>
      </c>
      <c r="G3548" s="55" t="s">
        <v>277</v>
      </c>
      <c r="H3548" s="55">
        <v>54.549219999999998</v>
      </c>
      <c r="I3548" s="55">
        <v>35.967390000000002</v>
      </c>
      <c r="J3548" s="55">
        <v>33.03087</v>
      </c>
      <c r="K3548" s="55">
        <v>39.571069999999999</v>
      </c>
      <c r="L3548" s="55">
        <v>43.57602</v>
      </c>
      <c r="M3548" s="55">
        <v>58.96114</v>
      </c>
      <c r="N3548" s="55">
        <v>83.755009999999999</v>
      </c>
    </row>
    <row r="3549" spans="1:14" hidden="1" x14ac:dyDescent="0.35">
      <c r="A3549" s="52" t="s">
        <v>232</v>
      </c>
      <c r="B3549" s="52" t="s">
        <v>121</v>
      </c>
      <c r="C3549" s="52" t="s">
        <v>235</v>
      </c>
      <c r="D3549" s="52" t="s">
        <v>235</v>
      </c>
      <c r="E3549" s="52" t="s">
        <v>584</v>
      </c>
      <c r="F3549" s="52" t="s">
        <v>581</v>
      </c>
      <c r="G3549" s="55" t="s">
        <v>278</v>
      </c>
      <c r="H3549" s="55">
        <v>1.0997399999999999</v>
      </c>
      <c r="I3549" s="55">
        <v>0.31102239999999998</v>
      </c>
      <c r="J3549" s="55">
        <v>0.25436890000000001</v>
      </c>
      <c r="K3549" s="55">
        <v>0.16076750000000001</v>
      </c>
      <c r="L3549" s="55">
        <v>0.16076750000000001</v>
      </c>
      <c r="M3549" s="55">
        <v>0.16076750000000001</v>
      </c>
      <c r="N3549" s="55">
        <v>0.1025833</v>
      </c>
    </row>
    <row r="3550" spans="1:14" hidden="1" x14ac:dyDescent="0.35">
      <c r="A3550" s="52" t="s">
        <v>232</v>
      </c>
      <c r="B3550" s="52" t="s">
        <v>121</v>
      </c>
      <c r="C3550" s="52" t="s">
        <v>235</v>
      </c>
      <c r="D3550" s="52" t="s">
        <v>235</v>
      </c>
      <c r="E3550" s="52" t="s">
        <v>584</v>
      </c>
      <c r="F3550" s="52" t="s">
        <v>581</v>
      </c>
      <c r="G3550" s="55" t="s">
        <v>279</v>
      </c>
      <c r="H3550" s="55">
        <v>77.686580000000006</v>
      </c>
      <c r="I3550" s="55">
        <v>62.725810000000003</v>
      </c>
      <c r="J3550" s="55">
        <v>68.625559999999993</v>
      </c>
      <c r="K3550" s="55">
        <v>57.646389999999997</v>
      </c>
      <c r="L3550" s="55">
        <v>50.264150000000001</v>
      </c>
      <c r="M3550" s="55">
        <v>44.469940000000001</v>
      </c>
      <c r="N3550" s="55">
        <v>39.108490000000003</v>
      </c>
    </row>
    <row r="3551" spans="1:14" hidden="1" x14ac:dyDescent="0.35">
      <c r="A3551" s="52" t="s">
        <v>232</v>
      </c>
      <c r="B3551" s="52" t="s">
        <v>121</v>
      </c>
      <c r="C3551" s="52" t="s">
        <v>235</v>
      </c>
      <c r="D3551" s="52" t="s">
        <v>235</v>
      </c>
      <c r="E3551" s="52" t="s">
        <v>584</v>
      </c>
      <c r="F3551" s="52" t="s">
        <v>26</v>
      </c>
      <c r="G3551" s="55" t="s">
        <v>275</v>
      </c>
      <c r="H3551" s="55">
        <v>1.8059909999999999</v>
      </c>
      <c r="I3551" s="55">
        <v>2.192529</v>
      </c>
      <c r="J3551" s="55">
        <v>1.68072</v>
      </c>
      <c r="K3551" s="55">
        <v>0.94700779999999996</v>
      </c>
      <c r="L3551" s="55">
        <v>0.73311079999999995</v>
      </c>
      <c r="M3551" s="55">
        <v>-0.1062432</v>
      </c>
      <c r="N3551" s="55">
        <v>-1.566918</v>
      </c>
    </row>
    <row r="3552" spans="1:14" hidden="1" x14ac:dyDescent="0.35">
      <c r="A3552" s="52" t="s">
        <v>232</v>
      </c>
      <c r="B3552" s="52" t="s">
        <v>121</v>
      </c>
      <c r="C3552" s="52" t="s">
        <v>235</v>
      </c>
      <c r="D3552" s="52" t="s">
        <v>235</v>
      </c>
      <c r="E3552" s="52" t="s">
        <v>584</v>
      </c>
      <c r="F3552" s="52" t="s">
        <v>26</v>
      </c>
      <c r="G3552" s="55" t="s">
        <v>276</v>
      </c>
      <c r="H3552" s="55">
        <v>-1.334246</v>
      </c>
      <c r="I3552" s="55">
        <v>0.59348449999999997</v>
      </c>
      <c r="J3552" s="55">
        <v>0.40727279999999999</v>
      </c>
      <c r="K3552" s="55">
        <v>0.58226270000000002</v>
      </c>
      <c r="L3552" s="55">
        <v>0.60426489999999999</v>
      </c>
      <c r="M3552" s="55">
        <v>0.66272620000000004</v>
      </c>
      <c r="N3552" s="55">
        <v>0.68534360000000005</v>
      </c>
    </row>
    <row r="3553" spans="1:14" hidden="1" x14ac:dyDescent="0.35">
      <c r="A3553" s="52" t="s">
        <v>232</v>
      </c>
      <c r="B3553" s="52" t="s">
        <v>121</v>
      </c>
      <c r="C3553" s="52" t="s">
        <v>235</v>
      </c>
      <c r="D3553" s="52" t="s">
        <v>235</v>
      </c>
      <c r="E3553" s="52" t="s">
        <v>584</v>
      </c>
      <c r="F3553" s="52" t="s">
        <v>26</v>
      </c>
      <c r="G3553" s="55" t="s">
        <v>277</v>
      </c>
      <c r="H3553" s="55">
        <v>4.6172310000000001E-2</v>
      </c>
      <c r="I3553" s="55">
        <v>0.1242825</v>
      </c>
      <c r="J3553" s="55">
        <v>0.1122626</v>
      </c>
      <c r="K3553" s="55">
        <v>0.139653</v>
      </c>
      <c r="L3553" s="55">
        <v>0.15325150000000001</v>
      </c>
      <c r="M3553" s="55">
        <v>0.95113060000000005</v>
      </c>
      <c r="N3553" s="55">
        <v>2.3565550000000002</v>
      </c>
    </row>
    <row r="3554" spans="1:14" hidden="1" x14ac:dyDescent="0.35">
      <c r="A3554" s="52" t="s">
        <v>232</v>
      </c>
      <c r="B3554" s="52" t="s">
        <v>121</v>
      </c>
      <c r="C3554" s="52" t="s">
        <v>235</v>
      </c>
      <c r="D3554" s="52" t="s">
        <v>235</v>
      </c>
      <c r="E3554" s="52" t="s">
        <v>584</v>
      </c>
      <c r="F3554" s="52" t="s">
        <v>26</v>
      </c>
      <c r="G3554" s="55" t="s">
        <v>278</v>
      </c>
      <c r="H3554" s="55">
        <v>0.1568705</v>
      </c>
      <c r="I3554" s="55">
        <v>0.1568705</v>
      </c>
      <c r="J3554" s="55">
        <v>0.1568705</v>
      </c>
      <c r="K3554" s="55">
        <v>0.1568705</v>
      </c>
      <c r="L3554" s="55">
        <v>0.21023049999999999</v>
      </c>
      <c r="M3554" s="55">
        <v>0.1568705</v>
      </c>
      <c r="N3554" s="55">
        <v>0.1568705</v>
      </c>
    </row>
    <row r="3555" spans="1:14" hidden="1" x14ac:dyDescent="0.35">
      <c r="A3555" s="52" t="s">
        <v>232</v>
      </c>
      <c r="B3555" s="52" t="s">
        <v>121</v>
      </c>
      <c r="C3555" s="52" t="s">
        <v>235</v>
      </c>
      <c r="D3555" s="52" t="s">
        <v>235</v>
      </c>
      <c r="E3555" s="52" t="s">
        <v>584</v>
      </c>
      <c r="F3555" s="52" t="s">
        <v>26</v>
      </c>
      <c r="G3555" s="55" t="s">
        <v>279</v>
      </c>
      <c r="H3555" s="55">
        <v>5.0706280000000001</v>
      </c>
      <c r="I3555" s="55">
        <v>7.6447700000000003</v>
      </c>
      <c r="J3555" s="55">
        <v>10.82023</v>
      </c>
      <c r="K3555" s="55">
        <v>6.3711960000000003</v>
      </c>
      <c r="L3555" s="55">
        <v>5.8877290000000002</v>
      </c>
      <c r="M3555" s="55">
        <v>5.517309</v>
      </c>
      <c r="N3555" s="55">
        <v>5.1469110000000002</v>
      </c>
    </row>
    <row r="3556" spans="1:14" hidden="1" x14ac:dyDescent="0.35">
      <c r="A3556" s="52" t="s">
        <v>232</v>
      </c>
      <c r="B3556" s="52" t="s">
        <v>121</v>
      </c>
      <c r="C3556" s="52" t="s">
        <v>237</v>
      </c>
      <c r="D3556" s="52" t="s">
        <v>237</v>
      </c>
      <c r="E3556" s="52" t="s">
        <v>584</v>
      </c>
      <c r="F3556" s="52" t="s">
        <v>581</v>
      </c>
      <c r="G3556" s="55" t="s">
        <v>275</v>
      </c>
      <c r="H3556" s="55">
        <v>2.9066429999999999</v>
      </c>
      <c r="I3556" s="55">
        <v>-0.36522179999999999</v>
      </c>
      <c r="J3556" s="55">
        <v>-0.13762150000000001</v>
      </c>
      <c r="K3556" s="55">
        <v>-8.1477670000000002E-2</v>
      </c>
      <c r="L3556" s="55">
        <v>0.17429320000000001</v>
      </c>
      <c r="M3556" s="55">
        <v>0.20031270000000001</v>
      </c>
      <c r="N3556" s="55">
        <v>0.27270139999999998</v>
      </c>
    </row>
    <row r="3557" spans="1:14" hidden="1" x14ac:dyDescent="0.35">
      <c r="A3557" s="52" t="s">
        <v>232</v>
      </c>
      <c r="B3557" s="52" t="s">
        <v>121</v>
      </c>
      <c r="C3557" s="52" t="s">
        <v>237</v>
      </c>
      <c r="D3557" s="52" t="s">
        <v>237</v>
      </c>
      <c r="E3557" s="52" t="s">
        <v>584</v>
      </c>
      <c r="F3557" s="52" t="s">
        <v>581</v>
      </c>
      <c r="G3557" s="55" t="s">
        <v>276</v>
      </c>
      <c r="H3557" s="55">
        <v>0.79005380000000003</v>
      </c>
      <c r="I3557" s="55">
        <v>0.35016360000000002</v>
      </c>
      <c r="J3557" s="55">
        <v>0.29221269999999999</v>
      </c>
      <c r="K3557" s="55">
        <v>0.28689219999999999</v>
      </c>
      <c r="L3557" s="55">
        <v>0.25777410000000001</v>
      </c>
      <c r="M3557" s="55">
        <v>0.25513599999999997</v>
      </c>
      <c r="N3557" s="55">
        <v>0.25875680000000001</v>
      </c>
    </row>
    <row r="3558" spans="1:14" hidden="1" x14ac:dyDescent="0.35">
      <c r="A3558" s="52" t="s">
        <v>232</v>
      </c>
      <c r="B3558" s="52" t="s">
        <v>121</v>
      </c>
      <c r="C3558" s="52" t="s">
        <v>237</v>
      </c>
      <c r="D3558" s="52" t="s">
        <v>237</v>
      </c>
      <c r="E3558" s="52" t="s">
        <v>584</v>
      </c>
      <c r="F3558" s="52" t="s">
        <v>581</v>
      </c>
      <c r="G3558" s="55" t="s">
        <v>277</v>
      </c>
      <c r="H3558" s="55">
        <v>5.5173759999999996</v>
      </c>
      <c r="I3558" s="55">
        <v>4.0011559999999999</v>
      </c>
      <c r="J3558" s="55">
        <v>3.529261</v>
      </c>
      <c r="K3558" s="55">
        <v>3.3292739999999998</v>
      </c>
      <c r="L3558" s="55">
        <v>3.0666869999999999</v>
      </c>
      <c r="M3558" s="55">
        <v>2.840614</v>
      </c>
      <c r="N3558" s="55">
        <v>2.748713</v>
      </c>
    </row>
    <row r="3559" spans="1:14" hidden="1" x14ac:dyDescent="0.35">
      <c r="A3559" s="52" t="s">
        <v>232</v>
      </c>
      <c r="B3559" s="52" t="s">
        <v>121</v>
      </c>
      <c r="C3559" s="52" t="s">
        <v>237</v>
      </c>
      <c r="D3559" s="52" t="s">
        <v>237</v>
      </c>
      <c r="E3559" s="52" t="s">
        <v>584</v>
      </c>
      <c r="F3559" s="52" t="s">
        <v>581</v>
      </c>
      <c r="G3559" s="55" t="s">
        <v>278</v>
      </c>
      <c r="H3559" s="55">
        <v>3.54825E-2</v>
      </c>
      <c r="I3559" s="55">
        <v>3.54825E-2</v>
      </c>
      <c r="J3559" s="55">
        <v>3.54825E-2</v>
      </c>
      <c r="K3559" s="55">
        <v>3.54825E-2</v>
      </c>
      <c r="L3559" s="55">
        <v>5.0056000000000003E-2</v>
      </c>
      <c r="M3559" s="55">
        <v>3.54825E-2</v>
      </c>
      <c r="N3559" s="55">
        <v>3.54825E-2</v>
      </c>
    </row>
    <row r="3560" spans="1:14" hidden="1" x14ac:dyDescent="0.35">
      <c r="A3560" s="52" t="s">
        <v>232</v>
      </c>
      <c r="B3560" s="52" t="s">
        <v>121</v>
      </c>
      <c r="C3560" s="52" t="s">
        <v>237</v>
      </c>
      <c r="D3560" s="52" t="s">
        <v>237</v>
      </c>
      <c r="E3560" s="52" t="s">
        <v>584</v>
      </c>
      <c r="F3560" s="52" t="s">
        <v>581</v>
      </c>
      <c r="G3560" s="55" t="s">
        <v>279</v>
      </c>
      <c r="H3560" s="55">
        <v>2.019768</v>
      </c>
      <c r="I3560" s="55">
        <v>1.712704</v>
      </c>
      <c r="J3560" s="55">
        <v>1.6422030000000001</v>
      </c>
      <c r="K3560" s="55">
        <v>1.78677</v>
      </c>
      <c r="L3560" s="55">
        <v>1.8309</v>
      </c>
      <c r="M3560" s="55">
        <v>1.761816</v>
      </c>
      <c r="N3560" s="55">
        <v>1.795083</v>
      </c>
    </row>
    <row r="3561" spans="1:14" hidden="1" x14ac:dyDescent="0.35">
      <c r="A3561" s="52" t="s">
        <v>232</v>
      </c>
      <c r="B3561" s="52" t="s">
        <v>121</v>
      </c>
      <c r="C3561" s="52" t="s">
        <v>237</v>
      </c>
      <c r="D3561" s="52" t="s">
        <v>237</v>
      </c>
      <c r="E3561" s="52" t="s">
        <v>584</v>
      </c>
      <c r="F3561" s="52" t="s">
        <v>26</v>
      </c>
      <c r="G3561" s="55" t="s">
        <v>275</v>
      </c>
      <c r="H3561" s="55">
        <v>-2.4350000000000001E-4</v>
      </c>
      <c r="I3561" s="55">
        <v>-2.52E-4</v>
      </c>
      <c r="J3561" s="55">
        <v>-2.5270000000000002E-4</v>
      </c>
      <c r="K3561" s="55">
        <v>5.3450009999999999E-5</v>
      </c>
      <c r="L3561" s="55">
        <v>9.8060000000000009E-4</v>
      </c>
      <c r="M3561" s="55">
        <v>8.9209999999999995E-4</v>
      </c>
      <c r="N3561" s="55">
        <v>8.074E-4</v>
      </c>
    </row>
    <row r="3562" spans="1:14" hidden="1" x14ac:dyDescent="0.35">
      <c r="A3562" s="52" t="s">
        <v>232</v>
      </c>
      <c r="B3562" s="52" t="s">
        <v>121</v>
      </c>
      <c r="C3562" s="52" t="s">
        <v>237</v>
      </c>
      <c r="D3562" s="52" t="s">
        <v>237</v>
      </c>
      <c r="E3562" s="52" t="s">
        <v>584</v>
      </c>
      <c r="F3562" s="52" t="s">
        <v>26</v>
      </c>
      <c r="G3562" s="55" t="s">
        <v>276</v>
      </c>
      <c r="H3562" s="55"/>
      <c r="I3562" s="55"/>
      <c r="J3562" s="55"/>
      <c r="K3562" s="55"/>
      <c r="L3562" s="55">
        <v>0</v>
      </c>
      <c r="M3562" s="55">
        <v>-9.4450000000000003E-4</v>
      </c>
      <c r="N3562" s="55">
        <v>-9.4400009999999999E-4</v>
      </c>
    </row>
    <row r="3563" spans="1:14" hidden="1" x14ac:dyDescent="0.35">
      <c r="A3563" s="52" t="s">
        <v>232</v>
      </c>
      <c r="B3563" s="52" t="s">
        <v>121</v>
      </c>
      <c r="C3563" s="52" t="s">
        <v>237</v>
      </c>
      <c r="D3563" s="52" t="s">
        <v>237</v>
      </c>
      <c r="E3563" s="52" t="s">
        <v>584</v>
      </c>
      <c r="F3563" s="52" t="s">
        <v>26</v>
      </c>
      <c r="G3563" s="55" t="s">
        <v>279</v>
      </c>
      <c r="H3563" s="55">
        <v>2.8899999999999998E-4</v>
      </c>
      <c r="I3563" s="55">
        <v>2.6449999999999998E-4</v>
      </c>
      <c r="J3563" s="55">
        <v>2.6449999999999998E-4</v>
      </c>
      <c r="K3563" s="55">
        <v>9.3400000000000004E-4</v>
      </c>
      <c r="L3563" s="55">
        <v>2.9689500000000001E-3</v>
      </c>
      <c r="M3563" s="55">
        <v>3.7187499999999998E-3</v>
      </c>
      <c r="N3563" s="55">
        <v>3.5325E-3</v>
      </c>
    </row>
    <row r="3564" spans="1:14" hidden="1" x14ac:dyDescent="0.35">
      <c r="A3564" s="52" t="s">
        <v>232</v>
      </c>
      <c r="B3564" s="52" t="s">
        <v>121</v>
      </c>
      <c r="C3564" s="52" t="s">
        <v>238</v>
      </c>
      <c r="D3564" s="52" t="s">
        <v>238</v>
      </c>
      <c r="E3564" s="52" t="s">
        <v>584</v>
      </c>
      <c r="F3564" s="52" t="s">
        <v>581</v>
      </c>
      <c r="G3564" s="55" t="s">
        <v>275</v>
      </c>
      <c r="H3564" s="55">
        <v>1.9879309999999999</v>
      </c>
      <c r="I3564" s="55">
        <v>0.1761904</v>
      </c>
      <c r="J3564" s="55">
        <v>0.1144052</v>
      </c>
      <c r="K3564" s="55">
        <v>1.005145E-2</v>
      </c>
      <c r="L3564" s="55">
        <v>6.8095310000000006E-2</v>
      </c>
      <c r="M3564" s="55">
        <v>0.18797710000000001</v>
      </c>
      <c r="N3564" s="55">
        <v>-1.0737509999999999</v>
      </c>
    </row>
    <row r="3565" spans="1:14" hidden="1" x14ac:dyDescent="0.35">
      <c r="A3565" s="52" t="s">
        <v>232</v>
      </c>
      <c r="B3565" s="52" t="s">
        <v>121</v>
      </c>
      <c r="C3565" s="52" t="s">
        <v>238</v>
      </c>
      <c r="D3565" s="52" t="s">
        <v>238</v>
      </c>
      <c r="E3565" s="52" t="s">
        <v>584</v>
      </c>
      <c r="F3565" s="52" t="s">
        <v>581</v>
      </c>
      <c r="G3565" s="55" t="s">
        <v>276</v>
      </c>
      <c r="H3565" s="55">
        <v>0.1057878</v>
      </c>
      <c r="I3565" s="55">
        <v>5.072774E-2</v>
      </c>
      <c r="J3565" s="55">
        <v>2.3356769999999999E-2</v>
      </c>
      <c r="K3565" s="55">
        <v>5.4829299999999996E-3</v>
      </c>
      <c r="L3565" s="55">
        <v>1.3827430000000001E-3</v>
      </c>
      <c r="M3565" s="55">
        <v>4.126825E-4</v>
      </c>
      <c r="N3565" s="55">
        <v>1.5689799999999999E-4</v>
      </c>
    </row>
    <row r="3566" spans="1:14" hidden="1" x14ac:dyDescent="0.35">
      <c r="A3566" s="52" t="s">
        <v>232</v>
      </c>
      <c r="B3566" s="52" t="s">
        <v>121</v>
      </c>
      <c r="C3566" s="52" t="s">
        <v>238</v>
      </c>
      <c r="D3566" s="52" t="s">
        <v>238</v>
      </c>
      <c r="E3566" s="52" t="s">
        <v>584</v>
      </c>
      <c r="F3566" s="52" t="s">
        <v>581</v>
      </c>
      <c r="G3566" s="55" t="s">
        <v>277</v>
      </c>
      <c r="H3566" s="55">
        <v>0.49650840000000002</v>
      </c>
      <c r="I3566" s="55">
        <v>0.15948789999999999</v>
      </c>
      <c r="J3566" s="55">
        <v>0.14259369999999999</v>
      </c>
      <c r="K3566" s="55">
        <v>0.17198740000000001</v>
      </c>
      <c r="L3566" s="55">
        <v>0.1869661</v>
      </c>
      <c r="M3566" s="55">
        <v>1.78888E-2</v>
      </c>
      <c r="N3566" s="55">
        <v>1.720255E-2</v>
      </c>
    </row>
    <row r="3567" spans="1:14" hidden="1" x14ac:dyDescent="0.35">
      <c r="A3567" s="52" t="s">
        <v>232</v>
      </c>
      <c r="B3567" s="52" t="s">
        <v>121</v>
      </c>
      <c r="C3567" s="52" t="s">
        <v>238</v>
      </c>
      <c r="D3567" s="52" t="s">
        <v>238</v>
      </c>
      <c r="E3567" s="52" t="s">
        <v>584</v>
      </c>
      <c r="F3567" s="52" t="s">
        <v>581</v>
      </c>
      <c r="G3567" s="55" t="s">
        <v>279</v>
      </c>
      <c r="H3567" s="55">
        <v>0.64137809999999995</v>
      </c>
      <c r="I3567" s="55">
        <v>1.0422990000000001</v>
      </c>
      <c r="J3567" s="55">
        <v>1.4140740000000001</v>
      </c>
      <c r="K3567" s="55">
        <v>1.424212</v>
      </c>
      <c r="L3567" s="55">
        <v>0.59394930000000001</v>
      </c>
      <c r="M3567" s="55">
        <v>0.55989979999999995</v>
      </c>
      <c r="N3567" s="55">
        <v>1.423279</v>
      </c>
    </row>
    <row r="3568" spans="1:14" hidden="1" x14ac:dyDescent="0.35">
      <c r="A3568" s="52" t="s">
        <v>232</v>
      </c>
      <c r="B3568" s="52" t="s">
        <v>121</v>
      </c>
      <c r="C3568" s="52" t="s">
        <v>239</v>
      </c>
      <c r="D3568" s="52" t="s">
        <v>239</v>
      </c>
      <c r="E3568" s="52" t="s">
        <v>584</v>
      </c>
      <c r="F3568" s="52" t="s">
        <v>581</v>
      </c>
      <c r="G3568" s="55" t="s">
        <v>275</v>
      </c>
      <c r="H3568" s="55">
        <v>0.90210129999999999</v>
      </c>
      <c r="I3568" s="55">
        <v>0.1590599</v>
      </c>
      <c r="J3568" s="55">
        <v>-1.8498429999999999</v>
      </c>
      <c r="K3568" s="55">
        <v>-2.5036039999999999E-2</v>
      </c>
      <c r="L3568" s="55">
        <v>-2.924968E-2</v>
      </c>
      <c r="M3568" s="55">
        <v>8.1672640000000005E-2</v>
      </c>
      <c r="N3568" s="55">
        <v>5.8024529999999998E-2</v>
      </c>
    </row>
    <row r="3569" spans="1:14" hidden="1" x14ac:dyDescent="0.35">
      <c r="A3569" s="52" t="s">
        <v>232</v>
      </c>
      <c r="B3569" s="52" t="s">
        <v>121</v>
      </c>
      <c r="C3569" s="52" t="s">
        <v>239</v>
      </c>
      <c r="D3569" s="52" t="s">
        <v>239</v>
      </c>
      <c r="E3569" s="52" t="s">
        <v>584</v>
      </c>
      <c r="F3569" s="52" t="s">
        <v>581</v>
      </c>
      <c r="G3569" s="55" t="s">
        <v>276</v>
      </c>
      <c r="H3569" s="55">
        <v>0.1004481</v>
      </c>
      <c r="I3569" s="55">
        <v>3.9151430000000001E-2</v>
      </c>
      <c r="J3569" s="55">
        <v>2.0915050000000001E-2</v>
      </c>
      <c r="K3569" s="55">
        <v>1.3106420000000001E-2</v>
      </c>
      <c r="L3569" s="55">
        <v>1.085564E-2</v>
      </c>
      <c r="M3569" s="55">
        <v>9.1927390000000001E-3</v>
      </c>
      <c r="N3569" s="55">
        <v>6.9172160000000003E-3</v>
      </c>
    </row>
    <row r="3570" spans="1:14" hidden="1" x14ac:dyDescent="0.35">
      <c r="A3570" s="52" t="s">
        <v>232</v>
      </c>
      <c r="B3570" s="52" t="s">
        <v>121</v>
      </c>
      <c r="C3570" s="52" t="s">
        <v>239</v>
      </c>
      <c r="D3570" s="52" t="s">
        <v>239</v>
      </c>
      <c r="E3570" s="52" t="s">
        <v>584</v>
      </c>
      <c r="F3570" s="52" t="s">
        <v>581</v>
      </c>
      <c r="G3570" s="55" t="s">
        <v>277</v>
      </c>
      <c r="H3570" s="55">
        <v>0.32263180000000002</v>
      </c>
      <c r="I3570" s="55">
        <v>0.2354908</v>
      </c>
      <c r="J3570" s="55">
        <v>0.20822499999999999</v>
      </c>
      <c r="K3570" s="55">
        <v>0.14537349999999999</v>
      </c>
      <c r="L3570" s="55">
        <v>0.12874169999999999</v>
      </c>
      <c r="M3570" s="55">
        <v>2.823098E-3</v>
      </c>
      <c r="N3570" s="55">
        <v>2.5833499999999999E-3</v>
      </c>
    </row>
    <row r="3571" spans="1:14" hidden="1" x14ac:dyDescent="0.35">
      <c r="A3571" s="52" t="s">
        <v>232</v>
      </c>
      <c r="B3571" s="52" t="s">
        <v>121</v>
      </c>
      <c r="C3571" s="52" t="s">
        <v>239</v>
      </c>
      <c r="D3571" s="52" t="s">
        <v>239</v>
      </c>
      <c r="E3571" s="52" t="s">
        <v>584</v>
      </c>
      <c r="F3571" s="52" t="s">
        <v>581</v>
      </c>
      <c r="G3571" s="55" t="s">
        <v>279</v>
      </c>
      <c r="H3571" s="55">
        <v>0.29314129999999999</v>
      </c>
      <c r="I3571" s="55">
        <v>0.1970741</v>
      </c>
      <c r="J3571" s="55">
        <v>1.957673</v>
      </c>
      <c r="K3571" s="55">
        <v>7.7714740000000004E-2</v>
      </c>
      <c r="L3571" s="55">
        <v>6.4550739999999995E-2</v>
      </c>
      <c r="M3571" s="55">
        <v>5.4419380000000003E-2</v>
      </c>
      <c r="N3571" s="55">
        <v>4.3909080000000003E-2</v>
      </c>
    </row>
    <row r="3572" spans="1:14" hidden="1" x14ac:dyDescent="0.35">
      <c r="A3572" s="52" t="s">
        <v>232</v>
      </c>
      <c r="B3572" s="52" t="s">
        <v>121</v>
      </c>
      <c r="C3572" s="52" t="s">
        <v>128</v>
      </c>
      <c r="D3572" s="52" t="s">
        <v>128</v>
      </c>
      <c r="E3572" s="52" t="s">
        <v>584</v>
      </c>
      <c r="F3572" s="52" t="s">
        <v>581</v>
      </c>
      <c r="G3572" s="55" t="s">
        <v>275</v>
      </c>
      <c r="H3572" s="55">
        <v>-0.1928783</v>
      </c>
      <c r="I3572" s="55">
        <v>-0.50998679999999996</v>
      </c>
      <c r="J3572" s="55">
        <v>-0.53762659999999995</v>
      </c>
      <c r="K3572" s="55">
        <v>-0.63357929999999996</v>
      </c>
      <c r="L3572" s="55">
        <v>0</v>
      </c>
      <c r="M3572" s="55"/>
      <c r="N3572" s="55">
        <v>0</v>
      </c>
    </row>
    <row r="3573" spans="1:14" hidden="1" x14ac:dyDescent="0.35">
      <c r="A3573" s="52" t="s">
        <v>232</v>
      </c>
      <c r="B3573" s="52" t="s">
        <v>121</v>
      </c>
      <c r="C3573" s="52" t="s">
        <v>128</v>
      </c>
      <c r="D3573" s="52" t="s">
        <v>128</v>
      </c>
      <c r="E3573" s="52" t="s">
        <v>584</v>
      </c>
      <c r="F3573" s="52" t="s">
        <v>581</v>
      </c>
      <c r="G3573" s="55" t="s">
        <v>276</v>
      </c>
      <c r="H3573" s="55">
        <v>3.947664E-2</v>
      </c>
      <c r="I3573" s="55">
        <v>1.337707E-2</v>
      </c>
      <c r="J3573" s="55">
        <v>1.3055789999999999E-2</v>
      </c>
      <c r="K3573" s="55">
        <v>1.034438E-2</v>
      </c>
      <c r="L3573" s="55">
        <v>0</v>
      </c>
      <c r="M3573" s="55"/>
      <c r="N3573" s="55"/>
    </row>
    <row r="3574" spans="1:14" hidden="1" x14ac:dyDescent="0.35">
      <c r="A3574" s="52" t="s">
        <v>232</v>
      </c>
      <c r="B3574" s="52" t="s">
        <v>121</v>
      </c>
      <c r="C3574" s="52" t="s">
        <v>128</v>
      </c>
      <c r="D3574" s="52" t="s">
        <v>128</v>
      </c>
      <c r="E3574" s="52" t="s">
        <v>584</v>
      </c>
      <c r="F3574" s="52" t="s">
        <v>581</v>
      </c>
      <c r="G3574" s="55" t="s">
        <v>277</v>
      </c>
      <c r="H3574" s="55">
        <v>0</v>
      </c>
      <c r="I3574" s="55"/>
      <c r="J3574" s="55"/>
      <c r="K3574" s="55"/>
      <c r="L3574" s="55"/>
      <c r="M3574" s="55"/>
      <c r="N3574" s="55"/>
    </row>
    <row r="3575" spans="1:14" hidden="1" x14ac:dyDescent="0.35">
      <c r="A3575" s="52" t="s">
        <v>232</v>
      </c>
      <c r="B3575" s="52" t="s">
        <v>121</v>
      </c>
      <c r="C3575" s="52" t="s">
        <v>128</v>
      </c>
      <c r="D3575" s="52" t="s">
        <v>128</v>
      </c>
      <c r="E3575" s="52" t="s">
        <v>584</v>
      </c>
      <c r="F3575" s="52" t="s">
        <v>581</v>
      </c>
      <c r="G3575" s="55" t="s">
        <v>279</v>
      </c>
      <c r="H3575" s="55">
        <v>0.7894101</v>
      </c>
      <c r="I3575" s="55">
        <v>0.71212830000000005</v>
      </c>
      <c r="J3575" s="55">
        <v>0.73491280000000003</v>
      </c>
      <c r="K3575" s="55">
        <v>0.78989220000000004</v>
      </c>
      <c r="L3575" s="55">
        <v>0</v>
      </c>
      <c r="M3575" s="55"/>
      <c r="N3575" s="55">
        <v>0</v>
      </c>
    </row>
    <row r="3576" spans="1:14" hidden="1" x14ac:dyDescent="0.35">
      <c r="A3576" s="52" t="s">
        <v>232</v>
      </c>
      <c r="B3576" s="52" t="s">
        <v>121</v>
      </c>
      <c r="C3576" s="52" t="s">
        <v>318</v>
      </c>
      <c r="D3576" s="52" t="s">
        <v>318</v>
      </c>
      <c r="E3576" s="52" t="s">
        <v>584</v>
      </c>
      <c r="F3576" s="52" t="s">
        <v>581</v>
      </c>
      <c r="G3576" s="55" t="s">
        <v>275</v>
      </c>
      <c r="H3576" s="55">
        <v>0</v>
      </c>
      <c r="I3576" s="55"/>
      <c r="J3576" s="55"/>
      <c r="K3576" s="55"/>
      <c r="L3576" s="55"/>
      <c r="M3576" s="55"/>
      <c r="N3576" s="55"/>
    </row>
    <row r="3577" spans="1:14" hidden="1" x14ac:dyDescent="0.35">
      <c r="A3577" s="52" t="s">
        <v>232</v>
      </c>
      <c r="B3577" s="52" t="s">
        <v>121</v>
      </c>
      <c r="C3577" s="52" t="s">
        <v>318</v>
      </c>
      <c r="D3577" s="52" t="s">
        <v>318</v>
      </c>
      <c r="E3577" s="52" t="s">
        <v>584</v>
      </c>
      <c r="F3577" s="52" t="s">
        <v>581</v>
      </c>
      <c r="G3577" s="55" t="s">
        <v>278</v>
      </c>
      <c r="H3577" s="55">
        <v>0</v>
      </c>
      <c r="I3577" s="55"/>
      <c r="J3577" s="55"/>
      <c r="K3577" s="55"/>
      <c r="L3577" s="55"/>
      <c r="M3577" s="55"/>
      <c r="N3577" s="55"/>
    </row>
    <row r="3578" spans="1:14" hidden="1" x14ac:dyDescent="0.35">
      <c r="A3578" s="52" t="s">
        <v>232</v>
      </c>
      <c r="B3578" s="52" t="s">
        <v>121</v>
      </c>
      <c r="C3578" s="52" t="s">
        <v>318</v>
      </c>
      <c r="D3578" s="52" t="s">
        <v>318</v>
      </c>
      <c r="E3578" s="52" t="s">
        <v>584</v>
      </c>
      <c r="F3578" s="52" t="s">
        <v>26</v>
      </c>
      <c r="G3578" s="55" t="s">
        <v>275</v>
      </c>
      <c r="H3578" s="55">
        <v>0</v>
      </c>
      <c r="I3578" s="55"/>
      <c r="J3578" s="55"/>
      <c r="K3578" s="55"/>
      <c r="L3578" s="55"/>
      <c r="M3578" s="55"/>
      <c r="N3578" s="55"/>
    </row>
    <row r="3579" spans="1:14" hidden="1" x14ac:dyDescent="0.35">
      <c r="A3579" s="52" t="s">
        <v>232</v>
      </c>
      <c r="B3579" s="52" t="s">
        <v>121</v>
      </c>
      <c r="C3579" s="52" t="s">
        <v>318</v>
      </c>
      <c r="D3579" s="52" t="s">
        <v>318</v>
      </c>
      <c r="E3579" s="52" t="s">
        <v>584</v>
      </c>
      <c r="F3579" s="52" t="s">
        <v>26</v>
      </c>
      <c r="G3579" s="55" t="s">
        <v>278</v>
      </c>
      <c r="H3579" s="55">
        <v>0</v>
      </c>
      <c r="I3579" s="55"/>
      <c r="J3579" s="55"/>
      <c r="K3579" s="55"/>
      <c r="L3579" s="55"/>
      <c r="M3579" s="55"/>
      <c r="N3579" s="55"/>
    </row>
    <row r="3580" spans="1:14" hidden="1" x14ac:dyDescent="0.35">
      <c r="A3580" s="52" t="s">
        <v>232</v>
      </c>
      <c r="B3580" s="52" t="s">
        <v>74</v>
      </c>
      <c r="C3580" s="52" t="s">
        <v>71</v>
      </c>
      <c r="D3580" s="52" t="s">
        <v>138</v>
      </c>
      <c r="E3580" s="52" t="s">
        <v>584</v>
      </c>
      <c r="F3580" s="52" t="s">
        <v>581</v>
      </c>
      <c r="G3580" s="55" t="s">
        <v>275</v>
      </c>
      <c r="H3580" s="55">
        <v>66.888159999999999</v>
      </c>
      <c r="I3580" s="55">
        <v>11.74094</v>
      </c>
      <c r="J3580" s="55">
        <v>-5.9380740000000003</v>
      </c>
      <c r="K3580" s="55">
        <v>-2.9822500000000001</v>
      </c>
      <c r="L3580" s="55">
        <v>-5.4744200000000003</v>
      </c>
      <c r="M3580" s="55">
        <v>-6.9349220000000003</v>
      </c>
      <c r="N3580" s="55">
        <v>-9.3029890000000002</v>
      </c>
    </row>
    <row r="3581" spans="1:14" hidden="1" x14ac:dyDescent="0.35">
      <c r="A3581" s="52" t="s">
        <v>232</v>
      </c>
      <c r="B3581" s="52" t="s">
        <v>74</v>
      </c>
      <c r="C3581" s="52" t="s">
        <v>71</v>
      </c>
      <c r="D3581" s="52" t="s">
        <v>138</v>
      </c>
      <c r="E3581" s="52" t="s">
        <v>584</v>
      </c>
      <c r="F3581" s="52" t="s">
        <v>581</v>
      </c>
      <c r="G3581" s="55" t="s">
        <v>276</v>
      </c>
      <c r="H3581" s="55">
        <v>38.116610000000001</v>
      </c>
      <c r="I3581" s="55">
        <v>4.9795639999999999</v>
      </c>
      <c r="J3581" s="55">
        <v>-12.42184</v>
      </c>
      <c r="K3581" s="55">
        <v>-8.2487530000000007</v>
      </c>
      <c r="L3581" s="55">
        <v>-5.5974519999999997</v>
      </c>
      <c r="M3581" s="55">
        <v>-5.9752609999999997</v>
      </c>
      <c r="N3581" s="55">
        <v>-9.4636750000000003</v>
      </c>
    </row>
    <row r="3582" spans="1:14" hidden="1" x14ac:dyDescent="0.35">
      <c r="A3582" s="52" t="s">
        <v>232</v>
      </c>
      <c r="B3582" s="52" t="s">
        <v>74</v>
      </c>
      <c r="C3582" s="52" t="s">
        <v>71</v>
      </c>
      <c r="D3582" s="52" t="s">
        <v>138</v>
      </c>
      <c r="E3582" s="52" t="s">
        <v>584</v>
      </c>
      <c r="F3582" s="52" t="s">
        <v>581</v>
      </c>
      <c r="G3582" s="55" t="s">
        <v>277</v>
      </c>
      <c r="H3582" s="55">
        <v>62.16489</v>
      </c>
      <c r="I3582" s="55">
        <v>27.33822</v>
      </c>
      <c r="J3582" s="55">
        <v>30.066970000000001</v>
      </c>
      <c r="K3582" s="55">
        <v>20.317699999999999</v>
      </c>
      <c r="L3582" s="55">
        <v>15.791679999999999</v>
      </c>
      <c r="M3582" s="55">
        <v>10.07152</v>
      </c>
      <c r="N3582" s="55">
        <v>10.396380000000001</v>
      </c>
    </row>
    <row r="3583" spans="1:14" hidden="1" x14ac:dyDescent="0.35">
      <c r="A3583" s="52" t="s">
        <v>232</v>
      </c>
      <c r="B3583" s="52" t="s">
        <v>74</v>
      </c>
      <c r="C3583" s="52" t="s">
        <v>71</v>
      </c>
      <c r="D3583" s="52" t="s">
        <v>138</v>
      </c>
      <c r="E3583" s="52" t="s">
        <v>584</v>
      </c>
      <c r="F3583" s="52" t="s">
        <v>581</v>
      </c>
      <c r="G3583" s="55" t="s">
        <v>278</v>
      </c>
      <c r="H3583" s="55">
        <v>0.16220180000000001</v>
      </c>
      <c r="I3583" s="55">
        <v>0.2214864</v>
      </c>
      <c r="J3583" s="55">
        <v>5.3311489999999999</v>
      </c>
      <c r="K3583" s="55">
        <v>4.1441610000000004</v>
      </c>
      <c r="L3583" s="55">
        <v>0.2214864</v>
      </c>
      <c r="M3583" s="55">
        <v>0.2214864</v>
      </c>
      <c r="N3583" s="55">
        <v>0.41403259999999997</v>
      </c>
    </row>
    <row r="3584" spans="1:14" hidden="1" x14ac:dyDescent="0.35">
      <c r="A3584" s="52" t="s">
        <v>232</v>
      </c>
      <c r="B3584" s="52" t="s">
        <v>74</v>
      </c>
      <c r="C3584" s="52" t="s">
        <v>71</v>
      </c>
      <c r="D3584" s="52" t="s">
        <v>138</v>
      </c>
      <c r="E3584" s="52" t="s">
        <v>584</v>
      </c>
      <c r="F3584" s="52" t="s">
        <v>581</v>
      </c>
      <c r="G3584" s="55" t="s">
        <v>279</v>
      </c>
      <c r="H3584" s="55">
        <v>94.970650000000006</v>
      </c>
      <c r="I3584" s="55">
        <v>100.5102</v>
      </c>
      <c r="J3584" s="55">
        <v>97.593029999999999</v>
      </c>
      <c r="K3584" s="55">
        <v>89.59657</v>
      </c>
      <c r="L3584" s="55">
        <v>89.573920000000001</v>
      </c>
      <c r="M3584" s="55">
        <v>89.778170000000003</v>
      </c>
      <c r="N3584" s="55">
        <v>90.599040000000002</v>
      </c>
    </row>
    <row r="3585" spans="1:14" hidden="1" x14ac:dyDescent="0.35">
      <c r="A3585" s="52" t="s">
        <v>232</v>
      </c>
      <c r="B3585" s="52" t="s">
        <v>74</v>
      </c>
      <c r="C3585" s="52" t="s">
        <v>71</v>
      </c>
      <c r="D3585" s="52" t="s">
        <v>138</v>
      </c>
      <c r="E3585" s="52" t="s">
        <v>584</v>
      </c>
      <c r="F3585" s="52" t="s">
        <v>26</v>
      </c>
      <c r="G3585" s="55" t="s">
        <v>275</v>
      </c>
      <c r="H3585" s="55">
        <v>26.69726</v>
      </c>
      <c r="I3585" s="55">
        <v>23.891860000000001</v>
      </c>
      <c r="J3585" s="55">
        <v>22.40692</v>
      </c>
      <c r="K3585" s="55">
        <v>20.43928</v>
      </c>
      <c r="L3585" s="55">
        <v>18.923190000000002</v>
      </c>
      <c r="M3585" s="55">
        <v>17.54569</v>
      </c>
      <c r="N3585" s="55">
        <v>22.602219999999999</v>
      </c>
    </row>
    <row r="3586" spans="1:14" hidden="1" x14ac:dyDescent="0.35">
      <c r="A3586" s="52" t="s">
        <v>232</v>
      </c>
      <c r="B3586" s="52" t="s">
        <v>74</v>
      </c>
      <c r="C3586" s="52" t="s">
        <v>71</v>
      </c>
      <c r="D3586" s="52" t="s">
        <v>138</v>
      </c>
      <c r="E3586" s="52" t="s">
        <v>584</v>
      </c>
      <c r="F3586" s="52" t="s">
        <v>26</v>
      </c>
      <c r="G3586" s="55" t="s">
        <v>276</v>
      </c>
      <c r="H3586" s="55">
        <v>17.798169999999999</v>
      </c>
      <c r="I3586" s="55">
        <v>15.927910000000001</v>
      </c>
      <c r="J3586" s="55">
        <v>14.937939999999999</v>
      </c>
      <c r="K3586" s="55">
        <v>13.626189999999999</v>
      </c>
      <c r="L3586" s="55">
        <v>12.61547</v>
      </c>
      <c r="M3586" s="55">
        <v>11.69713</v>
      </c>
      <c r="N3586" s="55">
        <v>15.068149999999999</v>
      </c>
    </row>
    <row r="3587" spans="1:14" hidden="1" x14ac:dyDescent="0.35">
      <c r="A3587" s="52" t="s">
        <v>232</v>
      </c>
      <c r="B3587" s="52" t="s">
        <v>74</v>
      </c>
      <c r="C3587" s="52" t="s">
        <v>71</v>
      </c>
      <c r="D3587" s="52" t="s">
        <v>138</v>
      </c>
      <c r="E3587" s="52" t="s">
        <v>584</v>
      </c>
      <c r="F3587" s="52" t="s">
        <v>26</v>
      </c>
      <c r="G3587" s="55" t="s">
        <v>277</v>
      </c>
      <c r="H3587" s="55"/>
      <c r="I3587" s="55"/>
      <c r="J3587" s="55"/>
      <c r="K3587" s="55"/>
      <c r="L3587" s="55"/>
      <c r="M3587" s="55">
        <v>0</v>
      </c>
      <c r="N3587" s="55">
        <v>0</v>
      </c>
    </row>
    <row r="3588" spans="1:14" hidden="1" x14ac:dyDescent="0.35">
      <c r="A3588" s="52" t="s">
        <v>232</v>
      </c>
      <c r="B3588" s="52" t="s">
        <v>74</v>
      </c>
      <c r="C3588" s="52" t="s">
        <v>71</v>
      </c>
      <c r="D3588" s="52" t="s">
        <v>138</v>
      </c>
      <c r="E3588" s="52" t="s">
        <v>584</v>
      </c>
      <c r="F3588" s="52" t="s">
        <v>26</v>
      </c>
      <c r="G3588" s="55" t="s">
        <v>279</v>
      </c>
      <c r="H3588" s="55">
        <v>16.104330000000001</v>
      </c>
      <c r="I3588" s="55">
        <v>17.519919999999999</v>
      </c>
      <c r="J3588" s="55">
        <v>14.30574</v>
      </c>
      <c r="K3588" s="55">
        <v>12.272790000000001</v>
      </c>
      <c r="L3588" s="55">
        <v>11.34263</v>
      </c>
      <c r="M3588" s="55">
        <v>10.498469999999999</v>
      </c>
      <c r="N3588" s="55">
        <v>13.49137</v>
      </c>
    </row>
    <row r="3589" spans="1:14" hidden="1" x14ac:dyDescent="0.35">
      <c r="A3589" s="52" t="s">
        <v>232</v>
      </c>
      <c r="B3589" s="52" t="s">
        <v>74</v>
      </c>
      <c r="C3589" s="52" t="s">
        <v>71</v>
      </c>
      <c r="D3589" s="52" t="s">
        <v>236</v>
      </c>
      <c r="E3589" s="52" t="s">
        <v>584</v>
      </c>
      <c r="F3589" s="52" t="s">
        <v>581</v>
      </c>
      <c r="G3589" s="55" t="s">
        <v>275</v>
      </c>
      <c r="H3589" s="55">
        <v>-58.834600000000002</v>
      </c>
      <c r="I3589" s="55">
        <v>5.7643829999999996</v>
      </c>
      <c r="J3589" s="55">
        <v>27.74736</v>
      </c>
      <c r="K3589" s="55">
        <v>18.60934</v>
      </c>
      <c r="L3589" s="55">
        <v>10.59538</v>
      </c>
      <c r="M3589" s="55">
        <v>-3.785053</v>
      </c>
      <c r="N3589" s="55">
        <v>-6.0700810000000001</v>
      </c>
    </row>
    <row r="3590" spans="1:14" hidden="1" x14ac:dyDescent="0.35">
      <c r="A3590" s="52" t="s">
        <v>232</v>
      </c>
      <c r="B3590" s="52" t="s">
        <v>74</v>
      </c>
      <c r="C3590" s="52" t="s">
        <v>71</v>
      </c>
      <c r="D3590" s="52" t="s">
        <v>236</v>
      </c>
      <c r="E3590" s="52" t="s">
        <v>584</v>
      </c>
      <c r="F3590" s="52" t="s">
        <v>581</v>
      </c>
      <c r="G3590" s="55" t="s">
        <v>276</v>
      </c>
      <c r="H3590" s="55">
        <v>-70.583889999999997</v>
      </c>
      <c r="I3590" s="55">
        <v>1.710342</v>
      </c>
      <c r="J3590" s="55">
        <v>17.634599999999999</v>
      </c>
      <c r="K3590" s="55">
        <v>11.500170000000001</v>
      </c>
      <c r="L3590" s="55">
        <v>4.7089980000000002</v>
      </c>
      <c r="M3590" s="55">
        <v>-6.9259240000000002</v>
      </c>
      <c r="N3590" s="55">
        <v>-9.8687670000000001</v>
      </c>
    </row>
    <row r="3591" spans="1:14" hidden="1" x14ac:dyDescent="0.35">
      <c r="A3591" s="52" t="s">
        <v>232</v>
      </c>
      <c r="B3591" s="52" t="s">
        <v>74</v>
      </c>
      <c r="C3591" s="52" t="s">
        <v>71</v>
      </c>
      <c r="D3591" s="52" t="s">
        <v>236</v>
      </c>
      <c r="E3591" s="52" t="s">
        <v>584</v>
      </c>
      <c r="F3591" s="52" t="s">
        <v>581</v>
      </c>
      <c r="G3591" s="55" t="s">
        <v>277</v>
      </c>
      <c r="H3591" s="55">
        <v>165.52440000000001</v>
      </c>
      <c r="I3591" s="55">
        <v>21.078340000000001</v>
      </c>
      <c r="J3591" s="55">
        <v>6.0530379999999999</v>
      </c>
      <c r="K3591" s="55">
        <v>6.4602930000000001</v>
      </c>
      <c r="L3591" s="55">
        <v>9.1549759999999996</v>
      </c>
      <c r="M3591" s="55">
        <v>31.013400000000001</v>
      </c>
      <c r="N3591" s="55">
        <v>23.711379999999998</v>
      </c>
    </row>
    <row r="3592" spans="1:14" hidden="1" x14ac:dyDescent="0.35">
      <c r="A3592" s="52" t="s">
        <v>232</v>
      </c>
      <c r="B3592" s="52" t="s">
        <v>74</v>
      </c>
      <c r="C3592" s="52" t="s">
        <v>71</v>
      </c>
      <c r="D3592" s="52" t="s">
        <v>236</v>
      </c>
      <c r="E3592" s="52" t="s">
        <v>584</v>
      </c>
      <c r="F3592" s="52" t="s">
        <v>581</v>
      </c>
      <c r="G3592" s="55" t="s">
        <v>278</v>
      </c>
      <c r="H3592" s="55">
        <v>53.739519999999999</v>
      </c>
      <c r="I3592" s="55">
        <v>36.385820000000002</v>
      </c>
      <c r="J3592" s="55">
        <v>0.2595671</v>
      </c>
      <c r="K3592" s="55">
        <v>0.2595671</v>
      </c>
      <c r="L3592" s="55">
        <v>1.424283</v>
      </c>
      <c r="M3592" s="55">
        <v>0.25956699999999999</v>
      </c>
      <c r="N3592" s="55">
        <v>0.7115435</v>
      </c>
    </row>
    <row r="3593" spans="1:14" hidden="1" x14ac:dyDescent="0.35">
      <c r="A3593" s="52" t="s">
        <v>232</v>
      </c>
      <c r="B3593" s="52" t="s">
        <v>74</v>
      </c>
      <c r="C3593" s="52" t="s">
        <v>71</v>
      </c>
      <c r="D3593" s="52" t="s">
        <v>236</v>
      </c>
      <c r="E3593" s="52" t="s">
        <v>584</v>
      </c>
      <c r="F3593" s="52" t="s">
        <v>581</v>
      </c>
      <c r="G3593" s="55" t="s">
        <v>279</v>
      </c>
      <c r="H3593" s="55">
        <v>25.77497</v>
      </c>
      <c r="I3593" s="55">
        <v>28.8794</v>
      </c>
      <c r="J3593" s="55">
        <v>25.559550000000002</v>
      </c>
      <c r="K3593" s="55">
        <v>25.60389</v>
      </c>
      <c r="L3593" s="55">
        <v>21.523530000000001</v>
      </c>
      <c r="M3593" s="55">
        <v>17.776789999999998</v>
      </c>
      <c r="N3593" s="55">
        <v>25.311820000000001</v>
      </c>
    </row>
    <row r="3594" spans="1:14" hidden="1" x14ac:dyDescent="0.35">
      <c r="A3594" s="52" t="s">
        <v>232</v>
      </c>
      <c r="B3594" s="52" t="s">
        <v>74</v>
      </c>
      <c r="C3594" s="52" t="s">
        <v>71</v>
      </c>
      <c r="D3594" s="52" t="s">
        <v>236</v>
      </c>
      <c r="E3594" s="52" t="s">
        <v>584</v>
      </c>
      <c r="F3594" s="52" t="s">
        <v>26</v>
      </c>
      <c r="G3594" s="55" t="s">
        <v>275</v>
      </c>
      <c r="H3594" s="55">
        <v>2.9993799999999999</v>
      </c>
      <c r="I3594" s="55">
        <v>25.017340000000001</v>
      </c>
      <c r="J3594" s="55">
        <v>24.135490000000001</v>
      </c>
      <c r="K3594" s="55">
        <v>17.74342</v>
      </c>
      <c r="L3594" s="55">
        <v>12.998239999999999</v>
      </c>
      <c r="M3594" s="55">
        <v>12.3803</v>
      </c>
      <c r="N3594" s="55">
        <v>1.3712530000000001</v>
      </c>
    </row>
    <row r="3595" spans="1:14" hidden="1" x14ac:dyDescent="0.35">
      <c r="A3595" s="52" t="s">
        <v>232</v>
      </c>
      <c r="B3595" s="52" t="s">
        <v>74</v>
      </c>
      <c r="C3595" s="52" t="s">
        <v>71</v>
      </c>
      <c r="D3595" s="52" t="s">
        <v>236</v>
      </c>
      <c r="E3595" s="52" t="s">
        <v>584</v>
      </c>
      <c r="F3595" s="52" t="s">
        <v>26</v>
      </c>
      <c r="G3595" s="55" t="s">
        <v>276</v>
      </c>
      <c r="H3595" s="55">
        <v>-1.629786</v>
      </c>
      <c r="I3595" s="55">
        <v>16.491610000000001</v>
      </c>
      <c r="J3595" s="55">
        <v>15.921340000000001</v>
      </c>
      <c r="K3595" s="55">
        <v>11.76812</v>
      </c>
      <c r="L3595" s="55">
        <v>8.6654949999999999</v>
      </c>
      <c r="M3595" s="55">
        <v>8.2535340000000001</v>
      </c>
      <c r="N3595" s="55">
        <v>0.91416969999999997</v>
      </c>
    </row>
    <row r="3596" spans="1:14" hidden="1" x14ac:dyDescent="0.35">
      <c r="A3596" s="52" t="s">
        <v>232</v>
      </c>
      <c r="B3596" s="52" t="s">
        <v>74</v>
      </c>
      <c r="C3596" s="52" t="s">
        <v>71</v>
      </c>
      <c r="D3596" s="52" t="s">
        <v>236</v>
      </c>
      <c r="E3596" s="52" t="s">
        <v>584</v>
      </c>
      <c r="F3596" s="52" t="s">
        <v>26</v>
      </c>
      <c r="G3596" s="55" t="s">
        <v>277</v>
      </c>
      <c r="H3596" s="55">
        <v>34.841520000000003</v>
      </c>
      <c r="I3596" s="55">
        <v>1.791561</v>
      </c>
      <c r="J3596" s="55">
        <v>1.622285</v>
      </c>
      <c r="K3596" s="55"/>
      <c r="L3596" s="55"/>
      <c r="M3596" s="55">
        <v>0</v>
      </c>
      <c r="N3596" s="55">
        <v>0</v>
      </c>
    </row>
    <row r="3597" spans="1:14" hidden="1" x14ac:dyDescent="0.35">
      <c r="A3597" s="52" t="s">
        <v>232</v>
      </c>
      <c r="B3597" s="52" t="s">
        <v>74</v>
      </c>
      <c r="C3597" s="52" t="s">
        <v>71</v>
      </c>
      <c r="D3597" s="52" t="s">
        <v>236</v>
      </c>
      <c r="E3597" s="52" t="s">
        <v>584</v>
      </c>
      <c r="F3597" s="52" t="s">
        <v>26</v>
      </c>
      <c r="G3597" s="55" t="s">
        <v>279</v>
      </c>
      <c r="H3597" s="55">
        <v>20.91281</v>
      </c>
      <c r="I3597" s="55">
        <v>23.17916</v>
      </c>
      <c r="J3597" s="55">
        <v>20.17464</v>
      </c>
      <c r="K3597" s="55">
        <v>19.100429999999999</v>
      </c>
      <c r="L3597" s="55">
        <v>16.044709999999998</v>
      </c>
      <c r="M3597" s="55">
        <v>7.4001250000000001</v>
      </c>
      <c r="N3597" s="55">
        <v>21.844460000000002</v>
      </c>
    </row>
    <row r="3598" spans="1:14" hidden="1" x14ac:dyDescent="0.35">
      <c r="A3598" s="52" t="s">
        <v>232</v>
      </c>
      <c r="B3598" s="52" t="s">
        <v>74</v>
      </c>
      <c r="C3598" s="52" t="s">
        <v>71</v>
      </c>
      <c r="D3598" s="52" t="s">
        <v>140</v>
      </c>
      <c r="E3598" s="52" t="s">
        <v>584</v>
      </c>
      <c r="F3598" s="52" t="s">
        <v>581</v>
      </c>
      <c r="G3598" s="55" t="s">
        <v>275</v>
      </c>
      <c r="H3598" s="55">
        <v>21.917999999999999</v>
      </c>
      <c r="I3598" s="55">
        <v>23.577459999999999</v>
      </c>
      <c r="J3598" s="55">
        <v>15.47357</v>
      </c>
      <c r="K3598" s="55">
        <v>10.898020000000001</v>
      </c>
      <c r="L3598" s="55">
        <v>7.9919180000000001</v>
      </c>
      <c r="M3598" s="55">
        <v>5.0047220000000001</v>
      </c>
      <c r="N3598" s="55">
        <v>2.5107430000000002</v>
      </c>
    </row>
    <row r="3599" spans="1:14" hidden="1" x14ac:dyDescent="0.35">
      <c r="A3599" s="52" t="s">
        <v>232</v>
      </c>
      <c r="B3599" s="52" t="s">
        <v>74</v>
      </c>
      <c r="C3599" s="52" t="s">
        <v>71</v>
      </c>
      <c r="D3599" s="52" t="s">
        <v>140</v>
      </c>
      <c r="E3599" s="52" t="s">
        <v>584</v>
      </c>
      <c r="F3599" s="52" t="s">
        <v>581</v>
      </c>
      <c r="G3599" s="55" t="s">
        <v>276</v>
      </c>
      <c r="H3599" s="55">
        <v>10.456289999999999</v>
      </c>
      <c r="I3599" s="55">
        <v>15.47627</v>
      </c>
      <c r="J3599" s="55">
        <v>-1.3728199999999999</v>
      </c>
      <c r="K3599" s="55">
        <v>6.1093320000000002</v>
      </c>
      <c r="L3599" s="55">
        <v>4.7271210000000004</v>
      </c>
      <c r="M3599" s="55">
        <v>-10.3765</v>
      </c>
      <c r="N3599" s="55">
        <v>1.1182110000000001</v>
      </c>
    </row>
    <row r="3600" spans="1:14" hidden="1" x14ac:dyDescent="0.35">
      <c r="A3600" s="52" t="s">
        <v>232</v>
      </c>
      <c r="B3600" s="52" t="s">
        <v>74</v>
      </c>
      <c r="C3600" s="52" t="s">
        <v>71</v>
      </c>
      <c r="D3600" s="52" t="s">
        <v>140</v>
      </c>
      <c r="E3600" s="52" t="s">
        <v>584</v>
      </c>
      <c r="F3600" s="52" t="s">
        <v>581</v>
      </c>
      <c r="G3600" s="55" t="s">
        <v>277</v>
      </c>
      <c r="H3600" s="55">
        <v>39.825839999999999</v>
      </c>
      <c r="I3600" s="55">
        <v>2.2999550000000002</v>
      </c>
      <c r="J3600" s="55">
        <v>2.1500840000000001</v>
      </c>
      <c r="K3600" s="55">
        <v>2.6927850000000002</v>
      </c>
      <c r="L3600" s="55">
        <v>3.1577039999999998</v>
      </c>
      <c r="M3600" s="55">
        <v>3.19448</v>
      </c>
      <c r="N3600" s="55">
        <v>3.4536790000000002</v>
      </c>
    </row>
    <row r="3601" spans="1:14" hidden="1" x14ac:dyDescent="0.35">
      <c r="A3601" s="52" t="s">
        <v>232</v>
      </c>
      <c r="B3601" s="52" t="s">
        <v>74</v>
      </c>
      <c r="C3601" s="52" t="s">
        <v>71</v>
      </c>
      <c r="D3601" s="52" t="s">
        <v>140</v>
      </c>
      <c r="E3601" s="52" t="s">
        <v>584</v>
      </c>
      <c r="F3601" s="52" t="s">
        <v>581</v>
      </c>
      <c r="G3601" s="55" t="s">
        <v>278</v>
      </c>
      <c r="H3601" s="55">
        <v>0.2163629</v>
      </c>
      <c r="I3601" s="55">
        <v>0.29544389999999998</v>
      </c>
      <c r="J3601" s="55">
        <v>11.46457</v>
      </c>
      <c r="K3601" s="55">
        <v>0.86887800000000004</v>
      </c>
      <c r="L3601" s="55">
        <v>0.27189609999999997</v>
      </c>
      <c r="M3601" s="55">
        <v>13.380229999999999</v>
      </c>
      <c r="N3601" s="55">
        <v>0.17775170000000001</v>
      </c>
    </row>
    <row r="3602" spans="1:14" hidden="1" x14ac:dyDescent="0.35">
      <c r="A3602" s="52" t="s">
        <v>232</v>
      </c>
      <c r="B3602" s="52" t="s">
        <v>74</v>
      </c>
      <c r="C3602" s="52" t="s">
        <v>71</v>
      </c>
      <c r="D3602" s="52" t="s">
        <v>140</v>
      </c>
      <c r="E3602" s="52" t="s">
        <v>584</v>
      </c>
      <c r="F3602" s="52" t="s">
        <v>581</v>
      </c>
      <c r="G3602" s="55" t="s">
        <v>279</v>
      </c>
      <c r="H3602" s="55">
        <v>12.64916</v>
      </c>
      <c r="I3602" s="55">
        <v>13.700950000000001</v>
      </c>
      <c r="J3602" s="55">
        <v>10.632389999999999</v>
      </c>
      <c r="K3602" s="55">
        <v>10.272030000000001</v>
      </c>
      <c r="L3602" s="55">
        <v>9.2715069999999997</v>
      </c>
      <c r="M3602" s="55">
        <v>8.1402260000000002</v>
      </c>
      <c r="N3602" s="55">
        <v>7.268135</v>
      </c>
    </row>
    <row r="3603" spans="1:14" hidden="1" x14ac:dyDescent="0.35">
      <c r="A3603" s="52" t="s">
        <v>232</v>
      </c>
      <c r="B3603" s="52" t="s">
        <v>74</v>
      </c>
      <c r="C3603" s="52" t="s">
        <v>71</v>
      </c>
      <c r="D3603" s="52" t="s">
        <v>140</v>
      </c>
      <c r="E3603" s="52" t="s">
        <v>584</v>
      </c>
      <c r="F3603" s="52" t="s">
        <v>26</v>
      </c>
      <c r="G3603" s="55" t="s">
        <v>275</v>
      </c>
      <c r="H3603" s="55">
        <v>3.4072809999999998</v>
      </c>
      <c r="I3603" s="55">
        <v>3.3803459999999999</v>
      </c>
      <c r="J3603" s="55">
        <v>2.7553939999999999</v>
      </c>
      <c r="K3603" s="55">
        <v>2.2081249999999999</v>
      </c>
      <c r="L3603" s="55">
        <v>1.850878</v>
      </c>
      <c r="M3603" s="55">
        <v>1.4163250000000001</v>
      </c>
      <c r="N3603" s="55">
        <v>1.0652630000000001</v>
      </c>
    </row>
    <row r="3604" spans="1:14" hidden="1" x14ac:dyDescent="0.35">
      <c r="A3604" s="52" t="s">
        <v>232</v>
      </c>
      <c r="B3604" s="52" t="s">
        <v>74</v>
      </c>
      <c r="C3604" s="52" t="s">
        <v>71</v>
      </c>
      <c r="D3604" s="52" t="s">
        <v>140</v>
      </c>
      <c r="E3604" s="52" t="s">
        <v>584</v>
      </c>
      <c r="F3604" s="52" t="s">
        <v>26</v>
      </c>
      <c r="G3604" s="55" t="s">
        <v>276</v>
      </c>
      <c r="H3604" s="55">
        <v>2.2715190000000001</v>
      </c>
      <c r="I3604" s="55">
        <v>2.2535639999999999</v>
      </c>
      <c r="J3604" s="55">
        <v>1.83693</v>
      </c>
      <c r="K3604" s="55">
        <v>1.4720839999999999</v>
      </c>
      <c r="L3604" s="55">
        <v>1.233919</v>
      </c>
      <c r="M3604" s="55">
        <v>0.94421679999999997</v>
      </c>
      <c r="N3604" s="55">
        <v>0.71017479999999999</v>
      </c>
    </row>
    <row r="3605" spans="1:14" hidden="1" x14ac:dyDescent="0.35">
      <c r="A3605" s="52" t="s">
        <v>232</v>
      </c>
      <c r="B3605" s="52" t="s">
        <v>74</v>
      </c>
      <c r="C3605" s="52" t="s">
        <v>71</v>
      </c>
      <c r="D3605" s="52" t="s">
        <v>140</v>
      </c>
      <c r="E3605" s="52" t="s">
        <v>584</v>
      </c>
      <c r="F3605" s="52" t="s">
        <v>26</v>
      </c>
      <c r="G3605" s="55" t="s">
        <v>277</v>
      </c>
      <c r="H3605" s="55">
        <v>0</v>
      </c>
      <c r="I3605" s="55"/>
      <c r="J3605" s="55"/>
      <c r="K3605" s="55"/>
      <c r="L3605" s="55"/>
      <c r="M3605" s="55">
        <v>0</v>
      </c>
      <c r="N3605" s="55"/>
    </row>
    <row r="3606" spans="1:14" hidden="1" x14ac:dyDescent="0.35">
      <c r="A3606" s="52" t="s">
        <v>232</v>
      </c>
      <c r="B3606" s="52" t="s">
        <v>74</v>
      </c>
      <c r="C3606" s="52" t="s">
        <v>71</v>
      </c>
      <c r="D3606" s="52" t="s">
        <v>140</v>
      </c>
      <c r="E3606" s="52" t="s">
        <v>584</v>
      </c>
      <c r="F3606" s="52" t="s">
        <v>26</v>
      </c>
      <c r="G3606" s="55" t="s">
        <v>279</v>
      </c>
      <c r="H3606" s="55">
        <v>2.0423939999999998</v>
      </c>
      <c r="I3606" s="55">
        <v>2.1016569999999999</v>
      </c>
      <c r="J3606" s="55">
        <v>1.523396</v>
      </c>
      <c r="K3606" s="55">
        <v>1.3319099999999999</v>
      </c>
      <c r="L3606" s="55">
        <v>1.1166879999999999</v>
      </c>
      <c r="M3606" s="55">
        <v>0.85393629999999998</v>
      </c>
      <c r="N3606" s="55">
        <v>0.64238419999999996</v>
      </c>
    </row>
    <row r="3607" spans="1:14" hidden="1" x14ac:dyDescent="0.35">
      <c r="A3607" s="52" t="s">
        <v>232</v>
      </c>
      <c r="B3607" s="52" t="s">
        <v>74</v>
      </c>
      <c r="C3607" s="52" t="s">
        <v>71</v>
      </c>
      <c r="D3607" s="52" t="s">
        <v>139</v>
      </c>
      <c r="E3607" s="52" t="s">
        <v>584</v>
      </c>
      <c r="F3607" s="52" t="s">
        <v>581</v>
      </c>
      <c r="G3607" s="55" t="s">
        <v>275</v>
      </c>
      <c r="H3607" s="55">
        <v>-3.1748449999999998E-2</v>
      </c>
      <c r="I3607" s="55">
        <v>-4.3352179999999997E-2</v>
      </c>
      <c r="J3607" s="55">
        <v>0</v>
      </c>
      <c r="K3607" s="55">
        <v>0</v>
      </c>
      <c r="L3607" s="55">
        <v>0</v>
      </c>
      <c r="M3607" s="55">
        <v>0</v>
      </c>
      <c r="N3607" s="55">
        <v>0</v>
      </c>
    </row>
    <row r="3608" spans="1:14" hidden="1" x14ac:dyDescent="0.35">
      <c r="A3608" s="52" t="s">
        <v>232</v>
      </c>
      <c r="B3608" s="52" t="s">
        <v>74</v>
      </c>
      <c r="C3608" s="52" t="s">
        <v>71</v>
      </c>
      <c r="D3608" s="52" t="s">
        <v>139</v>
      </c>
      <c r="E3608" s="52" t="s">
        <v>584</v>
      </c>
      <c r="F3608" s="52" t="s">
        <v>581</v>
      </c>
      <c r="G3608" s="55" t="s">
        <v>276</v>
      </c>
      <c r="H3608" s="55">
        <v>-2.1165819999999998E-2</v>
      </c>
      <c r="I3608" s="55">
        <v>-2.8901840000000002E-2</v>
      </c>
      <c r="J3608" s="55">
        <v>-7.225463E-2</v>
      </c>
      <c r="K3608" s="55">
        <v>-7.2254020000000002E-2</v>
      </c>
      <c r="L3608" s="55">
        <v>-7.2255239999999998E-2</v>
      </c>
      <c r="M3608" s="55">
        <v>-9.4086730000000003</v>
      </c>
      <c r="N3608" s="55">
        <v>-7.2255180000000002E-2</v>
      </c>
    </row>
    <row r="3609" spans="1:14" hidden="1" x14ac:dyDescent="0.35">
      <c r="A3609" s="52" t="s">
        <v>232</v>
      </c>
      <c r="B3609" s="52" t="s">
        <v>74</v>
      </c>
      <c r="C3609" s="52" t="s">
        <v>71</v>
      </c>
      <c r="D3609" s="52" t="s">
        <v>139</v>
      </c>
      <c r="E3609" s="52" t="s">
        <v>584</v>
      </c>
      <c r="F3609" s="52" t="s">
        <v>581</v>
      </c>
      <c r="G3609" s="55" t="s">
        <v>278</v>
      </c>
      <c r="H3609" s="55">
        <v>5.2913719999999997E-2</v>
      </c>
      <c r="I3609" s="55">
        <v>7.2254020000000002E-2</v>
      </c>
      <c r="J3609" s="55">
        <v>7.2254020000000002E-2</v>
      </c>
      <c r="K3609" s="55">
        <v>7.2254020000000002E-2</v>
      </c>
      <c r="L3609" s="55">
        <v>7.2254020000000002E-2</v>
      </c>
      <c r="M3609" s="55">
        <v>9.4086730000000003</v>
      </c>
      <c r="N3609" s="55">
        <v>7.2254029999999997E-2</v>
      </c>
    </row>
    <row r="3610" spans="1:14" hidden="1" x14ac:dyDescent="0.35">
      <c r="A3610" s="52" t="s">
        <v>232</v>
      </c>
      <c r="B3610" s="52" t="s">
        <v>74</v>
      </c>
      <c r="C3610" s="52" t="s">
        <v>87</v>
      </c>
      <c r="D3610" s="52" t="s">
        <v>91</v>
      </c>
      <c r="E3610" s="52" t="s">
        <v>584</v>
      </c>
      <c r="F3610" s="52" t="s">
        <v>581</v>
      </c>
      <c r="G3610" s="55" t="s">
        <v>275</v>
      </c>
      <c r="H3610" s="55">
        <v>7.7791329999999999</v>
      </c>
      <c r="I3610" s="55">
        <v>-22.406179999999999</v>
      </c>
      <c r="J3610" s="55">
        <v>-45.391660000000002</v>
      </c>
      <c r="K3610" s="55">
        <v>-87.480549999999994</v>
      </c>
      <c r="L3610" s="55">
        <v>-100.6238</v>
      </c>
      <c r="M3610" s="55">
        <v>-112.3313</v>
      </c>
      <c r="N3610" s="55">
        <v>-122.6066</v>
      </c>
    </row>
    <row r="3611" spans="1:14" hidden="1" x14ac:dyDescent="0.35">
      <c r="A3611" s="52" t="s">
        <v>232</v>
      </c>
      <c r="B3611" s="52" t="s">
        <v>74</v>
      </c>
      <c r="C3611" s="52" t="s">
        <v>87</v>
      </c>
      <c r="D3611" s="52" t="s">
        <v>91</v>
      </c>
      <c r="E3611" s="52" t="s">
        <v>584</v>
      </c>
      <c r="F3611" s="52" t="s">
        <v>581</v>
      </c>
      <c r="G3611" s="55" t="s">
        <v>276</v>
      </c>
      <c r="H3611" s="55">
        <v>-23.532609999999998</v>
      </c>
      <c r="I3611" s="55">
        <v>-15.061909999999999</v>
      </c>
      <c r="J3611" s="55">
        <v>-30.353339999999999</v>
      </c>
      <c r="K3611" s="55">
        <v>-58.381790000000002</v>
      </c>
      <c r="L3611" s="55">
        <v>-67.106480000000005</v>
      </c>
      <c r="M3611" s="55">
        <v>-74.911500000000004</v>
      </c>
      <c r="N3611" s="55">
        <v>-81.761690000000002</v>
      </c>
    </row>
    <row r="3612" spans="1:14" hidden="1" x14ac:dyDescent="0.35">
      <c r="A3612" s="52" t="s">
        <v>232</v>
      </c>
      <c r="B3612" s="52" t="s">
        <v>74</v>
      </c>
      <c r="C3612" s="52" t="s">
        <v>87</v>
      </c>
      <c r="D3612" s="52" t="s">
        <v>91</v>
      </c>
      <c r="E3612" s="52" t="s">
        <v>584</v>
      </c>
      <c r="F3612" s="52" t="s">
        <v>581</v>
      </c>
      <c r="G3612" s="55" t="s">
        <v>277</v>
      </c>
      <c r="H3612" s="55">
        <v>275.69970000000001</v>
      </c>
      <c r="I3612" s="55">
        <v>1.194688</v>
      </c>
      <c r="J3612" s="55">
        <v>0.65565859999999998</v>
      </c>
      <c r="K3612" s="55">
        <v>0.35983310000000002</v>
      </c>
      <c r="L3612" s="55">
        <v>0</v>
      </c>
      <c r="M3612" s="55">
        <v>0</v>
      </c>
      <c r="N3612" s="55">
        <v>0</v>
      </c>
    </row>
    <row r="3613" spans="1:14" hidden="1" x14ac:dyDescent="0.35">
      <c r="A3613" s="52" t="s">
        <v>232</v>
      </c>
      <c r="B3613" s="52" t="s">
        <v>74</v>
      </c>
      <c r="C3613" s="52" t="s">
        <v>87</v>
      </c>
      <c r="D3613" s="52" t="s">
        <v>91</v>
      </c>
      <c r="E3613" s="52" t="s">
        <v>584</v>
      </c>
      <c r="F3613" s="52" t="s">
        <v>581</v>
      </c>
      <c r="G3613" s="55" t="s">
        <v>278</v>
      </c>
      <c r="H3613" s="55">
        <v>1.7532519999999999E-2</v>
      </c>
      <c r="I3613" s="55">
        <v>2.394137E-2</v>
      </c>
      <c r="J3613" s="55">
        <v>2.394137E-2</v>
      </c>
      <c r="K3613" s="55">
        <v>2.394137E-2</v>
      </c>
      <c r="L3613" s="55">
        <v>2.394137E-2</v>
      </c>
      <c r="M3613" s="55">
        <v>2.394137E-2</v>
      </c>
      <c r="N3613" s="55">
        <v>2.394137E-2</v>
      </c>
    </row>
    <row r="3614" spans="1:14" hidden="1" x14ac:dyDescent="0.35">
      <c r="A3614" s="52" t="s">
        <v>232</v>
      </c>
      <c r="B3614" s="52" t="s">
        <v>74</v>
      </c>
      <c r="C3614" s="52" t="s">
        <v>87</v>
      </c>
      <c r="D3614" s="52" t="s">
        <v>91</v>
      </c>
      <c r="E3614" s="52" t="s">
        <v>584</v>
      </c>
      <c r="F3614" s="52" t="s">
        <v>581</v>
      </c>
      <c r="G3614" s="55" t="s">
        <v>279</v>
      </c>
      <c r="H3614" s="55">
        <v>396.29700000000003</v>
      </c>
      <c r="I3614" s="55">
        <v>351.58980000000003</v>
      </c>
      <c r="J3614" s="55">
        <v>328.8023</v>
      </c>
      <c r="K3614" s="55">
        <v>382.04669999999999</v>
      </c>
      <c r="L3614" s="55">
        <v>381.9957</v>
      </c>
      <c r="M3614" s="55">
        <v>386.42919999999998</v>
      </c>
      <c r="N3614" s="55">
        <v>391.6259</v>
      </c>
    </row>
    <row r="3615" spans="1:14" hidden="1" x14ac:dyDescent="0.35">
      <c r="A3615" s="52" t="s">
        <v>232</v>
      </c>
      <c r="B3615" s="52" t="s">
        <v>74</v>
      </c>
      <c r="C3615" s="52" t="s">
        <v>87</v>
      </c>
      <c r="D3615" s="52" t="s">
        <v>91</v>
      </c>
      <c r="E3615" s="52" t="s">
        <v>584</v>
      </c>
      <c r="F3615" s="52" t="s">
        <v>26</v>
      </c>
      <c r="G3615" s="55" t="s">
        <v>275</v>
      </c>
      <c r="H3615" s="55">
        <v>0.22423180000000001</v>
      </c>
      <c r="I3615" s="55">
        <v>0.1820677</v>
      </c>
      <c r="J3615" s="55">
        <v>0.16404630000000001</v>
      </c>
      <c r="K3615" s="55">
        <v>0.14249880000000001</v>
      </c>
      <c r="L3615" s="55">
        <v>0.1207216</v>
      </c>
      <c r="M3615" s="55">
        <v>0.14765809999999999</v>
      </c>
      <c r="N3615" s="55">
        <v>0.1374669</v>
      </c>
    </row>
    <row r="3616" spans="1:14" hidden="1" x14ac:dyDescent="0.35">
      <c r="A3616" s="52" t="s">
        <v>232</v>
      </c>
      <c r="B3616" s="52" t="s">
        <v>74</v>
      </c>
      <c r="C3616" s="52" t="s">
        <v>87</v>
      </c>
      <c r="D3616" s="52" t="s">
        <v>91</v>
      </c>
      <c r="E3616" s="52" t="s">
        <v>584</v>
      </c>
      <c r="F3616" s="52" t="s">
        <v>26</v>
      </c>
      <c r="G3616" s="55" t="s">
        <v>276</v>
      </c>
      <c r="H3616" s="55">
        <v>0.14948800000000001</v>
      </c>
      <c r="I3616" s="55">
        <v>0.1213784</v>
      </c>
      <c r="J3616" s="55">
        <v>0.10936419999999999</v>
      </c>
      <c r="K3616" s="55">
        <v>9.4998970000000002E-2</v>
      </c>
      <c r="L3616" s="55">
        <v>8.0481150000000001E-2</v>
      </c>
      <c r="M3616" s="55">
        <v>9.8438700000000004E-2</v>
      </c>
      <c r="N3616" s="55">
        <v>9.1644809999999993E-2</v>
      </c>
    </row>
    <row r="3617" spans="1:14" hidden="1" x14ac:dyDescent="0.35">
      <c r="A3617" s="52" t="s">
        <v>232</v>
      </c>
      <c r="B3617" s="52" t="s">
        <v>74</v>
      </c>
      <c r="C3617" s="52" t="s">
        <v>87</v>
      </c>
      <c r="D3617" s="52" t="s">
        <v>91</v>
      </c>
      <c r="E3617" s="52" t="s">
        <v>584</v>
      </c>
      <c r="F3617" s="52" t="s">
        <v>26</v>
      </c>
      <c r="G3617" s="55" t="s">
        <v>279</v>
      </c>
      <c r="H3617" s="55">
        <v>0.69987699999999997</v>
      </c>
      <c r="I3617" s="55">
        <v>0.61069110000000004</v>
      </c>
      <c r="J3617" s="55">
        <v>0.41699609999999998</v>
      </c>
      <c r="K3617" s="55">
        <v>0.39848240000000001</v>
      </c>
      <c r="L3617" s="55">
        <v>0.3227274</v>
      </c>
      <c r="M3617" s="55">
        <v>0.45735569999999998</v>
      </c>
      <c r="N3617" s="55">
        <v>0.4396446</v>
      </c>
    </row>
    <row r="3618" spans="1:14" hidden="1" x14ac:dyDescent="0.35">
      <c r="A3618" s="52" t="s">
        <v>232</v>
      </c>
      <c r="B3618" s="52" t="s">
        <v>74</v>
      </c>
      <c r="C3618" s="52" t="s">
        <v>87</v>
      </c>
      <c r="D3618" s="52" t="s">
        <v>87</v>
      </c>
      <c r="E3618" s="52" t="s">
        <v>584</v>
      </c>
      <c r="F3618" s="52" t="s">
        <v>581</v>
      </c>
      <c r="G3618" s="55" t="s">
        <v>275</v>
      </c>
      <c r="H3618" s="55">
        <v>-0.41928199999999999</v>
      </c>
      <c r="I3618" s="55">
        <v>0.43631150000000002</v>
      </c>
      <c r="J3618" s="55">
        <v>-9.7328100000000001E-2</v>
      </c>
      <c r="K3618" s="55">
        <v>-0.5486067</v>
      </c>
      <c r="L3618" s="55">
        <v>0</v>
      </c>
      <c r="M3618" s="55">
        <v>-4.8795460000000004</v>
      </c>
      <c r="N3618" s="55">
        <v>0</v>
      </c>
    </row>
    <row r="3619" spans="1:14" hidden="1" x14ac:dyDescent="0.35">
      <c r="A3619" s="52" t="s">
        <v>232</v>
      </c>
      <c r="B3619" s="52" t="s">
        <v>74</v>
      </c>
      <c r="C3619" s="52" t="s">
        <v>87</v>
      </c>
      <c r="D3619" s="52" t="s">
        <v>87</v>
      </c>
      <c r="E3619" s="52" t="s">
        <v>584</v>
      </c>
      <c r="F3619" s="52" t="s">
        <v>581</v>
      </c>
      <c r="G3619" s="55" t="s">
        <v>276</v>
      </c>
      <c r="H3619" s="55">
        <v>-0.27952199999999999</v>
      </c>
      <c r="I3619" s="55">
        <v>0.29087489999999999</v>
      </c>
      <c r="J3619" s="55">
        <v>-0.2854429</v>
      </c>
      <c r="K3619" s="55">
        <v>-4.5613780000000004</v>
      </c>
      <c r="L3619" s="55">
        <v>-1.3314870000000001</v>
      </c>
      <c r="M3619" s="55">
        <v>-3.490726</v>
      </c>
      <c r="N3619" s="55">
        <v>-0.56332990000000005</v>
      </c>
    </row>
    <row r="3620" spans="1:14" hidden="1" x14ac:dyDescent="0.35">
      <c r="A3620" s="52" t="s">
        <v>232</v>
      </c>
      <c r="B3620" s="52" t="s">
        <v>74</v>
      </c>
      <c r="C3620" s="52" t="s">
        <v>87</v>
      </c>
      <c r="D3620" s="52" t="s">
        <v>87</v>
      </c>
      <c r="E3620" s="52" t="s">
        <v>584</v>
      </c>
      <c r="F3620" s="52" t="s">
        <v>581</v>
      </c>
      <c r="G3620" s="55" t="s">
        <v>277</v>
      </c>
      <c r="H3620" s="55"/>
      <c r="I3620" s="55"/>
      <c r="J3620" s="55"/>
      <c r="K3620" s="55">
        <v>0</v>
      </c>
      <c r="L3620" s="55">
        <v>1.7139000000000001E-2</v>
      </c>
      <c r="M3620" s="55">
        <v>1.7139000000000001E-2</v>
      </c>
      <c r="N3620" s="55">
        <v>0.34277299999999999</v>
      </c>
    </row>
    <row r="3621" spans="1:14" hidden="1" x14ac:dyDescent="0.35">
      <c r="A3621" s="52" t="s">
        <v>232</v>
      </c>
      <c r="B3621" s="52" t="s">
        <v>74</v>
      </c>
      <c r="C3621" s="52" t="s">
        <v>87</v>
      </c>
      <c r="D3621" s="52" t="s">
        <v>87</v>
      </c>
      <c r="E3621" s="52" t="s">
        <v>584</v>
      </c>
      <c r="F3621" s="52" t="s">
        <v>581</v>
      </c>
      <c r="G3621" s="55" t="s">
        <v>278</v>
      </c>
      <c r="H3621" s="55">
        <v>0.161521</v>
      </c>
      <c r="I3621" s="55">
        <v>0.220557</v>
      </c>
      <c r="J3621" s="55">
        <v>0.220557</v>
      </c>
      <c r="K3621" s="55">
        <v>4.19564</v>
      </c>
      <c r="L3621" s="55">
        <v>1.3143480000000001</v>
      </c>
      <c r="M3621" s="55">
        <v>0.220557</v>
      </c>
      <c r="N3621" s="55">
        <v>0.220557</v>
      </c>
    </row>
    <row r="3622" spans="1:14" hidden="1" x14ac:dyDescent="0.35">
      <c r="A3622" s="52" t="s">
        <v>232</v>
      </c>
      <c r="B3622" s="52" t="s">
        <v>74</v>
      </c>
      <c r="C3622" s="52" t="s">
        <v>87</v>
      </c>
      <c r="D3622" s="52" t="s">
        <v>87</v>
      </c>
      <c r="E3622" s="52" t="s">
        <v>584</v>
      </c>
      <c r="F3622" s="52" t="s">
        <v>581</v>
      </c>
      <c r="G3622" s="55" t="s">
        <v>279</v>
      </c>
      <c r="H3622" s="55">
        <v>1.6130789999999999</v>
      </c>
      <c r="I3622" s="55">
        <v>1.8512189999999999</v>
      </c>
      <c r="J3622" s="55">
        <v>1.54769</v>
      </c>
      <c r="K3622" s="55">
        <v>1.7316510000000001</v>
      </c>
      <c r="L3622" s="55">
        <v>0</v>
      </c>
      <c r="M3622" s="55">
        <v>8.1325749999999992</v>
      </c>
      <c r="N3622" s="55"/>
    </row>
    <row r="3623" spans="1:14" hidden="1" x14ac:dyDescent="0.35">
      <c r="A3623" s="52" t="s">
        <v>232</v>
      </c>
      <c r="B3623" s="52" t="s">
        <v>74</v>
      </c>
      <c r="C3623" s="52" t="s">
        <v>87</v>
      </c>
      <c r="D3623" s="52" t="s">
        <v>87</v>
      </c>
      <c r="E3623" s="52" t="s">
        <v>584</v>
      </c>
      <c r="F3623" s="52" t="s">
        <v>26</v>
      </c>
      <c r="G3623" s="55" t="s">
        <v>275</v>
      </c>
      <c r="H3623" s="55"/>
      <c r="I3623" s="55"/>
      <c r="J3623" s="55"/>
      <c r="K3623" s="55"/>
      <c r="L3623" s="55"/>
      <c r="M3623" s="55"/>
      <c r="N3623" s="55">
        <v>0</v>
      </c>
    </row>
    <row r="3624" spans="1:14" hidden="1" x14ac:dyDescent="0.35">
      <c r="A3624" s="52" t="s">
        <v>232</v>
      </c>
      <c r="B3624" s="52" t="s">
        <v>74</v>
      </c>
      <c r="C3624" s="52" t="s">
        <v>87</v>
      </c>
      <c r="D3624" s="52" t="s">
        <v>87</v>
      </c>
      <c r="E3624" s="52" t="s">
        <v>584</v>
      </c>
      <c r="F3624" s="52" t="s">
        <v>26</v>
      </c>
      <c r="G3624" s="55" t="s">
        <v>276</v>
      </c>
      <c r="H3624" s="55"/>
      <c r="I3624" s="55"/>
      <c r="J3624" s="55"/>
      <c r="K3624" s="55"/>
      <c r="L3624" s="55"/>
      <c r="M3624" s="55"/>
      <c r="N3624" s="55">
        <v>0</v>
      </c>
    </row>
    <row r="3625" spans="1:14" hidden="1" x14ac:dyDescent="0.35">
      <c r="A3625" s="52" t="s">
        <v>232</v>
      </c>
      <c r="B3625" s="52" t="s">
        <v>74</v>
      </c>
      <c r="C3625" s="52" t="s">
        <v>87</v>
      </c>
      <c r="D3625" s="52" t="s">
        <v>87</v>
      </c>
      <c r="E3625" s="52" t="s">
        <v>584</v>
      </c>
      <c r="F3625" s="52" t="s">
        <v>26</v>
      </c>
      <c r="G3625" s="55" t="s">
        <v>277</v>
      </c>
      <c r="H3625" s="55"/>
      <c r="I3625" s="55"/>
      <c r="J3625" s="55"/>
      <c r="K3625" s="55"/>
      <c r="L3625" s="55"/>
      <c r="M3625" s="55"/>
      <c r="N3625" s="55">
        <v>0</v>
      </c>
    </row>
    <row r="3626" spans="1:14" hidden="1" x14ac:dyDescent="0.35">
      <c r="A3626" s="52" t="s">
        <v>232</v>
      </c>
      <c r="B3626" s="52" t="s">
        <v>74</v>
      </c>
      <c r="C3626" s="52" t="s">
        <v>87</v>
      </c>
      <c r="D3626" s="52" t="s">
        <v>92</v>
      </c>
      <c r="E3626" s="52" t="s">
        <v>584</v>
      </c>
      <c r="F3626" s="52" t="s">
        <v>26</v>
      </c>
      <c r="G3626" s="55" t="s">
        <v>275</v>
      </c>
      <c r="H3626" s="55">
        <v>-0.13716400000000001</v>
      </c>
      <c r="I3626" s="55">
        <v>-0.10716299999999999</v>
      </c>
      <c r="J3626" s="55">
        <v>-9.7037999999999999E-2</v>
      </c>
      <c r="K3626" s="55">
        <v>-0.114958</v>
      </c>
      <c r="L3626" s="55">
        <v>-0.138798</v>
      </c>
      <c r="M3626" s="55">
        <v>-0.14226800000000001</v>
      </c>
      <c r="N3626" s="55">
        <v>-0.1368944</v>
      </c>
    </row>
    <row r="3627" spans="1:14" hidden="1" x14ac:dyDescent="0.35">
      <c r="A3627" s="52" t="s">
        <v>232</v>
      </c>
      <c r="B3627" s="52" t="s">
        <v>74</v>
      </c>
      <c r="C3627" s="52" t="s">
        <v>87</v>
      </c>
      <c r="D3627" s="52" t="s">
        <v>92</v>
      </c>
      <c r="E3627" s="52" t="s">
        <v>584</v>
      </c>
      <c r="F3627" s="52" t="s">
        <v>26</v>
      </c>
      <c r="G3627" s="55" t="s">
        <v>276</v>
      </c>
      <c r="H3627" s="55">
        <v>-0.118024</v>
      </c>
      <c r="I3627" s="55">
        <v>-9.2209990000000006E-2</v>
      </c>
      <c r="J3627" s="55">
        <v>-8.3496000000000001E-2</v>
      </c>
      <c r="K3627" s="55">
        <v>-9.8917989999999997E-2</v>
      </c>
      <c r="L3627" s="55">
        <v>-0.119432</v>
      </c>
      <c r="M3627" s="55">
        <v>-0.122416</v>
      </c>
      <c r="N3627" s="55">
        <v>-0.1177926</v>
      </c>
    </row>
    <row r="3628" spans="1:14" hidden="1" x14ac:dyDescent="0.35">
      <c r="A3628" s="52" t="s">
        <v>232</v>
      </c>
      <c r="B3628" s="52" t="s">
        <v>74</v>
      </c>
      <c r="C3628" s="52" t="s">
        <v>87</v>
      </c>
      <c r="D3628" s="52" t="s">
        <v>92</v>
      </c>
      <c r="E3628" s="52" t="s">
        <v>584</v>
      </c>
      <c r="F3628" s="52" t="s">
        <v>26</v>
      </c>
      <c r="G3628" s="55" t="s">
        <v>277</v>
      </c>
      <c r="H3628" s="55">
        <v>0.255189</v>
      </c>
      <c r="I3628" s="55">
        <v>0.199374</v>
      </c>
      <c r="J3628" s="55">
        <v>0.180534</v>
      </c>
      <c r="K3628" s="55">
        <v>0.21387800000000001</v>
      </c>
      <c r="L3628" s="55">
        <v>0.25822800000000001</v>
      </c>
      <c r="M3628" s="55">
        <v>0.26468599999999998</v>
      </c>
      <c r="N3628" s="55">
        <v>0.25468639999999998</v>
      </c>
    </row>
    <row r="3629" spans="1:14" hidden="1" x14ac:dyDescent="0.35">
      <c r="A3629" s="52" t="s">
        <v>232</v>
      </c>
      <c r="B3629" s="52" t="s">
        <v>74</v>
      </c>
      <c r="C3629" s="52" t="s">
        <v>146</v>
      </c>
      <c r="D3629" s="52" t="s">
        <v>197</v>
      </c>
      <c r="E3629" s="52" t="s">
        <v>584</v>
      </c>
      <c r="F3629" s="52" t="s">
        <v>581</v>
      </c>
      <c r="G3629" s="55" t="s">
        <v>275</v>
      </c>
      <c r="H3629" s="55">
        <v>16.66498</v>
      </c>
      <c r="I3629" s="55">
        <v>4.6536150000000003</v>
      </c>
      <c r="J3629" s="55">
        <v>2.1881279999999999</v>
      </c>
      <c r="K3629" s="55">
        <v>0.57372900000000004</v>
      </c>
      <c r="L3629" s="55">
        <v>2.0758239999999999</v>
      </c>
      <c r="M3629" s="55">
        <v>1.409769</v>
      </c>
      <c r="N3629" s="55">
        <v>0.58767780000000003</v>
      </c>
    </row>
    <row r="3630" spans="1:14" hidden="1" x14ac:dyDescent="0.35">
      <c r="A3630" s="52" t="s">
        <v>232</v>
      </c>
      <c r="B3630" s="52" t="s">
        <v>74</v>
      </c>
      <c r="C3630" s="52" t="s">
        <v>146</v>
      </c>
      <c r="D3630" s="52" t="s">
        <v>197</v>
      </c>
      <c r="E3630" s="52" t="s">
        <v>584</v>
      </c>
      <c r="F3630" s="52" t="s">
        <v>581</v>
      </c>
      <c r="G3630" s="55" t="s">
        <v>276</v>
      </c>
      <c r="H3630" s="55">
        <v>11.00747</v>
      </c>
      <c r="I3630" s="55">
        <v>3.0223119999999999</v>
      </c>
      <c r="J3630" s="55">
        <v>1.25865</v>
      </c>
      <c r="K3630" s="55">
        <v>-3.8809140000000002</v>
      </c>
      <c r="L3630" s="55">
        <v>-0.156558</v>
      </c>
      <c r="M3630" s="55">
        <v>0.72770630000000003</v>
      </c>
      <c r="N3630" s="55">
        <v>0.17371549999999999</v>
      </c>
    </row>
    <row r="3631" spans="1:14" hidden="1" x14ac:dyDescent="0.35">
      <c r="A3631" s="52" t="s">
        <v>232</v>
      </c>
      <c r="B3631" s="52" t="s">
        <v>74</v>
      </c>
      <c r="C3631" s="52" t="s">
        <v>146</v>
      </c>
      <c r="D3631" s="52" t="s">
        <v>197</v>
      </c>
      <c r="E3631" s="52" t="s">
        <v>584</v>
      </c>
      <c r="F3631" s="52" t="s">
        <v>581</v>
      </c>
      <c r="G3631" s="55" t="s">
        <v>277</v>
      </c>
      <c r="H3631" s="55">
        <v>0.98421110000000001</v>
      </c>
      <c r="I3631" s="55">
        <v>0.76894149999999994</v>
      </c>
      <c r="J3631" s="55">
        <v>0.69628699999999999</v>
      </c>
      <c r="K3631" s="55">
        <v>0.82313270000000005</v>
      </c>
      <c r="L3631" s="55"/>
      <c r="M3631" s="55">
        <v>0.81184529999999999</v>
      </c>
      <c r="N3631" s="55">
        <v>0.86879720000000005</v>
      </c>
    </row>
    <row r="3632" spans="1:14" hidden="1" x14ac:dyDescent="0.35">
      <c r="A3632" s="52" t="s">
        <v>232</v>
      </c>
      <c r="B3632" s="52" t="s">
        <v>74</v>
      </c>
      <c r="C3632" s="52" t="s">
        <v>146</v>
      </c>
      <c r="D3632" s="52" t="s">
        <v>197</v>
      </c>
      <c r="E3632" s="52" t="s">
        <v>584</v>
      </c>
      <c r="F3632" s="52" t="s">
        <v>581</v>
      </c>
      <c r="G3632" s="55" t="s">
        <v>278</v>
      </c>
      <c r="H3632" s="55">
        <v>9.3425999999999995E-2</v>
      </c>
      <c r="I3632" s="55">
        <v>0.12757299999999999</v>
      </c>
      <c r="J3632" s="55">
        <v>0.12757299999999999</v>
      </c>
      <c r="K3632" s="55">
        <v>4.177657</v>
      </c>
      <c r="L3632" s="55">
        <v>1.509592</v>
      </c>
      <c r="M3632" s="55">
        <v>0.12757299999999999</v>
      </c>
      <c r="N3632" s="55">
        <v>0.12757299999999999</v>
      </c>
    </row>
    <row r="3633" spans="1:14" hidden="1" x14ac:dyDescent="0.35">
      <c r="A3633" s="52" t="s">
        <v>232</v>
      </c>
      <c r="B3633" s="52" t="s">
        <v>74</v>
      </c>
      <c r="C3633" s="52" t="s">
        <v>146</v>
      </c>
      <c r="D3633" s="52" t="s">
        <v>197</v>
      </c>
      <c r="E3633" s="52" t="s">
        <v>584</v>
      </c>
      <c r="F3633" s="52" t="s">
        <v>581</v>
      </c>
      <c r="G3633" s="55" t="s">
        <v>279</v>
      </c>
      <c r="H3633" s="55">
        <v>9.5283379999999998</v>
      </c>
      <c r="I3633" s="55">
        <v>8.0585550000000001</v>
      </c>
      <c r="J3633" s="55">
        <v>6.9483389999999998</v>
      </c>
      <c r="K3633" s="55">
        <v>7.6758550000000003</v>
      </c>
      <c r="L3633" s="55">
        <v>6.2947170000000003</v>
      </c>
      <c r="M3633" s="55">
        <v>4.8536489999999999</v>
      </c>
      <c r="N3633" s="55">
        <v>4.6235980000000003</v>
      </c>
    </row>
    <row r="3634" spans="1:14" hidden="1" x14ac:dyDescent="0.35">
      <c r="A3634" s="52" t="s">
        <v>232</v>
      </c>
      <c r="B3634" s="52" t="s">
        <v>74</v>
      </c>
      <c r="C3634" s="52" t="s">
        <v>146</v>
      </c>
      <c r="D3634" s="52" t="s">
        <v>197</v>
      </c>
      <c r="E3634" s="52" t="s">
        <v>584</v>
      </c>
      <c r="F3634" s="52" t="s">
        <v>26</v>
      </c>
      <c r="G3634" s="55" t="s">
        <v>275</v>
      </c>
      <c r="H3634" s="55">
        <v>0.4232746</v>
      </c>
      <c r="I3634" s="55">
        <v>0.31806590000000001</v>
      </c>
      <c r="J3634" s="55">
        <v>0.2486978</v>
      </c>
      <c r="K3634" s="55">
        <v>0.2037149</v>
      </c>
      <c r="L3634" s="55">
        <v>0.22167519999999999</v>
      </c>
      <c r="M3634" s="55">
        <v>0.175622</v>
      </c>
      <c r="N3634" s="55">
        <v>0.14132919999999999</v>
      </c>
    </row>
    <row r="3635" spans="1:14" hidden="1" x14ac:dyDescent="0.35">
      <c r="A3635" s="52" t="s">
        <v>232</v>
      </c>
      <c r="B3635" s="52" t="s">
        <v>74</v>
      </c>
      <c r="C3635" s="52" t="s">
        <v>146</v>
      </c>
      <c r="D3635" s="52" t="s">
        <v>197</v>
      </c>
      <c r="E3635" s="52" t="s">
        <v>584</v>
      </c>
      <c r="F3635" s="52" t="s">
        <v>26</v>
      </c>
      <c r="G3635" s="55" t="s">
        <v>276</v>
      </c>
      <c r="H3635" s="55">
        <v>0.28218300000000002</v>
      </c>
      <c r="I3635" s="55">
        <v>0.21204439999999999</v>
      </c>
      <c r="J3635" s="55">
        <v>0.1657988</v>
      </c>
      <c r="K3635" s="55">
        <v>0.13581070000000001</v>
      </c>
      <c r="L3635" s="55">
        <v>0.14778369999999999</v>
      </c>
      <c r="M3635" s="55">
        <v>0.1170817</v>
      </c>
      <c r="N3635" s="55">
        <v>9.4219739999999996E-2</v>
      </c>
    </row>
    <row r="3636" spans="1:14" hidden="1" x14ac:dyDescent="0.35">
      <c r="A3636" s="52" t="s">
        <v>232</v>
      </c>
      <c r="B3636" s="52" t="s">
        <v>74</v>
      </c>
      <c r="C3636" s="52" t="s">
        <v>146</v>
      </c>
      <c r="D3636" s="52" t="s">
        <v>197</v>
      </c>
      <c r="E3636" s="52" t="s">
        <v>584</v>
      </c>
      <c r="F3636" s="52" t="s">
        <v>26</v>
      </c>
      <c r="G3636" s="55" t="s">
        <v>279</v>
      </c>
      <c r="H3636" s="55">
        <v>0.255328</v>
      </c>
      <c r="I3636" s="55">
        <v>0.19849749999999999</v>
      </c>
      <c r="J3636" s="55">
        <v>0.1376685</v>
      </c>
      <c r="K3636" s="55">
        <v>0.1217207</v>
      </c>
      <c r="L3636" s="55">
        <v>0.12503429999999999</v>
      </c>
      <c r="M3636" s="55">
        <v>9.8832249999999996E-2</v>
      </c>
      <c r="N3636" s="55">
        <v>7.9451140000000003E-2</v>
      </c>
    </row>
    <row r="3637" spans="1:14" hidden="1" x14ac:dyDescent="0.35">
      <c r="A3637" s="52" t="s">
        <v>232</v>
      </c>
      <c r="B3637" s="52" t="s">
        <v>74</v>
      </c>
      <c r="C3637" s="52" t="s">
        <v>146</v>
      </c>
      <c r="D3637" s="52" t="s">
        <v>147</v>
      </c>
      <c r="E3637" s="52" t="s">
        <v>584</v>
      </c>
      <c r="F3637" s="52" t="s">
        <v>581</v>
      </c>
      <c r="G3637" s="55" t="s">
        <v>275</v>
      </c>
      <c r="H3637" s="55">
        <v>-6.1929999999999997E-3</v>
      </c>
      <c r="I3637" s="55">
        <v>-8.456E-3</v>
      </c>
      <c r="J3637" s="55">
        <v>0</v>
      </c>
      <c r="K3637" s="55">
        <v>0</v>
      </c>
      <c r="L3637" s="55">
        <v>0</v>
      </c>
      <c r="M3637" s="55">
        <v>0</v>
      </c>
      <c r="N3637" s="55">
        <v>0</v>
      </c>
    </row>
    <row r="3638" spans="1:14" hidden="1" x14ac:dyDescent="0.35">
      <c r="A3638" s="52" t="s">
        <v>232</v>
      </c>
      <c r="B3638" s="52" t="s">
        <v>74</v>
      </c>
      <c r="C3638" s="52" t="s">
        <v>146</v>
      </c>
      <c r="D3638" s="52" t="s">
        <v>147</v>
      </c>
      <c r="E3638" s="52" t="s">
        <v>584</v>
      </c>
      <c r="F3638" s="52" t="s">
        <v>581</v>
      </c>
      <c r="G3638" s="55" t="s">
        <v>276</v>
      </c>
      <c r="H3638" s="55">
        <v>-4.1279999999999997E-3</v>
      </c>
      <c r="I3638" s="55">
        <v>-5.6379999999999998E-3</v>
      </c>
      <c r="J3638" s="55">
        <v>-1.4093E-2</v>
      </c>
      <c r="K3638" s="55">
        <v>-1.4093E-2</v>
      </c>
      <c r="L3638" s="55">
        <v>-1.4093E-2</v>
      </c>
      <c r="M3638" s="55">
        <v>-1.4093E-2</v>
      </c>
      <c r="N3638" s="55">
        <v>-1.4094000000000001E-2</v>
      </c>
    </row>
    <row r="3639" spans="1:14" hidden="1" x14ac:dyDescent="0.35">
      <c r="A3639" s="52" t="s">
        <v>232</v>
      </c>
      <c r="B3639" s="52" t="s">
        <v>74</v>
      </c>
      <c r="C3639" s="52" t="s">
        <v>146</v>
      </c>
      <c r="D3639" s="52" t="s">
        <v>147</v>
      </c>
      <c r="E3639" s="52" t="s">
        <v>584</v>
      </c>
      <c r="F3639" s="52" t="s">
        <v>581</v>
      </c>
      <c r="G3639" s="55" t="s">
        <v>278</v>
      </c>
      <c r="H3639" s="55">
        <v>1.0321E-2</v>
      </c>
      <c r="I3639" s="55">
        <v>1.4093E-2</v>
      </c>
      <c r="J3639" s="55">
        <v>1.4093E-2</v>
      </c>
      <c r="K3639" s="55">
        <v>1.4093E-2</v>
      </c>
      <c r="L3639" s="55">
        <v>1.4093E-2</v>
      </c>
      <c r="M3639" s="55">
        <v>1.4093E-2</v>
      </c>
      <c r="N3639" s="55">
        <v>1.4093E-2</v>
      </c>
    </row>
    <row r="3640" spans="1:14" hidden="1" x14ac:dyDescent="0.35">
      <c r="A3640" s="52" t="s">
        <v>232</v>
      </c>
      <c r="B3640" s="52" t="s">
        <v>74</v>
      </c>
      <c r="C3640" s="52" t="s">
        <v>318</v>
      </c>
      <c r="D3640" s="52" t="s">
        <v>318</v>
      </c>
      <c r="E3640" s="52" t="s">
        <v>584</v>
      </c>
      <c r="F3640" s="52" t="s">
        <v>581</v>
      </c>
      <c r="G3640" s="55" t="s">
        <v>275</v>
      </c>
      <c r="H3640" s="55">
        <v>0</v>
      </c>
      <c r="I3640" s="55"/>
      <c r="J3640" s="55"/>
      <c r="K3640" s="55"/>
      <c r="L3640" s="55"/>
      <c r="M3640" s="55"/>
      <c r="N3640" s="55"/>
    </row>
    <row r="3641" spans="1:14" hidden="1" x14ac:dyDescent="0.35">
      <c r="A3641" s="52" t="s">
        <v>232</v>
      </c>
      <c r="B3641" s="52" t="s">
        <v>74</v>
      </c>
      <c r="C3641" s="52" t="s">
        <v>318</v>
      </c>
      <c r="D3641" s="52" t="s">
        <v>318</v>
      </c>
      <c r="E3641" s="52" t="s">
        <v>584</v>
      </c>
      <c r="F3641" s="52" t="s">
        <v>581</v>
      </c>
      <c r="G3641" s="55" t="s">
        <v>276</v>
      </c>
      <c r="H3641" s="55">
        <v>0</v>
      </c>
      <c r="I3641" s="55"/>
      <c r="J3641" s="55"/>
      <c r="K3641" s="55"/>
      <c r="L3641" s="55"/>
      <c r="M3641" s="55"/>
      <c r="N3641" s="55"/>
    </row>
    <row r="3642" spans="1:14" hidden="1" x14ac:dyDescent="0.35">
      <c r="A3642" s="52" t="s">
        <v>232</v>
      </c>
      <c r="B3642" s="52" t="s">
        <v>74</v>
      </c>
      <c r="C3642" s="52" t="s">
        <v>318</v>
      </c>
      <c r="D3642" s="52" t="s">
        <v>318</v>
      </c>
      <c r="E3642" s="52" t="s">
        <v>584</v>
      </c>
      <c r="F3642" s="52" t="s">
        <v>581</v>
      </c>
      <c r="G3642" s="55" t="s">
        <v>278</v>
      </c>
      <c r="H3642" s="55">
        <v>0</v>
      </c>
      <c r="I3642" s="55"/>
      <c r="J3642" s="55"/>
      <c r="K3642" s="55"/>
      <c r="L3642" s="55"/>
      <c r="M3642" s="55"/>
      <c r="N3642" s="55"/>
    </row>
    <row r="3643" spans="1:14" hidden="1" x14ac:dyDescent="0.35">
      <c r="A3643" s="52" t="s">
        <v>232</v>
      </c>
      <c r="B3643" s="52" t="s">
        <v>74</v>
      </c>
      <c r="C3643" s="52" t="s">
        <v>318</v>
      </c>
      <c r="D3643" s="52" t="s">
        <v>318</v>
      </c>
      <c r="E3643" s="52" t="s">
        <v>584</v>
      </c>
      <c r="F3643" s="52" t="s">
        <v>26</v>
      </c>
      <c r="G3643" s="55" t="s">
        <v>275</v>
      </c>
      <c r="H3643" s="55">
        <v>0</v>
      </c>
      <c r="I3643" s="55"/>
      <c r="J3643" s="55"/>
      <c r="K3643" s="55"/>
      <c r="L3643" s="55"/>
      <c r="M3643" s="55"/>
      <c r="N3643" s="55"/>
    </row>
    <row r="3644" spans="1:14" hidden="1" x14ac:dyDescent="0.35">
      <c r="A3644" s="52" t="s">
        <v>232</v>
      </c>
      <c r="B3644" s="52" t="s">
        <v>74</v>
      </c>
      <c r="C3644" s="52" t="s">
        <v>318</v>
      </c>
      <c r="D3644" s="52" t="s">
        <v>318</v>
      </c>
      <c r="E3644" s="52" t="s">
        <v>584</v>
      </c>
      <c r="F3644" s="52" t="s">
        <v>26</v>
      </c>
      <c r="G3644" s="55" t="s">
        <v>276</v>
      </c>
      <c r="H3644" s="55">
        <v>0</v>
      </c>
      <c r="I3644" s="55"/>
      <c r="J3644" s="55"/>
      <c r="K3644" s="55"/>
      <c r="L3644" s="55"/>
      <c r="M3644" s="55"/>
      <c r="N3644" s="55"/>
    </row>
    <row r="3645" spans="1:14" hidden="1" x14ac:dyDescent="0.35">
      <c r="A3645" s="52" t="s">
        <v>232</v>
      </c>
      <c r="B3645" s="52" t="s">
        <v>74</v>
      </c>
      <c r="C3645" s="52" t="s">
        <v>318</v>
      </c>
      <c r="D3645" s="52" t="s">
        <v>318</v>
      </c>
      <c r="E3645" s="52" t="s">
        <v>584</v>
      </c>
      <c r="F3645" s="52" t="s">
        <v>26</v>
      </c>
      <c r="G3645" s="55" t="s">
        <v>278</v>
      </c>
      <c r="H3645" s="55">
        <v>0</v>
      </c>
      <c r="I3645" s="55"/>
      <c r="J3645" s="55"/>
      <c r="K3645" s="55"/>
      <c r="L3645" s="55"/>
      <c r="M3645" s="55"/>
      <c r="N3645" s="55"/>
    </row>
    <row r="3646" spans="1:14" hidden="1" x14ac:dyDescent="0.35">
      <c r="A3646" s="52" t="s">
        <v>232</v>
      </c>
      <c r="B3646" s="52" t="s">
        <v>291</v>
      </c>
      <c r="C3646" s="52" t="s">
        <v>102</v>
      </c>
      <c r="D3646" s="52" t="s">
        <v>102</v>
      </c>
      <c r="E3646" s="52" t="s">
        <v>584</v>
      </c>
      <c r="F3646" s="52" t="s">
        <v>581</v>
      </c>
      <c r="G3646" s="55" t="s">
        <v>275</v>
      </c>
      <c r="H3646" s="55">
        <v>-36.0565</v>
      </c>
      <c r="I3646" s="55">
        <v>-270.65230000000003</v>
      </c>
      <c r="J3646" s="55">
        <v>0</v>
      </c>
      <c r="K3646" s="55">
        <v>0</v>
      </c>
      <c r="L3646" s="55">
        <v>0</v>
      </c>
      <c r="M3646" s="55">
        <v>0</v>
      </c>
      <c r="N3646" s="55">
        <v>0</v>
      </c>
    </row>
    <row r="3647" spans="1:14" hidden="1" x14ac:dyDescent="0.35">
      <c r="A3647" s="52" t="s">
        <v>232</v>
      </c>
      <c r="B3647" s="52" t="s">
        <v>291</v>
      </c>
      <c r="C3647" s="52" t="s">
        <v>102</v>
      </c>
      <c r="D3647" s="52" t="s">
        <v>102</v>
      </c>
      <c r="E3647" s="52" t="s">
        <v>584</v>
      </c>
      <c r="F3647" s="52" t="s">
        <v>581</v>
      </c>
      <c r="G3647" s="55" t="s">
        <v>276</v>
      </c>
      <c r="H3647" s="55"/>
      <c r="I3647" s="55"/>
      <c r="J3647" s="55">
        <v>-7.928776</v>
      </c>
      <c r="K3647" s="55">
        <v>-7.928776</v>
      </c>
      <c r="L3647" s="55">
        <v>-7.9537750000000003</v>
      </c>
      <c r="M3647" s="55">
        <v>-0.30843670000000001</v>
      </c>
      <c r="N3647" s="55">
        <v>-1.033436</v>
      </c>
    </row>
    <row r="3648" spans="1:14" hidden="1" x14ac:dyDescent="0.35">
      <c r="A3648" s="52" t="s">
        <v>232</v>
      </c>
      <c r="B3648" s="52" t="s">
        <v>291</v>
      </c>
      <c r="C3648" s="52" t="s">
        <v>102</v>
      </c>
      <c r="D3648" s="52" t="s">
        <v>102</v>
      </c>
      <c r="E3648" s="52" t="s">
        <v>584</v>
      </c>
      <c r="F3648" s="52" t="s">
        <v>581</v>
      </c>
      <c r="G3648" s="55" t="s">
        <v>277</v>
      </c>
      <c r="H3648" s="55"/>
      <c r="I3648" s="55">
        <v>0</v>
      </c>
      <c r="J3648" s="55">
        <v>0</v>
      </c>
      <c r="K3648" s="55">
        <v>0</v>
      </c>
      <c r="L3648" s="55">
        <v>2.5000000000000001E-2</v>
      </c>
      <c r="M3648" s="55">
        <v>4.7500000000000001E-2</v>
      </c>
      <c r="N3648" s="55">
        <v>0.77249999999999996</v>
      </c>
    </row>
    <row r="3649" spans="1:14" hidden="1" x14ac:dyDescent="0.35">
      <c r="A3649" s="52" t="s">
        <v>232</v>
      </c>
      <c r="B3649" s="52" t="s">
        <v>291</v>
      </c>
      <c r="C3649" s="52" t="s">
        <v>102</v>
      </c>
      <c r="D3649" s="52" t="s">
        <v>102</v>
      </c>
      <c r="E3649" s="52" t="s">
        <v>584</v>
      </c>
      <c r="F3649" s="52" t="s">
        <v>581</v>
      </c>
      <c r="G3649" s="55" t="s">
        <v>278</v>
      </c>
      <c r="H3649" s="55">
        <v>36.056510000000003</v>
      </c>
      <c r="I3649" s="55">
        <v>270.65230000000003</v>
      </c>
      <c r="J3649" s="55">
        <v>7.928776</v>
      </c>
      <c r="K3649" s="55">
        <v>7.928776</v>
      </c>
      <c r="L3649" s="55">
        <v>7.928776</v>
      </c>
      <c r="M3649" s="55">
        <v>0.26093670000000002</v>
      </c>
      <c r="N3649" s="55">
        <v>0.26093719999999998</v>
      </c>
    </row>
    <row r="3650" spans="1:14" hidden="1" x14ac:dyDescent="0.35">
      <c r="A3650" s="52" t="s">
        <v>232</v>
      </c>
      <c r="B3650" s="52" t="s">
        <v>291</v>
      </c>
      <c r="C3650" s="52" t="s">
        <v>102</v>
      </c>
      <c r="D3650" s="52" t="s">
        <v>102</v>
      </c>
      <c r="E3650" s="52" t="s">
        <v>584</v>
      </c>
      <c r="F3650" s="52" t="s">
        <v>581</v>
      </c>
      <c r="G3650" s="55" t="s">
        <v>279</v>
      </c>
      <c r="H3650" s="55"/>
      <c r="I3650" s="55"/>
      <c r="J3650" s="55"/>
      <c r="K3650" s="55"/>
      <c r="L3650" s="55"/>
      <c r="M3650" s="55"/>
      <c r="N3650" s="55">
        <v>0</v>
      </c>
    </row>
    <row r="3651" spans="1:14" hidden="1" x14ac:dyDescent="0.35">
      <c r="A3651" s="52" t="s">
        <v>232</v>
      </c>
      <c r="B3651" s="52" t="s">
        <v>291</v>
      </c>
      <c r="C3651" s="52" t="s">
        <v>102</v>
      </c>
      <c r="D3651" s="52" t="s">
        <v>102</v>
      </c>
      <c r="E3651" s="52" t="s">
        <v>584</v>
      </c>
      <c r="F3651" s="52" t="s">
        <v>26</v>
      </c>
      <c r="G3651" s="55" t="s">
        <v>275</v>
      </c>
      <c r="H3651" s="55"/>
      <c r="I3651" s="55"/>
      <c r="J3651" s="55"/>
      <c r="K3651" s="55"/>
      <c r="L3651" s="55"/>
      <c r="M3651" s="55"/>
      <c r="N3651" s="55">
        <v>0</v>
      </c>
    </row>
    <row r="3652" spans="1:14" hidden="1" x14ac:dyDescent="0.35">
      <c r="A3652" s="52" t="s">
        <v>232</v>
      </c>
      <c r="B3652" s="52" t="s">
        <v>291</v>
      </c>
      <c r="C3652" s="52" t="s">
        <v>102</v>
      </c>
      <c r="D3652" s="52" t="s">
        <v>102</v>
      </c>
      <c r="E3652" s="52" t="s">
        <v>584</v>
      </c>
      <c r="F3652" s="52" t="s">
        <v>26</v>
      </c>
      <c r="G3652" s="55" t="s">
        <v>276</v>
      </c>
      <c r="H3652" s="55"/>
      <c r="I3652" s="55"/>
      <c r="J3652" s="55"/>
      <c r="K3652" s="55"/>
      <c r="L3652" s="55"/>
      <c r="M3652" s="55"/>
      <c r="N3652" s="55">
        <v>0</v>
      </c>
    </row>
    <row r="3653" spans="1:14" hidden="1" x14ac:dyDescent="0.35">
      <c r="A3653" s="52" t="s">
        <v>232</v>
      </c>
      <c r="B3653" s="52" t="s">
        <v>291</v>
      </c>
      <c r="C3653" s="52" t="s">
        <v>102</v>
      </c>
      <c r="D3653" s="52" t="s">
        <v>102</v>
      </c>
      <c r="E3653" s="52" t="s">
        <v>584</v>
      </c>
      <c r="F3653" s="52" t="s">
        <v>26</v>
      </c>
      <c r="G3653" s="55" t="s">
        <v>277</v>
      </c>
      <c r="H3653" s="55"/>
      <c r="I3653" s="55"/>
      <c r="J3653" s="55"/>
      <c r="K3653" s="55"/>
      <c r="L3653" s="55"/>
      <c r="M3653" s="55"/>
      <c r="N3653" s="55">
        <v>0</v>
      </c>
    </row>
    <row r="3654" spans="1:14" hidden="1" x14ac:dyDescent="0.35">
      <c r="A3654" s="52" t="s">
        <v>232</v>
      </c>
      <c r="B3654" s="52" t="s">
        <v>291</v>
      </c>
      <c r="C3654" s="52" t="s">
        <v>102</v>
      </c>
      <c r="D3654" s="52" t="s">
        <v>102</v>
      </c>
      <c r="E3654" s="52" t="s">
        <v>584</v>
      </c>
      <c r="F3654" s="52" t="s">
        <v>26</v>
      </c>
      <c r="G3654" s="55" t="s">
        <v>279</v>
      </c>
      <c r="H3654" s="55"/>
      <c r="I3654" s="55"/>
      <c r="J3654" s="55"/>
      <c r="K3654" s="55"/>
      <c r="L3654" s="55"/>
      <c r="M3654" s="55"/>
      <c r="N3654" s="55">
        <v>0</v>
      </c>
    </row>
    <row r="3655" spans="1:14" hidden="1" x14ac:dyDescent="0.35">
      <c r="A3655" s="52" t="s">
        <v>232</v>
      </c>
      <c r="B3655" s="52" t="s">
        <v>291</v>
      </c>
      <c r="C3655" s="52" t="s">
        <v>318</v>
      </c>
      <c r="D3655" s="52" t="s">
        <v>318</v>
      </c>
      <c r="E3655" s="52" t="s">
        <v>584</v>
      </c>
      <c r="F3655" s="52" t="s">
        <v>581</v>
      </c>
      <c r="G3655" s="55" t="s">
        <v>275</v>
      </c>
      <c r="H3655" s="55">
        <v>0</v>
      </c>
      <c r="I3655" s="55"/>
      <c r="J3655" s="55"/>
      <c r="K3655" s="55"/>
      <c r="L3655" s="55"/>
      <c r="M3655" s="55"/>
      <c r="N3655" s="55"/>
    </row>
    <row r="3656" spans="1:14" hidden="1" x14ac:dyDescent="0.35">
      <c r="A3656" s="52" t="s">
        <v>232</v>
      </c>
      <c r="B3656" s="52" t="s">
        <v>291</v>
      </c>
      <c r="C3656" s="52" t="s">
        <v>318</v>
      </c>
      <c r="D3656" s="52" t="s">
        <v>318</v>
      </c>
      <c r="E3656" s="52" t="s">
        <v>584</v>
      </c>
      <c r="F3656" s="52" t="s">
        <v>581</v>
      </c>
      <c r="G3656" s="55" t="s">
        <v>278</v>
      </c>
      <c r="H3656" s="55">
        <v>0</v>
      </c>
      <c r="I3656" s="55"/>
      <c r="J3656" s="55"/>
      <c r="K3656" s="55"/>
      <c r="L3656" s="55"/>
      <c r="M3656" s="55"/>
      <c r="N3656" s="55"/>
    </row>
    <row r="3657" spans="1:14" hidden="1" x14ac:dyDescent="0.35">
      <c r="A3657" s="52" t="s">
        <v>232</v>
      </c>
      <c r="B3657" s="52" t="s">
        <v>291</v>
      </c>
      <c r="C3657" s="52" t="s">
        <v>318</v>
      </c>
      <c r="D3657" s="52" t="s">
        <v>318</v>
      </c>
      <c r="E3657" s="52" t="s">
        <v>584</v>
      </c>
      <c r="F3657" s="52" t="s">
        <v>26</v>
      </c>
      <c r="G3657" s="55" t="s">
        <v>275</v>
      </c>
      <c r="H3657" s="55">
        <v>0</v>
      </c>
      <c r="I3657" s="55"/>
      <c r="J3657" s="55"/>
      <c r="K3657" s="55"/>
      <c r="L3657" s="55"/>
      <c r="M3657" s="55"/>
      <c r="N3657" s="55"/>
    </row>
    <row r="3658" spans="1:14" hidden="1" x14ac:dyDescent="0.35">
      <c r="A3658" s="52" t="s">
        <v>232</v>
      </c>
      <c r="B3658" s="52" t="s">
        <v>291</v>
      </c>
      <c r="C3658" s="52" t="s">
        <v>318</v>
      </c>
      <c r="D3658" s="52" t="s">
        <v>318</v>
      </c>
      <c r="E3658" s="52" t="s">
        <v>584</v>
      </c>
      <c r="F3658" s="52" t="s">
        <v>26</v>
      </c>
      <c r="G3658" s="55" t="s">
        <v>278</v>
      </c>
      <c r="H3658" s="55">
        <v>0</v>
      </c>
      <c r="I3658" s="55"/>
      <c r="J3658" s="55"/>
      <c r="K3658" s="55"/>
      <c r="L3658" s="55"/>
      <c r="M3658" s="55"/>
      <c r="N3658" s="55"/>
    </row>
    <row r="3659" spans="1:14" hidden="1" x14ac:dyDescent="0.35">
      <c r="A3659" s="52" t="s">
        <v>232</v>
      </c>
      <c r="B3659" s="52" t="s">
        <v>366</v>
      </c>
      <c r="C3659" s="52" t="s">
        <v>318</v>
      </c>
      <c r="D3659" s="52" t="s">
        <v>318</v>
      </c>
      <c r="E3659" s="52" t="s">
        <v>584</v>
      </c>
      <c r="F3659" s="52" t="s">
        <v>581</v>
      </c>
      <c r="G3659" s="55" t="s">
        <v>275</v>
      </c>
      <c r="H3659" s="55">
        <v>0</v>
      </c>
      <c r="I3659" s="55"/>
      <c r="J3659" s="55"/>
      <c r="K3659" s="55"/>
      <c r="L3659" s="55"/>
      <c r="M3659" s="55"/>
      <c r="N3659" s="55"/>
    </row>
    <row r="3660" spans="1:14" hidden="1" x14ac:dyDescent="0.35">
      <c r="A3660" s="52" t="s">
        <v>232</v>
      </c>
      <c r="B3660" s="52" t="s">
        <v>366</v>
      </c>
      <c r="C3660" s="52" t="s">
        <v>318</v>
      </c>
      <c r="D3660" s="52" t="s">
        <v>318</v>
      </c>
      <c r="E3660" s="52" t="s">
        <v>584</v>
      </c>
      <c r="F3660" s="52" t="s">
        <v>581</v>
      </c>
      <c r="G3660" s="55" t="s">
        <v>278</v>
      </c>
      <c r="H3660" s="55">
        <v>0</v>
      </c>
      <c r="I3660" s="55"/>
      <c r="J3660" s="55"/>
      <c r="K3660" s="55"/>
      <c r="L3660" s="55"/>
      <c r="M3660" s="55"/>
      <c r="N3660" s="55"/>
    </row>
    <row r="3661" spans="1:14" hidden="1" x14ac:dyDescent="0.35">
      <c r="A3661" s="52" t="s">
        <v>232</v>
      </c>
      <c r="B3661" s="52" t="s">
        <v>366</v>
      </c>
      <c r="C3661" s="52" t="s">
        <v>314</v>
      </c>
      <c r="D3661" s="52" t="s">
        <v>314</v>
      </c>
      <c r="E3661" s="52" t="s">
        <v>584</v>
      </c>
      <c r="F3661" s="52" t="s">
        <v>26</v>
      </c>
      <c r="G3661" s="55" t="s">
        <v>275</v>
      </c>
      <c r="H3661" s="55">
        <v>-7.5013999999999997E-2</v>
      </c>
      <c r="I3661" s="55">
        <v>-7.5013999999999997E-2</v>
      </c>
      <c r="J3661" s="55">
        <v>0</v>
      </c>
      <c r="K3661" s="55">
        <v>0</v>
      </c>
      <c r="L3661" s="55">
        <v>0</v>
      </c>
      <c r="M3661" s="55">
        <v>0</v>
      </c>
      <c r="N3661" s="55">
        <v>0</v>
      </c>
    </row>
    <row r="3662" spans="1:14" hidden="1" x14ac:dyDescent="0.35">
      <c r="A3662" s="52" t="s">
        <v>232</v>
      </c>
      <c r="B3662" s="52" t="s">
        <v>366</v>
      </c>
      <c r="C3662" s="52" t="s">
        <v>318</v>
      </c>
      <c r="D3662" s="52" t="s">
        <v>318</v>
      </c>
      <c r="E3662" s="52" t="s">
        <v>584</v>
      </c>
      <c r="F3662" s="52" t="s">
        <v>26</v>
      </c>
      <c r="G3662" s="55" t="s">
        <v>275</v>
      </c>
      <c r="H3662" s="55">
        <v>0</v>
      </c>
      <c r="I3662" s="55"/>
      <c r="J3662" s="55"/>
      <c r="K3662" s="55"/>
      <c r="L3662" s="55"/>
      <c r="M3662" s="55"/>
      <c r="N3662" s="55"/>
    </row>
    <row r="3663" spans="1:14" hidden="1" x14ac:dyDescent="0.35">
      <c r="A3663" s="52" t="s">
        <v>232</v>
      </c>
      <c r="B3663" s="52" t="s">
        <v>366</v>
      </c>
      <c r="C3663" s="52" t="s">
        <v>314</v>
      </c>
      <c r="D3663" s="52" t="s">
        <v>314</v>
      </c>
      <c r="E3663" s="52" t="s">
        <v>584</v>
      </c>
      <c r="F3663" s="52" t="s">
        <v>26</v>
      </c>
      <c r="G3663" s="55" t="s">
        <v>277</v>
      </c>
      <c r="H3663" s="55"/>
      <c r="I3663" s="55"/>
      <c r="J3663" s="55"/>
      <c r="K3663" s="55"/>
      <c r="L3663" s="55"/>
      <c r="M3663" s="55">
        <v>0</v>
      </c>
      <c r="N3663" s="55">
        <v>0</v>
      </c>
    </row>
    <row r="3664" spans="1:14" hidden="1" x14ac:dyDescent="0.35">
      <c r="A3664" s="52" t="s">
        <v>232</v>
      </c>
      <c r="B3664" s="52" t="s">
        <v>366</v>
      </c>
      <c r="C3664" s="52" t="s">
        <v>318</v>
      </c>
      <c r="D3664" s="52" t="s">
        <v>318</v>
      </c>
      <c r="E3664" s="52" t="s">
        <v>584</v>
      </c>
      <c r="F3664" s="52" t="s">
        <v>26</v>
      </c>
      <c r="G3664" s="55" t="s">
        <v>278</v>
      </c>
      <c r="H3664" s="55">
        <v>0</v>
      </c>
      <c r="I3664" s="55"/>
      <c r="J3664" s="55"/>
      <c r="K3664" s="55"/>
      <c r="L3664" s="55"/>
      <c r="M3664" s="55"/>
      <c r="N3664" s="55"/>
    </row>
    <row r="3665" spans="1:14" hidden="1" x14ac:dyDescent="0.35">
      <c r="A3665" s="52" t="s">
        <v>232</v>
      </c>
      <c r="B3665" s="52" t="s">
        <v>366</v>
      </c>
      <c r="C3665" s="52" t="s">
        <v>314</v>
      </c>
      <c r="D3665" s="52" t="s">
        <v>314</v>
      </c>
      <c r="E3665" s="52" t="s">
        <v>584</v>
      </c>
      <c r="F3665" s="52" t="s">
        <v>26</v>
      </c>
      <c r="G3665" s="55" t="s">
        <v>278</v>
      </c>
      <c r="H3665" s="55">
        <v>7.5013999999999997E-2</v>
      </c>
      <c r="I3665" s="55">
        <v>7.5013999999999997E-2</v>
      </c>
      <c r="J3665" s="55">
        <v>0</v>
      </c>
      <c r="K3665" s="55">
        <v>0</v>
      </c>
      <c r="L3665" s="55">
        <v>0</v>
      </c>
      <c r="M3665" s="55">
        <v>0</v>
      </c>
      <c r="N3665" s="55">
        <v>0</v>
      </c>
    </row>
    <row r="3666" spans="1:14" hidden="1" x14ac:dyDescent="0.35">
      <c r="A3666" s="52" t="s">
        <v>268</v>
      </c>
      <c r="B3666" s="52" t="s">
        <v>37</v>
      </c>
      <c r="C3666" s="52" t="s">
        <v>51</v>
      </c>
      <c r="D3666" s="52" t="s">
        <v>51</v>
      </c>
      <c r="E3666" s="52" t="s">
        <v>602</v>
      </c>
      <c r="F3666" s="52" t="s">
        <v>581</v>
      </c>
      <c r="G3666" s="55" t="s">
        <v>275</v>
      </c>
      <c r="H3666" s="55">
        <v>938.60609999999997</v>
      </c>
      <c r="I3666" s="55">
        <v>152.1944</v>
      </c>
      <c r="J3666" s="55">
        <v>631.75019999999995</v>
      </c>
      <c r="K3666" s="55">
        <v>701.76760000000002</v>
      </c>
      <c r="L3666" s="55">
        <v>547.83920000000001</v>
      </c>
      <c r="M3666" s="55">
        <v>308.4674</v>
      </c>
      <c r="N3666" s="55">
        <v>263.6447</v>
      </c>
    </row>
    <row r="3667" spans="1:14" hidden="1" x14ac:dyDescent="0.35">
      <c r="A3667" s="52" t="s">
        <v>268</v>
      </c>
      <c r="B3667" s="52" t="s">
        <v>37</v>
      </c>
      <c r="C3667" s="52" t="s">
        <v>51</v>
      </c>
      <c r="D3667" s="52" t="s">
        <v>51</v>
      </c>
      <c r="E3667" s="52" t="s">
        <v>602</v>
      </c>
      <c r="F3667" s="52" t="s">
        <v>581</v>
      </c>
      <c r="G3667" s="55" t="s">
        <v>276</v>
      </c>
      <c r="H3667" s="55">
        <v>254.93350000000001</v>
      </c>
      <c r="I3667" s="55">
        <v>5.7086589999999999</v>
      </c>
      <c r="J3667" s="55">
        <v>16.35745</v>
      </c>
      <c r="K3667" s="55">
        <v>-5.7417109999999996</v>
      </c>
      <c r="L3667" s="55">
        <v>15.77543</v>
      </c>
      <c r="M3667" s="55">
        <v>50.588099999999997</v>
      </c>
      <c r="N3667" s="55">
        <v>84.209760000000003</v>
      </c>
    </row>
    <row r="3668" spans="1:14" hidden="1" x14ac:dyDescent="0.35">
      <c r="A3668" s="52" t="s">
        <v>268</v>
      </c>
      <c r="B3668" s="52" t="s">
        <v>37</v>
      </c>
      <c r="C3668" s="52" t="s">
        <v>51</v>
      </c>
      <c r="D3668" s="52" t="s">
        <v>51</v>
      </c>
      <c r="E3668" s="52" t="s">
        <v>602</v>
      </c>
      <c r="F3668" s="52" t="s">
        <v>581</v>
      </c>
      <c r="G3668" s="55" t="s">
        <v>277</v>
      </c>
      <c r="H3668" s="55">
        <v>1147.2239999999999</v>
      </c>
      <c r="I3668" s="55">
        <v>595.53610000000003</v>
      </c>
      <c r="J3668" s="55">
        <v>264.23259999999999</v>
      </c>
      <c r="K3668" s="55">
        <v>83.488810000000001</v>
      </c>
      <c r="L3668" s="55">
        <v>79.72833</v>
      </c>
      <c r="M3668" s="55">
        <v>226.8853</v>
      </c>
      <c r="N3668" s="55">
        <v>270.33940000000001</v>
      </c>
    </row>
    <row r="3669" spans="1:14" hidden="1" x14ac:dyDescent="0.35">
      <c r="A3669" s="52" t="s">
        <v>268</v>
      </c>
      <c r="B3669" s="52" t="s">
        <v>37</v>
      </c>
      <c r="C3669" s="52" t="s">
        <v>51</v>
      </c>
      <c r="D3669" s="52" t="s">
        <v>51</v>
      </c>
      <c r="E3669" s="52" t="s">
        <v>602</v>
      </c>
      <c r="F3669" s="52" t="s">
        <v>581</v>
      </c>
      <c r="G3669" s="55" t="s">
        <v>278</v>
      </c>
      <c r="H3669" s="55">
        <v>15.055680000000001</v>
      </c>
      <c r="I3669" s="55">
        <v>63.103540000000002</v>
      </c>
      <c r="J3669" s="55">
        <v>64.151309999999995</v>
      </c>
      <c r="K3669" s="55">
        <v>76.038409999999999</v>
      </c>
      <c r="L3669" s="55">
        <v>73.494739999999993</v>
      </c>
      <c r="M3669" s="55">
        <v>60.840560000000004</v>
      </c>
      <c r="N3669" s="55">
        <v>66.704139999999995</v>
      </c>
    </row>
    <row r="3670" spans="1:14" hidden="1" x14ac:dyDescent="0.35">
      <c r="A3670" s="52" t="s">
        <v>268</v>
      </c>
      <c r="B3670" s="52" t="s">
        <v>37</v>
      </c>
      <c r="C3670" s="52" t="s">
        <v>51</v>
      </c>
      <c r="D3670" s="52" t="s">
        <v>51</v>
      </c>
      <c r="E3670" s="52" t="s">
        <v>602</v>
      </c>
      <c r="F3670" s="52" t="s">
        <v>581</v>
      </c>
      <c r="G3670" s="55" t="s">
        <v>279</v>
      </c>
      <c r="H3670" s="55">
        <v>659.13310000000001</v>
      </c>
      <c r="I3670" s="55">
        <v>451.9008</v>
      </c>
      <c r="J3670" s="55">
        <v>512.50810000000001</v>
      </c>
      <c r="K3670" s="55">
        <v>465.70350000000002</v>
      </c>
      <c r="L3670" s="55">
        <v>362.76440000000002</v>
      </c>
      <c r="M3670" s="55">
        <v>389.45949999999999</v>
      </c>
      <c r="N3670" s="55">
        <v>405.44459999999998</v>
      </c>
    </row>
    <row r="3671" spans="1:14" hidden="1" x14ac:dyDescent="0.35">
      <c r="A3671" s="52" t="s">
        <v>268</v>
      </c>
      <c r="B3671" s="52" t="s">
        <v>37</v>
      </c>
      <c r="C3671" s="52" t="s">
        <v>51</v>
      </c>
      <c r="D3671" s="52" t="s">
        <v>51</v>
      </c>
      <c r="E3671" s="52" t="s">
        <v>602</v>
      </c>
      <c r="F3671" s="52" t="s">
        <v>26</v>
      </c>
      <c r="G3671" s="55" t="s">
        <v>275</v>
      </c>
      <c r="H3671" s="55">
        <v>56.631210000000003</v>
      </c>
      <c r="I3671" s="55">
        <v>43.57217</v>
      </c>
      <c r="J3671" s="55">
        <v>60.794269999999997</v>
      </c>
      <c r="K3671" s="55">
        <v>50.600679999999997</v>
      </c>
      <c r="L3671" s="55">
        <v>41.943179999999998</v>
      </c>
      <c r="M3671" s="55">
        <v>34.451059999999998</v>
      </c>
      <c r="N3671" s="55">
        <v>36.124099999999999</v>
      </c>
    </row>
    <row r="3672" spans="1:14" hidden="1" x14ac:dyDescent="0.35">
      <c r="A3672" s="52" t="s">
        <v>268</v>
      </c>
      <c r="B3672" s="52" t="s">
        <v>37</v>
      </c>
      <c r="C3672" s="52" t="s">
        <v>51</v>
      </c>
      <c r="D3672" s="52" t="s">
        <v>51</v>
      </c>
      <c r="E3672" s="52" t="s">
        <v>602</v>
      </c>
      <c r="F3672" s="52" t="s">
        <v>26</v>
      </c>
      <c r="G3672" s="55" t="s">
        <v>276</v>
      </c>
      <c r="H3672" s="55">
        <v>15.05387</v>
      </c>
      <c r="I3672" s="55">
        <v>11.58248</v>
      </c>
      <c r="J3672" s="55">
        <v>16.160509999999999</v>
      </c>
      <c r="K3672" s="55">
        <v>13.450810000000001</v>
      </c>
      <c r="L3672" s="55">
        <v>11.149419999999999</v>
      </c>
      <c r="M3672" s="55">
        <v>9.157883</v>
      </c>
      <c r="N3672" s="55">
        <v>9.6025759999999991</v>
      </c>
    </row>
    <row r="3673" spans="1:14" hidden="1" x14ac:dyDescent="0.35">
      <c r="A3673" s="52" t="s">
        <v>268</v>
      </c>
      <c r="B3673" s="52" t="s">
        <v>37</v>
      </c>
      <c r="C3673" s="52" t="s">
        <v>51</v>
      </c>
      <c r="D3673" s="52" t="s">
        <v>51</v>
      </c>
      <c r="E3673" s="52" t="s">
        <v>602</v>
      </c>
      <c r="F3673" s="52" t="s">
        <v>26</v>
      </c>
      <c r="G3673" s="55" t="s">
        <v>279</v>
      </c>
      <c r="H3673" s="55">
        <v>98.984830000000002</v>
      </c>
      <c r="I3673" s="55">
        <v>83.190889999999996</v>
      </c>
      <c r="J3673" s="55">
        <v>96.248850000000004</v>
      </c>
      <c r="K3673" s="55">
        <v>88.862080000000006</v>
      </c>
      <c r="L3673" s="55">
        <v>70.619630000000001</v>
      </c>
      <c r="M3673" s="55">
        <v>74.150440000000003</v>
      </c>
      <c r="N3673" s="55">
        <v>77.305660000000003</v>
      </c>
    </row>
    <row r="3674" spans="1:14" hidden="1" x14ac:dyDescent="0.35">
      <c r="A3674" s="52" t="s">
        <v>268</v>
      </c>
      <c r="B3674" s="52" t="s">
        <v>37</v>
      </c>
      <c r="C3674" s="52" t="s">
        <v>51</v>
      </c>
      <c r="D3674" s="52" t="s">
        <v>51</v>
      </c>
      <c r="E3674" s="52" t="s">
        <v>584</v>
      </c>
      <c r="F3674" s="52" t="s">
        <v>581</v>
      </c>
      <c r="G3674" s="55" t="s">
        <v>275</v>
      </c>
      <c r="H3674" s="55">
        <v>62.687600000000003</v>
      </c>
      <c r="I3674" s="55">
        <v>11.476139999999999</v>
      </c>
      <c r="J3674" s="55">
        <v>9.319032</v>
      </c>
      <c r="K3674" s="55">
        <v>8.1211249999999993</v>
      </c>
      <c r="L3674" s="55">
        <v>8.7568560000000009</v>
      </c>
      <c r="M3674" s="55">
        <v>5.128895</v>
      </c>
      <c r="N3674" s="55">
        <v>4.8809440000000004</v>
      </c>
    </row>
    <row r="3675" spans="1:14" hidden="1" x14ac:dyDescent="0.35">
      <c r="A3675" s="52" t="s">
        <v>268</v>
      </c>
      <c r="B3675" s="52" t="s">
        <v>37</v>
      </c>
      <c r="C3675" s="52" t="s">
        <v>51</v>
      </c>
      <c r="D3675" s="52" t="s">
        <v>51</v>
      </c>
      <c r="E3675" s="52" t="s">
        <v>584</v>
      </c>
      <c r="F3675" s="52" t="s">
        <v>581</v>
      </c>
      <c r="G3675" s="55" t="s">
        <v>276</v>
      </c>
      <c r="H3675" s="55">
        <v>7.6604729999999996</v>
      </c>
      <c r="I3675" s="55">
        <v>0.13717960000000001</v>
      </c>
      <c r="J3675" s="55">
        <v>2.4772110000000001</v>
      </c>
      <c r="K3675" s="55">
        <v>2.158779</v>
      </c>
      <c r="L3675" s="55">
        <v>2.3277730000000001</v>
      </c>
      <c r="M3675" s="55">
        <v>1.3633770000000001</v>
      </c>
      <c r="N3675" s="55">
        <v>1.2974650000000001</v>
      </c>
    </row>
    <row r="3676" spans="1:14" hidden="1" x14ac:dyDescent="0.35">
      <c r="A3676" s="52" t="s">
        <v>268</v>
      </c>
      <c r="B3676" s="52" t="s">
        <v>37</v>
      </c>
      <c r="C3676" s="52" t="s">
        <v>51</v>
      </c>
      <c r="D3676" s="52" t="s">
        <v>51</v>
      </c>
      <c r="E3676" s="52" t="s">
        <v>584</v>
      </c>
      <c r="F3676" s="52" t="s">
        <v>581</v>
      </c>
      <c r="G3676" s="55" t="s">
        <v>279</v>
      </c>
      <c r="H3676" s="55">
        <v>53.305030000000002</v>
      </c>
      <c r="I3676" s="55">
        <v>38.50311</v>
      </c>
      <c r="J3676" s="55">
        <v>33.612659999999998</v>
      </c>
      <c r="K3676" s="55">
        <v>31.918130000000001</v>
      </c>
      <c r="L3676" s="55">
        <v>28.118839999999999</v>
      </c>
      <c r="M3676" s="55">
        <v>30.017340000000001</v>
      </c>
      <c r="N3676" s="55">
        <v>27.626909999999999</v>
      </c>
    </row>
    <row r="3677" spans="1:14" hidden="1" x14ac:dyDescent="0.35">
      <c r="A3677" s="52" t="s">
        <v>268</v>
      </c>
      <c r="B3677" s="52" t="s">
        <v>37</v>
      </c>
      <c r="C3677" s="52" t="s">
        <v>51</v>
      </c>
      <c r="D3677" s="52" t="s">
        <v>51</v>
      </c>
      <c r="E3677" s="52" t="s">
        <v>584</v>
      </c>
      <c r="F3677" s="52" t="s">
        <v>26</v>
      </c>
      <c r="G3677" s="55" t="s">
        <v>275</v>
      </c>
      <c r="H3677" s="55">
        <v>-0.43590000000000001</v>
      </c>
      <c r="I3677" s="55">
        <v>-0.3347926</v>
      </c>
      <c r="J3677" s="55">
        <v>-0.23316999999999999</v>
      </c>
      <c r="K3677" s="55">
        <v>-0.2462049</v>
      </c>
      <c r="L3677" s="55">
        <v>-0.19735220000000001</v>
      </c>
      <c r="M3677" s="55">
        <v>-0.28747329999999999</v>
      </c>
      <c r="N3677" s="55">
        <v>-0.26466400000000001</v>
      </c>
    </row>
    <row r="3678" spans="1:14" hidden="1" x14ac:dyDescent="0.35">
      <c r="A3678" s="52" t="s">
        <v>268</v>
      </c>
      <c r="B3678" s="52" t="s">
        <v>37</v>
      </c>
      <c r="C3678" s="52" t="s">
        <v>51</v>
      </c>
      <c r="D3678" s="52" t="s">
        <v>51</v>
      </c>
      <c r="E3678" s="52" t="s">
        <v>584</v>
      </c>
      <c r="F3678" s="52" t="s">
        <v>26</v>
      </c>
      <c r="G3678" s="55" t="s">
        <v>276</v>
      </c>
      <c r="H3678" s="55">
        <v>-0.11587</v>
      </c>
      <c r="I3678" s="55">
        <v>-8.8996699999999998E-2</v>
      </c>
      <c r="J3678" s="55">
        <v>-6.1981899999999999E-2</v>
      </c>
      <c r="K3678" s="55">
        <v>-6.5448500000000007E-2</v>
      </c>
      <c r="L3678" s="55">
        <v>-5.246199E-2</v>
      </c>
      <c r="M3678" s="55">
        <v>-7.6416890000000001E-2</v>
      </c>
      <c r="N3678" s="55">
        <v>-7.0353399999999996E-2</v>
      </c>
    </row>
    <row r="3679" spans="1:14" hidden="1" x14ac:dyDescent="0.35">
      <c r="A3679" s="52" t="s">
        <v>268</v>
      </c>
      <c r="B3679" s="52" t="s">
        <v>37</v>
      </c>
      <c r="C3679" s="52" t="s">
        <v>51</v>
      </c>
      <c r="D3679" s="52" t="s">
        <v>51</v>
      </c>
      <c r="E3679" s="52" t="s">
        <v>584</v>
      </c>
      <c r="F3679" s="52" t="s">
        <v>26</v>
      </c>
      <c r="G3679" s="55" t="s">
        <v>279</v>
      </c>
      <c r="H3679" s="55">
        <v>1.9209540000000001</v>
      </c>
      <c r="I3679" s="55">
        <v>1.34788</v>
      </c>
      <c r="J3679" s="55">
        <v>1.181254</v>
      </c>
      <c r="K3679" s="55">
        <v>1.129194</v>
      </c>
      <c r="L3679" s="55">
        <v>1.004551</v>
      </c>
      <c r="M3679" s="55">
        <v>1.062011</v>
      </c>
      <c r="N3679" s="55">
        <v>0.97686090000000003</v>
      </c>
    </row>
    <row r="3680" spans="1:14" hidden="1" x14ac:dyDescent="0.35">
      <c r="A3680" s="52" t="s">
        <v>268</v>
      </c>
      <c r="B3680" s="52" t="s">
        <v>37</v>
      </c>
      <c r="C3680" s="52" t="s">
        <v>105</v>
      </c>
      <c r="D3680" s="52" t="s">
        <v>105</v>
      </c>
      <c r="E3680" s="52" t="s">
        <v>619</v>
      </c>
      <c r="F3680" s="52" t="s">
        <v>581</v>
      </c>
      <c r="G3680" s="55" t="s">
        <v>275</v>
      </c>
      <c r="H3680" s="55">
        <v>-228.1292</v>
      </c>
      <c r="I3680" s="55">
        <v>144.84800000000001</v>
      </c>
      <c r="J3680" s="55">
        <v>170.0341</v>
      </c>
      <c r="K3680" s="55">
        <v>156.9436</v>
      </c>
      <c r="L3680" s="55">
        <v>153.05940000000001</v>
      </c>
      <c r="M3680" s="55">
        <v>113.111</v>
      </c>
      <c r="N3680" s="55">
        <v>101.3771</v>
      </c>
    </row>
    <row r="3681" spans="1:14" hidden="1" x14ac:dyDescent="0.35">
      <c r="A3681" s="52" t="s">
        <v>268</v>
      </c>
      <c r="B3681" s="52" t="s">
        <v>37</v>
      </c>
      <c r="C3681" s="52" t="s">
        <v>105</v>
      </c>
      <c r="D3681" s="52" t="s">
        <v>105</v>
      </c>
      <c r="E3681" s="52" t="s">
        <v>619</v>
      </c>
      <c r="F3681" s="52" t="s">
        <v>581</v>
      </c>
      <c r="G3681" s="55" t="s">
        <v>276</v>
      </c>
      <c r="H3681" s="55">
        <v>3.646862</v>
      </c>
      <c r="I3681" s="55">
        <v>34.741639999999997</v>
      </c>
      <c r="J3681" s="55">
        <v>32.316920000000003</v>
      </c>
      <c r="K3681" s="55">
        <v>16.690770000000001</v>
      </c>
      <c r="L3681" s="55">
        <v>-1.3989739999999999</v>
      </c>
      <c r="M3681" s="55">
        <v>32.714640000000003</v>
      </c>
      <c r="N3681" s="55">
        <v>37.384650000000001</v>
      </c>
    </row>
    <row r="3682" spans="1:14" hidden="1" x14ac:dyDescent="0.35">
      <c r="A3682" s="52" t="s">
        <v>268</v>
      </c>
      <c r="B3682" s="52" t="s">
        <v>37</v>
      </c>
      <c r="C3682" s="52" t="s">
        <v>105</v>
      </c>
      <c r="D3682" s="52" t="s">
        <v>105</v>
      </c>
      <c r="E3682" s="52" t="s">
        <v>619</v>
      </c>
      <c r="F3682" s="52" t="s">
        <v>581</v>
      </c>
      <c r="G3682" s="55" t="s">
        <v>277</v>
      </c>
      <c r="H3682" s="55">
        <v>623.2115</v>
      </c>
      <c r="I3682" s="55">
        <v>52.409210000000002</v>
      </c>
      <c r="J3682" s="55">
        <v>16.65288</v>
      </c>
      <c r="K3682" s="55">
        <v>7.8250109999999999</v>
      </c>
      <c r="L3682" s="55">
        <v>15.34065</v>
      </c>
      <c r="M3682" s="55">
        <v>13.93458</v>
      </c>
      <c r="N3682" s="55">
        <v>22.98762</v>
      </c>
    </row>
    <row r="3683" spans="1:14" hidden="1" x14ac:dyDescent="0.35">
      <c r="A3683" s="52" t="s">
        <v>268</v>
      </c>
      <c r="B3683" s="52" t="s">
        <v>37</v>
      </c>
      <c r="C3683" s="52" t="s">
        <v>105</v>
      </c>
      <c r="D3683" s="52" t="s">
        <v>105</v>
      </c>
      <c r="E3683" s="52" t="s">
        <v>619</v>
      </c>
      <c r="F3683" s="52" t="s">
        <v>581</v>
      </c>
      <c r="G3683" s="55" t="s">
        <v>278</v>
      </c>
      <c r="H3683" s="55">
        <v>93.048569999999998</v>
      </c>
      <c r="I3683" s="55">
        <v>17.168430000000001</v>
      </c>
      <c r="J3683" s="55">
        <v>5.8462110000000003</v>
      </c>
      <c r="K3683" s="55">
        <v>7.0791440000000003</v>
      </c>
      <c r="L3683" s="55">
        <v>8.6074040000000007</v>
      </c>
      <c r="M3683" s="55">
        <v>8.3319609999999997</v>
      </c>
      <c r="N3683" s="55">
        <v>6.821847</v>
      </c>
    </row>
    <row r="3684" spans="1:14" hidden="1" x14ac:dyDescent="0.35">
      <c r="A3684" s="52" t="s">
        <v>268</v>
      </c>
      <c r="B3684" s="52" t="s">
        <v>37</v>
      </c>
      <c r="C3684" s="52" t="s">
        <v>105</v>
      </c>
      <c r="D3684" s="52" t="s">
        <v>105</v>
      </c>
      <c r="E3684" s="52" t="s">
        <v>619</v>
      </c>
      <c r="F3684" s="52" t="s">
        <v>581</v>
      </c>
      <c r="G3684" s="55" t="s">
        <v>279</v>
      </c>
      <c r="H3684" s="55">
        <v>98.725809999999996</v>
      </c>
      <c r="I3684" s="55">
        <v>82.884640000000005</v>
      </c>
      <c r="J3684" s="55">
        <v>72.647660000000002</v>
      </c>
      <c r="K3684" s="55">
        <v>63.906970000000001</v>
      </c>
      <c r="L3684" s="55">
        <v>58.014040000000001</v>
      </c>
      <c r="M3684" s="55">
        <v>62.503459999999997</v>
      </c>
      <c r="N3684" s="55">
        <v>62.952030000000001</v>
      </c>
    </row>
    <row r="3685" spans="1:14" hidden="1" x14ac:dyDescent="0.35">
      <c r="A3685" s="52" t="s">
        <v>268</v>
      </c>
      <c r="B3685" s="52" t="s">
        <v>37</v>
      </c>
      <c r="C3685" s="52" t="s">
        <v>105</v>
      </c>
      <c r="D3685" s="52" t="s">
        <v>105</v>
      </c>
      <c r="E3685" s="52" t="s">
        <v>619</v>
      </c>
      <c r="F3685" s="52" t="s">
        <v>26</v>
      </c>
      <c r="G3685" s="55" t="s">
        <v>275</v>
      </c>
      <c r="H3685" s="55">
        <v>72.802819999999997</v>
      </c>
      <c r="I3685" s="55">
        <v>29.454049999999999</v>
      </c>
      <c r="J3685" s="55">
        <v>77.772540000000006</v>
      </c>
      <c r="K3685" s="55">
        <v>51.981259999999999</v>
      </c>
      <c r="L3685" s="55">
        <v>47.20138</v>
      </c>
      <c r="M3685" s="55">
        <v>21.10698</v>
      </c>
      <c r="N3685" s="55">
        <v>3.1334360000000001</v>
      </c>
    </row>
    <row r="3686" spans="1:14" hidden="1" x14ac:dyDescent="0.35">
      <c r="A3686" s="52" t="s">
        <v>268</v>
      </c>
      <c r="B3686" s="52" t="s">
        <v>37</v>
      </c>
      <c r="C3686" s="52" t="s">
        <v>105</v>
      </c>
      <c r="D3686" s="52" t="s">
        <v>105</v>
      </c>
      <c r="E3686" s="52" t="s">
        <v>619</v>
      </c>
      <c r="F3686" s="52" t="s">
        <v>26</v>
      </c>
      <c r="G3686" s="55" t="s">
        <v>276</v>
      </c>
      <c r="H3686" s="55">
        <v>25.234919999999999</v>
      </c>
      <c r="I3686" s="55">
        <v>-27.139220000000002</v>
      </c>
      <c r="J3686" s="55">
        <v>-18.337479999999999</v>
      </c>
      <c r="K3686" s="55">
        <v>-9.2281329999999997</v>
      </c>
      <c r="L3686" s="55">
        <v>-21.94746</v>
      </c>
      <c r="M3686" s="55">
        <v>2.0172319999999999</v>
      </c>
      <c r="N3686" s="55">
        <v>7.1649390000000004</v>
      </c>
    </row>
    <row r="3687" spans="1:14" hidden="1" x14ac:dyDescent="0.35">
      <c r="A3687" s="52" t="s">
        <v>268</v>
      </c>
      <c r="B3687" s="52" t="s">
        <v>37</v>
      </c>
      <c r="C3687" s="52" t="s">
        <v>105</v>
      </c>
      <c r="D3687" s="52" t="s">
        <v>105</v>
      </c>
      <c r="E3687" s="52" t="s">
        <v>619</v>
      </c>
      <c r="F3687" s="52" t="s">
        <v>26</v>
      </c>
      <c r="G3687" s="55" t="s">
        <v>277</v>
      </c>
      <c r="H3687" s="55">
        <v>0</v>
      </c>
      <c r="I3687" s="55">
        <v>78.934970000000007</v>
      </c>
      <c r="J3687" s="55">
        <v>21.532019999999999</v>
      </c>
      <c r="K3687" s="55">
        <v>13.66084</v>
      </c>
      <c r="L3687" s="55">
        <v>27.75666</v>
      </c>
      <c r="M3687" s="55">
        <v>29.53105</v>
      </c>
      <c r="N3687" s="55">
        <v>45.830599999999997</v>
      </c>
    </row>
    <row r="3688" spans="1:14" hidden="1" x14ac:dyDescent="0.35">
      <c r="A3688" s="52" t="s">
        <v>268</v>
      </c>
      <c r="B3688" s="52" t="s">
        <v>37</v>
      </c>
      <c r="C3688" s="52" t="s">
        <v>105</v>
      </c>
      <c r="D3688" s="52" t="s">
        <v>105</v>
      </c>
      <c r="E3688" s="52" t="s">
        <v>619</v>
      </c>
      <c r="F3688" s="52" t="s">
        <v>26</v>
      </c>
      <c r="G3688" s="55" t="s">
        <v>278</v>
      </c>
      <c r="H3688" s="55">
        <v>0</v>
      </c>
      <c r="I3688" s="55">
        <v>9.6956959999999999</v>
      </c>
      <c r="J3688" s="55">
        <v>10.205299999999999</v>
      </c>
      <c r="K3688" s="55">
        <v>18.2319</v>
      </c>
      <c r="L3688" s="55">
        <v>18.789100000000001</v>
      </c>
      <c r="M3688" s="55">
        <v>15.21316</v>
      </c>
      <c r="N3688" s="55">
        <v>12.819129999999999</v>
      </c>
    </row>
    <row r="3689" spans="1:14" hidden="1" x14ac:dyDescent="0.35">
      <c r="A3689" s="52" t="s">
        <v>268</v>
      </c>
      <c r="B3689" s="52" t="s">
        <v>37</v>
      </c>
      <c r="C3689" s="52" t="s">
        <v>105</v>
      </c>
      <c r="D3689" s="52" t="s">
        <v>105</v>
      </c>
      <c r="E3689" s="52" t="s">
        <v>619</v>
      </c>
      <c r="F3689" s="52" t="s">
        <v>26</v>
      </c>
      <c r="G3689" s="55" t="s">
        <v>279</v>
      </c>
      <c r="H3689" s="55">
        <v>74.731160000000003</v>
      </c>
      <c r="I3689" s="55">
        <v>73.928629999999998</v>
      </c>
      <c r="J3689" s="55">
        <v>66.119219999999999</v>
      </c>
      <c r="K3689" s="55">
        <v>61.235480000000003</v>
      </c>
      <c r="L3689" s="55">
        <v>60.275730000000003</v>
      </c>
      <c r="M3689" s="55">
        <v>62.354689999999998</v>
      </c>
      <c r="N3689" s="55">
        <v>62.806060000000002</v>
      </c>
    </row>
    <row r="3690" spans="1:14" hidden="1" x14ac:dyDescent="0.35">
      <c r="A3690" s="52" t="s">
        <v>268</v>
      </c>
      <c r="B3690" s="52" t="s">
        <v>37</v>
      </c>
      <c r="C3690" s="52" t="s">
        <v>105</v>
      </c>
      <c r="D3690" s="52" t="s">
        <v>105</v>
      </c>
      <c r="E3690" s="52" t="s">
        <v>632</v>
      </c>
      <c r="F3690" s="52" t="s">
        <v>581</v>
      </c>
      <c r="G3690" s="55" t="s">
        <v>275</v>
      </c>
      <c r="H3690" s="55">
        <v>-14.28187</v>
      </c>
      <c r="I3690" s="55">
        <v>56.965649999999997</v>
      </c>
      <c r="J3690" s="55">
        <v>98.063869999999994</v>
      </c>
      <c r="K3690" s="55">
        <v>81.294470000000004</v>
      </c>
      <c r="L3690" s="55">
        <v>47.395870000000002</v>
      </c>
      <c r="M3690" s="55">
        <v>7.6138640000000004</v>
      </c>
      <c r="N3690" s="55">
        <v>-28.255939999999999</v>
      </c>
    </row>
    <row r="3691" spans="1:14" hidden="1" x14ac:dyDescent="0.35">
      <c r="A3691" s="52" t="s">
        <v>268</v>
      </c>
      <c r="B3691" s="52" t="s">
        <v>37</v>
      </c>
      <c r="C3691" s="52" t="s">
        <v>105</v>
      </c>
      <c r="D3691" s="52" t="s">
        <v>105</v>
      </c>
      <c r="E3691" s="52" t="s">
        <v>632</v>
      </c>
      <c r="F3691" s="52" t="s">
        <v>581</v>
      </c>
      <c r="G3691" s="55" t="s">
        <v>276</v>
      </c>
      <c r="H3691" s="55">
        <v>20.790880000000001</v>
      </c>
      <c r="I3691" s="55">
        <v>-24.31748</v>
      </c>
      <c r="J3691" s="55">
        <v>-38.683729999999997</v>
      </c>
      <c r="K3691" s="55">
        <v>-23.93712</v>
      </c>
      <c r="L3691" s="55">
        <v>-13.9617</v>
      </c>
      <c r="M3691" s="55">
        <v>7.1825659999999996</v>
      </c>
      <c r="N3691" s="55">
        <v>12.069089999999999</v>
      </c>
    </row>
    <row r="3692" spans="1:14" hidden="1" x14ac:dyDescent="0.35">
      <c r="A3692" s="52" t="s">
        <v>268</v>
      </c>
      <c r="B3692" s="52" t="s">
        <v>37</v>
      </c>
      <c r="C3692" s="52" t="s">
        <v>105</v>
      </c>
      <c r="D3692" s="52" t="s">
        <v>105</v>
      </c>
      <c r="E3692" s="52" t="s">
        <v>632</v>
      </c>
      <c r="F3692" s="52" t="s">
        <v>581</v>
      </c>
      <c r="G3692" s="55" t="s">
        <v>277</v>
      </c>
      <c r="H3692" s="55">
        <v>227.1472</v>
      </c>
      <c r="I3692" s="55">
        <v>60.120660000000001</v>
      </c>
      <c r="J3692" s="55">
        <v>27.372399999999999</v>
      </c>
      <c r="K3692" s="55">
        <v>13.21621</v>
      </c>
      <c r="L3692" s="55">
        <v>24.560649999999999</v>
      </c>
      <c r="M3692" s="55">
        <v>39.079799999999999</v>
      </c>
      <c r="N3692" s="55">
        <v>95.844390000000004</v>
      </c>
    </row>
    <row r="3693" spans="1:14" hidden="1" x14ac:dyDescent="0.35">
      <c r="A3693" s="52" t="s">
        <v>268</v>
      </c>
      <c r="B3693" s="52" t="s">
        <v>37</v>
      </c>
      <c r="C3693" s="52" t="s">
        <v>105</v>
      </c>
      <c r="D3693" s="52" t="s">
        <v>105</v>
      </c>
      <c r="E3693" s="52" t="s">
        <v>632</v>
      </c>
      <c r="F3693" s="52" t="s">
        <v>581</v>
      </c>
      <c r="G3693" s="55" t="s">
        <v>278</v>
      </c>
      <c r="H3693" s="55">
        <v>43.662820000000004</v>
      </c>
      <c r="I3693" s="55">
        <v>13.51168</v>
      </c>
      <c r="J3693" s="55">
        <v>16.282889999999998</v>
      </c>
      <c r="K3693" s="55">
        <v>15.84897</v>
      </c>
      <c r="L3693" s="55">
        <v>26.7226</v>
      </c>
      <c r="M3693" s="55">
        <v>35.499760000000002</v>
      </c>
      <c r="N3693" s="55">
        <v>32.192839999999997</v>
      </c>
    </row>
    <row r="3694" spans="1:14" hidden="1" x14ac:dyDescent="0.35">
      <c r="A3694" s="52" t="s">
        <v>268</v>
      </c>
      <c r="B3694" s="52" t="s">
        <v>37</v>
      </c>
      <c r="C3694" s="52" t="s">
        <v>105</v>
      </c>
      <c r="D3694" s="52" t="s">
        <v>105</v>
      </c>
      <c r="E3694" s="52" t="s">
        <v>632</v>
      </c>
      <c r="F3694" s="52" t="s">
        <v>581</v>
      </c>
      <c r="G3694" s="55" t="s">
        <v>279</v>
      </c>
      <c r="H3694" s="55">
        <v>60.198619999999998</v>
      </c>
      <c r="I3694" s="55">
        <v>36.503540000000001</v>
      </c>
      <c r="J3694" s="55">
        <v>34.212000000000003</v>
      </c>
      <c r="K3694" s="55">
        <v>29.767410000000002</v>
      </c>
      <c r="L3694" s="55">
        <v>27.91789</v>
      </c>
      <c r="M3694" s="55">
        <v>33.231050000000003</v>
      </c>
      <c r="N3694" s="55">
        <v>41.153100000000002</v>
      </c>
    </row>
    <row r="3695" spans="1:14" hidden="1" x14ac:dyDescent="0.35">
      <c r="A3695" s="52" t="s">
        <v>268</v>
      </c>
      <c r="B3695" s="52" t="s">
        <v>37</v>
      </c>
      <c r="C3695" s="52" t="s">
        <v>105</v>
      </c>
      <c r="D3695" s="52" t="s">
        <v>105</v>
      </c>
      <c r="E3695" s="52" t="s">
        <v>632</v>
      </c>
      <c r="F3695" s="52" t="s">
        <v>26</v>
      </c>
      <c r="G3695" s="55" t="s">
        <v>275</v>
      </c>
      <c r="H3695" s="55">
        <v>34.136189999999999</v>
      </c>
      <c r="I3695" s="55">
        <v>19.57066</v>
      </c>
      <c r="J3695" s="55">
        <v>20.848649999999999</v>
      </c>
      <c r="K3695" s="55">
        <v>16.846080000000001</v>
      </c>
      <c r="L3695" s="55">
        <v>16.157710000000002</v>
      </c>
      <c r="M3695" s="55">
        <v>16.498460000000001</v>
      </c>
      <c r="N3695" s="55">
        <v>20.42089</v>
      </c>
    </row>
    <row r="3696" spans="1:14" hidden="1" x14ac:dyDescent="0.35">
      <c r="A3696" s="52" t="s">
        <v>268</v>
      </c>
      <c r="B3696" s="52" t="s">
        <v>37</v>
      </c>
      <c r="C3696" s="52" t="s">
        <v>105</v>
      </c>
      <c r="D3696" s="52" t="s">
        <v>105</v>
      </c>
      <c r="E3696" s="52" t="s">
        <v>632</v>
      </c>
      <c r="F3696" s="52" t="s">
        <v>26</v>
      </c>
      <c r="G3696" s="55" t="s">
        <v>276</v>
      </c>
      <c r="H3696" s="55">
        <v>11.83229</v>
      </c>
      <c r="I3696" s="55">
        <v>6.7835809999999999</v>
      </c>
      <c r="J3696" s="55">
        <v>7.2265519999999999</v>
      </c>
      <c r="K3696" s="55">
        <v>5.8391900000000003</v>
      </c>
      <c r="L3696" s="55">
        <v>5.6005849999999997</v>
      </c>
      <c r="M3696" s="55">
        <v>5.7187000000000001</v>
      </c>
      <c r="N3696" s="55">
        <v>7.0782879999999997</v>
      </c>
    </row>
    <row r="3697" spans="1:14" hidden="1" x14ac:dyDescent="0.35">
      <c r="A3697" s="52" t="s">
        <v>268</v>
      </c>
      <c r="B3697" s="52" t="s">
        <v>37</v>
      </c>
      <c r="C3697" s="52" t="s">
        <v>105</v>
      </c>
      <c r="D3697" s="52" t="s">
        <v>105</v>
      </c>
      <c r="E3697" s="52" t="s">
        <v>632</v>
      </c>
      <c r="F3697" s="52" t="s">
        <v>26</v>
      </c>
      <c r="G3697" s="55" t="s">
        <v>279</v>
      </c>
      <c r="H3697" s="55">
        <v>35.689030000000002</v>
      </c>
      <c r="I3697" s="55">
        <v>21.859950000000001</v>
      </c>
      <c r="J3697" s="55">
        <v>20.74952</v>
      </c>
      <c r="K3697" s="55">
        <v>18.334849999999999</v>
      </c>
      <c r="L3697" s="55">
        <v>17.683350000000001</v>
      </c>
      <c r="M3697" s="55">
        <v>20.383839999999999</v>
      </c>
      <c r="N3697" s="55">
        <v>25.185690000000001</v>
      </c>
    </row>
    <row r="3698" spans="1:14" hidden="1" x14ac:dyDescent="0.35">
      <c r="A3698" s="52" t="s">
        <v>268</v>
      </c>
      <c r="B3698" s="52" t="s">
        <v>37</v>
      </c>
      <c r="C3698" s="52" t="s">
        <v>105</v>
      </c>
      <c r="D3698" s="52" t="s">
        <v>105</v>
      </c>
      <c r="E3698" s="52" t="s">
        <v>656</v>
      </c>
      <c r="F3698" s="52" t="s">
        <v>581</v>
      </c>
      <c r="G3698" s="55" t="s">
        <v>275</v>
      </c>
      <c r="H3698" s="55">
        <v>-57.801870000000001</v>
      </c>
      <c r="I3698" s="55">
        <v>14.2133</v>
      </c>
      <c r="J3698" s="55">
        <v>68.823239999999998</v>
      </c>
      <c r="K3698" s="55">
        <v>91.503119999999996</v>
      </c>
      <c r="L3698" s="55">
        <v>48.23039</v>
      </c>
      <c r="M3698" s="55">
        <v>32.131799999999998</v>
      </c>
      <c r="N3698" s="55">
        <v>32.33408</v>
      </c>
    </row>
    <row r="3699" spans="1:14" hidden="1" x14ac:dyDescent="0.35">
      <c r="A3699" s="52" t="s">
        <v>268</v>
      </c>
      <c r="B3699" s="52" t="s">
        <v>37</v>
      </c>
      <c r="C3699" s="52" t="s">
        <v>105</v>
      </c>
      <c r="D3699" s="52" t="s">
        <v>105</v>
      </c>
      <c r="E3699" s="52" t="s">
        <v>656</v>
      </c>
      <c r="F3699" s="52" t="s">
        <v>581</v>
      </c>
      <c r="G3699" s="55" t="s">
        <v>276</v>
      </c>
      <c r="H3699" s="55">
        <v>16.48912</v>
      </c>
      <c r="I3699" s="55">
        <v>-1.692712</v>
      </c>
      <c r="J3699" s="55">
        <v>2.8871500000000001</v>
      </c>
      <c r="K3699" s="55">
        <v>-22.895589999999999</v>
      </c>
      <c r="L3699" s="55">
        <v>-9.3409259999999996</v>
      </c>
      <c r="M3699" s="55">
        <v>8.9683949999999992</v>
      </c>
      <c r="N3699" s="55">
        <v>13.85127</v>
      </c>
    </row>
    <row r="3700" spans="1:14" hidden="1" x14ac:dyDescent="0.35">
      <c r="A3700" s="52" t="s">
        <v>268</v>
      </c>
      <c r="B3700" s="52" t="s">
        <v>37</v>
      </c>
      <c r="C3700" s="52" t="s">
        <v>105</v>
      </c>
      <c r="D3700" s="52" t="s">
        <v>105</v>
      </c>
      <c r="E3700" s="52" t="s">
        <v>656</v>
      </c>
      <c r="F3700" s="52" t="s">
        <v>581</v>
      </c>
      <c r="G3700" s="55" t="s">
        <v>277</v>
      </c>
      <c r="H3700" s="55">
        <v>208.65</v>
      </c>
      <c r="I3700" s="55">
        <v>70.337909999999994</v>
      </c>
      <c r="J3700" s="55">
        <v>22.3413</v>
      </c>
      <c r="K3700" s="55">
        <v>9.0741929999999993</v>
      </c>
      <c r="L3700" s="55">
        <v>28.049530000000001</v>
      </c>
      <c r="M3700" s="55">
        <v>31.815629999999999</v>
      </c>
      <c r="N3700" s="55">
        <v>34.882680000000001</v>
      </c>
    </row>
    <row r="3701" spans="1:14" hidden="1" x14ac:dyDescent="0.35">
      <c r="A3701" s="52" t="s">
        <v>268</v>
      </c>
      <c r="B3701" s="52" t="s">
        <v>37</v>
      </c>
      <c r="C3701" s="52" t="s">
        <v>105</v>
      </c>
      <c r="D3701" s="52" t="s">
        <v>105</v>
      </c>
      <c r="E3701" s="52" t="s">
        <v>656</v>
      </c>
      <c r="F3701" s="52" t="s">
        <v>581</v>
      </c>
      <c r="G3701" s="55" t="s">
        <v>278</v>
      </c>
      <c r="H3701" s="55">
        <v>39.950049999999997</v>
      </c>
      <c r="I3701" s="55">
        <v>14.883839999999999</v>
      </c>
      <c r="J3701" s="55">
        <v>13.11345</v>
      </c>
      <c r="K3701" s="55">
        <v>17.351040000000001</v>
      </c>
      <c r="L3701" s="55">
        <v>27.126110000000001</v>
      </c>
      <c r="M3701" s="55">
        <v>23.796849999999999</v>
      </c>
      <c r="N3701" s="55">
        <v>16.136780000000002</v>
      </c>
    </row>
    <row r="3702" spans="1:14" hidden="1" x14ac:dyDescent="0.35">
      <c r="A3702" s="52" t="s">
        <v>268</v>
      </c>
      <c r="B3702" s="52" t="s">
        <v>37</v>
      </c>
      <c r="C3702" s="52" t="s">
        <v>105</v>
      </c>
      <c r="D3702" s="52" t="s">
        <v>105</v>
      </c>
      <c r="E3702" s="52" t="s">
        <v>656</v>
      </c>
      <c r="F3702" s="52" t="s">
        <v>581</v>
      </c>
      <c r="G3702" s="55" t="s">
        <v>279</v>
      </c>
      <c r="H3702" s="55">
        <v>35.205030000000001</v>
      </c>
      <c r="I3702" s="55">
        <v>26.14743</v>
      </c>
      <c r="J3702" s="55">
        <v>27.819800000000001</v>
      </c>
      <c r="K3702" s="55">
        <v>26.348880000000001</v>
      </c>
      <c r="L3702" s="55">
        <v>25.41818</v>
      </c>
      <c r="M3702" s="55">
        <v>28.460100000000001</v>
      </c>
      <c r="N3702" s="55">
        <v>28.309480000000001</v>
      </c>
    </row>
    <row r="3703" spans="1:14" hidden="1" x14ac:dyDescent="0.35">
      <c r="A3703" s="52" t="s">
        <v>268</v>
      </c>
      <c r="B3703" s="52" t="s">
        <v>37</v>
      </c>
      <c r="C3703" s="52" t="s">
        <v>105</v>
      </c>
      <c r="D3703" s="52" t="s">
        <v>105</v>
      </c>
      <c r="E3703" s="52" t="s">
        <v>656</v>
      </c>
      <c r="F3703" s="52" t="s">
        <v>26</v>
      </c>
      <c r="G3703" s="55" t="s">
        <v>275</v>
      </c>
      <c r="H3703" s="55">
        <v>10.739979999999999</v>
      </c>
      <c r="I3703" s="55">
        <v>9.2182030000000008</v>
      </c>
      <c r="J3703" s="55">
        <v>11.14128</v>
      </c>
      <c r="K3703" s="55">
        <v>4.5453970000000004</v>
      </c>
      <c r="L3703" s="55">
        <v>2.7757429999999998</v>
      </c>
      <c r="M3703" s="55">
        <v>9.5572850000000003</v>
      </c>
      <c r="N3703" s="55">
        <v>9.4571229999999993</v>
      </c>
    </row>
    <row r="3704" spans="1:14" hidden="1" x14ac:dyDescent="0.35">
      <c r="A3704" s="52" t="s">
        <v>268</v>
      </c>
      <c r="B3704" s="52" t="s">
        <v>37</v>
      </c>
      <c r="C3704" s="52" t="s">
        <v>105</v>
      </c>
      <c r="D3704" s="52" t="s">
        <v>105</v>
      </c>
      <c r="E3704" s="52" t="s">
        <v>656</v>
      </c>
      <c r="F3704" s="52" t="s">
        <v>26</v>
      </c>
      <c r="G3704" s="55" t="s">
        <v>276</v>
      </c>
      <c r="H3704" s="55">
        <v>3.7226900000000001</v>
      </c>
      <c r="I3704" s="55">
        <v>3.195217</v>
      </c>
      <c r="J3704" s="55">
        <v>3.8617889999999999</v>
      </c>
      <c r="K3704" s="55">
        <v>2.9304329999999998</v>
      </c>
      <c r="L3704" s="55">
        <v>2.6086079999999998</v>
      </c>
      <c r="M3704" s="55">
        <v>2.7124670000000002</v>
      </c>
      <c r="N3704" s="55">
        <v>2.7978070000000002</v>
      </c>
    </row>
    <row r="3705" spans="1:14" hidden="1" x14ac:dyDescent="0.35">
      <c r="A3705" s="52" t="s">
        <v>268</v>
      </c>
      <c r="B3705" s="52" t="s">
        <v>37</v>
      </c>
      <c r="C3705" s="52" t="s">
        <v>105</v>
      </c>
      <c r="D3705" s="52" t="s">
        <v>105</v>
      </c>
      <c r="E3705" s="52" t="s">
        <v>656</v>
      </c>
      <c r="F3705" s="52" t="s">
        <v>26</v>
      </c>
      <c r="G3705" s="55" t="s">
        <v>277</v>
      </c>
      <c r="H3705" s="55"/>
      <c r="I3705" s="55"/>
      <c r="J3705" s="55">
        <v>0</v>
      </c>
      <c r="K3705" s="55">
        <v>0.91058519999999998</v>
      </c>
      <c r="L3705" s="55">
        <v>0.55487850000000005</v>
      </c>
      <c r="M3705" s="55">
        <v>0</v>
      </c>
      <c r="N3705" s="55">
        <v>0</v>
      </c>
    </row>
    <row r="3706" spans="1:14" hidden="1" x14ac:dyDescent="0.35">
      <c r="A3706" s="52" t="s">
        <v>268</v>
      </c>
      <c r="B3706" s="52" t="s">
        <v>37</v>
      </c>
      <c r="C3706" s="52" t="s">
        <v>105</v>
      </c>
      <c r="D3706" s="52" t="s">
        <v>105</v>
      </c>
      <c r="E3706" s="52" t="s">
        <v>656</v>
      </c>
      <c r="F3706" s="52" t="s">
        <v>26</v>
      </c>
      <c r="G3706" s="55" t="s">
        <v>278</v>
      </c>
      <c r="H3706" s="55"/>
      <c r="I3706" s="55"/>
      <c r="J3706" s="55">
        <v>0</v>
      </c>
      <c r="K3706" s="55">
        <v>3.975543</v>
      </c>
      <c r="L3706" s="55">
        <v>6.359985</v>
      </c>
      <c r="M3706" s="55">
        <v>0</v>
      </c>
      <c r="N3706" s="55"/>
    </row>
    <row r="3707" spans="1:14" hidden="1" x14ac:dyDescent="0.35">
      <c r="A3707" s="52" t="s">
        <v>268</v>
      </c>
      <c r="B3707" s="52" t="s">
        <v>37</v>
      </c>
      <c r="C3707" s="52" t="s">
        <v>105</v>
      </c>
      <c r="D3707" s="52" t="s">
        <v>105</v>
      </c>
      <c r="E3707" s="52" t="s">
        <v>656</v>
      </c>
      <c r="F3707" s="52" t="s">
        <v>26</v>
      </c>
      <c r="G3707" s="55" t="s">
        <v>279</v>
      </c>
      <c r="H3707" s="55">
        <v>11.08192</v>
      </c>
      <c r="I3707" s="55">
        <v>10.15672</v>
      </c>
      <c r="J3707" s="55">
        <v>10.94191</v>
      </c>
      <c r="K3707" s="55">
        <v>10.84225</v>
      </c>
      <c r="L3707" s="55">
        <v>11.169090000000001</v>
      </c>
      <c r="M3707" s="55">
        <v>11.90095</v>
      </c>
      <c r="N3707" s="55">
        <v>11.679819999999999</v>
      </c>
    </row>
    <row r="3708" spans="1:14" hidden="1" x14ac:dyDescent="0.35">
      <c r="A3708" s="52" t="s">
        <v>268</v>
      </c>
      <c r="B3708" s="52" t="s">
        <v>37</v>
      </c>
      <c r="C3708" s="52" t="s">
        <v>105</v>
      </c>
      <c r="D3708" s="52" t="s">
        <v>105</v>
      </c>
      <c r="E3708" s="52" t="s">
        <v>633</v>
      </c>
      <c r="F3708" s="52" t="s">
        <v>581</v>
      </c>
      <c r="G3708" s="55" t="s">
        <v>275</v>
      </c>
      <c r="H3708" s="55">
        <v>18.82536</v>
      </c>
      <c r="I3708" s="55">
        <v>7.6883840000000001</v>
      </c>
      <c r="J3708" s="55">
        <v>8.4853129999999997</v>
      </c>
      <c r="K3708" s="55">
        <v>8.5694920000000003</v>
      </c>
      <c r="L3708" s="55">
        <v>8.1903620000000004</v>
      </c>
      <c r="M3708" s="55">
        <v>6.6738090000000003</v>
      </c>
      <c r="N3708" s="55">
        <v>5.5059690000000003</v>
      </c>
    </row>
    <row r="3709" spans="1:14" hidden="1" x14ac:dyDescent="0.35">
      <c r="A3709" s="52" t="s">
        <v>268</v>
      </c>
      <c r="B3709" s="52" t="s">
        <v>37</v>
      </c>
      <c r="C3709" s="52" t="s">
        <v>105</v>
      </c>
      <c r="D3709" s="52" t="s">
        <v>105</v>
      </c>
      <c r="E3709" s="52" t="s">
        <v>633</v>
      </c>
      <c r="F3709" s="52" t="s">
        <v>581</v>
      </c>
      <c r="G3709" s="55" t="s">
        <v>276</v>
      </c>
      <c r="H3709" s="55">
        <v>6.5252470000000002</v>
      </c>
      <c r="I3709" s="55">
        <v>2.664949</v>
      </c>
      <c r="J3709" s="55">
        <v>2.9411749999999999</v>
      </c>
      <c r="K3709" s="55">
        <v>2.9703539999999999</v>
      </c>
      <c r="L3709" s="55">
        <v>2.8389470000000001</v>
      </c>
      <c r="M3709" s="55">
        <v>2.313272</v>
      </c>
      <c r="N3709" s="55">
        <v>1.908479</v>
      </c>
    </row>
    <row r="3710" spans="1:14" hidden="1" x14ac:dyDescent="0.35">
      <c r="A3710" s="52" t="s">
        <v>268</v>
      </c>
      <c r="B3710" s="52" t="s">
        <v>37</v>
      </c>
      <c r="C3710" s="52" t="s">
        <v>105</v>
      </c>
      <c r="D3710" s="52" t="s">
        <v>105</v>
      </c>
      <c r="E3710" s="52" t="s">
        <v>633</v>
      </c>
      <c r="F3710" s="52" t="s">
        <v>581</v>
      </c>
      <c r="G3710" s="55" t="s">
        <v>279</v>
      </c>
      <c r="H3710" s="55">
        <v>6.0325129999999998</v>
      </c>
      <c r="I3710" s="55">
        <v>4.1577580000000003</v>
      </c>
      <c r="J3710" s="55">
        <v>4.4217919999999999</v>
      </c>
      <c r="K3710" s="55">
        <v>4.6658369999999998</v>
      </c>
      <c r="L3710" s="55">
        <v>4.3068210000000002</v>
      </c>
      <c r="M3710" s="55">
        <v>4.0112180000000004</v>
      </c>
      <c r="N3710" s="55">
        <v>3.2879520000000002</v>
      </c>
    </row>
    <row r="3711" spans="1:14" hidden="1" x14ac:dyDescent="0.35">
      <c r="A3711" s="52" t="s">
        <v>268</v>
      </c>
      <c r="B3711" s="52" t="s">
        <v>37</v>
      </c>
      <c r="C3711" s="52" t="s">
        <v>105</v>
      </c>
      <c r="D3711" s="52" t="s">
        <v>105</v>
      </c>
      <c r="E3711" s="52" t="s">
        <v>633</v>
      </c>
      <c r="F3711" s="52" t="s">
        <v>26</v>
      </c>
      <c r="G3711" s="55" t="s">
        <v>275</v>
      </c>
      <c r="H3711" s="55">
        <v>30.04806</v>
      </c>
      <c r="I3711" s="55">
        <v>14.96231</v>
      </c>
      <c r="J3711" s="55">
        <v>13.92324</v>
      </c>
      <c r="K3711" s="55">
        <v>23.76876</v>
      </c>
      <c r="L3711" s="55">
        <v>5.6796980000000001</v>
      </c>
      <c r="M3711" s="55">
        <v>24.2623</v>
      </c>
      <c r="N3711" s="55">
        <v>20.21405</v>
      </c>
    </row>
    <row r="3712" spans="1:14" hidden="1" x14ac:dyDescent="0.35">
      <c r="A3712" s="52" t="s">
        <v>268</v>
      </c>
      <c r="B3712" s="52" t="s">
        <v>37</v>
      </c>
      <c r="C3712" s="52" t="s">
        <v>105</v>
      </c>
      <c r="D3712" s="52" t="s">
        <v>105</v>
      </c>
      <c r="E3712" s="52" t="s">
        <v>633</v>
      </c>
      <c r="F3712" s="52" t="s">
        <v>26</v>
      </c>
      <c r="G3712" s="55" t="s">
        <v>276</v>
      </c>
      <c r="H3712" s="55">
        <v>-7.227894</v>
      </c>
      <c r="I3712" s="55">
        <v>-8.4570930000000004</v>
      </c>
      <c r="J3712" s="55">
        <v>-6.297701</v>
      </c>
      <c r="K3712" s="55">
        <v>-8.4551800000000004</v>
      </c>
      <c r="L3712" s="55">
        <v>2.6388590000000001</v>
      </c>
      <c r="M3712" s="55">
        <v>1.8546260000000001</v>
      </c>
      <c r="N3712" s="55">
        <v>1.1880010000000001</v>
      </c>
    </row>
    <row r="3713" spans="1:14" hidden="1" x14ac:dyDescent="0.35">
      <c r="A3713" s="52" t="s">
        <v>268</v>
      </c>
      <c r="B3713" s="52" t="s">
        <v>37</v>
      </c>
      <c r="C3713" s="52" t="s">
        <v>105</v>
      </c>
      <c r="D3713" s="52" t="s">
        <v>105</v>
      </c>
      <c r="E3713" s="52" t="s">
        <v>633</v>
      </c>
      <c r="F3713" s="52" t="s">
        <v>26</v>
      </c>
      <c r="G3713" s="55" t="s">
        <v>277</v>
      </c>
      <c r="H3713" s="55">
        <v>19.423870000000001</v>
      </c>
      <c r="I3713" s="55">
        <v>21.584199999999999</v>
      </c>
      <c r="J3713" s="55">
        <v>27.046679999999999</v>
      </c>
      <c r="K3713" s="55">
        <v>19.41602</v>
      </c>
      <c r="L3713" s="55">
        <v>24.287430000000001</v>
      </c>
      <c r="M3713" s="55">
        <v>0</v>
      </c>
      <c r="N3713" s="55">
        <v>0</v>
      </c>
    </row>
    <row r="3714" spans="1:14" hidden="1" x14ac:dyDescent="0.35">
      <c r="A3714" s="52" t="s">
        <v>268</v>
      </c>
      <c r="B3714" s="52" t="s">
        <v>37</v>
      </c>
      <c r="C3714" s="52" t="s">
        <v>105</v>
      </c>
      <c r="D3714" s="52" t="s">
        <v>105</v>
      </c>
      <c r="E3714" s="52" t="s">
        <v>633</v>
      </c>
      <c r="F3714" s="52" t="s">
        <v>26</v>
      </c>
      <c r="G3714" s="55" t="s">
        <v>278</v>
      </c>
      <c r="H3714" s="55">
        <v>0.79613100000000003</v>
      </c>
      <c r="I3714" s="55">
        <v>1.7744960000000001</v>
      </c>
      <c r="J3714" s="55">
        <v>1.369707</v>
      </c>
      <c r="K3714" s="55">
        <v>0.49137690000000001</v>
      </c>
      <c r="L3714" s="55">
        <v>0</v>
      </c>
      <c r="M3714" s="55"/>
      <c r="N3714" s="55"/>
    </row>
    <row r="3715" spans="1:14" hidden="1" x14ac:dyDescent="0.35">
      <c r="A3715" s="52" t="s">
        <v>268</v>
      </c>
      <c r="B3715" s="52" t="s">
        <v>37</v>
      </c>
      <c r="C3715" s="52" t="s">
        <v>105</v>
      </c>
      <c r="D3715" s="52" t="s">
        <v>105</v>
      </c>
      <c r="E3715" s="52" t="s">
        <v>633</v>
      </c>
      <c r="F3715" s="52" t="s">
        <v>26</v>
      </c>
      <c r="G3715" s="55" t="s">
        <v>279</v>
      </c>
      <c r="H3715" s="55">
        <v>32.990780000000001</v>
      </c>
      <c r="I3715" s="55">
        <v>24.429359999999999</v>
      </c>
      <c r="J3715" s="55">
        <v>26.26878</v>
      </c>
      <c r="K3715" s="55">
        <v>28.132989999999999</v>
      </c>
      <c r="L3715" s="55">
        <v>26.64104</v>
      </c>
      <c r="M3715" s="55">
        <v>24.020330000000001</v>
      </c>
      <c r="N3715" s="55">
        <v>19.673179999999999</v>
      </c>
    </row>
    <row r="3716" spans="1:14" hidden="1" x14ac:dyDescent="0.35">
      <c r="A3716" s="52" t="s">
        <v>268</v>
      </c>
      <c r="B3716" s="52" t="s">
        <v>37</v>
      </c>
      <c r="C3716" s="52" t="s">
        <v>105</v>
      </c>
      <c r="D3716" s="52" t="s">
        <v>105</v>
      </c>
      <c r="E3716" s="52" t="s">
        <v>584</v>
      </c>
      <c r="F3716" s="52" t="s">
        <v>581</v>
      </c>
      <c r="G3716" s="55" t="s">
        <v>275</v>
      </c>
      <c r="H3716" s="55">
        <v>0.113536</v>
      </c>
      <c r="I3716" s="55">
        <v>-4.6209600000000003E-2</v>
      </c>
      <c r="J3716" s="55">
        <v>-3.4949800000000003E-2</v>
      </c>
      <c r="K3716" s="55">
        <v>-3.6939699999999999E-2</v>
      </c>
      <c r="L3716" s="55">
        <v>-2.6487400000000001E-2</v>
      </c>
      <c r="M3716" s="55">
        <v>-4.5831999999999998E-2</v>
      </c>
      <c r="N3716" s="55">
        <v>-4.1670499999999999E-2</v>
      </c>
    </row>
    <row r="3717" spans="1:14" hidden="1" x14ac:dyDescent="0.35">
      <c r="A3717" s="52" t="s">
        <v>268</v>
      </c>
      <c r="B3717" s="52" t="s">
        <v>37</v>
      </c>
      <c r="C3717" s="52" t="s">
        <v>105</v>
      </c>
      <c r="D3717" s="52" t="s">
        <v>105</v>
      </c>
      <c r="E3717" s="52" t="s">
        <v>584</v>
      </c>
      <c r="F3717" s="52" t="s">
        <v>581</v>
      </c>
      <c r="G3717" s="55" t="s">
        <v>276</v>
      </c>
      <c r="H3717" s="55">
        <v>3.9354E-2</v>
      </c>
      <c r="I3717" s="55">
        <v>-1.6017E-2</v>
      </c>
      <c r="J3717" s="55">
        <v>-1.21145E-2</v>
      </c>
      <c r="K3717" s="55">
        <v>-1.2804599999999999E-2</v>
      </c>
      <c r="L3717" s="55">
        <v>-9.1804969999999993E-3</v>
      </c>
      <c r="M3717" s="55">
        <v>-1.5886299999999999E-2</v>
      </c>
      <c r="N3717" s="55">
        <v>-1.44437E-2</v>
      </c>
    </row>
    <row r="3718" spans="1:14" hidden="1" x14ac:dyDescent="0.35">
      <c r="A3718" s="52" t="s">
        <v>268</v>
      </c>
      <c r="B3718" s="52" t="s">
        <v>37</v>
      </c>
      <c r="C3718" s="52" t="s">
        <v>105</v>
      </c>
      <c r="D3718" s="52" t="s">
        <v>105</v>
      </c>
      <c r="E3718" s="52" t="s">
        <v>584</v>
      </c>
      <c r="F3718" s="52" t="s">
        <v>581</v>
      </c>
      <c r="G3718" s="55" t="s">
        <v>279</v>
      </c>
      <c r="H3718" s="55">
        <v>0.41043099999999999</v>
      </c>
      <c r="I3718" s="55">
        <v>0.2804352</v>
      </c>
      <c r="J3718" s="55">
        <v>0.24454970000000001</v>
      </c>
      <c r="K3718" s="55">
        <v>0.2328945</v>
      </c>
      <c r="L3718" s="55">
        <v>0.20549110000000001</v>
      </c>
      <c r="M3718" s="55">
        <v>0.21957579999999999</v>
      </c>
      <c r="N3718" s="55">
        <v>0.20201520000000001</v>
      </c>
    </row>
    <row r="3719" spans="1:14" hidden="1" x14ac:dyDescent="0.35">
      <c r="A3719" s="52" t="s">
        <v>268</v>
      </c>
      <c r="B3719" s="52" t="s">
        <v>37</v>
      </c>
      <c r="C3719" s="52" t="s">
        <v>105</v>
      </c>
      <c r="D3719" s="52" t="s">
        <v>105</v>
      </c>
      <c r="E3719" s="52" t="s">
        <v>584</v>
      </c>
      <c r="F3719" s="52" t="s">
        <v>26</v>
      </c>
      <c r="G3719" s="55" t="s">
        <v>275</v>
      </c>
      <c r="H3719" s="55">
        <v>-6.2094999999999997E-2</v>
      </c>
      <c r="I3719" s="55">
        <v>-3.1135010000000001E-2</v>
      </c>
      <c r="J3719" s="55">
        <v>1.8251900000000001E-2</v>
      </c>
      <c r="K3719" s="55">
        <v>-2.9140900000000001E-2</v>
      </c>
      <c r="L3719" s="55">
        <v>2.2929159999999999E-3</v>
      </c>
      <c r="M3719" s="55">
        <v>-0.1235936</v>
      </c>
      <c r="N3719" s="55">
        <v>-0.1141364</v>
      </c>
    </row>
    <row r="3720" spans="1:14" hidden="1" x14ac:dyDescent="0.35">
      <c r="A3720" s="52" t="s">
        <v>268</v>
      </c>
      <c r="B3720" s="52" t="s">
        <v>37</v>
      </c>
      <c r="C3720" s="52" t="s">
        <v>105</v>
      </c>
      <c r="D3720" s="52" t="s">
        <v>105</v>
      </c>
      <c r="E3720" s="52" t="s">
        <v>584</v>
      </c>
      <c r="F3720" s="52" t="s">
        <v>26</v>
      </c>
      <c r="G3720" s="55" t="s">
        <v>276</v>
      </c>
      <c r="H3720" s="55">
        <v>-4.3777999999999997E-2</v>
      </c>
      <c r="I3720" s="55">
        <v>-9.9810599999999999E-2</v>
      </c>
      <c r="J3720" s="55">
        <v>6.3261000000000003E-3</v>
      </c>
      <c r="K3720" s="55">
        <v>-1.01006E-2</v>
      </c>
      <c r="L3720" s="55">
        <v>7.9440700000000001E-4</v>
      </c>
      <c r="M3720" s="55">
        <v>-4.28394E-2</v>
      </c>
      <c r="N3720" s="55">
        <v>-3.9561289999999999E-2</v>
      </c>
    </row>
    <row r="3721" spans="1:14" hidden="1" x14ac:dyDescent="0.35">
      <c r="A3721" s="52" t="s">
        <v>268</v>
      </c>
      <c r="B3721" s="52" t="s">
        <v>37</v>
      </c>
      <c r="C3721" s="52" t="s">
        <v>105</v>
      </c>
      <c r="D3721" s="52" t="s">
        <v>105</v>
      </c>
      <c r="E3721" s="52" t="s">
        <v>584</v>
      </c>
      <c r="F3721" s="52" t="s">
        <v>26</v>
      </c>
      <c r="G3721" s="55" t="s">
        <v>279</v>
      </c>
      <c r="H3721" s="55">
        <v>3.3860540000000001</v>
      </c>
      <c r="I3721" s="55">
        <v>1.9293880000000001</v>
      </c>
      <c r="J3721" s="55">
        <v>1.6999310000000001</v>
      </c>
      <c r="K3721" s="55">
        <v>1.6303209999999999</v>
      </c>
      <c r="L3721" s="55">
        <v>1.465757</v>
      </c>
      <c r="M3721" s="55">
        <v>1.525102</v>
      </c>
      <c r="N3721" s="55">
        <v>1.402836</v>
      </c>
    </row>
    <row r="3722" spans="1:14" hidden="1" x14ac:dyDescent="0.35">
      <c r="A3722" s="52" t="s">
        <v>268</v>
      </c>
      <c r="B3722" s="52" t="s">
        <v>37</v>
      </c>
      <c r="C3722" s="52" t="s">
        <v>105</v>
      </c>
      <c r="D3722" s="52" t="s">
        <v>105</v>
      </c>
      <c r="E3722" s="52" t="s">
        <v>658</v>
      </c>
      <c r="F3722" s="52" t="s">
        <v>581</v>
      </c>
      <c r="G3722" s="55" t="s">
        <v>275</v>
      </c>
      <c r="H3722" s="55">
        <v>0</v>
      </c>
      <c r="I3722" s="55">
        <v>-6.7199990000000004E-4</v>
      </c>
      <c r="J3722" s="55">
        <v>-5.2859999999999995E-4</v>
      </c>
      <c r="K3722" s="55">
        <v>-5.4469999999999996E-4</v>
      </c>
      <c r="L3722" s="55">
        <v>-4.1739989999999997E-4</v>
      </c>
      <c r="M3722" s="55">
        <v>-6.3299999999999999E-4</v>
      </c>
      <c r="N3722" s="55">
        <v>-5.7660000000000003E-4</v>
      </c>
    </row>
    <row r="3723" spans="1:14" hidden="1" x14ac:dyDescent="0.35">
      <c r="A3723" s="52" t="s">
        <v>268</v>
      </c>
      <c r="B3723" s="52" t="s">
        <v>37</v>
      </c>
      <c r="C3723" s="52" t="s">
        <v>105</v>
      </c>
      <c r="D3723" s="52" t="s">
        <v>105</v>
      </c>
      <c r="E3723" s="52" t="s">
        <v>658</v>
      </c>
      <c r="F3723" s="52" t="s">
        <v>581</v>
      </c>
      <c r="G3723" s="55" t="s">
        <v>276</v>
      </c>
      <c r="H3723" s="55">
        <v>0</v>
      </c>
      <c r="I3723" s="55">
        <v>-2.1819999999999999E-4</v>
      </c>
      <c r="J3723" s="55">
        <v>-1.7129999999999999E-4</v>
      </c>
      <c r="K3723" s="55">
        <v>-1.762E-4</v>
      </c>
      <c r="L3723" s="55">
        <v>-1.351E-4</v>
      </c>
      <c r="M3723" s="55">
        <v>-2.052E-4</v>
      </c>
      <c r="N3723" s="55">
        <v>-1.8689999999999999E-4</v>
      </c>
    </row>
    <row r="3724" spans="1:14" hidden="1" x14ac:dyDescent="0.35">
      <c r="A3724" s="52" t="s">
        <v>268</v>
      </c>
      <c r="B3724" s="52" t="s">
        <v>37</v>
      </c>
      <c r="C3724" s="52" t="s">
        <v>105</v>
      </c>
      <c r="D3724" s="52" t="s">
        <v>105</v>
      </c>
      <c r="E3724" s="52" t="s">
        <v>658</v>
      </c>
      <c r="F3724" s="52" t="s">
        <v>581</v>
      </c>
      <c r="G3724" s="55" t="s">
        <v>279</v>
      </c>
      <c r="H3724" s="55">
        <v>0</v>
      </c>
      <c r="I3724" s="55">
        <v>3.2093999999999998E-3</v>
      </c>
      <c r="J3724" s="55">
        <v>2.8034000000000002E-3</v>
      </c>
      <c r="K3724" s="55">
        <v>2.6691000000000002E-3</v>
      </c>
      <c r="L3724" s="55">
        <v>2.3578000000000002E-3</v>
      </c>
      <c r="M3724" s="55">
        <v>2.5163999999999998E-3</v>
      </c>
      <c r="N3724" s="55">
        <v>2.3142000000000002E-3</v>
      </c>
    </row>
    <row r="3725" spans="1:14" hidden="1" x14ac:dyDescent="0.35">
      <c r="A3725" s="52" t="s">
        <v>268</v>
      </c>
      <c r="B3725" s="52" t="s">
        <v>37</v>
      </c>
      <c r="C3725" s="52" t="s">
        <v>105</v>
      </c>
      <c r="D3725" s="52" t="s">
        <v>105</v>
      </c>
      <c r="E3725" s="52" t="s">
        <v>658</v>
      </c>
      <c r="F3725" s="52" t="s">
        <v>26</v>
      </c>
      <c r="G3725" s="55" t="s">
        <v>275</v>
      </c>
      <c r="H3725" s="55">
        <v>0.33885500000000002</v>
      </c>
      <c r="I3725" s="55">
        <v>0.43781550000000002</v>
      </c>
      <c r="J3725" s="55">
        <v>0.39124940000000002</v>
      </c>
      <c r="K3725" s="55">
        <v>0.53286869999999997</v>
      </c>
      <c r="L3725" s="55">
        <v>3.420003E-5</v>
      </c>
      <c r="M3725" s="55">
        <v>-4.7755999999999996E-3</v>
      </c>
      <c r="N3725" s="55">
        <v>-4.4086000000000004E-3</v>
      </c>
    </row>
    <row r="3726" spans="1:14" hidden="1" x14ac:dyDescent="0.35">
      <c r="A3726" s="52" t="s">
        <v>268</v>
      </c>
      <c r="B3726" s="52" t="s">
        <v>37</v>
      </c>
      <c r="C3726" s="52" t="s">
        <v>105</v>
      </c>
      <c r="D3726" s="52" t="s">
        <v>105</v>
      </c>
      <c r="E3726" s="52" t="s">
        <v>658</v>
      </c>
      <c r="F3726" s="52" t="s">
        <v>26</v>
      </c>
      <c r="G3726" s="55" t="s">
        <v>276</v>
      </c>
      <c r="H3726" s="55">
        <v>-0.342553</v>
      </c>
      <c r="I3726" s="55">
        <v>-0.44293440000000001</v>
      </c>
      <c r="J3726" s="55">
        <v>-0.39055529999999999</v>
      </c>
      <c r="K3726" s="55">
        <v>-0.53449639999999998</v>
      </c>
      <c r="L3726" s="55">
        <v>-1.390011E-5</v>
      </c>
      <c r="M3726" s="55">
        <v>-1.5739E-3</v>
      </c>
      <c r="N3726" s="55">
        <v>-1.4533E-3</v>
      </c>
    </row>
    <row r="3727" spans="1:14" hidden="1" x14ac:dyDescent="0.35">
      <c r="A3727" s="52" t="s">
        <v>268</v>
      </c>
      <c r="B3727" s="52" t="s">
        <v>37</v>
      </c>
      <c r="C3727" s="52" t="s">
        <v>105</v>
      </c>
      <c r="D3727" s="52" t="s">
        <v>105</v>
      </c>
      <c r="E3727" s="52" t="s">
        <v>658</v>
      </c>
      <c r="F3727" s="52" t="s">
        <v>26</v>
      </c>
      <c r="G3727" s="55" t="s">
        <v>277</v>
      </c>
      <c r="H3727" s="55">
        <v>0</v>
      </c>
      <c r="I3727" s="55"/>
      <c r="J3727" s="55"/>
      <c r="K3727" s="55"/>
      <c r="L3727" s="55"/>
      <c r="M3727" s="55">
        <v>0</v>
      </c>
      <c r="N3727" s="55">
        <v>0</v>
      </c>
    </row>
    <row r="3728" spans="1:14" hidden="1" x14ac:dyDescent="0.35">
      <c r="A3728" s="52" t="s">
        <v>268</v>
      </c>
      <c r="B3728" s="52" t="s">
        <v>37</v>
      </c>
      <c r="C3728" s="52" t="s">
        <v>105</v>
      </c>
      <c r="D3728" s="52" t="s">
        <v>105</v>
      </c>
      <c r="E3728" s="52" t="s">
        <v>658</v>
      </c>
      <c r="F3728" s="52" t="s">
        <v>26</v>
      </c>
      <c r="G3728" s="55" t="s">
        <v>279</v>
      </c>
      <c r="H3728" s="55">
        <v>0.100343</v>
      </c>
      <c r="I3728" s="55">
        <v>7.1396189999999998E-2</v>
      </c>
      <c r="J3728" s="55">
        <v>6.2856499999999996E-2</v>
      </c>
      <c r="K3728" s="55">
        <v>6.0260899999999999E-2</v>
      </c>
      <c r="L3728" s="55">
        <v>5.4108000000000003E-2</v>
      </c>
      <c r="M3728" s="55">
        <v>5.64162E-2</v>
      </c>
      <c r="N3728" s="55">
        <v>5.1893399999999999E-2</v>
      </c>
    </row>
    <row r="3729" spans="1:14" hidden="1" x14ac:dyDescent="0.35">
      <c r="A3729" s="52" t="s">
        <v>268</v>
      </c>
      <c r="B3729" s="52" t="s">
        <v>37</v>
      </c>
      <c r="C3729" s="52" t="s">
        <v>86</v>
      </c>
      <c r="D3729" s="52" t="s">
        <v>86</v>
      </c>
      <c r="E3729" s="52" t="s">
        <v>619</v>
      </c>
      <c r="F3729" s="52" t="s">
        <v>581</v>
      </c>
      <c r="G3729" s="55" t="s">
        <v>275</v>
      </c>
      <c r="H3729" s="55">
        <v>-6.5061549999999997</v>
      </c>
      <c r="I3729" s="55">
        <v>-2.8706909999999999</v>
      </c>
      <c r="J3729" s="55">
        <v>-1.520823</v>
      </c>
      <c r="K3729" s="55">
        <v>3.9849350000000001</v>
      </c>
      <c r="L3729" s="55">
        <v>-3.371032</v>
      </c>
      <c r="M3729" s="55">
        <v>1.470796</v>
      </c>
      <c r="N3729" s="55">
        <v>0.60508039999999996</v>
      </c>
    </row>
    <row r="3730" spans="1:14" hidden="1" x14ac:dyDescent="0.35">
      <c r="A3730" s="52" t="s">
        <v>268</v>
      </c>
      <c r="B3730" s="52" t="s">
        <v>37</v>
      </c>
      <c r="C3730" s="52" t="s">
        <v>86</v>
      </c>
      <c r="D3730" s="52" t="s">
        <v>86</v>
      </c>
      <c r="E3730" s="52" t="s">
        <v>619</v>
      </c>
      <c r="F3730" s="52" t="s">
        <v>581</v>
      </c>
      <c r="G3730" s="55" t="s">
        <v>276</v>
      </c>
      <c r="H3730" s="55">
        <v>-1.684766</v>
      </c>
      <c r="I3730" s="55">
        <v>-0.5966882</v>
      </c>
      <c r="J3730" s="55">
        <v>0.46301789999999998</v>
      </c>
      <c r="K3730" s="55">
        <v>0.60707710000000004</v>
      </c>
      <c r="L3730" s="55">
        <v>-1.3326499999999999</v>
      </c>
      <c r="M3730" s="55">
        <v>-0.19018599999999999</v>
      </c>
      <c r="N3730" s="55">
        <v>8.6905839999999998E-2</v>
      </c>
    </row>
    <row r="3731" spans="1:14" hidden="1" x14ac:dyDescent="0.35">
      <c r="A3731" s="52" t="s">
        <v>268</v>
      </c>
      <c r="B3731" s="52" t="s">
        <v>37</v>
      </c>
      <c r="C3731" s="52" t="s">
        <v>86</v>
      </c>
      <c r="D3731" s="52" t="s">
        <v>86</v>
      </c>
      <c r="E3731" s="52" t="s">
        <v>619</v>
      </c>
      <c r="F3731" s="52" t="s">
        <v>581</v>
      </c>
      <c r="G3731" s="55" t="s">
        <v>277</v>
      </c>
      <c r="H3731" s="55">
        <v>19.009779999999999</v>
      </c>
      <c r="I3731" s="55">
        <v>9.6046569999999996</v>
      </c>
      <c r="J3731" s="55">
        <v>7.7565629999999999</v>
      </c>
      <c r="K3731" s="55">
        <v>2.9204690000000002</v>
      </c>
      <c r="L3731" s="55">
        <v>13.13481</v>
      </c>
      <c r="M3731" s="55">
        <v>7.3820059999999996</v>
      </c>
      <c r="N3731" s="55">
        <v>8.2319119999999995</v>
      </c>
    </row>
    <row r="3732" spans="1:14" hidden="1" x14ac:dyDescent="0.35">
      <c r="A3732" s="52" t="s">
        <v>268</v>
      </c>
      <c r="B3732" s="52" t="s">
        <v>37</v>
      </c>
      <c r="C3732" s="52" t="s">
        <v>86</v>
      </c>
      <c r="D3732" s="52" t="s">
        <v>86</v>
      </c>
      <c r="E3732" s="52" t="s">
        <v>619</v>
      </c>
      <c r="F3732" s="52" t="s">
        <v>581</v>
      </c>
      <c r="G3732" s="55" t="s">
        <v>278</v>
      </c>
      <c r="H3732" s="55">
        <v>1.550219</v>
      </c>
      <c r="I3732" s="55">
        <v>1.188312</v>
      </c>
      <c r="J3732" s="55">
        <v>1.262421</v>
      </c>
      <c r="K3732" s="55">
        <v>0.4499937</v>
      </c>
      <c r="L3732" s="55">
        <v>0.29844850000000001</v>
      </c>
      <c r="M3732" s="55">
        <v>0</v>
      </c>
      <c r="N3732" s="55"/>
    </row>
    <row r="3733" spans="1:14" hidden="1" x14ac:dyDescent="0.35">
      <c r="A3733" s="52" t="s">
        <v>268</v>
      </c>
      <c r="B3733" s="52" t="s">
        <v>37</v>
      </c>
      <c r="C3733" s="52" t="s">
        <v>86</v>
      </c>
      <c r="D3733" s="52" t="s">
        <v>86</v>
      </c>
      <c r="E3733" s="52" t="s">
        <v>619</v>
      </c>
      <c r="F3733" s="52" t="s">
        <v>581</v>
      </c>
      <c r="G3733" s="55" t="s">
        <v>279</v>
      </c>
      <c r="H3733" s="55">
        <v>2.1662509999999999</v>
      </c>
      <c r="I3733" s="55">
        <v>2.01389</v>
      </c>
      <c r="J3733" s="55">
        <v>2.128196</v>
      </c>
      <c r="K3733" s="55">
        <v>2.2029969999999999</v>
      </c>
      <c r="L3733" s="55">
        <v>2.305504</v>
      </c>
      <c r="M3733" s="55">
        <v>2.5002149999999999</v>
      </c>
      <c r="N3733" s="55">
        <v>2.5004879999999998</v>
      </c>
    </row>
    <row r="3734" spans="1:14" hidden="1" x14ac:dyDescent="0.35">
      <c r="A3734" s="52" t="s">
        <v>268</v>
      </c>
      <c r="B3734" s="52" t="s">
        <v>37</v>
      </c>
      <c r="C3734" s="52" t="s">
        <v>86</v>
      </c>
      <c r="D3734" s="52" t="s">
        <v>86</v>
      </c>
      <c r="E3734" s="52" t="s">
        <v>619</v>
      </c>
      <c r="F3734" s="52" t="s">
        <v>26</v>
      </c>
      <c r="G3734" s="55" t="s">
        <v>275</v>
      </c>
      <c r="H3734" s="55">
        <v>3.8681809999999999</v>
      </c>
      <c r="I3734" s="55">
        <v>3.7745129999999998</v>
      </c>
      <c r="J3734" s="55">
        <v>4.4655990000000001</v>
      </c>
      <c r="K3734" s="55">
        <v>4.3020969999999998</v>
      </c>
      <c r="L3734" s="55">
        <v>4.6002939999999999</v>
      </c>
      <c r="M3734" s="55">
        <v>4.3357859999999997</v>
      </c>
      <c r="N3734" s="55">
        <v>4.3546849999999999</v>
      </c>
    </row>
    <row r="3735" spans="1:14" hidden="1" x14ac:dyDescent="0.35">
      <c r="A3735" s="52" t="s">
        <v>268</v>
      </c>
      <c r="B3735" s="52" t="s">
        <v>37</v>
      </c>
      <c r="C3735" s="52" t="s">
        <v>86</v>
      </c>
      <c r="D3735" s="52" t="s">
        <v>86</v>
      </c>
      <c r="E3735" s="52" t="s">
        <v>619</v>
      </c>
      <c r="F3735" s="52" t="s">
        <v>26</v>
      </c>
      <c r="G3735" s="55" t="s">
        <v>276</v>
      </c>
      <c r="H3735" s="55">
        <v>1.340789</v>
      </c>
      <c r="I3735" s="55">
        <v>1.3083210000000001</v>
      </c>
      <c r="J3735" s="55">
        <v>1.547866</v>
      </c>
      <c r="K3735" s="55">
        <v>1.491193</v>
      </c>
      <c r="L3735" s="55">
        <v>1.594554</v>
      </c>
      <c r="M3735" s="55">
        <v>1.5028699999999999</v>
      </c>
      <c r="N3735" s="55">
        <v>1.50942</v>
      </c>
    </row>
    <row r="3736" spans="1:14" hidden="1" x14ac:dyDescent="0.35">
      <c r="A3736" s="52" t="s">
        <v>268</v>
      </c>
      <c r="B3736" s="52" t="s">
        <v>37</v>
      </c>
      <c r="C3736" s="52" t="s">
        <v>86</v>
      </c>
      <c r="D3736" s="52" t="s">
        <v>86</v>
      </c>
      <c r="E3736" s="52" t="s">
        <v>619</v>
      </c>
      <c r="F3736" s="52" t="s">
        <v>26</v>
      </c>
      <c r="G3736" s="55" t="s">
        <v>279</v>
      </c>
      <c r="H3736" s="55">
        <v>3.8988860000000001</v>
      </c>
      <c r="I3736" s="55">
        <v>4.0620000000000003</v>
      </c>
      <c r="J3736" s="55">
        <v>4.3003359999999997</v>
      </c>
      <c r="K3736" s="55">
        <v>4.5306860000000002</v>
      </c>
      <c r="L3736" s="55">
        <v>4.8595550000000003</v>
      </c>
      <c r="M3736" s="55">
        <v>5.1005000000000003</v>
      </c>
      <c r="N3736" s="55">
        <v>5.0567140000000004</v>
      </c>
    </row>
    <row r="3737" spans="1:14" hidden="1" x14ac:dyDescent="0.35">
      <c r="A3737" s="52" t="s">
        <v>268</v>
      </c>
      <c r="B3737" s="52" t="s">
        <v>37</v>
      </c>
      <c r="C3737" s="52" t="s">
        <v>269</v>
      </c>
      <c r="D3737" s="52" t="s">
        <v>269</v>
      </c>
      <c r="E3737" s="52" t="s">
        <v>584</v>
      </c>
      <c r="F3737" s="52" t="s">
        <v>581</v>
      </c>
      <c r="G3737" s="55" t="s">
        <v>275</v>
      </c>
      <c r="H3737" s="55">
        <v>1.0609919999999999</v>
      </c>
      <c r="I3737" s="55">
        <v>0.29674499999999998</v>
      </c>
      <c r="J3737" s="55">
        <v>0.4228922</v>
      </c>
      <c r="K3737" s="55">
        <v>0.57249050000000001</v>
      </c>
      <c r="L3737" s="55">
        <v>8.8972809999999999E-2</v>
      </c>
      <c r="M3737" s="55">
        <v>4.4223999999999999E-3</v>
      </c>
      <c r="N3737" s="55">
        <v>6.0441009999999996E-3</v>
      </c>
    </row>
    <row r="3738" spans="1:14" hidden="1" x14ac:dyDescent="0.35">
      <c r="A3738" s="52" t="s">
        <v>268</v>
      </c>
      <c r="B3738" s="52" t="s">
        <v>37</v>
      </c>
      <c r="C3738" s="52" t="s">
        <v>269</v>
      </c>
      <c r="D3738" s="52" t="s">
        <v>269</v>
      </c>
      <c r="E3738" s="52" t="s">
        <v>584</v>
      </c>
      <c r="F3738" s="52" t="s">
        <v>581</v>
      </c>
      <c r="G3738" s="55" t="s">
        <v>276</v>
      </c>
      <c r="H3738" s="55">
        <v>-0.308251</v>
      </c>
      <c r="I3738" s="55">
        <v>-0.22070819999999999</v>
      </c>
      <c r="J3738" s="55">
        <v>-0.275945</v>
      </c>
      <c r="K3738" s="55">
        <v>-0.4757652</v>
      </c>
      <c r="L3738" s="55">
        <v>2.3650299999999999E-2</v>
      </c>
      <c r="M3738" s="55">
        <v>1.1762999999999999E-3</v>
      </c>
      <c r="N3738" s="55">
        <v>1.6071010000000001E-3</v>
      </c>
    </row>
    <row r="3739" spans="1:14" hidden="1" x14ac:dyDescent="0.35">
      <c r="A3739" s="52" t="s">
        <v>268</v>
      </c>
      <c r="B3739" s="52" t="s">
        <v>37</v>
      </c>
      <c r="C3739" s="52" t="s">
        <v>269</v>
      </c>
      <c r="D3739" s="52" t="s">
        <v>269</v>
      </c>
      <c r="E3739" s="52" t="s">
        <v>584</v>
      </c>
      <c r="F3739" s="52" t="s">
        <v>581</v>
      </c>
      <c r="G3739" s="55" t="s">
        <v>277</v>
      </c>
      <c r="H3739" s="55">
        <v>0</v>
      </c>
      <c r="I3739" s="55"/>
      <c r="J3739" s="55"/>
      <c r="K3739" s="55"/>
      <c r="L3739" s="55">
        <v>0</v>
      </c>
      <c r="M3739" s="55">
        <v>0</v>
      </c>
      <c r="N3739" s="55">
        <v>0</v>
      </c>
    </row>
    <row r="3740" spans="1:14" hidden="1" x14ac:dyDescent="0.35">
      <c r="A3740" s="52" t="s">
        <v>268</v>
      </c>
      <c r="B3740" s="52" t="s">
        <v>37</v>
      </c>
      <c r="C3740" s="52" t="s">
        <v>269</v>
      </c>
      <c r="D3740" s="52" t="s">
        <v>269</v>
      </c>
      <c r="E3740" s="52" t="s">
        <v>584</v>
      </c>
      <c r="F3740" s="52" t="s">
        <v>581</v>
      </c>
      <c r="G3740" s="55" t="s">
        <v>279</v>
      </c>
      <c r="H3740" s="55">
        <v>0.8815269</v>
      </c>
      <c r="I3740" s="55">
        <v>0.89564500000000002</v>
      </c>
      <c r="J3740" s="55">
        <v>1.1609480000000001</v>
      </c>
      <c r="K3740" s="55">
        <v>0.95556620000000003</v>
      </c>
      <c r="L3740" s="55">
        <v>0.69394149999999999</v>
      </c>
      <c r="M3740" s="55">
        <v>0.68709260000000005</v>
      </c>
      <c r="N3740" s="55">
        <v>0.60585440000000002</v>
      </c>
    </row>
    <row r="3741" spans="1:14" hidden="1" x14ac:dyDescent="0.35">
      <c r="A3741" s="52" t="s">
        <v>268</v>
      </c>
      <c r="B3741" s="52" t="s">
        <v>37</v>
      </c>
      <c r="C3741" s="52" t="s">
        <v>269</v>
      </c>
      <c r="D3741" s="52" t="s">
        <v>269</v>
      </c>
      <c r="E3741" s="52" t="s">
        <v>584</v>
      </c>
      <c r="F3741" s="52" t="s">
        <v>26</v>
      </c>
      <c r="G3741" s="55" t="s">
        <v>275</v>
      </c>
      <c r="H3741" s="55">
        <v>-0.107712</v>
      </c>
      <c r="I3741" s="55">
        <v>-0.1095713</v>
      </c>
      <c r="J3741" s="55">
        <v>-0.12906509999999999</v>
      </c>
      <c r="K3741" s="55">
        <v>-0.1109494</v>
      </c>
      <c r="L3741" s="55">
        <v>-7.7243699999999998E-2</v>
      </c>
      <c r="M3741" s="55">
        <v>-8.8140389999999999E-2</v>
      </c>
      <c r="N3741" s="55">
        <v>-7.7720499999999998E-2</v>
      </c>
    </row>
    <row r="3742" spans="1:14" hidden="1" x14ac:dyDescent="0.35">
      <c r="A3742" s="52" t="s">
        <v>268</v>
      </c>
      <c r="B3742" s="52" t="s">
        <v>37</v>
      </c>
      <c r="C3742" s="52" t="s">
        <v>269</v>
      </c>
      <c r="D3742" s="52" t="s">
        <v>269</v>
      </c>
      <c r="E3742" s="52" t="s">
        <v>584</v>
      </c>
      <c r="F3742" s="52" t="s">
        <v>26</v>
      </c>
      <c r="G3742" s="55" t="s">
        <v>276</v>
      </c>
      <c r="H3742" s="55">
        <v>-2.8632000000000001E-2</v>
      </c>
      <c r="I3742" s="55">
        <v>-2.9126699999999998E-2</v>
      </c>
      <c r="J3742" s="55">
        <v>-3.4308699999999998E-2</v>
      </c>
      <c r="K3742" s="55">
        <v>-2.9491900000000001E-2</v>
      </c>
      <c r="L3742" s="55">
        <v>-2.0532600000000002E-2</v>
      </c>
      <c r="M3742" s="55">
        <v>-2.34294E-2</v>
      </c>
      <c r="N3742" s="55">
        <v>-2.06597E-2</v>
      </c>
    </row>
    <row r="3743" spans="1:14" hidden="1" x14ac:dyDescent="0.35">
      <c r="A3743" s="52" t="s">
        <v>268</v>
      </c>
      <c r="B3743" s="52" t="s">
        <v>37</v>
      </c>
      <c r="C3743" s="52" t="s">
        <v>269</v>
      </c>
      <c r="D3743" s="52" t="s">
        <v>269</v>
      </c>
      <c r="E3743" s="52" t="s">
        <v>584</v>
      </c>
      <c r="F3743" s="52" t="s">
        <v>26</v>
      </c>
      <c r="G3743" s="55" t="s">
        <v>279</v>
      </c>
      <c r="H3743" s="55">
        <v>0.28668100000000002</v>
      </c>
      <c r="I3743" s="55">
        <v>0.28012979999999998</v>
      </c>
      <c r="J3743" s="55">
        <v>0.36507040000000002</v>
      </c>
      <c r="K3743" s="55">
        <v>0.3018844</v>
      </c>
      <c r="L3743" s="55">
        <v>0.22097890000000001</v>
      </c>
      <c r="M3743" s="55">
        <v>0.21685889999999999</v>
      </c>
      <c r="N3743" s="55">
        <v>0.1911409</v>
      </c>
    </row>
    <row r="3744" spans="1:14" hidden="1" x14ac:dyDescent="0.35">
      <c r="A3744" s="52" t="s">
        <v>268</v>
      </c>
      <c r="B3744" s="52" t="s">
        <v>37</v>
      </c>
      <c r="C3744" s="52" t="s">
        <v>79</v>
      </c>
      <c r="D3744" s="52" t="s">
        <v>79</v>
      </c>
      <c r="E3744" s="52" t="s">
        <v>584</v>
      </c>
      <c r="F3744" s="52" t="s">
        <v>581</v>
      </c>
      <c r="G3744" s="55" t="s">
        <v>275</v>
      </c>
      <c r="H3744" s="55">
        <v>0.40295900000000001</v>
      </c>
      <c r="I3744" s="55">
        <v>0.15302160000000001</v>
      </c>
      <c r="J3744" s="55">
        <v>0.126864</v>
      </c>
      <c r="K3744" s="55">
        <v>0.1150236</v>
      </c>
      <c r="L3744" s="55">
        <v>0.10941869999999999</v>
      </c>
      <c r="M3744" s="55">
        <v>9.1951889999999994E-2</v>
      </c>
      <c r="N3744" s="55">
        <v>8.4788989999999995E-2</v>
      </c>
    </row>
    <row r="3745" spans="1:14" hidden="1" x14ac:dyDescent="0.35">
      <c r="A3745" s="52" t="s">
        <v>268</v>
      </c>
      <c r="B3745" s="52" t="s">
        <v>37</v>
      </c>
      <c r="C3745" s="52" t="s">
        <v>79</v>
      </c>
      <c r="D3745" s="52" t="s">
        <v>79</v>
      </c>
      <c r="E3745" s="52" t="s">
        <v>584</v>
      </c>
      <c r="F3745" s="52" t="s">
        <v>581</v>
      </c>
      <c r="G3745" s="55" t="s">
        <v>276</v>
      </c>
      <c r="H3745" s="55">
        <v>0.101427</v>
      </c>
      <c r="I3745" s="55">
        <v>1.7920999999999999E-2</v>
      </c>
      <c r="J3745" s="55">
        <v>3.3723299999999998E-2</v>
      </c>
      <c r="K3745" s="55">
        <v>3.0575600000000001E-2</v>
      </c>
      <c r="L3745" s="55">
        <v>2.90862E-2</v>
      </c>
      <c r="M3745" s="55">
        <v>2.4442599999999998E-2</v>
      </c>
      <c r="N3745" s="55">
        <v>2.2538699999999998E-2</v>
      </c>
    </row>
    <row r="3746" spans="1:14" hidden="1" x14ac:dyDescent="0.35">
      <c r="A3746" s="52" t="s">
        <v>268</v>
      </c>
      <c r="B3746" s="52" t="s">
        <v>37</v>
      </c>
      <c r="C3746" s="52" t="s">
        <v>79</v>
      </c>
      <c r="D3746" s="52" t="s">
        <v>79</v>
      </c>
      <c r="E3746" s="52" t="s">
        <v>584</v>
      </c>
      <c r="F3746" s="52" t="s">
        <v>581</v>
      </c>
      <c r="G3746" s="55" t="s">
        <v>279</v>
      </c>
      <c r="H3746" s="55">
        <v>0.19778200000000001</v>
      </c>
      <c r="I3746" s="55">
        <v>0.13302639999999999</v>
      </c>
      <c r="J3746" s="55">
        <v>0.1168107</v>
      </c>
      <c r="K3746" s="55">
        <v>0.1107059</v>
      </c>
      <c r="L3746" s="55">
        <v>9.8293199999999997E-2</v>
      </c>
      <c r="M3746" s="55">
        <v>0.10294739999999999</v>
      </c>
      <c r="N3746" s="55">
        <v>9.4717599999999999E-2</v>
      </c>
    </row>
    <row r="3747" spans="1:14" hidden="1" x14ac:dyDescent="0.35">
      <c r="A3747" s="52" t="s">
        <v>268</v>
      </c>
      <c r="B3747" s="52" t="s">
        <v>37</v>
      </c>
      <c r="C3747" s="52" t="s">
        <v>79</v>
      </c>
      <c r="D3747" s="52" t="s">
        <v>79</v>
      </c>
      <c r="E3747" s="52" t="s">
        <v>584</v>
      </c>
      <c r="F3747" s="52" t="s">
        <v>26</v>
      </c>
      <c r="G3747" s="55" t="s">
        <v>275</v>
      </c>
      <c r="H3747" s="55">
        <v>-2.1738E-2</v>
      </c>
      <c r="I3747" s="55">
        <v>-2.40398E-2</v>
      </c>
      <c r="J3747" s="55">
        <v>-3.5587000000000001E-3</v>
      </c>
      <c r="K3747" s="55">
        <v>-1.11915E-2</v>
      </c>
      <c r="L3747" s="55">
        <v>-5.0500989999999997E-3</v>
      </c>
      <c r="M3747" s="55">
        <v>-2.6799799999999999E-2</v>
      </c>
      <c r="N3747" s="55">
        <v>-2.4727599999999999E-2</v>
      </c>
    </row>
    <row r="3748" spans="1:14" hidden="1" x14ac:dyDescent="0.35">
      <c r="A3748" s="52" t="s">
        <v>268</v>
      </c>
      <c r="B3748" s="52" t="s">
        <v>37</v>
      </c>
      <c r="C3748" s="52" t="s">
        <v>79</v>
      </c>
      <c r="D3748" s="52" t="s">
        <v>79</v>
      </c>
      <c r="E3748" s="52" t="s">
        <v>584</v>
      </c>
      <c r="F3748" s="52" t="s">
        <v>26</v>
      </c>
      <c r="G3748" s="55" t="s">
        <v>276</v>
      </c>
      <c r="H3748" s="55">
        <v>-5.7779989999999998E-3</v>
      </c>
      <c r="I3748" s="55">
        <v>-6.3902999999999998E-3</v>
      </c>
      <c r="J3748" s="55">
        <v>-9.4609990000000003E-4</v>
      </c>
      <c r="K3748" s="55">
        <v>-2.9742000000000002E-3</v>
      </c>
      <c r="L3748" s="55">
        <v>-1.3420999999999999E-3</v>
      </c>
      <c r="M3748" s="55">
        <v>-7.1240009999999996E-3</v>
      </c>
      <c r="N3748" s="55">
        <v>-6.5728999999999996E-3</v>
      </c>
    </row>
    <row r="3749" spans="1:14" hidden="1" x14ac:dyDescent="0.35">
      <c r="A3749" s="52" t="s">
        <v>268</v>
      </c>
      <c r="B3749" s="52" t="s">
        <v>37</v>
      </c>
      <c r="C3749" s="52" t="s">
        <v>79</v>
      </c>
      <c r="D3749" s="52" t="s">
        <v>79</v>
      </c>
      <c r="E3749" s="52" t="s">
        <v>584</v>
      </c>
      <c r="F3749" s="52" t="s">
        <v>26</v>
      </c>
      <c r="G3749" s="55" t="s">
        <v>279</v>
      </c>
      <c r="H3749" s="55">
        <v>0.47270600000000002</v>
      </c>
      <c r="I3749" s="55">
        <v>0.32999729999999999</v>
      </c>
      <c r="J3749" s="55">
        <v>0.29175610000000002</v>
      </c>
      <c r="K3749" s="55">
        <v>0.27919310000000003</v>
      </c>
      <c r="L3749" s="55">
        <v>0.2510597</v>
      </c>
      <c r="M3749" s="55">
        <v>0.26023930000000001</v>
      </c>
      <c r="N3749" s="55">
        <v>0.23937030000000001</v>
      </c>
    </row>
    <row r="3750" spans="1:14" hidden="1" x14ac:dyDescent="0.35">
      <c r="A3750" s="52" t="s">
        <v>268</v>
      </c>
      <c r="B3750" s="52" t="s">
        <v>37</v>
      </c>
      <c r="C3750" s="52" t="s">
        <v>63</v>
      </c>
      <c r="D3750" s="52" t="s">
        <v>63</v>
      </c>
      <c r="E3750" s="52" t="s">
        <v>608</v>
      </c>
      <c r="F3750" s="52" t="s">
        <v>581</v>
      </c>
      <c r="G3750" s="55" t="s">
        <v>275</v>
      </c>
      <c r="H3750" s="55"/>
      <c r="I3750" s="55"/>
      <c r="J3750" s="55"/>
      <c r="K3750" s="55">
        <v>0</v>
      </c>
      <c r="L3750" s="55">
        <v>-5.8840999999999997E-3</v>
      </c>
      <c r="M3750" s="55">
        <v>8.8380000000000002E-4</v>
      </c>
      <c r="N3750" s="55">
        <v>6.5530000000000004E-4</v>
      </c>
    </row>
    <row r="3751" spans="1:14" hidden="1" x14ac:dyDescent="0.35">
      <c r="A3751" s="52" t="s">
        <v>268</v>
      </c>
      <c r="B3751" s="52" t="s">
        <v>37</v>
      </c>
      <c r="C3751" s="52" t="s">
        <v>63</v>
      </c>
      <c r="D3751" s="52" t="s">
        <v>63</v>
      </c>
      <c r="E3751" s="52" t="s">
        <v>608</v>
      </c>
      <c r="F3751" s="52" t="s">
        <v>581</v>
      </c>
      <c r="G3751" s="55" t="s">
        <v>276</v>
      </c>
      <c r="H3751" s="55"/>
      <c r="I3751" s="55"/>
      <c r="J3751" s="55"/>
      <c r="K3751" s="55">
        <v>0</v>
      </c>
      <c r="L3751" s="55">
        <v>-6.4630000000000004E-4</v>
      </c>
      <c r="M3751" s="55">
        <v>3.5819999999999998E-4</v>
      </c>
      <c r="N3751" s="55">
        <v>2.6610000000000002E-4</v>
      </c>
    </row>
    <row r="3752" spans="1:14" hidden="1" x14ac:dyDescent="0.35">
      <c r="A3752" s="52" t="s">
        <v>268</v>
      </c>
      <c r="B3752" s="52" t="s">
        <v>37</v>
      </c>
      <c r="C3752" s="52" t="s">
        <v>63</v>
      </c>
      <c r="D3752" s="52" t="s">
        <v>63</v>
      </c>
      <c r="E3752" s="52" t="s">
        <v>608</v>
      </c>
      <c r="F3752" s="52" t="s">
        <v>581</v>
      </c>
      <c r="G3752" s="55" t="s">
        <v>279</v>
      </c>
      <c r="H3752" s="55"/>
      <c r="I3752" s="55"/>
      <c r="J3752" s="55"/>
      <c r="K3752" s="55">
        <v>0</v>
      </c>
      <c r="L3752" s="55">
        <v>7.4317999999999997E-3</v>
      </c>
      <c r="M3752" s="55">
        <v>1.0135399999999999E-2</v>
      </c>
      <c r="N3752" s="55">
        <v>5.6255999999999997E-3</v>
      </c>
    </row>
    <row r="3753" spans="1:14" hidden="1" x14ac:dyDescent="0.35">
      <c r="A3753" s="52" t="s">
        <v>268</v>
      </c>
      <c r="B3753" s="52" t="s">
        <v>37</v>
      </c>
      <c r="C3753" s="52" t="s">
        <v>63</v>
      </c>
      <c r="D3753" s="52" t="s">
        <v>63</v>
      </c>
      <c r="E3753" s="52" t="s">
        <v>608</v>
      </c>
      <c r="F3753" s="52" t="s">
        <v>26</v>
      </c>
      <c r="G3753" s="55" t="s">
        <v>275</v>
      </c>
      <c r="H3753" s="55"/>
      <c r="I3753" s="55"/>
      <c r="J3753" s="55"/>
      <c r="K3753" s="55">
        <v>0</v>
      </c>
      <c r="L3753" s="55">
        <v>-1.4316070000000001</v>
      </c>
      <c r="M3753" s="55">
        <v>0.27775699999999998</v>
      </c>
      <c r="N3753" s="55">
        <v>0.18286569999999999</v>
      </c>
    </row>
    <row r="3754" spans="1:14" hidden="1" x14ac:dyDescent="0.35">
      <c r="A3754" s="52" t="s">
        <v>268</v>
      </c>
      <c r="B3754" s="52" t="s">
        <v>37</v>
      </c>
      <c r="C3754" s="52" t="s">
        <v>63</v>
      </c>
      <c r="D3754" s="52" t="s">
        <v>63</v>
      </c>
      <c r="E3754" s="52" t="s">
        <v>608</v>
      </c>
      <c r="F3754" s="52" t="s">
        <v>26</v>
      </c>
      <c r="G3754" s="55" t="s">
        <v>276</v>
      </c>
      <c r="H3754" s="55"/>
      <c r="I3754" s="55"/>
      <c r="J3754" s="55"/>
      <c r="K3754" s="55">
        <v>0</v>
      </c>
      <c r="L3754" s="55">
        <v>-2.89676E-2</v>
      </c>
      <c r="M3754" s="55">
        <v>3.3645700000000001E-2</v>
      </c>
      <c r="N3754" s="55">
        <v>-1.2963E-3</v>
      </c>
    </row>
    <row r="3755" spans="1:14" hidden="1" x14ac:dyDescent="0.35">
      <c r="A3755" s="52" t="s">
        <v>268</v>
      </c>
      <c r="B3755" s="52" t="s">
        <v>37</v>
      </c>
      <c r="C3755" s="52" t="s">
        <v>63</v>
      </c>
      <c r="D3755" s="52" t="s">
        <v>63</v>
      </c>
      <c r="E3755" s="52" t="s">
        <v>608</v>
      </c>
      <c r="F3755" s="52" t="s">
        <v>26</v>
      </c>
      <c r="G3755" s="55" t="s">
        <v>277</v>
      </c>
      <c r="H3755" s="55"/>
      <c r="I3755" s="55"/>
      <c r="J3755" s="55"/>
      <c r="K3755" s="55">
        <v>0</v>
      </c>
      <c r="L3755" s="55">
        <v>0.32809949999999999</v>
      </c>
      <c r="M3755" s="55">
        <v>0</v>
      </c>
      <c r="N3755" s="55">
        <v>0</v>
      </c>
    </row>
    <row r="3756" spans="1:14" hidden="1" x14ac:dyDescent="0.35">
      <c r="A3756" s="52" t="s">
        <v>268</v>
      </c>
      <c r="B3756" s="52" t="s">
        <v>37</v>
      </c>
      <c r="C3756" s="52" t="s">
        <v>63</v>
      </c>
      <c r="D3756" s="52" t="s">
        <v>63</v>
      </c>
      <c r="E3756" s="52" t="s">
        <v>608</v>
      </c>
      <c r="F3756" s="52" t="s">
        <v>26</v>
      </c>
      <c r="G3756" s="55" t="s">
        <v>278</v>
      </c>
      <c r="H3756" s="55"/>
      <c r="I3756" s="55"/>
      <c r="J3756" s="55"/>
      <c r="K3756" s="55">
        <v>0</v>
      </c>
      <c r="L3756" s="55">
        <v>1.0345359999999999</v>
      </c>
      <c r="M3756" s="55">
        <v>0</v>
      </c>
      <c r="N3756" s="55"/>
    </row>
    <row r="3757" spans="1:14" hidden="1" x14ac:dyDescent="0.35">
      <c r="A3757" s="52" t="s">
        <v>268</v>
      </c>
      <c r="B3757" s="52" t="s">
        <v>37</v>
      </c>
      <c r="C3757" s="52" t="s">
        <v>63</v>
      </c>
      <c r="D3757" s="52" t="s">
        <v>63</v>
      </c>
      <c r="E3757" s="52" t="s">
        <v>608</v>
      </c>
      <c r="F3757" s="52" t="s">
        <v>26</v>
      </c>
      <c r="G3757" s="55" t="s">
        <v>279</v>
      </c>
      <c r="H3757" s="55"/>
      <c r="I3757" s="55"/>
      <c r="J3757" s="55"/>
      <c r="K3757" s="55">
        <v>0</v>
      </c>
      <c r="L3757" s="55">
        <v>0.1682825</v>
      </c>
      <c r="M3757" s="55">
        <v>0.57276879999999997</v>
      </c>
      <c r="N3757" s="55">
        <v>0.32463219999999998</v>
      </c>
    </row>
    <row r="3758" spans="1:14" hidden="1" x14ac:dyDescent="0.35">
      <c r="A3758" s="52" t="s">
        <v>268</v>
      </c>
      <c r="B3758" s="52" t="s">
        <v>37</v>
      </c>
      <c r="C3758" s="52" t="s">
        <v>251</v>
      </c>
      <c r="D3758" s="52" t="s">
        <v>251</v>
      </c>
      <c r="E3758" s="52" t="s">
        <v>584</v>
      </c>
      <c r="F3758" s="52" t="s">
        <v>581</v>
      </c>
      <c r="G3758" s="55" t="s">
        <v>275</v>
      </c>
      <c r="H3758" s="55">
        <v>1.5141E-2</v>
      </c>
      <c r="I3758" s="55">
        <v>-2.4090000000000001E-3</v>
      </c>
      <c r="J3758" s="55">
        <v>8.3999999999999995E-5</v>
      </c>
      <c r="K3758" s="55">
        <v>-10.85385</v>
      </c>
      <c r="L3758" s="55">
        <v>5.3999999999999998E-5</v>
      </c>
      <c r="M3758" s="55">
        <v>0</v>
      </c>
      <c r="N3758" s="55"/>
    </row>
    <row r="3759" spans="1:14" hidden="1" x14ac:dyDescent="0.35">
      <c r="A3759" s="52" t="s">
        <v>268</v>
      </c>
      <c r="B3759" s="52" t="s">
        <v>37</v>
      </c>
      <c r="C3759" s="52" t="s">
        <v>251</v>
      </c>
      <c r="D3759" s="52" t="s">
        <v>251</v>
      </c>
      <c r="E3759" s="52" t="s">
        <v>584</v>
      </c>
      <c r="F3759" s="52" t="s">
        <v>581</v>
      </c>
      <c r="G3759" s="55" t="s">
        <v>276</v>
      </c>
      <c r="H3759" s="55">
        <v>3.7659999999999998E-3</v>
      </c>
      <c r="I3759" s="55">
        <v>-1.06E-4</v>
      </c>
      <c r="J3759" s="55">
        <v>-8.3999999999999995E-5</v>
      </c>
      <c r="K3759" s="55">
        <v>-2.8852869999999999</v>
      </c>
      <c r="L3759" s="55">
        <v>-5.3999999999999998E-5</v>
      </c>
      <c r="M3759" s="55">
        <v>0</v>
      </c>
      <c r="N3759" s="55"/>
    </row>
    <row r="3760" spans="1:14" hidden="1" x14ac:dyDescent="0.35">
      <c r="A3760" s="52" t="s">
        <v>268</v>
      </c>
      <c r="B3760" s="52" t="s">
        <v>37</v>
      </c>
      <c r="C3760" s="52" t="s">
        <v>251</v>
      </c>
      <c r="D3760" s="52" t="s">
        <v>251</v>
      </c>
      <c r="E3760" s="52" t="s">
        <v>584</v>
      </c>
      <c r="F3760" s="52" t="s">
        <v>581</v>
      </c>
      <c r="G3760" s="55" t="s">
        <v>278</v>
      </c>
      <c r="H3760" s="55">
        <v>0</v>
      </c>
      <c r="I3760" s="55">
        <v>2.5149999999999999E-3</v>
      </c>
      <c r="J3760" s="55">
        <v>0</v>
      </c>
      <c r="K3760" s="55"/>
      <c r="L3760" s="55"/>
      <c r="M3760" s="55"/>
      <c r="N3760" s="55"/>
    </row>
    <row r="3761" spans="1:14" hidden="1" x14ac:dyDescent="0.35">
      <c r="A3761" s="52" t="s">
        <v>268</v>
      </c>
      <c r="B3761" s="52" t="s">
        <v>37</v>
      </c>
      <c r="C3761" s="52" t="s">
        <v>251</v>
      </c>
      <c r="D3761" s="52" t="s">
        <v>251</v>
      </c>
      <c r="E3761" s="52" t="s">
        <v>584</v>
      </c>
      <c r="F3761" s="52" t="s">
        <v>581</v>
      </c>
      <c r="G3761" s="55" t="s">
        <v>279</v>
      </c>
      <c r="H3761" s="55">
        <v>1.149E-2</v>
      </c>
      <c r="I3761" s="55">
        <v>0</v>
      </c>
      <c r="J3761" s="55">
        <v>0</v>
      </c>
      <c r="K3761" s="55">
        <v>13.739140000000001</v>
      </c>
      <c r="L3761" s="55"/>
      <c r="M3761" s="55">
        <v>0</v>
      </c>
      <c r="N3761" s="55"/>
    </row>
    <row r="3762" spans="1:14" hidden="1" x14ac:dyDescent="0.35">
      <c r="A3762" s="52" t="s">
        <v>268</v>
      </c>
      <c r="B3762" s="52" t="s">
        <v>37</v>
      </c>
      <c r="C3762" s="52" t="s">
        <v>251</v>
      </c>
      <c r="D3762" s="52" t="s">
        <v>251</v>
      </c>
      <c r="E3762" s="52" t="s">
        <v>584</v>
      </c>
      <c r="F3762" s="52" t="s">
        <v>26</v>
      </c>
      <c r="G3762" s="55" t="s">
        <v>275</v>
      </c>
      <c r="H3762" s="55">
        <v>8.0832000000000001E-2</v>
      </c>
      <c r="I3762" s="55">
        <v>-0.1738104</v>
      </c>
      <c r="J3762" s="55">
        <v>3.00904E-2</v>
      </c>
      <c r="K3762" s="55">
        <v>-12.657109999999999</v>
      </c>
      <c r="L3762" s="55">
        <v>4.9148990000000004E-3</v>
      </c>
      <c r="M3762" s="55"/>
      <c r="N3762" s="55"/>
    </row>
    <row r="3763" spans="1:14" hidden="1" x14ac:dyDescent="0.35">
      <c r="A3763" s="52" t="s">
        <v>268</v>
      </c>
      <c r="B3763" s="52" t="s">
        <v>37</v>
      </c>
      <c r="C3763" s="52" t="s">
        <v>251</v>
      </c>
      <c r="D3763" s="52" t="s">
        <v>251</v>
      </c>
      <c r="E3763" s="52" t="s">
        <v>584</v>
      </c>
      <c r="F3763" s="52" t="s">
        <v>26</v>
      </c>
      <c r="G3763" s="55" t="s">
        <v>276</v>
      </c>
      <c r="H3763" s="55">
        <v>-0.151918</v>
      </c>
      <c r="I3763" s="55">
        <v>-0.1261534</v>
      </c>
      <c r="J3763" s="55">
        <v>-7.0649900000000002E-2</v>
      </c>
      <c r="K3763" s="55">
        <v>-3.4341930000000001</v>
      </c>
      <c r="L3763" s="55"/>
      <c r="M3763" s="55"/>
      <c r="N3763" s="55"/>
    </row>
    <row r="3764" spans="1:14" hidden="1" x14ac:dyDescent="0.35">
      <c r="A3764" s="52" t="s">
        <v>268</v>
      </c>
      <c r="B3764" s="52" t="s">
        <v>37</v>
      </c>
      <c r="C3764" s="52" t="s">
        <v>251</v>
      </c>
      <c r="D3764" s="52" t="s">
        <v>251</v>
      </c>
      <c r="E3764" s="52" t="s">
        <v>584</v>
      </c>
      <c r="F3764" s="52" t="s">
        <v>26</v>
      </c>
      <c r="G3764" s="55" t="s">
        <v>277</v>
      </c>
      <c r="H3764" s="55">
        <v>0</v>
      </c>
      <c r="I3764" s="55"/>
      <c r="J3764" s="55">
        <v>0</v>
      </c>
      <c r="K3764" s="55"/>
      <c r="L3764" s="55"/>
      <c r="M3764" s="55"/>
      <c r="N3764" s="55"/>
    </row>
    <row r="3765" spans="1:14" hidden="1" x14ac:dyDescent="0.35">
      <c r="A3765" s="52" t="s">
        <v>268</v>
      </c>
      <c r="B3765" s="52" t="s">
        <v>37</v>
      </c>
      <c r="C3765" s="52" t="s">
        <v>251</v>
      </c>
      <c r="D3765" s="52" t="s">
        <v>251</v>
      </c>
      <c r="E3765" s="52" t="s">
        <v>584</v>
      </c>
      <c r="F3765" s="52" t="s">
        <v>26</v>
      </c>
      <c r="G3765" s="55" t="s">
        <v>279</v>
      </c>
      <c r="H3765" s="55">
        <v>0.60125010000000001</v>
      </c>
      <c r="I3765" s="55">
        <v>0.51581909999999997</v>
      </c>
      <c r="J3765" s="55">
        <v>0.50600699999999998</v>
      </c>
      <c r="K3765" s="55">
        <v>16.0913</v>
      </c>
      <c r="L3765" s="55"/>
      <c r="M3765" s="55">
        <v>0</v>
      </c>
      <c r="N3765" s="55"/>
    </row>
    <row r="3766" spans="1:14" hidden="1" x14ac:dyDescent="0.35">
      <c r="A3766" s="52" t="s">
        <v>268</v>
      </c>
      <c r="B3766" s="52" t="s">
        <v>37</v>
      </c>
      <c r="C3766" s="52" t="s">
        <v>118</v>
      </c>
      <c r="D3766" s="52" t="s">
        <v>118</v>
      </c>
      <c r="E3766" s="52" t="s">
        <v>659</v>
      </c>
      <c r="F3766" s="52" t="s">
        <v>581</v>
      </c>
      <c r="G3766" s="55" t="s">
        <v>275</v>
      </c>
      <c r="H3766" s="55"/>
      <c r="I3766" s="55"/>
      <c r="J3766" s="55"/>
      <c r="K3766" s="55">
        <v>0</v>
      </c>
      <c r="L3766" s="55">
        <v>0</v>
      </c>
      <c r="M3766" s="55">
        <v>0</v>
      </c>
      <c r="N3766" s="55">
        <v>0</v>
      </c>
    </row>
    <row r="3767" spans="1:14" hidden="1" x14ac:dyDescent="0.35">
      <c r="A3767" s="52" t="s">
        <v>268</v>
      </c>
      <c r="B3767" s="52" t="s">
        <v>37</v>
      </c>
      <c r="C3767" s="52" t="s">
        <v>205</v>
      </c>
      <c r="D3767" s="52" t="s">
        <v>205</v>
      </c>
      <c r="E3767" s="52" t="s">
        <v>611</v>
      </c>
      <c r="F3767" s="52" t="s">
        <v>581</v>
      </c>
      <c r="G3767" s="55" t="s">
        <v>275</v>
      </c>
      <c r="H3767" s="55"/>
      <c r="I3767" s="55"/>
      <c r="J3767" s="55"/>
      <c r="K3767" s="55"/>
      <c r="L3767" s="55">
        <v>0</v>
      </c>
      <c r="M3767" s="55">
        <v>0</v>
      </c>
      <c r="N3767" s="55">
        <v>0</v>
      </c>
    </row>
    <row r="3768" spans="1:14" hidden="1" x14ac:dyDescent="0.35">
      <c r="A3768" s="52" t="s">
        <v>268</v>
      </c>
      <c r="B3768" s="52" t="s">
        <v>37</v>
      </c>
      <c r="C3768" s="52" t="s">
        <v>118</v>
      </c>
      <c r="D3768" s="52" t="s">
        <v>118</v>
      </c>
      <c r="E3768" s="52" t="s">
        <v>659</v>
      </c>
      <c r="F3768" s="52" t="s">
        <v>581</v>
      </c>
      <c r="G3768" s="55" t="s">
        <v>276</v>
      </c>
      <c r="H3768" s="55"/>
      <c r="I3768" s="55"/>
      <c r="J3768" s="55"/>
      <c r="K3768" s="55">
        <v>0</v>
      </c>
      <c r="L3768" s="55">
        <v>0</v>
      </c>
      <c r="M3768" s="55">
        <v>0</v>
      </c>
      <c r="N3768" s="55">
        <v>0</v>
      </c>
    </row>
    <row r="3769" spans="1:14" hidden="1" x14ac:dyDescent="0.35">
      <c r="A3769" s="52" t="s">
        <v>268</v>
      </c>
      <c r="B3769" s="52" t="s">
        <v>37</v>
      </c>
      <c r="C3769" s="52" t="s">
        <v>118</v>
      </c>
      <c r="D3769" s="52" t="s">
        <v>118</v>
      </c>
      <c r="E3769" s="52" t="s">
        <v>659</v>
      </c>
      <c r="F3769" s="52" t="s">
        <v>581</v>
      </c>
      <c r="G3769" s="55" t="s">
        <v>279</v>
      </c>
      <c r="H3769" s="55"/>
      <c r="I3769" s="55"/>
      <c r="J3769" s="55"/>
      <c r="K3769" s="55">
        <v>0</v>
      </c>
      <c r="L3769" s="55">
        <v>0</v>
      </c>
      <c r="M3769" s="55">
        <v>0</v>
      </c>
      <c r="N3769" s="55">
        <v>0</v>
      </c>
    </row>
    <row r="3770" spans="1:14" hidden="1" x14ac:dyDescent="0.35">
      <c r="A3770" s="52" t="s">
        <v>268</v>
      </c>
      <c r="B3770" s="52" t="s">
        <v>37</v>
      </c>
      <c r="C3770" s="52" t="s">
        <v>205</v>
      </c>
      <c r="D3770" s="52" t="s">
        <v>205</v>
      </c>
      <c r="E3770" s="52" t="s">
        <v>611</v>
      </c>
      <c r="F3770" s="52" t="s">
        <v>581</v>
      </c>
      <c r="G3770" s="55" t="s">
        <v>279</v>
      </c>
      <c r="H3770" s="55"/>
      <c r="I3770" s="55"/>
      <c r="J3770" s="55"/>
      <c r="K3770" s="55"/>
      <c r="L3770" s="55">
        <v>0</v>
      </c>
      <c r="M3770" s="55">
        <v>0</v>
      </c>
      <c r="N3770" s="55">
        <v>0</v>
      </c>
    </row>
    <row r="3771" spans="1:14" hidden="1" x14ac:dyDescent="0.35">
      <c r="A3771" s="52" t="s">
        <v>268</v>
      </c>
      <c r="B3771" s="52" t="s">
        <v>37</v>
      </c>
      <c r="C3771" s="52" t="s">
        <v>205</v>
      </c>
      <c r="D3771" s="52" t="s">
        <v>205</v>
      </c>
      <c r="E3771" s="52" t="s">
        <v>611</v>
      </c>
      <c r="F3771" s="52" t="s">
        <v>26</v>
      </c>
      <c r="G3771" s="55" t="s">
        <v>275</v>
      </c>
      <c r="H3771" s="55"/>
      <c r="I3771" s="55"/>
      <c r="J3771" s="55"/>
      <c r="K3771" s="55"/>
      <c r="L3771" s="55">
        <v>0</v>
      </c>
      <c r="M3771" s="55">
        <v>0</v>
      </c>
      <c r="N3771" s="55">
        <v>0</v>
      </c>
    </row>
    <row r="3772" spans="1:14" hidden="1" x14ac:dyDescent="0.35">
      <c r="A3772" s="52" t="s">
        <v>268</v>
      </c>
      <c r="B3772" s="52" t="s">
        <v>37</v>
      </c>
      <c r="C3772" s="52" t="s">
        <v>118</v>
      </c>
      <c r="D3772" s="52" t="s">
        <v>118</v>
      </c>
      <c r="E3772" s="52" t="s">
        <v>659</v>
      </c>
      <c r="F3772" s="52" t="s">
        <v>26</v>
      </c>
      <c r="G3772" s="55" t="s">
        <v>275</v>
      </c>
      <c r="H3772" s="55"/>
      <c r="I3772" s="55"/>
      <c r="J3772" s="55"/>
      <c r="K3772" s="55">
        <v>0</v>
      </c>
      <c r="L3772" s="55">
        <v>0</v>
      </c>
      <c r="M3772" s="55">
        <v>0</v>
      </c>
      <c r="N3772" s="55">
        <v>0</v>
      </c>
    </row>
    <row r="3773" spans="1:14" hidden="1" x14ac:dyDescent="0.35">
      <c r="A3773" s="52" t="s">
        <v>268</v>
      </c>
      <c r="B3773" s="52" t="s">
        <v>37</v>
      </c>
      <c r="C3773" s="52" t="s">
        <v>118</v>
      </c>
      <c r="D3773" s="52" t="s">
        <v>118</v>
      </c>
      <c r="E3773" s="52" t="s">
        <v>659</v>
      </c>
      <c r="F3773" s="52" t="s">
        <v>26</v>
      </c>
      <c r="G3773" s="55" t="s">
        <v>276</v>
      </c>
      <c r="H3773" s="55"/>
      <c r="I3773" s="55"/>
      <c r="J3773" s="55"/>
      <c r="K3773" s="55">
        <v>0</v>
      </c>
      <c r="L3773" s="55">
        <v>0</v>
      </c>
      <c r="M3773" s="55">
        <v>0</v>
      </c>
      <c r="N3773" s="55">
        <v>0</v>
      </c>
    </row>
    <row r="3774" spans="1:14" hidden="1" x14ac:dyDescent="0.35">
      <c r="A3774" s="52" t="s">
        <v>268</v>
      </c>
      <c r="B3774" s="52" t="s">
        <v>37</v>
      </c>
      <c r="C3774" s="52" t="s">
        <v>205</v>
      </c>
      <c r="D3774" s="52" t="s">
        <v>205</v>
      </c>
      <c r="E3774" s="52" t="s">
        <v>611</v>
      </c>
      <c r="F3774" s="52" t="s">
        <v>26</v>
      </c>
      <c r="G3774" s="55" t="s">
        <v>277</v>
      </c>
      <c r="H3774" s="55"/>
      <c r="I3774" s="55"/>
      <c r="J3774" s="55"/>
      <c r="K3774" s="55"/>
      <c r="L3774" s="55">
        <v>0</v>
      </c>
      <c r="M3774" s="55">
        <v>0</v>
      </c>
      <c r="N3774" s="55">
        <v>0</v>
      </c>
    </row>
    <row r="3775" spans="1:14" hidden="1" x14ac:dyDescent="0.35">
      <c r="A3775" s="52" t="s">
        <v>268</v>
      </c>
      <c r="B3775" s="52" t="s">
        <v>37</v>
      </c>
      <c r="C3775" s="52" t="s">
        <v>118</v>
      </c>
      <c r="D3775" s="52" t="s">
        <v>118</v>
      </c>
      <c r="E3775" s="52" t="s">
        <v>659</v>
      </c>
      <c r="F3775" s="52" t="s">
        <v>26</v>
      </c>
      <c r="G3775" s="55" t="s">
        <v>277</v>
      </c>
      <c r="H3775" s="55"/>
      <c r="I3775" s="55"/>
      <c r="J3775" s="55"/>
      <c r="K3775" s="55">
        <v>0</v>
      </c>
      <c r="L3775" s="55">
        <v>0</v>
      </c>
      <c r="M3775" s="55">
        <v>0</v>
      </c>
      <c r="N3775" s="55">
        <v>0</v>
      </c>
    </row>
    <row r="3776" spans="1:14" hidden="1" x14ac:dyDescent="0.35">
      <c r="A3776" s="52" t="s">
        <v>268</v>
      </c>
      <c r="B3776" s="52" t="s">
        <v>37</v>
      </c>
      <c r="C3776" s="52" t="s">
        <v>205</v>
      </c>
      <c r="D3776" s="52" t="s">
        <v>205</v>
      </c>
      <c r="E3776" s="52" t="s">
        <v>611</v>
      </c>
      <c r="F3776" s="52" t="s">
        <v>26</v>
      </c>
      <c r="G3776" s="55" t="s">
        <v>279</v>
      </c>
      <c r="H3776" s="55"/>
      <c r="I3776" s="55"/>
      <c r="J3776" s="55"/>
      <c r="K3776" s="55"/>
      <c r="L3776" s="55">
        <v>0</v>
      </c>
      <c r="M3776" s="55">
        <v>0</v>
      </c>
      <c r="N3776" s="55">
        <v>0</v>
      </c>
    </row>
    <row r="3777" spans="1:14" hidden="1" x14ac:dyDescent="0.35">
      <c r="A3777" s="52" t="s">
        <v>268</v>
      </c>
      <c r="B3777" s="52" t="s">
        <v>37</v>
      </c>
      <c r="C3777" s="52" t="s">
        <v>118</v>
      </c>
      <c r="D3777" s="52" t="s">
        <v>118</v>
      </c>
      <c r="E3777" s="52" t="s">
        <v>659</v>
      </c>
      <c r="F3777" s="52" t="s">
        <v>26</v>
      </c>
      <c r="G3777" s="55" t="s">
        <v>279</v>
      </c>
      <c r="H3777" s="55"/>
      <c r="I3777" s="55"/>
      <c r="J3777" s="55"/>
      <c r="K3777" s="55">
        <v>0</v>
      </c>
      <c r="L3777" s="55">
        <v>0</v>
      </c>
      <c r="M3777" s="55">
        <v>0</v>
      </c>
      <c r="N3777" s="55">
        <v>0</v>
      </c>
    </row>
    <row r="3778" spans="1:14" hidden="1" x14ac:dyDescent="0.35">
      <c r="A3778" s="52" t="s">
        <v>270</v>
      </c>
      <c r="B3778" s="52" t="s">
        <v>37</v>
      </c>
      <c r="C3778" s="52" t="s">
        <v>35</v>
      </c>
      <c r="D3778" s="52" t="s">
        <v>36</v>
      </c>
      <c r="E3778" s="52" t="s">
        <v>588</v>
      </c>
      <c r="F3778" s="52" t="s">
        <v>581</v>
      </c>
      <c r="G3778" s="55" t="s">
        <v>275</v>
      </c>
      <c r="H3778" s="55">
        <v>-205.1962</v>
      </c>
      <c r="I3778" s="55">
        <v>-17.806699999999999</v>
      </c>
      <c r="J3778" s="55">
        <v>175.82660000000001</v>
      </c>
      <c r="K3778" s="55">
        <v>220.6405</v>
      </c>
      <c r="L3778" s="55">
        <v>202.71299999999999</v>
      </c>
      <c r="M3778" s="55">
        <v>141.2062</v>
      </c>
      <c r="N3778" s="55">
        <v>128.40719999999999</v>
      </c>
    </row>
    <row r="3779" spans="1:14" hidden="1" x14ac:dyDescent="0.35">
      <c r="A3779" s="52" t="s">
        <v>270</v>
      </c>
      <c r="B3779" s="52" t="s">
        <v>37</v>
      </c>
      <c r="C3779" s="52" t="s">
        <v>35</v>
      </c>
      <c r="D3779" s="52" t="s">
        <v>36</v>
      </c>
      <c r="E3779" s="52" t="s">
        <v>588</v>
      </c>
      <c r="F3779" s="52" t="s">
        <v>581</v>
      </c>
      <c r="G3779" s="55" t="s">
        <v>276</v>
      </c>
      <c r="H3779" s="55">
        <v>38.816980000000001</v>
      </c>
      <c r="I3779" s="55">
        <v>-20.824249999999999</v>
      </c>
      <c r="J3779" s="55">
        <v>-11.474270000000001</v>
      </c>
      <c r="K3779" s="55">
        <v>-12.68892</v>
      </c>
      <c r="L3779" s="55">
        <v>-19.084140000000001</v>
      </c>
      <c r="M3779" s="55">
        <v>22.645150000000001</v>
      </c>
      <c r="N3779" s="55">
        <v>38.770150000000001</v>
      </c>
    </row>
    <row r="3780" spans="1:14" x14ac:dyDescent="0.35">
      <c r="A3780" s="52" t="s">
        <v>270</v>
      </c>
      <c r="B3780" s="52" t="s">
        <v>37</v>
      </c>
      <c r="C3780" s="52" t="s">
        <v>35</v>
      </c>
      <c r="D3780" s="52" t="s">
        <v>36</v>
      </c>
      <c r="E3780" s="52" t="s">
        <v>588</v>
      </c>
      <c r="F3780" s="52" t="s">
        <v>581</v>
      </c>
      <c r="G3780" s="55" t="s">
        <v>277</v>
      </c>
      <c r="H3780" s="55">
        <v>673.02840000000003</v>
      </c>
      <c r="I3780" s="55">
        <v>239.21119999999999</v>
      </c>
      <c r="J3780" s="55">
        <v>103.9055</v>
      </c>
      <c r="K3780" s="55">
        <v>42.068779999999997</v>
      </c>
      <c r="L3780" s="55">
        <v>83.075789999999998</v>
      </c>
      <c r="M3780" s="55">
        <v>96.381789999999995</v>
      </c>
      <c r="N3780" s="55">
        <v>125.16119999999999</v>
      </c>
    </row>
    <row r="3781" spans="1:14" hidden="1" x14ac:dyDescent="0.35">
      <c r="A3781" s="52" t="s">
        <v>270</v>
      </c>
      <c r="B3781" s="52" t="s">
        <v>37</v>
      </c>
      <c r="C3781" s="52" t="s">
        <v>35</v>
      </c>
      <c r="D3781" s="52" t="s">
        <v>36</v>
      </c>
      <c r="E3781" s="52" t="s">
        <v>588</v>
      </c>
      <c r="F3781" s="52" t="s">
        <v>581</v>
      </c>
      <c r="G3781" s="55" t="s">
        <v>278</v>
      </c>
      <c r="H3781" s="55">
        <v>142.4419</v>
      </c>
      <c r="I3781" s="55">
        <v>101.5762</v>
      </c>
      <c r="J3781" s="55">
        <v>70.807959999999994</v>
      </c>
      <c r="K3781" s="55">
        <v>80.244730000000004</v>
      </c>
      <c r="L3781" s="55">
        <v>87.350430000000003</v>
      </c>
      <c r="M3781" s="55">
        <v>84.098339999999993</v>
      </c>
      <c r="N3781" s="55">
        <v>65.115610000000004</v>
      </c>
    </row>
    <row r="3782" spans="1:14" hidden="1" x14ac:dyDescent="0.35">
      <c r="A3782" s="52" t="s">
        <v>270</v>
      </c>
      <c r="B3782" s="52" t="s">
        <v>37</v>
      </c>
      <c r="C3782" s="52" t="s">
        <v>35</v>
      </c>
      <c r="D3782" s="52" t="s">
        <v>36</v>
      </c>
      <c r="E3782" s="52" t="s">
        <v>588</v>
      </c>
      <c r="F3782" s="52" t="s">
        <v>581</v>
      </c>
      <c r="G3782" s="55" t="s">
        <v>279</v>
      </c>
      <c r="H3782" s="55">
        <v>206.1311</v>
      </c>
      <c r="I3782" s="55">
        <v>176.0121</v>
      </c>
      <c r="J3782" s="55">
        <v>183.8596</v>
      </c>
      <c r="K3782" s="55">
        <v>183.83500000000001</v>
      </c>
      <c r="L3782" s="55">
        <v>175.87860000000001</v>
      </c>
      <c r="M3782" s="55">
        <v>214.3974</v>
      </c>
      <c r="N3782" s="55">
        <v>220.96260000000001</v>
      </c>
    </row>
    <row r="3783" spans="1:14" hidden="1" x14ac:dyDescent="0.35">
      <c r="A3783" s="52" t="s">
        <v>270</v>
      </c>
      <c r="B3783" s="52" t="s">
        <v>37</v>
      </c>
      <c r="C3783" s="52" t="s">
        <v>35</v>
      </c>
      <c r="D3783" s="52" t="s">
        <v>36</v>
      </c>
      <c r="E3783" s="52" t="s">
        <v>588</v>
      </c>
      <c r="F3783" s="52" t="s">
        <v>26</v>
      </c>
      <c r="G3783" s="55" t="s">
        <v>275</v>
      </c>
      <c r="H3783" s="55">
        <v>-4.6612039999999997</v>
      </c>
      <c r="I3783" s="55">
        <v>-5.6173890000000002</v>
      </c>
      <c r="J3783" s="55">
        <v>-2.2448790000000001</v>
      </c>
      <c r="K3783" s="55">
        <v>-3.5969660000000001</v>
      </c>
      <c r="L3783" s="55">
        <v>-0.62915900000000002</v>
      </c>
      <c r="M3783" s="55">
        <v>-8.4841300000000004</v>
      </c>
      <c r="N3783" s="55">
        <v>-8.7324950000000001</v>
      </c>
    </row>
    <row r="3784" spans="1:14" hidden="1" x14ac:dyDescent="0.35">
      <c r="A3784" s="52" t="s">
        <v>270</v>
      </c>
      <c r="B3784" s="52" t="s">
        <v>37</v>
      </c>
      <c r="C3784" s="52" t="s">
        <v>35</v>
      </c>
      <c r="D3784" s="52" t="s">
        <v>36</v>
      </c>
      <c r="E3784" s="52" t="s">
        <v>588</v>
      </c>
      <c r="F3784" s="52" t="s">
        <v>26</v>
      </c>
      <c r="G3784" s="55" t="s">
        <v>276</v>
      </c>
      <c r="H3784" s="55">
        <v>-1.239055</v>
      </c>
      <c r="I3784" s="55">
        <v>-1.4932380000000001</v>
      </c>
      <c r="J3784" s="55">
        <v>-0.59674159999999998</v>
      </c>
      <c r="K3784" s="55">
        <v>-0.95616639999999997</v>
      </c>
      <c r="L3784" s="55">
        <v>-0.16722400000000001</v>
      </c>
      <c r="M3784" s="55">
        <v>-2.2552840000000001</v>
      </c>
      <c r="N3784" s="55">
        <v>-2.321278</v>
      </c>
    </row>
    <row r="3785" spans="1:14" hidden="1" x14ac:dyDescent="0.35">
      <c r="A3785" s="52" t="s">
        <v>270</v>
      </c>
      <c r="B3785" s="52" t="s">
        <v>37</v>
      </c>
      <c r="C3785" s="52" t="s">
        <v>35</v>
      </c>
      <c r="D3785" s="52" t="s">
        <v>36</v>
      </c>
      <c r="E3785" s="52" t="s">
        <v>588</v>
      </c>
      <c r="F3785" s="52" t="s">
        <v>26</v>
      </c>
      <c r="G3785" s="55" t="s">
        <v>279</v>
      </c>
      <c r="H3785" s="55">
        <v>60.665100000000002</v>
      </c>
      <c r="I3785" s="55">
        <v>55.252160000000003</v>
      </c>
      <c r="J3785" s="55">
        <v>57.735790000000001</v>
      </c>
      <c r="K3785" s="55">
        <v>58.095619999999997</v>
      </c>
      <c r="L3785" s="55">
        <v>55.592529999999996</v>
      </c>
      <c r="M3785" s="55">
        <v>68.198390000000003</v>
      </c>
      <c r="N3785" s="55">
        <v>70.202259999999995</v>
      </c>
    </row>
    <row r="3786" spans="1:14" hidden="1" x14ac:dyDescent="0.35">
      <c r="A3786" s="52" t="s">
        <v>270</v>
      </c>
      <c r="B3786" s="52" t="s">
        <v>37</v>
      </c>
      <c r="C3786" s="52" t="s">
        <v>35</v>
      </c>
      <c r="D3786" s="52" t="s">
        <v>36</v>
      </c>
      <c r="E3786" s="52" t="s">
        <v>589</v>
      </c>
      <c r="F3786" s="52" t="s">
        <v>581</v>
      </c>
      <c r="G3786" s="55" t="s">
        <v>275</v>
      </c>
      <c r="H3786" s="55">
        <v>49.145980000000002</v>
      </c>
      <c r="I3786" s="55">
        <v>34.346850000000003</v>
      </c>
      <c r="J3786" s="55">
        <v>86.391159999999999</v>
      </c>
      <c r="K3786" s="55">
        <v>78.854519999999994</v>
      </c>
      <c r="L3786" s="55">
        <v>63.133789999999998</v>
      </c>
      <c r="M3786" s="55">
        <v>41.401949999999999</v>
      </c>
      <c r="N3786" s="55">
        <v>27.163340000000002</v>
      </c>
    </row>
    <row r="3787" spans="1:14" hidden="1" x14ac:dyDescent="0.35">
      <c r="A3787" s="52" t="s">
        <v>270</v>
      </c>
      <c r="B3787" s="52" t="s">
        <v>37</v>
      </c>
      <c r="C3787" s="52" t="s">
        <v>35</v>
      </c>
      <c r="D3787" s="52" t="s">
        <v>36</v>
      </c>
      <c r="E3787" s="52" t="s">
        <v>589</v>
      </c>
      <c r="F3787" s="52" t="s">
        <v>581</v>
      </c>
      <c r="G3787" s="55" t="s">
        <v>276</v>
      </c>
      <c r="H3787" s="55">
        <v>18.311579999999999</v>
      </c>
      <c r="I3787" s="55">
        <v>-16.88316</v>
      </c>
      <c r="J3787" s="55">
        <v>-16.18122</v>
      </c>
      <c r="K3787" s="55">
        <v>-6.9845199999999998</v>
      </c>
      <c r="L3787" s="55">
        <v>-3.794807</v>
      </c>
      <c r="M3787" s="55">
        <v>9.6917200000000001</v>
      </c>
      <c r="N3787" s="55">
        <v>14.22373</v>
      </c>
    </row>
    <row r="3788" spans="1:14" x14ac:dyDescent="0.35">
      <c r="A3788" s="52" t="s">
        <v>270</v>
      </c>
      <c r="B3788" s="52" t="s">
        <v>37</v>
      </c>
      <c r="C3788" s="52" t="s">
        <v>35</v>
      </c>
      <c r="D3788" s="52" t="s">
        <v>36</v>
      </c>
      <c r="E3788" s="52" t="s">
        <v>589</v>
      </c>
      <c r="F3788" s="52" t="s">
        <v>581</v>
      </c>
      <c r="G3788" s="55" t="s">
        <v>277</v>
      </c>
      <c r="H3788" s="55">
        <v>172.2217</v>
      </c>
      <c r="I3788" s="55">
        <v>55.194360000000003</v>
      </c>
      <c r="J3788" s="55">
        <v>21.467289999999998</v>
      </c>
      <c r="K3788" s="55">
        <v>8.3521230000000006</v>
      </c>
      <c r="L3788" s="55">
        <v>13.84986</v>
      </c>
      <c r="M3788" s="55">
        <v>17.90155</v>
      </c>
      <c r="N3788" s="55">
        <v>41.395949999999999</v>
      </c>
    </row>
    <row r="3789" spans="1:14" hidden="1" x14ac:dyDescent="0.35">
      <c r="A3789" s="52" t="s">
        <v>270</v>
      </c>
      <c r="B3789" s="52" t="s">
        <v>37</v>
      </c>
      <c r="C3789" s="52" t="s">
        <v>35</v>
      </c>
      <c r="D3789" s="52" t="s">
        <v>36</v>
      </c>
      <c r="E3789" s="52" t="s">
        <v>589</v>
      </c>
      <c r="F3789" s="52" t="s">
        <v>581</v>
      </c>
      <c r="G3789" s="55" t="s">
        <v>278</v>
      </c>
      <c r="H3789" s="55">
        <v>36.501779999999997</v>
      </c>
      <c r="I3789" s="55">
        <v>23.873069999999998</v>
      </c>
      <c r="J3789" s="55">
        <v>17.670290000000001</v>
      </c>
      <c r="K3789" s="55">
        <v>19.290479999999999</v>
      </c>
      <c r="L3789" s="55">
        <v>22.32544</v>
      </c>
      <c r="M3789" s="55">
        <v>22.446850000000001</v>
      </c>
      <c r="N3789" s="55">
        <v>13.3787</v>
      </c>
    </row>
    <row r="3790" spans="1:14" hidden="1" x14ac:dyDescent="0.35">
      <c r="A3790" s="52" t="s">
        <v>270</v>
      </c>
      <c r="B3790" s="52" t="s">
        <v>37</v>
      </c>
      <c r="C3790" s="52" t="s">
        <v>35</v>
      </c>
      <c r="D3790" s="52" t="s">
        <v>36</v>
      </c>
      <c r="E3790" s="52" t="s">
        <v>589</v>
      </c>
      <c r="F3790" s="52" t="s">
        <v>581</v>
      </c>
      <c r="G3790" s="55" t="s">
        <v>279</v>
      </c>
      <c r="H3790" s="55">
        <v>79.335790000000003</v>
      </c>
      <c r="I3790" s="55">
        <v>51.762520000000002</v>
      </c>
      <c r="J3790" s="55">
        <v>54.716070000000002</v>
      </c>
      <c r="K3790" s="55">
        <v>51.283670000000001</v>
      </c>
      <c r="L3790" s="55">
        <v>44.247839999999997</v>
      </c>
      <c r="M3790" s="55">
        <v>52.508049999999997</v>
      </c>
      <c r="N3790" s="55">
        <v>54.236339999999998</v>
      </c>
    </row>
    <row r="3791" spans="1:14" hidden="1" x14ac:dyDescent="0.35">
      <c r="A3791" s="52" t="s">
        <v>270</v>
      </c>
      <c r="B3791" s="52" t="s">
        <v>37</v>
      </c>
      <c r="C3791" s="52" t="s">
        <v>35</v>
      </c>
      <c r="D3791" s="52" t="s">
        <v>36</v>
      </c>
      <c r="E3791" s="52" t="s">
        <v>589</v>
      </c>
      <c r="F3791" s="52" t="s">
        <v>26</v>
      </c>
      <c r="G3791" s="55" t="s">
        <v>275</v>
      </c>
      <c r="H3791" s="55">
        <v>4.1595E-2</v>
      </c>
      <c r="I3791" s="55">
        <v>-0.43826270000000001</v>
      </c>
      <c r="J3791" s="55">
        <v>0.76632889999999998</v>
      </c>
      <c r="K3791" s="55">
        <v>0.28702559999999999</v>
      </c>
      <c r="L3791" s="55">
        <v>0.97328190000000003</v>
      </c>
      <c r="M3791" s="55">
        <v>-0.88813220000000004</v>
      </c>
      <c r="N3791" s="55">
        <v>-0.88599799999999995</v>
      </c>
    </row>
    <row r="3792" spans="1:14" hidden="1" x14ac:dyDescent="0.35">
      <c r="A3792" s="52" t="s">
        <v>270</v>
      </c>
      <c r="B3792" s="52" t="s">
        <v>37</v>
      </c>
      <c r="C3792" s="52" t="s">
        <v>35</v>
      </c>
      <c r="D3792" s="52" t="s">
        <v>36</v>
      </c>
      <c r="E3792" s="52" t="s">
        <v>589</v>
      </c>
      <c r="F3792" s="52" t="s">
        <v>26</v>
      </c>
      <c r="G3792" s="55" t="s">
        <v>276</v>
      </c>
      <c r="H3792" s="55">
        <v>1.4421E-2</v>
      </c>
      <c r="I3792" s="55">
        <v>-0.15191209999999999</v>
      </c>
      <c r="J3792" s="55">
        <v>0.26561709999999999</v>
      </c>
      <c r="K3792" s="55">
        <v>9.9490809999999999E-2</v>
      </c>
      <c r="L3792" s="55">
        <v>0.33735730000000003</v>
      </c>
      <c r="M3792" s="55">
        <v>-0.30784810000000001</v>
      </c>
      <c r="N3792" s="55">
        <v>-0.30711549999999999</v>
      </c>
    </row>
    <row r="3793" spans="1:14" hidden="1" x14ac:dyDescent="0.35">
      <c r="A3793" s="52" t="s">
        <v>270</v>
      </c>
      <c r="B3793" s="52" t="s">
        <v>37</v>
      </c>
      <c r="C3793" s="52" t="s">
        <v>35</v>
      </c>
      <c r="D3793" s="52" t="s">
        <v>36</v>
      </c>
      <c r="E3793" s="52" t="s">
        <v>589</v>
      </c>
      <c r="F3793" s="52" t="s">
        <v>26</v>
      </c>
      <c r="G3793" s="55" t="s">
        <v>279</v>
      </c>
      <c r="H3793" s="55">
        <v>25.319710000000001</v>
      </c>
      <c r="I3793" s="55">
        <v>17.226700000000001</v>
      </c>
      <c r="J3793" s="55">
        <v>18.222650000000002</v>
      </c>
      <c r="K3793" s="55">
        <v>17.203869999999998</v>
      </c>
      <c r="L3793" s="55">
        <v>14.861789999999999</v>
      </c>
      <c r="M3793" s="55">
        <v>17.72016</v>
      </c>
      <c r="N3793" s="55">
        <v>18.259730000000001</v>
      </c>
    </row>
    <row r="3794" spans="1:14" hidden="1" x14ac:dyDescent="0.35">
      <c r="A3794" s="52" t="s">
        <v>270</v>
      </c>
      <c r="B3794" s="52" t="s">
        <v>37</v>
      </c>
      <c r="C3794" s="52" t="s">
        <v>35</v>
      </c>
      <c r="D3794" s="52" t="s">
        <v>36</v>
      </c>
      <c r="E3794" s="52" t="s">
        <v>590</v>
      </c>
      <c r="F3794" s="52" t="s">
        <v>581</v>
      </c>
      <c r="G3794" s="55" t="s">
        <v>275</v>
      </c>
      <c r="H3794" s="55">
        <v>23.336480000000002</v>
      </c>
      <c r="I3794" s="55">
        <v>13.019780000000001</v>
      </c>
      <c r="J3794" s="55">
        <v>58.618169999999999</v>
      </c>
      <c r="K3794" s="55">
        <v>68.623729999999995</v>
      </c>
      <c r="L3794" s="55">
        <v>65.613209999999995</v>
      </c>
      <c r="M3794" s="55">
        <v>55.909350000000003</v>
      </c>
      <c r="N3794" s="55">
        <v>19.43065</v>
      </c>
    </row>
    <row r="3795" spans="1:14" hidden="1" x14ac:dyDescent="0.35">
      <c r="A3795" s="52" t="s">
        <v>270</v>
      </c>
      <c r="B3795" s="52" t="s">
        <v>37</v>
      </c>
      <c r="C3795" s="52" t="s">
        <v>35</v>
      </c>
      <c r="D3795" s="52" t="s">
        <v>36</v>
      </c>
      <c r="E3795" s="52" t="s">
        <v>590</v>
      </c>
      <c r="F3795" s="52" t="s">
        <v>581</v>
      </c>
      <c r="G3795" s="55" t="s">
        <v>276</v>
      </c>
      <c r="H3795" s="55">
        <v>12.43196</v>
      </c>
      <c r="I3795" s="55">
        <v>-5.7253790000000002</v>
      </c>
      <c r="J3795" s="55">
        <v>-2.7855249999999998</v>
      </c>
      <c r="K3795" s="55">
        <v>3.7700629999999999</v>
      </c>
      <c r="L3795" s="55">
        <v>3.7548189999999999</v>
      </c>
      <c r="M3795" s="55">
        <v>10.5787</v>
      </c>
      <c r="N3795" s="55">
        <v>13.49532</v>
      </c>
    </row>
    <row r="3796" spans="1:14" x14ac:dyDescent="0.35">
      <c r="A3796" s="52" t="s">
        <v>270</v>
      </c>
      <c r="B3796" s="52" t="s">
        <v>37</v>
      </c>
      <c r="C3796" s="52" t="s">
        <v>35</v>
      </c>
      <c r="D3796" s="52" t="s">
        <v>36</v>
      </c>
      <c r="E3796" s="52" t="s">
        <v>590</v>
      </c>
      <c r="F3796" s="52" t="s">
        <v>581</v>
      </c>
      <c r="G3796" s="55" t="s">
        <v>277</v>
      </c>
      <c r="H3796" s="55">
        <v>127.4915</v>
      </c>
      <c r="I3796" s="55">
        <v>46.336379999999998</v>
      </c>
      <c r="J3796" s="55">
        <v>24.081309999999998</v>
      </c>
      <c r="K3796" s="55">
        <v>10.43533</v>
      </c>
      <c r="L3796" s="55">
        <v>12.156129999999999</v>
      </c>
      <c r="M3796" s="55">
        <v>13.2034</v>
      </c>
      <c r="N3796" s="55">
        <v>53.770650000000003</v>
      </c>
    </row>
    <row r="3797" spans="1:14" hidden="1" x14ac:dyDescent="0.35">
      <c r="A3797" s="52" t="s">
        <v>270</v>
      </c>
      <c r="B3797" s="52" t="s">
        <v>37</v>
      </c>
      <c r="C3797" s="52" t="s">
        <v>35</v>
      </c>
      <c r="D3797" s="52" t="s">
        <v>36</v>
      </c>
      <c r="E3797" s="52" t="s">
        <v>590</v>
      </c>
      <c r="F3797" s="52" t="s">
        <v>581</v>
      </c>
      <c r="G3797" s="55" t="s">
        <v>278</v>
      </c>
      <c r="H3797" s="55">
        <v>33.550960000000003</v>
      </c>
      <c r="I3797" s="55">
        <v>31.264420000000001</v>
      </c>
      <c r="J3797" s="55">
        <v>24.719100000000001</v>
      </c>
      <c r="K3797" s="55">
        <v>28.44115</v>
      </c>
      <c r="L3797" s="55">
        <v>31.453939999999999</v>
      </c>
      <c r="M3797" s="55">
        <v>27.575320000000001</v>
      </c>
      <c r="N3797" s="55">
        <v>30.496500000000001</v>
      </c>
    </row>
    <row r="3798" spans="1:14" hidden="1" x14ac:dyDescent="0.35">
      <c r="A3798" s="52" t="s">
        <v>270</v>
      </c>
      <c r="B3798" s="52" t="s">
        <v>37</v>
      </c>
      <c r="C3798" s="52" t="s">
        <v>35</v>
      </c>
      <c r="D3798" s="52" t="s">
        <v>36</v>
      </c>
      <c r="E3798" s="52" t="s">
        <v>590</v>
      </c>
      <c r="F3798" s="52" t="s">
        <v>581</v>
      </c>
      <c r="G3798" s="55" t="s">
        <v>279</v>
      </c>
      <c r="H3798" s="55">
        <v>53.045180000000002</v>
      </c>
      <c r="I3798" s="55">
        <v>39.289360000000002</v>
      </c>
      <c r="J3798" s="55">
        <v>45.435879999999997</v>
      </c>
      <c r="K3798" s="55">
        <v>49.604129999999998</v>
      </c>
      <c r="L3798" s="55">
        <v>46.087409999999998</v>
      </c>
      <c r="M3798" s="55">
        <v>52.829770000000003</v>
      </c>
      <c r="N3798" s="55">
        <v>57.395060000000001</v>
      </c>
    </row>
    <row r="3799" spans="1:14" hidden="1" x14ac:dyDescent="0.35">
      <c r="A3799" s="52" t="s">
        <v>270</v>
      </c>
      <c r="B3799" s="52" t="s">
        <v>37</v>
      </c>
      <c r="C3799" s="52" t="s">
        <v>35</v>
      </c>
      <c r="D3799" s="52" t="s">
        <v>36</v>
      </c>
      <c r="E3799" s="52" t="s">
        <v>590</v>
      </c>
      <c r="F3799" s="52" t="s">
        <v>26</v>
      </c>
      <c r="G3799" s="55" t="s">
        <v>275</v>
      </c>
      <c r="H3799" s="55">
        <v>1.6522399999999999</v>
      </c>
      <c r="I3799" s="55">
        <v>0.9240081</v>
      </c>
      <c r="J3799" s="55">
        <v>2.2574709999999998</v>
      </c>
      <c r="K3799" s="55">
        <v>1.97071</v>
      </c>
      <c r="L3799" s="55">
        <v>2.6586409999999998</v>
      </c>
      <c r="M3799" s="55">
        <v>0.71537839999999997</v>
      </c>
      <c r="N3799" s="55">
        <v>0.77331159999999999</v>
      </c>
    </row>
    <row r="3800" spans="1:14" hidden="1" x14ac:dyDescent="0.35">
      <c r="A3800" s="52" t="s">
        <v>270</v>
      </c>
      <c r="B3800" s="52" t="s">
        <v>37</v>
      </c>
      <c r="C3800" s="52" t="s">
        <v>35</v>
      </c>
      <c r="D3800" s="52" t="s">
        <v>36</v>
      </c>
      <c r="E3800" s="52" t="s">
        <v>590</v>
      </c>
      <c r="F3800" s="52" t="s">
        <v>26</v>
      </c>
      <c r="G3800" s="55" t="s">
        <v>276</v>
      </c>
      <c r="H3800" s="55">
        <v>0.43920999999999999</v>
      </c>
      <c r="I3800" s="55">
        <v>0.2456226</v>
      </c>
      <c r="J3800" s="55">
        <v>0.60008859999999997</v>
      </c>
      <c r="K3800" s="55">
        <v>0.52385999999999999</v>
      </c>
      <c r="L3800" s="55">
        <v>0.70672919999999995</v>
      </c>
      <c r="M3800" s="55">
        <v>0.190165</v>
      </c>
      <c r="N3800" s="55">
        <v>0.20556569999999999</v>
      </c>
    </row>
    <row r="3801" spans="1:14" hidden="1" x14ac:dyDescent="0.35">
      <c r="A3801" s="52" t="s">
        <v>270</v>
      </c>
      <c r="B3801" s="52" t="s">
        <v>37</v>
      </c>
      <c r="C3801" s="52" t="s">
        <v>35</v>
      </c>
      <c r="D3801" s="52" t="s">
        <v>36</v>
      </c>
      <c r="E3801" s="52" t="s">
        <v>590</v>
      </c>
      <c r="F3801" s="52" t="s">
        <v>26</v>
      </c>
      <c r="G3801" s="55" t="s">
        <v>279</v>
      </c>
      <c r="H3801" s="55">
        <v>16.87548</v>
      </c>
      <c r="I3801" s="55">
        <v>13.66376</v>
      </c>
      <c r="J3801" s="55">
        <v>15.8047</v>
      </c>
      <c r="K3801" s="55">
        <v>17.388159999999999</v>
      </c>
      <c r="L3801" s="55">
        <v>16.18826</v>
      </c>
      <c r="M3801" s="55">
        <v>18.649249999999999</v>
      </c>
      <c r="N3801" s="55">
        <v>20.235410000000002</v>
      </c>
    </row>
    <row r="3802" spans="1:14" hidden="1" x14ac:dyDescent="0.35">
      <c r="A3802" s="52" t="s">
        <v>270</v>
      </c>
      <c r="B3802" s="52" t="s">
        <v>37</v>
      </c>
      <c r="C3802" s="52" t="s">
        <v>35</v>
      </c>
      <c r="D3802" s="52" t="s">
        <v>36</v>
      </c>
      <c r="E3802" s="52" t="s">
        <v>587</v>
      </c>
      <c r="F3802" s="52" t="s">
        <v>581</v>
      </c>
      <c r="G3802" s="55" t="s">
        <v>275</v>
      </c>
      <c r="H3802" s="55">
        <v>84.276079999999993</v>
      </c>
      <c r="I3802" s="55">
        <v>21.690480000000001</v>
      </c>
      <c r="J3802" s="55">
        <v>18.85567</v>
      </c>
      <c r="K3802" s="55">
        <v>17.981819999999999</v>
      </c>
      <c r="L3802" s="55">
        <v>15.770350000000001</v>
      </c>
      <c r="M3802" s="55">
        <v>13.065569999999999</v>
      </c>
      <c r="N3802" s="55">
        <v>11.792389999999999</v>
      </c>
    </row>
    <row r="3803" spans="1:14" hidden="1" x14ac:dyDescent="0.35">
      <c r="A3803" s="52" t="s">
        <v>270</v>
      </c>
      <c r="B3803" s="52" t="s">
        <v>37</v>
      </c>
      <c r="C3803" s="52" t="s">
        <v>35</v>
      </c>
      <c r="D3803" s="52" t="s">
        <v>36</v>
      </c>
      <c r="E3803" s="52" t="s">
        <v>587</v>
      </c>
      <c r="F3803" s="52" t="s">
        <v>581</v>
      </c>
      <c r="G3803" s="55" t="s">
        <v>276</v>
      </c>
      <c r="H3803" s="55">
        <v>-3.9061080000000001</v>
      </c>
      <c r="I3803" s="55">
        <v>3.644069</v>
      </c>
      <c r="J3803" s="55">
        <v>4.6029140000000002</v>
      </c>
      <c r="K3803" s="55">
        <v>3.284754</v>
      </c>
      <c r="L3803" s="55">
        <v>4.1921179999999998</v>
      </c>
      <c r="M3803" s="55">
        <v>3.4731269999999999</v>
      </c>
      <c r="N3803" s="55">
        <v>3.1346850000000002</v>
      </c>
    </row>
    <row r="3804" spans="1:14" x14ac:dyDescent="0.35">
      <c r="A3804" s="52" t="s">
        <v>270</v>
      </c>
      <c r="B3804" s="52" t="s">
        <v>37</v>
      </c>
      <c r="C3804" s="52" t="s">
        <v>35</v>
      </c>
      <c r="D3804" s="52" t="s">
        <v>36</v>
      </c>
      <c r="E3804" s="52" t="s">
        <v>587</v>
      </c>
      <c r="F3804" s="52" t="s">
        <v>581</v>
      </c>
      <c r="G3804" s="55" t="s">
        <v>277</v>
      </c>
      <c r="H3804" s="55">
        <v>6.0000000000000002E-6</v>
      </c>
      <c r="I3804" s="55">
        <v>0</v>
      </c>
      <c r="J3804" s="55"/>
      <c r="K3804" s="55"/>
      <c r="L3804" s="55"/>
      <c r="M3804" s="55">
        <v>0</v>
      </c>
      <c r="N3804" s="55">
        <v>0</v>
      </c>
    </row>
    <row r="3805" spans="1:14" hidden="1" x14ac:dyDescent="0.35">
      <c r="A3805" s="52" t="s">
        <v>270</v>
      </c>
      <c r="B3805" s="52" t="s">
        <v>37</v>
      </c>
      <c r="C3805" s="52" t="s">
        <v>35</v>
      </c>
      <c r="D3805" s="52" t="s">
        <v>36</v>
      </c>
      <c r="E3805" s="52" t="s">
        <v>587</v>
      </c>
      <c r="F3805" s="52" t="s">
        <v>581</v>
      </c>
      <c r="G3805" s="55" t="s">
        <v>279</v>
      </c>
      <c r="H3805" s="55">
        <v>29.23948</v>
      </c>
      <c r="I3805" s="55">
        <v>18.050750000000001</v>
      </c>
      <c r="J3805" s="55">
        <v>15.58723</v>
      </c>
      <c r="K3805" s="55">
        <v>14.627829999999999</v>
      </c>
      <c r="L3805" s="55">
        <v>12.72072</v>
      </c>
      <c r="M3805" s="55">
        <v>13.0326</v>
      </c>
      <c r="N3805" s="55">
        <v>11.688370000000001</v>
      </c>
    </row>
    <row r="3806" spans="1:14" hidden="1" x14ac:dyDescent="0.35">
      <c r="A3806" s="52" t="s">
        <v>270</v>
      </c>
      <c r="B3806" s="52" t="s">
        <v>37</v>
      </c>
      <c r="C3806" s="52" t="s">
        <v>35</v>
      </c>
      <c r="D3806" s="52" t="s">
        <v>36</v>
      </c>
      <c r="E3806" s="52" t="s">
        <v>587</v>
      </c>
      <c r="F3806" s="52" t="s">
        <v>26</v>
      </c>
      <c r="G3806" s="55" t="s">
        <v>275</v>
      </c>
      <c r="H3806" s="55">
        <v>-0.99320200000000003</v>
      </c>
      <c r="I3806" s="55">
        <v>-0.89784379999999997</v>
      </c>
      <c r="J3806" s="55">
        <v>-0.24408569999999999</v>
      </c>
      <c r="K3806" s="55">
        <v>-0.42415789999999998</v>
      </c>
      <c r="L3806" s="55">
        <v>-0.17050129999999999</v>
      </c>
      <c r="M3806" s="55">
        <v>-0.84825269999999997</v>
      </c>
      <c r="N3806" s="55">
        <v>-0.76203220000000005</v>
      </c>
    </row>
    <row r="3807" spans="1:14" hidden="1" x14ac:dyDescent="0.35">
      <c r="A3807" s="52" t="s">
        <v>270</v>
      </c>
      <c r="B3807" s="52" t="s">
        <v>37</v>
      </c>
      <c r="C3807" s="52" t="s">
        <v>35</v>
      </c>
      <c r="D3807" s="52" t="s">
        <v>36</v>
      </c>
      <c r="E3807" s="52" t="s">
        <v>587</v>
      </c>
      <c r="F3807" s="52" t="s">
        <v>26</v>
      </c>
      <c r="G3807" s="55" t="s">
        <v>276</v>
      </c>
      <c r="H3807" s="55">
        <v>-0.26401599999999997</v>
      </c>
      <c r="I3807" s="55">
        <v>-0.23866770000000001</v>
      </c>
      <c r="J3807" s="55">
        <v>-6.4882990000000001E-2</v>
      </c>
      <c r="K3807" s="55">
        <v>-0.11274919999999999</v>
      </c>
      <c r="L3807" s="55">
        <v>-4.5324009999999998E-2</v>
      </c>
      <c r="M3807" s="55">
        <v>-0.2254844</v>
      </c>
      <c r="N3807" s="55">
        <v>-0.2025661</v>
      </c>
    </row>
    <row r="3808" spans="1:14" hidden="1" x14ac:dyDescent="0.35">
      <c r="A3808" s="52" t="s">
        <v>270</v>
      </c>
      <c r="B3808" s="52" t="s">
        <v>37</v>
      </c>
      <c r="C3808" s="52" t="s">
        <v>35</v>
      </c>
      <c r="D3808" s="52" t="s">
        <v>36</v>
      </c>
      <c r="E3808" s="52" t="s">
        <v>587</v>
      </c>
      <c r="F3808" s="52" t="s">
        <v>26</v>
      </c>
      <c r="G3808" s="55" t="s">
        <v>279</v>
      </c>
      <c r="H3808" s="55">
        <v>15.33497</v>
      </c>
      <c r="I3808" s="55">
        <v>9.9085769999999993</v>
      </c>
      <c r="J3808" s="55">
        <v>8.5833449999999996</v>
      </c>
      <c r="K3808" s="55">
        <v>8.1080509999999997</v>
      </c>
      <c r="L3808" s="55">
        <v>7.0828639999999998</v>
      </c>
      <c r="M3808" s="55">
        <v>7.2594799999999999</v>
      </c>
      <c r="N3808" s="55">
        <v>6.5052070000000004</v>
      </c>
    </row>
    <row r="3809" spans="1:14" hidden="1" x14ac:dyDescent="0.35">
      <c r="A3809" s="52" t="s">
        <v>270</v>
      </c>
      <c r="B3809" s="52" t="s">
        <v>37</v>
      </c>
      <c r="C3809" s="52" t="s">
        <v>35</v>
      </c>
      <c r="D3809" s="52" t="s">
        <v>39</v>
      </c>
      <c r="E3809" s="52" t="s">
        <v>582</v>
      </c>
      <c r="F3809" s="52" t="s">
        <v>581</v>
      </c>
      <c r="G3809" s="55" t="s">
        <v>275</v>
      </c>
      <c r="H3809" s="55">
        <v>-124.3177</v>
      </c>
      <c r="I3809" s="55">
        <v>99.720870000000005</v>
      </c>
      <c r="J3809" s="55">
        <v>341.9907</v>
      </c>
      <c r="K3809" s="55">
        <v>373.39460000000003</v>
      </c>
      <c r="L3809" s="55">
        <v>315.22160000000002</v>
      </c>
      <c r="M3809" s="55">
        <v>223.77699999999999</v>
      </c>
      <c r="N3809" s="55">
        <v>194.101</v>
      </c>
    </row>
    <row r="3810" spans="1:14" hidden="1" x14ac:dyDescent="0.35">
      <c r="A3810" s="52" t="s">
        <v>270</v>
      </c>
      <c r="B3810" s="52" t="s">
        <v>37</v>
      </c>
      <c r="C3810" s="52" t="s">
        <v>35</v>
      </c>
      <c r="D3810" s="52" t="s">
        <v>39</v>
      </c>
      <c r="E3810" s="52" t="s">
        <v>582</v>
      </c>
      <c r="F3810" s="52" t="s">
        <v>581</v>
      </c>
      <c r="G3810" s="55" t="s">
        <v>276</v>
      </c>
      <c r="H3810" s="55">
        <v>38.664499999999997</v>
      </c>
      <c r="I3810" s="55">
        <v>-21.294879999999999</v>
      </c>
      <c r="J3810" s="55">
        <v>-21.677430000000001</v>
      </c>
      <c r="K3810" s="55">
        <v>-57.317450000000001</v>
      </c>
      <c r="L3810" s="55">
        <v>-37.04421</v>
      </c>
      <c r="M3810" s="55">
        <v>32.697929999999999</v>
      </c>
      <c r="N3810" s="55">
        <v>52.234540000000003</v>
      </c>
    </row>
    <row r="3811" spans="1:14" x14ac:dyDescent="0.35">
      <c r="A3811" s="52" t="s">
        <v>270</v>
      </c>
      <c r="B3811" s="52" t="s">
        <v>37</v>
      </c>
      <c r="C3811" s="52" t="s">
        <v>35</v>
      </c>
      <c r="D3811" s="52" t="s">
        <v>39</v>
      </c>
      <c r="E3811" s="52" t="s">
        <v>582</v>
      </c>
      <c r="F3811" s="52" t="s">
        <v>581</v>
      </c>
      <c r="G3811" s="55" t="s">
        <v>277</v>
      </c>
      <c r="H3811" s="55">
        <v>1000.5410000000001</v>
      </c>
      <c r="I3811" s="55">
        <v>282.60230000000001</v>
      </c>
      <c r="J3811" s="55">
        <v>77.615849999999995</v>
      </c>
      <c r="K3811" s="55">
        <v>31.31683</v>
      </c>
      <c r="L3811" s="55">
        <v>60.17295</v>
      </c>
      <c r="M3811" s="55">
        <v>63.092089999999999</v>
      </c>
      <c r="N3811" s="55">
        <v>66.208969999999994</v>
      </c>
    </row>
    <row r="3812" spans="1:14" hidden="1" x14ac:dyDescent="0.35">
      <c r="A3812" s="52" t="s">
        <v>270</v>
      </c>
      <c r="B3812" s="52" t="s">
        <v>37</v>
      </c>
      <c r="C3812" s="52" t="s">
        <v>35</v>
      </c>
      <c r="D3812" s="52" t="s">
        <v>39</v>
      </c>
      <c r="E3812" s="52" t="s">
        <v>582</v>
      </c>
      <c r="F3812" s="52" t="s">
        <v>581</v>
      </c>
      <c r="G3812" s="55" t="s">
        <v>278</v>
      </c>
      <c r="H3812" s="55">
        <v>217.23849999999999</v>
      </c>
      <c r="I3812" s="55">
        <v>116.10599999999999</v>
      </c>
      <c r="J3812" s="55">
        <v>74.928020000000004</v>
      </c>
      <c r="K3812" s="55">
        <v>76.393109999999993</v>
      </c>
      <c r="L3812" s="55">
        <v>92.091059999999999</v>
      </c>
      <c r="M3812" s="55">
        <v>82.295509999999993</v>
      </c>
      <c r="N3812" s="55">
        <v>82.120559999999998</v>
      </c>
    </row>
    <row r="3813" spans="1:14" hidden="1" x14ac:dyDescent="0.35">
      <c r="A3813" s="52" t="s">
        <v>270</v>
      </c>
      <c r="B3813" s="52" t="s">
        <v>37</v>
      </c>
      <c r="C3813" s="52" t="s">
        <v>35</v>
      </c>
      <c r="D3813" s="52" t="s">
        <v>39</v>
      </c>
      <c r="E3813" s="52" t="s">
        <v>582</v>
      </c>
      <c r="F3813" s="52" t="s">
        <v>581</v>
      </c>
      <c r="G3813" s="55" t="s">
        <v>279</v>
      </c>
      <c r="H3813" s="55">
        <v>376.58640000000003</v>
      </c>
      <c r="I3813" s="55">
        <v>302.76159999999999</v>
      </c>
      <c r="J3813" s="55">
        <v>279.34699999999998</v>
      </c>
      <c r="K3813" s="55">
        <v>258.50869999999998</v>
      </c>
      <c r="L3813" s="55">
        <v>237.96360000000001</v>
      </c>
      <c r="M3813" s="55">
        <v>276.23520000000002</v>
      </c>
      <c r="N3813" s="55">
        <v>268.80540000000002</v>
      </c>
    </row>
    <row r="3814" spans="1:14" hidden="1" x14ac:dyDescent="0.35">
      <c r="A3814" s="52" t="s">
        <v>270</v>
      </c>
      <c r="B3814" s="52" t="s">
        <v>37</v>
      </c>
      <c r="C3814" s="52" t="s">
        <v>35</v>
      </c>
      <c r="D3814" s="52" t="s">
        <v>39</v>
      </c>
      <c r="E3814" s="52" t="s">
        <v>582</v>
      </c>
      <c r="F3814" s="52" t="s">
        <v>26</v>
      </c>
      <c r="G3814" s="55" t="s">
        <v>275</v>
      </c>
      <c r="H3814" s="55">
        <v>-12.801130000000001</v>
      </c>
      <c r="I3814" s="55">
        <v>-16.277270000000001</v>
      </c>
      <c r="J3814" s="55">
        <v>-3.7020650000000002</v>
      </c>
      <c r="K3814" s="55">
        <v>-7.9400409999999999</v>
      </c>
      <c r="L3814" s="55">
        <v>-1.6737070000000001</v>
      </c>
      <c r="M3814" s="55">
        <v>-18.73462</v>
      </c>
      <c r="N3814" s="55">
        <v>-17.358720000000002</v>
      </c>
    </row>
    <row r="3815" spans="1:14" hidden="1" x14ac:dyDescent="0.35">
      <c r="A3815" s="52" t="s">
        <v>270</v>
      </c>
      <c r="B3815" s="52" t="s">
        <v>37</v>
      </c>
      <c r="C3815" s="52" t="s">
        <v>35</v>
      </c>
      <c r="D3815" s="52" t="s">
        <v>39</v>
      </c>
      <c r="E3815" s="52" t="s">
        <v>582</v>
      </c>
      <c r="F3815" s="52" t="s">
        <v>26</v>
      </c>
      <c r="G3815" s="55" t="s">
        <v>276</v>
      </c>
      <c r="H3815" s="55">
        <v>-3.4028160000000001</v>
      </c>
      <c r="I3815" s="55">
        <v>-4.3268380000000004</v>
      </c>
      <c r="J3815" s="55">
        <v>-0.98409880000000005</v>
      </c>
      <c r="K3815" s="55">
        <v>-2.110652</v>
      </c>
      <c r="L3815" s="55">
        <v>-0.44490960000000002</v>
      </c>
      <c r="M3815" s="55">
        <v>-4.9800719999999998</v>
      </c>
      <c r="N3815" s="55">
        <v>-4.6143359999999998</v>
      </c>
    </row>
    <row r="3816" spans="1:14" hidden="1" x14ac:dyDescent="0.35">
      <c r="A3816" s="52" t="s">
        <v>270</v>
      </c>
      <c r="B3816" s="52" t="s">
        <v>37</v>
      </c>
      <c r="C3816" s="52" t="s">
        <v>35</v>
      </c>
      <c r="D3816" s="52" t="s">
        <v>39</v>
      </c>
      <c r="E3816" s="52" t="s">
        <v>582</v>
      </c>
      <c r="F3816" s="52" t="s">
        <v>26</v>
      </c>
      <c r="G3816" s="55" t="s">
        <v>279</v>
      </c>
      <c r="H3816" s="55">
        <v>210.584</v>
      </c>
      <c r="I3816" s="55">
        <v>189.8922</v>
      </c>
      <c r="J3816" s="55">
        <v>175.17009999999999</v>
      </c>
      <c r="K3816" s="55">
        <v>163.6234</v>
      </c>
      <c r="L3816" s="55">
        <v>151.76089999999999</v>
      </c>
      <c r="M3816" s="55">
        <v>174.51929999999999</v>
      </c>
      <c r="N3816" s="55">
        <v>168.5926</v>
      </c>
    </row>
    <row r="3817" spans="1:14" hidden="1" x14ac:dyDescent="0.35">
      <c r="A3817" s="52" t="s">
        <v>270</v>
      </c>
      <c r="B3817" s="52" t="s">
        <v>37</v>
      </c>
      <c r="C3817" s="52" t="s">
        <v>35</v>
      </c>
      <c r="D3817" s="52" t="s">
        <v>129</v>
      </c>
      <c r="E3817" s="52" t="s">
        <v>580</v>
      </c>
      <c r="F3817" s="52" t="s">
        <v>581</v>
      </c>
      <c r="G3817" s="55" t="s">
        <v>275</v>
      </c>
      <c r="H3817" s="55">
        <v>76.483670000000004</v>
      </c>
      <c r="I3817" s="55">
        <v>119.95350000000001</v>
      </c>
      <c r="J3817" s="55">
        <v>192.29150000000001</v>
      </c>
      <c r="K3817" s="55">
        <v>227.40719999999999</v>
      </c>
      <c r="L3817" s="55">
        <v>166.19210000000001</v>
      </c>
      <c r="M3817" s="55">
        <v>113.7702</v>
      </c>
      <c r="N3817" s="55">
        <v>61.98621</v>
      </c>
    </row>
    <row r="3818" spans="1:14" hidden="1" x14ac:dyDescent="0.35">
      <c r="A3818" s="52" t="s">
        <v>270</v>
      </c>
      <c r="B3818" s="52" t="s">
        <v>37</v>
      </c>
      <c r="C3818" s="52" t="s">
        <v>35</v>
      </c>
      <c r="D3818" s="52" t="s">
        <v>129</v>
      </c>
      <c r="E3818" s="52" t="s">
        <v>580</v>
      </c>
      <c r="F3818" s="52" t="s">
        <v>581</v>
      </c>
      <c r="G3818" s="55" t="s">
        <v>276</v>
      </c>
      <c r="H3818" s="55">
        <v>-0.87396569999999996</v>
      </c>
      <c r="I3818" s="55">
        <v>-42.956049999999998</v>
      </c>
      <c r="J3818" s="55">
        <v>-34.871600000000001</v>
      </c>
      <c r="K3818" s="55">
        <v>-70.326719999999995</v>
      </c>
      <c r="L3818" s="55">
        <v>-14.76896</v>
      </c>
      <c r="M3818" s="55">
        <v>15.23105</v>
      </c>
      <c r="N3818" s="55">
        <v>20.773479999999999</v>
      </c>
    </row>
    <row r="3819" spans="1:14" x14ac:dyDescent="0.35">
      <c r="A3819" s="52" t="s">
        <v>270</v>
      </c>
      <c r="B3819" s="52" t="s">
        <v>37</v>
      </c>
      <c r="C3819" s="52" t="s">
        <v>35</v>
      </c>
      <c r="D3819" s="52" t="s">
        <v>129</v>
      </c>
      <c r="E3819" s="52" t="s">
        <v>580</v>
      </c>
      <c r="F3819" s="52" t="s">
        <v>581</v>
      </c>
      <c r="G3819" s="55" t="s">
        <v>277</v>
      </c>
      <c r="H3819" s="55">
        <v>457.33670000000001</v>
      </c>
      <c r="I3819" s="55">
        <v>113.2616</v>
      </c>
      <c r="J3819" s="55">
        <v>47.088790000000003</v>
      </c>
      <c r="K3819" s="55">
        <v>15.98193</v>
      </c>
      <c r="L3819" s="55">
        <v>20.48189</v>
      </c>
      <c r="M3819" s="55">
        <v>20.723759999999999</v>
      </c>
      <c r="N3819" s="55">
        <v>65.442279999999997</v>
      </c>
    </row>
    <row r="3820" spans="1:14" hidden="1" x14ac:dyDescent="0.35">
      <c r="A3820" s="52" t="s">
        <v>270</v>
      </c>
      <c r="B3820" s="52" t="s">
        <v>37</v>
      </c>
      <c r="C3820" s="52" t="s">
        <v>35</v>
      </c>
      <c r="D3820" s="52" t="s">
        <v>129</v>
      </c>
      <c r="E3820" s="52" t="s">
        <v>580</v>
      </c>
      <c r="F3820" s="52" t="s">
        <v>581</v>
      </c>
      <c r="G3820" s="55" t="s">
        <v>278</v>
      </c>
      <c r="H3820" s="55">
        <v>82.78134</v>
      </c>
      <c r="I3820" s="55">
        <v>36.909239999999997</v>
      </c>
      <c r="J3820" s="55">
        <v>24.355640000000001</v>
      </c>
      <c r="K3820" s="55">
        <v>30.48611</v>
      </c>
      <c r="L3820" s="55">
        <v>18.815760000000001</v>
      </c>
      <c r="M3820" s="55">
        <v>10.01249</v>
      </c>
      <c r="N3820" s="55">
        <v>9.7221250000000001</v>
      </c>
    </row>
    <row r="3821" spans="1:14" hidden="1" x14ac:dyDescent="0.35">
      <c r="A3821" s="52" t="s">
        <v>270</v>
      </c>
      <c r="B3821" s="52" t="s">
        <v>37</v>
      </c>
      <c r="C3821" s="52" t="s">
        <v>35</v>
      </c>
      <c r="D3821" s="52" t="s">
        <v>129</v>
      </c>
      <c r="E3821" s="52" t="s">
        <v>580</v>
      </c>
      <c r="F3821" s="52" t="s">
        <v>581</v>
      </c>
      <c r="G3821" s="55" t="s">
        <v>279</v>
      </c>
      <c r="H3821" s="55">
        <v>207.6011</v>
      </c>
      <c r="I3821" s="55">
        <v>147.71629999999999</v>
      </c>
      <c r="J3821" s="55">
        <v>138.51050000000001</v>
      </c>
      <c r="K3821" s="55">
        <v>127.1771</v>
      </c>
      <c r="L3821" s="55">
        <v>106.9906</v>
      </c>
      <c r="M3821" s="55">
        <v>111.23139999999999</v>
      </c>
      <c r="N3821" s="55">
        <v>106.7722</v>
      </c>
    </row>
    <row r="3822" spans="1:14" hidden="1" x14ac:dyDescent="0.35">
      <c r="A3822" s="52" t="s">
        <v>270</v>
      </c>
      <c r="B3822" s="52" t="s">
        <v>37</v>
      </c>
      <c r="C3822" s="52" t="s">
        <v>35</v>
      </c>
      <c r="D3822" s="52" t="s">
        <v>129</v>
      </c>
      <c r="E3822" s="52" t="s">
        <v>580</v>
      </c>
      <c r="F3822" s="52" t="s">
        <v>26</v>
      </c>
      <c r="G3822" s="55" t="s">
        <v>275</v>
      </c>
      <c r="H3822" s="55">
        <v>4.2195450000000001</v>
      </c>
      <c r="I3822" s="55">
        <v>1.062983</v>
      </c>
      <c r="J3822" s="55">
        <v>6.3111750000000004</v>
      </c>
      <c r="K3822" s="55">
        <v>3.985023</v>
      </c>
      <c r="L3822" s="55">
        <v>6.1778620000000002</v>
      </c>
      <c r="M3822" s="55">
        <v>-0.72955789999999998</v>
      </c>
      <c r="N3822" s="55">
        <v>-0.50931649999999995</v>
      </c>
    </row>
    <row r="3823" spans="1:14" hidden="1" x14ac:dyDescent="0.35">
      <c r="A3823" s="52" t="s">
        <v>270</v>
      </c>
      <c r="B3823" s="52" t="s">
        <v>37</v>
      </c>
      <c r="C3823" s="52" t="s">
        <v>35</v>
      </c>
      <c r="D3823" s="52" t="s">
        <v>129</v>
      </c>
      <c r="E3823" s="52" t="s">
        <v>580</v>
      </c>
      <c r="F3823" s="52" t="s">
        <v>26</v>
      </c>
      <c r="G3823" s="55" t="s">
        <v>276</v>
      </c>
      <c r="H3823" s="55">
        <v>1.1216489999999999</v>
      </c>
      <c r="I3823" s="55">
        <v>0.28256910000000002</v>
      </c>
      <c r="J3823" s="55">
        <v>1.6776610000000001</v>
      </c>
      <c r="K3823" s="55">
        <v>1.0593129999999999</v>
      </c>
      <c r="L3823" s="55">
        <v>1.6422079999999999</v>
      </c>
      <c r="M3823" s="55">
        <v>-0.19393869999999999</v>
      </c>
      <c r="N3823" s="55">
        <v>-0.13538729999999999</v>
      </c>
    </row>
    <row r="3824" spans="1:14" hidden="1" x14ac:dyDescent="0.35">
      <c r="A3824" s="52" t="s">
        <v>270</v>
      </c>
      <c r="B3824" s="52" t="s">
        <v>37</v>
      </c>
      <c r="C3824" s="52" t="s">
        <v>35</v>
      </c>
      <c r="D3824" s="52" t="s">
        <v>129</v>
      </c>
      <c r="E3824" s="52" t="s">
        <v>580</v>
      </c>
      <c r="F3824" s="52" t="s">
        <v>26</v>
      </c>
      <c r="G3824" s="55" t="s">
        <v>279</v>
      </c>
      <c r="H3824" s="55">
        <v>94.372979999999998</v>
      </c>
      <c r="I3824" s="55">
        <v>74.968220000000002</v>
      </c>
      <c r="J3824" s="55">
        <v>70.246340000000004</v>
      </c>
      <c r="K3824" s="55">
        <v>64.979020000000006</v>
      </c>
      <c r="L3824" s="55">
        <v>54.719000000000001</v>
      </c>
      <c r="M3824" s="55">
        <v>57.143610000000002</v>
      </c>
      <c r="N3824" s="55">
        <v>54.651440000000001</v>
      </c>
    </row>
    <row r="3825" spans="1:14" hidden="1" x14ac:dyDescent="0.35">
      <c r="A3825" s="52" t="s">
        <v>270</v>
      </c>
      <c r="B3825" s="52" t="s">
        <v>37</v>
      </c>
      <c r="C3825" s="52" t="s">
        <v>35</v>
      </c>
      <c r="D3825" s="52" t="s">
        <v>38</v>
      </c>
      <c r="E3825" s="52" t="s">
        <v>584</v>
      </c>
      <c r="F3825" s="52" t="s">
        <v>581</v>
      </c>
      <c r="G3825" s="55" t="s">
        <v>275</v>
      </c>
      <c r="H3825" s="55">
        <v>63.321890000000003</v>
      </c>
      <c r="I3825" s="55">
        <v>18.204750000000001</v>
      </c>
      <c r="J3825" s="55">
        <v>17.222069999999999</v>
      </c>
      <c r="K3825" s="55">
        <v>15.992139999999999</v>
      </c>
      <c r="L3825" s="55">
        <v>13.73049</v>
      </c>
      <c r="M3825" s="55">
        <v>10.62862</v>
      </c>
      <c r="N3825" s="55">
        <v>9.6959040000000005</v>
      </c>
    </row>
    <row r="3826" spans="1:14" hidden="1" x14ac:dyDescent="0.35">
      <c r="A3826" s="52" t="s">
        <v>270</v>
      </c>
      <c r="B3826" s="52" t="s">
        <v>37</v>
      </c>
      <c r="C3826" s="52" t="s">
        <v>35</v>
      </c>
      <c r="D3826" s="52" t="s">
        <v>38</v>
      </c>
      <c r="E3826" s="52" t="s">
        <v>584</v>
      </c>
      <c r="F3826" s="52" t="s">
        <v>581</v>
      </c>
      <c r="G3826" s="55" t="s">
        <v>276</v>
      </c>
      <c r="H3826" s="55">
        <v>15.145490000000001</v>
      </c>
      <c r="I3826" s="55">
        <v>3.7143250000000001</v>
      </c>
      <c r="J3826" s="55">
        <v>3.1321850000000002</v>
      </c>
      <c r="K3826" s="55">
        <v>1.9231560000000001</v>
      </c>
      <c r="L3826" s="55">
        <v>3.3736630000000001</v>
      </c>
      <c r="M3826" s="55">
        <v>2.7984719999999998</v>
      </c>
      <c r="N3826" s="55">
        <v>2.5773920000000001</v>
      </c>
    </row>
    <row r="3827" spans="1:14" x14ac:dyDescent="0.35">
      <c r="A3827" s="52" t="s">
        <v>270</v>
      </c>
      <c r="B3827" s="52" t="s">
        <v>37</v>
      </c>
      <c r="C3827" s="52" t="s">
        <v>35</v>
      </c>
      <c r="D3827" s="52" t="s">
        <v>38</v>
      </c>
      <c r="E3827" s="52" t="s">
        <v>584</v>
      </c>
      <c r="F3827" s="52" t="s">
        <v>581</v>
      </c>
      <c r="G3827" s="55" t="s">
        <v>277</v>
      </c>
      <c r="H3827" s="55">
        <v>2.475177</v>
      </c>
      <c r="I3827" s="55">
        <v>0.2466748</v>
      </c>
      <c r="J3827" s="55">
        <v>0</v>
      </c>
      <c r="K3827" s="55"/>
      <c r="L3827" s="55"/>
      <c r="M3827" s="55">
        <v>0</v>
      </c>
      <c r="N3827" s="55">
        <v>0</v>
      </c>
    </row>
    <row r="3828" spans="1:14" hidden="1" x14ac:dyDescent="0.35">
      <c r="A3828" s="52" t="s">
        <v>270</v>
      </c>
      <c r="B3828" s="52" t="s">
        <v>37</v>
      </c>
      <c r="C3828" s="52" t="s">
        <v>35</v>
      </c>
      <c r="D3828" s="52" t="s">
        <v>38</v>
      </c>
      <c r="E3828" s="52" t="s">
        <v>584</v>
      </c>
      <c r="F3828" s="52" t="s">
        <v>581</v>
      </c>
      <c r="G3828" s="55" t="s">
        <v>279</v>
      </c>
      <c r="H3828" s="55">
        <v>40.972720000000002</v>
      </c>
      <c r="I3828" s="55">
        <v>26.198149999999998</v>
      </c>
      <c r="J3828" s="55">
        <v>21.895620000000001</v>
      </c>
      <c r="K3828" s="55">
        <v>20.148790000000002</v>
      </c>
      <c r="L3828" s="55">
        <v>17.334119999999999</v>
      </c>
      <c r="M3828" s="55">
        <v>18.188379999999999</v>
      </c>
      <c r="N3828" s="55">
        <v>16.479880000000001</v>
      </c>
    </row>
    <row r="3829" spans="1:14" hidden="1" x14ac:dyDescent="0.35">
      <c r="A3829" s="52" t="s">
        <v>270</v>
      </c>
      <c r="B3829" s="52" t="s">
        <v>37</v>
      </c>
      <c r="C3829" s="52" t="s">
        <v>35</v>
      </c>
      <c r="D3829" s="52" t="s">
        <v>38</v>
      </c>
      <c r="E3829" s="52" t="s">
        <v>584</v>
      </c>
      <c r="F3829" s="52" t="s">
        <v>26</v>
      </c>
      <c r="G3829" s="55" t="s">
        <v>275</v>
      </c>
      <c r="H3829" s="55">
        <v>-4.2965520000000001</v>
      </c>
      <c r="I3829" s="55">
        <v>-3.1520090000000001</v>
      </c>
      <c r="J3829" s="55">
        <v>-1.8775919999999999</v>
      </c>
      <c r="K3829" s="55">
        <v>-1.9899180000000001</v>
      </c>
      <c r="L3829" s="55">
        <v>-1.4114059999999999</v>
      </c>
      <c r="M3829" s="55">
        <v>-2.4688469999999998</v>
      </c>
      <c r="N3829" s="55">
        <v>-2.2381289999999998</v>
      </c>
    </row>
    <row r="3830" spans="1:14" hidden="1" x14ac:dyDescent="0.35">
      <c r="A3830" s="52" t="s">
        <v>270</v>
      </c>
      <c r="B3830" s="52" t="s">
        <v>37</v>
      </c>
      <c r="C3830" s="52" t="s">
        <v>35</v>
      </c>
      <c r="D3830" s="52" t="s">
        <v>38</v>
      </c>
      <c r="E3830" s="52" t="s">
        <v>584</v>
      </c>
      <c r="F3830" s="52" t="s">
        <v>26</v>
      </c>
      <c r="G3830" s="55" t="s">
        <v>276</v>
      </c>
      <c r="H3830" s="55">
        <v>-1.1421209999999999</v>
      </c>
      <c r="I3830" s="55">
        <v>-0.83787590000000001</v>
      </c>
      <c r="J3830" s="55">
        <v>-0.49910749999999998</v>
      </c>
      <c r="K3830" s="55">
        <v>-0.52896580000000004</v>
      </c>
      <c r="L3830" s="55">
        <v>-0.37518439999999997</v>
      </c>
      <c r="M3830" s="55">
        <v>-0.65627619999999998</v>
      </c>
      <c r="N3830" s="55">
        <v>-0.5949451</v>
      </c>
    </row>
    <row r="3831" spans="1:14" hidden="1" x14ac:dyDescent="0.35">
      <c r="A3831" s="52" t="s">
        <v>270</v>
      </c>
      <c r="B3831" s="52" t="s">
        <v>37</v>
      </c>
      <c r="C3831" s="52" t="s">
        <v>35</v>
      </c>
      <c r="D3831" s="52" t="s">
        <v>38</v>
      </c>
      <c r="E3831" s="52" t="s">
        <v>584</v>
      </c>
      <c r="F3831" s="52" t="s">
        <v>26</v>
      </c>
      <c r="G3831" s="55" t="s">
        <v>279</v>
      </c>
      <c r="H3831" s="55">
        <v>25.635290000000001</v>
      </c>
      <c r="I3831" s="55">
        <v>16.589690000000001</v>
      </c>
      <c r="J3831" s="55">
        <v>13.927820000000001</v>
      </c>
      <c r="K3831" s="55">
        <v>12.87717</v>
      </c>
      <c r="L3831" s="55">
        <v>11.1218</v>
      </c>
      <c r="M3831" s="55">
        <v>11.65727</v>
      </c>
      <c r="N3831" s="55">
        <v>10.55538</v>
      </c>
    </row>
    <row r="3832" spans="1:14" hidden="1" x14ac:dyDescent="0.35">
      <c r="A3832" s="52" t="s">
        <v>639</v>
      </c>
      <c r="B3832" s="52" t="s">
        <v>37</v>
      </c>
      <c r="C3832" s="52" t="s">
        <v>63</v>
      </c>
      <c r="D3832" s="52" t="s">
        <v>63</v>
      </c>
      <c r="E3832" s="52" t="s">
        <v>610</v>
      </c>
      <c r="F3832" s="52" t="s">
        <v>581</v>
      </c>
      <c r="G3832" s="55" t="s">
        <v>275</v>
      </c>
      <c r="H3832" s="55">
        <v>682.65319999999997</v>
      </c>
      <c r="I3832" s="55">
        <v>210.10480000000001</v>
      </c>
      <c r="J3832" s="55">
        <v>215.22970000000001</v>
      </c>
      <c r="K3832" s="55">
        <v>170.41050000000001</v>
      </c>
      <c r="L3832" s="55">
        <v>142.1994</v>
      </c>
      <c r="M3832" s="55">
        <v>117.1632</v>
      </c>
      <c r="N3832" s="55">
        <v>104.68980000000001</v>
      </c>
    </row>
    <row r="3833" spans="1:14" hidden="1" x14ac:dyDescent="0.35">
      <c r="A3833" s="52" t="s">
        <v>639</v>
      </c>
      <c r="B3833" s="52" t="s">
        <v>37</v>
      </c>
      <c r="C3833" s="52" t="s">
        <v>63</v>
      </c>
      <c r="D3833" s="52" t="s">
        <v>63</v>
      </c>
      <c r="E3833" s="52" t="s">
        <v>610</v>
      </c>
      <c r="F3833" s="52" t="s">
        <v>581</v>
      </c>
      <c r="G3833" s="55" t="s">
        <v>276</v>
      </c>
      <c r="H3833" s="55">
        <v>47.457189999999997</v>
      </c>
      <c r="I3833" s="55">
        <v>14.60622</v>
      </c>
      <c r="J3833" s="55">
        <v>14.962479999999999</v>
      </c>
      <c r="K3833" s="55">
        <v>11.846730000000001</v>
      </c>
      <c r="L3833" s="55">
        <v>9.8855079999999997</v>
      </c>
      <c r="M3833" s="55">
        <v>8.1450390000000006</v>
      </c>
      <c r="N3833" s="55">
        <v>7.277895</v>
      </c>
    </row>
    <row r="3834" spans="1:14" hidden="1" x14ac:dyDescent="0.35">
      <c r="A3834" s="52" t="s">
        <v>639</v>
      </c>
      <c r="B3834" s="52" t="s">
        <v>37</v>
      </c>
      <c r="C3834" s="52" t="s">
        <v>63</v>
      </c>
      <c r="D3834" s="52" t="s">
        <v>63</v>
      </c>
      <c r="E3834" s="52" t="s">
        <v>610</v>
      </c>
      <c r="F3834" s="52" t="s">
        <v>581</v>
      </c>
      <c r="G3834" s="55" t="s">
        <v>279</v>
      </c>
      <c r="H3834" s="55">
        <v>504.80009999999999</v>
      </c>
      <c r="I3834" s="55">
        <v>491.834</v>
      </c>
      <c r="J3834" s="55">
        <v>476.0342</v>
      </c>
      <c r="K3834" s="55">
        <v>459.0804</v>
      </c>
      <c r="L3834" s="55">
        <v>427.07740000000001</v>
      </c>
      <c r="M3834" s="55">
        <v>395.00510000000003</v>
      </c>
      <c r="N3834" s="55">
        <v>350.94839999999999</v>
      </c>
    </row>
    <row r="3835" spans="1:14" hidden="1" x14ac:dyDescent="0.35">
      <c r="A3835" s="52" t="s">
        <v>639</v>
      </c>
      <c r="B3835" s="52" t="s">
        <v>37</v>
      </c>
      <c r="C3835" s="52" t="s">
        <v>63</v>
      </c>
      <c r="D3835" s="52" t="s">
        <v>63</v>
      </c>
      <c r="E3835" s="52" t="s">
        <v>610</v>
      </c>
      <c r="F3835" s="52" t="s">
        <v>26</v>
      </c>
      <c r="G3835" s="55" t="s">
        <v>275</v>
      </c>
      <c r="H3835" s="55">
        <v>-1081.8130000000001</v>
      </c>
      <c r="I3835" s="55">
        <v>-493.4975</v>
      </c>
      <c r="J3835" s="55">
        <v>-55.105350000000001</v>
      </c>
      <c r="K3835" s="55">
        <v>-54.500369999999997</v>
      </c>
      <c r="L3835" s="55">
        <v>-96.206779999999995</v>
      </c>
      <c r="M3835" s="55">
        <v>-81.994550000000004</v>
      </c>
      <c r="N3835" s="55">
        <v>-76.928129999999996</v>
      </c>
    </row>
    <row r="3836" spans="1:14" hidden="1" x14ac:dyDescent="0.35">
      <c r="A3836" s="52" t="s">
        <v>639</v>
      </c>
      <c r="B3836" s="52" t="s">
        <v>37</v>
      </c>
      <c r="C3836" s="52" t="s">
        <v>63</v>
      </c>
      <c r="D3836" s="52" t="s">
        <v>63</v>
      </c>
      <c r="E3836" s="52" t="s">
        <v>610</v>
      </c>
      <c r="F3836" s="52" t="s">
        <v>26</v>
      </c>
      <c r="G3836" s="55" t="s">
        <v>276</v>
      </c>
      <c r="H3836" s="55">
        <v>-74.414090000000002</v>
      </c>
      <c r="I3836" s="55">
        <v>-71.979810000000001</v>
      </c>
      <c r="J3836" s="55">
        <v>-50.723350000000003</v>
      </c>
      <c r="K3836" s="55">
        <v>-50.85568</v>
      </c>
      <c r="L3836" s="55">
        <v>-46.406359999999999</v>
      </c>
      <c r="M3836" s="55">
        <v>-38.832769999999996</v>
      </c>
      <c r="N3836" s="55">
        <v>-26.243010000000002</v>
      </c>
    </row>
    <row r="3837" spans="1:14" hidden="1" x14ac:dyDescent="0.35">
      <c r="A3837" s="52" t="s">
        <v>639</v>
      </c>
      <c r="B3837" s="52" t="s">
        <v>37</v>
      </c>
      <c r="C3837" s="52" t="s">
        <v>63</v>
      </c>
      <c r="D3837" s="52" t="s">
        <v>63</v>
      </c>
      <c r="E3837" s="52" t="s">
        <v>610</v>
      </c>
      <c r="F3837" s="52" t="s">
        <v>26</v>
      </c>
      <c r="G3837" s="55" t="s">
        <v>277</v>
      </c>
      <c r="H3837" s="55">
        <v>1075.3030000000001</v>
      </c>
      <c r="I3837" s="55">
        <v>377.37619999999998</v>
      </c>
      <c r="J3837" s="55">
        <v>155.45160000000001</v>
      </c>
      <c r="K3837" s="55">
        <v>47.012300000000003</v>
      </c>
      <c r="L3837" s="55">
        <v>36.401919999999997</v>
      </c>
      <c r="M3837" s="55">
        <v>6.396261</v>
      </c>
      <c r="N3837" s="55">
        <v>0</v>
      </c>
    </row>
    <row r="3838" spans="1:14" hidden="1" x14ac:dyDescent="0.35">
      <c r="A3838" s="52" t="s">
        <v>639</v>
      </c>
      <c r="B3838" s="52" t="s">
        <v>37</v>
      </c>
      <c r="C3838" s="52" t="s">
        <v>63</v>
      </c>
      <c r="D3838" s="52" t="s">
        <v>63</v>
      </c>
      <c r="E3838" s="52" t="s">
        <v>610</v>
      </c>
      <c r="F3838" s="52" t="s">
        <v>26</v>
      </c>
      <c r="G3838" s="55" t="s">
        <v>278</v>
      </c>
      <c r="H3838" s="55">
        <v>149.78200000000001</v>
      </c>
      <c r="I3838" s="55">
        <v>177.5831</v>
      </c>
      <c r="J3838" s="55">
        <v>45.27037</v>
      </c>
      <c r="K3838" s="55">
        <v>26.903410000000001</v>
      </c>
      <c r="L3838" s="55">
        <v>6.4925350000000002</v>
      </c>
      <c r="M3838" s="55">
        <v>0</v>
      </c>
      <c r="N3838" s="55"/>
    </row>
    <row r="3839" spans="1:14" hidden="1" x14ac:dyDescent="0.35">
      <c r="A3839" s="52" t="s">
        <v>639</v>
      </c>
      <c r="B3839" s="52" t="s">
        <v>37</v>
      </c>
      <c r="C3839" s="52" t="s">
        <v>63</v>
      </c>
      <c r="D3839" s="52" t="s">
        <v>63</v>
      </c>
      <c r="E3839" s="52" t="s">
        <v>610</v>
      </c>
      <c r="F3839" s="52" t="s">
        <v>26</v>
      </c>
      <c r="G3839" s="55" t="s">
        <v>279</v>
      </c>
      <c r="H3839" s="55">
        <v>1861.72</v>
      </c>
      <c r="I3839" s="55">
        <v>1768.6030000000001</v>
      </c>
      <c r="J3839" s="55">
        <v>1720.1890000000001</v>
      </c>
      <c r="K3839" s="55">
        <v>1667.424</v>
      </c>
      <c r="L3839" s="55">
        <v>1569.15</v>
      </c>
      <c r="M3839" s="55">
        <v>1431.8510000000001</v>
      </c>
      <c r="N3839" s="55">
        <v>1271.9449999999999</v>
      </c>
    </row>
    <row r="3840" spans="1:14" hidden="1" x14ac:dyDescent="0.35">
      <c r="A3840" s="52" t="s">
        <v>639</v>
      </c>
      <c r="B3840" s="52" t="s">
        <v>37</v>
      </c>
      <c r="C3840" s="52" t="s">
        <v>63</v>
      </c>
      <c r="D3840" s="52" t="s">
        <v>63</v>
      </c>
      <c r="E3840" s="52" t="s">
        <v>612</v>
      </c>
      <c r="F3840" s="52" t="s">
        <v>581</v>
      </c>
      <c r="G3840" s="55" t="s">
        <v>275</v>
      </c>
      <c r="H3840" s="55">
        <v>128.30789999999999</v>
      </c>
      <c r="I3840" s="55">
        <v>39.067250000000001</v>
      </c>
      <c r="J3840" s="55">
        <v>30.136610000000001</v>
      </c>
      <c r="K3840" s="55">
        <v>24.814</v>
      </c>
      <c r="L3840" s="55">
        <v>21.498280000000001</v>
      </c>
      <c r="M3840" s="55">
        <v>17.744140000000002</v>
      </c>
      <c r="N3840" s="55">
        <v>10.89935</v>
      </c>
    </row>
    <row r="3841" spans="1:14" hidden="1" x14ac:dyDescent="0.35">
      <c r="A3841" s="52" t="s">
        <v>639</v>
      </c>
      <c r="B3841" s="52" t="s">
        <v>37</v>
      </c>
      <c r="C3841" s="52" t="s">
        <v>63</v>
      </c>
      <c r="D3841" s="52" t="s">
        <v>63</v>
      </c>
      <c r="E3841" s="52" t="s">
        <v>612</v>
      </c>
      <c r="F3841" s="52" t="s">
        <v>581</v>
      </c>
      <c r="G3841" s="55" t="s">
        <v>276</v>
      </c>
      <c r="H3841" s="55">
        <v>-0.112369</v>
      </c>
      <c r="I3841" s="55">
        <v>-3.9882000000000001E-2</v>
      </c>
      <c r="J3841" s="55"/>
      <c r="K3841" s="55">
        <v>0.9490672</v>
      </c>
      <c r="L3841" s="55">
        <v>1.027128</v>
      </c>
      <c r="M3841" s="55">
        <v>1.6660459999999999</v>
      </c>
      <c r="N3841" s="55">
        <v>2.0176050000000001</v>
      </c>
    </row>
    <row r="3842" spans="1:14" hidden="1" x14ac:dyDescent="0.35">
      <c r="A3842" s="52" t="s">
        <v>639</v>
      </c>
      <c r="B3842" s="52" t="s">
        <v>37</v>
      </c>
      <c r="C3842" s="52" t="s">
        <v>63</v>
      </c>
      <c r="D3842" s="52" t="s">
        <v>63</v>
      </c>
      <c r="E3842" s="52" t="s">
        <v>612</v>
      </c>
      <c r="F3842" s="52" t="s">
        <v>581</v>
      </c>
      <c r="G3842" s="55" t="s">
        <v>277</v>
      </c>
      <c r="H3842" s="55">
        <v>0</v>
      </c>
      <c r="I3842" s="55">
        <v>0</v>
      </c>
      <c r="J3842" s="55">
        <v>4.298737</v>
      </c>
      <c r="K3842" s="55">
        <v>2.9873240000000001</v>
      </c>
      <c r="L3842" s="55">
        <v>3.7308949999999999</v>
      </c>
      <c r="M3842" s="55">
        <v>6.1721009999999996</v>
      </c>
      <c r="N3842" s="55">
        <v>14.23254</v>
      </c>
    </row>
    <row r="3843" spans="1:14" hidden="1" x14ac:dyDescent="0.35">
      <c r="A3843" s="52" t="s">
        <v>639</v>
      </c>
      <c r="B3843" s="52" t="s">
        <v>37</v>
      </c>
      <c r="C3843" s="52" t="s">
        <v>63</v>
      </c>
      <c r="D3843" s="52" t="s">
        <v>63</v>
      </c>
      <c r="E3843" s="52" t="s">
        <v>612</v>
      </c>
      <c r="F3843" s="52" t="s">
        <v>581</v>
      </c>
      <c r="G3843" s="55" t="s">
        <v>278</v>
      </c>
      <c r="H3843" s="55"/>
      <c r="I3843" s="55">
        <v>0</v>
      </c>
      <c r="J3843" s="55">
        <v>1.6285080000000001</v>
      </c>
      <c r="K3843" s="55">
        <v>3.2391390000000002</v>
      </c>
      <c r="L3843" s="55">
        <v>2.7455219999999998</v>
      </c>
      <c r="M3843" s="55">
        <v>1.4571270000000001</v>
      </c>
      <c r="N3843" s="55">
        <v>0</v>
      </c>
    </row>
    <row r="3844" spans="1:14" hidden="1" x14ac:dyDescent="0.35">
      <c r="A3844" s="52" t="s">
        <v>639</v>
      </c>
      <c r="B3844" s="52" t="s">
        <v>37</v>
      </c>
      <c r="C3844" s="52" t="s">
        <v>63</v>
      </c>
      <c r="D3844" s="52" t="s">
        <v>63</v>
      </c>
      <c r="E3844" s="52" t="s">
        <v>612</v>
      </c>
      <c r="F3844" s="52" t="s">
        <v>581</v>
      </c>
      <c r="G3844" s="55" t="s">
        <v>279</v>
      </c>
      <c r="H3844" s="55">
        <v>39.952350000000003</v>
      </c>
      <c r="I3844" s="55">
        <v>31.882069999999999</v>
      </c>
      <c r="J3844" s="55">
        <v>28.23631</v>
      </c>
      <c r="K3844" s="55">
        <v>27.323049999999999</v>
      </c>
      <c r="L3844" s="55">
        <v>25.619669999999999</v>
      </c>
      <c r="M3844" s="55">
        <v>24.454149999999998</v>
      </c>
      <c r="N3844" s="55">
        <v>23.121949999999998</v>
      </c>
    </row>
    <row r="3845" spans="1:14" hidden="1" x14ac:dyDescent="0.35">
      <c r="A3845" s="52" t="s">
        <v>639</v>
      </c>
      <c r="B3845" s="52" t="s">
        <v>37</v>
      </c>
      <c r="C3845" s="52" t="s">
        <v>63</v>
      </c>
      <c r="D3845" s="52" t="s">
        <v>63</v>
      </c>
      <c r="E3845" s="52" t="s">
        <v>612</v>
      </c>
      <c r="F3845" s="52" t="s">
        <v>26</v>
      </c>
      <c r="G3845" s="55" t="s">
        <v>275</v>
      </c>
      <c r="H3845" s="55">
        <v>-26.837910000000001</v>
      </c>
      <c r="I3845" s="55">
        <v>-22.814299999999999</v>
      </c>
      <c r="J3845" s="55">
        <v>-3.723678</v>
      </c>
      <c r="K3845" s="55">
        <v>-10.292059999999999</v>
      </c>
      <c r="L3845" s="55">
        <v>-16.10436</v>
      </c>
      <c r="M3845" s="55">
        <v>-15.70092</v>
      </c>
      <c r="N3845" s="55">
        <v>-13.12256</v>
      </c>
    </row>
    <row r="3846" spans="1:14" hidden="1" x14ac:dyDescent="0.35">
      <c r="A3846" s="52" t="s">
        <v>639</v>
      </c>
      <c r="B3846" s="52" t="s">
        <v>37</v>
      </c>
      <c r="C3846" s="52" t="s">
        <v>63</v>
      </c>
      <c r="D3846" s="52" t="s">
        <v>63</v>
      </c>
      <c r="E3846" s="52" t="s">
        <v>612</v>
      </c>
      <c r="F3846" s="52" t="s">
        <v>26</v>
      </c>
      <c r="G3846" s="55" t="s">
        <v>276</v>
      </c>
      <c r="H3846" s="55">
        <v>0.112369</v>
      </c>
      <c r="I3846" s="55">
        <v>3.9882000000000001E-2</v>
      </c>
      <c r="J3846" s="55"/>
      <c r="K3846" s="55">
        <v>3.1357200000000002E-2</v>
      </c>
      <c r="L3846" s="55"/>
      <c r="M3846" s="55">
        <v>0</v>
      </c>
      <c r="N3846" s="55">
        <v>0</v>
      </c>
    </row>
    <row r="3847" spans="1:14" hidden="1" x14ac:dyDescent="0.35">
      <c r="A3847" s="52" t="s">
        <v>639</v>
      </c>
      <c r="B3847" s="52" t="s">
        <v>37</v>
      </c>
      <c r="C3847" s="52" t="s">
        <v>63</v>
      </c>
      <c r="D3847" s="52" t="s">
        <v>63</v>
      </c>
      <c r="E3847" s="52" t="s">
        <v>612</v>
      </c>
      <c r="F3847" s="52" t="s">
        <v>26</v>
      </c>
      <c r="G3847" s="55" t="s">
        <v>277</v>
      </c>
      <c r="H3847" s="55">
        <v>29.036580000000001</v>
      </c>
      <c r="I3847" s="55">
        <v>16.164069999999999</v>
      </c>
      <c r="J3847" s="55">
        <v>7.7470189999999999</v>
      </c>
      <c r="K3847" s="55">
        <v>2.656253</v>
      </c>
      <c r="L3847" s="55">
        <v>2.1582669999999999</v>
      </c>
      <c r="M3847" s="55">
        <v>1.238386</v>
      </c>
      <c r="N3847" s="55">
        <v>0</v>
      </c>
    </row>
    <row r="3848" spans="1:14" hidden="1" x14ac:dyDescent="0.35">
      <c r="A3848" s="52" t="s">
        <v>639</v>
      </c>
      <c r="B3848" s="52" t="s">
        <v>37</v>
      </c>
      <c r="C3848" s="52" t="s">
        <v>63</v>
      </c>
      <c r="D3848" s="52" t="s">
        <v>63</v>
      </c>
      <c r="E3848" s="52" t="s">
        <v>612</v>
      </c>
      <c r="F3848" s="52" t="s">
        <v>26</v>
      </c>
      <c r="G3848" s="55" t="s">
        <v>278</v>
      </c>
      <c r="H3848" s="55">
        <v>0</v>
      </c>
      <c r="I3848" s="55"/>
      <c r="J3848" s="55"/>
      <c r="K3848" s="55"/>
      <c r="L3848" s="55"/>
      <c r="M3848" s="55"/>
      <c r="N3848" s="55"/>
    </row>
    <row r="3849" spans="1:14" hidden="1" x14ac:dyDescent="0.35">
      <c r="A3849" s="52" t="s">
        <v>639</v>
      </c>
      <c r="B3849" s="52" t="s">
        <v>37</v>
      </c>
      <c r="C3849" s="52" t="s">
        <v>63</v>
      </c>
      <c r="D3849" s="52" t="s">
        <v>63</v>
      </c>
      <c r="E3849" s="52" t="s">
        <v>612</v>
      </c>
      <c r="F3849" s="52" t="s">
        <v>26</v>
      </c>
      <c r="G3849" s="55" t="s">
        <v>279</v>
      </c>
      <c r="H3849" s="55">
        <v>228.38579999999999</v>
      </c>
      <c r="I3849" s="55">
        <v>188.09119999999999</v>
      </c>
      <c r="J3849" s="55">
        <v>164.44409999999999</v>
      </c>
      <c r="K3849" s="55">
        <v>153.73769999999999</v>
      </c>
      <c r="L3849" s="55">
        <v>143.45259999999999</v>
      </c>
      <c r="M3849" s="55">
        <v>131.1686</v>
      </c>
      <c r="N3849" s="55">
        <v>119.98269999999999</v>
      </c>
    </row>
    <row r="3850" spans="1:14" hidden="1" x14ac:dyDescent="0.35">
      <c r="A3850" s="52" t="s">
        <v>639</v>
      </c>
      <c r="B3850" s="52" t="s">
        <v>37</v>
      </c>
      <c r="C3850" s="52" t="s">
        <v>63</v>
      </c>
      <c r="D3850" s="52" t="s">
        <v>63</v>
      </c>
      <c r="E3850" s="52" t="s">
        <v>609</v>
      </c>
      <c r="F3850" s="52" t="s">
        <v>26</v>
      </c>
      <c r="G3850" s="55" t="s">
        <v>275</v>
      </c>
      <c r="H3850" s="55">
        <v>-0.56898700000000002</v>
      </c>
      <c r="I3850" s="55">
        <v>-9.4162029999999994</v>
      </c>
      <c r="J3850" s="55">
        <v>-8.238016</v>
      </c>
      <c r="K3850" s="55">
        <v>-9.7745029999999993</v>
      </c>
      <c r="L3850" s="55">
        <v>-9.7693080000000005</v>
      </c>
      <c r="M3850" s="55">
        <v>-6.2608160000000002</v>
      </c>
      <c r="N3850" s="55">
        <v>-5.3522119999999997</v>
      </c>
    </row>
    <row r="3851" spans="1:14" hidden="1" x14ac:dyDescent="0.35">
      <c r="A3851" s="52" t="s">
        <v>639</v>
      </c>
      <c r="B3851" s="52" t="s">
        <v>37</v>
      </c>
      <c r="C3851" s="52" t="s">
        <v>63</v>
      </c>
      <c r="D3851" s="52" t="s">
        <v>63</v>
      </c>
      <c r="E3851" s="52" t="s">
        <v>609</v>
      </c>
      <c r="F3851" s="52" t="s">
        <v>26</v>
      </c>
      <c r="G3851" s="55" t="s">
        <v>276</v>
      </c>
      <c r="H3851" s="55">
        <v>0</v>
      </c>
      <c r="I3851" s="55">
        <v>0</v>
      </c>
      <c r="J3851" s="55"/>
      <c r="K3851" s="55">
        <v>0</v>
      </c>
      <c r="L3851" s="55"/>
      <c r="M3851" s="55">
        <v>0</v>
      </c>
      <c r="N3851" s="55"/>
    </row>
    <row r="3852" spans="1:14" hidden="1" x14ac:dyDescent="0.35">
      <c r="A3852" s="52" t="s">
        <v>639</v>
      </c>
      <c r="B3852" s="52" t="s">
        <v>37</v>
      </c>
      <c r="C3852" s="52" t="s">
        <v>63</v>
      </c>
      <c r="D3852" s="52" t="s">
        <v>63</v>
      </c>
      <c r="E3852" s="52" t="s">
        <v>609</v>
      </c>
      <c r="F3852" s="52" t="s">
        <v>26</v>
      </c>
      <c r="G3852" s="55" t="s">
        <v>277</v>
      </c>
      <c r="H3852" s="55">
        <v>0</v>
      </c>
      <c r="I3852" s="55">
        <v>6.3876670000000004</v>
      </c>
      <c r="J3852" s="55">
        <v>7.3956799999999996</v>
      </c>
      <c r="K3852" s="55">
        <v>4.8831290000000003</v>
      </c>
      <c r="L3852" s="55">
        <v>3.102684</v>
      </c>
      <c r="M3852" s="55">
        <v>0</v>
      </c>
      <c r="N3852" s="55">
        <v>0</v>
      </c>
    </row>
    <row r="3853" spans="1:14" hidden="1" x14ac:dyDescent="0.35">
      <c r="A3853" s="52" t="s">
        <v>639</v>
      </c>
      <c r="B3853" s="52" t="s">
        <v>37</v>
      </c>
      <c r="C3853" s="52" t="s">
        <v>63</v>
      </c>
      <c r="D3853" s="52" t="s">
        <v>63</v>
      </c>
      <c r="E3853" s="52" t="s">
        <v>609</v>
      </c>
      <c r="F3853" s="52" t="s">
        <v>26</v>
      </c>
      <c r="G3853" s="55" t="s">
        <v>278</v>
      </c>
      <c r="H3853" s="55"/>
      <c r="I3853" s="55">
        <v>0</v>
      </c>
      <c r="J3853" s="55">
        <v>1.300659</v>
      </c>
      <c r="K3853" s="55">
        <v>0.756741</v>
      </c>
      <c r="L3853" s="55">
        <v>0.2976299</v>
      </c>
      <c r="M3853" s="55">
        <v>0</v>
      </c>
      <c r="N3853" s="55"/>
    </row>
    <row r="3854" spans="1:14" hidden="1" x14ac:dyDescent="0.35">
      <c r="A3854" s="52" t="s">
        <v>639</v>
      </c>
      <c r="B3854" s="52" t="s">
        <v>37</v>
      </c>
      <c r="C3854" s="52" t="s">
        <v>63</v>
      </c>
      <c r="D3854" s="52" t="s">
        <v>63</v>
      </c>
      <c r="E3854" s="52" t="s">
        <v>609</v>
      </c>
      <c r="F3854" s="52" t="s">
        <v>26</v>
      </c>
      <c r="G3854" s="55" t="s">
        <v>279</v>
      </c>
      <c r="H3854" s="55">
        <v>91.333269999999999</v>
      </c>
      <c r="I3854" s="55">
        <v>59.607500000000002</v>
      </c>
      <c r="J3854" s="55">
        <v>57.414389999999997</v>
      </c>
      <c r="K3854" s="55">
        <v>62.551960000000001</v>
      </c>
      <c r="L3854" s="55">
        <v>58.025930000000002</v>
      </c>
      <c r="M3854" s="55">
        <v>50.591880000000003</v>
      </c>
      <c r="N3854" s="55">
        <v>42.60716</v>
      </c>
    </row>
    <row r="3855" spans="1:14" hidden="1" x14ac:dyDescent="0.35">
      <c r="A3855" s="52" t="s">
        <v>639</v>
      </c>
      <c r="B3855" s="52" t="s">
        <v>37</v>
      </c>
      <c r="C3855" s="52" t="s">
        <v>63</v>
      </c>
      <c r="D3855" s="52" t="s">
        <v>63</v>
      </c>
      <c r="E3855" s="52" t="s">
        <v>611</v>
      </c>
      <c r="F3855" s="52" t="s">
        <v>581</v>
      </c>
      <c r="G3855" s="55" t="s">
        <v>275</v>
      </c>
      <c r="H3855" s="55">
        <v>0.15338099999999999</v>
      </c>
      <c r="I3855" s="55">
        <v>4.8580900000000003E-2</v>
      </c>
      <c r="J3855" s="55">
        <v>4.40259E-2</v>
      </c>
      <c r="K3855" s="55">
        <v>3.8615299999999998E-2</v>
      </c>
      <c r="L3855" s="55">
        <v>7.2984800000000002E-2</v>
      </c>
      <c r="M3855" s="55">
        <v>6.1983999999999997E-2</v>
      </c>
      <c r="N3855" s="55">
        <v>4.7811100000000002E-2</v>
      </c>
    </row>
    <row r="3856" spans="1:14" hidden="1" x14ac:dyDescent="0.35">
      <c r="A3856" s="52" t="s">
        <v>639</v>
      </c>
      <c r="B3856" s="52" t="s">
        <v>37</v>
      </c>
      <c r="C3856" s="52" t="s">
        <v>63</v>
      </c>
      <c r="D3856" s="52" t="s">
        <v>63</v>
      </c>
      <c r="E3856" s="52" t="s">
        <v>611</v>
      </c>
      <c r="F3856" s="52" t="s">
        <v>581</v>
      </c>
      <c r="G3856" s="55" t="s">
        <v>276</v>
      </c>
      <c r="H3856" s="55">
        <v>1.0663000000000001E-2</v>
      </c>
      <c r="I3856" s="55">
        <v>3.3771999999999999E-3</v>
      </c>
      <c r="J3856" s="55">
        <v>3.0601000000000001E-3</v>
      </c>
      <c r="K3856" s="55">
        <v>2.6848000000000002E-3</v>
      </c>
      <c r="L3856" s="55">
        <v>5.0742000000000001E-3</v>
      </c>
      <c r="M3856" s="55">
        <v>4.3090000000000003E-3</v>
      </c>
      <c r="N3856" s="55">
        <v>3.3235000000000001E-3</v>
      </c>
    </row>
    <row r="3857" spans="1:14" hidden="1" x14ac:dyDescent="0.35">
      <c r="A3857" s="52" t="s">
        <v>639</v>
      </c>
      <c r="B3857" s="52" t="s">
        <v>37</v>
      </c>
      <c r="C3857" s="52" t="s">
        <v>63</v>
      </c>
      <c r="D3857" s="52" t="s">
        <v>63</v>
      </c>
      <c r="E3857" s="52" t="s">
        <v>611</v>
      </c>
      <c r="F3857" s="52" t="s">
        <v>581</v>
      </c>
      <c r="G3857" s="55" t="s">
        <v>279</v>
      </c>
      <c r="H3857" s="55">
        <v>6.7878999999999995E-2</v>
      </c>
      <c r="I3857" s="55">
        <v>4.5185700000000002E-2</v>
      </c>
      <c r="J3857" s="55">
        <v>4.0274799999999999E-2</v>
      </c>
      <c r="K3857" s="55">
        <v>3.9558999999999997E-2</v>
      </c>
      <c r="L3857" s="55">
        <v>6.6946889999999995E-2</v>
      </c>
      <c r="M3857" s="55">
        <v>6.3131099999999996E-2</v>
      </c>
      <c r="N3857" s="55">
        <v>4.9756300000000003E-2</v>
      </c>
    </row>
    <row r="3858" spans="1:14" hidden="1" x14ac:dyDescent="0.35">
      <c r="A3858" s="52" t="s">
        <v>639</v>
      </c>
      <c r="B3858" s="52" t="s">
        <v>37</v>
      </c>
      <c r="C3858" s="52" t="s">
        <v>63</v>
      </c>
      <c r="D3858" s="52" t="s">
        <v>63</v>
      </c>
      <c r="E3858" s="52" t="s">
        <v>611</v>
      </c>
      <c r="F3858" s="52" t="s">
        <v>26</v>
      </c>
      <c r="G3858" s="55" t="s">
        <v>275</v>
      </c>
      <c r="H3858" s="55">
        <v>0.13438700000000001</v>
      </c>
      <c r="I3858" s="55">
        <v>0.10878889999999999</v>
      </c>
      <c r="J3858" s="55">
        <v>8.5693900000000003E-2</v>
      </c>
      <c r="K3858" s="55">
        <v>7.5418600000000002E-2</v>
      </c>
      <c r="L3858" s="55">
        <v>-0.51415900000000003</v>
      </c>
      <c r="M3858" s="55">
        <v>-1.65883E-2</v>
      </c>
      <c r="N3858" s="55">
        <v>-1.29274E-2</v>
      </c>
    </row>
    <row r="3859" spans="1:14" hidden="1" x14ac:dyDescent="0.35">
      <c r="A3859" s="52" t="s">
        <v>639</v>
      </c>
      <c r="B3859" s="52" t="s">
        <v>37</v>
      </c>
      <c r="C3859" s="52" t="s">
        <v>63</v>
      </c>
      <c r="D3859" s="52" t="s">
        <v>63</v>
      </c>
      <c r="E3859" s="52" t="s">
        <v>611</v>
      </c>
      <c r="F3859" s="52" t="s">
        <v>26</v>
      </c>
      <c r="G3859" s="55" t="s">
        <v>276</v>
      </c>
      <c r="H3859" s="55">
        <v>-0.13330500000000001</v>
      </c>
      <c r="I3859" s="55">
        <v>-0.1152162</v>
      </c>
      <c r="J3859" s="55">
        <v>-8.2959099999999994E-2</v>
      </c>
      <c r="K3859" s="55">
        <v>-8.3674100000000001E-2</v>
      </c>
      <c r="L3859" s="55">
        <v>-5.8770000000000003E-3</v>
      </c>
      <c r="M3859" s="55">
        <v>-6.1310999999999996E-3</v>
      </c>
      <c r="N3859" s="55">
        <v>-5.8760000000000001E-3</v>
      </c>
    </row>
    <row r="3860" spans="1:14" hidden="1" x14ac:dyDescent="0.35">
      <c r="A3860" s="52" t="s">
        <v>639</v>
      </c>
      <c r="B3860" s="52" t="s">
        <v>37</v>
      </c>
      <c r="C3860" s="52" t="s">
        <v>63</v>
      </c>
      <c r="D3860" s="52" t="s">
        <v>63</v>
      </c>
      <c r="E3860" s="52" t="s">
        <v>611</v>
      </c>
      <c r="F3860" s="52" t="s">
        <v>26</v>
      </c>
      <c r="G3860" s="55" t="s">
        <v>277</v>
      </c>
      <c r="H3860" s="55"/>
      <c r="I3860" s="55"/>
      <c r="J3860" s="55"/>
      <c r="K3860" s="55">
        <v>0</v>
      </c>
      <c r="L3860" s="55">
        <v>0.50121780000000005</v>
      </c>
      <c r="M3860" s="55">
        <v>0</v>
      </c>
      <c r="N3860" s="55">
        <v>0</v>
      </c>
    </row>
    <row r="3861" spans="1:14" hidden="1" x14ac:dyDescent="0.35">
      <c r="A3861" s="52" t="s">
        <v>639</v>
      </c>
      <c r="B3861" s="52" t="s">
        <v>37</v>
      </c>
      <c r="C3861" s="52" t="s">
        <v>63</v>
      </c>
      <c r="D3861" s="52" t="s">
        <v>63</v>
      </c>
      <c r="E3861" s="52" t="s">
        <v>611</v>
      </c>
      <c r="F3861" s="52" t="s">
        <v>26</v>
      </c>
      <c r="G3861" s="55" t="s">
        <v>279</v>
      </c>
      <c r="H3861" s="55">
        <v>0.23277600000000001</v>
      </c>
      <c r="I3861" s="55">
        <v>0.16938980000000001</v>
      </c>
      <c r="J3861" s="55">
        <v>0.1522105</v>
      </c>
      <c r="K3861" s="55">
        <v>0.15114710000000001</v>
      </c>
      <c r="L3861" s="55">
        <v>0.2614727</v>
      </c>
      <c r="M3861" s="55">
        <v>0.2391423</v>
      </c>
      <c r="N3861" s="55">
        <v>0.18871969999999999</v>
      </c>
    </row>
    <row r="3862" spans="1:14" hidden="1" x14ac:dyDescent="0.35">
      <c r="A3862" s="52" t="s">
        <v>670</v>
      </c>
      <c r="B3862" s="52" t="s">
        <v>37</v>
      </c>
      <c r="C3862" s="52" t="s">
        <v>35</v>
      </c>
      <c r="D3862" s="52" t="s">
        <v>36</v>
      </c>
      <c r="E3862" s="52" t="s">
        <v>588</v>
      </c>
      <c r="F3862" s="52" t="s">
        <v>581</v>
      </c>
      <c r="G3862" s="55" t="s">
        <v>275</v>
      </c>
      <c r="H3862" s="55">
        <v>95.858289999999997</v>
      </c>
      <c r="I3862" s="55">
        <v>185.7251</v>
      </c>
      <c r="J3862" s="55">
        <v>243.23910000000001</v>
      </c>
      <c r="K3862" s="55">
        <v>257.8057</v>
      </c>
      <c r="L3862" s="55">
        <v>209.58760000000001</v>
      </c>
      <c r="M3862" s="55">
        <v>134.46420000000001</v>
      </c>
      <c r="N3862" s="55">
        <v>142.4442</v>
      </c>
    </row>
    <row r="3863" spans="1:14" hidden="1" x14ac:dyDescent="0.35">
      <c r="A3863" s="52" t="s">
        <v>670</v>
      </c>
      <c r="B3863" s="52" t="s">
        <v>37</v>
      </c>
      <c r="C3863" s="52" t="s">
        <v>35</v>
      </c>
      <c r="D3863" s="52" t="s">
        <v>36</v>
      </c>
      <c r="E3863" s="52" t="s">
        <v>588</v>
      </c>
      <c r="F3863" s="52" t="s">
        <v>581</v>
      </c>
      <c r="G3863" s="55" t="s">
        <v>276</v>
      </c>
      <c r="H3863" s="55">
        <v>70.735190000000003</v>
      </c>
      <c r="I3863" s="55">
        <v>3.7802289999999998</v>
      </c>
      <c r="J3863" s="55">
        <v>2.9034800000000001</v>
      </c>
      <c r="K3863" s="55">
        <v>-3.532673</v>
      </c>
      <c r="L3863" s="55">
        <v>-2.9940220000000002</v>
      </c>
      <c r="M3863" s="55">
        <v>36.60613</v>
      </c>
      <c r="N3863" s="55">
        <v>44.402949999999997</v>
      </c>
    </row>
    <row r="3864" spans="1:14" hidden="1" x14ac:dyDescent="0.35">
      <c r="A3864" s="52" t="s">
        <v>670</v>
      </c>
      <c r="B3864" s="52" t="s">
        <v>37</v>
      </c>
      <c r="C3864" s="52" t="s">
        <v>35</v>
      </c>
      <c r="D3864" s="52" t="s">
        <v>36</v>
      </c>
      <c r="E3864" s="52" t="s">
        <v>588</v>
      </c>
      <c r="F3864" s="52" t="s">
        <v>581</v>
      </c>
      <c r="G3864" s="55" t="s">
        <v>277</v>
      </c>
      <c r="H3864" s="55">
        <v>531.5059</v>
      </c>
      <c r="I3864" s="55">
        <v>129.9487</v>
      </c>
      <c r="J3864" s="55">
        <v>75.855320000000006</v>
      </c>
      <c r="K3864" s="55">
        <v>35.970379999999999</v>
      </c>
      <c r="L3864" s="55">
        <v>63.660350000000001</v>
      </c>
      <c r="M3864" s="55">
        <v>103.6182</v>
      </c>
      <c r="N3864" s="55">
        <v>107.0809</v>
      </c>
    </row>
    <row r="3865" spans="1:14" hidden="1" x14ac:dyDescent="0.35">
      <c r="A3865" s="52" t="s">
        <v>670</v>
      </c>
      <c r="B3865" s="52" t="s">
        <v>37</v>
      </c>
      <c r="C3865" s="52" t="s">
        <v>35</v>
      </c>
      <c r="D3865" s="52" t="s">
        <v>36</v>
      </c>
      <c r="E3865" s="52" t="s">
        <v>588</v>
      </c>
      <c r="F3865" s="52" t="s">
        <v>581</v>
      </c>
      <c r="G3865" s="55" t="s">
        <v>278</v>
      </c>
      <c r="H3865" s="55">
        <v>93.514589999999998</v>
      </c>
      <c r="I3865" s="55">
        <v>35.903350000000003</v>
      </c>
      <c r="J3865" s="55">
        <v>31.040939999999999</v>
      </c>
      <c r="K3865" s="55">
        <v>26.545729999999999</v>
      </c>
      <c r="L3865" s="55">
        <v>31.12238</v>
      </c>
      <c r="M3865" s="55">
        <v>27.995699999999999</v>
      </c>
      <c r="N3865" s="55">
        <v>27.88438</v>
      </c>
    </row>
    <row r="3866" spans="1:14" hidden="1" x14ac:dyDescent="0.35">
      <c r="A3866" s="52" t="s">
        <v>670</v>
      </c>
      <c r="B3866" s="52" t="s">
        <v>37</v>
      </c>
      <c r="C3866" s="52" t="s">
        <v>35</v>
      </c>
      <c r="D3866" s="52" t="s">
        <v>36</v>
      </c>
      <c r="E3866" s="52" t="s">
        <v>588</v>
      </c>
      <c r="F3866" s="52" t="s">
        <v>581</v>
      </c>
      <c r="G3866" s="55" t="s">
        <v>279</v>
      </c>
      <c r="H3866" s="55">
        <v>203.58529999999999</v>
      </c>
      <c r="I3866" s="55">
        <v>149.06829999999999</v>
      </c>
      <c r="J3866" s="55">
        <v>140.79</v>
      </c>
      <c r="K3866" s="55">
        <v>129.26230000000001</v>
      </c>
      <c r="L3866" s="55">
        <v>114.1972</v>
      </c>
      <c r="M3866" s="55">
        <v>135.32740000000001</v>
      </c>
      <c r="N3866" s="55">
        <v>143.2045</v>
      </c>
    </row>
    <row r="3867" spans="1:14" hidden="1" x14ac:dyDescent="0.35">
      <c r="A3867" s="52" t="s">
        <v>670</v>
      </c>
      <c r="B3867" s="52" t="s">
        <v>37</v>
      </c>
      <c r="C3867" s="52" t="s">
        <v>35</v>
      </c>
      <c r="D3867" s="52" t="s">
        <v>36</v>
      </c>
      <c r="E3867" s="52" t="s">
        <v>588</v>
      </c>
      <c r="F3867" s="52" t="s">
        <v>26</v>
      </c>
      <c r="G3867" s="55" t="s">
        <v>275</v>
      </c>
      <c r="H3867" s="55">
        <v>-6.2485359999999996</v>
      </c>
      <c r="I3867" s="55">
        <v>13.458489999999999</v>
      </c>
      <c r="J3867" s="55">
        <v>14.706860000000001</v>
      </c>
      <c r="K3867" s="55">
        <v>12.861499999999999</v>
      </c>
      <c r="L3867" s="55">
        <v>12.97451</v>
      </c>
      <c r="M3867" s="55">
        <v>11.708550000000001</v>
      </c>
      <c r="N3867" s="55">
        <v>12.19075</v>
      </c>
    </row>
    <row r="3868" spans="1:14" hidden="1" x14ac:dyDescent="0.35">
      <c r="A3868" s="52" t="s">
        <v>670</v>
      </c>
      <c r="B3868" s="52" t="s">
        <v>37</v>
      </c>
      <c r="C3868" s="52" t="s">
        <v>35</v>
      </c>
      <c r="D3868" s="52" t="s">
        <v>36</v>
      </c>
      <c r="E3868" s="52" t="s">
        <v>588</v>
      </c>
      <c r="F3868" s="52" t="s">
        <v>26</v>
      </c>
      <c r="G3868" s="55" t="s">
        <v>276</v>
      </c>
      <c r="H3868" s="55">
        <v>-1.6609940000000001</v>
      </c>
      <c r="I3868" s="55">
        <v>3.5775730000000001</v>
      </c>
      <c r="J3868" s="55">
        <v>3.9094150000000001</v>
      </c>
      <c r="K3868" s="55">
        <v>3.4188770000000002</v>
      </c>
      <c r="L3868" s="55">
        <v>3.448925</v>
      </c>
      <c r="M3868" s="55">
        <v>3.1124019999999999</v>
      </c>
      <c r="N3868" s="55">
        <v>3.24058</v>
      </c>
    </row>
    <row r="3869" spans="1:14" hidden="1" x14ac:dyDescent="0.35">
      <c r="A3869" s="52" t="s">
        <v>670</v>
      </c>
      <c r="B3869" s="52" t="s">
        <v>37</v>
      </c>
      <c r="C3869" s="52" t="s">
        <v>35</v>
      </c>
      <c r="D3869" s="52" t="s">
        <v>36</v>
      </c>
      <c r="E3869" s="52" t="s">
        <v>588</v>
      </c>
      <c r="F3869" s="52" t="s">
        <v>26</v>
      </c>
      <c r="G3869" s="55" t="s">
        <v>279</v>
      </c>
      <c r="H3869" s="55">
        <v>23.26942</v>
      </c>
      <c r="I3869" s="55">
        <v>24.956309999999998</v>
      </c>
      <c r="J3869" s="55">
        <v>23.647760000000002</v>
      </c>
      <c r="K3869" s="55">
        <v>21.87735</v>
      </c>
      <c r="L3869" s="55">
        <v>19.513490000000001</v>
      </c>
      <c r="M3869" s="55">
        <v>23.08494</v>
      </c>
      <c r="N3869" s="55">
        <v>24.361039999999999</v>
      </c>
    </row>
    <row r="3870" spans="1:14" hidden="1" x14ac:dyDescent="0.35">
      <c r="A3870" s="52" t="s">
        <v>670</v>
      </c>
      <c r="B3870" s="52" t="s">
        <v>37</v>
      </c>
      <c r="C3870" s="52" t="s">
        <v>35</v>
      </c>
      <c r="D3870" s="52" t="s">
        <v>36</v>
      </c>
      <c r="E3870" s="52" t="s">
        <v>589</v>
      </c>
      <c r="F3870" s="52" t="s">
        <v>581</v>
      </c>
      <c r="G3870" s="55" t="s">
        <v>275</v>
      </c>
      <c r="H3870" s="55">
        <v>18.723220000000001</v>
      </c>
      <c r="I3870" s="55">
        <v>103.7574</v>
      </c>
      <c r="J3870" s="55">
        <v>182.74199999999999</v>
      </c>
      <c r="K3870" s="55">
        <v>229.28559999999999</v>
      </c>
      <c r="L3870" s="55">
        <v>193.0582</v>
      </c>
      <c r="M3870" s="55">
        <v>123.5847</v>
      </c>
      <c r="N3870" s="55">
        <v>104.4318</v>
      </c>
    </row>
    <row r="3871" spans="1:14" hidden="1" x14ac:dyDescent="0.35">
      <c r="A3871" s="52" t="s">
        <v>670</v>
      </c>
      <c r="B3871" s="52" t="s">
        <v>37</v>
      </c>
      <c r="C3871" s="52" t="s">
        <v>35</v>
      </c>
      <c r="D3871" s="52" t="s">
        <v>36</v>
      </c>
      <c r="E3871" s="52" t="s">
        <v>589</v>
      </c>
      <c r="F3871" s="52" t="s">
        <v>581</v>
      </c>
      <c r="G3871" s="55" t="s">
        <v>276</v>
      </c>
      <c r="H3871" s="55">
        <v>74.448260000000005</v>
      </c>
      <c r="I3871" s="55">
        <v>5.6474299999999999</v>
      </c>
      <c r="J3871" s="55">
        <v>0.35792780000000002</v>
      </c>
      <c r="K3871" s="55">
        <v>2.8811070000000001</v>
      </c>
      <c r="L3871" s="55">
        <v>-2.4509189999999998</v>
      </c>
      <c r="M3871" s="55">
        <v>26.098990000000001</v>
      </c>
      <c r="N3871" s="55">
        <v>33.88541</v>
      </c>
    </row>
    <row r="3872" spans="1:14" hidden="1" x14ac:dyDescent="0.35">
      <c r="A3872" s="52" t="s">
        <v>670</v>
      </c>
      <c r="B3872" s="52" t="s">
        <v>37</v>
      </c>
      <c r="C3872" s="52" t="s">
        <v>35</v>
      </c>
      <c r="D3872" s="52" t="s">
        <v>36</v>
      </c>
      <c r="E3872" s="52" t="s">
        <v>589</v>
      </c>
      <c r="F3872" s="52" t="s">
        <v>581</v>
      </c>
      <c r="G3872" s="55" t="s">
        <v>277</v>
      </c>
      <c r="H3872" s="55">
        <v>453.61040000000003</v>
      </c>
      <c r="I3872" s="55">
        <v>150.57599999999999</v>
      </c>
      <c r="J3872" s="55">
        <v>89.475620000000006</v>
      </c>
      <c r="K3872" s="55">
        <v>29.885580000000001</v>
      </c>
      <c r="L3872" s="55">
        <v>37.970680000000002</v>
      </c>
      <c r="M3872" s="55">
        <v>61.175330000000002</v>
      </c>
      <c r="N3872" s="55">
        <v>94.885930000000002</v>
      </c>
    </row>
    <row r="3873" spans="1:14" hidden="1" x14ac:dyDescent="0.35">
      <c r="A3873" s="52" t="s">
        <v>670</v>
      </c>
      <c r="B3873" s="52" t="s">
        <v>37</v>
      </c>
      <c r="C3873" s="52" t="s">
        <v>35</v>
      </c>
      <c r="D3873" s="52" t="s">
        <v>36</v>
      </c>
      <c r="E3873" s="52" t="s">
        <v>589</v>
      </c>
      <c r="F3873" s="52" t="s">
        <v>581</v>
      </c>
      <c r="G3873" s="55" t="s">
        <v>278</v>
      </c>
      <c r="H3873" s="55">
        <v>75.68629</v>
      </c>
      <c r="I3873" s="55">
        <v>32.668120000000002</v>
      </c>
      <c r="J3873" s="55">
        <v>37.600450000000002</v>
      </c>
      <c r="K3873" s="55">
        <v>32.676630000000003</v>
      </c>
      <c r="L3873" s="55">
        <v>36.481229999999996</v>
      </c>
      <c r="M3873" s="55">
        <v>42.058199999999999</v>
      </c>
      <c r="N3873" s="55">
        <v>39.546370000000003</v>
      </c>
    </row>
    <row r="3874" spans="1:14" hidden="1" x14ac:dyDescent="0.35">
      <c r="A3874" s="52" t="s">
        <v>670</v>
      </c>
      <c r="B3874" s="52" t="s">
        <v>37</v>
      </c>
      <c r="C3874" s="52" t="s">
        <v>35</v>
      </c>
      <c r="D3874" s="52" t="s">
        <v>36</v>
      </c>
      <c r="E3874" s="52" t="s">
        <v>589</v>
      </c>
      <c r="F3874" s="52" t="s">
        <v>581</v>
      </c>
      <c r="G3874" s="55" t="s">
        <v>279</v>
      </c>
      <c r="H3874" s="55">
        <v>148.14660000000001</v>
      </c>
      <c r="I3874" s="55">
        <v>112.4526</v>
      </c>
      <c r="J3874" s="55">
        <v>112.9769</v>
      </c>
      <c r="K3874" s="55">
        <v>109.57810000000001</v>
      </c>
      <c r="L3874" s="55">
        <v>91.112219999999994</v>
      </c>
      <c r="M3874" s="55">
        <v>102.7677</v>
      </c>
      <c r="N3874" s="55">
        <v>110.1707</v>
      </c>
    </row>
    <row r="3875" spans="1:14" hidden="1" x14ac:dyDescent="0.35">
      <c r="A3875" s="52" t="s">
        <v>670</v>
      </c>
      <c r="B3875" s="52" t="s">
        <v>37</v>
      </c>
      <c r="C3875" s="52" t="s">
        <v>35</v>
      </c>
      <c r="D3875" s="52" t="s">
        <v>36</v>
      </c>
      <c r="E3875" s="52" t="s">
        <v>589</v>
      </c>
      <c r="F3875" s="52" t="s">
        <v>26</v>
      </c>
      <c r="G3875" s="55" t="s">
        <v>275</v>
      </c>
      <c r="H3875" s="55">
        <v>-2.5391979999999998</v>
      </c>
      <c r="I3875" s="55">
        <v>16.719360000000002</v>
      </c>
      <c r="J3875" s="55">
        <v>19.553979999999999</v>
      </c>
      <c r="K3875" s="55">
        <v>18.093910000000001</v>
      </c>
      <c r="L3875" s="55">
        <v>16.538720000000001</v>
      </c>
      <c r="M3875" s="55">
        <v>14.58352</v>
      </c>
      <c r="N3875" s="55">
        <v>15.609159999999999</v>
      </c>
    </row>
    <row r="3876" spans="1:14" hidden="1" x14ac:dyDescent="0.35">
      <c r="A3876" s="52" t="s">
        <v>670</v>
      </c>
      <c r="B3876" s="52" t="s">
        <v>37</v>
      </c>
      <c r="C3876" s="52" t="s">
        <v>35</v>
      </c>
      <c r="D3876" s="52" t="s">
        <v>36</v>
      </c>
      <c r="E3876" s="52" t="s">
        <v>589</v>
      </c>
      <c r="F3876" s="52" t="s">
        <v>26</v>
      </c>
      <c r="G3876" s="55" t="s">
        <v>276</v>
      </c>
      <c r="H3876" s="55">
        <v>-0.674987</v>
      </c>
      <c r="I3876" s="55">
        <v>4.4443849999999996</v>
      </c>
      <c r="J3876" s="55">
        <v>5.1978960000000001</v>
      </c>
      <c r="K3876" s="55">
        <v>4.8097700000000003</v>
      </c>
      <c r="L3876" s="55">
        <v>4.3963720000000004</v>
      </c>
      <c r="M3876" s="55">
        <v>3.8766240000000001</v>
      </c>
      <c r="N3876" s="55">
        <v>4.1492699999999996</v>
      </c>
    </row>
    <row r="3877" spans="1:14" hidden="1" x14ac:dyDescent="0.35">
      <c r="A3877" s="52" t="s">
        <v>670</v>
      </c>
      <c r="B3877" s="52" t="s">
        <v>37</v>
      </c>
      <c r="C3877" s="52" t="s">
        <v>35</v>
      </c>
      <c r="D3877" s="52" t="s">
        <v>36</v>
      </c>
      <c r="E3877" s="52" t="s">
        <v>589</v>
      </c>
      <c r="F3877" s="52" t="s">
        <v>26</v>
      </c>
      <c r="G3877" s="55" t="s">
        <v>279</v>
      </c>
      <c r="H3877" s="55">
        <v>14.302720000000001</v>
      </c>
      <c r="I3877" s="55">
        <v>21.119430000000001</v>
      </c>
      <c r="J3877" s="55">
        <v>21.4254</v>
      </c>
      <c r="K3877" s="55">
        <v>20.85031</v>
      </c>
      <c r="L3877" s="55">
        <v>17.391310000000001</v>
      </c>
      <c r="M3877" s="55">
        <v>19.574339999999999</v>
      </c>
      <c r="N3877" s="55">
        <v>20.94867</v>
      </c>
    </row>
    <row r="3878" spans="1:14" hidden="1" x14ac:dyDescent="0.35">
      <c r="A3878" s="52" t="s">
        <v>670</v>
      </c>
      <c r="B3878" s="52" t="s">
        <v>37</v>
      </c>
      <c r="C3878" s="52" t="s">
        <v>35</v>
      </c>
      <c r="D3878" s="52" t="s">
        <v>36</v>
      </c>
      <c r="E3878" s="52" t="s">
        <v>587</v>
      </c>
      <c r="F3878" s="52" t="s">
        <v>581</v>
      </c>
      <c r="G3878" s="55" t="s">
        <v>275</v>
      </c>
      <c r="H3878" s="55">
        <v>21.694050000000001</v>
      </c>
      <c r="I3878" s="55">
        <v>18.64744</v>
      </c>
      <c r="J3878" s="55">
        <v>14.911949999999999</v>
      </c>
      <c r="K3878" s="55">
        <v>12.58287</v>
      </c>
      <c r="L3878" s="55">
        <v>11.38036</v>
      </c>
      <c r="M3878" s="55">
        <v>10.46031</v>
      </c>
      <c r="N3878" s="55">
        <v>9.4159839999999999</v>
      </c>
    </row>
    <row r="3879" spans="1:14" hidden="1" x14ac:dyDescent="0.35">
      <c r="A3879" s="52" t="s">
        <v>670</v>
      </c>
      <c r="B3879" s="52" t="s">
        <v>37</v>
      </c>
      <c r="C3879" s="52" t="s">
        <v>35</v>
      </c>
      <c r="D3879" s="52" t="s">
        <v>36</v>
      </c>
      <c r="E3879" s="52" t="s">
        <v>587</v>
      </c>
      <c r="F3879" s="52" t="s">
        <v>581</v>
      </c>
      <c r="G3879" s="55" t="s">
        <v>276</v>
      </c>
      <c r="H3879" s="55">
        <v>1.108795</v>
      </c>
      <c r="I3879" s="55">
        <v>2.1110039999999999</v>
      </c>
      <c r="J3879" s="55">
        <v>3.7488760000000001</v>
      </c>
      <c r="K3879" s="55">
        <v>3.392239</v>
      </c>
      <c r="L3879" s="55">
        <v>2.938364</v>
      </c>
      <c r="M3879" s="55">
        <v>2.7087539999999999</v>
      </c>
      <c r="N3879" s="55">
        <v>2.4518939999999998</v>
      </c>
    </row>
    <row r="3880" spans="1:14" hidden="1" x14ac:dyDescent="0.35">
      <c r="A3880" s="52" t="s">
        <v>670</v>
      </c>
      <c r="B3880" s="52" t="s">
        <v>37</v>
      </c>
      <c r="C3880" s="52" t="s">
        <v>35</v>
      </c>
      <c r="D3880" s="52" t="s">
        <v>36</v>
      </c>
      <c r="E3880" s="52" t="s">
        <v>587</v>
      </c>
      <c r="F3880" s="52" t="s">
        <v>581</v>
      </c>
      <c r="G3880" s="55" t="s">
        <v>277</v>
      </c>
      <c r="H3880" s="55">
        <v>2.754022</v>
      </c>
      <c r="I3880" s="55">
        <v>7.3223899999999995E-2</v>
      </c>
      <c r="J3880" s="55">
        <v>0</v>
      </c>
      <c r="K3880" s="55">
        <v>0.56783209999999995</v>
      </c>
      <c r="L3880" s="55">
        <v>1.04722</v>
      </c>
      <c r="M3880" s="55">
        <v>0</v>
      </c>
      <c r="N3880" s="55">
        <v>0</v>
      </c>
    </row>
    <row r="3881" spans="1:14" hidden="1" x14ac:dyDescent="0.35">
      <c r="A3881" s="52" t="s">
        <v>670</v>
      </c>
      <c r="B3881" s="52" t="s">
        <v>37</v>
      </c>
      <c r="C3881" s="52" t="s">
        <v>35</v>
      </c>
      <c r="D3881" s="52" t="s">
        <v>36</v>
      </c>
      <c r="E3881" s="52" t="s">
        <v>587</v>
      </c>
      <c r="F3881" s="52" t="s">
        <v>581</v>
      </c>
      <c r="G3881" s="55" t="s">
        <v>279</v>
      </c>
      <c r="H3881" s="55">
        <v>8.6114870000000003</v>
      </c>
      <c r="I3881" s="55">
        <v>12.893219999999999</v>
      </c>
      <c r="J3881" s="55">
        <v>10.930540000000001</v>
      </c>
      <c r="K3881" s="55">
        <v>10.11917</v>
      </c>
      <c r="L3881" s="55">
        <v>8.9719259999999998</v>
      </c>
      <c r="M3881" s="55">
        <v>9.049156</v>
      </c>
      <c r="N3881" s="55">
        <v>8.1093569999999993</v>
      </c>
    </row>
    <row r="3882" spans="1:14" hidden="1" x14ac:dyDescent="0.35">
      <c r="A3882" s="52" t="s">
        <v>670</v>
      </c>
      <c r="B3882" s="52" t="s">
        <v>37</v>
      </c>
      <c r="C3882" s="52" t="s">
        <v>35</v>
      </c>
      <c r="D3882" s="52" t="s">
        <v>36</v>
      </c>
      <c r="E3882" s="52" t="s">
        <v>587</v>
      </c>
      <c r="F3882" s="52" t="s">
        <v>26</v>
      </c>
      <c r="G3882" s="55" t="s">
        <v>275</v>
      </c>
      <c r="H3882" s="55">
        <v>-0.40350399999999997</v>
      </c>
      <c r="I3882" s="55">
        <v>-0.76414899999999997</v>
      </c>
      <c r="J3882" s="55">
        <v>-0.59885379999999999</v>
      </c>
      <c r="K3882" s="55">
        <v>-0.56756850000000003</v>
      </c>
      <c r="L3882" s="55">
        <v>-0.47409079999999998</v>
      </c>
      <c r="M3882" s="55">
        <v>-0.55439090000000002</v>
      </c>
      <c r="N3882" s="55">
        <v>-0.49649969999999999</v>
      </c>
    </row>
    <row r="3883" spans="1:14" hidden="1" x14ac:dyDescent="0.35">
      <c r="A3883" s="52" t="s">
        <v>670</v>
      </c>
      <c r="B3883" s="52" t="s">
        <v>37</v>
      </c>
      <c r="C3883" s="52" t="s">
        <v>35</v>
      </c>
      <c r="D3883" s="52" t="s">
        <v>36</v>
      </c>
      <c r="E3883" s="52" t="s">
        <v>587</v>
      </c>
      <c r="F3883" s="52" t="s">
        <v>26</v>
      </c>
      <c r="G3883" s="55" t="s">
        <v>276</v>
      </c>
      <c r="H3883" s="55">
        <v>-0.107261</v>
      </c>
      <c r="I3883" s="55">
        <v>-0.2031289</v>
      </c>
      <c r="J3883" s="55">
        <v>-0.159189</v>
      </c>
      <c r="K3883" s="55">
        <v>-0.15087310000000001</v>
      </c>
      <c r="L3883" s="55">
        <v>-0.12602530000000001</v>
      </c>
      <c r="M3883" s="55">
        <v>-0.14737049999999999</v>
      </c>
      <c r="N3883" s="55">
        <v>-0.13198109999999999</v>
      </c>
    </row>
    <row r="3884" spans="1:14" hidden="1" x14ac:dyDescent="0.35">
      <c r="A3884" s="52" t="s">
        <v>670</v>
      </c>
      <c r="B3884" s="52" t="s">
        <v>37</v>
      </c>
      <c r="C3884" s="52" t="s">
        <v>35</v>
      </c>
      <c r="D3884" s="52" t="s">
        <v>36</v>
      </c>
      <c r="E3884" s="52" t="s">
        <v>587</v>
      </c>
      <c r="F3884" s="52" t="s">
        <v>26</v>
      </c>
      <c r="G3884" s="55" t="s">
        <v>279</v>
      </c>
      <c r="H3884" s="55">
        <v>0.87818099999999999</v>
      </c>
      <c r="I3884" s="55">
        <v>1.619435</v>
      </c>
      <c r="J3884" s="55">
        <v>1.3580140000000001</v>
      </c>
      <c r="K3884" s="55">
        <v>1.2564930000000001</v>
      </c>
      <c r="L3884" s="55">
        <v>1.0891569999999999</v>
      </c>
      <c r="M3884" s="55">
        <v>1.1462950000000001</v>
      </c>
      <c r="N3884" s="55">
        <v>1.0262830000000001</v>
      </c>
    </row>
    <row r="3885" spans="1:14" hidden="1" x14ac:dyDescent="0.35">
      <c r="A3885" s="52" t="s">
        <v>670</v>
      </c>
      <c r="B3885" s="52" t="s">
        <v>37</v>
      </c>
      <c r="C3885" s="52" t="s">
        <v>35</v>
      </c>
      <c r="D3885" s="52" t="s">
        <v>129</v>
      </c>
      <c r="E3885" s="52" t="s">
        <v>580</v>
      </c>
      <c r="F3885" s="52" t="s">
        <v>581</v>
      </c>
      <c r="G3885" s="55" t="s">
        <v>275</v>
      </c>
      <c r="H3885" s="55">
        <v>-607.89200000000005</v>
      </c>
      <c r="I3885" s="55">
        <v>52.552529999999997</v>
      </c>
      <c r="J3885" s="55">
        <v>202.00720000000001</v>
      </c>
      <c r="K3885" s="55">
        <v>273.25029999999998</v>
      </c>
      <c r="L3885" s="55">
        <v>268.93490000000003</v>
      </c>
      <c r="M3885" s="55">
        <v>139.00470000000001</v>
      </c>
      <c r="N3885" s="55">
        <v>119.899</v>
      </c>
    </row>
    <row r="3886" spans="1:14" hidden="1" x14ac:dyDescent="0.35">
      <c r="A3886" s="52" t="s">
        <v>670</v>
      </c>
      <c r="B3886" s="52" t="s">
        <v>37</v>
      </c>
      <c r="C3886" s="52" t="s">
        <v>35</v>
      </c>
      <c r="D3886" s="52" t="s">
        <v>129</v>
      </c>
      <c r="E3886" s="52" t="s">
        <v>580</v>
      </c>
      <c r="F3886" s="52" t="s">
        <v>581</v>
      </c>
      <c r="G3886" s="55" t="s">
        <v>276</v>
      </c>
      <c r="H3886" s="55">
        <v>53.287300000000002</v>
      </c>
      <c r="I3886" s="55">
        <v>-5.8659759999999999</v>
      </c>
      <c r="J3886" s="55">
        <v>-0.93659590000000004</v>
      </c>
      <c r="K3886" s="55">
        <v>-16.156929999999999</v>
      </c>
      <c r="L3886" s="55">
        <v>-50.641689999999997</v>
      </c>
      <c r="M3886" s="55">
        <v>29.433879999999998</v>
      </c>
      <c r="N3886" s="55">
        <v>45.307040000000001</v>
      </c>
    </row>
    <row r="3887" spans="1:14" hidden="1" x14ac:dyDescent="0.35">
      <c r="A3887" s="52" t="s">
        <v>670</v>
      </c>
      <c r="B3887" s="52" t="s">
        <v>37</v>
      </c>
      <c r="C3887" s="52" t="s">
        <v>35</v>
      </c>
      <c r="D3887" s="52" t="s">
        <v>129</v>
      </c>
      <c r="E3887" s="52" t="s">
        <v>580</v>
      </c>
      <c r="F3887" s="52" t="s">
        <v>581</v>
      </c>
      <c r="G3887" s="55" t="s">
        <v>277</v>
      </c>
      <c r="H3887" s="55">
        <v>973.14170000000001</v>
      </c>
      <c r="I3887" s="55">
        <v>214.9247</v>
      </c>
      <c r="J3887" s="55">
        <v>131.43</v>
      </c>
      <c r="K3887" s="55">
        <v>52.770099999999999</v>
      </c>
      <c r="L3887" s="55">
        <v>67.651539999999997</v>
      </c>
      <c r="M3887" s="55">
        <v>102.6324</v>
      </c>
      <c r="N3887" s="55">
        <v>151.87970000000001</v>
      </c>
    </row>
    <row r="3888" spans="1:14" hidden="1" x14ac:dyDescent="0.35">
      <c r="A3888" s="52" t="s">
        <v>670</v>
      </c>
      <c r="B3888" s="52" t="s">
        <v>37</v>
      </c>
      <c r="C3888" s="52" t="s">
        <v>35</v>
      </c>
      <c r="D3888" s="52" t="s">
        <v>129</v>
      </c>
      <c r="E3888" s="52" t="s">
        <v>580</v>
      </c>
      <c r="F3888" s="52" t="s">
        <v>581</v>
      </c>
      <c r="G3888" s="55" t="s">
        <v>278</v>
      </c>
      <c r="H3888" s="55">
        <v>264.7715</v>
      </c>
      <c r="I3888" s="55">
        <v>116.7474</v>
      </c>
      <c r="J3888" s="55">
        <v>91.676749999999998</v>
      </c>
      <c r="K3888" s="55">
        <v>95.350489999999994</v>
      </c>
      <c r="L3888" s="55">
        <v>99.630070000000003</v>
      </c>
      <c r="M3888" s="55">
        <v>117.5504</v>
      </c>
      <c r="N3888" s="55">
        <v>115.2895</v>
      </c>
    </row>
    <row r="3889" spans="1:14" hidden="1" x14ac:dyDescent="0.35">
      <c r="A3889" s="52" t="s">
        <v>670</v>
      </c>
      <c r="B3889" s="52" t="s">
        <v>37</v>
      </c>
      <c r="C3889" s="52" t="s">
        <v>35</v>
      </c>
      <c r="D3889" s="52" t="s">
        <v>129</v>
      </c>
      <c r="E3889" s="52" t="s">
        <v>580</v>
      </c>
      <c r="F3889" s="52" t="s">
        <v>581</v>
      </c>
      <c r="G3889" s="55" t="s">
        <v>279</v>
      </c>
      <c r="H3889" s="55">
        <v>157.57239999999999</v>
      </c>
      <c r="I3889" s="55">
        <v>146.85599999999999</v>
      </c>
      <c r="J3889" s="55">
        <v>155.35069999999999</v>
      </c>
      <c r="K3889" s="55">
        <v>151.83680000000001</v>
      </c>
      <c r="L3889" s="55">
        <v>133.5368</v>
      </c>
      <c r="M3889" s="55">
        <v>158.7954</v>
      </c>
      <c r="N3889" s="55">
        <v>175.81549999999999</v>
      </c>
    </row>
    <row r="3890" spans="1:14" hidden="1" x14ac:dyDescent="0.35">
      <c r="A3890" s="52" t="s">
        <v>670</v>
      </c>
      <c r="B3890" s="52" t="s">
        <v>37</v>
      </c>
      <c r="C3890" s="52" t="s">
        <v>35</v>
      </c>
      <c r="D3890" s="52" t="s">
        <v>129</v>
      </c>
      <c r="E3890" s="52" t="s">
        <v>580</v>
      </c>
      <c r="F3890" s="52" t="s">
        <v>26</v>
      </c>
      <c r="G3890" s="55" t="s">
        <v>275</v>
      </c>
      <c r="H3890" s="55">
        <v>-2.181378</v>
      </c>
      <c r="I3890" s="55">
        <v>24.458780000000001</v>
      </c>
      <c r="J3890" s="55">
        <v>30.543040000000001</v>
      </c>
      <c r="K3890" s="55">
        <v>28.090499999999999</v>
      </c>
      <c r="L3890" s="55">
        <v>27.244610000000002</v>
      </c>
      <c r="M3890" s="55">
        <v>24.85022</v>
      </c>
      <c r="N3890" s="55">
        <v>27.461539999999999</v>
      </c>
    </row>
    <row r="3891" spans="1:14" hidden="1" x14ac:dyDescent="0.35">
      <c r="A3891" s="52" t="s">
        <v>670</v>
      </c>
      <c r="B3891" s="52" t="s">
        <v>37</v>
      </c>
      <c r="C3891" s="52" t="s">
        <v>35</v>
      </c>
      <c r="D3891" s="52" t="s">
        <v>129</v>
      </c>
      <c r="E3891" s="52" t="s">
        <v>580</v>
      </c>
      <c r="F3891" s="52" t="s">
        <v>26</v>
      </c>
      <c r="G3891" s="55" t="s">
        <v>276</v>
      </c>
      <c r="H3891" s="55">
        <v>-0.57987200000000005</v>
      </c>
      <c r="I3891" s="55">
        <v>6.5017110000000002</v>
      </c>
      <c r="J3891" s="55">
        <v>8.1190370000000005</v>
      </c>
      <c r="K3891" s="55">
        <v>7.4671050000000001</v>
      </c>
      <c r="L3891" s="55">
        <v>7.2422279999999999</v>
      </c>
      <c r="M3891" s="55">
        <v>6.6057420000000002</v>
      </c>
      <c r="N3891" s="55">
        <v>7.2999200000000002</v>
      </c>
    </row>
    <row r="3892" spans="1:14" hidden="1" x14ac:dyDescent="0.35">
      <c r="A3892" s="52" t="s">
        <v>670</v>
      </c>
      <c r="B3892" s="52" t="s">
        <v>37</v>
      </c>
      <c r="C3892" s="52" t="s">
        <v>35</v>
      </c>
      <c r="D3892" s="52" t="s">
        <v>129</v>
      </c>
      <c r="E3892" s="52" t="s">
        <v>580</v>
      </c>
      <c r="F3892" s="52" t="s">
        <v>26</v>
      </c>
      <c r="G3892" s="55" t="s">
        <v>279</v>
      </c>
      <c r="H3892" s="55">
        <v>22.668890000000001</v>
      </c>
      <c r="I3892" s="55">
        <v>38.488320000000002</v>
      </c>
      <c r="J3892" s="55">
        <v>41.032789999999999</v>
      </c>
      <c r="K3892" s="55">
        <v>40.39911</v>
      </c>
      <c r="L3892" s="55">
        <v>35.934750000000001</v>
      </c>
      <c r="M3892" s="55">
        <v>42.281089999999999</v>
      </c>
      <c r="N3892" s="55">
        <v>46.745939999999997</v>
      </c>
    </row>
    <row r="3893" spans="1:14" hidden="1" x14ac:dyDescent="0.35">
      <c r="A3893" s="52" t="s">
        <v>670</v>
      </c>
      <c r="B3893" s="52" t="s">
        <v>37</v>
      </c>
      <c r="C3893" s="52" t="s">
        <v>35</v>
      </c>
      <c r="D3893" s="52" t="s">
        <v>129</v>
      </c>
      <c r="E3893" s="52" t="s">
        <v>582</v>
      </c>
      <c r="F3893" s="52" t="s">
        <v>581</v>
      </c>
      <c r="G3893" s="55" t="s">
        <v>275</v>
      </c>
      <c r="H3893" s="55">
        <v>2.9984419999999998</v>
      </c>
      <c r="I3893" s="55">
        <v>3.0444810000000002</v>
      </c>
      <c r="J3893" s="55">
        <v>6.9510670000000001</v>
      </c>
      <c r="K3893" s="55">
        <v>27.064630000000001</v>
      </c>
      <c r="L3893" s="55">
        <v>17.05106</v>
      </c>
      <c r="M3893" s="55">
        <v>9.8000220000000002</v>
      </c>
      <c r="N3893" s="55">
        <v>-11.107699999999999</v>
      </c>
    </row>
    <row r="3894" spans="1:14" hidden="1" x14ac:dyDescent="0.35">
      <c r="A3894" s="52" t="s">
        <v>670</v>
      </c>
      <c r="B3894" s="52" t="s">
        <v>37</v>
      </c>
      <c r="C3894" s="52" t="s">
        <v>35</v>
      </c>
      <c r="D3894" s="52" t="s">
        <v>129</v>
      </c>
      <c r="E3894" s="52" t="s">
        <v>582</v>
      </c>
      <c r="F3894" s="52" t="s">
        <v>581</v>
      </c>
      <c r="G3894" s="55" t="s">
        <v>276</v>
      </c>
      <c r="H3894" s="55">
        <v>2.7208779999999999E-3</v>
      </c>
      <c r="I3894" s="55">
        <v>-1.5152859999999999</v>
      </c>
      <c r="J3894" s="55">
        <v>1.433203</v>
      </c>
      <c r="K3894" s="55">
        <v>1.5969819999999999</v>
      </c>
      <c r="L3894" s="55">
        <v>3.4185660000000002</v>
      </c>
      <c r="M3894" s="55">
        <v>2.9947560000000002</v>
      </c>
      <c r="N3894" s="55">
        <v>3.1945130000000002</v>
      </c>
    </row>
    <row r="3895" spans="1:14" hidden="1" x14ac:dyDescent="0.35">
      <c r="A3895" s="52" t="s">
        <v>670</v>
      </c>
      <c r="B3895" s="52" t="s">
        <v>37</v>
      </c>
      <c r="C3895" s="52" t="s">
        <v>35</v>
      </c>
      <c r="D3895" s="52" t="s">
        <v>129</v>
      </c>
      <c r="E3895" s="52" t="s">
        <v>582</v>
      </c>
      <c r="F3895" s="52" t="s">
        <v>581</v>
      </c>
      <c r="G3895" s="55" t="s">
        <v>277</v>
      </c>
      <c r="H3895" s="55">
        <v>14.4168</v>
      </c>
      <c r="I3895" s="55">
        <v>12.868969999999999</v>
      </c>
      <c r="J3895" s="55">
        <v>12.814500000000001</v>
      </c>
      <c r="K3895" s="55">
        <v>2.243757</v>
      </c>
      <c r="L3895" s="55">
        <v>1.7281500000000001</v>
      </c>
      <c r="M3895" s="55">
        <v>5.2141039999999998</v>
      </c>
      <c r="N3895" s="55">
        <v>23.394100000000002</v>
      </c>
    </row>
    <row r="3896" spans="1:14" hidden="1" x14ac:dyDescent="0.35">
      <c r="A3896" s="52" t="s">
        <v>670</v>
      </c>
      <c r="B3896" s="52" t="s">
        <v>37</v>
      </c>
      <c r="C3896" s="52" t="s">
        <v>35</v>
      </c>
      <c r="D3896" s="52" t="s">
        <v>129</v>
      </c>
      <c r="E3896" s="52" t="s">
        <v>582</v>
      </c>
      <c r="F3896" s="52" t="s">
        <v>581</v>
      </c>
      <c r="G3896" s="55" t="s">
        <v>278</v>
      </c>
      <c r="H3896" s="55">
        <v>4.3001110000000002</v>
      </c>
      <c r="I3896" s="55">
        <v>7.8375009999999996</v>
      </c>
      <c r="J3896" s="55">
        <v>14.68745</v>
      </c>
      <c r="K3896" s="55">
        <v>10.465529999999999</v>
      </c>
      <c r="L3896" s="55">
        <v>12.20908</v>
      </c>
      <c r="M3896" s="55">
        <v>15.561249999999999</v>
      </c>
      <c r="N3896" s="55">
        <v>27.605160000000001</v>
      </c>
    </row>
    <row r="3897" spans="1:14" hidden="1" x14ac:dyDescent="0.35">
      <c r="A3897" s="52" t="s">
        <v>670</v>
      </c>
      <c r="B3897" s="52" t="s">
        <v>37</v>
      </c>
      <c r="C3897" s="52" t="s">
        <v>35</v>
      </c>
      <c r="D3897" s="52" t="s">
        <v>129</v>
      </c>
      <c r="E3897" s="52" t="s">
        <v>582</v>
      </c>
      <c r="F3897" s="52" t="s">
        <v>581</v>
      </c>
      <c r="G3897" s="55" t="s">
        <v>279</v>
      </c>
      <c r="H3897" s="55">
        <v>5.2053209999999996</v>
      </c>
      <c r="I3897" s="55">
        <v>8.5612139999999997</v>
      </c>
      <c r="J3897" s="55">
        <v>13.087479999999999</v>
      </c>
      <c r="K3897" s="55">
        <v>15.515269999999999</v>
      </c>
      <c r="L3897" s="55">
        <v>12.042160000000001</v>
      </c>
      <c r="M3897" s="55">
        <v>13.69304</v>
      </c>
      <c r="N3897" s="55">
        <v>17.535990000000002</v>
      </c>
    </row>
    <row r="3898" spans="1:14" hidden="1" x14ac:dyDescent="0.35">
      <c r="A3898" s="52" t="s">
        <v>670</v>
      </c>
      <c r="B3898" s="52" t="s">
        <v>37</v>
      </c>
      <c r="C3898" s="52" t="s">
        <v>35</v>
      </c>
      <c r="D3898" s="52" t="s">
        <v>129</v>
      </c>
      <c r="E3898" s="52" t="s">
        <v>582</v>
      </c>
      <c r="F3898" s="52" t="s">
        <v>26</v>
      </c>
      <c r="G3898" s="55" t="s">
        <v>275</v>
      </c>
      <c r="H3898" s="55">
        <v>-0.15190899999999999</v>
      </c>
      <c r="I3898" s="55">
        <v>1.022384</v>
      </c>
      <c r="J3898" s="55">
        <v>1.839439</v>
      </c>
      <c r="K3898" s="55">
        <v>2.0537269999999999</v>
      </c>
      <c r="L3898" s="55">
        <v>1.7291669999999999</v>
      </c>
      <c r="M3898" s="55">
        <v>1.5366690000000001</v>
      </c>
      <c r="N3898" s="55">
        <v>1.9624680000000001</v>
      </c>
    </row>
    <row r="3899" spans="1:14" hidden="1" x14ac:dyDescent="0.35">
      <c r="A3899" s="52" t="s">
        <v>670</v>
      </c>
      <c r="B3899" s="52" t="s">
        <v>37</v>
      </c>
      <c r="C3899" s="52" t="s">
        <v>35</v>
      </c>
      <c r="D3899" s="52" t="s">
        <v>129</v>
      </c>
      <c r="E3899" s="52" t="s">
        <v>582</v>
      </c>
      <c r="F3899" s="52" t="s">
        <v>26</v>
      </c>
      <c r="G3899" s="55" t="s">
        <v>276</v>
      </c>
      <c r="H3899" s="55">
        <v>-4.0381E-2</v>
      </c>
      <c r="I3899" s="55">
        <v>0.27177249999999997</v>
      </c>
      <c r="J3899" s="55">
        <v>0.48896420000000002</v>
      </c>
      <c r="K3899" s="55">
        <v>0.54592689999999999</v>
      </c>
      <c r="L3899" s="55">
        <v>0.4596519</v>
      </c>
      <c r="M3899" s="55">
        <v>0.40848190000000001</v>
      </c>
      <c r="N3899" s="55">
        <v>0.52166710000000005</v>
      </c>
    </row>
    <row r="3900" spans="1:14" hidden="1" x14ac:dyDescent="0.35">
      <c r="A3900" s="52" t="s">
        <v>670</v>
      </c>
      <c r="B3900" s="52" t="s">
        <v>37</v>
      </c>
      <c r="C3900" s="52" t="s">
        <v>35</v>
      </c>
      <c r="D3900" s="52" t="s">
        <v>129</v>
      </c>
      <c r="E3900" s="52" t="s">
        <v>582</v>
      </c>
      <c r="F3900" s="52" t="s">
        <v>26</v>
      </c>
      <c r="G3900" s="55" t="s">
        <v>279</v>
      </c>
      <c r="H3900" s="55">
        <v>0.63582899999999998</v>
      </c>
      <c r="I3900" s="55">
        <v>1.563898</v>
      </c>
      <c r="J3900" s="55">
        <v>2.4112849999999999</v>
      </c>
      <c r="K3900" s="55">
        <v>2.8817569999999999</v>
      </c>
      <c r="L3900" s="55">
        <v>2.256516</v>
      </c>
      <c r="M3900" s="55">
        <v>2.5432939999999999</v>
      </c>
      <c r="N3900" s="55">
        <v>3.2544569999999999</v>
      </c>
    </row>
    <row r="3901" spans="1:14" hidden="1" x14ac:dyDescent="0.35">
      <c r="A3901" s="52" t="s">
        <v>670</v>
      </c>
      <c r="B3901" s="52" t="s">
        <v>37</v>
      </c>
      <c r="C3901" s="52" t="s">
        <v>35</v>
      </c>
      <c r="D3901" s="52" t="s">
        <v>267</v>
      </c>
      <c r="E3901" s="52" t="s">
        <v>589</v>
      </c>
      <c r="F3901" s="52" t="s">
        <v>581</v>
      </c>
      <c r="G3901" s="55" t="s">
        <v>275</v>
      </c>
      <c r="H3901" s="55">
        <v>203.62389999999999</v>
      </c>
      <c r="I3901" s="55">
        <v>101.2226</v>
      </c>
      <c r="J3901" s="55">
        <v>134.48679999999999</v>
      </c>
      <c r="K3901" s="55">
        <v>117.53230000000001</v>
      </c>
      <c r="L3901" s="55">
        <v>95.23854</v>
      </c>
      <c r="M3901" s="55">
        <v>67.121889999999993</v>
      </c>
      <c r="N3901" s="55">
        <v>61.273760000000003</v>
      </c>
    </row>
    <row r="3902" spans="1:14" hidden="1" x14ac:dyDescent="0.35">
      <c r="A3902" s="52" t="s">
        <v>670</v>
      </c>
      <c r="B3902" s="52" t="s">
        <v>37</v>
      </c>
      <c r="C3902" s="52" t="s">
        <v>35</v>
      </c>
      <c r="D3902" s="52" t="s">
        <v>267</v>
      </c>
      <c r="E3902" s="52" t="s">
        <v>589</v>
      </c>
      <c r="F3902" s="52" t="s">
        <v>581</v>
      </c>
      <c r="G3902" s="55" t="s">
        <v>276</v>
      </c>
      <c r="H3902" s="55">
        <v>5.3981830000000004</v>
      </c>
      <c r="I3902" s="55">
        <v>-15.320499999999999</v>
      </c>
      <c r="J3902" s="55">
        <v>-23.571449999999999</v>
      </c>
      <c r="K3902" s="55">
        <v>-12.577999999999999</v>
      </c>
      <c r="L3902" s="55">
        <v>-1.429332</v>
      </c>
      <c r="M3902" s="55">
        <v>10.46726</v>
      </c>
      <c r="N3902" s="55">
        <v>13.433059999999999</v>
      </c>
    </row>
    <row r="3903" spans="1:14" hidden="1" x14ac:dyDescent="0.35">
      <c r="A3903" s="52" t="s">
        <v>670</v>
      </c>
      <c r="B3903" s="52" t="s">
        <v>37</v>
      </c>
      <c r="C3903" s="52" t="s">
        <v>35</v>
      </c>
      <c r="D3903" s="52" t="s">
        <v>267</v>
      </c>
      <c r="E3903" s="52" t="s">
        <v>589</v>
      </c>
      <c r="F3903" s="52" t="s">
        <v>581</v>
      </c>
      <c r="G3903" s="55" t="s">
        <v>277</v>
      </c>
      <c r="H3903" s="55">
        <v>224.22380000000001</v>
      </c>
      <c r="I3903" s="55">
        <v>74.136390000000006</v>
      </c>
      <c r="J3903" s="55">
        <v>33.12276</v>
      </c>
      <c r="K3903" s="55">
        <v>16.666840000000001</v>
      </c>
      <c r="L3903" s="55">
        <v>21.474979999999999</v>
      </c>
      <c r="M3903" s="55">
        <v>23.27195</v>
      </c>
      <c r="N3903" s="55">
        <v>20.635960000000001</v>
      </c>
    </row>
    <row r="3904" spans="1:14" hidden="1" x14ac:dyDescent="0.35">
      <c r="A3904" s="52" t="s">
        <v>670</v>
      </c>
      <c r="B3904" s="52" t="s">
        <v>37</v>
      </c>
      <c r="C3904" s="52" t="s">
        <v>35</v>
      </c>
      <c r="D3904" s="52" t="s">
        <v>267</v>
      </c>
      <c r="E3904" s="52" t="s">
        <v>589</v>
      </c>
      <c r="F3904" s="52" t="s">
        <v>581</v>
      </c>
      <c r="G3904" s="55" t="s">
        <v>278</v>
      </c>
      <c r="H3904" s="55">
        <v>25.697849999999999</v>
      </c>
      <c r="I3904" s="55">
        <v>13.074730000000001</v>
      </c>
      <c r="J3904" s="55">
        <v>9.7708209999999998</v>
      </c>
      <c r="K3904" s="55">
        <v>8.8108880000000003</v>
      </c>
      <c r="L3904" s="55">
        <v>3.8369909999999998</v>
      </c>
      <c r="M3904" s="55">
        <v>1.3280419999999999</v>
      </c>
      <c r="N3904" s="55">
        <v>0.13180230000000001</v>
      </c>
    </row>
    <row r="3905" spans="1:14" hidden="1" x14ac:dyDescent="0.35">
      <c r="A3905" s="52" t="s">
        <v>670</v>
      </c>
      <c r="B3905" s="52" t="s">
        <v>37</v>
      </c>
      <c r="C3905" s="52" t="s">
        <v>35</v>
      </c>
      <c r="D3905" s="52" t="s">
        <v>267</v>
      </c>
      <c r="E3905" s="52" t="s">
        <v>589</v>
      </c>
      <c r="F3905" s="52" t="s">
        <v>581</v>
      </c>
      <c r="G3905" s="55" t="s">
        <v>279</v>
      </c>
      <c r="H3905" s="55">
        <v>157.1377</v>
      </c>
      <c r="I3905" s="55">
        <v>109.2497</v>
      </c>
      <c r="J3905" s="55">
        <v>90.798029999999997</v>
      </c>
      <c r="K3905" s="55">
        <v>79.888800000000003</v>
      </c>
      <c r="L3905" s="55">
        <v>66.630449999999996</v>
      </c>
      <c r="M3905" s="55">
        <v>68.732699999999994</v>
      </c>
      <c r="N3905" s="55">
        <v>63.011380000000003</v>
      </c>
    </row>
    <row r="3906" spans="1:14" hidden="1" x14ac:dyDescent="0.35">
      <c r="A3906" s="52" t="s">
        <v>670</v>
      </c>
      <c r="B3906" s="52" t="s">
        <v>37</v>
      </c>
      <c r="C3906" s="52" t="s">
        <v>35</v>
      </c>
      <c r="D3906" s="52" t="s">
        <v>267</v>
      </c>
      <c r="E3906" s="52" t="s">
        <v>589</v>
      </c>
      <c r="F3906" s="52" t="s">
        <v>26</v>
      </c>
      <c r="G3906" s="55" t="s">
        <v>275</v>
      </c>
      <c r="H3906" s="55">
        <v>-19.08352</v>
      </c>
      <c r="I3906" s="55">
        <v>-16.55057</v>
      </c>
      <c r="J3906" s="55">
        <v>-13.319430000000001</v>
      </c>
      <c r="K3906" s="55">
        <v>-12.135960000000001</v>
      </c>
      <c r="L3906" s="55">
        <v>-10.17224</v>
      </c>
      <c r="M3906" s="55">
        <v>-10.80986</v>
      </c>
      <c r="N3906" s="55">
        <v>-9.8721899999999998</v>
      </c>
    </row>
    <row r="3907" spans="1:14" hidden="1" x14ac:dyDescent="0.35">
      <c r="A3907" s="52" t="s">
        <v>670</v>
      </c>
      <c r="B3907" s="52" t="s">
        <v>37</v>
      </c>
      <c r="C3907" s="52" t="s">
        <v>35</v>
      </c>
      <c r="D3907" s="52" t="s">
        <v>267</v>
      </c>
      <c r="E3907" s="52" t="s">
        <v>589</v>
      </c>
      <c r="F3907" s="52" t="s">
        <v>26</v>
      </c>
      <c r="G3907" s="55" t="s">
        <v>276</v>
      </c>
      <c r="H3907" s="55">
        <v>-5.072838</v>
      </c>
      <c r="I3907" s="55">
        <v>-4.3995220000000002</v>
      </c>
      <c r="J3907" s="55">
        <v>-3.5406119999999999</v>
      </c>
      <c r="K3907" s="55">
        <v>-3.2260170000000001</v>
      </c>
      <c r="L3907" s="55">
        <v>-2.7040130000000002</v>
      </c>
      <c r="M3907" s="55">
        <v>-2.8735040000000001</v>
      </c>
      <c r="N3907" s="55">
        <v>-2.6242529999999999</v>
      </c>
    </row>
    <row r="3908" spans="1:14" hidden="1" x14ac:dyDescent="0.35">
      <c r="A3908" s="52" t="s">
        <v>670</v>
      </c>
      <c r="B3908" s="52" t="s">
        <v>37</v>
      </c>
      <c r="C3908" s="52" t="s">
        <v>35</v>
      </c>
      <c r="D3908" s="52" t="s">
        <v>267</v>
      </c>
      <c r="E3908" s="52" t="s">
        <v>589</v>
      </c>
      <c r="F3908" s="52" t="s">
        <v>26</v>
      </c>
      <c r="G3908" s="55" t="s">
        <v>279</v>
      </c>
      <c r="H3908" s="55">
        <v>33.555</v>
      </c>
      <c r="I3908" s="55">
        <v>28.662960000000002</v>
      </c>
      <c r="J3908" s="55">
        <v>23.838889999999999</v>
      </c>
      <c r="K3908" s="55">
        <v>21.322489999999998</v>
      </c>
      <c r="L3908" s="55">
        <v>18.100249999999999</v>
      </c>
      <c r="M3908" s="55">
        <v>18.421040000000001</v>
      </c>
      <c r="N3908" s="55">
        <v>16.838049999999999</v>
      </c>
    </row>
    <row r="3909" spans="1:14" hidden="1" x14ac:dyDescent="0.35">
      <c r="A3909" s="52" t="s">
        <v>670</v>
      </c>
      <c r="B3909" s="52" t="s">
        <v>37</v>
      </c>
      <c r="C3909" s="52" t="s">
        <v>35</v>
      </c>
      <c r="D3909" s="52" t="s">
        <v>267</v>
      </c>
      <c r="E3909" s="52" t="s">
        <v>588</v>
      </c>
      <c r="F3909" s="52" t="s">
        <v>581</v>
      </c>
      <c r="G3909" s="55" t="s">
        <v>275</v>
      </c>
      <c r="H3909" s="55">
        <v>7.2817400000000001</v>
      </c>
      <c r="I3909" s="55">
        <v>2.4569540000000001</v>
      </c>
      <c r="J3909" s="55">
        <v>1.941616</v>
      </c>
      <c r="K3909" s="55">
        <v>1.9083380000000001</v>
      </c>
      <c r="L3909" s="55">
        <v>-0.74873630000000002</v>
      </c>
      <c r="M3909" s="55">
        <v>-0.39297939999999998</v>
      </c>
      <c r="N3909" s="55">
        <v>-6.3090840000000004</v>
      </c>
    </row>
    <row r="3910" spans="1:14" hidden="1" x14ac:dyDescent="0.35">
      <c r="A3910" s="52" t="s">
        <v>670</v>
      </c>
      <c r="B3910" s="52" t="s">
        <v>37</v>
      </c>
      <c r="C3910" s="52" t="s">
        <v>35</v>
      </c>
      <c r="D3910" s="52" t="s">
        <v>267</v>
      </c>
      <c r="E3910" s="52" t="s">
        <v>588</v>
      </c>
      <c r="F3910" s="52" t="s">
        <v>581</v>
      </c>
      <c r="G3910" s="55" t="s">
        <v>276</v>
      </c>
      <c r="H3910" s="55">
        <v>-4.6954999999999997E-2</v>
      </c>
      <c r="I3910" s="55">
        <v>5.9560109999999999E-2</v>
      </c>
      <c r="J3910" s="55">
        <v>-0.2788485</v>
      </c>
      <c r="K3910" s="55">
        <v>0.39275640000000001</v>
      </c>
      <c r="L3910" s="55">
        <v>0.61289179999999999</v>
      </c>
      <c r="M3910" s="55">
        <v>0.56842340000000002</v>
      </c>
      <c r="N3910" s="55">
        <v>0.4508839</v>
      </c>
    </row>
    <row r="3911" spans="1:14" hidden="1" x14ac:dyDescent="0.35">
      <c r="A3911" s="52" t="s">
        <v>670</v>
      </c>
      <c r="B3911" s="52" t="s">
        <v>37</v>
      </c>
      <c r="C3911" s="52" t="s">
        <v>35</v>
      </c>
      <c r="D3911" s="52" t="s">
        <v>267</v>
      </c>
      <c r="E3911" s="52" t="s">
        <v>588</v>
      </c>
      <c r="F3911" s="52" t="s">
        <v>581</v>
      </c>
      <c r="G3911" s="55" t="s">
        <v>277</v>
      </c>
      <c r="H3911" s="55">
        <v>0</v>
      </c>
      <c r="I3911" s="55">
        <v>0</v>
      </c>
      <c r="J3911" s="55">
        <v>1.8238909999999999</v>
      </c>
      <c r="K3911" s="55">
        <v>0.78789520000000002</v>
      </c>
      <c r="L3911" s="55">
        <v>1.742645</v>
      </c>
      <c r="M3911" s="55">
        <v>2.7566380000000001</v>
      </c>
      <c r="N3911" s="55">
        <v>11.891679999999999</v>
      </c>
    </row>
    <row r="3912" spans="1:14" hidden="1" x14ac:dyDescent="0.35">
      <c r="A3912" s="52" t="s">
        <v>670</v>
      </c>
      <c r="B3912" s="52" t="s">
        <v>37</v>
      </c>
      <c r="C3912" s="52" t="s">
        <v>35</v>
      </c>
      <c r="D3912" s="52" t="s">
        <v>267</v>
      </c>
      <c r="E3912" s="52" t="s">
        <v>588</v>
      </c>
      <c r="F3912" s="52" t="s">
        <v>581</v>
      </c>
      <c r="G3912" s="55" t="s">
        <v>278</v>
      </c>
      <c r="H3912" s="55"/>
      <c r="I3912" s="55"/>
      <c r="J3912" s="55">
        <v>0</v>
      </c>
      <c r="K3912" s="55">
        <v>0.35547600000000001</v>
      </c>
      <c r="L3912" s="55">
        <v>2.5958220000000001</v>
      </c>
      <c r="M3912" s="55">
        <v>1.6916199999999999</v>
      </c>
      <c r="N3912" s="55">
        <v>0.77888829999999998</v>
      </c>
    </row>
    <row r="3913" spans="1:14" hidden="1" x14ac:dyDescent="0.35">
      <c r="A3913" s="52" t="s">
        <v>670</v>
      </c>
      <c r="B3913" s="52" t="s">
        <v>37</v>
      </c>
      <c r="C3913" s="52" t="s">
        <v>35</v>
      </c>
      <c r="D3913" s="52" t="s">
        <v>267</v>
      </c>
      <c r="E3913" s="52" t="s">
        <v>588</v>
      </c>
      <c r="F3913" s="52" t="s">
        <v>581</v>
      </c>
      <c r="G3913" s="55" t="s">
        <v>279</v>
      </c>
      <c r="H3913" s="55">
        <v>1.6957139999999999</v>
      </c>
      <c r="I3913" s="55">
        <v>0.94438610000000001</v>
      </c>
      <c r="J3913" s="55">
        <v>1.2457450000000001</v>
      </c>
      <c r="K3913" s="55">
        <v>1.2552319999999999</v>
      </c>
      <c r="L3913" s="55">
        <v>1.40313</v>
      </c>
      <c r="M3913" s="55">
        <v>1.824479</v>
      </c>
      <c r="N3913" s="55">
        <v>2.5897389999999998</v>
      </c>
    </row>
    <row r="3914" spans="1:14" hidden="1" x14ac:dyDescent="0.35">
      <c r="A3914" s="52" t="s">
        <v>670</v>
      </c>
      <c r="B3914" s="52" t="s">
        <v>37</v>
      </c>
      <c r="C3914" s="52" t="s">
        <v>35</v>
      </c>
      <c r="D3914" s="52" t="s">
        <v>267</v>
      </c>
      <c r="E3914" s="52" t="s">
        <v>588</v>
      </c>
      <c r="F3914" s="52" t="s">
        <v>26</v>
      </c>
      <c r="G3914" s="55" t="s">
        <v>275</v>
      </c>
      <c r="H3914" s="55">
        <v>2.47E-3</v>
      </c>
      <c r="I3914" s="55">
        <v>0.1132479</v>
      </c>
      <c r="J3914" s="55">
        <v>0.17324030000000001</v>
      </c>
      <c r="K3914" s="55">
        <v>0.167243</v>
      </c>
      <c r="L3914" s="55">
        <v>0.2064522</v>
      </c>
      <c r="M3914" s="55">
        <v>0.2098573</v>
      </c>
      <c r="N3914" s="55">
        <v>0.29955759999999998</v>
      </c>
    </row>
    <row r="3915" spans="1:14" hidden="1" x14ac:dyDescent="0.35">
      <c r="A3915" s="52" t="s">
        <v>670</v>
      </c>
      <c r="B3915" s="52" t="s">
        <v>37</v>
      </c>
      <c r="C3915" s="52" t="s">
        <v>35</v>
      </c>
      <c r="D3915" s="52" t="s">
        <v>267</v>
      </c>
      <c r="E3915" s="52" t="s">
        <v>588</v>
      </c>
      <c r="F3915" s="52" t="s">
        <v>26</v>
      </c>
      <c r="G3915" s="55" t="s">
        <v>276</v>
      </c>
      <c r="H3915" s="55">
        <v>6.5600000000000001E-4</v>
      </c>
      <c r="I3915" s="55">
        <v>3.0104499999999999E-2</v>
      </c>
      <c r="J3915" s="55">
        <v>4.6051300000000003E-2</v>
      </c>
      <c r="K3915" s="55">
        <v>4.4457000000000003E-2</v>
      </c>
      <c r="L3915" s="55">
        <v>5.4879900000000002E-2</v>
      </c>
      <c r="M3915" s="55">
        <v>5.57852E-2</v>
      </c>
      <c r="N3915" s="55">
        <v>7.9629699999999998E-2</v>
      </c>
    </row>
    <row r="3916" spans="1:14" hidden="1" x14ac:dyDescent="0.35">
      <c r="A3916" s="52" t="s">
        <v>670</v>
      </c>
      <c r="B3916" s="52" t="s">
        <v>37</v>
      </c>
      <c r="C3916" s="52" t="s">
        <v>35</v>
      </c>
      <c r="D3916" s="52" t="s">
        <v>267</v>
      </c>
      <c r="E3916" s="52" t="s">
        <v>588</v>
      </c>
      <c r="F3916" s="52" t="s">
        <v>26</v>
      </c>
      <c r="G3916" s="55" t="s">
        <v>279</v>
      </c>
      <c r="H3916" s="55">
        <v>0.16404099999999999</v>
      </c>
      <c r="I3916" s="55">
        <v>0.13559740000000001</v>
      </c>
      <c r="J3916" s="55">
        <v>0.1806141</v>
      </c>
      <c r="K3916" s="55">
        <v>0.18239340000000001</v>
      </c>
      <c r="L3916" s="55">
        <v>0.20346700000000001</v>
      </c>
      <c r="M3916" s="55">
        <v>0.26491189999999998</v>
      </c>
      <c r="N3916" s="55">
        <v>0.37253629999999999</v>
      </c>
    </row>
    <row r="3917" spans="1:14" hidden="1" x14ac:dyDescent="0.35">
      <c r="A3917" s="52" t="s">
        <v>670</v>
      </c>
      <c r="B3917" s="52" t="s">
        <v>37</v>
      </c>
      <c r="C3917" s="52" t="s">
        <v>35</v>
      </c>
      <c r="D3917" s="52" t="s">
        <v>163</v>
      </c>
      <c r="E3917" s="52" t="s">
        <v>580</v>
      </c>
      <c r="F3917" s="52" t="s">
        <v>581</v>
      </c>
      <c r="G3917" s="55" t="s">
        <v>275</v>
      </c>
      <c r="H3917" s="55">
        <v>156.20050000000001</v>
      </c>
      <c r="I3917" s="55">
        <v>47.251019999999997</v>
      </c>
      <c r="J3917" s="55">
        <v>94.318780000000004</v>
      </c>
      <c r="K3917" s="55">
        <v>115.7701</v>
      </c>
      <c r="L3917" s="55">
        <v>79.246859999999998</v>
      </c>
      <c r="M3917" s="55">
        <v>70.258129999999994</v>
      </c>
      <c r="N3917" s="55">
        <v>55.319310000000002</v>
      </c>
    </row>
    <row r="3918" spans="1:14" hidden="1" x14ac:dyDescent="0.35">
      <c r="A3918" s="52" t="s">
        <v>670</v>
      </c>
      <c r="B3918" s="52" t="s">
        <v>37</v>
      </c>
      <c r="C3918" s="52" t="s">
        <v>35</v>
      </c>
      <c r="D3918" s="52" t="s">
        <v>163</v>
      </c>
      <c r="E3918" s="52" t="s">
        <v>580</v>
      </c>
      <c r="F3918" s="52" t="s">
        <v>581</v>
      </c>
      <c r="G3918" s="55" t="s">
        <v>276</v>
      </c>
      <c r="H3918" s="55">
        <v>30.143840000000001</v>
      </c>
      <c r="I3918" s="55">
        <v>-15.822990000000001</v>
      </c>
      <c r="J3918" s="55">
        <v>-27.116209999999999</v>
      </c>
      <c r="K3918" s="55">
        <v>-38.492739999999998</v>
      </c>
      <c r="L3918" s="55">
        <v>0.92882900000000002</v>
      </c>
      <c r="M3918" s="55">
        <v>4.0655710000000003</v>
      </c>
      <c r="N3918" s="55">
        <v>7.4095839999999997</v>
      </c>
    </row>
    <row r="3919" spans="1:14" hidden="1" x14ac:dyDescent="0.35">
      <c r="A3919" s="52" t="s">
        <v>670</v>
      </c>
      <c r="B3919" s="52" t="s">
        <v>37</v>
      </c>
      <c r="C3919" s="52" t="s">
        <v>35</v>
      </c>
      <c r="D3919" s="52" t="s">
        <v>163</v>
      </c>
      <c r="E3919" s="52" t="s">
        <v>580</v>
      </c>
      <c r="F3919" s="52" t="s">
        <v>581</v>
      </c>
      <c r="G3919" s="55" t="s">
        <v>277</v>
      </c>
      <c r="H3919" s="55">
        <v>150.7921</v>
      </c>
      <c r="I3919" s="55">
        <v>86.214569999999995</v>
      </c>
      <c r="J3919" s="55">
        <v>37.354289999999999</v>
      </c>
      <c r="K3919" s="55">
        <v>14.86501</v>
      </c>
      <c r="L3919" s="55">
        <v>11.573980000000001</v>
      </c>
      <c r="M3919" s="55">
        <v>0</v>
      </c>
      <c r="N3919" s="55">
        <v>0</v>
      </c>
    </row>
    <row r="3920" spans="1:14" hidden="1" x14ac:dyDescent="0.35">
      <c r="A3920" s="52" t="s">
        <v>670</v>
      </c>
      <c r="B3920" s="52" t="s">
        <v>37</v>
      </c>
      <c r="C3920" s="52" t="s">
        <v>35</v>
      </c>
      <c r="D3920" s="52" t="s">
        <v>163</v>
      </c>
      <c r="E3920" s="52" t="s">
        <v>580</v>
      </c>
      <c r="F3920" s="52" t="s">
        <v>581</v>
      </c>
      <c r="G3920" s="55" t="s">
        <v>278</v>
      </c>
      <c r="H3920" s="55">
        <v>19.64837</v>
      </c>
      <c r="I3920" s="55">
        <v>16.987780000000001</v>
      </c>
      <c r="J3920" s="55">
        <v>15.41498</v>
      </c>
      <c r="K3920" s="55">
        <v>16.461020000000001</v>
      </c>
      <c r="L3920" s="55">
        <v>8.918844</v>
      </c>
      <c r="M3920" s="55">
        <v>0</v>
      </c>
      <c r="N3920" s="55">
        <v>0</v>
      </c>
    </row>
    <row r="3921" spans="1:14" hidden="1" x14ac:dyDescent="0.35">
      <c r="A3921" s="52" t="s">
        <v>670</v>
      </c>
      <c r="B3921" s="52" t="s">
        <v>37</v>
      </c>
      <c r="C3921" s="52" t="s">
        <v>35</v>
      </c>
      <c r="D3921" s="52" t="s">
        <v>163</v>
      </c>
      <c r="E3921" s="52" t="s">
        <v>580</v>
      </c>
      <c r="F3921" s="52" t="s">
        <v>581</v>
      </c>
      <c r="G3921" s="55" t="s">
        <v>279</v>
      </c>
      <c r="H3921" s="55">
        <v>125.706</v>
      </c>
      <c r="I3921" s="55">
        <v>86.606160000000003</v>
      </c>
      <c r="J3921" s="55">
        <v>72.319739999999996</v>
      </c>
      <c r="K3921" s="55">
        <v>67.882059999999996</v>
      </c>
      <c r="L3921" s="55">
        <v>57.259920000000001</v>
      </c>
      <c r="M3921" s="55">
        <v>52.23077</v>
      </c>
      <c r="N3921" s="55">
        <v>43.932839999999999</v>
      </c>
    </row>
    <row r="3922" spans="1:14" hidden="1" x14ac:dyDescent="0.35">
      <c r="A3922" s="52" t="s">
        <v>670</v>
      </c>
      <c r="B3922" s="52" t="s">
        <v>37</v>
      </c>
      <c r="C3922" s="52" t="s">
        <v>35</v>
      </c>
      <c r="D3922" s="52" t="s">
        <v>163</v>
      </c>
      <c r="E3922" s="52" t="s">
        <v>580</v>
      </c>
      <c r="F3922" s="52" t="s">
        <v>26</v>
      </c>
      <c r="G3922" s="55" t="s">
        <v>275</v>
      </c>
      <c r="H3922" s="55">
        <v>-15.250529999999999</v>
      </c>
      <c r="I3922" s="55">
        <v>-13.150449999999999</v>
      </c>
      <c r="J3922" s="55">
        <v>-10.63875</v>
      </c>
      <c r="K3922" s="55">
        <v>-10.337719999999999</v>
      </c>
      <c r="L3922" s="55">
        <v>-8.7590830000000004</v>
      </c>
      <c r="M3922" s="55">
        <v>-8.2754250000000003</v>
      </c>
      <c r="N3922" s="55">
        <v>-6.9597660000000001</v>
      </c>
    </row>
    <row r="3923" spans="1:14" hidden="1" x14ac:dyDescent="0.35">
      <c r="A3923" s="52" t="s">
        <v>670</v>
      </c>
      <c r="B3923" s="52" t="s">
        <v>37</v>
      </c>
      <c r="C3923" s="52" t="s">
        <v>35</v>
      </c>
      <c r="D3923" s="52" t="s">
        <v>163</v>
      </c>
      <c r="E3923" s="52" t="s">
        <v>580</v>
      </c>
      <c r="F3923" s="52" t="s">
        <v>26</v>
      </c>
      <c r="G3923" s="55" t="s">
        <v>276</v>
      </c>
      <c r="H3923" s="55">
        <v>-4.0539399999999999</v>
      </c>
      <c r="I3923" s="55">
        <v>-3.4956879999999999</v>
      </c>
      <c r="J3923" s="55">
        <v>-2.8280189999999998</v>
      </c>
      <c r="K3923" s="55">
        <v>-2.7480020000000001</v>
      </c>
      <c r="L3923" s="55">
        <v>-2.3283610000000001</v>
      </c>
      <c r="M3923" s="55">
        <v>-2.1997979999999999</v>
      </c>
      <c r="N3923" s="55">
        <v>-1.850066</v>
      </c>
    </row>
    <row r="3924" spans="1:14" hidden="1" x14ac:dyDescent="0.35">
      <c r="A3924" s="52" t="s">
        <v>670</v>
      </c>
      <c r="B3924" s="52" t="s">
        <v>37</v>
      </c>
      <c r="C3924" s="52" t="s">
        <v>35</v>
      </c>
      <c r="D3924" s="52" t="s">
        <v>163</v>
      </c>
      <c r="E3924" s="52" t="s">
        <v>580</v>
      </c>
      <c r="F3924" s="52" t="s">
        <v>26</v>
      </c>
      <c r="G3924" s="55" t="s">
        <v>279</v>
      </c>
      <c r="H3924" s="55">
        <v>26.815370000000001</v>
      </c>
      <c r="I3924" s="55">
        <v>22.774920000000002</v>
      </c>
      <c r="J3924" s="55">
        <v>19.037520000000001</v>
      </c>
      <c r="K3924" s="55">
        <v>18.16159</v>
      </c>
      <c r="L3924" s="55">
        <v>15.590490000000001</v>
      </c>
      <c r="M3924" s="55">
        <v>14.077909999999999</v>
      </c>
      <c r="N3924" s="55">
        <v>11.83568</v>
      </c>
    </row>
    <row r="3925" spans="1:14" hidden="1" x14ac:dyDescent="0.35">
      <c r="A3925" s="52" t="s">
        <v>670</v>
      </c>
      <c r="B3925" s="52" t="s">
        <v>37</v>
      </c>
      <c r="C3925" s="52" t="s">
        <v>35</v>
      </c>
      <c r="D3925" s="52" t="s">
        <v>163</v>
      </c>
      <c r="E3925" s="52" t="s">
        <v>583</v>
      </c>
      <c r="F3925" s="52" t="s">
        <v>581</v>
      </c>
      <c r="G3925" s="55" t="s">
        <v>275</v>
      </c>
      <c r="H3925" s="55">
        <v>3.3720590000000001</v>
      </c>
      <c r="I3925" s="55">
        <v>1.5803100000000001</v>
      </c>
      <c r="J3925" s="55">
        <v>2.7881170000000002</v>
      </c>
      <c r="K3925" s="55">
        <v>0.73216150000000002</v>
      </c>
      <c r="L3925" s="55">
        <v>-5.3281700000000001E-2</v>
      </c>
      <c r="M3925" s="55">
        <v>0.50175879999999995</v>
      </c>
      <c r="N3925" s="55">
        <v>0.44122479999999997</v>
      </c>
    </row>
    <row r="3926" spans="1:14" hidden="1" x14ac:dyDescent="0.35">
      <c r="A3926" s="52" t="s">
        <v>670</v>
      </c>
      <c r="B3926" s="52" t="s">
        <v>37</v>
      </c>
      <c r="C3926" s="52" t="s">
        <v>35</v>
      </c>
      <c r="D3926" s="52" t="s">
        <v>163</v>
      </c>
      <c r="E3926" s="52" t="s">
        <v>583</v>
      </c>
      <c r="F3926" s="52" t="s">
        <v>581</v>
      </c>
      <c r="G3926" s="55" t="s">
        <v>276</v>
      </c>
      <c r="H3926" s="55">
        <v>-2.0248430000000002</v>
      </c>
      <c r="I3926" s="55">
        <v>-0.73086039999999997</v>
      </c>
      <c r="J3926" s="55">
        <v>-2.0550280000000001</v>
      </c>
      <c r="K3926" s="55">
        <v>-0.49730419999999997</v>
      </c>
      <c r="L3926" s="55">
        <v>-2.257369E-2</v>
      </c>
      <c r="M3926" s="55">
        <v>8.6137099999999994E-2</v>
      </c>
      <c r="N3926" s="55">
        <v>7.9493300000000003E-2</v>
      </c>
    </row>
    <row r="3927" spans="1:14" hidden="1" x14ac:dyDescent="0.35">
      <c r="A3927" s="52" t="s">
        <v>670</v>
      </c>
      <c r="B3927" s="52" t="s">
        <v>37</v>
      </c>
      <c r="C3927" s="52" t="s">
        <v>35</v>
      </c>
      <c r="D3927" s="52" t="s">
        <v>163</v>
      </c>
      <c r="E3927" s="52" t="s">
        <v>583</v>
      </c>
      <c r="F3927" s="52" t="s">
        <v>581</v>
      </c>
      <c r="G3927" s="55" t="s">
        <v>277</v>
      </c>
      <c r="H3927" s="55">
        <v>1.3860479999999999</v>
      </c>
      <c r="I3927" s="55">
        <v>0</v>
      </c>
      <c r="J3927" s="55">
        <v>0</v>
      </c>
      <c r="K3927" s="55">
        <v>0.4249059</v>
      </c>
      <c r="L3927" s="55">
        <v>0.75823839999999998</v>
      </c>
      <c r="M3927" s="55">
        <v>0</v>
      </c>
      <c r="N3927" s="55">
        <v>0</v>
      </c>
    </row>
    <row r="3928" spans="1:14" hidden="1" x14ac:dyDescent="0.35">
      <c r="A3928" s="52" t="s">
        <v>670</v>
      </c>
      <c r="B3928" s="52" t="s">
        <v>37</v>
      </c>
      <c r="C3928" s="52" t="s">
        <v>35</v>
      </c>
      <c r="D3928" s="52" t="s">
        <v>163</v>
      </c>
      <c r="E3928" s="52" t="s">
        <v>583</v>
      </c>
      <c r="F3928" s="52" t="s">
        <v>581</v>
      </c>
      <c r="G3928" s="55" t="s">
        <v>278</v>
      </c>
      <c r="H3928" s="55">
        <v>0</v>
      </c>
      <c r="I3928" s="55"/>
      <c r="J3928" s="55">
        <v>0</v>
      </c>
      <c r="K3928" s="55">
        <v>1.5744000000000001E-2</v>
      </c>
      <c r="L3928" s="55">
        <v>0</v>
      </c>
      <c r="M3928" s="55"/>
      <c r="N3928" s="55"/>
    </row>
    <row r="3929" spans="1:14" hidden="1" x14ac:dyDescent="0.35">
      <c r="A3929" s="52" t="s">
        <v>670</v>
      </c>
      <c r="B3929" s="52" t="s">
        <v>37</v>
      </c>
      <c r="C3929" s="52" t="s">
        <v>35</v>
      </c>
      <c r="D3929" s="52" t="s">
        <v>163</v>
      </c>
      <c r="E3929" s="52" t="s">
        <v>583</v>
      </c>
      <c r="F3929" s="52" t="s">
        <v>581</v>
      </c>
      <c r="G3929" s="55" t="s">
        <v>279</v>
      </c>
      <c r="H3929" s="55">
        <v>0.9209659</v>
      </c>
      <c r="I3929" s="55">
        <v>0.52213969999999998</v>
      </c>
      <c r="J3929" s="55">
        <v>0.42574129999999999</v>
      </c>
      <c r="K3929" s="55">
        <v>0.40741309999999997</v>
      </c>
      <c r="L3929" s="55">
        <v>0.38918160000000002</v>
      </c>
      <c r="M3929" s="55">
        <v>0.3990244</v>
      </c>
      <c r="N3929" s="55">
        <v>0.35144370000000003</v>
      </c>
    </row>
    <row r="3930" spans="1:14" hidden="1" x14ac:dyDescent="0.35">
      <c r="A3930" s="52" t="s">
        <v>670</v>
      </c>
      <c r="B3930" s="52" t="s">
        <v>37</v>
      </c>
      <c r="C3930" s="52" t="s">
        <v>35</v>
      </c>
      <c r="D3930" s="52" t="s">
        <v>163</v>
      </c>
      <c r="E3930" s="52" t="s">
        <v>583</v>
      </c>
      <c r="F3930" s="52" t="s">
        <v>26</v>
      </c>
      <c r="G3930" s="55" t="s">
        <v>275</v>
      </c>
      <c r="H3930" s="55">
        <v>-7.6031989999999994E-2</v>
      </c>
      <c r="I3930" s="55">
        <v>-5.5465E-2</v>
      </c>
      <c r="J3930" s="55">
        <v>-4.3795000000000001E-2</v>
      </c>
      <c r="K3930" s="55">
        <v>-4.3502199999999998E-2</v>
      </c>
      <c r="L3930" s="55">
        <v>-4.2109800000000003E-2</v>
      </c>
      <c r="M3930" s="55">
        <v>-4.4442799999999998E-2</v>
      </c>
      <c r="N3930" s="55">
        <v>-3.9118100000000003E-2</v>
      </c>
    </row>
    <row r="3931" spans="1:14" hidden="1" x14ac:dyDescent="0.35">
      <c r="A3931" s="52" t="s">
        <v>670</v>
      </c>
      <c r="B3931" s="52" t="s">
        <v>37</v>
      </c>
      <c r="C3931" s="52" t="s">
        <v>35</v>
      </c>
      <c r="D3931" s="52" t="s">
        <v>163</v>
      </c>
      <c r="E3931" s="52" t="s">
        <v>583</v>
      </c>
      <c r="F3931" s="52" t="s">
        <v>26</v>
      </c>
      <c r="G3931" s="55" t="s">
        <v>276</v>
      </c>
      <c r="H3931" s="55">
        <v>-2.0211E-2</v>
      </c>
      <c r="I3931" s="55">
        <v>-1.47446E-2</v>
      </c>
      <c r="J3931" s="55">
        <v>-1.16416E-2</v>
      </c>
      <c r="K3931" s="55">
        <v>-1.1564E-2</v>
      </c>
      <c r="L3931" s="55">
        <v>-1.11939E-2</v>
      </c>
      <c r="M3931" s="55">
        <v>-1.1813799999999999E-2</v>
      </c>
      <c r="N3931" s="55">
        <v>-1.0398900000000001E-2</v>
      </c>
    </row>
    <row r="3932" spans="1:14" hidden="1" x14ac:dyDescent="0.35">
      <c r="A3932" s="52" t="s">
        <v>670</v>
      </c>
      <c r="B3932" s="52" t="s">
        <v>37</v>
      </c>
      <c r="C3932" s="52" t="s">
        <v>35</v>
      </c>
      <c r="D3932" s="52" t="s">
        <v>163</v>
      </c>
      <c r="E3932" s="52" t="s">
        <v>583</v>
      </c>
      <c r="F3932" s="52" t="s">
        <v>26</v>
      </c>
      <c r="G3932" s="55" t="s">
        <v>279</v>
      </c>
      <c r="H3932" s="55">
        <v>0.13636200000000001</v>
      </c>
      <c r="I3932" s="55">
        <v>9.78488E-2</v>
      </c>
      <c r="J3932" s="55">
        <v>7.9931390000000005E-2</v>
      </c>
      <c r="K3932" s="55">
        <v>7.7815999999999996E-2</v>
      </c>
      <c r="L3932" s="55">
        <v>7.57192E-2</v>
      </c>
      <c r="M3932" s="55">
        <v>7.6818600000000001E-2</v>
      </c>
      <c r="N3932" s="55">
        <v>6.7601289999999994E-2</v>
      </c>
    </row>
    <row r="3933" spans="1:14" hidden="1" x14ac:dyDescent="0.35">
      <c r="A3933" s="52" t="s">
        <v>670</v>
      </c>
      <c r="B3933" s="52" t="s">
        <v>37</v>
      </c>
      <c r="C3933" s="52" t="s">
        <v>35</v>
      </c>
      <c r="D3933" s="52" t="s">
        <v>39</v>
      </c>
      <c r="E3933" s="52" t="s">
        <v>582</v>
      </c>
      <c r="F3933" s="52" t="s">
        <v>581</v>
      </c>
      <c r="G3933" s="55" t="s">
        <v>275</v>
      </c>
      <c r="H3933" s="55">
        <v>20.006789999999999</v>
      </c>
      <c r="I3933" s="55">
        <v>8.2584119999999999</v>
      </c>
      <c r="J3933" s="55">
        <v>6.6569320000000003</v>
      </c>
      <c r="K3933" s="55">
        <v>6.4076449999999996</v>
      </c>
      <c r="L3933" s="55">
        <v>4.9494600000000002</v>
      </c>
      <c r="M3933" s="55">
        <v>6.1095350000000002</v>
      </c>
      <c r="N3933" s="55">
        <v>5.4140959999999998</v>
      </c>
    </row>
    <row r="3934" spans="1:14" hidden="1" x14ac:dyDescent="0.35">
      <c r="A3934" s="52" t="s">
        <v>670</v>
      </c>
      <c r="B3934" s="52" t="s">
        <v>37</v>
      </c>
      <c r="C3934" s="52" t="s">
        <v>35</v>
      </c>
      <c r="D3934" s="52" t="s">
        <v>39</v>
      </c>
      <c r="E3934" s="52" t="s">
        <v>582</v>
      </c>
      <c r="F3934" s="52" t="s">
        <v>581</v>
      </c>
      <c r="G3934" s="55" t="s">
        <v>276</v>
      </c>
      <c r="H3934" s="55">
        <v>3.4982519999999999</v>
      </c>
      <c r="I3934" s="55">
        <v>0.3020407</v>
      </c>
      <c r="J3934" s="55">
        <v>-0.96132119999999999</v>
      </c>
      <c r="K3934" s="55">
        <v>0.49272470000000002</v>
      </c>
      <c r="L3934" s="55">
        <v>0.65591500000000003</v>
      </c>
      <c r="M3934" s="55">
        <v>1.093037</v>
      </c>
      <c r="N3934" s="55">
        <v>0.73835649999999997</v>
      </c>
    </row>
    <row r="3935" spans="1:14" hidden="1" x14ac:dyDescent="0.35">
      <c r="A3935" s="52" t="s">
        <v>670</v>
      </c>
      <c r="B3935" s="52" t="s">
        <v>37</v>
      </c>
      <c r="C3935" s="52" t="s">
        <v>35</v>
      </c>
      <c r="D3935" s="52" t="s">
        <v>39</v>
      </c>
      <c r="E3935" s="52" t="s">
        <v>582</v>
      </c>
      <c r="F3935" s="52" t="s">
        <v>581</v>
      </c>
      <c r="G3935" s="55" t="s">
        <v>277</v>
      </c>
      <c r="H3935" s="55">
        <v>10.20134</v>
      </c>
      <c r="I3935" s="55">
        <v>1.386927</v>
      </c>
      <c r="J3935" s="55">
        <v>4.5557550000000004</v>
      </c>
      <c r="K3935" s="55">
        <v>2.9919159999999998</v>
      </c>
      <c r="L3935" s="55">
        <v>3.6254559999999998</v>
      </c>
      <c r="M3935" s="55">
        <v>0</v>
      </c>
      <c r="N3935" s="55">
        <v>0</v>
      </c>
    </row>
    <row r="3936" spans="1:14" hidden="1" x14ac:dyDescent="0.35">
      <c r="A3936" s="52" t="s">
        <v>670</v>
      </c>
      <c r="B3936" s="52" t="s">
        <v>37</v>
      </c>
      <c r="C3936" s="52" t="s">
        <v>35</v>
      </c>
      <c r="D3936" s="52" t="s">
        <v>39</v>
      </c>
      <c r="E3936" s="52" t="s">
        <v>582</v>
      </c>
      <c r="F3936" s="52" t="s">
        <v>581</v>
      </c>
      <c r="G3936" s="55" t="s">
        <v>278</v>
      </c>
      <c r="H3936" s="55">
        <v>0</v>
      </c>
      <c r="I3936" s="55"/>
      <c r="J3936" s="55"/>
      <c r="K3936" s="55"/>
      <c r="L3936" s="55"/>
      <c r="M3936" s="55"/>
      <c r="N3936" s="55"/>
    </row>
    <row r="3937" spans="1:14" hidden="1" x14ac:dyDescent="0.35">
      <c r="A3937" s="52" t="s">
        <v>670</v>
      </c>
      <c r="B3937" s="52" t="s">
        <v>37</v>
      </c>
      <c r="C3937" s="52" t="s">
        <v>35</v>
      </c>
      <c r="D3937" s="52" t="s">
        <v>39</v>
      </c>
      <c r="E3937" s="52" t="s">
        <v>582</v>
      </c>
      <c r="F3937" s="52" t="s">
        <v>581</v>
      </c>
      <c r="G3937" s="55" t="s">
        <v>279</v>
      </c>
      <c r="H3937" s="55">
        <v>11.072329999999999</v>
      </c>
      <c r="I3937" s="55">
        <v>6.1174099999999996</v>
      </c>
      <c r="J3937" s="55">
        <v>5.9381560000000002</v>
      </c>
      <c r="K3937" s="55">
        <v>5.9608220000000003</v>
      </c>
      <c r="L3937" s="55">
        <v>5.2288880000000004</v>
      </c>
      <c r="M3937" s="55">
        <v>4.9153330000000004</v>
      </c>
      <c r="N3937" s="55">
        <v>4.1713610000000001</v>
      </c>
    </row>
    <row r="3938" spans="1:14" hidden="1" x14ac:dyDescent="0.35">
      <c r="A3938" s="52" t="s">
        <v>670</v>
      </c>
      <c r="B3938" s="52" t="s">
        <v>37</v>
      </c>
      <c r="C3938" s="52" t="s">
        <v>35</v>
      </c>
      <c r="D3938" s="52" t="s">
        <v>39</v>
      </c>
      <c r="E3938" s="52" t="s">
        <v>582</v>
      </c>
      <c r="F3938" s="52" t="s">
        <v>26</v>
      </c>
      <c r="G3938" s="55" t="s">
        <v>275</v>
      </c>
      <c r="H3938" s="55">
        <v>-0.63624199999999997</v>
      </c>
      <c r="I3938" s="55">
        <v>-0.44664239999999999</v>
      </c>
      <c r="J3938" s="55">
        <v>-0.38870919999999998</v>
      </c>
      <c r="K3938" s="55">
        <v>-0.42330630000000002</v>
      </c>
      <c r="L3938" s="55">
        <v>-0.3703091</v>
      </c>
      <c r="M3938" s="55">
        <v>-0.3913064</v>
      </c>
      <c r="N3938" s="55">
        <v>-0.33196209999999998</v>
      </c>
    </row>
    <row r="3939" spans="1:14" hidden="1" x14ac:dyDescent="0.35">
      <c r="A3939" s="52" t="s">
        <v>670</v>
      </c>
      <c r="B3939" s="52" t="s">
        <v>37</v>
      </c>
      <c r="C3939" s="52" t="s">
        <v>35</v>
      </c>
      <c r="D3939" s="52" t="s">
        <v>39</v>
      </c>
      <c r="E3939" s="52" t="s">
        <v>582</v>
      </c>
      <c r="F3939" s="52" t="s">
        <v>26</v>
      </c>
      <c r="G3939" s="55" t="s">
        <v>276</v>
      </c>
      <c r="H3939" s="55">
        <v>-0.169126</v>
      </c>
      <c r="I3939" s="55">
        <v>-0.1187271</v>
      </c>
      <c r="J3939" s="55">
        <v>-0.10332810000000001</v>
      </c>
      <c r="K3939" s="55">
        <v>-0.1125249</v>
      </c>
      <c r="L3939" s="55">
        <v>-9.8436490000000001E-2</v>
      </c>
      <c r="M3939" s="55">
        <v>-0.1040175</v>
      </c>
      <c r="N3939" s="55">
        <v>-8.8242399999999999E-2</v>
      </c>
    </row>
    <row r="3940" spans="1:14" hidden="1" x14ac:dyDescent="0.35">
      <c r="A3940" s="52" t="s">
        <v>670</v>
      </c>
      <c r="B3940" s="52" t="s">
        <v>37</v>
      </c>
      <c r="C3940" s="52" t="s">
        <v>35</v>
      </c>
      <c r="D3940" s="52" t="s">
        <v>39</v>
      </c>
      <c r="E3940" s="52" t="s">
        <v>582</v>
      </c>
      <c r="F3940" s="52" t="s">
        <v>26</v>
      </c>
      <c r="G3940" s="55" t="s">
        <v>279</v>
      </c>
      <c r="H3940" s="55">
        <v>1.8968069999999999</v>
      </c>
      <c r="I3940" s="55">
        <v>1.263503</v>
      </c>
      <c r="J3940" s="55">
        <v>1.2297389999999999</v>
      </c>
      <c r="K3940" s="55">
        <v>1.254254</v>
      </c>
      <c r="L3940" s="55">
        <v>1.1207579999999999</v>
      </c>
      <c r="M3940" s="55">
        <v>1.040351</v>
      </c>
      <c r="N3940" s="55">
        <v>0.88216419999999995</v>
      </c>
    </row>
    <row r="3941" spans="1:14" hidden="1" x14ac:dyDescent="0.35">
      <c r="A3941" s="52" t="s">
        <v>670</v>
      </c>
      <c r="B3941" s="52" t="s">
        <v>37</v>
      </c>
      <c r="C3941" s="52" t="s">
        <v>35</v>
      </c>
      <c r="D3941" s="52" t="s">
        <v>39</v>
      </c>
      <c r="E3941" s="52" t="s">
        <v>580</v>
      </c>
      <c r="F3941" s="52" t="s">
        <v>581</v>
      </c>
      <c r="G3941" s="55" t="s">
        <v>275</v>
      </c>
      <c r="H3941" s="55">
        <v>11.86481</v>
      </c>
      <c r="I3941" s="55">
        <v>3.3226209999999998</v>
      </c>
      <c r="J3941" s="55">
        <v>2.9079069999999998</v>
      </c>
      <c r="K3941" s="55">
        <v>3.1501549999999998</v>
      </c>
      <c r="L3941" s="55">
        <v>1.0945739999999999</v>
      </c>
      <c r="M3941" s="55">
        <v>0.74186810000000003</v>
      </c>
      <c r="N3941" s="55">
        <v>-0.7386026</v>
      </c>
    </row>
    <row r="3942" spans="1:14" hidden="1" x14ac:dyDescent="0.35">
      <c r="A3942" s="52" t="s">
        <v>670</v>
      </c>
      <c r="B3942" s="52" t="s">
        <v>37</v>
      </c>
      <c r="C3942" s="52" t="s">
        <v>35</v>
      </c>
      <c r="D3942" s="52" t="s">
        <v>39</v>
      </c>
      <c r="E3942" s="52" t="s">
        <v>580</v>
      </c>
      <c r="F3942" s="52" t="s">
        <v>581</v>
      </c>
      <c r="G3942" s="55" t="s">
        <v>276</v>
      </c>
      <c r="H3942" s="55">
        <v>1.7983769999999999</v>
      </c>
      <c r="I3942" s="55">
        <v>8.6224190000000006E-2</v>
      </c>
      <c r="J3942" s="55">
        <v>-0.29940699999999998</v>
      </c>
      <c r="K3942" s="55">
        <v>-0.63763840000000005</v>
      </c>
      <c r="L3942" s="55">
        <v>0.82803640000000001</v>
      </c>
      <c r="M3942" s="55">
        <v>1.0554939999999999</v>
      </c>
      <c r="N3942" s="55">
        <v>1.2619199999999999</v>
      </c>
    </row>
    <row r="3943" spans="1:14" hidden="1" x14ac:dyDescent="0.35">
      <c r="A3943" s="52" t="s">
        <v>670</v>
      </c>
      <c r="B3943" s="52" t="s">
        <v>37</v>
      </c>
      <c r="C3943" s="52" t="s">
        <v>35</v>
      </c>
      <c r="D3943" s="52" t="s">
        <v>39</v>
      </c>
      <c r="E3943" s="52" t="s">
        <v>580</v>
      </c>
      <c r="F3943" s="52" t="s">
        <v>581</v>
      </c>
      <c r="G3943" s="55" t="s">
        <v>277</v>
      </c>
      <c r="H3943" s="55">
        <v>0</v>
      </c>
      <c r="I3943" s="55">
        <v>0</v>
      </c>
      <c r="J3943" s="55">
        <v>1.068036</v>
      </c>
      <c r="K3943" s="55">
        <v>0.4513144</v>
      </c>
      <c r="L3943" s="55">
        <v>0.82533469999999998</v>
      </c>
      <c r="M3943" s="55">
        <v>1.1714599999999999</v>
      </c>
      <c r="N3943" s="55">
        <v>2.6114839999999999</v>
      </c>
    </row>
    <row r="3944" spans="1:14" hidden="1" x14ac:dyDescent="0.35">
      <c r="A3944" s="52" t="s">
        <v>670</v>
      </c>
      <c r="B3944" s="52" t="s">
        <v>37</v>
      </c>
      <c r="C3944" s="52" t="s">
        <v>35</v>
      </c>
      <c r="D3944" s="52" t="s">
        <v>39</v>
      </c>
      <c r="E3944" s="52" t="s">
        <v>580</v>
      </c>
      <c r="F3944" s="52" t="s">
        <v>581</v>
      </c>
      <c r="G3944" s="55" t="s">
        <v>278</v>
      </c>
      <c r="H3944" s="55">
        <v>0</v>
      </c>
      <c r="I3944" s="55"/>
      <c r="J3944" s="55">
        <v>0</v>
      </c>
      <c r="K3944" s="55">
        <v>1.706615</v>
      </c>
      <c r="L3944" s="55">
        <v>2.3026659999999999</v>
      </c>
      <c r="M3944" s="55">
        <v>3.9721139999999999</v>
      </c>
      <c r="N3944" s="55">
        <v>6.5980470000000002</v>
      </c>
    </row>
    <row r="3945" spans="1:14" hidden="1" x14ac:dyDescent="0.35">
      <c r="A3945" s="52" t="s">
        <v>670</v>
      </c>
      <c r="B3945" s="52" t="s">
        <v>37</v>
      </c>
      <c r="C3945" s="52" t="s">
        <v>35</v>
      </c>
      <c r="D3945" s="52" t="s">
        <v>39</v>
      </c>
      <c r="E3945" s="52" t="s">
        <v>580</v>
      </c>
      <c r="F3945" s="52" t="s">
        <v>581</v>
      </c>
      <c r="G3945" s="55" t="s">
        <v>279</v>
      </c>
      <c r="H3945" s="55">
        <v>4.1146859999999998</v>
      </c>
      <c r="I3945" s="55">
        <v>1.8704480000000001</v>
      </c>
      <c r="J3945" s="55">
        <v>1.9066730000000001</v>
      </c>
      <c r="K3945" s="55">
        <v>2.4915799999999999</v>
      </c>
      <c r="L3945" s="55">
        <v>2.4788929999999998</v>
      </c>
      <c r="M3945" s="55">
        <v>4.0596360000000002</v>
      </c>
      <c r="N3945" s="55">
        <v>5.6258759999999999</v>
      </c>
    </row>
    <row r="3946" spans="1:14" hidden="1" x14ac:dyDescent="0.35">
      <c r="A3946" s="52" t="s">
        <v>670</v>
      </c>
      <c r="B3946" s="52" t="s">
        <v>37</v>
      </c>
      <c r="C3946" s="52" t="s">
        <v>35</v>
      </c>
      <c r="D3946" s="52" t="s">
        <v>39</v>
      </c>
      <c r="E3946" s="52" t="s">
        <v>580</v>
      </c>
      <c r="F3946" s="52" t="s">
        <v>26</v>
      </c>
      <c r="G3946" s="55" t="s">
        <v>275</v>
      </c>
      <c r="H3946" s="55">
        <v>-0.11329500000000001</v>
      </c>
      <c r="I3946" s="55">
        <v>-6.6475699999999999E-2</v>
      </c>
      <c r="J3946" s="55">
        <v>-5.83727E-2</v>
      </c>
      <c r="K3946" s="55">
        <v>-8.4455299999999997E-2</v>
      </c>
      <c r="L3946" s="55">
        <v>-8.1091289999999996E-2</v>
      </c>
      <c r="M3946" s="55">
        <v>-0.15822439999999999</v>
      </c>
      <c r="N3946" s="55">
        <v>-0.2185366</v>
      </c>
    </row>
    <row r="3947" spans="1:14" hidden="1" x14ac:dyDescent="0.35">
      <c r="A3947" s="52" t="s">
        <v>670</v>
      </c>
      <c r="B3947" s="52" t="s">
        <v>37</v>
      </c>
      <c r="C3947" s="52" t="s">
        <v>35</v>
      </c>
      <c r="D3947" s="52" t="s">
        <v>39</v>
      </c>
      <c r="E3947" s="52" t="s">
        <v>580</v>
      </c>
      <c r="F3947" s="52" t="s">
        <v>26</v>
      </c>
      <c r="G3947" s="55" t="s">
        <v>276</v>
      </c>
      <c r="H3947" s="55">
        <v>-3.0116E-2</v>
      </c>
      <c r="I3947" s="55">
        <v>-1.7670499999999999E-2</v>
      </c>
      <c r="J3947" s="55">
        <v>-1.5517400000000001E-2</v>
      </c>
      <c r="K3947" s="55">
        <v>-2.24491E-2</v>
      </c>
      <c r="L3947" s="55">
        <v>-2.1557E-2</v>
      </c>
      <c r="M3947" s="55">
        <v>-4.2059600000000003E-2</v>
      </c>
      <c r="N3947" s="55">
        <v>-5.8092400000000002E-2</v>
      </c>
    </row>
    <row r="3948" spans="1:14" hidden="1" x14ac:dyDescent="0.35">
      <c r="A3948" s="52" t="s">
        <v>670</v>
      </c>
      <c r="B3948" s="52" t="s">
        <v>37</v>
      </c>
      <c r="C3948" s="52" t="s">
        <v>35</v>
      </c>
      <c r="D3948" s="52" t="s">
        <v>39</v>
      </c>
      <c r="E3948" s="52" t="s">
        <v>580</v>
      </c>
      <c r="F3948" s="52" t="s">
        <v>26</v>
      </c>
      <c r="G3948" s="55" t="s">
        <v>279</v>
      </c>
      <c r="H3948" s="55">
        <v>0.408833</v>
      </c>
      <c r="I3948" s="55">
        <v>0.22349240000000001</v>
      </c>
      <c r="J3948" s="55">
        <v>0.2283762</v>
      </c>
      <c r="K3948" s="55">
        <v>0.30289329999999998</v>
      </c>
      <c r="L3948" s="55">
        <v>0.30706909999999998</v>
      </c>
      <c r="M3948" s="55">
        <v>0.49510959999999998</v>
      </c>
      <c r="N3948" s="55">
        <v>0.68488349999999998</v>
      </c>
    </row>
    <row r="3949" spans="1:14" hidden="1" x14ac:dyDescent="0.35">
      <c r="A3949" s="52" t="s">
        <v>670</v>
      </c>
      <c r="B3949" s="52" t="s">
        <v>37</v>
      </c>
      <c r="C3949" s="52" t="s">
        <v>35</v>
      </c>
      <c r="D3949" s="52" t="s">
        <v>38</v>
      </c>
      <c r="E3949" s="52" t="s">
        <v>584</v>
      </c>
      <c r="F3949" s="52" t="s">
        <v>581</v>
      </c>
      <c r="G3949" s="55" t="s">
        <v>275</v>
      </c>
      <c r="H3949" s="55">
        <v>15.621029999999999</v>
      </c>
      <c r="I3949" s="55">
        <v>0.63322140000000005</v>
      </c>
      <c r="J3949" s="55">
        <v>1.0725009999999999</v>
      </c>
      <c r="K3949" s="55">
        <v>1.4623740000000001</v>
      </c>
      <c r="L3949" s="55">
        <v>1.8533010000000001</v>
      </c>
      <c r="M3949" s="55">
        <v>1.28786</v>
      </c>
      <c r="N3949" s="55">
        <v>1.011215</v>
      </c>
    </row>
    <row r="3950" spans="1:14" hidden="1" x14ac:dyDescent="0.35">
      <c r="A3950" s="52" t="s">
        <v>670</v>
      </c>
      <c r="B3950" s="52" t="s">
        <v>37</v>
      </c>
      <c r="C3950" s="52" t="s">
        <v>35</v>
      </c>
      <c r="D3950" s="52" t="s">
        <v>38</v>
      </c>
      <c r="E3950" s="52" t="s">
        <v>584</v>
      </c>
      <c r="F3950" s="52" t="s">
        <v>581</v>
      </c>
      <c r="G3950" s="55" t="s">
        <v>276</v>
      </c>
      <c r="H3950" s="55">
        <v>6.0296349999999999</v>
      </c>
      <c r="I3950" s="55">
        <v>1.1235490000000001E-2</v>
      </c>
      <c r="J3950" s="55">
        <v>-0.1090928</v>
      </c>
      <c r="K3950" s="55">
        <v>-1.251015</v>
      </c>
      <c r="L3950" s="55">
        <v>-1.781787</v>
      </c>
      <c r="M3950" s="55">
        <v>-1.009363</v>
      </c>
      <c r="N3950" s="55">
        <v>-0.79848359999999996</v>
      </c>
    </row>
    <row r="3951" spans="1:14" hidden="1" x14ac:dyDescent="0.35">
      <c r="A3951" s="52" t="s">
        <v>670</v>
      </c>
      <c r="B3951" s="52" t="s">
        <v>37</v>
      </c>
      <c r="C3951" s="52" t="s">
        <v>35</v>
      </c>
      <c r="D3951" s="52" t="s">
        <v>38</v>
      </c>
      <c r="E3951" s="52" t="s">
        <v>584</v>
      </c>
      <c r="F3951" s="52" t="s">
        <v>581</v>
      </c>
      <c r="G3951" s="55" t="s">
        <v>277</v>
      </c>
      <c r="H3951" s="55">
        <v>26.69548</v>
      </c>
      <c r="I3951" s="55">
        <v>16.846900000000002</v>
      </c>
      <c r="J3951" s="55">
        <v>13.536239999999999</v>
      </c>
      <c r="K3951" s="55">
        <v>11.625859999999999</v>
      </c>
      <c r="L3951" s="55">
        <v>9.6201919999999994</v>
      </c>
      <c r="M3951" s="55">
        <v>7.7862010000000001</v>
      </c>
      <c r="N3951" s="55">
        <v>6.4963410000000001</v>
      </c>
    </row>
    <row r="3952" spans="1:14" hidden="1" x14ac:dyDescent="0.35">
      <c r="A3952" s="52" t="s">
        <v>670</v>
      </c>
      <c r="B3952" s="52" t="s">
        <v>37</v>
      </c>
      <c r="C3952" s="52" t="s">
        <v>35</v>
      </c>
      <c r="D3952" s="52" t="s">
        <v>38</v>
      </c>
      <c r="E3952" s="52" t="s">
        <v>584</v>
      </c>
      <c r="F3952" s="52" t="s">
        <v>581</v>
      </c>
      <c r="G3952" s="55" t="s">
        <v>279</v>
      </c>
      <c r="H3952" s="55">
        <v>10.53532</v>
      </c>
      <c r="I3952" s="55">
        <v>5.9439339999999996</v>
      </c>
      <c r="J3952" s="55">
        <v>4.788284</v>
      </c>
      <c r="K3952" s="55">
        <v>4.1981739999999999</v>
      </c>
      <c r="L3952" s="55">
        <v>3.6372369999999998</v>
      </c>
      <c r="M3952" s="55">
        <v>3.0135749999999999</v>
      </c>
      <c r="N3952" s="55">
        <v>2.4967090000000001</v>
      </c>
    </row>
    <row r="3953" spans="1:14" hidden="1" x14ac:dyDescent="0.35">
      <c r="A3953" s="52" t="s">
        <v>670</v>
      </c>
      <c r="B3953" s="52" t="s">
        <v>37</v>
      </c>
      <c r="C3953" s="52" t="s">
        <v>35</v>
      </c>
      <c r="D3953" s="52" t="s">
        <v>38</v>
      </c>
      <c r="E3953" s="52" t="s">
        <v>584</v>
      </c>
      <c r="F3953" s="52" t="s">
        <v>26</v>
      </c>
      <c r="G3953" s="55" t="s">
        <v>275</v>
      </c>
      <c r="H3953" s="55">
        <v>-6.9334000000000007E-2</v>
      </c>
      <c r="I3953" s="55">
        <v>0.1797127</v>
      </c>
      <c r="J3953" s="55">
        <v>0.16066639999999999</v>
      </c>
      <c r="K3953" s="55">
        <v>0.1210073</v>
      </c>
      <c r="L3953" s="55">
        <v>9.1945499999999999E-2</v>
      </c>
      <c r="M3953" s="55">
        <v>7.4165400000000006E-2</v>
      </c>
      <c r="N3953" s="55">
        <v>5.9750499999999998E-2</v>
      </c>
    </row>
    <row r="3954" spans="1:14" hidden="1" x14ac:dyDescent="0.35">
      <c r="A3954" s="52" t="s">
        <v>670</v>
      </c>
      <c r="B3954" s="52" t="s">
        <v>37</v>
      </c>
      <c r="C3954" s="52" t="s">
        <v>35</v>
      </c>
      <c r="D3954" s="52" t="s">
        <v>38</v>
      </c>
      <c r="E3954" s="52" t="s">
        <v>584</v>
      </c>
      <c r="F3954" s="52" t="s">
        <v>26</v>
      </c>
      <c r="G3954" s="55" t="s">
        <v>276</v>
      </c>
      <c r="H3954" s="55">
        <v>-1.8429999999999998E-2</v>
      </c>
      <c r="I3954" s="55">
        <v>4.7771300000000003E-2</v>
      </c>
      <c r="J3954" s="55">
        <v>4.27079E-2</v>
      </c>
      <c r="K3954" s="55">
        <v>3.2166699999999999E-2</v>
      </c>
      <c r="L3954" s="55">
        <v>2.4441299999999999E-2</v>
      </c>
      <c r="M3954" s="55">
        <v>1.9714599999999999E-2</v>
      </c>
      <c r="N3954" s="55">
        <v>1.5883100000000001E-2</v>
      </c>
    </row>
    <row r="3955" spans="1:14" hidden="1" x14ac:dyDescent="0.35">
      <c r="A3955" s="52" t="s">
        <v>670</v>
      </c>
      <c r="B3955" s="52" t="s">
        <v>37</v>
      </c>
      <c r="C3955" s="52" t="s">
        <v>35</v>
      </c>
      <c r="D3955" s="52" t="s">
        <v>38</v>
      </c>
      <c r="E3955" s="52" t="s">
        <v>584</v>
      </c>
      <c r="F3955" s="52" t="s">
        <v>26</v>
      </c>
      <c r="G3955" s="55" t="s">
        <v>279</v>
      </c>
      <c r="H3955" s="55">
        <v>0.31329699999999999</v>
      </c>
      <c r="I3955" s="55">
        <v>0.25301639999999997</v>
      </c>
      <c r="J3955" s="55">
        <v>0.2005972</v>
      </c>
      <c r="K3955" s="55">
        <v>0.17267370000000001</v>
      </c>
      <c r="L3955" s="55">
        <v>0.14660210000000001</v>
      </c>
      <c r="M3955" s="55">
        <v>0.1182401</v>
      </c>
      <c r="N3955" s="55">
        <v>9.5354499999999995E-2</v>
      </c>
    </row>
    <row r="3956" spans="1:14" hidden="1" x14ac:dyDescent="0.35">
      <c r="A3956" s="52" t="s">
        <v>670</v>
      </c>
      <c r="B3956" s="52" t="s">
        <v>37</v>
      </c>
      <c r="C3956" s="52" t="s">
        <v>35</v>
      </c>
      <c r="D3956" s="52" t="s">
        <v>164</v>
      </c>
      <c r="E3956" s="52" t="s">
        <v>589</v>
      </c>
      <c r="F3956" s="52" t="s">
        <v>581</v>
      </c>
      <c r="G3956" s="55" t="s">
        <v>275</v>
      </c>
      <c r="H3956" s="55">
        <v>-1.3485799999999999</v>
      </c>
      <c r="I3956" s="55">
        <v>0.2610344</v>
      </c>
      <c r="J3956" s="55">
        <v>0.16934170000000001</v>
      </c>
      <c r="K3956" s="55">
        <v>0.12707840000000001</v>
      </c>
      <c r="L3956" s="55">
        <v>-0.93809750000000003</v>
      </c>
      <c r="M3956" s="55">
        <v>0.1902015</v>
      </c>
      <c r="N3956" s="55">
        <v>0.14674570000000001</v>
      </c>
    </row>
    <row r="3957" spans="1:14" hidden="1" x14ac:dyDescent="0.35">
      <c r="A3957" s="52" t="s">
        <v>670</v>
      </c>
      <c r="B3957" s="52" t="s">
        <v>37</v>
      </c>
      <c r="C3957" s="52" t="s">
        <v>35</v>
      </c>
      <c r="D3957" s="52" t="s">
        <v>164</v>
      </c>
      <c r="E3957" s="52" t="s">
        <v>589</v>
      </c>
      <c r="F3957" s="52" t="s">
        <v>581</v>
      </c>
      <c r="G3957" s="55" t="s">
        <v>276</v>
      </c>
      <c r="H3957" s="55">
        <v>-5.9124000000000003E-2</v>
      </c>
      <c r="I3957" s="55">
        <v>9.5166009999999995E-3</v>
      </c>
      <c r="J3957" s="55">
        <v>-2.8827990000000001E-3</v>
      </c>
      <c r="K3957" s="55">
        <v>-4.5380990000000003E-3</v>
      </c>
      <c r="L3957" s="55">
        <v>-0.12385060000000001</v>
      </c>
      <c r="M3957" s="55">
        <v>-5.1980009999999998E-3</v>
      </c>
      <c r="N3957" s="55">
        <v>-5.5984010000000002E-3</v>
      </c>
    </row>
    <row r="3958" spans="1:14" hidden="1" x14ac:dyDescent="0.35">
      <c r="A3958" s="52" t="s">
        <v>670</v>
      </c>
      <c r="B3958" s="52" t="s">
        <v>37</v>
      </c>
      <c r="C3958" s="52" t="s">
        <v>35</v>
      </c>
      <c r="D3958" s="52" t="s">
        <v>164</v>
      </c>
      <c r="E3958" s="52" t="s">
        <v>589</v>
      </c>
      <c r="F3958" s="52" t="s">
        <v>581</v>
      </c>
      <c r="G3958" s="55" t="s">
        <v>277</v>
      </c>
      <c r="H3958" s="55">
        <v>0.356653</v>
      </c>
      <c r="I3958" s="55">
        <v>0</v>
      </c>
      <c r="J3958" s="55"/>
      <c r="K3958" s="55">
        <v>0</v>
      </c>
      <c r="L3958" s="55">
        <v>0.62010200000000004</v>
      </c>
      <c r="M3958" s="55">
        <v>0</v>
      </c>
      <c r="N3958" s="55">
        <v>0</v>
      </c>
    </row>
    <row r="3959" spans="1:14" hidden="1" x14ac:dyDescent="0.35">
      <c r="A3959" s="52" t="s">
        <v>670</v>
      </c>
      <c r="B3959" s="52" t="s">
        <v>37</v>
      </c>
      <c r="C3959" s="52" t="s">
        <v>35</v>
      </c>
      <c r="D3959" s="52" t="s">
        <v>164</v>
      </c>
      <c r="E3959" s="52" t="s">
        <v>589</v>
      </c>
      <c r="F3959" s="52" t="s">
        <v>581</v>
      </c>
      <c r="G3959" s="55" t="s">
        <v>278</v>
      </c>
      <c r="H3959" s="55">
        <v>1.05105</v>
      </c>
      <c r="I3959" s="55">
        <v>0</v>
      </c>
      <c r="J3959" s="55"/>
      <c r="K3959" s="55">
        <v>0</v>
      </c>
      <c r="L3959" s="55">
        <v>0.69086590000000003</v>
      </c>
      <c r="M3959" s="55">
        <v>0</v>
      </c>
      <c r="N3959" s="55"/>
    </row>
    <row r="3960" spans="1:14" hidden="1" x14ac:dyDescent="0.35">
      <c r="A3960" s="52" t="s">
        <v>670</v>
      </c>
      <c r="B3960" s="52" t="s">
        <v>37</v>
      </c>
      <c r="C3960" s="52" t="s">
        <v>35</v>
      </c>
      <c r="D3960" s="52" t="s">
        <v>164</v>
      </c>
      <c r="E3960" s="52" t="s">
        <v>589</v>
      </c>
      <c r="F3960" s="52" t="s">
        <v>581</v>
      </c>
      <c r="G3960" s="55" t="s">
        <v>279</v>
      </c>
      <c r="H3960" s="55">
        <v>0</v>
      </c>
      <c r="I3960" s="55">
        <v>0.27848529999999999</v>
      </c>
      <c r="J3960" s="55">
        <v>0.15917110000000001</v>
      </c>
      <c r="K3960" s="55">
        <v>0.12350410000000001</v>
      </c>
      <c r="L3960" s="55">
        <v>0.203514</v>
      </c>
      <c r="M3960" s="55">
        <v>0.2051992</v>
      </c>
      <c r="N3960" s="55">
        <v>0.15678310000000001</v>
      </c>
    </row>
    <row r="3961" spans="1:14" hidden="1" x14ac:dyDescent="0.35">
      <c r="A3961" s="52" t="s">
        <v>670</v>
      </c>
      <c r="B3961" s="52" t="s">
        <v>37</v>
      </c>
      <c r="C3961" s="52" t="s">
        <v>35</v>
      </c>
      <c r="D3961" s="52" t="s">
        <v>164</v>
      </c>
      <c r="E3961" s="52" t="s">
        <v>589</v>
      </c>
      <c r="F3961" s="52" t="s">
        <v>26</v>
      </c>
      <c r="G3961" s="55" t="s">
        <v>275</v>
      </c>
      <c r="H3961" s="55">
        <v>0</v>
      </c>
      <c r="I3961" s="55">
        <v>2.1253999999999999E-2</v>
      </c>
      <c r="J3961" s="55">
        <v>1.8179799999999999E-2</v>
      </c>
      <c r="K3961" s="55">
        <v>1.1573E-2</v>
      </c>
      <c r="L3961" s="55">
        <v>2.5400300000000001E-2</v>
      </c>
      <c r="M3961" s="55">
        <v>1.20436E-2</v>
      </c>
      <c r="N3961" s="55">
        <v>9.0831000000000002E-3</v>
      </c>
    </row>
    <row r="3962" spans="1:14" hidden="1" x14ac:dyDescent="0.35">
      <c r="A3962" s="52" t="s">
        <v>670</v>
      </c>
      <c r="B3962" s="52" t="s">
        <v>37</v>
      </c>
      <c r="C3962" s="52" t="s">
        <v>35</v>
      </c>
      <c r="D3962" s="52" t="s">
        <v>164</v>
      </c>
      <c r="E3962" s="52" t="s">
        <v>589</v>
      </c>
      <c r="F3962" s="52" t="s">
        <v>26</v>
      </c>
      <c r="G3962" s="55" t="s">
        <v>276</v>
      </c>
      <c r="H3962" s="55">
        <v>0</v>
      </c>
      <c r="I3962" s="55">
        <v>5.6498E-3</v>
      </c>
      <c r="J3962" s="55">
        <v>4.8325E-3</v>
      </c>
      <c r="K3962" s="55">
        <v>3.0766000000000001E-3</v>
      </c>
      <c r="L3962" s="55">
        <v>6.7523000000000001E-3</v>
      </c>
      <c r="M3962" s="55">
        <v>3.2016000000000002E-3</v>
      </c>
      <c r="N3962" s="55">
        <v>2.4145999999999998E-3</v>
      </c>
    </row>
    <row r="3963" spans="1:14" hidden="1" x14ac:dyDescent="0.35">
      <c r="A3963" s="52" t="s">
        <v>670</v>
      </c>
      <c r="B3963" s="52" t="s">
        <v>37</v>
      </c>
      <c r="C3963" s="52" t="s">
        <v>35</v>
      </c>
      <c r="D3963" s="52" t="s">
        <v>164</v>
      </c>
      <c r="E3963" s="52" t="s">
        <v>589</v>
      </c>
      <c r="F3963" s="52" t="s">
        <v>26</v>
      </c>
      <c r="G3963" s="55" t="s">
        <v>279</v>
      </c>
      <c r="H3963" s="55">
        <v>0</v>
      </c>
      <c r="I3963" s="55">
        <v>0.1427311</v>
      </c>
      <c r="J3963" s="55">
        <v>8.2660789999999998E-2</v>
      </c>
      <c r="K3963" s="55">
        <v>6.4816209999999999E-2</v>
      </c>
      <c r="L3963" s="55">
        <v>0.10968550000000001</v>
      </c>
      <c r="M3963" s="55">
        <v>0.1065629</v>
      </c>
      <c r="N3963" s="55">
        <v>8.1415799999999997E-2</v>
      </c>
    </row>
    <row r="3964" spans="1:14" hidden="1" x14ac:dyDescent="0.35">
      <c r="A3964" s="52" t="s">
        <v>231</v>
      </c>
      <c r="B3964" s="52" t="s">
        <v>37</v>
      </c>
      <c r="C3964" s="52" t="s">
        <v>35</v>
      </c>
      <c r="D3964" s="52" t="s">
        <v>39</v>
      </c>
      <c r="E3964" s="52" t="s">
        <v>580</v>
      </c>
      <c r="F3964" s="52" t="s">
        <v>581</v>
      </c>
      <c r="G3964" s="55" t="s">
        <v>275</v>
      </c>
      <c r="H3964" s="55">
        <v>-86.504249999999999</v>
      </c>
      <c r="I3964" s="55">
        <v>-18.298159999999999</v>
      </c>
      <c r="J3964" s="55">
        <v>59.152430000000003</v>
      </c>
      <c r="K3964" s="55">
        <v>90.154110000000003</v>
      </c>
      <c r="L3964" s="55">
        <v>100.0684</v>
      </c>
      <c r="M3964" s="55">
        <v>69.230080000000001</v>
      </c>
      <c r="N3964" s="55">
        <v>56.02863</v>
      </c>
    </row>
    <row r="3965" spans="1:14" hidden="1" x14ac:dyDescent="0.35">
      <c r="A3965" s="52" t="s">
        <v>231</v>
      </c>
      <c r="B3965" s="52" t="s">
        <v>37</v>
      </c>
      <c r="C3965" s="52" t="s">
        <v>35</v>
      </c>
      <c r="D3965" s="52" t="s">
        <v>39</v>
      </c>
      <c r="E3965" s="52" t="s">
        <v>580</v>
      </c>
      <c r="F3965" s="52" t="s">
        <v>581</v>
      </c>
      <c r="G3965" s="55" t="s">
        <v>276</v>
      </c>
      <c r="H3965" s="55">
        <v>35.767479999999999</v>
      </c>
      <c r="I3965" s="55">
        <v>3.6395879999999998</v>
      </c>
      <c r="J3965" s="55">
        <v>6.7339070000000003</v>
      </c>
      <c r="K3965" s="55">
        <v>-2.0263360000000001</v>
      </c>
      <c r="L3965" s="55">
        <v>-9.4842049999999993</v>
      </c>
      <c r="M3965" s="55">
        <v>4.9694000000000003</v>
      </c>
      <c r="N3965" s="55">
        <v>10.529820000000001</v>
      </c>
    </row>
    <row r="3966" spans="1:14" hidden="1" x14ac:dyDescent="0.35">
      <c r="A3966" s="52" t="s">
        <v>231</v>
      </c>
      <c r="B3966" s="52" t="s">
        <v>37</v>
      </c>
      <c r="C3966" s="52" t="s">
        <v>35</v>
      </c>
      <c r="D3966" s="52" t="s">
        <v>39</v>
      </c>
      <c r="E3966" s="52" t="s">
        <v>580</v>
      </c>
      <c r="F3966" s="52" t="s">
        <v>581</v>
      </c>
      <c r="G3966" s="55" t="s">
        <v>277</v>
      </c>
      <c r="H3966" s="55">
        <v>227.9032</v>
      </c>
      <c r="I3966" s="55">
        <v>74.506900000000002</v>
      </c>
      <c r="J3966" s="55">
        <v>31.420349999999999</v>
      </c>
      <c r="K3966" s="55">
        <v>11.975210000000001</v>
      </c>
      <c r="L3966" s="55">
        <v>10.77351</v>
      </c>
      <c r="M3966" s="55">
        <v>17.421430000000001</v>
      </c>
      <c r="N3966" s="55">
        <v>24.444230000000001</v>
      </c>
    </row>
    <row r="3967" spans="1:14" hidden="1" x14ac:dyDescent="0.35">
      <c r="A3967" s="52" t="s">
        <v>231</v>
      </c>
      <c r="B3967" s="52" t="s">
        <v>37</v>
      </c>
      <c r="C3967" s="52" t="s">
        <v>35</v>
      </c>
      <c r="D3967" s="52" t="s">
        <v>39</v>
      </c>
      <c r="E3967" s="52" t="s">
        <v>580</v>
      </c>
      <c r="F3967" s="52" t="s">
        <v>581</v>
      </c>
      <c r="G3967" s="55" t="s">
        <v>278</v>
      </c>
      <c r="H3967" s="55">
        <v>110.1216</v>
      </c>
      <c r="I3967" s="55">
        <v>71.060010000000005</v>
      </c>
      <c r="J3967" s="55">
        <v>62.176049999999996</v>
      </c>
      <c r="K3967" s="55">
        <v>45.80077</v>
      </c>
      <c r="L3967" s="55">
        <v>37.774509999999999</v>
      </c>
      <c r="M3967" s="55">
        <v>24.873349999999999</v>
      </c>
      <c r="N3967" s="55">
        <v>26.578520000000001</v>
      </c>
    </row>
    <row r="3968" spans="1:14" hidden="1" x14ac:dyDescent="0.35">
      <c r="A3968" s="52" t="s">
        <v>231</v>
      </c>
      <c r="B3968" s="52" t="s">
        <v>37</v>
      </c>
      <c r="C3968" s="52" t="s">
        <v>35</v>
      </c>
      <c r="D3968" s="52" t="s">
        <v>39</v>
      </c>
      <c r="E3968" s="52" t="s">
        <v>580</v>
      </c>
      <c r="F3968" s="52" t="s">
        <v>581</v>
      </c>
      <c r="G3968" s="55" t="s">
        <v>279</v>
      </c>
      <c r="H3968" s="55">
        <v>123.9508</v>
      </c>
      <c r="I3968" s="55">
        <v>121.9439</v>
      </c>
      <c r="J3968" s="55">
        <v>135.04300000000001</v>
      </c>
      <c r="K3968" s="55">
        <v>130.45150000000001</v>
      </c>
      <c r="L3968" s="55">
        <v>111.1408</v>
      </c>
      <c r="M3968" s="55">
        <v>113.1464</v>
      </c>
      <c r="N3968" s="55">
        <v>108.542</v>
      </c>
    </row>
    <row r="3969" spans="1:14" hidden="1" x14ac:dyDescent="0.35">
      <c r="A3969" s="52" t="s">
        <v>231</v>
      </c>
      <c r="B3969" s="52" t="s">
        <v>37</v>
      </c>
      <c r="C3969" s="52" t="s">
        <v>35</v>
      </c>
      <c r="D3969" s="52" t="s">
        <v>39</v>
      </c>
      <c r="E3969" s="52" t="s">
        <v>580</v>
      </c>
      <c r="F3969" s="52" t="s">
        <v>26</v>
      </c>
      <c r="G3969" s="55" t="s">
        <v>275</v>
      </c>
      <c r="H3969" s="55">
        <v>-8.4711359999999996</v>
      </c>
      <c r="I3969" s="55">
        <v>-9.5028360000000003</v>
      </c>
      <c r="J3969" s="55">
        <v>-9.1014879999999998</v>
      </c>
      <c r="K3969" s="55">
        <v>-9.4400829999999996</v>
      </c>
      <c r="L3969" s="55">
        <v>-7.1703929999999998</v>
      </c>
      <c r="M3969" s="55">
        <v>-9.2178059999999995</v>
      </c>
      <c r="N3969" s="55">
        <v>-8.7184369999999998</v>
      </c>
    </row>
    <row r="3970" spans="1:14" hidden="1" x14ac:dyDescent="0.35">
      <c r="A3970" s="52" t="s">
        <v>231</v>
      </c>
      <c r="B3970" s="52" t="s">
        <v>37</v>
      </c>
      <c r="C3970" s="52" t="s">
        <v>35</v>
      </c>
      <c r="D3970" s="52" t="s">
        <v>39</v>
      </c>
      <c r="E3970" s="52" t="s">
        <v>580</v>
      </c>
      <c r="F3970" s="52" t="s">
        <v>26</v>
      </c>
      <c r="G3970" s="55" t="s">
        <v>276</v>
      </c>
      <c r="H3970" s="55">
        <v>-2.2518150000000001</v>
      </c>
      <c r="I3970" s="55">
        <v>-2.5260729999999998</v>
      </c>
      <c r="J3970" s="55">
        <v>-2.4193899999999999</v>
      </c>
      <c r="K3970" s="55">
        <v>-2.5093909999999999</v>
      </c>
      <c r="L3970" s="55">
        <v>-1.906058</v>
      </c>
      <c r="M3970" s="55">
        <v>-2.4502959999999998</v>
      </c>
      <c r="N3970" s="55">
        <v>-2.3175680000000001</v>
      </c>
    </row>
    <row r="3971" spans="1:14" hidden="1" x14ac:dyDescent="0.35">
      <c r="A3971" s="52" t="s">
        <v>231</v>
      </c>
      <c r="B3971" s="52" t="s">
        <v>37</v>
      </c>
      <c r="C3971" s="52" t="s">
        <v>35</v>
      </c>
      <c r="D3971" s="52" t="s">
        <v>39</v>
      </c>
      <c r="E3971" s="52" t="s">
        <v>580</v>
      </c>
      <c r="F3971" s="52" t="s">
        <v>26</v>
      </c>
      <c r="G3971" s="55" t="s">
        <v>279</v>
      </c>
      <c r="H3971" s="55">
        <v>26.813569999999999</v>
      </c>
      <c r="I3971" s="55">
        <v>28.43374</v>
      </c>
      <c r="J3971" s="55">
        <v>31.297789999999999</v>
      </c>
      <c r="K3971" s="55">
        <v>30.35202</v>
      </c>
      <c r="L3971" s="55">
        <v>25.619820000000001</v>
      </c>
      <c r="M3971" s="55">
        <v>26.453320000000001</v>
      </c>
      <c r="N3971" s="55">
        <v>25.26558</v>
      </c>
    </row>
    <row r="3972" spans="1:14" hidden="1" x14ac:dyDescent="0.35">
      <c r="A3972" s="52" t="s">
        <v>231</v>
      </c>
      <c r="B3972" s="52" t="s">
        <v>37</v>
      </c>
      <c r="C3972" s="52" t="s">
        <v>35</v>
      </c>
      <c r="D3972" s="52" t="s">
        <v>39</v>
      </c>
      <c r="E3972" s="52" t="s">
        <v>582</v>
      </c>
      <c r="F3972" s="52" t="s">
        <v>581</v>
      </c>
      <c r="G3972" s="55" t="s">
        <v>275</v>
      </c>
      <c r="H3972" s="55">
        <v>-13.676450000000001</v>
      </c>
      <c r="I3972" s="55">
        <v>-48.58473</v>
      </c>
      <c r="J3972" s="55">
        <v>87.661869999999993</v>
      </c>
      <c r="K3972" s="55">
        <v>96.574070000000006</v>
      </c>
      <c r="L3972" s="55">
        <v>79.807329999999993</v>
      </c>
      <c r="M3972" s="55">
        <v>53.784089999999999</v>
      </c>
      <c r="N3972" s="55">
        <v>42.02863</v>
      </c>
    </row>
    <row r="3973" spans="1:14" hidden="1" x14ac:dyDescent="0.35">
      <c r="A3973" s="52" t="s">
        <v>231</v>
      </c>
      <c r="B3973" s="52" t="s">
        <v>37</v>
      </c>
      <c r="C3973" s="52" t="s">
        <v>35</v>
      </c>
      <c r="D3973" s="52" t="s">
        <v>39</v>
      </c>
      <c r="E3973" s="52" t="s">
        <v>582</v>
      </c>
      <c r="F3973" s="52" t="s">
        <v>581</v>
      </c>
      <c r="G3973" s="55" t="s">
        <v>276</v>
      </c>
      <c r="H3973" s="55">
        <v>31.082529999999998</v>
      </c>
      <c r="I3973" s="55">
        <v>-7.5348439999999997</v>
      </c>
      <c r="J3973" s="55">
        <v>-9.4264969999999995</v>
      </c>
      <c r="K3973" s="55">
        <v>-13.56184</v>
      </c>
      <c r="L3973" s="55">
        <v>-9.7241569999999999</v>
      </c>
      <c r="M3973" s="55">
        <v>2.0270350000000001</v>
      </c>
      <c r="N3973" s="55">
        <v>13.88663</v>
      </c>
    </row>
    <row r="3974" spans="1:14" hidden="1" x14ac:dyDescent="0.35">
      <c r="A3974" s="52" t="s">
        <v>231</v>
      </c>
      <c r="B3974" s="52" t="s">
        <v>37</v>
      </c>
      <c r="C3974" s="52" t="s">
        <v>35</v>
      </c>
      <c r="D3974" s="52" t="s">
        <v>39</v>
      </c>
      <c r="E3974" s="52" t="s">
        <v>582</v>
      </c>
      <c r="F3974" s="52" t="s">
        <v>581</v>
      </c>
      <c r="G3974" s="55" t="s">
        <v>277</v>
      </c>
      <c r="H3974" s="55">
        <v>209.60499999999999</v>
      </c>
      <c r="I3974" s="55">
        <v>118.62260000000001</v>
      </c>
      <c r="J3974" s="55">
        <v>5.7937500000000002</v>
      </c>
      <c r="K3974" s="55">
        <v>2.4973800000000002</v>
      </c>
      <c r="L3974" s="55">
        <v>6.5809749999999996</v>
      </c>
      <c r="M3974" s="55">
        <v>8.8732480000000002</v>
      </c>
      <c r="N3974" s="55">
        <v>11.77924</v>
      </c>
    </row>
    <row r="3975" spans="1:14" hidden="1" x14ac:dyDescent="0.35">
      <c r="A3975" s="52" t="s">
        <v>231</v>
      </c>
      <c r="B3975" s="52" t="s">
        <v>37</v>
      </c>
      <c r="C3975" s="52" t="s">
        <v>35</v>
      </c>
      <c r="D3975" s="52" t="s">
        <v>39</v>
      </c>
      <c r="E3975" s="52" t="s">
        <v>582</v>
      </c>
      <c r="F3975" s="52" t="s">
        <v>581</v>
      </c>
      <c r="G3975" s="55" t="s">
        <v>278</v>
      </c>
      <c r="H3975" s="55">
        <v>64.133690000000001</v>
      </c>
      <c r="I3975" s="55">
        <v>31.377410000000001</v>
      </c>
      <c r="J3975" s="55">
        <v>17.27223</v>
      </c>
      <c r="K3975" s="55">
        <v>12.34384</v>
      </c>
      <c r="L3975" s="55">
        <v>13.94617</v>
      </c>
      <c r="M3975" s="55">
        <v>19.660969999999999</v>
      </c>
      <c r="N3975" s="55">
        <v>23.685860000000002</v>
      </c>
    </row>
    <row r="3976" spans="1:14" hidden="1" x14ac:dyDescent="0.35">
      <c r="A3976" s="52" t="s">
        <v>231</v>
      </c>
      <c r="B3976" s="52" t="s">
        <v>37</v>
      </c>
      <c r="C3976" s="52" t="s">
        <v>35</v>
      </c>
      <c r="D3976" s="52" t="s">
        <v>39</v>
      </c>
      <c r="E3976" s="52" t="s">
        <v>582</v>
      </c>
      <c r="F3976" s="52" t="s">
        <v>581</v>
      </c>
      <c r="G3976" s="55" t="s">
        <v>279</v>
      </c>
      <c r="H3976" s="55">
        <v>108.2677</v>
      </c>
      <c r="I3976" s="55">
        <v>70.278829999999999</v>
      </c>
      <c r="J3976" s="55">
        <v>70.350980000000007</v>
      </c>
      <c r="K3976" s="55">
        <v>70.945239999999998</v>
      </c>
      <c r="L3976" s="55">
        <v>59.92803</v>
      </c>
      <c r="M3976" s="55">
        <v>69.121530000000007</v>
      </c>
      <c r="N3976" s="55">
        <v>73.862809999999996</v>
      </c>
    </row>
    <row r="3977" spans="1:14" hidden="1" x14ac:dyDescent="0.35">
      <c r="A3977" s="52" t="s">
        <v>231</v>
      </c>
      <c r="B3977" s="52" t="s">
        <v>37</v>
      </c>
      <c r="C3977" s="52" t="s">
        <v>35</v>
      </c>
      <c r="D3977" s="52" t="s">
        <v>39</v>
      </c>
      <c r="E3977" s="52" t="s">
        <v>582</v>
      </c>
      <c r="F3977" s="52" t="s">
        <v>26</v>
      </c>
      <c r="G3977" s="55" t="s">
        <v>275</v>
      </c>
      <c r="H3977" s="55">
        <v>-10.2515</v>
      </c>
      <c r="I3977" s="55">
        <v>-7.6459130000000002</v>
      </c>
      <c r="J3977" s="55">
        <v>-6.8955029999999997</v>
      </c>
      <c r="K3977" s="55">
        <v>-7.5103239999999998</v>
      </c>
      <c r="L3977" s="55">
        <v>-6.2607290000000004</v>
      </c>
      <c r="M3977" s="55">
        <v>-8.0954329999999999</v>
      </c>
      <c r="N3977" s="55">
        <v>-8.6303479999999997</v>
      </c>
    </row>
    <row r="3978" spans="1:14" hidden="1" x14ac:dyDescent="0.35">
      <c r="A3978" s="52" t="s">
        <v>231</v>
      </c>
      <c r="B3978" s="52" t="s">
        <v>37</v>
      </c>
      <c r="C3978" s="52" t="s">
        <v>35</v>
      </c>
      <c r="D3978" s="52" t="s">
        <v>39</v>
      </c>
      <c r="E3978" s="52" t="s">
        <v>582</v>
      </c>
      <c r="F3978" s="52" t="s">
        <v>26</v>
      </c>
      <c r="G3978" s="55" t="s">
        <v>276</v>
      </c>
      <c r="H3978" s="55">
        <v>-2.7250839999999998</v>
      </c>
      <c r="I3978" s="55">
        <v>-2.0324610000000001</v>
      </c>
      <c r="J3978" s="55">
        <v>-1.8329819999999999</v>
      </c>
      <c r="K3978" s="55">
        <v>-1.996418</v>
      </c>
      <c r="L3978" s="55">
        <v>-1.664245</v>
      </c>
      <c r="M3978" s="55">
        <v>-2.1519509999999999</v>
      </c>
      <c r="N3978" s="55">
        <v>-2.2941440000000002</v>
      </c>
    </row>
    <row r="3979" spans="1:14" hidden="1" x14ac:dyDescent="0.35">
      <c r="A3979" s="52" t="s">
        <v>231</v>
      </c>
      <c r="B3979" s="52" t="s">
        <v>37</v>
      </c>
      <c r="C3979" s="52" t="s">
        <v>35</v>
      </c>
      <c r="D3979" s="52" t="s">
        <v>39</v>
      </c>
      <c r="E3979" s="52" t="s">
        <v>582</v>
      </c>
      <c r="F3979" s="52" t="s">
        <v>26</v>
      </c>
      <c r="G3979" s="55" t="s">
        <v>279</v>
      </c>
      <c r="H3979" s="55">
        <v>29.417809999999999</v>
      </c>
      <c r="I3979" s="55">
        <v>20.890170000000001</v>
      </c>
      <c r="J3979" s="55">
        <v>20.967880000000001</v>
      </c>
      <c r="K3979" s="55">
        <v>21.469639999999998</v>
      </c>
      <c r="L3979" s="55">
        <v>18.523599999999998</v>
      </c>
      <c r="M3979" s="55">
        <v>20.965109999999999</v>
      </c>
      <c r="N3979" s="55">
        <v>22.37163</v>
      </c>
    </row>
    <row r="3980" spans="1:14" hidden="1" x14ac:dyDescent="0.35">
      <c r="A3980" s="52" t="s">
        <v>231</v>
      </c>
      <c r="B3980" s="52" t="s">
        <v>37</v>
      </c>
      <c r="C3980" s="52" t="s">
        <v>35</v>
      </c>
      <c r="D3980" s="52" t="s">
        <v>39</v>
      </c>
      <c r="E3980" s="52" t="s">
        <v>585</v>
      </c>
      <c r="F3980" s="52" t="s">
        <v>581</v>
      </c>
      <c r="G3980" s="55" t="s">
        <v>275</v>
      </c>
      <c r="H3980" s="55">
        <v>15.34088</v>
      </c>
      <c r="I3980" s="55">
        <v>3.4404119999999998</v>
      </c>
      <c r="J3980" s="55">
        <v>5.1748139999999996</v>
      </c>
      <c r="K3980" s="55">
        <v>5.2298559999999998</v>
      </c>
      <c r="L3980" s="55">
        <v>2.4520770000000001</v>
      </c>
      <c r="M3980" s="55">
        <v>2.1537289999999998</v>
      </c>
      <c r="N3980" s="55">
        <v>1.8019210000000001</v>
      </c>
    </row>
    <row r="3981" spans="1:14" hidden="1" x14ac:dyDescent="0.35">
      <c r="A3981" s="52" t="s">
        <v>231</v>
      </c>
      <c r="B3981" s="52" t="s">
        <v>37</v>
      </c>
      <c r="C3981" s="52" t="s">
        <v>35</v>
      </c>
      <c r="D3981" s="52" t="s">
        <v>39</v>
      </c>
      <c r="E3981" s="52" t="s">
        <v>585</v>
      </c>
      <c r="F3981" s="52" t="s">
        <v>581</v>
      </c>
      <c r="G3981" s="55" t="s">
        <v>276</v>
      </c>
      <c r="H3981" s="55">
        <v>0.566187</v>
      </c>
      <c r="I3981" s="55">
        <v>-1.1169100000000001</v>
      </c>
      <c r="J3981" s="55">
        <v>-1.4118280000000001</v>
      </c>
      <c r="K3981" s="55">
        <v>-1.940876</v>
      </c>
      <c r="L3981" s="55">
        <v>0.60008839999999997</v>
      </c>
      <c r="M3981" s="55">
        <v>0.36559160000000002</v>
      </c>
      <c r="N3981" s="55">
        <v>0.47899120000000001</v>
      </c>
    </row>
    <row r="3982" spans="1:14" hidden="1" x14ac:dyDescent="0.35">
      <c r="A3982" s="52" t="s">
        <v>231</v>
      </c>
      <c r="B3982" s="52" t="s">
        <v>37</v>
      </c>
      <c r="C3982" s="52" t="s">
        <v>35</v>
      </c>
      <c r="D3982" s="52" t="s">
        <v>39</v>
      </c>
      <c r="E3982" s="52" t="s">
        <v>585</v>
      </c>
      <c r="F3982" s="52" t="s">
        <v>581</v>
      </c>
      <c r="G3982" s="55" t="s">
        <v>277</v>
      </c>
      <c r="H3982" s="55">
        <v>0</v>
      </c>
      <c r="I3982" s="55">
        <v>1.900412</v>
      </c>
      <c r="J3982" s="55"/>
      <c r="K3982" s="55"/>
      <c r="L3982" s="55">
        <v>0</v>
      </c>
      <c r="M3982" s="55"/>
      <c r="N3982" s="55"/>
    </row>
    <row r="3983" spans="1:14" hidden="1" x14ac:dyDescent="0.35">
      <c r="A3983" s="52" t="s">
        <v>231</v>
      </c>
      <c r="B3983" s="52" t="s">
        <v>37</v>
      </c>
      <c r="C3983" s="52" t="s">
        <v>35</v>
      </c>
      <c r="D3983" s="52" t="s">
        <v>39</v>
      </c>
      <c r="E3983" s="52" t="s">
        <v>585</v>
      </c>
      <c r="F3983" s="52" t="s">
        <v>581</v>
      </c>
      <c r="G3983" s="55" t="s">
        <v>278</v>
      </c>
      <c r="H3983" s="55">
        <v>0</v>
      </c>
      <c r="I3983" s="55"/>
      <c r="J3983" s="55"/>
      <c r="K3983" s="55"/>
      <c r="L3983" s="55"/>
      <c r="M3983" s="55"/>
      <c r="N3983" s="55"/>
    </row>
    <row r="3984" spans="1:14" hidden="1" x14ac:dyDescent="0.35">
      <c r="A3984" s="52" t="s">
        <v>231</v>
      </c>
      <c r="B3984" s="52" t="s">
        <v>37</v>
      </c>
      <c r="C3984" s="52" t="s">
        <v>35</v>
      </c>
      <c r="D3984" s="52" t="s">
        <v>39</v>
      </c>
      <c r="E3984" s="52" t="s">
        <v>585</v>
      </c>
      <c r="F3984" s="52" t="s">
        <v>581</v>
      </c>
      <c r="G3984" s="55" t="s">
        <v>279</v>
      </c>
      <c r="H3984" s="55">
        <v>5.4479430000000004</v>
      </c>
      <c r="I3984" s="55">
        <v>3.1776249999999999</v>
      </c>
      <c r="J3984" s="55">
        <v>2.6434299999999999</v>
      </c>
      <c r="K3984" s="55">
        <v>2.4051680000000002</v>
      </c>
      <c r="L3984" s="55">
        <v>2.0728759999999999</v>
      </c>
      <c r="M3984" s="55">
        <v>2.124549</v>
      </c>
      <c r="N3984" s="55">
        <v>1.910234</v>
      </c>
    </row>
    <row r="3985" spans="1:14" hidden="1" x14ac:dyDescent="0.35">
      <c r="A3985" s="52" t="s">
        <v>231</v>
      </c>
      <c r="B3985" s="52" t="s">
        <v>37</v>
      </c>
      <c r="C3985" s="52" t="s">
        <v>35</v>
      </c>
      <c r="D3985" s="52" t="s">
        <v>39</v>
      </c>
      <c r="E3985" s="52" t="s">
        <v>585</v>
      </c>
      <c r="F3985" s="52" t="s">
        <v>26</v>
      </c>
      <c r="G3985" s="55" t="s">
        <v>275</v>
      </c>
      <c r="H3985" s="55">
        <v>-0.532972</v>
      </c>
      <c r="I3985" s="55">
        <v>-0.44368659999999999</v>
      </c>
      <c r="J3985" s="55">
        <v>-0.26238679999999998</v>
      </c>
      <c r="K3985" s="55">
        <v>-0.28736349999999999</v>
      </c>
      <c r="L3985" s="55">
        <v>-0.2225675</v>
      </c>
      <c r="M3985" s="55">
        <v>-0.34568569999999998</v>
      </c>
      <c r="N3985" s="55">
        <v>-0.31101780000000001</v>
      </c>
    </row>
    <row r="3986" spans="1:14" hidden="1" x14ac:dyDescent="0.35">
      <c r="A3986" s="52" t="s">
        <v>231</v>
      </c>
      <c r="B3986" s="52" t="s">
        <v>37</v>
      </c>
      <c r="C3986" s="52" t="s">
        <v>35</v>
      </c>
      <c r="D3986" s="52" t="s">
        <v>39</v>
      </c>
      <c r="E3986" s="52" t="s">
        <v>585</v>
      </c>
      <c r="F3986" s="52" t="s">
        <v>26</v>
      </c>
      <c r="G3986" s="55" t="s">
        <v>276</v>
      </c>
      <c r="H3986" s="55">
        <v>-0.141676</v>
      </c>
      <c r="I3986" s="55">
        <v>-0.1179417</v>
      </c>
      <c r="J3986" s="55">
        <v>-6.9748710000000005E-2</v>
      </c>
      <c r="K3986" s="55">
        <v>-7.6387300000000005E-2</v>
      </c>
      <c r="L3986" s="55">
        <v>-5.91637E-2</v>
      </c>
      <c r="M3986" s="55">
        <v>-9.18905E-2</v>
      </c>
      <c r="N3986" s="55">
        <v>-8.2675700000000005E-2</v>
      </c>
    </row>
    <row r="3987" spans="1:14" hidden="1" x14ac:dyDescent="0.35">
      <c r="A3987" s="52" t="s">
        <v>231</v>
      </c>
      <c r="B3987" s="52" t="s">
        <v>37</v>
      </c>
      <c r="C3987" s="52" t="s">
        <v>35</v>
      </c>
      <c r="D3987" s="52" t="s">
        <v>39</v>
      </c>
      <c r="E3987" s="52" t="s">
        <v>585</v>
      </c>
      <c r="F3987" s="52" t="s">
        <v>26</v>
      </c>
      <c r="G3987" s="55" t="s">
        <v>279</v>
      </c>
      <c r="H3987" s="55">
        <v>3.2695949999999998</v>
      </c>
      <c r="I3987" s="55">
        <v>2.3713310000000001</v>
      </c>
      <c r="J3987" s="55">
        <v>1.9776039999999999</v>
      </c>
      <c r="K3987" s="55">
        <v>1.8193159999999999</v>
      </c>
      <c r="L3987" s="55">
        <v>1.5866020000000001</v>
      </c>
      <c r="M3987" s="55">
        <v>1.614595</v>
      </c>
      <c r="N3987" s="55">
        <v>1.4507509999999999</v>
      </c>
    </row>
    <row r="3988" spans="1:14" hidden="1" x14ac:dyDescent="0.35">
      <c r="A3988" s="52" t="s">
        <v>231</v>
      </c>
      <c r="B3988" s="52" t="s">
        <v>37</v>
      </c>
      <c r="C3988" s="52" t="s">
        <v>35</v>
      </c>
      <c r="D3988" s="52" t="s">
        <v>207</v>
      </c>
      <c r="E3988" s="52" t="s">
        <v>582</v>
      </c>
      <c r="F3988" s="52" t="s">
        <v>581</v>
      </c>
      <c r="G3988" s="55" t="s">
        <v>275</v>
      </c>
      <c r="H3988" s="55">
        <v>177.0838</v>
      </c>
      <c r="I3988" s="55">
        <v>70.139560000000003</v>
      </c>
      <c r="J3988" s="55">
        <v>126.6369</v>
      </c>
      <c r="K3988" s="55">
        <v>141.93559999999999</v>
      </c>
      <c r="L3988" s="55">
        <v>124.3113</v>
      </c>
      <c r="M3988" s="55">
        <v>91.093329999999995</v>
      </c>
      <c r="N3988" s="55">
        <v>77.998580000000004</v>
      </c>
    </row>
    <row r="3989" spans="1:14" hidden="1" x14ac:dyDescent="0.35">
      <c r="A3989" s="52" t="s">
        <v>231</v>
      </c>
      <c r="B3989" s="52" t="s">
        <v>37</v>
      </c>
      <c r="C3989" s="52" t="s">
        <v>35</v>
      </c>
      <c r="D3989" s="52" t="s">
        <v>207</v>
      </c>
      <c r="E3989" s="52" t="s">
        <v>582</v>
      </c>
      <c r="F3989" s="52" t="s">
        <v>581</v>
      </c>
      <c r="G3989" s="55" t="s">
        <v>276</v>
      </c>
      <c r="H3989" s="55">
        <v>-16.549880000000002</v>
      </c>
      <c r="I3989" s="55">
        <v>-10.643599999999999</v>
      </c>
      <c r="J3989" s="55">
        <v>10.77913</v>
      </c>
      <c r="K3989" s="55">
        <v>0.96908090000000002</v>
      </c>
      <c r="L3989" s="55">
        <v>4.2787249999999997</v>
      </c>
      <c r="M3989" s="55">
        <v>13.84177</v>
      </c>
      <c r="N3989" s="55">
        <v>19.101970000000001</v>
      </c>
    </row>
    <row r="3990" spans="1:14" hidden="1" x14ac:dyDescent="0.35">
      <c r="A3990" s="52" t="s">
        <v>231</v>
      </c>
      <c r="B3990" s="52" t="s">
        <v>37</v>
      </c>
      <c r="C3990" s="52" t="s">
        <v>35</v>
      </c>
      <c r="D3990" s="52" t="s">
        <v>207</v>
      </c>
      <c r="E3990" s="52" t="s">
        <v>582</v>
      </c>
      <c r="F3990" s="52" t="s">
        <v>581</v>
      </c>
      <c r="G3990" s="55" t="s">
        <v>277</v>
      </c>
      <c r="H3990" s="55">
        <v>239.30090000000001</v>
      </c>
      <c r="I3990" s="55">
        <v>105.2564</v>
      </c>
      <c r="J3990" s="55">
        <v>50.714579999999998</v>
      </c>
      <c r="K3990" s="55">
        <v>14.52037</v>
      </c>
      <c r="L3990" s="55">
        <v>17.005939999999999</v>
      </c>
      <c r="M3990" s="55">
        <v>20.950600000000001</v>
      </c>
      <c r="N3990" s="55">
        <v>26.59074</v>
      </c>
    </row>
    <row r="3991" spans="1:14" hidden="1" x14ac:dyDescent="0.35">
      <c r="A3991" s="52" t="s">
        <v>231</v>
      </c>
      <c r="B3991" s="52" t="s">
        <v>37</v>
      </c>
      <c r="C3991" s="52" t="s">
        <v>35</v>
      </c>
      <c r="D3991" s="52" t="s">
        <v>207</v>
      </c>
      <c r="E3991" s="52" t="s">
        <v>582</v>
      </c>
      <c r="F3991" s="52" t="s">
        <v>581</v>
      </c>
      <c r="G3991" s="55" t="s">
        <v>278</v>
      </c>
      <c r="H3991" s="55">
        <v>34.425409999999999</v>
      </c>
      <c r="I3991" s="55">
        <v>28.423999999999999</v>
      </c>
      <c r="J3991" s="55">
        <v>21.088539999999998</v>
      </c>
      <c r="K3991" s="55">
        <v>26.76352</v>
      </c>
      <c r="L3991" s="55">
        <v>24.72935</v>
      </c>
      <c r="M3991" s="55">
        <v>22.859639999999999</v>
      </c>
      <c r="N3991" s="55">
        <v>23.222999999999999</v>
      </c>
    </row>
    <row r="3992" spans="1:14" hidden="1" x14ac:dyDescent="0.35">
      <c r="A3992" s="52" t="s">
        <v>231</v>
      </c>
      <c r="B3992" s="52" t="s">
        <v>37</v>
      </c>
      <c r="C3992" s="52" t="s">
        <v>35</v>
      </c>
      <c r="D3992" s="52" t="s">
        <v>207</v>
      </c>
      <c r="E3992" s="52" t="s">
        <v>582</v>
      </c>
      <c r="F3992" s="52" t="s">
        <v>581</v>
      </c>
      <c r="G3992" s="55" t="s">
        <v>279</v>
      </c>
      <c r="H3992" s="55">
        <v>185.16380000000001</v>
      </c>
      <c r="I3992" s="55">
        <v>180.25360000000001</v>
      </c>
      <c r="J3992" s="55">
        <v>179.40049999999999</v>
      </c>
      <c r="K3992" s="55">
        <v>167.06379999999999</v>
      </c>
      <c r="L3992" s="55">
        <v>144.72630000000001</v>
      </c>
      <c r="M3992" s="55">
        <v>154.77170000000001</v>
      </c>
      <c r="N3992" s="55">
        <v>151.22370000000001</v>
      </c>
    </row>
    <row r="3993" spans="1:14" hidden="1" x14ac:dyDescent="0.35">
      <c r="A3993" s="52" t="s">
        <v>231</v>
      </c>
      <c r="B3993" s="52" t="s">
        <v>37</v>
      </c>
      <c r="C3993" s="52" t="s">
        <v>35</v>
      </c>
      <c r="D3993" s="52" t="s">
        <v>207</v>
      </c>
      <c r="E3993" s="52" t="s">
        <v>582</v>
      </c>
      <c r="F3993" s="52" t="s">
        <v>26</v>
      </c>
      <c r="G3993" s="55" t="s">
        <v>275</v>
      </c>
      <c r="H3993" s="55">
        <v>-12.86434</v>
      </c>
      <c r="I3993" s="55">
        <v>-14.06362</v>
      </c>
      <c r="J3993" s="55">
        <v>-12.15433</v>
      </c>
      <c r="K3993" s="55">
        <v>-12.149240000000001</v>
      </c>
      <c r="L3993" s="55">
        <v>-9.9045079999999999</v>
      </c>
      <c r="M3993" s="55">
        <v>-12.86252</v>
      </c>
      <c r="N3993" s="55">
        <v>-12.55434</v>
      </c>
    </row>
    <row r="3994" spans="1:14" hidden="1" x14ac:dyDescent="0.35">
      <c r="A3994" s="52" t="s">
        <v>231</v>
      </c>
      <c r="B3994" s="52" t="s">
        <v>37</v>
      </c>
      <c r="C3994" s="52" t="s">
        <v>35</v>
      </c>
      <c r="D3994" s="52" t="s">
        <v>207</v>
      </c>
      <c r="E3994" s="52" t="s">
        <v>582</v>
      </c>
      <c r="F3994" s="52" t="s">
        <v>26</v>
      </c>
      <c r="G3994" s="55" t="s">
        <v>276</v>
      </c>
      <c r="H3994" s="55">
        <v>-3.419638</v>
      </c>
      <c r="I3994" s="55">
        <v>-3.7384309999999998</v>
      </c>
      <c r="J3994" s="55">
        <v>-3.2308949999999999</v>
      </c>
      <c r="K3994" s="55">
        <v>-3.229552</v>
      </c>
      <c r="L3994" s="55">
        <v>-2.632841</v>
      </c>
      <c r="M3994" s="55">
        <v>-3.4191530000000001</v>
      </c>
      <c r="N3994" s="55">
        <v>-3.3372299999999999</v>
      </c>
    </row>
    <row r="3995" spans="1:14" hidden="1" x14ac:dyDescent="0.35">
      <c r="A3995" s="52" t="s">
        <v>231</v>
      </c>
      <c r="B3995" s="52" t="s">
        <v>37</v>
      </c>
      <c r="C3995" s="52" t="s">
        <v>35</v>
      </c>
      <c r="D3995" s="52" t="s">
        <v>207</v>
      </c>
      <c r="E3995" s="52" t="s">
        <v>582</v>
      </c>
      <c r="F3995" s="52" t="s">
        <v>26</v>
      </c>
      <c r="G3995" s="55" t="s">
        <v>279</v>
      </c>
      <c r="H3995" s="55">
        <v>40.712670000000003</v>
      </c>
      <c r="I3995" s="55">
        <v>42.035339999999998</v>
      </c>
      <c r="J3995" s="55">
        <v>41.62818</v>
      </c>
      <c r="K3995" s="55">
        <v>38.921210000000002</v>
      </c>
      <c r="L3995" s="55">
        <v>33.542529999999999</v>
      </c>
      <c r="M3995" s="55">
        <v>36.385579999999997</v>
      </c>
      <c r="N3995" s="55">
        <v>35.519750000000002</v>
      </c>
    </row>
    <row r="3996" spans="1:14" hidden="1" x14ac:dyDescent="0.35">
      <c r="A3996" s="52" t="s">
        <v>231</v>
      </c>
      <c r="B3996" s="52" t="s">
        <v>37</v>
      </c>
      <c r="C3996" s="52" t="s">
        <v>35</v>
      </c>
      <c r="D3996" s="52" t="s">
        <v>207</v>
      </c>
      <c r="E3996" s="52" t="s">
        <v>613</v>
      </c>
      <c r="F3996" s="52" t="s">
        <v>581</v>
      </c>
      <c r="G3996" s="55" t="s">
        <v>275</v>
      </c>
      <c r="H3996" s="55">
        <v>43.797780000000003</v>
      </c>
      <c r="I3996" s="55">
        <v>14.183680000000001</v>
      </c>
      <c r="J3996" s="55">
        <v>10.88958</v>
      </c>
      <c r="K3996" s="55">
        <v>8.2906359999999992</v>
      </c>
      <c r="L3996" s="55">
        <v>6.2955399999999999</v>
      </c>
      <c r="M3996" s="55">
        <v>4.5836880000000004</v>
      </c>
      <c r="N3996" s="55">
        <v>2.7632439999999998</v>
      </c>
    </row>
    <row r="3997" spans="1:14" hidden="1" x14ac:dyDescent="0.35">
      <c r="A3997" s="52" t="s">
        <v>231</v>
      </c>
      <c r="B3997" s="52" t="s">
        <v>37</v>
      </c>
      <c r="C3997" s="52" t="s">
        <v>35</v>
      </c>
      <c r="D3997" s="52" t="s">
        <v>207</v>
      </c>
      <c r="E3997" s="52" t="s">
        <v>613</v>
      </c>
      <c r="F3997" s="52" t="s">
        <v>581</v>
      </c>
      <c r="G3997" s="55" t="s">
        <v>276</v>
      </c>
      <c r="H3997" s="55">
        <v>-10.329179999999999</v>
      </c>
      <c r="I3997" s="55">
        <v>-1.4146669999999999</v>
      </c>
      <c r="J3997" s="55">
        <v>0.29841279999999998</v>
      </c>
      <c r="K3997" s="55">
        <v>0.59496930000000003</v>
      </c>
      <c r="L3997" s="55">
        <v>1.1653929999999999</v>
      </c>
      <c r="M3997" s="55">
        <v>1.688434</v>
      </c>
      <c r="N3997" s="55">
        <v>1.623143</v>
      </c>
    </row>
    <row r="3998" spans="1:14" hidden="1" x14ac:dyDescent="0.35">
      <c r="A3998" s="52" t="s">
        <v>231</v>
      </c>
      <c r="B3998" s="52" t="s">
        <v>37</v>
      </c>
      <c r="C3998" s="52" t="s">
        <v>35</v>
      </c>
      <c r="D3998" s="52" t="s">
        <v>207</v>
      </c>
      <c r="E3998" s="52" t="s">
        <v>613</v>
      </c>
      <c r="F3998" s="52" t="s">
        <v>581</v>
      </c>
      <c r="G3998" s="55" t="s">
        <v>277</v>
      </c>
      <c r="H3998" s="55">
        <v>8.6025930000000006</v>
      </c>
      <c r="I3998" s="55">
        <v>0</v>
      </c>
      <c r="J3998" s="55">
        <v>0</v>
      </c>
      <c r="K3998" s="55">
        <v>0.7650496</v>
      </c>
      <c r="L3998" s="55">
        <v>1.8931439999999999</v>
      </c>
      <c r="M3998" s="55">
        <v>2.4252859999999998</v>
      </c>
      <c r="N3998" s="55">
        <v>4.4097650000000002</v>
      </c>
    </row>
    <row r="3999" spans="1:14" hidden="1" x14ac:dyDescent="0.35">
      <c r="A3999" s="52" t="s">
        <v>231</v>
      </c>
      <c r="B3999" s="52" t="s">
        <v>37</v>
      </c>
      <c r="C3999" s="52" t="s">
        <v>35</v>
      </c>
      <c r="D3999" s="52" t="s">
        <v>207</v>
      </c>
      <c r="E3999" s="52" t="s">
        <v>613</v>
      </c>
      <c r="F3999" s="52" t="s">
        <v>581</v>
      </c>
      <c r="G3999" s="55" t="s">
        <v>278</v>
      </c>
      <c r="H3999" s="55">
        <v>0.70816400000000002</v>
      </c>
      <c r="I3999" s="55">
        <v>0</v>
      </c>
      <c r="J3999" s="55">
        <v>0</v>
      </c>
      <c r="K3999" s="55">
        <v>0.54120699999999999</v>
      </c>
      <c r="L3999" s="55">
        <v>0.74591359999999995</v>
      </c>
      <c r="M3999" s="55">
        <v>0.5215746</v>
      </c>
      <c r="N3999" s="55">
        <v>0.94763600000000003</v>
      </c>
    </row>
    <row r="4000" spans="1:14" hidden="1" x14ac:dyDescent="0.35">
      <c r="A4000" s="52" t="s">
        <v>231</v>
      </c>
      <c r="B4000" s="52" t="s">
        <v>37</v>
      </c>
      <c r="C4000" s="52" t="s">
        <v>35</v>
      </c>
      <c r="D4000" s="52" t="s">
        <v>207</v>
      </c>
      <c r="E4000" s="52" t="s">
        <v>613</v>
      </c>
      <c r="F4000" s="52" t="s">
        <v>581</v>
      </c>
      <c r="G4000" s="55" t="s">
        <v>279</v>
      </c>
      <c r="H4000" s="55">
        <v>16.20682</v>
      </c>
      <c r="I4000" s="55">
        <v>9.8247509999999991</v>
      </c>
      <c r="J4000" s="55">
        <v>8.0514100000000006</v>
      </c>
      <c r="K4000" s="55">
        <v>7.6611219999999998</v>
      </c>
      <c r="L4000" s="55">
        <v>7.0459740000000002</v>
      </c>
      <c r="M4000" s="55">
        <v>7.7125329999999996</v>
      </c>
      <c r="N4000" s="55">
        <v>7.7838419999999999</v>
      </c>
    </row>
    <row r="4001" spans="1:14" hidden="1" x14ac:dyDescent="0.35">
      <c r="A4001" s="52" t="s">
        <v>231</v>
      </c>
      <c r="B4001" s="52" t="s">
        <v>37</v>
      </c>
      <c r="C4001" s="52" t="s">
        <v>35</v>
      </c>
      <c r="D4001" s="52" t="s">
        <v>207</v>
      </c>
      <c r="E4001" s="52" t="s">
        <v>613</v>
      </c>
      <c r="F4001" s="52" t="s">
        <v>26</v>
      </c>
      <c r="G4001" s="55" t="s">
        <v>275</v>
      </c>
      <c r="H4001" s="55">
        <v>-2.6688130000000001</v>
      </c>
      <c r="I4001" s="55">
        <v>-1.8046850000000001</v>
      </c>
      <c r="J4001" s="55">
        <v>-1.4075420000000001</v>
      </c>
      <c r="K4001" s="55">
        <v>-1.402577</v>
      </c>
      <c r="L4001" s="55">
        <v>-1.301337</v>
      </c>
      <c r="M4001" s="55">
        <v>-1.4846200000000001</v>
      </c>
      <c r="N4001" s="55">
        <v>-1.4851669999999999</v>
      </c>
    </row>
    <row r="4002" spans="1:14" hidden="1" x14ac:dyDescent="0.35">
      <c r="A4002" s="52" t="s">
        <v>231</v>
      </c>
      <c r="B4002" s="52" t="s">
        <v>37</v>
      </c>
      <c r="C4002" s="52" t="s">
        <v>35</v>
      </c>
      <c r="D4002" s="52" t="s">
        <v>207</v>
      </c>
      <c r="E4002" s="52" t="s">
        <v>613</v>
      </c>
      <c r="F4002" s="52" t="s">
        <v>26</v>
      </c>
      <c r="G4002" s="55" t="s">
        <v>276</v>
      </c>
      <c r="H4002" s="55">
        <v>-0.70943100000000003</v>
      </c>
      <c r="I4002" s="55">
        <v>-0.47972579999999998</v>
      </c>
      <c r="J4002" s="55">
        <v>-0.37415670000000001</v>
      </c>
      <c r="K4002" s="55">
        <v>-0.37283709999999998</v>
      </c>
      <c r="L4002" s="55">
        <v>-0.34592519999999999</v>
      </c>
      <c r="M4002" s="55">
        <v>-0.39464680000000002</v>
      </c>
      <c r="N4002" s="55">
        <v>-0.39479120000000001</v>
      </c>
    </row>
    <row r="4003" spans="1:14" hidden="1" x14ac:dyDescent="0.35">
      <c r="A4003" s="52" t="s">
        <v>231</v>
      </c>
      <c r="B4003" s="52" t="s">
        <v>37</v>
      </c>
      <c r="C4003" s="52" t="s">
        <v>35</v>
      </c>
      <c r="D4003" s="52" t="s">
        <v>207</v>
      </c>
      <c r="E4003" s="52" t="s">
        <v>613</v>
      </c>
      <c r="F4003" s="52" t="s">
        <v>26</v>
      </c>
      <c r="G4003" s="55" t="s">
        <v>279</v>
      </c>
      <c r="H4003" s="55">
        <v>5.5128979999999999</v>
      </c>
      <c r="I4003" s="55">
        <v>3.6355179999999998</v>
      </c>
      <c r="J4003" s="55">
        <v>2.9883999999999999</v>
      </c>
      <c r="K4003" s="55">
        <v>2.8884289999999999</v>
      </c>
      <c r="L4003" s="55">
        <v>2.7099839999999999</v>
      </c>
      <c r="M4003" s="55">
        <v>2.9106700000000001</v>
      </c>
      <c r="N4003" s="55">
        <v>2.9233560000000001</v>
      </c>
    </row>
    <row r="4004" spans="1:14" hidden="1" x14ac:dyDescent="0.35">
      <c r="A4004" s="52" t="s">
        <v>231</v>
      </c>
      <c r="B4004" s="52" t="s">
        <v>37</v>
      </c>
      <c r="C4004" s="52" t="s">
        <v>35</v>
      </c>
      <c r="D4004" s="52" t="s">
        <v>207</v>
      </c>
      <c r="E4004" s="52" t="s">
        <v>584</v>
      </c>
      <c r="F4004" s="52" t="s">
        <v>581</v>
      </c>
      <c r="G4004" s="55" t="s">
        <v>275</v>
      </c>
      <c r="H4004" s="55">
        <v>9.0770520000000001</v>
      </c>
      <c r="I4004" s="55">
        <v>0.89851239999999999</v>
      </c>
      <c r="J4004" s="55">
        <v>1.6600410000000001</v>
      </c>
      <c r="K4004" s="55">
        <v>1.700831</v>
      </c>
      <c r="L4004" s="55">
        <v>0.71656010000000003</v>
      </c>
      <c r="M4004" s="55">
        <v>0.70265319999999998</v>
      </c>
      <c r="N4004" s="55">
        <v>0.67498550000000002</v>
      </c>
    </row>
    <row r="4005" spans="1:14" hidden="1" x14ac:dyDescent="0.35">
      <c r="A4005" s="52" t="s">
        <v>231</v>
      </c>
      <c r="B4005" s="52" t="s">
        <v>37</v>
      </c>
      <c r="C4005" s="52" t="s">
        <v>35</v>
      </c>
      <c r="D4005" s="52" t="s">
        <v>207</v>
      </c>
      <c r="E4005" s="52" t="s">
        <v>584</v>
      </c>
      <c r="F4005" s="52" t="s">
        <v>581</v>
      </c>
      <c r="G4005" s="55" t="s">
        <v>276</v>
      </c>
      <c r="H4005" s="55">
        <v>-4.3073569999999997</v>
      </c>
      <c r="I4005" s="55">
        <v>0.3964762</v>
      </c>
      <c r="J4005" s="55">
        <v>-0.31822889999999998</v>
      </c>
      <c r="K4005" s="55">
        <v>-0.78892709999999999</v>
      </c>
      <c r="L4005" s="55">
        <v>-0.12540290000000001</v>
      </c>
      <c r="M4005" s="55">
        <v>-0.11843910000000001</v>
      </c>
      <c r="N4005" s="55">
        <v>-0.108019</v>
      </c>
    </row>
    <row r="4006" spans="1:14" hidden="1" x14ac:dyDescent="0.35">
      <c r="A4006" s="52" t="s">
        <v>231</v>
      </c>
      <c r="B4006" s="52" t="s">
        <v>37</v>
      </c>
      <c r="C4006" s="52" t="s">
        <v>35</v>
      </c>
      <c r="D4006" s="52" t="s">
        <v>207</v>
      </c>
      <c r="E4006" s="52" t="s">
        <v>584</v>
      </c>
      <c r="F4006" s="52" t="s">
        <v>581</v>
      </c>
      <c r="G4006" s="55" t="s">
        <v>277</v>
      </c>
      <c r="H4006" s="55">
        <v>6.0996930000000003</v>
      </c>
      <c r="I4006" s="55">
        <v>5.4978540000000002</v>
      </c>
      <c r="J4006" s="55">
        <v>4.9707210000000002</v>
      </c>
      <c r="K4006" s="55">
        <v>4.4986829999999998</v>
      </c>
      <c r="L4006" s="55">
        <v>4.0364319999999996</v>
      </c>
      <c r="M4006" s="55">
        <v>3.54297</v>
      </c>
      <c r="N4006" s="55">
        <v>3.1235879999999998</v>
      </c>
    </row>
    <row r="4007" spans="1:14" hidden="1" x14ac:dyDescent="0.35">
      <c r="A4007" s="52" t="s">
        <v>231</v>
      </c>
      <c r="B4007" s="52" t="s">
        <v>37</v>
      </c>
      <c r="C4007" s="52" t="s">
        <v>35</v>
      </c>
      <c r="D4007" s="52" t="s">
        <v>207</v>
      </c>
      <c r="E4007" s="52" t="s">
        <v>584</v>
      </c>
      <c r="F4007" s="52" t="s">
        <v>581</v>
      </c>
      <c r="G4007" s="55" t="s">
        <v>279</v>
      </c>
      <c r="H4007" s="55">
        <v>19.78219</v>
      </c>
      <c r="I4007" s="55">
        <v>6.6818</v>
      </c>
      <c r="J4007" s="55">
        <v>5.979177</v>
      </c>
      <c r="K4007" s="55">
        <v>5.9378909999999996</v>
      </c>
      <c r="L4007" s="55">
        <v>5.7549830000000002</v>
      </c>
      <c r="M4007" s="55">
        <v>5.1598030000000001</v>
      </c>
      <c r="N4007" s="55">
        <v>4.644946</v>
      </c>
    </row>
    <row r="4008" spans="1:14" hidden="1" x14ac:dyDescent="0.35">
      <c r="A4008" s="52" t="s">
        <v>231</v>
      </c>
      <c r="B4008" s="52" t="s">
        <v>37</v>
      </c>
      <c r="C4008" s="52" t="s">
        <v>35</v>
      </c>
      <c r="D4008" s="52" t="s">
        <v>207</v>
      </c>
      <c r="E4008" s="52" t="s">
        <v>584</v>
      </c>
      <c r="F4008" s="52" t="s">
        <v>26</v>
      </c>
      <c r="G4008" s="55" t="s">
        <v>275</v>
      </c>
      <c r="H4008" s="55">
        <v>-0.24813199999999999</v>
      </c>
      <c r="I4008" s="55">
        <v>-3.3453499999999997E-2</v>
      </c>
      <c r="J4008" s="55">
        <v>-2.2827799999999999E-2</v>
      </c>
      <c r="K4008" s="55">
        <v>-3.7040900000000002E-2</v>
      </c>
      <c r="L4008" s="55">
        <v>-4.8481999999999997E-2</v>
      </c>
      <c r="M4008" s="55">
        <v>-4.7145800000000002E-2</v>
      </c>
      <c r="N4008" s="55">
        <v>-4.6129000000000003E-2</v>
      </c>
    </row>
    <row r="4009" spans="1:14" hidden="1" x14ac:dyDescent="0.35">
      <c r="A4009" s="52" t="s">
        <v>231</v>
      </c>
      <c r="B4009" s="52" t="s">
        <v>37</v>
      </c>
      <c r="C4009" s="52" t="s">
        <v>35</v>
      </c>
      <c r="D4009" s="52" t="s">
        <v>207</v>
      </c>
      <c r="E4009" s="52" t="s">
        <v>584</v>
      </c>
      <c r="F4009" s="52" t="s">
        <v>26</v>
      </c>
      <c r="G4009" s="55" t="s">
        <v>276</v>
      </c>
      <c r="H4009" s="55">
        <v>-6.5960000000000005E-2</v>
      </c>
      <c r="I4009" s="55">
        <v>-8.8928989999999992E-3</v>
      </c>
      <c r="J4009" s="55">
        <v>-6.0679999999999996E-3</v>
      </c>
      <c r="K4009" s="55">
        <v>-9.8463999999999999E-3</v>
      </c>
      <c r="L4009" s="55">
        <v>-1.2886999999999999E-2</v>
      </c>
      <c r="M4009" s="55">
        <v>-1.25323E-2</v>
      </c>
      <c r="N4009" s="55">
        <v>-1.22617E-2</v>
      </c>
    </row>
    <row r="4010" spans="1:14" hidden="1" x14ac:dyDescent="0.35">
      <c r="A4010" s="52" t="s">
        <v>231</v>
      </c>
      <c r="B4010" s="52" t="s">
        <v>37</v>
      </c>
      <c r="C4010" s="52" t="s">
        <v>35</v>
      </c>
      <c r="D4010" s="52" t="s">
        <v>207</v>
      </c>
      <c r="E4010" s="52" t="s">
        <v>584</v>
      </c>
      <c r="F4010" s="52" t="s">
        <v>26</v>
      </c>
      <c r="G4010" s="55" t="s">
        <v>279</v>
      </c>
      <c r="H4010" s="55">
        <v>0.527976</v>
      </c>
      <c r="I4010" s="55">
        <v>0.22163820000000001</v>
      </c>
      <c r="J4010" s="55">
        <v>0.21667310000000001</v>
      </c>
      <c r="K4010" s="55">
        <v>0.23521500000000001</v>
      </c>
      <c r="L4010" s="55">
        <v>0.24892320000000001</v>
      </c>
      <c r="M4010" s="55">
        <v>0.2422347</v>
      </c>
      <c r="N4010" s="55">
        <v>0.23677139999999999</v>
      </c>
    </row>
    <row r="4011" spans="1:14" hidden="1" x14ac:dyDescent="0.35">
      <c r="A4011" s="52" t="s">
        <v>231</v>
      </c>
      <c r="B4011" s="52" t="s">
        <v>37</v>
      </c>
      <c r="C4011" s="52" t="s">
        <v>35</v>
      </c>
      <c r="D4011" s="52" t="s">
        <v>36</v>
      </c>
      <c r="E4011" s="52" t="s">
        <v>584</v>
      </c>
      <c r="F4011" s="52" t="s">
        <v>581</v>
      </c>
      <c r="G4011" s="55" t="s">
        <v>275</v>
      </c>
      <c r="H4011" s="55">
        <v>22.112400000000001</v>
      </c>
      <c r="I4011" s="55">
        <v>8.8465120000000006</v>
      </c>
      <c r="J4011" s="55">
        <v>7.2972229999999998</v>
      </c>
      <c r="K4011" s="55">
        <v>4.6122880000000004</v>
      </c>
      <c r="L4011" s="55">
        <v>2.8933749999999998</v>
      </c>
      <c r="M4011" s="55">
        <v>2.3801220000000001</v>
      </c>
      <c r="N4011" s="55">
        <v>1.9469730000000001</v>
      </c>
    </row>
    <row r="4012" spans="1:14" hidden="1" x14ac:dyDescent="0.35">
      <c r="A4012" s="52" t="s">
        <v>231</v>
      </c>
      <c r="B4012" s="52" t="s">
        <v>37</v>
      </c>
      <c r="C4012" s="52" t="s">
        <v>35</v>
      </c>
      <c r="D4012" s="52" t="s">
        <v>36</v>
      </c>
      <c r="E4012" s="52" t="s">
        <v>584</v>
      </c>
      <c r="F4012" s="52" t="s">
        <v>581</v>
      </c>
      <c r="G4012" s="55" t="s">
        <v>276</v>
      </c>
      <c r="H4012" s="55">
        <v>-8.5398949999999996</v>
      </c>
      <c r="I4012" s="55">
        <v>-1.9382470000000001</v>
      </c>
      <c r="J4012" s="55">
        <v>-1.2042889999999999</v>
      </c>
      <c r="K4012" s="55">
        <v>-0.1115307</v>
      </c>
      <c r="L4012" s="55">
        <v>0.35798849999999999</v>
      </c>
      <c r="M4012" s="55">
        <v>0.26749450000000002</v>
      </c>
      <c r="N4012" s="55">
        <v>0.1984649</v>
      </c>
    </row>
    <row r="4013" spans="1:14" hidden="1" x14ac:dyDescent="0.35">
      <c r="A4013" s="52" t="s">
        <v>231</v>
      </c>
      <c r="B4013" s="52" t="s">
        <v>37</v>
      </c>
      <c r="C4013" s="52" t="s">
        <v>35</v>
      </c>
      <c r="D4013" s="52" t="s">
        <v>36</v>
      </c>
      <c r="E4013" s="52" t="s">
        <v>584</v>
      </c>
      <c r="F4013" s="52" t="s">
        <v>581</v>
      </c>
      <c r="G4013" s="55" t="s">
        <v>277</v>
      </c>
      <c r="H4013" s="55">
        <v>6.099691</v>
      </c>
      <c r="I4013" s="55">
        <v>5.2371629999999998</v>
      </c>
      <c r="J4013" s="55">
        <v>4.5188269999999999</v>
      </c>
      <c r="K4013" s="55">
        <v>3.912649</v>
      </c>
      <c r="L4013" s="55">
        <v>3.3656229999999998</v>
      </c>
      <c r="M4013" s="55">
        <v>2.8416969999999999</v>
      </c>
      <c r="N4013" s="55">
        <v>2.4208409999999998</v>
      </c>
    </row>
    <row r="4014" spans="1:14" hidden="1" x14ac:dyDescent="0.35">
      <c r="A4014" s="52" t="s">
        <v>231</v>
      </c>
      <c r="B4014" s="52" t="s">
        <v>37</v>
      </c>
      <c r="C4014" s="52" t="s">
        <v>35</v>
      </c>
      <c r="D4014" s="52" t="s">
        <v>36</v>
      </c>
      <c r="E4014" s="52" t="s">
        <v>584</v>
      </c>
      <c r="F4014" s="52" t="s">
        <v>581</v>
      </c>
      <c r="G4014" s="55" t="s">
        <v>279</v>
      </c>
      <c r="H4014" s="55">
        <v>42.422530000000002</v>
      </c>
      <c r="I4014" s="55">
        <v>13.68093</v>
      </c>
      <c r="J4014" s="55">
        <v>11.684089999999999</v>
      </c>
      <c r="K4014" s="55">
        <v>11.09051</v>
      </c>
      <c r="L4014" s="55">
        <v>10.29682</v>
      </c>
      <c r="M4014" s="55">
        <v>8.8769770000000001</v>
      </c>
      <c r="N4014" s="55">
        <v>7.7186329999999996</v>
      </c>
    </row>
    <row r="4015" spans="1:14" hidden="1" x14ac:dyDescent="0.35">
      <c r="A4015" s="52" t="s">
        <v>231</v>
      </c>
      <c r="B4015" s="52" t="s">
        <v>37</v>
      </c>
      <c r="C4015" s="52" t="s">
        <v>35</v>
      </c>
      <c r="D4015" s="52" t="s">
        <v>36</v>
      </c>
      <c r="E4015" s="52" t="s">
        <v>584</v>
      </c>
      <c r="F4015" s="52" t="s">
        <v>26</v>
      </c>
      <c r="G4015" s="55" t="s">
        <v>275</v>
      </c>
      <c r="H4015" s="55">
        <v>-0.237508</v>
      </c>
      <c r="I4015" s="55">
        <v>-4.3554799999999998E-2</v>
      </c>
      <c r="J4015" s="55">
        <v>-3.4758299999999999E-2</v>
      </c>
      <c r="K4015" s="55">
        <v>-4.7432200000000001E-2</v>
      </c>
      <c r="L4015" s="55">
        <v>-5.7541500000000002E-2</v>
      </c>
      <c r="M4015" s="55">
        <v>-5.5967900000000001E-2</v>
      </c>
      <c r="N4015" s="55">
        <v>-5.4742399999999997E-2</v>
      </c>
    </row>
    <row r="4016" spans="1:14" hidden="1" x14ac:dyDescent="0.35">
      <c r="A4016" s="52" t="s">
        <v>231</v>
      </c>
      <c r="B4016" s="52" t="s">
        <v>37</v>
      </c>
      <c r="C4016" s="52" t="s">
        <v>35</v>
      </c>
      <c r="D4016" s="52" t="s">
        <v>36</v>
      </c>
      <c r="E4016" s="52" t="s">
        <v>584</v>
      </c>
      <c r="F4016" s="52" t="s">
        <v>26</v>
      </c>
      <c r="G4016" s="55" t="s">
        <v>276</v>
      </c>
      <c r="H4016" s="55">
        <v>-6.3133999999999996E-2</v>
      </c>
      <c r="I4016" s="55">
        <v>-1.1577199999999999E-2</v>
      </c>
      <c r="J4016" s="55">
        <v>-9.2391000000000001E-3</v>
      </c>
      <c r="K4016" s="55">
        <v>-1.2609199999999999E-2</v>
      </c>
      <c r="L4016" s="55">
        <v>-1.5296000000000001E-2</v>
      </c>
      <c r="M4016" s="55">
        <v>-1.48775E-2</v>
      </c>
      <c r="N4016" s="55">
        <v>-1.4551400000000001E-2</v>
      </c>
    </row>
    <row r="4017" spans="1:14" hidden="1" x14ac:dyDescent="0.35">
      <c r="A4017" s="52" t="s">
        <v>231</v>
      </c>
      <c r="B4017" s="52" t="s">
        <v>37</v>
      </c>
      <c r="C4017" s="52" t="s">
        <v>35</v>
      </c>
      <c r="D4017" s="52" t="s">
        <v>36</v>
      </c>
      <c r="E4017" s="52" t="s">
        <v>584</v>
      </c>
      <c r="F4017" s="52" t="s">
        <v>26</v>
      </c>
      <c r="G4017" s="55" t="s">
        <v>279</v>
      </c>
      <c r="H4017" s="55">
        <v>0.47871599999999997</v>
      </c>
      <c r="I4017" s="55">
        <v>0.2044048</v>
      </c>
      <c r="J4017" s="55">
        <v>0.2003345</v>
      </c>
      <c r="K4017" s="55">
        <v>0.216838</v>
      </c>
      <c r="L4017" s="55">
        <v>0.2289881</v>
      </c>
      <c r="M4017" s="55">
        <v>0.22283749999999999</v>
      </c>
      <c r="N4017" s="55">
        <v>0.2178088</v>
      </c>
    </row>
    <row r="4018" spans="1:14" hidden="1" x14ac:dyDescent="0.35">
      <c r="A4018" s="52" t="s">
        <v>231</v>
      </c>
      <c r="B4018" s="52" t="s">
        <v>37</v>
      </c>
      <c r="C4018" s="52" t="s">
        <v>35</v>
      </c>
      <c r="D4018" s="52" t="s">
        <v>129</v>
      </c>
      <c r="E4018" s="52" t="s">
        <v>580</v>
      </c>
      <c r="F4018" s="52" t="s">
        <v>581</v>
      </c>
      <c r="G4018" s="55" t="s">
        <v>275</v>
      </c>
      <c r="H4018" s="55">
        <v>5.4818530000000001</v>
      </c>
      <c r="I4018" s="55">
        <v>2.826165</v>
      </c>
      <c r="J4018" s="55">
        <v>1.8889689999999999</v>
      </c>
      <c r="K4018" s="55">
        <v>1.2435130000000001</v>
      </c>
      <c r="L4018" s="55">
        <v>-0.3676837</v>
      </c>
      <c r="M4018" s="55">
        <v>1.406285</v>
      </c>
      <c r="N4018" s="55">
        <v>1.2158850000000001</v>
      </c>
    </row>
    <row r="4019" spans="1:14" hidden="1" x14ac:dyDescent="0.35">
      <c r="A4019" s="52" t="s">
        <v>231</v>
      </c>
      <c r="B4019" s="52" t="s">
        <v>37</v>
      </c>
      <c r="C4019" s="52" t="s">
        <v>35</v>
      </c>
      <c r="D4019" s="52" t="s">
        <v>129</v>
      </c>
      <c r="E4019" s="52" t="s">
        <v>580</v>
      </c>
      <c r="F4019" s="52" t="s">
        <v>581</v>
      </c>
      <c r="G4019" s="55" t="s">
        <v>276</v>
      </c>
      <c r="H4019" s="55">
        <v>0.59765500000000005</v>
      </c>
      <c r="I4019" s="55">
        <v>-0.64540299999999995</v>
      </c>
      <c r="J4019" s="55">
        <v>9.3827199999999999E-2</v>
      </c>
      <c r="K4019" s="55">
        <v>-0.94999820000000001</v>
      </c>
      <c r="L4019" s="55">
        <v>0.2789605</v>
      </c>
      <c r="M4019" s="55">
        <v>0.2279494</v>
      </c>
      <c r="N4019" s="55">
        <v>0.2065109</v>
      </c>
    </row>
    <row r="4020" spans="1:14" hidden="1" x14ac:dyDescent="0.35">
      <c r="A4020" s="52" t="s">
        <v>231</v>
      </c>
      <c r="B4020" s="52" t="s">
        <v>37</v>
      </c>
      <c r="C4020" s="52" t="s">
        <v>35</v>
      </c>
      <c r="D4020" s="52" t="s">
        <v>129</v>
      </c>
      <c r="E4020" s="52" t="s">
        <v>580</v>
      </c>
      <c r="F4020" s="52" t="s">
        <v>581</v>
      </c>
      <c r="G4020" s="55" t="s">
        <v>277</v>
      </c>
      <c r="H4020" s="55">
        <v>0</v>
      </c>
      <c r="I4020" s="55"/>
      <c r="J4020" s="55">
        <v>0</v>
      </c>
      <c r="K4020" s="55">
        <v>1.658353</v>
      </c>
      <c r="L4020" s="55">
        <v>2.1030549999999999</v>
      </c>
      <c r="M4020" s="55">
        <v>0</v>
      </c>
      <c r="N4020" s="55">
        <v>0</v>
      </c>
    </row>
    <row r="4021" spans="1:14" hidden="1" x14ac:dyDescent="0.35">
      <c r="A4021" s="52" t="s">
        <v>231</v>
      </c>
      <c r="B4021" s="52" t="s">
        <v>37</v>
      </c>
      <c r="C4021" s="52" t="s">
        <v>35</v>
      </c>
      <c r="D4021" s="52" t="s">
        <v>129</v>
      </c>
      <c r="E4021" s="52" t="s">
        <v>580</v>
      </c>
      <c r="F4021" s="52" t="s">
        <v>581</v>
      </c>
      <c r="G4021" s="55" t="s">
        <v>279</v>
      </c>
      <c r="H4021" s="55">
        <v>2.251455</v>
      </c>
      <c r="I4021" s="55">
        <v>1.5640860000000001</v>
      </c>
      <c r="J4021" s="55">
        <v>1.344822</v>
      </c>
      <c r="K4021" s="55">
        <v>1.3877200000000001</v>
      </c>
      <c r="L4021" s="55">
        <v>1.367888</v>
      </c>
      <c r="M4021" s="55">
        <v>1.3146469999999999</v>
      </c>
      <c r="N4021" s="55">
        <v>1.138131</v>
      </c>
    </row>
    <row r="4022" spans="1:14" hidden="1" x14ac:dyDescent="0.35">
      <c r="A4022" s="52" t="s">
        <v>231</v>
      </c>
      <c r="B4022" s="52" t="s">
        <v>37</v>
      </c>
      <c r="C4022" s="52" t="s">
        <v>35</v>
      </c>
      <c r="D4022" s="52" t="s">
        <v>129</v>
      </c>
      <c r="E4022" s="52" t="s">
        <v>580</v>
      </c>
      <c r="F4022" s="52" t="s">
        <v>26</v>
      </c>
      <c r="G4022" s="55" t="s">
        <v>275</v>
      </c>
      <c r="H4022" s="55">
        <v>-0.26461790000000002</v>
      </c>
      <c r="I4022" s="55">
        <v>-0.2089811</v>
      </c>
      <c r="J4022" s="55">
        <v>-0.1686829</v>
      </c>
      <c r="K4022" s="55">
        <v>-0.1801489</v>
      </c>
      <c r="L4022" s="55">
        <v>-0.17305609999999999</v>
      </c>
      <c r="M4022" s="55">
        <v>-0.18337600000000001</v>
      </c>
      <c r="N4022" s="55">
        <v>-0.15870380000000001</v>
      </c>
    </row>
    <row r="4023" spans="1:14" hidden="1" x14ac:dyDescent="0.35">
      <c r="A4023" s="52" t="s">
        <v>231</v>
      </c>
      <c r="B4023" s="52" t="s">
        <v>37</v>
      </c>
      <c r="C4023" s="52" t="s">
        <v>35</v>
      </c>
      <c r="D4023" s="52" t="s">
        <v>129</v>
      </c>
      <c r="E4023" s="52" t="s">
        <v>580</v>
      </c>
      <c r="F4023" s="52" t="s">
        <v>26</v>
      </c>
      <c r="G4023" s="55" t="s">
        <v>276</v>
      </c>
      <c r="H4023" s="55">
        <v>-7.0341000000000001E-2</v>
      </c>
      <c r="I4023" s="55">
        <v>-5.5552200000000003E-2</v>
      </c>
      <c r="J4023" s="55">
        <v>-4.4840400000000002E-2</v>
      </c>
      <c r="K4023" s="55">
        <v>-4.7887899999999997E-2</v>
      </c>
      <c r="L4023" s="55">
        <v>-4.6002500000000002E-2</v>
      </c>
      <c r="M4023" s="55">
        <v>-4.8745799999999999E-2</v>
      </c>
      <c r="N4023" s="55">
        <v>-4.2188099999999999E-2</v>
      </c>
    </row>
    <row r="4024" spans="1:14" hidden="1" x14ac:dyDescent="0.35">
      <c r="A4024" s="52" t="s">
        <v>231</v>
      </c>
      <c r="B4024" s="52" t="s">
        <v>37</v>
      </c>
      <c r="C4024" s="52" t="s">
        <v>35</v>
      </c>
      <c r="D4024" s="52" t="s">
        <v>129</v>
      </c>
      <c r="E4024" s="52" t="s">
        <v>580</v>
      </c>
      <c r="F4024" s="52" t="s">
        <v>26</v>
      </c>
      <c r="G4024" s="55" t="s">
        <v>279</v>
      </c>
      <c r="H4024" s="55">
        <v>0.566164</v>
      </c>
      <c r="I4024" s="55">
        <v>0.4354827</v>
      </c>
      <c r="J4024" s="55">
        <v>0.37281439999999999</v>
      </c>
      <c r="K4024" s="55">
        <v>0.38670680000000002</v>
      </c>
      <c r="L4024" s="55">
        <v>0.37904769999999999</v>
      </c>
      <c r="M4024" s="55">
        <v>0.37109389999999998</v>
      </c>
      <c r="N4024" s="55">
        <v>0.32103759999999998</v>
      </c>
    </row>
    <row r="4025" spans="1:14" hidden="1" x14ac:dyDescent="0.35">
      <c r="A4025" s="52" t="s">
        <v>231</v>
      </c>
      <c r="B4025" s="52" t="s">
        <v>37</v>
      </c>
      <c r="C4025" s="52" t="s">
        <v>105</v>
      </c>
      <c r="D4025" s="52" t="s">
        <v>105</v>
      </c>
      <c r="E4025" s="52" t="s">
        <v>632</v>
      </c>
      <c r="F4025" s="52" t="s">
        <v>581</v>
      </c>
      <c r="G4025" s="55" t="s">
        <v>275</v>
      </c>
      <c r="H4025" s="55">
        <v>109.7004</v>
      </c>
      <c r="I4025" s="55">
        <v>118.283</v>
      </c>
      <c r="J4025" s="55">
        <v>121.0814</v>
      </c>
      <c r="K4025" s="55">
        <v>95.495850000000004</v>
      </c>
      <c r="L4025" s="55">
        <v>41.61806</v>
      </c>
      <c r="M4025" s="55">
        <v>23.307729999999999</v>
      </c>
      <c r="N4025" s="55">
        <v>19.09355</v>
      </c>
    </row>
    <row r="4026" spans="1:14" hidden="1" x14ac:dyDescent="0.35">
      <c r="A4026" s="52" t="s">
        <v>231</v>
      </c>
      <c r="B4026" s="52" t="s">
        <v>37</v>
      </c>
      <c r="C4026" s="52" t="s">
        <v>105</v>
      </c>
      <c r="D4026" s="52" t="s">
        <v>105</v>
      </c>
      <c r="E4026" s="52" t="s">
        <v>632</v>
      </c>
      <c r="F4026" s="52" t="s">
        <v>581</v>
      </c>
      <c r="G4026" s="55" t="s">
        <v>276</v>
      </c>
      <c r="H4026" s="55">
        <v>-1.6056729999999999</v>
      </c>
      <c r="I4026" s="55">
        <v>-88.073189999999997</v>
      </c>
      <c r="J4026" s="55">
        <v>-83.161829999999995</v>
      </c>
      <c r="K4026" s="55">
        <v>-84.454639999999998</v>
      </c>
      <c r="L4026" s="55">
        <v>-23.639600000000002</v>
      </c>
      <c r="M4026" s="55">
        <v>2.1080920000000001</v>
      </c>
      <c r="N4026" s="55">
        <v>3.4516749999999998</v>
      </c>
    </row>
    <row r="4027" spans="1:14" hidden="1" x14ac:dyDescent="0.35">
      <c r="A4027" s="52" t="s">
        <v>231</v>
      </c>
      <c r="B4027" s="52" t="s">
        <v>37</v>
      </c>
      <c r="C4027" s="52" t="s">
        <v>105</v>
      </c>
      <c r="D4027" s="52" t="s">
        <v>105</v>
      </c>
      <c r="E4027" s="52" t="s">
        <v>632</v>
      </c>
      <c r="F4027" s="52" t="s">
        <v>581</v>
      </c>
      <c r="G4027" s="55" t="s">
        <v>277</v>
      </c>
      <c r="H4027" s="55">
        <v>265.64569999999998</v>
      </c>
      <c r="I4027" s="55">
        <v>26.466480000000001</v>
      </c>
      <c r="J4027" s="55">
        <v>8.9742130000000007</v>
      </c>
      <c r="K4027" s="55">
        <v>27.60567</v>
      </c>
      <c r="L4027" s="55">
        <v>18.730129999999999</v>
      </c>
      <c r="M4027" s="55">
        <v>1.3368169999999999</v>
      </c>
      <c r="N4027" s="55">
        <v>0</v>
      </c>
    </row>
    <row r="4028" spans="1:14" hidden="1" x14ac:dyDescent="0.35">
      <c r="A4028" s="52" t="s">
        <v>231</v>
      </c>
      <c r="B4028" s="52" t="s">
        <v>37</v>
      </c>
      <c r="C4028" s="52" t="s">
        <v>105</v>
      </c>
      <c r="D4028" s="52" t="s">
        <v>105</v>
      </c>
      <c r="E4028" s="52" t="s">
        <v>632</v>
      </c>
      <c r="F4028" s="52" t="s">
        <v>581</v>
      </c>
      <c r="G4028" s="55" t="s">
        <v>278</v>
      </c>
      <c r="H4028" s="55">
        <v>18.827030000000001</v>
      </c>
      <c r="I4028" s="55">
        <v>0</v>
      </c>
      <c r="J4028" s="55">
        <v>5.2368999999999999E-2</v>
      </c>
      <c r="K4028" s="55">
        <v>0</v>
      </c>
      <c r="L4028" s="55"/>
      <c r="M4028" s="55"/>
      <c r="N4028" s="55"/>
    </row>
    <row r="4029" spans="1:14" hidden="1" x14ac:dyDescent="0.35">
      <c r="A4029" s="52" t="s">
        <v>231</v>
      </c>
      <c r="B4029" s="52" t="s">
        <v>37</v>
      </c>
      <c r="C4029" s="52" t="s">
        <v>105</v>
      </c>
      <c r="D4029" s="52" t="s">
        <v>105</v>
      </c>
      <c r="E4029" s="52" t="s">
        <v>632</v>
      </c>
      <c r="F4029" s="52" t="s">
        <v>581</v>
      </c>
      <c r="G4029" s="55" t="s">
        <v>279</v>
      </c>
      <c r="H4029" s="55">
        <v>239.886</v>
      </c>
      <c r="I4029" s="55">
        <v>122.431</v>
      </c>
      <c r="J4029" s="55">
        <v>94.744829999999993</v>
      </c>
      <c r="K4029" s="55">
        <v>91.483969999999999</v>
      </c>
      <c r="L4029" s="55">
        <v>88.728030000000004</v>
      </c>
      <c r="M4029" s="55">
        <v>82.340249999999997</v>
      </c>
      <c r="N4029" s="55">
        <v>67.999560000000002</v>
      </c>
    </row>
    <row r="4030" spans="1:14" hidden="1" x14ac:dyDescent="0.35">
      <c r="A4030" s="52" t="s">
        <v>231</v>
      </c>
      <c r="B4030" s="52" t="s">
        <v>37</v>
      </c>
      <c r="C4030" s="52" t="s">
        <v>105</v>
      </c>
      <c r="D4030" s="52" t="s">
        <v>105</v>
      </c>
      <c r="E4030" s="52" t="s">
        <v>632</v>
      </c>
      <c r="F4030" s="52" t="s">
        <v>26</v>
      </c>
      <c r="G4030" s="55" t="s">
        <v>275</v>
      </c>
      <c r="H4030" s="55">
        <v>-5.9863929999999996</v>
      </c>
      <c r="I4030" s="55">
        <v>-5.4697480000000001</v>
      </c>
      <c r="J4030" s="55">
        <v>-1.123721</v>
      </c>
      <c r="K4030" s="55">
        <v>-3.3658060000000001</v>
      </c>
      <c r="L4030" s="55">
        <v>-3.6382720000000002</v>
      </c>
      <c r="M4030" s="55">
        <v>-5.8380739999999998</v>
      </c>
      <c r="N4030" s="55">
        <v>-4.8290769999999998</v>
      </c>
    </row>
    <row r="4031" spans="1:14" hidden="1" x14ac:dyDescent="0.35">
      <c r="A4031" s="52" t="s">
        <v>231</v>
      </c>
      <c r="B4031" s="52" t="s">
        <v>37</v>
      </c>
      <c r="C4031" s="52" t="s">
        <v>105</v>
      </c>
      <c r="D4031" s="52" t="s">
        <v>105</v>
      </c>
      <c r="E4031" s="52" t="s">
        <v>632</v>
      </c>
      <c r="F4031" s="52" t="s">
        <v>26</v>
      </c>
      <c r="G4031" s="55" t="s">
        <v>276</v>
      </c>
      <c r="H4031" s="55">
        <v>-2.0750039999999998</v>
      </c>
      <c r="I4031" s="55">
        <v>-1.8959239999999999</v>
      </c>
      <c r="J4031" s="55">
        <v>-0.38950309999999999</v>
      </c>
      <c r="K4031" s="55">
        <v>-1.166655</v>
      </c>
      <c r="L4031" s="55">
        <v>-1.261099</v>
      </c>
      <c r="M4031" s="55">
        <v>-2.0235919999999998</v>
      </c>
      <c r="N4031" s="55">
        <v>-1.673854</v>
      </c>
    </row>
    <row r="4032" spans="1:14" hidden="1" x14ac:dyDescent="0.35">
      <c r="A4032" s="52" t="s">
        <v>231</v>
      </c>
      <c r="B4032" s="52" t="s">
        <v>37</v>
      </c>
      <c r="C4032" s="52" t="s">
        <v>105</v>
      </c>
      <c r="D4032" s="52" t="s">
        <v>105</v>
      </c>
      <c r="E4032" s="52" t="s">
        <v>632</v>
      </c>
      <c r="F4032" s="52" t="s">
        <v>26</v>
      </c>
      <c r="G4032" s="55" t="s">
        <v>279</v>
      </c>
      <c r="H4032" s="55">
        <v>143.30869999999999</v>
      </c>
      <c r="I4032" s="55">
        <v>78.703829999999996</v>
      </c>
      <c r="J4032" s="55">
        <v>60.835299999999997</v>
      </c>
      <c r="K4032" s="55">
        <v>58.839730000000003</v>
      </c>
      <c r="L4032" s="55">
        <v>57.068080000000002</v>
      </c>
      <c r="M4032" s="55">
        <v>53.070300000000003</v>
      </c>
      <c r="N4032" s="55">
        <v>43.805250000000001</v>
      </c>
    </row>
    <row r="4033" spans="1:14" hidden="1" x14ac:dyDescent="0.35">
      <c r="A4033" s="52" t="s">
        <v>231</v>
      </c>
      <c r="B4033" s="52" t="s">
        <v>37</v>
      </c>
      <c r="C4033" s="52" t="s">
        <v>105</v>
      </c>
      <c r="D4033" s="52" t="s">
        <v>105</v>
      </c>
      <c r="E4033" s="52" t="s">
        <v>633</v>
      </c>
      <c r="F4033" s="52" t="s">
        <v>581</v>
      </c>
      <c r="G4033" s="55" t="s">
        <v>275</v>
      </c>
      <c r="H4033" s="55">
        <v>89.855059999999995</v>
      </c>
      <c r="I4033" s="55">
        <v>36.073590000000003</v>
      </c>
      <c r="J4033" s="55">
        <v>30.42154</v>
      </c>
      <c r="K4033" s="55">
        <v>9.1938399999999998</v>
      </c>
      <c r="L4033" s="55">
        <v>10.52314</v>
      </c>
      <c r="M4033" s="55">
        <v>9.7314190000000007</v>
      </c>
      <c r="N4033" s="55">
        <v>8.6755580000000005</v>
      </c>
    </row>
    <row r="4034" spans="1:14" hidden="1" x14ac:dyDescent="0.35">
      <c r="A4034" s="52" t="s">
        <v>231</v>
      </c>
      <c r="B4034" s="52" t="s">
        <v>37</v>
      </c>
      <c r="C4034" s="52" t="s">
        <v>105</v>
      </c>
      <c r="D4034" s="52" t="s">
        <v>105</v>
      </c>
      <c r="E4034" s="52" t="s">
        <v>633</v>
      </c>
      <c r="F4034" s="52" t="s">
        <v>581</v>
      </c>
      <c r="G4034" s="55" t="s">
        <v>276</v>
      </c>
      <c r="H4034" s="55">
        <v>-24.585629999999998</v>
      </c>
      <c r="I4034" s="55">
        <v>-15.135109999999999</v>
      </c>
      <c r="J4034" s="55">
        <v>-11.36444</v>
      </c>
      <c r="K4034" s="55">
        <v>-1.1492800000000001</v>
      </c>
      <c r="L4034" s="55">
        <v>1.621543</v>
      </c>
      <c r="M4034" s="55">
        <v>2.7626029999999999</v>
      </c>
      <c r="N4034" s="55">
        <v>2.518723</v>
      </c>
    </row>
    <row r="4035" spans="1:14" hidden="1" x14ac:dyDescent="0.35">
      <c r="A4035" s="52" t="s">
        <v>231</v>
      </c>
      <c r="B4035" s="52" t="s">
        <v>37</v>
      </c>
      <c r="C4035" s="52" t="s">
        <v>105</v>
      </c>
      <c r="D4035" s="52" t="s">
        <v>105</v>
      </c>
      <c r="E4035" s="52" t="s">
        <v>633</v>
      </c>
      <c r="F4035" s="52" t="s">
        <v>581</v>
      </c>
      <c r="G4035" s="55" t="s">
        <v>277</v>
      </c>
      <c r="H4035" s="55">
        <v>19.902450000000002</v>
      </c>
      <c r="I4035" s="55">
        <v>0</v>
      </c>
      <c r="J4035" s="55">
        <v>0</v>
      </c>
      <c r="K4035" s="55">
        <v>8.6328510000000005</v>
      </c>
      <c r="L4035" s="55">
        <v>4.1018249999999998</v>
      </c>
      <c r="M4035" s="55">
        <v>0</v>
      </c>
      <c r="N4035" s="55">
        <v>0</v>
      </c>
    </row>
    <row r="4036" spans="1:14" hidden="1" x14ac:dyDescent="0.35">
      <c r="A4036" s="52" t="s">
        <v>231</v>
      </c>
      <c r="B4036" s="52" t="s">
        <v>37</v>
      </c>
      <c r="C4036" s="52" t="s">
        <v>105</v>
      </c>
      <c r="D4036" s="52" t="s">
        <v>105</v>
      </c>
      <c r="E4036" s="52" t="s">
        <v>633</v>
      </c>
      <c r="F4036" s="52" t="s">
        <v>581</v>
      </c>
      <c r="G4036" s="55" t="s">
        <v>278</v>
      </c>
      <c r="H4036" s="55">
        <v>0</v>
      </c>
      <c r="I4036" s="55"/>
      <c r="J4036" s="55">
        <v>0</v>
      </c>
      <c r="K4036" s="55">
        <v>0</v>
      </c>
      <c r="L4036" s="55"/>
      <c r="M4036" s="55">
        <v>0</v>
      </c>
      <c r="N4036" s="55"/>
    </row>
    <row r="4037" spans="1:14" hidden="1" x14ac:dyDescent="0.35">
      <c r="A4037" s="52" t="s">
        <v>231</v>
      </c>
      <c r="B4037" s="52" t="s">
        <v>37</v>
      </c>
      <c r="C4037" s="52" t="s">
        <v>105</v>
      </c>
      <c r="D4037" s="52" t="s">
        <v>105</v>
      </c>
      <c r="E4037" s="52" t="s">
        <v>633</v>
      </c>
      <c r="F4037" s="52" t="s">
        <v>581</v>
      </c>
      <c r="G4037" s="55" t="s">
        <v>279</v>
      </c>
      <c r="H4037" s="55">
        <v>57.889069999999997</v>
      </c>
      <c r="I4037" s="55">
        <v>44.408340000000003</v>
      </c>
      <c r="J4037" s="55">
        <v>37.747700000000002</v>
      </c>
      <c r="K4037" s="55">
        <v>38.295389999999998</v>
      </c>
      <c r="L4037" s="55">
        <v>36.71604</v>
      </c>
      <c r="M4037" s="55">
        <v>35.36759</v>
      </c>
      <c r="N4037" s="55">
        <v>31.43533</v>
      </c>
    </row>
    <row r="4038" spans="1:14" hidden="1" x14ac:dyDescent="0.35">
      <c r="A4038" s="52" t="s">
        <v>231</v>
      </c>
      <c r="B4038" s="52" t="s">
        <v>37</v>
      </c>
      <c r="C4038" s="52" t="s">
        <v>105</v>
      </c>
      <c r="D4038" s="52" t="s">
        <v>105</v>
      </c>
      <c r="E4038" s="52" t="s">
        <v>633</v>
      </c>
      <c r="F4038" s="52" t="s">
        <v>26</v>
      </c>
      <c r="G4038" s="55" t="s">
        <v>275</v>
      </c>
      <c r="H4038" s="55">
        <v>16.255230000000001</v>
      </c>
      <c r="I4038" s="55">
        <v>11.604380000000001</v>
      </c>
      <c r="J4038" s="55">
        <v>12.805389999999999</v>
      </c>
      <c r="K4038" s="55">
        <v>6.6650770000000001</v>
      </c>
      <c r="L4038" s="55">
        <v>5.3676320000000004</v>
      </c>
      <c r="M4038" s="55">
        <v>6.2388320000000004</v>
      </c>
      <c r="N4038" s="55">
        <v>5.4680280000000003</v>
      </c>
    </row>
    <row r="4039" spans="1:14" hidden="1" x14ac:dyDescent="0.35">
      <c r="A4039" s="52" t="s">
        <v>231</v>
      </c>
      <c r="B4039" s="52" t="s">
        <v>37</v>
      </c>
      <c r="C4039" s="52" t="s">
        <v>105</v>
      </c>
      <c r="D4039" s="52" t="s">
        <v>105</v>
      </c>
      <c r="E4039" s="52" t="s">
        <v>633</v>
      </c>
      <c r="F4039" s="52" t="s">
        <v>26</v>
      </c>
      <c r="G4039" s="55" t="s">
        <v>276</v>
      </c>
      <c r="H4039" s="55">
        <v>5.6343880000000004</v>
      </c>
      <c r="I4039" s="55">
        <v>1.9004589999999999</v>
      </c>
      <c r="J4039" s="55">
        <v>2.5391270000000001</v>
      </c>
      <c r="K4039" s="55">
        <v>2.694785</v>
      </c>
      <c r="L4039" s="55">
        <v>2.6156130000000002</v>
      </c>
      <c r="M4039" s="55">
        <v>1.807647</v>
      </c>
      <c r="N4039" s="55">
        <v>1.611443</v>
      </c>
    </row>
    <row r="4040" spans="1:14" hidden="1" x14ac:dyDescent="0.35">
      <c r="A4040" s="52" t="s">
        <v>231</v>
      </c>
      <c r="B4040" s="52" t="s">
        <v>37</v>
      </c>
      <c r="C4040" s="52" t="s">
        <v>105</v>
      </c>
      <c r="D4040" s="52" t="s">
        <v>105</v>
      </c>
      <c r="E4040" s="52" t="s">
        <v>633</v>
      </c>
      <c r="F4040" s="52" t="s">
        <v>26</v>
      </c>
      <c r="G4040" s="55" t="s">
        <v>277</v>
      </c>
      <c r="H4040" s="55"/>
      <c r="I4040" s="55">
        <v>0</v>
      </c>
      <c r="J4040" s="55">
        <v>0</v>
      </c>
      <c r="K4040" s="55">
        <v>0.85388220000000004</v>
      </c>
      <c r="L4040" s="55">
        <v>2.3019949999999998</v>
      </c>
      <c r="M4040" s="55">
        <v>0</v>
      </c>
      <c r="N4040" s="55">
        <v>0</v>
      </c>
    </row>
    <row r="4041" spans="1:14" hidden="1" x14ac:dyDescent="0.35">
      <c r="A4041" s="52" t="s">
        <v>231</v>
      </c>
      <c r="B4041" s="52" t="s">
        <v>37</v>
      </c>
      <c r="C4041" s="52" t="s">
        <v>105</v>
      </c>
      <c r="D4041" s="52" t="s">
        <v>105</v>
      </c>
      <c r="E4041" s="52" t="s">
        <v>633</v>
      </c>
      <c r="F4041" s="52" t="s">
        <v>26</v>
      </c>
      <c r="G4041" s="55" t="s">
        <v>278</v>
      </c>
      <c r="H4041" s="55"/>
      <c r="I4041" s="55"/>
      <c r="J4041" s="55">
        <v>0</v>
      </c>
      <c r="K4041" s="55">
        <v>2.3130120000000001</v>
      </c>
      <c r="L4041" s="55">
        <v>1.5629999999999999</v>
      </c>
      <c r="M4041" s="55">
        <v>0</v>
      </c>
      <c r="N4041" s="55"/>
    </row>
    <row r="4042" spans="1:14" hidden="1" x14ac:dyDescent="0.35">
      <c r="A4042" s="52" t="s">
        <v>231</v>
      </c>
      <c r="B4042" s="52" t="s">
        <v>37</v>
      </c>
      <c r="C4042" s="52" t="s">
        <v>105</v>
      </c>
      <c r="D4042" s="52" t="s">
        <v>105</v>
      </c>
      <c r="E4042" s="52" t="s">
        <v>633</v>
      </c>
      <c r="F4042" s="52" t="s">
        <v>26</v>
      </c>
      <c r="G4042" s="55" t="s">
        <v>279</v>
      </c>
      <c r="H4042" s="55">
        <v>67.855419999999995</v>
      </c>
      <c r="I4042" s="55">
        <v>49.763399999999997</v>
      </c>
      <c r="J4042" s="55">
        <v>42.13053</v>
      </c>
      <c r="K4042" s="55">
        <v>42.806699999999999</v>
      </c>
      <c r="L4042" s="55">
        <v>41.20391</v>
      </c>
      <c r="M4042" s="55">
        <v>39.671329999999998</v>
      </c>
      <c r="N4042" s="55">
        <v>35.200859999999999</v>
      </c>
    </row>
    <row r="4043" spans="1:14" hidden="1" x14ac:dyDescent="0.35">
      <c r="A4043" s="52" t="s">
        <v>231</v>
      </c>
      <c r="B4043" s="52" t="s">
        <v>37</v>
      </c>
      <c r="C4043" s="52" t="s">
        <v>105</v>
      </c>
      <c r="D4043" s="52" t="s">
        <v>105</v>
      </c>
      <c r="E4043" s="52" t="s">
        <v>584</v>
      </c>
      <c r="F4043" s="52" t="s">
        <v>581</v>
      </c>
      <c r="G4043" s="55" t="s">
        <v>275</v>
      </c>
      <c r="H4043" s="55">
        <v>-4.2590089999999998</v>
      </c>
      <c r="I4043" s="55">
        <v>-0.14845149999999999</v>
      </c>
      <c r="J4043" s="55">
        <v>-0.21521689999999999</v>
      </c>
      <c r="K4043" s="55">
        <v>-0.47227760000000002</v>
      </c>
      <c r="L4043" s="55">
        <v>0.13274949999999999</v>
      </c>
      <c r="M4043" s="55">
        <v>-0.34031650000000002</v>
      </c>
      <c r="N4043" s="55">
        <v>-0.29054770000000002</v>
      </c>
    </row>
    <row r="4044" spans="1:14" hidden="1" x14ac:dyDescent="0.35">
      <c r="A4044" s="52" t="s">
        <v>231</v>
      </c>
      <c r="B4044" s="52" t="s">
        <v>37</v>
      </c>
      <c r="C4044" s="52" t="s">
        <v>105</v>
      </c>
      <c r="D4044" s="52" t="s">
        <v>105</v>
      </c>
      <c r="E4044" s="52" t="s">
        <v>584</v>
      </c>
      <c r="F4044" s="52" t="s">
        <v>581</v>
      </c>
      <c r="G4044" s="55" t="s">
        <v>276</v>
      </c>
      <c r="H4044" s="55">
        <v>-0.48427900000000002</v>
      </c>
      <c r="I4044" s="55">
        <v>-0.69300470000000003</v>
      </c>
      <c r="J4044" s="55">
        <v>-0.50987830000000001</v>
      </c>
      <c r="K4044" s="55">
        <v>-0.22221340000000001</v>
      </c>
      <c r="L4044" s="55">
        <v>-0.78339239999999999</v>
      </c>
      <c r="M4044" s="55">
        <v>-0.21667249999999999</v>
      </c>
      <c r="N4044" s="55">
        <v>-0.1905684</v>
      </c>
    </row>
    <row r="4045" spans="1:14" hidden="1" x14ac:dyDescent="0.35">
      <c r="A4045" s="52" t="s">
        <v>231</v>
      </c>
      <c r="B4045" s="52" t="s">
        <v>37</v>
      </c>
      <c r="C4045" s="52" t="s">
        <v>105</v>
      </c>
      <c r="D4045" s="52" t="s">
        <v>105</v>
      </c>
      <c r="E4045" s="52" t="s">
        <v>584</v>
      </c>
      <c r="F4045" s="52" t="s">
        <v>581</v>
      </c>
      <c r="G4045" s="55" t="s">
        <v>277</v>
      </c>
      <c r="H4045" s="55">
        <v>6.6248430000000003</v>
      </c>
      <c r="I4045" s="55">
        <v>1.349926</v>
      </c>
      <c r="J4045" s="55">
        <v>1.202094</v>
      </c>
      <c r="K4045" s="55">
        <v>1.093377</v>
      </c>
      <c r="L4045" s="55">
        <v>0.9846724</v>
      </c>
      <c r="M4045" s="55">
        <v>0.86092659999999999</v>
      </c>
      <c r="N4045" s="55">
        <v>0.76110429999999996</v>
      </c>
    </row>
    <row r="4046" spans="1:14" hidden="1" x14ac:dyDescent="0.35">
      <c r="A4046" s="52" t="s">
        <v>231</v>
      </c>
      <c r="B4046" s="52" t="s">
        <v>37</v>
      </c>
      <c r="C4046" s="52" t="s">
        <v>105</v>
      </c>
      <c r="D4046" s="52" t="s">
        <v>105</v>
      </c>
      <c r="E4046" s="52" t="s">
        <v>584</v>
      </c>
      <c r="F4046" s="52" t="s">
        <v>581</v>
      </c>
      <c r="G4046" s="55" t="s">
        <v>279</v>
      </c>
      <c r="H4046" s="55">
        <v>1.0822179999999999</v>
      </c>
      <c r="I4046" s="55">
        <v>0.79240129999999998</v>
      </c>
      <c r="J4046" s="55">
        <v>0.71560650000000003</v>
      </c>
      <c r="K4046" s="55">
        <v>0.7192248</v>
      </c>
      <c r="L4046" s="55">
        <v>0.70405019999999996</v>
      </c>
      <c r="M4046" s="55">
        <v>0.63132270000000001</v>
      </c>
      <c r="N4046" s="55">
        <v>0.57243880000000003</v>
      </c>
    </row>
    <row r="4047" spans="1:14" hidden="1" x14ac:dyDescent="0.35">
      <c r="A4047" s="52" t="s">
        <v>231</v>
      </c>
      <c r="B4047" s="52" t="s">
        <v>37</v>
      </c>
      <c r="C4047" s="52" t="s">
        <v>105</v>
      </c>
      <c r="D4047" s="52" t="s">
        <v>105</v>
      </c>
      <c r="E4047" s="52" t="s">
        <v>584</v>
      </c>
      <c r="F4047" s="52" t="s">
        <v>26</v>
      </c>
      <c r="G4047" s="55" t="s">
        <v>275</v>
      </c>
      <c r="H4047" s="55">
        <v>1.0165E-2</v>
      </c>
      <c r="I4047" s="55">
        <v>1.5148999999999999E-2</v>
      </c>
      <c r="J4047" s="55">
        <v>5.77E-3</v>
      </c>
      <c r="K4047" s="55">
        <v>1.1023E-2</v>
      </c>
      <c r="L4047" s="55">
        <v>0</v>
      </c>
      <c r="M4047" s="55"/>
      <c r="N4047" s="55">
        <v>0</v>
      </c>
    </row>
    <row r="4048" spans="1:14" hidden="1" x14ac:dyDescent="0.35">
      <c r="A4048" s="52" t="s">
        <v>231</v>
      </c>
      <c r="B4048" s="52" t="s">
        <v>37</v>
      </c>
      <c r="C4048" s="52" t="s">
        <v>105</v>
      </c>
      <c r="D4048" s="52" t="s">
        <v>105</v>
      </c>
      <c r="E4048" s="52" t="s">
        <v>584</v>
      </c>
      <c r="F4048" s="52" t="s">
        <v>26</v>
      </c>
      <c r="G4048" s="55" t="s">
        <v>276</v>
      </c>
      <c r="H4048" s="55">
        <v>-1.0165E-2</v>
      </c>
      <c r="I4048" s="55">
        <v>-1.5148999999999999E-2</v>
      </c>
      <c r="J4048" s="55">
        <v>-5.77E-3</v>
      </c>
      <c r="K4048" s="55">
        <v>-1.1023E-2</v>
      </c>
      <c r="L4048" s="55">
        <v>0</v>
      </c>
      <c r="M4048" s="55"/>
      <c r="N4048" s="55">
        <v>0</v>
      </c>
    </row>
    <row r="4049" spans="1:14" hidden="1" x14ac:dyDescent="0.35">
      <c r="A4049" s="52" t="s">
        <v>231</v>
      </c>
      <c r="B4049" s="52" t="s">
        <v>37</v>
      </c>
      <c r="C4049" s="52" t="s">
        <v>105</v>
      </c>
      <c r="D4049" s="52" t="s">
        <v>105</v>
      </c>
      <c r="E4049" s="52" t="s">
        <v>584</v>
      </c>
      <c r="F4049" s="52" t="s">
        <v>26</v>
      </c>
      <c r="G4049" s="55" t="s">
        <v>278</v>
      </c>
      <c r="H4049" s="55">
        <v>0</v>
      </c>
      <c r="I4049" s="55"/>
      <c r="J4049" s="55"/>
      <c r="K4049" s="55"/>
      <c r="L4049" s="55"/>
      <c r="M4049" s="55"/>
      <c r="N4049" s="55"/>
    </row>
    <row r="4050" spans="1:14" hidden="1" x14ac:dyDescent="0.35">
      <c r="A4050" s="52" t="s">
        <v>231</v>
      </c>
      <c r="B4050" s="52" t="s">
        <v>37</v>
      </c>
      <c r="C4050" s="52" t="s">
        <v>105</v>
      </c>
      <c r="D4050" s="52" t="s">
        <v>105</v>
      </c>
      <c r="E4050" s="52" t="s">
        <v>584</v>
      </c>
      <c r="F4050" s="52" t="s">
        <v>26</v>
      </c>
      <c r="G4050" s="55" t="s">
        <v>279</v>
      </c>
      <c r="H4050" s="55"/>
      <c r="I4050" s="55"/>
      <c r="J4050" s="55"/>
      <c r="K4050" s="55"/>
      <c r="L4050" s="55">
        <v>0</v>
      </c>
      <c r="M4050" s="55"/>
      <c r="N4050" s="55">
        <v>0</v>
      </c>
    </row>
    <row r="4051" spans="1:14" hidden="1" x14ac:dyDescent="0.35">
      <c r="A4051" s="52" t="s">
        <v>231</v>
      </c>
      <c r="B4051" s="52" t="s">
        <v>37</v>
      </c>
      <c r="C4051" s="52" t="s">
        <v>79</v>
      </c>
      <c r="D4051" s="52" t="s">
        <v>79</v>
      </c>
      <c r="E4051" s="52" t="s">
        <v>600</v>
      </c>
      <c r="F4051" s="52" t="s">
        <v>581</v>
      </c>
      <c r="G4051" s="55" t="s">
        <v>275</v>
      </c>
      <c r="H4051" s="55">
        <v>132.3579</v>
      </c>
      <c r="I4051" s="55">
        <v>71.283159999999995</v>
      </c>
      <c r="J4051" s="55">
        <v>91.471919999999997</v>
      </c>
      <c r="K4051" s="55">
        <v>102.1828</v>
      </c>
      <c r="L4051" s="55">
        <v>87.011989999999997</v>
      </c>
      <c r="M4051" s="55">
        <v>51.747689999999999</v>
      </c>
      <c r="N4051" s="55">
        <v>47.198059999999998</v>
      </c>
    </row>
    <row r="4052" spans="1:14" hidden="1" x14ac:dyDescent="0.35">
      <c r="A4052" s="52" t="s">
        <v>231</v>
      </c>
      <c r="B4052" s="52" t="s">
        <v>37</v>
      </c>
      <c r="C4052" s="52" t="s">
        <v>79</v>
      </c>
      <c r="D4052" s="52" t="s">
        <v>79</v>
      </c>
      <c r="E4052" s="52" t="s">
        <v>600</v>
      </c>
      <c r="F4052" s="52" t="s">
        <v>581</v>
      </c>
      <c r="G4052" s="55" t="s">
        <v>276</v>
      </c>
      <c r="H4052" s="55">
        <v>-25.37584</v>
      </c>
      <c r="I4052" s="55">
        <v>-5.4867010000000001</v>
      </c>
      <c r="J4052" s="55">
        <v>3.545588</v>
      </c>
      <c r="K4052" s="55">
        <v>-1.6262380000000001</v>
      </c>
      <c r="L4052" s="55">
        <v>-5.5631079999999997</v>
      </c>
      <c r="M4052" s="55">
        <v>6.222442</v>
      </c>
      <c r="N4052" s="55">
        <v>7.4408399999999997</v>
      </c>
    </row>
    <row r="4053" spans="1:14" hidden="1" x14ac:dyDescent="0.35">
      <c r="A4053" s="52" t="s">
        <v>231</v>
      </c>
      <c r="B4053" s="52" t="s">
        <v>37</v>
      </c>
      <c r="C4053" s="52" t="s">
        <v>79</v>
      </c>
      <c r="D4053" s="52" t="s">
        <v>79</v>
      </c>
      <c r="E4053" s="52" t="s">
        <v>600</v>
      </c>
      <c r="F4053" s="52" t="s">
        <v>581</v>
      </c>
      <c r="G4053" s="55" t="s">
        <v>277</v>
      </c>
      <c r="H4053" s="55">
        <v>240.28569999999999</v>
      </c>
      <c r="I4053" s="55">
        <v>76.677289999999999</v>
      </c>
      <c r="J4053" s="55">
        <v>59.498710000000003</v>
      </c>
      <c r="K4053" s="55">
        <v>22.69294</v>
      </c>
      <c r="L4053" s="55">
        <v>21.803260000000002</v>
      </c>
      <c r="M4053" s="55">
        <v>22.114070000000002</v>
      </c>
      <c r="N4053" s="55">
        <v>19.597560000000001</v>
      </c>
    </row>
    <row r="4054" spans="1:14" hidden="1" x14ac:dyDescent="0.35">
      <c r="A4054" s="52" t="s">
        <v>231</v>
      </c>
      <c r="B4054" s="52" t="s">
        <v>37</v>
      </c>
      <c r="C4054" s="52" t="s">
        <v>79</v>
      </c>
      <c r="D4054" s="52" t="s">
        <v>79</v>
      </c>
      <c r="E4054" s="52" t="s">
        <v>600</v>
      </c>
      <c r="F4054" s="52" t="s">
        <v>581</v>
      </c>
      <c r="G4054" s="55" t="s">
        <v>278</v>
      </c>
      <c r="H4054" s="55">
        <v>15.71429</v>
      </c>
      <c r="I4054" s="55">
        <v>7.1071859999999996</v>
      </c>
      <c r="J4054" s="55">
        <v>7.9786109999999999</v>
      </c>
      <c r="K4054" s="55">
        <v>6.1711729999999996</v>
      </c>
      <c r="L4054" s="55">
        <v>3.809374</v>
      </c>
      <c r="M4054" s="55">
        <v>1.3079000000000001</v>
      </c>
      <c r="N4054" s="55">
        <v>0.51504059999999996</v>
      </c>
    </row>
    <row r="4055" spans="1:14" hidden="1" x14ac:dyDescent="0.35">
      <c r="A4055" s="52" t="s">
        <v>231</v>
      </c>
      <c r="B4055" s="52" t="s">
        <v>37</v>
      </c>
      <c r="C4055" s="52" t="s">
        <v>79</v>
      </c>
      <c r="D4055" s="52" t="s">
        <v>79</v>
      </c>
      <c r="E4055" s="52" t="s">
        <v>600</v>
      </c>
      <c r="F4055" s="52" t="s">
        <v>581</v>
      </c>
      <c r="G4055" s="55" t="s">
        <v>279</v>
      </c>
      <c r="H4055" s="55">
        <v>187.12119999999999</v>
      </c>
      <c r="I4055" s="55">
        <v>166.38310000000001</v>
      </c>
      <c r="J4055" s="55">
        <v>169.34010000000001</v>
      </c>
      <c r="K4055" s="55">
        <v>144.87389999999999</v>
      </c>
      <c r="L4055" s="55">
        <v>112.23050000000001</v>
      </c>
      <c r="M4055" s="55">
        <v>101.5625</v>
      </c>
      <c r="N4055" s="55">
        <v>90.017319999999998</v>
      </c>
    </row>
    <row r="4056" spans="1:14" hidden="1" x14ac:dyDescent="0.35">
      <c r="A4056" s="52" t="s">
        <v>231</v>
      </c>
      <c r="B4056" s="52" t="s">
        <v>37</v>
      </c>
      <c r="C4056" s="52" t="s">
        <v>79</v>
      </c>
      <c r="D4056" s="52" t="s">
        <v>79</v>
      </c>
      <c r="E4056" s="52" t="s">
        <v>600</v>
      </c>
      <c r="F4056" s="52" t="s">
        <v>26</v>
      </c>
      <c r="G4056" s="55" t="s">
        <v>275</v>
      </c>
      <c r="H4056" s="55">
        <v>-16.41236</v>
      </c>
      <c r="I4056" s="55">
        <v>-17.329239999999999</v>
      </c>
      <c r="J4056" s="55">
        <v>-14.118359999999999</v>
      </c>
      <c r="K4056" s="55">
        <v>-15.057090000000001</v>
      </c>
      <c r="L4056" s="55">
        <v>-12.389150000000001</v>
      </c>
      <c r="M4056" s="55">
        <v>-12.54749</v>
      </c>
      <c r="N4056" s="55">
        <v>-10.952220000000001</v>
      </c>
    </row>
    <row r="4057" spans="1:14" hidden="1" x14ac:dyDescent="0.35">
      <c r="A4057" s="52" t="s">
        <v>231</v>
      </c>
      <c r="B4057" s="52" t="s">
        <v>37</v>
      </c>
      <c r="C4057" s="52" t="s">
        <v>79</v>
      </c>
      <c r="D4057" s="52" t="s">
        <v>79</v>
      </c>
      <c r="E4057" s="52" t="s">
        <v>600</v>
      </c>
      <c r="F4057" s="52" t="s">
        <v>26</v>
      </c>
      <c r="G4057" s="55" t="s">
        <v>276</v>
      </c>
      <c r="H4057" s="55">
        <v>-4.7577800000000003</v>
      </c>
      <c r="I4057" s="55">
        <v>-5.0235719999999997</v>
      </c>
      <c r="J4057" s="55">
        <v>-4.0927689999999997</v>
      </c>
      <c r="K4057" s="55">
        <v>-4.3649019999999998</v>
      </c>
      <c r="L4057" s="55">
        <v>-3.5914890000000002</v>
      </c>
      <c r="M4057" s="55">
        <v>-3.6373929999999999</v>
      </c>
      <c r="N4057" s="55">
        <v>-3.1749369999999999</v>
      </c>
    </row>
    <row r="4058" spans="1:14" hidden="1" x14ac:dyDescent="0.35">
      <c r="A4058" s="52" t="s">
        <v>231</v>
      </c>
      <c r="B4058" s="52" t="s">
        <v>37</v>
      </c>
      <c r="C4058" s="52" t="s">
        <v>79</v>
      </c>
      <c r="D4058" s="52" t="s">
        <v>79</v>
      </c>
      <c r="E4058" s="52" t="s">
        <v>600</v>
      </c>
      <c r="F4058" s="52" t="s">
        <v>26</v>
      </c>
      <c r="G4058" s="55" t="s">
        <v>279</v>
      </c>
      <c r="H4058" s="55">
        <v>98.19735</v>
      </c>
      <c r="I4058" s="55">
        <v>91.066540000000003</v>
      </c>
      <c r="J4058" s="55">
        <v>94.11627</v>
      </c>
      <c r="K4058" s="55">
        <v>81.818870000000004</v>
      </c>
      <c r="L4058" s="55">
        <v>65.648340000000005</v>
      </c>
      <c r="M4058" s="55">
        <v>56.889400000000002</v>
      </c>
      <c r="N4058" s="55">
        <v>50.282499999999999</v>
      </c>
    </row>
    <row r="4059" spans="1:14" hidden="1" x14ac:dyDescent="0.35">
      <c r="A4059" s="52" t="s">
        <v>231</v>
      </c>
      <c r="B4059" s="52" t="s">
        <v>37</v>
      </c>
      <c r="C4059" s="52" t="s">
        <v>70</v>
      </c>
      <c r="D4059" s="52" t="s">
        <v>70</v>
      </c>
      <c r="E4059" s="52" t="s">
        <v>652</v>
      </c>
      <c r="F4059" s="52" t="s">
        <v>581</v>
      </c>
      <c r="G4059" s="55" t="s">
        <v>275</v>
      </c>
      <c r="H4059" s="55">
        <v>33.339410000000001</v>
      </c>
      <c r="I4059" s="55">
        <v>-9.2567599999999999</v>
      </c>
      <c r="J4059" s="55">
        <v>-4.5708789999999997</v>
      </c>
      <c r="K4059" s="55">
        <v>-4.9257900000000001</v>
      </c>
      <c r="L4059" s="55">
        <v>-2.7898320000000001</v>
      </c>
      <c r="M4059" s="55">
        <v>-7.4384199999999998</v>
      </c>
      <c r="N4059" s="55">
        <v>-6.7486870000000003</v>
      </c>
    </row>
    <row r="4060" spans="1:14" hidden="1" x14ac:dyDescent="0.35">
      <c r="A4060" s="52" t="s">
        <v>231</v>
      </c>
      <c r="B4060" s="52" t="s">
        <v>37</v>
      </c>
      <c r="C4060" s="52" t="s">
        <v>70</v>
      </c>
      <c r="D4060" s="52" t="s">
        <v>70</v>
      </c>
      <c r="E4060" s="52" t="s">
        <v>652</v>
      </c>
      <c r="F4060" s="52" t="s">
        <v>581</v>
      </c>
      <c r="G4060" s="55" t="s">
        <v>276</v>
      </c>
      <c r="H4060" s="55">
        <v>9.085286</v>
      </c>
      <c r="I4060" s="55">
        <v>-2.1423480000000001</v>
      </c>
      <c r="J4060" s="55">
        <v>-1.40388</v>
      </c>
      <c r="K4060" s="55">
        <v>-1.931986</v>
      </c>
      <c r="L4060" s="55">
        <v>-1.0342009999999999</v>
      </c>
      <c r="M4060" s="55">
        <v>-2.2687179999999998</v>
      </c>
      <c r="N4060" s="55">
        <v>-1.8454330000000001</v>
      </c>
    </row>
    <row r="4061" spans="1:14" hidden="1" x14ac:dyDescent="0.35">
      <c r="A4061" s="52" t="s">
        <v>231</v>
      </c>
      <c r="B4061" s="52" t="s">
        <v>37</v>
      </c>
      <c r="C4061" s="52" t="s">
        <v>70</v>
      </c>
      <c r="D4061" s="52" t="s">
        <v>70</v>
      </c>
      <c r="E4061" s="52" t="s">
        <v>652</v>
      </c>
      <c r="F4061" s="52" t="s">
        <v>581</v>
      </c>
      <c r="G4061" s="55" t="s">
        <v>277</v>
      </c>
      <c r="H4061" s="55">
        <v>1.9000079999999999</v>
      </c>
      <c r="I4061" s="55">
        <v>2.5582579999999999</v>
      </c>
      <c r="J4061" s="55">
        <v>0.47279700000000002</v>
      </c>
      <c r="K4061" s="55"/>
      <c r="L4061" s="55">
        <v>0</v>
      </c>
      <c r="M4061" s="55">
        <v>0</v>
      </c>
      <c r="N4061" s="55">
        <v>0</v>
      </c>
    </row>
    <row r="4062" spans="1:14" hidden="1" x14ac:dyDescent="0.35">
      <c r="A4062" s="52" t="s">
        <v>231</v>
      </c>
      <c r="B4062" s="52" t="s">
        <v>37</v>
      </c>
      <c r="C4062" s="52" t="s">
        <v>70</v>
      </c>
      <c r="D4062" s="52" t="s">
        <v>70</v>
      </c>
      <c r="E4062" s="52" t="s">
        <v>652</v>
      </c>
      <c r="F4062" s="52" t="s">
        <v>581</v>
      </c>
      <c r="G4062" s="55" t="s">
        <v>279</v>
      </c>
      <c r="H4062" s="55">
        <v>87.586569999999995</v>
      </c>
      <c r="I4062" s="55">
        <v>72.725309999999993</v>
      </c>
      <c r="J4062" s="55">
        <v>65.235039999999998</v>
      </c>
      <c r="K4062" s="55">
        <v>59.569470000000003</v>
      </c>
      <c r="L4062" s="55">
        <v>51.138890000000004</v>
      </c>
      <c r="M4062" s="55">
        <v>51.39705</v>
      </c>
      <c r="N4062" s="55">
        <v>46.03866</v>
      </c>
    </row>
    <row r="4063" spans="1:14" hidden="1" x14ac:dyDescent="0.35">
      <c r="A4063" s="52" t="s">
        <v>231</v>
      </c>
      <c r="B4063" s="52" t="s">
        <v>37</v>
      </c>
      <c r="C4063" s="52" t="s">
        <v>70</v>
      </c>
      <c r="D4063" s="52" t="s">
        <v>70</v>
      </c>
      <c r="E4063" s="52" t="s">
        <v>652</v>
      </c>
      <c r="F4063" s="52" t="s">
        <v>26</v>
      </c>
      <c r="G4063" s="55" t="s">
        <v>275</v>
      </c>
      <c r="H4063" s="55">
        <v>5.8156379999999999</v>
      </c>
      <c r="I4063" s="55">
        <v>-27.753589999999999</v>
      </c>
      <c r="J4063" s="55">
        <v>17.72749</v>
      </c>
      <c r="K4063" s="55">
        <v>11.7281</v>
      </c>
      <c r="L4063" s="55">
        <v>17.413219999999999</v>
      </c>
      <c r="M4063" s="55">
        <v>11.16677</v>
      </c>
      <c r="N4063" s="55">
        <v>7.6729909999999997</v>
      </c>
    </row>
    <row r="4064" spans="1:14" hidden="1" x14ac:dyDescent="0.35">
      <c r="A4064" s="52" t="s">
        <v>231</v>
      </c>
      <c r="B4064" s="52" t="s">
        <v>37</v>
      </c>
      <c r="C4064" s="52" t="s">
        <v>70</v>
      </c>
      <c r="D4064" s="52" t="s">
        <v>70</v>
      </c>
      <c r="E4064" s="52" t="s">
        <v>652</v>
      </c>
      <c r="F4064" s="52" t="s">
        <v>26</v>
      </c>
      <c r="G4064" s="55" t="s">
        <v>276</v>
      </c>
      <c r="H4064" s="55">
        <v>-6.8076509999999999</v>
      </c>
      <c r="I4064" s="55">
        <v>-4.8024709999999997</v>
      </c>
      <c r="J4064" s="55">
        <v>-3.424855</v>
      </c>
      <c r="K4064" s="55">
        <v>-1.992856</v>
      </c>
      <c r="L4064" s="55">
        <v>-0.16301560000000001</v>
      </c>
      <c r="M4064" s="55">
        <v>-3.3566410000000002</v>
      </c>
      <c r="N4064" s="55">
        <v>-8.1406859999999998E-2</v>
      </c>
    </row>
    <row r="4065" spans="1:14" hidden="1" x14ac:dyDescent="0.35">
      <c r="A4065" s="52" t="s">
        <v>231</v>
      </c>
      <c r="B4065" s="52" t="s">
        <v>37</v>
      </c>
      <c r="C4065" s="52" t="s">
        <v>70</v>
      </c>
      <c r="D4065" s="52" t="s">
        <v>70</v>
      </c>
      <c r="E4065" s="52" t="s">
        <v>652</v>
      </c>
      <c r="F4065" s="52" t="s">
        <v>26</v>
      </c>
      <c r="G4065" s="55" t="s">
        <v>277</v>
      </c>
      <c r="H4065" s="55">
        <v>27.76717</v>
      </c>
      <c r="I4065" s="55">
        <v>43.271659999999997</v>
      </c>
      <c r="J4065" s="55">
        <v>11.89621</v>
      </c>
      <c r="K4065" s="55">
        <v>8.0530399999999993</v>
      </c>
      <c r="L4065" s="55">
        <v>4.1057569999999997</v>
      </c>
      <c r="M4065" s="55">
        <v>0</v>
      </c>
      <c r="N4065" s="55">
        <v>0</v>
      </c>
    </row>
    <row r="4066" spans="1:14" hidden="1" x14ac:dyDescent="0.35">
      <c r="A4066" s="52" t="s">
        <v>231</v>
      </c>
      <c r="B4066" s="52" t="s">
        <v>37</v>
      </c>
      <c r="C4066" s="52" t="s">
        <v>70</v>
      </c>
      <c r="D4066" s="52" t="s">
        <v>70</v>
      </c>
      <c r="E4066" s="52" t="s">
        <v>652</v>
      </c>
      <c r="F4066" s="52" t="s">
        <v>26</v>
      </c>
      <c r="G4066" s="55" t="s">
        <v>278</v>
      </c>
      <c r="H4066" s="55">
        <v>4.3386529999999999</v>
      </c>
      <c r="I4066" s="55">
        <v>5.7444629999999997</v>
      </c>
      <c r="J4066" s="55">
        <v>3.3795060000000001</v>
      </c>
      <c r="K4066" s="55">
        <v>2.77922</v>
      </c>
      <c r="L4066" s="55">
        <v>0.68396979999999996</v>
      </c>
      <c r="M4066" s="55">
        <v>0</v>
      </c>
      <c r="N4066" s="55">
        <v>0</v>
      </c>
    </row>
    <row r="4067" spans="1:14" hidden="1" x14ac:dyDescent="0.35">
      <c r="A4067" s="52" t="s">
        <v>231</v>
      </c>
      <c r="B4067" s="52" t="s">
        <v>37</v>
      </c>
      <c r="C4067" s="52" t="s">
        <v>70</v>
      </c>
      <c r="D4067" s="52" t="s">
        <v>70</v>
      </c>
      <c r="E4067" s="52" t="s">
        <v>652</v>
      </c>
      <c r="F4067" s="52" t="s">
        <v>26</v>
      </c>
      <c r="G4067" s="55" t="s">
        <v>279</v>
      </c>
      <c r="H4067" s="55">
        <v>225.03479999999999</v>
      </c>
      <c r="I4067" s="55">
        <v>209.95140000000001</v>
      </c>
      <c r="J4067" s="55">
        <v>191.01910000000001</v>
      </c>
      <c r="K4067" s="55">
        <v>176.62870000000001</v>
      </c>
      <c r="L4067" s="55">
        <v>156.71029999999999</v>
      </c>
      <c r="M4067" s="55">
        <v>151.0232</v>
      </c>
      <c r="N4067" s="55">
        <v>135.32329999999999</v>
      </c>
    </row>
    <row r="4068" spans="1:14" hidden="1" x14ac:dyDescent="0.35">
      <c r="A4068" s="52" t="s">
        <v>231</v>
      </c>
      <c r="B4068" s="52" t="s">
        <v>37</v>
      </c>
      <c r="C4068" s="52" t="s">
        <v>70</v>
      </c>
      <c r="D4068" s="52" t="s">
        <v>70</v>
      </c>
      <c r="E4068" s="52" t="s">
        <v>653</v>
      </c>
      <c r="F4068" s="52" t="s">
        <v>26</v>
      </c>
      <c r="G4068" s="55" t="s">
        <v>275</v>
      </c>
      <c r="H4068" s="55">
        <v>-10.13752</v>
      </c>
      <c r="I4068" s="55">
        <v>-20.177759999999999</v>
      </c>
      <c r="J4068" s="55">
        <v>-10.86429</v>
      </c>
      <c r="K4068" s="55">
        <v>-9.9374120000000001</v>
      </c>
      <c r="L4068" s="55">
        <v>-6.3205280000000004</v>
      </c>
      <c r="M4068" s="55">
        <v>-4.3845219999999996</v>
      </c>
      <c r="N4068" s="55">
        <v>-4.5494700000000003</v>
      </c>
    </row>
    <row r="4069" spans="1:14" hidden="1" x14ac:dyDescent="0.35">
      <c r="A4069" s="52" t="s">
        <v>231</v>
      </c>
      <c r="B4069" s="52" t="s">
        <v>37</v>
      </c>
      <c r="C4069" s="52" t="s">
        <v>70</v>
      </c>
      <c r="D4069" s="52" t="s">
        <v>70</v>
      </c>
      <c r="E4069" s="52" t="s">
        <v>653</v>
      </c>
      <c r="F4069" s="52" t="s">
        <v>26</v>
      </c>
      <c r="G4069" s="55" t="s">
        <v>276</v>
      </c>
      <c r="H4069" s="55">
        <v>-3.3329070000000001</v>
      </c>
      <c r="I4069" s="55">
        <v>-2.953271</v>
      </c>
      <c r="J4069" s="55">
        <v>-3.76553</v>
      </c>
      <c r="K4069" s="55">
        <v>-2.7130899999999998</v>
      </c>
      <c r="L4069" s="55">
        <v>-2.6242529999999999</v>
      </c>
      <c r="M4069" s="55">
        <v>-3.4703900000000001</v>
      </c>
      <c r="N4069" s="55">
        <v>-2.5636730000000001</v>
      </c>
    </row>
    <row r="4070" spans="1:14" hidden="1" x14ac:dyDescent="0.35">
      <c r="A4070" s="52" t="s">
        <v>231</v>
      </c>
      <c r="B4070" s="52" t="s">
        <v>37</v>
      </c>
      <c r="C4070" s="52" t="s">
        <v>70</v>
      </c>
      <c r="D4070" s="52" t="s">
        <v>70</v>
      </c>
      <c r="E4070" s="52" t="s">
        <v>653</v>
      </c>
      <c r="F4070" s="52" t="s">
        <v>26</v>
      </c>
      <c r="G4070" s="55" t="s">
        <v>277</v>
      </c>
      <c r="H4070" s="55">
        <v>5.994167</v>
      </c>
      <c r="I4070" s="55">
        <v>15.38505</v>
      </c>
      <c r="J4070" s="55">
        <v>9.764367</v>
      </c>
      <c r="K4070" s="55">
        <v>6.3963039999999998</v>
      </c>
      <c r="L4070" s="55">
        <v>3.4402840000000001</v>
      </c>
      <c r="M4070" s="55">
        <v>0</v>
      </c>
      <c r="N4070" s="55">
        <v>0</v>
      </c>
    </row>
    <row r="4071" spans="1:14" hidden="1" x14ac:dyDescent="0.35">
      <c r="A4071" s="52" t="s">
        <v>231</v>
      </c>
      <c r="B4071" s="52" t="s">
        <v>37</v>
      </c>
      <c r="C4071" s="52" t="s">
        <v>70</v>
      </c>
      <c r="D4071" s="52" t="s">
        <v>70</v>
      </c>
      <c r="E4071" s="52" t="s">
        <v>653</v>
      </c>
      <c r="F4071" s="52" t="s">
        <v>26</v>
      </c>
      <c r="G4071" s="55" t="s">
        <v>278</v>
      </c>
      <c r="H4071" s="55">
        <v>0</v>
      </c>
      <c r="I4071" s="55"/>
      <c r="J4071" s="55"/>
      <c r="K4071" s="55"/>
      <c r="L4071" s="55"/>
      <c r="M4071" s="55"/>
      <c r="N4071" s="55"/>
    </row>
    <row r="4072" spans="1:14" hidden="1" x14ac:dyDescent="0.35">
      <c r="A4072" s="52" t="s">
        <v>231</v>
      </c>
      <c r="B4072" s="52" t="s">
        <v>37</v>
      </c>
      <c r="C4072" s="52" t="s">
        <v>70</v>
      </c>
      <c r="D4072" s="52" t="s">
        <v>70</v>
      </c>
      <c r="E4072" s="52" t="s">
        <v>653</v>
      </c>
      <c r="F4072" s="52" t="s">
        <v>26</v>
      </c>
      <c r="G4072" s="55" t="s">
        <v>279</v>
      </c>
      <c r="H4072" s="55">
        <v>46.908000000000001</v>
      </c>
      <c r="I4072" s="55">
        <v>40.400410000000001</v>
      </c>
      <c r="J4072" s="55">
        <v>38.009689999999999</v>
      </c>
      <c r="K4072" s="55">
        <v>37.037799999999997</v>
      </c>
      <c r="L4072" s="55">
        <v>34.076990000000002</v>
      </c>
      <c r="M4072" s="55">
        <v>33.576329999999999</v>
      </c>
      <c r="N4072" s="55">
        <v>30.326059999999998</v>
      </c>
    </row>
    <row r="4073" spans="1:14" hidden="1" x14ac:dyDescent="0.35">
      <c r="A4073" s="52" t="s">
        <v>231</v>
      </c>
      <c r="B4073" s="52" t="s">
        <v>37</v>
      </c>
      <c r="C4073" s="52" t="s">
        <v>115</v>
      </c>
      <c r="D4073" s="52" t="s">
        <v>115</v>
      </c>
      <c r="E4073" s="52" t="s">
        <v>597</v>
      </c>
      <c r="F4073" s="52" t="s">
        <v>581</v>
      </c>
      <c r="G4073" s="55" t="s">
        <v>275</v>
      </c>
      <c r="H4073" s="55">
        <v>-60.571559999999998</v>
      </c>
      <c r="I4073" s="55">
        <v>7.5420170000000004</v>
      </c>
      <c r="J4073" s="55">
        <v>34.24774</v>
      </c>
      <c r="K4073" s="55">
        <v>41.339619999999996</v>
      </c>
      <c r="L4073" s="55">
        <v>44.002360000000003</v>
      </c>
      <c r="M4073" s="55">
        <v>25.313749999999999</v>
      </c>
      <c r="N4073" s="55">
        <v>26.41394</v>
      </c>
    </row>
    <row r="4074" spans="1:14" hidden="1" x14ac:dyDescent="0.35">
      <c r="A4074" s="52" t="s">
        <v>231</v>
      </c>
      <c r="B4074" s="52" t="s">
        <v>37</v>
      </c>
      <c r="C4074" s="52" t="s">
        <v>115</v>
      </c>
      <c r="D4074" s="52" t="s">
        <v>115</v>
      </c>
      <c r="E4074" s="52" t="s">
        <v>597</v>
      </c>
      <c r="F4074" s="52" t="s">
        <v>581</v>
      </c>
      <c r="G4074" s="55" t="s">
        <v>276</v>
      </c>
      <c r="H4074" s="55">
        <v>2.9595760000000002</v>
      </c>
      <c r="I4074" s="55">
        <v>-9.9011060000000004</v>
      </c>
      <c r="J4074" s="55">
        <v>-9.021172</v>
      </c>
      <c r="K4074" s="55">
        <v>-8.2102880000000003</v>
      </c>
      <c r="L4074" s="55">
        <v>-12.87731</v>
      </c>
      <c r="M4074" s="55">
        <v>0.73978670000000002</v>
      </c>
      <c r="N4074" s="55">
        <v>3.2985440000000001</v>
      </c>
    </row>
    <row r="4075" spans="1:14" hidden="1" x14ac:dyDescent="0.35">
      <c r="A4075" s="52" t="s">
        <v>231</v>
      </c>
      <c r="B4075" s="52" t="s">
        <v>37</v>
      </c>
      <c r="C4075" s="52" t="s">
        <v>115</v>
      </c>
      <c r="D4075" s="52" t="s">
        <v>115</v>
      </c>
      <c r="E4075" s="52" t="s">
        <v>597</v>
      </c>
      <c r="F4075" s="52" t="s">
        <v>581</v>
      </c>
      <c r="G4075" s="55" t="s">
        <v>277</v>
      </c>
      <c r="H4075" s="55">
        <v>205.73419999999999</v>
      </c>
      <c r="I4075" s="55">
        <v>53.539990000000003</v>
      </c>
      <c r="J4075" s="55">
        <v>29.331689999999998</v>
      </c>
      <c r="K4075" s="55">
        <v>11.22935</v>
      </c>
      <c r="L4075" s="55">
        <v>13.762090000000001</v>
      </c>
      <c r="M4075" s="55">
        <v>16.813400000000001</v>
      </c>
      <c r="N4075" s="55">
        <v>13.743180000000001</v>
      </c>
    </row>
    <row r="4076" spans="1:14" hidden="1" x14ac:dyDescent="0.35">
      <c r="A4076" s="52" t="s">
        <v>231</v>
      </c>
      <c r="B4076" s="52" t="s">
        <v>37</v>
      </c>
      <c r="C4076" s="52" t="s">
        <v>115</v>
      </c>
      <c r="D4076" s="52" t="s">
        <v>115</v>
      </c>
      <c r="E4076" s="52" t="s">
        <v>597</v>
      </c>
      <c r="F4076" s="52" t="s">
        <v>581</v>
      </c>
      <c r="G4076" s="55" t="s">
        <v>278</v>
      </c>
      <c r="H4076" s="55">
        <v>36.600230000000003</v>
      </c>
      <c r="I4076" s="55">
        <v>16.332229999999999</v>
      </c>
      <c r="J4076" s="55">
        <v>16.073319999999999</v>
      </c>
      <c r="K4076" s="55">
        <v>17.606470000000002</v>
      </c>
      <c r="L4076" s="55">
        <v>16.73179</v>
      </c>
      <c r="M4076" s="55">
        <v>7.3221080000000001</v>
      </c>
      <c r="N4076" s="55">
        <v>5.3948840000000002</v>
      </c>
    </row>
    <row r="4077" spans="1:14" hidden="1" x14ac:dyDescent="0.35">
      <c r="A4077" s="52" t="s">
        <v>231</v>
      </c>
      <c r="B4077" s="52" t="s">
        <v>37</v>
      </c>
      <c r="C4077" s="52" t="s">
        <v>115</v>
      </c>
      <c r="D4077" s="52" t="s">
        <v>115</v>
      </c>
      <c r="E4077" s="52" t="s">
        <v>597</v>
      </c>
      <c r="F4077" s="52" t="s">
        <v>581</v>
      </c>
      <c r="G4077" s="55" t="s">
        <v>279</v>
      </c>
      <c r="H4077" s="55">
        <v>87.728939999999994</v>
      </c>
      <c r="I4077" s="55">
        <v>76.543769999999995</v>
      </c>
      <c r="J4077" s="55">
        <v>74.453249999999997</v>
      </c>
      <c r="K4077" s="55">
        <v>68.720500000000001</v>
      </c>
      <c r="L4077" s="55">
        <v>59.602089999999997</v>
      </c>
      <c r="M4077" s="55">
        <v>61.9315</v>
      </c>
      <c r="N4077" s="55">
        <v>57.233289999999997</v>
      </c>
    </row>
    <row r="4078" spans="1:14" hidden="1" x14ac:dyDescent="0.35">
      <c r="A4078" s="52" t="s">
        <v>231</v>
      </c>
      <c r="B4078" s="52" t="s">
        <v>37</v>
      </c>
      <c r="C4078" s="52" t="s">
        <v>115</v>
      </c>
      <c r="D4078" s="52" t="s">
        <v>115</v>
      </c>
      <c r="E4078" s="52" t="s">
        <v>597</v>
      </c>
      <c r="F4078" s="52" t="s">
        <v>26</v>
      </c>
      <c r="G4078" s="55" t="s">
        <v>275</v>
      </c>
      <c r="H4078" s="55">
        <v>1.4683120000000001</v>
      </c>
      <c r="I4078" s="55">
        <v>0.8925341</v>
      </c>
      <c r="J4078" s="55">
        <v>1.957206</v>
      </c>
      <c r="K4078" s="55">
        <v>1.3502449999999999</v>
      </c>
      <c r="L4078" s="55">
        <v>1.8982749999999999</v>
      </c>
      <c r="M4078" s="55">
        <v>0.36739460000000002</v>
      </c>
      <c r="N4078" s="55">
        <v>0.41532289999999999</v>
      </c>
    </row>
    <row r="4079" spans="1:14" hidden="1" x14ac:dyDescent="0.35">
      <c r="A4079" s="52" t="s">
        <v>231</v>
      </c>
      <c r="B4079" s="52" t="s">
        <v>37</v>
      </c>
      <c r="C4079" s="52" t="s">
        <v>115</v>
      </c>
      <c r="D4079" s="52" t="s">
        <v>115</v>
      </c>
      <c r="E4079" s="52" t="s">
        <v>597</v>
      </c>
      <c r="F4079" s="52" t="s">
        <v>26</v>
      </c>
      <c r="G4079" s="55" t="s">
        <v>276</v>
      </c>
      <c r="H4079" s="55">
        <v>0.39030999999999999</v>
      </c>
      <c r="I4079" s="55">
        <v>0.23725550000000001</v>
      </c>
      <c r="J4079" s="55">
        <v>0.52027020000000002</v>
      </c>
      <c r="K4079" s="55">
        <v>0.3589232</v>
      </c>
      <c r="L4079" s="55">
        <v>0.50460729999999998</v>
      </c>
      <c r="M4079" s="55">
        <v>9.7660709999999998E-2</v>
      </c>
      <c r="N4079" s="55">
        <v>0.1104014</v>
      </c>
    </row>
    <row r="4080" spans="1:14" hidden="1" x14ac:dyDescent="0.35">
      <c r="A4080" s="52" t="s">
        <v>231</v>
      </c>
      <c r="B4080" s="52" t="s">
        <v>37</v>
      </c>
      <c r="C4080" s="52" t="s">
        <v>115</v>
      </c>
      <c r="D4080" s="52" t="s">
        <v>115</v>
      </c>
      <c r="E4080" s="52" t="s">
        <v>597</v>
      </c>
      <c r="F4080" s="52" t="s">
        <v>26</v>
      </c>
      <c r="G4080" s="55" t="s">
        <v>279</v>
      </c>
      <c r="H4080" s="55">
        <v>16.386050000000001</v>
      </c>
      <c r="I4080" s="55">
        <v>15.592090000000001</v>
      </c>
      <c r="J4080" s="55">
        <v>15.171620000000001</v>
      </c>
      <c r="K4080" s="55">
        <v>14.03121</v>
      </c>
      <c r="L4080" s="55">
        <v>12.108320000000001</v>
      </c>
      <c r="M4080" s="55">
        <v>12.671889999999999</v>
      </c>
      <c r="N4080" s="55">
        <v>11.6732</v>
      </c>
    </row>
    <row r="4081" spans="1:14" hidden="1" x14ac:dyDescent="0.35">
      <c r="A4081" s="52" t="s">
        <v>231</v>
      </c>
      <c r="B4081" s="52" t="s">
        <v>37</v>
      </c>
      <c r="C4081" s="52" t="s">
        <v>115</v>
      </c>
      <c r="D4081" s="52" t="s">
        <v>115</v>
      </c>
      <c r="E4081" s="52" t="s">
        <v>596</v>
      </c>
      <c r="F4081" s="52" t="s">
        <v>581</v>
      </c>
      <c r="G4081" s="55" t="s">
        <v>275</v>
      </c>
      <c r="H4081" s="55">
        <v>-23.65831</v>
      </c>
      <c r="I4081" s="55">
        <v>-6.5146269999999999</v>
      </c>
      <c r="J4081" s="55">
        <v>6.238073</v>
      </c>
      <c r="K4081" s="55">
        <v>8.5218319999999999</v>
      </c>
      <c r="L4081" s="55">
        <v>11.608890000000001</v>
      </c>
      <c r="M4081" s="55">
        <v>4.9234340000000003</v>
      </c>
      <c r="N4081" s="55">
        <v>-2.00969</v>
      </c>
    </row>
    <row r="4082" spans="1:14" hidden="1" x14ac:dyDescent="0.35">
      <c r="A4082" s="52" t="s">
        <v>231</v>
      </c>
      <c r="B4082" s="52" t="s">
        <v>37</v>
      </c>
      <c r="C4082" s="52" t="s">
        <v>115</v>
      </c>
      <c r="D4082" s="52" t="s">
        <v>115</v>
      </c>
      <c r="E4082" s="52" t="s">
        <v>596</v>
      </c>
      <c r="F4082" s="52" t="s">
        <v>581</v>
      </c>
      <c r="G4082" s="55" t="s">
        <v>276</v>
      </c>
      <c r="H4082" s="55">
        <v>6.04392</v>
      </c>
      <c r="I4082" s="55">
        <v>-0.38445479999999999</v>
      </c>
      <c r="J4082" s="55">
        <v>-4.4669510000000003E-3</v>
      </c>
      <c r="K4082" s="55">
        <v>-1.89663</v>
      </c>
      <c r="L4082" s="55">
        <v>-3.5620989999999999</v>
      </c>
      <c r="M4082" s="55">
        <v>-0.31876559999999998</v>
      </c>
      <c r="N4082" s="55">
        <v>1.0508599999999999</v>
      </c>
    </row>
    <row r="4083" spans="1:14" hidden="1" x14ac:dyDescent="0.35">
      <c r="A4083" s="52" t="s">
        <v>231</v>
      </c>
      <c r="B4083" s="52" t="s">
        <v>37</v>
      </c>
      <c r="C4083" s="52" t="s">
        <v>115</v>
      </c>
      <c r="D4083" s="52" t="s">
        <v>115</v>
      </c>
      <c r="E4083" s="52" t="s">
        <v>596</v>
      </c>
      <c r="F4083" s="52" t="s">
        <v>581</v>
      </c>
      <c r="G4083" s="55" t="s">
        <v>277</v>
      </c>
      <c r="H4083" s="55">
        <v>49.365079999999999</v>
      </c>
      <c r="I4083" s="55">
        <v>14.74272</v>
      </c>
      <c r="J4083" s="55">
        <v>4.2837480000000001</v>
      </c>
      <c r="K4083" s="55">
        <v>1.7926010000000001</v>
      </c>
      <c r="L4083" s="55">
        <v>2.2955890000000001</v>
      </c>
      <c r="M4083" s="55">
        <v>2.5127869999999999</v>
      </c>
      <c r="N4083" s="55">
        <v>9.5932040000000001</v>
      </c>
    </row>
    <row r="4084" spans="1:14" hidden="1" x14ac:dyDescent="0.35">
      <c r="A4084" s="52" t="s">
        <v>231</v>
      </c>
      <c r="B4084" s="52" t="s">
        <v>37</v>
      </c>
      <c r="C4084" s="52" t="s">
        <v>115</v>
      </c>
      <c r="D4084" s="52" t="s">
        <v>115</v>
      </c>
      <c r="E4084" s="52" t="s">
        <v>596</v>
      </c>
      <c r="F4084" s="52" t="s">
        <v>581</v>
      </c>
      <c r="G4084" s="55" t="s">
        <v>278</v>
      </c>
      <c r="H4084" s="55">
        <v>14.717890000000001</v>
      </c>
      <c r="I4084" s="55">
        <v>9.2807099999999991</v>
      </c>
      <c r="J4084" s="55">
        <v>7.8492459999999999</v>
      </c>
      <c r="K4084" s="55">
        <v>7.7014009999999997</v>
      </c>
      <c r="L4084" s="55">
        <v>6.1685119999999998</v>
      </c>
      <c r="M4084" s="55">
        <v>6.8988370000000003</v>
      </c>
      <c r="N4084" s="55">
        <v>8.5243599999999997</v>
      </c>
    </row>
    <row r="4085" spans="1:14" hidden="1" x14ac:dyDescent="0.35">
      <c r="A4085" s="52" t="s">
        <v>231</v>
      </c>
      <c r="B4085" s="52" t="s">
        <v>37</v>
      </c>
      <c r="C4085" s="52" t="s">
        <v>115</v>
      </c>
      <c r="D4085" s="52" t="s">
        <v>115</v>
      </c>
      <c r="E4085" s="52" t="s">
        <v>596</v>
      </c>
      <c r="F4085" s="52" t="s">
        <v>581</v>
      </c>
      <c r="G4085" s="55" t="s">
        <v>279</v>
      </c>
      <c r="H4085" s="55">
        <v>24.191050000000001</v>
      </c>
      <c r="I4085" s="55">
        <v>22.657720000000001</v>
      </c>
      <c r="J4085" s="55">
        <v>22.078939999999999</v>
      </c>
      <c r="K4085" s="55">
        <v>20.422840000000001</v>
      </c>
      <c r="L4085" s="55">
        <v>17.102049999999998</v>
      </c>
      <c r="M4085" s="55">
        <v>18.994150000000001</v>
      </c>
      <c r="N4085" s="55">
        <v>21.285820000000001</v>
      </c>
    </row>
    <row r="4086" spans="1:14" hidden="1" x14ac:dyDescent="0.35">
      <c r="A4086" s="52" t="s">
        <v>231</v>
      </c>
      <c r="B4086" s="52" t="s">
        <v>37</v>
      </c>
      <c r="C4086" s="52" t="s">
        <v>115</v>
      </c>
      <c r="D4086" s="52" t="s">
        <v>115</v>
      </c>
      <c r="E4086" s="52" t="s">
        <v>596</v>
      </c>
      <c r="F4086" s="52" t="s">
        <v>26</v>
      </c>
      <c r="G4086" s="55" t="s">
        <v>275</v>
      </c>
      <c r="H4086" s="55">
        <v>0.33573599999999998</v>
      </c>
      <c r="I4086" s="55">
        <v>0.2726653</v>
      </c>
      <c r="J4086" s="55">
        <v>0.4622308</v>
      </c>
      <c r="K4086" s="55">
        <v>0.35513489999999998</v>
      </c>
      <c r="L4086" s="55">
        <v>0.44795289999999999</v>
      </c>
      <c r="M4086" s="55">
        <v>0.18948219999999999</v>
      </c>
      <c r="N4086" s="55">
        <v>0.23342309999999999</v>
      </c>
    </row>
    <row r="4087" spans="1:14" hidden="1" x14ac:dyDescent="0.35">
      <c r="A4087" s="52" t="s">
        <v>231</v>
      </c>
      <c r="B4087" s="52" t="s">
        <v>37</v>
      </c>
      <c r="C4087" s="52" t="s">
        <v>115</v>
      </c>
      <c r="D4087" s="52" t="s">
        <v>115</v>
      </c>
      <c r="E4087" s="52" t="s">
        <v>596</v>
      </c>
      <c r="F4087" s="52" t="s">
        <v>26</v>
      </c>
      <c r="G4087" s="55" t="s">
        <v>276</v>
      </c>
      <c r="H4087" s="55">
        <v>8.9247000000000007E-2</v>
      </c>
      <c r="I4087" s="55">
        <v>7.2482000000000005E-2</v>
      </c>
      <c r="J4087" s="55">
        <v>0.1228717</v>
      </c>
      <c r="K4087" s="55">
        <v>9.4403100000000004E-2</v>
      </c>
      <c r="L4087" s="55">
        <v>0.119075</v>
      </c>
      <c r="M4087" s="55">
        <v>5.0368099999999999E-2</v>
      </c>
      <c r="N4087" s="55">
        <v>6.2049600000000003E-2</v>
      </c>
    </row>
    <row r="4088" spans="1:14" hidden="1" x14ac:dyDescent="0.35">
      <c r="A4088" s="52" t="s">
        <v>231</v>
      </c>
      <c r="B4088" s="52" t="s">
        <v>37</v>
      </c>
      <c r="C4088" s="52" t="s">
        <v>115</v>
      </c>
      <c r="D4088" s="52" t="s">
        <v>115</v>
      </c>
      <c r="E4088" s="52" t="s">
        <v>596</v>
      </c>
      <c r="F4088" s="52" t="s">
        <v>26</v>
      </c>
      <c r="G4088" s="55" t="s">
        <v>279</v>
      </c>
      <c r="H4088" s="55">
        <v>2.2473139999999998</v>
      </c>
      <c r="I4088" s="55">
        <v>2.3732090000000001</v>
      </c>
      <c r="J4088" s="55">
        <v>2.3141829999999999</v>
      </c>
      <c r="K4088" s="55">
        <v>2.143675</v>
      </c>
      <c r="L4088" s="55">
        <v>1.7837229999999999</v>
      </c>
      <c r="M4088" s="55">
        <v>1.9904040000000001</v>
      </c>
      <c r="N4088" s="55">
        <v>2.2193369999999999</v>
      </c>
    </row>
    <row r="4089" spans="1:14" hidden="1" x14ac:dyDescent="0.35">
      <c r="A4089" s="52" t="s">
        <v>231</v>
      </c>
      <c r="B4089" s="52" t="s">
        <v>37</v>
      </c>
      <c r="C4089" s="52" t="s">
        <v>115</v>
      </c>
      <c r="D4089" s="52" t="s">
        <v>115</v>
      </c>
      <c r="E4089" s="52" t="s">
        <v>584</v>
      </c>
      <c r="F4089" s="52" t="s">
        <v>581</v>
      </c>
      <c r="G4089" s="55" t="s">
        <v>275</v>
      </c>
      <c r="H4089" s="55">
        <v>-6.0176730000000003</v>
      </c>
      <c r="I4089" s="55">
        <v>0.4327857</v>
      </c>
      <c r="J4089" s="55">
        <v>0.39366509999999999</v>
      </c>
      <c r="K4089" s="55">
        <v>0.2706884</v>
      </c>
      <c r="L4089" s="55">
        <v>0.67177149999999997</v>
      </c>
      <c r="M4089" s="55">
        <v>9.45656E-2</v>
      </c>
      <c r="N4089" s="55">
        <v>8.6964100000000003E-2</v>
      </c>
    </row>
    <row r="4090" spans="1:14" hidden="1" x14ac:dyDescent="0.35">
      <c r="A4090" s="52" t="s">
        <v>231</v>
      </c>
      <c r="B4090" s="52" t="s">
        <v>37</v>
      </c>
      <c r="C4090" s="52" t="s">
        <v>115</v>
      </c>
      <c r="D4090" s="52" t="s">
        <v>115</v>
      </c>
      <c r="E4090" s="52" t="s">
        <v>584</v>
      </c>
      <c r="F4090" s="52" t="s">
        <v>581</v>
      </c>
      <c r="G4090" s="55" t="s">
        <v>276</v>
      </c>
      <c r="H4090" s="55">
        <v>-0.22073200000000001</v>
      </c>
      <c r="I4090" s="55">
        <v>-0.18167</v>
      </c>
      <c r="J4090" s="55">
        <v>-0.18631780000000001</v>
      </c>
      <c r="K4090" s="55">
        <v>-0.1072236</v>
      </c>
      <c r="L4090" s="55">
        <v>-0.53814450000000003</v>
      </c>
      <c r="M4090" s="55">
        <v>2.5137799999999998E-2</v>
      </c>
      <c r="N4090" s="55">
        <v>2.3116500000000002E-2</v>
      </c>
    </row>
    <row r="4091" spans="1:14" hidden="1" x14ac:dyDescent="0.35">
      <c r="A4091" s="52" t="s">
        <v>231</v>
      </c>
      <c r="B4091" s="52" t="s">
        <v>37</v>
      </c>
      <c r="C4091" s="52" t="s">
        <v>115</v>
      </c>
      <c r="D4091" s="52" t="s">
        <v>115</v>
      </c>
      <c r="E4091" s="52" t="s">
        <v>584</v>
      </c>
      <c r="F4091" s="52" t="s">
        <v>581</v>
      </c>
      <c r="G4091" s="55" t="s">
        <v>277</v>
      </c>
      <c r="H4091" s="55">
        <v>6.5825690000000003</v>
      </c>
      <c r="I4091" s="55"/>
      <c r="J4091" s="55"/>
      <c r="K4091" s="55"/>
      <c r="L4091" s="55"/>
      <c r="M4091" s="55"/>
      <c r="N4091" s="55"/>
    </row>
    <row r="4092" spans="1:14" hidden="1" x14ac:dyDescent="0.35">
      <c r="A4092" s="52" t="s">
        <v>231</v>
      </c>
      <c r="B4092" s="52" t="s">
        <v>37</v>
      </c>
      <c r="C4092" s="52" t="s">
        <v>115</v>
      </c>
      <c r="D4092" s="52" t="s">
        <v>115</v>
      </c>
      <c r="E4092" s="52" t="s">
        <v>584</v>
      </c>
      <c r="F4092" s="52" t="s">
        <v>581</v>
      </c>
      <c r="G4092" s="55" t="s">
        <v>279</v>
      </c>
      <c r="H4092" s="55">
        <v>1.0909580000000001</v>
      </c>
      <c r="I4092" s="55">
        <v>0.28906490000000001</v>
      </c>
      <c r="J4092" s="55">
        <v>0.23201479999999999</v>
      </c>
      <c r="K4092" s="55">
        <v>0.21464849999999999</v>
      </c>
      <c r="L4092" s="55">
        <v>0.2007709</v>
      </c>
      <c r="M4092" s="55">
        <v>0.17932989999999999</v>
      </c>
      <c r="N4092" s="55">
        <v>0.16421730000000001</v>
      </c>
    </row>
    <row r="4093" spans="1:14" hidden="1" x14ac:dyDescent="0.35">
      <c r="A4093" s="52" t="s">
        <v>231</v>
      </c>
      <c r="B4093" s="52" t="s">
        <v>37</v>
      </c>
      <c r="C4093" s="52" t="s">
        <v>115</v>
      </c>
      <c r="D4093" s="52" t="s">
        <v>115</v>
      </c>
      <c r="E4093" s="52" t="s">
        <v>584</v>
      </c>
      <c r="F4093" s="52" t="s">
        <v>26</v>
      </c>
      <c r="G4093" s="55" t="s">
        <v>275</v>
      </c>
      <c r="H4093" s="55">
        <v>-1.8994E-2</v>
      </c>
      <c r="I4093" s="55">
        <v>6.7685999999999996E-3</v>
      </c>
      <c r="J4093" s="55">
        <v>8.5290999999999995E-3</v>
      </c>
      <c r="K4093" s="55">
        <v>7.3238000000000001E-3</v>
      </c>
      <c r="L4093" s="55">
        <v>6.3106999999999998E-3</v>
      </c>
      <c r="M4093" s="55">
        <v>6.4692999999999999E-3</v>
      </c>
      <c r="N4093" s="55">
        <v>6.6172000000000002E-3</v>
      </c>
    </row>
    <row r="4094" spans="1:14" hidden="1" x14ac:dyDescent="0.35">
      <c r="A4094" s="52" t="s">
        <v>231</v>
      </c>
      <c r="B4094" s="52" t="s">
        <v>37</v>
      </c>
      <c r="C4094" s="52" t="s">
        <v>115</v>
      </c>
      <c r="D4094" s="52" t="s">
        <v>115</v>
      </c>
      <c r="E4094" s="52" t="s">
        <v>584</v>
      </c>
      <c r="F4094" s="52" t="s">
        <v>26</v>
      </c>
      <c r="G4094" s="55" t="s">
        <v>276</v>
      </c>
      <c r="H4094" s="55">
        <v>-5.0489999999999997E-3</v>
      </c>
      <c r="I4094" s="55">
        <v>1.7994E-3</v>
      </c>
      <c r="J4094" s="55">
        <v>2.2666000000000001E-3</v>
      </c>
      <c r="K4094" s="55">
        <v>1.9465999999999999E-3</v>
      </c>
      <c r="L4094" s="55">
        <v>1.6777000000000001E-3</v>
      </c>
      <c r="M4094" s="55">
        <v>1.7201E-3</v>
      </c>
      <c r="N4094" s="55">
        <v>1.7589000000000001E-3</v>
      </c>
    </row>
    <row r="4095" spans="1:14" hidden="1" x14ac:dyDescent="0.35">
      <c r="A4095" s="52" t="s">
        <v>231</v>
      </c>
      <c r="B4095" s="52" t="s">
        <v>37</v>
      </c>
      <c r="C4095" s="52" t="s">
        <v>115</v>
      </c>
      <c r="D4095" s="52" t="s">
        <v>115</v>
      </c>
      <c r="E4095" s="52" t="s">
        <v>584</v>
      </c>
      <c r="F4095" s="52" t="s">
        <v>26</v>
      </c>
      <c r="G4095" s="55" t="s">
        <v>277</v>
      </c>
      <c r="H4095" s="55"/>
      <c r="I4095" s="55">
        <v>0</v>
      </c>
      <c r="J4095" s="55"/>
      <c r="K4095" s="55"/>
      <c r="L4095" s="55"/>
      <c r="M4095" s="55"/>
      <c r="N4095" s="55"/>
    </row>
    <row r="4096" spans="1:14" hidden="1" x14ac:dyDescent="0.35">
      <c r="A4096" s="52" t="s">
        <v>231</v>
      </c>
      <c r="B4096" s="52" t="s">
        <v>37</v>
      </c>
      <c r="C4096" s="52" t="s">
        <v>115</v>
      </c>
      <c r="D4096" s="52" t="s">
        <v>115</v>
      </c>
      <c r="E4096" s="52" t="s">
        <v>584</v>
      </c>
      <c r="F4096" s="52" t="s">
        <v>26</v>
      </c>
      <c r="G4096" s="55" t="s">
        <v>279</v>
      </c>
      <c r="H4096" s="55">
        <v>5.9965999999999998E-2</v>
      </c>
      <c r="I4096" s="55">
        <v>2.2110899999999999E-2</v>
      </c>
      <c r="J4096" s="55">
        <v>2.2126900000000001E-2</v>
      </c>
      <c r="K4096" s="55">
        <v>2.4478199999999999E-2</v>
      </c>
      <c r="L4096" s="55">
        <v>2.6630299999999999E-2</v>
      </c>
      <c r="M4096" s="55">
        <v>2.7296399999999998E-2</v>
      </c>
      <c r="N4096" s="55">
        <v>2.79791E-2</v>
      </c>
    </row>
    <row r="4097" spans="1:14" hidden="1" x14ac:dyDescent="0.35">
      <c r="A4097" s="52" t="s">
        <v>231</v>
      </c>
      <c r="B4097" s="52" t="s">
        <v>37</v>
      </c>
      <c r="C4097" s="52" t="s">
        <v>205</v>
      </c>
      <c r="D4097" s="52" t="s">
        <v>205</v>
      </c>
      <c r="E4097" s="52" t="s">
        <v>654</v>
      </c>
      <c r="F4097" s="52" t="s">
        <v>26</v>
      </c>
      <c r="G4097" s="55" t="s">
        <v>275</v>
      </c>
      <c r="H4097" s="55">
        <v>0.10446900000000001</v>
      </c>
      <c r="I4097" s="55">
        <v>-14.96177</v>
      </c>
      <c r="J4097" s="55">
        <v>-10.693210000000001</v>
      </c>
      <c r="K4097" s="55">
        <v>-7.648917</v>
      </c>
      <c r="L4097" s="55">
        <v>-5.052969</v>
      </c>
      <c r="M4097" s="55">
        <v>-3.6163940000000001</v>
      </c>
      <c r="N4097" s="55">
        <v>-3.7642989999999998</v>
      </c>
    </row>
    <row r="4098" spans="1:14" hidden="1" x14ac:dyDescent="0.35">
      <c r="A4098" s="52" t="s">
        <v>231</v>
      </c>
      <c r="B4098" s="52" t="s">
        <v>37</v>
      </c>
      <c r="C4098" s="52" t="s">
        <v>205</v>
      </c>
      <c r="D4098" s="52" t="s">
        <v>205</v>
      </c>
      <c r="E4098" s="52" t="s">
        <v>654</v>
      </c>
      <c r="F4098" s="52" t="s">
        <v>26</v>
      </c>
      <c r="G4098" s="55" t="s">
        <v>276</v>
      </c>
      <c r="H4098" s="55">
        <v>-0.123735</v>
      </c>
      <c r="I4098" s="55">
        <v>-1.3249390000000001</v>
      </c>
      <c r="J4098" s="55">
        <v>-2.0994600000000001</v>
      </c>
      <c r="K4098" s="55">
        <v>-2.0058389999999999</v>
      </c>
      <c r="L4098" s="55">
        <v>-1.8332409999999999</v>
      </c>
      <c r="M4098" s="55">
        <v>-2.8050579999999998</v>
      </c>
      <c r="N4098" s="55">
        <v>-2.0697540000000001</v>
      </c>
    </row>
    <row r="4099" spans="1:14" hidden="1" x14ac:dyDescent="0.35">
      <c r="A4099" s="52" t="s">
        <v>231</v>
      </c>
      <c r="B4099" s="52" t="s">
        <v>37</v>
      </c>
      <c r="C4099" s="52" t="s">
        <v>205</v>
      </c>
      <c r="D4099" s="52" t="s">
        <v>205</v>
      </c>
      <c r="E4099" s="52" t="s">
        <v>654</v>
      </c>
      <c r="F4099" s="52" t="s">
        <v>26</v>
      </c>
      <c r="G4099" s="55" t="s">
        <v>277</v>
      </c>
      <c r="H4099" s="55">
        <v>0</v>
      </c>
      <c r="I4099" s="55">
        <v>11.385160000000001</v>
      </c>
      <c r="J4099" s="55">
        <v>6.8785429999999996</v>
      </c>
      <c r="K4099" s="55">
        <v>2.5792449999999998</v>
      </c>
      <c r="L4099" s="55">
        <v>1.0306109999999999</v>
      </c>
      <c r="M4099" s="55">
        <v>0</v>
      </c>
      <c r="N4099" s="55">
        <v>0</v>
      </c>
    </row>
    <row r="4100" spans="1:14" hidden="1" x14ac:dyDescent="0.35">
      <c r="A4100" s="52" t="s">
        <v>231</v>
      </c>
      <c r="B4100" s="52" t="s">
        <v>37</v>
      </c>
      <c r="C4100" s="52" t="s">
        <v>205</v>
      </c>
      <c r="D4100" s="52" t="s">
        <v>205</v>
      </c>
      <c r="E4100" s="52" t="s">
        <v>654</v>
      </c>
      <c r="F4100" s="52" t="s">
        <v>26</v>
      </c>
      <c r="G4100" s="55" t="s">
        <v>278</v>
      </c>
      <c r="H4100" s="55">
        <v>0</v>
      </c>
      <c r="I4100" s="55">
        <v>1.6566369999999999</v>
      </c>
      <c r="J4100" s="55">
        <v>1.5036719999999999</v>
      </c>
      <c r="K4100" s="55">
        <v>1.3128139999999999</v>
      </c>
      <c r="L4100" s="55">
        <v>0.45391300000000001</v>
      </c>
      <c r="M4100" s="55">
        <v>0</v>
      </c>
      <c r="N4100" s="55"/>
    </row>
    <row r="4101" spans="1:14" hidden="1" x14ac:dyDescent="0.35">
      <c r="A4101" s="52" t="s">
        <v>231</v>
      </c>
      <c r="B4101" s="52" t="s">
        <v>37</v>
      </c>
      <c r="C4101" s="52" t="s">
        <v>205</v>
      </c>
      <c r="D4101" s="52" t="s">
        <v>205</v>
      </c>
      <c r="E4101" s="52" t="s">
        <v>654</v>
      </c>
      <c r="F4101" s="52" t="s">
        <v>26</v>
      </c>
      <c r="G4101" s="55" t="s">
        <v>279</v>
      </c>
      <c r="H4101" s="55">
        <v>4.4297999999999997E-2</v>
      </c>
      <c r="I4101" s="55">
        <v>7.3421960000000004</v>
      </c>
      <c r="J4101" s="55">
        <v>11.173310000000001</v>
      </c>
      <c r="K4101" s="55">
        <v>13.602399999999999</v>
      </c>
      <c r="L4101" s="55">
        <v>13.248699999999999</v>
      </c>
      <c r="M4101" s="55">
        <v>13.673170000000001</v>
      </c>
      <c r="N4101" s="55">
        <v>12.41211</v>
      </c>
    </row>
    <row r="4102" spans="1:14" hidden="1" x14ac:dyDescent="0.35">
      <c r="A4102" s="52" t="s">
        <v>231</v>
      </c>
      <c r="B4102" s="52" t="s">
        <v>37</v>
      </c>
      <c r="C4102" s="52" t="s">
        <v>63</v>
      </c>
      <c r="D4102" s="52" t="s">
        <v>63</v>
      </c>
      <c r="E4102" s="52" t="s">
        <v>655</v>
      </c>
      <c r="F4102" s="52" t="s">
        <v>581</v>
      </c>
      <c r="G4102" s="55" t="s">
        <v>275</v>
      </c>
      <c r="H4102" s="55">
        <v>9.8937999999999998E-2</v>
      </c>
      <c r="I4102" s="55">
        <v>2.1459099999999998E-2</v>
      </c>
      <c r="J4102" s="55">
        <v>-1.223735</v>
      </c>
      <c r="K4102" s="55">
        <v>-1.654015</v>
      </c>
      <c r="L4102" s="55">
        <v>-1.5516190000000001</v>
      </c>
      <c r="M4102" s="55">
        <v>0.65829369999999998</v>
      </c>
      <c r="N4102" s="55">
        <v>0.48837910000000001</v>
      </c>
    </row>
    <row r="4103" spans="1:14" hidden="1" x14ac:dyDescent="0.35">
      <c r="A4103" s="52" t="s">
        <v>231</v>
      </c>
      <c r="B4103" s="52" t="s">
        <v>37</v>
      </c>
      <c r="C4103" s="52" t="s">
        <v>63</v>
      </c>
      <c r="D4103" s="52" t="s">
        <v>63</v>
      </c>
      <c r="E4103" s="52" t="s">
        <v>655</v>
      </c>
      <c r="F4103" s="52" t="s">
        <v>581</v>
      </c>
      <c r="G4103" s="55" t="s">
        <v>276</v>
      </c>
      <c r="H4103" s="55">
        <v>2.63E-2</v>
      </c>
      <c r="I4103" s="55">
        <v>5.7042999999999998E-3</v>
      </c>
      <c r="J4103" s="55">
        <v>0</v>
      </c>
      <c r="K4103" s="55">
        <v>7.5252009999999996E-3</v>
      </c>
      <c r="L4103" s="55">
        <v>2.93712E-2</v>
      </c>
      <c r="M4103" s="55">
        <v>0</v>
      </c>
      <c r="N4103" s="55">
        <v>0</v>
      </c>
    </row>
    <row r="4104" spans="1:14" hidden="1" x14ac:dyDescent="0.35">
      <c r="A4104" s="52" t="s">
        <v>231</v>
      </c>
      <c r="B4104" s="52" t="s">
        <v>37</v>
      </c>
      <c r="C4104" s="52" t="s">
        <v>63</v>
      </c>
      <c r="D4104" s="52" t="s">
        <v>63</v>
      </c>
      <c r="E4104" s="52" t="s">
        <v>655</v>
      </c>
      <c r="F4104" s="52" t="s">
        <v>581</v>
      </c>
      <c r="G4104" s="55" t="s">
        <v>277</v>
      </c>
      <c r="H4104" s="55"/>
      <c r="I4104" s="55">
        <v>0</v>
      </c>
      <c r="J4104" s="55">
        <v>1.086927</v>
      </c>
      <c r="K4104" s="55">
        <v>1.0572760000000001</v>
      </c>
      <c r="L4104" s="55">
        <v>1.719285</v>
      </c>
      <c r="M4104" s="55">
        <v>0</v>
      </c>
      <c r="N4104" s="55">
        <v>0</v>
      </c>
    </row>
    <row r="4105" spans="1:14" hidden="1" x14ac:dyDescent="0.35">
      <c r="A4105" s="52" t="s">
        <v>231</v>
      </c>
      <c r="B4105" s="52" t="s">
        <v>37</v>
      </c>
      <c r="C4105" s="52" t="s">
        <v>63</v>
      </c>
      <c r="D4105" s="52" t="s">
        <v>63</v>
      </c>
      <c r="E4105" s="52" t="s">
        <v>655</v>
      </c>
      <c r="F4105" s="52" t="s">
        <v>581</v>
      </c>
      <c r="G4105" s="55" t="s">
        <v>278</v>
      </c>
      <c r="H4105" s="55"/>
      <c r="I4105" s="55">
        <v>0</v>
      </c>
      <c r="J4105" s="55">
        <v>0.318938</v>
      </c>
      <c r="K4105" s="55">
        <v>1.094004</v>
      </c>
      <c r="L4105" s="55">
        <v>0.65617820000000004</v>
      </c>
      <c r="M4105" s="55">
        <v>0</v>
      </c>
      <c r="N4105" s="55"/>
    </row>
    <row r="4106" spans="1:14" hidden="1" x14ac:dyDescent="0.35">
      <c r="A4106" s="52" t="s">
        <v>231</v>
      </c>
      <c r="B4106" s="52" t="s">
        <v>37</v>
      </c>
      <c r="C4106" s="52" t="s">
        <v>63</v>
      </c>
      <c r="D4106" s="52" t="s">
        <v>63</v>
      </c>
      <c r="E4106" s="52" t="s">
        <v>655</v>
      </c>
      <c r="F4106" s="52" t="s">
        <v>581</v>
      </c>
      <c r="G4106" s="55" t="s">
        <v>279</v>
      </c>
      <c r="H4106" s="55">
        <v>8.1028000000000003E-2</v>
      </c>
      <c r="I4106" s="55">
        <v>1.9507199999999999E-2</v>
      </c>
      <c r="J4106" s="55">
        <v>0.1284614</v>
      </c>
      <c r="K4106" s="55">
        <v>0.36515130000000001</v>
      </c>
      <c r="L4106" s="55">
        <v>0.57645999999999997</v>
      </c>
      <c r="M4106" s="55">
        <v>0.54674500000000004</v>
      </c>
      <c r="N4106" s="55">
        <v>0.40167530000000001</v>
      </c>
    </row>
    <row r="4107" spans="1:14" hidden="1" x14ac:dyDescent="0.35">
      <c r="A4107" s="52" t="s">
        <v>231</v>
      </c>
      <c r="B4107" s="52" t="s">
        <v>37</v>
      </c>
      <c r="C4107" s="52" t="s">
        <v>63</v>
      </c>
      <c r="D4107" s="52" t="s">
        <v>63</v>
      </c>
      <c r="E4107" s="52" t="s">
        <v>655</v>
      </c>
      <c r="F4107" s="52" t="s">
        <v>26</v>
      </c>
      <c r="G4107" s="55" t="s">
        <v>275</v>
      </c>
      <c r="H4107" s="55">
        <v>0</v>
      </c>
      <c r="I4107" s="55">
        <v>9.3600009999999999E-5</v>
      </c>
      <c r="J4107" s="55">
        <v>2.4521E-3</v>
      </c>
      <c r="K4107" s="55">
        <v>3.8398E-3</v>
      </c>
      <c r="L4107" s="55">
        <v>8.2204010000000004E-3</v>
      </c>
      <c r="M4107" s="55">
        <v>-9.5949990000000003E-4</v>
      </c>
      <c r="N4107" s="55">
        <v>-7.2250000000000005E-4</v>
      </c>
    </row>
    <row r="4108" spans="1:14" hidden="1" x14ac:dyDescent="0.35">
      <c r="A4108" s="52" t="s">
        <v>231</v>
      </c>
      <c r="B4108" s="52" t="s">
        <v>37</v>
      </c>
      <c r="C4108" s="52" t="s">
        <v>63</v>
      </c>
      <c r="D4108" s="52" t="s">
        <v>63</v>
      </c>
      <c r="E4108" s="52" t="s">
        <v>655</v>
      </c>
      <c r="F4108" s="52" t="s">
        <v>26</v>
      </c>
      <c r="G4108" s="55" t="s">
        <v>276</v>
      </c>
      <c r="H4108" s="55">
        <v>0</v>
      </c>
      <c r="I4108" s="55">
        <v>2.4600000000000002E-5</v>
      </c>
      <c r="J4108" s="55"/>
      <c r="K4108" s="55">
        <v>6.1709999999999998E-4</v>
      </c>
      <c r="L4108" s="55"/>
      <c r="M4108" s="55"/>
      <c r="N4108" s="55">
        <v>0</v>
      </c>
    </row>
    <row r="4109" spans="1:14" hidden="1" x14ac:dyDescent="0.35">
      <c r="A4109" s="52" t="s">
        <v>231</v>
      </c>
      <c r="B4109" s="52" t="s">
        <v>37</v>
      </c>
      <c r="C4109" s="52" t="s">
        <v>63</v>
      </c>
      <c r="D4109" s="52" t="s">
        <v>63</v>
      </c>
      <c r="E4109" s="52" t="s">
        <v>655</v>
      </c>
      <c r="F4109" s="52" t="s">
        <v>26</v>
      </c>
      <c r="G4109" s="55" t="s">
        <v>279</v>
      </c>
      <c r="H4109" s="55">
        <v>0</v>
      </c>
      <c r="I4109" s="55">
        <v>2.9589999999999998E-3</v>
      </c>
      <c r="J4109" s="55">
        <v>1.9411999999999999E-2</v>
      </c>
      <c r="K4109" s="55">
        <v>5.4914499999999998E-2</v>
      </c>
      <c r="L4109" s="55">
        <v>8.5267700000000002E-2</v>
      </c>
      <c r="M4109" s="55">
        <v>8.2527089999999997E-2</v>
      </c>
      <c r="N4109" s="55">
        <v>6.0625600000000002E-2</v>
      </c>
    </row>
    <row r="4110" spans="1:14" hidden="1" x14ac:dyDescent="0.35">
      <c r="A4110" s="52" t="s">
        <v>231</v>
      </c>
      <c r="B4110" s="52" t="s">
        <v>37</v>
      </c>
      <c r="C4110" s="52" t="s">
        <v>318</v>
      </c>
      <c r="D4110" s="52" t="s">
        <v>318</v>
      </c>
      <c r="E4110" s="52" t="s">
        <v>584</v>
      </c>
      <c r="F4110" s="52" t="s">
        <v>581</v>
      </c>
      <c r="G4110" s="55" t="s">
        <v>275</v>
      </c>
      <c r="H4110" s="55">
        <v>0</v>
      </c>
      <c r="I4110" s="55"/>
      <c r="J4110" s="55"/>
      <c r="K4110" s="55"/>
      <c r="L4110" s="55"/>
      <c r="M4110" s="55"/>
      <c r="N4110" s="55"/>
    </row>
    <row r="4111" spans="1:14" hidden="1" x14ac:dyDescent="0.35">
      <c r="A4111" s="52" t="s">
        <v>231</v>
      </c>
      <c r="B4111" s="52" t="s">
        <v>37</v>
      </c>
      <c r="C4111" s="52" t="s">
        <v>109</v>
      </c>
      <c r="D4111" s="52" t="s">
        <v>109</v>
      </c>
      <c r="E4111" s="52" t="s">
        <v>584</v>
      </c>
      <c r="F4111" s="52" t="s">
        <v>581</v>
      </c>
      <c r="G4111" s="55" t="s">
        <v>275</v>
      </c>
      <c r="H4111" s="55">
        <v>0</v>
      </c>
      <c r="I4111" s="55"/>
      <c r="J4111" s="55">
        <v>0</v>
      </c>
      <c r="K4111" s="55">
        <v>0</v>
      </c>
      <c r="L4111" s="55">
        <v>0</v>
      </c>
      <c r="M4111" s="55">
        <v>0</v>
      </c>
      <c r="N4111" s="55">
        <v>0</v>
      </c>
    </row>
    <row r="4112" spans="1:14" hidden="1" x14ac:dyDescent="0.35">
      <c r="A4112" s="52" t="s">
        <v>231</v>
      </c>
      <c r="B4112" s="52" t="s">
        <v>37</v>
      </c>
      <c r="C4112" s="52" t="s">
        <v>61</v>
      </c>
      <c r="D4112" s="52" t="s">
        <v>62</v>
      </c>
      <c r="E4112" s="52" t="s">
        <v>584</v>
      </c>
      <c r="F4112" s="52" t="s">
        <v>581</v>
      </c>
      <c r="G4112" s="55" t="s">
        <v>275</v>
      </c>
      <c r="H4112" s="55">
        <v>0</v>
      </c>
      <c r="I4112" s="55"/>
      <c r="J4112" s="55">
        <v>0</v>
      </c>
      <c r="K4112" s="55">
        <v>0</v>
      </c>
      <c r="L4112" s="55">
        <v>0</v>
      </c>
      <c r="M4112" s="55">
        <v>0</v>
      </c>
      <c r="N4112" s="55">
        <v>0</v>
      </c>
    </row>
    <row r="4113" spans="1:14" hidden="1" x14ac:dyDescent="0.35">
      <c r="A4113" s="52" t="s">
        <v>231</v>
      </c>
      <c r="B4113" s="52" t="s">
        <v>37</v>
      </c>
      <c r="C4113" s="52" t="s">
        <v>109</v>
      </c>
      <c r="D4113" s="52" t="s">
        <v>109</v>
      </c>
      <c r="E4113" s="52" t="s">
        <v>584</v>
      </c>
      <c r="F4113" s="52" t="s">
        <v>581</v>
      </c>
      <c r="G4113" s="55" t="s">
        <v>276</v>
      </c>
      <c r="H4113" s="55"/>
      <c r="I4113" s="55"/>
      <c r="J4113" s="55">
        <v>0</v>
      </c>
      <c r="K4113" s="55">
        <v>0</v>
      </c>
      <c r="L4113" s="55">
        <v>0</v>
      </c>
      <c r="M4113" s="55">
        <v>0</v>
      </c>
      <c r="N4113" s="55">
        <v>0</v>
      </c>
    </row>
    <row r="4114" spans="1:14" hidden="1" x14ac:dyDescent="0.35">
      <c r="A4114" s="52" t="s">
        <v>231</v>
      </c>
      <c r="B4114" s="52" t="s">
        <v>37</v>
      </c>
      <c r="C4114" s="52" t="s">
        <v>61</v>
      </c>
      <c r="D4114" s="52" t="s">
        <v>62</v>
      </c>
      <c r="E4114" s="52" t="s">
        <v>584</v>
      </c>
      <c r="F4114" s="52" t="s">
        <v>581</v>
      </c>
      <c r="G4114" s="55" t="s">
        <v>276</v>
      </c>
      <c r="H4114" s="55"/>
      <c r="I4114" s="55"/>
      <c r="J4114" s="55">
        <v>0</v>
      </c>
      <c r="K4114" s="55">
        <v>0</v>
      </c>
      <c r="L4114" s="55">
        <v>0</v>
      </c>
      <c r="M4114" s="55">
        <v>0</v>
      </c>
      <c r="N4114" s="55">
        <v>0</v>
      </c>
    </row>
    <row r="4115" spans="1:14" hidden="1" x14ac:dyDescent="0.35">
      <c r="A4115" s="52" t="s">
        <v>231</v>
      </c>
      <c r="B4115" s="52" t="s">
        <v>37</v>
      </c>
      <c r="C4115" s="52" t="s">
        <v>318</v>
      </c>
      <c r="D4115" s="52" t="s">
        <v>318</v>
      </c>
      <c r="E4115" s="52" t="s">
        <v>584</v>
      </c>
      <c r="F4115" s="52" t="s">
        <v>581</v>
      </c>
      <c r="G4115" s="55" t="s">
        <v>276</v>
      </c>
      <c r="H4115" s="55">
        <v>0</v>
      </c>
      <c r="I4115" s="55"/>
      <c r="J4115" s="55"/>
      <c r="K4115" s="55"/>
      <c r="L4115" s="55"/>
      <c r="M4115" s="55"/>
      <c r="N4115" s="55"/>
    </row>
    <row r="4116" spans="1:14" hidden="1" x14ac:dyDescent="0.35">
      <c r="A4116" s="52" t="s">
        <v>231</v>
      </c>
      <c r="B4116" s="52" t="s">
        <v>37</v>
      </c>
      <c r="C4116" s="52" t="s">
        <v>61</v>
      </c>
      <c r="D4116" s="52" t="s">
        <v>62</v>
      </c>
      <c r="E4116" s="52" t="s">
        <v>584</v>
      </c>
      <c r="F4116" s="52" t="s">
        <v>581</v>
      </c>
      <c r="G4116" s="55" t="s">
        <v>278</v>
      </c>
      <c r="H4116" s="55"/>
      <c r="I4116" s="55"/>
      <c r="J4116" s="55">
        <v>0</v>
      </c>
      <c r="K4116" s="55">
        <v>0</v>
      </c>
      <c r="L4116" s="55">
        <v>0</v>
      </c>
      <c r="M4116" s="55">
        <v>0</v>
      </c>
      <c r="N4116" s="55">
        <v>0</v>
      </c>
    </row>
    <row r="4117" spans="1:14" hidden="1" x14ac:dyDescent="0.35">
      <c r="A4117" s="52" t="s">
        <v>231</v>
      </c>
      <c r="B4117" s="52" t="s">
        <v>37</v>
      </c>
      <c r="C4117" s="52" t="s">
        <v>318</v>
      </c>
      <c r="D4117" s="52" t="s">
        <v>318</v>
      </c>
      <c r="E4117" s="52" t="s">
        <v>584</v>
      </c>
      <c r="F4117" s="52" t="s">
        <v>581</v>
      </c>
      <c r="G4117" s="55" t="s">
        <v>278</v>
      </c>
      <c r="H4117" s="55">
        <v>0</v>
      </c>
      <c r="I4117" s="55"/>
      <c r="J4117" s="55"/>
      <c r="K4117" s="55"/>
      <c r="L4117" s="55"/>
      <c r="M4117" s="55"/>
      <c r="N4117" s="55"/>
    </row>
    <row r="4118" spans="1:14" hidden="1" x14ac:dyDescent="0.35">
      <c r="A4118" s="52" t="s">
        <v>231</v>
      </c>
      <c r="B4118" s="52" t="s">
        <v>37</v>
      </c>
      <c r="C4118" s="52" t="s">
        <v>109</v>
      </c>
      <c r="D4118" s="52" t="s">
        <v>109</v>
      </c>
      <c r="E4118" s="52" t="s">
        <v>584</v>
      </c>
      <c r="F4118" s="52" t="s">
        <v>581</v>
      </c>
      <c r="G4118" s="55" t="s">
        <v>278</v>
      </c>
      <c r="H4118" s="55"/>
      <c r="I4118" s="55"/>
      <c r="J4118" s="55">
        <v>0</v>
      </c>
      <c r="K4118" s="55">
        <v>0</v>
      </c>
      <c r="L4118" s="55">
        <v>0</v>
      </c>
      <c r="M4118" s="55">
        <v>0</v>
      </c>
      <c r="N4118" s="55">
        <v>0</v>
      </c>
    </row>
    <row r="4119" spans="1:14" hidden="1" x14ac:dyDescent="0.35">
      <c r="A4119" s="52" t="s">
        <v>231</v>
      </c>
      <c r="B4119" s="52" t="s">
        <v>37</v>
      </c>
      <c r="C4119" s="52" t="s">
        <v>318</v>
      </c>
      <c r="D4119" s="52" t="s">
        <v>318</v>
      </c>
      <c r="E4119" s="52" t="s">
        <v>584</v>
      </c>
      <c r="F4119" s="52" t="s">
        <v>26</v>
      </c>
      <c r="G4119" s="55" t="s">
        <v>275</v>
      </c>
      <c r="H4119" s="55">
        <v>0</v>
      </c>
      <c r="I4119" s="55"/>
      <c r="J4119" s="55"/>
      <c r="K4119" s="55"/>
      <c r="L4119" s="55"/>
      <c r="M4119" s="55"/>
      <c r="N4119" s="55"/>
    </row>
    <row r="4120" spans="1:14" hidden="1" x14ac:dyDescent="0.35">
      <c r="A4120" s="52" t="s">
        <v>231</v>
      </c>
      <c r="B4120" s="52" t="s">
        <v>37</v>
      </c>
      <c r="C4120" s="52" t="s">
        <v>318</v>
      </c>
      <c r="D4120" s="52" t="s">
        <v>318</v>
      </c>
      <c r="E4120" s="52" t="s">
        <v>584</v>
      </c>
      <c r="F4120" s="52" t="s">
        <v>26</v>
      </c>
      <c r="G4120" s="55" t="s">
        <v>276</v>
      </c>
      <c r="H4120" s="55">
        <v>0</v>
      </c>
      <c r="I4120" s="55"/>
      <c r="J4120" s="55"/>
      <c r="K4120" s="55"/>
      <c r="L4120" s="55"/>
      <c r="M4120" s="55"/>
      <c r="N4120" s="55"/>
    </row>
    <row r="4121" spans="1:14" hidden="1" x14ac:dyDescent="0.35">
      <c r="A4121" s="52" t="s">
        <v>231</v>
      </c>
      <c r="B4121" s="52" t="s">
        <v>37</v>
      </c>
      <c r="C4121" s="52" t="s">
        <v>318</v>
      </c>
      <c r="D4121" s="52" t="s">
        <v>318</v>
      </c>
      <c r="E4121" s="52" t="s">
        <v>584</v>
      </c>
      <c r="F4121" s="52" t="s">
        <v>26</v>
      </c>
      <c r="G4121" s="55" t="s">
        <v>278</v>
      </c>
      <c r="H4121" s="55">
        <v>0</v>
      </c>
      <c r="I4121" s="55"/>
      <c r="J4121" s="55"/>
      <c r="K4121" s="55"/>
      <c r="L4121" s="55"/>
      <c r="M4121" s="55"/>
      <c r="N4121" s="55"/>
    </row>
    <row r="4122" spans="1:14" hidden="1" x14ac:dyDescent="0.35">
      <c r="A4122" s="52" t="s">
        <v>231</v>
      </c>
      <c r="B4122" s="52" t="s">
        <v>34</v>
      </c>
      <c r="C4122" s="52" t="s">
        <v>33</v>
      </c>
      <c r="D4122" s="52" t="s">
        <v>33</v>
      </c>
      <c r="E4122" s="52" t="s">
        <v>622</v>
      </c>
      <c r="F4122" s="52" t="s">
        <v>26</v>
      </c>
      <c r="G4122" s="55" t="s">
        <v>275</v>
      </c>
      <c r="H4122" s="55">
        <v>-0.199684</v>
      </c>
      <c r="I4122" s="55">
        <v>-2.5245150000000001</v>
      </c>
      <c r="J4122" s="55">
        <v>-2.2358250000000002</v>
      </c>
      <c r="K4122" s="55">
        <v>-2.1141909999999999</v>
      </c>
      <c r="L4122" s="55">
        <v>-1.9288380000000001</v>
      </c>
      <c r="M4122" s="55">
        <v>-1.739841</v>
      </c>
      <c r="N4122" s="55">
        <v>-1.600806</v>
      </c>
    </row>
    <row r="4123" spans="1:14" hidden="1" x14ac:dyDescent="0.35">
      <c r="A4123" s="52" t="s">
        <v>231</v>
      </c>
      <c r="B4123" s="52" t="s">
        <v>34</v>
      </c>
      <c r="C4123" s="52" t="s">
        <v>33</v>
      </c>
      <c r="D4123" s="52" t="s">
        <v>33</v>
      </c>
      <c r="E4123" s="52" t="s">
        <v>622</v>
      </c>
      <c r="F4123" s="52" t="s">
        <v>26</v>
      </c>
      <c r="G4123" s="55" t="s">
        <v>276</v>
      </c>
      <c r="H4123" s="55">
        <v>-6.6560999999999995E-2</v>
      </c>
      <c r="I4123" s="55">
        <v>-0.84150480000000005</v>
      </c>
      <c r="J4123" s="55">
        <v>-0.74527560000000004</v>
      </c>
      <c r="K4123" s="55">
        <v>-0.70473030000000003</v>
      </c>
      <c r="L4123" s="55">
        <v>-0.64294600000000002</v>
      </c>
      <c r="M4123" s="55">
        <v>-0.57994780000000001</v>
      </c>
      <c r="N4123" s="55">
        <v>-0.53360200000000002</v>
      </c>
    </row>
    <row r="4124" spans="1:14" hidden="1" x14ac:dyDescent="0.35">
      <c r="A4124" s="52" t="s">
        <v>231</v>
      </c>
      <c r="B4124" s="52" t="s">
        <v>34</v>
      </c>
      <c r="C4124" s="52" t="s">
        <v>33</v>
      </c>
      <c r="D4124" s="52" t="s">
        <v>33</v>
      </c>
      <c r="E4124" s="52" t="s">
        <v>622</v>
      </c>
      <c r="F4124" s="52" t="s">
        <v>26</v>
      </c>
      <c r="G4124" s="55" t="s">
        <v>277</v>
      </c>
      <c r="H4124" s="55"/>
      <c r="I4124" s="55"/>
      <c r="J4124" s="55"/>
      <c r="K4124" s="55">
        <v>0</v>
      </c>
      <c r="L4124" s="55"/>
      <c r="M4124" s="55">
        <v>0</v>
      </c>
      <c r="N4124" s="55">
        <v>0</v>
      </c>
    </row>
    <row r="4125" spans="1:14" hidden="1" x14ac:dyDescent="0.35">
      <c r="A4125" s="52" t="s">
        <v>231</v>
      </c>
      <c r="B4125" s="52" t="s">
        <v>34</v>
      </c>
      <c r="C4125" s="52" t="s">
        <v>33</v>
      </c>
      <c r="D4125" s="52" t="s">
        <v>33</v>
      </c>
      <c r="E4125" s="52" t="s">
        <v>622</v>
      </c>
      <c r="F4125" s="52" t="s">
        <v>26</v>
      </c>
      <c r="G4125" s="55" t="s">
        <v>279</v>
      </c>
      <c r="H4125" s="55">
        <v>0.29392800000000002</v>
      </c>
      <c r="I4125" s="55">
        <v>3.722051</v>
      </c>
      <c r="J4125" s="55">
        <v>3.297634</v>
      </c>
      <c r="K4125" s="55">
        <v>3.1107179999999999</v>
      </c>
      <c r="L4125" s="55">
        <v>2.84063</v>
      </c>
      <c r="M4125" s="55">
        <v>2.5679940000000001</v>
      </c>
      <c r="N4125" s="55">
        <v>2.3621910000000002</v>
      </c>
    </row>
    <row r="4126" spans="1:14" hidden="1" x14ac:dyDescent="0.35">
      <c r="A4126" s="52" t="s">
        <v>231</v>
      </c>
      <c r="B4126" s="52" t="s">
        <v>34</v>
      </c>
      <c r="C4126" s="52" t="s">
        <v>33</v>
      </c>
      <c r="D4126" s="52" t="s">
        <v>33</v>
      </c>
      <c r="E4126" s="52" t="s">
        <v>584</v>
      </c>
      <c r="F4126" s="52" t="s">
        <v>581</v>
      </c>
      <c r="G4126" s="55" t="s">
        <v>275</v>
      </c>
      <c r="H4126" s="55">
        <v>-1.3340579999999999E-3</v>
      </c>
      <c r="I4126" s="55">
        <v>-1.333997E-3</v>
      </c>
      <c r="J4126" s="55">
        <v>-4.0021739999999999E-4</v>
      </c>
      <c r="K4126" s="55">
        <v>-4.0021739999999999E-4</v>
      </c>
      <c r="L4126" s="55">
        <v>-4.0021739999999999E-4</v>
      </c>
      <c r="M4126" s="55">
        <v>-4.0021739999999999E-4</v>
      </c>
      <c r="N4126" s="55">
        <v>-4.0021739999999999E-4</v>
      </c>
    </row>
    <row r="4127" spans="1:14" hidden="1" x14ac:dyDescent="0.35">
      <c r="A4127" s="52" t="s">
        <v>231</v>
      </c>
      <c r="B4127" s="52" t="s">
        <v>34</v>
      </c>
      <c r="C4127" s="52" t="s">
        <v>33</v>
      </c>
      <c r="D4127" s="52" t="s">
        <v>33</v>
      </c>
      <c r="E4127" s="52" t="s">
        <v>584</v>
      </c>
      <c r="F4127" s="52" t="s">
        <v>581</v>
      </c>
      <c r="G4127" s="55" t="s">
        <v>276</v>
      </c>
      <c r="H4127" s="55">
        <v>-4.9341450000000002E-4</v>
      </c>
      <c r="I4127" s="55">
        <v>-4.9341450000000002E-4</v>
      </c>
      <c r="J4127" s="55">
        <v>-1.427317E-3</v>
      </c>
      <c r="K4127" s="55">
        <v>-1.4272550000000001E-3</v>
      </c>
      <c r="L4127" s="55">
        <v>-1.4272550000000001E-3</v>
      </c>
      <c r="M4127" s="55">
        <v>-1.4272550000000001E-3</v>
      </c>
      <c r="N4127" s="55">
        <v>-1.4272550000000001E-3</v>
      </c>
    </row>
    <row r="4128" spans="1:14" hidden="1" x14ac:dyDescent="0.35">
      <c r="A4128" s="52" t="s">
        <v>231</v>
      </c>
      <c r="B4128" s="52" t="s">
        <v>34</v>
      </c>
      <c r="C4128" s="52" t="s">
        <v>33</v>
      </c>
      <c r="D4128" s="52" t="s">
        <v>33</v>
      </c>
      <c r="E4128" s="52" t="s">
        <v>584</v>
      </c>
      <c r="F4128" s="52" t="s">
        <v>581</v>
      </c>
      <c r="G4128" s="55" t="s">
        <v>278</v>
      </c>
      <c r="H4128" s="55">
        <v>1.827473E-3</v>
      </c>
      <c r="I4128" s="55">
        <v>1.8274719999999999E-3</v>
      </c>
      <c r="J4128" s="55">
        <v>1.827473E-3</v>
      </c>
      <c r="K4128" s="55">
        <v>1.8274719999999999E-3</v>
      </c>
      <c r="L4128" s="55">
        <v>1.8274719999999999E-3</v>
      </c>
      <c r="M4128" s="55">
        <v>1.827473E-3</v>
      </c>
      <c r="N4128" s="55">
        <v>1.8274719999999999E-3</v>
      </c>
    </row>
    <row r="4129" spans="1:14" hidden="1" x14ac:dyDescent="0.35">
      <c r="A4129" s="52" t="s">
        <v>231</v>
      </c>
      <c r="B4129" s="52" t="s">
        <v>34</v>
      </c>
      <c r="C4129" s="52" t="s">
        <v>263</v>
      </c>
      <c r="D4129" s="52" t="s">
        <v>263</v>
      </c>
      <c r="E4129" s="52" t="s">
        <v>584</v>
      </c>
      <c r="F4129" s="52" t="s">
        <v>581</v>
      </c>
      <c r="G4129" s="55" t="s">
        <v>275</v>
      </c>
      <c r="H4129" s="55">
        <v>-0.29459259999999998</v>
      </c>
      <c r="I4129" s="55">
        <v>-0.33142890000000003</v>
      </c>
      <c r="J4129" s="55">
        <v>1.0785899999999999E-2</v>
      </c>
      <c r="K4129" s="55">
        <v>-4.4748000000000001E-3</v>
      </c>
      <c r="L4129" s="55">
        <v>-1.9735800000000001E-2</v>
      </c>
      <c r="M4129" s="55">
        <v>-1.97355E-2</v>
      </c>
      <c r="N4129" s="55">
        <v>-1.9735800000000001E-2</v>
      </c>
    </row>
    <row r="4130" spans="1:14" hidden="1" x14ac:dyDescent="0.35">
      <c r="A4130" s="52" t="s">
        <v>231</v>
      </c>
      <c r="B4130" s="52" t="s">
        <v>34</v>
      </c>
      <c r="C4130" s="52" t="s">
        <v>263</v>
      </c>
      <c r="D4130" s="52" t="s">
        <v>263</v>
      </c>
      <c r="E4130" s="52" t="s">
        <v>584</v>
      </c>
      <c r="F4130" s="52" t="s">
        <v>581</v>
      </c>
      <c r="G4130" s="55" t="s">
        <v>276</v>
      </c>
      <c r="H4130" s="55">
        <v>-0.17183100000000001</v>
      </c>
      <c r="I4130" s="55">
        <v>-0.1744975</v>
      </c>
      <c r="J4130" s="55">
        <v>-0.48303079999999998</v>
      </c>
      <c r="K4130" s="55">
        <v>-11.562469999999999</v>
      </c>
      <c r="L4130" s="55">
        <v>-12.166449999999999</v>
      </c>
      <c r="M4130" s="55">
        <v>-12.306979999999999</v>
      </c>
      <c r="N4130" s="55">
        <v>-0.23379639999999999</v>
      </c>
    </row>
    <row r="4131" spans="1:14" hidden="1" x14ac:dyDescent="0.35">
      <c r="A4131" s="52" t="s">
        <v>231</v>
      </c>
      <c r="B4131" s="52" t="s">
        <v>34</v>
      </c>
      <c r="C4131" s="52" t="s">
        <v>263</v>
      </c>
      <c r="D4131" s="52" t="s">
        <v>263</v>
      </c>
      <c r="E4131" s="52" t="s">
        <v>584</v>
      </c>
      <c r="F4131" s="52" t="s">
        <v>581</v>
      </c>
      <c r="G4131" s="55" t="s">
        <v>277</v>
      </c>
      <c r="H4131" s="55"/>
      <c r="I4131" s="55"/>
      <c r="J4131" s="55"/>
      <c r="K4131" s="55"/>
      <c r="L4131" s="55"/>
      <c r="M4131" s="55">
        <v>0</v>
      </c>
      <c r="N4131" s="55">
        <v>6.163319E-4</v>
      </c>
    </row>
    <row r="4132" spans="1:14" hidden="1" x14ac:dyDescent="0.35">
      <c r="A4132" s="52" t="s">
        <v>231</v>
      </c>
      <c r="B4132" s="52" t="s">
        <v>34</v>
      </c>
      <c r="C4132" s="52" t="s">
        <v>263</v>
      </c>
      <c r="D4132" s="52" t="s">
        <v>263</v>
      </c>
      <c r="E4132" s="52" t="s">
        <v>584</v>
      </c>
      <c r="F4132" s="52" t="s">
        <v>581</v>
      </c>
      <c r="G4132" s="55" t="s">
        <v>278</v>
      </c>
      <c r="H4132" s="55">
        <v>0.46642420000000001</v>
      </c>
      <c r="I4132" s="55">
        <v>0.50592570000000003</v>
      </c>
      <c r="J4132" s="55">
        <v>0.5027663</v>
      </c>
      <c r="K4132" s="55">
        <v>11.5822</v>
      </c>
      <c r="L4132" s="55">
        <v>12.18619</v>
      </c>
      <c r="M4132" s="55">
        <v>12.32672</v>
      </c>
      <c r="N4132" s="55">
        <v>0.25291540000000001</v>
      </c>
    </row>
    <row r="4133" spans="1:14" hidden="1" x14ac:dyDescent="0.35">
      <c r="A4133" s="52" t="s">
        <v>231</v>
      </c>
      <c r="B4133" s="52" t="s">
        <v>34</v>
      </c>
      <c r="C4133" s="52" t="s">
        <v>302</v>
      </c>
      <c r="D4133" s="52" t="s">
        <v>302</v>
      </c>
      <c r="E4133" s="52" t="s">
        <v>584</v>
      </c>
      <c r="F4133" s="52" t="s">
        <v>581</v>
      </c>
      <c r="G4133" s="55" t="s">
        <v>275</v>
      </c>
      <c r="H4133" s="55">
        <v>-3.560658E-3</v>
      </c>
      <c r="I4133" s="55">
        <v>-3.560658E-3</v>
      </c>
      <c r="J4133" s="55">
        <v>1.124931E-3</v>
      </c>
      <c r="K4133" s="55">
        <v>5.6249160000000002E-4</v>
      </c>
      <c r="L4133" s="55">
        <v>0</v>
      </c>
      <c r="M4133" s="55">
        <v>0</v>
      </c>
      <c r="N4133" s="55">
        <v>0</v>
      </c>
    </row>
    <row r="4134" spans="1:14" hidden="1" x14ac:dyDescent="0.35">
      <c r="A4134" s="52" t="s">
        <v>231</v>
      </c>
      <c r="B4134" s="52" t="s">
        <v>34</v>
      </c>
      <c r="C4134" s="52" t="s">
        <v>302</v>
      </c>
      <c r="D4134" s="52" t="s">
        <v>302</v>
      </c>
      <c r="E4134" s="52" t="s">
        <v>584</v>
      </c>
      <c r="F4134" s="52" t="s">
        <v>581</v>
      </c>
      <c r="G4134" s="55" t="s">
        <v>276</v>
      </c>
      <c r="H4134" s="55">
        <v>-2.9391360000000002E-3</v>
      </c>
      <c r="I4134" s="55">
        <v>-2.9390330000000002E-3</v>
      </c>
      <c r="J4134" s="55">
        <v>-2.5526519999999999E-3</v>
      </c>
      <c r="K4134" s="55">
        <v>-3.7378210000000002E-2</v>
      </c>
      <c r="L4134" s="55">
        <v>-2.5525999999999999E-3</v>
      </c>
      <c r="M4134" s="55">
        <v>-2.5525999999999999E-3</v>
      </c>
      <c r="N4134" s="55">
        <v>-2.5526519999999999E-3</v>
      </c>
    </row>
    <row r="4135" spans="1:14" hidden="1" x14ac:dyDescent="0.35">
      <c r="A4135" s="52" t="s">
        <v>231</v>
      </c>
      <c r="B4135" s="52" t="s">
        <v>34</v>
      </c>
      <c r="C4135" s="52" t="s">
        <v>302</v>
      </c>
      <c r="D4135" s="52" t="s">
        <v>302</v>
      </c>
      <c r="E4135" s="52" t="s">
        <v>584</v>
      </c>
      <c r="F4135" s="52" t="s">
        <v>581</v>
      </c>
      <c r="G4135" s="55" t="s">
        <v>278</v>
      </c>
      <c r="H4135" s="55">
        <v>6.4997429999999997E-3</v>
      </c>
      <c r="I4135" s="55">
        <v>6.4997420000000002E-3</v>
      </c>
      <c r="J4135" s="55">
        <v>2.5526009999999998E-3</v>
      </c>
      <c r="K4135" s="55">
        <v>3.7378109999999999E-2</v>
      </c>
      <c r="L4135" s="55">
        <v>2.5525999999999999E-3</v>
      </c>
      <c r="M4135" s="55">
        <v>2.5526009999999998E-3</v>
      </c>
      <c r="N4135" s="55">
        <v>2.5526009999999998E-3</v>
      </c>
    </row>
    <row r="4136" spans="1:14" hidden="1" x14ac:dyDescent="0.35">
      <c r="A4136" s="52" t="s">
        <v>231</v>
      </c>
      <c r="B4136" s="52" t="s">
        <v>34</v>
      </c>
      <c r="C4136" s="52" t="s">
        <v>289</v>
      </c>
      <c r="D4136" s="52" t="s">
        <v>289</v>
      </c>
      <c r="E4136" s="52" t="s">
        <v>584</v>
      </c>
      <c r="F4136" s="52" t="s">
        <v>581</v>
      </c>
      <c r="G4136" s="55" t="s">
        <v>275</v>
      </c>
      <c r="H4136" s="55">
        <v>-9.9134990000000006E-2</v>
      </c>
      <c r="I4136" s="55">
        <v>-9.9135000000000001E-2</v>
      </c>
      <c r="J4136" s="55">
        <v>-2.9740800000000001E-2</v>
      </c>
      <c r="K4136" s="55">
        <v>-2.9740800000000001E-2</v>
      </c>
      <c r="L4136" s="55">
        <v>-2.9740800000000001E-2</v>
      </c>
      <c r="M4136" s="55">
        <v>-0.67435319999999999</v>
      </c>
      <c r="N4136" s="55">
        <v>2.2525199999999999E-2</v>
      </c>
    </row>
    <row r="4137" spans="1:14" hidden="1" x14ac:dyDescent="0.35">
      <c r="A4137" s="52" t="s">
        <v>231</v>
      </c>
      <c r="B4137" s="52" t="s">
        <v>34</v>
      </c>
      <c r="C4137" s="52" t="s">
        <v>289</v>
      </c>
      <c r="D4137" s="52" t="s">
        <v>289</v>
      </c>
      <c r="E4137" s="52" t="s">
        <v>584</v>
      </c>
      <c r="F4137" s="52" t="s">
        <v>581</v>
      </c>
      <c r="G4137" s="55" t="s">
        <v>276</v>
      </c>
      <c r="H4137" s="55">
        <v>-4.2486000000000003E-2</v>
      </c>
      <c r="I4137" s="55">
        <v>-4.2486000000000003E-2</v>
      </c>
      <c r="J4137" s="55">
        <v>-0.1118822</v>
      </c>
      <c r="K4137" s="55">
        <v>-0.1118812</v>
      </c>
      <c r="L4137" s="55">
        <v>-0.1118812</v>
      </c>
      <c r="M4137" s="55">
        <v>-1.790197</v>
      </c>
      <c r="N4137" s="55">
        <v>-0.16414719999999999</v>
      </c>
    </row>
    <row r="4138" spans="1:14" hidden="1" x14ac:dyDescent="0.35">
      <c r="A4138" s="52" t="s">
        <v>231</v>
      </c>
      <c r="B4138" s="52" t="s">
        <v>34</v>
      </c>
      <c r="C4138" s="52" t="s">
        <v>289</v>
      </c>
      <c r="D4138" s="52" t="s">
        <v>289</v>
      </c>
      <c r="E4138" s="52" t="s">
        <v>584</v>
      </c>
      <c r="F4138" s="52" t="s">
        <v>581</v>
      </c>
      <c r="G4138" s="55" t="s">
        <v>278</v>
      </c>
      <c r="H4138" s="55">
        <v>0.141622</v>
      </c>
      <c r="I4138" s="55">
        <v>0.141622</v>
      </c>
      <c r="J4138" s="55">
        <v>0.141622</v>
      </c>
      <c r="K4138" s="55">
        <v>0.141622</v>
      </c>
      <c r="L4138" s="55">
        <v>0.141622</v>
      </c>
      <c r="M4138" s="55">
        <v>2.4645510000000002</v>
      </c>
      <c r="N4138" s="55">
        <v>0.141622</v>
      </c>
    </row>
    <row r="4139" spans="1:14" hidden="1" x14ac:dyDescent="0.35">
      <c r="A4139" s="52" t="s">
        <v>231</v>
      </c>
      <c r="B4139" s="52" t="s">
        <v>34</v>
      </c>
      <c r="C4139" s="52" t="s">
        <v>384</v>
      </c>
      <c r="D4139" s="52" t="s">
        <v>384</v>
      </c>
      <c r="E4139" s="52" t="s">
        <v>584</v>
      </c>
      <c r="F4139" s="52" t="s">
        <v>581</v>
      </c>
      <c r="G4139" s="55" t="s">
        <v>275</v>
      </c>
      <c r="H4139" s="55">
        <v>-0.18811600000000001</v>
      </c>
      <c r="I4139" s="55">
        <v>-0.18811800000000001</v>
      </c>
      <c r="J4139" s="55">
        <v>-7.6071310000000003E-2</v>
      </c>
      <c r="K4139" s="55">
        <v>-3.4301100000000001E-2</v>
      </c>
      <c r="L4139" s="55">
        <v>-2.3509200000000001E-2</v>
      </c>
      <c r="M4139" s="55">
        <v>-2.3509200000000001E-2</v>
      </c>
      <c r="N4139" s="55">
        <v>-2.7390600000000001E-2</v>
      </c>
    </row>
    <row r="4140" spans="1:14" hidden="1" x14ac:dyDescent="0.35">
      <c r="A4140" s="52" t="s">
        <v>231</v>
      </c>
      <c r="B4140" s="52" t="s">
        <v>34</v>
      </c>
      <c r="C4140" s="52" t="s">
        <v>384</v>
      </c>
      <c r="D4140" s="52" t="s">
        <v>384</v>
      </c>
      <c r="E4140" s="52" t="s">
        <v>584</v>
      </c>
      <c r="F4140" s="52" t="s">
        <v>581</v>
      </c>
      <c r="G4140" s="55" t="s">
        <v>276</v>
      </c>
      <c r="H4140" s="55">
        <v>-8.0620999999999998E-2</v>
      </c>
      <c r="I4140" s="55">
        <v>-8.0620999999999998E-2</v>
      </c>
      <c r="J4140" s="55">
        <v>-1.227724</v>
      </c>
      <c r="K4140" s="55">
        <v>-0.45027790000000001</v>
      </c>
      <c r="L4140" s="55">
        <v>-0.2452288</v>
      </c>
      <c r="M4140" s="55">
        <v>-0.2452288</v>
      </c>
      <c r="N4140" s="55">
        <v>-0.24134839999999999</v>
      </c>
    </row>
    <row r="4141" spans="1:14" hidden="1" x14ac:dyDescent="0.35">
      <c r="A4141" s="52" t="s">
        <v>231</v>
      </c>
      <c r="B4141" s="52" t="s">
        <v>34</v>
      </c>
      <c r="C4141" s="52" t="s">
        <v>384</v>
      </c>
      <c r="D4141" s="52" t="s">
        <v>384</v>
      </c>
      <c r="E4141" s="52" t="s">
        <v>584</v>
      </c>
      <c r="F4141" s="52" t="s">
        <v>581</v>
      </c>
      <c r="G4141" s="55" t="s">
        <v>278</v>
      </c>
      <c r="H4141" s="55">
        <v>0.26873799999999998</v>
      </c>
      <c r="I4141" s="55">
        <v>0.26873799999999998</v>
      </c>
      <c r="J4141" s="55">
        <v>1.303796</v>
      </c>
      <c r="K4141" s="55">
        <v>0.48458000000000001</v>
      </c>
      <c r="L4141" s="55">
        <v>0.26873799999999998</v>
      </c>
      <c r="M4141" s="55">
        <v>0.26873799999999998</v>
      </c>
      <c r="N4141" s="55">
        <v>0.26873799999999998</v>
      </c>
    </row>
    <row r="4142" spans="1:14" hidden="1" x14ac:dyDescent="0.35">
      <c r="A4142" s="52" t="s">
        <v>231</v>
      </c>
      <c r="B4142" s="52" t="s">
        <v>34</v>
      </c>
      <c r="C4142" s="52" t="s">
        <v>313</v>
      </c>
      <c r="D4142" s="52" t="s">
        <v>313</v>
      </c>
      <c r="E4142" s="52" t="s">
        <v>584</v>
      </c>
      <c r="F4142" s="52" t="s">
        <v>581</v>
      </c>
      <c r="G4142" s="55" t="s">
        <v>275</v>
      </c>
      <c r="H4142" s="55">
        <v>-9.5166000000000001E-2</v>
      </c>
      <c r="I4142" s="55">
        <v>-9.5166000000000001E-2</v>
      </c>
      <c r="J4142" s="55">
        <v>-0.15266070000000001</v>
      </c>
      <c r="K4142" s="55">
        <v>-4.4367900000000002E-2</v>
      </c>
      <c r="L4142" s="55">
        <v>-1.6388099999999999E-2</v>
      </c>
      <c r="M4142" s="55">
        <v>-1.6388099999999999E-2</v>
      </c>
      <c r="N4142" s="55">
        <v>-2.6451300000000001E-2</v>
      </c>
    </row>
    <row r="4143" spans="1:14" hidden="1" x14ac:dyDescent="0.35">
      <c r="A4143" s="52" t="s">
        <v>231</v>
      </c>
      <c r="B4143" s="52" t="s">
        <v>34</v>
      </c>
      <c r="C4143" s="52" t="s">
        <v>313</v>
      </c>
      <c r="D4143" s="52" t="s">
        <v>313</v>
      </c>
      <c r="E4143" s="52" t="s">
        <v>584</v>
      </c>
      <c r="F4143" s="52" t="s">
        <v>581</v>
      </c>
      <c r="G4143" s="55" t="s">
        <v>276</v>
      </c>
      <c r="H4143" s="55">
        <v>-4.0786000000000003E-2</v>
      </c>
      <c r="I4143" s="55">
        <v>-4.0785000000000002E-2</v>
      </c>
      <c r="J4143" s="55">
        <v>-0.43053629999999998</v>
      </c>
      <c r="K4143" s="55">
        <v>-0.18484909999999999</v>
      </c>
      <c r="L4143" s="55">
        <v>-0.1195629</v>
      </c>
      <c r="M4143" s="55">
        <v>-0.1195619</v>
      </c>
      <c r="N4143" s="55">
        <v>-0.10949970000000001</v>
      </c>
    </row>
    <row r="4144" spans="1:14" hidden="1" x14ac:dyDescent="0.35">
      <c r="A4144" s="52" t="s">
        <v>231</v>
      </c>
      <c r="B4144" s="52" t="s">
        <v>34</v>
      </c>
      <c r="C4144" s="52" t="s">
        <v>313</v>
      </c>
      <c r="D4144" s="52" t="s">
        <v>313</v>
      </c>
      <c r="E4144" s="52" t="s">
        <v>584</v>
      </c>
      <c r="F4144" s="52" t="s">
        <v>581</v>
      </c>
      <c r="G4144" s="55" t="s">
        <v>278</v>
      </c>
      <c r="H4144" s="55">
        <v>0.13595099999999999</v>
      </c>
      <c r="I4144" s="55">
        <v>0.13595099999999999</v>
      </c>
      <c r="J4144" s="55">
        <v>0.58319900000000002</v>
      </c>
      <c r="K4144" s="55">
        <v>0.229216</v>
      </c>
      <c r="L4144" s="55">
        <v>0.13595099999999999</v>
      </c>
      <c r="M4144" s="55">
        <v>0.13595099999999999</v>
      </c>
      <c r="N4144" s="55">
        <v>0.13595099999999999</v>
      </c>
    </row>
    <row r="4145" spans="1:14" hidden="1" x14ac:dyDescent="0.35">
      <c r="A4145" s="52" t="s">
        <v>231</v>
      </c>
      <c r="B4145" s="52" t="s">
        <v>34</v>
      </c>
      <c r="C4145" s="52" t="s">
        <v>341</v>
      </c>
      <c r="D4145" s="52" t="s">
        <v>341</v>
      </c>
      <c r="E4145" s="52" t="s">
        <v>584</v>
      </c>
      <c r="F4145" s="52" t="s">
        <v>581</v>
      </c>
      <c r="G4145" s="55" t="s">
        <v>275</v>
      </c>
      <c r="H4145" s="55">
        <v>-2.442041E-2</v>
      </c>
      <c r="I4145" s="55">
        <v>-6.5560579999999993E-2</v>
      </c>
      <c r="J4145" s="55">
        <v>-5.5204920000000001E-3</v>
      </c>
      <c r="K4145" s="55">
        <v>-1.0500290000000001E-2</v>
      </c>
      <c r="L4145" s="55">
        <v>-6.474657E-3</v>
      </c>
      <c r="M4145" s="55">
        <v>-7.5150770000000002E-3</v>
      </c>
      <c r="N4145" s="55">
        <v>-7.5151200000000001E-3</v>
      </c>
    </row>
    <row r="4146" spans="1:14" hidden="1" x14ac:dyDescent="0.35">
      <c r="A4146" s="52" t="s">
        <v>231</v>
      </c>
      <c r="B4146" s="52" t="s">
        <v>34</v>
      </c>
      <c r="C4146" s="52" t="s">
        <v>341</v>
      </c>
      <c r="D4146" s="52" t="s">
        <v>341</v>
      </c>
      <c r="E4146" s="52" t="s">
        <v>584</v>
      </c>
      <c r="F4146" s="52" t="s">
        <v>581</v>
      </c>
      <c r="G4146" s="55" t="s">
        <v>276</v>
      </c>
      <c r="H4146" s="55">
        <v>-9.0323839999999992E-3</v>
      </c>
      <c r="I4146" s="55">
        <v>-1.2010089999999999E-2</v>
      </c>
      <c r="J4146" s="55">
        <v>-2.7932849999999999E-2</v>
      </c>
      <c r="K4146" s="55">
        <v>-4.075347E-2</v>
      </c>
      <c r="L4146" s="55">
        <v>-3.1677469999999999E-2</v>
      </c>
      <c r="M4146" s="55">
        <v>-2.5937350000000001E-2</v>
      </c>
      <c r="N4146" s="55">
        <v>-2.5937669999999999E-2</v>
      </c>
    </row>
    <row r="4147" spans="1:14" hidden="1" x14ac:dyDescent="0.35">
      <c r="A4147" s="52" t="s">
        <v>231</v>
      </c>
      <c r="B4147" s="52" t="s">
        <v>34</v>
      </c>
      <c r="C4147" s="52" t="s">
        <v>341</v>
      </c>
      <c r="D4147" s="52" t="s">
        <v>341</v>
      </c>
      <c r="E4147" s="52" t="s">
        <v>584</v>
      </c>
      <c r="F4147" s="52" t="s">
        <v>581</v>
      </c>
      <c r="G4147" s="55" t="s">
        <v>278</v>
      </c>
      <c r="H4147" s="55">
        <v>3.3452849999999999E-2</v>
      </c>
      <c r="I4147" s="55">
        <v>7.7571200000000007E-2</v>
      </c>
      <c r="J4147" s="55">
        <v>3.3452849999999999E-2</v>
      </c>
      <c r="K4147" s="55">
        <v>5.1253760000000002E-2</v>
      </c>
      <c r="L4147" s="55">
        <v>3.8152190000000002E-2</v>
      </c>
      <c r="M4147" s="55">
        <v>3.3452849999999999E-2</v>
      </c>
      <c r="N4147" s="55">
        <v>3.3452849999999999E-2</v>
      </c>
    </row>
    <row r="4148" spans="1:14" hidden="1" x14ac:dyDescent="0.35">
      <c r="A4148" s="52" t="s">
        <v>231</v>
      </c>
      <c r="B4148" s="52" t="s">
        <v>34</v>
      </c>
      <c r="C4148" s="52" t="s">
        <v>308</v>
      </c>
      <c r="D4148" s="52" t="s">
        <v>308</v>
      </c>
      <c r="E4148" s="52" t="s">
        <v>584</v>
      </c>
      <c r="F4148" s="52" t="s">
        <v>581</v>
      </c>
      <c r="G4148" s="55" t="s">
        <v>275</v>
      </c>
      <c r="H4148" s="55">
        <v>-1.28355E-2</v>
      </c>
      <c r="I4148" s="55">
        <v>-1.28355E-2</v>
      </c>
      <c r="J4148" s="55">
        <v>0</v>
      </c>
      <c r="K4148" s="55">
        <v>0</v>
      </c>
      <c r="L4148" s="55">
        <v>0</v>
      </c>
      <c r="M4148" s="55">
        <v>0</v>
      </c>
      <c r="N4148" s="55">
        <v>0</v>
      </c>
    </row>
    <row r="4149" spans="1:14" hidden="1" x14ac:dyDescent="0.35">
      <c r="A4149" s="52" t="s">
        <v>231</v>
      </c>
      <c r="B4149" s="52" t="s">
        <v>34</v>
      </c>
      <c r="C4149" s="52" t="s">
        <v>308</v>
      </c>
      <c r="D4149" s="52" t="s">
        <v>308</v>
      </c>
      <c r="E4149" s="52" t="s">
        <v>584</v>
      </c>
      <c r="F4149" s="52" t="s">
        <v>581</v>
      </c>
      <c r="G4149" s="55" t="s">
        <v>276</v>
      </c>
      <c r="H4149" s="55">
        <v>-4.7472299999999999E-3</v>
      </c>
      <c r="I4149" s="55">
        <v>-4.7474120000000003E-3</v>
      </c>
      <c r="J4149" s="55">
        <v>-1.758291E-2</v>
      </c>
      <c r="K4149" s="55">
        <v>-1.758291E-2</v>
      </c>
      <c r="L4149" s="55">
        <v>-1.758291E-2</v>
      </c>
      <c r="M4149" s="55">
        <v>-1.758291E-2</v>
      </c>
      <c r="N4149" s="55">
        <v>-2.480712</v>
      </c>
    </row>
    <row r="4150" spans="1:14" hidden="1" x14ac:dyDescent="0.35">
      <c r="A4150" s="52" t="s">
        <v>231</v>
      </c>
      <c r="B4150" s="52" t="s">
        <v>34</v>
      </c>
      <c r="C4150" s="52" t="s">
        <v>308</v>
      </c>
      <c r="D4150" s="52" t="s">
        <v>308</v>
      </c>
      <c r="E4150" s="52" t="s">
        <v>584</v>
      </c>
      <c r="F4150" s="52" t="s">
        <v>581</v>
      </c>
      <c r="G4150" s="55" t="s">
        <v>278</v>
      </c>
      <c r="H4150" s="55">
        <v>1.758291E-2</v>
      </c>
      <c r="I4150" s="55">
        <v>1.758291E-2</v>
      </c>
      <c r="J4150" s="55">
        <v>1.758291E-2</v>
      </c>
      <c r="K4150" s="55">
        <v>1.758291E-2</v>
      </c>
      <c r="L4150" s="55">
        <v>1.758291E-2</v>
      </c>
      <c r="M4150" s="55">
        <v>1.758291E-2</v>
      </c>
      <c r="N4150" s="55">
        <v>2.480712</v>
      </c>
    </row>
    <row r="4151" spans="1:14" hidden="1" x14ac:dyDescent="0.35">
      <c r="A4151" s="52" t="s">
        <v>231</v>
      </c>
      <c r="B4151" s="52" t="s">
        <v>34</v>
      </c>
      <c r="C4151" s="52" t="s">
        <v>296</v>
      </c>
      <c r="D4151" s="52" t="s">
        <v>296</v>
      </c>
      <c r="E4151" s="52" t="s">
        <v>584</v>
      </c>
      <c r="F4151" s="52" t="s">
        <v>581</v>
      </c>
      <c r="G4151" s="55" t="s">
        <v>275</v>
      </c>
      <c r="H4151" s="55">
        <v>-5.6940050000000002E-3</v>
      </c>
      <c r="I4151" s="55">
        <v>-5.6939010000000003E-3</v>
      </c>
      <c r="J4151" s="55">
        <v>-1.825438E-3</v>
      </c>
      <c r="K4151" s="55">
        <v>-1.6997290000000001E-3</v>
      </c>
      <c r="L4151" s="55">
        <v>-1.6997290000000001E-3</v>
      </c>
      <c r="M4151" s="55">
        <v>-1.6996979999999999E-3</v>
      </c>
      <c r="N4151" s="55">
        <v>-1.708202E-3</v>
      </c>
    </row>
    <row r="4152" spans="1:14" hidden="1" x14ac:dyDescent="0.35">
      <c r="A4152" s="52" t="s">
        <v>231</v>
      </c>
      <c r="B4152" s="52" t="s">
        <v>34</v>
      </c>
      <c r="C4152" s="52" t="s">
        <v>296</v>
      </c>
      <c r="D4152" s="52" t="s">
        <v>296</v>
      </c>
      <c r="E4152" s="52" t="s">
        <v>584</v>
      </c>
      <c r="F4152" s="52" t="s">
        <v>581</v>
      </c>
      <c r="G4152" s="55" t="s">
        <v>276</v>
      </c>
      <c r="H4152" s="55">
        <v>-2.1060160000000001E-3</v>
      </c>
      <c r="I4152" s="55">
        <v>-2.1060160000000001E-3</v>
      </c>
      <c r="J4152" s="55">
        <v>-6.3936119999999999E-3</v>
      </c>
      <c r="K4152" s="55">
        <v>-6.1002920000000002E-3</v>
      </c>
      <c r="L4152" s="55">
        <v>-6.1002929999999997E-3</v>
      </c>
      <c r="M4152" s="55">
        <v>-6.1002199999999999E-3</v>
      </c>
      <c r="N4152" s="55">
        <v>-6.0918200000000004E-3</v>
      </c>
    </row>
    <row r="4153" spans="1:14" hidden="1" x14ac:dyDescent="0.35">
      <c r="A4153" s="52" t="s">
        <v>231</v>
      </c>
      <c r="B4153" s="52" t="s">
        <v>34</v>
      </c>
      <c r="C4153" s="52" t="s">
        <v>296</v>
      </c>
      <c r="D4153" s="52" t="s">
        <v>296</v>
      </c>
      <c r="E4153" s="52" t="s">
        <v>584</v>
      </c>
      <c r="F4153" s="52" t="s">
        <v>581</v>
      </c>
      <c r="G4153" s="55" t="s">
        <v>278</v>
      </c>
      <c r="H4153" s="55">
        <v>7.8000220000000002E-3</v>
      </c>
      <c r="I4153" s="55">
        <v>7.8000220000000002E-3</v>
      </c>
      <c r="J4153" s="55">
        <v>8.2190490000000008E-3</v>
      </c>
      <c r="K4153" s="55">
        <v>7.8000220000000002E-3</v>
      </c>
      <c r="L4153" s="55">
        <v>7.8000220000000002E-3</v>
      </c>
      <c r="M4153" s="55">
        <v>7.8000220000000002E-3</v>
      </c>
      <c r="N4153" s="55">
        <v>7.8000220000000002E-3</v>
      </c>
    </row>
    <row r="4154" spans="1:14" hidden="1" x14ac:dyDescent="0.35">
      <c r="A4154" s="52" t="s">
        <v>231</v>
      </c>
      <c r="B4154" s="52" t="s">
        <v>34</v>
      </c>
      <c r="C4154" s="52" t="s">
        <v>292</v>
      </c>
      <c r="D4154" s="52" t="s">
        <v>292</v>
      </c>
      <c r="E4154" s="52" t="s">
        <v>584</v>
      </c>
      <c r="F4154" s="52" t="s">
        <v>581</v>
      </c>
      <c r="G4154" s="55" t="s">
        <v>275</v>
      </c>
      <c r="H4154" s="55">
        <v>-1.7511569999999999E-3</v>
      </c>
      <c r="I4154" s="55">
        <v>-1.751105E-3</v>
      </c>
      <c r="J4154" s="55">
        <v>0</v>
      </c>
      <c r="K4154" s="55">
        <v>0</v>
      </c>
      <c r="L4154" s="55">
        <v>0</v>
      </c>
      <c r="M4154" s="55">
        <v>0</v>
      </c>
      <c r="N4154" s="55">
        <v>0</v>
      </c>
    </row>
    <row r="4155" spans="1:14" hidden="1" x14ac:dyDescent="0.35">
      <c r="A4155" s="52" t="s">
        <v>231</v>
      </c>
      <c r="B4155" s="52" t="s">
        <v>34</v>
      </c>
      <c r="C4155" s="52" t="s">
        <v>292</v>
      </c>
      <c r="D4155" s="52" t="s">
        <v>292</v>
      </c>
      <c r="E4155" s="52" t="s">
        <v>584</v>
      </c>
      <c r="F4155" s="52" t="s">
        <v>581</v>
      </c>
      <c r="G4155" s="55" t="s">
        <v>276</v>
      </c>
      <c r="H4155" s="55">
        <v>-6.4764909999999996E-4</v>
      </c>
      <c r="I4155" s="55">
        <v>-6.4764909999999996E-4</v>
      </c>
      <c r="J4155" s="55">
        <v>-6.3657980000000003E-2</v>
      </c>
      <c r="K4155" s="55">
        <v>-2.3988049999999999E-3</v>
      </c>
      <c r="L4155" s="55">
        <v>-2.3988049999999999E-3</v>
      </c>
      <c r="M4155" s="55">
        <v>-2.3988049999999999E-3</v>
      </c>
      <c r="N4155" s="55">
        <v>-2.3988059999999999E-3</v>
      </c>
    </row>
    <row r="4156" spans="1:14" hidden="1" x14ac:dyDescent="0.35">
      <c r="A4156" s="52" t="s">
        <v>231</v>
      </c>
      <c r="B4156" s="52" t="s">
        <v>34</v>
      </c>
      <c r="C4156" s="52" t="s">
        <v>292</v>
      </c>
      <c r="D4156" s="52" t="s">
        <v>292</v>
      </c>
      <c r="E4156" s="52" t="s">
        <v>584</v>
      </c>
      <c r="F4156" s="52" t="s">
        <v>581</v>
      </c>
      <c r="G4156" s="55" t="s">
        <v>278</v>
      </c>
      <c r="H4156" s="55">
        <v>2.3988049999999999E-3</v>
      </c>
      <c r="I4156" s="55">
        <v>2.3988049999999999E-3</v>
      </c>
      <c r="J4156" s="55">
        <v>6.3657980000000003E-2</v>
      </c>
      <c r="K4156" s="55">
        <v>2.3988049999999999E-3</v>
      </c>
      <c r="L4156" s="55">
        <v>2.3988049999999999E-3</v>
      </c>
      <c r="M4156" s="55">
        <v>2.3988049999999999E-3</v>
      </c>
      <c r="N4156" s="55">
        <v>2.3988049999999999E-3</v>
      </c>
    </row>
    <row r="4157" spans="1:14" hidden="1" x14ac:dyDescent="0.35">
      <c r="A4157" s="52" t="s">
        <v>231</v>
      </c>
      <c r="B4157" s="52" t="s">
        <v>34</v>
      </c>
      <c r="C4157" s="52" t="s">
        <v>66</v>
      </c>
      <c r="D4157" s="52" t="s">
        <v>66</v>
      </c>
      <c r="E4157" s="52" t="s">
        <v>584</v>
      </c>
      <c r="F4157" s="52" t="s">
        <v>581</v>
      </c>
      <c r="G4157" s="55" t="s">
        <v>275</v>
      </c>
      <c r="H4157" s="55">
        <v>-4.2470249999999998E-3</v>
      </c>
      <c r="I4157" s="55">
        <v>-4.2470249999999998E-3</v>
      </c>
      <c r="J4157" s="55">
        <v>0</v>
      </c>
      <c r="K4157" s="55">
        <v>0</v>
      </c>
      <c r="L4157" s="55">
        <v>0</v>
      </c>
      <c r="M4157" s="55">
        <v>0</v>
      </c>
      <c r="N4157" s="55">
        <v>0</v>
      </c>
    </row>
    <row r="4158" spans="1:14" hidden="1" x14ac:dyDescent="0.35">
      <c r="A4158" s="52" t="s">
        <v>231</v>
      </c>
      <c r="B4158" s="52" t="s">
        <v>34</v>
      </c>
      <c r="C4158" s="52" t="s">
        <v>318</v>
      </c>
      <c r="D4158" s="52" t="s">
        <v>318</v>
      </c>
      <c r="E4158" s="52" t="s">
        <v>584</v>
      </c>
      <c r="F4158" s="52" t="s">
        <v>581</v>
      </c>
      <c r="G4158" s="55" t="s">
        <v>275</v>
      </c>
      <c r="H4158" s="55">
        <v>0</v>
      </c>
      <c r="I4158" s="55"/>
      <c r="J4158" s="55"/>
      <c r="K4158" s="55"/>
      <c r="L4158" s="55"/>
      <c r="M4158" s="55"/>
      <c r="N4158" s="55"/>
    </row>
    <row r="4159" spans="1:14" hidden="1" x14ac:dyDescent="0.35">
      <c r="A4159" s="52" t="s">
        <v>231</v>
      </c>
      <c r="B4159" s="52" t="s">
        <v>34</v>
      </c>
      <c r="C4159" s="52" t="s">
        <v>66</v>
      </c>
      <c r="D4159" s="52" t="s">
        <v>66</v>
      </c>
      <c r="E4159" s="52" t="s">
        <v>584</v>
      </c>
      <c r="F4159" s="52" t="s">
        <v>581</v>
      </c>
      <c r="G4159" s="55" t="s">
        <v>276</v>
      </c>
      <c r="H4159" s="55"/>
      <c r="I4159" s="55"/>
      <c r="J4159" s="55">
        <v>-4.2470249999999998E-3</v>
      </c>
      <c r="K4159" s="55">
        <v>-0.50041340000000001</v>
      </c>
      <c r="L4159" s="55">
        <v>-4.2470249999999998E-3</v>
      </c>
      <c r="M4159" s="55">
        <v>-4.2470249999999998E-3</v>
      </c>
      <c r="N4159" s="55">
        <v>-4.2470249999999998E-3</v>
      </c>
    </row>
    <row r="4160" spans="1:14" hidden="1" x14ac:dyDescent="0.35">
      <c r="A4160" s="52" t="s">
        <v>231</v>
      </c>
      <c r="B4160" s="52" t="s">
        <v>34</v>
      </c>
      <c r="C4160" s="52" t="s">
        <v>318</v>
      </c>
      <c r="D4160" s="52" t="s">
        <v>318</v>
      </c>
      <c r="E4160" s="52" t="s">
        <v>584</v>
      </c>
      <c r="F4160" s="52" t="s">
        <v>581</v>
      </c>
      <c r="G4160" s="55" t="s">
        <v>276</v>
      </c>
      <c r="H4160" s="55">
        <v>0</v>
      </c>
      <c r="I4160" s="55"/>
      <c r="J4160" s="55"/>
      <c r="K4160" s="55"/>
      <c r="L4160" s="55"/>
      <c r="M4160" s="55"/>
      <c r="N4160" s="55"/>
    </row>
    <row r="4161" spans="1:14" hidden="1" x14ac:dyDescent="0.35">
      <c r="A4161" s="52" t="s">
        <v>231</v>
      </c>
      <c r="B4161" s="52" t="s">
        <v>34</v>
      </c>
      <c r="C4161" s="52" t="s">
        <v>66</v>
      </c>
      <c r="D4161" s="52" t="s">
        <v>66</v>
      </c>
      <c r="E4161" s="52" t="s">
        <v>584</v>
      </c>
      <c r="F4161" s="52" t="s">
        <v>581</v>
      </c>
      <c r="G4161" s="55" t="s">
        <v>277</v>
      </c>
      <c r="H4161" s="55"/>
      <c r="I4161" s="55"/>
      <c r="J4161" s="55"/>
      <c r="K4161" s="55"/>
      <c r="L4161" s="55"/>
      <c r="M4161" s="55"/>
      <c r="N4161" s="55">
        <v>0</v>
      </c>
    </row>
    <row r="4162" spans="1:14" hidden="1" x14ac:dyDescent="0.35">
      <c r="A4162" s="52" t="s">
        <v>231</v>
      </c>
      <c r="B4162" s="52" t="s">
        <v>34</v>
      </c>
      <c r="C4162" s="52" t="s">
        <v>66</v>
      </c>
      <c r="D4162" s="52" t="s">
        <v>66</v>
      </c>
      <c r="E4162" s="52" t="s">
        <v>584</v>
      </c>
      <c r="F4162" s="52" t="s">
        <v>581</v>
      </c>
      <c r="G4162" s="55" t="s">
        <v>278</v>
      </c>
      <c r="H4162" s="55">
        <v>4.2470249999999998E-3</v>
      </c>
      <c r="I4162" s="55">
        <v>4.2470249999999998E-3</v>
      </c>
      <c r="J4162" s="55">
        <v>4.2470249999999998E-3</v>
      </c>
      <c r="K4162" s="55">
        <v>0.50041340000000001</v>
      </c>
      <c r="L4162" s="55">
        <v>4.2470249999999998E-3</v>
      </c>
      <c r="M4162" s="55">
        <v>4.2470249999999998E-3</v>
      </c>
      <c r="N4162" s="55">
        <v>4.2470249999999998E-3</v>
      </c>
    </row>
    <row r="4163" spans="1:14" hidden="1" x14ac:dyDescent="0.35">
      <c r="A4163" s="52" t="s">
        <v>231</v>
      </c>
      <c r="B4163" s="52" t="s">
        <v>34</v>
      </c>
      <c r="C4163" s="52" t="s">
        <v>318</v>
      </c>
      <c r="D4163" s="52" t="s">
        <v>318</v>
      </c>
      <c r="E4163" s="52" t="s">
        <v>584</v>
      </c>
      <c r="F4163" s="52" t="s">
        <v>581</v>
      </c>
      <c r="G4163" s="55" t="s">
        <v>278</v>
      </c>
      <c r="H4163" s="55">
        <v>0</v>
      </c>
      <c r="I4163" s="55"/>
      <c r="J4163" s="55"/>
      <c r="K4163" s="55"/>
      <c r="L4163" s="55"/>
      <c r="M4163" s="55"/>
      <c r="N4163" s="55"/>
    </row>
    <row r="4164" spans="1:14" hidden="1" x14ac:dyDescent="0.35">
      <c r="A4164" s="52" t="s">
        <v>231</v>
      </c>
      <c r="B4164" s="52" t="s">
        <v>34</v>
      </c>
      <c r="C4164" s="52" t="s">
        <v>318</v>
      </c>
      <c r="D4164" s="52" t="s">
        <v>318</v>
      </c>
      <c r="E4164" s="52" t="s">
        <v>584</v>
      </c>
      <c r="F4164" s="52" t="s">
        <v>26</v>
      </c>
      <c r="G4164" s="55" t="s">
        <v>275</v>
      </c>
      <c r="H4164" s="55">
        <v>-4.7126249999999998E-3</v>
      </c>
      <c r="I4164" s="55">
        <v>-4.7126249999999998E-3</v>
      </c>
      <c r="J4164" s="55">
        <v>0</v>
      </c>
      <c r="K4164" s="55">
        <v>0</v>
      </c>
      <c r="L4164" s="55">
        <v>0</v>
      </c>
      <c r="M4164" s="55">
        <v>0</v>
      </c>
      <c r="N4164" s="55">
        <v>0</v>
      </c>
    </row>
    <row r="4165" spans="1:14" hidden="1" x14ac:dyDescent="0.35">
      <c r="A4165" s="52" t="s">
        <v>231</v>
      </c>
      <c r="B4165" s="52" t="s">
        <v>34</v>
      </c>
      <c r="C4165" s="52" t="s">
        <v>318</v>
      </c>
      <c r="D4165" s="52" t="s">
        <v>318</v>
      </c>
      <c r="E4165" s="52" t="s">
        <v>584</v>
      </c>
      <c r="F4165" s="52" t="s">
        <v>26</v>
      </c>
      <c r="G4165" s="55" t="s">
        <v>276</v>
      </c>
      <c r="H4165" s="55">
        <v>0</v>
      </c>
      <c r="I4165" s="55"/>
      <c r="J4165" s="55"/>
      <c r="K4165" s="55"/>
      <c r="L4165" s="55"/>
      <c r="M4165" s="55"/>
      <c r="N4165" s="55"/>
    </row>
    <row r="4166" spans="1:14" hidden="1" x14ac:dyDescent="0.35">
      <c r="A4166" s="52" t="s">
        <v>231</v>
      </c>
      <c r="B4166" s="52" t="s">
        <v>34</v>
      </c>
      <c r="C4166" s="52" t="s">
        <v>318</v>
      </c>
      <c r="D4166" s="52" t="s">
        <v>318</v>
      </c>
      <c r="E4166" s="52" t="s">
        <v>584</v>
      </c>
      <c r="F4166" s="52" t="s">
        <v>26</v>
      </c>
      <c r="G4166" s="55" t="s">
        <v>277</v>
      </c>
      <c r="H4166" s="55"/>
      <c r="I4166" s="55"/>
      <c r="J4166" s="55"/>
      <c r="K4166" s="55"/>
      <c r="L4166" s="55"/>
      <c r="M4166" s="55">
        <v>0</v>
      </c>
      <c r="N4166" s="55">
        <v>0</v>
      </c>
    </row>
    <row r="4167" spans="1:14" hidden="1" x14ac:dyDescent="0.35">
      <c r="A4167" s="52" t="s">
        <v>231</v>
      </c>
      <c r="B4167" s="52" t="s">
        <v>34</v>
      </c>
      <c r="C4167" s="52" t="s">
        <v>318</v>
      </c>
      <c r="D4167" s="52" t="s">
        <v>318</v>
      </c>
      <c r="E4167" s="52" t="s">
        <v>584</v>
      </c>
      <c r="F4167" s="52" t="s">
        <v>26</v>
      </c>
      <c r="G4167" s="55" t="s">
        <v>278</v>
      </c>
      <c r="H4167" s="55">
        <v>4.7126249999999998E-3</v>
      </c>
      <c r="I4167" s="55">
        <v>4.7126249999999998E-3</v>
      </c>
      <c r="J4167" s="55">
        <v>0</v>
      </c>
      <c r="K4167" s="55">
        <v>0</v>
      </c>
      <c r="L4167" s="55">
        <v>0</v>
      </c>
      <c r="M4167" s="55">
        <v>0</v>
      </c>
      <c r="N4167" s="55">
        <v>0</v>
      </c>
    </row>
    <row r="4168" spans="1:14" hidden="1" x14ac:dyDescent="0.35">
      <c r="A4168" s="52" t="s">
        <v>231</v>
      </c>
      <c r="B4168" s="52" t="s">
        <v>34</v>
      </c>
      <c r="C4168" s="52" t="s">
        <v>57</v>
      </c>
      <c r="D4168" s="52" t="s">
        <v>57</v>
      </c>
      <c r="E4168" s="52" t="s">
        <v>584</v>
      </c>
      <c r="F4168" s="52" t="s">
        <v>581</v>
      </c>
      <c r="G4168" s="55" t="s">
        <v>275</v>
      </c>
      <c r="H4168" s="55">
        <v>-5.0309899999999999E-3</v>
      </c>
      <c r="I4168" s="55">
        <v>-5.0309899999999999E-3</v>
      </c>
      <c r="J4168" s="55">
        <v>-2.9323579999999999E-3</v>
      </c>
      <c r="K4168" s="55">
        <v>-1.406282E-3</v>
      </c>
      <c r="L4168" s="55">
        <v>-1.406282E-3</v>
      </c>
      <c r="M4168" s="55">
        <v>-1.406282E-3</v>
      </c>
      <c r="N4168" s="55">
        <v>-1.5092720000000001E-3</v>
      </c>
    </row>
    <row r="4169" spans="1:14" hidden="1" x14ac:dyDescent="0.35">
      <c r="A4169" s="52" t="s">
        <v>231</v>
      </c>
      <c r="B4169" s="52" t="s">
        <v>34</v>
      </c>
      <c r="C4169" s="52" t="s">
        <v>57</v>
      </c>
      <c r="D4169" s="52" t="s">
        <v>57</v>
      </c>
      <c r="E4169" s="52" t="s">
        <v>584</v>
      </c>
      <c r="F4169" s="52" t="s">
        <v>581</v>
      </c>
      <c r="G4169" s="55" t="s">
        <v>276</v>
      </c>
      <c r="H4169" s="55">
        <v>-1.8607999999999999E-3</v>
      </c>
      <c r="I4169" s="55">
        <v>-1.8607999999999999E-3</v>
      </c>
      <c r="J4169" s="55">
        <v>-9.0462709999999998E-3</v>
      </c>
      <c r="K4169" s="55">
        <v>-5.4855080000000001E-3</v>
      </c>
      <c r="L4169" s="55">
        <v>-5.4854270000000002E-3</v>
      </c>
      <c r="M4169" s="55">
        <v>-5.4855080000000001E-3</v>
      </c>
      <c r="N4169" s="55">
        <v>-5.382436E-3</v>
      </c>
    </row>
    <row r="4170" spans="1:14" hidden="1" x14ac:dyDescent="0.35">
      <c r="A4170" s="52" t="s">
        <v>231</v>
      </c>
      <c r="B4170" s="52" t="s">
        <v>34</v>
      </c>
      <c r="C4170" s="52" t="s">
        <v>57</v>
      </c>
      <c r="D4170" s="52" t="s">
        <v>57</v>
      </c>
      <c r="E4170" s="52" t="s">
        <v>584</v>
      </c>
      <c r="F4170" s="52" t="s">
        <v>581</v>
      </c>
      <c r="G4170" s="55" t="s">
        <v>278</v>
      </c>
      <c r="H4170" s="55">
        <v>6.8917090000000002E-3</v>
      </c>
      <c r="I4170" s="55">
        <v>6.8917090000000002E-3</v>
      </c>
      <c r="J4170" s="55">
        <v>1.197871E-2</v>
      </c>
      <c r="K4170" s="55">
        <v>6.8917090000000002E-3</v>
      </c>
      <c r="L4170" s="55">
        <v>6.8917090000000002E-3</v>
      </c>
      <c r="M4170" s="55">
        <v>6.8917090000000002E-3</v>
      </c>
      <c r="N4170" s="55">
        <v>6.8917090000000002E-3</v>
      </c>
    </row>
    <row r="4171" spans="1:14" hidden="1" x14ac:dyDescent="0.35">
      <c r="A4171" s="52" t="s">
        <v>231</v>
      </c>
      <c r="B4171" s="52" t="s">
        <v>34</v>
      </c>
      <c r="C4171" s="52" t="s">
        <v>381</v>
      </c>
      <c r="D4171" s="52" t="s">
        <v>381</v>
      </c>
      <c r="E4171" s="52" t="s">
        <v>584</v>
      </c>
      <c r="F4171" s="52" t="s">
        <v>581</v>
      </c>
      <c r="G4171" s="55" t="s">
        <v>275</v>
      </c>
      <c r="H4171" s="55">
        <v>-5.7695999999999997E-2</v>
      </c>
      <c r="I4171" s="55">
        <v>-5.7695999999999997E-2</v>
      </c>
      <c r="J4171" s="55">
        <v>0</v>
      </c>
      <c r="K4171" s="55">
        <v>0</v>
      </c>
      <c r="L4171" s="55">
        <v>0</v>
      </c>
      <c r="M4171" s="55">
        <v>0</v>
      </c>
      <c r="N4171" s="55">
        <v>0</v>
      </c>
    </row>
    <row r="4172" spans="1:14" hidden="1" x14ac:dyDescent="0.35">
      <c r="A4172" s="52" t="s">
        <v>231</v>
      </c>
      <c r="B4172" s="52" t="s">
        <v>34</v>
      </c>
      <c r="C4172" s="52" t="s">
        <v>381</v>
      </c>
      <c r="D4172" s="52" t="s">
        <v>381</v>
      </c>
      <c r="E4172" s="52" t="s">
        <v>584</v>
      </c>
      <c r="F4172" s="52" t="s">
        <v>581</v>
      </c>
      <c r="G4172" s="55" t="s">
        <v>276</v>
      </c>
      <c r="H4172" s="55">
        <v>-2.1339500000000001E-2</v>
      </c>
      <c r="I4172" s="55">
        <v>-2.1339500000000001E-2</v>
      </c>
      <c r="J4172" s="55">
        <v>-0.45440449999999999</v>
      </c>
      <c r="K4172" s="55">
        <v>-8.1112500000000004E-2</v>
      </c>
      <c r="L4172" s="55">
        <v>-7.903549E-2</v>
      </c>
      <c r="M4172" s="55">
        <v>-7.9034999999999994E-2</v>
      </c>
      <c r="N4172" s="55">
        <v>-7.9035499999999995E-2</v>
      </c>
    </row>
    <row r="4173" spans="1:14" hidden="1" x14ac:dyDescent="0.35">
      <c r="A4173" s="52" t="s">
        <v>231</v>
      </c>
      <c r="B4173" s="52" t="s">
        <v>34</v>
      </c>
      <c r="C4173" s="52" t="s">
        <v>381</v>
      </c>
      <c r="D4173" s="52" t="s">
        <v>381</v>
      </c>
      <c r="E4173" s="52" t="s">
        <v>584</v>
      </c>
      <c r="F4173" s="52" t="s">
        <v>581</v>
      </c>
      <c r="G4173" s="55" t="s">
        <v>278</v>
      </c>
      <c r="H4173" s="55">
        <v>7.9035499999999995E-2</v>
      </c>
      <c r="I4173" s="55">
        <v>7.9035499999999995E-2</v>
      </c>
      <c r="J4173" s="55">
        <v>0.45440399999999997</v>
      </c>
      <c r="K4173" s="55">
        <v>8.1112000000000004E-2</v>
      </c>
      <c r="L4173" s="55">
        <v>7.9035499999999995E-2</v>
      </c>
      <c r="M4173" s="55">
        <v>7.9035499999999995E-2</v>
      </c>
      <c r="N4173" s="55">
        <v>7.9035510000000003E-2</v>
      </c>
    </row>
    <row r="4174" spans="1:14" hidden="1" x14ac:dyDescent="0.35">
      <c r="A4174" s="52" t="s">
        <v>680</v>
      </c>
      <c r="B4174" s="52" t="s">
        <v>73</v>
      </c>
      <c r="C4174" s="52" t="s">
        <v>97</v>
      </c>
      <c r="D4174" s="52" t="s">
        <v>98</v>
      </c>
      <c r="E4174" s="52" t="s">
        <v>584</v>
      </c>
      <c r="F4174" s="52" t="s">
        <v>581</v>
      </c>
      <c r="G4174" s="55" t="s">
        <v>275</v>
      </c>
      <c r="H4174" s="55">
        <v>124.6748</v>
      </c>
      <c r="I4174" s="55">
        <v>301.404</v>
      </c>
      <c r="J4174" s="55">
        <v>600.4579</v>
      </c>
      <c r="K4174" s="55">
        <v>691.99090000000001</v>
      </c>
      <c r="L4174" s="55">
        <v>672.97799999999995</v>
      </c>
      <c r="M4174" s="55">
        <v>543.5104</v>
      </c>
      <c r="N4174" s="55">
        <v>496.21420000000001</v>
      </c>
    </row>
    <row r="4175" spans="1:14" hidden="1" x14ac:dyDescent="0.35">
      <c r="A4175" s="52" t="s">
        <v>680</v>
      </c>
      <c r="B4175" s="52" t="s">
        <v>73</v>
      </c>
      <c r="C4175" s="52" t="s">
        <v>97</v>
      </c>
      <c r="D4175" s="52" t="s">
        <v>98</v>
      </c>
      <c r="E4175" s="52" t="s">
        <v>584</v>
      </c>
      <c r="F4175" s="52" t="s">
        <v>581</v>
      </c>
      <c r="G4175" s="55" t="s">
        <v>276</v>
      </c>
      <c r="H4175" s="55">
        <v>405.4708</v>
      </c>
      <c r="I4175" s="55">
        <v>462.11959999999999</v>
      </c>
      <c r="J4175" s="55">
        <v>679.70960000000002</v>
      </c>
      <c r="K4175" s="55">
        <v>686.53779999999995</v>
      </c>
      <c r="L4175" s="55">
        <v>1121.771</v>
      </c>
      <c r="M4175" s="55">
        <v>1187.3389999999999</v>
      </c>
      <c r="N4175" s="55">
        <v>1300.5219999999999</v>
      </c>
    </row>
    <row r="4176" spans="1:14" hidden="1" x14ac:dyDescent="0.35">
      <c r="A4176" s="52" t="s">
        <v>680</v>
      </c>
      <c r="B4176" s="52" t="s">
        <v>73</v>
      </c>
      <c r="C4176" s="52" t="s">
        <v>97</v>
      </c>
      <c r="D4176" s="52" t="s">
        <v>98</v>
      </c>
      <c r="E4176" s="52" t="s">
        <v>584</v>
      </c>
      <c r="F4176" s="52" t="s">
        <v>581</v>
      </c>
      <c r="G4176" s="55" t="s">
        <v>277</v>
      </c>
      <c r="H4176" s="55">
        <v>846.54960000000005</v>
      </c>
      <c r="I4176" s="55">
        <v>672.26940000000002</v>
      </c>
      <c r="J4176" s="55">
        <v>355.84449999999998</v>
      </c>
      <c r="K4176" s="55">
        <v>140.38220000000001</v>
      </c>
      <c r="L4176" s="55">
        <v>146.80719999999999</v>
      </c>
      <c r="M4176" s="55">
        <v>220.65479999999999</v>
      </c>
      <c r="N4176" s="55">
        <v>182.62629999999999</v>
      </c>
    </row>
    <row r="4177" spans="1:14" hidden="1" x14ac:dyDescent="0.35">
      <c r="A4177" s="52" t="s">
        <v>680</v>
      </c>
      <c r="B4177" s="52" t="s">
        <v>73</v>
      </c>
      <c r="C4177" s="52" t="s">
        <v>97</v>
      </c>
      <c r="D4177" s="52" t="s">
        <v>98</v>
      </c>
      <c r="E4177" s="52" t="s">
        <v>584</v>
      </c>
      <c r="F4177" s="52" t="s">
        <v>581</v>
      </c>
      <c r="G4177" s="55" t="s">
        <v>278</v>
      </c>
      <c r="H4177" s="55">
        <v>142.35329999999999</v>
      </c>
      <c r="I4177" s="55">
        <v>61.308950000000003</v>
      </c>
      <c r="J4177" s="55">
        <v>31.91789</v>
      </c>
      <c r="K4177" s="55">
        <v>0.63017900000000004</v>
      </c>
      <c r="L4177" s="55">
        <v>0.56536909999999996</v>
      </c>
      <c r="M4177" s="55">
        <v>0.90322029999999998</v>
      </c>
      <c r="N4177" s="55">
        <v>0.90322029999999998</v>
      </c>
    </row>
    <row r="4178" spans="1:14" hidden="1" x14ac:dyDescent="0.35">
      <c r="A4178" s="52" t="s">
        <v>680</v>
      </c>
      <c r="B4178" s="52" t="s">
        <v>73</v>
      </c>
      <c r="C4178" s="52" t="s">
        <v>97</v>
      </c>
      <c r="D4178" s="52" t="s">
        <v>98</v>
      </c>
      <c r="E4178" s="52" t="s">
        <v>584</v>
      </c>
      <c r="F4178" s="52" t="s">
        <v>581</v>
      </c>
      <c r="G4178" s="55" t="s">
        <v>279</v>
      </c>
      <c r="H4178" s="55">
        <v>107.3912</v>
      </c>
      <c r="I4178" s="55">
        <v>181.49520000000001</v>
      </c>
      <c r="J4178" s="55">
        <v>195.68559999999999</v>
      </c>
      <c r="K4178" s="55">
        <v>256.67399999999998</v>
      </c>
      <c r="L4178" s="55">
        <v>319.83999999999997</v>
      </c>
      <c r="M4178" s="55">
        <v>322.24020000000002</v>
      </c>
      <c r="N4178" s="55">
        <v>329.39229999999998</v>
      </c>
    </row>
    <row r="4179" spans="1:14" hidden="1" x14ac:dyDescent="0.35">
      <c r="A4179" s="52" t="s">
        <v>680</v>
      </c>
      <c r="B4179" s="52" t="s">
        <v>73</v>
      </c>
      <c r="C4179" s="52" t="s">
        <v>97</v>
      </c>
      <c r="D4179" s="52" t="s">
        <v>98</v>
      </c>
      <c r="E4179" s="52" t="s">
        <v>584</v>
      </c>
      <c r="F4179" s="52" t="s">
        <v>26</v>
      </c>
      <c r="G4179" s="55" t="s">
        <v>275</v>
      </c>
      <c r="H4179" s="55">
        <v>1.0893630000000001</v>
      </c>
      <c r="I4179" s="55">
        <v>3.7450800000000002</v>
      </c>
      <c r="J4179" s="55">
        <v>21.983059999999998</v>
      </c>
      <c r="K4179" s="55">
        <v>17.285</v>
      </c>
      <c r="L4179" s="55">
        <v>15.815939999999999</v>
      </c>
      <c r="M4179" s="55">
        <v>10.11857</v>
      </c>
      <c r="N4179" s="55">
        <v>13.445399999999999</v>
      </c>
    </row>
    <row r="4180" spans="1:14" hidden="1" x14ac:dyDescent="0.35">
      <c r="A4180" s="52" t="s">
        <v>680</v>
      </c>
      <c r="B4180" s="52" t="s">
        <v>73</v>
      </c>
      <c r="C4180" s="52" t="s">
        <v>97</v>
      </c>
      <c r="D4180" s="52" t="s">
        <v>98</v>
      </c>
      <c r="E4180" s="52" t="s">
        <v>584</v>
      </c>
      <c r="F4180" s="52" t="s">
        <v>26</v>
      </c>
      <c r="G4180" s="55" t="s">
        <v>276</v>
      </c>
      <c r="H4180" s="55">
        <v>1.763925</v>
      </c>
      <c r="I4180" s="55">
        <v>21.58466</v>
      </c>
      <c r="J4180" s="55">
        <v>40.695630000000001</v>
      </c>
      <c r="K4180" s="55">
        <v>31.427679999999999</v>
      </c>
      <c r="L4180" s="55">
        <v>33.301670000000001</v>
      </c>
      <c r="M4180" s="55">
        <v>34.732939999999999</v>
      </c>
      <c r="N4180" s="55">
        <v>38.700519999999997</v>
      </c>
    </row>
    <row r="4181" spans="1:14" hidden="1" x14ac:dyDescent="0.35">
      <c r="A4181" s="52" t="s">
        <v>680</v>
      </c>
      <c r="B4181" s="52" t="s">
        <v>73</v>
      </c>
      <c r="C4181" s="52" t="s">
        <v>97</v>
      </c>
      <c r="D4181" s="52" t="s">
        <v>98</v>
      </c>
      <c r="E4181" s="52" t="s">
        <v>584</v>
      </c>
      <c r="F4181" s="52" t="s">
        <v>26</v>
      </c>
      <c r="G4181" s="55" t="s">
        <v>277</v>
      </c>
      <c r="H4181" s="55">
        <v>13.821820000000001</v>
      </c>
      <c r="I4181" s="55">
        <v>17.23854</v>
      </c>
      <c r="J4181" s="55">
        <v>1.2870710000000001</v>
      </c>
      <c r="K4181" s="55">
        <v>3.1097199999999998E-2</v>
      </c>
      <c r="L4181" s="55">
        <v>0.17753569999999999</v>
      </c>
      <c r="M4181" s="55">
        <v>6.3060140000000002</v>
      </c>
      <c r="N4181" s="55">
        <v>2.186388</v>
      </c>
    </row>
    <row r="4182" spans="1:14" hidden="1" x14ac:dyDescent="0.35">
      <c r="A4182" s="52" t="s">
        <v>680</v>
      </c>
      <c r="B4182" s="52" t="s">
        <v>73</v>
      </c>
      <c r="C4182" s="52" t="s">
        <v>97</v>
      </c>
      <c r="D4182" s="52" t="s">
        <v>98</v>
      </c>
      <c r="E4182" s="52" t="s">
        <v>584</v>
      </c>
      <c r="F4182" s="52" t="s">
        <v>26</v>
      </c>
      <c r="G4182" s="55" t="s">
        <v>278</v>
      </c>
      <c r="H4182" s="55">
        <v>15.64256</v>
      </c>
      <c r="I4182" s="55">
        <v>1.0515979999999999E-2</v>
      </c>
      <c r="J4182" s="55">
        <v>8.2818000000000006E-3</v>
      </c>
      <c r="K4182" s="55">
        <v>6.9937990000000002E-3</v>
      </c>
      <c r="L4182" s="55">
        <v>6.2746010000000003E-3</v>
      </c>
      <c r="M4182" s="55">
        <v>1.289E-2</v>
      </c>
      <c r="N4182" s="55">
        <v>1.289E-2</v>
      </c>
    </row>
    <row r="4183" spans="1:14" hidden="1" x14ac:dyDescent="0.35">
      <c r="A4183" s="52" t="s">
        <v>680</v>
      </c>
      <c r="B4183" s="52" t="s">
        <v>73</v>
      </c>
      <c r="C4183" s="52" t="s">
        <v>97</v>
      </c>
      <c r="D4183" s="52" t="s">
        <v>98</v>
      </c>
      <c r="E4183" s="52" t="s">
        <v>584</v>
      </c>
      <c r="F4183" s="52" t="s">
        <v>26</v>
      </c>
      <c r="G4183" s="55" t="s">
        <v>279</v>
      </c>
      <c r="H4183" s="55">
        <v>29.159700000000001</v>
      </c>
      <c r="I4183" s="55">
        <v>40.45185</v>
      </c>
      <c r="J4183" s="55">
        <v>41.538420000000002</v>
      </c>
      <c r="K4183" s="55">
        <v>49.09216</v>
      </c>
      <c r="L4183" s="55">
        <v>47.376060000000003</v>
      </c>
      <c r="M4183" s="55">
        <v>49.213790000000003</v>
      </c>
      <c r="N4183" s="55">
        <v>52.343899999999998</v>
      </c>
    </row>
    <row r="4184" spans="1:14" hidden="1" x14ac:dyDescent="0.35">
      <c r="A4184" s="52" t="s">
        <v>680</v>
      </c>
      <c r="B4184" s="52" t="s">
        <v>73</v>
      </c>
      <c r="C4184" s="52" t="s">
        <v>97</v>
      </c>
      <c r="D4184" s="52" t="s">
        <v>171</v>
      </c>
      <c r="E4184" s="52" t="s">
        <v>584</v>
      </c>
      <c r="F4184" s="52" t="s">
        <v>581</v>
      </c>
      <c r="G4184" s="55" t="s">
        <v>275</v>
      </c>
      <c r="H4184" s="55">
        <v>-5.0699999999999999E-3</v>
      </c>
      <c r="I4184" s="55">
        <v>-1.5690000000000001E-3</v>
      </c>
      <c r="J4184" s="55">
        <v>0</v>
      </c>
      <c r="K4184" s="55">
        <v>0</v>
      </c>
      <c r="L4184" s="55">
        <v>0</v>
      </c>
      <c r="M4184" s="55">
        <v>0</v>
      </c>
      <c r="N4184" s="55">
        <v>0</v>
      </c>
    </row>
    <row r="4185" spans="1:14" hidden="1" x14ac:dyDescent="0.35">
      <c r="A4185" s="52" t="s">
        <v>680</v>
      </c>
      <c r="B4185" s="52" t="s">
        <v>73</v>
      </c>
      <c r="C4185" s="52" t="s">
        <v>97</v>
      </c>
      <c r="D4185" s="52" t="s">
        <v>171</v>
      </c>
      <c r="E4185" s="52" t="s">
        <v>584</v>
      </c>
      <c r="F4185" s="52" t="s">
        <v>581</v>
      </c>
      <c r="G4185" s="55" t="s">
        <v>276</v>
      </c>
      <c r="H4185" s="55">
        <v>-3.1664400000000002E-2</v>
      </c>
      <c r="I4185" s="55">
        <v>-2.2428150000000001E-2</v>
      </c>
      <c r="J4185" s="55">
        <v>-1.5260370000000001</v>
      </c>
      <c r="K4185" s="55">
        <v>-2.4344250000000001E-2</v>
      </c>
      <c r="L4185" s="55">
        <v>-2.6190439999999999E-2</v>
      </c>
      <c r="M4185" s="55">
        <v>-4.9217400000000001E-2</v>
      </c>
      <c r="N4185" s="55">
        <v>-8.8367699999999993E-2</v>
      </c>
    </row>
    <row r="4186" spans="1:14" hidden="1" x14ac:dyDescent="0.35">
      <c r="A4186" s="52" t="s">
        <v>680</v>
      </c>
      <c r="B4186" s="52" t="s">
        <v>73</v>
      </c>
      <c r="C4186" s="52" t="s">
        <v>97</v>
      </c>
      <c r="D4186" s="52" t="s">
        <v>171</v>
      </c>
      <c r="E4186" s="52" t="s">
        <v>584</v>
      </c>
      <c r="F4186" s="52" t="s">
        <v>581</v>
      </c>
      <c r="G4186" s="55" t="s">
        <v>277</v>
      </c>
      <c r="H4186" s="55"/>
      <c r="I4186" s="55"/>
      <c r="J4186" s="55"/>
      <c r="K4186" s="55">
        <v>0</v>
      </c>
      <c r="L4186" s="55">
        <v>4.3499999999999997E-3</v>
      </c>
      <c r="M4186" s="55">
        <v>4.3499999999999997E-3</v>
      </c>
      <c r="N4186" s="55">
        <v>4.3499999999999997E-2</v>
      </c>
    </row>
    <row r="4187" spans="1:14" hidden="1" x14ac:dyDescent="0.35">
      <c r="A4187" s="52" t="s">
        <v>680</v>
      </c>
      <c r="B4187" s="52" t="s">
        <v>73</v>
      </c>
      <c r="C4187" s="52" t="s">
        <v>97</v>
      </c>
      <c r="D4187" s="52" t="s">
        <v>171</v>
      </c>
      <c r="E4187" s="52" t="s">
        <v>584</v>
      </c>
      <c r="F4187" s="52" t="s">
        <v>581</v>
      </c>
      <c r="G4187" s="55" t="s">
        <v>278</v>
      </c>
      <c r="H4187" s="55">
        <v>3.6734549999999998E-2</v>
      </c>
      <c r="I4187" s="55">
        <v>2.3997149999999998E-2</v>
      </c>
      <c r="J4187" s="55">
        <v>1.5260370000000001</v>
      </c>
      <c r="K4187" s="55">
        <v>2.43441E-2</v>
      </c>
      <c r="L4187" s="55">
        <v>2.1840450000000001E-2</v>
      </c>
      <c r="M4187" s="55">
        <v>4.4867400000000002E-2</v>
      </c>
      <c r="N4187" s="55">
        <v>4.4867400000000002E-2</v>
      </c>
    </row>
    <row r="4188" spans="1:14" hidden="1" x14ac:dyDescent="0.35">
      <c r="A4188" s="52" t="s">
        <v>680</v>
      </c>
      <c r="B4188" s="52" t="s">
        <v>73</v>
      </c>
      <c r="C4188" s="52" t="s">
        <v>97</v>
      </c>
      <c r="D4188" s="52" t="s">
        <v>171</v>
      </c>
      <c r="E4188" s="52" t="s">
        <v>584</v>
      </c>
      <c r="F4188" s="52" t="s">
        <v>581</v>
      </c>
      <c r="G4188" s="55" t="s">
        <v>279</v>
      </c>
      <c r="H4188" s="55"/>
      <c r="I4188" s="55"/>
      <c r="J4188" s="55"/>
      <c r="K4188" s="55"/>
      <c r="L4188" s="55"/>
      <c r="M4188" s="55"/>
      <c r="N4188" s="55">
        <v>0</v>
      </c>
    </row>
    <row r="4189" spans="1:14" hidden="1" x14ac:dyDescent="0.35">
      <c r="A4189" s="52" t="s">
        <v>680</v>
      </c>
      <c r="B4189" s="52" t="s">
        <v>73</v>
      </c>
      <c r="C4189" s="52" t="s">
        <v>97</v>
      </c>
      <c r="D4189" s="52" t="s">
        <v>171</v>
      </c>
      <c r="E4189" s="52" t="s">
        <v>584</v>
      </c>
      <c r="F4189" s="52" t="s">
        <v>26</v>
      </c>
      <c r="G4189" s="55" t="s">
        <v>275</v>
      </c>
      <c r="H4189" s="55"/>
      <c r="I4189" s="55"/>
      <c r="J4189" s="55"/>
      <c r="K4189" s="55"/>
      <c r="L4189" s="55"/>
      <c r="M4189" s="55"/>
      <c r="N4189" s="55">
        <v>0</v>
      </c>
    </row>
    <row r="4190" spans="1:14" hidden="1" x14ac:dyDescent="0.35">
      <c r="A4190" s="52" t="s">
        <v>680</v>
      </c>
      <c r="B4190" s="52" t="s">
        <v>73</v>
      </c>
      <c r="C4190" s="52" t="s">
        <v>97</v>
      </c>
      <c r="D4190" s="52" t="s">
        <v>171</v>
      </c>
      <c r="E4190" s="52" t="s">
        <v>584</v>
      </c>
      <c r="F4190" s="52" t="s">
        <v>26</v>
      </c>
      <c r="G4190" s="55" t="s">
        <v>276</v>
      </c>
      <c r="H4190" s="55"/>
      <c r="I4190" s="55"/>
      <c r="J4190" s="55"/>
      <c r="K4190" s="55"/>
      <c r="L4190" s="55"/>
      <c r="M4190" s="55"/>
      <c r="N4190" s="55">
        <v>0</v>
      </c>
    </row>
    <row r="4191" spans="1:14" hidden="1" x14ac:dyDescent="0.35">
      <c r="A4191" s="52" t="s">
        <v>680</v>
      </c>
      <c r="B4191" s="52" t="s">
        <v>73</v>
      </c>
      <c r="C4191" s="52" t="s">
        <v>97</v>
      </c>
      <c r="D4191" s="52" t="s">
        <v>171</v>
      </c>
      <c r="E4191" s="52" t="s">
        <v>584</v>
      </c>
      <c r="F4191" s="52" t="s">
        <v>26</v>
      </c>
      <c r="G4191" s="55" t="s">
        <v>279</v>
      </c>
      <c r="H4191" s="55"/>
      <c r="I4191" s="55"/>
      <c r="J4191" s="55"/>
      <c r="K4191" s="55"/>
      <c r="L4191" s="55"/>
      <c r="M4191" s="55"/>
      <c r="N4191" s="55">
        <v>0</v>
      </c>
    </row>
    <row r="4192" spans="1:14" hidden="1" x14ac:dyDescent="0.35">
      <c r="A4192" s="52" t="s">
        <v>680</v>
      </c>
      <c r="B4192" s="52" t="s">
        <v>73</v>
      </c>
      <c r="C4192" s="52" t="s">
        <v>71</v>
      </c>
      <c r="D4192" s="52" t="s">
        <v>140</v>
      </c>
      <c r="E4192" s="52" t="s">
        <v>584</v>
      </c>
      <c r="F4192" s="52" t="s">
        <v>581</v>
      </c>
      <c r="G4192" s="55" t="s">
        <v>275</v>
      </c>
      <c r="H4192" s="55">
        <v>38.449150000000003</v>
      </c>
      <c r="I4192" s="55">
        <v>18.721699999999998</v>
      </c>
      <c r="J4192" s="55">
        <v>14.29917</v>
      </c>
      <c r="K4192" s="55">
        <v>8.6313239999999993</v>
      </c>
      <c r="L4192" s="55">
        <v>8.3592270000000006</v>
      </c>
      <c r="M4192" s="55">
        <v>7.5343549999999997</v>
      </c>
      <c r="N4192" s="55">
        <v>14.944509999999999</v>
      </c>
    </row>
    <row r="4193" spans="1:14" hidden="1" x14ac:dyDescent="0.35">
      <c r="A4193" s="52" t="s">
        <v>680</v>
      </c>
      <c r="B4193" s="52" t="s">
        <v>73</v>
      </c>
      <c r="C4193" s="52" t="s">
        <v>71</v>
      </c>
      <c r="D4193" s="52" t="s">
        <v>140</v>
      </c>
      <c r="E4193" s="52" t="s">
        <v>584</v>
      </c>
      <c r="F4193" s="52" t="s">
        <v>581</v>
      </c>
      <c r="G4193" s="55" t="s">
        <v>276</v>
      </c>
      <c r="H4193" s="55">
        <v>99.717349999999996</v>
      </c>
      <c r="I4193" s="55">
        <v>23.533349999999999</v>
      </c>
      <c r="J4193" s="55">
        <v>23.967610000000001</v>
      </c>
      <c r="K4193" s="55">
        <v>17.41056</v>
      </c>
      <c r="L4193" s="55">
        <v>11.729990000000001</v>
      </c>
      <c r="M4193" s="55">
        <v>6.8334510000000002</v>
      </c>
      <c r="N4193" s="55">
        <v>4.2560690000000001</v>
      </c>
    </row>
    <row r="4194" spans="1:14" hidden="1" x14ac:dyDescent="0.35">
      <c r="A4194" s="52" t="s">
        <v>680</v>
      </c>
      <c r="B4194" s="52" t="s">
        <v>73</v>
      </c>
      <c r="C4194" s="52" t="s">
        <v>71</v>
      </c>
      <c r="D4194" s="52" t="s">
        <v>140</v>
      </c>
      <c r="E4194" s="52" t="s">
        <v>584</v>
      </c>
      <c r="F4194" s="52" t="s">
        <v>581</v>
      </c>
      <c r="G4194" s="55" t="s">
        <v>277</v>
      </c>
      <c r="H4194" s="55">
        <v>16.965440000000001</v>
      </c>
      <c r="I4194" s="55">
        <v>16.41384</v>
      </c>
      <c r="J4194" s="55">
        <v>15.718349999999999</v>
      </c>
      <c r="K4194" s="55">
        <v>16.147459999999999</v>
      </c>
      <c r="L4194" s="55">
        <v>13.7325</v>
      </c>
      <c r="M4194" s="55">
        <v>11.541969999999999</v>
      </c>
      <c r="N4194" s="55">
        <v>0</v>
      </c>
    </row>
    <row r="4195" spans="1:14" hidden="1" x14ac:dyDescent="0.35">
      <c r="A4195" s="52" t="s">
        <v>680</v>
      </c>
      <c r="B4195" s="52" t="s">
        <v>73</v>
      </c>
      <c r="C4195" s="52" t="s">
        <v>71</v>
      </c>
      <c r="D4195" s="52" t="s">
        <v>140</v>
      </c>
      <c r="E4195" s="52" t="s">
        <v>584</v>
      </c>
      <c r="F4195" s="52" t="s">
        <v>581</v>
      </c>
      <c r="G4195" s="55" t="s">
        <v>278</v>
      </c>
      <c r="H4195" s="55">
        <v>1.016775E-2</v>
      </c>
      <c r="I4195" s="55">
        <v>0</v>
      </c>
      <c r="J4195" s="55"/>
      <c r="K4195" s="55">
        <v>0</v>
      </c>
      <c r="L4195" s="55"/>
      <c r="M4195" s="55"/>
      <c r="N4195" s="55"/>
    </row>
    <row r="4196" spans="1:14" hidden="1" x14ac:dyDescent="0.35">
      <c r="A4196" s="52" t="s">
        <v>680</v>
      </c>
      <c r="B4196" s="52" t="s">
        <v>73</v>
      </c>
      <c r="C4196" s="52" t="s">
        <v>71</v>
      </c>
      <c r="D4196" s="52" t="s">
        <v>140</v>
      </c>
      <c r="E4196" s="52" t="s">
        <v>584</v>
      </c>
      <c r="F4196" s="52" t="s">
        <v>581</v>
      </c>
      <c r="G4196" s="55" t="s">
        <v>279</v>
      </c>
      <c r="H4196" s="55">
        <v>23.378129999999999</v>
      </c>
      <c r="I4196" s="55">
        <v>21.797339999999998</v>
      </c>
      <c r="J4196" s="55">
        <v>21.210609999999999</v>
      </c>
      <c r="K4196" s="55">
        <v>24.74145</v>
      </c>
      <c r="L4196" s="55">
        <v>24.52394</v>
      </c>
      <c r="M4196" s="55">
        <v>24.358160000000002</v>
      </c>
      <c r="N4196" s="55">
        <v>24.309270000000001</v>
      </c>
    </row>
    <row r="4197" spans="1:14" hidden="1" x14ac:dyDescent="0.35">
      <c r="A4197" s="52" t="s">
        <v>680</v>
      </c>
      <c r="B4197" s="52" t="s">
        <v>73</v>
      </c>
      <c r="C4197" s="52" t="s">
        <v>71</v>
      </c>
      <c r="D4197" s="52" t="s">
        <v>140</v>
      </c>
      <c r="E4197" s="52" t="s">
        <v>584</v>
      </c>
      <c r="F4197" s="52" t="s">
        <v>26</v>
      </c>
      <c r="G4197" s="55" t="s">
        <v>275</v>
      </c>
      <c r="H4197" s="55">
        <v>3.3402080000000001</v>
      </c>
      <c r="I4197" s="55">
        <v>2.401716</v>
      </c>
      <c r="J4197" s="55">
        <v>2.731093</v>
      </c>
      <c r="K4197" s="55">
        <v>2.6285289999999999</v>
      </c>
      <c r="L4197" s="55">
        <v>2.3912939999999998</v>
      </c>
      <c r="M4197" s="55">
        <v>2.0581170000000002</v>
      </c>
      <c r="N4197" s="55">
        <v>1.7781610000000001</v>
      </c>
    </row>
    <row r="4198" spans="1:14" hidden="1" x14ac:dyDescent="0.35">
      <c r="A4198" s="52" t="s">
        <v>680</v>
      </c>
      <c r="B4198" s="52" t="s">
        <v>73</v>
      </c>
      <c r="C4198" s="52" t="s">
        <v>71</v>
      </c>
      <c r="D4198" s="52" t="s">
        <v>140</v>
      </c>
      <c r="E4198" s="52" t="s">
        <v>584</v>
      </c>
      <c r="F4198" s="52" t="s">
        <v>26</v>
      </c>
      <c r="G4198" s="55" t="s">
        <v>276</v>
      </c>
      <c r="H4198" s="55">
        <v>11.93638</v>
      </c>
      <c r="I4198" s="55">
        <v>8.5772750000000002</v>
      </c>
      <c r="J4198" s="55">
        <v>9.6966800000000006</v>
      </c>
      <c r="K4198" s="55">
        <v>9.3816199999999998</v>
      </c>
      <c r="L4198" s="55">
        <v>8.5312409999999996</v>
      </c>
      <c r="M4198" s="55">
        <v>7.3352940000000002</v>
      </c>
      <c r="N4198" s="55">
        <v>6.3150829999999996</v>
      </c>
    </row>
    <row r="4199" spans="1:14" hidden="1" x14ac:dyDescent="0.35">
      <c r="A4199" s="52" t="s">
        <v>680</v>
      </c>
      <c r="B4199" s="52" t="s">
        <v>73</v>
      </c>
      <c r="C4199" s="52" t="s">
        <v>71</v>
      </c>
      <c r="D4199" s="52" t="s">
        <v>140</v>
      </c>
      <c r="E4199" s="52" t="s">
        <v>584</v>
      </c>
      <c r="F4199" s="52" t="s">
        <v>26</v>
      </c>
      <c r="G4199" s="55" t="s">
        <v>277</v>
      </c>
      <c r="H4199" s="55"/>
      <c r="I4199" s="55"/>
      <c r="J4199" s="55"/>
      <c r="K4199" s="55">
        <v>0</v>
      </c>
      <c r="L4199" s="55">
        <v>1.0874999999999999E-3</v>
      </c>
      <c r="M4199" s="55">
        <v>1.0874999999999999E-3</v>
      </c>
      <c r="N4199" s="55">
        <v>2.1749999999999999E-2</v>
      </c>
    </row>
    <row r="4200" spans="1:14" hidden="1" x14ac:dyDescent="0.35">
      <c r="A4200" s="52" t="s">
        <v>680</v>
      </c>
      <c r="B4200" s="52" t="s">
        <v>73</v>
      </c>
      <c r="C4200" s="52" t="s">
        <v>71</v>
      </c>
      <c r="D4200" s="52" t="s">
        <v>140</v>
      </c>
      <c r="E4200" s="52" t="s">
        <v>584</v>
      </c>
      <c r="F4200" s="52" t="s">
        <v>26</v>
      </c>
      <c r="G4200" s="55" t="s">
        <v>278</v>
      </c>
      <c r="H4200" s="55"/>
      <c r="I4200" s="55">
        <v>6.6421500000000003E-3</v>
      </c>
      <c r="J4200" s="55">
        <v>5.8709699999999997E-2</v>
      </c>
      <c r="K4200" s="55">
        <v>6.73815E-3</v>
      </c>
      <c r="L4200" s="55">
        <v>6.04515E-3</v>
      </c>
      <c r="M4200" s="55">
        <v>1.2418800000000001E-2</v>
      </c>
      <c r="N4200" s="55">
        <v>1.2418800000000001E-2</v>
      </c>
    </row>
    <row r="4201" spans="1:14" hidden="1" x14ac:dyDescent="0.35">
      <c r="A4201" s="52" t="s">
        <v>680</v>
      </c>
      <c r="B4201" s="52" t="s">
        <v>73</v>
      </c>
      <c r="C4201" s="52" t="s">
        <v>71</v>
      </c>
      <c r="D4201" s="52" t="s">
        <v>140</v>
      </c>
      <c r="E4201" s="52" t="s">
        <v>584</v>
      </c>
      <c r="F4201" s="52" t="s">
        <v>26</v>
      </c>
      <c r="G4201" s="55" t="s">
        <v>279</v>
      </c>
      <c r="H4201" s="55">
        <v>3.4910809999999999</v>
      </c>
      <c r="I4201" s="55">
        <v>2.8027419999999998</v>
      </c>
      <c r="J4201" s="55">
        <v>1.9891319999999999</v>
      </c>
      <c r="K4201" s="55">
        <v>1.784707</v>
      </c>
      <c r="L4201" s="55">
        <v>1.099146</v>
      </c>
      <c r="M4201" s="55">
        <v>0.9609801</v>
      </c>
      <c r="N4201" s="55">
        <v>0.84544889999999995</v>
      </c>
    </row>
    <row r="4202" spans="1:14" hidden="1" x14ac:dyDescent="0.35">
      <c r="A4202" s="52" t="s">
        <v>680</v>
      </c>
      <c r="B4202" s="52" t="s">
        <v>73</v>
      </c>
      <c r="C4202" s="52" t="s">
        <v>71</v>
      </c>
      <c r="D4202" s="52" t="s">
        <v>139</v>
      </c>
      <c r="E4202" s="52" t="s">
        <v>584</v>
      </c>
      <c r="F4202" s="52" t="s">
        <v>581</v>
      </c>
      <c r="G4202" s="55" t="s">
        <v>275</v>
      </c>
      <c r="H4202" s="55">
        <v>27.78717</v>
      </c>
      <c r="I4202" s="55">
        <v>20.578669999999999</v>
      </c>
      <c r="J4202" s="55">
        <v>18.382729999999999</v>
      </c>
      <c r="K4202" s="55">
        <v>11.62792</v>
      </c>
      <c r="L4202" s="55">
        <v>1.5385869999999999</v>
      </c>
      <c r="M4202" s="55">
        <v>-6.3971359999999997</v>
      </c>
      <c r="N4202" s="55">
        <v>-33.311419999999998</v>
      </c>
    </row>
    <row r="4203" spans="1:14" hidden="1" x14ac:dyDescent="0.35">
      <c r="A4203" s="52" t="s">
        <v>680</v>
      </c>
      <c r="B4203" s="52" t="s">
        <v>73</v>
      </c>
      <c r="C4203" s="52" t="s">
        <v>71</v>
      </c>
      <c r="D4203" s="52" t="s">
        <v>139</v>
      </c>
      <c r="E4203" s="52" t="s">
        <v>584</v>
      </c>
      <c r="F4203" s="52" t="s">
        <v>581</v>
      </c>
      <c r="G4203" s="55" t="s">
        <v>276</v>
      </c>
      <c r="H4203" s="55">
        <v>20.940989999999999</v>
      </c>
      <c r="I4203" s="55">
        <v>20.86862</v>
      </c>
      <c r="J4203" s="55">
        <v>25.45242</v>
      </c>
      <c r="K4203" s="55">
        <v>16.756129999999999</v>
      </c>
      <c r="L4203" s="55">
        <v>13.14249</v>
      </c>
      <c r="M4203" s="55">
        <v>4.1029809999999998</v>
      </c>
      <c r="N4203" s="55">
        <v>-11.29175</v>
      </c>
    </row>
    <row r="4204" spans="1:14" hidden="1" x14ac:dyDescent="0.35">
      <c r="A4204" s="52" t="s">
        <v>680</v>
      </c>
      <c r="B4204" s="52" t="s">
        <v>73</v>
      </c>
      <c r="C4204" s="52" t="s">
        <v>71</v>
      </c>
      <c r="D4204" s="52" t="s">
        <v>139</v>
      </c>
      <c r="E4204" s="52" t="s">
        <v>584</v>
      </c>
      <c r="F4204" s="52" t="s">
        <v>581</v>
      </c>
      <c r="G4204" s="55" t="s">
        <v>277</v>
      </c>
      <c r="H4204" s="55">
        <v>9.9713200000000004</v>
      </c>
      <c r="I4204" s="55">
        <v>3.2439429999999998</v>
      </c>
      <c r="J4204" s="55">
        <v>3.8126280000000001</v>
      </c>
      <c r="K4204" s="55">
        <v>5.3235219999999996</v>
      </c>
      <c r="L4204" s="55">
        <v>8.0957980000000003</v>
      </c>
      <c r="M4204" s="55">
        <v>16.67062</v>
      </c>
      <c r="N4204" s="55">
        <v>47.013689999999997</v>
      </c>
    </row>
    <row r="4205" spans="1:14" hidden="1" x14ac:dyDescent="0.35">
      <c r="A4205" s="52" t="s">
        <v>680</v>
      </c>
      <c r="B4205" s="52" t="s">
        <v>73</v>
      </c>
      <c r="C4205" s="52" t="s">
        <v>71</v>
      </c>
      <c r="D4205" s="52" t="s">
        <v>139</v>
      </c>
      <c r="E4205" s="52" t="s">
        <v>584</v>
      </c>
      <c r="F4205" s="52" t="s">
        <v>581</v>
      </c>
      <c r="G4205" s="55" t="s">
        <v>278</v>
      </c>
      <c r="H4205" s="55">
        <v>30.50985</v>
      </c>
      <c r="I4205" s="55">
        <v>9.7609349999999998E-2</v>
      </c>
      <c r="J4205" s="55">
        <v>0.37535410000000002</v>
      </c>
      <c r="K4205" s="55">
        <v>9.3712690000000001E-2</v>
      </c>
      <c r="L4205" s="55">
        <v>7.4775300000000003E-2</v>
      </c>
      <c r="M4205" s="55">
        <v>0.153613</v>
      </c>
      <c r="N4205" s="55">
        <v>8.3918649999999997E-2</v>
      </c>
    </row>
    <row r="4206" spans="1:14" hidden="1" x14ac:dyDescent="0.35">
      <c r="A4206" s="52" t="s">
        <v>680</v>
      </c>
      <c r="B4206" s="52" t="s">
        <v>73</v>
      </c>
      <c r="C4206" s="52" t="s">
        <v>71</v>
      </c>
      <c r="D4206" s="52" t="s">
        <v>139</v>
      </c>
      <c r="E4206" s="52" t="s">
        <v>584</v>
      </c>
      <c r="F4206" s="52" t="s">
        <v>581</v>
      </c>
      <c r="G4206" s="55" t="s">
        <v>279</v>
      </c>
      <c r="H4206" s="55">
        <v>9.7493079999999992</v>
      </c>
      <c r="I4206" s="55">
        <v>8.8896909999999991</v>
      </c>
      <c r="J4206" s="55">
        <v>9.0790150000000001</v>
      </c>
      <c r="K4206" s="55">
        <v>9.6154069999999994</v>
      </c>
      <c r="L4206" s="55">
        <v>7.4680470000000003</v>
      </c>
      <c r="M4206" s="55">
        <v>5.8293220000000003</v>
      </c>
      <c r="N4206" s="55">
        <v>21.46444</v>
      </c>
    </row>
    <row r="4207" spans="1:14" hidden="1" x14ac:dyDescent="0.35">
      <c r="A4207" s="52" t="s">
        <v>680</v>
      </c>
      <c r="B4207" s="52" t="s">
        <v>73</v>
      </c>
      <c r="C4207" s="52" t="s">
        <v>71</v>
      </c>
      <c r="D4207" s="52" t="s">
        <v>139</v>
      </c>
      <c r="E4207" s="52" t="s">
        <v>584</v>
      </c>
      <c r="F4207" s="52" t="s">
        <v>26</v>
      </c>
      <c r="G4207" s="55" t="s">
        <v>275</v>
      </c>
      <c r="H4207" s="55">
        <v>1.9783980000000001</v>
      </c>
      <c r="I4207" s="55">
        <v>2.675157</v>
      </c>
      <c r="J4207" s="55">
        <v>2.492896</v>
      </c>
      <c r="K4207" s="55">
        <v>0.61720249999999999</v>
      </c>
      <c r="L4207" s="55">
        <v>-7.5787100000000001</v>
      </c>
      <c r="M4207" s="55">
        <v>-19.240279999999998</v>
      </c>
      <c r="N4207" s="55">
        <v>-3.6248140000000002</v>
      </c>
    </row>
    <row r="4208" spans="1:14" hidden="1" x14ac:dyDescent="0.35">
      <c r="A4208" s="52" t="s">
        <v>680</v>
      </c>
      <c r="B4208" s="52" t="s">
        <v>73</v>
      </c>
      <c r="C4208" s="52" t="s">
        <v>71</v>
      </c>
      <c r="D4208" s="52" t="s">
        <v>139</v>
      </c>
      <c r="E4208" s="52" t="s">
        <v>584</v>
      </c>
      <c r="F4208" s="52" t="s">
        <v>26</v>
      </c>
      <c r="G4208" s="55" t="s">
        <v>276</v>
      </c>
      <c r="H4208" s="55">
        <v>0.12551590000000001</v>
      </c>
      <c r="I4208" s="55">
        <v>2.407</v>
      </c>
      <c r="J4208" s="55">
        <v>2.4331429999999998</v>
      </c>
      <c r="K4208" s="55">
        <v>2.5469490000000001</v>
      </c>
      <c r="L4208" s="55">
        <v>0.56253299999999995</v>
      </c>
      <c r="M4208" s="55">
        <v>-4.0445460000000004</v>
      </c>
      <c r="N4208" s="55">
        <v>2.3665120000000002</v>
      </c>
    </row>
    <row r="4209" spans="1:14" hidden="1" x14ac:dyDescent="0.35">
      <c r="A4209" s="52" t="s">
        <v>680</v>
      </c>
      <c r="B4209" s="52" t="s">
        <v>73</v>
      </c>
      <c r="C4209" s="52" t="s">
        <v>71</v>
      </c>
      <c r="D4209" s="52" t="s">
        <v>139</v>
      </c>
      <c r="E4209" s="52" t="s">
        <v>584</v>
      </c>
      <c r="F4209" s="52" t="s">
        <v>26</v>
      </c>
      <c r="G4209" s="55" t="s">
        <v>277</v>
      </c>
      <c r="H4209" s="55"/>
      <c r="I4209" s="55">
        <v>0</v>
      </c>
      <c r="J4209" s="55">
        <v>7.4999999999999997E-2</v>
      </c>
      <c r="K4209" s="55">
        <v>0.82499990000000001</v>
      </c>
      <c r="L4209" s="55">
        <v>9.9470419999999997</v>
      </c>
      <c r="M4209" s="55">
        <v>25.515709999999999</v>
      </c>
      <c r="N4209" s="55">
        <v>14.68008</v>
      </c>
    </row>
    <row r="4210" spans="1:14" hidden="1" x14ac:dyDescent="0.35">
      <c r="A4210" s="52" t="s">
        <v>680</v>
      </c>
      <c r="B4210" s="52" t="s">
        <v>73</v>
      </c>
      <c r="C4210" s="52" t="s">
        <v>71</v>
      </c>
      <c r="D4210" s="52" t="s">
        <v>139</v>
      </c>
      <c r="E4210" s="52" t="s">
        <v>584</v>
      </c>
      <c r="F4210" s="52" t="s">
        <v>26</v>
      </c>
      <c r="G4210" s="55" t="s">
        <v>278</v>
      </c>
      <c r="H4210" s="55">
        <v>6.7776959999999997</v>
      </c>
      <c r="I4210" s="55">
        <v>1.6511100000000001E-2</v>
      </c>
      <c r="J4210" s="55">
        <v>1.158585E-2</v>
      </c>
      <c r="K4210" s="55">
        <v>9.7838990000000004E-3</v>
      </c>
      <c r="L4210" s="55">
        <v>8.7776999999999994E-3</v>
      </c>
      <c r="M4210" s="55">
        <v>1.8032400000000001E-2</v>
      </c>
      <c r="N4210" s="55">
        <v>1.8032400000000001E-2</v>
      </c>
    </row>
    <row r="4211" spans="1:14" hidden="1" x14ac:dyDescent="0.35">
      <c r="A4211" s="52" t="s">
        <v>680</v>
      </c>
      <c r="B4211" s="52" t="s">
        <v>73</v>
      </c>
      <c r="C4211" s="52" t="s">
        <v>71</v>
      </c>
      <c r="D4211" s="52" t="s">
        <v>139</v>
      </c>
      <c r="E4211" s="52" t="s">
        <v>584</v>
      </c>
      <c r="F4211" s="52" t="s">
        <v>26</v>
      </c>
      <c r="G4211" s="55" t="s">
        <v>279</v>
      </c>
      <c r="H4211" s="55">
        <v>1.795399</v>
      </c>
      <c r="I4211" s="55">
        <v>1.1604190000000001</v>
      </c>
      <c r="J4211" s="55">
        <v>0.65312380000000003</v>
      </c>
      <c r="K4211" s="55">
        <v>0.47464830000000002</v>
      </c>
      <c r="L4211" s="55">
        <v>0.33087870000000003</v>
      </c>
      <c r="M4211" s="55">
        <v>0.3001663</v>
      </c>
      <c r="N4211" s="55">
        <v>3.7114720000000001</v>
      </c>
    </row>
    <row r="4212" spans="1:14" hidden="1" x14ac:dyDescent="0.35">
      <c r="A4212" s="52" t="s">
        <v>680</v>
      </c>
      <c r="B4212" s="52" t="s">
        <v>73</v>
      </c>
      <c r="C4212" s="52" t="s">
        <v>71</v>
      </c>
      <c r="D4212" s="52" t="s">
        <v>142</v>
      </c>
      <c r="E4212" s="52" t="s">
        <v>584</v>
      </c>
      <c r="F4212" s="52" t="s">
        <v>581</v>
      </c>
      <c r="G4212" s="55" t="s">
        <v>275</v>
      </c>
      <c r="H4212" s="55">
        <v>7.3701080000000001</v>
      </c>
      <c r="I4212" s="55">
        <v>4.3820410000000001</v>
      </c>
      <c r="J4212" s="55">
        <v>3.0822989999999999</v>
      </c>
      <c r="K4212" s="55">
        <v>2.5777709999999998</v>
      </c>
      <c r="L4212" s="55">
        <v>2.0421770000000001</v>
      </c>
      <c r="M4212" s="55">
        <v>1.6102099999999999</v>
      </c>
      <c r="N4212" s="55">
        <v>1.176118</v>
      </c>
    </row>
    <row r="4213" spans="1:14" hidden="1" x14ac:dyDescent="0.35">
      <c r="A4213" s="52" t="s">
        <v>680</v>
      </c>
      <c r="B4213" s="52" t="s">
        <v>73</v>
      </c>
      <c r="C4213" s="52" t="s">
        <v>71</v>
      </c>
      <c r="D4213" s="52" t="s">
        <v>142</v>
      </c>
      <c r="E4213" s="52" t="s">
        <v>584</v>
      </c>
      <c r="F4213" s="52" t="s">
        <v>581</v>
      </c>
      <c r="G4213" s="55" t="s">
        <v>276</v>
      </c>
      <c r="H4213" s="55">
        <v>6.0471779999999997</v>
      </c>
      <c r="I4213" s="55">
        <v>0.97919869999999998</v>
      </c>
      <c r="J4213" s="55">
        <v>1.9941739999999999</v>
      </c>
      <c r="K4213" s="55">
        <v>3.2161050000000002</v>
      </c>
      <c r="L4213" s="55">
        <v>3.9818660000000001</v>
      </c>
      <c r="M4213" s="55">
        <v>3.4206249999999998</v>
      </c>
      <c r="N4213" s="55">
        <v>3.007002</v>
      </c>
    </row>
    <row r="4214" spans="1:14" hidden="1" x14ac:dyDescent="0.35">
      <c r="A4214" s="52" t="s">
        <v>680</v>
      </c>
      <c r="B4214" s="52" t="s">
        <v>73</v>
      </c>
      <c r="C4214" s="52" t="s">
        <v>71</v>
      </c>
      <c r="D4214" s="52" t="s">
        <v>142</v>
      </c>
      <c r="E4214" s="52" t="s">
        <v>584</v>
      </c>
      <c r="F4214" s="52" t="s">
        <v>581</v>
      </c>
      <c r="G4214" s="55" t="s">
        <v>277</v>
      </c>
      <c r="H4214" s="55">
        <v>2.6088719999999999</v>
      </c>
      <c r="I4214" s="55">
        <v>2.2929200000000001</v>
      </c>
      <c r="J4214" s="55">
        <v>1.6775420000000001</v>
      </c>
      <c r="K4214" s="55">
        <v>0.93927970000000005</v>
      </c>
      <c r="L4214" s="55">
        <v>1.0864259999999999</v>
      </c>
      <c r="M4214" s="55">
        <v>1.187163</v>
      </c>
      <c r="N4214" s="55">
        <v>1.2625109999999999</v>
      </c>
    </row>
    <row r="4215" spans="1:14" hidden="1" x14ac:dyDescent="0.35">
      <c r="A4215" s="52" t="s">
        <v>680</v>
      </c>
      <c r="B4215" s="52" t="s">
        <v>73</v>
      </c>
      <c r="C4215" s="52" t="s">
        <v>71</v>
      </c>
      <c r="D4215" s="52" t="s">
        <v>142</v>
      </c>
      <c r="E4215" s="52" t="s">
        <v>584</v>
      </c>
      <c r="F4215" s="52" t="s">
        <v>581</v>
      </c>
      <c r="G4215" s="55" t="s">
        <v>278</v>
      </c>
      <c r="H4215" s="55">
        <v>7.8240599999999993E-2</v>
      </c>
      <c r="I4215" s="55">
        <v>5.1111799999999999E-2</v>
      </c>
      <c r="J4215" s="55">
        <v>0.42522759999999998</v>
      </c>
      <c r="K4215" s="55">
        <v>2.5438059999999998E-2</v>
      </c>
      <c r="L4215" s="55">
        <v>2.2821910000000001E-2</v>
      </c>
      <c r="M4215" s="55">
        <v>4.6883969999999997E-2</v>
      </c>
      <c r="N4215" s="55">
        <v>4.6883969999999997E-2</v>
      </c>
    </row>
    <row r="4216" spans="1:14" hidden="1" x14ac:dyDescent="0.35">
      <c r="A4216" s="52" t="s">
        <v>680</v>
      </c>
      <c r="B4216" s="52" t="s">
        <v>73</v>
      </c>
      <c r="C4216" s="52" t="s">
        <v>71</v>
      </c>
      <c r="D4216" s="52" t="s">
        <v>142</v>
      </c>
      <c r="E4216" s="52" t="s">
        <v>584</v>
      </c>
      <c r="F4216" s="52" t="s">
        <v>581</v>
      </c>
      <c r="G4216" s="55" t="s">
        <v>279</v>
      </c>
      <c r="H4216" s="55">
        <v>1.5146459999999999</v>
      </c>
      <c r="I4216" s="55">
        <v>1.324398</v>
      </c>
      <c r="J4216" s="55">
        <v>1.234602</v>
      </c>
      <c r="K4216" s="55">
        <v>1.57345</v>
      </c>
      <c r="L4216" s="55">
        <v>1.637775</v>
      </c>
      <c r="M4216" s="55">
        <v>1.5265880000000001</v>
      </c>
      <c r="N4216" s="55">
        <v>1.429854</v>
      </c>
    </row>
    <row r="4217" spans="1:14" hidden="1" x14ac:dyDescent="0.35">
      <c r="A4217" s="52" t="s">
        <v>680</v>
      </c>
      <c r="B4217" s="52" t="s">
        <v>73</v>
      </c>
      <c r="C4217" s="52" t="s">
        <v>71</v>
      </c>
      <c r="D4217" s="52" t="s">
        <v>142</v>
      </c>
      <c r="E4217" s="52" t="s">
        <v>584</v>
      </c>
      <c r="F4217" s="52" t="s">
        <v>26</v>
      </c>
      <c r="G4217" s="55" t="s">
        <v>275</v>
      </c>
      <c r="H4217" s="55">
        <v>0.29495300000000002</v>
      </c>
      <c r="I4217" s="55">
        <v>0.21517649999999999</v>
      </c>
      <c r="J4217" s="55">
        <v>0.17110909999999999</v>
      </c>
      <c r="K4217" s="55">
        <v>8.9943999999999996E-2</v>
      </c>
      <c r="L4217" s="55">
        <v>7.4442369999999994E-2</v>
      </c>
      <c r="M4217" s="55">
        <v>5.8383329999999997E-2</v>
      </c>
      <c r="N4217" s="55">
        <v>4.5615660000000002E-2</v>
      </c>
    </row>
    <row r="4218" spans="1:14" hidden="1" x14ac:dyDescent="0.35">
      <c r="A4218" s="52" t="s">
        <v>680</v>
      </c>
      <c r="B4218" s="52" t="s">
        <v>73</v>
      </c>
      <c r="C4218" s="52" t="s">
        <v>71</v>
      </c>
      <c r="D4218" s="52" t="s">
        <v>142</v>
      </c>
      <c r="E4218" s="52" t="s">
        <v>584</v>
      </c>
      <c r="F4218" s="52" t="s">
        <v>26</v>
      </c>
      <c r="G4218" s="55" t="s">
        <v>276</v>
      </c>
      <c r="H4218" s="55">
        <v>0.2052253</v>
      </c>
      <c r="I4218" s="55">
        <v>0.26242520000000003</v>
      </c>
      <c r="J4218" s="55">
        <v>0.46074369999999998</v>
      </c>
      <c r="K4218" s="55">
        <v>0.32419490000000001</v>
      </c>
      <c r="L4218" s="55">
        <v>0.26833269999999998</v>
      </c>
      <c r="M4218" s="55">
        <v>0.21046190000000001</v>
      </c>
      <c r="N4218" s="55">
        <v>0.16445950000000001</v>
      </c>
    </row>
    <row r="4219" spans="1:14" hidden="1" x14ac:dyDescent="0.35">
      <c r="A4219" s="52" t="s">
        <v>680</v>
      </c>
      <c r="B4219" s="52" t="s">
        <v>73</v>
      </c>
      <c r="C4219" s="52" t="s">
        <v>71</v>
      </c>
      <c r="D4219" s="52" t="s">
        <v>142</v>
      </c>
      <c r="E4219" s="52" t="s">
        <v>584</v>
      </c>
      <c r="F4219" s="52" t="s">
        <v>26</v>
      </c>
      <c r="G4219" s="55" t="s">
        <v>279</v>
      </c>
      <c r="H4219" s="55">
        <v>0.51999470000000003</v>
      </c>
      <c r="I4219" s="55">
        <v>0.49135679999999998</v>
      </c>
      <c r="J4219" s="55">
        <v>0.51640989999999998</v>
      </c>
      <c r="K4219" s="55">
        <v>0.64695400000000003</v>
      </c>
      <c r="L4219" s="55">
        <v>0.53772929999999997</v>
      </c>
      <c r="M4219" s="55">
        <v>0.42479309999999998</v>
      </c>
      <c r="N4219" s="55">
        <v>0.33601690000000001</v>
      </c>
    </row>
    <row r="4220" spans="1:14" hidden="1" x14ac:dyDescent="0.35">
      <c r="A4220" s="52" t="s">
        <v>680</v>
      </c>
      <c r="B4220" s="52" t="s">
        <v>73</v>
      </c>
      <c r="C4220" s="52" t="s">
        <v>71</v>
      </c>
      <c r="D4220" s="52" t="s">
        <v>143</v>
      </c>
      <c r="E4220" s="52" t="s">
        <v>584</v>
      </c>
      <c r="F4220" s="52" t="s">
        <v>581</v>
      </c>
      <c r="G4220" s="55" t="s">
        <v>275</v>
      </c>
      <c r="H4220" s="55">
        <v>-6.2607980000000003</v>
      </c>
      <c r="I4220" s="55">
        <v>-4.6023440000000004</v>
      </c>
      <c r="J4220" s="55">
        <v>1.4138820000000001</v>
      </c>
      <c r="K4220" s="55">
        <v>1.4138820000000001</v>
      </c>
      <c r="L4220" s="55">
        <v>0</v>
      </c>
      <c r="M4220" s="55">
        <v>0</v>
      </c>
      <c r="N4220" s="55">
        <v>0</v>
      </c>
    </row>
    <row r="4221" spans="1:14" hidden="1" x14ac:dyDescent="0.35">
      <c r="A4221" s="52" t="s">
        <v>680</v>
      </c>
      <c r="B4221" s="52" t="s">
        <v>73</v>
      </c>
      <c r="C4221" s="52" t="s">
        <v>71</v>
      </c>
      <c r="D4221" s="52" t="s">
        <v>143</v>
      </c>
      <c r="E4221" s="52" t="s">
        <v>584</v>
      </c>
      <c r="F4221" s="52" t="s">
        <v>581</v>
      </c>
      <c r="G4221" s="55" t="s">
        <v>276</v>
      </c>
      <c r="H4221" s="55">
        <v>-28.663489999999999</v>
      </c>
      <c r="I4221" s="55">
        <v>-26.953040000000001</v>
      </c>
      <c r="J4221" s="55">
        <v>-5.1204199999999998E-2</v>
      </c>
      <c r="K4221" s="55">
        <v>-4.3241210000000002E-2</v>
      </c>
      <c r="L4221" s="55">
        <v>-3.879382E-2</v>
      </c>
      <c r="M4221" s="55">
        <v>-7.9695790000000002E-2</v>
      </c>
      <c r="N4221" s="55">
        <v>-0.1086964</v>
      </c>
    </row>
    <row r="4222" spans="1:14" hidden="1" x14ac:dyDescent="0.35">
      <c r="A4222" s="52" t="s">
        <v>680</v>
      </c>
      <c r="B4222" s="52" t="s">
        <v>73</v>
      </c>
      <c r="C4222" s="52" t="s">
        <v>71</v>
      </c>
      <c r="D4222" s="52" t="s">
        <v>143</v>
      </c>
      <c r="E4222" s="52" t="s">
        <v>584</v>
      </c>
      <c r="F4222" s="52" t="s">
        <v>581</v>
      </c>
      <c r="G4222" s="55" t="s">
        <v>277</v>
      </c>
      <c r="H4222" s="55"/>
      <c r="I4222" s="55">
        <v>0</v>
      </c>
      <c r="J4222" s="55">
        <v>0</v>
      </c>
      <c r="K4222" s="55">
        <v>0</v>
      </c>
      <c r="L4222" s="55">
        <v>0</v>
      </c>
      <c r="M4222" s="55">
        <v>0</v>
      </c>
      <c r="N4222" s="55">
        <v>2.9000000000000001E-2</v>
      </c>
    </row>
    <row r="4223" spans="1:14" hidden="1" x14ac:dyDescent="0.35">
      <c r="A4223" s="52" t="s">
        <v>680</v>
      </c>
      <c r="B4223" s="52" t="s">
        <v>73</v>
      </c>
      <c r="C4223" s="52" t="s">
        <v>71</v>
      </c>
      <c r="D4223" s="52" t="s">
        <v>143</v>
      </c>
      <c r="E4223" s="52" t="s">
        <v>584</v>
      </c>
      <c r="F4223" s="52" t="s">
        <v>581</v>
      </c>
      <c r="G4223" s="55" t="s">
        <v>278</v>
      </c>
      <c r="H4223" s="55">
        <v>34.924280000000003</v>
      </c>
      <c r="I4223" s="55">
        <v>31.55538</v>
      </c>
      <c r="J4223" s="55">
        <v>5.1204199999999998E-2</v>
      </c>
      <c r="K4223" s="55">
        <v>4.32412E-2</v>
      </c>
      <c r="L4223" s="55">
        <v>3.8794000000000002E-2</v>
      </c>
      <c r="M4223" s="55">
        <v>7.9695600000000005E-2</v>
      </c>
      <c r="N4223" s="55">
        <v>7.9695600000000005E-2</v>
      </c>
    </row>
    <row r="4224" spans="1:14" hidden="1" x14ac:dyDescent="0.35">
      <c r="A4224" s="52" t="s">
        <v>680</v>
      </c>
      <c r="B4224" s="52" t="s">
        <v>73</v>
      </c>
      <c r="C4224" s="52" t="s">
        <v>71</v>
      </c>
      <c r="D4224" s="52" t="s">
        <v>143</v>
      </c>
      <c r="E4224" s="52" t="s">
        <v>584</v>
      </c>
      <c r="F4224" s="52" t="s">
        <v>581</v>
      </c>
      <c r="G4224" s="55" t="s">
        <v>279</v>
      </c>
      <c r="H4224" s="55"/>
      <c r="I4224" s="55"/>
      <c r="J4224" s="55"/>
      <c r="K4224" s="55"/>
      <c r="L4224" s="55">
        <v>0</v>
      </c>
      <c r="M4224" s="55">
        <v>0</v>
      </c>
      <c r="N4224" s="55">
        <v>0</v>
      </c>
    </row>
    <row r="4225" spans="1:14" hidden="1" x14ac:dyDescent="0.35">
      <c r="A4225" s="52" t="s">
        <v>680</v>
      </c>
      <c r="B4225" s="52" t="s">
        <v>73</v>
      </c>
      <c r="C4225" s="52" t="s">
        <v>71</v>
      </c>
      <c r="D4225" s="52" t="s">
        <v>143</v>
      </c>
      <c r="E4225" s="52" t="s">
        <v>584</v>
      </c>
      <c r="F4225" s="52" t="s">
        <v>26</v>
      </c>
      <c r="G4225" s="55" t="s">
        <v>275</v>
      </c>
      <c r="H4225" s="55"/>
      <c r="I4225" s="55"/>
      <c r="J4225" s="55"/>
      <c r="K4225" s="55"/>
      <c r="L4225" s="55">
        <v>0</v>
      </c>
      <c r="M4225" s="55">
        <v>0</v>
      </c>
      <c r="N4225" s="55">
        <v>0</v>
      </c>
    </row>
    <row r="4226" spans="1:14" hidden="1" x14ac:dyDescent="0.35">
      <c r="A4226" s="52" t="s">
        <v>680</v>
      </c>
      <c r="B4226" s="52" t="s">
        <v>73</v>
      </c>
      <c r="C4226" s="52" t="s">
        <v>71</v>
      </c>
      <c r="D4226" s="52" t="s">
        <v>143</v>
      </c>
      <c r="E4226" s="52" t="s">
        <v>584</v>
      </c>
      <c r="F4226" s="52" t="s">
        <v>26</v>
      </c>
      <c r="G4226" s="55" t="s">
        <v>276</v>
      </c>
      <c r="H4226" s="55"/>
      <c r="I4226" s="55"/>
      <c r="J4226" s="55"/>
      <c r="K4226" s="55"/>
      <c r="L4226" s="55">
        <v>0</v>
      </c>
      <c r="M4226" s="55">
        <v>0</v>
      </c>
      <c r="N4226" s="55">
        <v>0</v>
      </c>
    </row>
    <row r="4227" spans="1:14" hidden="1" x14ac:dyDescent="0.35">
      <c r="A4227" s="52" t="s">
        <v>680</v>
      </c>
      <c r="B4227" s="52" t="s">
        <v>73</v>
      </c>
      <c r="C4227" s="52" t="s">
        <v>71</v>
      </c>
      <c r="D4227" s="52" t="s">
        <v>143</v>
      </c>
      <c r="E4227" s="52" t="s">
        <v>584</v>
      </c>
      <c r="F4227" s="52" t="s">
        <v>26</v>
      </c>
      <c r="G4227" s="55" t="s">
        <v>277</v>
      </c>
      <c r="H4227" s="55"/>
      <c r="I4227" s="55"/>
      <c r="J4227" s="55"/>
      <c r="K4227" s="55"/>
      <c r="L4227" s="55">
        <v>0</v>
      </c>
      <c r="M4227" s="55">
        <v>0</v>
      </c>
      <c r="N4227" s="55">
        <v>0</v>
      </c>
    </row>
    <row r="4228" spans="1:14" hidden="1" x14ac:dyDescent="0.35">
      <c r="A4228" s="52" t="s">
        <v>680</v>
      </c>
      <c r="B4228" s="52" t="s">
        <v>73</v>
      </c>
      <c r="C4228" s="52" t="s">
        <v>71</v>
      </c>
      <c r="D4228" s="52" t="s">
        <v>143</v>
      </c>
      <c r="E4228" s="52" t="s">
        <v>584</v>
      </c>
      <c r="F4228" s="52" t="s">
        <v>26</v>
      </c>
      <c r="G4228" s="55" t="s">
        <v>279</v>
      </c>
      <c r="H4228" s="55"/>
      <c r="I4228" s="55"/>
      <c r="J4228" s="55"/>
      <c r="K4228" s="55"/>
      <c r="L4228" s="55">
        <v>0</v>
      </c>
      <c r="M4228" s="55">
        <v>0</v>
      </c>
      <c r="N4228" s="55">
        <v>0</v>
      </c>
    </row>
    <row r="4229" spans="1:14" hidden="1" x14ac:dyDescent="0.35">
      <c r="A4229" s="52" t="s">
        <v>680</v>
      </c>
      <c r="B4229" s="52" t="s">
        <v>73</v>
      </c>
      <c r="C4229" s="52" t="s">
        <v>71</v>
      </c>
      <c r="D4229" s="52" t="s">
        <v>335</v>
      </c>
      <c r="E4229" s="52" t="s">
        <v>584</v>
      </c>
      <c r="F4229" s="52" t="s">
        <v>581</v>
      </c>
      <c r="G4229" s="55" t="s">
        <v>275</v>
      </c>
      <c r="H4229" s="55">
        <v>-1.31556E-2</v>
      </c>
      <c r="I4229" s="55">
        <v>-6.1683989999999998E-3</v>
      </c>
      <c r="J4229" s="55">
        <v>0</v>
      </c>
      <c r="K4229" s="55">
        <v>0</v>
      </c>
      <c r="L4229" s="55">
        <v>0</v>
      </c>
      <c r="M4229" s="55">
        <v>0</v>
      </c>
      <c r="N4229" s="55">
        <v>0</v>
      </c>
    </row>
    <row r="4230" spans="1:14" hidden="1" x14ac:dyDescent="0.35">
      <c r="A4230" s="52" t="s">
        <v>680</v>
      </c>
      <c r="B4230" s="52" t="s">
        <v>73</v>
      </c>
      <c r="C4230" s="52" t="s">
        <v>71</v>
      </c>
      <c r="D4230" s="52" t="s">
        <v>335</v>
      </c>
      <c r="E4230" s="52" t="s">
        <v>584</v>
      </c>
      <c r="F4230" s="52" t="s">
        <v>581</v>
      </c>
      <c r="G4230" s="55" t="s">
        <v>276</v>
      </c>
      <c r="H4230" s="55">
        <v>-6.0159600000000001E-2</v>
      </c>
      <c r="I4230" s="55">
        <v>-4.1725999999999999E-2</v>
      </c>
      <c r="J4230" s="55">
        <v>-5.7534000000000002E-2</v>
      </c>
      <c r="K4230" s="55">
        <v>-2.8592970000000002</v>
      </c>
      <c r="L4230" s="55">
        <v>-4.3588790000000002E-2</v>
      </c>
      <c r="M4230" s="55">
        <v>-0.1011464</v>
      </c>
      <c r="N4230" s="55">
        <v>-0.1011464</v>
      </c>
    </row>
    <row r="4231" spans="1:14" hidden="1" x14ac:dyDescent="0.35">
      <c r="A4231" s="52" t="s">
        <v>680</v>
      </c>
      <c r="B4231" s="52" t="s">
        <v>73</v>
      </c>
      <c r="C4231" s="52" t="s">
        <v>71</v>
      </c>
      <c r="D4231" s="52" t="s">
        <v>335</v>
      </c>
      <c r="E4231" s="52" t="s">
        <v>584</v>
      </c>
      <c r="F4231" s="52" t="s">
        <v>581</v>
      </c>
      <c r="G4231" s="55" t="s">
        <v>277</v>
      </c>
      <c r="H4231" s="55"/>
      <c r="I4231" s="55"/>
      <c r="J4231" s="55"/>
      <c r="K4231" s="55"/>
      <c r="L4231" s="55">
        <v>0</v>
      </c>
      <c r="M4231" s="55">
        <v>1.1599999999999999E-2</v>
      </c>
      <c r="N4231" s="55">
        <v>1.1599999999999999E-2</v>
      </c>
    </row>
    <row r="4232" spans="1:14" hidden="1" x14ac:dyDescent="0.35">
      <c r="A4232" s="52" t="s">
        <v>680</v>
      </c>
      <c r="B4232" s="52" t="s">
        <v>73</v>
      </c>
      <c r="C4232" s="52" t="s">
        <v>71</v>
      </c>
      <c r="D4232" s="52" t="s">
        <v>335</v>
      </c>
      <c r="E4232" s="52" t="s">
        <v>584</v>
      </c>
      <c r="F4232" s="52" t="s">
        <v>581</v>
      </c>
      <c r="G4232" s="55" t="s">
        <v>278</v>
      </c>
      <c r="H4232" s="55">
        <v>7.3315199999999997E-2</v>
      </c>
      <c r="I4232" s="55">
        <v>4.7893999999999999E-2</v>
      </c>
      <c r="J4232" s="55">
        <v>5.753399E-2</v>
      </c>
      <c r="K4232" s="55">
        <v>2.8592970000000002</v>
      </c>
      <c r="L4232" s="55">
        <v>4.3589200000000002E-2</v>
      </c>
      <c r="M4232" s="55">
        <v>8.9546799999999996E-2</v>
      </c>
      <c r="N4232" s="55">
        <v>8.9546799999999996E-2</v>
      </c>
    </row>
    <row r="4233" spans="1:14" hidden="1" x14ac:dyDescent="0.35">
      <c r="A4233" s="52" t="s">
        <v>680</v>
      </c>
      <c r="B4233" s="52" t="s">
        <v>73</v>
      </c>
      <c r="C4233" s="52" t="s">
        <v>71</v>
      </c>
      <c r="D4233" s="52" t="s">
        <v>334</v>
      </c>
      <c r="E4233" s="52" t="s">
        <v>584</v>
      </c>
      <c r="F4233" s="52" t="s">
        <v>581</v>
      </c>
      <c r="G4233" s="55" t="s">
        <v>275</v>
      </c>
      <c r="H4233" s="55">
        <v>-8.9033989999999993E-3</v>
      </c>
      <c r="I4233" s="55">
        <v>-4.1744E-3</v>
      </c>
      <c r="J4233" s="55">
        <v>0</v>
      </c>
      <c r="K4233" s="55">
        <v>0</v>
      </c>
      <c r="L4233" s="55">
        <v>0</v>
      </c>
      <c r="M4233" s="55">
        <v>0</v>
      </c>
      <c r="N4233" s="55">
        <v>0</v>
      </c>
    </row>
    <row r="4234" spans="1:14" hidden="1" x14ac:dyDescent="0.35">
      <c r="A4234" s="52" t="s">
        <v>680</v>
      </c>
      <c r="B4234" s="52" t="s">
        <v>73</v>
      </c>
      <c r="C4234" s="52" t="s">
        <v>71</v>
      </c>
      <c r="D4234" s="52" t="s">
        <v>334</v>
      </c>
      <c r="E4234" s="52" t="s">
        <v>584</v>
      </c>
      <c r="F4234" s="52" t="s">
        <v>581</v>
      </c>
      <c r="G4234" s="55" t="s">
        <v>276</v>
      </c>
      <c r="H4234" s="55">
        <v>-4.0714800000000002E-2</v>
      </c>
      <c r="I4234" s="55">
        <v>-2.8239199999999999E-2</v>
      </c>
      <c r="J4234" s="55">
        <v>-3.8937600000000003E-2</v>
      </c>
      <c r="K4234" s="55">
        <v>-1.467516</v>
      </c>
      <c r="L4234" s="55">
        <v>-2.95004E-2</v>
      </c>
      <c r="M4234" s="55">
        <v>-6.6403390000000007E-2</v>
      </c>
      <c r="N4234" s="55">
        <v>-6.6403400000000001E-2</v>
      </c>
    </row>
    <row r="4235" spans="1:14" hidden="1" x14ac:dyDescent="0.35">
      <c r="A4235" s="52" t="s">
        <v>680</v>
      </c>
      <c r="B4235" s="52" t="s">
        <v>73</v>
      </c>
      <c r="C4235" s="52" t="s">
        <v>71</v>
      </c>
      <c r="D4235" s="52" t="s">
        <v>334</v>
      </c>
      <c r="E4235" s="52" t="s">
        <v>584</v>
      </c>
      <c r="F4235" s="52" t="s">
        <v>581</v>
      </c>
      <c r="G4235" s="55" t="s">
        <v>277</v>
      </c>
      <c r="H4235" s="55"/>
      <c r="I4235" s="55"/>
      <c r="J4235" s="55"/>
      <c r="K4235" s="55"/>
      <c r="L4235" s="55">
        <v>0</v>
      </c>
      <c r="M4235" s="55">
        <v>5.7999999999999996E-3</v>
      </c>
      <c r="N4235" s="55">
        <v>5.7999999999999996E-3</v>
      </c>
    </row>
    <row r="4236" spans="1:14" hidden="1" x14ac:dyDescent="0.35">
      <c r="A4236" s="52" t="s">
        <v>680</v>
      </c>
      <c r="B4236" s="52" t="s">
        <v>73</v>
      </c>
      <c r="C4236" s="52" t="s">
        <v>71</v>
      </c>
      <c r="D4236" s="52" t="s">
        <v>334</v>
      </c>
      <c r="E4236" s="52" t="s">
        <v>584</v>
      </c>
      <c r="F4236" s="52" t="s">
        <v>581</v>
      </c>
      <c r="G4236" s="55" t="s">
        <v>278</v>
      </c>
      <c r="H4236" s="55">
        <v>4.96184E-2</v>
      </c>
      <c r="I4236" s="55">
        <v>3.2413600000000001E-2</v>
      </c>
      <c r="J4236" s="55">
        <v>3.8937800000000002E-2</v>
      </c>
      <c r="K4236" s="55">
        <v>1.467516</v>
      </c>
      <c r="L4236" s="55">
        <v>2.95004E-2</v>
      </c>
      <c r="M4236" s="55">
        <v>6.0603600000000001E-2</v>
      </c>
      <c r="N4236" s="55">
        <v>6.0603600000000001E-2</v>
      </c>
    </row>
    <row r="4237" spans="1:14" hidden="1" x14ac:dyDescent="0.35">
      <c r="A4237" s="52" t="s">
        <v>680</v>
      </c>
      <c r="B4237" s="52" t="s">
        <v>73</v>
      </c>
      <c r="C4237" s="52" t="s">
        <v>71</v>
      </c>
      <c r="D4237" s="52" t="s">
        <v>336</v>
      </c>
      <c r="E4237" s="52" t="s">
        <v>584</v>
      </c>
      <c r="F4237" s="52" t="s">
        <v>581</v>
      </c>
      <c r="G4237" s="55" t="s">
        <v>275</v>
      </c>
      <c r="H4237" s="55">
        <v>-3.1199999999999999E-3</v>
      </c>
      <c r="I4237" s="55">
        <v>-8.5875000000000003E-4</v>
      </c>
      <c r="J4237" s="55">
        <v>0</v>
      </c>
      <c r="K4237" s="55">
        <v>0</v>
      </c>
      <c r="L4237" s="55">
        <v>0</v>
      </c>
      <c r="M4237" s="55">
        <v>0</v>
      </c>
      <c r="N4237" s="55">
        <v>0</v>
      </c>
    </row>
    <row r="4238" spans="1:14" hidden="1" x14ac:dyDescent="0.35">
      <c r="A4238" s="52" t="s">
        <v>680</v>
      </c>
      <c r="B4238" s="52" t="s">
        <v>73</v>
      </c>
      <c r="C4238" s="52" t="s">
        <v>71</v>
      </c>
      <c r="D4238" s="52" t="s">
        <v>336</v>
      </c>
      <c r="E4238" s="52" t="s">
        <v>584</v>
      </c>
      <c r="F4238" s="52" t="s">
        <v>581</v>
      </c>
      <c r="G4238" s="55" t="s">
        <v>276</v>
      </c>
      <c r="H4238" s="55">
        <v>-2.4244499999999999E-2</v>
      </c>
      <c r="I4238" s="55">
        <v>-1.2275400000000001E-2</v>
      </c>
      <c r="J4238" s="55">
        <v>-0.95454309999999998</v>
      </c>
      <c r="K4238" s="55">
        <v>-1.33239E-2</v>
      </c>
      <c r="L4238" s="55">
        <v>-1.63038E-2</v>
      </c>
      <c r="M4238" s="55">
        <v>-2.89068E-2</v>
      </c>
      <c r="N4238" s="55">
        <v>-0.1115568</v>
      </c>
    </row>
    <row r="4239" spans="1:14" hidden="1" x14ac:dyDescent="0.35">
      <c r="A4239" s="52" t="s">
        <v>680</v>
      </c>
      <c r="B4239" s="52" t="s">
        <v>73</v>
      </c>
      <c r="C4239" s="52" t="s">
        <v>71</v>
      </c>
      <c r="D4239" s="52" t="s">
        <v>336</v>
      </c>
      <c r="E4239" s="52" t="s">
        <v>584</v>
      </c>
      <c r="F4239" s="52" t="s">
        <v>581</v>
      </c>
      <c r="G4239" s="55" t="s">
        <v>277</v>
      </c>
      <c r="H4239" s="55"/>
      <c r="I4239" s="55"/>
      <c r="J4239" s="55"/>
      <c r="K4239" s="55">
        <v>0</v>
      </c>
      <c r="L4239" s="55">
        <v>4.3499999999999997E-3</v>
      </c>
      <c r="M4239" s="55">
        <v>4.3499999999999997E-3</v>
      </c>
      <c r="N4239" s="55">
        <v>8.6999999999999994E-2</v>
      </c>
    </row>
    <row r="4240" spans="1:14" hidden="1" x14ac:dyDescent="0.35">
      <c r="A4240" s="52" t="s">
        <v>680</v>
      </c>
      <c r="B4240" s="52" t="s">
        <v>73</v>
      </c>
      <c r="C4240" s="52" t="s">
        <v>71</v>
      </c>
      <c r="D4240" s="52" t="s">
        <v>336</v>
      </c>
      <c r="E4240" s="52" t="s">
        <v>584</v>
      </c>
      <c r="F4240" s="52" t="s">
        <v>581</v>
      </c>
      <c r="G4240" s="55" t="s">
        <v>278</v>
      </c>
      <c r="H4240" s="55">
        <v>2.73645E-2</v>
      </c>
      <c r="I4240" s="55">
        <v>1.3134150000000001E-2</v>
      </c>
      <c r="J4240" s="55">
        <v>0.95454349999999999</v>
      </c>
      <c r="K4240" s="55">
        <v>1.332405E-2</v>
      </c>
      <c r="L4240" s="55">
        <v>1.1953800000000001E-2</v>
      </c>
      <c r="M4240" s="55">
        <v>2.4556950000000001E-2</v>
      </c>
      <c r="N4240" s="55">
        <v>2.4556950000000001E-2</v>
      </c>
    </row>
    <row r="4241" spans="1:14" hidden="1" x14ac:dyDescent="0.35">
      <c r="A4241" s="52" t="s">
        <v>680</v>
      </c>
      <c r="B4241" s="52" t="s">
        <v>73</v>
      </c>
      <c r="C4241" s="52" t="s">
        <v>71</v>
      </c>
      <c r="D4241" s="52" t="s">
        <v>336</v>
      </c>
      <c r="E4241" s="52" t="s">
        <v>584</v>
      </c>
      <c r="F4241" s="52" t="s">
        <v>581</v>
      </c>
      <c r="G4241" s="55" t="s">
        <v>279</v>
      </c>
      <c r="H4241" s="55"/>
      <c r="I4241" s="55"/>
      <c r="J4241" s="55"/>
      <c r="K4241" s="55"/>
      <c r="L4241" s="55"/>
      <c r="M4241" s="55"/>
      <c r="N4241" s="55">
        <v>0</v>
      </c>
    </row>
    <row r="4242" spans="1:14" hidden="1" x14ac:dyDescent="0.35">
      <c r="A4242" s="52" t="s">
        <v>680</v>
      </c>
      <c r="B4242" s="52" t="s">
        <v>73</v>
      </c>
      <c r="C4242" s="52" t="s">
        <v>71</v>
      </c>
      <c r="D4242" s="52" t="s">
        <v>336</v>
      </c>
      <c r="E4242" s="52" t="s">
        <v>584</v>
      </c>
      <c r="F4242" s="52" t="s">
        <v>26</v>
      </c>
      <c r="G4242" s="55" t="s">
        <v>275</v>
      </c>
      <c r="H4242" s="55">
        <v>0</v>
      </c>
      <c r="I4242" s="55">
        <v>2.9999879999999999E-5</v>
      </c>
      <c r="J4242" s="55">
        <v>0</v>
      </c>
      <c r="K4242" s="55">
        <v>0</v>
      </c>
      <c r="L4242" s="55">
        <v>0</v>
      </c>
      <c r="M4242" s="55">
        <v>0</v>
      </c>
      <c r="N4242" s="55">
        <v>0</v>
      </c>
    </row>
    <row r="4243" spans="1:14" hidden="1" x14ac:dyDescent="0.35">
      <c r="A4243" s="52" t="s">
        <v>680</v>
      </c>
      <c r="B4243" s="52" t="s">
        <v>73</v>
      </c>
      <c r="C4243" s="52" t="s">
        <v>71</v>
      </c>
      <c r="D4243" s="52" t="s">
        <v>336</v>
      </c>
      <c r="E4243" s="52" t="s">
        <v>584</v>
      </c>
      <c r="F4243" s="52" t="s">
        <v>26</v>
      </c>
      <c r="G4243" s="55" t="s">
        <v>276</v>
      </c>
      <c r="H4243" s="55"/>
      <c r="I4243" s="55">
        <v>-4.7720999999999996E-3</v>
      </c>
      <c r="J4243" s="55">
        <v>-9.5546989999999998E-3</v>
      </c>
      <c r="K4243" s="55">
        <v>-4.8104999999999997E-3</v>
      </c>
      <c r="L4243" s="55">
        <v>-5.4032999999999998E-3</v>
      </c>
      <c r="M4243" s="55">
        <v>-9.9533999999999994E-3</v>
      </c>
      <c r="N4243" s="55">
        <v>-3.0615900000000001E-2</v>
      </c>
    </row>
    <row r="4244" spans="1:14" hidden="1" x14ac:dyDescent="0.35">
      <c r="A4244" s="52" t="s">
        <v>680</v>
      </c>
      <c r="B4244" s="52" t="s">
        <v>73</v>
      </c>
      <c r="C4244" s="52" t="s">
        <v>71</v>
      </c>
      <c r="D4244" s="52" t="s">
        <v>336</v>
      </c>
      <c r="E4244" s="52" t="s">
        <v>584</v>
      </c>
      <c r="F4244" s="52" t="s">
        <v>26</v>
      </c>
      <c r="G4244" s="55" t="s">
        <v>277</v>
      </c>
      <c r="H4244" s="55"/>
      <c r="I4244" s="55"/>
      <c r="J4244" s="55"/>
      <c r="K4244" s="55">
        <v>0</v>
      </c>
      <c r="L4244" s="55">
        <v>1.0874999999999999E-3</v>
      </c>
      <c r="M4244" s="55">
        <v>1.0874999999999999E-3</v>
      </c>
      <c r="N4244" s="55">
        <v>2.1749999999999999E-2</v>
      </c>
    </row>
    <row r="4245" spans="1:14" hidden="1" x14ac:dyDescent="0.35">
      <c r="A4245" s="52" t="s">
        <v>680</v>
      </c>
      <c r="B4245" s="52" t="s">
        <v>73</v>
      </c>
      <c r="C4245" s="52" t="s">
        <v>71</v>
      </c>
      <c r="D4245" s="52" t="s">
        <v>336</v>
      </c>
      <c r="E4245" s="52" t="s">
        <v>584</v>
      </c>
      <c r="F4245" s="52" t="s">
        <v>26</v>
      </c>
      <c r="G4245" s="55" t="s">
        <v>278</v>
      </c>
      <c r="H4245" s="55"/>
      <c r="I4245" s="55">
        <v>4.74195E-3</v>
      </c>
      <c r="J4245" s="55">
        <v>9.5546999999999993E-3</v>
      </c>
      <c r="K4245" s="55">
        <v>4.8104999999999997E-3</v>
      </c>
      <c r="L4245" s="55">
        <v>4.3157999999999998E-3</v>
      </c>
      <c r="M4245" s="55">
        <v>8.865899E-3</v>
      </c>
      <c r="N4245" s="55">
        <v>8.865899E-3</v>
      </c>
    </row>
    <row r="4246" spans="1:14" hidden="1" x14ac:dyDescent="0.35">
      <c r="A4246" s="52" t="s">
        <v>680</v>
      </c>
      <c r="B4246" s="52" t="s">
        <v>73</v>
      </c>
      <c r="C4246" s="52" t="s">
        <v>71</v>
      </c>
      <c r="D4246" s="52" t="s">
        <v>336</v>
      </c>
      <c r="E4246" s="52" t="s">
        <v>584</v>
      </c>
      <c r="F4246" s="52" t="s">
        <v>26</v>
      </c>
      <c r="G4246" s="55" t="s">
        <v>279</v>
      </c>
      <c r="H4246" s="55"/>
      <c r="I4246" s="55"/>
      <c r="J4246" s="55"/>
      <c r="K4246" s="55"/>
      <c r="L4246" s="55"/>
      <c r="M4246" s="55"/>
      <c r="N4246" s="55">
        <v>0</v>
      </c>
    </row>
    <row r="4247" spans="1:14" hidden="1" x14ac:dyDescent="0.35">
      <c r="A4247" s="52" t="s">
        <v>680</v>
      </c>
      <c r="B4247" s="52" t="s">
        <v>73</v>
      </c>
      <c r="C4247" s="52" t="s">
        <v>71</v>
      </c>
      <c r="D4247" s="52" t="s">
        <v>72</v>
      </c>
      <c r="E4247" s="52" t="s">
        <v>584</v>
      </c>
      <c r="F4247" s="52" t="s">
        <v>581</v>
      </c>
      <c r="G4247" s="55" t="s">
        <v>275</v>
      </c>
      <c r="H4247" s="55">
        <v>-1.8398000000000001E-2</v>
      </c>
      <c r="I4247" s="55">
        <v>-8.3098000000000009E-3</v>
      </c>
      <c r="J4247" s="55">
        <v>0</v>
      </c>
      <c r="K4247" s="55">
        <v>0</v>
      </c>
      <c r="L4247" s="55">
        <v>0</v>
      </c>
      <c r="M4247" s="55">
        <v>0</v>
      </c>
      <c r="N4247" s="55">
        <v>0</v>
      </c>
    </row>
    <row r="4248" spans="1:14" hidden="1" x14ac:dyDescent="0.35">
      <c r="A4248" s="52" t="s">
        <v>680</v>
      </c>
      <c r="B4248" s="52" t="s">
        <v>73</v>
      </c>
      <c r="C4248" s="52" t="s">
        <v>71</v>
      </c>
      <c r="D4248" s="52" t="s">
        <v>72</v>
      </c>
      <c r="E4248" s="52" t="s">
        <v>584</v>
      </c>
      <c r="F4248" s="52" t="s">
        <v>581</v>
      </c>
      <c r="G4248" s="55" t="s">
        <v>276</v>
      </c>
      <c r="H4248" s="55">
        <v>-8.7446399999999994E-2</v>
      </c>
      <c r="I4248" s="55">
        <v>-6.0833400000000003E-2</v>
      </c>
      <c r="J4248" s="55">
        <v>-8.3061099999999999E-2</v>
      </c>
      <c r="K4248" s="55">
        <v>-4.2117870000000002</v>
      </c>
      <c r="L4248" s="55">
        <v>-0.85506190000000004</v>
      </c>
      <c r="M4248" s="55">
        <v>-0.14087769999999999</v>
      </c>
      <c r="N4248" s="55">
        <v>-0.1437785</v>
      </c>
    </row>
    <row r="4249" spans="1:14" hidden="1" x14ac:dyDescent="0.35">
      <c r="A4249" s="52" t="s">
        <v>680</v>
      </c>
      <c r="B4249" s="52" t="s">
        <v>73</v>
      </c>
      <c r="C4249" s="52" t="s">
        <v>71</v>
      </c>
      <c r="D4249" s="52" t="s">
        <v>72</v>
      </c>
      <c r="E4249" s="52" t="s">
        <v>584</v>
      </c>
      <c r="F4249" s="52" t="s">
        <v>581</v>
      </c>
      <c r="G4249" s="55" t="s">
        <v>277</v>
      </c>
      <c r="H4249" s="55"/>
      <c r="I4249" s="55"/>
      <c r="J4249" s="55"/>
      <c r="K4249" s="55"/>
      <c r="L4249" s="55">
        <v>0</v>
      </c>
      <c r="M4249" s="55">
        <v>1.1599999999999999E-2</v>
      </c>
      <c r="N4249" s="55">
        <v>1.4500000000000001E-2</v>
      </c>
    </row>
    <row r="4250" spans="1:14" hidden="1" x14ac:dyDescent="0.35">
      <c r="A4250" s="52" t="s">
        <v>680</v>
      </c>
      <c r="B4250" s="52" t="s">
        <v>73</v>
      </c>
      <c r="C4250" s="52" t="s">
        <v>71</v>
      </c>
      <c r="D4250" s="52" t="s">
        <v>72</v>
      </c>
      <c r="E4250" s="52" t="s">
        <v>584</v>
      </c>
      <c r="F4250" s="52" t="s">
        <v>581</v>
      </c>
      <c r="G4250" s="55" t="s">
        <v>278</v>
      </c>
      <c r="H4250" s="55">
        <v>0.10584449999999999</v>
      </c>
      <c r="I4250" s="55">
        <v>6.9143789999999997E-2</v>
      </c>
      <c r="J4250" s="55">
        <v>8.3060700000000001E-2</v>
      </c>
      <c r="K4250" s="55">
        <v>4.2117870000000002</v>
      </c>
      <c r="L4250" s="55">
        <v>0.85506150000000003</v>
      </c>
      <c r="M4250" s="55">
        <v>0.12927810000000001</v>
      </c>
      <c r="N4250" s="55">
        <v>0.12927810000000001</v>
      </c>
    </row>
    <row r="4251" spans="1:14" hidden="1" x14ac:dyDescent="0.35">
      <c r="A4251" s="52" t="s">
        <v>680</v>
      </c>
      <c r="B4251" s="52" t="s">
        <v>73</v>
      </c>
      <c r="C4251" s="52" t="s">
        <v>71</v>
      </c>
      <c r="D4251" s="52" t="s">
        <v>141</v>
      </c>
      <c r="E4251" s="52" t="s">
        <v>584</v>
      </c>
      <c r="F4251" s="52" t="s">
        <v>581</v>
      </c>
      <c r="G4251" s="55" t="s">
        <v>275</v>
      </c>
      <c r="H4251" s="55">
        <v>0</v>
      </c>
      <c r="I4251" s="55"/>
      <c r="J4251" s="55">
        <v>0</v>
      </c>
      <c r="K4251" s="55">
        <v>0</v>
      </c>
      <c r="L4251" s="55">
        <v>0</v>
      </c>
      <c r="M4251" s="55">
        <v>0</v>
      </c>
      <c r="N4251" s="55">
        <v>0</v>
      </c>
    </row>
    <row r="4252" spans="1:14" hidden="1" x14ac:dyDescent="0.35">
      <c r="A4252" s="52" t="s">
        <v>680</v>
      </c>
      <c r="B4252" s="52" t="s">
        <v>73</v>
      </c>
      <c r="C4252" s="52" t="s">
        <v>71</v>
      </c>
      <c r="D4252" s="52" t="s">
        <v>141</v>
      </c>
      <c r="E4252" s="52" t="s">
        <v>584</v>
      </c>
      <c r="F4252" s="52" t="s">
        <v>581</v>
      </c>
      <c r="G4252" s="55" t="s">
        <v>276</v>
      </c>
      <c r="H4252" s="55"/>
      <c r="I4252" s="55"/>
      <c r="J4252" s="55">
        <v>0</v>
      </c>
      <c r="K4252" s="55">
        <v>0</v>
      </c>
      <c r="L4252" s="55">
        <v>0</v>
      </c>
      <c r="M4252" s="55">
        <v>0</v>
      </c>
      <c r="N4252" s="55">
        <v>0</v>
      </c>
    </row>
    <row r="4253" spans="1:14" hidden="1" x14ac:dyDescent="0.35">
      <c r="A4253" s="52" t="s">
        <v>680</v>
      </c>
      <c r="B4253" s="52" t="s">
        <v>73</v>
      </c>
      <c r="C4253" s="52" t="s">
        <v>71</v>
      </c>
      <c r="D4253" s="52" t="s">
        <v>141</v>
      </c>
      <c r="E4253" s="52" t="s">
        <v>584</v>
      </c>
      <c r="F4253" s="52" t="s">
        <v>581</v>
      </c>
      <c r="G4253" s="55" t="s">
        <v>277</v>
      </c>
      <c r="H4253" s="55"/>
      <c r="I4253" s="55"/>
      <c r="J4253" s="55"/>
      <c r="K4253" s="55"/>
      <c r="L4253" s="55"/>
      <c r="M4253" s="55"/>
      <c r="N4253" s="55">
        <v>0</v>
      </c>
    </row>
    <row r="4254" spans="1:14" hidden="1" x14ac:dyDescent="0.35">
      <c r="A4254" s="52" t="s">
        <v>680</v>
      </c>
      <c r="B4254" s="52" t="s">
        <v>73</v>
      </c>
      <c r="C4254" s="52" t="s">
        <v>71</v>
      </c>
      <c r="D4254" s="52" t="s">
        <v>141</v>
      </c>
      <c r="E4254" s="52" t="s">
        <v>584</v>
      </c>
      <c r="F4254" s="52" t="s">
        <v>581</v>
      </c>
      <c r="G4254" s="55" t="s">
        <v>278</v>
      </c>
      <c r="H4254" s="55"/>
      <c r="I4254" s="55"/>
      <c r="J4254" s="55">
        <v>0</v>
      </c>
      <c r="K4254" s="55">
        <v>0</v>
      </c>
      <c r="L4254" s="55">
        <v>0</v>
      </c>
      <c r="M4254" s="55">
        <v>0</v>
      </c>
      <c r="N4254" s="55">
        <v>0</v>
      </c>
    </row>
    <row r="4255" spans="1:14" hidden="1" x14ac:dyDescent="0.35">
      <c r="A4255" s="52" t="s">
        <v>680</v>
      </c>
      <c r="B4255" s="52" t="s">
        <v>73</v>
      </c>
      <c r="C4255" s="52" t="s">
        <v>71</v>
      </c>
      <c r="D4255" s="52" t="s">
        <v>137</v>
      </c>
      <c r="E4255" s="52" t="s">
        <v>584</v>
      </c>
      <c r="F4255" s="52" t="s">
        <v>581</v>
      </c>
      <c r="G4255" s="55" t="s">
        <v>275</v>
      </c>
      <c r="H4255" s="55">
        <v>-1.8128E-3</v>
      </c>
      <c r="I4255" s="55">
        <v>-4.1153630000000003</v>
      </c>
      <c r="J4255" s="55">
        <v>0</v>
      </c>
      <c r="K4255" s="55">
        <v>0</v>
      </c>
      <c r="L4255" s="55">
        <v>0</v>
      </c>
      <c r="M4255" s="55">
        <v>0</v>
      </c>
      <c r="N4255" s="55">
        <v>0</v>
      </c>
    </row>
    <row r="4256" spans="1:14" hidden="1" x14ac:dyDescent="0.35">
      <c r="A4256" s="52" t="s">
        <v>680</v>
      </c>
      <c r="B4256" s="52" t="s">
        <v>73</v>
      </c>
      <c r="C4256" s="52" t="s">
        <v>71</v>
      </c>
      <c r="D4256" s="52" t="s">
        <v>137</v>
      </c>
      <c r="E4256" s="52" t="s">
        <v>584</v>
      </c>
      <c r="F4256" s="52" t="s">
        <v>581</v>
      </c>
      <c r="G4256" s="55" t="s">
        <v>276</v>
      </c>
      <c r="H4256" s="55">
        <v>-3.6331200000000001E-2</v>
      </c>
      <c r="I4256" s="55">
        <v>-14.61647</v>
      </c>
      <c r="J4256" s="55">
        <v>-5.0053599999999997E-2</v>
      </c>
      <c r="K4256" s="55">
        <v>-2.8177600000000001E-2</v>
      </c>
      <c r="L4256" s="55">
        <v>-2.5578E-2</v>
      </c>
      <c r="M4256" s="55">
        <v>-0.1045888</v>
      </c>
      <c r="N4256" s="55">
        <v>-4.7486800000000003E-2</v>
      </c>
    </row>
    <row r="4257" spans="1:14" hidden="1" x14ac:dyDescent="0.35">
      <c r="A4257" s="52" t="s">
        <v>680</v>
      </c>
      <c r="B4257" s="52" t="s">
        <v>73</v>
      </c>
      <c r="C4257" s="52" t="s">
        <v>71</v>
      </c>
      <c r="D4257" s="52" t="s">
        <v>137</v>
      </c>
      <c r="E4257" s="52" t="s">
        <v>584</v>
      </c>
      <c r="F4257" s="52" t="s">
        <v>581</v>
      </c>
      <c r="G4257" s="55" t="s">
        <v>277</v>
      </c>
      <c r="H4257" s="55"/>
      <c r="I4257" s="55"/>
      <c r="J4257" s="55">
        <v>0</v>
      </c>
      <c r="K4257" s="55">
        <v>2.8999999999999998E-3</v>
      </c>
      <c r="L4257" s="55">
        <v>2.8999999999999998E-3</v>
      </c>
      <c r="M4257" s="55">
        <v>5.8000000000000003E-2</v>
      </c>
      <c r="N4257" s="55">
        <v>0</v>
      </c>
    </row>
    <row r="4258" spans="1:14" hidden="1" x14ac:dyDescent="0.35">
      <c r="A4258" s="52" t="s">
        <v>680</v>
      </c>
      <c r="B4258" s="52" t="s">
        <v>73</v>
      </c>
      <c r="C4258" s="52" t="s">
        <v>71</v>
      </c>
      <c r="D4258" s="52" t="s">
        <v>137</v>
      </c>
      <c r="E4258" s="52" t="s">
        <v>584</v>
      </c>
      <c r="F4258" s="52" t="s">
        <v>581</v>
      </c>
      <c r="G4258" s="55" t="s">
        <v>278</v>
      </c>
      <c r="H4258" s="55">
        <v>3.8143999999999997E-2</v>
      </c>
      <c r="I4258" s="55">
        <v>2.4917999999999999E-2</v>
      </c>
      <c r="J4258" s="55">
        <v>5.0053199999999999E-2</v>
      </c>
      <c r="K4258" s="55">
        <v>2.5277999999999998E-2</v>
      </c>
      <c r="L4258" s="55">
        <v>2.2678400000000001E-2</v>
      </c>
      <c r="M4258" s="55">
        <v>4.6589199999999997E-2</v>
      </c>
      <c r="N4258" s="55">
        <v>4.6589199999999997E-2</v>
      </c>
    </row>
    <row r="4259" spans="1:14" hidden="1" x14ac:dyDescent="0.35">
      <c r="A4259" s="52" t="s">
        <v>680</v>
      </c>
      <c r="B4259" s="52" t="s">
        <v>73</v>
      </c>
      <c r="C4259" s="52" t="s">
        <v>71</v>
      </c>
      <c r="D4259" s="52" t="s">
        <v>137</v>
      </c>
      <c r="E4259" s="52" t="s">
        <v>584</v>
      </c>
      <c r="F4259" s="52" t="s">
        <v>581</v>
      </c>
      <c r="G4259" s="55" t="s">
        <v>279</v>
      </c>
      <c r="H4259" s="55">
        <v>0</v>
      </c>
      <c r="I4259" s="55">
        <v>18.706910000000001</v>
      </c>
      <c r="J4259" s="55">
        <v>0</v>
      </c>
      <c r="K4259" s="55"/>
      <c r="L4259" s="55"/>
      <c r="M4259" s="55">
        <v>0</v>
      </c>
      <c r="N4259" s="55">
        <v>8.9760000000000003E-4</v>
      </c>
    </row>
    <row r="4260" spans="1:14" hidden="1" x14ac:dyDescent="0.35">
      <c r="A4260" s="52" t="s">
        <v>680</v>
      </c>
      <c r="B4260" s="52" t="s">
        <v>73</v>
      </c>
      <c r="C4260" s="52" t="s">
        <v>71</v>
      </c>
      <c r="D4260" s="52" t="s">
        <v>137</v>
      </c>
      <c r="E4260" s="52" t="s">
        <v>584</v>
      </c>
      <c r="F4260" s="52" t="s">
        <v>26</v>
      </c>
      <c r="G4260" s="55" t="s">
        <v>275</v>
      </c>
      <c r="H4260" s="55">
        <v>0</v>
      </c>
      <c r="I4260" s="55"/>
      <c r="J4260" s="55"/>
      <c r="K4260" s="55"/>
      <c r="L4260" s="55"/>
      <c r="M4260" s="55">
        <v>0</v>
      </c>
      <c r="N4260" s="55">
        <v>0</v>
      </c>
    </row>
    <row r="4261" spans="1:14" hidden="1" x14ac:dyDescent="0.35">
      <c r="A4261" s="52" t="s">
        <v>680</v>
      </c>
      <c r="B4261" s="52" t="s">
        <v>73</v>
      </c>
      <c r="C4261" s="52" t="s">
        <v>71</v>
      </c>
      <c r="D4261" s="52" t="s">
        <v>137</v>
      </c>
      <c r="E4261" s="52" t="s">
        <v>584</v>
      </c>
      <c r="F4261" s="52" t="s">
        <v>26</v>
      </c>
      <c r="G4261" s="55" t="s">
        <v>276</v>
      </c>
      <c r="H4261" s="55">
        <v>0</v>
      </c>
      <c r="I4261" s="55"/>
      <c r="J4261" s="55"/>
      <c r="K4261" s="55"/>
      <c r="L4261" s="55"/>
      <c r="M4261" s="55">
        <v>0</v>
      </c>
      <c r="N4261" s="55">
        <v>-7.0400000000000004E-5</v>
      </c>
    </row>
    <row r="4262" spans="1:14" hidden="1" x14ac:dyDescent="0.35">
      <c r="A4262" s="52" t="s">
        <v>680</v>
      </c>
      <c r="B4262" s="52" t="s">
        <v>73</v>
      </c>
      <c r="C4262" s="52" t="s">
        <v>71</v>
      </c>
      <c r="D4262" s="52" t="s">
        <v>137</v>
      </c>
      <c r="E4262" s="52" t="s">
        <v>584</v>
      </c>
      <c r="F4262" s="52" t="s">
        <v>26</v>
      </c>
      <c r="G4262" s="55" t="s">
        <v>277</v>
      </c>
      <c r="H4262" s="55"/>
      <c r="I4262" s="55"/>
      <c r="J4262" s="55"/>
      <c r="K4262" s="55"/>
      <c r="L4262" s="55"/>
      <c r="M4262" s="55"/>
      <c r="N4262" s="55">
        <v>0</v>
      </c>
    </row>
    <row r="4263" spans="1:14" hidden="1" x14ac:dyDescent="0.35">
      <c r="A4263" s="52" t="s">
        <v>680</v>
      </c>
      <c r="B4263" s="52" t="s">
        <v>73</v>
      </c>
      <c r="C4263" s="52" t="s">
        <v>71</v>
      </c>
      <c r="D4263" s="52" t="s">
        <v>137</v>
      </c>
      <c r="E4263" s="52" t="s">
        <v>584</v>
      </c>
      <c r="F4263" s="52" t="s">
        <v>26</v>
      </c>
      <c r="G4263" s="55" t="s">
        <v>279</v>
      </c>
      <c r="H4263" s="55"/>
      <c r="I4263" s="55"/>
      <c r="J4263" s="55"/>
      <c r="K4263" s="55"/>
      <c r="L4263" s="55"/>
      <c r="M4263" s="55">
        <v>0</v>
      </c>
      <c r="N4263" s="55">
        <v>6.9599999999999998E-5</v>
      </c>
    </row>
    <row r="4264" spans="1:14" hidden="1" x14ac:dyDescent="0.35">
      <c r="A4264" s="52" t="s">
        <v>680</v>
      </c>
      <c r="B4264" s="52" t="s">
        <v>73</v>
      </c>
      <c r="C4264" s="52" t="s">
        <v>184</v>
      </c>
      <c r="D4264" s="52" t="s">
        <v>378</v>
      </c>
      <c r="E4264" s="52" t="s">
        <v>584</v>
      </c>
      <c r="F4264" s="52" t="s">
        <v>581</v>
      </c>
      <c r="G4264" s="55" t="s">
        <v>275</v>
      </c>
      <c r="H4264" s="55">
        <v>-3.5630700000000001E-2</v>
      </c>
      <c r="I4264" s="55"/>
      <c r="J4264" s="55"/>
      <c r="K4264" s="55"/>
      <c r="L4264" s="55">
        <v>0</v>
      </c>
      <c r="M4264" s="55"/>
      <c r="N4264" s="55">
        <v>0</v>
      </c>
    </row>
    <row r="4265" spans="1:14" hidden="1" x14ac:dyDescent="0.35">
      <c r="A4265" s="52" t="s">
        <v>680</v>
      </c>
      <c r="B4265" s="52" t="s">
        <v>73</v>
      </c>
      <c r="C4265" s="52" t="s">
        <v>184</v>
      </c>
      <c r="D4265" s="52" t="s">
        <v>378</v>
      </c>
      <c r="E4265" s="52" t="s">
        <v>584</v>
      </c>
      <c r="F4265" s="52" t="s">
        <v>581</v>
      </c>
      <c r="G4265" s="55" t="s">
        <v>276</v>
      </c>
      <c r="H4265" s="55">
        <v>-0.23183870000000001</v>
      </c>
      <c r="I4265" s="55"/>
      <c r="J4265" s="55"/>
      <c r="K4265" s="55"/>
      <c r="L4265" s="55">
        <v>-4.392397E-2</v>
      </c>
      <c r="M4265" s="55"/>
      <c r="N4265" s="55">
        <v>-3.6616139999999998E-2</v>
      </c>
    </row>
    <row r="4266" spans="1:14" hidden="1" x14ac:dyDescent="0.35">
      <c r="A4266" s="52" t="s">
        <v>680</v>
      </c>
      <c r="B4266" s="52" t="s">
        <v>73</v>
      </c>
      <c r="C4266" s="52" t="s">
        <v>184</v>
      </c>
      <c r="D4266" s="52" t="s">
        <v>378</v>
      </c>
      <c r="E4266" s="52" t="s">
        <v>584</v>
      </c>
      <c r="F4266" s="52" t="s">
        <v>581</v>
      </c>
      <c r="G4266" s="55" t="s">
        <v>277</v>
      </c>
      <c r="H4266" s="55"/>
      <c r="I4266" s="55"/>
      <c r="J4266" s="55"/>
      <c r="K4266" s="55">
        <v>0</v>
      </c>
      <c r="L4266" s="55">
        <v>2.6100000000000002E-2</v>
      </c>
      <c r="M4266" s="55">
        <v>2.6100000000000002E-2</v>
      </c>
      <c r="N4266" s="55">
        <v>0</v>
      </c>
    </row>
    <row r="4267" spans="1:14" hidden="1" x14ac:dyDescent="0.35">
      <c r="A4267" s="52" t="s">
        <v>680</v>
      </c>
      <c r="B4267" s="52" t="s">
        <v>73</v>
      </c>
      <c r="C4267" s="52" t="s">
        <v>184</v>
      </c>
      <c r="D4267" s="52" t="s">
        <v>378</v>
      </c>
      <c r="E4267" s="52" t="s">
        <v>584</v>
      </c>
      <c r="F4267" s="52" t="s">
        <v>581</v>
      </c>
      <c r="G4267" s="55" t="s">
        <v>278</v>
      </c>
      <c r="H4267" s="55">
        <v>0.2674704</v>
      </c>
      <c r="I4267" s="55">
        <v>8.2708349999999999</v>
      </c>
      <c r="J4267" s="55">
        <v>2.3525999999999998E-2</v>
      </c>
      <c r="K4267" s="55">
        <v>0.29360409999999998</v>
      </c>
      <c r="L4267" s="55">
        <v>1.782396E-2</v>
      </c>
      <c r="M4267" s="55"/>
      <c r="N4267" s="55"/>
    </row>
    <row r="4268" spans="1:14" hidden="1" x14ac:dyDescent="0.35">
      <c r="A4268" s="52" t="s">
        <v>680</v>
      </c>
      <c r="B4268" s="52" t="s">
        <v>73</v>
      </c>
      <c r="C4268" s="52" t="s">
        <v>184</v>
      </c>
      <c r="D4268" s="52" t="s">
        <v>378</v>
      </c>
      <c r="E4268" s="52" t="s">
        <v>584</v>
      </c>
      <c r="F4268" s="52" t="s">
        <v>581</v>
      </c>
      <c r="G4268" s="55" t="s">
        <v>279</v>
      </c>
      <c r="H4268" s="55"/>
      <c r="I4268" s="55"/>
      <c r="J4268" s="55"/>
      <c r="K4268" s="55"/>
      <c r="L4268" s="55"/>
      <c r="M4268" s="55"/>
      <c r="N4268" s="55">
        <v>0</v>
      </c>
    </row>
    <row r="4269" spans="1:14" hidden="1" x14ac:dyDescent="0.35">
      <c r="A4269" s="52" t="s">
        <v>680</v>
      </c>
      <c r="B4269" s="52" t="s">
        <v>73</v>
      </c>
      <c r="C4269" s="52" t="s">
        <v>184</v>
      </c>
      <c r="D4269" s="52" t="s">
        <v>378</v>
      </c>
      <c r="E4269" s="52" t="s">
        <v>584</v>
      </c>
      <c r="F4269" s="52" t="s">
        <v>26</v>
      </c>
      <c r="G4269" s="55" t="s">
        <v>275</v>
      </c>
      <c r="H4269" s="55">
        <v>0</v>
      </c>
      <c r="I4269" s="55">
        <v>-3.6852610000000001</v>
      </c>
      <c r="J4269" s="55">
        <v>0</v>
      </c>
      <c r="K4269" s="55">
        <v>0</v>
      </c>
      <c r="L4269" s="55">
        <v>0</v>
      </c>
      <c r="M4269" s="55">
        <v>0</v>
      </c>
      <c r="N4269" s="55">
        <v>0</v>
      </c>
    </row>
    <row r="4270" spans="1:14" hidden="1" x14ac:dyDescent="0.35">
      <c r="A4270" s="52" t="s">
        <v>680</v>
      </c>
      <c r="B4270" s="52" t="s">
        <v>73</v>
      </c>
      <c r="C4270" s="52" t="s">
        <v>184</v>
      </c>
      <c r="D4270" s="52" t="s">
        <v>378</v>
      </c>
      <c r="E4270" s="52" t="s">
        <v>584</v>
      </c>
      <c r="F4270" s="52" t="s">
        <v>26</v>
      </c>
      <c r="G4270" s="55" t="s">
        <v>276</v>
      </c>
      <c r="H4270" s="55"/>
      <c r="I4270" s="55">
        <v>-15.722799999999999</v>
      </c>
      <c r="J4270" s="55">
        <v>-10.38475</v>
      </c>
      <c r="K4270" s="55">
        <v>-3.2293210000000001</v>
      </c>
      <c r="L4270" s="55">
        <v>-0.23109930000000001</v>
      </c>
      <c r="M4270" s="55">
        <v>-0.38867059999999998</v>
      </c>
      <c r="N4270" s="55">
        <v>-0.84977029999999998</v>
      </c>
    </row>
    <row r="4271" spans="1:14" hidden="1" x14ac:dyDescent="0.35">
      <c r="A4271" s="52" t="s">
        <v>680</v>
      </c>
      <c r="B4271" s="52" t="s">
        <v>73</v>
      </c>
      <c r="C4271" s="52" t="s">
        <v>184</v>
      </c>
      <c r="D4271" s="52" t="s">
        <v>378</v>
      </c>
      <c r="E4271" s="52" t="s">
        <v>584</v>
      </c>
      <c r="F4271" s="52" t="s">
        <v>26</v>
      </c>
      <c r="G4271" s="55" t="s">
        <v>277</v>
      </c>
      <c r="H4271" s="55"/>
      <c r="I4271" s="55"/>
      <c r="J4271" s="55"/>
      <c r="K4271" s="55">
        <v>0</v>
      </c>
      <c r="L4271" s="55">
        <v>8.9899999999999994E-2</v>
      </c>
      <c r="M4271" s="55">
        <v>9.8599999999999993E-2</v>
      </c>
      <c r="N4271" s="55">
        <v>0.55969999999999998</v>
      </c>
    </row>
    <row r="4272" spans="1:14" hidden="1" x14ac:dyDescent="0.35">
      <c r="A4272" s="52" t="s">
        <v>680</v>
      </c>
      <c r="B4272" s="52" t="s">
        <v>73</v>
      </c>
      <c r="C4272" s="52" t="s">
        <v>184</v>
      </c>
      <c r="D4272" s="52" t="s">
        <v>378</v>
      </c>
      <c r="E4272" s="52" t="s">
        <v>584</v>
      </c>
      <c r="F4272" s="52" t="s">
        <v>26</v>
      </c>
      <c r="G4272" s="55" t="s">
        <v>278</v>
      </c>
      <c r="H4272" s="55">
        <v>0</v>
      </c>
      <c r="I4272" s="55">
        <v>19.408059999999999</v>
      </c>
      <c r="J4272" s="55">
        <v>10.38475</v>
      </c>
      <c r="K4272" s="55">
        <v>3.2293210000000001</v>
      </c>
      <c r="L4272" s="55">
        <v>0.14119979999999999</v>
      </c>
      <c r="M4272" s="55">
        <v>0.29007080000000002</v>
      </c>
      <c r="N4272" s="55">
        <v>0.29007080000000002</v>
      </c>
    </row>
    <row r="4273" spans="1:14" hidden="1" x14ac:dyDescent="0.35">
      <c r="A4273" s="52" t="s">
        <v>680</v>
      </c>
      <c r="B4273" s="52" t="s">
        <v>73</v>
      </c>
      <c r="C4273" s="52" t="s">
        <v>184</v>
      </c>
      <c r="D4273" s="52" t="s">
        <v>378</v>
      </c>
      <c r="E4273" s="52" t="s">
        <v>584</v>
      </c>
      <c r="F4273" s="52" t="s">
        <v>26</v>
      </c>
      <c r="G4273" s="55" t="s">
        <v>279</v>
      </c>
      <c r="H4273" s="55"/>
      <c r="I4273" s="55"/>
      <c r="J4273" s="55"/>
      <c r="K4273" s="55"/>
      <c r="L4273" s="55"/>
      <c r="M4273" s="55"/>
      <c r="N4273" s="55">
        <v>0</v>
      </c>
    </row>
    <row r="4274" spans="1:14" hidden="1" x14ac:dyDescent="0.35">
      <c r="A4274" s="52" t="s">
        <v>680</v>
      </c>
      <c r="B4274" s="52" t="s">
        <v>73</v>
      </c>
      <c r="C4274" s="52" t="s">
        <v>184</v>
      </c>
      <c r="D4274" s="52" t="s">
        <v>379</v>
      </c>
      <c r="E4274" s="52" t="s">
        <v>584</v>
      </c>
      <c r="F4274" s="52" t="s">
        <v>581</v>
      </c>
      <c r="G4274" s="55" t="s">
        <v>275</v>
      </c>
      <c r="H4274" s="55">
        <v>-1.779469</v>
      </c>
      <c r="I4274" s="55">
        <v>0.402225</v>
      </c>
      <c r="J4274" s="55">
        <v>0.402225</v>
      </c>
      <c r="K4274" s="55">
        <v>0.40222530000000001</v>
      </c>
      <c r="L4274" s="55">
        <v>0</v>
      </c>
      <c r="M4274" s="55">
        <v>0</v>
      </c>
      <c r="N4274" s="55">
        <v>0</v>
      </c>
    </row>
    <row r="4275" spans="1:14" hidden="1" x14ac:dyDescent="0.35">
      <c r="A4275" s="52" t="s">
        <v>680</v>
      </c>
      <c r="B4275" s="52" t="s">
        <v>73</v>
      </c>
      <c r="C4275" s="52" t="s">
        <v>184</v>
      </c>
      <c r="D4275" s="52" t="s">
        <v>379</v>
      </c>
      <c r="E4275" s="52" t="s">
        <v>584</v>
      </c>
      <c r="F4275" s="52" t="s">
        <v>581</v>
      </c>
      <c r="G4275" s="55" t="s">
        <v>276</v>
      </c>
      <c r="H4275" s="55">
        <v>-8.1373239999999996</v>
      </c>
      <c r="I4275" s="55">
        <v>-0.402225</v>
      </c>
      <c r="J4275" s="55">
        <v>0</v>
      </c>
      <c r="K4275" s="55">
        <v>0</v>
      </c>
      <c r="L4275" s="55">
        <v>0</v>
      </c>
      <c r="M4275" s="55">
        <v>0</v>
      </c>
      <c r="N4275" s="55">
        <v>0</v>
      </c>
    </row>
    <row r="4276" spans="1:14" hidden="1" x14ac:dyDescent="0.35">
      <c r="A4276" s="52" t="s">
        <v>680</v>
      </c>
      <c r="B4276" s="52" t="s">
        <v>73</v>
      </c>
      <c r="C4276" s="52" t="s">
        <v>184</v>
      </c>
      <c r="D4276" s="52" t="s">
        <v>379</v>
      </c>
      <c r="E4276" s="52" t="s">
        <v>584</v>
      </c>
      <c r="F4276" s="52" t="s">
        <v>581</v>
      </c>
      <c r="G4276" s="55" t="s">
        <v>277</v>
      </c>
      <c r="H4276" s="55"/>
      <c r="I4276" s="55"/>
      <c r="J4276" s="55"/>
      <c r="K4276" s="55">
        <v>0</v>
      </c>
      <c r="L4276" s="55">
        <v>0</v>
      </c>
      <c r="M4276" s="55">
        <v>0</v>
      </c>
      <c r="N4276" s="55">
        <v>0</v>
      </c>
    </row>
    <row r="4277" spans="1:14" hidden="1" x14ac:dyDescent="0.35">
      <c r="A4277" s="52" t="s">
        <v>680</v>
      </c>
      <c r="B4277" s="52" t="s">
        <v>73</v>
      </c>
      <c r="C4277" s="52" t="s">
        <v>184</v>
      </c>
      <c r="D4277" s="52" t="s">
        <v>379</v>
      </c>
      <c r="E4277" s="52" t="s">
        <v>584</v>
      </c>
      <c r="F4277" s="52" t="s">
        <v>581</v>
      </c>
      <c r="G4277" s="55" t="s">
        <v>278</v>
      </c>
      <c r="H4277" s="55">
        <v>9.9167939999999994</v>
      </c>
      <c r="I4277" s="55">
        <v>0</v>
      </c>
      <c r="J4277" s="55"/>
      <c r="K4277" s="55"/>
      <c r="L4277" s="55"/>
      <c r="M4277" s="55"/>
      <c r="N4277" s="55"/>
    </row>
    <row r="4278" spans="1:14" hidden="1" x14ac:dyDescent="0.35">
      <c r="A4278" s="52" t="s">
        <v>680</v>
      </c>
      <c r="B4278" s="52" t="s">
        <v>73</v>
      </c>
      <c r="C4278" s="52" t="s">
        <v>184</v>
      </c>
      <c r="D4278" s="52" t="s">
        <v>184</v>
      </c>
      <c r="E4278" s="52" t="s">
        <v>584</v>
      </c>
      <c r="F4278" s="52" t="s">
        <v>581</v>
      </c>
      <c r="G4278" s="55" t="s">
        <v>275</v>
      </c>
      <c r="H4278" s="55">
        <v>-2.1412400000000002E-2</v>
      </c>
      <c r="I4278" s="55"/>
      <c r="J4278" s="55"/>
      <c r="K4278" s="55"/>
      <c r="L4278" s="55">
        <v>0</v>
      </c>
      <c r="M4278" s="55"/>
      <c r="N4278" s="55">
        <v>0</v>
      </c>
    </row>
    <row r="4279" spans="1:14" hidden="1" x14ac:dyDescent="0.35">
      <c r="A4279" s="52" t="s">
        <v>680</v>
      </c>
      <c r="B4279" s="52" t="s">
        <v>73</v>
      </c>
      <c r="C4279" s="52" t="s">
        <v>184</v>
      </c>
      <c r="D4279" s="52" t="s">
        <v>184</v>
      </c>
      <c r="E4279" s="52" t="s">
        <v>584</v>
      </c>
      <c r="F4279" s="52" t="s">
        <v>581</v>
      </c>
      <c r="G4279" s="55" t="s">
        <v>276</v>
      </c>
      <c r="H4279" s="55">
        <v>-9.7917199999999996E-2</v>
      </c>
      <c r="I4279" s="55"/>
      <c r="J4279" s="55"/>
      <c r="K4279" s="55"/>
      <c r="L4279" s="55">
        <v>0</v>
      </c>
      <c r="M4279" s="55"/>
      <c r="N4279" s="55">
        <v>0</v>
      </c>
    </row>
    <row r="4280" spans="1:14" hidden="1" x14ac:dyDescent="0.35">
      <c r="A4280" s="52" t="s">
        <v>680</v>
      </c>
      <c r="B4280" s="52" t="s">
        <v>73</v>
      </c>
      <c r="C4280" s="52" t="s">
        <v>184</v>
      </c>
      <c r="D4280" s="52" t="s">
        <v>184</v>
      </c>
      <c r="E4280" s="52" t="s">
        <v>584</v>
      </c>
      <c r="F4280" s="52" t="s">
        <v>581</v>
      </c>
      <c r="G4280" s="55" t="s">
        <v>277</v>
      </c>
      <c r="H4280" s="55"/>
      <c r="I4280" s="55"/>
      <c r="J4280" s="55"/>
      <c r="K4280" s="55"/>
      <c r="L4280" s="55">
        <v>0</v>
      </c>
      <c r="M4280" s="55">
        <v>0</v>
      </c>
      <c r="N4280" s="55"/>
    </row>
    <row r="4281" spans="1:14" hidden="1" x14ac:dyDescent="0.35">
      <c r="A4281" s="52" t="s">
        <v>680</v>
      </c>
      <c r="B4281" s="52" t="s">
        <v>73</v>
      </c>
      <c r="C4281" s="52" t="s">
        <v>184</v>
      </c>
      <c r="D4281" s="52" t="s">
        <v>184</v>
      </c>
      <c r="E4281" s="52" t="s">
        <v>584</v>
      </c>
      <c r="F4281" s="52" t="s">
        <v>581</v>
      </c>
      <c r="G4281" s="55" t="s">
        <v>278</v>
      </c>
      <c r="H4281" s="55">
        <v>0.11932959999999999</v>
      </c>
      <c r="I4281" s="55"/>
      <c r="J4281" s="55"/>
      <c r="K4281" s="55">
        <v>0</v>
      </c>
      <c r="L4281" s="55"/>
      <c r="M4281" s="55">
        <v>0</v>
      </c>
      <c r="N4281" s="55"/>
    </row>
    <row r="4282" spans="1:14" hidden="1" x14ac:dyDescent="0.35">
      <c r="A4282" s="52" t="s">
        <v>680</v>
      </c>
      <c r="B4282" s="52" t="s">
        <v>73</v>
      </c>
      <c r="C4282" s="52" t="s">
        <v>184</v>
      </c>
      <c r="D4282" s="52" t="s">
        <v>184</v>
      </c>
      <c r="E4282" s="52" t="s">
        <v>584</v>
      </c>
      <c r="F4282" s="52" t="s">
        <v>581</v>
      </c>
      <c r="G4282" s="55" t="s">
        <v>279</v>
      </c>
      <c r="H4282" s="55"/>
      <c r="I4282" s="55"/>
      <c r="J4282" s="55"/>
      <c r="K4282" s="55"/>
      <c r="L4282" s="55"/>
      <c r="M4282" s="55"/>
      <c r="N4282" s="55">
        <v>0</v>
      </c>
    </row>
    <row r="4283" spans="1:14" hidden="1" x14ac:dyDescent="0.35">
      <c r="A4283" s="52" t="s">
        <v>680</v>
      </c>
      <c r="B4283" s="52" t="s">
        <v>73</v>
      </c>
      <c r="C4283" s="52" t="s">
        <v>184</v>
      </c>
      <c r="D4283" s="52" t="s">
        <v>184</v>
      </c>
      <c r="E4283" s="52" t="s">
        <v>584</v>
      </c>
      <c r="F4283" s="52" t="s">
        <v>26</v>
      </c>
      <c r="G4283" s="55" t="s">
        <v>275</v>
      </c>
      <c r="H4283" s="55">
        <v>0</v>
      </c>
      <c r="I4283" s="55">
        <v>-1.0039599999999999E-2</v>
      </c>
      <c r="J4283" s="55">
        <v>0</v>
      </c>
      <c r="K4283" s="55">
        <v>0</v>
      </c>
      <c r="L4283" s="55">
        <v>0</v>
      </c>
      <c r="M4283" s="55">
        <v>0</v>
      </c>
      <c r="N4283" s="55">
        <v>0</v>
      </c>
    </row>
    <row r="4284" spans="1:14" hidden="1" x14ac:dyDescent="0.35">
      <c r="A4284" s="52" t="s">
        <v>680</v>
      </c>
      <c r="B4284" s="52" t="s">
        <v>73</v>
      </c>
      <c r="C4284" s="52" t="s">
        <v>184</v>
      </c>
      <c r="D4284" s="52" t="s">
        <v>184</v>
      </c>
      <c r="E4284" s="52" t="s">
        <v>584</v>
      </c>
      <c r="F4284" s="52" t="s">
        <v>26</v>
      </c>
      <c r="G4284" s="55" t="s">
        <v>276</v>
      </c>
      <c r="H4284" s="55"/>
      <c r="I4284" s="55">
        <v>-6.7913200000000007E-2</v>
      </c>
      <c r="J4284" s="55">
        <v>-9.3642799999999998E-2</v>
      </c>
      <c r="K4284" s="55">
        <v>-7.9079999999999998E-2</v>
      </c>
      <c r="L4284" s="55">
        <v>-3.0414430000000001</v>
      </c>
      <c r="M4284" s="55">
        <v>-0.15734880000000001</v>
      </c>
      <c r="N4284" s="55">
        <v>-0.2733488</v>
      </c>
    </row>
    <row r="4285" spans="1:14" hidden="1" x14ac:dyDescent="0.35">
      <c r="A4285" s="52" t="s">
        <v>680</v>
      </c>
      <c r="B4285" s="52" t="s">
        <v>73</v>
      </c>
      <c r="C4285" s="52" t="s">
        <v>184</v>
      </c>
      <c r="D4285" s="52" t="s">
        <v>184</v>
      </c>
      <c r="E4285" s="52" t="s">
        <v>584</v>
      </c>
      <c r="F4285" s="52" t="s">
        <v>26</v>
      </c>
      <c r="G4285" s="55" t="s">
        <v>277</v>
      </c>
      <c r="H4285" s="55"/>
      <c r="I4285" s="55"/>
      <c r="J4285" s="55"/>
      <c r="K4285" s="55"/>
      <c r="L4285" s="55">
        <v>0</v>
      </c>
      <c r="M4285" s="55">
        <v>1.1599999999999999E-2</v>
      </c>
      <c r="N4285" s="55">
        <v>0.12759999999999999</v>
      </c>
    </row>
    <row r="4286" spans="1:14" hidden="1" x14ac:dyDescent="0.35">
      <c r="A4286" s="52" t="s">
        <v>680</v>
      </c>
      <c r="B4286" s="52" t="s">
        <v>73</v>
      </c>
      <c r="C4286" s="52" t="s">
        <v>184</v>
      </c>
      <c r="D4286" s="52" t="s">
        <v>184</v>
      </c>
      <c r="E4286" s="52" t="s">
        <v>584</v>
      </c>
      <c r="F4286" s="52" t="s">
        <v>26</v>
      </c>
      <c r="G4286" s="55" t="s">
        <v>278</v>
      </c>
      <c r="H4286" s="55"/>
      <c r="I4286" s="55">
        <v>7.79532E-2</v>
      </c>
      <c r="J4286" s="55">
        <v>9.3643199999999996E-2</v>
      </c>
      <c r="K4286" s="55">
        <v>7.9079999999999998E-2</v>
      </c>
      <c r="L4286" s="55">
        <v>3.0414430000000001</v>
      </c>
      <c r="M4286" s="55">
        <v>0.14574880000000001</v>
      </c>
      <c r="N4286" s="55">
        <v>0.14574880000000001</v>
      </c>
    </row>
    <row r="4287" spans="1:14" hidden="1" x14ac:dyDescent="0.35">
      <c r="A4287" s="52" t="s">
        <v>680</v>
      </c>
      <c r="B4287" s="52" t="s">
        <v>73</v>
      </c>
      <c r="C4287" s="52" t="s">
        <v>184</v>
      </c>
      <c r="D4287" s="52" t="s">
        <v>184</v>
      </c>
      <c r="E4287" s="52" t="s">
        <v>584</v>
      </c>
      <c r="F4287" s="52" t="s">
        <v>26</v>
      </c>
      <c r="G4287" s="55" t="s">
        <v>279</v>
      </c>
      <c r="H4287" s="55"/>
      <c r="I4287" s="55"/>
      <c r="J4287" s="55"/>
      <c r="K4287" s="55"/>
      <c r="L4287" s="55"/>
      <c r="M4287" s="55"/>
      <c r="N4287" s="55">
        <v>0</v>
      </c>
    </row>
    <row r="4288" spans="1:14" hidden="1" x14ac:dyDescent="0.35">
      <c r="A4288" s="52" t="s">
        <v>680</v>
      </c>
      <c r="B4288" s="52" t="s">
        <v>73</v>
      </c>
      <c r="C4288" s="52" t="s">
        <v>184</v>
      </c>
      <c r="D4288" s="52" t="s">
        <v>185</v>
      </c>
      <c r="E4288" s="52" t="s">
        <v>584</v>
      </c>
      <c r="F4288" s="52" t="s">
        <v>581</v>
      </c>
      <c r="G4288" s="55" t="s">
        <v>275</v>
      </c>
      <c r="H4288" s="55">
        <v>1.525657</v>
      </c>
      <c r="I4288" s="55">
        <v>1.5433399999999999</v>
      </c>
      <c r="J4288" s="55">
        <v>1.392817</v>
      </c>
      <c r="K4288" s="55">
        <v>1.8508400000000001E-2</v>
      </c>
      <c r="L4288" s="55">
        <v>1.5973999999999999E-2</v>
      </c>
      <c r="M4288" s="55">
        <v>5.9504010000000001E-3</v>
      </c>
      <c r="N4288" s="55">
        <v>-3.13504E-2</v>
      </c>
    </row>
    <row r="4289" spans="1:14" hidden="1" x14ac:dyDescent="0.35">
      <c r="A4289" s="52" t="s">
        <v>680</v>
      </c>
      <c r="B4289" s="52" t="s">
        <v>73</v>
      </c>
      <c r="C4289" s="52" t="s">
        <v>184</v>
      </c>
      <c r="D4289" s="52" t="s">
        <v>185</v>
      </c>
      <c r="E4289" s="52" t="s">
        <v>584</v>
      </c>
      <c r="F4289" s="52" t="s">
        <v>581</v>
      </c>
      <c r="G4289" s="55" t="s">
        <v>276</v>
      </c>
      <c r="H4289" s="55">
        <v>-1.7072400000000001</v>
      </c>
      <c r="I4289" s="55">
        <v>-1.599159</v>
      </c>
      <c r="J4289" s="55">
        <v>-2.2247490000000001</v>
      </c>
      <c r="K4289" s="55">
        <v>-7.5133599999999995E-2</v>
      </c>
      <c r="L4289" s="55">
        <v>-6.8950789999999998E-2</v>
      </c>
      <c r="M4289" s="55">
        <v>-0.1124892</v>
      </c>
      <c r="N4289" s="55">
        <v>-9.4762799999999994E-2</v>
      </c>
    </row>
    <row r="4290" spans="1:14" hidden="1" x14ac:dyDescent="0.35">
      <c r="A4290" s="52" t="s">
        <v>680</v>
      </c>
      <c r="B4290" s="52" t="s">
        <v>73</v>
      </c>
      <c r="C4290" s="52" t="s">
        <v>184</v>
      </c>
      <c r="D4290" s="52" t="s">
        <v>185</v>
      </c>
      <c r="E4290" s="52" t="s">
        <v>584</v>
      </c>
      <c r="F4290" s="52" t="s">
        <v>581</v>
      </c>
      <c r="G4290" s="55" t="s">
        <v>277</v>
      </c>
      <c r="H4290" s="55"/>
      <c r="I4290" s="55"/>
      <c r="J4290" s="55"/>
      <c r="K4290" s="55">
        <v>0</v>
      </c>
      <c r="L4290" s="55">
        <v>2.1748000000000002E-3</v>
      </c>
      <c r="M4290" s="55">
        <v>2.1752E-3</v>
      </c>
      <c r="N4290" s="55">
        <v>2.1749999999999999E-2</v>
      </c>
    </row>
    <row r="4291" spans="1:14" hidden="1" x14ac:dyDescent="0.35">
      <c r="A4291" s="52" t="s">
        <v>680</v>
      </c>
      <c r="B4291" s="52" t="s">
        <v>73</v>
      </c>
      <c r="C4291" s="52" t="s">
        <v>184</v>
      </c>
      <c r="D4291" s="52" t="s">
        <v>185</v>
      </c>
      <c r="E4291" s="52" t="s">
        <v>584</v>
      </c>
      <c r="F4291" s="52" t="s">
        <v>581</v>
      </c>
      <c r="G4291" s="55" t="s">
        <v>278</v>
      </c>
      <c r="H4291" s="55">
        <v>0.1815824</v>
      </c>
      <c r="I4291" s="55">
        <v>5.5818399999999997E-2</v>
      </c>
      <c r="J4291" s="55">
        <v>0.831932</v>
      </c>
      <c r="K4291" s="55">
        <v>5.6625200000000001E-2</v>
      </c>
      <c r="L4291" s="55">
        <v>5.0801600000000002E-2</v>
      </c>
      <c r="M4291" s="55">
        <v>0.1043636</v>
      </c>
      <c r="N4291" s="55">
        <v>0.1043636</v>
      </c>
    </row>
    <row r="4292" spans="1:14" hidden="1" x14ac:dyDescent="0.35">
      <c r="A4292" s="52" t="s">
        <v>680</v>
      </c>
      <c r="B4292" s="52" t="s">
        <v>73</v>
      </c>
      <c r="C4292" s="52" t="s">
        <v>184</v>
      </c>
      <c r="D4292" s="52" t="s">
        <v>185</v>
      </c>
      <c r="E4292" s="52" t="s">
        <v>584</v>
      </c>
      <c r="F4292" s="52" t="s">
        <v>581</v>
      </c>
      <c r="G4292" s="55" t="s">
        <v>279</v>
      </c>
      <c r="H4292" s="55"/>
      <c r="I4292" s="55"/>
      <c r="J4292" s="55"/>
      <c r="K4292" s="55"/>
      <c r="L4292" s="55"/>
      <c r="M4292" s="55"/>
      <c r="N4292" s="55">
        <v>0</v>
      </c>
    </row>
    <row r="4293" spans="1:14" hidden="1" x14ac:dyDescent="0.35">
      <c r="A4293" s="52" t="s">
        <v>680</v>
      </c>
      <c r="B4293" s="52" t="s">
        <v>73</v>
      </c>
      <c r="C4293" s="52" t="s">
        <v>184</v>
      </c>
      <c r="D4293" s="52" t="s">
        <v>185</v>
      </c>
      <c r="E4293" s="52" t="s">
        <v>584</v>
      </c>
      <c r="F4293" s="52" t="s">
        <v>26</v>
      </c>
      <c r="G4293" s="55" t="s">
        <v>275</v>
      </c>
      <c r="H4293" s="55">
        <v>0</v>
      </c>
      <c r="I4293" s="55">
        <v>-4.1060009999999997E-3</v>
      </c>
      <c r="J4293" s="55">
        <v>0</v>
      </c>
      <c r="K4293" s="55">
        <v>0</v>
      </c>
      <c r="L4293" s="55">
        <v>0</v>
      </c>
      <c r="M4293" s="55">
        <v>0</v>
      </c>
      <c r="N4293" s="55">
        <v>0</v>
      </c>
    </row>
    <row r="4294" spans="1:14" hidden="1" x14ac:dyDescent="0.35">
      <c r="A4294" s="52" t="s">
        <v>680</v>
      </c>
      <c r="B4294" s="52" t="s">
        <v>73</v>
      </c>
      <c r="C4294" s="52" t="s">
        <v>184</v>
      </c>
      <c r="D4294" s="52" t="s">
        <v>185</v>
      </c>
      <c r="E4294" s="52" t="s">
        <v>584</v>
      </c>
      <c r="F4294" s="52" t="s">
        <v>26</v>
      </c>
      <c r="G4294" s="55" t="s">
        <v>276</v>
      </c>
      <c r="H4294" s="55"/>
      <c r="I4294" s="55">
        <v>-5.8695600000000001E-2</v>
      </c>
      <c r="J4294" s="55">
        <v>-7.5442400000000007E-2</v>
      </c>
      <c r="K4294" s="55">
        <v>-3.3079969999999999</v>
      </c>
      <c r="L4294" s="55">
        <v>-5.7157180000000002E-2</v>
      </c>
      <c r="M4294" s="55">
        <v>-0.12902079999999999</v>
      </c>
      <c r="N4294" s="55">
        <v>-0.12902040000000001</v>
      </c>
    </row>
    <row r="4295" spans="1:14" hidden="1" x14ac:dyDescent="0.35">
      <c r="A4295" s="52" t="s">
        <v>680</v>
      </c>
      <c r="B4295" s="52" t="s">
        <v>73</v>
      </c>
      <c r="C4295" s="52" t="s">
        <v>184</v>
      </c>
      <c r="D4295" s="52" t="s">
        <v>185</v>
      </c>
      <c r="E4295" s="52" t="s">
        <v>584</v>
      </c>
      <c r="F4295" s="52" t="s">
        <v>26</v>
      </c>
      <c r="G4295" s="55" t="s">
        <v>277</v>
      </c>
      <c r="H4295" s="55"/>
      <c r="I4295" s="55"/>
      <c r="J4295" s="55"/>
      <c r="K4295" s="55"/>
      <c r="L4295" s="55">
        <v>0</v>
      </c>
      <c r="M4295" s="55">
        <v>1.1599999999999999E-2</v>
      </c>
      <c r="N4295" s="55">
        <v>1.1599999999999999E-2</v>
      </c>
    </row>
    <row r="4296" spans="1:14" hidden="1" x14ac:dyDescent="0.35">
      <c r="A4296" s="52" t="s">
        <v>680</v>
      </c>
      <c r="B4296" s="52" t="s">
        <v>73</v>
      </c>
      <c r="C4296" s="52" t="s">
        <v>184</v>
      </c>
      <c r="D4296" s="52" t="s">
        <v>185</v>
      </c>
      <c r="E4296" s="52" t="s">
        <v>584</v>
      </c>
      <c r="F4296" s="52" t="s">
        <v>26</v>
      </c>
      <c r="G4296" s="55" t="s">
        <v>278</v>
      </c>
      <c r="H4296" s="55"/>
      <c r="I4296" s="55">
        <v>6.2801999999999997E-2</v>
      </c>
      <c r="J4296" s="55">
        <v>7.5442400000000007E-2</v>
      </c>
      <c r="K4296" s="55">
        <v>3.3079969999999999</v>
      </c>
      <c r="L4296" s="55">
        <v>5.7157600000000003E-2</v>
      </c>
      <c r="M4296" s="55">
        <v>0.11742039999999999</v>
      </c>
      <c r="N4296" s="55">
        <v>0.11742039999999999</v>
      </c>
    </row>
    <row r="4297" spans="1:14" hidden="1" x14ac:dyDescent="0.35">
      <c r="A4297" s="52" t="s">
        <v>680</v>
      </c>
      <c r="B4297" s="52" t="s">
        <v>73</v>
      </c>
      <c r="C4297" s="52" t="s">
        <v>184</v>
      </c>
      <c r="D4297" s="52" t="s">
        <v>185</v>
      </c>
      <c r="E4297" s="52" t="s">
        <v>584</v>
      </c>
      <c r="F4297" s="52" t="s">
        <v>26</v>
      </c>
      <c r="G4297" s="55" t="s">
        <v>279</v>
      </c>
      <c r="H4297" s="55"/>
      <c r="I4297" s="55"/>
      <c r="J4297" s="55"/>
      <c r="K4297" s="55"/>
      <c r="L4297" s="55"/>
      <c r="M4297" s="55"/>
      <c r="N4297" s="55">
        <v>0</v>
      </c>
    </row>
    <row r="4298" spans="1:14" hidden="1" x14ac:dyDescent="0.35">
      <c r="A4298" s="52" t="s">
        <v>680</v>
      </c>
      <c r="B4298" s="52" t="s">
        <v>73</v>
      </c>
      <c r="C4298" s="52" t="s">
        <v>80</v>
      </c>
      <c r="D4298" s="52" t="s">
        <v>390</v>
      </c>
      <c r="E4298" s="52" t="s">
        <v>584</v>
      </c>
      <c r="F4298" s="52" t="s">
        <v>581</v>
      </c>
      <c r="G4298" s="55" t="s">
        <v>275</v>
      </c>
      <c r="H4298" s="55">
        <v>-1.2137999999999999E-3</v>
      </c>
      <c r="I4298" s="55">
        <v>-1.6568590000000001</v>
      </c>
      <c r="J4298" s="55">
        <v>0</v>
      </c>
      <c r="K4298" s="55">
        <v>0</v>
      </c>
      <c r="L4298" s="55">
        <v>0</v>
      </c>
      <c r="M4298" s="55">
        <v>0</v>
      </c>
      <c r="N4298" s="55">
        <v>0</v>
      </c>
    </row>
    <row r="4299" spans="1:14" hidden="1" x14ac:dyDescent="0.35">
      <c r="A4299" s="52" t="s">
        <v>680</v>
      </c>
      <c r="B4299" s="52" t="s">
        <v>73</v>
      </c>
      <c r="C4299" s="52" t="s">
        <v>80</v>
      </c>
      <c r="D4299" s="52" t="s">
        <v>390</v>
      </c>
      <c r="E4299" s="52" t="s">
        <v>584</v>
      </c>
      <c r="F4299" s="52" t="s">
        <v>581</v>
      </c>
      <c r="G4299" s="55" t="s">
        <v>276</v>
      </c>
      <c r="H4299" s="55">
        <v>-1.2102E-2</v>
      </c>
      <c r="I4299" s="55">
        <v>-7.0322339999999999</v>
      </c>
      <c r="J4299" s="55">
        <v>-1.0449699999999999E-2</v>
      </c>
      <c r="K4299" s="55">
        <v>-8.8243829999999999E-3</v>
      </c>
      <c r="L4299" s="55">
        <v>-7.9170089999999992E-3</v>
      </c>
      <c r="M4299" s="55">
        <v>-1.6264000000000001E-2</v>
      </c>
      <c r="N4299" s="55">
        <v>-1.6264000000000001E-2</v>
      </c>
    </row>
    <row r="4300" spans="1:14" hidden="1" x14ac:dyDescent="0.35">
      <c r="A4300" s="52" t="s">
        <v>680</v>
      </c>
      <c r="B4300" s="52" t="s">
        <v>73</v>
      </c>
      <c r="C4300" s="52" t="s">
        <v>80</v>
      </c>
      <c r="D4300" s="52" t="s">
        <v>390</v>
      </c>
      <c r="E4300" s="52" t="s">
        <v>584</v>
      </c>
      <c r="F4300" s="52" t="s">
        <v>581</v>
      </c>
      <c r="G4300" s="55" t="s">
        <v>278</v>
      </c>
      <c r="H4300" s="55">
        <v>1.33159E-2</v>
      </c>
      <c r="I4300" s="55">
        <v>8.6890940000000008</v>
      </c>
      <c r="J4300" s="55">
        <v>1.04496E-2</v>
      </c>
      <c r="K4300" s="55">
        <v>8.8244989999999995E-3</v>
      </c>
      <c r="L4300" s="55">
        <v>7.9168999999999993E-3</v>
      </c>
      <c r="M4300" s="55">
        <v>1.6264000000000001E-2</v>
      </c>
      <c r="N4300" s="55">
        <v>1.6264000000000001E-2</v>
      </c>
    </row>
    <row r="4301" spans="1:14" hidden="1" x14ac:dyDescent="0.35">
      <c r="A4301" s="52" t="s">
        <v>680</v>
      </c>
      <c r="B4301" s="52" t="s">
        <v>73</v>
      </c>
      <c r="C4301" s="52" t="s">
        <v>80</v>
      </c>
      <c r="D4301" s="52" t="s">
        <v>390</v>
      </c>
      <c r="E4301" s="52" t="s">
        <v>584</v>
      </c>
      <c r="F4301" s="52" t="s">
        <v>26</v>
      </c>
      <c r="G4301" s="55" t="s">
        <v>275</v>
      </c>
      <c r="H4301" s="55">
        <v>0.38446900000000001</v>
      </c>
      <c r="I4301" s="55">
        <v>0.3858047</v>
      </c>
      <c r="J4301" s="55">
        <v>0.38599519999999998</v>
      </c>
      <c r="K4301" s="55">
        <v>-1.8228999999999999E-4</v>
      </c>
      <c r="L4301" s="55">
        <v>-6.0116990000000001E-4</v>
      </c>
      <c r="M4301" s="55">
        <v>-5.3160000000000002E-4</v>
      </c>
      <c r="N4301" s="55">
        <v>-1.31448E-2</v>
      </c>
    </row>
    <row r="4302" spans="1:14" hidden="1" x14ac:dyDescent="0.35">
      <c r="A4302" s="52" t="s">
        <v>680</v>
      </c>
      <c r="B4302" s="52" t="s">
        <v>73</v>
      </c>
      <c r="C4302" s="52" t="s">
        <v>80</v>
      </c>
      <c r="D4302" s="52" t="s">
        <v>390</v>
      </c>
      <c r="E4302" s="52" t="s">
        <v>584</v>
      </c>
      <c r="F4302" s="52" t="s">
        <v>26</v>
      </c>
      <c r="G4302" s="55" t="s">
        <v>276</v>
      </c>
      <c r="H4302" s="55">
        <v>-0.398484</v>
      </c>
      <c r="I4302" s="55">
        <v>-0.39496009999999998</v>
      </c>
      <c r="J4302" s="55">
        <v>-0.1203038</v>
      </c>
      <c r="K4302" s="55">
        <v>-4.555201E-3</v>
      </c>
      <c r="L4302" s="55">
        <v>-4.5342300000000002E-3</v>
      </c>
      <c r="M4302" s="55">
        <v>-4.6037710000000004E-3</v>
      </c>
      <c r="N4302" s="55">
        <v>-6.9905699999999998E-3</v>
      </c>
    </row>
    <row r="4303" spans="1:14" hidden="1" x14ac:dyDescent="0.35">
      <c r="A4303" s="52" t="s">
        <v>680</v>
      </c>
      <c r="B4303" s="52" t="s">
        <v>73</v>
      </c>
      <c r="C4303" s="52" t="s">
        <v>80</v>
      </c>
      <c r="D4303" s="52" t="s">
        <v>390</v>
      </c>
      <c r="E4303" s="52" t="s">
        <v>584</v>
      </c>
      <c r="F4303" s="52" t="s">
        <v>26</v>
      </c>
      <c r="G4303" s="55" t="s">
        <v>277</v>
      </c>
      <c r="H4303" s="55"/>
      <c r="I4303" s="55"/>
      <c r="J4303" s="55"/>
      <c r="K4303" s="55"/>
      <c r="L4303" s="55"/>
      <c r="M4303" s="55">
        <v>0</v>
      </c>
      <c r="N4303" s="55">
        <v>1.4999999999999999E-2</v>
      </c>
    </row>
    <row r="4304" spans="1:14" hidden="1" x14ac:dyDescent="0.35">
      <c r="A4304" s="52" t="s">
        <v>680</v>
      </c>
      <c r="B4304" s="52" t="s">
        <v>73</v>
      </c>
      <c r="C4304" s="52" t="s">
        <v>80</v>
      </c>
      <c r="D4304" s="52" t="s">
        <v>390</v>
      </c>
      <c r="E4304" s="52" t="s">
        <v>584</v>
      </c>
      <c r="F4304" s="52" t="s">
        <v>26</v>
      </c>
      <c r="G4304" s="55" t="s">
        <v>278</v>
      </c>
      <c r="H4304" s="55">
        <v>1.4015E-2</v>
      </c>
      <c r="I4304" s="55">
        <v>9.1555000000000004E-3</v>
      </c>
      <c r="J4304" s="55">
        <v>5.1353700000000002E-3</v>
      </c>
      <c r="K4304" s="55">
        <v>5.1353700000000002E-3</v>
      </c>
      <c r="L4304" s="55">
        <v>5.1353700000000002E-3</v>
      </c>
      <c r="M4304" s="55">
        <v>5.1353700000000002E-3</v>
      </c>
      <c r="N4304" s="55">
        <v>5.1353700000000002E-3</v>
      </c>
    </row>
    <row r="4305" spans="1:14" hidden="1" x14ac:dyDescent="0.35">
      <c r="A4305" s="52" t="s">
        <v>680</v>
      </c>
      <c r="B4305" s="52" t="s">
        <v>73</v>
      </c>
      <c r="C4305" s="52" t="s">
        <v>80</v>
      </c>
      <c r="D4305" s="52" t="s">
        <v>81</v>
      </c>
      <c r="E4305" s="52" t="s">
        <v>584</v>
      </c>
      <c r="F4305" s="52" t="s">
        <v>581</v>
      </c>
      <c r="G4305" s="55" t="s">
        <v>275</v>
      </c>
      <c r="H4305" s="55">
        <v>-9.6582000000000005E-3</v>
      </c>
      <c r="I4305" s="55"/>
      <c r="J4305" s="55"/>
      <c r="K4305" s="55"/>
      <c r="L4305" s="55">
        <v>0</v>
      </c>
      <c r="M4305" s="55"/>
      <c r="N4305" s="55">
        <v>0</v>
      </c>
    </row>
    <row r="4306" spans="1:14" hidden="1" x14ac:dyDescent="0.35">
      <c r="A4306" s="52" t="s">
        <v>680</v>
      </c>
      <c r="B4306" s="52" t="s">
        <v>73</v>
      </c>
      <c r="C4306" s="52" t="s">
        <v>80</v>
      </c>
      <c r="D4306" s="52" t="s">
        <v>81</v>
      </c>
      <c r="E4306" s="52" t="s">
        <v>584</v>
      </c>
      <c r="F4306" s="52" t="s">
        <v>581</v>
      </c>
      <c r="G4306" s="55" t="s">
        <v>276</v>
      </c>
      <c r="H4306" s="55">
        <v>-6.03198E-2</v>
      </c>
      <c r="I4306" s="55"/>
      <c r="J4306" s="55"/>
      <c r="K4306" s="55"/>
      <c r="L4306" s="55"/>
      <c r="M4306" s="55"/>
      <c r="N4306" s="55">
        <v>0</v>
      </c>
    </row>
    <row r="4307" spans="1:14" hidden="1" x14ac:dyDescent="0.35">
      <c r="A4307" s="52" t="s">
        <v>680</v>
      </c>
      <c r="B4307" s="52" t="s">
        <v>73</v>
      </c>
      <c r="C4307" s="52" t="s">
        <v>80</v>
      </c>
      <c r="D4307" s="52" t="s">
        <v>81</v>
      </c>
      <c r="E4307" s="52" t="s">
        <v>584</v>
      </c>
      <c r="F4307" s="52" t="s">
        <v>581</v>
      </c>
      <c r="G4307" s="55" t="s">
        <v>277</v>
      </c>
      <c r="H4307" s="55"/>
      <c r="I4307" s="55"/>
      <c r="J4307" s="55"/>
      <c r="K4307" s="55">
        <v>0</v>
      </c>
      <c r="L4307" s="55"/>
      <c r="M4307" s="55">
        <v>0</v>
      </c>
      <c r="N4307" s="55">
        <v>0</v>
      </c>
    </row>
    <row r="4308" spans="1:14" hidden="1" x14ac:dyDescent="0.35">
      <c r="A4308" s="52" t="s">
        <v>680</v>
      </c>
      <c r="B4308" s="52" t="s">
        <v>73</v>
      </c>
      <c r="C4308" s="52" t="s">
        <v>80</v>
      </c>
      <c r="D4308" s="52" t="s">
        <v>81</v>
      </c>
      <c r="E4308" s="52" t="s">
        <v>584</v>
      </c>
      <c r="F4308" s="52" t="s">
        <v>581</v>
      </c>
      <c r="G4308" s="55" t="s">
        <v>278</v>
      </c>
      <c r="H4308" s="55">
        <v>6.9977999999999999E-2</v>
      </c>
      <c r="I4308" s="55">
        <v>0</v>
      </c>
      <c r="J4308" s="55"/>
      <c r="K4308" s="55">
        <v>0</v>
      </c>
      <c r="L4308" s="55"/>
      <c r="M4308" s="55"/>
      <c r="N4308" s="55"/>
    </row>
    <row r="4309" spans="1:14" hidden="1" x14ac:dyDescent="0.35">
      <c r="A4309" s="52" t="s">
        <v>680</v>
      </c>
      <c r="B4309" s="52" t="s">
        <v>73</v>
      </c>
      <c r="C4309" s="52" t="s">
        <v>80</v>
      </c>
      <c r="D4309" s="52" t="s">
        <v>81</v>
      </c>
      <c r="E4309" s="52" t="s">
        <v>584</v>
      </c>
      <c r="F4309" s="52" t="s">
        <v>581</v>
      </c>
      <c r="G4309" s="55" t="s">
        <v>279</v>
      </c>
      <c r="H4309" s="55"/>
      <c r="I4309" s="55"/>
      <c r="J4309" s="55"/>
      <c r="K4309" s="55"/>
      <c r="L4309" s="55"/>
      <c r="M4309" s="55"/>
      <c r="N4309" s="55">
        <v>0</v>
      </c>
    </row>
    <row r="4310" spans="1:14" hidden="1" x14ac:dyDescent="0.35">
      <c r="A4310" s="52" t="s">
        <v>680</v>
      </c>
      <c r="B4310" s="52" t="s">
        <v>73</v>
      </c>
      <c r="C4310" s="52" t="s">
        <v>80</v>
      </c>
      <c r="D4310" s="52" t="s">
        <v>81</v>
      </c>
      <c r="E4310" s="52" t="s">
        <v>584</v>
      </c>
      <c r="F4310" s="52" t="s">
        <v>26</v>
      </c>
      <c r="G4310" s="55" t="s">
        <v>275</v>
      </c>
      <c r="H4310" s="55">
        <v>0</v>
      </c>
      <c r="I4310" s="55">
        <v>-2.988901E-3</v>
      </c>
      <c r="J4310" s="55">
        <v>0</v>
      </c>
      <c r="K4310" s="55">
        <v>0</v>
      </c>
      <c r="L4310" s="55">
        <v>0</v>
      </c>
      <c r="M4310" s="55">
        <v>0</v>
      </c>
      <c r="N4310" s="55">
        <v>0</v>
      </c>
    </row>
    <row r="4311" spans="1:14" hidden="1" x14ac:dyDescent="0.35">
      <c r="A4311" s="52" t="s">
        <v>680</v>
      </c>
      <c r="B4311" s="52" t="s">
        <v>73</v>
      </c>
      <c r="C4311" s="52" t="s">
        <v>80</v>
      </c>
      <c r="D4311" s="52" t="s">
        <v>81</v>
      </c>
      <c r="E4311" s="52" t="s">
        <v>584</v>
      </c>
      <c r="F4311" s="52" t="s">
        <v>26</v>
      </c>
      <c r="G4311" s="55" t="s">
        <v>276</v>
      </c>
      <c r="H4311" s="55"/>
      <c r="I4311" s="55">
        <v>-4.27248E-2</v>
      </c>
      <c r="J4311" s="55">
        <v>-10.470280000000001</v>
      </c>
      <c r="K4311" s="55">
        <v>-4.6374029999999997E-2</v>
      </c>
      <c r="L4311" s="55">
        <v>-8.5105520000000004E-2</v>
      </c>
      <c r="M4311" s="55">
        <v>-0.1289709</v>
      </c>
      <c r="N4311" s="55">
        <v>-0.52047089999999996</v>
      </c>
    </row>
    <row r="4312" spans="1:14" hidden="1" x14ac:dyDescent="0.35">
      <c r="A4312" s="52" t="s">
        <v>680</v>
      </c>
      <c r="B4312" s="52" t="s">
        <v>73</v>
      </c>
      <c r="C4312" s="52" t="s">
        <v>80</v>
      </c>
      <c r="D4312" s="52" t="s">
        <v>81</v>
      </c>
      <c r="E4312" s="52" t="s">
        <v>584</v>
      </c>
      <c r="F4312" s="52" t="s">
        <v>26</v>
      </c>
      <c r="G4312" s="55" t="s">
        <v>277</v>
      </c>
      <c r="H4312" s="55"/>
      <c r="I4312" s="55"/>
      <c r="J4312" s="55"/>
      <c r="K4312" s="55">
        <v>0</v>
      </c>
      <c r="L4312" s="55">
        <v>4.3499999999999997E-2</v>
      </c>
      <c r="M4312" s="55">
        <v>4.3499999999999997E-2</v>
      </c>
      <c r="N4312" s="55">
        <v>0.435</v>
      </c>
    </row>
    <row r="4313" spans="1:14" hidden="1" x14ac:dyDescent="0.35">
      <c r="A4313" s="52" t="s">
        <v>680</v>
      </c>
      <c r="B4313" s="52" t="s">
        <v>73</v>
      </c>
      <c r="C4313" s="52" t="s">
        <v>80</v>
      </c>
      <c r="D4313" s="52" t="s">
        <v>81</v>
      </c>
      <c r="E4313" s="52" t="s">
        <v>584</v>
      </c>
      <c r="F4313" s="52" t="s">
        <v>26</v>
      </c>
      <c r="G4313" s="55" t="s">
        <v>278</v>
      </c>
      <c r="H4313" s="55"/>
      <c r="I4313" s="55">
        <v>4.5713999999999998E-2</v>
      </c>
      <c r="J4313" s="55">
        <v>10.470280000000001</v>
      </c>
      <c r="K4313" s="55">
        <v>4.6374600000000002E-2</v>
      </c>
      <c r="L4313" s="55">
        <v>4.1605200000000002E-2</v>
      </c>
      <c r="M4313" s="55">
        <v>8.5470889999999994E-2</v>
      </c>
      <c r="N4313" s="55">
        <v>8.5470889999999994E-2</v>
      </c>
    </row>
    <row r="4314" spans="1:14" hidden="1" x14ac:dyDescent="0.35">
      <c r="A4314" s="52" t="s">
        <v>680</v>
      </c>
      <c r="B4314" s="52" t="s">
        <v>73</v>
      </c>
      <c r="C4314" s="52" t="s">
        <v>80</v>
      </c>
      <c r="D4314" s="52" t="s">
        <v>81</v>
      </c>
      <c r="E4314" s="52" t="s">
        <v>584</v>
      </c>
      <c r="F4314" s="52" t="s">
        <v>26</v>
      </c>
      <c r="G4314" s="55" t="s">
        <v>279</v>
      </c>
      <c r="H4314" s="55"/>
      <c r="I4314" s="55"/>
      <c r="J4314" s="55"/>
      <c r="K4314" s="55"/>
      <c r="L4314" s="55"/>
      <c r="M4314" s="55"/>
      <c r="N4314" s="55">
        <v>0</v>
      </c>
    </row>
    <row r="4315" spans="1:14" hidden="1" x14ac:dyDescent="0.35">
      <c r="A4315" s="52" t="s">
        <v>680</v>
      </c>
      <c r="B4315" s="52" t="s">
        <v>73</v>
      </c>
      <c r="C4315" s="52" t="s">
        <v>325</v>
      </c>
      <c r="D4315" s="52" t="s">
        <v>325</v>
      </c>
      <c r="E4315" s="52" t="s">
        <v>584</v>
      </c>
      <c r="F4315" s="52" t="s">
        <v>581</v>
      </c>
      <c r="G4315" s="55" t="s">
        <v>275</v>
      </c>
      <c r="H4315" s="55">
        <v>13.157019999999999</v>
      </c>
      <c r="I4315" s="55">
        <v>7.5831379999999999</v>
      </c>
      <c r="J4315" s="55">
        <v>4.5929190000000002</v>
      </c>
      <c r="K4315" s="55">
        <v>6.7132040000000004E-2</v>
      </c>
      <c r="L4315" s="55">
        <v>0.1193398</v>
      </c>
      <c r="M4315" s="55">
        <v>9.2792360000000004E-2</v>
      </c>
      <c r="N4315" s="55">
        <v>-5.5712590000000004</v>
      </c>
    </row>
    <row r="4316" spans="1:14" hidden="1" x14ac:dyDescent="0.35">
      <c r="A4316" s="52" t="s">
        <v>680</v>
      </c>
      <c r="B4316" s="52" t="s">
        <v>73</v>
      </c>
      <c r="C4316" s="52" t="s">
        <v>325</v>
      </c>
      <c r="D4316" s="52" t="s">
        <v>325</v>
      </c>
      <c r="E4316" s="52" t="s">
        <v>584</v>
      </c>
      <c r="F4316" s="52" t="s">
        <v>581</v>
      </c>
      <c r="G4316" s="55" t="s">
        <v>276</v>
      </c>
      <c r="H4316" s="55">
        <v>-14.16361</v>
      </c>
      <c r="I4316" s="55">
        <v>-20.914400000000001</v>
      </c>
      <c r="J4316" s="55">
        <v>-35.627249999999997</v>
      </c>
      <c r="K4316" s="55">
        <v>-6.3745620000000001</v>
      </c>
      <c r="L4316" s="55">
        <v>-2.9557410000000002</v>
      </c>
      <c r="M4316" s="55">
        <v>-5.3872629999999999</v>
      </c>
      <c r="N4316" s="55">
        <v>-2.091208</v>
      </c>
    </row>
    <row r="4317" spans="1:14" hidden="1" x14ac:dyDescent="0.35">
      <c r="A4317" s="52" t="s">
        <v>680</v>
      </c>
      <c r="B4317" s="52" t="s">
        <v>73</v>
      </c>
      <c r="C4317" s="52" t="s">
        <v>325</v>
      </c>
      <c r="D4317" s="52" t="s">
        <v>325</v>
      </c>
      <c r="E4317" s="52" t="s">
        <v>584</v>
      </c>
      <c r="F4317" s="52" t="s">
        <v>581</v>
      </c>
      <c r="G4317" s="55" t="s">
        <v>277</v>
      </c>
      <c r="H4317" s="55"/>
      <c r="I4317" s="55"/>
      <c r="J4317" s="55">
        <v>0</v>
      </c>
      <c r="K4317" s="55">
        <v>0.35801319999999998</v>
      </c>
      <c r="L4317" s="55">
        <v>0.35801319999999998</v>
      </c>
      <c r="M4317" s="55">
        <v>7.3499999999999996E-2</v>
      </c>
      <c r="N4317" s="55">
        <v>6.8427020000000001</v>
      </c>
    </row>
    <row r="4318" spans="1:14" hidden="1" x14ac:dyDescent="0.35">
      <c r="A4318" s="52" t="s">
        <v>680</v>
      </c>
      <c r="B4318" s="52" t="s">
        <v>73</v>
      </c>
      <c r="C4318" s="52" t="s">
        <v>325</v>
      </c>
      <c r="D4318" s="52" t="s">
        <v>325</v>
      </c>
      <c r="E4318" s="52" t="s">
        <v>584</v>
      </c>
      <c r="F4318" s="52" t="s">
        <v>581</v>
      </c>
      <c r="G4318" s="55" t="s">
        <v>278</v>
      </c>
      <c r="H4318" s="55">
        <v>1.006588</v>
      </c>
      <c r="I4318" s="55">
        <v>13.33126</v>
      </c>
      <c r="J4318" s="55">
        <v>31.041930000000001</v>
      </c>
      <c r="K4318" s="55">
        <v>5.9531700000000001</v>
      </c>
      <c r="L4318" s="55">
        <v>2.4783879999999998</v>
      </c>
      <c r="M4318" s="55">
        <v>5.2209709999999996</v>
      </c>
      <c r="N4318" s="55">
        <v>0.81976320000000003</v>
      </c>
    </row>
    <row r="4319" spans="1:14" hidden="1" x14ac:dyDescent="0.35">
      <c r="A4319" s="52" t="s">
        <v>680</v>
      </c>
      <c r="B4319" s="52" t="s">
        <v>73</v>
      </c>
      <c r="C4319" s="52" t="s">
        <v>325</v>
      </c>
      <c r="D4319" s="52" t="s">
        <v>325</v>
      </c>
      <c r="E4319" s="52" t="s">
        <v>584</v>
      </c>
      <c r="F4319" s="52" t="s">
        <v>581</v>
      </c>
      <c r="G4319" s="55" t="s">
        <v>279</v>
      </c>
      <c r="H4319" s="55"/>
      <c r="I4319" s="55"/>
      <c r="J4319" s="55"/>
      <c r="K4319" s="55"/>
      <c r="L4319" s="55"/>
      <c r="M4319" s="55"/>
      <c r="N4319" s="55">
        <v>0</v>
      </c>
    </row>
    <row r="4320" spans="1:14" hidden="1" x14ac:dyDescent="0.35">
      <c r="A4320" s="52" t="s">
        <v>680</v>
      </c>
      <c r="B4320" s="52" t="s">
        <v>73</v>
      </c>
      <c r="C4320" s="52" t="s">
        <v>325</v>
      </c>
      <c r="D4320" s="52" t="s">
        <v>325</v>
      </c>
      <c r="E4320" s="52" t="s">
        <v>584</v>
      </c>
      <c r="F4320" s="52" t="s">
        <v>26</v>
      </c>
      <c r="G4320" s="55" t="s">
        <v>275</v>
      </c>
      <c r="H4320" s="55">
        <v>-1.7376E-3</v>
      </c>
      <c r="I4320" s="55">
        <v>3.106397E-4</v>
      </c>
      <c r="J4320" s="55">
        <v>2.9972000000000002E-3</v>
      </c>
      <c r="K4320" s="55">
        <v>1.4828E-3</v>
      </c>
      <c r="L4320" s="55">
        <v>0</v>
      </c>
      <c r="M4320" s="55">
        <v>0</v>
      </c>
      <c r="N4320" s="55">
        <v>0</v>
      </c>
    </row>
    <row r="4321" spans="1:14" hidden="1" x14ac:dyDescent="0.35">
      <c r="A4321" s="52" t="s">
        <v>680</v>
      </c>
      <c r="B4321" s="52" t="s">
        <v>73</v>
      </c>
      <c r="C4321" s="52" t="s">
        <v>325</v>
      </c>
      <c r="D4321" s="52" t="s">
        <v>325</v>
      </c>
      <c r="E4321" s="52" t="s">
        <v>584</v>
      </c>
      <c r="F4321" s="52" t="s">
        <v>26</v>
      </c>
      <c r="G4321" s="55" t="s">
        <v>276</v>
      </c>
      <c r="H4321" s="55">
        <v>-3.4823199999999999E-2</v>
      </c>
      <c r="I4321" s="55">
        <v>-4.9231400000000002E-2</v>
      </c>
      <c r="J4321" s="55">
        <v>-3.2197840000000002</v>
      </c>
      <c r="K4321" s="55">
        <v>-2.5398520000000001E-2</v>
      </c>
      <c r="L4321" s="55">
        <v>-2.278668E-2</v>
      </c>
      <c r="M4321" s="55">
        <v>-4.6811520000000002E-2</v>
      </c>
      <c r="N4321" s="55">
        <v>-4.6811520000000002E-2</v>
      </c>
    </row>
    <row r="4322" spans="1:14" hidden="1" x14ac:dyDescent="0.35">
      <c r="A4322" s="52" t="s">
        <v>680</v>
      </c>
      <c r="B4322" s="52" t="s">
        <v>73</v>
      </c>
      <c r="C4322" s="52" t="s">
        <v>325</v>
      </c>
      <c r="D4322" s="52" t="s">
        <v>325</v>
      </c>
      <c r="E4322" s="52" t="s">
        <v>584</v>
      </c>
      <c r="F4322" s="52" t="s">
        <v>26</v>
      </c>
      <c r="G4322" s="55" t="s">
        <v>277</v>
      </c>
      <c r="H4322" s="55"/>
      <c r="I4322" s="55"/>
      <c r="J4322" s="55"/>
      <c r="K4322" s="55"/>
      <c r="L4322" s="55"/>
      <c r="M4322" s="55">
        <v>0</v>
      </c>
      <c r="N4322" s="55">
        <v>0</v>
      </c>
    </row>
    <row r="4323" spans="1:14" hidden="1" x14ac:dyDescent="0.35">
      <c r="A4323" s="52" t="s">
        <v>680</v>
      </c>
      <c r="B4323" s="52" t="s">
        <v>73</v>
      </c>
      <c r="C4323" s="52" t="s">
        <v>325</v>
      </c>
      <c r="D4323" s="52" t="s">
        <v>325</v>
      </c>
      <c r="E4323" s="52" t="s">
        <v>584</v>
      </c>
      <c r="F4323" s="52" t="s">
        <v>26</v>
      </c>
      <c r="G4323" s="55" t="s">
        <v>278</v>
      </c>
      <c r="H4323" s="55">
        <v>3.6560799999999997E-2</v>
      </c>
      <c r="I4323" s="55">
        <v>4.8921039999999999E-2</v>
      </c>
      <c r="J4323" s="55">
        <v>3.2197830000000001</v>
      </c>
      <c r="K4323" s="55">
        <v>2.5398799999999999E-2</v>
      </c>
      <c r="L4323" s="55">
        <v>2.278668E-2</v>
      </c>
      <c r="M4323" s="55">
        <v>4.6811520000000002E-2</v>
      </c>
      <c r="N4323" s="55">
        <v>4.6811520000000002E-2</v>
      </c>
    </row>
    <row r="4324" spans="1:14" hidden="1" x14ac:dyDescent="0.35">
      <c r="A4324" s="52" t="s">
        <v>680</v>
      </c>
      <c r="B4324" s="52" t="s">
        <v>73</v>
      </c>
      <c r="C4324" s="52" t="s">
        <v>325</v>
      </c>
      <c r="D4324" s="52" t="s">
        <v>325</v>
      </c>
      <c r="E4324" s="52" t="s">
        <v>584</v>
      </c>
      <c r="F4324" s="52" t="s">
        <v>26</v>
      </c>
      <c r="G4324" s="55" t="s">
        <v>279</v>
      </c>
      <c r="H4324" s="55"/>
      <c r="I4324" s="55"/>
      <c r="J4324" s="55"/>
      <c r="K4324" s="55"/>
      <c r="L4324" s="55"/>
      <c r="M4324" s="55"/>
      <c r="N4324" s="55">
        <v>0</v>
      </c>
    </row>
    <row r="4325" spans="1:14" hidden="1" x14ac:dyDescent="0.35">
      <c r="A4325" s="52" t="s">
        <v>680</v>
      </c>
      <c r="B4325" s="52" t="s">
        <v>73</v>
      </c>
      <c r="C4325" s="52" t="s">
        <v>325</v>
      </c>
      <c r="D4325" s="52" t="s">
        <v>326</v>
      </c>
      <c r="E4325" s="52" t="s">
        <v>584</v>
      </c>
      <c r="F4325" s="52" t="s">
        <v>581</v>
      </c>
      <c r="G4325" s="55" t="s">
        <v>275</v>
      </c>
      <c r="H4325" s="55">
        <v>2.6173820000000001</v>
      </c>
      <c r="I4325" s="55">
        <v>2.6196419999999998</v>
      </c>
      <c r="J4325" s="55">
        <v>0.95625599999999999</v>
      </c>
      <c r="K4325" s="55">
        <v>-1.9268E-3</v>
      </c>
      <c r="L4325" s="55">
        <v>-2.2880000000000001E-3</v>
      </c>
      <c r="M4325" s="55">
        <v>-7.5956000000000001E-3</v>
      </c>
      <c r="N4325" s="55">
        <v>-9.9827990000000005E-3</v>
      </c>
    </row>
    <row r="4326" spans="1:14" hidden="1" x14ac:dyDescent="0.35">
      <c r="A4326" s="52" t="s">
        <v>680</v>
      </c>
      <c r="B4326" s="52" t="s">
        <v>73</v>
      </c>
      <c r="C4326" s="52" t="s">
        <v>325</v>
      </c>
      <c r="D4326" s="52" t="s">
        <v>326</v>
      </c>
      <c r="E4326" s="52" t="s">
        <v>584</v>
      </c>
      <c r="F4326" s="52" t="s">
        <v>581</v>
      </c>
      <c r="G4326" s="55" t="s">
        <v>276</v>
      </c>
      <c r="H4326" s="55">
        <v>-2.6611159999999998</v>
      </c>
      <c r="I4326" s="55">
        <v>-2.648212</v>
      </c>
      <c r="J4326" s="55">
        <v>-0.99057759999999995</v>
      </c>
      <c r="K4326" s="55">
        <v>-2.7056799999999999E-2</v>
      </c>
      <c r="L4326" s="55">
        <v>-2.3714800000000001E-2</v>
      </c>
      <c r="M4326" s="55">
        <v>-4.5822399999999999E-2</v>
      </c>
      <c r="N4326" s="55">
        <v>-4.6935600000000001E-2</v>
      </c>
    </row>
    <row r="4327" spans="1:14" hidden="1" x14ac:dyDescent="0.35">
      <c r="A4327" s="52" t="s">
        <v>680</v>
      </c>
      <c r="B4327" s="52" t="s">
        <v>73</v>
      </c>
      <c r="C4327" s="52" t="s">
        <v>325</v>
      </c>
      <c r="D4327" s="52" t="s">
        <v>326</v>
      </c>
      <c r="E4327" s="52" t="s">
        <v>584</v>
      </c>
      <c r="F4327" s="52" t="s">
        <v>581</v>
      </c>
      <c r="G4327" s="55" t="s">
        <v>277</v>
      </c>
      <c r="H4327" s="55"/>
      <c r="I4327" s="55"/>
      <c r="J4327" s="55"/>
      <c r="K4327" s="55"/>
      <c r="L4327" s="55"/>
      <c r="M4327" s="55">
        <v>0</v>
      </c>
      <c r="N4327" s="55">
        <v>3.5000000000000001E-3</v>
      </c>
    </row>
    <row r="4328" spans="1:14" hidden="1" x14ac:dyDescent="0.35">
      <c r="A4328" s="52" t="s">
        <v>680</v>
      </c>
      <c r="B4328" s="52" t="s">
        <v>73</v>
      </c>
      <c r="C4328" s="52" t="s">
        <v>325</v>
      </c>
      <c r="D4328" s="52" t="s">
        <v>326</v>
      </c>
      <c r="E4328" s="52" t="s">
        <v>584</v>
      </c>
      <c r="F4328" s="52" t="s">
        <v>581</v>
      </c>
      <c r="G4328" s="55" t="s">
        <v>278</v>
      </c>
      <c r="H4328" s="55">
        <v>4.3735200000000002E-2</v>
      </c>
      <c r="I4328" s="55">
        <v>2.8570399999999999E-2</v>
      </c>
      <c r="J4328" s="55">
        <v>3.4321200000000003E-2</v>
      </c>
      <c r="K4328" s="55">
        <v>2.8983600000000002E-2</v>
      </c>
      <c r="L4328" s="55">
        <v>2.60028E-2</v>
      </c>
      <c r="M4328" s="55">
        <v>5.3418399999999998E-2</v>
      </c>
      <c r="N4328" s="55">
        <v>5.3418399999999998E-2</v>
      </c>
    </row>
    <row r="4329" spans="1:14" hidden="1" x14ac:dyDescent="0.35">
      <c r="A4329" s="52" t="s">
        <v>680</v>
      </c>
      <c r="B4329" s="52" t="s">
        <v>73</v>
      </c>
      <c r="C4329" s="52" t="s">
        <v>325</v>
      </c>
      <c r="D4329" s="52" t="s">
        <v>326</v>
      </c>
      <c r="E4329" s="52" t="s">
        <v>584</v>
      </c>
      <c r="F4329" s="52" t="s">
        <v>26</v>
      </c>
      <c r="G4329" s="55" t="s">
        <v>275</v>
      </c>
      <c r="H4329" s="55">
        <v>0</v>
      </c>
      <c r="I4329" s="55"/>
      <c r="J4329" s="55"/>
      <c r="K4329" s="55"/>
      <c r="L4329" s="55">
        <v>0</v>
      </c>
      <c r="M4329" s="55"/>
      <c r="N4329" s="55"/>
    </row>
    <row r="4330" spans="1:14" hidden="1" x14ac:dyDescent="0.35">
      <c r="A4330" s="52" t="s">
        <v>680</v>
      </c>
      <c r="B4330" s="52" t="s">
        <v>73</v>
      </c>
      <c r="C4330" s="52" t="s">
        <v>325</v>
      </c>
      <c r="D4330" s="52" t="s">
        <v>326</v>
      </c>
      <c r="E4330" s="52" t="s">
        <v>584</v>
      </c>
      <c r="F4330" s="52" t="s">
        <v>26</v>
      </c>
      <c r="G4330" s="55" t="s">
        <v>276</v>
      </c>
      <c r="H4330" s="55"/>
      <c r="I4330" s="55"/>
      <c r="J4330" s="55"/>
      <c r="K4330" s="55"/>
      <c r="L4330" s="55">
        <v>0</v>
      </c>
      <c r="M4330" s="55"/>
      <c r="N4330" s="55"/>
    </row>
    <row r="4331" spans="1:14" hidden="1" x14ac:dyDescent="0.35">
      <c r="A4331" s="52" t="s">
        <v>680</v>
      </c>
      <c r="B4331" s="52" t="s">
        <v>73</v>
      </c>
      <c r="C4331" s="52" t="s">
        <v>325</v>
      </c>
      <c r="D4331" s="52" t="s">
        <v>326</v>
      </c>
      <c r="E4331" s="52" t="s">
        <v>584</v>
      </c>
      <c r="F4331" s="52" t="s">
        <v>26</v>
      </c>
      <c r="G4331" s="55" t="s">
        <v>277</v>
      </c>
      <c r="H4331" s="55"/>
      <c r="I4331" s="55"/>
      <c r="J4331" s="55"/>
      <c r="K4331" s="55"/>
      <c r="L4331" s="55"/>
      <c r="M4331" s="55">
        <v>0</v>
      </c>
      <c r="N4331" s="55"/>
    </row>
    <row r="4332" spans="1:14" hidden="1" x14ac:dyDescent="0.35">
      <c r="A4332" s="52" t="s">
        <v>680</v>
      </c>
      <c r="B4332" s="52" t="s">
        <v>73</v>
      </c>
      <c r="C4332" s="52" t="s">
        <v>325</v>
      </c>
      <c r="D4332" s="52" t="s">
        <v>326</v>
      </c>
      <c r="E4332" s="52" t="s">
        <v>584</v>
      </c>
      <c r="F4332" s="52" t="s">
        <v>26</v>
      </c>
      <c r="G4332" s="55" t="s">
        <v>278</v>
      </c>
      <c r="H4332" s="55">
        <v>0</v>
      </c>
      <c r="I4332" s="55"/>
      <c r="J4332" s="55"/>
      <c r="K4332" s="55"/>
      <c r="L4332" s="55"/>
      <c r="M4332" s="55"/>
      <c r="N4332" s="55"/>
    </row>
    <row r="4333" spans="1:14" hidden="1" x14ac:dyDescent="0.35">
      <c r="A4333" s="52" t="s">
        <v>680</v>
      </c>
      <c r="B4333" s="52" t="s">
        <v>73</v>
      </c>
      <c r="C4333" s="52" t="s">
        <v>327</v>
      </c>
      <c r="D4333" s="52" t="s">
        <v>327</v>
      </c>
      <c r="E4333" s="52" t="s">
        <v>584</v>
      </c>
      <c r="F4333" s="52" t="s">
        <v>581</v>
      </c>
      <c r="G4333" s="55" t="s">
        <v>275</v>
      </c>
      <c r="H4333" s="55">
        <v>1.594382</v>
      </c>
      <c r="I4333" s="55">
        <v>-0.82172389999999995</v>
      </c>
      <c r="J4333" s="55">
        <v>2.8724000000000002E-3</v>
      </c>
      <c r="K4333" s="55">
        <v>1.4212000000000001E-3</v>
      </c>
      <c r="L4333" s="55">
        <v>0</v>
      </c>
      <c r="M4333" s="55">
        <v>0</v>
      </c>
      <c r="N4333" s="55">
        <v>0</v>
      </c>
    </row>
    <row r="4334" spans="1:14" hidden="1" x14ac:dyDescent="0.35">
      <c r="A4334" s="52" t="s">
        <v>680</v>
      </c>
      <c r="B4334" s="52" t="s">
        <v>73</v>
      </c>
      <c r="C4334" s="52" t="s">
        <v>327</v>
      </c>
      <c r="D4334" s="52" t="s">
        <v>327</v>
      </c>
      <c r="E4334" s="52" t="s">
        <v>584</v>
      </c>
      <c r="F4334" s="52" t="s">
        <v>581</v>
      </c>
      <c r="G4334" s="55" t="s">
        <v>276</v>
      </c>
      <c r="H4334" s="55">
        <v>-1.6925680000000001</v>
      </c>
      <c r="I4334" s="55">
        <v>-11.94115</v>
      </c>
      <c r="J4334" s="55">
        <v>-4.9555559999999998E-2</v>
      </c>
      <c r="K4334" s="55">
        <v>-4.184881E-2</v>
      </c>
      <c r="L4334" s="55">
        <v>-3.7544809999999998E-2</v>
      </c>
      <c r="M4334" s="55">
        <v>-0.14712919999999999</v>
      </c>
      <c r="N4334" s="55">
        <v>-0.14713000000000001</v>
      </c>
    </row>
    <row r="4335" spans="1:14" hidden="1" x14ac:dyDescent="0.35">
      <c r="A4335" s="52" t="s">
        <v>680</v>
      </c>
      <c r="B4335" s="52" t="s">
        <v>73</v>
      </c>
      <c r="C4335" s="52" t="s">
        <v>327</v>
      </c>
      <c r="D4335" s="52" t="s">
        <v>327</v>
      </c>
      <c r="E4335" s="52" t="s">
        <v>584</v>
      </c>
      <c r="F4335" s="52" t="s">
        <v>581</v>
      </c>
      <c r="G4335" s="55" t="s">
        <v>277</v>
      </c>
      <c r="H4335" s="55"/>
      <c r="I4335" s="55"/>
      <c r="J4335" s="55"/>
      <c r="K4335" s="55"/>
      <c r="L4335" s="55">
        <v>0</v>
      </c>
      <c r="M4335" s="55">
        <v>7.0000000000000007E-2</v>
      </c>
      <c r="N4335" s="55">
        <v>7.0000000000000007E-2</v>
      </c>
    </row>
    <row r="4336" spans="1:14" hidden="1" x14ac:dyDescent="0.35">
      <c r="A4336" s="52" t="s">
        <v>680</v>
      </c>
      <c r="B4336" s="52" t="s">
        <v>73</v>
      </c>
      <c r="C4336" s="52" t="s">
        <v>327</v>
      </c>
      <c r="D4336" s="52" t="s">
        <v>327</v>
      </c>
      <c r="E4336" s="52" t="s">
        <v>584</v>
      </c>
      <c r="F4336" s="52" t="s">
        <v>581</v>
      </c>
      <c r="G4336" s="55" t="s">
        <v>278</v>
      </c>
      <c r="H4336" s="55">
        <v>9.8186399999999993E-2</v>
      </c>
      <c r="I4336" s="55">
        <v>12.762879999999999</v>
      </c>
      <c r="J4336" s="55">
        <v>4.9555599999999998E-2</v>
      </c>
      <c r="K4336" s="55">
        <v>4.1848799999999999E-2</v>
      </c>
      <c r="L4336" s="55">
        <v>3.7544800000000003E-2</v>
      </c>
      <c r="M4336" s="55">
        <v>7.7129600000000006E-2</v>
      </c>
      <c r="N4336" s="55">
        <v>7.7129600000000006E-2</v>
      </c>
    </row>
    <row r="4337" spans="1:14" hidden="1" x14ac:dyDescent="0.35">
      <c r="A4337" s="52" t="s">
        <v>680</v>
      </c>
      <c r="B4337" s="52" t="s">
        <v>73</v>
      </c>
      <c r="C4337" s="52" t="s">
        <v>327</v>
      </c>
      <c r="D4337" s="52" t="s">
        <v>327</v>
      </c>
      <c r="E4337" s="52" t="s">
        <v>584</v>
      </c>
      <c r="F4337" s="52" t="s">
        <v>26</v>
      </c>
      <c r="G4337" s="55" t="s">
        <v>275</v>
      </c>
      <c r="H4337" s="55">
        <v>0</v>
      </c>
      <c r="I4337" s="55"/>
      <c r="J4337" s="55"/>
      <c r="K4337" s="55"/>
      <c r="L4337" s="55">
        <v>0</v>
      </c>
      <c r="M4337" s="55"/>
      <c r="N4337" s="55"/>
    </row>
    <row r="4338" spans="1:14" hidden="1" x14ac:dyDescent="0.35">
      <c r="A4338" s="52" t="s">
        <v>680</v>
      </c>
      <c r="B4338" s="52" t="s">
        <v>73</v>
      </c>
      <c r="C4338" s="52" t="s">
        <v>327</v>
      </c>
      <c r="D4338" s="52" t="s">
        <v>327</v>
      </c>
      <c r="E4338" s="52" t="s">
        <v>584</v>
      </c>
      <c r="F4338" s="52" t="s">
        <v>26</v>
      </c>
      <c r="G4338" s="55" t="s">
        <v>276</v>
      </c>
      <c r="H4338" s="55"/>
      <c r="I4338" s="55"/>
      <c r="J4338" s="55"/>
      <c r="K4338" s="55"/>
      <c r="L4338" s="55">
        <v>0</v>
      </c>
      <c r="M4338" s="55"/>
      <c r="N4338" s="55"/>
    </row>
    <row r="4339" spans="1:14" hidden="1" x14ac:dyDescent="0.35">
      <c r="A4339" s="52" t="s">
        <v>680</v>
      </c>
      <c r="B4339" s="52" t="s">
        <v>73</v>
      </c>
      <c r="C4339" s="52" t="s">
        <v>327</v>
      </c>
      <c r="D4339" s="52" t="s">
        <v>327</v>
      </c>
      <c r="E4339" s="52" t="s">
        <v>584</v>
      </c>
      <c r="F4339" s="52" t="s">
        <v>26</v>
      </c>
      <c r="G4339" s="55" t="s">
        <v>277</v>
      </c>
      <c r="H4339" s="55"/>
      <c r="I4339" s="55"/>
      <c r="J4339" s="55"/>
      <c r="K4339" s="55"/>
      <c r="L4339" s="55">
        <v>0</v>
      </c>
      <c r="M4339" s="55"/>
      <c r="N4339" s="55">
        <v>0</v>
      </c>
    </row>
    <row r="4340" spans="1:14" hidden="1" x14ac:dyDescent="0.35">
      <c r="A4340" s="52" t="s">
        <v>680</v>
      </c>
      <c r="B4340" s="52" t="s">
        <v>73</v>
      </c>
      <c r="C4340" s="52" t="s">
        <v>327</v>
      </c>
      <c r="D4340" s="52" t="s">
        <v>327</v>
      </c>
      <c r="E4340" s="52" t="s">
        <v>584</v>
      </c>
      <c r="F4340" s="52" t="s">
        <v>26</v>
      </c>
      <c r="G4340" s="55" t="s">
        <v>278</v>
      </c>
      <c r="H4340" s="55">
        <v>0</v>
      </c>
      <c r="I4340" s="55"/>
      <c r="J4340" s="55">
        <v>0</v>
      </c>
      <c r="K4340" s="55"/>
      <c r="L4340" s="55"/>
      <c r="M4340" s="55"/>
      <c r="N4340" s="55"/>
    </row>
    <row r="4341" spans="1:14" hidden="1" x14ac:dyDescent="0.35">
      <c r="A4341" s="52" t="s">
        <v>680</v>
      </c>
      <c r="B4341" s="52" t="s">
        <v>73</v>
      </c>
      <c r="C4341" s="52" t="s">
        <v>324</v>
      </c>
      <c r="D4341" s="52" t="s">
        <v>370</v>
      </c>
      <c r="E4341" s="52" t="s">
        <v>584</v>
      </c>
      <c r="F4341" s="52" t="s">
        <v>581</v>
      </c>
      <c r="G4341" s="55" t="s">
        <v>275</v>
      </c>
      <c r="H4341" s="55">
        <v>-1.4036230000000001</v>
      </c>
      <c r="I4341" s="55"/>
      <c r="J4341" s="55"/>
      <c r="K4341" s="55"/>
      <c r="L4341" s="55">
        <v>0</v>
      </c>
      <c r="M4341" s="55">
        <v>-2.7290399999999999E-3</v>
      </c>
      <c r="N4341" s="55">
        <v>-2.7290399999999999E-3</v>
      </c>
    </row>
    <row r="4342" spans="1:14" hidden="1" x14ac:dyDescent="0.35">
      <c r="A4342" s="52" t="s">
        <v>680</v>
      </c>
      <c r="B4342" s="52" t="s">
        <v>73</v>
      </c>
      <c r="C4342" s="52" t="s">
        <v>324</v>
      </c>
      <c r="D4342" s="52" t="s">
        <v>370</v>
      </c>
      <c r="E4342" s="52" t="s">
        <v>584</v>
      </c>
      <c r="F4342" s="52" t="s">
        <v>581</v>
      </c>
      <c r="G4342" s="55" t="s">
        <v>276</v>
      </c>
      <c r="H4342" s="55">
        <v>-6.4540579999999999</v>
      </c>
      <c r="I4342" s="55"/>
      <c r="J4342" s="55"/>
      <c r="K4342" s="55"/>
      <c r="L4342" s="55">
        <v>0</v>
      </c>
      <c r="M4342" s="55">
        <v>-1.017441E-2</v>
      </c>
      <c r="N4342" s="55">
        <v>-1.0174559999999999E-2</v>
      </c>
    </row>
    <row r="4343" spans="1:14" hidden="1" x14ac:dyDescent="0.35">
      <c r="A4343" s="52" t="s">
        <v>680</v>
      </c>
      <c r="B4343" s="52" t="s">
        <v>73</v>
      </c>
      <c r="C4343" s="52" t="s">
        <v>324</v>
      </c>
      <c r="D4343" s="52" t="s">
        <v>370</v>
      </c>
      <c r="E4343" s="52" t="s">
        <v>584</v>
      </c>
      <c r="F4343" s="52" t="s">
        <v>581</v>
      </c>
      <c r="G4343" s="55" t="s">
        <v>277</v>
      </c>
      <c r="H4343" s="55"/>
      <c r="I4343" s="55"/>
      <c r="J4343" s="55">
        <v>0</v>
      </c>
      <c r="K4343" s="55">
        <v>0</v>
      </c>
      <c r="L4343" s="55"/>
      <c r="M4343" s="55">
        <v>0</v>
      </c>
      <c r="N4343" s="55"/>
    </row>
    <row r="4344" spans="1:14" hidden="1" x14ac:dyDescent="0.35">
      <c r="A4344" s="52" t="s">
        <v>680</v>
      </c>
      <c r="B4344" s="52" t="s">
        <v>73</v>
      </c>
      <c r="C4344" s="52" t="s">
        <v>324</v>
      </c>
      <c r="D4344" s="52" t="s">
        <v>370</v>
      </c>
      <c r="E4344" s="52" t="s">
        <v>584</v>
      </c>
      <c r="F4344" s="52" t="s">
        <v>581</v>
      </c>
      <c r="G4344" s="55" t="s">
        <v>278</v>
      </c>
      <c r="H4344" s="55">
        <v>7.8576810000000004</v>
      </c>
      <c r="I4344" s="55">
        <v>0</v>
      </c>
      <c r="J4344" s="55"/>
      <c r="K4344" s="55"/>
      <c r="L4344" s="55"/>
      <c r="M4344" s="55"/>
      <c r="N4344" s="55">
        <v>0</v>
      </c>
    </row>
    <row r="4345" spans="1:14" hidden="1" x14ac:dyDescent="0.35">
      <c r="A4345" s="52" t="s">
        <v>680</v>
      </c>
      <c r="B4345" s="52" t="s">
        <v>73</v>
      </c>
      <c r="C4345" s="52" t="s">
        <v>324</v>
      </c>
      <c r="D4345" s="52" t="s">
        <v>370</v>
      </c>
      <c r="E4345" s="52" t="s">
        <v>584</v>
      </c>
      <c r="F4345" s="52" t="s">
        <v>581</v>
      </c>
      <c r="G4345" s="55" t="s">
        <v>279</v>
      </c>
      <c r="H4345" s="55"/>
      <c r="I4345" s="55"/>
      <c r="J4345" s="55"/>
      <c r="K4345" s="55"/>
      <c r="L4345" s="55">
        <v>0</v>
      </c>
      <c r="M4345" s="55">
        <v>1.290375E-2</v>
      </c>
      <c r="N4345" s="55">
        <v>1.290375E-2</v>
      </c>
    </row>
    <row r="4346" spans="1:14" hidden="1" x14ac:dyDescent="0.35">
      <c r="A4346" s="52" t="s">
        <v>680</v>
      </c>
      <c r="B4346" s="52" t="s">
        <v>73</v>
      </c>
      <c r="C4346" s="52" t="s">
        <v>324</v>
      </c>
      <c r="D4346" s="52" t="s">
        <v>370</v>
      </c>
      <c r="E4346" s="52" t="s">
        <v>584</v>
      </c>
      <c r="F4346" s="52" t="s">
        <v>26</v>
      </c>
      <c r="G4346" s="55" t="s">
        <v>275</v>
      </c>
      <c r="H4346" s="55">
        <v>0.24182680000000001</v>
      </c>
      <c r="I4346" s="55">
        <v>0.5598651</v>
      </c>
      <c r="J4346" s="55">
        <v>0.2218039</v>
      </c>
      <c r="K4346" s="55">
        <v>0.2188851</v>
      </c>
      <c r="L4346" s="55">
        <v>-2.5627980000000002E-2</v>
      </c>
      <c r="M4346" s="55">
        <v>-1.79886E-3</v>
      </c>
      <c r="N4346" s="55">
        <v>6.4972950000000002E-3</v>
      </c>
    </row>
    <row r="4347" spans="1:14" hidden="1" x14ac:dyDescent="0.35">
      <c r="A4347" s="52" t="s">
        <v>680</v>
      </c>
      <c r="B4347" s="52" t="s">
        <v>73</v>
      </c>
      <c r="C4347" s="52" t="s">
        <v>324</v>
      </c>
      <c r="D4347" s="52" t="s">
        <v>370</v>
      </c>
      <c r="E4347" s="52" t="s">
        <v>584</v>
      </c>
      <c r="F4347" s="52" t="s">
        <v>26</v>
      </c>
      <c r="G4347" s="55" t="s">
        <v>276</v>
      </c>
      <c r="H4347" s="55">
        <v>-0.26284950000000001</v>
      </c>
      <c r="I4347" s="55">
        <v>-0.60508919999999999</v>
      </c>
      <c r="J4347" s="55">
        <v>-0.25790940000000001</v>
      </c>
      <c r="K4347" s="55">
        <v>-0.25372840000000002</v>
      </c>
      <c r="L4347" s="55">
        <v>-4.4282519999999999E-2</v>
      </c>
      <c r="M4347" s="55">
        <v>-6.3251790000000002E-2</v>
      </c>
      <c r="N4347" s="55">
        <v>-1.2669639999999999E-2</v>
      </c>
    </row>
    <row r="4348" spans="1:14" hidden="1" x14ac:dyDescent="0.35">
      <c r="A4348" s="52" t="s">
        <v>680</v>
      </c>
      <c r="B4348" s="52" t="s">
        <v>73</v>
      </c>
      <c r="C4348" s="52" t="s">
        <v>324</v>
      </c>
      <c r="D4348" s="52" t="s">
        <v>370</v>
      </c>
      <c r="E4348" s="52" t="s">
        <v>584</v>
      </c>
      <c r="F4348" s="52" t="s">
        <v>26</v>
      </c>
      <c r="G4348" s="55" t="s">
        <v>277</v>
      </c>
      <c r="H4348" s="55"/>
      <c r="I4348" s="55"/>
      <c r="J4348" s="55">
        <v>0</v>
      </c>
      <c r="K4348" s="55">
        <v>3.7499999999999999E-3</v>
      </c>
      <c r="L4348" s="55">
        <v>4.1250000000000002E-2</v>
      </c>
      <c r="M4348" s="55">
        <v>0</v>
      </c>
      <c r="N4348" s="55">
        <v>0</v>
      </c>
    </row>
    <row r="4349" spans="1:14" hidden="1" x14ac:dyDescent="0.35">
      <c r="A4349" s="52" t="s">
        <v>680</v>
      </c>
      <c r="B4349" s="52" t="s">
        <v>73</v>
      </c>
      <c r="C4349" s="52" t="s">
        <v>324</v>
      </c>
      <c r="D4349" s="52" t="s">
        <v>370</v>
      </c>
      <c r="E4349" s="52" t="s">
        <v>584</v>
      </c>
      <c r="F4349" s="52" t="s">
        <v>26</v>
      </c>
      <c r="G4349" s="55" t="s">
        <v>278</v>
      </c>
      <c r="H4349" s="55">
        <v>2.10225E-2</v>
      </c>
      <c r="I4349" s="55">
        <v>4.5223949999999999E-2</v>
      </c>
      <c r="J4349" s="55">
        <v>3.7829099999999997E-2</v>
      </c>
      <c r="K4349" s="55">
        <v>3.1945950000000001E-2</v>
      </c>
      <c r="L4349" s="55">
        <v>2.8660499999999998E-2</v>
      </c>
      <c r="M4349" s="55">
        <v>5.8878E-2</v>
      </c>
      <c r="N4349" s="55">
        <v>0</v>
      </c>
    </row>
    <row r="4350" spans="1:14" hidden="1" x14ac:dyDescent="0.35">
      <c r="A4350" s="52" t="s">
        <v>680</v>
      </c>
      <c r="B4350" s="52" t="s">
        <v>73</v>
      </c>
      <c r="C4350" s="52" t="s">
        <v>324</v>
      </c>
      <c r="D4350" s="52" t="s">
        <v>370</v>
      </c>
      <c r="E4350" s="52" t="s">
        <v>584</v>
      </c>
      <c r="F4350" s="52" t="s">
        <v>26</v>
      </c>
      <c r="G4350" s="55" t="s">
        <v>279</v>
      </c>
      <c r="H4350" s="55"/>
      <c r="I4350" s="55"/>
      <c r="J4350" s="55"/>
      <c r="K4350" s="55"/>
      <c r="L4350" s="55">
        <v>0</v>
      </c>
      <c r="M4350" s="55">
        <v>6.1725E-3</v>
      </c>
      <c r="N4350" s="55">
        <v>6.1725E-3</v>
      </c>
    </row>
    <row r="4351" spans="1:14" hidden="1" x14ac:dyDescent="0.35">
      <c r="A4351" s="52" t="s">
        <v>680</v>
      </c>
      <c r="B4351" s="52" t="s">
        <v>73</v>
      </c>
      <c r="C4351" s="52" t="s">
        <v>324</v>
      </c>
      <c r="D4351" s="52" t="s">
        <v>324</v>
      </c>
      <c r="E4351" s="52" t="s">
        <v>584</v>
      </c>
      <c r="F4351" s="52" t="s">
        <v>581</v>
      </c>
      <c r="G4351" s="55" t="s">
        <v>275</v>
      </c>
      <c r="H4351" s="55">
        <v>-2.2496599999999999E-2</v>
      </c>
      <c r="I4351" s="55">
        <v>-1.1402350000000001</v>
      </c>
      <c r="J4351" s="55">
        <v>0</v>
      </c>
      <c r="K4351" s="55">
        <v>0</v>
      </c>
      <c r="L4351" s="55">
        <v>0</v>
      </c>
      <c r="M4351" s="55">
        <v>0</v>
      </c>
      <c r="N4351" s="55">
        <v>0</v>
      </c>
    </row>
    <row r="4352" spans="1:14" hidden="1" x14ac:dyDescent="0.35">
      <c r="A4352" s="52" t="s">
        <v>680</v>
      </c>
      <c r="B4352" s="52" t="s">
        <v>73</v>
      </c>
      <c r="C4352" s="52" t="s">
        <v>324</v>
      </c>
      <c r="D4352" s="52" t="s">
        <v>324</v>
      </c>
      <c r="E4352" s="52" t="s">
        <v>584</v>
      </c>
      <c r="F4352" s="52" t="s">
        <v>581</v>
      </c>
      <c r="G4352" s="55" t="s">
        <v>276</v>
      </c>
      <c r="H4352" s="55">
        <v>-0.15798139999999999</v>
      </c>
      <c r="I4352" s="55">
        <v>-4.917395</v>
      </c>
      <c r="J4352" s="55">
        <v>-0.14162859999999999</v>
      </c>
      <c r="K4352" s="55">
        <v>-4.4320899999999996</v>
      </c>
      <c r="L4352" s="55">
        <v>-0.10730240000000001</v>
      </c>
      <c r="M4352" s="55">
        <v>-0.25543500000000002</v>
      </c>
      <c r="N4352" s="55">
        <v>-0.28343459999999998</v>
      </c>
    </row>
    <row r="4353" spans="1:14" hidden="1" x14ac:dyDescent="0.35">
      <c r="A4353" s="52" t="s">
        <v>680</v>
      </c>
      <c r="B4353" s="52" t="s">
        <v>73</v>
      </c>
      <c r="C4353" s="52" t="s">
        <v>324</v>
      </c>
      <c r="D4353" s="52" t="s">
        <v>324</v>
      </c>
      <c r="E4353" s="52" t="s">
        <v>584</v>
      </c>
      <c r="F4353" s="52" t="s">
        <v>581</v>
      </c>
      <c r="G4353" s="55" t="s">
        <v>277</v>
      </c>
      <c r="H4353" s="55"/>
      <c r="I4353" s="55"/>
      <c r="J4353" s="55"/>
      <c r="K4353" s="55"/>
      <c r="L4353" s="55">
        <v>0</v>
      </c>
      <c r="M4353" s="55">
        <v>3.5000000000000003E-2</v>
      </c>
      <c r="N4353" s="55">
        <v>6.3E-2</v>
      </c>
    </row>
    <row r="4354" spans="1:14" hidden="1" x14ac:dyDescent="0.35">
      <c r="A4354" s="52" t="s">
        <v>680</v>
      </c>
      <c r="B4354" s="52" t="s">
        <v>73</v>
      </c>
      <c r="C4354" s="52" t="s">
        <v>324</v>
      </c>
      <c r="D4354" s="52" t="s">
        <v>324</v>
      </c>
      <c r="E4354" s="52" t="s">
        <v>584</v>
      </c>
      <c r="F4354" s="52" t="s">
        <v>581</v>
      </c>
      <c r="G4354" s="55" t="s">
        <v>278</v>
      </c>
      <c r="H4354" s="55">
        <v>0.180478</v>
      </c>
      <c r="I4354" s="55">
        <v>6.0576309999999998</v>
      </c>
      <c r="J4354" s="55">
        <v>0.14162939999999999</v>
      </c>
      <c r="K4354" s="55">
        <v>4.4320890000000004</v>
      </c>
      <c r="L4354" s="55">
        <v>0.10730240000000001</v>
      </c>
      <c r="M4354" s="55">
        <v>0.2204354</v>
      </c>
      <c r="N4354" s="55">
        <v>0.2204354</v>
      </c>
    </row>
    <row r="4355" spans="1:14" hidden="1" x14ac:dyDescent="0.35">
      <c r="A4355" s="52" t="s">
        <v>680</v>
      </c>
      <c r="B4355" s="52" t="s">
        <v>73</v>
      </c>
      <c r="C4355" s="52" t="s">
        <v>324</v>
      </c>
      <c r="D4355" s="52" t="s">
        <v>324</v>
      </c>
      <c r="E4355" s="52" t="s">
        <v>584</v>
      </c>
      <c r="F4355" s="52" t="s">
        <v>26</v>
      </c>
      <c r="G4355" s="55" t="s">
        <v>275</v>
      </c>
      <c r="H4355" s="55">
        <v>0</v>
      </c>
      <c r="I4355" s="55"/>
      <c r="J4355" s="55"/>
      <c r="K4355" s="55"/>
      <c r="L4355" s="55">
        <v>0</v>
      </c>
      <c r="M4355" s="55"/>
      <c r="N4355" s="55"/>
    </row>
    <row r="4356" spans="1:14" hidden="1" x14ac:dyDescent="0.35">
      <c r="A4356" s="52" t="s">
        <v>680</v>
      </c>
      <c r="B4356" s="52" t="s">
        <v>73</v>
      </c>
      <c r="C4356" s="52" t="s">
        <v>324</v>
      </c>
      <c r="D4356" s="52" t="s">
        <v>324</v>
      </c>
      <c r="E4356" s="52" t="s">
        <v>584</v>
      </c>
      <c r="F4356" s="52" t="s">
        <v>26</v>
      </c>
      <c r="G4356" s="55" t="s">
        <v>276</v>
      </c>
      <c r="H4356" s="55"/>
      <c r="I4356" s="55"/>
      <c r="J4356" s="55"/>
      <c r="K4356" s="55"/>
      <c r="L4356" s="55">
        <v>0</v>
      </c>
      <c r="M4356" s="55"/>
      <c r="N4356" s="55"/>
    </row>
    <row r="4357" spans="1:14" hidden="1" x14ac:dyDescent="0.35">
      <c r="A4357" s="52" t="s">
        <v>680</v>
      </c>
      <c r="B4357" s="52" t="s">
        <v>73</v>
      </c>
      <c r="C4357" s="52" t="s">
        <v>324</v>
      </c>
      <c r="D4357" s="52" t="s">
        <v>324</v>
      </c>
      <c r="E4357" s="52" t="s">
        <v>584</v>
      </c>
      <c r="F4357" s="52" t="s">
        <v>26</v>
      </c>
      <c r="G4357" s="55" t="s">
        <v>277</v>
      </c>
      <c r="H4357" s="55"/>
      <c r="I4357" s="55"/>
      <c r="J4357" s="55"/>
      <c r="K4357" s="55"/>
      <c r="L4357" s="55">
        <v>0</v>
      </c>
      <c r="M4357" s="55">
        <v>0</v>
      </c>
      <c r="N4357" s="55"/>
    </row>
    <row r="4358" spans="1:14" hidden="1" x14ac:dyDescent="0.35">
      <c r="A4358" s="52" t="s">
        <v>680</v>
      </c>
      <c r="B4358" s="52" t="s">
        <v>73</v>
      </c>
      <c r="C4358" s="52" t="s">
        <v>324</v>
      </c>
      <c r="D4358" s="52" t="s">
        <v>324</v>
      </c>
      <c r="E4358" s="52" t="s">
        <v>584</v>
      </c>
      <c r="F4358" s="52" t="s">
        <v>26</v>
      </c>
      <c r="G4358" s="55" t="s">
        <v>278</v>
      </c>
      <c r="H4358" s="55">
        <v>0</v>
      </c>
      <c r="I4358" s="55"/>
      <c r="J4358" s="55">
        <v>0</v>
      </c>
      <c r="K4358" s="55"/>
      <c r="L4358" s="55">
        <v>0</v>
      </c>
      <c r="M4358" s="55"/>
      <c r="N4358" s="55"/>
    </row>
    <row r="4359" spans="1:14" hidden="1" x14ac:dyDescent="0.35">
      <c r="A4359" s="52" t="s">
        <v>680</v>
      </c>
      <c r="B4359" s="52" t="s">
        <v>73</v>
      </c>
      <c r="C4359" s="52" t="s">
        <v>324</v>
      </c>
      <c r="D4359" s="52" t="s">
        <v>827</v>
      </c>
      <c r="E4359" s="52" t="s">
        <v>584</v>
      </c>
      <c r="F4359" s="52" t="s">
        <v>581</v>
      </c>
      <c r="G4359" s="55" t="s">
        <v>275</v>
      </c>
      <c r="H4359" s="55">
        <v>0</v>
      </c>
      <c r="I4359" s="55">
        <v>0</v>
      </c>
      <c r="J4359" s="55">
        <v>0</v>
      </c>
      <c r="K4359" s="55"/>
      <c r="L4359" s="55"/>
      <c r="M4359" s="55"/>
      <c r="N4359" s="55"/>
    </row>
    <row r="4360" spans="1:14" hidden="1" x14ac:dyDescent="0.35">
      <c r="A4360" s="52" t="s">
        <v>680</v>
      </c>
      <c r="B4360" s="52" t="s">
        <v>73</v>
      </c>
      <c r="C4360" s="52" t="s">
        <v>324</v>
      </c>
      <c r="D4360" s="52" t="s">
        <v>827</v>
      </c>
      <c r="E4360" s="52" t="s">
        <v>584</v>
      </c>
      <c r="F4360" s="52" t="s">
        <v>581</v>
      </c>
      <c r="G4360" s="55" t="s">
        <v>276</v>
      </c>
      <c r="H4360" s="55"/>
      <c r="I4360" s="55"/>
      <c r="J4360" s="55">
        <v>0</v>
      </c>
      <c r="K4360" s="55"/>
      <c r="L4360" s="55"/>
      <c r="M4360" s="55"/>
      <c r="N4360" s="55"/>
    </row>
    <row r="4361" spans="1:14" hidden="1" x14ac:dyDescent="0.35">
      <c r="A4361" s="52" t="s">
        <v>680</v>
      </c>
      <c r="B4361" s="52" t="s">
        <v>73</v>
      </c>
      <c r="C4361" s="52" t="s">
        <v>324</v>
      </c>
      <c r="D4361" s="52" t="s">
        <v>828</v>
      </c>
      <c r="E4361" s="52" t="s">
        <v>584</v>
      </c>
      <c r="F4361" s="52" t="s">
        <v>581</v>
      </c>
      <c r="G4361" s="55" t="s">
        <v>275</v>
      </c>
      <c r="H4361" s="55">
        <v>-2.8601499999999998E-2</v>
      </c>
      <c r="I4361" s="55">
        <v>-1.3410500000000001E-2</v>
      </c>
      <c r="J4361" s="55">
        <v>0</v>
      </c>
      <c r="K4361" s="55">
        <v>0</v>
      </c>
      <c r="L4361" s="55">
        <v>0</v>
      </c>
      <c r="M4361" s="55">
        <v>0</v>
      </c>
      <c r="N4361" s="55">
        <v>0</v>
      </c>
    </row>
    <row r="4362" spans="1:14" hidden="1" x14ac:dyDescent="0.35">
      <c r="A4362" s="52" t="s">
        <v>680</v>
      </c>
      <c r="B4362" s="52" t="s">
        <v>73</v>
      </c>
      <c r="C4362" s="52" t="s">
        <v>324</v>
      </c>
      <c r="D4362" s="52" t="s">
        <v>828</v>
      </c>
      <c r="E4362" s="52" t="s">
        <v>584</v>
      </c>
      <c r="F4362" s="52" t="s">
        <v>581</v>
      </c>
      <c r="G4362" s="55" t="s">
        <v>276</v>
      </c>
      <c r="H4362" s="55">
        <v>-0.13079199999999999</v>
      </c>
      <c r="I4362" s="55">
        <v>-9.0714489999999995E-2</v>
      </c>
      <c r="J4362" s="55">
        <v>-0.125083</v>
      </c>
      <c r="K4362" s="55">
        <v>-3.0047820000000001</v>
      </c>
      <c r="L4362" s="55">
        <v>-0.11226700000000001</v>
      </c>
      <c r="M4362" s="55">
        <v>-0.2121825</v>
      </c>
      <c r="N4362" s="55">
        <v>-0.36968200000000001</v>
      </c>
    </row>
    <row r="4363" spans="1:14" hidden="1" x14ac:dyDescent="0.35">
      <c r="A4363" s="52" t="s">
        <v>680</v>
      </c>
      <c r="B4363" s="52" t="s">
        <v>73</v>
      </c>
      <c r="C4363" s="52" t="s">
        <v>324</v>
      </c>
      <c r="D4363" s="52" t="s">
        <v>828</v>
      </c>
      <c r="E4363" s="52" t="s">
        <v>584</v>
      </c>
      <c r="F4363" s="52" t="s">
        <v>581</v>
      </c>
      <c r="G4363" s="55" t="s">
        <v>277</v>
      </c>
      <c r="H4363" s="55"/>
      <c r="I4363" s="55"/>
      <c r="J4363" s="55"/>
      <c r="K4363" s="55">
        <v>0</v>
      </c>
      <c r="L4363" s="55">
        <v>1.7500000000000002E-2</v>
      </c>
      <c r="M4363" s="55">
        <v>1.7500000000000002E-2</v>
      </c>
      <c r="N4363" s="55">
        <v>0.17499999999999999</v>
      </c>
    </row>
    <row r="4364" spans="1:14" hidden="1" x14ac:dyDescent="0.35">
      <c r="A4364" s="52" t="s">
        <v>680</v>
      </c>
      <c r="B4364" s="52" t="s">
        <v>73</v>
      </c>
      <c r="C4364" s="52" t="s">
        <v>324</v>
      </c>
      <c r="D4364" s="52" t="s">
        <v>828</v>
      </c>
      <c r="E4364" s="52" t="s">
        <v>584</v>
      </c>
      <c r="F4364" s="52" t="s">
        <v>581</v>
      </c>
      <c r="G4364" s="55" t="s">
        <v>278</v>
      </c>
      <c r="H4364" s="55">
        <v>0.15939349999999999</v>
      </c>
      <c r="I4364" s="55">
        <v>0.104125</v>
      </c>
      <c r="J4364" s="55">
        <v>0.125083</v>
      </c>
      <c r="K4364" s="55">
        <v>3.0047809999999999</v>
      </c>
      <c r="L4364" s="55">
        <v>9.4767000000000004E-2</v>
      </c>
      <c r="M4364" s="55">
        <v>0.19468250000000001</v>
      </c>
      <c r="N4364" s="55">
        <v>0.19468250000000001</v>
      </c>
    </row>
    <row r="4365" spans="1:14" hidden="1" x14ac:dyDescent="0.35">
      <c r="A4365" s="52" t="s">
        <v>680</v>
      </c>
      <c r="B4365" s="52" t="s">
        <v>73</v>
      </c>
      <c r="C4365" s="52" t="s">
        <v>324</v>
      </c>
      <c r="D4365" s="52" t="s">
        <v>828</v>
      </c>
      <c r="E4365" s="52" t="s">
        <v>584</v>
      </c>
      <c r="F4365" s="52" t="s">
        <v>581</v>
      </c>
      <c r="G4365" s="55" t="s">
        <v>279</v>
      </c>
      <c r="H4365" s="55"/>
      <c r="I4365" s="55"/>
      <c r="J4365" s="55"/>
      <c r="K4365" s="55"/>
      <c r="L4365" s="55"/>
      <c r="M4365" s="55"/>
      <c r="N4365" s="55">
        <v>0</v>
      </c>
    </row>
    <row r="4366" spans="1:14" hidden="1" x14ac:dyDescent="0.35">
      <c r="A4366" s="52" t="s">
        <v>680</v>
      </c>
      <c r="B4366" s="52" t="s">
        <v>73</v>
      </c>
      <c r="C4366" s="52" t="s">
        <v>324</v>
      </c>
      <c r="D4366" s="52" t="s">
        <v>828</v>
      </c>
      <c r="E4366" s="52" t="s">
        <v>584</v>
      </c>
      <c r="F4366" s="52" t="s">
        <v>26</v>
      </c>
      <c r="G4366" s="55" t="s">
        <v>275</v>
      </c>
      <c r="H4366" s="55"/>
      <c r="I4366" s="55"/>
      <c r="J4366" s="55"/>
      <c r="K4366" s="55"/>
      <c r="L4366" s="55"/>
      <c r="M4366" s="55"/>
      <c r="N4366" s="55">
        <v>0</v>
      </c>
    </row>
    <row r="4367" spans="1:14" hidden="1" x14ac:dyDescent="0.35">
      <c r="A4367" s="52" t="s">
        <v>680</v>
      </c>
      <c r="B4367" s="52" t="s">
        <v>73</v>
      </c>
      <c r="C4367" s="52" t="s">
        <v>324</v>
      </c>
      <c r="D4367" s="52" t="s">
        <v>828</v>
      </c>
      <c r="E4367" s="52" t="s">
        <v>584</v>
      </c>
      <c r="F4367" s="52" t="s">
        <v>26</v>
      </c>
      <c r="G4367" s="55" t="s">
        <v>276</v>
      </c>
      <c r="H4367" s="55"/>
      <c r="I4367" s="55"/>
      <c r="J4367" s="55"/>
      <c r="K4367" s="55"/>
      <c r="L4367" s="55"/>
      <c r="M4367" s="55"/>
      <c r="N4367" s="55">
        <v>0</v>
      </c>
    </row>
    <row r="4368" spans="1:14" hidden="1" x14ac:dyDescent="0.35">
      <c r="A4368" s="52" t="s">
        <v>680</v>
      </c>
      <c r="B4368" s="52" t="s">
        <v>73</v>
      </c>
      <c r="C4368" s="52" t="s">
        <v>324</v>
      </c>
      <c r="D4368" s="52" t="s">
        <v>828</v>
      </c>
      <c r="E4368" s="52" t="s">
        <v>584</v>
      </c>
      <c r="F4368" s="52" t="s">
        <v>26</v>
      </c>
      <c r="G4368" s="55" t="s">
        <v>279</v>
      </c>
      <c r="H4368" s="55"/>
      <c r="I4368" s="55"/>
      <c r="J4368" s="55"/>
      <c r="K4368" s="55"/>
      <c r="L4368" s="55"/>
      <c r="M4368" s="55"/>
      <c r="N4368" s="55">
        <v>0</v>
      </c>
    </row>
    <row r="4369" spans="1:14" hidden="1" x14ac:dyDescent="0.35">
      <c r="A4369" s="52" t="s">
        <v>680</v>
      </c>
      <c r="B4369" s="52" t="s">
        <v>73</v>
      </c>
      <c r="C4369" s="52" t="s">
        <v>831</v>
      </c>
      <c r="D4369" s="52" t="s">
        <v>831</v>
      </c>
      <c r="E4369" s="52" t="s">
        <v>584</v>
      </c>
      <c r="F4369" s="52" t="s">
        <v>581</v>
      </c>
      <c r="G4369" s="55" t="s">
        <v>275</v>
      </c>
      <c r="H4369" s="55">
        <v>-8.3249989999999998E-4</v>
      </c>
      <c r="I4369" s="55">
        <v>7.2600089999999996E-5</v>
      </c>
      <c r="J4369" s="55">
        <v>1.4361000000000001E-3</v>
      </c>
      <c r="K4369" s="55">
        <v>7.1069989999999995E-4</v>
      </c>
      <c r="L4369" s="55">
        <v>0</v>
      </c>
      <c r="M4369" s="55">
        <v>0</v>
      </c>
      <c r="N4369" s="55">
        <v>0</v>
      </c>
    </row>
    <row r="4370" spans="1:14" hidden="1" x14ac:dyDescent="0.35">
      <c r="A4370" s="52" t="s">
        <v>680</v>
      </c>
      <c r="B4370" s="52" t="s">
        <v>73</v>
      </c>
      <c r="C4370" s="52" t="s">
        <v>831</v>
      </c>
      <c r="D4370" s="52" t="s">
        <v>831</v>
      </c>
      <c r="E4370" s="52" t="s">
        <v>584</v>
      </c>
      <c r="F4370" s="52" t="s">
        <v>581</v>
      </c>
      <c r="G4370" s="55" t="s">
        <v>276</v>
      </c>
      <c r="H4370" s="55">
        <v>-1.6686300000000001E-2</v>
      </c>
      <c r="I4370" s="55">
        <v>-1.15167E-2</v>
      </c>
      <c r="J4370" s="55">
        <v>0</v>
      </c>
      <c r="K4370" s="55">
        <v>0</v>
      </c>
      <c r="L4370" s="55">
        <v>0</v>
      </c>
      <c r="M4370" s="55">
        <v>0</v>
      </c>
      <c r="N4370" s="55">
        <v>0</v>
      </c>
    </row>
    <row r="4371" spans="1:14" hidden="1" x14ac:dyDescent="0.35">
      <c r="A4371" s="52" t="s">
        <v>680</v>
      </c>
      <c r="B4371" s="52" t="s">
        <v>73</v>
      </c>
      <c r="C4371" s="52" t="s">
        <v>831</v>
      </c>
      <c r="D4371" s="52" t="s">
        <v>831</v>
      </c>
      <c r="E4371" s="52" t="s">
        <v>584</v>
      </c>
      <c r="F4371" s="52" t="s">
        <v>581</v>
      </c>
      <c r="G4371" s="55" t="s">
        <v>278</v>
      </c>
      <c r="H4371" s="55">
        <v>1.7518800000000001E-2</v>
      </c>
      <c r="I4371" s="55">
        <v>1.14444E-2</v>
      </c>
      <c r="J4371" s="55">
        <v>0</v>
      </c>
      <c r="K4371" s="55">
        <v>0</v>
      </c>
      <c r="L4371" s="55">
        <v>0</v>
      </c>
      <c r="M4371" s="55">
        <v>0</v>
      </c>
      <c r="N4371" s="55"/>
    </row>
    <row r="4372" spans="1:14" hidden="1" x14ac:dyDescent="0.35">
      <c r="A4372" s="52" t="s">
        <v>680</v>
      </c>
      <c r="B4372" s="52" t="s">
        <v>73</v>
      </c>
      <c r="C4372" s="52" t="s">
        <v>339</v>
      </c>
      <c r="D4372" s="52" t="s">
        <v>339</v>
      </c>
      <c r="E4372" s="52" t="s">
        <v>584</v>
      </c>
      <c r="F4372" s="52" t="s">
        <v>581</v>
      </c>
      <c r="G4372" s="55" t="s">
        <v>275</v>
      </c>
      <c r="H4372" s="55">
        <v>-1.8864000000000001E-3</v>
      </c>
      <c r="I4372" s="55">
        <v>1.6479989999999999E-4</v>
      </c>
      <c r="J4372" s="55">
        <v>0</v>
      </c>
      <c r="K4372" s="55">
        <v>0</v>
      </c>
      <c r="L4372" s="55">
        <v>0</v>
      </c>
      <c r="M4372" s="55">
        <v>0</v>
      </c>
      <c r="N4372" s="55">
        <v>0</v>
      </c>
    </row>
    <row r="4373" spans="1:14" hidden="1" x14ac:dyDescent="0.35">
      <c r="A4373" s="52" t="s">
        <v>680</v>
      </c>
      <c r="B4373" s="52" t="s">
        <v>73</v>
      </c>
      <c r="C4373" s="52" t="s">
        <v>339</v>
      </c>
      <c r="D4373" s="52" t="s">
        <v>339</v>
      </c>
      <c r="E4373" s="52" t="s">
        <v>584</v>
      </c>
      <c r="F4373" s="52" t="s">
        <v>581</v>
      </c>
      <c r="G4373" s="55" t="s">
        <v>276</v>
      </c>
      <c r="H4373" s="55">
        <v>-3.7811999999999998E-2</v>
      </c>
      <c r="I4373" s="55">
        <v>-2.6098400000000001E-2</v>
      </c>
      <c r="J4373" s="55">
        <v>-3.0385909999999998</v>
      </c>
      <c r="K4373" s="55">
        <v>-2.6308000000000002E-2</v>
      </c>
      <c r="L4373" s="55">
        <v>-2.360199E-2</v>
      </c>
      <c r="M4373" s="55">
        <v>-4.8487599999999999E-2</v>
      </c>
      <c r="N4373" s="55">
        <v>-4.8488000000000003E-2</v>
      </c>
    </row>
    <row r="4374" spans="1:14" hidden="1" x14ac:dyDescent="0.35">
      <c r="A4374" s="52" t="s">
        <v>680</v>
      </c>
      <c r="B4374" s="52" t="s">
        <v>73</v>
      </c>
      <c r="C4374" s="52" t="s">
        <v>339</v>
      </c>
      <c r="D4374" s="52" t="s">
        <v>339</v>
      </c>
      <c r="E4374" s="52" t="s">
        <v>584</v>
      </c>
      <c r="F4374" s="52" t="s">
        <v>581</v>
      </c>
      <c r="G4374" s="55" t="s">
        <v>278</v>
      </c>
      <c r="H4374" s="55">
        <v>3.9698799999999999E-2</v>
      </c>
      <c r="I4374" s="55">
        <v>2.5933600000000001E-2</v>
      </c>
      <c r="J4374" s="55">
        <v>3.038592</v>
      </c>
      <c r="K4374" s="55">
        <v>2.6308399999999999E-2</v>
      </c>
      <c r="L4374" s="55">
        <v>2.36028E-2</v>
      </c>
      <c r="M4374" s="55">
        <v>4.8488000000000003E-2</v>
      </c>
      <c r="N4374" s="55">
        <v>4.8488000000000003E-2</v>
      </c>
    </row>
    <row r="4375" spans="1:14" hidden="1" x14ac:dyDescent="0.35">
      <c r="A4375" s="52" t="s">
        <v>680</v>
      </c>
      <c r="B4375" s="52" t="s">
        <v>73</v>
      </c>
      <c r="C4375" s="52" t="s">
        <v>339</v>
      </c>
      <c r="D4375" s="52" t="s">
        <v>829</v>
      </c>
      <c r="E4375" s="52" t="s">
        <v>584</v>
      </c>
      <c r="F4375" s="52" t="s">
        <v>581</v>
      </c>
      <c r="G4375" s="55" t="s">
        <v>275</v>
      </c>
      <c r="H4375" s="55">
        <v>-1.16712E-2</v>
      </c>
      <c r="I4375" s="55">
        <v>1.017602E-3</v>
      </c>
      <c r="J4375" s="55">
        <v>0</v>
      </c>
      <c r="K4375" s="55">
        <v>0</v>
      </c>
      <c r="L4375" s="55">
        <v>0</v>
      </c>
      <c r="M4375" s="55">
        <v>0</v>
      </c>
      <c r="N4375" s="55">
        <v>0</v>
      </c>
    </row>
    <row r="4376" spans="1:14" hidden="1" x14ac:dyDescent="0.35">
      <c r="A4376" s="52" t="s">
        <v>680</v>
      </c>
      <c r="B4376" s="52" t="s">
        <v>73</v>
      </c>
      <c r="C4376" s="52" t="s">
        <v>339</v>
      </c>
      <c r="D4376" s="52" t="s">
        <v>829</v>
      </c>
      <c r="E4376" s="52" t="s">
        <v>584</v>
      </c>
      <c r="F4376" s="52" t="s">
        <v>581</v>
      </c>
      <c r="G4376" s="55" t="s">
        <v>276</v>
      </c>
      <c r="H4376" s="55">
        <v>-0.2339088</v>
      </c>
      <c r="I4376" s="55">
        <v>-0.1614448</v>
      </c>
      <c r="J4376" s="55">
        <v>-4.476038</v>
      </c>
      <c r="K4376" s="55">
        <v>-4.0088810000000002E-2</v>
      </c>
      <c r="L4376" s="55">
        <v>-3.5966400000000003E-2</v>
      </c>
      <c r="M4376" s="55">
        <v>-8.7886800000000001E-2</v>
      </c>
      <c r="N4376" s="55">
        <v>-8.7886800000000001E-2</v>
      </c>
    </row>
    <row r="4377" spans="1:14" hidden="1" x14ac:dyDescent="0.35">
      <c r="A4377" s="52" t="s">
        <v>680</v>
      </c>
      <c r="B4377" s="52" t="s">
        <v>73</v>
      </c>
      <c r="C4377" s="52" t="s">
        <v>339</v>
      </c>
      <c r="D4377" s="52" t="s">
        <v>829</v>
      </c>
      <c r="E4377" s="52" t="s">
        <v>584</v>
      </c>
      <c r="F4377" s="52" t="s">
        <v>581</v>
      </c>
      <c r="G4377" s="55" t="s">
        <v>277</v>
      </c>
      <c r="H4377" s="55"/>
      <c r="I4377" s="55"/>
      <c r="J4377" s="55"/>
      <c r="K4377" s="55"/>
      <c r="L4377" s="55">
        <v>0</v>
      </c>
      <c r="M4377" s="55">
        <v>1.4E-2</v>
      </c>
      <c r="N4377" s="55">
        <v>1.4E-2</v>
      </c>
    </row>
    <row r="4378" spans="1:14" hidden="1" x14ac:dyDescent="0.35">
      <c r="A4378" s="52" t="s">
        <v>680</v>
      </c>
      <c r="B4378" s="52" t="s">
        <v>73</v>
      </c>
      <c r="C4378" s="52" t="s">
        <v>339</v>
      </c>
      <c r="D4378" s="52" t="s">
        <v>829</v>
      </c>
      <c r="E4378" s="52" t="s">
        <v>584</v>
      </c>
      <c r="F4378" s="52" t="s">
        <v>581</v>
      </c>
      <c r="G4378" s="55" t="s">
        <v>278</v>
      </c>
      <c r="H4378" s="55">
        <v>0.2455804</v>
      </c>
      <c r="I4378" s="55">
        <v>0.16042719999999999</v>
      </c>
      <c r="J4378" s="55">
        <v>4.476038</v>
      </c>
      <c r="K4378" s="55">
        <v>4.0089199999999998E-2</v>
      </c>
      <c r="L4378" s="55">
        <v>3.5966400000000003E-2</v>
      </c>
      <c r="M4378" s="55">
        <v>7.3886800000000002E-2</v>
      </c>
      <c r="N4378" s="55">
        <v>7.3886800000000002E-2</v>
      </c>
    </row>
    <row r="4379" spans="1:14" hidden="1" x14ac:dyDescent="0.35">
      <c r="A4379" s="52" t="s">
        <v>680</v>
      </c>
      <c r="B4379" s="52" t="s">
        <v>73</v>
      </c>
      <c r="C4379" s="52" t="s">
        <v>339</v>
      </c>
      <c r="D4379" s="52" t="s">
        <v>382</v>
      </c>
      <c r="E4379" s="52" t="s">
        <v>584</v>
      </c>
      <c r="F4379" s="52" t="s">
        <v>581</v>
      </c>
      <c r="G4379" s="55" t="s">
        <v>275</v>
      </c>
      <c r="H4379" s="55">
        <v>-2.1995999999999999E-3</v>
      </c>
      <c r="I4379" s="55">
        <v>-0.60998090000000005</v>
      </c>
      <c r="J4379" s="55">
        <v>0</v>
      </c>
      <c r="K4379" s="55">
        <v>0</v>
      </c>
      <c r="L4379" s="55">
        <v>0</v>
      </c>
      <c r="M4379" s="55">
        <v>0</v>
      </c>
      <c r="N4379" s="55">
        <v>0</v>
      </c>
    </row>
    <row r="4380" spans="1:14" hidden="1" x14ac:dyDescent="0.35">
      <c r="A4380" s="52" t="s">
        <v>680</v>
      </c>
      <c r="B4380" s="52" t="s">
        <v>73</v>
      </c>
      <c r="C4380" s="52" t="s">
        <v>339</v>
      </c>
      <c r="D4380" s="52" t="s">
        <v>382</v>
      </c>
      <c r="E4380" s="52" t="s">
        <v>584</v>
      </c>
      <c r="F4380" s="52" t="s">
        <v>581</v>
      </c>
      <c r="G4380" s="55" t="s">
        <v>276</v>
      </c>
      <c r="H4380" s="55">
        <v>-4.4086199999999999E-2</v>
      </c>
      <c r="I4380" s="55">
        <v>-2.6168849999999999</v>
      </c>
      <c r="J4380" s="55">
        <v>-3.6323099999999997E-2</v>
      </c>
      <c r="K4380" s="55">
        <v>-3.0673789999999999E-2</v>
      </c>
      <c r="L4380" s="55">
        <v>-2.7518999999999998E-2</v>
      </c>
      <c r="M4380" s="55">
        <v>-5.6533199999999999E-2</v>
      </c>
      <c r="N4380" s="55">
        <v>-5.6533489999999999E-2</v>
      </c>
    </row>
    <row r="4381" spans="1:14" hidden="1" x14ac:dyDescent="0.35">
      <c r="A4381" s="52" t="s">
        <v>680</v>
      </c>
      <c r="B4381" s="52" t="s">
        <v>73</v>
      </c>
      <c r="C4381" s="52" t="s">
        <v>339</v>
      </c>
      <c r="D4381" s="52" t="s">
        <v>382</v>
      </c>
      <c r="E4381" s="52" t="s">
        <v>584</v>
      </c>
      <c r="F4381" s="52" t="s">
        <v>581</v>
      </c>
      <c r="G4381" s="55" t="s">
        <v>277</v>
      </c>
      <c r="H4381" s="55"/>
      <c r="I4381" s="55"/>
      <c r="J4381" s="55"/>
      <c r="K4381" s="55"/>
      <c r="L4381" s="55"/>
      <c r="M4381" s="55"/>
      <c r="N4381" s="55">
        <v>0</v>
      </c>
    </row>
    <row r="4382" spans="1:14" hidden="1" x14ac:dyDescent="0.35">
      <c r="A4382" s="52" t="s">
        <v>680</v>
      </c>
      <c r="B4382" s="52" t="s">
        <v>73</v>
      </c>
      <c r="C4382" s="52" t="s">
        <v>339</v>
      </c>
      <c r="D4382" s="52" t="s">
        <v>382</v>
      </c>
      <c r="E4382" s="52" t="s">
        <v>584</v>
      </c>
      <c r="F4382" s="52" t="s">
        <v>581</v>
      </c>
      <c r="G4382" s="55" t="s">
        <v>278</v>
      </c>
      <c r="H4382" s="55">
        <v>4.6286099999999997E-2</v>
      </c>
      <c r="I4382" s="55">
        <v>3.2268659999999998</v>
      </c>
      <c r="J4382" s="55">
        <v>3.6322800000000002E-2</v>
      </c>
      <c r="K4382" s="55">
        <v>3.0673800000000001E-2</v>
      </c>
      <c r="L4382" s="55">
        <v>2.75193E-2</v>
      </c>
      <c r="M4382" s="55">
        <v>5.65335E-2</v>
      </c>
      <c r="N4382" s="55">
        <v>5.65335E-2</v>
      </c>
    </row>
    <row r="4383" spans="1:14" hidden="1" x14ac:dyDescent="0.35">
      <c r="A4383" s="52" t="s">
        <v>680</v>
      </c>
      <c r="B4383" s="52" t="s">
        <v>73</v>
      </c>
      <c r="C4383" s="52" t="s">
        <v>339</v>
      </c>
      <c r="D4383" s="52" t="s">
        <v>340</v>
      </c>
      <c r="E4383" s="52" t="s">
        <v>584</v>
      </c>
      <c r="F4383" s="52" t="s">
        <v>581</v>
      </c>
      <c r="G4383" s="55" t="s">
        <v>275</v>
      </c>
      <c r="H4383" s="55">
        <v>-7.362501</v>
      </c>
      <c r="I4383" s="55">
        <v>1.663921</v>
      </c>
      <c r="J4383" s="55">
        <v>1.661729</v>
      </c>
      <c r="K4383" s="55">
        <v>1.661924</v>
      </c>
      <c r="L4383" s="55">
        <v>-2.1670000000000001E-3</v>
      </c>
      <c r="M4383" s="55">
        <v>-3.6624999999999998E-2</v>
      </c>
      <c r="N4383" s="55">
        <v>-3.0529199999999999E-2</v>
      </c>
    </row>
    <row r="4384" spans="1:14" hidden="1" x14ac:dyDescent="0.35">
      <c r="A4384" s="52" t="s">
        <v>680</v>
      </c>
      <c r="B4384" s="52" t="s">
        <v>73</v>
      </c>
      <c r="C4384" s="52" t="s">
        <v>339</v>
      </c>
      <c r="D4384" s="52" t="s">
        <v>340</v>
      </c>
      <c r="E4384" s="52" t="s">
        <v>584</v>
      </c>
      <c r="F4384" s="52" t="s">
        <v>581</v>
      </c>
      <c r="G4384" s="55" t="s">
        <v>276</v>
      </c>
      <c r="H4384" s="55">
        <v>-33.698390000000003</v>
      </c>
      <c r="I4384" s="55">
        <v>-1.6909810000000001</v>
      </c>
      <c r="J4384" s="55">
        <v>-1.6942349999999999</v>
      </c>
      <c r="K4384" s="55">
        <v>-1.689376</v>
      </c>
      <c r="L4384" s="55">
        <v>-2.2461600000000002E-2</v>
      </c>
      <c r="M4384" s="55">
        <v>-4.8969400000000003E-2</v>
      </c>
      <c r="N4384" s="55">
        <v>-5.5065410000000002E-2</v>
      </c>
    </row>
    <row r="4385" spans="1:14" hidden="1" x14ac:dyDescent="0.35">
      <c r="A4385" s="52" t="s">
        <v>680</v>
      </c>
      <c r="B4385" s="52" t="s">
        <v>73</v>
      </c>
      <c r="C4385" s="52" t="s">
        <v>339</v>
      </c>
      <c r="D4385" s="52" t="s">
        <v>340</v>
      </c>
      <c r="E4385" s="52" t="s">
        <v>584</v>
      </c>
      <c r="F4385" s="52" t="s">
        <v>581</v>
      </c>
      <c r="G4385" s="55" t="s">
        <v>277</v>
      </c>
      <c r="H4385" s="55"/>
      <c r="I4385" s="55"/>
      <c r="J4385" s="55"/>
      <c r="K4385" s="55"/>
      <c r="L4385" s="55">
        <v>0</v>
      </c>
      <c r="M4385" s="55">
        <v>3.5000000000000003E-2</v>
      </c>
      <c r="N4385" s="55">
        <v>3.5000000000000003E-2</v>
      </c>
    </row>
    <row r="4386" spans="1:14" hidden="1" x14ac:dyDescent="0.35">
      <c r="A4386" s="52" t="s">
        <v>680</v>
      </c>
      <c r="B4386" s="52" t="s">
        <v>73</v>
      </c>
      <c r="C4386" s="52" t="s">
        <v>339</v>
      </c>
      <c r="D4386" s="52" t="s">
        <v>340</v>
      </c>
      <c r="E4386" s="52" t="s">
        <v>584</v>
      </c>
      <c r="F4386" s="52" t="s">
        <v>581</v>
      </c>
      <c r="G4386" s="55" t="s">
        <v>278</v>
      </c>
      <c r="H4386" s="55">
        <v>41.060890000000001</v>
      </c>
      <c r="I4386" s="55">
        <v>2.7060399999999998E-2</v>
      </c>
      <c r="J4386" s="55">
        <v>3.2507000000000001E-2</v>
      </c>
      <c r="K4386" s="55">
        <v>2.74516E-2</v>
      </c>
      <c r="L4386" s="55">
        <v>2.4628400000000002E-2</v>
      </c>
      <c r="M4386" s="55">
        <v>5.0594600000000003E-2</v>
      </c>
      <c r="N4386" s="55">
        <v>5.0594600000000003E-2</v>
      </c>
    </row>
    <row r="4387" spans="1:14" hidden="1" x14ac:dyDescent="0.35">
      <c r="A4387" s="52" t="s">
        <v>680</v>
      </c>
      <c r="B4387" s="52" t="s">
        <v>73</v>
      </c>
      <c r="C4387" s="52" t="s">
        <v>155</v>
      </c>
      <c r="D4387" s="52" t="s">
        <v>358</v>
      </c>
      <c r="E4387" s="52" t="s">
        <v>584</v>
      </c>
      <c r="F4387" s="52" t="s">
        <v>581</v>
      </c>
      <c r="G4387" s="55" t="s">
        <v>275</v>
      </c>
      <c r="H4387" s="55">
        <v>19.561199999999999</v>
      </c>
      <c r="I4387" s="55">
        <v>-1.71488</v>
      </c>
      <c r="J4387" s="55">
        <v>0</v>
      </c>
      <c r="K4387" s="55">
        <v>0</v>
      </c>
      <c r="L4387" s="55">
        <v>0</v>
      </c>
      <c r="M4387" s="55">
        <v>0</v>
      </c>
      <c r="N4387" s="55">
        <v>0</v>
      </c>
    </row>
    <row r="4388" spans="1:14" hidden="1" x14ac:dyDescent="0.35">
      <c r="A4388" s="52" t="s">
        <v>680</v>
      </c>
      <c r="B4388" s="52" t="s">
        <v>73</v>
      </c>
      <c r="C4388" s="52" t="s">
        <v>155</v>
      </c>
      <c r="D4388" s="52" t="s">
        <v>358</v>
      </c>
      <c r="E4388" s="52" t="s">
        <v>584</v>
      </c>
      <c r="F4388" s="52" t="s">
        <v>581</v>
      </c>
      <c r="G4388" s="55" t="s">
        <v>276</v>
      </c>
      <c r="H4388" s="55">
        <v>-72.896990000000002</v>
      </c>
      <c r="I4388" s="55">
        <v>-42.86036</v>
      </c>
      <c r="J4388" s="55">
        <v>-2.4222960000000002E-2</v>
      </c>
      <c r="K4388" s="55">
        <v>-2.5632599999999998E-2</v>
      </c>
      <c r="L4388" s="55">
        <v>-0.12705830000000001</v>
      </c>
      <c r="M4388" s="55">
        <v>-3.8068949999999997E-2</v>
      </c>
      <c r="N4388" s="55">
        <v>-3.6923860000000002E-4</v>
      </c>
    </row>
    <row r="4389" spans="1:14" hidden="1" x14ac:dyDescent="0.35">
      <c r="A4389" s="52" t="s">
        <v>680</v>
      </c>
      <c r="B4389" s="52" t="s">
        <v>73</v>
      </c>
      <c r="C4389" s="52" t="s">
        <v>155</v>
      </c>
      <c r="D4389" s="52" t="s">
        <v>358</v>
      </c>
      <c r="E4389" s="52" t="s">
        <v>584</v>
      </c>
      <c r="F4389" s="52" t="s">
        <v>581</v>
      </c>
      <c r="G4389" s="55" t="s">
        <v>277</v>
      </c>
      <c r="H4389" s="55">
        <v>0.61494930000000003</v>
      </c>
      <c r="I4389" s="55">
        <v>0.35699999999999998</v>
      </c>
      <c r="J4389" s="55">
        <v>0</v>
      </c>
      <c r="K4389" s="55">
        <v>5.1764999999999997E-3</v>
      </c>
      <c r="L4389" s="55">
        <v>0.1087065</v>
      </c>
      <c r="M4389" s="55">
        <v>0</v>
      </c>
      <c r="N4389" s="55"/>
    </row>
    <row r="4390" spans="1:14" hidden="1" x14ac:dyDescent="0.35">
      <c r="A4390" s="52" t="s">
        <v>680</v>
      </c>
      <c r="B4390" s="52" t="s">
        <v>73</v>
      </c>
      <c r="C4390" s="52" t="s">
        <v>155</v>
      </c>
      <c r="D4390" s="52" t="s">
        <v>358</v>
      </c>
      <c r="E4390" s="52" t="s">
        <v>584</v>
      </c>
      <c r="F4390" s="52" t="s">
        <v>581</v>
      </c>
      <c r="G4390" s="55" t="s">
        <v>278</v>
      </c>
      <c r="H4390" s="55">
        <v>3.0866729999999998E-2</v>
      </c>
      <c r="I4390" s="55">
        <v>2.016387E-2</v>
      </c>
      <c r="J4390" s="55">
        <v>2.422245E-2</v>
      </c>
      <c r="K4390" s="55">
        <v>2.0455589999999999E-2</v>
      </c>
      <c r="L4390" s="55">
        <v>1.8351840000000001E-2</v>
      </c>
      <c r="M4390" s="55">
        <v>3.7700730000000002E-2</v>
      </c>
      <c r="N4390" s="55">
        <v>0</v>
      </c>
    </row>
    <row r="4391" spans="1:14" hidden="1" x14ac:dyDescent="0.35">
      <c r="A4391" s="52" t="s">
        <v>680</v>
      </c>
      <c r="B4391" s="52" t="s">
        <v>73</v>
      </c>
      <c r="C4391" s="52" t="s">
        <v>155</v>
      </c>
      <c r="D4391" s="52" t="s">
        <v>358</v>
      </c>
      <c r="E4391" s="52" t="s">
        <v>584</v>
      </c>
      <c r="F4391" s="52" t="s">
        <v>581</v>
      </c>
      <c r="G4391" s="55" t="s">
        <v>279</v>
      </c>
      <c r="H4391" s="55">
        <v>52.689979999999998</v>
      </c>
      <c r="I4391" s="55">
        <v>44.198070000000001</v>
      </c>
      <c r="J4391" s="55">
        <v>0</v>
      </c>
      <c r="K4391" s="55"/>
      <c r="L4391" s="55">
        <v>0</v>
      </c>
      <c r="M4391" s="55">
        <v>3.6975000000000002E-4</v>
      </c>
      <c r="N4391" s="55">
        <v>3.6924000000000001E-4</v>
      </c>
    </row>
    <row r="4392" spans="1:14" hidden="1" x14ac:dyDescent="0.35">
      <c r="A4392" s="52" t="s">
        <v>680</v>
      </c>
      <c r="B4392" s="52" t="s">
        <v>73</v>
      </c>
      <c r="C4392" s="52" t="s">
        <v>155</v>
      </c>
      <c r="D4392" s="52" t="s">
        <v>358</v>
      </c>
      <c r="E4392" s="52" t="s">
        <v>584</v>
      </c>
      <c r="F4392" s="52" t="s">
        <v>26</v>
      </c>
      <c r="G4392" s="55" t="s">
        <v>275</v>
      </c>
      <c r="H4392" s="55"/>
      <c r="I4392" s="55"/>
      <c r="J4392" s="55"/>
      <c r="K4392" s="55"/>
      <c r="L4392" s="55">
        <v>0</v>
      </c>
      <c r="M4392" s="55">
        <v>0</v>
      </c>
      <c r="N4392" s="55">
        <v>0</v>
      </c>
    </row>
    <row r="4393" spans="1:14" hidden="1" x14ac:dyDescent="0.35">
      <c r="A4393" s="52" t="s">
        <v>680</v>
      </c>
      <c r="B4393" s="52" t="s">
        <v>73</v>
      </c>
      <c r="C4393" s="52" t="s">
        <v>155</v>
      </c>
      <c r="D4393" s="52" t="s">
        <v>358</v>
      </c>
      <c r="E4393" s="52" t="s">
        <v>584</v>
      </c>
      <c r="F4393" s="52" t="s">
        <v>26</v>
      </c>
      <c r="G4393" s="55" t="s">
        <v>276</v>
      </c>
      <c r="H4393" s="55"/>
      <c r="I4393" s="55"/>
      <c r="J4393" s="55"/>
      <c r="K4393" s="55"/>
      <c r="L4393" s="55">
        <v>0</v>
      </c>
      <c r="M4393" s="55">
        <v>-1.6982999999999999E-4</v>
      </c>
      <c r="N4393" s="55">
        <v>-1.7085000000000001E-4</v>
      </c>
    </row>
    <row r="4394" spans="1:14" hidden="1" x14ac:dyDescent="0.35">
      <c r="A4394" s="52" t="s">
        <v>680</v>
      </c>
      <c r="B4394" s="52" t="s">
        <v>73</v>
      </c>
      <c r="C4394" s="52" t="s">
        <v>155</v>
      </c>
      <c r="D4394" s="52" t="s">
        <v>358</v>
      </c>
      <c r="E4394" s="52" t="s">
        <v>584</v>
      </c>
      <c r="F4394" s="52" t="s">
        <v>26</v>
      </c>
      <c r="G4394" s="55" t="s">
        <v>277</v>
      </c>
      <c r="H4394" s="55"/>
      <c r="I4394" s="55"/>
      <c r="J4394" s="55"/>
      <c r="K4394" s="55"/>
      <c r="L4394" s="55">
        <v>0</v>
      </c>
      <c r="M4394" s="55"/>
      <c r="N4394" s="55"/>
    </row>
    <row r="4395" spans="1:14" hidden="1" x14ac:dyDescent="0.35">
      <c r="A4395" s="52" t="s">
        <v>680</v>
      </c>
      <c r="B4395" s="52" t="s">
        <v>73</v>
      </c>
      <c r="C4395" s="52" t="s">
        <v>155</v>
      </c>
      <c r="D4395" s="52" t="s">
        <v>358</v>
      </c>
      <c r="E4395" s="52" t="s">
        <v>584</v>
      </c>
      <c r="F4395" s="52" t="s">
        <v>26</v>
      </c>
      <c r="G4395" s="55" t="s">
        <v>279</v>
      </c>
      <c r="H4395" s="55"/>
      <c r="I4395" s="55"/>
      <c r="J4395" s="55"/>
      <c r="K4395" s="55"/>
      <c r="L4395" s="55">
        <v>0</v>
      </c>
      <c r="M4395" s="55">
        <v>1.6982999999999999E-4</v>
      </c>
      <c r="N4395" s="55">
        <v>1.7034E-4</v>
      </c>
    </row>
    <row r="4396" spans="1:14" hidden="1" x14ac:dyDescent="0.35">
      <c r="A4396" s="52" t="s">
        <v>680</v>
      </c>
      <c r="B4396" s="52" t="s">
        <v>73</v>
      </c>
      <c r="C4396" s="52" t="s">
        <v>182</v>
      </c>
      <c r="D4396" s="52" t="s">
        <v>183</v>
      </c>
      <c r="E4396" s="52" t="s">
        <v>584</v>
      </c>
      <c r="F4396" s="52" t="s">
        <v>581</v>
      </c>
      <c r="G4396" s="55" t="s">
        <v>275</v>
      </c>
      <c r="H4396" s="55">
        <v>-1.3585E-2</v>
      </c>
      <c r="I4396" s="55">
        <v>-5.8777009999999999E-3</v>
      </c>
      <c r="J4396" s="55">
        <v>0</v>
      </c>
      <c r="K4396" s="55">
        <v>0</v>
      </c>
      <c r="L4396" s="55">
        <v>0</v>
      </c>
      <c r="M4396" s="55">
        <v>0</v>
      </c>
      <c r="N4396" s="55">
        <v>0</v>
      </c>
    </row>
    <row r="4397" spans="1:14" hidden="1" x14ac:dyDescent="0.35">
      <c r="A4397" s="52" t="s">
        <v>680</v>
      </c>
      <c r="B4397" s="52" t="s">
        <v>73</v>
      </c>
      <c r="C4397" s="52" t="s">
        <v>182</v>
      </c>
      <c r="D4397" s="52" t="s">
        <v>183</v>
      </c>
      <c r="E4397" s="52" t="s">
        <v>584</v>
      </c>
      <c r="F4397" s="52" t="s">
        <v>581</v>
      </c>
      <c r="G4397" s="55" t="s">
        <v>276</v>
      </c>
      <c r="H4397" s="55">
        <v>-6.7280690000000004E-2</v>
      </c>
      <c r="I4397" s="55">
        <v>-4.6948200000000002E-2</v>
      </c>
      <c r="J4397" s="55">
        <v>-1.061598</v>
      </c>
      <c r="K4397" s="55">
        <v>-0.93368819999999997</v>
      </c>
      <c r="L4397" s="55">
        <v>-5.09779E-2</v>
      </c>
      <c r="M4397" s="55">
        <v>-0.11036890000000001</v>
      </c>
      <c r="N4397" s="55">
        <v>-0.13646849999999999</v>
      </c>
    </row>
    <row r="4398" spans="1:14" hidden="1" x14ac:dyDescent="0.35">
      <c r="A4398" s="52" t="s">
        <v>680</v>
      </c>
      <c r="B4398" s="52" t="s">
        <v>73</v>
      </c>
      <c r="C4398" s="52" t="s">
        <v>182</v>
      </c>
      <c r="D4398" s="52" t="s">
        <v>183</v>
      </c>
      <c r="E4398" s="52" t="s">
        <v>584</v>
      </c>
      <c r="F4398" s="52" t="s">
        <v>581</v>
      </c>
      <c r="G4398" s="55" t="s">
        <v>277</v>
      </c>
      <c r="H4398" s="55"/>
      <c r="I4398" s="55"/>
      <c r="J4398" s="55"/>
      <c r="K4398" s="55">
        <v>0</v>
      </c>
      <c r="L4398" s="55">
        <v>2.8999999999999998E-3</v>
      </c>
      <c r="M4398" s="55">
        <v>1.1599999999999999E-2</v>
      </c>
      <c r="N4398" s="55">
        <v>3.7699999999999997E-2</v>
      </c>
    </row>
    <row r="4399" spans="1:14" hidden="1" x14ac:dyDescent="0.35">
      <c r="A4399" s="52" t="s">
        <v>680</v>
      </c>
      <c r="B4399" s="52" t="s">
        <v>73</v>
      </c>
      <c r="C4399" s="52" t="s">
        <v>182</v>
      </c>
      <c r="D4399" s="52" t="s">
        <v>183</v>
      </c>
      <c r="E4399" s="52" t="s">
        <v>584</v>
      </c>
      <c r="F4399" s="52" t="s">
        <v>581</v>
      </c>
      <c r="G4399" s="55" t="s">
        <v>278</v>
      </c>
      <c r="H4399" s="55">
        <v>8.0865290000000006E-2</v>
      </c>
      <c r="I4399" s="55">
        <v>5.2825990000000003E-2</v>
      </c>
      <c r="J4399" s="55">
        <v>1.061598</v>
      </c>
      <c r="K4399" s="55">
        <v>0.93368879999999999</v>
      </c>
      <c r="L4399" s="55">
        <v>4.8078200000000001E-2</v>
      </c>
      <c r="M4399" s="55">
        <v>9.8768789999999995E-2</v>
      </c>
      <c r="N4399" s="55">
        <v>9.8768789999999995E-2</v>
      </c>
    </row>
    <row r="4400" spans="1:14" hidden="1" x14ac:dyDescent="0.35">
      <c r="A4400" s="52" t="s">
        <v>680</v>
      </c>
      <c r="B4400" s="52" t="s">
        <v>73</v>
      </c>
      <c r="C4400" s="52" t="s">
        <v>182</v>
      </c>
      <c r="D4400" s="52" t="s">
        <v>183</v>
      </c>
      <c r="E4400" s="52" t="s">
        <v>584</v>
      </c>
      <c r="F4400" s="52" t="s">
        <v>581</v>
      </c>
      <c r="G4400" s="55" t="s">
        <v>279</v>
      </c>
      <c r="H4400" s="55"/>
      <c r="I4400" s="55"/>
      <c r="J4400" s="55"/>
      <c r="K4400" s="55"/>
      <c r="L4400" s="55"/>
      <c r="M4400" s="55"/>
      <c r="N4400" s="55">
        <v>0</v>
      </c>
    </row>
    <row r="4401" spans="1:14" hidden="1" x14ac:dyDescent="0.35">
      <c r="A4401" s="52" t="s">
        <v>680</v>
      </c>
      <c r="B4401" s="52" t="s">
        <v>73</v>
      </c>
      <c r="C4401" s="52" t="s">
        <v>182</v>
      </c>
      <c r="D4401" s="52" t="s">
        <v>183</v>
      </c>
      <c r="E4401" s="52" t="s">
        <v>584</v>
      </c>
      <c r="F4401" s="52" t="s">
        <v>26</v>
      </c>
      <c r="G4401" s="55" t="s">
        <v>275</v>
      </c>
      <c r="H4401" s="55"/>
      <c r="I4401" s="55"/>
      <c r="J4401" s="55"/>
      <c r="K4401" s="55"/>
      <c r="L4401" s="55"/>
      <c r="M4401" s="55"/>
      <c r="N4401" s="55">
        <v>0</v>
      </c>
    </row>
    <row r="4402" spans="1:14" hidden="1" x14ac:dyDescent="0.35">
      <c r="A4402" s="52" t="s">
        <v>680</v>
      </c>
      <c r="B4402" s="52" t="s">
        <v>73</v>
      </c>
      <c r="C4402" s="52" t="s">
        <v>182</v>
      </c>
      <c r="D4402" s="52" t="s">
        <v>183</v>
      </c>
      <c r="E4402" s="52" t="s">
        <v>584</v>
      </c>
      <c r="F4402" s="52" t="s">
        <v>26</v>
      </c>
      <c r="G4402" s="55" t="s">
        <v>276</v>
      </c>
      <c r="H4402" s="55"/>
      <c r="I4402" s="55"/>
      <c r="J4402" s="55"/>
      <c r="K4402" s="55"/>
      <c r="L4402" s="55"/>
      <c r="M4402" s="55"/>
      <c r="N4402" s="55">
        <v>0</v>
      </c>
    </row>
    <row r="4403" spans="1:14" hidden="1" x14ac:dyDescent="0.35">
      <c r="A4403" s="52" t="s">
        <v>680</v>
      </c>
      <c r="B4403" s="52" t="s">
        <v>73</v>
      </c>
      <c r="C4403" s="52" t="s">
        <v>182</v>
      </c>
      <c r="D4403" s="52" t="s">
        <v>183</v>
      </c>
      <c r="E4403" s="52" t="s">
        <v>584</v>
      </c>
      <c r="F4403" s="52" t="s">
        <v>26</v>
      </c>
      <c r="G4403" s="55" t="s">
        <v>279</v>
      </c>
      <c r="H4403" s="55"/>
      <c r="I4403" s="55"/>
      <c r="J4403" s="55"/>
      <c r="K4403" s="55"/>
      <c r="L4403" s="55"/>
      <c r="M4403" s="55"/>
      <c r="N4403" s="55">
        <v>0</v>
      </c>
    </row>
    <row r="4404" spans="1:14" hidden="1" x14ac:dyDescent="0.35">
      <c r="A4404" s="52" t="s">
        <v>680</v>
      </c>
      <c r="B4404" s="52" t="s">
        <v>73</v>
      </c>
      <c r="C4404" s="52" t="s">
        <v>830</v>
      </c>
      <c r="D4404" s="52" t="s">
        <v>830</v>
      </c>
      <c r="E4404" s="52" t="s">
        <v>584</v>
      </c>
      <c r="F4404" s="52" t="s">
        <v>581</v>
      </c>
      <c r="G4404" s="55" t="s">
        <v>275</v>
      </c>
      <c r="H4404" s="55">
        <v>-8.9455990000000003E-3</v>
      </c>
      <c r="I4404" s="55">
        <v>-1.801172</v>
      </c>
      <c r="J4404" s="55">
        <v>0</v>
      </c>
      <c r="K4404" s="55">
        <v>0</v>
      </c>
      <c r="L4404" s="55">
        <v>0</v>
      </c>
      <c r="M4404" s="55">
        <v>0</v>
      </c>
      <c r="N4404" s="55">
        <v>0</v>
      </c>
    </row>
    <row r="4405" spans="1:14" hidden="1" x14ac:dyDescent="0.35">
      <c r="A4405" s="52" t="s">
        <v>680</v>
      </c>
      <c r="B4405" s="52" t="s">
        <v>73</v>
      </c>
      <c r="C4405" s="52" t="s">
        <v>830</v>
      </c>
      <c r="D4405" s="52" t="s">
        <v>830</v>
      </c>
      <c r="E4405" s="52" t="s">
        <v>584</v>
      </c>
      <c r="F4405" s="52" t="s">
        <v>581</v>
      </c>
      <c r="G4405" s="55" t="s">
        <v>276</v>
      </c>
      <c r="H4405" s="55">
        <v>-5.5868800000000003E-2</v>
      </c>
      <c r="I4405" s="55">
        <v>-7.6628100000000003</v>
      </c>
      <c r="J4405" s="55">
        <v>-5.0862820000000003E-2</v>
      </c>
      <c r="K4405" s="55">
        <v>-4.2952810000000001E-2</v>
      </c>
      <c r="L4405" s="55">
        <v>-3.8535380000000001E-2</v>
      </c>
      <c r="M4405" s="55">
        <v>-7.9164209999999999E-2</v>
      </c>
      <c r="N4405" s="55">
        <v>-3.5000000000000003E-2</v>
      </c>
    </row>
    <row r="4406" spans="1:14" hidden="1" x14ac:dyDescent="0.35">
      <c r="A4406" s="52" t="s">
        <v>680</v>
      </c>
      <c r="B4406" s="52" t="s">
        <v>73</v>
      </c>
      <c r="C4406" s="52" t="s">
        <v>830</v>
      </c>
      <c r="D4406" s="52" t="s">
        <v>830</v>
      </c>
      <c r="E4406" s="52" t="s">
        <v>584</v>
      </c>
      <c r="F4406" s="52" t="s">
        <v>581</v>
      </c>
      <c r="G4406" s="55" t="s">
        <v>277</v>
      </c>
      <c r="H4406" s="55"/>
      <c r="I4406" s="55"/>
      <c r="J4406" s="55"/>
      <c r="K4406" s="55"/>
      <c r="L4406" s="55"/>
      <c r="M4406" s="55">
        <v>0</v>
      </c>
      <c r="N4406" s="55">
        <v>3.5000000000000003E-2</v>
      </c>
    </row>
    <row r="4407" spans="1:14" hidden="1" x14ac:dyDescent="0.35">
      <c r="A4407" s="52" t="s">
        <v>680</v>
      </c>
      <c r="B4407" s="52" t="s">
        <v>73</v>
      </c>
      <c r="C4407" s="52" t="s">
        <v>830</v>
      </c>
      <c r="D4407" s="52" t="s">
        <v>830</v>
      </c>
      <c r="E4407" s="52" t="s">
        <v>584</v>
      </c>
      <c r="F4407" s="52" t="s">
        <v>581</v>
      </c>
      <c r="G4407" s="55" t="s">
        <v>278</v>
      </c>
      <c r="H4407" s="55">
        <v>6.4814399999999994E-2</v>
      </c>
      <c r="I4407" s="55">
        <v>9.4639830000000007</v>
      </c>
      <c r="J4407" s="55">
        <v>5.08628E-2</v>
      </c>
      <c r="K4407" s="55">
        <v>4.2952600000000001E-2</v>
      </c>
      <c r="L4407" s="55">
        <v>3.8535199999999999E-2</v>
      </c>
      <c r="M4407" s="55">
        <v>7.9163999999999998E-2</v>
      </c>
      <c r="N4407" s="55">
        <v>0</v>
      </c>
    </row>
    <row r="4408" spans="1:14" hidden="1" x14ac:dyDescent="0.35">
      <c r="A4408" s="52" t="s">
        <v>680</v>
      </c>
      <c r="B4408" s="52" t="s">
        <v>73</v>
      </c>
      <c r="C4408" s="52" t="s">
        <v>830</v>
      </c>
      <c r="D4408" s="52" t="s">
        <v>830</v>
      </c>
      <c r="E4408" s="52" t="s">
        <v>584</v>
      </c>
      <c r="F4408" s="52" t="s">
        <v>26</v>
      </c>
      <c r="G4408" s="55" t="s">
        <v>275</v>
      </c>
      <c r="H4408" s="55">
        <v>0</v>
      </c>
      <c r="I4408" s="55"/>
      <c r="J4408" s="55"/>
      <c r="K4408" s="55"/>
      <c r="L4408" s="55">
        <v>0</v>
      </c>
      <c r="M4408" s="55"/>
      <c r="N4408" s="55"/>
    </row>
    <row r="4409" spans="1:14" hidden="1" x14ac:dyDescent="0.35">
      <c r="A4409" s="52" t="s">
        <v>680</v>
      </c>
      <c r="B4409" s="52" t="s">
        <v>73</v>
      </c>
      <c r="C4409" s="52" t="s">
        <v>830</v>
      </c>
      <c r="D4409" s="52" t="s">
        <v>830</v>
      </c>
      <c r="E4409" s="52" t="s">
        <v>584</v>
      </c>
      <c r="F4409" s="52" t="s">
        <v>26</v>
      </c>
      <c r="G4409" s="55" t="s">
        <v>276</v>
      </c>
      <c r="H4409" s="55"/>
      <c r="I4409" s="55"/>
      <c r="J4409" s="55"/>
      <c r="K4409" s="55"/>
      <c r="L4409" s="55">
        <v>0</v>
      </c>
      <c r="M4409" s="55"/>
      <c r="N4409" s="55"/>
    </row>
    <row r="4410" spans="1:14" hidden="1" x14ac:dyDescent="0.35">
      <c r="A4410" s="52" t="s">
        <v>680</v>
      </c>
      <c r="B4410" s="52" t="s">
        <v>73</v>
      </c>
      <c r="C4410" s="52" t="s">
        <v>830</v>
      </c>
      <c r="D4410" s="52" t="s">
        <v>830</v>
      </c>
      <c r="E4410" s="52" t="s">
        <v>584</v>
      </c>
      <c r="F4410" s="52" t="s">
        <v>26</v>
      </c>
      <c r="G4410" s="55" t="s">
        <v>277</v>
      </c>
      <c r="H4410" s="55"/>
      <c r="I4410" s="55"/>
      <c r="J4410" s="55"/>
      <c r="K4410" s="55"/>
      <c r="L4410" s="55"/>
      <c r="M4410" s="55">
        <v>0</v>
      </c>
      <c r="N4410" s="55"/>
    </row>
    <row r="4411" spans="1:14" hidden="1" x14ac:dyDescent="0.35">
      <c r="A4411" s="52" t="s">
        <v>680</v>
      </c>
      <c r="B4411" s="52" t="s">
        <v>73</v>
      </c>
      <c r="C4411" s="52" t="s">
        <v>830</v>
      </c>
      <c r="D4411" s="52" t="s">
        <v>830</v>
      </c>
      <c r="E4411" s="52" t="s">
        <v>584</v>
      </c>
      <c r="F4411" s="52" t="s">
        <v>26</v>
      </c>
      <c r="G4411" s="55" t="s">
        <v>278</v>
      </c>
      <c r="H4411" s="55">
        <v>0</v>
      </c>
      <c r="I4411" s="55"/>
      <c r="J4411" s="55">
        <v>0</v>
      </c>
      <c r="K4411" s="55"/>
      <c r="L4411" s="55"/>
      <c r="M4411" s="55"/>
      <c r="N4411" s="55">
        <v>0</v>
      </c>
    </row>
    <row r="4412" spans="1:14" hidden="1" x14ac:dyDescent="0.35">
      <c r="A4412" s="52" t="s">
        <v>680</v>
      </c>
      <c r="B4412" s="52" t="s">
        <v>73</v>
      </c>
      <c r="C4412" s="52" t="s">
        <v>318</v>
      </c>
      <c r="D4412" s="52" t="s">
        <v>318</v>
      </c>
      <c r="E4412" s="52" t="s">
        <v>584</v>
      </c>
      <c r="F4412" s="52" t="s">
        <v>581</v>
      </c>
      <c r="G4412" s="55" t="s">
        <v>275</v>
      </c>
      <c r="H4412" s="55">
        <v>92.269120000000001</v>
      </c>
      <c r="I4412" s="55">
        <v>0</v>
      </c>
      <c r="J4412" s="55"/>
      <c r="K4412" s="55"/>
      <c r="L4412" s="55"/>
      <c r="M4412" s="55"/>
      <c r="N4412" s="55"/>
    </row>
    <row r="4413" spans="1:14" hidden="1" x14ac:dyDescent="0.35">
      <c r="A4413" s="52" t="s">
        <v>680</v>
      </c>
      <c r="B4413" s="52" t="s">
        <v>73</v>
      </c>
      <c r="C4413" s="52" t="s">
        <v>318</v>
      </c>
      <c r="D4413" s="52" t="s">
        <v>318</v>
      </c>
      <c r="E4413" s="52" t="s">
        <v>584</v>
      </c>
      <c r="F4413" s="52" t="s">
        <v>581</v>
      </c>
      <c r="G4413" s="55" t="s">
        <v>278</v>
      </c>
      <c r="H4413" s="55">
        <v>-92.269120000000001</v>
      </c>
      <c r="I4413" s="55">
        <v>0</v>
      </c>
      <c r="J4413" s="55"/>
      <c r="K4413" s="55"/>
      <c r="L4413" s="55"/>
      <c r="M4413" s="55"/>
      <c r="N4413" s="55"/>
    </row>
    <row r="4414" spans="1:14" hidden="1" x14ac:dyDescent="0.35">
      <c r="A4414" s="52" t="s">
        <v>680</v>
      </c>
      <c r="B4414" s="52" t="s">
        <v>73</v>
      </c>
      <c r="C4414" s="52" t="s">
        <v>318</v>
      </c>
      <c r="D4414" s="52" t="s">
        <v>318</v>
      </c>
      <c r="E4414" s="52" t="s">
        <v>584</v>
      </c>
      <c r="F4414" s="52" t="s">
        <v>26</v>
      </c>
      <c r="G4414" s="55" t="s">
        <v>275</v>
      </c>
      <c r="H4414" s="55">
        <v>61.512749999999997</v>
      </c>
      <c r="I4414" s="55">
        <v>0</v>
      </c>
      <c r="J4414" s="55"/>
      <c r="K4414" s="55"/>
      <c r="L4414" s="55"/>
      <c r="M4414" s="55"/>
      <c r="N4414" s="55"/>
    </row>
    <row r="4415" spans="1:14" hidden="1" x14ac:dyDescent="0.35">
      <c r="A4415" s="52" t="s">
        <v>680</v>
      </c>
      <c r="B4415" s="52" t="s">
        <v>73</v>
      </c>
      <c r="C4415" s="52" t="s">
        <v>318</v>
      </c>
      <c r="D4415" s="52" t="s">
        <v>318</v>
      </c>
      <c r="E4415" s="52" t="s">
        <v>584</v>
      </c>
      <c r="F4415" s="52" t="s">
        <v>26</v>
      </c>
      <c r="G4415" s="55" t="s">
        <v>278</v>
      </c>
      <c r="H4415" s="55">
        <v>-61.512749999999997</v>
      </c>
      <c r="I4415" s="55">
        <v>0</v>
      </c>
      <c r="J4415" s="55"/>
      <c r="K4415" s="55"/>
      <c r="L4415" s="55"/>
      <c r="M4415" s="55"/>
      <c r="N4415" s="55"/>
    </row>
    <row r="4416" spans="1:14" hidden="1" x14ac:dyDescent="0.35">
      <c r="A4416" s="52" t="s">
        <v>680</v>
      </c>
      <c r="B4416" s="52" t="s">
        <v>73</v>
      </c>
      <c r="C4416" s="52" t="s">
        <v>832</v>
      </c>
      <c r="D4416" s="52" t="s">
        <v>832</v>
      </c>
      <c r="E4416" s="52" t="s">
        <v>584</v>
      </c>
      <c r="F4416" s="52" t="s">
        <v>581</v>
      </c>
      <c r="G4416" s="55" t="s">
        <v>275</v>
      </c>
      <c r="H4416" s="55"/>
      <c r="I4416" s="55"/>
      <c r="J4416" s="55"/>
      <c r="K4416" s="55"/>
      <c r="L4416" s="55"/>
      <c r="M4416" s="55"/>
      <c r="N4416" s="55">
        <v>0</v>
      </c>
    </row>
    <row r="4417" spans="1:14" hidden="1" x14ac:dyDescent="0.35">
      <c r="A4417" s="52" t="s">
        <v>680</v>
      </c>
      <c r="B4417" s="52" t="s">
        <v>73</v>
      </c>
      <c r="C4417" s="52" t="s">
        <v>832</v>
      </c>
      <c r="D4417" s="52" t="s">
        <v>832</v>
      </c>
      <c r="E4417" s="52" t="s">
        <v>584</v>
      </c>
      <c r="F4417" s="52" t="s">
        <v>581</v>
      </c>
      <c r="G4417" s="55" t="s">
        <v>276</v>
      </c>
      <c r="H4417" s="55"/>
      <c r="I4417" s="55"/>
      <c r="J4417" s="55"/>
      <c r="K4417" s="55"/>
      <c r="L4417" s="55"/>
      <c r="M4417" s="55"/>
      <c r="N4417" s="55">
        <v>0</v>
      </c>
    </row>
    <row r="4418" spans="1:14" hidden="1" x14ac:dyDescent="0.35">
      <c r="A4418" s="52" t="s">
        <v>680</v>
      </c>
      <c r="B4418" s="52" t="s">
        <v>73</v>
      </c>
      <c r="C4418" s="52" t="s">
        <v>832</v>
      </c>
      <c r="D4418" s="52" t="s">
        <v>832</v>
      </c>
      <c r="E4418" s="52" t="s">
        <v>584</v>
      </c>
      <c r="F4418" s="52" t="s">
        <v>581</v>
      </c>
      <c r="G4418" s="55" t="s">
        <v>279</v>
      </c>
      <c r="H4418" s="55"/>
      <c r="I4418" s="55"/>
      <c r="J4418" s="55"/>
      <c r="K4418" s="55"/>
      <c r="L4418" s="55"/>
      <c r="M4418" s="55"/>
      <c r="N4418" s="55">
        <v>0</v>
      </c>
    </row>
    <row r="4419" spans="1:14" hidden="1" x14ac:dyDescent="0.35">
      <c r="A4419" s="52" t="s">
        <v>680</v>
      </c>
      <c r="B4419" s="52" t="s">
        <v>73</v>
      </c>
      <c r="C4419" s="52" t="s">
        <v>832</v>
      </c>
      <c r="D4419" s="52" t="s">
        <v>832</v>
      </c>
      <c r="E4419" s="52" t="s">
        <v>584</v>
      </c>
      <c r="F4419" s="52" t="s">
        <v>26</v>
      </c>
      <c r="G4419" s="55" t="s">
        <v>275</v>
      </c>
      <c r="H4419" s="55">
        <v>-6.8493E-3</v>
      </c>
      <c r="I4419" s="55">
        <v>-9.3937199999999998E-2</v>
      </c>
      <c r="J4419" s="55">
        <v>0</v>
      </c>
      <c r="K4419" s="55">
        <v>0</v>
      </c>
      <c r="L4419" s="55">
        <v>0</v>
      </c>
      <c r="M4419" s="55">
        <v>0</v>
      </c>
      <c r="N4419" s="55">
        <v>0</v>
      </c>
    </row>
    <row r="4420" spans="1:14" hidden="1" x14ac:dyDescent="0.35">
      <c r="A4420" s="52" t="s">
        <v>680</v>
      </c>
      <c r="B4420" s="52" t="s">
        <v>73</v>
      </c>
      <c r="C4420" s="52" t="s">
        <v>832</v>
      </c>
      <c r="D4420" s="52" t="s">
        <v>832</v>
      </c>
      <c r="E4420" s="52" t="s">
        <v>584</v>
      </c>
      <c r="F4420" s="52" t="s">
        <v>26</v>
      </c>
      <c r="G4420" s="55" t="s">
        <v>276</v>
      </c>
      <c r="H4420" s="55">
        <v>-6.8284499999999998E-2</v>
      </c>
      <c r="I4420" s="55">
        <v>-0.44890289999999999</v>
      </c>
      <c r="J4420" s="55">
        <v>-5.8960800000000001E-2</v>
      </c>
      <c r="K4420" s="55">
        <v>-4.9791309999999998E-2</v>
      </c>
      <c r="L4420" s="55">
        <v>-4.4670599999999998E-2</v>
      </c>
      <c r="M4420" s="55">
        <v>-9.3399300000000005E-2</v>
      </c>
      <c r="N4420" s="55">
        <v>-0.14233680000000001</v>
      </c>
    </row>
    <row r="4421" spans="1:14" hidden="1" x14ac:dyDescent="0.35">
      <c r="A4421" s="52" t="s">
        <v>680</v>
      </c>
      <c r="B4421" s="52" t="s">
        <v>73</v>
      </c>
      <c r="C4421" s="52" t="s">
        <v>832</v>
      </c>
      <c r="D4421" s="52" t="s">
        <v>832</v>
      </c>
      <c r="E4421" s="52" t="s">
        <v>584</v>
      </c>
      <c r="F4421" s="52" t="s">
        <v>26</v>
      </c>
      <c r="G4421" s="55" t="s">
        <v>277</v>
      </c>
      <c r="H4421" s="55"/>
      <c r="I4421" s="55"/>
      <c r="J4421" s="55"/>
      <c r="K4421" s="55"/>
      <c r="L4421" s="55">
        <v>0</v>
      </c>
      <c r="M4421" s="55">
        <v>1.6314000000000001E-3</v>
      </c>
      <c r="N4421" s="55">
        <v>5.05689E-2</v>
      </c>
    </row>
    <row r="4422" spans="1:14" hidden="1" x14ac:dyDescent="0.35">
      <c r="A4422" s="52" t="s">
        <v>680</v>
      </c>
      <c r="B4422" s="52" t="s">
        <v>73</v>
      </c>
      <c r="C4422" s="52" t="s">
        <v>832</v>
      </c>
      <c r="D4422" s="52" t="s">
        <v>832</v>
      </c>
      <c r="E4422" s="52" t="s">
        <v>584</v>
      </c>
      <c r="F4422" s="52" t="s">
        <v>26</v>
      </c>
      <c r="G4422" s="55" t="s">
        <v>278</v>
      </c>
      <c r="H4422" s="55">
        <v>7.5133790000000006E-2</v>
      </c>
      <c r="I4422" s="55">
        <v>0.54284010000000005</v>
      </c>
      <c r="J4422" s="55">
        <v>5.8960800000000001E-2</v>
      </c>
      <c r="K4422" s="55">
        <v>4.9791309999999998E-2</v>
      </c>
      <c r="L4422" s="55">
        <v>4.4670599999999998E-2</v>
      </c>
      <c r="M4422" s="55">
        <v>9.1767899999999999E-2</v>
      </c>
      <c r="N4422" s="55">
        <v>9.1767899999999999E-2</v>
      </c>
    </row>
    <row r="4423" spans="1:14" hidden="1" x14ac:dyDescent="0.35">
      <c r="A4423" s="52" t="s">
        <v>680</v>
      </c>
      <c r="B4423" s="52" t="s">
        <v>73</v>
      </c>
      <c r="C4423" s="52" t="s">
        <v>832</v>
      </c>
      <c r="D4423" s="52" t="s">
        <v>832</v>
      </c>
      <c r="E4423" s="52" t="s">
        <v>584</v>
      </c>
      <c r="F4423" s="52" t="s">
        <v>26</v>
      </c>
      <c r="G4423" s="55" t="s">
        <v>279</v>
      </c>
      <c r="H4423" s="55"/>
      <c r="I4423" s="55"/>
      <c r="J4423" s="55"/>
      <c r="K4423" s="55"/>
      <c r="L4423" s="55"/>
      <c r="M4423" s="55"/>
      <c r="N4423" s="55">
        <v>0</v>
      </c>
    </row>
    <row r="4424" spans="1:14" hidden="1" x14ac:dyDescent="0.35">
      <c r="A4424" s="52" t="s">
        <v>680</v>
      </c>
      <c r="B4424" s="52" t="s">
        <v>73</v>
      </c>
      <c r="C4424" s="52" t="s">
        <v>87</v>
      </c>
      <c r="D4424" s="52" t="s">
        <v>833</v>
      </c>
      <c r="E4424" s="52" t="s">
        <v>584</v>
      </c>
      <c r="F4424" s="52" t="s">
        <v>581</v>
      </c>
      <c r="G4424" s="55" t="s">
        <v>275</v>
      </c>
      <c r="H4424" s="55">
        <v>-6.0502710000000004</v>
      </c>
      <c r="I4424" s="55">
        <v>1.2473190000000001</v>
      </c>
      <c r="J4424" s="55">
        <v>1.379076</v>
      </c>
      <c r="K4424" s="55">
        <v>1.379413</v>
      </c>
      <c r="L4424" s="55">
        <v>1.39816E-2</v>
      </c>
      <c r="M4424" s="55">
        <v>-1.42016E-2</v>
      </c>
      <c r="N4424" s="55">
        <v>-1.2949199999999999E-2</v>
      </c>
    </row>
    <row r="4425" spans="1:14" hidden="1" x14ac:dyDescent="0.35">
      <c r="A4425" s="52" t="s">
        <v>680</v>
      </c>
      <c r="B4425" s="52" t="s">
        <v>73</v>
      </c>
      <c r="C4425" s="52" t="s">
        <v>87</v>
      </c>
      <c r="D4425" s="52" t="s">
        <v>833</v>
      </c>
      <c r="E4425" s="52" t="s">
        <v>584</v>
      </c>
      <c r="F4425" s="52" t="s">
        <v>581</v>
      </c>
      <c r="G4425" s="55" t="s">
        <v>276</v>
      </c>
      <c r="H4425" s="55">
        <v>-27.71171</v>
      </c>
      <c r="I4425" s="55">
        <v>-1.9286049999999999</v>
      </c>
      <c r="J4425" s="55">
        <v>-3.2708689999999998</v>
      </c>
      <c r="K4425" s="55">
        <v>-1.453635</v>
      </c>
      <c r="L4425" s="55">
        <v>-8.6370390000000005E-2</v>
      </c>
      <c r="M4425" s="55">
        <v>-0.13056799999999999</v>
      </c>
      <c r="N4425" s="55">
        <v>-0.2420204</v>
      </c>
    </row>
    <row r="4426" spans="1:14" hidden="1" x14ac:dyDescent="0.35">
      <c r="A4426" s="52" t="s">
        <v>680</v>
      </c>
      <c r="B4426" s="52" t="s">
        <v>73</v>
      </c>
      <c r="C4426" s="52" t="s">
        <v>87</v>
      </c>
      <c r="D4426" s="52" t="s">
        <v>833</v>
      </c>
      <c r="E4426" s="52" t="s">
        <v>584</v>
      </c>
      <c r="F4426" s="52" t="s">
        <v>581</v>
      </c>
      <c r="G4426" s="55" t="s">
        <v>277</v>
      </c>
      <c r="H4426" s="55"/>
      <c r="I4426" s="55"/>
      <c r="J4426" s="55"/>
      <c r="K4426" s="55">
        <v>0</v>
      </c>
      <c r="L4426" s="55">
        <v>5.7999999999999996E-3</v>
      </c>
      <c r="M4426" s="55">
        <v>7.9752E-3</v>
      </c>
      <c r="N4426" s="55">
        <v>0.11817519999999999</v>
      </c>
    </row>
    <row r="4427" spans="1:14" hidden="1" x14ac:dyDescent="0.35">
      <c r="A4427" s="52" t="s">
        <v>680</v>
      </c>
      <c r="B4427" s="52" t="s">
        <v>73</v>
      </c>
      <c r="C4427" s="52" t="s">
        <v>87</v>
      </c>
      <c r="D4427" s="52" t="s">
        <v>833</v>
      </c>
      <c r="E4427" s="52" t="s">
        <v>584</v>
      </c>
      <c r="F4427" s="52" t="s">
        <v>581</v>
      </c>
      <c r="G4427" s="55" t="s">
        <v>278</v>
      </c>
      <c r="H4427" s="55">
        <v>33.761980000000001</v>
      </c>
      <c r="I4427" s="55">
        <v>0.68128599999999995</v>
      </c>
      <c r="J4427" s="55">
        <v>1.8917930000000001</v>
      </c>
      <c r="K4427" s="55">
        <v>7.4221999999999996E-2</v>
      </c>
      <c r="L4427" s="55">
        <v>6.6588800000000004E-2</v>
      </c>
      <c r="M4427" s="55">
        <v>0.136795</v>
      </c>
      <c r="N4427" s="55">
        <v>0.136795</v>
      </c>
    </row>
    <row r="4428" spans="1:14" hidden="1" x14ac:dyDescent="0.35">
      <c r="A4428" s="52" t="s">
        <v>680</v>
      </c>
      <c r="B4428" s="52" t="s">
        <v>73</v>
      </c>
      <c r="C4428" s="52" t="s">
        <v>87</v>
      </c>
      <c r="D4428" s="52" t="s">
        <v>833</v>
      </c>
      <c r="E4428" s="52" t="s">
        <v>584</v>
      </c>
      <c r="F4428" s="52" t="s">
        <v>581</v>
      </c>
      <c r="G4428" s="55" t="s">
        <v>279</v>
      </c>
      <c r="H4428" s="55"/>
      <c r="I4428" s="55"/>
      <c r="J4428" s="55"/>
      <c r="K4428" s="55"/>
      <c r="L4428" s="55"/>
      <c r="M4428" s="55"/>
      <c r="N4428" s="55">
        <v>0</v>
      </c>
    </row>
    <row r="4429" spans="1:14" hidden="1" x14ac:dyDescent="0.35">
      <c r="A4429" s="52" t="s">
        <v>680</v>
      </c>
      <c r="B4429" s="52" t="s">
        <v>73</v>
      </c>
      <c r="C4429" s="52" t="s">
        <v>87</v>
      </c>
      <c r="D4429" s="52" t="s">
        <v>833</v>
      </c>
      <c r="E4429" s="52" t="s">
        <v>584</v>
      </c>
      <c r="F4429" s="52" t="s">
        <v>26</v>
      </c>
      <c r="G4429" s="55" t="s">
        <v>275</v>
      </c>
      <c r="H4429" s="55"/>
      <c r="I4429" s="55"/>
      <c r="J4429" s="55"/>
      <c r="K4429" s="55"/>
      <c r="L4429" s="55"/>
      <c r="M4429" s="55"/>
      <c r="N4429" s="55">
        <v>0</v>
      </c>
    </row>
    <row r="4430" spans="1:14" hidden="1" x14ac:dyDescent="0.35">
      <c r="A4430" s="52" t="s">
        <v>680</v>
      </c>
      <c r="B4430" s="52" t="s">
        <v>73</v>
      </c>
      <c r="C4430" s="52" t="s">
        <v>87</v>
      </c>
      <c r="D4430" s="52" t="s">
        <v>833</v>
      </c>
      <c r="E4430" s="52" t="s">
        <v>584</v>
      </c>
      <c r="F4430" s="52" t="s">
        <v>26</v>
      </c>
      <c r="G4430" s="55" t="s">
        <v>276</v>
      </c>
      <c r="H4430" s="55"/>
      <c r="I4430" s="55"/>
      <c r="J4430" s="55"/>
      <c r="K4430" s="55"/>
      <c r="L4430" s="55"/>
      <c r="M4430" s="55"/>
      <c r="N4430" s="55">
        <v>0</v>
      </c>
    </row>
    <row r="4431" spans="1:14" hidden="1" x14ac:dyDescent="0.35">
      <c r="A4431" s="52" t="s">
        <v>680</v>
      </c>
      <c r="B4431" s="52" t="s">
        <v>73</v>
      </c>
      <c r="C4431" s="52" t="s">
        <v>87</v>
      </c>
      <c r="D4431" s="52" t="s">
        <v>833</v>
      </c>
      <c r="E4431" s="52" t="s">
        <v>584</v>
      </c>
      <c r="F4431" s="52" t="s">
        <v>26</v>
      </c>
      <c r="G4431" s="55" t="s">
        <v>279</v>
      </c>
      <c r="H4431" s="55"/>
      <c r="I4431" s="55"/>
      <c r="J4431" s="55"/>
      <c r="K4431" s="55"/>
      <c r="L4431" s="55"/>
      <c r="M4431" s="55"/>
      <c r="N4431" s="55">
        <v>0</v>
      </c>
    </row>
    <row r="4432" spans="1:14" hidden="1" x14ac:dyDescent="0.35">
      <c r="A4432" s="52" t="s">
        <v>680</v>
      </c>
      <c r="B4432" s="52" t="s">
        <v>73</v>
      </c>
      <c r="C4432" s="52" t="s">
        <v>344</v>
      </c>
      <c r="D4432" s="52" t="s">
        <v>344</v>
      </c>
      <c r="E4432" s="52" t="s">
        <v>584</v>
      </c>
      <c r="F4432" s="52" t="s">
        <v>581</v>
      </c>
      <c r="G4432" s="55" t="s">
        <v>275</v>
      </c>
      <c r="H4432" s="55">
        <v>-2.28481E-2</v>
      </c>
      <c r="I4432" s="55">
        <v>-7.5786999999999998E-3</v>
      </c>
      <c r="J4432" s="55">
        <v>0</v>
      </c>
      <c r="K4432" s="55">
        <v>0</v>
      </c>
      <c r="L4432" s="55">
        <v>0</v>
      </c>
      <c r="M4432" s="55">
        <v>0</v>
      </c>
      <c r="N4432" s="55">
        <v>0</v>
      </c>
    </row>
    <row r="4433" spans="1:14" hidden="1" x14ac:dyDescent="0.35">
      <c r="A4433" s="52" t="s">
        <v>680</v>
      </c>
      <c r="B4433" s="52" t="s">
        <v>73</v>
      </c>
      <c r="C4433" s="52" t="s">
        <v>344</v>
      </c>
      <c r="D4433" s="52" t="s">
        <v>344</v>
      </c>
      <c r="E4433" s="52" t="s">
        <v>584</v>
      </c>
      <c r="F4433" s="52" t="s">
        <v>581</v>
      </c>
      <c r="G4433" s="55" t="s">
        <v>276</v>
      </c>
      <c r="H4433" s="55">
        <v>-0.13736699999999999</v>
      </c>
      <c r="I4433" s="55">
        <v>-9.70834E-2</v>
      </c>
      <c r="J4433" s="55">
        <v>-2.950898</v>
      </c>
      <c r="K4433" s="55">
        <v>-3.3360110000000001</v>
      </c>
      <c r="L4433" s="55">
        <v>-9.5255290000000006E-2</v>
      </c>
      <c r="M4433" s="55">
        <v>-0.19568720000000001</v>
      </c>
      <c r="N4433" s="55">
        <v>-0.22718579999999999</v>
      </c>
    </row>
    <row r="4434" spans="1:14" hidden="1" x14ac:dyDescent="0.35">
      <c r="A4434" s="52" t="s">
        <v>680</v>
      </c>
      <c r="B4434" s="52" t="s">
        <v>73</v>
      </c>
      <c r="C4434" s="52" t="s">
        <v>344</v>
      </c>
      <c r="D4434" s="52" t="s">
        <v>344</v>
      </c>
      <c r="E4434" s="52" t="s">
        <v>584</v>
      </c>
      <c r="F4434" s="52" t="s">
        <v>581</v>
      </c>
      <c r="G4434" s="55" t="s">
        <v>277</v>
      </c>
      <c r="H4434" s="55"/>
      <c r="I4434" s="55"/>
      <c r="J4434" s="55"/>
      <c r="K4434" s="55"/>
      <c r="L4434" s="55"/>
      <c r="M4434" s="55">
        <v>0</v>
      </c>
      <c r="N4434" s="55">
        <v>3.15E-2</v>
      </c>
    </row>
    <row r="4435" spans="1:14" hidden="1" x14ac:dyDescent="0.35">
      <c r="A4435" s="52" t="s">
        <v>680</v>
      </c>
      <c r="B4435" s="52" t="s">
        <v>73</v>
      </c>
      <c r="C4435" s="52" t="s">
        <v>344</v>
      </c>
      <c r="D4435" s="52" t="s">
        <v>344</v>
      </c>
      <c r="E4435" s="52" t="s">
        <v>584</v>
      </c>
      <c r="F4435" s="52" t="s">
        <v>581</v>
      </c>
      <c r="G4435" s="55" t="s">
        <v>278</v>
      </c>
      <c r="H4435" s="55">
        <v>0.1602151</v>
      </c>
      <c r="I4435" s="55">
        <v>0.10466209999999999</v>
      </c>
      <c r="J4435" s="55">
        <v>2.9508960000000002</v>
      </c>
      <c r="K4435" s="55">
        <v>3.3360099999999999</v>
      </c>
      <c r="L4435" s="55">
        <v>9.5255300000000001E-2</v>
      </c>
      <c r="M4435" s="55">
        <v>0.19568669999999999</v>
      </c>
      <c r="N4435" s="55">
        <v>0.19568669999999999</v>
      </c>
    </row>
    <row r="4436" spans="1:14" hidden="1" x14ac:dyDescent="0.35">
      <c r="A4436" s="52" t="s">
        <v>680</v>
      </c>
      <c r="B4436" s="52" t="s">
        <v>73</v>
      </c>
      <c r="C4436" s="52" t="s">
        <v>262</v>
      </c>
      <c r="D4436" s="52" t="s">
        <v>389</v>
      </c>
      <c r="E4436" s="52" t="s">
        <v>584</v>
      </c>
      <c r="F4436" s="52" t="s">
        <v>581</v>
      </c>
      <c r="G4436" s="55" t="s">
        <v>275</v>
      </c>
      <c r="H4436" s="55">
        <v>-3.7823000000000002E-2</v>
      </c>
      <c r="I4436" s="55">
        <v>-3.8080430000000001</v>
      </c>
      <c r="J4436" s="55">
        <v>0</v>
      </c>
      <c r="K4436" s="55">
        <v>0</v>
      </c>
      <c r="L4436" s="55">
        <v>0</v>
      </c>
      <c r="M4436" s="55">
        <v>0</v>
      </c>
      <c r="N4436" s="55">
        <v>0</v>
      </c>
    </row>
    <row r="4437" spans="1:14" hidden="1" x14ac:dyDescent="0.35">
      <c r="A4437" s="52" t="s">
        <v>680</v>
      </c>
      <c r="B4437" s="52" t="s">
        <v>73</v>
      </c>
      <c r="C4437" s="52" t="s">
        <v>262</v>
      </c>
      <c r="D4437" s="52" t="s">
        <v>389</v>
      </c>
      <c r="E4437" s="52" t="s">
        <v>584</v>
      </c>
      <c r="F4437" s="52" t="s">
        <v>581</v>
      </c>
      <c r="G4437" s="55" t="s">
        <v>276</v>
      </c>
      <c r="H4437" s="55">
        <v>-0.17296</v>
      </c>
      <c r="I4437" s="55">
        <v>-16.186679999999999</v>
      </c>
      <c r="J4437" s="55">
        <v>-0.16541049999999999</v>
      </c>
      <c r="K4437" s="55">
        <v>-0.2121865</v>
      </c>
      <c r="L4437" s="55">
        <v>-1.6478200000000001</v>
      </c>
      <c r="M4437" s="55">
        <v>-0.37147609999999998</v>
      </c>
      <c r="N4437" s="55">
        <v>-0.1140275</v>
      </c>
    </row>
    <row r="4438" spans="1:14" hidden="1" x14ac:dyDescent="0.35">
      <c r="A4438" s="52" t="s">
        <v>680</v>
      </c>
      <c r="B4438" s="52" t="s">
        <v>73</v>
      </c>
      <c r="C4438" s="52" t="s">
        <v>262</v>
      </c>
      <c r="D4438" s="52" t="s">
        <v>389</v>
      </c>
      <c r="E4438" s="52" t="s">
        <v>584</v>
      </c>
      <c r="F4438" s="52" t="s">
        <v>581</v>
      </c>
      <c r="G4438" s="55" t="s">
        <v>277</v>
      </c>
      <c r="H4438" s="55"/>
      <c r="I4438" s="55"/>
      <c r="J4438" s="55">
        <v>0</v>
      </c>
      <c r="K4438" s="55">
        <v>7.2500010000000004E-2</v>
      </c>
      <c r="L4438" s="55">
        <v>1.5225</v>
      </c>
      <c r="M4438" s="55">
        <v>0</v>
      </c>
      <c r="N4438" s="55">
        <v>0</v>
      </c>
    </row>
    <row r="4439" spans="1:14" hidden="1" x14ac:dyDescent="0.35">
      <c r="A4439" s="52" t="s">
        <v>680</v>
      </c>
      <c r="B4439" s="52" t="s">
        <v>73</v>
      </c>
      <c r="C4439" s="52" t="s">
        <v>262</v>
      </c>
      <c r="D4439" s="52" t="s">
        <v>389</v>
      </c>
      <c r="E4439" s="52" t="s">
        <v>584</v>
      </c>
      <c r="F4439" s="52" t="s">
        <v>581</v>
      </c>
      <c r="G4439" s="55" t="s">
        <v>278</v>
      </c>
      <c r="H4439" s="55">
        <v>0.210783</v>
      </c>
      <c r="I4439" s="55">
        <v>19.994720000000001</v>
      </c>
      <c r="J4439" s="55">
        <v>0.165411</v>
      </c>
      <c r="K4439" s="55">
        <v>0.13968649999999999</v>
      </c>
      <c r="L4439" s="55">
        <v>0.1253205</v>
      </c>
      <c r="M4439" s="55">
        <v>0.2574495</v>
      </c>
      <c r="N4439" s="55">
        <v>0</v>
      </c>
    </row>
    <row r="4440" spans="1:14" hidden="1" x14ac:dyDescent="0.35">
      <c r="A4440" s="52" t="s">
        <v>680</v>
      </c>
      <c r="B4440" s="52" t="s">
        <v>73</v>
      </c>
      <c r="C4440" s="52" t="s">
        <v>262</v>
      </c>
      <c r="D4440" s="52" t="s">
        <v>389</v>
      </c>
      <c r="E4440" s="52" t="s">
        <v>584</v>
      </c>
      <c r="F4440" s="52" t="s">
        <v>581</v>
      </c>
      <c r="G4440" s="55" t="s">
        <v>279</v>
      </c>
      <c r="H4440" s="55"/>
      <c r="I4440" s="55"/>
      <c r="J4440" s="55"/>
      <c r="K4440" s="55"/>
      <c r="L4440" s="55">
        <v>0</v>
      </c>
      <c r="M4440" s="55">
        <v>0.114028</v>
      </c>
      <c r="N4440" s="55">
        <v>0.1140275</v>
      </c>
    </row>
    <row r="4441" spans="1:14" hidden="1" x14ac:dyDescent="0.35">
      <c r="A4441" s="52" t="s">
        <v>680</v>
      </c>
      <c r="B4441" s="52" t="s">
        <v>73</v>
      </c>
      <c r="C4441" s="52" t="s">
        <v>262</v>
      </c>
      <c r="D4441" s="52" t="s">
        <v>389</v>
      </c>
      <c r="E4441" s="52" t="s">
        <v>584</v>
      </c>
      <c r="F4441" s="52" t="s">
        <v>26</v>
      </c>
      <c r="G4441" s="55" t="s">
        <v>275</v>
      </c>
      <c r="H4441" s="55"/>
      <c r="I4441" s="55"/>
      <c r="J4441" s="55"/>
      <c r="K4441" s="55"/>
      <c r="L4441" s="55">
        <v>0</v>
      </c>
      <c r="M4441" s="55">
        <v>0</v>
      </c>
      <c r="N4441" s="55">
        <v>0</v>
      </c>
    </row>
    <row r="4442" spans="1:14" hidden="1" x14ac:dyDescent="0.35">
      <c r="A4442" s="52" t="s">
        <v>680</v>
      </c>
      <c r="B4442" s="52" t="s">
        <v>73</v>
      </c>
      <c r="C4442" s="52" t="s">
        <v>262</v>
      </c>
      <c r="D4442" s="52" t="s">
        <v>389</v>
      </c>
      <c r="E4442" s="52" t="s">
        <v>584</v>
      </c>
      <c r="F4442" s="52" t="s">
        <v>26</v>
      </c>
      <c r="G4442" s="55" t="s">
        <v>276</v>
      </c>
      <c r="H4442" s="55"/>
      <c r="I4442" s="55"/>
      <c r="J4442" s="55"/>
      <c r="K4442" s="55"/>
      <c r="L4442" s="55">
        <v>0</v>
      </c>
      <c r="M4442" s="55">
        <v>-8.6405000000000006E-3</v>
      </c>
      <c r="N4442" s="55">
        <v>-8.6405000000000006E-3</v>
      </c>
    </row>
    <row r="4443" spans="1:14" hidden="1" x14ac:dyDescent="0.35">
      <c r="A4443" s="52" t="s">
        <v>680</v>
      </c>
      <c r="B4443" s="52" t="s">
        <v>73</v>
      </c>
      <c r="C4443" s="52" t="s">
        <v>262</v>
      </c>
      <c r="D4443" s="52" t="s">
        <v>389</v>
      </c>
      <c r="E4443" s="52" t="s">
        <v>584</v>
      </c>
      <c r="F4443" s="52" t="s">
        <v>26</v>
      </c>
      <c r="G4443" s="55" t="s">
        <v>277</v>
      </c>
      <c r="H4443" s="55"/>
      <c r="I4443" s="55"/>
      <c r="J4443" s="55"/>
      <c r="K4443" s="55"/>
      <c r="L4443" s="55"/>
      <c r="M4443" s="55"/>
      <c r="N4443" s="55">
        <v>0</v>
      </c>
    </row>
    <row r="4444" spans="1:14" hidden="1" x14ac:dyDescent="0.35">
      <c r="A4444" s="52" t="s">
        <v>680</v>
      </c>
      <c r="B4444" s="52" t="s">
        <v>73</v>
      </c>
      <c r="C4444" s="52" t="s">
        <v>262</v>
      </c>
      <c r="D4444" s="52" t="s">
        <v>389</v>
      </c>
      <c r="E4444" s="52" t="s">
        <v>584</v>
      </c>
      <c r="F4444" s="52" t="s">
        <v>26</v>
      </c>
      <c r="G4444" s="55" t="s">
        <v>279</v>
      </c>
      <c r="H4444" s="55"/>
      <c r="I4444" s="55"/>
      <c r="J4444" s="55"/>
      <c r="K4444" s="55"/>
      <c r="L4444" s="55">
        <v>0</v>
      </c>
      <c r="M4444" s="55">
        <v>8.6405000000000006E-3</v>
      </c>
      <c r="N4444" s="55">
        <v>8.6405000000000006E-3</v>
      </c>
    </row>
    <row r="4445" spans="1:14" hidden="1" x14ac:dyDescent="0.35">
      <c r="A4445" s="52" t="s">
        <v>680</v>
      </c>
      <c r="B4445" s="52" t="s">
        <v>280</v>
      </c>
      <c r="C4445" s="52" t="s">
        <v>716</v>
      </c>
      <c r="D4445" s="52" t="s">
        <v>716</v>
      </c>
      <c r="E4445" s="52" t="s">
        <v>584</v>
      </c>
      <c r="F4445" s="52" t="s">
        <v>26</v>
      </c>
      <c r="G4445" s="55" t="s">
        <v>275</v>
      </c>
      <c r="H4445" s="55">
        <v>-5.5193989999999998E-2</v>
      </c>
      <c r="I4445" s="55">
        <v>-5.5194010000000002E-2</v>
      </c>
      <c r="J4445" s="55">
        <v>0</v>
      </c>
      <c r="K4445" s="55">
        <v>0</v>
      </c>
      <c r="L4445" s="55">
        <v>0</v>
      </c>
      <c r="M4445" s="55">
        <v>0</v>
      </c>
      <c r="N4445" s="55">
        <v>0</v>
      </c>
    </row>
    <row r="4446" spans="1:14" hidden="1" x14ac:dyDescent="0.35">
      <c r="A4446" s="52" t="s">
        <v>680</v>
      </c>
      <c r="B4446" s="52" t="s">
        <v>280</v>
      </c>
      <c r="C4446" s="52" t="s">
        <v>716</v>
      </c>
      <c r="D4446" s="52" t="s">
        <v>716</v>
      </c>
      <c r="E4446" s="52" t="s">
        <v>584</v>
      </c>
      <c r="F4446" s="52" t="s">
        <v>26</v>
      </c>
      <c r="G4446" s="55" t="s">
        <v>276</v>
      </c>
      <c r="H4446" s="55"/>
      <c r="I4446" s="55"/>
      <c r="J4446" s="55">
        <v>-5.5193989999999998E-2</v>
      </c>
      <c r="K4446" s="55">
        <v>-5.5193989999999998E-2</v>
      </c>
      <c r="L4446" s="55">
        <v>-0.776173</v>
      </c>
      <c r="M4446" s="55">
        <v>-5.5194010000000002E-2</v>
      </c>
      <c r="N4446" s="55">
        <v>-5.5193989999999998E-2</v>
      </c>
    </row>
    <row r="4447" spans="1:14" hidden="1" x14ac:dyDescent="0.35">
      <c r="A4447" s="52" t="s">
        <v>680</v>
      </c>
      <c r="B4447" s="52" t="s">
        <v>280</v>
      </c>
      <c r="C4447" s="52" t="s">
        <v>716</v>
      </c>
      <c r="D4447" s="52" t="s">
        <v>716</v>
      </c>
      <c r="E4447" s="52" t="s">
        <v>584</v>
      </c>
      <c r="F4447" s="52" t="s">
        <v>26</v>
      </c>
      <c r="G4447" s="55" t="s">
        <v>277</v>
      </c>
      <c r="H4447" s="55"/>
      <c r="I4447" s="55"/>
      <c r="J4447" s="55"/>
      <c r="K4447" s="55"/>
      <c r="L4447" s="55"/>
      <c r="M4447" s="55"/>
      <c r="N4447" s="55">
        <v>0</v>
      </c>
    </row>
    <row r="4448" spans="1:14" hidden="1" x14ac:dyDescent="0.35">
      <c r="A4448" s="52" t="s">
        <v>680</v>
      </c>
      <c r="B4448" s="52" t="s">
        <v>280</v>
      </c>
      <c r="C4448" s="52" t="s">
        <v>716</v>
      </c>
      <c r="D4448" s="52" t="s">
        <v>716</v>
      </c>
      <c r="E4448" s="52" t="s">
        <v>584</v>
      </c>
      <c r="F4448" s="52" t="s">
        <v>26</v>
      </c>
      <c r="G4448" s="55" t="s">
        <v>278</v>
      </c>
      <c r="H4448" s="55">
        <v>5.5193989999999998E-2</v>
      </c>
      <c r="I4448" s="55">
        <v>5.5194010000000002E-2</v>
      </c>
      <c r="J4448" s="55">
        <v>5.5193989999999998E-2</v>
      </c>
      <c r="K4448" s="55">
        <v>5.5193989999999998E-2</v>
      </c>
      <c r="L4448" s="55">
        <v>0.776173</v>
      </c>
      <c r="M4448" s="55">
        <v>5.5194010000000002E-2</v>
      </c>
      <c r="N4448" s="55">
        <v>5.5193989999999998E-2</v>
      </c>
    </row>
    <row r="4449" spans="1:14" hidden="1" x14ac:dyDescent="0.35">
      <c r="A4449" s="52" t="s">
        <v>681</v>
      </c>
      <c r="B4449" s="52" t="s">
        <v>37</v>
      </c>
      <c r="C4449" s="52" t="s">
        <v>35</v>
      </c>
      <c r="D4449" s="52" t="s">
        <v>129</v>
      </c>
      <c r="E4449" s="52" t="s">
        <v>580</v>
      </c>
      <c r="F4449" s="52" t="s">
        <v>581</v>
      </c>
      <c r="G4449" s="55" t="s">
        <v>275</v>
      </c>
      <c r="H4449" s="55">
        <v>-43.610210000000002</v>
      </c>
      <c r="I4449" s="55">
        <v>25.860569999999999</v>
      </c>
      <c r="J4449" s="55">
        <v>318.18180000000001</v>
      </c>
      <c r="K4449" s="55">
        <v>403.87689999999998</v>
      </c>
      <c r="L4449" s="55">
        <v>321.315</v>
      </c>
      <c r="M4449" s="55">
        <v>220.6052</v>
      </c>
      <c r="N4449" s="55">
        <v>164.3853</v>
      </c>
    </row>
    <row r="4450" spans="1:14" hidden="1" x14ac:dyDescent="0.35">
      <c r="A4450" s="52" t="s">
        <v>681</v>
      </c>
      <c r="B4450" s="52" t="s">
        <v>37</v>
      </c>
      <c r="C4450" s="52" t="s">
        <v>35</v>
      </c>
      <c r="D4450" s="52" t="s">
        <v>129</v>
      </c>
      <c r="E4450" s="52" t="s">
        <v>580</v>
      </c>
      <c r="F4450" s="52" t="s">
        <v>581</v>
      </c>
      <c r="G4450" s="55" t="s">
        <v>276</v>
      </c>
      <c r="H4450" s="55">
        <v>126.1647</v>
      </c>
      <c r="I4450" s="55">
        <v>-26.510570000000001</v>
      </c>
      <c r="J4450" s="55">
        <v>-39.453490000000002</v>
      </c>
      <c r="K4450" s="55">
        <v>-67.291889999999995</v>
      </c>
      <c r="L4450" s="55">
        <v>-27.695229999999999</v>
      </c>
      <c r="M4450" s="55">
        <v>24.807590000000001</v>
      </c>
      <c r="N4450" s="55">
        <v>45.944319999999998</v>
      </c>
    </row>
    <row r="4451" spans="1:14" hidden="1" x14ac:dyDescent="0.35">
      <c r="A4451" s="52" t="s">
        <v>681</v>
      </c>
      <c r="B4451" s="52" t="s">
        <v>37</v>
      </c>
      <c r="C4451" s="52" t="s">
        <v>35</v>
      </c>
      <c r="D4451" s="52" t="s">
        <v>129</v>
      </c>
      <c r="E4451" s="52" t="s">
        <v>580</v>
      </c>
      <c r="F4451" s="52" t="s">
        <v>581</v>
      </c>
      <c r="G4451" s="55" t="s">
        <v>277</v>
      </c>
      <c r="H4451" s="55">
        <v>1141.7919999999999</v>
      </c>
      <c r="I4451" s="55">
        <v>481.48689999999999</v>
      </c>
      <c r="J4451" s="55">
        <v>138.06979999999999</v>
      </c>
      <c r="K4451" s="55">
        <v>49.326369999999997</v>
      </c>
      <c r="L4451" s="55">
        <v>70.813839999999999</v>
      </c>
      <c r="M4451" s="55">
        <v>81.431139999999999</v>
      </c>
      <c r="N4451" s="55">
        <v>147.67070000000001</v>
      </c>
    </row>
    <row r="4452" spans="1:14" hidden="1" x14ac:dyDescent="0.35">
      <c r="A4452" s="52" t="s">
        <v>681</v>
      </c>
      <c r="B4452" s="52" t="s">
        <v>37</v>
      </c>
      <c r="C4452" s="52" t="s">
        <v>35</v>
      </c>
      <c r="D4452" s="52" t="s">
        <v>129</v>
      </c>
      <c r="E4452" s="52" t="s">
        <v>580</v>
      </c>
      <c r="F4452" s="52" t="s">
        <v>581</v>
      </c>
      <c r="G4452" s="55" t="s">
        <v>278</v>
      </c>
      <c r="H4452" s="55">
        <v>3.5040230000000001</v>
      </c>
      <c r="I4452" s="55">
        <v>3.4580380000000002</v>
      </c>
      <c r="J4452" s="55">
        <v>114.9999</v>
      </c>
      <c r="K4452" s="55">
        <v>104.381</v>
      </c>
      <c r="L4452" s="55">
        <v>117.006</v>
      </c>
      <c r="M4452" s="55">
        <v>102.309</v>
      </c>
      <c r="N4452" s="55">
        <v>78.940809999999999</v>
      </c>
    </row>
    <row r="4453" spans="1:14" hidden="1" x14ac:dyDescent="0.35">
      <c r="A4453" s="52" t="s">
        <v>681</v>
      </c>
      <c r="B4453" s="52" t="s">
        <v>37</v>
      </c>
      <c r="C4453" s="52" t="s">
        <v>35</v>
      </c>
      <c r="D4453" s="52" t="s">
        <v>129</v>
      </c>
      <c r="E4453" s="52" t="s">
        <v>580</v>
      </c>
      <c r="F4453" s="52" t="s">
        <v>581</v>
      </c>
      <c r="G4453" s="55" t="s">
        <v>279</v>
      </c>
      <c r="H4453" s="55">
        <v>514.7242</v>
      </c>
      <c r="I4453" s="55">
        <v>424.60230000000001</v>
      </c>
      <c r="J4453" s="55">
        <v>428.92619999999999</v>
      </c>
      <c r="K4453" s="55">
        <v>411.77390000000003</v>
      </c>
      <c r="L4453" s="55">
        <v>366.20299999999997</v>
      </c>
      <c r="M4453" s="55">
        <v>398.79059999999998</v>
      </c>
      <c r="N4453" s="55">
        <v>391.3922</v>
      </c>
    </row>
    <row r="4454" spans="1:14" hidden="1" x14ac:dyDescent="0.35">
      <c r="A4454" s="52" t="s">
        <v>681</v>
      </c>
      <c r="B4454" s="52" t="s">
        <v>37</v>
      </c>
      <c r="C4454" s="52" t="s">
        <v>35</v>
      </c>
      <c r="D4454" s="52" t="s">
        <v>129</v>
      </c>
      <c r="E4454" s="52" t="s">
        <v>580</v>
      </c>
      <c r="F4454" s="52" t="s">
        <v>26</v>
      </c>
      <c r="G4454" s="55" t="s">
        <v>275</v>
      </c>
      <c r="H4454" s="55">
        <v>-40.375399999999999</v>
      </c>
      <c r="I4454" s="55">
        <v>-20.877970000000001</v>
      </c>
      <c r="J4454" s="55">
        <v>-12.49123</v>
      </c>
      <c r="K4454" s="55">
        <v>-16.281040000000001</v>
      </c>
      <c r="L4454" s="55">
        <v>-11.92726</v>
      </c>
      <c r="M4454" s="55">
        <v>-21.706810000000001</v>
      </c>
      <c r="N4454" s="55">
        <v>-19.650860000000002</v>
      </c>
    </row>
    <row r="4455" spans="1:14" hidden="1" x14ac:dyDescent="0.35">
      <c r="A4455" s="52" t="s">
        <v>681</v>
      </c>
      <c r="B4455" s="52" t="s">
        <v>37</v>
      </c>
      <c r="C4455" s="52" t="s">
        <v>35</v>
      </c>
      <c r="D4455" s="52" t="s">
        <v>129</v>
      </c>
      <c r="E4455" s="52" t="s">
        <v>580</v>
      </c>
      <c r="F4455" s="52" t="s">
        <v>26</v>
      </c>
      <c r="G4455" s="55" t="s">
        <v>276</v>
      </c>
      <c r="H4455" s="55">
        <v>-10.73269</v>
      </c>
      <c r="I4455" s="55">
        <v>-5.54983</v>
      </c>
      <c r="J4455" s="55">
        <v>-3.3204560000000001</v>
      </c>
      <c r="K4455" s="55">
        <v>-4.3278840000000001</v>
      </c>
      <c r="L4455" s="55">
        <v>-3.1705429999999999</v>
      </c>
      <c r="M4455" s="55">
        <v>-5.770168</v>
      </c>
      <c r="N4455" s="55">
        <v>-5.223649</v>
      </c>
    </row>
    <row r="4456" spans="1:14" hidden="1" x14ac:dyDescent="0.35">
      <c r="A4456" s="52" t="s">
        <v>681</v>
      </c>
      <c r="B4456" s="52" t="s">
        <v>37</v>
      </c>
      <c r="C4456" s="52" t="s">
        <v>35</v>
      </c>
      <c r="D4456" s="52" t="s">
        <v>129</v>
      </c>
      <c r="E4456" s="52" t="s">
        <v>580</v>
      </c>
      <c r="F4456" s="52" t="s">
        <v>26</v>
      </c>
      <c r="G4456" s="55" t="s">
        <v>279</v>
      </c>
      <c r="H4456" s="55">
        <v>185.65880000000001</v>
      </c>
      <c r="I4456" s="55">
        <v>154.44759999999999</v>
      </c>
      <c r="J4456" s="55">
        <v>156.40199999999999</v>
      </c>
      <c r="K4456" s="55">
        <v>150.92590000000001</v>
      </c>
      <c r="L4456" s="55">
        <v>136.2731</v>
      </c>
      <c r="M4456" s="55">
        <v>143.58969999999999</v>
      </c>
      <c r="N4456" s="55">
        <v>138.51220000000001</v>
      </c>
    </row>
    <row r="4457" spans="1:14" hidden="1" x14ac:dyDescent="0.35">
      <c r="A4457" s="52" t="s">
        <v>681</v>
      </c>
      <c r="B4457" s="52" t="s">
        <v>37</v>
      </c>
      <c r="C4457" s="52" t="s">
        <v>35</v>
      </c>
      <c r="D4457" s="52" t="s">
        <v>129</v>
      </c>
      <c r="E4457" s="52" t="s">
        <v>582</v>
      </c>
      <c r="F4457" s="52" t="s">
        <v>581</v>
      </c>
      <c r="G4457" s="55" t="s">
        <v>275</v>
      </c>
      <c r="H4457" s="55">
        <v>-53.232430000000001</v>
      </c>
      <c r="I4457" s="55">
        <v>-5.571555</v>
      </c>
      <c r="J4457" s="55">
        <v>14.66417</v>
      </c>
      <c r="K4457" s="55">
        <v>22.12462</v>
      </c>
      <c r="L4457" s="55">
        <v>26.427209999999999</v>
      </c>
      <c r="M4457" s="55">
        <v>13.067259999999999</v>
      </c>
      <c r="N4457" s="55">
        <v>11.096019999999999</v>
      </c>
    </row>
    <row r="4458" spans="1:14" hidden="1" x14ac:dyDescent="0.35">
      <c r="A4458" s="52" t="s">
        <v>681</v>
      </c>
      <c r="B4458" s="52" t="s">
        <v>37</v>
      </c>
      <c r="C4458" s="52" t="s">
        <v>35</v>
      </c>
      <c r="D4458" s="52" t="s">
        <v>129</v>
      </c>
      <c r="E4458" s="52" t="s">
        <v>582</v>
      </c>
      <c r="F4458" s="52" t="s">
        <v>581</v>
      </c>
      <c r="G4458" s="55" t="s">
        <v>276</v>
      </c>
      <c r="H4458" s="55">
        <v>-1.116736</v>
      </c>
      <c r="I4458" s="55">
        <v>-4.0641179999999997</v>
      </c>
      <c r="J4458" s="55">
        <v>-8.1657919999999997</v>
      </c>
      <c r="K4458" s="55">
        <v>-1.305712</v>
      </c>
      <c r="L4458" s="55">
        <v>-3.3279670000000001</v>
      </c>
      <c r="M4458" s="55">
        <v>0.80847009999999997</v>
      </c>
      <c r="N4458" s="55">
        <v>2.4382929999999998</v>
      </c>
    </row>
    <row r="4459" spans="1:14" hidden="1" x14ac:dyDescent="0.35">
      <c r="A4459" s="52" t="s">
        <v>681</v>
      </c>
      <c r="B4459" s="52" t="s">
        <v>37</v>
      </c>
      <c r="C4459" s="52" t="s">
        <v>35</v>
      </c>
      <c r="D4459" s="52" t="s">
        <v>129</v>
      </c>
      <c r="E4459" s="52" t="s">
        <v>582</v>
      </c>
      <c r="F4459" s="52" t="s">
        <v>581</v>
      </c>
      <c r="G4459" s="55" t="s">
        <v>277</v>
      </c>
      <c r="H4459" s="55">
        <v>98.090159999999997</v>
      </c>
      <c r="I4459" s="55">
        <v>35.598739999999999</v>
      </c>
      <c r="J4459" s="55">
        <v>11.490740000000001</v>
      </c>
      <c r="K4459" s="55">
        <v>2.3850980000000002</v>
      </c>
      <c r="L4459" s="55">
        <v>2.2006670000000002</v>
      </c>
      <c r="M4459" s="55">
        <v>4.4943080000000002</v>
      </c>
      <c r="N4459" s="55">
        <v>8.9436210000000003</v>
      </c>
    </row>
    <row r="4460" spans="1:14" hidden="1" x14ac:dyDescent="0.35">
      <c r="A4460" s="52" t="s">
        <v>681</v>
      </c>
      <c r="B4460" s="52" t="s">
        <v>37</v>
      </c>
      <c r="C4460" s="52" t="s">
        <v>35</v>
      </c>
      <c r="D4460" s="52" t="s">
        <v>129</v>
      </c>
      <c r="E4460" s="52" t="s">
        <v>582</v>
      </c>
      <c r="F4460" s="52" t="s">
        <v>581</v>
      </c>
      <c r="G4460" s="55" t="s">
        <v>278</v>
      </c>
      <c r="H4460" s="55">
        <v>0.28837299999999999</v>
      </c>
      <c r="I4460" s="55">
        <v>0.25755099999999997</v>
      </c>
      <c r="J4460" s="55">
        <v>13.119339999999999</v>
      </c>
      <c r="K4460" s="55">
        <v>11.042680000000001</v>
      </c>
      <c r="L4460" s="55">
        <v>8.4465269999999997</v>
      </c>
      <c r="M4460" s="55">
        <v>8.7597509999999996</v>
      </c>
      <c r="N4460" s="55">
        <v>7.3256170000000003</v>
      </c>
    </row>
    <row r="4461" spans="1:14" hidden="1" x14ac:dyDescent="0.35">
      <c r="A4461" s="52" t="s">
        <v>681</v>
      </c>
      <c r="B4461" s="52" t="s">
        <v>37</v>
      </c>
      <c r="C4461" s="52" t="s">
        <v>35</v>
      </c>
      <c r="D4461" s="52" t="s">
        <v>129</v>
      </c>
      <c r="E4461" s="52" t="s">
        <v>582</v>
      </c>
      <c r="F4461" s="52" t="s">
        <v>581</v>
      </c>
      <c r="G4461" s="55" t="s">
        <v>279</v>
      </c>
      <c r="H4461" s="55">
        <v>21.765440000000002</v>
      </c>
      <c r="I4461" s="55">
        <v>29.513929999999998</v>
      </c>
      <c r="J4461" s="55">
        <v>31.939779999999999</v>
      </c>
      <c r="K4461" s="55">
        <v>36.816890000000001</v>
      </c>
      <c r="L4461" s="55">
        <v>32.123530000000002</v>
      </c>
      <c r="M4461" s="55">
        <v>32.852890000000002</v>
      </c>
      <c r="N4461" s="55">
        <v>33.562379999999997</v>
      </c>
    </row>
    <row r="4462" spans="1:14" hidden="1" x14ac:dyDescent="0.35">
      <c r="A4462" s="52" t="s">
        <v>681</v>
      </c>
      <c r="B4462" s="52" t="s">
        <v>37</v>
      </c>
      <c r="C4462" s="52" t="s">
        <v>35</v>
      </c>
      <c r="D4462" s="52" t="s">
        <v>129</v>
      </c>
      <c r="E4462" s="52" t="s">
        <v>582</v>
      </c>
      <c r="F4462" s="52" t="s">
        <v>26</v>
      </c>
      <c r="G4462" s="55" t="s">
        <v>275</v>
      </c>
      <c r="H4462" s="55">
        <v>-3.0152130000000001</v>
      </c>
      <c r="I4462" s="55">
        <v>-3.435238</v>
      </c>
      <c r="J4462" s="55">
        <v>-2.9774189999999998</v>
      </c>
      <c r="K4462" s="55">
        <v>-3.985411</v>
      </c>
      <c r="L4462" s="55">
        <v>-3.2774719999999999</v>
      </c>
      <c r="M4462" s="55">
        <v>-4.2850200000000003</v>
      </c>
      <c r="N4462" s="55">
        <v>-4.261984</v>
      </c>
    </row>
    <row r="4463" spans="1:14" hidden="1" x14ac:dyDescent="0.35">
      <c r="A4463" s="52" t="s">
        <v>681</v>
      </c>
      <c r="B4463" s="52" t="s">
        <v>37</v>
      </c>
      <c r="C4463" s="52" t="s">
        <v>35</v>
      </c>
      <c r="D4463" s="52" t="s">
        <v>129</v>
      </c>
      <c r="E4463" s="52" t="s">
        <v>582</v>
      </c>
      <c r="F4463" s="52" t="s">
        <v>26</v>
      </c>
      <c r="G4463" s="55" t="s">
        <v>276</v>
      </c>
      <c r="H4463" s="55">
        <v>-0.80151099999999997</v>
      </c>
      <c r="I4463" s="55">
        <v>-0.91316459999999999</v>
      </c>
      <c r="J4463" s="55">
        <v>-0.79146660000000002</v>
      </c>
      <c r="K4463" s="55">
        <v>-1.0594129999999999</v>
      </c>
      <c r="L4463" s="55">
        <v>-0.87122520000000003</v>
      </c>
      <c r="M4463" s="55">
        <v>-1.1390530000000001</v>
      </c>
      <c r="N4463" s="55">
        <v>-1.1329309999999999</v>
      </c>
    </row>
    <row r="4464" spans="1:14" hidden="1" x14ac:dyDescent="0.35">
      <c r="A4464" s="52" t="s">
        <v>681</v>
      </c>
      <c r="B4464" s="52" t="s">
        <v>37</v>
      </c>
      <c r="C4464" s="52" t="s">
        <v>35</v>
      </c>
      <c r="D4464" s="52" t="s">
        <v>129</v>
      </c>
      <c r="E4464" s="52" t="s">
        <v>582</v>
      </c>
      <c r="F4464" s="52" t="s">
        <v>26</v>
      </c>
      <c r="G4464" s="55" t="s">
        <v>279</v>
      </c>
      <c r="H4464" s="55">
        <v>9.8632069999999992</v>
      </c>
      <c r="I4464" s="55">
        <v>15.290480000000001</v>
      </c>
      <c r="J4464" s="55">
        <v>16.713930000000001</v>
      </c>
      <c r="K4464" s="55">
        <v>19.501999999999999</v>
      </c>
      <c r="L4464" s="55">
        <v>17.45919</v>
      </c>
      <c r="M4464" s="55">
        <v>17.307230000000001</v>
      </c>
      <c r="N4464" s="55">
        <v>17.58446</v>
      </c>
    </row>
    <row r="4465" spans="1:14" hidden="1" x14ac:dyDescent="0.35">
      <c r="A4465" s="52" t="s">
        <v>681</v>
      </c>
      <c r="B4465" s="52" t="s">
        <v>37</v>
      </c>
      <c r="C4465" s="52" t="s">
        <v>35</v>
      </c>
      <c r="D4465" s="52" t="s">
        <v>129</v>
      </c>
      <c r="E4465" s="52" t="s">
        <v>584</v>
      </c>
      <c r="F4465" s="52" t="s">
        <v>581</v>
      </c>
      <c r="G4465" s="55" t="s">
        <v>275</v>
      </c>
      <c r="H4465" s="55">
        <v>0.68935599999999997</v>
      </c>
      <c r="I4465" s="55">
        <v>-9.1537489999999999E-2</v>
      </c>
      <c r="J4465" s="55">
        <v>1.335021</v>
      </c>
      <c r="K4465" s="55">
        <v>2.279201</v>
      </c>
      <c r="L4465" s="55">
        <v>2.0856590000000002</v>
      </c>
      <c r="M4465" s="55">
        <v>1.975708</v>
      </c>
      <c r="N4465" s="55">
        <v>1.626376</v>
      </c>
    </row>
    <row r="4466" spans="1:14" hidden="1" x14ac:dyDescent="0.35">
      <c r="A4466" s="52" t="s">
        <v>681</v>
      </c>
      <c r="B4466" s="52" t="s">
        <v>37</v>
      </c>
      <c r="C4466" s="52" t="s">
        <v>35</v>
      </c>
      <c r="D4466" s="52" t="s">
        <v>129</v>
      </c>
      <c r="E4466" s="52" t="s">
        <v>584</v>
      </c>
      <c r="F4466" s="52" t="s">
        <v>581</v>
      </c>
      <c r="G4466" s="55" t="s">
        <v>276</v>
      </c>
      <c r="H4466" s="55">
        <v>0.64458199999999999</v>
      </c>
      <c r="I4466" s="55">
        <v>-0.48635440000000002</v>
      </c>
      <c r="J4466" s="55">
        <v>0.1067548</v>
      </c>
      <c r="K4466" s="55">
        <v>-0.30024289999999998</v>
      </c>
      <c r="L4466" s="55">
        <v>-0.1814057</v>
      </c>
      <c r="M4466" s="55">
        <v>7.3525679999999996E-2</v>
      </c>
      <c r="N4466" s="55">
        <v>0.26193109999999997</v>
      </c>
    </row>
    <row r="4467" spans="1:14" hidden="1" x14ac:dyDescent="0.35">
      <c r="A4467" s="52" t="s">
        <v>681</v>
      </c>
      <c r="B4467" s="52" t="s">
        <v>37</v>
      </c>
      <c r="C4467" s="52" t="s">
        <v>35</v>
      </c>
      <c r="D4467" s="52" t="s">
        <v>129</v>
      </c>
      <c r="E4467" s="52" t="s">
        <v>584</v>
      </c>
      <c r="F4467" s="52" t="s">
        <v>581</v>
      </c>
      <c r="G4467" s="55" t="s">
        <v>277</v>
      </c>
      <c r="H4467" s="55">
        <v>6.1157950000000003</v>
      </c>
      <c r="I4467" s="55">
        <v>3.495066</v>
      </c>
      <c r="J4467" s="55">
        <v>1.3030790000000001</v>
      </c>
      <c r="K4467" s="55">
        <v>0.51107199999999997</v>
      </c>
      <c r="L4467" s="55">
        <v>0.42925099999999999</v>
      </c>
      <c r="M4467" s="55">
        <v>0</v>
      </c>
      <c r="N4467" s="55">
        <v>0</v>
      </c>
    </row>
    <row r="4468" spans="1:14" hidden="1" x14ac:dyDescent="0.35">
      <c r="A4468" s="52" t="s">
        <v>681</v>
      </c>
      <c r="B4468" s="52" t="s">
        <v>37</v>
      </c>
      <c r="C4468" s="52" t="s">
        <v>35</v>
      </c>
      <c r="D4468" s="52" t="s">
        <v>129</v>
      </c>
      <c r="E4468" s="52" t="s">
        <v>584</v>
      </c>
      <c r="F4468" s="52" t="s">
        <v>581</v>
      </c>
      <c r="G4468" s="55" t="s">
        <v>279</v>
      </c>
      <c r="H4468" s="55">
        <v>2.079644</v>
      </c>
      <c r="I4468" s="55">
        <v>1.417516</v>
      </c>
      <c r="J4468" s="55">
        <v>1.265312</v>
      </c>
      <c r="K4468" s="55">
        <v>1.188655</v>
      </c>
      <c r="L4468" s="55">
        <v>1.061024</v>
      </c>
      <c r="M4468" s="55">
        <v>1.0862039999999999</v>
      </c>
      <c r="N4468" s="55">
        <v>0.9960561</v>
      </c>
    </row>
    <row r="4469" spans="1:14" hidden="1" x14ac:dyDescent="0.35">
      <c r="A4469" s="52" t="s">
        <v>681</v>
      </c>
      <c r="B4469" s="52" t="s">
        <v>37</v>
      </c>
      <c r="C4469" s="52" t="s">
        <v>35</v>
      </c>
      <c r="D4469" s="52" t="s">
        <v>129</v>
      </c>
      <c r="E4469" s="52" t="s">
        <v>584</v>
      </c>
      <c r="F4469" s="52" t="s">
        <v>26</v>
      </c>
      <c r="G4469" s="55" t="s">
        <v>275</v>
      </c>
      <c r="H4469" s="55">
        <v>4.463E-3</v>
      </c>
      <c r="I4469" s="55">
        <v>4.0881800000000003E-2</v>
      </c>
      <c r="J4469" s="55">
        <v>5.4832899999999997E-2</v>
      </c>
      <c r="K4469" s="55">
        <v>4.2357300000000001E-2</v>
      </c>
      <c r="L4469" s="55">
        <v>4.1008799999999998E-2</v>
      </c>
      <c r="M4469" s="55">
        <v>2.2467899999999999E-2</v>
      </c>
      <c r="N4469" s="55">
        <v>2.0480000000000002E-2</v>
      </c>
    </row>
    <row r="4470" spans="1:14" hidden="1" x14ac:dyDescent="0.35">
      <c r="A4470" s="52" t="s">
        <v>681</v>
      </c>
      <c r="B4470" s="52" t="s">
        <v>37</v>
      </c>
      <c r="C4470" s="52" t="s">
        <v>35</v>
      </c>
      <c r="D4470" s="52" t="s">
        <v>129</v>
      </c>
      <c r="E4470" s="52" t="s">
        <v>584</v>
      </c>
      <c r="F4470" s="52" t="s">
        <v>26</v>
      </c>
      <c r="G4470" s="55" t="s">
        <v>276</v>
      </c>
      <c r="H4470" s="55">
        <v>1.1869999999999999E-3</v>
      </c>
      <c r="I4470" s="55">
        <v>1.08672E-2</v>
      </c>
      <c r="J4470" s="55">
        <v>1.4575599999999999E-2</v>
      </c>
      <c r="K4470" s="55">
        <v>1.12595E-2</v>
      </c>
      <c r="L4470" s="55">
        <v>1.0901299999999999E-2</v>
      </c>
      <c r="M4470" s="55">
        <v>5.9721000000000002E-3</v>
      </c>
      <c r="N4470" s="55">
        <v>5.4434000000000001E-3</v>
      </c>
    </row>
    <row r="4471" spans="1:14" hidden="1" x14ac:dyDescent="0.35">
      <c r="A4471" s="52" t="s">
        <v>681</v>
      </c>
      <c r="B4471" s="52" t="s">
        <v>37</v>
      </c>
      <c r="C4471" s="52" t="s">
        <v>35</v>
      </c>
      <c r="D4471" s="52" t="s">
        <v>129</v>
      </c>
      <c r="E4471" s="52" t="s">
        <v>584</v>
      </c>
      <c r="F4471" s="52" t="s">
        <v>26</v>
      </c>
      <c r="G4471" s="55" t="s">
        <v>279</v>
      </c>
      <c r="H4471" s="55">
        <v>0.33307999999999999</v>
      </c>
      <c r="I4471" s="55">
        <v>0.2802287</v>
      </c>
      <c r="J4471" s="55">
        <v>0.25225930000000002</v>
      </c>
      <c r="K4471" s="55">
        <v>0.2400997</v>
      </c>
      <c r="L4471" s="55">
        <v>0.21807389999999999</v>
      </c>
      <c r="M4471" s="55">
        <v>0.21986020000000001</v>
      </c>
      <c r="N4471" s="55">
        <v>0.2014118</v>
      </c>
    </row>
    <row r="4472" spans="1:14" hidden="1" x14ac:dyDescent="0.35">
      <c r="A4472" s="52" t="s">
        <v>681</v>
      </c>
      <c r="B4472" s="52" t="s">
        <v>37</v>
      </c>
      <c r="C4472" s="52" t="s">
        <v>35</v>
      </c>
      <c r="D4472" s="52" t="s">
        <v>39</v>
      </c>
      <c r="E4472" s="52" t="s">
        <v>580</v>
      </c>
      <c r="F4472" s="52" t="s">
        <v>581</v>
      </c>
      <c r="G4472" s="55" t="s">
        <v>275</v>
      </c>
      <c r="H4472" s="55">
        <v>41.094709999999999</v>
      </c>
      <c r="I4472" s="55">
        <v>17.95851</v>
      </c>
      <c r="J4472" s="55">
        <v>33.674329999999998</v>
      </c>
      <c r="K4472" s="55">
        <v>24.206620000000001</v>
      </c>
      <c r="L4472" s="55">
        <v>12.28825</v>
      </c>
      <c r="M4472" s="55">
        <v>11.513999999999999</v>
      </c>
      <c r="N4472" s="55">
        <v>-24.18937</v>
      </c>
    </row>
    <row r="4473" spans="1:14" hidden="1" x14ac:dyDescent="0.35">
      <c r="A4473" s="52" t="s">
        <v>681</v>
      </c>
      <c r="B4473" s="52" t="s">
        <v>37</v>
      </c>
      <c r="C4473" s="52" t="s">
        <v>35</v>
      </c>
      <c r="D4473" s="52" t="s">
        <v>39</v>
      </c>
      <c r="E4473" s="52" t="s">
        <v>580</v>
      </c>
      <c r="F4473" s="52" t="s">
        <v>581</v>
      </c>
      <c r="G4473" s="55" t="s">
        <v>276</v>
      </c>
      <c r="H4473" s="55">
        <v>13.24094</v>
      </c>
      <c r="I4473" s="55">
        <v>-0.3622187</v>
      </c>
      <c r="J4473" s="55">
        <v>-3.8349220000000002</v>
      </c>
      <c r="K4473" s="55">
        <v>0.44386150000000002</v>
      </c>
      <c r="L4473" s="55">
        <v>2.0899990000000002</v>
      </c>
      <c r="M4473" s="55">
        <v>4.7782869999999997</v>
      </c>
      <c r="N4473" s="55">
        <v>5.625553</v>
      </c>
    </row>
    <row r="4474" spans="1:14" hidden="1" x14ac:dyDescent="0.35">
      <c r="A4474" s="52" t="s">
        <v>681</v>
      </c>
      <c r="B4474" s="52" t="s">
        <v>37</v>
      </c>
      <c r="C4474" s="52" t="s">
        <v>35</v>
      </c>
      <c r="D4474" s="52" t="s">
        <v>39</v>
      </c>
      <c r="E4474" s="52" t="s">
        <v>580</v>
      </c>
      <c r="F4474" s="52" t="s">
        <v>581</v>
      </c>
      <c r="G4474" s="55" t="s">
        <v>277</v>
      </c>
      <c r="H4474" s="55">
        <v>49.934069999999998</v>
      </c>
      <c r="I4474" s="55">
        <v>21.480709999999998</v>
      </c>
      <c r="J4474" s="55">
        <v>3.2643490000000002</v>
      </c>
      <c r="K4474" s="55">
        <v>1.7180340000000001</v>
      </c>
      <c r="L4474" s="55">
        <v>5.8865749999999997</v>
      </c>
      <c r="M4474" s="55">
        <v>6.4787270000000001</v>
      </c>
      <c r="N4474" s="55">
        <v>30.075520000000001</v>
      </c>
    </row>
    <row r="4475" spans="1:14" hidden="1" x14ac:dyDescent="0.35">
      <c r="A4475" s="52" t="s">
        <v>681</v>
      </c>
      <c r="B4475" s="52" t="s">
        <v>37</v>
      </c>
      <c r="C4475" s="52" t="s">
        <v>35</v>
      </c>
      <c r="D4475" s="52" t="s">
        <v>39</v>
      </c>
      <c r="E4475" s="52" t="s">
        <v>580</v>
      </c>
      <c r="F4475" s="52" t="s">
        <v>581</v>
      </c>
      <c r="G4475" s="55" t="s">
        <v>278</v>
      </c>
      <c r="H4475" s="55">
        <v>0.15894</v>
      </c>
      <c r="I4475" s="55">
        <v>0.17649229999999999</v>
      </c>
      <c r="J4475" s="55">
        <v>6.2557900000000002</v>
      </c>
      <c r="K4475" s="55">
        <v>8.761749</v>
      </c>
      <c r="L4475" s="55">
        <v>20.620010000000001</v>
      </c>
      <c r="M4475" s="55">
        <v>20.88325</v>
      </c>
      <c r="N4475" s="55">
        <v>42.543849999999999</v>
      </c>
    </row>
    <row r="4476" spans="1:14" hidden="1" x14ac:dyDescent="0.35">
      <c r="A4476" s="52" t="s">
        <v>681</v>
      </c>
      <c r="B4476" s="52" t="s">
        <v>37</v>
      </c>
      <c r="C4476" s="52" t="s">
        <v>35</v>
      </c>
      <c r="D4476" s="52" t="s">
        <v>39</v>
      </c>
      <c r="E4476" s="52" t="s">
        <v>580</v>
      </c>
      <c r="F4476" s="52" t="s">
        <v>581</v>
      </c>
      <c r="G4476" s="55" t="s">
        <v>279</v>
      </c>
      <c r="H4476" s="55">
        <v>35.34064</v>
      </c>
      <c r="I4476" s="55">
        <v>25.924769999999999</v>
      </c>
      <c r="J4476" s="55">
        <v>24.173500000000001</v>
      </c>
      <c r="K4476" s="55">
        <v>22.40475</v>
      </c>
      <c r="L4476" s="55">
        <v>23.09375</v>
      </c>
      <c r="M4476" s="55">
        <v>31.165389999999999</v>
      </c>
      <c r="N4476" s="55">
        <v>38.066960000000002</v>
      </c>
    </row>
    <row r="4477" spans="1:14" hidden="1" x14ac:dyDescent="0.35">
      <c r="A4477" s="52" t="s">
        <v>681</v>
      </c>
      <c r="B4477" s="52" t="s">
        <v>37</v>
      </c>
      <c r="C4477" s="52" t="s">
        <v>35</v>
      </c>
      <c r="D4477" s="52" t="s">
        <v>39</v>
      </c>
      <c r="E4477" s="52" t="s">
        <v>580</v>
      </c>
      <c r="F4477" s="52" t="s">
        <v>26</v>
      </c>
      <c r="G4477" s="55" t="s">
        <v>275</v>
      </c>
      <c r="H4477" s="55">
        <v>0.25571199999999999</v>
      </c>
      <c r="I4477" s="55">
        <v>-0.18744939999999999</v>
      </c>
      <c r="J4477" s="55">
        <v>0.65980130000000003</v>
      </c>
      <c r="K4477" s="55">
        <v>0.21112310000000001</v>
      </c>
      <c r="L4477" s="55">
        <v>0.69111940000000005</v>
      </c>
      <c r="M4477" s="55">
        <v>-0.77383550000000001</v>
      </c>
      <c r="N4477" s="55">
        <v>-0.9284384</v>
      </c>
    </row>
    <row r="4478" spans="1:14" hidden="1" x14ac:dyDescent="0.35">
      <c r="A4478" s="52" t="s">
        <v>681</v>
      </c>
      <c r="B4478" s="52" t="s">
        <v>37</v>
      </c>
      <c r="C4478" s="52" t="s">
        <v>35</v>
      </c>
      <c r="D4478" s="52" t="s">
        <v>39</v>
      </c>
      <c r="E4478" s="52" t="s">
        <v>580</v>
      </c>
      <c r="F4478" s="52" t="s">
        <v>26</v>
      </c>
      <c r="G4478" s="55" t="s">
        <v>276</v>
      </c>
      <c r="H4478" s="55">
        <v>6.7972000000000005E-2</v>
      </c>
      <c r="I4478" s="55">
        <v>-4.9830300000000001E-2</v>
      </c>
      <c r="J4478" s="55">
        <v>0.17539009999999999</v>
      </c>
      <c r="K4478" s="55">
        <v>5.6120400000000001E-2</v>
      </c>
      <c r="L4478" s="55">
        <v>0.18371470000000001</v>
      </c>
      <c r="M4478" s="55">
        <v>-0.205705</v>
      </c>
      <c r="N4478" s="55">
        <v>-0.24679799999999999</v>
      </c>
    </row>
    <row r="4479" spans="1:14" hidden="1" x14ac:dyDescent="0.35">
      <c r="A4479" s="52" t="s">
        <v>681</v>
      </c>
      <c r="B4479" s="52" t="s">
        <v>37</v>
      </c>
      <c r="C4479" s="52" t="s">
        <v>35</v>
      </c>
      <c r="D4479" s="52" t="s">
        <v>39</v>
      </c>
      <c r="E4479" s="52" t="s">
        <v>580</v>
      </c>
      <c r="F4479" s="52" t="s">
        <v>26</v>
      </c>
      <c r="G4479" s="55" t="s">
        <v>279</v>
      </c>
      <c r="H4479" s="55">
        <v>15.699299999999999</v>
      </c>
      <c r="I4479" s="55">
        <v>13.271190000000001</v>
      </c>
      <c r="J4479" s="55">
        <v>12.358269999999999</v>
      </c>
      <c r="K4479" s="55">
        <v>11.60066</v>
      </c>
      <c r="L4479" s="55">
        <v>12.16451</v>
      </c>
      <c r="M4479" s="55">
        <v>16.167649999999998</v>
      </c>
      <c r="N4479" s="55">
        <v>19.716909999999999</v>
      </c>
    </row>
    <row r="4480" spans="1:14" hidden="1" x14ac:dyDescent="0.35">
      <c r="A4480" s="52" t="s">
        <v>681</v>
      </c>
      <c r="B4480" s="52" t="s">
        <v>37</v>
      </c>
      <c r="C4480" s="52" t="s">
        <v>35</v>
      </c>
      <c r="D4480" s="52" t="s">
        <v>39</v>
      </c>
      <c r="E4480" s="52" t="s">
        <v>582</v>
      </c>
      <c r="F4480" s="52" t="s">
        <v>581</v>
      </c>
      <c r="G4480" s="55" t="s">
        <v>275</v>
      </c>
      <c r="H4480" s="55">
        <v>9.6644360000000002</v>
      </c>
      <c r="I4480" s="55">
        <v>2.3678729999999999</v>
      </c>
      <c r="J4480" s="55">
        <v>14.69952</v>
      </c>
      <c r="K4480" s="55">
        <v>3.6859060000000001</v>
      </c>
      <c r="L4480" s="55">
        <v>1.8307610000000001</v>
      </c>
      <c r="M4480" s="55">
        <v>4.7710470000000003</v>
      </c>
      <c r="N4480" s="55">
        <v>3.5562140000000002</v>
      </c>
    </row>
    <row r="4481" spans="1:14" hidden="1" x14ac:dyDescent="0.35">
      <c r="A4481" s="52" t="s">
        <v>681</v>
      </c>
      <c r="B4481" s="52" t="s">
        <v>37</v>
      </c>
      <c r="C4481" s="52" t="s">
        <v>35</v>
      </c>
      <c r="D4481" s="52" t="s">
        <v>39</v>
      </c>
      <c r="E4481" s="52" t="s">
        <v>582</v>
      </c>
      <c r="F4481" s="52" t="s">
        <v>581</v>
      </c>
      <c r="G4481" s="55" t="s">
        <v>276</v>
      </c>
      <c r="H4481" s="55">
        <v>-6.6811179999999997</v>
      </c>
      <c r="I4481" s="55">
        <v>-7.1447669999999999</v>
      </c>
      <c r="J4481" s="55">
        <v>-13.618550000000001</v>
      </c>
      <c r="K4481" s="55">
        <v>-1.5581449999999999</v>
      </c>
      <c r="L4481" s="55">
        <v>-1.0697669999999999</v>
      </c>
      <c r="M4481" s="55">
        <v>-0.52392740000000004</v>
      </c>
      <c r="N4481" s="55">
        <v>-3.1557269999999998E-2</v>
      </c>
    </row>
    <row r="4482" spans="1:14" hidden="1" x14ac:dyDescent="0.35">
      <c r="A4482" s="52" t="s">
        <v>681</v>
      </c>
      <c r="B4482" s="52" t="s">
        <v>37</v>
      </c>
      <c r="C4482" s="52" t="s">
        <v>35</v>
      </c>
      <c r="D4482" s="52" t="s">
        <v>39</v>
      </c>
      <c r="E4482" s="52" t="s">
        <v>582</v>
      </c>
      <c r="F4482" s="52" t="s">
        <v>581</v>
      </c>
      <c r="G4482" s="55" t="s">
        <v>277</v>
      </c>
      <c r="H4482" s="55">
        <v>18.563269999999999</v>
      </c>
      <c r="I4482" s="55">
        <v>11.569789999999999</v>
      </c>
      <c r="J4482" s="55">
        <v>6.3247669999999996</v>
      </c>
      <c r="K4482" s="55">
        <v>3.7927270000000002</v>
      </c>
      <c r="L4482" s="55">
        <v>5.436928</v>
      </c>
      <c r="M4482" s="55">
        <v>0</v>
      </c>
      <c r="N4482" s="55">
        <v>0</v>
      </c>
    </row>
    <row r="4483" spans="1:14" hidden="1" x14ac:dyDescent="0.35">
      <c r="A4483" s="52" t="s">
        <v>681</v>
      </c>
      <c r="B4483" s="52" t="s">
        <v>37</v>
      </c>
      <c r="C4483" s="52" t="s">
        <v>35</v>
      </c>
      <c r="D4483" s="52" t="s">
        <v>39</v>
      </c>
      <c r="E4483" s="52" t="s">
        <v>582</v>
      </c>
      <c r="F4483" s="52" t="s">
        <v>581</v>
      </c>
      <c r="G4483" s="55" t="s">
        <v>278</v>
      </c>
      <c r="H4483" s="55">
        <v>0</v>
      </c>
      <c r="I4483" s="55"/>
      <c r="J4483" s="55"/>
      <c r="K4483" s="55"/>
      <c r="L4483" s="55"/>
      <c r="M4483" s="55"/>
      <c r="N4483" s="55"/>
    </row>
    <row r="4484" spans="1:14" hidden="1" x14ac:dyDescent="0.35">
      <c r="A4484" s="52" t="s">
        <v>681</v>
      </c>
      <c r="B4484" s="52" t="s">
        <v>37</v>
      </c>
      <c r="C4484" s="52" t="s">
        <v>35</v>
      </c>
      <c r="D4484" s="52" t="s">
        <v>39</v>
      </c>
      <c r="E4484" s="52" t="s">
        <v>582</v>
      </c>
      <c r="F4484" s="52" t="s">
        <v>581</v>
      </c>
      <c r="G4484" s="55" t="s">
        <v>279</v>
      </c>
      <c r="H4484" s="55">
        <v>12.0806</v>
      </c>
      <c r="I4484" s="55">
        <v>9.8207900000000006</v>
      </c>
      <c r="J4484" s="55">
        <v>9.5822559999999992</v>
      </c>
      <c r="K4484" s="55">
        <v>8.1983379999999997</v>
      </c>
      <c r="L4484" s="55">
        <v>7.4244050000000001</v>
      </c>
      <c r="M4484" s="55">
        <v>7.0661630000000004</v>
      </c>
      <c r="N4484" s="55">
        <v>5.8619940000000001</v>
      </c>
    </row>
    <row r="4485" spans="1:14" hidden="1" x14ac:dyDescent="0.35">
      <c r="A4485" s="52" t="s">
        <v>681</v>
      </c>
      <c r="B4485" s="52" t="s">
        <v>37</v>
      </c>
      <c r="C4485" s="52" t="s">
        <v>35</v>
      </c>
      <c r="D4485" s="52" t="s">
        <v>39</v>
      </c>
      <c r="E4485" s="52" t="s">
        <v>582</v>
      </c>
      <c r="F4485" s="52" t="s">
        <v>26</v>
      </c>
      <c r="G4485" s="55" t="s">
        <v>275</v>
      </c>
      <c r="H4485" s="55">
        <v>-1.2923199999999999</v>
      </c>
      <c r="I4485" s="55">
        <v>-0.69175989999999998</v>
      </c>
      <c r="J4485" s="55">
        <v>-0.40527960000000002</v>
      </c>
      <c r="K4485" s="55">
        <v>-0.48304940000000002</v>
      </c>
      <c r="L4485" s="55">
        <v>-0.36305090000000001</v>
      </c>
      <c r="M4485" s="55">
        <v>-0.61456509999999998</v>
      </c>
      <c r="N4485" s="55">
        <v>-0.51297559999999998</v>
      </c>
    </row>
    <row r="4486" spans="1:14" hidden="1" x14ac:dyDescent="0.35">
      <c r="A4486" s="52" t="s">
        <v>681</v>
      </c>
      <c r="B4486" s="52" t="s">
        <v>37</v>
      </c>
      <c r="C4486" s="52" t="s">
        <v>35</v>
      </c>
      <c r="D4486" s="52" t="s">
        <v>39</v>
      </c>
      <c r="E4486" s="52" t="s">
        <v>582</v>
      </c>
      <c r="F4486" s="52" t="s">
        <v>26</v>
      </c>
      <c r="G4486" s="55" t="s">
        <v>276</v>
      </c>
      <c r="H4486" s="55">
        <v>-0.34352700000000003</v>
      </c>
      <c r="I4486" s="55">
        <v>-0.1838853</v>
      </c>
      <c r="J4486" s="55">
        <v>-0.10773340000000001</v>
      </c>
      <c r="K4486" s="55">
        <v>-0.12840560000000001</v>
      </c>
      <c r="L4486" s="55">
        <v>-9.6507289999999996E-2</v>
      </c>
      <c r="M4486" s="55">
        <v>-0.16336419999999999</v>
      </c>
      <c r="N4486" s="55">
        <v>-0.13636090000000001</v>
      </c>
    </row>
    <row r="4487" spans="1:14" hidden="1" x14ac:dyDescent="0.35">
      <c r="A4487" s="52" t="s">
        <v>681</v>
      </c>
      <c r="B4487" s="52" t="s">
        <v>37</v>
      </c>
      <c r="C4487" s="52" t="s">
        <v>35</v>
      </c>
      <c r="D4487" s="52" t="s">
        <v>39</v>
      </c>
      <c r="E4487" s="52" t="s">
        <v>582</v>
      </c>
      <c r="F4487" s="52" t="s">
        <v>26</v>
      </c>
      <c r="G4487" s="55" t="s">
        <v>279</v>
      </c>
      <c r="H4487" s="55">
        <v>5.4701599999999999</v>
      </c>
      <c r="I4487" s="55">
        <v>4.9350860000000001</v>
      </c>
      <c r="J4487" s="55">
        <v>4.8439940000000004</v>
      </c>
      <c r="K4487" s="55">
        <v>4.1952559999999997</v>
      </c>
      <c r="L4487" s="55">
        <v>3.885475</v>
      </c>
      <c r="M4487" s="55">
        <v>3.6072980000000001</v>
      </c>
      <c r="N4487" s="55">
        <v>2.9926080000000002</v>
      </c>
    </row>
    <row r="4488" spans="1:14" hidden="1" x14ac:dyDescent="0.35">
      <c r="A4488" s="52" t="s">
        <v>681</v>
      </c>
      <c r="B4488" s="52" t="s">
        <v>37</v>
      </c>
      <c r="C4488" s="52" t="s">
        <v>35</v>
      </c>
      <c r="D4488" s="52" t="s">
        <v>207</v>
      </c>
      <c r="E4488" s="52" t="s">
        <v>585</v>
      </c>
      <c r="F4488" s="52" t="s">
        <v>581</v>
      </c>
      <c r="G4488" s="55" t="s">
        <v>275</v>
      </c>
      <c r="H4488" s="55">
        <v>11.527559999999999</v>
      </c>
      <c r="I4488" s="55">
        <v>4.497077</v>
      </c>
      <c r="J4488" s="55">
        <v>3.7985630000000001</v>
      </c>
      <c r="K4488" s="55">
        <v>2.8374959999999998</v>
      </c>
      <c r="L4488" s="55">
        <v>2.2248399999999999</v>
      </c>
      <c r="M4488" s="55">
        <v>2.927791</v>
      </c>
      <c r="N4488" s="55">
        <v>2.6056050000000002</v>
      </c>
    </row>
    <row r="4489" spans="1:14" hidden="1" x14ac:dyDescent="0.35">
      <c r="A4489" s="52" t="s">
        <v>681</v>
      </c>
      <c r="B4489" s="52" t="s">
        <v>37</v>
      </c>
      <c r="C4489" s="52" t="s">
        <v>35</v>
      </c>
      <c r="D4489" s="52" t="s">
        <v>207</v>
      </c>
      <c r="E4489" s="52" t="s">
        <v>585</v>
      </c>
      <c r="F4489" s="52" t="s">
        <v>581</v>
      </c>
      <c r="G4489" s="55" t="s">
        <v>276</v>
      </c>
      <c r="H4489" s="55">
        <v>2.9595530000000001</v>
      </c>
      <c r="I4489" s="55">
        <v>0.77648139999999999</v>
      </c>
      <c r="J4489" s="55">
        <v>1.0097449999999999</v>
      </c>
      <c r="K4489" s="55">
        <v>0.89674390000000004</v>
      </c>
      <c r="L4489" s="55">
        <v>0.82171879999999997</v>
      </c>
      <c r="M4489" s="55">
        <v>0.70371740000000005</v>
      </c>
      <c r="N4489" s="55">
        <v>0.63298460000000001</v>
      </c>
    </row>
    <row r="4490" spans="1:14" hidden="1" x14ac:dyDescent="0.35">
      <c r="A4490" s="52" t="s">
        <v>681</v>
      </c>
      <c r="B4490" s="52" t="s">
        <v>37</v>
      </c>
      <c r="C4490" s="52" t="s">
        <v>35</v>
      </c>
      <c r="D4490" s="52" t="s">
        <v>207</v>
      </c>
      <c r="E4490" s="52" t="s">
        <v>585</v>
      </c>
      <c r="F4490" s="52" t="s">
        <v>581</v>
      </c>
      <c r="G4490" s="55" t="s">
        <v>277</v>
      </c>
      <c r="H4490" s="55"/>
      <c r="I4490" s="55"/>
      <c r="J4490" s="55">
        <v>0</v>
      </c>
      <c r="K4490" s="55">
        <v>0.66996509999999998</v>
      </c>
      <c r="L4490" s="55">
        <v>1.2169779999999999</v>
      </c>
      <c r="M4490" s="55">
        <v>0</v>
      </c>
      <c r="N4490" s="55">
        <v>0</v>
      </c>
    </row>
    <row r="4491" spans="1:14" hidden="1" x14ac:dyDescent="0.35">
      <c r="A4491" s="52" t="s">
        <v>681</v>
      </c>
      <c r="B4491" s="52" t="s">
        <v>37</v>
      </c>
      <c r="C4491" s="52" t="s">
        <v>35</v>
      </c>
      <c r="D4491" s="52" t="s">
        <v>207</v>
      </c>
      <c r="E4491" s="52" t="s">
        <v>585</v>
      </c>
      <c r="F4491" s="52" t="s">
        <v>581</v>
      </c>
      <c r="G4491" s="55" t="s">
        <v>279</v>
      </c>
      <c r="H4491" s="55">
        <v>4.2893230000000004</v>
      </c>
      <c r="I4491" s="55">
        <v>2.8725869999999998</v>
      </c>
      <c r="J4491" s="55">
        <v>2.4729730000000001</v>
      </c>
      <c r="K4491" s="55">
        <v>2.348487</v>
      </c>
      <c r="L4491" s="55">
        <v>2.1402510000000001</v>
      </c>
      <c r="M4491" s="55">
        <v>2.1709200000000002</v>
      </c>
      <c r="N4491" s="55">
        <v>1.9265410000000001</v>
      </c>
    </row>
    <row r="4492" spans="1:14" hidden="1" x14ac:dyDescent="0.35">
      <c r="A4492" s="52" t="s">
        <v>681</v>
      </c>
      <c r="B4492" s="52" t="s">
        <v>37</v>
      </c>
      <c r="C4492" s="52" t="s">
        <v>35</v>
      </c>
      <c r="D4492" s="52" t="s">
        <v>207</v>
      </c>
      <c r="E4492" s="52" t="s">
        <v>585</v>
      </c>
      <c r="F4492" s="52" t="s">
        <v>26</v>
      </c>
      <c r="G4492" s="55" t="s">
        <v>275</v>
      </c>
      <c r="H4492" s="55">
        <v>3.2698999999999999E-2</v>
      </c>
      <c r="I4492" s="55">
        <v>9.6628800000000001E-2</v>
      </c>
      <c r="J4492" s="55">
        <v>0.1189206</v>
      </c>
      <c r="K4492" s="55">
        <v>9.6335400000000002E-2</v>
      </c>
      <c r="L4492" s="55">
        <v>9.6996600000000002E-2</v>
      </c>
      <c r="M4492" s="55">
        <v>5.6846399999999998E-2</v>
      </c>
      <c r="N4492" s="55">
        <v>5.0193399999999999E-2</v>
      </c>
    </row>
    <row r="4493" spans="1:14" hidden="1" x14ac:dyDescent="0.35">
      <c r="A4493" s="52" t="s">
        <v>681</v>
      </c>
      <c r="B4493" s="52" t="s">
        <v>37</v>
      </c>
      <c r="C4493" s="52" t="s">
        <v>35</v>
      </c>
      <c r="D4493" s="52" t="s">
        <v>207</v>
      </c>
      <c r="E4493" s="52" t="s">
        <v>585</v>
      </c>
      <c r="F4493" s="52" t="s">
        <v>26</v>
      </c>
      <c r="G4493" s="55" t="s">
        <v>276</v>
      </c>
      <c r="H4493" s="55">
        <v>8.6920000000000001E-3</v>
      </c>
      <c r="I4493" s="55">
        <v>2.5686400000000002E-2</v>
      </c>
      <c r="J4493" s="55">
        <v>3.1611899999999998E-2</v>
      </c>
      <c r="K4493" s="55">
        <v>2.5608100000000002E-2</v>
      </c>
      <c r="L4493" s="55">
        <v>2.57836E-2</v>
      </c>
      <c r="M4493" s="55">
        <v>1.5110999999999999E-2</v>
      </c>
      <c r="N4493" s="55">
        <v>1.33428E-2</v>
      </c>
    </row>
    <row r="4494" spans="1:14" hidden="1" x14ac:dyDescent="0.35">
      <c r="A4494" s="52" t="s">
        <v>681</v>
      </c>
      <c r="B4494" s="52" t="s">
        <v>37</v>
      </c>
      <c r="C4494" s="52" t="s">
        <v>35</v>
      </c>
      <c r="D4494" s="52" t="s">
        <v>207</v>
      </c>
      <c r="E4494" s="52" t="s">
        <v>585</v>
      </c>
      <c r="F4494" s="52" t="s">
        <v>26</v>
      </c>
      <c r="G4494" s="55" t="s">
        <v>279</v>
      </c>
      <c r="H4494" s="55">
        <v>0.62471699999999997</v>
      </c>
      <c r="I4494" s="55">
        <v>0.49597229999999998</v>
      </c>
      <c r="J4494" s="55">
        <v>0.42879859999999997</v>
      </c>
      <c r="K4494" s="55">
        <v>0.41255039999999998</v>
      </c>
      <c r="L4494" s="55">
        <v>0.38158389999999998</v>
      </c>
      <c r="M4494" s="55">
        <v>0.38305250000000002</v>
      </c>
      <c r="N4494" s="55">
        <v>0.33968579999999998</v>
      </c>
    </row>
    <row r="4495" spans="1:14" hidden="1" x14ac:dyDescent="0.35">
      <c r="A4495" s="52" t="s">
        <v>681</v>
      </c>
      <c r="B4495" s="52" t="s">
        <v>37</v>
      </c>
      <c r="C4495" s="52" t="s">
        <v>51</v>
      </c>
      <c r="D4495" s="52" t="s">
        <v>51</v>
      </c>
      <c r="E4495" s="52" t="s">
        <v>602</v>
      </c>
      <c r="F4495" s="52" t="s">
        <v>581</v>
      </c>
      <c r="G4495" s="55" t="s">
        <v>275</v>
      </c>
      <c r="H4495" s="55">
        <v>354.97430000000003</v>
      </c>
      <c r="I4495" s="55">
        <v>127.0849</v>
      </c>
      <c r="J4495" s="55">
        <v>195.98070000000001</v>
      </c>
      <c r="K4495" s="55">
        <v>156.83709999999999</v>
      </c>
      <c r="L4495" s="55">
        <v>138.1429</v>
      </c>
      <c r="M4495" s="55">
        <v>101.4522</v>
      </c>
      <c r="N4495" s="55">
        <v>178.72970000000001</v>
      </c>
    </row>
    <row r="4496" spans="1:14" hidden="1" x14ac:dyDescent="0.35">
      <c r="A4496" s="52" t="s">
        <v>681</v>
      </c>
      <c r="B4496" s="52" t="s">
        <v>37</v>
      </c>
      <c r="C4496" s="52" t="s">
        <v>51</v>
      </c>
      <c r="D4496" s="52" t="s">
        <v>51</v>
      </c>
      <c r="E4496" s="52" t="s">
        <v>602</v>
      </c>
      <c r="F4496" s="52" t="s">
        <v>581</v>
      </c>
      <c r="G4496" s="55" t="s">
        <v>276</v>
      </c>
      <c r="H4496" s="55">
        <v>121.568</v>
      </c>
      <c r="I4496" s="55">
        <v>15.29448</v>
      </c>
      <c r="J4496" s="55">
        <v>16.653289999999998</v>
      </c>
      <c r="K4496" s="55">
        <v>10.343769999999999</v>
      </c>
      <c r="L4496" s="55">
        <v>30.50412</v>
      </c>
      <c r="M4496" s="55">
        <v>50.747750000000003</v>
      </c>
      <c r="N4496" s="55">
        <v>59.387590000000003</v>
      </c>
    </row>
    <row r="4497" spans="1:14" hidden="1" x14ac:dyDescent="0.35">
      <c r="A4497" s="52" t="s">
        <v>681</v>
      </c>
      <c r="B4497" s="52" t="s">
        <v>37</v>
      </c>
      <c r="C4497" s="52" t="s">
        <v>51</v>
      </c>
      <c r="D4497" s="52" t="s">
        <v>51</v>
      </c>
      <c r="E4497" s="52" t="s">
        <v>602</v>
      </c>
      <c r="F4497" s="52" t="s">
        <v>581</v>
      </c>
      <c r="G4497" s="55" t="s">
        <v>277</v>
      </c>
      <c r="H4497" s="55">
        <v>380.27249999999998</v>
      </c>
      <c r="I4497" s="55">
        <v>170.44470000000001</v>
      </c>
      <c r="J4497" s="55">
        <v>89.509630000000001</v>
      </c>
      <c r="K4497" s="55">
        <v>143.01140000000001</v>
      </c>
      <c r="L4497" s="55">
        <v>217.61170000000001</v>
      </c>
      <c r="M4497" s="55">
        <v>274.92619999999999</v>
      </c>
      <c r="N4497" s="55">
        <v>224.6705</v>
      </c>
    </row>
    <row r="4498" spans="1:14" hidden="1" x14ac:dyDescent="0.35">
      <c r="A4498" s="52" t="s">
        <v>681</v>
      </c>
      <c r="B4498" s="52" t="s">
        <v>37</v>
      </c>
      <c r="C4498" s="52" t="s">
        <v>51</v>
      </c>
      <c r="D4498" s="52" t="s">
        <v>51</v>
      </c>
      <c r="E4498" s="52" t="s">
        <v>602</v>
      </c>
      <c r="F4498" s="52" t="s">
        <v>581</v>
      </c>
      <c r="G4498" s="55" t="s">
        <v>278</v>
      </c>
      <c r="H4498" s="55">
        <v>0.54866199999999998</v>
      </c>
      <c r="I4498" s="55">
        <v>0.60791740000000005</v>
      </c>
      <c r="J4498" s="55">
        <v>20.470410000000001</v>
      </c>
      <c r="K4498" s="55">
        <v>19.660119999999999</v>
      </c>
      <c r="L4498" s="55">
        <v>20.15795</v>
      </c>
      <c r="M4498" s="55">
        <v>12.131690000000001</v>
      </c>
      <c r="N4498" s="55">
        <v>3.7668740000000001</v>
      </c>
    </row>
    <row r="4499" spans="1:14" hidden="1" x14ac:dyDescent="0.35">
      <c r="A4499" s="52" t="s">
        <v>681</v>
      </c>
      <c r="B4499" s="52" t="s">
        <v>37</v>
      </c>
      <c r="C4499" s="52" t="s">
        <v>51</v>
      </c>
      <c r="D4499" s="52" t="s">
        <v>51</v>
      </c>
      <c r="E4499" s="52" t="s">
        <v>602</v>
      </c>
      <c r="F4499" s="52" t="s">
        <v>581</v>
      </c>
      <c r="G4499" s="55" t="s">
        <v>279</v>
      </c>
      <c r="H4499" s="55">
        <v>351.95549999999997</v>
      </c>
      <c r="I4499" s="55">
        <v>309.61599999999999</v>
      </c>
      <c r="J4499" s="55">
        <v>296.64609999999999</v>
      </c>
      <c r="K4499" s="55">
        <v>317.85950000000003</v>
      </c>
      <c r="L4499" s="55">
        <v>354.67759999999998</v>
      </c>
      <c r="M4499" s="55">
        <v>497.34910000000002</v>
      </c>
      <c r="N4499" s="55">
        <v>529.00139999999999</v>
      </c>
    </row>
    <row r="4500" spans="1:14" hidden="1" x14ac:dyDescent="0.35">
      <c r="A4500" s="52" t="s">
        <v>681</v>
      </c>
      <c r="B4500" s="52" t="s">
        <v>37</v>
      </c>
      <c r="C4500" s="52" t="s">
        <v>51</v>
      </c>
      <c r="D4500" s="52" t="s">
        <v>51</v>
      </c>
      <c r="E4500" s="52" t="s">
        <v>602</v>
      </c>
      <c r="F4500" s="52" t="s">
        <v>26</v>
      </c>
      <c r="G4500" s="55" t="s">
        <v>275</v>
      </c>
      <c r="H4500" s="55">
        <v>-5.7372030000000001</v>
      </c>
      <c r="I4500" s="55">
        <v>-2.358835</v>
      </c>
      <c r="J4500" s="55">
        <v>-0.43404700000000002</v>
      </c>
      <c r="K4500" s="55">
        <v>-1.636085</v>
      </c>
      <c r="L4500" s="55">
        <v>-1.2350810000000001</v>
      </c>
      <c r="M4500" s="55">
        <v>-5.7698919999999996</v>
      </c>
      <c r="N4500" s="55">
        <v>-6.2309010000000002</v>
      </c>
    </row>
    <row r="4501" spans="1:14" hidden="1" x14ac:dyDescent="0.35">
      <c r="A4501" s="52" t="s">
        <v>681</v>
      </c>
      <c r="B4501" s="52" t="s">
        <v>37</v>
      </c>
      <c r="C4501" s="52" t="s">
        <v>51</v>
      </c>
      <c r="D4501" s="52" t="s">
        <v>51</v>
      </c>
      <c r="E4501" s="52" t="s">
        <v>602</v>
      </c>
      <c r="F4501" s="52" t="s">
        <v>26</v>
      </c>
      <c r="G4501" s="55" t="s">
        <v>276</v>
      </c>
      <c r="H4501" s="55">
        <v>-1.5250779999999999</v>
      </c>
      <c r="I4501" s="55">
        <v>-0.62703140000000002</v>
      </c>
      <c r="J4501" s="55">
        <v>-0.1153757</v>
      </c>
      <c r="K4501" s="55">
        <v>-0.43490060000000003</v>
      </c>
      <c r="L4501" s="55">
        <v>-0.32831850000000001</v>
      </c>
      <c r="M4501" s="55">
        <v>-1.5337499999999999</v>
      </c>
      <c r="N4501" s="55">
        <v>-1.6563030000000001</v>
      </c>
    </row>
    <row r="4502" spans="1:14" hidden="1" x14ac:dyDescent="0.35">
      <c r="A4502" s="52" t="s">
        <v>681</v>
      </c>
      <c r="B4502" s="52" t="s">
        <v>37</v>
      </c>
      <c r="C4502" s="52" t="s">
        <v>51</v>
      </c>
      <c r="D4502" s="52" t="s">
        <v>51</v>
      </c>
      <c r="E4502" s="52" t="s">
        <v>602</v>
      </c>
      <c r="F4502" s="52" t="s">
        <v>26</v>
      </c>
      <c r="G4502" s="55" t="s">
        <v>279</v>
      </c>
      <c r="H4502" s="55">
        <v>31.124079999999999</v>
      </c>
      <c r="I4502" s="55">
        <v>31.603999999999999</v>
      </c>
      <c r="J4502" s="55">
        <v>30.486719999999998</v>
      </c>
      <c r="K4502" s="55">
        <v>33.079990000000002</v>
      </c>
      <c r="L4502" s="55">
        <v>37.76437</v>
      </c>
      <c r="M4502" s="55">
        <v>51.762720000000002</v>
      </c>
      <c r="N4502" s="55">
        <v>55.062530000000002</v>
      </c>
    </row>
    <row r="4503" spans="1:14" hidden="1" x14ac:dyDescent="0.35">
      <c r="A4503" s="52" t="s">
        <v>681</v>
      </c>
      <c r="B4503" s="52" t="s">
        <v>37</v>
      </c>
      <c r="C4503" s="52" t="s">
        <v>318</v>
      </c>
      <c r="D4503" s="52" t="s">
        <v>318</v>
      </c>
      <c r="E4503" s="52" t="s">
        <v>584</v>
      </c>
      <c r="F4503" s="52" t="s">
        <v>581</v>
      </c>
      <c r="G4503" s="55" t="s">
        <v>275</v>
      </c>
      <c r="H4503" s="55">
        <v>0</v>
      </c>
      <c r="I4503" s="55"/>
      <c r="J4503" s="55"/>
      <c r="K4503" s="55"/>
      <c r="L4503" s="55"/>
      <c r="M4503" s="55"/>
      <c r="N4503" s="55"/>
    </row>
    <row r="4504" spans="1:14" hidden="1" x14ac:dyDescent="0.35">
      <c r="A4504" s="52" t="s">
        <v>681</v>
      </c>
      <c r="B4504" s="52" t="s">
        <v>37</v>
      </c>
      <c r="C4504" s="52" t="s">
        <v>318</v>
      </c>
      <c r="D4504" s="52" t="s">
        <v>318</v>
      </c>
      <c r="E4504" s="52" t="s">
        <v>584</v>
      </c>
      <c r="F4504" s="52" t="s">
        <v>581</v>
      </c>
      <c r="G4504" s="55" t="s">
        <v>276</v>
      </c>
      <c r="H4504" s="55">
        <v>0</v>
      </c>
      <c r="I4504" s="55"/>
      <c r="J4504" s="55"/>
      <c r="K4504" s="55"/>
      <c r="L4504" s="55"/>
      <c r="M4504" s="55"/>
      <c r="N4504" s="55"/>
    </row>
    <row r="4505" spans="1:14" hidden="1" x14ac:dyDescent="0.35">
      <c r="A4505" s="52" t="s">
        <v>681</v>
      </c>
      <c r="B4505" s="52" t="s">
        <v>37</v>
      </c>
      <c r="C4505" s="52" t="s">
        <v>318</v>
      </c>
      <c r="D4505" s="52" t="s">
        <v>318</v>
      </c>
      <c r="E4505" s="52" t="s">
        <v>584</v>
      </c>
      <c r="F4505" s="52" t="s">
        <v>581</v>
      </c>
      <c r="G4505" s="55" t="s">
        <v>278</v>
      </c>
      <c r="H4505" s="55">
        <v>0</v>
      </c>
      <c r="I4505" s="55"/>
      <c r="J4505" s="55"/>
      <c r="K4505" s="55"/>
      <c r="L4505" s="55"/>
      <c r="M4505" s="55"/>
      <c r="N4505" s="55"/>
    </row>
    <row r="4506" spans="1:14" hidden="1" x14ac:dyDescent="0.35">
      <c r="A4506" s="52" t="s">
        <v>681</v>
      </c>
      <c r="B4506" s="52" t="s">
        <v>37</v>
      </c>
      <c r="C4506" s="52" t="s">
        <v>318</v>
      </c>
      <c r="D4506" s="52" t="s">
        <v>318</v>
      </c>
      <c r="E4506" s="52" t="s">
        <v>584</v>
      </c>
      <c r="F4506" s="52" t="s">
        <v>26</v>
      </c>
      <c r="G4506" s="55" t="s">
        <v>275</v>
      </c>
      <c r="H4506" s="55">
        <v>0</v>
      </c>
      <c r="I4506" s="55"/>
      <c r="J4506" s="55"/>
      <c r="K4506" s="55"/>
      <c r="L4506" s="55"/>
      <c r="M4506" s="55"/>
      <c r="N4506" s="55"/>
    </row>
    <row r="4507" spans="1:14" hidden="1" x14ac:dyDescent="0.35">
      <c r="A4507" s="52" t="s">
        <v>681</v>
      </c>
      <c r="B4507" s="52" t="s">
        <v>37</v>
      </c>
      <c r="C4507" s="52" t="s">
        <v>318</v>
      </c>
      <c r="D4507" s="52" t="s">
        <v>318</v>
      </c>
      <c r="E4507" s="52" t="s">
        <v>584</v>
      </c>
      <c r="F4507" s="52" t="s">
        <v>26</v>
      </c>
      <c r="G4507" s="55" t="s">
        <v>276</v>
      </c>
      <c r="H4507" s="55">
        <v>0</v>
      </c>
      <c r="I4507" s="55"/>
      <c r="J4507" s="55"/>
      <c r="K4507" s="55"/>
      <c r="L4507" s="55"/>
      <c r="M4507" s="55"/>
      <c r="N4507" s="55"/>
    </row>
    <row r="4508" spans="1:14" hidden="1" x14ac:dyDescent="0.35">
      <c r="A4508" s="52" t="s">
        <v>681</v>
      </c>
      <c r="B4508" s="52" t="s">
        <v>37</v>
      </c>
      <c r="C4508" s="52" t="s">
        <v>318</v>
      </c>
      <c r="D4508" s="52" t="s">
        <v>318</v>
      </c>
      <c r="E4508" s="52" t="s">
        <v>584</v>
      </c>
      <c r="F4508" s="52" t="s">
        <v>26</v>
      </c>
      <c r="G4508" s="55" t="s">
        <v>278</v>
      </c>
      <c r="H4508" s="55">
        <v>0</v>
      </c>
      <c r="I4508" s="55"/>
      <c r="J4508" s="55"/>
      <c r="K4508" s="55"/>
      <c r="L4508" s="55"/>
      <c r="M4508" s="55"/>
      <c r="N4508" s="55"/>
    </row>
    <row r="4509" spans="1:14" hidden="1" x14ac:dyDescent="0.35">
      <c r="A4509" s="52" t="s">
        <v>684</v>
      </c>
      <c r="B4509" s="52" t="s">
        <v>245</v>
      </c>
      <c r="C4509" s="52" t="s">
        <v>244</v>
      </c>
      <c r="D4509" s="52" t="s">
        <v>244</v>
      </c>
      <c r="E4509" s="52" t="s">
        <v>584</v>
      </c>
      <c r="F4509" s="52" t="s">
        <v>581</v>
      </c>
      <c r="G4509" s="55" t="s">
        <v>275</v>
      </c>
      <c r="H4509" s="55">
        <v>-3.1247579999999999</v>
      </c>
      <c r="I4509" s="55">
        <v>11.48455</v>
      </c>
      <c r="J4509" s="55">
        <v>2.3463270000000001</v>
      </c>
      <c r="K4509" s="55">
        <v>27.024470000000001</v>
      </c>
      <c r="L4509" s="55">
        <v>26.485489999999999</v>
      </c>
      <c r="M4509" s="55">
        <v>22.43347</v>
      </c>
      <c r="N4509" s="55">
        <v>12.41611</v>
      </c>
    </row>
    <row r="4510" spans="1:14" hidden="1" x14ac:dyDescent="0.35">
      <c r="A4510" s="52" t="s">
        <v>684</v>
      </c>
      <c r="B4510" s="52" t="s">
        <v>245</v>
      </c>
      <c r="C4510" s="52" t="s">
        <v>244</v>
      </c>
      <c r="D4510" s="52" t="s">
        <v>244</v>
      </c>
      <c r="E4510" s="52" t="s">
        <v>584</v>
      </c>
      <c r="F4510" s="52" t="s">
        <v>581</v>
      </c>
      <c r="G4510" s="55" t="s">
        <v>276</v>
      </c>
      <c r="H4510" s="55">
        <v>1.2554259999999999</v>
      </c>
      <c r="I4510" s="55">
        <v>0.56019569999999996</v>
      </c>
      <c r="J4510" s="55">
        <v>5.4348749999999999</v>
      </c>
      <c r="K4510" s="55">
        <v>6.4953709999999996</v>
      </c>
      <c r="L4510" s="55">
        <v>5.580241</v>
      </c>
      <c r="M4510" s="55">
        <v>7.5182469999999997</v>
      </c>
      <c r="N4510" s="55">
        <v>16.437000000000001</v>
      </c>
    </row>
    <row r="4511" spans="1:14" hidden="1" x14ac:dyDescent="0.35">
      <c r="A4511" s="52" t="s">
        <v>684</v>
      </c>
      <c r="B4511" s="52" t="s">
        <v>245</v>
      </c>
      <c r="C4511" s="52" t="s">
        <v>244</v>
      </c>
      <c r="D4511" s="52" t="s">
        <v>244</v>
      </c>
      <c r="E4511" s="52" t="s">
        <v>584</v>
      </c>
      <c r="F4511" s="52" t="s">
        <v>581</v>
      </c>
      <c r="G4511" s="55" t="s">
        <v>277</v>
      </c>
      <c r="H4511" s="55">
        <v>7.4568940000000001</v>
      </c>
      <c r="I4511" s="55">
        <v>2.7475690000000001E-2</v>
      </c>
      <c r="J4511" s="55">
        <v>24.787500000000001</v>
      </c>
      <c r="K4511" s="55">
        <v>1.8236240000000001E-2</v>
      </c>
      <c r="L4511" s="55">
        <v>1.1478349999999999</v>
      </c>
      <c r="M4511" s="55">
        <v>5.6535820000000001</v>
      </c>
      <c r="N4511" s="55">
        <v>4.8504160000000001</v>
      </c>
    </row>
    <row r="4512" spans="1:14" hidden="1" x14ac:dyDescent="0.35">
      <c r="A4512" s="52" t="s">
        <v>684</v>
      </c>
      <c r="B4512" s="52" t="s">
        <v>245</v>
      </c>
      <c r="C4512" s="52" t="s">
        <v>244</v>
      </c>
      <c r="D4512" s="52" t="s">
        <v>244</v>
      </c>
      <c r="E4512" s="52" t="s">
        <v>584</v>
      </c>
      <c r="F4512" s="52" t="s">
        <v>581</v>
      </c>
      <c r="G4512" s="55" t="s">
        <v>278</v>
      </c>
      <c r="H4512" s="55">
        <v>3.4936250000000002E-2</v>
      </c>
      <c r="I4512" s="55">
        <v>3.4936250000000002E-2</v>
      </c>
      <c r="J4512" s="55">
        <v>3.4936250000000002E-2</v>
      </c>
      <c r="K4512" s="55">
        <v>3.4936250000000002E-2</v>
      </c>
      <c r="L4512" s="55">
        <v>1.7172909999999999</v>
      </c>
      <c r="M4512" s="55">
        <v>0.29030299999999998</v>
      </c>
      <c r="N4512" s="55">
        <v>3.4936250000000002E-2</v>
      </c>
    </row>
    <row r="4513" spans="1:14" hidden="1" x14ac:dyDescent="0.35">
      <c r="A4513" s="52" t="s">
        <v>684</v>
      </c>
      <c r="B4513" s="52" t="s">
        <v>245</v>
      </c>
      <c r="C4513" s="52" t="s">
        <v>244</v>
      </c>
      <c r="D4513" s="52" t="s">
        <v>244</v>
      </c>
      <c r="E4513" s="52" t="s">
        <v>584</v>
      </c>
      <c r="F4513" s="52" t="s">
        <v>581</v>
      </c>
      <c r="G4513" s="55" t="s">
        <v>279</v>
      </c>
      <c r="H4513" s="55">
        <v>0.56453089999999995</v>
      </c>
      <c r="I4513" s="55">
        <v>1.3832709999999999</v>
      </c>
      <c r="J4513" s="55">
        <v>3.396954</v>
      </c>
      <c r="K4513" s="55">
        <v>3.8768259999999999</v>
      </c>
      <c r="L4513" s="55">
        <v>4.1482799999999997</v>
      </c>
      <c r="M4513" s="55">
        <v>4.2925979999999999</v>
      </c>
      <c r="N4513" s="55">
        <v>3.9968840000000001</v>
      </c>
    </row>
    <row r="4514" spans="1:14" hidden="1" x14ac:dyDescent="0.35">
      <c r="A4514" s="52" t="s">
        <v>684</v>
      </c>
      <c r="B4514" s="52" t="s">
        <v>245</v>
      </c>
      <c r="C4514" s="52" t="s">
        <v>244</v>
      </c>
      <c r="D4514" s="52" t="s">
        <v>244</v>
      </c>
      <c r="E4514" s="52" t="s">
        <v>584</v>
      </c>
      <c r="F4514" s="52" t="s">
        <v>26</v>
      </c>
      <c r="G4514" s="55" t="s">
        <v>275</v>
      </c>
      <c r="H4514" s="55">
        <v>-312.2749</v>
      </c>
      <c r="I4514" s="55">
        <v>748.45010000000002</v>
      </c>
      <c r="J4514" s="55">
        <v>665.72749999999996</v>
      </c>
      <c r="K4514" s="55">
        <v>853.65499999999997</v>
      </c>
      <c r="L4514" s="55">
        <v>704.95299999999997</v>
      </c>
      <c r="M4514" s="55">
        <v>430.98289999999997</v>
      </c>
      <c r="N4514" s="55">
        <v>249.6893</v>
      </c>
    </row>
    <row r="4515" spans="1:14" hidden="1" x14ac:dyDescent="0.35">
      <c r="A4515" s="52" t="s">
        <v>684</v>
      </c>
      <c r="B4515" s="52" t="s">
        <v>245</v>
      </c>
      <c r="C4515" s="52" t="s">
        <v>244</v>
      </c>
      <c r="D4515" s="52" t="s">
        <v>244</v>
      </c>
      <c r="E4515" s="52" t="s">
        <v>584</v>
      </c>
      <c r="F4515" s="52" t="s">
        <v>26</v>
      </c>
      <c r="G4515" s="55" t="s">
        <v>276</v>
      </c>
      <c r="H4515" s="55">
        <v>68.131249999999994</v>
      </c>
      <c r="I4515" s="55">
        <v>76.179569999999998</v>
      </c>
      <c r="J4515" s="55">
        <v>208.50319999999999</v>
      </c>
      <c r="K4515" s="55">
        <v>319.29050000000001</v>
      </c>
      <c r="L4515" s="55">
        <v>365.68810000000002</v>
      </c>
      <c r="M4515" s="55">
        <v>408.15890000000002</v>
      </c>
      <c r="N4515" s="55">
        <v>705.82429999999999</v>
      </c>
    </row>
    <row r="4516" spans="1:14" hidden="1" x14ac:dyDescent="0.35">
      <c r="A4516" s="52" t="s">
        <v>684</v>
      </c>
      <c r="B4516" s="52" t="s">
        <v>245</v>
      </c>
      <c r="C4516" s="52" t="s">
        <v>244</v>
      </c>
      <c r="D4516" s="52" t="s">
        <v>244</v>
      </c>
      <c r="E4516" s="52" t="s">
        <v>584</v>
      </c>
      <c r="F4516" s="52" t="s">
        <v>26</v>
      </c>
      <c r="G4516" s="55" t="s">
        <v>277</v>
      </c>
      <c r="H4516" s="55">
        <v>575.61620000000005</v>
      </c>
      <c r="I4516" s="55">
        <v>87.737629999999996</v>
      </c>
      <c r="J4516" s="55">
        <v>294.46300000000002</v>
      </c>
      <c r="K4516" s="55">
        <v>19.699739999999998</v>
      </c>
      <c r="L4516" s="55">
        <v>163.50829999999999</v>
      </c>
      <c r="M4516" s="55">
        <v>436.92070000000001</v>
      </c>
      <c r="N4516" s="55">
        <v>352.33780000000002</v>
      </c>
    </row>
    <row r="4517" spans="1:14" hidden="1" x14ac:dyDescent="0.35">
      <c r="A4517" s="52" t="s">
        <v>684</v>
      </c>
      <c r="B4517" s="52" t="s">
        <v>245</v>
      </c>
      <c r="C4517" s="52" t="s">
        <v>244</v>
      </c>
      <c r="D4517" s="52" t="s">
        <v>244</v>
      </c>
      <c r="E4517" s="52" t="s">
        <v>584</v>
      </c>
      <c r="F4517" s="52" t="s">
        <v>26</v>
      </c>
      <c r="G4517" s="55" t="s">
        <v>278</v>
      </c>
      <c r="H4517" s="55">
        <v>0.29402739999999999</v>
      </c>
      <c r="I4517" s="55">
        <v>0.26486130000000002</v>
      </c>
      <c r="J4517" s="55">
        <v>0.21477060000000001</v>
      </c>
      <c r="K4517" s="55">
        <v>5.0384969999999996</v>
      </c>
      <c r="L4517" s="55">
        <v>5.3311460000000004</v>
      </c>
      <c r="M4517" s="55">
        <v>2.2435380000000001E-2</v>
      </c>
      <c r="N4517" s="55">
        <v>2.2435380000000001E-2</v>
      </c>
    </row>
    <row r="4518" spans="1:14" hidden="1" x14ac:dyDescent="0.35">
      <c r="A4518" s="52" t="s">
        <v>684</v>
      </c>
      <c r="B4518" s="52" t="s">
        <v>245</v>
      </c>
      <c r="C4518" s="52" t="s">
        <v>244</v>
      </c>
      <c r="D4518" s="52" t="s">
        <v>244</v>
      </c>
      <c r="E4518" s="52" t="s">
        <v>584</v>
      </c>
      <c r="F4518" s="52" t="s">
        <v>26</v>
      </c>
      <c r="G4518" s="55" t="s">
        <v>279</v>
      </c>
      <c r="H4518" s="55">
        <v>65.466909999999999</v>
      </c>
      <c r="I4518" s="55">
        <v>102.708</v>
      </c>
      <c r="J4518" s="55">
        <v>124.8746</v>
      </c>
      <c r="K4518" s="55">
        <v>140.49539999999999</v>
      </c>
      <c r="L4518" s="55">
        <v>146.90199999999999</v>
      </c>
      <c r="M4518" s="55">
        <v>151.8817</v>
      </c>
      <c r="N4518" s="55">
        <v>155.79169999999999</v>
      </c>
    </row>
    <row r="4519" spans="1:14" hidden="1" x14ac:dyDescent="0.35">
      <c r="A4519" s="52" t="s">
        <v>684</v>
      </c>
      <c r="B4519" s="52" t="s">
        <v>245</v>
      </c>
      <c r="C4519" s="52" t="s">
        <v>247</v>
      </c>
      <c r="D4519" s="52" t="s">
        <v>247</v>
      </c>
      <c r="E4519" s="52" t="s">
        <v>584</v>
      </c>
      <c r="F4519" s="52" t="s">
        <v>26</v>
      </c>
      <c r="G4519" s="55" t="s">
        <v>275</v>
      </c>
      <c r="H4519" s="55">
        <v>-7.2762739999999999</v>
      </c>
      <c r="I4519" s="55">
        <v>-8.2355250000000009</v>
      </c>
      <c r="J4519" s="55">
        <v>-8.6723040000000005</v>
      </c>
      <c r="K4519" s="55">
        <v>-8.2304729999999999</v>
      </c>
      <c r="L4519" s="55">
        <v>-7.609883</v>
      </c>
      <c r="M4519" s="55">
        <v>-6.8689309999999999</v>
      </c>
      <c r="N4519" s="55">
        <v>-6.2245379999999999</v>
      </c>
    </row>
    <row r="4520" spans="1:14" hidden="1" x14ac:dyDescent="0.35">
      <c r="A4520" s="52" t="s">
        <v>684</v>
      </c>
      <c r="B4520" s="52" t="s">
        <v>245</v>
      </c>
      <c r="C4520" s="52" t="s">
        <v>247</v>
      </c>
      <c r="D4520" s="52" t="s">
        <v>247</v>
      </c>
      <c r="E4520" s="52" t="s">
        <v>584</v>
      </c>
      <c r="F4520" s="52" t="s">
        <v>26</v>
      </c>
      <c r="G4520" s="55" t="s">
        <v>276</v>
      </c>
      <c r="H4520" s="55"/>
      <c r="I4520" s="55">
        <v>0</v>
      </c>
      <c r="J4520" s="55"/>
      <c r="K4520" s="55"/>
      <c r="L4520" s="55"/>
      <c r="M4520" s="55"/>
      <c r="N4520" s="55">
        <v>5.8496100000000005E-4</v>
      </c>
    </row>
    <row r="4521" spans="1:14" hidden="1" x14ac:dyDescent="0.35">
      <c r="A4521" s="52" t="s">
        <v>684</v>
      </c>
      <c r="B4521" s="52" t="s">
        <v>245</v>
      </c>
      <c r="C4521" s="52" t="s">
        <v>247</v>
      </c>
      <c r="D4521" s="52" t="s">
        <v>247</v>
      </c>
      <c r="E4521" s="52" t="s">
        <v>584</v>
      </c>
      <c r="F4521" s="52" t="s">
        <v>26</v>
      </c>
      <c r="G4521" s="55" t="s">
        <v>277</v>
      </c>
      <c r="H4521" s="55">
        <v>12.415710000000001</v>
      </c>
      <c r="I4521" s="55">
        <v>11.25348</v>
      </c>
      <c r="J4521" s="55">
        <v>9.9644449999999996</v>
      </c>
      <c r="K4521" s="55">
        <v>9.3408850000000001</v>
      </c>
      <c r="L4521" s="55">
        <v>8.672974</v>
      </c>
      <c r="M4521" s="55">
        <v>7.8579559999999997</v>
      </c>
      <c r="N4521" s="55">
        <v>7.1464160000000003</v>
      </c>
    </row>
    <row r="4522" spans="1:14" hidden="1" x14ac:dyDescent="0.35">
      <c r="A4522" s="52" t="s">
        <v>684</v>
      </c>
      <c r="B4522" s="52" t="s">
        <v>245</v>
      </c>
      <c r="C4522" s="52" t="s">
        <v>247</v>
      </c>
      <c r="D4522" s="52" t="s">
        <v>247</v>
      </c>
      <c r="E4522" s="52" t="s">
        <v>584</v>
      </c>
      <c r="F4522" s="52" t="s">
        <v>26</v>
      </c>
      <c r="G4522" s="55" t="s">
        <v>279</v>
      </c>
      <c r="H4522" s="55">
        <v>2.2665419999999998</v>
      </c>
      <c r="I4522" s="55">
        <v>2.0034700000000001</v>
      </c>
      <c r="J4522" s="55">
        <v>1.977023</v>
      </c>
      <c r="K4522" s="55">
        <v>2.0415179999999999</v>
      </c>
      <c r="L4522" s="55">
        <v>1.9601919999999999</v>
      </c>
      <c r="M4522" s="55">
        <v>1.846946</v>
      </c>
      <c r="N4522" s="55">
        <v>1.7473650000000001</v>
      </c>
    </row>
    <row r="4523" spans="1:14" hidden="1" x14ac:dyDescent="0.35">
      <c r="A4523" s="52" t="s">
        <v>684</v>
      </c>
      <c r="B4523" s="52" t="s">
        <v>245</v>
      </c>
      <c r="C4523" s="52" t="s">
        <v>842</v>
      </c>
      <c r="D4523" s="52" t="s">
        <v>842</v>
      </c>
      <c r="E4523" s="52" t="s">
        <v>584</v>
      </c>
      <c r="F4523" s="52" t="s">
        <v>581</v>
      </c>
      <c r="G4523" s="55" t="s">
        <v>275</v>
      </c>
      <c r="H4523" s="55">
        <v>-3.4936250000000002E-2</v>
      </c>
      <c r="I4523" s="55">
        <v>-3.4936250000000002E-2</v>
      </c>
      <c r="J4523" s="55">
        <v>0</v>
      </c>
      <c r="K4523" s="55">
        <v>0</v>
      </c>
      <c r="L4523" s="55">
        <v>0</v>
      </c>
      <c r="M4523" s="55">
        <v>0</v>
      </c>
      <c r="N4523" s="55">
        <v>0</v>
      </c>
    </row>
    <row r="4524" spans="1:14" hidden="1" x14ac:dyDescent="0.35">
      <c r="A4524" s="52" t="s">
        <v>684</v>
      </c>
      <c r="B4524" s="52" t="s">
        <v>245</v>
      </c>
      <c r="C4524" s="52" t="s">
        <v>842</v>
      </c>
      <c r="D4524" s="52" t="s">
        <v>842</v>
      </c>
      <c r="E4524" s="52" t="s">
        <v>584</v>
      </c>
      <c r="F4524" s="52" t="s">
        <v>581</v>
      </c>
      <c r="G4524" s="55" t="s">
        <v>276</v>
      </c>
      <c r="H4524" s="55"/>
      <c r="I4524" s="55"/>
      <c r="J4524" s="55">
        <v>-3.4936250000000002E-2</v>
      </c>
      <c r="K4524" s="55">
        <v>-3.4936250000000002E-2</v>
      </c>
      <c r="L4524" s="55">
        <v>-2.0278800000000001</v>
      </c>
      <c r="M4524" s="55">
        <v>-0.33744750000000001</v>
      </c>
      <c r="N4524" s="55">
        <v>-3.4936250000000002E-2</v>
      </c>
    </row>
    <row r="4525" spans="1:14" hidden="1" x14ac:dyDescent="0.35">
      <c r="A4525" s="52" t="s">
        <v>684</v>
      </c>
      <c r="B4525" s="52" t="s">
        <v>245</v>
      </c>
      <c r="C4525" s="52" t="s">
        <v>842</v>
      </c>
      <c r="D4525" s="52" t="s">
        <v>842</v>
      </c>
      <c r="E4525" s="52" t="s">
        <v>584</v>
      </c>
      <c r="F4525" s="52" t="s">
        <v>581</v>
      </c>
      <c r="G4525" s="55" t="s">
        <v>278</v>
      </c>
      <c r="H4525" s="55">
        <v>3.4936250000000002E-2</v>
      </c>
      <c r="I4525" s="55">
        <v>3.4936250000000002E-2</v>
      </c>
      <c r="J4525" s="55">
        <v>3.4936250000000002E-2</v>
      </c>
      <c r="K4525" s="55">
        <v>3.4936250000000002E-2</v>
      </c>
      <c r="L4525" s="55">
        <v>2.0278800000000001</v>
      </c>
      <c r="M4525" s="55">
        <v>0.33744750000000001</v>
      </c>
      <c r="N4525" s="55">
        <v>3.4936250000000002E-2</v>
      </c>
    </row>
    <row r="4526" spans="1:14" hidden="1" x14ac:dyDescent="0.35">
      <c r="A4526" s="52" t="s">
        <v>684</v>
      </c>
      <c r="B4526" s="52" t="s">
        <v>74</v>
      </c>
      <c r="C4526" s="52" t="s">
        <v>146</v>
      </c>
      <c r="D4526" s="52" t="s">
        <v>196</v>
      </c>
      <c r="E4526" s="52" t="s">
        <v>584</v>
      </c>
      <c r="F4526" s="52" t="s">
        <v>581</v>
      </c>
      <c r="G4526" s="55" t="s">
        <v>275</v>
      </c>
      <c r="H4526" s="55">
        <v>209.56020000000001</v>
      </c>
      <c r="I4526" s="55">
        <v>74.003630000000001</v>
      </c>
      <c r="J4526" s="55">
        <v>62.391849999999998</v>
      </c>
      <c r="K4526" s="55">
        <v>32.492820000000002</v>
      </c>
      <c r="L4526" s="55">
        <v>13.418060000000001</v>
      </c>
      <c r="M4526" s="55">
        <v>10.589639999999999</v>
      </c>
      <c r="N4526" s="55">
        <v>-19.34451</v>
      </c>
    </row>
    <row r="4527" spans="1:14" hidden="1" x14ac:dyDescent="0.35">
      <c r="A4527" s="52" t="s">
        <v>684</v>
      </c>
      <c r="B4527" s="52" t="s">
        <v>74</v>
      </c>
      <c r="C4527" s="52" t="s">
        <v>146</v>
      </c>
      <c r="D4527" s="52" t="s">
        <v>196</v>
      </c>
      <c r="E4527" s="52" t="s">
        <v>584</v>
      </c>
      <c r="F4527" s="52" t="s">
        <v>581</v>
      </c>
      <c r="G4527" s="55" t="s">
        <v>276</v>
      </c>
      <c r="H4527" s="55">
        <v>134.52860000000001</v>
      </c>
      <c r="I4527" s="55">
        <v>47.15399</v>
      </c>
      <c r="J4527" s="55">
        <v>29.75442</v>
      </c>
      <c r="K4527" s="55">
        <v>13.860049999999999</v>
      </c>
      <c r="L4527" s="55">
        <v>-16.743130000000001</v>
      </c>
      <c r="M4527" s="55">
        <v>2.9612129999999999</v>
      </c>
      <c r="N4527" s="55">
        <v>-16.526250000000001</v>
      </c>
    </row>
    <row r="4528" spans="1:14" hidden="1" x14ac:dyDescent="0.35">
      <c r="A4528" s="52" t="s">
        <v>684</v>
      </c>
      <c r="B4528" s="52" t="s">
        <v>74</v>
      </c>
      <c r="C4528" s="52" t="s">
        <v>146</v>
      </c>
      <c r="D4528" s="52" t="s">
        <v>196</v>
      </c>
      <c r="E4528" s="52" t="s">
        <v>584</v>
      </c>
      <c r="F4528" s="52" t="s">
        <v>581</v>
      </c>
      <c r="G4528" s="55" t="s">
        <v>277</v>
      </c>
      <c r="H4528" s="55">
        <v>50.8157</v>
      </c>
      <c r="I4528" s="55">
        <v>22.230139999999999</v>
      </c>
      <c r="J4528" s="55">
        <v>46.844720000000002</v>
      </c>
      <c r="K4528" s="55">
        <v>52.30639</v>
      </c>
      <c r="L4528" s="55">
        <v>57.630920000000003</v>
      </c>
      <c r="M4528" s="55">
        <v>37.012360000000001</v>
      </c>
      <c r="N4528" s="55">
        <v>69.097660000000005</v>
      </c>
    </row>
    <row r="4529" spans="1:14" hidden="1" x14ac:dyDescent="0.35">
      <c r="A4529" s="52" t="s">
        <v>684</v>
      </c>
      <c r="B4529" s="52" t="s">
        <v>74</v>
      </c>
      <c r="C4529" s="52" t="s">
        <v>146</v>
      </c>
      <c r="D4529" s="52" t="s">
        <v>196</v>
      </c>
      <c r="E4529" s="52" t="s">
        <v>584</v>
      </c>
      <c r="F4529" s="52" t="s">
        <v>581</v>
      </c>
      <c r="G4529" s="55" t="s">
        <v>278</v>
      </c>
      <c r="H4529" s="55">
        <v>0.36245870000000002</v>
      </c>
      <c r="I4529" s="55">
        <v>0.49493599999999999</v>
      </c>
      <c r="J4529" s="55">
        <v>7.0977699999999997</v>
      </c>
      <c r="K4529" s="55">
        <v>2.4774020000000001</v>
      </c>
      <c r="L4529" s="55">
        <v>19.79993</v>
      </c>
      <c r="M4529" s="55">
        <v>0.32836110000000002</v>
      </c>
      <c r="N4529" s="55">
        <v>0.32836100000000001</v>
      </c>
    </row>
    <row r="4530" spans="1:14" hidden="1" x14ac:dyDescent="0.35">
      <c r="A4530" s="52" t="s">
        <v>684</v>
      </c>
      <c r="B4530" s="52" t="s">
        <v>74</v>
      </c>
      <c r="C4530" s="52" t="s">
        <v>146</v>
      </c>
      <c r="D4530" s="52" t="s">
        <v>196</v>
      </c>
      <c r="E4530" s="52" t="s">
        <v>584</v>
      </c>
      <c r="F4530" s="52" t="s">
        <v>581</v>
      </c>
      <c r="G4530" s="55" t="s">
        <v>279</v>
      </c>
      <c r="H4530" s="55">
        <v>118.09739999999999</v>
      </c>
      <c r="I4530" s="55">
        <v>126.4059</v>
      </c>
      <c r="J4530" s="55">
        <v>103.98269999999999</v>
      </c>
      <c r="K4530" s="55">
        <v>109.214</v>
      </c>
      <c r="L4530" s="55">
        <v>103.52419999999999</v>
      </c>
      <c r="M4530" s="55">
        <v>98.97072</v>
      </c>
      <c r="N4530" s="55">
        <v>96.145979999999994</v>
      </c>
    </row>
    <row r="4531" spans="1:14" hidden="1" x14ac:dyDescent="0.35">
      <c r="A4531" s="52" t="s">
        <v>684</v>
      </c>
      <c r="B4531" s="52" t="s">
        <v>74</v>
      </c>
      <c r="C4531" s="52" t="s">
        <v>146</v>
      </c>
      <c r="D4531" s="52" t="s">
        <v>196</v>
      </c>
      <c r="E4531" s="52" t="s">
        <v>584</v>
      </c>
      <c r="F4531" s="52" t="s">
        <v>26</v>
      </c>
      <c r="G4531" s="55" t="s">
        <v>275</v>
      </c>
      <c r="H4531" s="55">
        <v>3.554389</v>
      </c>
      <c r="I4531" s="55">
        <v>3.2366079999999999</v>
      </c>
      <c r="J4531" s="55">
        <v>3.6656759999999999</v>
      </c>
      <c r="K4531" s="55">
        <v>3.0143960000000001</v>
      </c>
      <c r="L4531" s="55">
        <v>2.5447989999999998</v>
      </c>
      <c r="M4531" s="55">
        <v>2.148263</v>
      </c>
      <c r="N4531" s="55">
        <v>1.5852599999999999</v>
      </c>
    </row>
    <row r="4532" spans="1:14" hidden="1" x14ac:dyDescent="0.35">
      <c r="A4532" s="52" t="s">
        <v>684</v>
      </c>
      <c r="B4532" s="52" t="s">
        <v>74</v>
      </c>
      <c r="C4532" s="52" t="s">
        <v>146</v>
      </c>
      <c r="D4532" s="52" t="s">
        <v>196</v>
      </c>
      <c r="E4532" s="52" t="s">
        <v>584</v>
      </c>
      <c r="F4532" s="52" t="s">
        <v>26</v>
      </c>
      <c r="G4532" s="55" t="s">
        <v>276</v>
      </c>
      <c r="H4532" s="55">
        <v>2.3696069999999998</v>
      </c>
      <c r="I4532" s="55">
        <v>2.1577480000000002</v>
      </c>
      <c r="J4532" s="55">
        <v>2.4438</v>
      </c>
      <c r="K4532" s="55">
        <v>2.0095939999999999</v>
      </c>
      <c r="L4532" s="55">
        <v>1.696528</v>
      </c>
      <c r="M4532" s="55">
        <v>1.4321790000000001</v>
      </c>
      <c r="N4532" s="55">
        <v>1.0568390000000001</v>
      </c>
    </row>
    <row r="4533" spans="1:14" hidden="1" x14ac:dyDescent="0.35">
      <c r="A4533" s="52" t="s">
        <v>684</v>
      </c>
      <c r="B4533" s="52" t="s">
        <v>74</v>
      </c>
      <c r="C4533" s="52" t="s">
        <v>146</v>
      </c>
      <c r="D4533" s="52" t="s">
        <v>196</v>
      </c>
      <c r="E4533" s="52" t="s">
        <v>584</v>
      </c>
      <c r="F4533" s="52" t="s">
        <v>26</v>
      </c>
      <c r="G4533" s="55" t="s">
        <v>277</v>
      </c>
      <c r="H4533" s="55"/>
      <c r="I4533" s="55"/>
      <c r="J4533" s="55"/>
      <c r="K4533" s="55"/>
      <c r="L4533" s="55"/>
      <c r="M4533" s="55">
        <v>0</v>
      </c>
      <c r="N4533" s="55">
        <v>0.45609129999999998</v>
      </c>
    </row>
    <row r="4534" spans="1:14" hidden="1" x14ac:dyDescent="0.35">
      <c r="A4534" s="52" t="s">
        <v>684</v>
      </c>
      <c r="B4534" s="52" t="s">
        <v>74</v>
      </c>
      <c r="C4534" s="52" t="s">
        <v>146</v>
      </c>
      <c r="D4534" s="52" t="s">
        <v>196</v>
      </c>
      <c r="E4534" s="52" t="s">
        <v>584</v>
      </c>
      <c r="F4534" s="52" t="s">
        <v>26</v>
      </c>
      <c r="G4534" s="55" t="s">
        <v>279</v>
      </c>
      <c r="H4534" s="55">
        <v>2.144085</v>
      </c>
      <c r="I4534" s="55">
        <v>2.0198909999999999</v>
      </c>
      <c r="J4534" s="55">
        <v>2.0285600000000001</v>
      </c>
      <c r="K4534" s="55">
        <v>1.8199700000000001</v>
      </c>
      <c r="L4534" s="55">
        <v>1.536807</v>
      </c>
      <c r="M4534" s="55">
        <v>1.2964709999999999</v>
      </c>
      <c r="N4534" s="55">
        <v>1.1220429999999999</v>
      </c>
    </row>
    <row r="4535" spans="1:14" hidden="1" x14ac:dyDescent="0.35">
      <c r="A4535" s="52" t="s">
        <v>684</v>
      </c>
      <c r="B4535" s="52" t="s">
        <v>74</v>
      </c>
      <c r="C4535" s="52" t="s">
        <v>146</v>
      </c>
      <c r="D4535" s="52" t="s">
        <v>147</v>
      </c>
      <c r="E4535" s="52" t="s">
        <v>584</v>
      </c>
      <c r="F4535" s="52" t="s">
        <v>581</v>
      </c>
      <c r="G4535" s="55" t="s">
        <v>275</v>
      </c>
      <c r="H4535" s="55">
        <v>112.717</v>
      </c>
      <c r="I4535" s="55">
        <v>5.1940780000000002</v>
      </c>
      <c r="J4535" s="55">
        <v>9.2407339999999998</v>
      </c>
      <c r="K4535" s="55">
        <v>6.9689389999999998</v>
      </c>
      <c r="L4535" s="55">
        <v>3.086957</v>
      </c>
      <c r="M4535" s="55">
        <v>2.5767190000000002</v>
      </c>
      <c r="N4535" s="55">
        <v>-6.3856669999999998</v>
      </c>
    </row>
    <row r="4536" spans="1:14" hidden="1" x14ac:dyDescent="0.35">
      <c r="A4536" s="52" t="s">
        <v>684</v>
      </c>
      <c r="B4536" s="52" t="s">
        <v>74</v>
      </c>
      <c r="C4536" s="52" t="s">
        <v>146</v>
      </c>
      <c r="D4536" s="52" t="s">
        <v>147</v>
      </c>
      <c r="E4536" s="52" t="s">
        <v>584</v>
      </c>
      <c r="F4536" s="52" t="s">
        <v>581</v>
      </c>
      <c r="G4536" s="55" t="s">
        <v>276</v>
      </c>
      <c r="H4536" s="55">
        <v>73.855509999999995</v>
      </c>
      <c r="I4536" s="55">
        <v>1.8190789999999999</v>
      </c>
      <c r="J4536" s="55">
        <v>4.7822279999999999</v>
      </c>
      <c r="K4536" s="55">
        <v>3.8154309999999998</v>
      </c>
      <c r="L4536" s="55">
        <v>1.0924959999999999</v>
      </c>
      <c r="M4536" s="55">
        <v>1.2055260000000001</v>
      </c>
      <c r="N4536" s="55">
        <v>-6.4526070000000004</v>
      </c>
    </row>
    <row r="4537" spans="1:14" hidden="1" x14ac:dyDescent="0.35">
      <c r="A4537" s="52" t="s">
        <v>684</v>
      </c>
      <c r="B4537" s="52" t="s">
        <v>74</v>
      </c>
      <c r="C4537" s="52" t="s">
        <v>146</v>
      </c>
      <c r="D4537" s="52" t="s">
        <v>147</v>
      </c>
      <c r="E4537" s="52" t="s">
        <v>584</v>
      </c>
      <c r="F4537" s="52" t="s">
        <v>581</v>
      </c>
      <c r="G4537" s="55" t="s">
        <v>277</v>
      </c>
      <c r="H4537" s="55">
        <v>12.37602</v>
      </c>
      <c r="I4537" s="55">
        <v>15.77895</v>
      </c>
      <c r="J4537" s="55">
        <v>10.849209999999999</v>
      </c>
      <c r="K4537" s="55">
        <v>5.5909810000000002</v>
      </c>
      <c r="L4537" s="55">
        <v>2.6736749999999998</v>
      </c>
      <c r="M4537" s="55">
        <v>0.96375259999999996</v>
      </c>
      <c r="N4537" s="55">
        <v>2.1127180000000001</v>
      </c>
    </row>
    <row r="4538" spans="1:14" hidden="1" x14ac:dyDescent="0.35">
      <c r="A4538" s="52" t="s">
        <v>684</v>
      </c>
      <c r="B4538" s="52" t="s">
        <v>74</v>
      </c>
      <c r="C4538" s="52" t="s">
        <v>146</v>
      </c>
      <c r="D4538" s="52" t="s">
        <v>147</v>
      </c>
      <c r="E4538" s="52" t="s">
        <v>584</v>
      </c>
      <c r="F4538" s="52" t="s">
        <v>581</v>
      </c>
      <c r="G4538" s="55" t="s">
        <v>278</v>
      </c>
      <c r="H4538" s="55">
        <v>0.1501354</v>
      </c>
      <c r="I4538" s="55">
        <v>9.5343940000000007</v>
      </c>
      <c r="J4538" s="55">
        <v>0.1933018</v>
      </c>
      <c r="K4538" s="55">
        <v>0.1933018</v>
      </c>
      <c r="L4538" s="55">
        <v>0.63143649999999996</v>
      </c>
      <c r="M4538" s="55">
        <v>0.1933018</v>
      </c>
      <c r="N4538" s="55">
        <v>0.1933018</v>
      </c>
    </row>
    <row r="4539" spans="1:14" hidden="1" x14ac:dyDescent="0.35">
      <c r="A4539" s="52" t="s">
        <v>684</v>
      </c>
      <c r="B4539" s="52" t="s">
        <v>74</v>
      </c>
      <c r="C4539" s="52" t="s">
        <v>146</v>
      </c>
      <c r="D4539" s="52" t="s">
        <v>147</v>
      </c>
      <c r="E4539" s="52" t="s">
        <v>584</v>
      </c>
      <c r="F4539" s="52" t="s">
        <v>581</v>
      </c>
      <c r="G4539" s="55" t="s">
        <v>279</v>
      </c>
      <c r="H4539" s="55">
        <v>68.947959999999995</v>
      </c>
      <c r="I4539" s="55">
        <v>47.152769999999997</v>
      </c>
      <c r="J4539" s="55">
        <v>46.377040000000001</v>
      </c>
      <c r="K4539" s="55">
        <v>42.431649999999998</v>
      </c>
      <c r="L4539" s="55">
        <v>36.101779999999998</v>
      </c>
      <c r="M4539" s="55">
        <v>23.795159999999999</v>
      </c>
      <c r="N4539" s="55">
        <v>33.043779999999998</v>
      </c>
    </row>
    <row r="4540" spans="1:14" hidden="1" x14ac:dyDescent="0.35">
      <c r="A4540" s="52" t="s">
        <v>684</v>
      </c>
      <c r="B4540" s="52" t="s">
        <v>74</v>
      </c>
      <c r="C4540" s="52" t="s">
        <v>146</v>
      </c>
      <c r="D4540" s="52" t="s">
        <v>147</v>
      </c>
      <c r="E4540" s="52" t="s">
        <v>584</v>
      </c>
      <c r="F4540" s="52" t="s">
        <v>26</v>
      </c>
      <c r="G4540" s="55" t="s">
        <v>275</v>
      </c>
      <c r="H4540" s="55">
        <v>56.048369999999998</v>
      </c>
      <c r="I4540" s="55">
        <v>26.887560000000001</v>
      </c>
      <c r="J4540" s="55">
        <v>14.5113</v>
      </c>
      <c r="K4540" s="55">
        <v>8.1126319999999996</v>
      </c>
      <c r="L4540" s="55">
        <v>0.74150939999999999</v>
      </c>
      <c r="M4540" s="55">
        <v>-2.0629249999999999</v>
      </c>
      <c r="N4540" s="55">
        <v>-1.474116</v>
      </c>
    </row>
    <row r="4541" spans="1:14" hidden="1" x14ac:dyDescent="0.35">
      <c r="A4541" s="52" t="s">
        <v>684</v>
      </c>
      <c r="B4541" s="52" t="s">
        <v>74</v>
      </c>
      <c r="C4541" s="52" t="s">
        <v>146</v>
      </c>
      <c r="D4541" s="52" t="s">
        <v>147</v>
      </c>
      <c r="E4541" s="52" t="s">
        <v>584</v>
      </c>
      <c r="F4541" s="52" t="s">
        <v>26</v>
      </c>
      <c r="G4541" s="55" t="s">
        <v>276</v>
      </c>
      <c r="H4541" s="55">
        <v>35.439520000000002</v>
      </c>
      <c r="I4541" s="55">
        <v>16.365539999999999</v>
      </c>
      <c r="J4541" s="55">
        <v>7.2896210000000004</v>
      </c>
      <c r="K4541" s="55">
        <v>3.4729070000000002</v>
      </c>
      <c r="L4541" s="55">
        <v>-0.70507549999999997</v>
      </c>
      <c r="M4541" s="55">
        <v>-1.859769</v>
      </c>
      <c r="N4541" s="55">
        <v>-0.98274379999999995</v>
      </c>
    </row>
    <row r="4542" spans="1:14" hidden="1" x14ac:dyDescent="0.35">
      <c r="A4542" s="52" t="s">
        <v>684</v>
      </c>
      <c r="B4542" s="52" t="s">
        <v>74</v>
      </c>
      <c r="C4542" s="52" t="s">
        <v>146</v>
      </c>
      <c r="D4542" s="52" t="s">
        <v>147</v>
      </c>
      <c r="E4542" s="52" t="s">
        <v>584</v>
      </c>
      <c r="F4542" s="52" t="s">
        <v>26</v>
      </c>
      <c r="G4542" s="55" t="s">
        <v>277</v>
      </c>
      <c r="H4542" s="55">
        <v>18.490269999999999</v>
      </c>
      <c r="I4542" s="55">
        <v>14.971259999999999</v>
      </c>
      <c r="J4542" s="55">
        <v>22.891929999999999</v>
      </c>
      <c r="K4542" s="55">
        <v>18.580939999999998</v>
      </c>
      <c r="L4542" s="55">
        <v>11.514379999999999</v>
      </c>
      <c r="M4542" s="55">
        <v>4.6510699999999998</v>
      </c>
      <c r="N4542" s="55"/>
    </row>
    <row r="4543" spans="1:14" hidden="1" x14ac:dyDescent="0.35">
      <c r="A4543" s="52" t="s">
        <v>684</v>
      </c>
      <c r="B4543" s="52" t="s">
        <v>74</v>
      </c>
      <c r="C4543" s="52" t="s">
        <v>146</v>
      </c>
      <c r="D4543" s="52" t="s">
        <v>147</v>
      </c>
      <c r="E4543" s="52" t="s">
        <v>584</v>
      </c>
      <c r="F4543" s="52" t="s">
        <v>26</v>
      </c>
      <c r="G4543" s="55" t="s">
        <v>279</v>
      </c>
      <c r="H4543" s="55">
        <v>55.919600000000003</v>
      </c>
      <c r="I4543" s="55">
        <v>36.380769999999998</v>
      </c>
      <c r="J4543" s="55">
        <v>28.599710000000002</v>
      </c>
      <c r="K4543" s="55">
        <v>27.716080000000002</v>
      </c>
      <c r="L4543" s="55">
        <v>21.316739999999999</v>
      </c>
      <c r="M4543" s="55">
        <v>17.738810000000001</v>
      </c>
      <c r="N4543" s="55">
        <v>11.00755</v>
      </c>
    </row>
    <row r="4544" spans="1:14" hidden="1" x14ac:dyDescent="0.35">
      <c r="A4544" s="52" t="s">
        <v>684</v>
      </c>
      <c r="B4544" s="52" t="s">
        <v>74</v>
      </c>
      <c r="C4544" s="52" t="s">
        <v>146</v>
      </c>
      <c r="D4544" s="52" t="s">
        <v>197</v>
      </c>
      <c r="E4544" s="52" t="s">
        <v>584</v>
      </c>
      <c r="F4544" s="52" t="s">
        <v>581</v>
      </c>
      <c r="G4544" s="55" t="s">
        <v>275</v>
      </c>
      <c r="H4544" s="55">
        <v>3.9479000000000002</v>
      </c>
      <c r="I4544" s="55">
        <v>2.0459999999999998</v>
      </c>
      <c r="J4544" s="55">
        <v>1.3971309999999999</v>
      </c>
      <c r="K4544" s="55">
        <v>1.2066790000000001</v>
      </c>
      <c r="L4544" s="55">
        <v>0</v>
      </c>
      <c r="M4544" s="55">
        <v>-2.0784020000000001</v>
      </c>
      <c r="N4544" s="55">
        <v>0</v>
      </c>
    </row>
    <row r="4545" spans="1:14" hidden="1" x14ac:dyDescent="0.35">
      <c r="A4545" s="52" t="s">
        <v>684</v>
      </c>
      <c r="B4545" s="52" t="s">
        <v>74</v>
      </c>
      <c r="C4545" s="52" t="s">
        <v>146</v>
      </c>
      <c r="D4545" s="52" t="s">
        <v>197</v>
      </c>
      <c r="E4545" s="52" t="s">
        <v>584</v>
      </c>
      <c r="F4545" s="52" t="s">
        <v>581</v>
      </c>
      <c r="G4545" s="55" t="s">
        <v>276</v>
      </c>
      <c r="H4545" s="55">
        <v>2.6319340000000002</v>
      </c>
      <c r="I4545" s="55">
        <v>1.364001</v>
      </c>
      <c r="J4545" s="55">
        <v>0.92846510000000004</v>
      </c>
      <c r="K4545" s="55">
        <v>0.80149689999999996</v>
      </c>
      <c r="L4545" s="55">
        <v>-2.9554999999999998E-3</v>
      </c>
      <c r="M4545" s="55">
        <v>-1.388557</v>
      </c>
      <c r="N4545" s="55">
        <v>-2.9559999999999999E-3</v>
      </c>
    </row>
    <row r="4546" spans="1:14" hidden="1" x14ac:dyDescent="0.35">
      <c r="A4546" s="52" t="s">
        <v>684</v>
      </c>
      <c r="B4546" s="52" t="s">
        <v>74</v>
      </c>
      <c r="C4546" s="52" t="s">
        <v>146</v>
      </c>
      <c r="D4546" s="52" t="s">
        <v>197</v>
      </c>
      <c r="E4546" s="52" t="s">
        <v>584</v>
      </c>
      <c r="F4546" s="52" t="s">
        <v>581</v>
      </c>
      <c r="G4546" s="55" t="s">
        <v>278</v>
      </c>
      <c r="H4546" s="55">
        <v>2.16475E-3</v>
      </c>
      <c r="I4546" s="55">
        <v>2.95575E-3</v>
      </c>
      <c r="J4546" s="55">
        <v>2.95575E-3</v>
      </c>
      <c r="K4546" s="55">
        <v>2.95575E-3</v>
      </c>
      <c r="L4546" s="55">
        <v>2.95575E-3</v>
      </c>
      <c r="M4546" s="55">
        <v>2.95575E-3</v>
      </c>
      <c r="N4546" s="55">
        <v>2.95575E-3</v>
      </c>
    </row>
    <row r="4547" spans="1:14" hidden="1" x14ac:dyDescent="0.35">
      <c r="A4547" s="52" t="s">
        <v>684</v>
      </c>
      <c r="B4547" s="52" t="s">
        <v>74</v>
      </c>
      <c r="C4547" s="52" t="s">
        <v>146</v>
      </c>
      <c r="D4547" s="52" t="s">
        <v>197</v>
      </c>
      <c r="E4547" s="52" t="s">
        <v>584</v>
      </c>
      <c r="F4547" s="52" t="s">
        <v>581</v>
      </c>
      <c r="G4547" s="55" t="s">
        <v>279</v>
      </c>
      <c r="H4547" s="55">
        <v>0.82815280000000002</v>
      </c>
      <c r="I4547" s="55">
        <v>0.83835470000000001</v>
      </c>
      <c r="J4547" s="55">
        <v>0.58883059999999998</v>
      </c>
      <c r="K4547" s="55">
        <v>0.55172169999999998</v>
      </c>
      <c r="L4547" s="55">
        <v>0</v>
      </c>
      <c r="M4547" s="55">
        <v>3.4640029999999999</v>
      </c>
      <c r="N4547" s="55">
        <v>0</v>
      </c>
    </row>
    <row r="4548" spans="1:14" hidden="1" x14ac:dyDescent="0.35">
      <c r="A4548" s="52" t="s">
        <v>684</v>
      </c>
      <c r="B4548" s="52" t="s">
        <v>74</v>
      </c>
      <c r="C4548" s="52" t="s">
        <v>146</v>
      </c>
      <c r="D4548" s="52" t="s">
        <v>197</v>
      </c>
      <c r="E4548" s="52" t="s">
        <v>584</v>
      </c>
      <c r="F4548" s="52" t="s">
        <v>26</v>
      </c>
      <c r="G4548" s="55" t="s">
        <v>275</v>
      </c>
      <c r="H4548" s="55">
        <v>1.810365</v>
      </c>
      <c r="I4548" s="55">
        <v>3.0546720000000001</v>
      </c>
      <c r="J4548" s="55">
        <v>2.3503769999999999</v>
      </c>
      <c r="K4548" s="55">
        <v>2.0880190000000001</v>
      </c>
      <c r="L4548" s="55">
        <v>0</v>
      </c>
      <c r="M4548" s="55">
        <v>-3.950294</v>
      </c>
      <c r="N4548" s="55">
        <v>0</v>
      </c>
    </row>
    <row r="4549" spans="1:14" hidden="1" x14ac:dyDescent="0.35">
      <c r="A4549" s="52" t="s">
        <v>684</v>
      </c>
      <c r="B4549" s="52" t="s">
        <v>74</v>
      </c>
      <c r="C4549" s="52" t="s">
        <v>146</v>
      </c>
      <c r="D4549" s="52" t="s">
        <v>197</v>
      </c>
      <c r="E4549" s="52" t="s">
        <v>584</v>
      </c>
      <c r="F4549" s="52" t="s">
        <v>26</v>
      </c>
      <c r="G4549" s="55" t="s">
        <v>276</v>
      </c>
      <c r="H4549" s="55">
        <v>0.90092059999999996</v>
      </c>
      <c r="I4549" s="55">
        <v>1.9929479999999999</v>
      </c>
      <c r="J4549" s="55">
        <v>1.527528</v>
      </c>
      <c r="K4549" s="55">
        <v>1.3920129999999999</v>
      </c>
      <c r="L4549" s="55">
        <v>0</v>
      </c>
      <c r="M4549" s="55">
        <v>-2.6335289999999998</v>
      </c>
      <c r="N4549" s="55">
        <v>0</v>
      </c>
    </row>
    <row r="4550" spans="1:14" hidden="1" x14ac:dyDescent="0.35">
      <c r="A4550" s="52" t="s">
        <v>684</v>
      </c>
      <c r="B4550" s="52" t="s">
        <v>74</v>
      </c>
      <c r="C4550" s="52" t="s">
        <v>146</v>
      </c>
      <c r="D4550" s="52" t="s">
        <v>197</v>
      </c>
      <c r="E4550" s="52" t="s">
        <v>584</v>
      </c>
      <c r="F4550" s="52" t="s">
        <v>26</v>
      </c>
      <c r="G4550" s="55" t="s">
        <v>277</v>
      </c>
      <c r="H4550" s="55">
        <v>2.9375</v>
      </c>
      <c r="I4550" s="55">
        <v>0.41760019999999998</v>
      </c>
      <c r="J4550" s="55">
        <v>0.37814300000000001</v>
      </c>
      <c r="K4550" s="55">
        <v>0</v>
      </c>
      <c r="L4550" s="55"/>
      <c r="M4550" s="55"/>
      <c r="N4550" s="55"/>
    </row>
    <row r="4551" spans="1:14" hidden="1" x14ac:dyDescent="0.35">
      <c r="A4551" s="52" t="s">
        <v>684</v>
      </c>
      <c r="B4551" s="52" t="s">
        <v>74</v>
      </c>
      <c r="C4551" s="52" t="s">
        <v>146</v>
      </c>
      <c r="D4551" s="52" t="s">
        <v>197</v>
      </c>
      <c r="E4551" s="52" t="s">
        <v>584</v>
      </c>
      <c r="F4551" s="52" t="s">
        <v>26</v>
      </c>
      <c r="G4551" s="55" t="s">
        <v>279</v>
      </c>
      <c r="H4551" s="55">
        <v>2.8426939999999998</v>
      </c>
      <c r="I4551" s="55">
        <v>2.7672650000000001</v>
      </c>
      <c r="J4551" s="55">
        <v>2.0906020000000001</v>
      </c>
      <c r="K4551" s="55">
        <v>2.0942129999999999</v>
      </c>
      <c r="L4551" s="55">
        <v>0</v>
      </c>
      <c r="M4551" s="55">
        <v>6.5838229999999998</v>
      </c>
      <c r="N4551" s="55">
        <v>0</v>
      </c>
    </row>
    <row r="4552" spans="1:14" hidden="1" x14ac:dyDescent="0.35">
      <c r="A4552" s="52" t="s">
        <v>684</v>
      </c>
      <c r="B4552" s="52" t="s">
        <v>74</v>
      </c>
      <c r="C4552" s="52" t="s">
        <v>146</v>
      </c>
      <c r="D4552" s="52" t="s">
        <v>843</v>
      </c>
      <c r="E4552" s="52" t="s">
        <v>584</v>
      </c>
      <c r="F4552" s="52" t="s">
        <v>581</v>
      </c>
      <c r="G4552" s="55" t="s">
        <v>275</v>
      </c>
      <c r="H4552" s="55"/>
      <c r="I4552" s="55"/>
      <c r="J4552" s="55"/>
      <c r="K4552" s="55">
        <v>0</v>
      </c>
      <c r="L4552" s="55">
        <v>-43.38</v>
      </c>
      <c r="M4552" s="55">
        <v>0</v>
      </c>
      <c r="N4552" s="55"/>
    </row>
    <row r="4553" spans="1:14" hidden="1" x14ac:dyDescent="0.35">
      <c r="A4553" s="52" t="s">
        <v>684</v>
      </c>
      <c r="B4553" s="52" t="s">
        <v>74</v>
      </c>
      <c r="C4553" s="52" t="s">
        <v>146</v>
      </c>
      <c r="D4553" s="52" t="s">
        <v>843</v>
      </c>
      <c r="E4553" s="52" t="s">
        <v>584</v>
      </c>
      <c r="F4553" s="52" t="s">
        <v>581</v>
      </c>
      <c r="G4553" s="55" t="s">
        <v>276</v>
      </c>
      <c r="H4553" s="55"/>
      <c r="I4553" s="55"/>
      <c r="J4553" s="55"/>
      <c r="K4553" s="55">
        <v>0</v>
      </c>
      <c r="L4553" s="55">
        <v>-28.92</v>
      </c>
      <c r="M4553" s="55">
        <v>0</v>
      </c>
      <c r="N4553" s="55"/>
    </row>
    <row r="4554" spans="1:14" hidden="1" x14ac:dyDescent="0.35">
      <c r="A4554" s="52" t="s">
        <v>684</v>
      </c>
      <c r="B4554" s="52" t="s">
        <v>74</v>
      </c>
      <c r="C4554" s="52" t="s">
        <v>146</v>
      </c>
      <c r="D4554" s="52" t="s">
        <v>843</v>
      </c>
      <c r="E4554" s="52" t="s">
        <v>584</v>
      </c>
      <c r="F4554" s="52" t="s">
        <v>581</v>
      </c>
      <c r="G4554" s="55" t="s">
        <v>279</v>
      </c>
      <c r="H4554" s="55"/>
      <c r="I4554" s="55"/>
      <c r="J4554" s="55"/>
      <c r="K4554" s="55">
        <v>0</v>
      </c>
      <c r="L4554" s="55">
        <v>72.3</v>
      </c>
      <c r="M4554" s="55">
        <v>22.587910000000001</v>
      </c>
      <c r="N4554" s="55">
        <v>0</v>
      </c>
    </row>
    <row r="4555" spans="1:14" hidden="1" x14ac:dyDescent="0.35">
      <c r="A4555" s="52" t="s">
        <v>684</v>
      </c>
      <c r="B4555" s="52" t="s">
        <v>74</v>
      </c>
      <c r="C4555" s="52" t="s">
        <v>146</v>
      </c>
      <c r="D4555" s="52" t="s">
        <v>258</v>
      </c>
      <c r="E4555" s="52" t="s">
        <v>584</v>
      </c>
      <c r="F4555" s="52" t="s">
        <v>581</v>
      </c>
      <c r="G4555" s="55" t="s">
        <v>275</v>
      </c>
      <c r="H4555" s="55">
        <v>-4.84565E-2</v>
      </c>
      <c r="I4555" s="55">
        <v>-6.6167500000000004E-2</v>
      </c>
      <c r="J4555" s="55">
        <v>0</v>
      </c>
      <c r="K4555" s="55">
        <v>0</v>
      </c>
      <c r="L4555" s="55">
        <v>0</v>
      </c>
      <c r="M4555" s="55">
        <v>0</v>
      </c>
      <c r="N4555" s="55">
        <v>0</v>
      </c>
    </row>
    <row r="4556" spans="1:14" hidden="1" x14ac:dyDescent="0.35">
      <c r="A4556" s="52" t="s">
        <v>684</v>
      </c>
      <c r="B4556" s="52" t="s">
        <v>74</v>
      </c>
      <c r="C4556" s="52" t="s">
        <v>146</v>
      </c>
      <c r="D4556" s="52" t="s">
        <v>258</v>
      </c>
      <c r="E4556" s="52" t="s">
        <v>584</v>
      </c>
      <c r="F4556" s="52" t="s">
        <v>581</v>
      </c>
      <c r="G4556" s="55" t="s">
        <v>276</v>
      </c>
      <c r="H4556" s="55">
        <v>-3.23045E-2</v>
      </c>
      <c r="I4556" s="55">
        <v>-4.4111499999999998E-2</v>
      </c>
      <c r="J4556" s="55">
        <v>-0.110279</v>
      </c>
      <c r="K4556" s="55">
        <v>-2.9228360000000002</v>
      </c>
      <c r="L4556" s="55">
        <v>-0.8929125</v>
      </c>
      <c r="M4556" s="55">
        <v>-0.11884749999999999</v>
      </c>
      <c r="N4556" s="55">
        <v>-0.29023450000000001</v>
      </c>
    </row>
    <row r="4557" spans="1:14" hidden="1" x14ac:dyDescent="0.35">
      <c r="A4557" s="52" t="s">
        <v>684</v>
      </c>
      <c r="B4557" s="52" t="s">
        <v>74</v>
      </c>
      <c r="C4557" s="52" t="s">
        <v>146</v>
      </c>
      <c r="D4557" s="52" t="s">
        <v>258</v>
      </c>
      <c r="E4557" s="52" t="s">
        <v>584</v>
      </c>
      <c r="F4557" s="52" t="s">
        <v>581</v>
      </c>
      <c r="G4557" s="55" t="s">
        <v>277</v>
      </c>
      <c r="H4557" s="55"/>
      <c r="I4557" s="55"/>
      <c r="J4557" s="55"/>
      <c r="K4557" s="55"/>
      <c r="L4557" s="55">
        <v>0</v>
      </c>
      <c r="M4557" s="55">
        <v>8.5694989999999995E-3</v>
      </c>
      <c r="N4557" s="55">
        <v>0.179956</v>
      </c>
    </row>
    <row r="4558" spans="1:14" hidden="1" x14ac:dyDescent="0.35">
      <c r="A4558" s="52" t="s">
        <v>684</v>
      </c>
      <c r="B4558" s="52" t="s">
        <v>74</v>
      </c>
      <c r="C4558" s="52" t="s">
        <v>146</v>
      </c>
      <c r="D4558" s="52" t="s">
        <v>258</v>
      </c>
      <c r="E4558" s="52" t="s">
        <v>584</v>
      </c>
      <c r="F4558" s="52" t="s">
        <v>581</v>
      </c>
      <c r="G4558" s="55" t="s">
        <v>278</v>
      </c>
      <c r="H4558" s="55">
        <v>8.0760499999999999E-2</v>
      </c>
      <c r="I4558" s="55">
        <v>0.1102785</v>
      </c>
      <c r="J4558" s="55">
        <v>0.1102785</v>
      </c>
      <c r="K4558" s="55">
        <v>2.9228369999999999</v>
      </c>
      <c r="L4558" s="55">
        <v>0.89291299999999996</v>
      </c>
      <c r="M4558" s="55">
        <v>0.1102785</v>
      </c>
      <c r="N4558" s="55">
        <v>0.1102785</v>
      </c>
    </row>
    <row r="4559" spans="1:14" hidden="1" x14ac:dyDescent="0.35">
      <c r="A4559" s="52" t="s">
        <v>684</v>
      </c>
      <c r="B4559" s="52" t="s">
        <v>74</v>
      </c>
      <c r="C4559" s="52" t="s">
        <v>146</v>
      </c>
      <c r="D4559" s="52" t="s">
        <v>221</v>
      </c>
      <c r="E4559" s="52" t="s">
        <v>584</v>
      </c>
      <c r="F4559" s="52" t="s">
        <v>581</v>
      </c>
      <c r="G4559" s="55" t="s">
        <v>275</v>
      </c>
      <c r="H4559" s="55">
        <v>-5.8147999999999998E-2</v>
      </c>
      <c r="I4559" s="55">
        <v>-7.9400999999999999E-2</v>
      </c>
      <c r="J4559" s="55">
        <v>0</v>
      </c>
      <c r="K4559" s="55">
        <v>0</v>
      </c>
      <c r="L4559" s="55">
        <v>0</v>
      </c>
      <c r="M4559" s="55">
        <v>0</v>
      </c>
      <c r="N4559" s="55">
        <v>0</v>
      </c>
    </row>
    <row r="4560" spans="1:14" hidden="1" x14ac:dyDescent="0.35">
      <c r="A4560" s="52" t="s">
        <v>684</v>
      </c>
      <c r="B4560" s="52" t="s">
        <v>74</v>
      </c>
      <c r="C4560" s="52" t="s">
        <v>146</v>
      </c>
      <c r="D4560" s="52" t="s">
        <v>221</v>
      </c>
      <c r="E4560" s="52" t="s">
        <v>584</v>
      </c>
      <c r="F4560" s="52" t="s">
        <v>581</v>
      </c>
      <c r="G4560" s="55" t="s">
        <v>276</v>
      </c>
      <c r="H4560" s="55">
        <v>-3.8765000000000001E-2</v>
      </c>
      <c r="I4560" s="55">
        <v>-5.2933000000000001E-2</v>
      </c>
      <c r="J4560" s="55">
        <v>-0.13233400000000001</v>
      </c>
      <c r="K4560" s="55">
        <v>-4.107418</v>
      </c>
      <c r="L4560" s="55">
        <v>-1.424663</v>
      </c>
      <c r="M4560" s="55">
        <v>-0.13233400000000001</v>
      </c>
      <c r="N4560" s="55">
        <v>-0.13233300000000001</v>
      </c>
    </row>
    <row r="4561" spans="1:14" hidden="1" x14ac:dyDescent="0.35">
      <c r="A4561" s="52" t="s">
        <v>684</v>
      </c>
      <c r="B4561" s="52" t="s">
        <v>74</v>
      </c>
      <c r="C4561" s="52" t="s">
        <v>146</v>
      </c>
      <c r="D4561" s="52" t="s">
        <v>221</v>
      </c>
      <c r="E4561" s="52" t="s">
        <v>584</v>
      </c>
      <c r="F4561" s="52" t="s">
        <v>581</v>
      </c>
      <c r="G4561" s="55" t="s">
        <v>278</v>
      </c>
      <c r="H4561" s="55">
        <v>9.6911999999999998E-2</v>
      </c>
      <c r="I4561" s="55">
        <v>0.13233400000000001</v>
      </c>
      <c r="J4561" s="55">
        <v>0.13233400000000001</v>
      </c>
      <c r="K4561" s="55">
        <v>4.1074169999999999</v>
      </c>
      <c r="L4561" s="55">
        <v>1.424663</v>
      </c>
      <c r="M4561" s="55">
        <v>0.13233400000000001</v>
      </c>
      <c r="N4561" s="55">
        <v>0.13233400000000001</v>
      </c>
    </row>
    <row r="4562" spans="1:14" hidden="1" x14ac:dyDescent="0.35">
      <c r="A4562" s="52" t="s">
        <v>684</v>
      </c>
      <c r="B4562" s="52" t="s">
        <v>74</v>
      </c>
      <c r="C4562" s="52" t="s">
        <v>87</v>
      </c>
      <c r="D4562" s="52" t="s">
        <v>88</v>
      </c>
      <c r="E4562" s="52" t="s">
        <v>584</v>
      </c>
      <c r="F4562" s="52" t="s">
        <v>581</v>
      </c>
      <c r="G4562" s="55" t="s">
        <v>275</v>
      </c>
      <c r="H4562" s="55">
        <v>61.314349999999997</v>
      </c>
      <c r="I4562" s="55">
        <v>18.019839999999999</v>
      </c>
      <c r="J4562" s="55">
        <v>45.361179999999997</v>
      </c>
      <c r="K4562" s="55">
        <v>28.282620000000001</v>
      </c>
      <c r="L4562" s="55">
        <v>21.467459999999999</v>
      </c>
      <c r="M4562" s="55">
        <v>13.54058</v>
      </c>
      <c r="N4562" s="55">
        <v>-2.25407</v>
      </c>
    </row>
    <row r="4563" spans="1:14" hidden="1" x14ac:dyDescent="0.35">
      <c r="A4563" s="52" t="s">
        <v>684</v>
      </c>
      <c r="B4563" s="52" t="s">
        <v>74</v>
      </c>
      <c r="C4563" s="52" t="s">
        <v>87</v>
      </c>
      <c r="D4563" s="52" t="s">
        <v>88</v>
      </c>
      <c r="E4563" s="52" t="s">
        <v>584</v>
      </c>
      <c r="F4563" s="52" t="s">
        <v>581</v>
      </c>
      <c r="G4563" s="55" t="s">
        <v>276</v>
      </c>
      <c r="H4563" s="55">
        <v>37.203760000000003</v>
      </c>
      <c r="I4563" s="55">
        <v>1.4252689999999999</v>
      </c>
      <c r="J4563" s="55">
        <v>27.583120000000001</v>
      </c>
      <c r="K4563" s="55">
        <v>15.97214</v>
      </c>
      <c r="L4563" s="55">
        <v>11.260400000000001</v>
      </c>
      <c r="M4563" s="55">
        <v>4.8211529999999998</v>
      </c>
      <c r="N4563" s="55">
        <v>-4.5064279999999997</v>
      </c>
    </row>
    <row r="4564" spans="1:14" hidden="1" x14ac:dyDescent="0.35">
      <c r="A4564" s="52" t="s">
        <v>684</v>
      </c>
      <c r="B4564" s="52" t="s">
        <v>74</v>
      </c>
      <c r="C4564" s="52" t="s">
        <v>87</v>
      </c>
      <c r="D4564" s="52" t="s">
        <v>88</v>
      </c>
      <c r="E4564" s="52" t="s">
        <v>584</v>
      </c>
      <c r="F4564" s="52" t="s">
        <v>581</v>
      </c>
      <c r="G4564" s="55" t="s">
        <v>277</v>
      </c>
      <c r="H4564" s="55">
        <v>84.780699999999996</v>
      </c>
      <c r="I4564" s="55">
        <v>42.220260000000003</v>
      </c>
      <c r="J4564" s="55">
        <v>20.507480000000001</v>
      </c>
      <c r="K4564" s="55">
        <v>25.123670000000001</v>
      </c>
      <c r="L4564" s="55">
        <v>27.944610000000001</v>
      </c>
      <c r="M4564" s="55">
        <v>27.426639999999999</v>
      </c>
      <c r="N4564" s="55">
        <v>46.582630000000002</v>
      </c>
    </row>
    <row r="4565" spans="1:14" hidden="1" x14ac:dyDescent="0.35">
      <c r="A4565" s="52" t="s">
        <v>684</v>
      </c>
      <c r="B4565" s="52" t="s">
        <v>74</v>
      </c>
      <c r="C4565" s="52" t="s">
        <v>87</v>
      </c>
      <c r="D4565" s="52" t="s">
        <v>88</v>
      </c>
      <c r="E4565" s="52" t="s">
        <v>584</v>
      </c>
      <c r="F4565" s="52" t="s">
        <v>581</v>
      </c>
      <c r="G4565" s="55" t="s">
        <v>278</v>
      </c>
      <c r="H4565" s="55">
        <v>0.20616209999999999</v>
      </c>
      <c r="I4565" s="55">
        <v>12.6465</v>
      </c>
      <c r="J4565" s="55">
        <v>0.53708299999999998</v>
      </c>
      <c r="K4565" s="55">
        <v>0.28151530000000002</v>
      </c>
      <c r="L4565" s="55">
        <v>0.29659079999999999</v>
      </c>
      <c r="M4565" s="55">
        <v>2.2819419999999999</v>
      </c>
      <c r="N4565" s="55">
        <v>1.535234</v>
      </c>
    </row>
    <row r="4566" spans="1:14" hidden="1" x14ac:dyDescent="0.35">
      <c r="A4566" s="52" t="s">
        <v>684</v>
      </c>
      <c r="B4566" s="52" t="s">
        <v>74</v>
      </c>
      <c r="C4566" s="52" t="s">
        <v>87</v>
      </c>
      <c r="D4566" s="52" t="s">
        <v>88</v>
      </c>
      <c r="E4566" s="52" t="s">
        <v>584</v>
      </c>
      <c r="F4566" s="52" t="s">
        <v>581</v>
      </c>
      <c r="G4566" s="55" t="s">
        <v>279</v>
      </c>
      <c r="H4566" s="55">
        <v>34.223239999999997</v>
      </c>
      <c r="I4566" s="55">
        <v>31.453669999999999</v>
      </c>
      <c r="J4566" s="55">
        <v>35.539479999999998</v>
      </c>
      <c r="K4566" s="55">
        <v>34.667230000000004</v>
      </c>
      <c r="L4566" s="55">
        <v>32.845999999999997</v>
      </c>
      <c r="M4566" s="55">
        <v>29.678460000000001</v>
      </c>
      <c r="N4566" s="55">
        <v>27.947330000000001</v>
      </c>
    </row>
    <row r="4567" spans="1:14" hidden="1" x14ac:dyDescent="0.35">
      <c r="A4567" s="52" t="s">
        <v>684</v>
      </c>
      <c r="B4567" s="52" t="s">
        <v>74</v>
      </c>
      <c r="C4567" s="52" t="s">
        <v>87</v>
      </c>
      <c r="D4567" s="52" t="s">
        <v>88</v>
      </c>
      <c r="E4567" s="52" t="s">
        <v>584</v>
      </c>
      <c r="F4567" s="52" t="s">
        <v>26</v>
      </c>
      <c r="G4567" s="55" t="s">
        <v>275</v>
      </c>
      <c r="H4567" s="55">
        <v>36.390079999999998</v>
      </c>
      <c r="I4567" s="55">
        <v>36.51144</v>
      </c>
      <c r="J4567" s="55">
        <v>52.631129999999999</v>
      </c>
      <c r="K4567" s="55">
        <v>42.42736</v>
      </c>
      <c r="L4567" s="55">
        <v>38.75262</v>
      </c>
      <c r="M4567" s="55">
        <v>33.201740000000001</v>
      </c>
      <c r="N4567" s="55">
        <v>28.00217</v>
      </c>
    </row>
    <row r="4568" spans="1:14" hidden="1" x14ac:dyDescent="0.35">
      <c r="A4568" s="52" t="s">
        <v>684</v>
      </c>
      <c r="B4568" s="52" t="s">
        <v>74</v>
      </c>
      <c r="C4568" s="52" t="s">
        <v>87</v>
      </c>
      <c r="D4568" s="52" t="s">
        <v>88</v>
      </c>
      <c r="E4568" s="52" t="s">
        <v>584</v>
      </c>
      <c r="F4568" s="52" t="s">
        <v>26</v>
      </c>
      <c r="G4568" s="55" t="s">
        <v>276</v>
      </c>
      <c r="H4568" s="55">
        <v>23.902380000000001</v>
      </c>
      <c r="I4568" s="55">
        <v>22.69483</v>
      </c>
      <c r="J4568" s="55">
        <v>34.78736</v>
      </c>
      <c r="K4568" s="55">
        <v>27.91309</v>
      </c>
      <c r="L4568" s="55">
        <v>25.387709999999998</v>
      </c>
      <c r="M4568" s="55">
        <v>21.69689</v>
      </c>
      <c r="N4568" s="55">
        <v>18.090920000000001</v>
      </c>
    </row>
    <row r="4569" spans="1:14" hidden="1" x14ac:dyDescent="0.35">
      <c r="A4569" s="52" t="s">
        <v>684</v>
      </c>
      <c r="B4569" s="52" t="s">
        <v>74</v>
      </c>
      <c r="C4569" s="52" t="s">
        <v>87</v>
      </c>
      <c r="D4569" s="52" t="s">
        <v>88</v>
      </c>
      <c r="E4569" s="52" t="s">
        <v>584</v>
      </c>
      <c r="F4569" s="52" t="s">
        <v>26</v>
      </c>
      <c r="G4569" s="55" t="s">
        <v>277</v>
      </c>
      <c r="H4569" s="55">
        <v>13.07977</v>
      </c>
      <c r="I4569" s="55">
        <v>6.1566960000000002</v>
      </c>
      <c r="J4569" s="55">
        <v>2.8806449999999999</v>
      </c>
      <c r="K4569" s="55">
        <v>3.6194090000000001</v>
      </c>
      <c r="L4569" s="55">
        <v>4.3447380000000004</v>
      </c>
      <c r="M4569" s="55">
        <v>7.2087510000000004</v>
      </c>
      <c r="N4569" s="55">
        <v>15.95712</v>
      </c>
    </row>
    <row r="4570" spans="1:14" hidden="1" x14ac:dyDescent="0.35">
      <c r="A4570" s="52" t="s">
        <v>684</v>
      </c>
      <c r="B4570" s="52" t="s">
        <v>74</v>
      </c>
      <c r="C4570" s="52" t="s">
        <v>87</v>
      </c>
      <c r="D4570" s="52" t="s">
        <v>88</v>
      </c>
      <c r="E4570" s="52" t="s">
        <v>584</v>
      </c>
      <c r="F4570" s="52" t="s">
        <v>26</v>
      </c>
      <c r="G4570" s="55" t="s">
        <v>278</v>
      </c>
      <c r="H4570" s="55">
        <v>2.0497730000000001</v>
      </c>
      <c r="I4570" s="55">
        <v>0</v>
      </c>
      <c r="J4570" s="55"/>
      <c r="K4570" s="55"/>
      <c r="L4570" s="55"/>
      <c r="M4570" s="55"/>
      <c r="N4570" s="55"/>
    </row>
    <row r="4571" spans="1:14" hidden="1" x14ac:dyDescent="0.35">
      <c r="A4571" s="52" t="s">
        <v>684</v>
      </c>
      <c r="B4571" s="52" t="s">
        <v>74</v>
      </c>
      <c r="C4571" s="52" t="s">
        <v>87</v>
      </c>
      <c r="D4571" s="52" t="s">
        <v>88</v>
      </c>
      <c r="E4571" s="52" t="s">
        <v>584</v>
      </c>
      <c r="F4571" s="52" t="s">
        <v>26</v>
      </c>
      <c r="G4571" s="55" t="s">
        <v>279</v>
      </c>
      <c r="H4571" s="55">
        <v>26.720569999999999</v>
      </c>
      <c r="I4571" s="55">
        <v>24.789459999999998</v>
      </c>
      <c r="J4571" s="55">
        <v>29.880990000000001</v>
      </c>
      <c r="K4571" s="55">
        <v>28.16272</v>
      </c>
      <c r="L4571" s="55">
        <v>26.27092</v>
      </c>
      <c r="M4571" s="55">
        <v>24.25366</v>
      </c>
      <c r="N4571" s="55">
        <v>24.77497</v>
      </c>
    </row>
    <row r="4572" spans="1:14" hidden="1" x14ac:dyDescent="0.35">
      <c r="A4572" s="52" t="s">
        <v>684</v>
      </c>
      <c r="B4572" s="52" t="s">
        <v>74</v>
      </c>
      <c r="C4572" s="52" t="s">
        <v>87</v>
      </c>
      <c r="D4572" s="52" t="s">
        <v>130</v>
      </c>
      <c r="E4572" s="52" t="s">
        <v>584</v>
      </c>
      <c r="F4572" s="52" t="s">
        <v>581</v>
      </c>
      <c r="G4572" s="55" t="s">
        <v>275</v>
      </c>
      <c r="H4572" s="55">
        <v>37.270870000000002</v>
      </c>
      <c r="I4572" s="55">
        <v>7.5815570000000001</v>
      </c>
      <c r="J4572" s="55">
        <v>2.3515820000000001</v>
      </c>
      <c r="K4572" s="55">
        <v>0.31663639999999998</v>
      </c>
      <c r="L4572" s="55">
        <v>3.3251900000000001</v>
      </c>
      <c r="M4572" s="55">
        <v>2.209225</v>
      </c>
      <c r="N4572" s="55">
        <v>-3.7867890000000002</v>
      </c>
    </row>
    <row r="4573" spans="1:14" hidden="1" x14ac:dyDescent="0.35">
      <c r="A4573" s="52" t="s">
        <v>684</v>
      </c>
      <c r="B4573" s="52" t="s">
        <v>74</v>
      </c>
      <c r="C4573" s="52" t="s">
        <v>87</v>
      </c>
      <c r="D4573" s="52" t="s">
        <v>130</v>
      </c>
      <c r="E4573" s="52" t="s">
        <v>584</v>
      </c>
      <c r="F4573" s="52" t="s">
        <v>581</v>
      </c>
      <c r="G4573" s="55" t="s">
        <v>276</v>
      </c>
      <c r="H4573" s="55">
        <v>23.473400000000002</v>
      </c>
      <c r="I4573" s="55">
        <v>4.5533859999999997</v>
      </c>
      <c r="J4573" s="55">
        <v>-2.285825</v>
      </c>
      <c r="K4573" s="55">
        <v>-1.026135</v>
      </c>
      <c r="L4573" s="55">
        <v>1.538405</v>
      </c>
      <c r="M4573" s="55">
        <v>0.79301600000000005</v>
      </c>
      <c r="N4573" s="55">
        <v>-3.3958379999999999</v>
      </c>
    </row>
    <row r="4574" spans="1:14" hidden="1" x14ac:dyDescent="0.35">
      <c r="A4574" s="52" t="s">
        <v>684</v>
      </c>
      <c r="B4574" s="52" t="s">
        <v>74</v>
      </c>
      <c r="C4574" s="52" t="s">
        <v>87</v>
      </c>
      <c r="D4574" s="52" t="s">
        <v>130</v>
      </c>
      <c r="E4574" s="52" t="s">
        <v>584</v>
      </c>
      <c r="F4574" s="52" t="s">
        <v>581</v>
      </c>
      <c r="G4574" s="55" t="s">
        <v>277</v>
      </c>
      <c r="H4574" s="55">
        <v>13.18896</v>
      </c>
      <c r="I4574" s="55">
        <v>4.809482</v>
      </c>
      <c r="J4574" s="55">
        <v>4.3181989999999999</v>
      </c>
      <c r="K4574" s="55">
        <v>5.0135120000000004</v>
      </c>
      <c r="L4574" s="55">
        <v>6.4696769999999999</v>
      </c>
      <c r="M4574" s="55">
        <v>7.7880849999999997</v>
      </c>
      <c r="N4574" s="55">
        <v>15.05753</v>
      </c>
    </row>
    <row r="4575" spans="1:14" hidden="1" x14ac:dyDescent="0.35">
      <c r="A4575" s="52" t="s">
        <v>684</v>
      </c>
      <c r="B4575" s="52" t="s">
        <v>74</v>
      </c>
      <c r="C4575" s="52" t="s">
        <v>87</v>
      </c>
      <c r="D4575" s="52" t="s">
        <v>130</v>
      </c>
      <c r="E4575" s="52" t="s">
        <v>584</v>
      </c>
      <c r="F4575" s="52" t="s">
        <v>581</v>
      </c>
      <c r="G4575" s="55" t="s">
        <v>278</v>
      </c>
      <c r="H4575" s="55">
        <v>7.3698280000000005E-2</v>
      </c>
      <c r="I4575" s="55">
        <v>0.1006354</v>
      </c>
      <c r="J4575" s="55">
        <v>3.4169589999999999</v>
      </c>
      <c r="K4575" s="55">
        <v>0.72821460000000005</v>
      </c>
      <c r="L4575" s="55">
        <v>8.8003579999999998E-2</v>
      </c>
      <c r="M4575" s="55">
        <v>8.8003579999999998E-2</v>
      </c>
      <c r="N4575" s="55">
        <v>0.19256870000000001</v>
      </c>
    </row>
    <row r="4576" spans="1:14" hidden="1" x14ac:dyDescent="0.35">
      <c r="A4576" s="52" t="s">
        <v>684</v>
      </c>
      <c r="B4576" s="52" t="s">
        <v>74</v>
      </c>
      <c r="C4576" s="52" t="s">
        <v>87</v>
      </c>
      <c r="D4576" s="52" t="s">
        <v>130</v>
      </c>
      <c r="E4576" s="52" t="s">
        <v>584</v>
      </c>
      <c r="F4576" s="52" t="s">
        <v>581</v>
      </c>
      <c r="G4576" s="55" t="s">
        <v>279</v>
      </c>
      <c r="H4576" s="55">
        <v>30.028690000000001</v>
      </c>
      <c r="I4576" s="55">
        <v>24.490780000000001</v>
      </c>
      <c r="J4576" s="55">
        <v>25.730039999999999</v>
      </c>
      <c r="K4576" s="55">
        <v>28.378150000000002</v>
      </c>
      <c r="L4576" s="55">
        <v>25.36917</v>
      </c>
      <c r="M4576" s="55">
        <v>25.95082</v>
      </c>
      <c r="N4576" s="55">
        <v>25.071819999999999</v>
      </c>
    </row>
    <row r="4577" spans="1:14" hidden="1" x14ac:dyDescent="0.35">
      <c r="A4577" s="52" t="s">
        <v>684</v>
      </c>
      <c r="B4577" s="52" t="s">
        <v>74</v>
      </c>
      <c r="C4577" s="52" t="s">
        <v>87</v>
      </c>
      <c r="D4577" s="52" t="s">
        <v>130</v>
      </c>
      <c r="E4577" s="52" t="s">
        <v>584</v>
      </c>
      <c r="F4577" s="52" t="s">
        <v>26</v>
      </c>
      <c r="G4577" s="55" t="s">
        <v>275</v>
      </c>
      <c r="H4577" s="55">
        <v>10.08445</v>
      </c>
      <c r="I4577" s="55">
        <v>0.7392976</v>
      </c>
      <c r="J4577" s="55">
        <v>2.0496690000000002</v>
      </c>
      <c r="K4577" s="55">
        <v>9.6877279999999999</v>
      </c>
      <c r="L4577" s="55">
        <v>13.52398</v>
      </c>
      <c r="M4577" s="55">
        <v>13.573169999999999</v>
      </c>
      <c r="N4577" s="55">
        <v>11.598369999999999</v>
      </c>
    </row>
    <row r="4578" spans="1:14" hidden="1" x14ac:dyDescent="0.35">
      <c r="A4578" s="52" t="s">
        <v>684</v>
      </c>
      <c r="B4578" s="52" t="s">
        <v>74</v>
      </c>
      <c r="C4578" s="52" t="s">
        <v>87</v>
      </c>
      <c r="D4578" s="52" t="s">
        <v>130</v>
      </c>
      <c r="E4578" s="52" t="s">
        <v>584</v>
      </c>
      <c r="F4578" s="52" t="s">
        <v>26</v>
      </c>
      <c r="G4578" s="55" t="s">
        <v>276</v>
      </c>
      <c r="H4578" s="55">
        <v>6.7229669999999997</v>
      </c>
      <c r="I4578" s="55">
        <v>0.4928651</v>
      </c>
      <c r="J4578" s="55">
        <v>1.366446</v>
      </c>
      <c r="K4578" s="55">
        <v>3.9732910000000001</v>
      </c>
      <c r="L4578" s="55">
        <v>8.8772950000000002</v>
      </c>
      <c r="M4578" s="55">
        <v>8.9066279999999995</v>
      </c>
      <c r="N4578" s="55">
        <v>7.6983920000000001</v>
      </c>
    </row>
    <row r="4579" spans="1:14" hidden="1" x14ac:dyDescent="0.35">
      <c r="A4579" s="52" t="s">
        <v>684</v>
      </c>
      <c r="B4579" s="52" t="s">
        <v>74</v>
      </c>
      <c r="C4579" s="52" t="s">
        <v>87</v>
      </c>
      <c r="D4579" s="52" t="s">
        <v>130</v>
      </c>
      <c r="E4579" s="52" t="s">
        <v>584</v>
      </c>
      <c r="F4579" s="52" t="s">
        <v>26</v>
      </c>
      <c r="G4579" s="55" t="s">
        <v>277</v>
      </c>
      <c r="H4579" s="55">
        <v>0.74303010000000003</v>
      </c>
      <c r="I4579" s="55">
        <v>10.47423</v>
      </c>
      <c r="J4579" s="55">
        <v>8.1059760000000001</v>
      </c>
      <c r="K4579" s="55">
        <v>4.1606399999999999</v>
      </c>
      <c r="L4579" s="55">
        <v>1.3314189999999999</v>
      </c>
      <c r="M4579" s="55">
        <v>1.762259</v>
      </c>
      <c r="N4579" s="55">
        <v>1.675627</v>
      </c>
    </row>
    <row r="4580" spans="1:14" hidden="1" x14ac:dyDescent="0.35">
      <c r="A4580" s="52" t="s">
        <v>684</v>
      </c>
      <c r="B4580" s="52" t="s">
        <v>74</v>
      </c>
      <c r="C4580" s="52" t="s">
        <v>87</v>
      </c>
      <c r="D4580" s="52" t="s">
        <v>130</v>
      </c>
      <c r="E4580" s="52" t="s">
        <v>584</v>
      </c>
      <c r="F4580" s="52" t="s">
        <v>26</v>
      </c>
      <c r="G4580" s="55" t="s">
        <v>279</v>
      </c>
      <c r="H4580" s="55">
        <v>13.234999999999999</v>
      </c>
      <c r="I4580" s="55">
        <v>9.2210760000000001</v>
      </c>
      <c r="J4580" s="55">
        <v>7.636247</v>
      </c>
      <c r="K4580" s="55">
        <v>13.60567</v>
      </c>
      <c r="L4580" s="55">
        <v>18.053180000000001</v>
      </c>
      <c r="M4580" s="55">
        <v>18.382840000000002</v>
      </c>
      <c r="N4580" s="55">
        <v>16.136780000000002</v>
      </c>
    </row>
    <row r="4581" spans="1:14" hidden="1" x14ac:dyDescent="0.35">
      <c r="A4581" s="52" t="s">
        <v>684</v>
      </c>
      <c r="B4581" s="52" t="s">
        <v>74</v>
      </c>
      <c r="C4581" s="52" t="s">
        <v>87</v>
      </c>
      <c r="D4581" s="52" t="s">
        <v>89</v>
      </c>
      <c r="E4581" s="52" t="s">
        <v>584</v>
      </c>
      <c r="F4581" s="52" t="s">
        <v>581</v>
      </c>
      <c r="G4581" s="55" t="s">
        <v>275</v>
      </c>
      <c r="H4581" s="55">
        <v>-0.23951629999999999</v>
      </c>
      <c r="I4581" s="55">
        <v>5.8396229999999996</v>
      </c>
      <c r="J4581" s="55">
        <v>6.2062229999999996</v>
      </c>
      <c r="K4581" s="55">
        <v>4.923845</v>
      </c>
      <c r="L4581" s="55">
        <v>4.3275499999999996</v>
      </c>
      <c r="M4581" s="55">
        <v>2.8696290000000002</v>
      </c>
      <c r="N4581" s="55">
        <v>2.0963250000000002</v>
      </c>
    </row>
    <row r="4582" spans="1:14" hidden="1" x14ac:dyDescent="0.35">
      <c r="A4582" s="52" t="s">
        <v>684</v>
      </c>
      <c r="B4582" s="52" t="s">
        <v>74</v>
      </c>
      <c r="C4582" s="52" t="s">
        <v>87</v>
      </c>
      <c r="D4582" s="52" t="s">
        <v>89</v>
      </c>
      <c r="E4582" s="52" t="s">
        <v>584</v>
      </c>
      <c r="F4582" s="52" t="s">
        <v>581</v>
      </c>
      <c r="G4582" s="55" t="s">
        <v>276</v>
      </c>
      <c r="H4582" s="55">
        <v>-4.6775539999999998</v>
      </c>
      <c r="I4582" s="55">
        <v>3.7325560000000002</v>
      </c>
      <c r="J4582" s="55">
        <v>3.98611</v>
      </c>
      <c r="K4582" s="55">
        <v>3.1047120000000001</v>
      </c>
      <c r="L4582" s="55">
        <v>2.6772999999999998</v>
      </c>
      <c r="M4582" s="55">
        <v>1.715462</v>
      </c>
      <c r="N4582" s="55">
        <v>1.3286089999999999</v>
      </c>
    </row>
    <row r="4583" spans="1:14" hidden="1" x14ac:dyDescent="0.35">
      <c r="A4583" s="52" t="s">
        <v>684</v>
      </c>
      <c r="B4583" s="52" t="s">
        <v>74</v>
      </c>
      <c r="C4583" s="52" t="s">
        <v>87</v>
      </c>
      <c r="D4583" s="52" t="s">
        <v>89</v>
      </c>
      <c r="E4583" s="52" t="s">
        <v>584</v>
      </c>
      <c r="F4583" s="52" t="s">
        <v>581</v>
      </c>
      <c r="G4583" s="55" t="s">
        <v>277</v>
      </c>
      <c r="H4583" s="55">
        <v>43.37162</v>
      </c>
      <c r="I4583" s="55">
        <v>1.541056</v>
      </c>
      <c r="J4583" s="55">
        <v>1.395448</v>
      </c>
      <c r="K4583" s="55">
        <v>1.649662</v>
      </c>
      <c r="L4583" s="55">
        <v>1.936539</v>
      </c>
      <c r="M4583" s="55">
        <v>1.8395010000000001</v>
      </c>
      <c r="N4583" s="55"/>
    </row>
    <row r="4584" spans="1:14" hidden="1" x14ac:dyDescent="0.35">
      <c r="A4584" s="52" t="s">
        <v>684</v>
      </c>
      <c r="B4584" s="52" t="s">
        <v>74</v>
      </c>
      <c r="C4584" s="52" t="s">
        <v>87</v>
      </c>
      <c r="D4584" s="52" t="s">
        <v>89</v>
      </c>
      <c r="E4584" s="52" t="s">
        <v>584</v>
      </c>
      <c r="F4584" s="52" t="s">
        <v>581</v>
      </c>
      <c r="G4584" s="55" t="s">
        <v>278</v>
      </c>
      <c r="H4584" s="55">
        <v>4.4021889999999999E-3</v>
      </c>
      <c r="I4584" s="55">
        <v>6.0112949999999998E-3</v>
      </c>
      <c r="J4584" s="55">
        <v>6.0112949999999998E-3</v>
      </c>
      <c r="K4584" s="55">
        <v>6.0112949999999998E-3</v>
      </c>
      <c r="L4584" s="55">
        <v>6.0112949999999998E-3</v>
      </c>
      <c r="M4584" s="55">
        <v>6.0112949999999998E-3</v>
      </c>
      <c r="N4584" s="55">
        <v>6.0112949999999998E-3</v>
      </c>
    </row>
    <row r="4585" spans="1:14" hidden="1" x14ac:dyDescent="0.35">
      <c r="A4585" s="52" t="s">
        <v>684</v>
      </c>
      <c r="B4585" s="52" t="s">
        <v>74</v>
      </c>
      <c r="C4585" s="52" t="s">
        <v>87</v>
      </c>
      <c r="D4585" s="52" t="s">
        <v>89</v>
      </c>
      <c r="E4585" s="52" t="s">
        <v>584</v>
      </c>
      <c r="F4585" s="52" t="s">
        <v>581</v>
      </c>
      <c r="G4585" s="55" t="s">
        <v>279</v>
      </c>
      <c r="H4585" s="55">
        <v>19.707940000000001</v>
      </c>
      <c r="I4585" s="55">
        <v>17.360240000000001</v>
      </c>
      <c r="J4585" s="55">
        <v>17.348520000000001</v>
      </c>
      <c r="K4585" s="55">
        <v>19.983630000000002</v>
      </c>
      <c r="L4585" s="55">
        <v>20.06523</v>
      </c>
      <c r="M4585" s="55">
        <v>19.39771</v>
      </c>
      <c r="N4585" s="55">
        <v>18.792919999999999</v>
      </c>
    </row>
    <row r="4586" spans="1:14" hidden="1" x14ac:dyDescent="0.35">
      <c r="A4586" s="52" t="s">
        <v>684</v>
      </c>
      <c r="B4586" s="52" t="s">
        <v>74</v>
      </c>
      <c r="C4586" s="52" t="s">
        <v>87</v>
      </c>
      <c r="D4586" s="52" t="s">
        <v>89</v>
      </c>
      <c r="E4586" s="52" t="s">
        <v>584</v>
      </c>
      <c r="F4586" s="52" t="s">
        <v>26</v>
      </c>
      <c r="G4586" s="55" t="s">
        <v>275</v>
      </c>
      <c r="H4586" s="55">
        <v>-0.36823919999999999</v>
      </c>
      <c r="I4586" s="55">
        <v>-0.30339749999999999</v>
      </c>
      <c r="J4586" s="55">
        <v>-0.2274921</v>
      </c>
      <c r="K4586" s="55">
        <v>-0.31809389999999998</v>
      </c>
      <c r="L4586" s="55">
        <v>-0.31123450000000003</v>
      </c>
      <c r="M4586" s="55">
        <v>-0.27661190000000002</v>
      </c>
      <c r="N4586" s="55">
        <v>-0.24457970000000001</v>
      </c>
    </row>
    <row r="4587" spans="1:14" hidden="1" x14ac:dyDescent="0.35">
      <c r="A4587" s="52" t="s">
        <v>684</v>
      </c>
      <c r="B4587" s="52" t="s">
        <v>74</v>
      </c>
      <c r="C4587" s="52" t="s">
        <v>87</v>
      </c>
      <c r="D4587" s="52" t="s">
        <v>89</v>
      </c>
      <c r="E4587" s="52" t="s">
        <v>584</v>
      </c>
      <c r="F4587" s="52" t="s">
        <v>26</v>
      </c>
      <c r="G4587" s="55" t="s">
        <v>276</v>
      </c>
      <c r="H4587" s="55">
        <v>-0.24549260000000001</v>
      </c>
      <c r="I4587" s="55">
        <v>-0.20226440000000001</v>
      </c>
      <c r="J4587" s="55">
        <v>-0.15166099999999999</v>
      </c>
      <c r="K4587" s="55">
        <v>-0.21206259999999999</v>
      </c>
      <c r="L4587" s="55">
        <v>-0.20749139999999999</v>
      </c>
      <c r="M4587" s="55">
        <v>-0.18440670000000001</v>
      </c>
      <c r="N4587" s="55">
        <v>-0.1630538</v>
      </c>
    </row>
    <row r="4588" spans="1:14" hidden="1" x14ac:dyDescent="0.35">
      <c r="A4588" s="52" t="s">
        <v>684</v>
      </c>
      <c r="B4588" s="52" t="s">
        <v>74</v>
      </c>
      <c r="C4588" s="52" t="s">
        <v>87</v>
      </c>
      <c r="D4588" s="52" t="s">
        <v>89</v>
      </c>
      <c r="E4588" s="52" t="s">
        <v>584</v>
      </c>
      <c r="F4588" s="52" t="s">
        <v>26</v>
      </c>
      <c r="G4588" s="55" t="s">
        <v>279</v>
      </c>
      <c r="H4588" s="55">
        <v>2.5982850000000002</v>
      </c>
      <c r="I4588" s="55">
        <v>1.9845870000000001</v>
      </c>
      <c r="J4588" s="55">
        <v>2.0676160000000001</v>
      </c>
      <c r="K4588" s="55">
        <v>2.2605940000000002</v>
      </c>
      <c r="L4588" s="55">
        <v>2.2105990000000002</v>
      </c>
      <c r="M4588" s="55">
        <v>1.96784</v>
      </c>
      <c r="N4588" s="55">
        <v>1.7392430000000001</v>
      </c>
    </row>
    <row r="4589" spans="1:14" hidden="1" x14ac:dyDescent="0.35">
      <c r="A4589" s="52" t="s">
        <v>684</v>
      </c>
      <c r="B4589" s="52" t="s">
        <v>74</v>
      </c>
      <c r="C4589" s="52" t="s">
        <v>87</v>
      </c>
      <c r="D4589" s="52" t="s">
        <v>90</v>
      </c>
      <c r="E4589" s="52" t="s">
        <v>584</v>
      </c>
      <c r="F4589" s="52" t="s">
        <v>581</v>
      </c>
      <c r="G4589" s="55" t="s">
        <v>275</v>
      </c>
      <c r="H4589" s="55">
        <v>0</v>
      </c>
      <c r="I4589" s="55"/>
      <c r="J4589" s="55"/>
      <c r="K4589" s="55">
        <v>0</v>
      </c>
      <c r="L4589" s="55">
        <v>-6.6037809999999997</v>
      </c>
      <c r="M4589" s="55">
        <v>-3.5503689999999999</v>
      </c>
      <c r="N4589" s="55">
        <v>10.876110000000001</v>
      </c>
    </row>
    <row r="4590" spans="1:14" hidden="1" x14ac:dyDescent="0.35">
      <c r="A4590" s="52" t="s">
        <v>684</v>
      </c>
      <c r="B4590" s="52" t="s">
        <v>74</v>
      </c>
      <c r="C4590" s="52" t="s">
        <v>87</v>
      </c>
      <c r="D4590" s="52" t="s">
        <v>90</v>
      </c>
      <c r="E4590" s="52" t="s">
        <v>584</v>
      </c>
      <c r="F4590" s="52" t="s">
        <v>581</v>
      </c>
      <c r="G4590" s="55" t="s">
        <v>276</v>
      </c>
      <c r="H4590" s="55">
        <v>0</v>
      </c>
      <c r="I4590" s="55"/>
      <c r="J4590" s="55"/>
      <c r="K4590" s="55">
        <v>0</v>
      </c>
      <c r="L4590" s="55">
        <v>-4.40252</v>
      </c>
      <c r="M4590" s="55">
        <v>-6.5745950000000004</v>
      </c>
      <c r="N4590" s="55">
        <v>7.2507409999999997</v>
      </c>
    </row>
    <row r="4591" spans="1:14" hidden="1" x14ac:dyDescent="0.35">
      <c r="A4591" s="52" t="s">
        <v>684</v>
      </c>
      <c r="B4591" s="52" t="s">
        <v>74</v>
      </c>
      <c r="C4591" s="52" t="s">
        <v>87</v>
      </c>
      <c r="D4591" s="52" t="s">
        <v>90</v>
      </c>
      <c r="E4591" s="52" t="s">
        <v>584</v>
      </c>
      <c r="F4591" s="52" t="s">
        <v>581</v>
      </c>
      <c r="G4591" s="55" t="s">
        <v>277</v>
      </c>
      <c r="H4591" s="55">
        <v>0</v>
      </c>
      <c r="I4591" s="55"/>
      <c r="J4591" s="55">
        <v>0</v>
      </c>
      <c r="K4591" s="55">
        <v>0</v>
      </c>
      <c r="L4591" s="55">
        <v>11.0063</v>
      </c>
      <c r="M4591" s="55">
        <v>29.38748</v>
      </c>
      <c r="N4591" s="55">
        <v>0</v>
      </c>
    </row>
    <row r="4592" spans="1:14" hidden="1" x14ac:dyDescent="0.35">
      <c r="A4592" s="52" t="s">
        <v>684</v>
      </c>
      <c r="B4592" s="52" t="s">
        <v>74</v>
      </c>
      <c r="C4592" s="52" t="s">
        <v>87</v>
      </c>
      <c r="D4592" s="52" t="s">
        <v>90</v>
      </c>
      <c r="E4592" s="52" t="s">
        <v>584</v>
      </c>
      <c r="F4592" s="52" t="s">
        <v>581</v>
      </c>
      <c r="G4592" s="55" t="s">
        <v>279</v>
      </c>
      <c r="H4592" s="55"/>
      <c r="I4592" s="55"/>
      <c r="J4592" s="55"/>
      <c r="K4592" s="55"/>
      <c r="L4592" s="55">
        <v>0</v>
      </c>
      <c r="M4592" s="55">
        <v>5.3537379999999999</v>
      </c>
      <c r="N4592" s="55">
        <v>5.0380789999999998</v>
      </c>
    </row>
    <row r="4593" spans="1:14" hidden="1" x14ac:dyDescent="0.35">
      <c r="A4593" s="52" t="s">
        <v>684</v>
      </c>
      <c r="B4593" s="52" t="s">
        <v>74</v>
      </c>
      <c r="C4593" s="52" t="s">
        <v>87</v>
      </c>
      <c r="D4593" s="52" t="s">
        <v>90</v>
      </c>
      <c r="E4593" s="52" t="s">
        <v>584</v>
      </c>
      <c r="F4593" s="52" t="s">
        <v>26</v>
      </c>
      <c r="G4593" s="55" t="s">
        <v>275</v>
      </c>
      <c r="H4593" s="55">
        <v>0</v>
      </c>
      <c r="I4593" s="55">
        <v>-0.3</v>
      </c>
      <c r="J4593" s="55">
        <v>-0.3</v>
      </c>
      <c r="K4593" s="55">
        <v>-3</v>
      </c>
      <c r="L4593" s="55">
        <v>-3.2073160000000001</v>
      </c>
      <c r="M4593" s="55">
        <v>3.7859820000000002</v>
      </c>
      <c r="N4593" s="55">
        <v>9.3669449999999994</v>
      </c>
    </row>
    <row r="4594" spans="1:14" hidden="1" x14ac:dyDescent="0.35">
      <c r="A4594" s="52" t="s">
        <v>684</v>
      </c>
      <c r="B4594" s="52" t="s">
        <v>74</v>
      </c>
      <c r="C4594" s="52" t="s">
        <v>87</v>
      </c>
      <c r="D4594" s="52" t="s">
        <v>90</v>
      </c>
      <c r="E4594" s="52" t="s">
        <v>584</v>
      </c>
      <c r="F4594" s="52" t="s">
        <v>26</v>
      </c>
      <c r="G4594" s="55" t="s">
        <v>276</v>
      </c>
      <c r="H4594" s="55">
        <v>0</v>
      </c>
      <c r="I4594" s="55">
        <v>-0.2</v>
      </c>
      <c r="J4594" s="55">
        <v>-0.2</v>
      </c>
      <c r="K4594" s="55">
        <v>-2</v>
      </c>
      <c r="L4594" s="55">
        <v>-2.1382110000000001</v>
      </c>
      <c r="M4594" s="55">
        <v>-0.1159241</v>
      </c>
      <c r="N4594" s="55">
        <v>6.1492930000000001</v>
      </c>
    </row>
    <row r="4595" spans="1:14" hidden="1" x14ac:dyDescent="0.35">
      <c r="A4595" s="52" t="s">
        <v>684</v>
      </c>
      <c r="B4595" s="52" t="s">
        <v>74</v>
      </c>
      <c r="C4595" s="52" t="s">
        <v>87</v>
      </c>
      <c r="D4595" s="52" t="s">
        <v>90</v>
      </c>
      <c r="E4595" s="52" t="s">
        <v>584</v>
      </c>
      <c r="F4595" s="52" t="s">
        <v>26</v>
      </c>
      <c r="G4595" s="55" t="s">
        <v>277</v>
      </c>
      <c r="H4595" s="55">
        <v>0</v>
      </c>
      <c r="I4595" s="55">
        <v>0.5</v>
      </c>
      <c r="J4595" s="55">
        <v>0.5</v>
      </c>
      <c r="K4595" s="55">
        <v>5</v>
      </c>
      <c r="L4595" s="55">
        <v>5.3455269999999997</v>
      </c>
      <c r="M4595" s="55">
        <v>13.997640000000001</v>
      </c>
      <c r="N4595" s="55">
        <v>0.91523100000000002</v>
      </c>
    </row>
    <row r="4596" spans="1:14" hidden="1" x14ac:dyDescent="0.35">
      <c r="A4596" s="52" t="s">
        <v>684</v>
      </c>
      <c r="B4596" s="52" t="s">
        <v>74</v>
      </c>
      <c r="C4596" s="52" t="s">
        <v>87</v>
      </c>
      <c r="D4596" s="52" t="s">
        <v>90</v>
      </c>
      <c r="E4596" s="52" t="s">
        <v>584</v>
      </c>
      <c r="F4596" s="52" t="s">
        <v>26</v>
      </c>
      <c r="G4596" s="55" t="s">
        <v>279</v>
      </c>
      <c r="H4596" s="55"/>
      <c r="I4596" s="55"/>
      <c r="J4596" s="55"/>
      <c r="K4596" s="55"/>
      <c r="L4596" s="55">
        <v>0</v>
      </c>
      <c r="M4596" s="55">
        <v>9.5881019999999992</v>
      </c>
      <c r="N4596" s="55">
        <v>9.2140339999999998</v>
      </c>
    </row>
    <row r="4597" spans="1:14" hidden="1" x14ac:dyDescent="0.35">
      <c r="A4597" s="52" t="s">
        <v>684</v>
      </c>
      <c r="B4597" s="52" t="s">
        <v>74</v>
      </c>
      <c r="C4597" s="52" t="s">
        <v>87</v>
      </c>
      <c r="D4597" s="52" t="s">
        <v>199</v>
      </c>
      <c r="E4597" s="52" t="s">
        <v>584</v>
      </c>
      <c r="F4597" s="52" t="s">
        <v>581</v>
      </c>
      <c r="G4597" s="55" t="s">
        <v>275</v>
      </c>
      <c r="H4597" s="55">
        <v>6.4733419999999997</v>
      </c>
      <c r="I4597" s="55">
        <v>2.9135339999999998</v>
      </c>
      <c r="J4597" s="55">
        <v>2.2515450000000001</v>
      </c>
      <c r="K4597" s="55">
        <v>0.76181790000000005</v>
      </c>
      <c r="L4597" s="55">
        <v>1.146096</v>
      </c>
      <c r="M4597" s="55">
        <v>1.7720689999999999</v>
      </c>
      <c r="N4597" s="55">
        <v>1.829167</v>
      </c>
    </row>
    <row r="4598" spans="1:14" hidden="1" x14ac:dyDescent="0.35">
      <c r="A4598" s="52" t="s">
        <v>684</v>
      </c>
      <c r="B4598" s="52" t="s">
        <v>74</v>
      </c>
      <c r="C4598" s="52" t="s">
        <v>87</v>
      </c>
      <c r="D4598" s="52" t="s">
        <v>199</v>
      </c>
      <c r="E4598" s="52" t="s">
        <v>584</v>
      </c>
      <c r="F4598" s="52" t="s">
        <v>581</v>
      </c>
      <c r="G4598" s="55" t="s">
        <v>276</v>
      </c>
      <c r="H4598" s="55">
        <v>4.3155599999999996</v>
      </c>
      <c r="I4598" s="55">
        <v>1.9423569999999999</v>
      </c>
      <c r="J4598" s="55">
        <v>-7.1593869999999997</v>
      </c>
      <c r="K4598" s="55">
        <v>0.46383760000000002</v>
      </c>
      <c r="L4598" s="55">
        <v>0.53369120000000003</v>
      </c>
      <c r="M4598" s="55">
        <v>1.022837</v>
      </c>
      <c r="N4598" s="55">
        <v>1.0976509999999999</v>
      </c>
    </row>
    <row r="4599" spans="1:14" hidden="1" x14ac:dyDescent="0.35">
      <c r="A4599" s="52" t="s">
        <v>684</v>
      </c>
      <c r="B4599" s="52" t="s">
        <v>74</v>
      </c>
      <c r="C4599" s="52" t="s">
        <v>87</v>
      </c>
      <c r="D4599" s="52" t="s">
        <v>199</v>
      </c>
      <c r="E4599" s="52" t="s">
        <v>584</v>
      </c>
      <c r="F4599" s="52" t="s">
        <v>581</v>
      </c>
      <c r="G4599" s="55" t="s">
        <v>277</v>
      </c>
      <c r="H4599" s="55"/>
      <c r="I4599" s="55"/>
      <c r="J4599" s="55">
        <v>0</v>
      </c>
      <c r="K4599" s="55">
        <v>0.03</v>
      </c>
      <c r="L4599" s="55">
        <v>0.03</v>
      </c>
      <c r="M4599" s="55">
        <v>0</v>
      </c>
      <c r="N4599" s="55">
        <v>0.3</v>
      </c>
    </row>
    <row r="4600" spans="1:14" hidden="1" x14ac:dyDescent="0.35">
      <c r="A4600" s="52" t="s">
        <v>684</v>
      </c>
      <c r="B4600" s="52" t="s">
        <v>74</v>
      </c>
      <c r="C4600" s="52" t="s">
        <v>87</v>
      </c>
      <c r="D4600" s="52" t="s">
        <v>199</v>
      </c>
      <c r="E4600" s="52" t="s">
        <v>584</v>
      </c>
      <c r="F4600" s="52" t="s">
        <v>581</v>
      </c>
      <c r="G4600" s="55" t="s">
        <v>278</v>
      </c>
      <c r="H4600" s="55">
        <v>3.2251969999999998E-2</v>
      </c>
      <c r="I4600" s="55">
        <v>4.4039849999999998E-2</v>
      </c>
      <c r="J4600" s="55">
        <v>8.6604170000000007</v>
      </c>
      <c r="K4600" s="55">
        <v>4.4039849999999998E-2</v>
      </c>
      <c r="L4600" s="55">
        <v>0.23037340000000001</v>
      </c>
      <c r="M4600" s="55">
        <v>0.1585425</v>
      </c>
      <c r="N4600" s="55">
        <v>0.1217936</v>
      </c>
    </row>
    <row r="4601" spans="1:14" hidden="1" x14ac:dyDescent="0.35">
      <c r="A4601" s="52" t="s">
        <v>684</v>
      </c>
      <c r="B4601" s="52" t="s">
        <v>74</v>
      </c>
      <c r="C4601" s="52" t="s">
        <v>87</v>
      </c>
      <c r="D4601" s="52" t="s">
        <v>199</v>
      </c>
      <c r="E4601" s="52" t="s">
        <v>584</v>
      </c>
      <c r="F4601" s="52" t="s">
        <v>581</v>
      </c>
      <c r="G4601" s="55" t="s">
        <v>279</v>
      </c>
      <c r="H4601" s="55">
        <v>1.465322</v>
      </c>
      <c r="I4601" s="55">
        <v>1.328638</v>
      </c>
      <c r="J4601" s="55">
        <v>1.0481309999999999</v>
      </c>
      <c r="K4601" s="55">
        <v>0.39453149999999998</v>
      </c>
      <c r="L4601" s="55">
        <v>0.51001870000000005</v>
      </c>
      <c r="M4601" s="55">
        <v>0.87767079999999997</v>
      </c>
      <c r="N4601" s="55">
        <v>1.0120070000000001</v>
      </c>
    </row>
    <row r="4602" spans="1:14" hidden="1" x14ac:dyDescent="0.35">
      <c r="A4602" s="52" t="s">
        <v>684</v>
      </c>
      <c r="B4602" s="52" t="s">
        <v>74</v>
      </c>
      <c r="C4602" s="52" t="s">
        <v>87</v>
      </c>
      <c r="D4602" s="52" t="s">
        <v>199</v>
      </c>
      <c r="E4602" s="52" t="s">
        <v>584</v>
      </c>
      <c r="F4602" s="52" t="s">
        <v>26</v>
      </c>
      <c r="G4602" s="55" t="s">
        <v>275</v>
      </c>
      <c r="H4602" s="55">
        <v>1.07392</v>
      </c>
      <c r="I4602" s="55">
        <v>-1.3512759999999999</v>
      </c>
      <c r="J4602" s="55">
        <v>-1.66767</v>
      </c>
      <c r="K4602" s="55">
        <v>-2.3926810000000001</v>
      </c>
      <c r="L4602" s="55">
        <v>-1.586112</v>
      </c>
      <c r="M4602" s="55">
        <v>-0.65278979999999998</v>
      </c>
      <c r="N4602" s="55">
        <v>0.229963</v>
      </c>
    </row>
    <row r="4603" spans="1:14" hidden="1" x14ac:dyDescent="0.35">
      <c r="A4603" s="52" t="s">
        <v>684</v>
      </c>
      <c r="B4603" s="52" t="s">
        <v>74</v>
      </c>
      <c r="C4603" s="52" t="s">
        <v>87</v>
      </c>
      <c r="D4603" s="52" t="s">
        <v>199</v>
      </c>
      <c r="E4603" s="52" t="s">
        <v>584</v>
      </c>
      <c r="F4603" s="52" t="s">
        <v>26</v>
      </c>
      <c r="G4603" s="55" t="s">
        <v>276</v>
      </c>
      <c r="H4603" s="55">
        <v>0.19187709999999999</v>
      </c>
      <c r="I4603" s="55">
        <v>-1.797188</v>
      </c>
      <c r="J4603" s="55">
        <v>-1.9739629999999999</v>
      </c>
      <c r="K4603" s="55">
        <v>-1.938849</v>
      </c>
      <c r="L4603" s="55">
        <v>-1.32711</v>
      </c>
      <c r="M4603" s="55">
        <v>-0.70656390000000002</v>
      </c>
      <c r="N4603" s="55">
        <v>-9.8884109999999997E-3</v>
      </c>
    </row>
    <row r="4604" spans="1:14" hidden="1" x14ac:dyDescent="0.35">
      <c r="A4604" s="52" t="s">
        <v>684</v>
      </c>
      <c r="B4604" s="52" t="s">
        <v>74</v>
      </c>
      <c r="C4604" s="52" t="s">
        <v>87</v>
      </c>
      <c r="D4604" s="52" t="s">
        <v>199</v>
      </c>
      <c r="E4604" s="52" t="s">
        <v>584</v>
      </c>
      <c r="F4604" s="52" t="s">
        <v>26</v>
      </c>
      <c r="G4604" s="55" t="s">
        <v>277</v>
      </c>
      <c r="H4604" s="55">
        <v>5.0310740000000003</v>
      </c>
      <c r="I4604" s="55">
        <v>8.604832</v>
      </c>
      <c r="J4604" s="55">
        <v>8.2769460000000006</v>
      </c>
      <c r="K4604" s="55">
        <v>3.2997839999999998</v>
      </c>
      <c r="L4604" s="55">
        <v>2.589137</v>
      </c>
      <c r="M4604" s="55">
        <v>2.6051609999999998</v>
      </c>
      <c r="N4604" s="55"/>
    </row>
    <row r="4605" spans="1:14" hidden="1" x14ac:dyDescent="0.35">
      <c r="A4605" s="52" t="s">
        <v>684</v>
      </c>
      <c r="B4605" s="52" t="s">
        <v>74</v>
      </c>
      <c r="C4605" s="52" t="s">
        <v>87</v>
      </c>
      <c r="D4605" s="52" t="s">
        <v>199</v>
      </c>
      <c r="E4605" s="52" t="s">
        <v>584</v>
      </c>
      <c r="F4605" s="52" t="s">
        <v>26</v>
      </c>
      <c r="G4605" s="55" t="s">
        <v>279</v>
      </c>
      <c r="H4605" s="55">
        <v>7.0933520000000003</v>
      </c>
      <c r="I4605" s="55">
        <v>6.3907319999999999</v>
      </c>
      <c r="J4605" s="55">
        <v>5.6229120000000004</v>
      </c>
      <c r="K4605" s="55">
        <v>4.6512560000000001</v>
      </c>
      <c r="L4605" s="55">
        <v>4.9073209999999996</v>
      </c>
      <c r="M4605" s="55">
        <v>5.7088469999999996</v>
      </c>
      <c r="N4605" s="55">
        <v>6.0623329999999997</v>
      </c>
    </row>
    <row r="4606" spans="1:14" hidden="1" x14ac:dyDescent="0.35">
      <c r="A4606" s="52" t="s">
        <v>684</v>
      </c>
      <c r="B4606" s="52" t="s">
        <v>74</v>
      </c>
      <c r="C4606" s="52" t="s">
        <v>71</v>
      </c>
      <c r="D4606" s="52" t="s">
        <v>77</v>
      </c>
      <c r="E4606" s="52" t="s">
        <v>584</v>
      </c>
      <c r="F4606" s="52" t="s">
        <v>581</v>
      </c>
      <c r="G4606" s="55" t="s">
        <v>275</v>
      </c>
      <c r="H4606" s="55">
        <v>9.1420480000000008</v>
      </c>
      <c r="I4606" s="55">
        <v>-0.81673879999999999</v>
      </c>
      <c r="J4606" s="55">
        <v>-81.961960000000005</v>
      </c>
      <c r="K4606" s="55">
        <v>-89.825010000000006</v>
      </c>
      <c r="L4606" s="55">
        <v>-3.0361820000000002</v>
      </c>
      <c r="M4606" s="55">
        <v>-0.22557089999999999</v>
      </c>
      <c r="N4606" s="55">
        <v>-6.54894</v>
      </c>
    </row>
    <row r="4607" spans="1:14" hidden="1" x14ac:dyDescent="0.35">
      <c r="A4607" s="52" t="s">
        <v>684</v>
      </c>
      <c r="B4607" s="52" t="s">
        <v>74</v>
      </c>
      <c r="C4607" s="52" t="s">
        <v>71</v>
      </c>
      <c r="D4607" s="52" t="s">
        <v>77</v>
      </c>
      <c r="E4607" s="52" t="s">
        <v>584</v>
      </c>
      <c r="F4607" s="52" t="s">
        <v>581</v>
      </c>
      <c r="G4607" s="55" t="s">
        <v>276</v>
      </c>
      <c r="H4607" s="55">
        <v>5.8342229999999997</v>
      </c>
      <c r="I4607" s="55">
        <v>-0.70477420000000002</v>
      </c>
      <c r="J4607" s="55">
        <v>-54.810389999999998</v>
      </c>
      <c r="K4607" s="55">
        <v>-60.023429999999998</v>
      </c>
      <c r="L4607" s="55">
        <v>-2.1294520000000001</v>
      </c>
      <c r="M4607" s="55">
        <v>-0.18436440000000001</v>
      </c>
      <c r="N4607" s="55">
        <v>-4.3999420000000002</v>
      </c>
    </row>
    <row r="4608" spans="1:14" hidden="1" x14ac:dyDescent="0.35">
      <c r="A4608" s="52" t="s">
        <v>684</v>
      </c>
      <c r="B4608" s="52" t="s">
        <v>74</v>
      </c>
      <c r="C4608" s="52" t="s">
        <v>71</v>
      </c>
      <c r="D4608" s="52" t="s">
        <v>77</v>
      </c>
      <c r="E4608" s="52" t="s">
        <v>584</v>
      </c>
      <c r="F4608" s="52" t="s">
        <v>581</v>
      </c>
      <c r="G4608" s="55" t="s">
        <v>277</v>
      </c>
      <c r="H4608" s="55">
        <v>2.500572</v>
      </c>
      <c r="I4608" s="55">
        <v>1.5386919999999999</v>
      </c>
      <c r="J4608" s="55">
        <v>1.296808</v>
      </c>
      <c r="K4608" s="55">
        <v>1.018586</v>
      </c>
      <c r="L4608" s="55">
        <v>0.68493729999999997</v>
      </c>
      <c r="M4608" s="55">
        <v>0</v>
      </c>
      <c r="N4608" s="55">
        <v>0</v>
      </c>
    </row>
    <row r="4609" spans="1:14" hidden="1" x14ac:dyDescent="0.35">
      <c r="A4609" s="52" t="s">
        <v>684</v>
      </c>
      <c r="B4609" s="52" t="s">
        <v>74</v>
      </c>
      <c r="C4609" s="52" t="s">
        <v>71</v>
      </c>
      <c r="D4609" s="52" t="s">
        <v>77</v>
      </c>
      <c r="E4609" s="52" t="s">
        <v>584</v>
      </c>
      <c r="F4609" s="52" t="s">
        <v>581</v>
      </c>
      <c r="G4609" s="55" t="s">
        <v>278</v>
      </c>
      <c r="H4609" s="55">
        <v>0.10417990000000001</v>
      </c>
      <c r="I4609" s="55">
        <v>0.1422571</v>
      </c>
      <c r="J4609" s="55">
        <v>3.3983470000000002E-2</v>
      </c>
      <c r="K4609" s="55">
        <v>3.3983470000000002E-2</v>
      </c>
      <c r="L4609" s="55">
        <v>3.3983470000000002E-2</v>
      </c>
      <c r="M4609" s="55">
        <v>3.3983470000000002E-2</v>
      </c>
      <c r="N4609" s="55">
        <v>3.3983470000000002E-2</v>
      </c>
    </row>
    <row r="4610" spans="1:14" hidden="1" x14ac:dyDescent="0.35">
      <c r="A4610" s="52" t="s">
        <v>684</v>
      </c>
      <c r="B4610" s="52" t="s">
        <v>74</v>
      </c>
      <c r="C4610" s="52" t="s">
        <v>71</v>
      </c>
      <c r="D4610" s="52" t="s">
        <v>77</v>
      </c>
      <c r="E4610" s="52" t="s">
        <v>584</v>
      </c>
      <c r="F4610" s="52" t="s">
        <v>581</v>
      </c>
      <c r="G4610" s="55" t="s">
        <v>279</v>
      </c>
      <c r="H4610" s="55">
        <v>21.199449999999999</v>
      </c>
      <c r="I4610" s="55">
        <v>13.52101</v>
      </c>
      <c r="J4610" s="55">
        <v>146.32079999999999</v>
      </c>
      <c r="K4610" s="55">
        <v>157.9958</v>
      </c>
      <c r="L4610" s="55">
        <v>11.235760000000001</v>
      </c>
      <c r="M4610" s="55">
        <v>6.2187599999999996</v>
      </c>
      <c r="N4610" s="55">
        <v>15.574009999999999</v>
      </c>
    </row>
    <row r="4611" spans="1:14" hidden="1" x14ac:dyDescent="0.35">
      <c r="A4611" s="52" t="s">
        <v>684</v>
      </c>
      <c r="B4611" s="52" t="s">
        <v>74</v>
      </c>
      <c r="C4611" s="52" t="s">
        <v>71</v>
      </c>
      <c r="D4611" s="52" t="s">
        <v>76</v>
      </c>
      <c r="E4611" s="52" t="s">
        <v>584</v>
      </c>
      <c r="F4611" s="52" t="s">
        <v>581</v>
      </c>
      <c r="G4611" s="55" t="s">
        <v>275</v>
      </c>
      <c r="H4611" s="55">
        <v>0.20259540000000001</v>
      </c>
      <c r="I4611" s="55">
        <v>-7.4500949999999996E-2</v>
      </c>
      <c r="J4611" s="55">
        <v>-6.2128879999999997E-2</v>
      </c>
      <c r="K4611" s="55">
        <v>-0.13508899999999999</v>
      </c>
      <c r="L4611" s="55">
        <v>0</v>
      </c>
      <c r="M4611" s="55">
        <v>0</v>
      </c>
      <c r="N4611" s="55">
        <v>0</v>
      </c>
    </row>
    <row r="4612" spans="1:14" hidden="1" x14ac:dyDescent="0.35">
      <c r="A4612" s="52" t="s">
        <v>684</v>
      </c>
      <c r="B4612" s="52" t="s">
        <v>74</v>
      </c>
      <c r="C4612" s="52" t="s">
        <v>71</v>
      </c>
      <c r="D4612" s="52" t="s">
        <v>76</v>
      </c>
      <c r="E4612" s="52" t="s">
        <v>584</v>
      </c>
      <c r="F4612" s="52" t="s">
        <v>581</v>
      </c>
      <c r="G4612" s="55" t="s">
        <v>276</v>
      </c>
      <c r="H4612" s="55">
        <v>0.1230841</v>
      </c>
      <c r="I4612" s="55">
        <v>-4.9666380000000003E-2</v>
      </c>
      <c r="J4612" s="55">
        <v>-6.1710929999999997E-2</v>
      </c>
      <c r="K4612" s="55">
        <v>-0.1103509</v>
      </c>
      <c r="L4612" s="55">
        <v>-2.0290969999999998E-2</v>
      </c>
      <c r="M4612" s="55">
        <v>-2.0290969999999998E-2</v>
      </c>
      <c r="N4612" s="55">
        <v>-0.65253930000000004</v>
      </c>
    </row>
    <row r="4613" spans="1:14" hidden="1" x14ac:dyDescent="0.35">
      <c r="A4613" s="52" t="s">
        <v>684</v>
      </c>
      <c r="B4613" s="52" t="s">
        <v>74</v>
      </c>
      <c r="C4613" s="52" t="s">
        <v>71</v>
      </c>
      <c r="D4613" s="52" t="s">
        <v>76</v>
      </c>
      <c r="E4613" s="52" t="s">
        <v>584</v>
      </c>
      <c r="F4613" s="52" t="s">
        <v>581</v>
      </c>
      <c r="G4613" s="55" t="s">
        <v>277</v>
      </c>
      <c r="H4613" s="55">
        <v>0.1150128</v>
      </c>
      <c r="I4613" s="55"/>
      <c r="J4613" s="55"/>
      <c r="K4613" s="55"/>
      <c r="L4613" s="55"/>
      <c r="M4613" s="55">
        <v>0</v>
      </c>
      <c r="N4613" s="55"/>
    </row>
    <row r="4614" spans="1:14" hidden="1" x14ac:dyDescent="0.35">
      <c r="A4614" s="52" t="s">
        <v>684</v>
      </c>
      <c r="B4614" s="52" t="s">
        <v>74</v>
      </c>
      <c r="C4614" s="52" t="s">
        <v>71</v>
      </c>
      <c r="D4614" s="52" t="s">
        <v>76</v>
      </c>
      <c r="E4614" s="52" t="s">
        <v>584</v>
      </c>
      <c r="F4614" s="52" t="s">
        <v>581</v>
      </c>
      <c r="G4614" s="55" t="s">
        <v>278</v>
      </c>
      <c r="H4614" s="55">
        <v>1.485963E-2</v>
      </c>
      <c r="I4614" s="55">
        <v>2.029137E-2</v>
      </c>
      <c r="J4614" s="55">
        <v>2.029137E-2</v>
      </c>
      <c r="K4614" s="55">
        <v>2.029137E-2</v>
      </c>
      <c r="L4614" s="55">
        <v>2.029137E-2</v>
      </c>
      <c r="M4614" s="55">
        <v>2.029137E-2</v>
      </c>
      <c r="N4614" s="55">
        <v>0.65253939999999999</v>
      </c>
    </row>
    <row r="4615" spans="1:14" hidden="1" x14ac:dyDescent="0.35">
      <c r="A4615" s="52" t="s">
        <v>684</v>
      </c>
      <c r="B4615" s="52" t="s">
        <v>74</v>
      </c>
      <c r="C4615" s="52" t="s">
        <v>71</v>
      </c>
      <c r="D4615" s="52" t="s">
        <v>76</v>
      </c>
      <c r="E4615" s="52" t="s">
        <v>584</v>
      </c>
      <c r="F4615" s="52" t="s">
        <v>581</v>
      </c>
      <c r="G4615" s="55" t="s">
        <v>279</v>
      </c>
      <c r="H4615" s="55">
        <v>0.7903637</v>
      </c>
      <c r="I4615" s="55">
        <v>0.66888230000000004</v>
      </c>
      <c r="J4615" s="55">
        <v>0.67776159999999996</v>
      </c>
      <c r="K4615" s="55">
        <v>0.63980320000000002</v>
      </c>
      <c r="L4615" s="55"/>
      <c r="M4615" s="55"/>
      <c r="N4615" s="55">
        <v>0</v>
      </c>
    </row>
    <row r="4616" spans="1:14" hidden="1" x14ac:dyDescent="0.35">
      <c r="A4616" s="52" t="s">
        <v>684</v>
      </c>
      <c r="B4616" s="52" t="s">
        <v>74</v>
      </c>
      <c r="C4616" s="52" t="s">
        <v>71</v>
      </c>
      <c r="D4616" s="52" t="s">
        <v>236</v>
      </c>
      <c r="E4616" s="52" t="s">
        <v>584</v>
      </c>
      <c r="F4616" s="52" t="s">
        <v>581</v>
      </c>
      <c r="G4616" s="55" t="s">
        <v>275</v>
      </c>
      <c r="H4616" s="55">
        <v>-6.1355E-2</v>
      </c>
      <c r="I4616" s="55">
        <v>-8.3783999999999997E-2</v>
      </c>
      <c r="J4616" s="55">
        <v>0</v>
      </c>
      <c r="K4616" s="55">
        <v>0</v>
      </c>
      <c r="L4616" s="55">
        <v>0</v>
      </c>
      <c r="M4616" s="55">
        <v>0</v>
      </c>
      <c r="N4616" s="55">
        <v>0</v>
      </c>
    </row>
    <row r="4617" spans="1:14" hidden="1" x14ac:dyDescent="0.35">
      <c r="A4617" s="52" t="s">
        <v>684</v>
      </c>
      <c r="B4617" s="52" t="s">
        <v>74</v>
      </c>
      <c r="C4617" s="52" t="s">
        <v>71</v>
      </c>
      <c r="D4617" s="52" t="s">
        <v>236</v>
      </c>
      <c r="E4617" s="52" t="s">
        <v>584</v>
      </c>
      <c r="F4617" s="52" t="s">
        <v>581</v>
      </c>
      <c r="G4617" s="55" t="s">
        <v>276</v>
      </c>
      <c r="H4617" s="55">
        <v>-4.0904999999999997E-2</v>
      </c>
      <c r="I4617" s="55">
        <v>-5.5855000000000002E-2</v>
      </c>
      <c r="J4617" s="55">
        <v>-2.5633680000000001</v>
      </c>
      <c r="K4617" s="55">
        <v>-1.036521</v>
      </c>
      <c r="L4617" s="55">
        <v>-9.4523999999999997E-2</v>
      </c>
      <c r="M4617" s="55">
        <v>-9.4523999999999997E-2</v>
      </c>
      <c r="N4617" s="55">
        <v>-9.4523999999999997E-2</v>
      </c>
    </row>
    <row r="4618" spans="1:14" hidden="1" x14ac:dyDescent="0.35">
      <c r="A4618" s="52" t="s">
        <v>684</v>
      </c>
      <c r="B4618" s="52" t="s">
        <v>74</v>
      </c>
      <c r="C4618" s="52" t="s">
        <v>71</v>
      </c>
      <c r="D4618" s="52" t="s">
        <v>236</v>
      </c>
      <c r="E4618" s="52" t="s">
        <v>584</v>
      </c>
      <c r="F4618" s="52" t="s">
        <v>581</v>
      </c>
      <c r="G4618" s="55" t="s">
        <v>278</v>
      </c>
      <c r="H4618" s="55">
        <v>0.102261</v>
      </c>
      <c r="I4618" s="55">
        <v>0.13963800000000001</v>
      </c>
      <c r="J4618" s="55">
        <v>2.5633680000000001</v>
      </c>
      <c r="K4618" s="55">
        <v>1.0365219999999999</v>
      </c>
      <c r="L4618" s="55">
        <v>9.4523999999999997E-2</v>
      </c>
      <c r="M4618" s="55">
        <v>9.4523999999999997E-2</v>
      </c>
      <c r="N4618" s="55">
        <v>9.4523999999999997E-2</v>
      </c>
    </row>
    <row r="4619" spans="1:14" hidden="1" x14ac:dyDescent="0.35">
      <c r="A4619" s="52" t="s">
        <v>684</v>
      </c>
      <c r="B4619" s="52" t="s">
        <v>74</v>
      </c>
      <c r="C4619" s="52" t="s">
        <v>96</v>
      </c>
      <c r="D4619" s="52" t="s">
        <v>96</v>
      </c>
      <c r="E4619" s="52" t="s">
        <v>584</v>
      </c>
      <c r="F4619" s="52" t="s">
        <v>26</v>
      </c>
      <c r="G4619" s="55" t="s">
        <v>275</v>
      </c>
      <c r="H4619" s="55">
        <v>0</v>
      </c>
      <c r="I4619" s="55">
        <v>-36.54</v>
      </c>
      <c r="J4619" s="55">
        <v>-45.45</v>
      </c>
      <c r="K4619" s="55">
        <v>-8.91</v>
      </c>
      <c r="L4619" s="55">
        <v>0</v>
      </c>
      <c r="M4619" s="55"/>
      <c r="N4619" s="55"/>
    </row>
    <row r="4620" spans="1:14" hidden="1" x14ac:dyDescent="0.35">
      <c r="A4620" s="52" t="s">
        <v>684</v>
      </c>
      <c r="B4620" s="52" t="s">
        <v>74</v>
      </c>
      <c r="C4620" s="52" t="s">
        <v>96</v>
      </c>
      <c r="D4620" s="52" t="s">
        <v>96</v>
      </c>
      <c r="E4620" s="52" t="s">
        <v>584</v>
      </c>
      <c r="F4620" s="52" t="s">
        <v>26</v>
      </c>
      <c r="G4620" s="55" t="s">
        <v>276</v>
      </c>
      <c r="H4620" s="55">
        <v>0</v>
      </c>
      <c r="I4620" s="55">
        <v>-24.36</v>
      </c>
      <c r="J4620" s="55">
        <v>-30.3</v>
      </c>
      <c r="K4620" s="55">
        <v>-5.94</v>
      </c>
      <c r="L4620" s="55">
        <v>0</v>
      </c>
      <c r="M4620" s="55"/>
      <c r="N4620" s="55"/>
    </row>
    <row r="4621" spans="1:14" hidden="1" x14ac:dyDescent="0.35">
      <c r="A4621" s="52" t="s">
        <v>684</v>
      </c>
      <c r="B4621" s="52" t="s">
        <v>74</v>
      </c>
      <c r="C4621" s="52" t="s">
        <v>96</v>
      </c>
      <c r="D4621" s="52" t="s">
        <v>96</v>
      </c>
      <c r="E4621" s="52" t="s">
        <v>584</v>
      </c>
      <c r="F4621" s="52" t="s">
        <v>26</v>
      </c>
      <c r="G4621" s="55" t="s">
        <v>279</v>
      </c>
      <c r="H4621" s="55">
        <v>0</v>
      </c>
      <c r="I4621" s="55">
        <v>60.9</v>
      </c>
      <c r="J4621" s="55">
        <v>75.75</v>
      </c>
      <c r="K4621" s="55">
        <v>14.85</v>
      </c>
      <c r="L4621" s="55">
        <v>0</v>
      </c>
      <c r="M4621" s="55"/>
      <c r="N4621" s="55"/>
    </row>
    <row r="4622" spans="1:14" hidden="1" x14ac:dyDescent="0.35">
      <c r="A4622" s="52" t="s">
        <v>684</v>
      </c>
      <c r="B4622" s="52" t="s">
        <v>844</v>
      </c>
      <c r="C4622" s="52" t="s">
        <v>845</v>
      </c>
      <c r="D4622" s="52" t="s">
        <v>845</v>
      </c>
      <c r="E4622" s="52" t="s">
        <v>584</v>
      </c>
      <c r="F4622" s="52" t="s">
        <v>581</v>
      </c>
      <c r="G4622" s="55" t="s">
        <v>275</v>
      </c>
      <c r="H4622" s="55">
        <v>-0.32758759999999998</v>
      </c>
      <c r="I4622" s="55">
        <v>-0.32758710000000002</v>
      </c>
      <c r="J4622" s="55">
        <v>0</v>
      </c>
      <c r="K4622" s="55">
        <v>0</v>
      </c>
      <c r="L4622" s="55">
        <v>0</v>
      </c>
      <c r="M4622" s="55">
        <v>0</v>
      </c>
      <c r="N4622" s="55">
        <v>0</v>
      </c>
    </row>
    <row r="4623" spans="1:14" hidden="1" x14ac:dyDescent="0.35">
      <c r="A4623" s="52" t="s">
        <v>684</v>
      </c>
      <c r="B4623" s="52" t="s">
        <v>844</v>
      </c>
      <c r="C4623" s="52" t="s">
        <v>845</v>
      </c>
      <c r="D4623" s="52" t="s">
        <v>845</v>
      </c>
      <c r="E4623" s="52" t="s">
        <v>584</v>
      </c>
      <c r="F4623" s="52" t="s">
        <v>581</v>
      </c>
      <c r="G4623" s="55" t="s">
        <v>276</v>
      </c>
      <c r="H4623" s="55">
        <v>-0.1763932</v>
      </c>
      <c r="I4623" s="55">
        <v>-0.1763932</v>
      </c>
      <c r="J4623" s="55">
        <v>-33.388089999999998</v>
      </c>
      <c r="K4623" s="55">
        <v>-0.12249699999999999</v>
      </c>
      <c r="L4623" s="55">
        <v>-0.1881227</v>
      </c>
      <c r="M4623" s="55">
        <v>-0.1881225</v>
      </c>
      <c r="N4623" s="55">
        <v>-0.77874679999999996</v>
      </c>
    </row>
    <row r="4624" spans="1:14" hidden="1" x14ac:dyDescent="0.35">
      <c r="A4624" s="52" t="s">
        <v>684</v>
      </c>
      <c r="B4624" s="52" t="s">
        <v>844</v>
      </c>
      <c r="C4624" s="52" t="s">
        <v>845</v>
      </c>
      <c r="D4624" s="52" t="s">
        <v>845</v>
      </c>
      <c r="E4624" s="52" t="s">
        <v>584</v>
      </c>
      <c r="F4624" s="52" t="s">
        <v>581</v>
      </c>
      <c r="G4624" s="55" t="s">
        <v>277</v>
      </c>
      <c r="H4624" s="55"/>
      <c r="I4624" s="55"/>
      <c r="J4624" s="55"/>
      <c r="K4624" s="55">
        <v>0</v>
      </c>
      <c r="L4624" s="55">
        <v>6.562519E-2</v>
      </c>
      <c r="M4624" s="55">
        <v>6.5624619999999995E-2</v>
      </c>
      <c r="N4624" s="55">
        <v>0.65624899999999997</v>
      </c>
    </row>
    <row r="4625" spans="1:14" hidden="1" x14ac:dyDescent="0.35">
      <c r="A4625" s="52" t="s">
        <v>684</v>
      </c>
      <c r="B4625" s="52" t="s">
        <v>844</v>
      </c>
      <c r="C4625" s="52" t="s">
        <v>845</v>
      </c>
      <c r="D4625" s="52" t="s">
        <v>845</v>
      </c>
      <c r="E4625" s="52" t="s">
        <v>584</v>
      </c>
      <c r="F4625" s="52" t="s">
        <v>581</v>
      </c>
      <c r="G4625" s="55" t="s">
        <v>278</v>
      </c>
      <c r="H4625" s="55">
        <v>0.50398030000000005</v>
      </c>
      <c r="I4625" s="55">
        <v>0.50398030000000005</v>
      </c>
      <c r="J4625" s="55">
        <v>33.388100000000001</v>
      </c>
      <c r="K4625" s="55">
        <v>0.12249790000000001</v>
      </c>
      <c r="L4625" s="55">
        <v>0.12249790000000001</v>
      </c>
      <c r="M4625" s="55">
        <v>0.12249790000000001</v>
      </c>
      <c r="N4625" s="55">
        <v>0.12249790000000001</v>
      </c>
    </row>
    <row r="4626" spans="1:14" hidden="1" x14ac:dyDescent="0.35">
      <c r="A4626" s="52" t="s">
        <v>684</v>
      </c>
      <c r="B4626" s="52" t="s">
        <v>844</v>
      </c>
      <c r="C4626" s="52" t="s">
        <v>845</v>
      </c>
      <c r="D4626" s="52" t="s">
        <v>845</v>
      </c>
      <c r="E4626" s="52" t="s">
        <v>584</v>
      </c>
      <c r="F4626" s="52" t="s">
        <v>581</v>
      </c>
      <c r="G4626" s="55" t="s">
        <v>279</v>
      </c>
      <c r="H4626" s="55"/>
      <c r="I4626" s="55"/>
      <c r="J4626" s="55"/>
      <c r="K4626" s="55"/>
      <c r="L4626" s="55"/>
      <c r="M4626" s="55"/>
      <c r="N4626" s="55">
        <v>0</v>
      </c>
    </row>
    <row r="4627" spans="1:14" hidden="1" x14ac:dyDescent="0.35">
      <c r="A4627" s="52" t="s">
        <v>684</v>
      </c>
      <c r="B4627" s="52" t="s">
        <v>844</v>
      </c>
      <c r="C4627" s="52" t="s">
        <v>845</v>
      </c>
      <c r="D4627" s="52" t="s">
        <v>845</v>
      </c>
      <c r="E4627" s="52" t="s">
        <v>584</v>
      </c>
      <c r="F4627" s="52" t="s">
        <v>26</v>
      </c>
      <c r="G4627" s="55" t="s">
        <v>275</v>
      </c>
      <c r="H4627" s="55"/>
      <c r="I4627" s="55"/>
      <c r="J4627" s="55"/>
      <c r="K4627" s="55"/>
      <c r="L4627" s="55"/>
      <c r="M4627" s="55"/>
      <c r="N4627" s="55">
        <v>0</v>
      </c>
    </row>
    <row r="4628" spans="1:14" hidden="1" x14ac:dyDescent="0.35">
      <c r="A4628" s="52" t="s">
        <v>684</v>
      </c>
      <c r="B4628" s="52" t="s">
        <v>844</v>
      </c>
      <c r="C4628" s="52" t="s">
        <v>845</v>
      </c>
      <c r="D4628" s="52" t="s">
        <v>845</v>
      </c>
      <c r="E4628" s="52" t="s">
        <v>584</v>
      </c>
      <c r="F4628" s="52" t="s">
        <v>26</v>
      </c>
      <c r="G4628" s="55" t="s">
        <v>276</v>
      </c>
      <c r="H4628" s="55"/>
      <c r="I4628" s="55"/>
      <c r="J4628" s="55"/>
      <c r="K4628" s="55"/>
      <c r="L4628" s="55"/>
      <c r="M4628" s="55"/>
      <c r="N4628" s="55">
        <v>0</v>
      </c>
    </row>
    <row r="4629" spans="1:14" hidden="1" x14ac:dyDescent="0.35">
      <c r="A4629" s="52" t="s">
        <v>684</v>
      </c>
      <c r="B4629" s="52" t="s">
        <v>844</v>
      </c>
      <c r="C4629" s="52" t="s">
        <v>845</v>
      </c>
      <c r="D4629" s="52" t="s">
        <v>845</v>
      </c>
      <c r="E4629" s="52" t="s">
        <v>584</v>
      </c>
      <c r="F4629" s="52" t="s">
        <v>26</v>
      </c>
      <c r="G4629" s="55" t="s">
        <v>279</v>
      </c>
      <c r="H4629" s="55"/>
      <c r="I4629" s="55"/>
      <c r="J4629" s="55"/>
      <c r="K4629" s="55"/>
      <c r="L4629" s="55"/>
      <c r="M4629" s="55"/>
      <c r="N4629" s="55">
        <v>0</v>
      </c>
    </row>
    <row r="4630" spans="1:14" hidden="1" x14ac:dyDescent="0.35">
      <c r="A4630" s="52" t="s">
        <v>684</v>
      </c>
      <c r="B4630" s="52" t="s">
        <v>288</v>
      </c>
      <c r="C4630" s="52" t="s">
        <v>244</v>
      </c>
      <c r="D4630" s="52" t="s">
        <v>244</v>
      </c>
      <c r="E4630" s="52" t="s">
        <v>584</v>
      </c>
      <c r="F4630" s="52" t="s">
        <v>581</v>
      </c>
      <c r="G4630" s="55" t="s">
        <v>275</v>
      </c>
      <c r="H4630" s="55"/>
      <c r="I4630" s="55"/>
      <c r="J4630" s="55"/>
      <c r="K4630" s="55"/>
      <c r="L4630" s="55"/>
      <c r="M4630" s="55">
        <v>0</v>
      </c>
      <c r="N4630" s="55">
        <v>-0.41697600000000001</v>
      </c>
    </row>
    <row r="4631" spans="1:14" hidden="1" x14ac:dyDescent="0.35">
      <c r="A4631" s="52" t="s">
        <v>684</v>
      </c>
      <c r="B4631" s="52" t="s">
        <v>288</v>
      </c>
      <c r="C4631" s="52" t="s">
        <v>244</v>
      </c>
      <c r="D4631" s="52" t="s">
        <v>244</v>
      </c>
      <c r="E4631" s="52" t="s">
        <v>584</v>
      </c>
      <c r="F4631" s="52" t="s">
        <v>581</v>
      </c>
      <c r="G4631" s="55" t="s">
        <v>277</v>
      </c>
      <c r="H4631" s="55"/>
      <c r="I4631" s="55"/>
      <c r="J4631" s="55"/>
      <c r="K4631" s="55"/>
      <c r="L4631" s="55"/>
      <c r="M4631" s="55">
        <v>0</v>
      </c>
      <c r="N4631" s="55">
        <v>0.21863550000000001</v>
      </c>
    </row>
    <row r="4632" spans="1:14" hidden="1" x14ac:dyDescent="0.35">
      <c r="A4632" s="52" t="s">
        <v>684</v>
      </c>
      <c r="B4632" s="52" t="s">
        <v>288</v>
      </c>
      <c r="C4632" s="52" t="s">
        <v>244</v>
      </c>
      <c r="D4632" s="52" t="s">
        <v>244</v>
      </c>
      <c r="E4632" s="52" t="s">
        <v>584</v>
      </c>
      <c r="F4632" s="52" t="s">
        <v>581</v>
      </c>
      <c r="G4632" s="55" t="s">
        <v>279</v>
      </c>
      <c r="H4632" s="55"/>
      <c r="I4632" s="55"/>
      <c r="J4632" s="55"/>
      <c r="K4632" s="55"/>
      <c r="L4632" s="55"/>
      <c r="M4632" s="55">
        <v>0</v>
      </c>
      <c r="N4632" s="55">
        <v>0.19833990000000001</v>
      </c>
    </row>
    <row r="4633" spans="1:14" hidden="1" x14ac:dyDescent="0.35">
      <c r="A4633" s="52" t="s">
        <v>684</v>
      </c>
      <c r="B4633" s="52" t="s">
        <v>288</v>
      </c>
      <c r="C4633" s="52" t="s">
        <v>244</v>
      </c>
      <c r="D4633" s="52" t="s">
        <v>244</v>
      </c>
      <c r="E4633" s="52" t="s">
        <v>584</v>
      </c>
      <c r="F4633" s="52" t="s">
        <v>26</v>
      </c>
      <c r="G4633" s="55" t="s">
        <v>275</v>
      </c>
      <c r="H4633" s="55">
        <v>-0.1143927</v>
      </c>
      <c r="I4633" s="55">
        <v>-0.1143927</v>
      </c>
      <c r="J4633" s="55">
        <v>-5.7951889999999999E-2</v>
      </c>
      <c r="K4633" s="55">
        <v>-15.93393</v>
      </c>
      <c r="L4633" s="55">
        <v>-0.50795190000000001</v>
      </c>
      <c r="M4633" s="55">
        <v>-11.955439999999999</v>
      </c>
      <c r="N4633" s="55">
        <v>-11.345940000000001</v>
      </c>
    </row>
    <row r="4634" spans="1:14" hidden="1" x14ac:dyDescent="0.35">
      <c r="A4634" s="52" t="s">
        <v>684</v>
      </c>
      <c r="B4634" s="52" t="s">
        <v>288</v>
      </c>
      <c r="C4634" s="52" t="s">
        <v>244</v>
      </c>
      <c r="D4634" s="52" t="s">
        <v>244</v>
      </c>
      <c r="E4634" s="52" t="s">
        <v>584</v>
      </c>
      <c r="F4634" s="52" t="s">
        <v>26</v>
      </c>
      <c r="G4634" s="55" t="s">
        <v>276</v>
      </c>
      <c r="H4634" s="55"/>
      <c r="I4634" s="55"/>
      <c r="J4634" s="55">
        <v>-0.89621419999999996</v>
      </c>
      <c r="K4634" s="55">
        <v>-5.62227E-2</v>
      </c>
      <c r="L4634" s="55">
        <v>-5.6222710000000002E-2</v>
      </c>
      <c r="M4634" s="55">
        <v>-5.7347710000000003E-2</v>
      </c>
      <c r="N4634" s="55">
        <v>-5.7347710000000003E-2</v>
      </c>
    </row>
    <row r="4635" spans="1:14" hidden="1" x14ac:dyDescent="0.35">
      <c r="A4635" s="52" t="s">
        <v>684</v>
      </c>
      <c r="B4635" s="52" t="s">
        <v>288</v>
      </c>
      <c r="C4635" s="52" t="s">
        <v>244</v>
      </c>
      <c r="D4635" s="52" t="s">
        <v>244</v>
      </c>
      <c r="E4635" s="52" t="s">
        <v>584</v>
      </c>
      <c r="F4635" s="52" t="s">
        <v>26</v>
      </c>
      <c r="G4635" s="55" t="s">
        <v>277</v>
      </c>
      <c r="H4635" s="55"/>
      <c r="I4635" s="55"/>
      <c r="J4635" s="55">
        <v>0</v>
      </c>
      <c r="K4635" s="55">
        <v>0.45</v>
      </c>
      <c r="L4635" s="55">
        <v>0.45</v>
      </c>
      <c r="M4635" s="55">
        <v>11.898619999999999</v>
      </c>
      <c r="N4635" s="55">
        <v>9.3466100000000001</v>
      </c>
    </row>
    <row r="4636" spans="1:14" hidden="1" x14ac:dyDescent="0.35">
      <c r="A4636" s="52" t="s">
        <v>684</v>
      </c>
      <c r="B4636" s="52" t="s">
        <v>288</v>
      </c>
      <c r="C4636" s="52" t="s">
        <v>244</v>
      </c>
      <c r="D4636" s="52" t="s">
        <v>244</v>
      </c>
      <c r="E4636" s="52" t="s">
        <v>584</v>
      </c>
      <c r="F4636" s="52" t="s">
        <v>26</v>
      </c>
      <c r="G4636" s="55" t="s">
        <v>278</v>
      </c>
      <c r="H4636" s="55">
        <v>0.1143927</v>
      </c>
      <c r="I4636" s="55">
        <v>0.1143927</v>
      </c>
      <c r="J4636" s="55">
        <v>0.95416590000000001</v>
      </c>
      <c r="K4636" s="55">
        <v>15.540150000000001</v>
      </c>
      <c r="L4636" s="55">
        <v>0.1141746</v>
      </c>
      <c r="M4636" s="55">
        <v>0.1141746</v>
      </c>
      <c r="N4636" s="55">
        <v>0.1141746</v>
      </c>
    </row>
    <row r="4637" spans="1:14" hidden="1" x14ac:dyDescent="0.35">
      <c r="A4637" s="52" t="s">
        <v>684</v>
      </c>
      <c r="B4637" s="52" t="s">
        <v>288</v>
      </c>
      <c r="C4637" s="52" t="s">
        <v>244</v>
      </c>
      <c r="D4637" s="52" t="s">
        <v>244</v>
      </c>
      <c r="E4637" s="52" t="s">
        <v>584</v>
      </c>
      <c r="F4637" s="52" t="s">
        <v>26</v>
      </c>
      <c r="G4637" s="55" t="s">
        <v>279</v>
      </c>
      <c r="H4637" s="55"/>
      <c r="I4637" s="55"/>
      <c r="J4637" s="55"/>
      <c r="K4637" s="55"/>
      <c r="L4637" s="55"/>
      <c r="M4637" s="55">
        <v>0</v>
      </c>
      <c r="N4637" s="55">
        <v>1.9424999999999999</v>
      </c>
    </row>
    <row r="4638" spans="1:14" hidden="1" x14ac:dyDescent="0.35">
      <c r="A4638" s="52" t="s">
        <v>684</v>
      </c>
      <c r="B4638" s="52" t="s">
        <v>37</v>
      </c>
      <c r="C4638" s="52" t="s">
        <v>61</v>
      </c>
      <c r="D4638" s="52" t="s">
        <v>62</v>
      </c>
      <c r="E4638" s="52" t="s">
        <v>584</v>
      </c>
      <c r="F4638" s="52" t="s">
        <v>581</v>
      </c>
      <c r="G4638" s="55" t="s">
        <v>275</v>
      </c>
      <c r="H4638" s="55">
        <v>-6.3550999999999996E-2</v>
      </c>
      <c r="I4638" s="55">
        <v>-6.3550990000000002E-2</v>
      </c>
      <c r="J4638" s="55">
        <v>0</v>
      </c>
      <c r="K4638" s="55">
        <v>0</v>
      </c>
      <c r="L4638" s="55">
        <v>0</v>
      </c>
      <c r="M4638" s="55">
        <v>0</v>
      </c>
      <c r="N4638" s="55">
        <v>0</v>
      </c>
    </row>
    <row r="4639" spans="1:14" hidden="1" x14ac:dyDescent="0.35">
      <c r="A4639" s="52" t="s">
        <v>684</v>
      </c>
      <c r="B4639" s="52" t="s">
        <v>37</v>
      </c>
      <c r="C4639" s="52" t="s">
        <v>61</v>
      </c>
      <c r="D4639" s="52" t="s">
        <v>62</v>
      </c>
      <c r="E4639" s="52" t="s">
        <v>584</v>
      </c>
      <c r="F4639" s="52" t="s">
        <v>581</v>
      </c>
      <c r="G4639" s="55" t="s">
        <v>276</v>
      </c>
      <c r="H4639" s="55">
        <v>-1.6892999999999998E-2</v>
      </c>
      <c r="I4639" s="55">
        <v>-1.6892999999999998E-2</v>
      </c>
      <c r="J4639" s="55">
        <v>-8.0444000000000002E-2</v>
      </c>
      <c r="K4639" s="55">
        <v>-8.0443000000000001E-2</v>
      </c>
      <c r="L4639" s="55">
        <v>-8.0444000000000002E-2</v>
      </c>
      <c r="M4639" s="55">
        <v>-8.0444000000000002E-2</v>
      </c>
      <c r="N4639" s="55">
        <v>-8.0444000000000002E-2</v>
      </c>
    </row>
    <row r="4640" spans="1:14" hidden="1" x14ac:dyDescent="0.35">
      <c r="A4640" s="52" t="s">
        <v>684</v>
      </c>
      <c r="B4640" s="52" t="s">
        <v>37</v>
      </c>
      <c r="C4640" s="52" t="s">
        <v>61</v>
      </c>
      <c r="D4640" s="52" t="s">
        <v>62</v>
      </c>
      <c r="E4640" s="52" t="s">
        <v>584</v>
      </c>
      <c r="F4640" s="52" t="s">
        <v>581</v>
      </c>
      <c r="G4640" s="55" t="s">
        <v>278</v>
      </c>
      <c r="H4640" s="55">
        <v>8.0444000000000002E-2</v>
      </c>
      <c r="I4640" s="55">
        <v>8.0444000000000002E-2</v>
      </c>
      <c r="J4640" s="55">
        <v>8.0444000000000002E-2</v>
      </c>
      <c r="K4640" s="55">
        <v>8.0444000000000002E-2</v>
      </c>
      <c r="L4640" s="55">
        <v>8.0444000000000002E-2</v>
      </c>
      <c r="M4640" s="55">
        <v>8.0444000000000002E-2</v>
      </c>
      <c r="N4640" s="55">
        <v>8.0444000000000002E-2</v>
      </c>
    </row>
    <row r="4641" spans="1:14" hidden="1" x14ac:dyDescent="0.35">
      <c r="A4641" s="52" t="s">
        <v>684</v>
      </c>
      <c r="B4641" s="52" t="s">
        <v>37</v>
      </c>
      <c r="C4641" s="52" t="s">
        <v>109</v>
      </c>
      <c r="D4641" s="52" t="s">
        <v>109</v>
      </c>
      <c r="E4641" s="52" t="s">
        <v>584</v>
      </c>
      <c r="F4641" s="52" t="s">
        <v>581</v>
      </c>
      <c r="G4641" s="55" t="s">
        <v>275</v>
      </c>
      <c r="H4641" s="55">
        <v>-159.1412</v>
      </c>
      <c r="I4641" s="55">
        <v>-9.1763569999999994</v>
      </c>
      <c r="J4641" s="55">
        <v>2.1437059999999999</v>
      </c>
      <c r="K4641" s="55">
        <v>3.2650730000000001</v>
      </c>
      <c r="L4641" s="55">
        <v>5.04793</v>
      </c>
      <c r="M4641" s="55">
        <v>0.2617565</v>
      </c>
      <c r="N4641" s="55">
        <v>-4.0892400000000002E-2</v>
      </c>
    </row>
    <row r="4642" spans="1:14" hidden="1" x14ac:dyDescent="0.35">
      <c r="A4642" s="52" t="s">
        <v>684</v>
      </c>
      <c r="B4642" s="52" t="s">
        <v>37</v>
      </c>
      <c r="C4642" s="52" t="s">
        <v>109</v>
      </c>
      <c r="D4642" s="52" t="s">
        <v>109</v>
      </c>
      <c r="E4642" s="52" t="s">
        <v>584</v>
      </c>
      <c r="F4642" s="52" t="s">
        <v>581</v>
      </c>
      <c r="G4642" s="55" t="s">
        <v>276</v>
      </c>
      <c r="H4642" s="55">
        <v>-7.8995059999999997</v>
      </c>
      <c r="I4642" s="55">
        <v>-6.9989679999999996</v>
      </c>
      <c r="J4642" s="55">
        <v>-2.6598480000000002</v>
      </c>
      <c r="K4642" s="55">
        <v>-3.5937169999999998</v>
      </c>
      <c r="L4642" s="55">
        <v>-5.3171059999999999</v>
      </c>
      <c r="M4642" s="55">
        <v>-0.53093299999999999</v>
      </c>
      <c r="N4642" s="55">
        <v>-0.1190001</v>
      </c>
    </row>
    <row r="4643" spans="1:14" hidden="1" x14ac:dyDescent="0.35">
      <c r="A4643" s="52" t="s">
        <v>684</v>
      </c>
      <c r="B4643" s="52" t="s">
        <v>37</v>
      </c>
      <c r="C4643" s="52" t="s">
        <v>109</v>
      </c>
      <c r="D4643" s="52" t="s">
        <v>109</v>
      </c>
      <c r="E4643" s="52" t="s">
        <v>584</v>
      </c>
      <c r="F4643" s="52" t="s">
        <v>581</v>
      </c>
      <c r="G4643" s="55" t="s">
        <v>277</v>
      </c>
      <c r="H4643" s="55"/>
      <c r="I4643" s="55">
        <v>0</v>
      </c>
      <c r="J4643" s="55">
        <v>0.35625000000000001</v>
      </c>
      <c r="K4643" s="55">
        <v>0.16875000000000001</v>
      </c>
      <c r="L4643" s="55">
        <v>0.10928400000000001</v>
      </c>
      <c r="M4643" s="55">
        <v>0.10928400000000001</v>
      </c>
      <c r="N4643" s="55">
        <v>0</v>
      </c>
    </row>
    <row r="4644" spans="1:14" hidden="1" x14ac:dyDescent="0.35">
      <c r="A4644" s="52" t="s">
        <v>684</v>
      </c>
      <c r="B4644" s="52" t="s">
        <v>37</v>
      </c>
      <c r="C4644" s="52" t="s">
        <v>109</v>
      </c>
      <c r="D4644" s="52" t="s">
        <v>109</v>
      </c>
      <c r="E4644" s="52" t="s">
        <v>584</v>
      </c>
      <c r="F4644" s="52" t="s">
        <v>581</v>
      </c>
      <c r="G4644" s="55" t="s">
        <v>278</v>
      </c>
      <c r="H4644" s="55">
        <v>167.04069999999999</v>
      </c>
      <c r="I4644" s="55">
        <v>16.175329999999999</v>
      </c>
      <c r="J4644" s="55">
        <v>0.15989249999999999</v>
      </c>
      <c r="K4644" s="55">
        <v>0.15989249999999999</v>
      </c>
      <c r="L4644" s="55">
        <v>0.15989249999999999</v>
      </c>
      <c r="M4644" s="55">
        <v>0.15989249999999999</v>
      </c>
      <c r="N4644" s="55">
        <v>0.15989249999999999</v>
      </c>
    </row>
    <row r="4645" spans="1:14" hidden="1" x14ac:dyDescent="0.35">
      <c r="A4645" s="52" t="s">
        <v>684</v>
      </c>
      <c r="B4645" s="52" t="s">
        <v>37</v>
      </c>
      <c r="C4645" s="52" t="s">
        <v>109</v>
      </c>
      <c r="D4645" s="52" t="s">
        <v>109</v>
      </c>
      <c r="E4645" s="52" t="s">
        <v>584</v>
      </c>
      <c r="F4645" s="52" t="s">
        <v>26</v>
      </c>
      <c r="G4645" s="55" t="s">
        <v>275</v>
      </c>
      <c r="H4645" s="55">
        <v>0</v>
      </c>
      <c r="I4645" s="55"/>
      <c r="J4645" s="55"/>
      <c r="K4645" s="55"/>
      <c r="L4645" s="55"/>
      <c r="M4645" s="55">
        <v>0</v>
      </c>
      <c r="N4645" s="55"/>
    </row>
    <row r="4646" spans="1:14" hidden="1" x14ac:dyDescent="0.35">
      <c r="A4646" s="52" t="s">
        <v>684</v>
      </c>
      <c r="B4646" s="52" t="s">
        <v>37</v>
      </c>
      <c r="C4646" s="52" t="s">
        <v>109</v>
      </c>
      <c r="D4646" s="52" t="s">
        <v>109</v>
      </c>
      <c r="E4646" s="52" t="s">
        <v>584</v>
      </c>
      <c r="F4646" s="52" t="s">
        <v>26</v>
      </c>
      <c r="G4646" s="55" t="s">
        <v>276</v>
      </c>
      <c r="H4646" s="55"/>
      <c r="I4646" s="55"/>
      <c r="J4646" s="55"/>
      <c r="K4646" s="55"/>
      <c r="L4646" s="55"/>
      <c r="M4646" s="55">
        <v>0</v>
      </c>
      <c r="N4646" s="55"/>
    </row>
    <row r="4647" spans="1:14" hidden="1" x14ac:dyDescent="0.35">
      <c r="A4647" s="52" t="s">
        <v>684</v>
      </c>
      <c r="B4647" s="52" t="s">
        <v>37</v>
      </c>
      <c r="C4647" s="52" t="s">
        <v>109</v>
      </c>
      <c r="D4647" s="52" t="s">
        <v>109</v>
      </c>
      <c r="E4647" s="52" t="s">
        <v>584</v>
      </c>
      <c r="F4647" s="52" t="s">
        <v>26</v>
      </c>
      <c r="G4647" s="55" t="s">
        <v>277</v>
      </c>
      <c r="H4647" s="55"/>
      <c r="I4647" s="55"/>
      <c r="J4647" s="55"/>
      <c r="K4647" s="55">
        <v>0</v>
      </c>
      <c r="L4647" s="55"/>
      <c r="M4647" s="55"/>
      <c r="N4647" s="55">
        <v>0</v>
      </c>
    </row>
    <row r="4648" spans="1:14" hidden="1" x14ac:dyDescent="0.35">
      <c r="A4648" s="52" t="s">
        <v>684</v>
      </c>
      <c r="B4648" s="52" t="s">
        <v>37</v>
      </c>
      <c r="C4648" s="52" t="s">
        <v>109</v>
      </c>
      <c r="D4648" s="52" t="s">
        <v>109</v>
      </c>
      <c r="E4648" s="52" t="s">
        <v>584</v>
      </c>
      <c r="F4648" s="52" t="s">
        <v>26</v>
      </c>
      <c r="G4648" s="55" t="s">
        <v>278</v>
      </c>
      <c r="H4648" s="55"/>
      <c r="I4648" s="55">
        <v>0</v>
      </c>
      <c r="J4648" s="55"/>
      <c r="K4648" s="55"/>
      <c r="L4648" s="55"/>
      <c r="M4648" s="55"/>
      <c r="N4648" s="55"/>
    </row>
    <row r="4649" spans="1:14" hidden="1" x14ac:dyDescent="0.35">
      <c r="A4649" s="52" t="s">
        <v>684</v>
      </c>
      <c r="B4649" s="52" t="s">
        <v>34</v>
      </c>
      <c r="C4649" s="52" t="s">
        <v>304</v>
      </c>
      <c r="D4649" s="52" t="s">
        <v>304</v>
      </c>
      <c r="E4649" s="52" t="s">
        <v>584</v>
      </c>
      <c r="F4649" s="52" t="s">
        <v>581</v>
      </c>
      <c r="G4649" s="55" t="s">
        <v>275</v>
      </c>
      <c r="H4649" s="55">
        <v>-0.16528200000000001</v>
      </c>
      <c r="I4649" s="55">
        <v>-0.16528200000000001</v>
      </c>
      <c r="J4649" s="55">
        <v>0</v>
      </c>
      <c r="K4649" s="55">
        <v>0</v>
      </c>
      <c r="L4649" s="55">
        <v>0</v>
      </c>
      <c r="M4649" s="55">
        <v>0</v>
      </c>
      <c r="N4649" s="55">
        <v>0</v>
      </c>
    </row>
    <row r="4650" spans="1:14" hidden="1" x14ac:dyDescent="0.35">
      <c r="A4650" s="52" t="s">
        <v>684</v>
      </c>
      <c r="B4650" s="52" t="s">
        <v>34</v>
      </c>
      <c r="C4650" s="52" t="s">
        <v>304</v>
      </c>
      <c r="D4650" s="52" t="s">
        <v>304</v>
      </c>
      <c r="E4650" s="52" t="s">
        <v>584</v>
      </c>
      <c r="F4650" s="52" t="s">
        <v>581</v>
      </c>
      <c r="G4650" s="55" t="s">
        <v>276</v>
      </c>
      <c r="H4650" s="55"/>
      <c r="I4650" s="55"/>
      <c r="J4650" s="55">
        <v>-0.16528200000000001</v>
      </c>
      <c r="K4650" s="55">
        <v>-0.16528200000000001</v>
      </c>
      <c r="L4650" s="55">
        <v>-0.16528200000000001</v>
      </c>
      <c r="M4650" s="55">
        <v>-0.16528200000000001</v>
      </c>
      <c r="N4650" s="55">
        <v>-0.16528200000000001</v>
      </c>
    </row>
    <row r="4651" spans="1:14" hidden="1" x14ac:dyDescent="0.35">
      <c r="A4651" s="52" t="s">
        <v>684</v>
      </c>
      <c r="B4651" s="52" t="s">
        <v>34</v>
      </c>
      <c r="C4651" s="52" t="s">
        <v>304</v>
      </c>
      <c r="D4651" s="52" t="s">
        <v>304</v>
      </c>
      <c r="E4651" s="52" t="s">
        <v>584</v>
      </c>
      <c r="F4651" s="52" t="s">
        <v>581</v>
      </c>
      <c r="G4651" s="55" t="s">
        <v>278</v>
      </c>
      <c r="H4651" s="55">
        <v>0.16528200000000001</v>
      </c>
      <c r="I4651" s="55">
        <v>0.16528200000000001</v>
      </c>
      <c r="J4651" s="55">
        <v>0.16528200000000001</v>
      </c>
      <c r="K4651" s="55">
        <v>0.16528200000000001</v>
      </c>
      <c r="L4651" s="55">
        <v>0.16528200000000001</v>
      </c>
      <c r="M4651" s="55">
        <v>0.16528200000000001</v>
      </c>
      <c r="N4651" s="55">
        <v>0.16528200000000001</v>
      </c>
    </row>
    <row r="4652" spans="1:14" hidden="1" x14ac:dyDescent="0.35">
      <c r="A4652" s="52" t="s">
        <v>645</v>
      </c>
      <c r="B4652" s="52" t="s">
        <v>37</v>
      </c>
      <c r="C4652" s="52" t="s">
        <v>63</v>
      </c>
      <c r="D4652" s="52" t="s">
        <v>63</v>
      </c>
      <c r="E4652" s="52" t="s">
        <v>621</v>
      </c>
      <c r="F4652" s="52" t="s">
        <v>26</v>
      </c>
      <c r="G4652" s="55" t="s">
        <v>275</v>
      </c>
      <c r="H4652" s="55">
        <v>188.14410000000001</v>
      </c>
      <c r="I4652" s="55">
        <v>445.26819999999998</v>
      </c>
      <c r="J4652" s="55">
        <v>580.79319999999996</v>
      </c>
      <c r="K4652" s="55">
        <v>650.35170000000005</v>
      </c>
      <c r="L4652" s="55">
        <v>607.03340000000003</v>
      </c>
      <c r="M4652" s="55">
        <v>569.43910000000005</v>
      </c>
      <c r="N4652" s="55">
        <v>549.86569999999995</v>
      </c>
    </row>
    <row r="4653" spans="1:14" hidden="1" x14ac:dyDescent="0.35">
      <c r="A4653" s="52" t="s">
        <v>645</v>
      </c>
      <c r="B4653" s="52" t="s">
        <v>37</v>
      </c>
      <c r="C4653" s="52" t="s">
        <v>63</v>
      </c>
      <c r="D4653" s="52" t="s">
        <v>63</v>
      </c>
      <c r="E4653" s="52" t="s">
        <v>621</v>
      </c>
      <c r="F4653" s="52" t="s">
        <v>26</v>
      </c>
      <c r="G4653" s="55" t="s">
        <v>276</v>
      </c>
      <c r="H4653" s="55">
        <v>128.38380000000001</v>
      </c>
      <c r="I4653" s="55">
        <v>79.740099999999998</v>
      </c>
      <c r="J4653" s="55">
        <v>148.19980000000001</v>
      </c>
      <c r="K4653" s="55">
        <v>160.29220000000001</v>
      </c>
      <c r="L4653" s="55">
        <v>144.5779</v>
      </c>
      <c r="M4653" s="55">
        <v>140.5812</v>
      </c>
      <c r="N4653" s="55">
        <v>177.89490000000001</v>
      </c>
    </row>
    <row r="4654" spans="1:14" hidden="1" x14ac:dyDescent="0.35">
      <c r="A4654" s="52" t="s">
        <v>645</v>
      </c>
      <c r="B4654" s="52" t="s">
        <v>37</v>
      </c>
      <c r="C4654" s="52" t="s">
        <v>63</v>
      </c>
      <c r="D4654" s="52" t="s">
        <v>63</v>
      </c>
      <c r="E4654" s="52" t="s">
        <v>621</v>
      </c>
      <c r="F4654" s="52" t="s">
        <v>26</v>
      </c>
      <c r="G4654" s="55" t="s">
        <v>277</v>
      </c>
      <c r="H4654" s="55">
        <v>761.32600000000002</v>
      </c>
      <c r="I4654" s="55">
        <v>284.68790000000001</v>
      </c>
      <c r="J4654" s="55">
        <v>226.28049999999999</v>
      </c>
      <c r="K4654" s="55">
        <v>149.63499999999999</v>
      </c>
      <c r="L4654" s="55">
        <v>144.34889999999999</v>
      </c>
      <c r="M4654" s="55">
        <v>147.51750000000001</v>
      </c>
      <c r="N4654" s="55">
        <v>169.12719999999999</v>
      </c>
    </row>
    <row r="4655" spans="1:14" hidden="1" x14ac:dyDescent="0.35">
      <c r="A4655" s="52" t="s">
        <v>645</v>
      </c>
      <c r="B4655" s="52" t="s">
        <v>37</v>
      </c>
      <c r="C4655" s="52" t="s">
        <v>63</v>
      </c>
      <c r="D4655" s="52" t="s">
        <v>63</v>
      </c>
      <c r="E4655" s="52" t="s">
        <v>621</v>
      </c>
      <c r="F4655" s="52" t="s">
        <v>26</v>
      </c>
      <c r="G4655" s="55" t="s">
        <v>278</v>
      </c>
      <c r="H4655" s="55">
        <v>20.27</v>
      </c>
      <c r="I4655" s="55">
        <v>51.07199</v>
      </c>
      <c r="J4655" s="55">
        <v>44.08</v>
      </c>
      <c r="K4655" s="55">
        <v>43.733919999999998</v>
      </c>
      <c r="L4655" s="55">
        <v>39.516219999999997</v>
      </c>
      <c r="M4655" s="55">
        <v>31.353059999999999</v>
      </c>
      <c r="N4655" s="55">
        <v>25.90305</v>
      </c>
    </row>
    <row r="4656" spans="1:14" hidden="1" x14ac:dyDescent="0.35">
      <c r="A4656" s="52" t="s">
        <v>645</v>
      </c>
      <c r="B4656" s="52" t="s">
        <v>37</v>
      </c>
      <c r="C4656" s="52" t="s">
        <v>63</v>
      </c>
      <c r="D4656" s="52" t="s">
        <v>63</v>
      </c>
      <c r="E4656" s="52" t="s">
        <v>621</v>
      </c>
      <c r="F4656" s="52" t="s">
        <v>26</v>
      </c>
      <c r="G4656" s="55" t="s">
        <v>279</v>
      </c>
      <c r="H4656" s="55">
        <v>888.60969999999998</v>
      </c>
      <c r="I4656" s="55">
        <v>746.65409999999997</v>
      </c>
      <c r="J4656" s="55">
        <v>783.03959999999995</v>
      </c>
      <c r="K4656" s="55">
        <v>876.02009999999996</v>
      </c>
      <c r="L4656" s="55">
        <v>868.47220000000004</v>
      </c>
      <c r="M4656" s="55">
        <v>873.80899999999997</v>
      </c>
      <c r="N4656" s="55">
        <v>908.13490000000002</v>
      </c>
    </row>
    <row r="4657" spans="1:14" hidden="1" x14ac:dyDescent="0.35">
      <c r="A4657" s="52" t="s">
        <v>645</v>
      </c>
      <c r="B4657" s="52" t="s">
        <v>37</v>
      </c>
      <c r="C4657" s="52" t="s">
        <v>63</v>
      </c>
      <c r="D4657" s="52" t="s">
        <v>63</v>
      </c>
      <c r="E4657" s="52" t="s">
        <v>612</v>
      </c>
      <c r="F4657" s="52" t="s">
        <v>581</v>
      </c>
      <c r="G4657" s="55" t="s">
        <v>275</v>
      </c>
      <c r="H4657" s="55"/>
      <c r="I4657" s="55">
        <v>0</v>
      </c>
      <c r="J4657" s="55">
        <v>-0.36747000000000002</v>
      </c>
      <c r="K4657" s="55">
        <v>-4.4401989999999998</v>
      </c>
      <c r="L4657" s="55">
        <v>-5.7352259999999999</v>
      </c>
      <c r="M4657" s="55">
        <v>-3.4790079999999999</v>
      </c>
      <c r="N4657" s="55">
        <v>-2.3124389999999999</v>
      </c>
    </row>
    <row r="4658" spans="1:14" hidden="1" x14ac:dyDescent="0.35">
      <c r="A4658" s="52" t="s">
        <v>645</v>
      </c>
      <c r="B4658" s="52" t="s">
        <v>37</v>
      </c>
      <c r="C4658" s="52" t="s">
        <v>63</v>
      </c>
      <c r="D4658" s="52" t="s">
        <v>63</v>
      </c>
      <c r="E4658" s="52" t="s">
        <v>612</v>
      </c>
      <c r="F4658" s="52" t="s">
        <v>581</v>
      </c>
      <c r="G4658" s="55" t="s">
        <v>276</v>
      </c>
      <c r="H4658" s="55"/>
      <c r="I4658" s="55">
        <v>0</v>
      </c>
      <c r="J4658" s="55">
        <v>-5.2716000000000004E-3</v>
      </c>
      <c r="K4658" s="55">
        <v>-4.5462000000000002E-2</v>
      </c>
      <c r="L4658" s="55">
        <v>8.9824689999999999E-2</v>
      </c>
      <c r="M4658" s="55">
        <v>0.31004549999999997</v>
      </c>
      <c r="N4658" s="55">
        <v>0.1263744</v>
      </c>
    </row>
    <row r="4659" spans="1:14" hidden="1" x14ac:dyDescent="0.35">
      <c r="A4659" s="52" t="s">
        <v>645</v>
      </c>
      <c r="B4659" s="52" t="s">
        <v>37</v>
      </c>
      <c r="C4659" s="52" t="s">
        <v>63</v>
      </c>
      <c r="D4659" s="52" t="s">
        <v>63</v>
      </c>
      <c r="E4659" s="52" t="s">
        <v>612</v>
      </c>
      <c r="F4659" s="52" t="s">
        <v>581</v>
      </c>
      <c r="G4659" s="55" t="s">
        <v>277</v>
      </c>
      <c r="H4659" s="55"/>
      <c r="I4659" s="55">
        <v>0</v>
      </c>
      <c r="J4659" s="55">
        <v>0.15340500000000001</v>
      </c>
      <c r="K4659" s="55">
        <v>1.1976249999999999</v>
      </c>
      <c r="L4659" s="55">
        <v>1.72912</v>
      </c>
      <c r="M4659" s="55">
        <v>1.719937</v>
      </c>
      <c r="N4659" s="55">
        <v>1.8789130000000001</v>
      </c>
    </row>
    <row r="4660" spans="1:14" hidden="1" x14ac:dyDescent="0.35">
      <c r="A4660" s="52" t="s">
        <v>645</v>
      </c>
      <c r="B4660" s="52" t="s">
        <v>37</v>
      </c>
      <c r="C4660" s="52" t="s">
        <v>63</v>
      </c>
      <c r="D4660" s="52" t="s">
        <v>63</v>
      </c>
      <c r="E4660" s="52" t="s">
        <v>612</v>
      </c>
      <c r="F4660" s="52" t="s">
        <v>581</v>
      </c>
      <c r="G4660" s="55" t="s">
        <v>278</v>
      </c>
      <c r="H4660" s="55"/>
      <c r="I4660" s="55">
        <v>0</v>
      </c>
      <c r="J4660" s="55">
        <v>0.21933730000000001</v>
      </c>
      <c r="K4660" s="55">
        <v>3.6931180000000001</v>
      </c>
      <c r="L4660" s="55">
        <v>6.0980369999999997</v>
      </c>
      <c r="M4660" s="55">
        <v>5.4140129999999997</v>
      </c>
      <c r="N4660" s="55">
        <v>4.5538259999999999</v>
      </c>
    </row>
    <row r="4661" spans="1:14" hidden="1" x14ac:dyDescent="0.35">
      <c r="A4661" s="52" t="s">
        <v>645</v>
      </c>
      <c r="B4661" s="52" t="s">
        <v>37</v>
      </c>
      <c r="C4661" s="52" t="s">
        <v>63</v>
      </c>
      <c r="D4661" s="52" t="s">
        <v>63</v>
      </c>
      <c r="E4661" s="52" t="s">
        <v>612</v>
      </c>
      <c r="F4661" s="52" t="s">
        <v>581</v>
      </c>
      <c r="G4661" s="55" t="s">
        <v>279</v>
      </c>
      <c r="H4661" s="55"/>
      <c r="I4661" s="55">
        <v>0</v>
      </c>
      <c r="J4661" s="55">
        <v>0</v>
      </c>
      <c r="K4661" s="55">
        <v>0.16466069999999999</v>
      </c>
      <c r="L4661" s="55">
        <v>0.63795139999999995</v>
      </c>
      <c r="M4661" s="55">
        <v>1.211703</v>
      </c>
      <c r="N4661" s="55">
        <v>1.294055</v>
      </c>
    </row>
    <row r="4662" spans="1:14" hidden="1" x14ac:dyDescent="0.35">
      <c r="A4662" s="52" t="s">
        <v>645</v>
      </c>
      <c r="B4662" s="52" t="s">
        <v>37</v>
      </c>
      <c r="C4662" s="52" t="s">
        <v>63</v>
      </c>
      <c r="D4662" s="52" t="s">
        <v>63</v>
      </c>
      <c r="E4662" s="52" t="s">
        <v>612</v>
      </c>
      <c r="F4662" s="52" t="s">
        <v>26</v>
      </c>
      <c r="G4662" s="55" t="s">
        <v>275</v>
      </c>
      <c r="H4662" s="55"/>
      <c r="I4662" s="55">
        <v>0</v>
      </c>
      <c r="J4662" s="55">
        <v>0</v>
      </c>
      <c r="K4662" s="55">
        <v>4.1845500000000001E-2</v>
      </c>
      <c r="L4662" s="55">
        <v>0.31195430000000002</v>
      </c>
      <c r="M4662" s="55">
        <v>0.56384190000000001</v>
      </c>
      <c r="N4662" s="55">
        <v>0.60459470000000004</v>
      </c>
    </row>
    <row r="4663" spans="1:14" hidden="1" x14ac:dyDescent="0.35">
      <c r="A4663" s="52" t="s">
        <v>645</v>
      </c>
      <c r="B4663" s="52" t="s">
        <v>37</v>
      </c>
      <c r="C4663" s="52" t="s">
        <v>63</v>
      </c>
      <c r="D4663" s="52" t="s">
        <v>63</v>
      </c>
      <c r="E4663" s="52" t="s">
        <v>612</v>
      </c>
      <c r="F4663" s="52" t="s">
        <v>26</v>
      </c>
      <c r="G4663" s="55" t="s">
        <v>276</v>
      </c>
      <c r="H4663" s="55"/>
      <c r="I4663" s="55">
        <v>0</v>
      </c>
      <c r="J4663" s="55">
        <v>0</v>
      </c>
      <c r="K4663" s="55">
        <v>1.6944299999999999E-2</v>
      </c>
      <c r="L4663" s="55">
        <v>0.12631319999999999</v>
      </c>
      <c r="M4663" s="55">
        <v>0.2283036</v>
      </c>
      <c r="N4663" s="55">
        <v>0.24480579999999999</v>
      </c>
    </row>
    <row r="4664" spans="1:14" hidden="1" x14ac:dyDescent="0.35">
      <c r="A4664" s="52" t="s">
        <v>645</v>
      </c>
      <c r="B4664" s="52" t="s">
        <v>37</v>
      </c>
      <c r="C4664" s="52" t="s">
        <v>63</v>
      </c>
      <c r="D4664" s="52" t="s">
        <v>63</v>
      </c>
      <c r="E4664" s="52" t="s">
        <v>612</v>
      </c>
      <c r="F4664" s="52" t="s">
        <v>26</v>
      </c>
      <c r="G4664" s="55" t="s">
        <v>279</v>
      </c>
      <c r="H4664" s="55"/>
      <c r="I4664" s="55">
        <v>0</v>
      </c>
      <c r="J4664" s="55">
        <v>0</v>
      </c>
      <c r="K4664" s="55">
        <v>0.16058130000000001</v>
      </c>
      <c r="L4664" s="55">
        <v>0.63184739999999995</v>
      </c>
      <c r="M4664" s="55">
        <v>1.1618360000000001</v>
      </c>
      <c r="N4664" s="55">
        <v>1.2403090000000001</v>
      </c>
    </row>
    <row r="4665" spans="1:14" hidden="1" x14ac:dyDescent="0.35">
      <c r="A4665" s="52" t="s">
        <v>645</v>
      </c>
      <c r="B4665" s="52" t="s">
        <v>37</v>
      </c>
      <c r="C4665" s="52" t="s">
        <v>46</v>
      </c>
      <c r="D4665" s="52" t="s">
        <v>46</v>
      </c>
      <c r="E4665" s="52" t="s">
        <v>646</v>
      </c>
      <c r="F4665" s="52" t="s">
        <v>581</v>
      </c>
      <c r="G4665" s="55" t="s">
        <v>275</v>
      </c>
      <c r="H4665" s="55"/>
      <c r="I4665" s="55"/>
      <c r="J4665" s="55"/>
      <c r="K4665" s="55">
        <v>0</v>
      </c>
      <c r="L4665" s="55">
        <v>0</v>
      </c>
      <c r="M4665" s="55">
        <v>0</v>
      </c>
      <c r="N4665" s="55">
        <v>0</v>
      </c>
    </row>
    <row r="4666" spans="1:14" hidden="1" x14ac:dyDescent="0.35">
      <c r="A4666" s="52" t="s">
        <v>645</v>
      </c>
      <c r="B4666" s="52" t="s">
        <v>37</v>
      </c>
      <c r="C4666" s="52" t="s">
        <v>46</v>
      </c>
      <c r="D4666" s="52" t="s">
        <v>46</v>
      </c>
      <c r="E4666" s="52" t="s">
        <v>646</v>
      </c>
      <c r="F4666" s="52" t="s">
        <v>581</v>
      </c>
      <c r="G4666" s="55" t="s">
        <v>276</v>
      </c>
      <c r="H4666" s="55"/>
      <c r="I4666" s="55"/>
      <c r="J4666" s="55"/>
      <c r="K4666" s="55">
        <v>0</v>
      </c>
      <c r="L4666" s="55">
        <v>0</v>
      </c>
      <c r="M4666" s="55">
        <v>0</v>
      </c>
      <c r="N4666" s="55">
        <v>0</v>
      </c>
    </row>
    <row r="4667" spans="1:14" hidden="1" x14ac:dyDescent="0.35">
      <c r="A4667" s="52" t="s">
        <v>645</v>
      </c>
      <c r="B4667" s="52" t="s">
        <v>37</v>
      </c>
      <c r="C4667" s="52" t="s">
        <v>46</v>
      </c>
      <c r="D4667" s="52" t="s">
        <v>46</v>
      </c>
      <c r="E4667" s="52" t="s">
        <v>646</v>
      </c>
      <c r="F4667" s="52" t="s">
        <v>581</v>
      </c>
      <c r="G4667" s="55" t="s">
        <v>277</v>
      </c>
      <c r="H4667" s="55"/>
      <c r="I4667" s="55"/>
      <c r="J4667" s="55"/>
      <c r="K4667" s="55">
        <v>0</v>
      </c>
      <c r="L4667" s="55">
        <v>0</v>
      </c>
      <c r="M4667" s="55">
        <v>0</v>
      </c>
      <c r="N4667" s="55">
        <v>0</v>
      </c>
    </row>
    <row r="4668" spans="1:14" hidden="1" x14ac:dyDescent="0.35">
      <c r="A4668" s="52" t="s">
        <v>645</v>
      </c>
      <c r="B4668" s="52" t="s">
        <v>37</v>
      </c>
      <c r="C4668" s="52" t="s">
        <v>46</v>
      </c>
      <c r="D4668" s="52" t="s">
        <v>46</v>
      </c>
      <c r="E4668" s="52" t="s">
        <v>646</v>
      </c>
      <c r="F4668" s="52" t="s">
        <v>581</v>
      </c>
      <c r="G4668" s="55" t="s">
        <v>279</v>
      </c>
      <c r="H4668" s="55"/>
      <c r="I4668" s="55"/>
      <c r="J4668" s="55"/>
      <c r="K4668" s="55">
        <v>0</v>
      </c>
      <c r="L4668" s="55">
        <v>0</v>
      </c>
      <c r="M4668" s="55">
        <v>0</v>
      </c>
      <c r="N4668" s="55">
        <v>0</v>
      </c>
    </row>
    <row r="4669" spans="1:14" hidden="1" x14ac:dyDescent="0.35">
      <c r="A4669" s="52" t="s">
        <v>645</v>
      </c>
      <c r="B4669" s="52" t="s">
        <v>37</v>
      </c>
      <c r="C4669" s="52" t="s">
        <v>46</v>
      </c>
      <c r="D4669" s="52" t="s">
        <v>46</v>
      </c>
      <c r="E4669" s="52" t="s">
        <v>646</v>
      </c>
      <c r="F4669" s="52" t="s">
        <v>26</v>
      </c>
      <c r="G4669" s="55" t="s">
        <v>275</v>
      </c>
      <c r="H4669" s="55"/>
      <c r="I4669" s="55"/>
      <c r="J4669" s="55"/>
      <c r="K4669" s="55">
        <v>0</v>
      </c>
      <c r="L4669" s="55">
        <v>0</v>
      </c>
      <c r="M4669" s="55">
        <v>0</v>
      </c>
      <c r="N4669" s="55">
        <v>0</v>
      </c>
    </row>
    <row r="4670" spans="1:14" hidden="1" x14ac:dyDescent="0.35">
      <c r="A4670" s="52" t="s">
        <v>645</v>
      </c>
      <c r="B4670" s="52" t="s">
        <v>37</v>
      </c>
      <c r="C4670" s="52" t="s">
        <v>46</v>
      </c>
      <c r="D4670" s="52" t="s">
        <v>46</v>
      </c>
      <c r="E4670" s="52" t="s">
        <v>646</v>
      </c>
      <c r="F4670" s="52" t="s">
        <v>26</v>
      </c>
      <c r="G4670" s="55" t="s">
        <v>276</v>
      </c>
      <c r="H4670" s="55"/>
      <c r="I4670" s="55"/>
      <c r="J4670" s="55"/>
      <c r="K4670" s="55">
        <v>0</v>
      </c>
      <c r="L4670" s="55">
        <v>0</v>
      </c>
      <c r="M4670" s="55">
        <v>0</v>
      </c>
      <c r="N4670" s="55">
        <v>0</v>
      </c>
    </row>
    <row r="4671" spans="1:14" hidden="1" x14ac:dyDescent="0.35">
      <c r="A4671" s="52" t="s">
        <v>645</v>
      </c>
      <c r="B4671" s="52" t="s">
        <v>37</v>
      </c>
      <c r="C4671" s="52" t="s">
        <v>46</v>
      </c>
      <c r="D4671" s="52" t="s">
        <v>46</v>
      </c>
      <c r="E4671" s="52" t="s">
        <v>646</v>
      </c>
      <c r="F4671" s="52" t="s">
        <v>26</v>
      </c>
      <c r="G4671" s="55" t="s">
        <v>279</v>
      </c>
      <c r="H4671" s="55"/>
      <c r="I4671" s="55"/>
      <c r="J4671" s="55"/>
      <c r="K4671" s="55">
        <v>0</v>
      </c>
      <c r="L4671" s="55">
        <v>0</v>
      </c>
      <c r="M4671" s="55">
        <v>0</v>
      </c>
      <c r="N4671" s="55">
        <v>0</v>
      </c>
    </row>
    <row r="4672" spans="1:14" hidden="1" x14ac:dyDescent="0.35">
      <c r="A4672" s="52" t="s">
        <v>648</v>
      </c>
      <c r="B4672" s="52" t="s">
        <v>37</v>
      </c>
      <c r="C4672" s="52" t="s">
        <v>63</v>
      </c>
      <c r="D4672" s="52" t="s">
        <v>63</v>
      </c>
      <c r="E4672" s="52" t="s">
        <v>610</v>
      </c>
      <c r="F4672" s="52" t="s">
        <v>581</v>
      </c>
      <c r="G4672" s="55" t="s">
        <v>275</v>
      </c>
      <c r="H4672" s="55">
        <v>248.54300000000001</v>
      </c>
      <c r="I4672" s="55">
        <v>163.04400000000001</v>
      </c>
      <c r="J4672" s="55">
        <v>196.8716</v>
      </c>
      <c r="K4672" s="55">
        <v>184.9709</v>
      </c>
      <c r="L4672" s="55">
        <v>156.3948</v>
      </c>
      <c r="M4672" s="55">
        <v>121.2028</v>
      </c>
      <c r="N4672" s="55">
        <v>102.50660000000001</v>
      </c>
    </row>
    <row r="4673" spans="1:14" hidden="1" x14ac:dyDescent="0.35">
      <c r="A4673" s="52" t="s">
        <v>648</v>
      </c>
      <c r="B4673" s="52" t="s">
        <v>37</v>
      </c>
      <c r="C4673" s="52" t="s">
        <v>63</v>
      </c>
      <c r="D4673" s="52" t="s">
        <v>63</v>
      </c>
      <c r="E4673" s="52" t="s">
        <v>610</v>
      </c>
      <c r="F4673" s="52" t="s">
        <v>581</v>
      </c>
      <c r="G4673" s="55" t="s">
        <v>276</v>
      </c>
      <c r="H4673" s="55">
        <v>58.709009999999999</v>
      </c>
      <c r="I4673" s="55">
        <v>-0.29338930000000002</v>
      </c>
      <c r="J4673" s="55">
        <v>22.955749999999998</v>
      </c>
      <c r="K4673" s="55">
        <v>28.89442</v>
      </c>
      <c r="L4673" s="55">
        <v>22.561060000000001</v>
      </c>
      <c r="M4673" s="55">
        <v>19.597799999999999</v>
      </c>
      <c r="N4673" s="55">
        <v>29.243459999999999</v>
      </c>
    </row>
    <row r="4674" spans="1:14" hidden="1" x14ac:dyDescent="0.35">
      <c r="A4674" s="52" t="s">
        <v>648</v>
      </c>
      <c r="B4674" s="52" t="s">
        <v>37</v>
      </c>
      <c r="C4674" s="52" t="s">
        <v>63</v>
      </c>
      <c r="D4674" s="52" t="s">
        <v>63</v>
      </c>
      <c r="E4674" s="52" t="s">
        <v>610</v>
      </c>
      <c r="F4674" s="52" t="s">
        <v>581</v>
      </c>
      <c r="G4674" s="55" t="s">
        <v>277</v>
      </c>
      <c r="H4674" s="55">
        <v>184.5334</v>
      </c>
      <c r="I4674" s="55">
        <v>43.298189999999998</v>
      </c>
      <c r="J4674" s="55">
        <v>27.087230000000002</v>
      </c>
      <c r="K4674" s="55">
        <v>15.23678</v>
      </c>
      <c r="L4674" s="55">
        <v>15.28772</v>
      </c>
      <c r="M4674" s="55">
        <v>25.90728</v>
      </c>
      <c r="N4674" s="55">
        <v>29.25469</v>
      </c>
    </row>
    <row r="4675" spans="1:14" hidden="1" x14ac:dyDescent="0.35">
      <c r="A4675" s="52" t="s">
        <v>648</v>
      </c>
      <c r="B4675" s="52" t="s">
        <v>37</v>
      </c>
      <c r="C4675" s="52" t="s">
        <v>63</v>
      </c>
      <c r="D4675" s="52" t="s">
        <v>63</v>
      </c>
      <c r="E4675" s="52" t="s">
        <v>610</v>
      </c>
      <c r="F4675" s="52" t="s">
        <v>581</v>
      </c>
      <c r="G4675" s="55" t="s">
        <v>278</v>
      </c>
      <c r="H4675" s="55">
        <v>21.421949999999999</v>
      </c>
      <c r="I4675" s="55">
        <v>6.0189389999999996</v>
      </c>
      <c r="J4675" s="55">
        <v>7.2012179999999999</v>
      </c>
      <c r="K4675" s="55">
        <v>7.6595149999999999</v>
      </c>
      <c r="L4675" s="55">
        <v>8.7449870000000001</v>
      </c>
      <c r="M4675" s="55">
        <v>8.0472429999999999</v>
      </c>
      <c r="N4675" s="55">
        <v>5.4247880000000004</v>
      </c>
    </row>
    <row r="4676" spans="1:14" hidden="1" x14ac:dyDescent="0.35">
      <c r="A4676" s="52" t="s">
        <v>648</v>
      </c>
      <c r="B4676" s="52" t="s">
        <v>37</v>
      </c>
      <c r="C4676" s="52" t="s">
        <v>63</v>
      </c>
      <c r="D4676" s="52" t="s">
        <v>63</v>
      </c>
      <c r="E4676" s="52" t="s">
        <v>610</v>
      </c>
      <c r="F4676" s="52" t="s">
        <v>581</v>
      </c>
      <c r="G4676" s="55" t="s">
        <v>279</v>
      </c>
      <c r="H4676" s="55">
        <v>249.38</v>
      </c>
      <c r="I4676" s="55">
        <v>222.33459999999999</v>
      </c>
      <c r="J4676" s="55">
        <v>257.3261</v>
      </c>
      <c r="K4676" s="55">
        <v>269.7473</v>
      </c>
      <c r="L4676" s="55">
        <v>235.07849999999999</v>
      </c>
      <c r="M4676" s="55">
        <v>225.61340000000001</v>
      </c>
      <c r="N4676" s="55">
        <v>209.67699999999999</v>
      </c>
    </row>
    <row r="4677" spans="1:14" hidden="1" x14ac:dyDescent="0.35">
      <c r="A4677" s="52" t="s">
        <v>648</v>
      </c>
      <c r="B4677" s="52" t="s">
        <v>37</v>
      </c>
      <c r="C4677" s="52" t="s">
        <v>63</v>
      </c>
      <c r="D4677" s="52" t="s">
        <v>63</v>
      </c>
      <c r="E4677" s="52" t="s">
        <v>610</v>
      </c>
      <c r="F4677" s="52" t="s">
        <v>26</v>
      </c>
      <c r="G4677" s="55" t="s">
        <v>275</v>
      </c>
      <c r="H4677" s="55">
        <v>-82.466530000000006</v>
      </c>
      <c r="I4677" s="55">
        <v>65.878110000000007</v>
      </c>
      <c r="J4677" s="55">
        <v>125.4503</v>
      </c>
      <c r="K4677" s="55">
        <v>120.6486</v>
      </c>
      <c r="L4677" s="55">
        <v>102.87869999999999</v>
      </c>
      <c r="M4677" s="55">
        <v>80.081140000000005</v>
      </c>
      <c r="N4677" s="55">
        <v>63.860039999999998</v>
      </c>
    </row>
    <row r="4678" spans="1:14" hidden="1" x14ac:dyDescent="0.35">
      <c r="A4678" s="52" t="s">
        <v>648</v>
      </c>
      <c r="B4678" s="52" t="s">
        <v>37</v>
      </c>
      <c r="C4678" s="52" t="s">
        <v>63</v>
      </c>
      <c r="D4678" s="52" t="s">
        <v>63</v>
      </c>
      <c r="E4678" s="52" t="s">
        <v>610</v>
      </c>
      <c r="F4678" s="52" t="s">
        <v>26</v>
      </c>
      <c r="G4678" s="55" t="s">
        <v>276</v>
      </c>
      <c r="H4678" s="55">
        <v>0.37390800000000002</v>
      </c>
      <c r="I4678" s="55">
        <v>-3.9372769999999999</v>
      </c>
      <c r="J4678" s="55">
        <v>8.1821579999999994</v>
      </c>
      <c r="K4678" s="55">
        <v>6.7188819999999998</v>
      </c>
      <c r="L4678" s="55">
        <v>2.5521759999999998</v>
      </c>
      <c r="M4678" s="55">
        <v>2.694347</v>
      </c>
      <c r="N4678" s="55">
        <v>7.2521149999999999</v>
      </c>
    </row>
    <row r="4679" spans="1:14" hidden="1" x14ac:dyDescent="0.35">
      <c r="A4679" s="52" t="s">
        <v>648</v>
      </c>
      <c r="B4679" s="52" t="s">
        <v>37</v>
      </c>
      <c r="C4679" s="52" t="s">
        <v>63</v>
      </c>
      <c r="D4679" s="52" t="s">
        <v>63</v>
      </c>
      <c r="E4679" s="52" t="s">
        <v>610</v>
      </c>
      <c r="F4679" s="52" t="s">
        <v>26</v>
      </c>
      <c r="G4679" s="55" t="s">
        <v>277</v>
      </c>
      <c r="H4679" s="55">
        <v>222.51410000000001</v>
      </c>
      <c r="I4679" s="55">
        <v>67.731520000000003</v>
      </c>
      <c r="J4679" s="55">
        <v>57.063360000000003</v>
      </c>
      <c r="K4679" s="55">
        <v>24.451180000000001</v>
      </c>
      <c r="L4679" s="55">
        <v>13.093579999999999</v>
      </c>
      <c r="M4679" s="55">
        <v>13.192170000000001</v>
      </c>
      <c r="N4679" s="55">
        <v>17.12744</v>
      </c>
    </row>
    <row r="4680" spans="1:14" hidden="1" x14ac:dyDescent="0.35">
      <c r="A4680" s="52" t="s">
        <v>648</v>
      </c>
      <c r="B4680" s="52" t="s">
        <v>37</v>
      </c>
      <c r="C4680" s="52" t="s">
        <v>63</v>
      </c>
      <c r="D4680" s="52" t="s">
        <v>63</v>
      </c>
      <c r="E4680" s="52" t="s">
        <v>610</v>
      </c>
      <c r="F4680" s="52" t="s">
        <v>26</v>
      </c>
      <c r="G4680" s="55" t="s">
        <v>278</v>
      </c>
      <c r="H4680" s="55">
        <v>37.038980000000002</v>
      </c>
      <c r="I4680" s="55">
        <v>10.938269999999999</v>
      </c>
      <c r="J4680" s="55">
        <v>18.72972</v>
      </c>
      <c r="K4680" s="55">
        <v>20.01981</v>
      </c>
      <c r="L4680" s="55">
        <v>12.553129999999999</v>
      </c>
      <c r="M4680" s="55">
        <v>7.2882769999999999</v>
      </c>
      <c r="N4680" s="55">
        <v>7.751214</v>
      </c>
    </row>
    <row r="4681" spans="1:14" hidden="1" x14ac:dyDescent="0.35">
      <c r="A4681" s="52" t="s">
        <v>648</v>
      </c>
      <c r="B4681" s="52" t="s">
        <v>37</v>
      </c>
      <c r="C4681" s="52" t="s">
        <v>63</v>
      </c>
      <c r="D4681" s="52" t="s">
        <v>63</v>
      </c>
      <c r="E4681" s="52" t="s">
        <v>610</v>
      </c>
      <c r="F4681" s="52" t="s">
        <v>26</v>
      </c>
      <c r="G4681" s="55" t="s">
        <v>279</v>
      </c>
      <c r="H4681" s="55">
        <v>501.71480000000003</v>
      </c>
      <c r="I4681" s="55">
        <v>468.14109999999999</v>
      </c>
      <c r="J4681" s="55">
        <v>551.37760000000003</v>
      </c>
      <c r="K4681" s="55">
        <v>585.58699999999999</v>
      </c>
      <c r="L4681" s="55">
        <v>521.16669999999999</v>
      </c>
      <c r="M4681" s="55">
        <v>483.70229999999998</v>
      </c>
      <c r="N4681" s="55">
        <v>447.26209999999998</v>
      </c>
    </row>
    <row r="4682" spans="1:14" hidden="1" x14ac:dyDescent="0.35">
      <c r="A4682" s="52" t="s">
        <v>648</v>
      </c>
      <c r="B4682" s="52" t="s">
        <v>37</v>
      </c>
      <c r="C4682" s="52" t="s">
        <v>63</v>
      </c>
      <c r="D4682" s="52" t="s">
        <v>63</v>
      </c>
      <c r="E4682" s="52" t="s">
        <v>608</v>
      </c>
      <c r="F4682" s="52" t="s">
        <v>26</v>
      </c>
      <c r="G4682" s="55" t="s">
        <v>275</v>
      </c>
      <c r="H4682" s="55">
        <v>-40.878450000000001</v>
      </c>
      <c r="I4682" s="55">
        <v>5.578576</v>
      </c>
      <c r="J4682" s="55">
        <v>98.691940000000002</v>
      </c>
      <c r="K4682" s="55">
        <v>82.156599999999997</v>
      </c>
      <c r="L4682" s="55">
        <v>60.415019999999998</v>
      </c>
      <c r="M4682" s="55">
        <v>57.300159999999998</v>
      </c>
      <c r="N4682" s="55">
        <v>47.113309999999998</v>
      </c>
    </row>
    <row r="4683" spans="1:14" hidden="1" x14ac:dyDescent="0.35">
      <c r="A4683" s="52" t="s">
        <v>648</v>
      </c>
      <c r="B4683" s="52" t="s">
        <v>37</v>
      </c>
      <c r="C4683" s="52" t="s">
        <v>63</v>
      </c>
      <c r="D4683" s="52" t="s">
        <v>63</v>
      </c>
      <c r="E4683" s="52" t="s">
        <v>608</v>
      </c>
      <c r="F4683" s="52" t="s">
        <v>26</v>
      </c>
      <c r="G4683" s="55" t="s">
        <v>276</v>
      </c>
      <c r="H4683" s="55">
        <v>-4.0443319999999998</v>
      </c>
      <c r="I4683" s="55">
        <v>-6.1765800000000004</v>
      </c>
      <c r="J4683" s="55">
        <v>-3.5863070000000001</v>
      </c>
      <c r="K4683" s="55">
        <v>-5.9721460000000004</v>
      </c>
      <c r="L4683" s="55">
        <v>-5.606465</v>
      </c>
      <c r="M4683" s="55">
        <v>-2.6471710000000002</v>
      </c>
      <c r="N4683" s="55">
        <v>-0.31900689999999998</v>
      </c>
    </row>
    <row r="4684" spans="1:14" hidden="1" x14ac:dyDescent="0.35">
      <c r="A4684" s="52" t="s">
        <v>648</v>
      </c>
      <c r="B4684" s="52" t="s">
        <v>37</v>
      </c>
      <c r="C4684" s="52" t="s">
        <v>63</v>
      </c>
      <c r="D4684" s="52" t="s">
        <v>63</v>
      </c>
      <c r="E4684" s="52" t="s">
        <v>608</v>
      </c>
      <c r="F4684" s="52" t="s">
        <v>26</v>
      </c>
      <c r="G4684" s="55" t="s">
        <v>277</v>
      </c>
      <c r="H4684" s="55">
        <v>157.87870000000001</v>
      </c>
      <c r="I4684" s="55">
        <v>107.693</v>
      </c>
      <c r="J4684" s="55">
        <v>38.097790000000003</v>
      </c>
      <c r="K4684" s="55">
        <v>19.164549999999998</v>
      </c>
      <c r="L4684" s="55">
        <v>19.8188</v>
      </c>
      <c r="M4684" s="55">
        <v>1.343915</v>
      </c>
      <c r="N4684" s="55">
        <v>0</v>
      </c>
    </row>
    <row r="4685" spans="1:14" hidden="1" x14ac:dyDescent="0.35">
      <c r="A4685" s="52" t="s">
        <v>648</v>
      </c>
      <c r="B4685" s="52" t="s">
        <v>37</v>
      </c>
      <c r="C4685" s="52" t="s">
        <v>63</v>
      </c>
      <c r="D4685" s="52" t="s">
        <v>63</v>
      </c>
      <c r="E4685" s="52" t="s">
        <v>608</v>
      </c>
      <c r="F4685" s="52" t="s">
        <v>26</v>
      </c>
      <c r="G4685" s="55" t="s">
        <v>278</v>
      </c>
      <c r="H4685" s="55">
        <v>14.30294</v>
      </c>
      <c r="I4685" s="55">
        <v>10.059839999999999</v>
      </c>
      <c r="J4685" s="55">
        <v>2.9716269999999998</v>
      </c>
      <c r="K4685" s="55">
        <v>0.82088799999999995</v>
      </c>
      <c r="L4685" s="55">
        <v>0</v>
      </c>
      <c r="M4685" s="55"/>
      <c r="N4685" s="55"/>
    </row>
    <row r="4686" spans="1:14" hidden="1" x14ac:dyDescent="0.35">
      <c r="A4686" s="52" t="s">
        <v>648</v>
      </c>
      <c r="B4686" s="52" t="s">
        <v>37</v>
      </c>
      <c r="C4686" s="52" t="s">
        <v>63</v>
      </c>
      <c r="D4686" s="52" t="s">
        <v>63</v>
      </c>
      <c r="E4686" s="52" t="s">
        <v>608</v>
      </c>
      <c r="F4686" s="52" t="s">
        <v>26</v>
      </c>
      <c r="G4686" s="55" t="s">
        <v>279</v>
      </c>
      <c r="H4686" s="55">
        <v>359.78519999999997</v>
      </c>
      <c r="I4686" s="55">
        <v>390.15989999999999</v>
      </c>
      <c r="J4686" s="55">
        <v>358.52949999999998</v>
      </c>
      <c r="K4686" s="55">
        <v>327.34179999999998</v>
      </c>
      <c r="L4686" s="55">
        <v>297.28089999999997</v>
      </c>
      <c r="M4686" s="55">
        <v>265.6789</v>
      </c>
      <c r="N4686" s="55">
        <v>223.17699999999999</v>
      </c>
    </row>
    <row r="4687" spans="1:14" hidden="1" x14ac:dyDescent="0.35">
      <c r="A4687" s="52" t="s">
        <v>648</v>
      </c>
      <c r="B4687" s="52" t="s">
        <v>37</v>
      </c>
      <c r="C4687" s="52" t="s">
        <v>63</v>
      </c>
      <c r="D4687" s="52" t="s">
        <v>63</v>
      </c>
      <c r="E4687" s="52" t="s">
        <v>621</v>
      </c>
      <c r="F4687" s="52" t="s">
        <v>581</v>
      </c>
      <c r="G4687" s="55" t="s">
        <v>275</v>
      </c>
      <c r="H4687" s="55"/>
      <c r="I4687" s="55"/>
      <c r="J4687" s="55"/>
      <c r="K4687" s="55"/>
      <c r="L4687" s="55"/>
      <c r="M4687" s="55">
        <v>0</v>
      </c>
      <c r="N4687" s="55">
        <v>0</v>
      </c>
    </row>
    <row r="4688" spans="1:14" hidden="1" x14ac:dyDescent="0.35">
      <c r="A4688" s="52" t="s">
        <v>648</v>
      </c>
      <c r="B4688" s="52" t="s">
        <v>37</v>
      </c>
      <c r="C4688" s="52" t="s">
        <v>63</v>
      </c>
      <c r="D4688" s="52" t="s">
        <v>63</v>
      </c>
      <c r="E4688" s="52" t="s">
        <v>621</v>
      </c>
      <c r="F4688" s="52" t="s">
        <v>581</v>
      </c>
      <c r="G4688" s="55" t="s">
        <v>276</v>
      </c>
      <c r="H4688" s="55"/>
      <c r="I4688" s="55"/>
      <c r="J4688" s="55"/>
      <c r="K4688" s="55"/>
      <c r="L4688" s="55"/>
      <c r="M4688" s="55">
        <v>0</v>
      </c>
      <c r="N4688" s="55">
        <v>0</v>
      </c>
    </row>
    <row r="4689" spans="1:14" hidden="1" x14ac:dyDescent="0.35">
      <c r="A4689" s="52" t="s">
        <v>648</v>
      </c>
      <c r="B4689" s="52" t="s">
        <v>37</v>
      </c>
      <c r="C4689" s="52" t="s">
        <v>63</v>
      </c>
      <c r="D4689" s="52" t="s">
        <v>63</v>
      </c>
      <c r="E4689" s="52" t="s">
        <v>621</v>
      </c>
      <c r="F4689" s="52" t="s">
        <v>581</v>
      </c>
      <c r="G4689" s="55" t="s">
        <v>279</v>
      </c>
      <c r="H4689" s="55"/>
      <c r="I4689" s="55"/>
      <c r="J4689" s="55"/>
      <c r="K4689" s="55"/>
      <c r="L4689" s="55"/>
      <c r="M4689" s="55">
        <v>0</v>
      </c>
      <c r="N4689" s="55">
        <v>0</v>
      </c>
    </row>
    <row r="4690" spans="1:14" hidden="1" x14ac:dyDescent="0.35">
      <c r="A4690" s="52" t="s">
        <v>648</v>
      </c>
      <c r="B4690" s="52" t="s">
        <v>37</v>
      </c>
      <c r="C4690" s="52" t="s">
        <v>63</v>
      </c>
      <c r="D4690" s="52" t="s">
        <v>63</v>
      </c>
      <c r="E4690" s="52" t="s">
        <v>621</v>
      </c>
      <c r="F4690" s="52" t="s">
        <v>26</v>
      </c>
      <c r="G4690" s="55" t="s">
        <v>275</v>
      </c>
      <c r="H4690" s="55">
        <v>23.008859999999999</v>
      </c>
      <c r="I4690" s="55">
        <v>16.406320000000001</v>
      </c>
      <c r="J4690" s="55">
        <v>16.112349999999999</v>
      </c>
      <c r="K4690" s="55">
        <v>9.7073900000000002</v>
      </c>
      <c r="L4690" s="55">
        <v>7.1044150000000004</v>
      </c>
      <c r="M4690" s="55">
        <v>5.2587219999999997</v>
      </c>
      <c r="N4690" s="55">
        <v>4.6604400000000004</v>
      </c>
    </row>
    <row r="4691" spans="1:14" hidden="1" x14ac:dyDescent="0.35">
      <c r="A4691" s="52" t="s">
        <v>648</v>
      </c>
      <c r="B4691" s="52" t="s">
        <v>37</v>
      </c>
      <c r="C4691" s="52" t="s">
        <v>63</v>
      </c>
      <c r="D4691" s="52" t="s">
        <v>63</v>
      </c>
      <c r="E4691" s="52" t="s">
        <v>621</v>
      </c>
      <c r="F4691" s="52" t="s">
        <v>26</v>
      </c>
      <c r="G4691" s="55" t="s">
        <v>276</v>
      </c>
      <c r="H4691" s="55">
        <v>-3.9970469999999998</v>
      </c>
      <c r="I4691" s="55">
        <v>-2.7320989999999998</v>
      </c>
      <c r="J4691" s="55">
        <v>-7.1681770000000006E-2</v>
      </c>
      <c r="K4691" s="55">
        <v>2.04542</v>
      </c>
      <c r="L4691" s="55">
        <v>2.6475780000000002</v>
      </c>
      <c r="M4691" s="55">
        <v>2.129302</v>
      </c>
      <c r="N4691" s="55">
        <v>1.8870530000000001</v>
      </c>
    </row>
    <row r="4692" spans="1:14" hidden="1" x14ac:dyDescent="0.35">
      <c r="A4692" s="52" t="s">
        <v>648</v>
      </c>
      <c r="B4692" s="52" t="s">
        <v>37</v>
      </c>
      <c r="C4692" s="52" t="s">
        <v>63</v>
      </c>
      <c r="D4692" s="52" t="s">
        <v>63</v>
      </c>
      <c r="E4692" s="52" t="s">
        <v>621</v>
      </c>
      <c r="F4692" s="52" t="s">
        <v>26</v>
      </c>
      <c r="G4692" s="55" t="s">
        <v>277</v>
      </c>
      <c r="H4692" s="55"/>
      <c r="I4692" s="55"/>
      <c r="J4692" s="55"/>
      <c r="K4692" s="55"/>
      <c r="L4692" s="55"/>
      <c r="M4692" s="55">
        <v>0</v>
      </c>
      <c r="N4692" s="55">
        <v>0</v>
      </c>
    </row>
    <row r="4693" spans="1:14" hidden="1" x14ac:dyDescent="0.35">
      <c r="A4693" s="52" t="s">
        <v>648</v>
      </c>
      <c r="B4693" s="52" t="s">
        <v>37</v>
      </c>
      <c r="C4693" s="52" t="s">
        <v>63</v>
      </c>
      <c r="D4693" s="52" t="s">
        <v>63</v>
      </c>
      <c r="E4693" s="52" t="s">
        <v>621</v>
      </c>
      <c r="F4693" s="52" t="s">
        <v>26</v>
      </c>
      <c r="G4693" s="55" t="s">
        <v>279</v>
      </c>
      <c r="H4693" s="55">
        <v>53.750050000000002</v>
      </c>
      <c r="I4693" s="55">
        <v>45.600580000000001</v>
      </c>
      <c r="J4693" s="55">
        <v>42.405549999999998</v>
      </c>
      <c r="K4693" s="55">
        <v>40.295720000000003</v>
      </c>
      <c r="L4693" s="55">
        <v>39.764319999999998</v>
      </c>
      <c r="M4693" s="55">
        <v>35.35089</v>
      </c>
      <c r="N4693" s="55">
        <v>31.451550000000001</v>
      </c>
    </row>
    <row r="4694" spans="1:14" hidden="1" x14ac:dyDescent="0.35">
      <c r="A4694" s="52" t="s">
        <v>648</v>
      </c>
      <c r="B4694" s="52" t="s">
        <v>37</v>
      </c>
      <c r="C4694" s="52" t="s">
        <v>63</v>
      </c>
      <c r="D4694" s="52" t="s">
        <v>63</v>
      </c>
      <c r="E4694" s="52" t="s">
        <v>584</v>
      </c>
      <c r="F4694" s="52" t="s">
        <v>581</v>
      </c>
      <c r="G4694" s="55" t="s">
        <v>275</v>
      </c>
      <c r="H4694" s="55">
        <v>0.92649499999999996</v>
      </c>
      <c r="I4694" s="55">
        <v>0.1377726</v>
      </c>
      <c r="J4694" s="55">
        <v>0.1279778</v>
      </c>
      <c r="K4694" s="55">
        <v>7.9757300000000003E-2</v>
      </c>
      <c r="L4694" s="55">
        <v>4.5917899999999998E-2</v>
      </c>
      <c r="M4694" s="55">
        <v>3.2718900000000002E-2</v>
      </c>
      <c r="N4694" s="55">
        <v>2.94232E-2</v>
      </c>
    </row>
    <row r="4695" spans="1:14" hidden="1" x14ac:dyDescent="0.35">
      <c r="A4695" s="52" t="s">
        <v>648</v>
      </c>
      <c r="B4695" s="52" t="s">
        <v>37</v>
      </c>
      <c r="C4695" s="52" t="s">
        <v>63</v>
      </c>
      <c r="D4695" s="52" t="s">
        <v>63</v>
      </c>
      <c r="E4695" s="52" t="s">
        <v>584</v>
      </c>
      <c r="F4695" s="52" t="s">
        <v>581</v>
      </c>
      <c r="G4695" s="55" t="s">
        <v>276</v>
      </c>
      <c r="H4695" s="55">
        <v>0.101801</v>
      </c>
      <c r="I4695" s="55">
        <v>1.51383E-2</v>
      </c>
      <c r="J4695" s="55">
        <v>1.4061499999999999E-2</v>
      </c>
      <c r="K4695" s="55">
        <v>8.7638000000000004E-3</v>
      </c>
      <c r="L4695" s="55">
        <v>5.0447000000000001E-3</v>
      </c>
      <c r="M4695" s="55">
        <v>1.32479E-2</v>
      </c>
      <c r="N4695" s="55">
        <v>1.19135E-2</v>
      </c>
    </row>
    <row r="4696" spans="1:14" hidden="1" x14ac:dyDescent="0.35">
      <c r="A4696" s="52" t="s">
        <v>648</v>
      </c>
      <c r="B4696" s="52" t="s">
        <v>37</v>
      </c>
      <c r="C4696" s="52" t="s">
        <v>63</v>
      </c>
      <c r="D4696" s="52" t="s">
        <v>63</v>
      </c>
      <c r="E4696" s="52" t="s">
        <v>584</v>
      </c>
      <c r="F4696" s="52" t="s">
        <v>581</v>
      </c>
      <c r="G4696" s="55" t="s">
        <v>279</v>
      </c>
      <c r="H4696" s="55">
        <v>0.81048500000000001</v>
      </c>
      <c r="I4696" s="55">
        <v>0.61450700000000003</v>
      </c>
      <c r="J4696" s="55">
        <v>0.52573559999999997</v>
      </c>
      <c r="K4696" s="55">
        <v>0.50440019999999997</v>
      </c>
      <c r="L4696" s="55">
        <v>0.4688466</v>
      </c>
      <c r="M4696" s="55">
        <v>0.39822560000000001</v>
      </c>
      <c r="N4696" s="55">
        <v>0.33863959999999999</v>
      </c>
    </row>
    <row r="4697" spans="1:14" hidden="1" x14ac:dyDescent="0.35">
      <c r="A4697" s="52" t="s">
        <v>648</v>
      </c>
      <c r="B4697" s="52" t="s">
        <v>37</v>
      </c>
      <c r="C4697" s="52" t="s">
        <v>63</v>
      </c>
      <c r="D4697" s="52" t="s">
        <v>63</v>
      </c>
      <c r="E4697" s="52" t="s">
        <v>584</v>
      </c>
      <c r="F4697" s="52" t="s">
        <v>26</v>
      </c>
      <c r="G4697" s="55" t="s">
        <v>275</v>
      </c>
      <c r="H4697" s="55">
        <v>5.1175870000000003</v>
      </c>
      <c r="I4697" s="55">
        <v>3.6504989999999999</v>
      </c>
      <c r="J4697" s="55">
        <v>3.6467429999999998</v>
      </c>
      <c r="K4697" s="55">
        <v>2.4829590000000001</v>
      </c>
      <c r="L4697" s="55">
        <v>1.539012</v>
      </c>
      <c r="M4697" s="55">
        <v>0.87771109999999997</v>
      </c>
      <c r="N4697" s="55">
        <v>0.78212680000000001</v>
      </c>
    </row>
    <row r="4698" spans="1:14" hidden="1" x14ac:dyDescent="0.35">
      <c r="A4698" s="52" t="s">
        <v>648</v>
      </c>
      <c r="B4698" s="52" t="s">
        <v>37</v>
      </c>
      <c r="C4698" s="52" t="s">
        <v>63</v>
      </c>
      <c r="D4698" s="52" t="s">
        <v>63</v>
      </c>
      <c r="E4698" s="52" t="s">
        <v>584</v>
      </c>
      <c r="F4698" s="52" t="s">
        <v>26</v>
      </c>
      <c r="G4698" s="55" t="s">
        <v>276</v>
      </c>
      <c r="H4698" s="55">
        <v>-1.575661</v>
      </c>
      <c r="I4698" s="55">
        <v>-1.2159450000000001</v>
      </c>
      <c r="J4698" s="55">
        <v>-0.72810629999999998</v>
      </c>
      <c r="K4698" s="55">
        <v>-0.43628889999999998</v>
      </c>
      <c r="L4698" s="55">
        <v>-0.15731220000000001</v>
      </c>
      <c r="M4698" s="55">
        <v>0.35539219999999999</v>
      </c>
      <c r="N4698" s="55">
        <v>0.31668990000000002</v>
      </c>
    </row>
    <row r="4699" spans="1:14" hidden="1" x14ac:dyDescent="0.35">
      <c r="A4699" s="52" t="s">
        <v>648</v>
      </c>
      <c r="B4699" s="52" t="s">
        <v>37</v>
      </c>
      <c r="C4699" s="52" t="s">
        <v>63</v>
      </c>
      <c r="D4699" s="52" t="s">
        <v>63</v>
      </c>
      <c r="E4699" s="52" t="s">
        <v>584</v>
      </c>
      <c r="F4699" s="52" t="s">
        <v>26</v>
      </c>
      <c r="G4699" s="55" t="s">
        <v>277</v>
      </c>
      <c r="H4699" s="55"/>
      <c r="I4699" s="55"/>
      <c r="J4699" s="55"/>
      <c r="K4699" s="55"/>
      <c r="L4699" s="55"/>
      <c r="M4699" s="55"/>
      <c r="N4699" s="55"/>
    </row>
    <row r="4700" spans="1:14" hidden="1" x14ac:dyDescent="0.35">
      <c r="A4700" s="52" t="s">
        <v>648</v>
      </c>
      <c r="B4700" s="52" t="s">
        <v>37</v>
      </c>
      <c r="C4700" s="52" t="s">
        <v>63</v>
      </c>
      <c r="D4700" s="52" t="s">
        <v>63</v>
      </c>
      <c r="E4700" s="52" t="s">
        <v>584</v>
      </c>
      <c r="F4700" s="52" t="s">
        <v>26</v>
      </c>
      <c r="G4700" s="55" t="s">
        <v>279</v>
      </c>
      <c r="H4700" s="55">
        <v>11.270250000000001</v>
      </c>
      <c r="I4700" s="55">
        <v>8.9941849999999999</v>
      </c>
      <c r="J4700" s="55">
        <v>8.0987109999999998</v>
      </c>
      <c r="K4700" s="55">
        <v>8.128819</v>
      </c>
      <c r="L4700" s="55">
        <v>7.9154739999999997</v>
      </c>
      <c r="M4700" s="55">
        <v>7.0514729999999997</v>
      </c>
      <c r="N4700" s="55">
        <v>6.2963709999999997</v>
      </c>
    </row>
    <row r="4701" spans="1:14" hidden="1" x14ac:dyDescent="0.35">
      <c r="A4701" s="52" t="s">
        <v>648</v>
      </c>
      <c r="B4701" s="52" t="s">
        <v>37</v>
      </c>
      <c r="C4701" s="52" t="s">
        <v>63</v>
      </c>
      <c r="D4701" s="52" t="s">
        <v>63</v>
      </c>
      <c r="E4701" s="52" t="s">
        <v>612</v>
      </c>
      <c r="F4701" s="52" t="s">
        <v>581</v>
      </c>
      <c r="G4701" s="55" t="s">
        <v>275</v>
      </c>
      <c r="H4701" s="55">
        <v>1.465365</v>
      </c>
      <c r="I4701" s="55">
        <v>0.33868320000000002</v>
      </c>
      <c r="J4701" s="55">
        <v>0.28366209999999997</v>
      </c>
      <c r="K4701" s="55">
        <v>0.1933935</v>
      </c>
      <c r="L4701" s="55">
        <v>0.15859609999999999</v>
      </c>
      <c r="M4701" s="55">
        <v>0.14175080000000001</v>
      </c>
      <c r="N4701" s="55">
        <v>0.14228679999999999</v>
      </c>
    </row>
    <row r="4702" spans="1:14" hidden="1" x14ac:dyDescent="0.35">
      <c r="A4702" s="52" t="s">
        <v>648</v>
      </c>
      <c r="B4702" s="52" t="s">
        <v>37</v>
      </c>
      <c r="C4702" s="52" t="s">
        <v>63</v>
      </c>
      <c r="D4702" s="52" t="s">
        <v>63</v>
      </c>
      <c r="E4702" s="52" t="s">
        <v>612</v>
      </c>
      <c r="F4702" s="52" t="s">
        <v>581</v>
      </c>
      <c r="G4702" s="55" t="s">
        <v>276</v>
      </c>
      <c r="H4702" s="55">
        <v>0.16101099999999999</v>
      </c>
      <c r="I4702" s="55">
        <v>3.7213999999999997E-2</v>
      </c>
      <c r="J4702" s="55">
        <v>3.1168499999999998E-2</v>
      </c>
      <c r="K4702" s="55">
        <v>5.8802199999999999E-2</v>
      </c>
      <c r="L4702" s="55">
        <v>6.4217800000000005E-2</v>
      </c>
      <c r="M4702" s="55">
        <v>3.2059999999999998E-2</v>
      </c>
      <c r="N4702" s="55">
        <v>1.5635E-2</v>
      </c>
    </row>
    <row r="4703" spans="1:14" hidden="1" x14ac:dyDescent="0.35">
      <c r="A4703" s="52" t="s">
        <v>648</v>
      </c>
      <c r="B4703" s="52" t="s">
        <v>37</v>
      </c>
      <c r="C4703" s="52" t="s">
        <v>63</v>
      </c>
      <c r="D4703" s="52" t="s">
        <v>63</v>
      </c>
      <c r="E4703" s="52" t="s">
        <v>612</v>
      </c>
      <c r="F4703" s="52" t="s">
        <v>581</v>
      </c>
      <c r="G4703" s="55" t="s">
        <v>277</v>
      </c>
      <c r="H4703" s="55"/>
      <c r="I4703" s="55"/>
      <c r="J4703" s="55"/>
      <c r="K4703" s="55"/>
      <c r="L4703" s="55">
        <v>0</v>
      </c>
      <c r="M4703" s="55"/>
      <c r="N4703" s="55"/>
    </row>
    <row r="4704" spans="1:14" hidden="1" x14ac:dyDescent="0.35">
      <c r="A4704" s="52" t="s">
        <v>648</v>
      </c>
      <c r="B4704" s="52" t="s">
        <v>37</v>
      </c>
      <c r="C4704" s="52" t="s">
        <v>63</v>
      </c>
      <c r="D4704" s="52" t="s">
        <v>63</v>
      </c>
      <c r="E4704" s="52" t="s">
        <v>612</v>
      </c>
      <c r="F4704" s="52" t="s">
        <v>581</v>
      </c>
      <c r="G4704" s="55" t="s">
        <v>279</v>
      </c>
      <c r="H4704" s="55">
        <v>0.92198199999999997</v>
      </c>
      <c r="I4704" s="55">
        <v>0.57197189999999998</v>
      </c>
      <c r="J4704" s="55">
        <v>0.45124259999999999</v>
      </c>
      <c r="K4704" s="55">
        <v>0.4014645</v>
      </c>
      <c r="L4704" s="55">
        <v>0.34860920000000001</v>
      </c>
      <c r="M4704" s="55">
        <v>0.3367967</v>
      </c>
      <c r="N4704" s="55">
        <v>0.30258079999999998</v>
      </c>
    </row>
    <row r="4705" spans="1:14" hidden="1" x14ac:dyDescent="0.35">
      <c r="A4705" s="52" t="s">
        <v>648</v>
      </c>
      <c r="B4705" s="52" t="s">
        <v>37</v>
      </c>
      <c r="C4705" s="52" t="s">
        <v>63</v>
      </c>
      <c r="D4705" s="52" t="s">
        <v>63</v>
      </c>
      <c r="E4705" s="52" t="s">
        <v>612</v>
      </c>
      <c r="F4705" s="52" t="s">
        <v>26</v>
      </c>
      <c r="G4705" s="55" t="s">
        <v>275</v>
      </c>
      <c r="H4705" s="55">
        <v>0.93005499999999997</v>
      </c>
      <c r="I4705" s="55">
        <v>0.65772430000000004</v>
      </c>
      <c r="J4705" s="55">
        <v>0.54155339999999996</v>
      </c>
      <c r="K4705" s="55">
        <v>0.32346930000000002</v>
      </c>
      <c r="L4705" s="55">
        <v>0.18193889999999999</v>
      </c>
      <c r="M4705" s="55">
        <v>0.13961970000000001</v>
      </c>
      <c r="N4705" s="55">
        <v>0.12500030000000001</v>
      </c>
    </row>
    <row r="4706" spans="1:14" hidden="1" x14ac:dyDescent="0.35">
      <c r="A4706" s="52" t="s">
        <v>648</v>
      </c>
      <c r="B4706" s="52" t="s">
        <v>37</v>
      </c>
      <c r="C4706" s="52" t="s">
        <v>63</v>
      </c>
      <c r="D4706" s="52" t="s">
        <v>63</v>
      </c>
      <c r="E4706" s="52" t="s">
        <v>612</v>
      </c>
      <c r="F4706" s="52" t="s">
        <v>26</v>
      </c>
      <c r="G4706" s="55" t="s">
        <v>276</v>
      </c>
      <c r="H4706" s="55">
        <v>-0.19391</v>
      </c>
      <c r="I4706" s="55">
        <v>-0.22383310000000001</v>
      </c>
      <c r="J4706" s="55">
        <v>-0.10876470000000001</v>
      </c>
      <c r="K4706" s="55">
        <v>-6.8523000000000004E-3</v>
      </c>
      <c r="L4706" s="55">
        <v>7.3669100000000001E-2</v>
      </c>
      <c r="M4706" s="55">
        <v>5.6533E-2</v>
      </c>
      <c r="N4706" s="55">
        <v>5.06133E-2</v>
      </c>
    </row>
    <row r="4707" spans="1:14" hidden="1" x14ac:dyDescent="0.35">
      <c r="A4707" s="52" t="s">
        <v>648</v>
      </c>
      <c r="B4707" s="52" t="s">
        <v>37</v>
      </c>
      <c r="C4707" s="52" t="s">
        <v>63</v>
      </c>
      <c r="D4707" s="52" t="s">
        <v>63</v>
      </c>
      <c r="E4707" s="52" t="s">
        <v>612</v>
      </c>
      <c r="F4707" s="52" t="s">
        <v>26</v>
      </c>
      <c r="G4707" s="55" t="s">
        <v>277</v>
      </c>
      <c r="H4707" s="55"/>
      <c r="I4707" s="55"/>
      <c r="J4707" s="55"/>
      <c r="K4707" s="55"/>
      <c r="L4707" s="55">
        <v>0</v>
      </c>
      <c r="M4707" s="55">
        <v>0</v>
      </c>
      <c r="N4707" s="55">
        <v>0</v>
      </c>
    </row>
    <row r="4708" spans="1:14" hidden="1" x14ac:dyDescent="0.35">
      <c r="A4708" s="52" t="s">
        <v>648</v>
      </c>
      <c r="B4708" s="52" t="s">
        <v>37</v>
      </c>
      <c r="C4708" s="52" t="s">
        <v>63</v>
      </c>
      <c r="D4708" s="52" t="s">
        <v>63</v>
      </c>
      <c r="E4708" s="52" t="s">
        <v>612</v>
      </c>
      <c r="F4708" s="52" t="s">
        <v>26</v>
      </c>
      <c r="G4708" s="55" t="s">
        <v>279</v>
      </c>
      <c r="H4708" s="55">
        <v>1.7881739999999999</v>
      </c>
      <c r="I4708" s="55">
        <v>1.21641</v>
      </c>
      <c r="J4708" s="55">
        <v>0.97485489999999997</v>
      </c>
      <c r="K4708" s="55">
        <v>0.8787045</v>
      </c>
      <c r="L4708" s="55">
        <v>0.78513429999999995</v>
      </c>
      <c r="M4708" s="55">
        <v>0.72958789999999996</v>
      </c>
      <c r="N4708" s="55">
        <v>0.65515659999999998</v>
      </c>
    </row>
    <row r="4709" spans="1:14" hidden="1" x14ac:dyDescent="0.35">
      <c r="A4709" s="52" t="s">
        <v>648</v>
      </c>
      <c r="B4709" s="52" t="s">
        <v>37</v>
      </c>
      <c r="C4709" s="52" t="s">
        <v>63</v>
      </c>
      <c r="D4709" s="52" t="s">
        <v>63</v>
      </c>
      <c r="E4709" s="52" t="s">
        <v>611</v>
      </c>
      <c r="F4709" s="52" t="s">
        <v>581</v>
      </c>
      <c r="G4709" s="55" t="s">
        <v>275</v>
      </c>
      <c r="H4709" s="55">
        <v>0.265181</v>
      </c>
      <c r="I4709" s="55">
        <v>7.7545489999999995E-2</v>
      </c>
      <c r="J4709" s="55">
        <v>7.1879899999999997E-2</v>
      </c>
      <c r="K4709" s="55">
        <v>6.4838190000000004E-2</v>
      </c>
      <c r="L4709" s="55">
        <v>6.2442299999999999E-2</v>
      </c>
      <c r="M4709" s="55">
        <v>6.6403000000000004E-2</v>
      </c>
      <c r="N4709" s="55">
        <v>6.120859E-2</v>
      </c>
    </row>
    <row r="4710" spans="1:14" hidden="1" x14ac:dyDescent="0.35">
      <c r="A4710" s="52" t="s">
        <v>648</v>
      </c>
      <c r="B4710" s="52" t="s">
        <v>37</v>
      </c>
      <c r="C4710" s="52" t="s">
        <v>63</v>
      </c>
      <c r="D4710" s="52" t="s">
        <v>63</v>
      </c>
      <c r="E4710" s="52" t="s">
        <v>611</v>
      </c>
      <c r="F4710" s="52" t="s">
        <v>581</v>
      </c>
      <c r="G4710" s="55" t="s">
        <v>276</v>
      </c>
      <c r="H4710" s="55">
        <v>2.9137E-2</v>
      </c>
      <c r="I4710" s="55">
        <v>3.1398299999999997E-2</v>
      </c>
      <c r="J4710" s="55">
        <v>2.9105200000000001E-2</v>
      </c>
      <c r="K4710" s="55">
        <v>2.6253599999999998E-2</v>
      </c>
      <c r="L4710" s="55">
        <v>2.24789E-2</v>
      </c>
      <c r="M4710" s="55">
        <v>7.2953000000000002E-3</v>
      </c>
      <c r="N4710" s="55">
        <v>6.7253E-3</v>
      </c>
    </row>
    <row r="4711" spans="1:14" hidden="1" x14ac:dyDescent="0.35">
      <c r="A4711" s="52" t="s">
        <v>648</v>
      </c>
      <c r="B4711" s="52" t="s">
        <v>37</v>
      </c>
      <c r="C4711" s="52" t="s">
        <v>63</v>
      </c>
      <c r="D4711" s="52" t="s">
        <v>63</v>
      </c>
      <c r="E4711" s="52" t="s">
        <v>611</v>
      </c>
      <c r="F4711" s="52" t="s">
        <v>581</v>
      </c>
      <c r="G4711" s="55" t="s">
        <v>279</v>
      </c>
      <c r="H4711" s="55">
        <v>8.4268999999999997E-2</v>
      </c>
      <c r="I4711" s="55">
        <v>6.4541600000000005E-2</v>
      </c>
      <c r="J4711" s="55">
        <v>5.6851800000000001E-2</v>
      </c>
      <c r="K4711" s="55">
        <v>5.4845400000000002E-2</v>
      </c>
      <c r="L4711" s="55">
        <v>4.9802899999999997E-2</v>
      </c>
      <c r="M4711" s="55">
        <v>5.1185090000000003E-2</v>
      </c>
      <c r="N4711" s="55">
        <v>4.7095199999999997E-2</v>
      </c>
    </row>
    <row r="4712" spans="1:14" hidden="1" x14ac:dyDescent="0.35">
      <c r="A4712" s="52" t="s">
        <v>648</v>
      </c>
      <c r="B4712" s="52" t="s">
        <v>37</v>
      </c>
      <c r="C4712" s="52" t="s">
        <v>63</v>
      </c>
      <c r="D4712" s="52" t="s">
        <v>63</v>
      </c>
      <c r="E4712" s="52" t="s">
        <v>611</v>
      </c>
      <c r="F4712" s="52" t="s">
        <v>26</v>
      </c>
      <c r="G4712" s="55" t="s">
        <v>275</v>
      </c>
      <c r="H4712" s="55">
        <v>7.7531000000000003E-2</v>
      </c>
      <c r="I4712" s="55">
        <v>9.4472989999999993E-3</v>
      </c>
      <c r="J4712" s="55">
        <v>2.36449E-2</v>
      </c>
      <c r="K4712" s="55">
        <v>1.08412E-2</v>
      </c>
      <c r="L4712" s="55">
        <v>5.1542999999999997E-3</v>
      </c>
      <c r="M4712" s="55">
        <v>-5.9613000000000001E-3</v>
      </c>
      <c r="N4712" s="55">
        <v>-5.6171989999999998E-3</v>
      </c>
    </row>
    <row r="4713" spans="1:14" hidden="1" x14ac:dyDescent="0.35">
      <c r="A4713" s="52" t="s">
        <v>648</v>
      </c>
      <c r="B4713" s="52" t="s">
        <v>37</v>
      </c>
      <c r="C4713" s="52" t="s">
        <v>63</v>
      </c>
      <c r="D4713" s="52" t="s">
        <v>63</v>
      </c>
      <c r="E4713" s="52" t="s">
        <v>611</v>
      </c>
      <c r="F4713" s="52" t="s">
        <v>26</v>
      </c>
      <c r="G4713" s="55" t="s">
        <v>276</v>
      </c>
      <c r="H4713" s="55">
        <v>-4.3804000000000003E-2</v>
      </c>
      <c r="I4713" s="55">
        <v>3.8254000000000001E-3</v>
      </c>
      <c r="J4713" s="55">
        <v>9.5743000000000009E-3</v>
      </c>
      <c r="K4713" s="55">
        <v>4.3895000000000002E-3</v>
      </c>
      <c r="L4713" s="55">
        <v>4.8913999999999997E-3</v>
      </c>
      <c r="M4713" s="55">
        <v>3.4400090000000002E-5</v>
      </c>
      <c r="N4713" s="55">
        <v>2.0400209999999999E-5</v>
      </c>
    </row>
    <row r="4714" spans="1:14" hidden="1" x14ac:dyDescent="0.35">
      <c r="A4714" s="52" t="s">
        <v>648</v>
      </c>
      <c r="B4714" s="52" t="s">
        <v>37</v>
      </c>
      <c r="C4714" s="52" t="s">
        <v>63</v>
      </c>
      <c r="D4714" s="52" t="s">
        <v>63</v>
      </c>
      <c r="E4714" s="52" t="s">
        <v>611</v>
      </c>
      <c r="F4714" s="52" t="s">
        <v>26</v>
      </c>
      <c r="G4714" s="55" t="s">
        <v>277</v>
      </c>
      <c r="H4714" s="55"/>
      <c r="I4714" s="55"/>
      <c r="J4714" s="55"/>
      <c r="K4714" s="55"/>
      <c r="L4714" s="55">
        <v>0</v>
      </c>
      <c r="M4714" s="55">
        <v>0</v>
      </c>
      <c r="N4714" s="55">
        <v>0</v>
      </c>
    </row>
    <row r="4715" spans="1:14" hidden="1" x14ac:dyDescent="0.35">
      <c r="A4715" s="52" t="s">
        <v>648</v>
      </c>
      <c r="B4715" s="52" t="s">
        <v>37</v>
      </c>
      <c r="C4715" s="52" t="s">
        <v>63</v>
      </c>
      <c r="D4715" s="52" t="s">
        <v>63</v>
      </c>
      <c r="E4715" s="52" t="s">
        <v>611</v>
      </c>
      <c r="F4715" s="52" t="s">
        <v>26</v>
      </c>
      <c r="G4715" s="55" t="s">
        <v>279</v>
      </c>
      <c r="H4715" s="55">
        <v>0.403229</v>
      </c>
      <c r="I4715" s="55">
        <v>0.3235229</v>
      </c>
      <c r="J4715" s="55">
        <v>0.28972969999999998</v>
      </c>
      <c r="K4715" s="55">
        <v>0.2829583</v>
      </c>
      <c r="L4715" s="55">
        <v>0.26502599999999998</v>
      </c>
      <c r="M4715" s="55">
        <v>0.26055850000000003</v>
      </c>
      <c r="N4715" s="55">
        <v>0.239701</v>
      </c>
    </row>
    <row r="4716" spans="1:14" hidden="1" x14ac:dyDescent="0.35">
      <c r="A4716" s="52" t="s">
        <v>648</v>
      </c>
      <c r="B4716" s="52" t="s">
        <v>37</v>
      </c>
      <c r="C4716" s="52" t="s">
        <v>46</v>
      </c>
      <c r="D4716" s="52" t="s">
        <v>46</v>
      </c>
      <c r="E4716" s="52" t="s">
        <v>584</v>
      </c>
      <c r="F4716" s="52" t="s">
        <v>581</v>
      </c>
      <c r="G4716" s="55" t="s">
        <v>275</v>
      </c>
      <c r="H4716" s="55">
        <v>36.92351</v>
      </c>
      <c r="I4716" s="55">
        <v>10.06724</v>
      </c>
      <c r="J4716" s="55">
        <v>10.39325</v>
      </c>
      <c r="K4716" s="55">
        <v>10.22627</v>
      </c>
      <c r="L4716" s="55">
        <v>9.2524519999999999</v>
      </c>
      <c r="M4716" s="55">
        <v>6.8782290000000001</v>
      </c>
      <c r="N4716" s="55">
        <v>5.6028900000000004</v>
      </c>
    </row>
    <row r="4717" spans="1:14" hidden="1" x14ac:dyDescent="0.35">
      <c r="A4717" s="52" t="s">
        <v>648</v>
      </c>
      <c r="B4717" s="52" t="s">
        <v>37</v>
      </c>
      <c r="C4717" s="52" t="s">
        <v>46</v>
      </c>
      <c r="D4717" s="52" t="s">
        <v>46</v>
      </c>
      <c r="E4717" s="52" t="s">
        <v>584</v>
      </c>
      <c r="F4717" s="52" t="s">
        <v>581</v>
      </c>
      <c r="G4717" s="55" t="s">
        <v>276</v>
      </c>
      <c r="H4717" s="55">
        <v>10.696999999999999</v>
      </c>
      <c r="I4717" s="55">
        <v>2.9162539999999999</v>
      </c>
      <c r="J4717" s="55">
        <v>3.0107110000000001</v>
      </c>
      <c r="K4717" s="55">
        <v>2.9624450000000002</v>
      </c>
      <c r="L4717" s="55">
        <v>2.680247</v>
      </c>
      <c r="M4717" s="55">
        <v>1.9919290000000001</v>
      </c>
      <c r="N4717" s="55">
        <v>1.6221719999999999</v>
      </c>
    </row>
    <row r="4718" spans="1:14" hidden="1" x14ac:dyDescent="0.35">
      <c r="A4718" s="52" t="s">
        <v>648</v>
      </c>
      <c r="B4718" s="52" t="s">
        <v>37</v>
      </c>
      <c r="C4718" s="52" t="s">
        <v>46</v>
      </c>
      <c r="D4718" s="52" t="s">
        <v>46</v>
      </c>
      <c r="E4718" s="52" t="s">
        <v>584</v>
      </c>
      <c r="F4718" s="52" t="s">
        <v>581</v>
      </c>
      <c r="G4718" s="55" t="s">
        <v>279</v>
      </c>
      <c r="H4718" s="55">
        <v>27.70289</v>
      </c>
      <c r="I4718" s="55">
        <v>11.91986</v>
      </c>
      <c r="J4718" s="55">
        <v>11.71228</v>
      </c>
      <c r="K4718" s="55">
        <v>12.28877</v>
      </c>
      <c r="L4718" s="55">
        <v>10.79157</v>
      </c>
      <c r="M4718" s="55">
        <v>9.4892269999999996</v>
      </c>
      <c r="N4718" s="55">
        <v>7.7121420000000001</v>
      </c>
    </row>
    <row r="4719" spans="1:14" hidden="1" x14ac:dyDescent="0.35">
      <c r="A4719" s="52" t="s">
        <v>648</v>
      </c>
      <c r="B4719" s="52" t="s">
        <v>37</v>
      </c>
      <c r="C4719" s="52" t="s">
        <v>46</v>
      </c>
      <c r="D4719" s="52" t="s">
        <v>46</v>
      </c>
      <c r="E4719" s="52" t="s">
        <v>584</v>
      </c>
      <c r="F4719" s="52" t="s">
        <v>26</v>
      </c>
      <c r="G4719" s="55" t="s">
        <v>275</v>
      </c>
      <c r="H4719" s="55">
        <v>32.614519999999999</v>
      </c>
      <c r="I4719" s="55">
        <v>59.772770000000001</v>
      </c>
      <c r="J4719" s="55">
        <v>30.465959999999999</v>
      </c>
      <c r="K4719" s="55">
        <v>4.6432079999999996</v>
      </c>
      <c r="L4719" s="55">
        <v>16.70382</v>
      </c>
      <c r="M4719" s="55">
        <v>15.04683</v>
      </c>
      <c r="N4719" s="55">
        <v>17.038229999999999</v>
      </c>
    </row>
    <row r="4720" spans="1:14" hidden="1" x14ac:dyDescent="0.35">
      <c r="A4720" s="52" t="s">
        <v>648</v>
      </c>
      <c r="B4720" s="52" t="s">
        <v>37</v>
      </c>
      <c r="C4720" s="52" t="s">
        <v>46</v>
      </c>
      <c r="D4720" s="52" t="s">
        <v>46</v>
      </c>
      <c r="E4720" s="52" t="s">
        <v>584</v>
      </c>
      <c r="F4720" s="52" t="s">
        <v>26</v>
      </c>
      <c r="G4720" s="55" t="s">
        <v>276</v>
      </c>
      <c r="H4720" s="55">
        <v>-66.219059999999999</v>
      </c>
      <c r="I4720" s="55">
        <v>-38.795749999999998</v>
      </c>
      <c r="J4720" s="55">
        <v>-42.507210000000001</v>
      </c>
      <c r="K4720" s="55">
        <v>-11.326029999999999</v>
      </c>
      <c r="L4720" s="55">
        <v>-4.1005209999999996</v>
      </c>
      <c r="M4720" s="55">
        <v>1.5996360000000001</v>
      </c>
      <c r="N4720" s="55">
        <v>-0.92659290000000005</v>
      </c>
    </row>
    <row r="4721" spans="1:14" hidden="1" x14ac:dyDescent="0.35">
      <c r="A4721" s="52" t="s">
        <v>648</v>
      </c>
      <c r="B4721" s="52" t="s">
        <v>37</v>
      </c>
      <c r="C4721" s="52" t="s">
        <v>46</v>
      </c>
      <c r="D4721" s="52" t="s">
        <v>46</v>
      </c>
      <c r="E4721" s="52" t="s">
        <v>584</v>
      </c>
      <c r="F4721" s="52" t="s">
        <v>26</v>
      </c>
      <c r="G4721" s="55" t="s">
        <v>277</v>
      </c>
      <c r="H4721" s="55">
        <v>68.604290000000006</v>
      </c>
      <c r="I4721" s="55">
        <v>1.9131640000000001</v>
      </c>
      <c r="J4721" s="55">
        <v>40.014229999999998</v>
      </c>
      <c r="K4721" s="55">
        <v>31.608250000000002</v>
      </c>
      <c r="L4721" s="55">
        <v>10.566929999999999</v>
      </c>
      <c r="M4721" s="55">
        <v>2.4095499999999999</v>
      </c>
      <c r="N4721" s="55">
        <v>2.487063</v>
      </c>
    </row>
    <row r="4722" spans="1:14" hidden="1" x14ac:dyDescent="0.35">
      <c r="A4722" s="52" t="s">
        <v>648</v>
      </c>
      <c r="B4722" s="52" t="s">
        <v>37</v>
      </c>
      <c r="C4722" s="52" t="s">
        <v>46</v>
      </c>
      <c r="D4722" s="52" t="s">
        <v>46</v>
      </c>
      <c r="E4722" s="52" t="s">
        <v>584</v>
      </c>
      <c r="F4722" s="52" t="s">
        <v>26</v>
      </c>
      <c r="G4722" s="55" t="s">
        <v>278</v>
      </c>
      <c r="H4722" s="55">
        <v>6.8856000000000001E-2</v>
      </c>
      <c r="I4722" s="55">
        <v>0</v>
      </c>
      <c r="J4722" s="55"/>
      <c r="K4722" s="55"/>
      <c r="L4722" s="55"/>
      <c r="M4722" s="55"/>
      <c r="N4722" s="55"/>
    </row>
    <row r="4723" spans="1:14" hidden="1" x14ac:dyDescent="0.35">
      <c r="A4723" s="52" t="s">
        <v>648</v>
      </c>
      <c r="B4723" s="52" t="s">
        <v>37</v>
      </c>
      <c r="C4723" s="52" t="s">
        <v>46</v>
      </c>
      <c r="D4723" s="52" t="s">
        <v>46</v>
      </c>
      <c r="E4723" s="52" t="s">
        <v>584</v>
      </c>
      <c r="F4723" s="52" t="s">
        <v>26</v>
      </c>
      <c r="G4723" s="55" t="s">
        <v>279</v>
      </c>
      <c r="H4723" s="55">
        <v>117.2413</v>
      </c>
      <c r="I4723" s="55">
        <v>65.550179999999997</v>
      </c>
      <c r="J4723" s="55">
        <v>65.477649999999997</v>
      </c>
      <c r="K4723" s="55">
        <v>69.693439999999995</v>
      </c>
      <c r="L4723" s="55">
        <v>63.043109999999999</v>
      </c>
      <c r="M4723" s="55">
        <v>53.831040000000002</v>
      </c>
      <c r="N4723" s="55">
        <v>43.961060000000003</v>
      </c>
    </row>
    <row r="4724" spans="1:14" hidden="1" x14ac:dyDescent="0.35">
      <c r="A4724" s="52" t="s">
        <v>648</v>
      </c>
      <c r="B4724" s="52" t="s">
        <v>37</v>
      </c>
      <c r="C4724" s="52" t="s">
        <v>105</v>
      </c>
      <c r="D4724" s="52" t="s">
        <v>105</v>
      </c>
      <c r="E4724" s="52" t="s">
        <v>620</v>
      </c>
      <c r="F4724" s="52" t="s">
        <v>581</v>
      </c>
      <c r="G4724" s="55" t="s">
        <v>275</v>
      </c>
      <c r="H4724" s="55">
        <v>-0.62824000000000002</v>
      </c>
      <c r="I4724" s="55">
        <v>-1.1857740000000001</v>
      </c>
      <c r="J4724" s="55">
        <v>0.17886949999999999</v>
      </c>
      <c r="K4724" s="55">
        <v>0.41283950000000003</v>
      </c>
      <c r="L4724" s="55">
        <v>0.1780611</v>
      </c>
      <c r="M4724" s="55">
        <v>0.55031859999999999</v>
      </c>
      <c r="N4724" s="55">
        <v>0.36620999999999998</v>
      </c>
    </row>
    <row r="4725" spans="1:14" hidden="1" x14ac:dyDescent="0.35">
      <c r="A4725" s="52" t="s">
        <v>648</v>
      </c>
      <c r="B4725" s="52" t="s">
        <v>37</v>
      </c>
      <c r="C4725" s="52" t="s">
        <v>105</v>
      </c>
      <c r="D4725" s="52" t="s">
        <v>105</v>
      </c>
      <c r="E4725" s="52" t="s">
        <v>620</v>
      </c>
      <c r="F4725" s="52" t="s">
        <v>581</v>
      </c>
      <c r="G4725" s="55" t="s">
        <v>276</v>
      </c>
      <c r="H4725" s="55">
        <v>0.34681400000000001</v>
      </c>
      <c r="I4725" s="55">
        <v>-0.14042260000000001</v>
      </c>
      <c r="J4725" s="55">
        <v>-7.7439969999999999E-3</v>
      </c>
      <c r="K4725" s="55">
        <v>-1.31804E-2</v>
      </c>
      <c r="L4725" s="55">
        <v>-0.18217050000000001</v>
      </c>
      <c r="M4725" s="55">
        <v>-0.1100865</v>
      </c>
      <c r="N4725" s="55">
        <v>1.38526E-2</v>
      </c>
    </row>
    <row r="4726" spans="1:14" hidden="1" x14ac:dyDescent="0.35">
      <c r="A4726" s="52" t="s">
        <v>648</v>
      </c>
      <c r="B4726" s="52" t="s">
        <v>37</v>
      </c>
      <c r="C4726" s="52" t="s">
        <v>105</v>
      </c>
      <c r="D4726" s="52" t="s">
        <v>105</v>
      </c>
      <c r="E4726" s="52" t="s">
        <v>620</v>
      </c>
      <c r="F4726" s="52" t="s">
        <v>581</v>
      </c>
      <c r="G4726" s="55" t="s">
        <v>277</v>
      </c>
      <c r="H4726" s="55">
        <v>2.44529</v>
      </c>
      <c r="I4726" s="55">
        <v>1.8831580000000001</v>
      </c>
      <c r="J4726" s="55">
        <v>0.48920730000000001</v>
      </c>
      <c r="K4726" s="55">
        <v>0.14985039999999999</v>
      </c>
      <c r="L4726" s="55"/>
      <c r="M4726" s="55">
        <v>0</v>
      </c>
      <c r="N4726" s="55">
        <v>0</v>
      </c>
    </row>
    <row r="4727" spans="1:14" hidden="1" x14ac:dyDescent="0.35">
      <c r="A4727" s="52" t="s">
        <v>648</v>
      </c>
      <c r="B4727" s="52" t="s">
        <v>37</v>
      </c>
      <c r="C4727" s="52" t="s">
        <v>105</v>
      </c>
      <c r="D4727" s="52" t="s">
        <v>105</v>
      </c>
      <c r="E4727" s="52" t="s">
        <v>620</v>
      </c>
      <c r="F4727" s="52" t="s">
        <v>581</v>
      </c>
      <c r="G4727" s="55" t="s">
        <v>278</v>
      </c>
      <c r="H4727" s="55">
        <v>0.120407</v>
      </c>
      <c r="I4727" s="55">
        <v>5.0078999999999999E-2</v>
      </c>
      <c r="J4727" s="55">
        <v>4.7953000000000003E-2</v>
      </c>
      <c r="K4727" s="55">
        <v>1.72824E-2</v>
      </c>
      <c r="L4727" s="55">
        <v>0</v>
      </c>
      <c r="M4727" s="55"/>
      <c r="N4727" s="55"/>
    </row>
    <row r="4728" spans="1:14" hidden="1" x14ac:dyDescent="0.35">
      <c r="A4728" s="52" t="s">
        <v>648</v>
      </c>
      <c r="B4728" s="52" t="s">
        <v>37</v>
      </c>
      <c r="C4728" s="52" t="s">
        <v>105</v>
      </c>
      <c r="D4728" s="52" t="s">
        <v>105</v>
      </c>
      <c r="E4728" s="52" t="s">
        <v>620</v>
      </c>
      <c r="F4728" s="52" t="s">
        <v>581</v>
      </c>
      <c r="G4728" s="55" t="s">
        <v>279</v>
      </c>
      <c r="H4728" s="55">
        <v>1.336066</v>
      </c>
      <c r="I4728" s="55">
        <v>1.008059</v>
      </c>
      <c r="J4728" s="55">
        <v>1.0648329999999999</v>
      </c>
      <c r="K4728" s="55">
        <v>0.92261309999999996</v>
      </c>
      <c r="L4728" s="55">
        <v>0.81080529999999995</v>
      </c>
      <c r="M4728" s="55">
        <v>0.8356268</v>
      </c>
      <c r="N4728" s="55">
        <v>0.72595799999999999</v>
      </c>
    </row>
    <row r="4729" spans="1:14" hidden="1" x14ac:dyDescent="0.35">
      <c r="A4729" s="52" t="s">
        <v>648</v>
      </c>
      <c r="B4729" s="52" t="s">
        <v>37</v>
      </c>
      <c r="C4729" s="52" t="s">
        <v>105</v>
      </c>
      <c r="D4729" s="52" t="s">
        <v>105</v>
      </c>
      <c r="E4729" s="52" t="s">
        <v>620</v>
      </c>
      <c r="F4729" s="52" t="s">
        <v>26</v>
      </c>
      <c r="G4729" s="55" t="s">
        <v>275</v>
      </c>
      <c r="H4729" s="55">
        <v>-0.33551799999999998</v>
      </c>
      <c r="I4729" s="55">
        <v>-0.30501699999999998</v>
      </c>
      <c r="J4729" s="55">
        <v>-0.28262419999999999</v>
      </c>
      <c r="K4729" s="55">
        <v>-0.2779816</v>
      </c>
      <c r="L4729" s="55">
        <v>-0.24829319999999999</v>
      </c>
      <c r="M4729" s="55">
        <v>-0.28091929999999998</v>
      </c>
      <c r="N4729" s="55">
        <v>-0.2450117</v>
      </c>
    </row>
    <row r="4730" spans="1:14" hidden="1" x14ac:dyDescent="0.35">
      <c r="A4730" s="52" t="s">
        <v>648</v>
      </c>
      <c r="B4730" s="52" t="s">
        <v>37</v>
      </c>
      <c r="C4730" s="52" t="s">
        <v>105</v>
      </c>
      <c r="D4730" s="52" t="s">
        <v>105</v>
      </c>
      <c r="E4730" s="52" t="s">
        <v>620</v>
      </c>
      <c r="F4730" s="52" t="s">
        <v>26</v>
      </c>
      <c r="G4730" s="55" t="s">
        <v>276</v>
      </c>
      <c r="H4730" s="55">
        <v>-8.9189000000000004E-2</v>
      </c>
      <c r="I4730" s="55">
        <v>-8.1079999999999999E-2</v>
      </c>
      <c r="J4730" s="55">
        <v>-7.5127390000000002E-2</v>
      </c>
      <c r="K4730" s="55">
        <v>-7.3893600000000004E-2</v>
      </c>
      <c r="L4730" s="55">
        <v>-6.6002500000000006E-2</v>
      </c>
      <c r="M4730" s="55">
        <v>-7.4674099999999993E-2</v>
      </c>
      <c r="N4730" s="55">
        <v>-6.5129999999999993E-2</v>
      </c>
    </row>
    <row r="4731" spans="1:14" hidden="1" x14ac:dyDescent="0.35">
      <c r="A4731" s="52" t="s">
        <v>648</v>
      </c>
      <c r="B4731" s="52" t="s">
        <v>37</v>
      </c>
      <c r="C4731" s="52" t="s">
        <v>105</v>
      </c>
      <c r="D4731" s="52" t="s">
        <v>105</v>
      </c>
      <c r="E4731" s="52" t="s">
        <v>620</v>
      </c>
      <c r="F4731" s="52" t="s">
        <v>26</v>
      </c>
      <c r="G4731" s="55" t="s">
        <v>279</v>
      </c>
      <c r="H4731" s="55">
        <v>1.25762</v>
      </c>
      <c r="I4731" s="55">
        <v>1.062052</v>
      </c>
      <c r="J4731" s="55">
        <v>1.134749</v>
      </c>
      <c r="K4731" s="55">
        <v>0.99847180000000002</v>
      </c>
      <c r="L4731" s="55">
        <v>0.91586380000000001</v>
      </c>
      <c r="M4731" s="55">
        <v>0.89722139999999995</v>
      </c>
      <c r="N4731" s="55">
        <v>0.77969189999999999</v>
      </c>
    </row>
    <row r="4732" spans="1:14" hidden="1" x14ac:dyDescent="0.35">
      <c r="A4732" s="52" t="s">
        <v>648</v>
      </c>
      <c r="B4732" s="52" t="s">
        <v>37</v>
      </c>
      <c r="C4732" s="52" t="s">
        <v>318</v>
      </c>
      <c r="D4732" s="52" t="s">
        <v>318</v>
      </c>
      <c r="E4732" s="52" t="s">
        <v>584</v>
      </c>
      <c r="F4732" s="52" t="s">
        <v>581</v>
      </c>
      <c r="G4732" s="55" t="s">
        <v>275</v>
      </c>
      <c r="H4732" s="55">
        <v>21.74306</v>
      </c>
      <c r="I4732" s="55">
        <v>0</v>
      </c>
      <c r="J4732" s="55"/>
      <c r="K4732" s="55"/>
      <c r="L4732" s="55"/>
      <c r="M4732" s="55"/>
      <c r="N4732" s="55"/>
    </row>
    <row r="4733" spans="1:14" hidden="1" x14ac:dyDescent="0.35">
      <c r="A4733" s="52" t="s">
        <v>648</v>
      </c>
      <c r="B4733" s="52" t="s">
        <v>37</v>
      </c>
      <c r="C4733" s="52" t="s">
        <v>318</v>
      </c>
      <c r="D4733" s="52" t="s">
        <v>318</v>
      </c>
      <c r="E4733" s="52" t="s">
        <v>584</v>
      </c>
      <c r="F4733" s="52" t="s">
        <v>581</v>
      </c>
      <c r="G4733" s="55" t="s">
        <v>276</v>
      </c>
      <c r="H4733" s="55">
        <v>-5.3226000000000002E-2</v>
      </c>
      <c r="I4733" s="55">
        <v>0</v>
      </c>
      <c r="J4733" s="55"/>
      <c r="K4733" s="55"/>
      <c r="L4733" s="55"/>
      <c r="M4733" s="55"/>
      <c r="N4733" s="55"/>
    </row>
    <row r="4734" spans="1:14" hidden="1" x14ac:dyDescent="0.35">
      <c r="A4734" s="52" t="s">
        <v>648</v>
      </c>
      <c r="B4734" s="52" t="s">
        <v>37</v>
      </c>
      <c r="C4734" s="52" t="s">
        <v>318</v>
      </c>
      <c r="D4734" s="52" t="s">
        <v>318</v>
      </c>
      <c r="E4734" s="52" t="s">
        <v>584</v>
      </c>
      <c r="F4734" s="52" t="s">
        <v>581</v>
      </c>
      <c r="G4734" s="55" t="s">
        <v>278</v>
      </c>
      <c r="H4734" s="55">
        <v>-21.68984</v>
      </c>
      <c r="I4734" s="55">
        <v>0</v>
      </c>
      <c r="J4734" s="55"/>
      <c r="K4734" s="55"/>
      <c r="L4734" s="55"/>
      <c r="M4734" s="55"/>
      <c r="N4734" s="55"/>
    </row>
    <row r="4735" spans="1:14" hidden="1" x14ac:dyDescent="0.35">
      <c r="A4735" s="52" t="s">
        <v>648</v>
      </c>
      <c r="B4735" s="52" t="s">
        <v>37</v>
      </c>
      <c r="C4735" s="52" t="s">
        <v>318</v>
      </c>
      <c r="D4735" s="52" t="s">
        <v>318</v>
      </c>
      <c r="E4735" s="52" t="s">
        <v>584</v>
      </c>
      <c r="F4735" s="52" t="s">
        <v>26</v>
      </c>
      <c r="G4735" s="55" t="s">
        <v>275</v>
      </c>
      <c r="H4735" s="55">
        <v>14.495369999999999</v>
      </c>
      <c r="I4735" s="55">
        <v>0</v>
      </c>
      <c r="J4735" s="55"/>
      <c r="K4735" s="55"/>
      <c r="L4735" s="55"/>
      <c r="M4735" s="55"/>
      <c r="N4735" s="55"/>
    </row>
    <row r="4736" spans="1:14" hidden="1" x14ac:dyDescent="0.35">
      <c r="A4736" s="52" t="s">
        <v>648</v>
      </c>
      <c r="B4736" s="52" t="s">
        <v>37</v>
      </c>
      <c r="C4736" s="52" t="s">
        <v>318</v>
      </c>
      <c r="D4736" s="52" t="s">
        <v>318</v>
      </c>
      <c r="E4736" s="52" t="s">
        <v>584</v>
      </c>
      <c r="F4736" s="52" t="s">
        <v>26</v>
      </c>
      <c r="G4736" s="55" t="s">
        <v>276</v>
      </c>
      <c r="H4736" s="55">
        <v>-3.5484000000000002E-2</v>
      </c>
      <c r="I4736" s="55">
        <v>0</v>
      </c>
      <c r="J4736" s="55"/>
      <c r="K4736" s="55"/>
      <c r="L4736" s="55"/>
      <c r="M4736" s="55"/>
      <c r="N4736" s="55"/>
    </row>
    <row r="4737" spans="1:14" hidden="1" x14ac:dyDescent="0.35">
      <c r="A4737" s="52" t="s">
        <v>648</v>
      </c>
      <c r="B4737" s="52" t="s">
        <v>37</v>
      </c>
      <c r="C4737" s="52" t="s">
        <v>318</v>
      </c>
      <c r="D4737" s="52" t="s">
        <v>318</v>
      </c>
      <c r="E4737" s="52" t="s">
        <v>584</v>
      </c>
      <c r="F4737" s="52" t="s">
        <v>26</v>
      </c>
      <c r="G4737" s="55" t="s">
        <v>278</v>
      </c>
      <c r="H4737" s="55">
        <v>-14.45989</v>
      </c>
      <c r="I4737" s="55">
        <v>0</v>
      </c>
      <c r="J4737" s="55"/>
      <c r="K4737" s="55"/>
      <c r="L4737" s="55"/>
      <c r="M4737" s="55"/>
      <c r="N4737" s="55"/>
    </row>
    <row r="4738" spans="1:14" hidden="1" x14ac:dyDescent="0.35">
      <c r="A4738" s="52" t="s">
        <v>648</v>
      </c>
      <c r="B4738" s="52" t="s">
        <v>649</v>
      </c>
      <c r="C4738" s="52" t="s">
        <v>650</v>
      </c>
      <c r="D4738" s="52" t="s">
        <v>650</v>
      </c>
      <c r="E4738" s="52" t="s">
        <v>584</v>
      </c>
      <c r="F4738" s="52" t="s">
        <v>581</v>
      </c>
      <c r="G4738" s="55" t="s">
        <v>275</v>
      </c>
      <c r="H4738" s="55">
        <v>0.57096610000000003</v>
      </c>
      <c r="I4738" s="55">
        <v>0.19854550000000001</v>
      </c>
      <c r="J4738" s="55">
        <v>0.1927324</v>
      </c>
      <c r="K4738" s="55">
        <v>0.144703</v>
      </c>
      <c r="L4738" s="55">
        <v>0.1226179</v>
      </c>
      <c r="M4738" s="55">
        <v>0.1113442</v>
      </c>
      <c r="N4738" s="55">
        <v>0.100545</v>
      </c>
    </row>
    <row r="4739" spans="1:14" hidden="1" x14ac:dyDescent="0.35">
      <c r="A4739" s="52" t="s">
        <v>648</v>
      </c>
      <c r="B4739" s="52" t="s">
        <v>649</v>
      </c>
      <c r="C4739" s="52" t="s">
        <v>650</v>
      </c>
      <c r="D4739" s="52" t="s">
        <v>650</v>
      </c>
      <c r="E4739" s="52" t="s">
        <v>584</v>
      </c>
      <c r="F4739" s="52" t="s">
        <v>581</v>
      </c>
      <c r="G4739" s="55" t="s">
        <v>277</v>
      </c>
      <c r="H4739" s="55">
        <v>0.16831189999999999</v>
      </c>
      <c r="I4739" s="55">
        <v>0.12973789999999999</v>
      </c>
      <c r="J4739" s="55">
        <v>0.1202868</v>
      </c>
      <c r="K4739" s="55">
        <v>0.1553437</v>
      </c>
      <c r="L4739" s="55">
        <v>0.1710325</v>
      </c>
      <c r="M4739" s="55">
        <v>0.1781201</v>
      </c>
      <c r="N4739" s="55">
        <v>0.1843978</v>
      </c>
    </row>
    <row r="4740" spans="1:14" hidden="1" x14ac:dyDescent="0.35">
      <c r="A4740" s="52" t="s">
        <v>648</v>
      </c>
      <c r="B4740" s="52" t="s">
        <v>649</v>
      </c>
      <c r="C4740" s="52" t="s">
        <v>650</v>
      </c>
      <c r="D4740" s="52" t="s">
        <v>650</v>
      </c>
      <c r="E4740" s="52" t="s">
        <v>584</v>
      </c>
      <c r="F4740" s="52" t="s">
        <v>581</v>
      </c>
      <c r="G4740" s="55" t="s">
        <v>279</v>
      </c>
      <c r="H4740" s="55">
        <v>8.8442850000000003E-2</v>
      </c>
      <c r="I4740" s="55">
        <v>7.6462370000000002E-2</v>
      </c>
      <c r="J4740" s="55">
        <v>7.4570689999999995E-2</v>
      </c>
      <c r="K4740" s="55">
        <v>7.7476219999999998E-2</v>
      </c>
      <c r="L4740" s="55">
        <v>7.5828000000000007E-2</v>
      </c>
      <c r="M4740" s="55">
        <v>7.4747229999999998E-2</v>
      </c>
      <c r="N4740" s="55">
        <v>7.3585750000000005E-2</v>
      </c>
    </row>
    <row r="4741" spans="1:14" hidden="1" x14ac:dyDescent="0.35">
      <c r="A4741" s="52" t="s">
        <v>682</v>
      </c>
      <c r="B4741" s="52" t="s">
        <v>37</v>
      </c>
      <c r="C4741" s="52" t="s">
        <v>61</v>
      </c>
      <c r="D4741" s="52" t="s">
        <v>62</v>
      </c>
      <c r="E4741" s="52" t="s">
        <v>584</v>
      </c>
      <c r="F4741" s="52" t="s">
        <v>581</v>
      </c>
      <c r="G4741" s="55" t="s">
        <v>275</v>
      </c>
      <c r="H4741" s="55">
        <v>352.05680000000001</v>
      </c>
      <c r="I4741" s="55">
        <v>101.3561</v>
      </c>
      <c r="J4741" s="55">
        <v>-85.990549999999999</v>
      </c>
      <c r="K4741" s="55">
        <v>211.6816</v>
      </c>
      <c r="L4741" s="55">
        <v>200.94329999999999</v>
      </c>
      <c r="M4741" s="55">
        <v>269.29270000000002</v>
      </c>
      <c r="N4741" s="55">
        <v>252.79089999999999</v>
      </c>
    </row>
    <row r="4742" spans="1:14" hidden="1" x14ac:dyDescent="0.35">
      <c r="A4742" s="52" t="s">
        <v>682</v>
      </c>
      <c r="B4742" s="52" t="s">
        <v>37</v>
      </c>
      <c r="C4742" s="52" t="s">
        <v>61</v>
      </c>
      <c r="D4742" s="52" t="s">
        <v>62</v>
      </c>
      <c r="E4742" s="52" t="s">
        <v>584</v>
      </c>
      <c r="F4742" s="52" t="s">
        <v>581</v>
      </c>
      <c r="G4742" s="55" t="s">
        <v>276</v>
      </c>
      <c r="H4742" s="55">
        <v>10.684150000000001</v>
      </c>
      <c r="I4742" s="55">
        <v>-75.295230000000004</v>
      </c>
      <c r="J4742" s="55">
        <v>-68.543670000000006</v>
      </c>
      <c r="K4742" s="55">
        <v>-81.543049999999994</v>
      </c>
      <c r="L4742" s="55">
        <v>-24.57668</v>
      </c>
      <c r="M4742" s="55">
        <v>1.7982689999999999</v>
      </c>
      <c r="N4742" s="55">
        <v>-51.042560000000002</v>
      </c>
    </row>
    <row r="4743" spans="1:14" hidden="1" x14ac:dyDescent="0.35">
      <c r="A4743" s="52" t="s">
        <v>682</v>
      </c>
      <c r="B4743" s="52" t="s">
        <v>37</v>
      </c>
      <c r="C4743" s="52" t="s">
        <v>61</v>
      </c>
      <c r="D4743" s="52" t="s">
        <v>62</v>
      </c>
      <c r="E4743" s="52" t="s">
        <v>584</v>
      </c>
      <c r="F4743" s="52" t="s">
        <v>581</v>
      </c>
      <c r="G4743" s="55" t="s">
        <v>277</v>
      </c>
      <c r="H4743" s="55">
        <v>341.54660000000001</v>
      </c>
      <c r="I4743" s="55">
        <v>305.7097</v>
      </c>
      <c r="J4743" s="55">
        <v>497.34300000000002</v>
      </c>
      <c r="K4743" s="55">
        <v>123.8858</v>
      </c>
      <c r="L4743" s="55">
        <v>180.1892</v>
      </c>
      <c r="M4743" s="55">
        <v>125.34820000000001</v>
      </c>
      <c r="N4743" s="55">
        <v>101.4855</v>
      </c>
    </row>
    <row r="4744" spans="1:14" hidden="1" x14ac:dyDescent="0.35">
      <c r="A4744" s="52" t="s">
        <v>682</v>
      </c>
      <c r="B4744" s="52" t="s">
        <v>37</v>
      </c>
      <c r="C4744" s="52" t="s">
        <v>61</v>
      </c>
      <c r="D4744" s="52" t="s">
        <v>62</v>
      </c>
      <c r="E4744" s="52" t="s">
        <v>584</v>
      </c>
      <c r="F4744" s="52" t="s">
        <v>581</v>
      </c>
      <c r="G4744" s="55" t="s">
        <v>278</v>
      </c>
      <c r="H4744" s="55">
        <v>266.3784</v>
      </c>
      <c r="I4744" s="55">
        <v>19.309010000000001</v>
      </c>
      <c r="J4744" s="55">
        <v>29.707229999999999</v>
      </c>
      <c r="K4744" s="55">
        <v>58.113579999999999</v>
      </c>
      <c r="L4744" s="55">
        <v>21.711939999999998</v>
      </c>
      <c r="M4744" s="55">
        <v>37.046210000000002</v>
      </c>
      <c r="N4744" s="55">
        <v>70.516319999999993</v>
      </c>
    </row>
    <row r="4745" spans="1:14" hidden="1" x14ac:dyDescent="0.35">
      <c r="A4745" s="52" t="s">
        <v>682</v>
      </c>
      <c r="B4745" s="52" t="s">
        <v>37</v>
      </c>
      <c r="C4745" s="52" t="s">
        <v>61</v>
      </c>
      <c r="D4745" s="52" t="s">
        <v>62</v>
      </c>
      <c r="E4745" s="52" t="s">
        <v>584</v>
      </c>
      <c r="F4745" s="52" t="s">
        <v>581</v>
      </c>
      <c r="G4745" s="55" t="s">
        <v>279</v>
      </c>
      <c r="H4745" s="55">
        <v>345.15589999999997</v>
      </c>
      <c r="I4745" s="55">
        <v>316.1035</v>
      </c>
      <c r="J4745" s="55">
        <v>283.83280000000002</v>
      </c>
      <c r="K4745" s="55">
        <v>322.72089999999997</v>
      </c>
      <c r="L4745" s="55">
        <v>342.42169999999999</v>
      </c>
      <c r="M4745" s="55">
        <v>312.43610000000001</v>
      </c>
      <c r="N4745" s="55">
        <v>330.1037</v>
      </c>
    </row>
    <row r="4746" spans="1:14" hidden="1" x14ac:dyDescent="0.35">
      <c r="A4746" s="52" t="s">
        <v>682</v>
      </c>
      <c r="B4746" s="52" t="s">
        <v>37</v>
      </c>
      <c r="C4746" s="52" t="s">
        <v>61</v>
      </c>
      <c r="D4746" s="52" t="s">
        <v>62</v>
      </c>
      <c r="E4746" s="52" t="s">
        <v>584</v>
      </c>
      <c r="F4746" s="52" t="s">
        <v>26</v>
      </c>
      <c r="G4746" s="55" t="s">
        <v>275</v>
      </c>
      <c r="H4746" s="55">
        <v>-34.339640000000003</v>
      </c>
      <c r="I4746" s="55">
        <v>15.67266</v>
      </c>
      <c r="J4746" s="55">
        <v>5.7996559999999997</v>
      </c>
      <c r="K4746" s="55">
        <v>14.33905</v>
      </c>
      <c r="L4746" s="55">
        <v>16.236470000000001</v>
      </c>
      <c r="M4746" s="55">
        <v>12.66146</v>
      </c>
      <c r="N4746" s="55">
        <v>2.2264699999999999</v>
      </c>
    </row>
    <row r="4747" spans="1:14" hidden="1" x14ac:dyDescent="0.35">
      <c r="A4747" s="52" t="s">
        <v>682</v>
      </c>
      <c r="B4747" s="52" t="s">
        <v>37</v>
      </c>
      <c r="C4747" s="52" t="s">
        <v>61</v>
      </c>
      <c r="D4747" s="52" t="s">
        <v>62</v>
      </c>
      <c r="E4747" s="52" t="s">
        <v>584</v>
      </c>
      <c r="F4747" s="52" t="s">
        <v>26</v>
      </c>
      <c r="G4747" s="55" t="s">
        <v>276</v>
      </c>
      <c r="H4747" s="55">
        <v>-23.049990000000001</v>
      </c>
      <c r="I4747" s="55">
        <v>-0.42388979999999998</v>
      </c>
      <c r="J4747" s="55">
        <v>3.2516669999999999</v>
      </c>
      <c r="K4747" s="55">
        <v>2.5979700000000001</v>
      </c>
      <c r="L4747" s="55">
        <v>2.9297960000000001</v>
      </c>
      <c r="M4747" s="55">
        <v>2.7059000000000002</v>
      </c>
      <c r="N4747" s="55">
        <v>-0.349244</v>
      </c>
    </row>
    <row r="4748" spans="1:14" hidden="1" x14ac:dyDescent="0.35">
      <c r="A4748" s="52" t="s">
        <v>682</v>
      </c>
      <c r="B4748" s="52" t="s">
        <v>37</v>
      </c>
      <c r="C4748" s="52" t="s">
        <v>61</v>
      </c>
      <c r="D4748" s="52" t="s">
        <v>62</v>
      </c>
      <c r="E4748" s="52" t="s">
        <v>584</v>
      </c>
      <c r="F4748" s="52" t="s">
        <v>26</v>
      </c>
      <c r="G4748" s="55" t="s">
        <v>277</v>
      </c>
      <c r="H4748" s="55">
        <v>6.2995950000000001</v>
      </c>
      <c r="I4748" s="55">
        <v>6.5259960000000001</v>
      </c>
      <c r="J4748" s="55">
        <v>14.21884</v>
      </c>
      <c r="K4748" s="55">
        <v>1.599664</v>
      </c>
      <c r="L4748" s="55">
        <v>0.13708870000000001</v>
      </c>
      <c r="M4748" s="55">
        <v>2.342022</v>
      </c>
      <c r="N4748" s="55">
        <v>3.5497969999999999</v>
      </c>
    </row>
    <row r="4749" spans="1:14" hidden="1" x14ac:dyDescent="0.35">
      <c r="A4749" s="52" t="s">
        <v>682</v>
      </c>
      <c r="B4749" s="52" t="s">
        <v>37</v>
      </c>
      <c r="C4749" s="52" t="s">
        <v>61</v>
      </c>
      <c r="D4749" s="52" t="s">
        <v>62</v>
      </c>
      <c r="E4749" s="52" t="s">
        <v>584</v>
      </c>
      <c r="F4749" s="52" t="s">
        <v>26</v>
      </c>
      <c r="G4749" s="55" t="s">
        <v>279</v>
      </c>
      <c r="H4749" s="55">
        <v>110.69889999999999</v>
      </c>
      <c r="I4749" s="55">
        <v>41.668619999999997</v>
      </c>
      <c r="J4749" s="55">
        <v>41.224559999999997</v>
      </c>
      <c r="K4749" s="55">
        <v>39.247059999999998</v>
      </c>
      <c r="L4749" s="55">
        <v>38.264409999999998</v>
      </c>
      <c r="M4749" s="55">
        <v>35.234740000000002</v>
      </c>
      <c r="N4749" s="55">
        <v>41.433140000000002</v>
      </c>
    </row>
    <row r="4750" spans="1:14" hidden="1" x14ac:dyDescent="0.35">
      <c r="A4750" s="52" t="s">
        <v>682</v>
      </c>
      <c r="B4750" s="52" t="s">
        <v>37</v>
      </c>
      <c r="C4750" s="52" t="s">
        <v>79</v>
      </c>
      <c r="D4750" s="52" t="s">
        <v>79</v>
      </c>
      <c r="E4750" s="52" t="s">
        <v>614</v>
      </c>
      <c r="F4750" s="52" t="s">
        <v>581</v>
      </c>
      <c r="G4750" s="55" t="s">
        <v>275</v>
      </c>
      <c r="H4750" s="55">
        <v>-70.851299999999995</v>
      </c>
      <c r="I4750" s="55">
        <v>14.10628</v>
      </c>
      <c r="J4750" s="55">
        <v>59.331470000000003</v>
      </c>
      <c r="K4750" s="55">
        <v>68.442859999999996</v>
      </c>
      <c r="L4750" s="55">
        <v>63.989660000000001</v>
      </c>
      <c r="M4750" s="55">
        <v>37.228810000000003</v>
      </c>
      <c r="N4750" s="55">
        <v>26.01979</v>
      </c>
    </row>
    <row r="4751" spans="1:14" hidden="1" x14ac:dyDescent="0.35">
      <c r="A4751" s="52" t="s">
        <v>682</v>
      </c>
      <c r="B4751" s="52" t="s">
        <v>37</v>
      </c>
      <c r="C4751" s="52" t="s">
        <v>79</v>
      </c>
      <c r="D4751" s="52" t="s">
        <v>79</v>
      </c>
      <c r="E4751" s="52" t="s">
        <v>614</v>
      </c>
      <c r="F4751" s="52" t="s">
        <v>581</v>
      </c>
      <c r="G4751" s="55" t="s">
        <v>276</v>
      </c>
      <c r="H4751" s="55">
        <v>-14.606960000000001</v>
      </c>
      <c r="I4751" s="55">
        <v>-19.64856</v>
      </c>
      <c r="J4751" s="55">
        <v>-11.91606</v>
      </c>
      <c r="K4751" s="55">
        <v>-17.087510000000002</v>
      </c>
      <c r="L4751" s="55">
        <v>-5.2496650000000002</v>
      </c>
      <c r="M4751" s="55">
        <v>3.5047229999999998</v>
      </c>
      <c r="N4751" s="55">
        <v>4.8500389999999998</v>
      </c>
    </row>
    <row r="4752" spans="1:14" hidden="1" x14ac:dyDescent="0.35">
      <c r="A4752" s="52" t="s">
        <v>682</v>
      </c>
      <c r="B4752" s="52" t="s">
        <v>37</v>
      </c>
      <c r="C4752" s="52" t="s">
        <v>79</v>
      </c>
      <c r="D4752" s="52" t="s">
        <v>79</v>
      </c>
      <c r="E4752" s="52" t="s">
        <v>614</v>
      </c>
      <c r="F4752" s="52" t="s">
        <v>581</v>
      </c>
      <c r="G4752" s="55" t="s">
        <v>277</v>
      </c>
      <c r="H4752" s="55">
        <v>230</v>
      </c>
      <c r="I4752" s="55">
        <v>55.11289</v>
      </c>
      <c r="J4752" s="55">
        <v>34.552680000000002</v>
      </c>
      <c r="K4752" s="55">
        <v>19.320959999999999</v>
      </c>
      <c r="L4752" s="55">
        <v>31.399170000000002</v>
      </c>
      <c r="M4752" s="55">
        <v>19.883749999999999</v>
      </c>
      <c r="N4752" s="55">
        <v>23.02891</v>
      </c>
    </row>
    <row r="4753" spans="1:14" hidden="1" x14ac:dyDescent="0.35">
      <c r="A4753" s="52" t="s">
        <v>682</v>
      </c>
      <c r="B4753" s="52" t="s">
        <v>37</v>
      </c>
      <c r="C4753" s="52" t="s">
        <v>79</v>
      </c>
      <c r="D4753" s="52" t="s">
        <v>79</v>
      </c>
      <c r="E4753" s="52" t="s">
        <v>614</v>
      </c>
      <c r="F4753" s="52" t="s">
        <v>581</v>
      </c>
      <c r="G4753" s="55" t="s">
        <v>278</v>
      </c>
      <c r="H4753" s="55">
        <v>0</v>
      </c>
      <c r="I4753" s="55">
        <v>12.826969999999999</v>
      </c>
      <c r="J4753" s="55">
        <v>6.1393750000000002</v>
      </c>
      <c r="K4753" s="55">
        <v>10.79562</v>
      </c>
      <c r="L4753" s="55">
        <v>4.9676270000000002</v>
      </c>
      <c r="M4753" s="55">
        <v>0.77833209999999997</v>
      </c>
      <c r="N4753" s="55">
        <v>0</v>
      </c>
    </row>
    <row r="4754" spans="1:14" hidden="1" x14ac:dyDescent="0.35">
      <c r="A4754" s="52" t="s">
        <v>682</v>
      </c>
      <c r="B4754" s="52" t="s">
        <v>37</v>
      </c>
      <c r="C4754" s="52" t="s">
        <v>79</v>
      </c>
      <c r="D4754" s="52" t="s">
        <v>79</v>
      </c>
      <c r="E4754" s="52" t="s">
        <v>614</v>
      </c>
      <c r="F4754" s="52" t="s">
        <v>581</v>
      </c>
      <c r="G4754" s="55" t="s">
        <v>279</v>
      </c>
      <c r="H4754" s="55">
        <v>65.468279999999993</v>
      </c>
      <c r="I4754" s="55">
        <v>61.097639999999998</v>
      </c>
      <c r="J4754" s="55">
        <v>78.413399999999996</v>
      </c>
      <c r="K4754" s="55">
        <v>76.201620000000005</v>
      </c>
      <c r="L4754" s="55">
        <v>75.756370000000004</v>
      </c>
      <c r="M4754" s="55">
        <v>62.84198</v>
      </c>
      <c r="N4754" s="55">
        <v>51.588520000000003</v>
      </c>
    </row>
    <row r="4755" spans="1:14" hidden="1" x14ac:dyDescent="0.35">
      <c r="A4755" s="52" t="s">
        <v>682</v>
      </c>
      <c r="B4755" s="52" t="s">
        <v>37</v>
      </c>
      <c r="C4755" s="52" t="s">
        <v>79</v>
      </c>
      <c r="D4755" s="52" t="s">
        <v>79</v>
      </c>
      <c r="E4755" s="52" t="s">
        <v>614</v>
      </c>
      <c r="F4755" s="52" t="s">
        <v>26</v>
      </c>
      <c r="G4755" s="55" t="s">
        <v>275</v>
      </c>
      <c r="H4755" s="55">
        <v>-1.0040979999999999</v>
      </c>
      <c r="I4755" s="55">
        <v>-1.8469370000000001</v>
      </c>
      <c r="J4755" s="55">
        <v>-1.9229350000000001</v>
      </c>
      <c r="K4755" s="55">
        <v>-2.1030540000000002</v>
      </c>
      <c r="L4755" s="55">
        <v>-1.8024830000000001</v>
      </c>
      <c r="M4755" s="55">
        <v>-2.0286580000000001</v>
      </c>
      <c r="N4755" s="55">
        <v>-1.6146510000000001</v>
      </c>
    </row>
    <row r="4756" spans="1:14" hidden="1" x14ac:dyDescent="0.35">
      <c r="A4756" s="52" t="s">
        <v>682</v>
      </c>
      <c r="B4756" s="52" t="s">
        <v>37</v>
      </c>
      <c r="C4756" s="52" t="s">
        <v>79</v>
      </c>
      <c r="D4756" s="52" t="s">
        <v>79</v>
      </c>
      <c r="E4756" s="52" t="s">
        <v>614</v>
      </c>
      <c r="F4756" s="52" t="s">
        <v>26</v>
      </c>
      <c r="G4756" s="55" t="s">
        <v>276</v>
      </c>
      <c r="H4756" s="55">
        <v>-0.29107499999999997</v>
      </c>
      <c r="I4756" s="55">
        <v>-0.53540940000000004</v>
      </c>
      <c r="J4756" s="55">
        <v>-0.55743259999999994</v>
      </c>
      <c r="K4756" s="55">
        <v>-0.60965270000000005</v>
      </c>
      <c r="L4756" s="55">
        <v>-0.52252050000000005</v>
      </c>
      <c r="M4756" s="55">
        <v>-0.58808210000000005</v>
      </c>
      <c r="N4756" s="55">
        <v>-0.46806789999999998</v>
      </c>
    </row>
    <row r="4757" spans="1:14" hidden="1" x14ac:dyDescent="0.35">
      <c r="A4757" s="52" t="s">
        <v>682</v>
      </c>
      <c r="B4757" s="52" t="s">
        <v>37</v>
      </c>
      <c r="C4757" s="52" t="s">
        <v>79</v>
      </c>
      <c r="D4757" s="52" t="s">
        <v>79</v>
      </c>
      <c r="E4757" s="52" t="s">
        <v>614</v>
      </c>
      <c r="F4757" s="52" t="s">
        <v>26</v>
      </c>
      <c r="G4757" s="55" t="s">
        <v>279</v>
      </c>
      <c r="H4757" s="55">
        <v>4.4193420000000003</v>
      </c>
      <c r="I4757" s="55">
        <v>7.4892750000000001</v>
      </c>
      <c r="J4757" s="55">
        <v>9.6176879999999993</v>
      </c>
      <c r="K4757" s="55">
        <v>9.4516360000000006</v>
      </c>
      <c r="L4757" s="55">
        <v>9.5820469999999993</v>
      </c>
      <c r="M4757" s="55">
        <v>7.7587979999999996</v>
      </c>
      <c r="N4757" s="55">
        <v>6.328805</v>
      </c>
    </row>
    <row r="4758" spans="1:14" hidden="1" x14ac:dyDescent="0.35">
      <c r="A4758" s="52" t="s">
        <v>682</v>
      </c>
      <c r="B4758" s="52" t="s">
        <v>37</v>
      </c>
      <c r="C4758" s="52" t="s">
        <v>79</v>
      </c>
      <c r="D4758" s="52" t="s">
        <v>79</v>
      </c>
      <c r="E4758" s="52" t="s">
        <v>600</v>
      </c>
      <c r="F4758" s="52" t="s">
        <v>581</v>
      </c>
      <c r="G4758" s="55" t="s">
        <v>275</v>
      </c>
      <c r="H4758" s="55">
        <v>-14.6995</v>
      </c>
      <c r="I4758" s="55">
        <v>-0.7755379</v>
      </c>
      <c r="J4758" s="55">
        <v>38.709670000000003</v>
      </c>
      <c r="K4758" s="55">
        <v>43.496670000000002</v>
      </c>
      <c r="L4758" s="55">
        <v>42.509819999999998</v>
      </c>
      <c r="M4758" s="55">
        <v>28.897210000000001</v>
      </c>
      <c r="N4758" s="55">
        <v>21.32058</v>
      </c>
    </row>
    <row r="4759" spans="1:14" hidden="1" x14ac:dyDescent="0.35">
      <c r="A4759" s="52" t="s">
        <v>682</v>
      </c>
      <c r="B4759" s="52" t="s">
        <v>37</v>
      </c>
      <c r="C4759" s="52" t="s">
        <v>79</v>
      </c>
      <c r="D4759" s="52" t="s">
        <v>79</v>
      </c>
      <c r="E4759" s="52" t="s">
        <v>600</v>
      </c>
      <c r="F4759" s="52" t="s">
        <v>581</v>
      </c>
      <c r="G4759" s="55" t="s">
        <v>276</v>
      </c>
      <c r="H4759" s="55">
        <v>3.0714429999999999</v>
      </c>
      <c r="I4759" s="55">
        <v>-11.221080000000001</v>
      </c>
      <c r="J4759" s="55">
        <v>-14.35478</v>
      </c>
      <c r="K4759" s="55">
        <v>-16.971769999999999</v>
      </c>
      <c r="L4759" s="55">
        <v>-9.2708449999999996</v>
      </c>
      <c r="M4759" s="55">
        <v>-1.099251</v>
      </c>
      <c r="N4759" s="55">
        <v>1.8430489999999999</v>
      </c>
    </row>
    <row r="4760" spans="1:14" hidden="1" x14ac:dyDescent="0.35">
      <c r="A4760" s="52" t="s">
        <v>682</v>
      </c>
      <c r="B4760" s="52" t="s">
        <v>37</v>
      </c>
      <c r="C4760" s="52" t="s">
        <v>79</v>
      </c>
      <c r="D4760" s="52" t="s">
        <v>79</v>
      </c>
      <c r="E4760" s="52" t="s">
        <v>600</v>
      </c>
      <c r="F4760" s="52" t="s">
        <v>581</v>
      </c>
      <c r="G4760" s="55" t="s">
        <v>277</v>
      </c>
      <c r="H4760" s="55">
        <v>170</v>
      </c>
      <c r="I4760" s="55">
        <v>54.95532</v>
      </c>
      <c r="J4760" s="55">
        <v>26.796990000000001</v>
      </c>
      <c r="K4760" s="55">
        <v>16.691189999999999</v>
      </c>
      <c r="L4760" s="55">
        <v>10.22932</v>
      </c>
      <c r="M4760" s="55">
        <v>0</v>
      </c>
      <c r="N4760" s="55">
        <v>0</v>
      </c>
    </row>
    <row r="4761" spans="1:14" hidden="1" x14ac:dyDescent="0.35">
      <c r="A4761" s="52" t="s">
        <v>682</v>
      </c>
      <c r="B4761" s="52" t="s">
        <v>37</v>
      </c>
      <c r="C4761" s="52" t="s">
        <v>79</v>
      </c>
      <c r="D4761" s="52" t="s">
        <v>79</v>
      </c>
      <c r="E4761" s="52" t="s">
        <v>600</v>
      </c>
      <c r="F4761" s="52" t="s">
        <v>581</v>
      </c>
      <c r="G4761" s="55" t="s">
        <v>278</v>
      </c>
      <c r="H4761" s="55">
        <v>0</v>
      </c>
      <c r="I4761" s="55">
        <v>7.968845</v>
      </c>
      <c r="J4761" s="55">
        <v>1.982531</v>
      </c>
      <c r="K4761" s="55">
        <v>1.5253779999999999</v>
      </c>
      <c r="L4761" s="55">
        <v>0</v>
      </c>
      <c r="M4761" s="55"/>
      <c r="N4761" s="55"/>
    </row>
    <row r="4762" spans="1:14" hidden="1" x14ac:dyDescent="0.35">
      <c r="A4762" s="52" t="s">
        <v>682</v>
      </c>
      <c r="B4762" s="52" t="s">
        <v>37</v>
      </c>
      <c r="C4762" s="52" t="s">
        <v>79</v>
      </c>
      <c r="D4762" s="52" t="s">
        <v>79</v>
      </c>
      <c r="E4762" s="52" t="s">
        <v>600</v>
      </c>
      <c r="F4762" s="52" t="s">
        <v>581</v>
      </c>
      <c r="G4762" s="55" t="s">
        <v>279</v>
      </c>
      <c r="H4762" s="55">
        <v>89.176060000000007</v>
      </c>
      <c r="I4762" s="55">
        <v>78.274050000000003</v>
      </c>
      <c r="J4762" s="55">
        <v>73.214129999999997</v>
      </c>
      <c r="K4762" s="55">
        <v>65.38185</v>
      </c>
      <c r="L4762" s="55">
        <v>53.742060000000002</v>
      </c>
      <c r="M4762" s="55">
        <v>50.488509999999998</v>
      </c>
      <c r="N4762" s="55">
        <v>42.11307</v>
      </c>
    </row>
    <row r="4763" spans="1:14" hidden="1" x14ac:dyDescent="0.35">
      <c r="A4763" s="52" t="s">
        <v>682</v>
      </c>
      <c r="B4763" s="52" t="s">
        <v>37</v>
      </c>
      <c r="C4763" s="52" t="s">
        <v>79</v>
      </c>
      <c r="D4763" s="52" t="s">
        <v>79</v>
      </c>
      <c r="E4763" s="52" t="s">
        <v>600</v>
      </c>
      <c r="F4763" s="52" t="s">
        <v>26</v>
      </c>
      <c r="G4763" s="55" t="s">
        <v>275</v>
      </c>
      <c r="H4763" s="55">
        <v>-2.9696129999999998</v>
      </c>
      <c r="I4763" s="55">
        <v>-5.216761</v>
      </c>
      <c r="J4763" s="55">
        <v>-3.9542790000000001</v>
      </c>
      <c r="K4763" s="55">
        <v>-3.9987339999999998</v>
      </c>
      <c r="L4763" s="55">
        <v>-2.9368249999999998</v>
      </c>
      <c r="M4763" s="55">
        <v>-3.7638210000000001</v>
      </c>
      <c r="N4763" s="55">
        <v>-3.1456979999999999</v>
      </c>
    </row>
    <row r="4764" spans="1:14" hidden="1" x14ac:dyDescent="0.35">
      <c r="A4764" s="52" t="s">
        <v>682</v>
      </c>
      <c r="B4764" s="52" t="s">
        <v>37</v>
      </c>
      <c r="C4764" s="52" t="s">
        <v>79</v>
      </c>
      <c r="D4764" s="52" t="s">
        <v>79</v>
      </c>
      <c r="E4764" s="52" t="s">
        <v>600</v>
      </c>
      <c r="F4764" s="52" t="s">
        <v>26</v>
      </c>
      <c r="G4764" s="55" t="s">
        <v>276</v>
      </c>
      <c r="H4764" s="55">
        <v>-0.86085999999999996</v>
      </c>
      <c r="I4764" s="55">
        <v>-1.512286</v>
      </c>
      <c r="J4764" s="55">
        <v>-1.146304</v>
      </c>
      <c r="K4764" s="55">
        <v>-1.1591910000000001</v>
      </c>
      <c r="L4764" s="55">
        <v>-0.85135570000000005</v>
      </c>
      <c r="M4764" s="55">
        <v>-1.091094</v>
      </c>
      <c r="N4764" s="55">
        <v>-0.91190590000000005</v>
      </c>
    </row>
    <row r="4765" spans="1:14" hidden="1" x14ac:dyDescent="0.35">
      <c r="A4765" s="52" t="s">
        <v>682</v>
      </c>
      <c r="B4765" s="52" t="s">
        <v>37</v>
      </c>
      <c r="C4765" s="52" t="s">
        <v>79</v>
      </c>
      <c r="D4765" s="52" t="s">
        <v>79</v>
      </c>
      <c r="E4765" s="52" t="s">
        <v>600</v>
      </c>
      <c r="F4765" s="52" t="s">
        <v>26</v>
      </c>
      <c r="G4765" s="55" t="s">
        <v>279</v>
      </c>
      <c r="H4765" s="55">
        <v>13.91708</v>
      </c>
      <c r="I4765" s="55">
        <v>22.320679999999999</v>
      </c>
      <c r="J4765" s="55">
        <v>21.130310000000001</v>
      </c>
      <c r="K4765" s="55">
        <v>19.05894</v>
      </c>
      <c r="L4765" s="55">
        <v>16.009730000000001</v>
      </c>
      <c r="M4765" s="55">
        <v>14.69589</v>
      </c>
      <c r="N4765" s="55">
        <v>12.257529999999999</v>
      </c>
    </row>
    <row r="4766" spans="1:14" hidden="1" x14ac:dyDescent="0.35">
      <c r="A4766" s="52" t="s">
        <v>682</v>
      </c>
      <c r="B4766" s="52" t="s">
        <v>37</v>
      </c>
      <c r="C4766" s="52" t="s">
        <v>79</v>
      </c>
      <c r="D4766" s="52" t="s">
        <v>79</v>
      </c>
      <c r="E4766" s="52" t="s">
        <v>615</v>
      </c>
      <c r="F4766" s="52" t="s">
        <v>581</v>
      </c>
      <c r="G4766" s="55" t="s">
        <v>275</v>
      </c>
      <c r="H4766" s="55">
        <v>54.577730000000003</v>
      </c>
      <c r="I4766" s="55">
        <v>-7.485913</v>
      </c>
      <c r="J4766" s="55">
        <v>29.62022</v>
      </c>
      <c r="K4766" s="55">
        <v>30.031199999999998</v>
      </c>
      <c r="L4766" s="55">
        <v>25.409400000000002</v>
      </c>
      <c r="M4766" s="55">
        <v>25.967079999999999</v>
      </c>
      <c r="N4766" s="55">
        <v>18.033529999999999</v>
      </c>
    </row>
    <row r="4767" spans="1:14" hidden="1" x14ac:dyDescent="0.35">
      <c r="A4767" s="52" t="s">
        <v>682</v>
      </c>
      <c r="B4767" s="52" t="s">
        <v>37</v>
      </c>
      <c r="C4767" s="52" t="s">
        <v>79</v>
      </c>
      <c r="D4767" s="52" t="s">
        <v>79</v>
      </c>
      <c r="E4767" s="52" t="s">
        <v>615</v>
      </c>
      <c r="F4767" s="52" t="s">
        <v>581</v>
      </c>
      <c r="G4767" s="55" t="s">
        <v>276</v>
      </c>
      <c r="H4767" s="55">
        <v>-22.193090000000002</v>
      </c>
      <c r="I4767" s="55">
        <v>-6.1948280000000002</v>
      </c>
      <c r="J4767" s="55">
        <v>-8.9380640000000007</v>
      </c>
      <c r="K4767" s="55">
        <v>-11.436769999999999</v>
      </c>
      <c r="L4767" s="55">
        <v>-6.9980079999999996</v>
      </c>
      <c r="M4767" s="55">
        <v>-2.100857</v>
      </c>
      <c r="N4767" s="55">
        <v>1.193319</v>
      </c>
    </row>
    <row r="4768" spans="1:14" hidden="1" x14ac:dyDescent="0.35">
      <c r="A4768" s="52" t="s">
        <v>682</v>
      </c>
      <c r="B4768" s="52" t="s">
        <v>37</v>
      </c>
      <c r="C4768" s="52" t="s">
        <v>79</v>
      </c>
      <c r="D4768" s="52" t="s">
        <v>79</v>
      </c>
      <c r="E4768" s="52" t="s">
        <v>615</v>
      </c>
      <c r="F4768" s="52" t="s">
        <v>581</v>
      </c>
      <c r="G4768" s="55" t="s">
        <v>277</v>
      </c>
      <c r="H4768" s="55">
        <v>130</v>
      </c>
      <c r="I4768" s="55">
        <v>61.549059999999997</v>
      </c>
      <c r="J4768" s="55">
        <v>22.931280000000001</v>
      </c>
      <c r="K4768" s="55">
        <v>19.176760000000002</v>
      </c>
      <c r="L4768" s="55">
        <v>20.005600000000001</v>
      </c>
      <c r="M4768" s="55">
        <v>0</v>
      </c>
      <c r="N4768" s="55">
        <v>0</v>
      </c>
    </row>
    <row r="4769" spans="1:14" hidden="1" x14ac:dyDescent="0.35">
      <c r="A4769" s="52" t="s">
        <v>682</v>
      </c>
      <c r="B4769" s="52" t="s">
        <v>37</v>
      </c>
      <c r="C4769" s="52" t="s">
        <v>79</v>
      </c>
      <c r="D4769" s="52" t="s">
        <v>79</v>
      </c>
      <c r="E4769" s="52" t="s">
        <v>615</v>
      </c>
      <c r="F4769" s="52" t="s">
        <v>581</v>
      </c>
      <c r="G4769" s="55" t="s">
        <v>279</v>
      </c>
      <c r="H4769" s="55">
        <v>73.358969999999999</v>
      </c>
      <c r="I4769" s="55">
        <v>47.19453</v>
      </c>
      <c r="J4769" s="55">
        <v>39.679989999999997</v>
      </c>
      <c r="K4769" s="55">
        <v>36.078060000000001</v>
      </c>
      <c r="L4769" s="55">
        <v>32.336460000000002</v>
      </c>
      <c r="M4769" s="55">
        <v>26.874269999999999</v>
      </c>
      <c r="N4769" s="55">
        <v>21.675699999999999</v>
      </c>
    </row>
    <row r="4770" spans="1:14" hidden="1" x14ac:dyDescent="0.35">
      <c r="A4770" s="52" t="s">
        <v>682</v>
      </c>
      <c r="B4770" s="52" t="s">
        <v>37</v>
      </c>
      <c r="C4770" s="52" t="s">
        <v>79</v>
      </c>
      <c r="D4770" s="52" t="s">
        <v>79</v>
      </c>
      <c r="E4770" s="52" t="s">
        <v>615</v>
      </c>
      <c r="F4770" s="52" t="s">
        <v>26</v>
      </c>
      <c r="G4770" s="55" t="s">
        <v>275</v>
      </c>
      <c r="H4770" s="55">
        <v>-1.4453860000000001</v>
      </c>
      <c r="I4770" s="55">
        <v>-1.815329</v>
      </c>
      <c r="J4770" s="55">
        <v>-1.241052</v>
      </c>
      <c r="K4770" s="55">
        <v>-1.280238</v>
      </c>
      <c r="L4770" s="55">
        <v>-1.031596</v>
      </c>
      <c r="M4770" s="55">
        <v>-1.1649780000000001</v>
      </c>
      <c r="N4770" s="55">
        <v>-0.94160060000000001</v>
      </c>
    </row>
    <row r="4771" spans="1:14" hidden="1" x14ac:dyDescent="0.35">
      <c r="A4771" s="52" t="s">
        <v>682</v>
      </c>
      <c r="B4771" s="52" t="s">
        <v>37</v>
      </c>
      <c r="C4771" s="52" t="s">
        <v>79</v>
      </c>
      <c r="D4771" s="52" t="s">
        <v>79</v>
      </c>
      <c r="E4771" s="52" t="s">
        <v>615</v>
      </c>
      <c r="F4771" s="52" t="s">
        <v>26</v>
      </c>
      <c r="G4771" s="55" t="s">
        <v>276</v>
      </c>
      <c r="H4771" s="55">
        <v>-0.41900399999999999</v>
      </c>
      <c r="I4771" s="55">
        <v>-0.52624709999999997</v>
      </c>
      <c r="J4771" s="55">
        <v>-0.3597709</v>
      </c>
      <c r="K4771" s="55">
        <v>-0.37112830000000002</v>
      </c>
      <c r="L4771" s="55">
        <v>-0.29904809999999998</v>
      </c>
      <c r="M4771" s="55">
        <v>-0.3377155</v>
      </c>
      <c r="N4771" s="55">
        <v>-0.27296090000000001</v>
      </c>
    </row>
    <row r="4772" spans="1:14" hidden="1" x14ac:dyDescent="0.35">
      <c r="A4772" s="52" t="s">
        <v>682</v>
      </c>
      <c r="B4772" s="52" t="s">
        <v>37</v>
      </c>
      <c r="C4772" s="52" t="s">
        <v>79</v>
      </c>
      <c r="D4772" s="52" t="s">
        <v>79</v>
      </c>
      <c r="E4772" s="52" t="s">
        <v>615</v>
      </c>
      <c r="F4772" s="52" t="s">
        <v>26</v>
      </c>
      <c r="G4772" s="55" t="s">
        <v>279</v>
      </c>
      <c r="H4772" s="55">
        <v>6.7737999999999996</v>
      </c>
      <c r="I4772" s="55">
        <v>7.7684509999999998</v>
      </c>
      <c r="J4772" s="55">
        <v>6.6136799999999996</v>
      </c>
      <c r="K4772" s="55">
        <v>6.0809360000000003</v>
      </c>
      <c r="L4772" s="55">
        <v>5.5520040000000002</v>
      </c>
      <c r="M4772" s="55">
        <v>4.5353029999999999</v>
      </c>
      <c r="N4772" s="55">
        <v>3.6580759999999999</v>
      </c>
    </row>
    <row r="4773" spans="1:14" hidden="1" x14ac:dyDescent="0.35">
      <c r="A4773" s="52" t="s">
        <v>682</v>
      </c>
      <c r="B4773" s="52" t="s">
        <v>37</v>
      </c>
      <c r="C4773" s="52" t="s">
        <v>79</v>
      </c>
      <c r="D4773" s="52" t="s">
        <v>79</v>
      </c>
      <c r="E4773" s="52" t="s">
        <v>601</v>
      </c>
      <c r="F4773" s="52" t="s">
        <v>581</v>
      </c>
      <c r="G4773" s="55" t="s">
        <v>275</v>
      </c>
      <c r="H4773" s="55">
        <v>12.82765</v>
      </c>
      <c r="I4773" s="55">
        <v>-12.427580000000001</v>
      </c>
      <c r="J4773" s="55">
        <v>7.278988</v>
      </c>
      <c r="K4773" s="55">
        <v>11.993930000000001</v>
      </c>
      <c r="L4773" s="55">
        <v>3.4527220000000001</v>
      </c>
      <c r="M4773" s="55">
        <v>3.4884499999999998</v>
      </c>
      <c r="N4773" s="55">
        <v>5.0978009999999996</v>
      </c>
    </row>
    <row r="4774" spans="1:14" hidden="1" x14ac:dyDescent="0.35">
      <c r="A4774" s="52" t="s">
        <v>682</v>
      </c>
      <c r="B4774" s="52" t="s">
        <v>37</v>
      </c>
      <c r="C4774" s="52" t="s">
        <v>79</v>
      </c>
      <c r="D4774" s="52" t="s">
        <v>79</v>
      </c>
      <c r="E4774" s="52" t="s">
        <v>601</v>
      </c>
      <c r="F4774" s="52" t="s">
        <v>581</v>
      </c>
      <c r="G4774" s="55" t="s">
        <v>276</v>
      </c>
      <c r="H4774" s="55">
        <v>3.3197359999999998</v>
      </c>
      <c r="I4774" s="55">
        <v>-1.606706</v>
      </c>
      <c r="J4774" s="55">
        <v>-1.532686</v>
      </c>
      <c r="K4774" s="55">
        <v>-1.8198000000000001</v>
      </c>
      <c r="L4774" s="55">
        <v>1.4864729999999999</v>
      </c>
      <c r="M4774" s="55">
        <v>1.761401</v>
      </c>
      <c r="N4774" s="55">
        <v>3.979482</v>
      </c>
    </row>
    <row r="4775" spans="1:14" hidden="1" x14ac:dyDescent="0.35">
      <c r="A4775" s="52" t="s">
        <v>682</v>
      </c>
      <c r="B4775" s="52" t="s">
        <v>37</v>
      </c>
      <c r="C4775" s="52" t="s">
        <v>79</v>
      </c>
      <c r="D4775" s="52" t="s">
        <v>79</v>
      </c>
      <c r="E4775" s="52" t="s">
        <v>601</v>
      </c>
      <c r="F4775" s="52" t="s">
        <v>581</v>
      </c>
      <c r="G4775" s="55" t="s">
        <v>277</v>
      </c>
      <c r="H4775" s="55">
        <v>18.100000000000001</v>
      </c>
      <c r="I4775" s="55">
        <v>19.42625</v>
      </c>
      <c r="J4775" s="55">
        <v>7.3011600000000003</v>
      </c>
      <c r="K4775" s="55">
        <v>4.287598</v>
      </c>
      <c r="L4775" s="55">
        <v>8.0247109999999999</v>
      </c>
      <c r="M4775" s="55">
        <v>9.549887</v>
      </c>
      <c r="N4775" s="55">
        <v>13.497</v>
      </c>
    </row>
    <row r="4776" spans="1:14" hidden="1" x14ac:dyDescent="0.35">
      <c r="A4776" s="52" t="s">
        <v>682</v>
      </c>
      <c r="B4776" s="52" t="s">
        <v>37</v>
      </c>
      <c r="C4776" s="52" t="s">
        <v>79</v>
      </c>
      <c r="D4776" s="52" t="s">
        <v>79</v>
      </c>
      <c r="E4776" s="52" t="s">
        <v>601</v>
      </c>
      <c r="F4776" s="52" t="s">
        <v>581</v>
      </c>
      <c r="G4776" s="55" t="s">
        <v>278</v>
      </c>
      <c r="H4776" s="55">
        <v>0</v>
      </c>
      <c r="I4776" s="55">
        <v>9.1737540000000006</v>
      </c>
      <c r="J4776" s="55">
        <v>7.1630669999999999</v>
      </c>
      <c r="K4776" s="55">
        <v>8.3674350000000004</v>
      </c>
      <c r="L4776" s="55">
        <v>12.42263</v>
      </c>
      <c r="M4776" s="55">
        <v>16.98123</v>
      </c>
      <c r="N4776" s="55">
        <v>16.447109999999999</v>
      </c>
    </row>
    <row r="4777" spans="1:14" hidden="1" x14ac:dyDescent="0.35">
      <c r="A4777" s="52" t="s">
        <v>682</v>
      </c>
      <c r="B4777" s="52" t="s">
        <v>37</v>
      </c>
      <c r="C4777" s="52" t="s">
        <v>79</v>
      </c>
      <c r="D4777" s="52" t="s">
        <v>79</v>
      </c>
      <c r="E4777" s="52" t="s">
        <v>601</v>
      </c>
      <c r="F4777" s="52" t="s">
        <v>581</v>
      </c>
      <c r="G4777" s="55" t="s">
        <v>279</v>
      </c>
      <c r="H4777" s="55">
        <v>11.75201</v>
      </c>
      <c r="I4777" s="55">
        <v>10.38627</v>
      </c>
      <c r="J4777" s="55">
        <v>12.92323</v>
      </c>
      <c r="K4777" s="55">
        <v>14.928649999999999</v>
      </c>
      <c r="L4777" s="55">
        <v>15.25529</v>
      </c>
      <c r="M4777" s="55">
        <v>22.276340000000001</v>
      </c>
      <c r="N4777" s="55">
        <v>26.88139</v>
      </c>
    </row>
    <row r="4778" spans="1:14" hidden="1" x14ac:dyDescent="0.35">
      <c r="A4778" s="52" t="s">
        <v>682</v>
      </c>
      <c r="B4778" s="52" t="s">
        <v>37</v>
      </c>
      <c r="C4778" s="52" t="s">
        <v>79</v>
      </c>
      <c r="D4778" s="52" t="s">
        <v>79</v>
      </c>
      <c r="E4778" s="52" t="s">
        <v>601</v>
      </c>
      <c r="F4778" s="52" t="s">
        <v>26</v>
      </c>
      <c r="G4778" s="55" t="s">
        <v>275</v>
      </c>
      <c r="H4778" s="55">
        <v>-0.21912899999999999</v>
      </c>
      <c r="I4778" s="55">
        <v>-0.30071789999999998</v>
      </c>
      <c r="J4778" s="55">
        <v>-0.22217000000000001</v>
      </c>
      <c r="K4778" s="55">
        <v>-0.310865</v>
      </c>
      <c r="L4778" s="55">
        <v>-0.27274179999999998</v>
      </c>
      <c r="M4778" s="55">
        <v>-0.56085300000000005</v>
      </c>
      <c r="N4778" s="55">
        <v>-0.6479144</v>
      </c>
    </row>
    <row r="4779" spans="1:14" hidden="1" x14ac:dyDescent="0.35">
      <c r="A4779" s="52" t="s">
        <v>682</v>
      </c>
      <c r="B4779" s="52" t="s">
        <v>37</v>
      </c>
      <c r="C4779" s="52" t="s">
        <v>79</v>
      </c>
      <c r="D4779" s="52" t="s">
        <v>79</v>
      </c>
      <c r="E4779" s="52" t="s">
        <v>601</v>
      </c>
      <c r="F4779" s="52" t="s">
        <v>26</v>
      </c>
      <c r="G4779" s="55" t="s">
        <v>276</v>
      </c>
      <c r="H4779" s="55">
        <v>-5.8249000000000002E-2</v>
      </c>
      <c r="I4779" s="55">
        <v>-7.9936900000000005E-2</v>
      </c>
      <c r="J4779" s="55">
        <v>-5.9056999999999998E-2</v>
      </c>
      <c r="K4779" s="55">
        <v>-8.2635299999999995E-2</v>
      </c>
      <c r="L4779" s="55">
        <v>-7.2499690000000006E-2</v>
      </c>
      <c r="M4779" s="55">
        <v>-0.1490862</v>
      </c>
      <c r="N4779" s="55">
        <v>-0.17223169999999999</v>
      </c>
    </row>
    <row r="4780" spans="1:14" hidden="1" x14ac:dyDescent="0.35">
      <c r="A4780" s="52" t="s">
        <v>682</v>
      </c>
      <c r="B4780" s="52" t="s">
        <v>37</v>
      </c>
      <c r="C4780" s="52" t="s">
        <v>79</v>
      </c>
      <c r="D4780" s="52" t="s">
        <v>79</v>
      </c>
      <c r="E4780" s="52" t="s">
        <v>601</v>
      </c>
      <c r="F4780" s="52" t="s">
        <v>26</v>
      </c>
      <c r="G4780" s="55" t="s">
        <v>279</v>
      </c>
      <c r="H4780" s="55">
        <v>1.059124</v>
      </c>
      <c r="I4780" s="55">
        <v>1.642725</v>
      </c>
      <c r="J4780" s="55">
        <v>2.0061239999999998</v>
      </c>
      <c r="K4780" s="55">
        <v>2.31541</v>
      </c>
      <c r="L4780" s="55">
        <v>2.3949129999999998</v>
      </c>
      <c r="M4780" s="55">
        <v>3.3748640000000001</v>
      </c>
      <c r="N4780" s="55">
        <v>4.0309520000000001</v>
      </c>
    </row>
    <row r="4781" spans="1:14" hidden="1" x14ac:dyDescent="0.35">
      <c r="A4781" s="52" t="s">
        <v>682</v>
      </c>
      <c r="B4781" s="52" t="s">
        <v>37</v>
      </c>
      <c r="C4781" s="52" t="s">
        <v>79</v>
      </c>
      <c r="D4781" s="52" t="s">
        <v>79</v>
      </c>
      <c r="E4781" s="52" t="s">
        <v>617</v>
      </c>
      <c r="F4781" s="52" t="s">
        <v>581</v>
      </c>
      <c r="G4781" s="55" t="s">
        <v>275</v>
      </c>
      <c r="H4781" s="55">
        <v>9.9969989999999995E-2</v>
      </c>
      <c r="I4781" s="55">
        <v>2.15032E-2</v>
      </c>
      <c r="J4781" s="55">
        <v>1.40891E-2</v>
      </c>
      <c r="K4781" s="55">
        <v>1.3324000000000001E-2</v>
      </c>
      <c r="L4781" s="55">
        <v>2.03389E-2</v>
      </c>
      <c r="M4781" s="55">
        <v>1.4145700000000001E-2</v>
      </c>
      <c r="N4781" s="55">
        <v>1.2508399999999999E-2</v>
      </c>
    </row>
    <row r="4782" spans="1:14" hidden="1" x14ac:dyDescent="0.35">
      <c r="A4782" s="52" t="s">
        <v>682</v>
      </c>
      <c r="B4782" s="52" t="s">
        <v>37</v>
      </c>
      <c r="C4782" s="52" t="s">
        <v>79</v>
      </c>
      <c r="D4782" s="52" t="s">
        <v>79</v>
      </c>
      <c r="E4782" s="52" t="s">
        <v>617</v>
      </c>
      <c r="F4782" s="52" t="s">
        <v>581</v>
      </c>
      <c r="G4782" s="55" t="s">
        <v>276</v>
      </c>
      <c r="H4782" s="55">
        <v>2.8979999999999999E-2</v>
      </c>
      <c r="I4782" s="55">
        <v>6.2335000000000003E-3</v>
      </c>
      <c r="J4782" s="55">
        <v>4.0841999999999996E-3</v>
      </c>
      <c r="K4782" s="55">
        <v>3.8624000000000002E-3</v>
      </c>
      <c r="L4782" s="55">
        <v>5.8953E-3</v>
      </c>
      <c r="M4782" s="55">
        <v>4.1006000000000003E-3</v>
      </c>
      <c r="N4782" s="55">
        <v>3.6251E-3</v>
      </c>
    </row>
    <row r="4783" spans="1:14" hidden="1" x14ac:dyDescent="0.35">
      <c r="A4783" s="52" t="s">
        <v>682</v>
      </c>
      <c r="B4783" s="52" t="s">
        <v>37</v>
      </c>
      <c r="C4783" s="52" t="s">
        <v>79</v>
      </c>
      <c r="D4783" s="52" t="s">
        <v>79</v>
      </c>
      <c r="E4783" s="52" t="s">
        <v>617</v>
      </c>
      <c r="F4783" s="52" t="s">
        <v>581</v>
      </c>
      <c r="G4783" s="55" t="s">
        <v>279</v>
      </c>
      <c r="H4783" s="55">
        <v>0.119075</v>
      </c>
      <c r="I4783" s="55">
        <v>0.1003908</v>
      </c>
      <c r="J4783" s="55">
        <v>7.6197899999999999E-2</v>
      </c>
      <c r="K4783" s="55">
        <v>8.3396999999999999E-2</v>
      </c>
      <c r="L4783" s="55">
        <v>0.1027009</v>
      </c>
      <c r="M4783" s="55">
        <v>9.0660400000000002E-2</v>
      </c>
      <c r="N4783" s="55">
        <v>7.3233500000000007E-2</v>
      </c>
    </row>
    <row r="4784" spans="1:14" hidden="1" x14ac:dyDescent="0.35">
      <c r="A4784" s="52" t="s">
        <v>682</v>
      </c>
      <c r="B4784" s="52" t="s">
        <v>37</v>
      </c>
      <c r="C4784" s="52" t="s">
        <v>79</v>
      </c>
      <c r="D4784" s="52" t="s">
        <v>79</v>
      </c>
      <c r="E4784" s="52" t="s">
        <v>617</v>
      </c>
      <c r="F4784" s="52" t="s">
        <v>26</v>
      </c>
      <c r="G4784" s="55" t="s">
        <v>275</v>
      </c>
      <c r="H4784" s="55">
        <v>-10.37121</v>
      </c>
      <c r="I4784" s="55">
        <v>1.4139429999999999</v>
      </c>
      <c r="J4784" s="55">
        <v>1.8019689999999999</v>
      </c>
      <c r="K4784" s="55">
        <v>-0.559172</v>
      </c>
      <c r="L4784" s="55">
        <v>-0.94925729999999997</v>
      </c>
      <c r="M4784" s="55">
        <v>0.4259696</v>
      </c>
      <c r="N4784" s="55">
        <v>0.34744209999999998</v>
      </c>
    </row>
    <row r="4785" spans="1:14" hidden="1" x14ac:dyDescent="0.35">
      <c r="A4785" s="52" t="s">
        <v>682</v>
      </c>
      <c r="B4785" s="52" t="s">
        <v>37</v>
      </c>
      <c r="C4785" s="52" t="s">
        <v>79</v>
      </c>
      <c r="D4785" s="52" t="s">
        <v>79</v>
      </c>
      <c r="E4785" s="52" t="s">
        <v>617</v>
      </c>
      <c r="F4785" s="52" t="s">
        <v>26</v>
      </c>
      <c r="G4785" s="55" t="s">
        <v>276</v>
      </c>
      <c r="H4785" s="55">
        <v>-2.5454680000000001</v>
      </c>
      <c r="I4785" s="55">
        <v>-0.88922659999999998</v>
      </c>
      <c r="J4785" s="55">
        <v>-1.292997</v>
      </c>
      <c r="K4785" s="55">
        <v>-1.388682</v>
      </c>
      <c r="L4785" s="55">
        <v>-1.3397049999999999</v>
      </c>
      <c r="M4785" s="55">
        <v>-9.4511700000000004E-2</v>
      </c>
      <c r="N4785" s="55">
        <v>-7.3676710000000006E-2</v>
      </c>
    </row>
    <row r="4786" spans="1:14" hidden="1" x14ac:dyDescent="0.35">
      <c r="A4786" s="52" t="s">
        <v>682</v>
      </c>
      <c r="B4786" s="52" t="s">
        <v>37</v>
      </c>
      <c r="C4786" s="52" t="s">
        <v>79</v>
      </c>
      <c r="D4786" s="52" t="s">
        <v>79</v>
      </c>
      <c r="E4786" s="52" t="s">
        <v>617</v>
      </c>
      <c r="F4786" s="52" t="s">
        <v>26</v>
      </c>
      <c r="G4786" s="55" t="s">
        <v>277</v>
      </c>
      <c r="H4786" s="55">
        <v>13.5</v>
      </c>
      <c r="I4786" s="55">
        <v>0</v>
      </c>
      <c r="J4786" s="55">
        <v>0</v>
      </c>
      <c r="K4786" s="55">
        <v>2.3781949999999998</v>
      </c>
      <c r="L4786" s="55">
        <v>2.7974269999999999</v>
      </c>
      <c r="M4786" s="55">
        <v>0</v>
      </c>
      <c r="N4786" s="55">
        <v>0</v>
      </c>
    </row>
    <row r="4787" spans="1:14" hidden="1" x14ac:dyDescent="0.35">
      <c r="A4787" s="52" t="s">
        <v>682</v>
      </c>
      <c r="B4787" s="52" t="s">
        <v>37</v>
      </c>
      <c r="C4787" s="52" t="s">
        <v>79</v>
      </c>
      <c r="D4787" s="52" t="s">
        <v>79</v>
      </c>
      <c r="E4787" s="52" t="s">
        <v>617</v>
      </c>
      <c r="F4787" s="52" t="s">
        <v>26</v>
      </c>
      <c r="G4787" s="55" t="s">
        <v>279</v>
      </c>
      <c r="H4787" s="55">
        <v>2.362323</v>
      </c>
      <c r="I4787" s="55">
        <v>2.5732879999999998</v>
      </c>
      <c r="J4787" s="55">
        <v>1.908633</v>
      </c>
      <c r="K4787" s="55">
        <v>2.136244</v>
      </c>
      <c r="L4787" s="55">
        <v>2.7503730000000002</v>
      </c>
      <c r="M4787" s="55">
        <v>2.3990100000000001</v>
      </c>
      <c r="N4787" s="55">
        <v>1.9599299999999999</v>
      </c>
    </row>
    <row r="4788" spans="1:14" hidden="1" x14ac:dyDescent="0.35">
      <c r="A4788" s="52" t="s">
        <v>682</v>
      </c>
      <c r="B4788" s="52" t="s">
        <v>37</v>
      </c>
      <c r="C4788" s="52" t="s">
        <v>35</v>
      </c>
      <c r="D4788" s="52" t="s">
        <v>36</v>
      </c>
      <c r="E4788" s="52" t="s">
        <v>589</v>
      </c>
      <c r="F4788" s="52" t="s">
        <v>581</v>
      </c>
      <c r="G4788" s="55" t="s">
        <v>275</v>
      </c>
      <c r="H4788" s="55">
        <v>15.242599999999999</v>
      </c>
      <c r="I4788" s="55">
        <v>5.5149480000000004</v>
      </c>
      <c r="J4788" s="55">
        <v>5.2373050000000001</v>
      </c>
      <c r="K4788" s="55">
        <v>6.3859950000000003</v>
      </c>
      <c r="L4788" s="55">
        <v>-0.14688010000000001</v>
      </c>
      <c r="M4788" s="55">
        <v>-1.51291</v>
      </c>
      <c r="N4788" s="55">
        <v>-3.3358620000000001</v>
      </c>
    </row>
    <row r="4789" spans="1:14" hidden="1" x14ac:dyDescent="0.35">
      <c r="A4789" s="52" t="s">
        <v>682</v>
      </c>
      <c r="B4789" s="52" t="s">
        <v>37</v>
      </c>
      <c r="C4789" s="52" t="s">
        <v>35</v>
      </c>
      <c r="D4789" s="52" t="s">
        <v>36</v>
      </c>
      <c r="E4789" s="52" t="s">
        <v>589</v>
      </c>
      <c r="F4789" s="52" t="s">
        <v>581</v>
      </c>
      <c r="G4789" s="55" t="s">
        <v>276</v>
      </c>
      <c r="H4789" s="55">
        <v>2.0607000000000002</v>
      </c>
      <c r="I4789" s="55">
        <v>-0.94351320000000005</v>
      </c>
      <c r="J4789" s="55">
        <v>-1.6258870000000001</v>
      </c>
      <c r="K4789" s="55">
        <v>-4.1642390000000002</v>
      </c>
      <c r="L4789" s="55">
        <v>0.41630859999999997</v>
      </c>
      <c r="M4789" s="55">
        <v>0.94041450000000004</v>
      </c>
      <c r="N4789" s="55">
        <v>1.273917</v>
      </c>
    </row>
    <row r="4790" spans="1:14" hidden="1" x14ac:dyDescent="0.35">
      <c r="A4790" s="52" t="s">
        <v>682</v>
      </c>
      <c r="B4790" s="52" t="s">
        <v>37</v>
      </c>
      <c r="C4790" s="52" t="s">
        <v>35</v>
      </c>
      <c r="D4790" s="52" t="s">
        <v>36</v>
      </c>
      <c r="E4790" s="52" t="s">
        <v>589</v>
      </c>
      <c r="F4790" s="52" t="s">
        <v>581</v>
      </c>
      <c r="G4790" s="55" t="s">
        <v>277</v>
      </c>
      <c r="H4790" s="55">
        <v>3.8400020000000001</v>
      </c>
      <c r="I4790" s="55">
        <v>0</v>
      </c>
      <c r="J4790" s="55">
        <v>0</v>
      </c>
      <c r="K4790" s="55">
        <v>0.45504850000000002</v>
      </c>
      <c r="L4790" s="55">
        <v>0.88559010000000005</v>
      </c>
      <c r="M4790" s="55">
        <v>1.8296289999999999</v>
      </c>
      <c r="N4790" s="55">
        <v>2.978882</v>
      </c>
    </row>
    <row r="4791" spans="1:14" hidden="1" x14ac:dyDescent="0.35">
      <c r="A4791" s="52" t="s">
        <v>682</v>
      </c>
      <c r="B4791" s="52" t="s">
        <v>37</v>
      </c>
      <c r="C4791" s="52" t="s">
        <v>35</v>
      </c>
      <c r="D4791" s="52" t="s">
        <v>36</v>
      </c>
      <c r="E4791" s="52" t="s">
        <v>589</v>
      </c>
      <c r="F4791" s="52" t="s">
        <v>581</v>
      </c>
      <c r="G4791" s="55" t="s">
        <v>278</v>
      </c>
      <c r="H4791" s="55"/>
      <c r="I4791" s="55"/>
      <c r="J4791" s="55">
        <v>0</v>
      </c>
      <c r="K4791" s="55">
        <v>1.144139</v>
      </c>
      <c r="L4791" s="55">
        <v>3.5415730000000001</v>
      </c>
      <c r="M4791" s="55">
        <v>5.6250070000000001</v>
      </c>
      <c r="N4791" s="55">
        <v>9.5853610000000007</v>
      </c>
    </row>
    <row r="4792" spans="1:14" hidden="1" x14ac:dyDescent="0.35">
      <c r="A4792" s="52" t="s">
        <v>682</v>
      </c>
      <c r="B4792" s="52" t="s">
        <v>37</v>
      </c>
      <c r="C4792" s="52" t="s">
        <v>35</v>
      </c>
      <c r="D4792" s="52" t="s">
        <v>36</v>
      </c>
      <c r="E4792" s="52" t="s">
        <v>589</v>
      </c>
      <c r="F4792" s="52" t="s">
        <v>581</v>
      </c>
      <c r="G4792" s="55" t="s">
        <v>279</v>
      </c>
      <c r="H4792" s="55">
        <v>7.1806200000000002</v>
      </c>
      <c r="I4792" s="55">
        <v>3.2573859999999999</v>
      </c>
      <c r="J4792" s="55">
        <v>2.413405</v>
      </c>
      <c r="K4792" s="55">
        <v>2.6347860000000001</v>
      </c>
      <c r="L4792" s="55">
        <v>2.9223659999999998</v>
      </c>
      <c r="M4792" s="55">
        <v>5.2887320000000004</v>
      </c>
      <c r="N4792" s="55">
        <v>7.9310890000000001</v>
      </c>
    </row>
    <row r="4793" spans="1:14" hidden="1" x14ac:dyDescent="0.35">
      <c r="A4793" s="52" t="s">
        <v>682</v>
      </c>
      <c r="B4793" s="52" t="s">
        <v>37</v>
      </c>
      <c r="C4793" s="52" t="s">
        <v>35</v>
      </c>
      <c r="D4793" s="52" t="s">
        <v>36</v>
      </c>
      <c r="E4793" s="52" t="s">
        <v>589</v>
      </c>
      <c r="F4793" s="52" t="s">
        <v>26</v>
      </c>
      <c r="G4793" s="55" t="s">
        <v>275</v>
      </c>
      <c r="H4793" s="55">
        <v>4.2958999999999997E-2</v>
      </c>
      <c r="I4793" s="55">
        <v>2.7057999999999999E-2</v>
      </c>
      <c r="J4793" s="55">
        <v>4.12924E-2</v>
      </c>
      <c r="K4793" s="55">
        <v>3.3361000000000002E-2</v>
      </c>
      <c r="L4793" s="55">
        <v>4.9238700000000003E-2</v>
      </c>
      <c r="M4793" s="55">
        <v>2.0815500000000001E-2</v>
      </c>
      <c r="N4793" s="55">
        <v>3.2663200000000003E-2</v>
      </c>
    </row>
    <row r="4794" spans="1:14" hidden="1" x14ac:dyDescent="0.35">
      <c r="A4794" s="52" t="s">
        <v>682</v>
      </c>
      <c r="B4794" s="52" t="s">
        <v>37</v>
      </c>
      <c r="C4794" s="52" t="s">
        <v>35</v>
      </c>
      <c r="D4794" s="52" t="s">
        <v>36</v>
      </c>
      <c r="E4794" s="52" t="s">
        <v>589</v>
      </c>
      <c r="F4794" s="52" t="s">
        <v>26</v>
      </c>
      <c r="G4794" s="55" t="s">
        <v>276</v>
      </c>
      <c r="H4794" s="55">
        <v>1.1419E-2</v>
      </c>
      <c r="I4794" s="55">
        <v>7.1926999999999998E-3</v>
      </c>
      <c r="J4794" s="55">
        <v>1.09762E-2</v>
      </c>
      <c r="K4794" s="55">
        <v>8.8681999999999997E-3</v>
      </c>
      <c r="L4794" s="55">
        <v>1.3088000000000001E-2</v>
      </c>
      <c r="M4794" s="55">
        <v>5.5329999999999997E-3</v>
      </c>
      <c r="N4794" s="55">
        <v>8.6826000000000004E-3</v>
      </c>
    </row>
    <row r="4795" spans="1:14" hidden="1" x14ac:dyDescent="0.35">
      <c r="A4795" s="52" t="s">
        <v>682</v>
      </c>
      <c r="B4795" s="52" t="s">
        <v>37</v>
      </c>
      <c r="C4795" s="52" t="s">
        <v>35</v>
      </c>
      <c r="D4795" s="52" t="s">
        <v>36</v>
      </c>
      <c r="E4795" s="52" t="s">
        <v>589</v>
      </c>
      <c r="F4795" s="52" t="s">
        <v>26</v>
      </c>
      <c r="G4795" s="55" t="s">
        <v>279</v>
      </c>
      <c r="H4795" s="55">
        <v>0.446741</v>
      </c>
      <c r="I4795" s="55">
        <v>0.42024610000000001</v>
      </c>
      <c r="J4795" s="55">
        <v>0.31440620000000002</v>
      </c>
      <c r="K4795" s="55">
        <v>0.34662969999999999</v>
      </c>
      <c r="L4795" s="55">
        <v>0.39216820000000002</v>
      </c>
      <c r="M4795" s="55">
        <v>0.69309540000000003</v>
      </c>
      <c r="N4795" s="55">
        <v>1.037147</v>
      </c>
    </row>
    <row r="4796" spans="1:14" hidden="1" x14ac:dyDescent="0.35">
      <c r="A4796" s="52" t="s">
        <v>682</v>
      </c>
      <c r="B4796" s="52" t="s">
        <v>37</v>
      </c>
      <c r="C4796" s="52" t="s">
        <v>109</v>
      </c>
      <c r="D4796" s="52" t="s">
        <v>109</v>
      </c>
      <c r="E4796" s="52" t="s">
        <v>584</v>
      </c>
      <c r="F4796" s="52" t="s">
        <v>581</v>
      </c>
      <c r="G4796" s="55" t="s">
        <v>275</v>
      </c>
      <c r="H4796" s="55">
        <v>5.8229839999999999</v>
      </c>
      <c r="I4796" s="55">
        <v>1.4578359999999999</v>
      </c>
      <c r="J4796" s="55">
        <v>0.89972050000000003</v>
      </c>
      <c r="K4796" s="55">
        <v>0.4816067</v>
      </c>
      <c r="L4796" s="55">
        <v>0.29508420000000002</v>
      </c>
      <c r="M4796" s="55">
        <v>0.23065949999999999</v>
      </c>
      <c r="N4796" s="55">
        <v>-1.633151E-3</v>
      </c>
    </row>
    <row r="4797" spans="1:14" hidden="1" x14ac:dyDescent="0.35">
      <c r="A4797" s="52" t="s">
        <v>682</v>
      </c>
      <c r="B4797" s="52" t="s">
        <v>37</v>
      </c>
      <c r="C4797" s="52" t="s">
        <v>109</v>
      </c>
      <c r="D4797" s="52" t="s">
        <v>109</v>
      </c>
      <c r="E4797" s="52" t="s">
        <v>584</v>
      </c>
      <c r="F4797" s="52" t="s">
        <v>581</v>
      </c>
      <c r="G4797" s="55" t="s">
        <v>276</v>
      </c>
      <c r="H4797" s="55">
        <v>0.96839679999999995</v>
      </c>
      <c r="I4797" s="55">
        <v>0.38252429999999998</v>
      </c>
      <c r="J4797" s="55">
        <v>0.23208790000000001</v>
      </c>
      <c r="K4797" s="55">
        <v>0.1205301</v>
      </c>
      <c r="L4797" s="55">
        <v>5.64973E-2</v>
      </c>
      <c r="M4797" s="55">
        <v>4.6067669999999998E-2</v>
      </c>
      <c r="N4797" s="55">
        <v>-1.193105E-2</v>
      </c>
    </row>
    <row r="4798" spans="1:14" hidden="1" x14ac:dyDescent="0.35">
      <c r="A4798" s="52" t="s">
        <v>682</v>
      </c>
      <c r="B4798" s="52" t="s">
        <v>37</v>
      </c>
      <c r="C4798" s="52" t="s">
        <v>109</v>
      </c>
      <c r="D4798" s="52" t="s">
        <v>109</v>
      </c>
      <c r="E4798" s="52" t="s">
        <v>584</v>
      </c>
      <c r="F4798" s="52" t="s">
        <v>581</v>
      </c>
      <c r="G4798" s="55" t="s">
        <v>277</v>
      </c>
      <c r="H4798" s="55">
        <v>0.117769</v>
      </c>
      <c r="I4798" s="55">
        <v>9.525525E-2</v>
      </c>
      <c r="J4798" s="55">
        <v>8.7206000000000006E-2</v>
      </c>
      <c r="K4798" s="55">
        <v>7.3545550000000001E-2</v>
      </c>
      <c r="L4798" s="55"/>
      <c r="M4798" s="55"/>
      <c r="N4798" s="55">
        <v>0</v>
      </c>
    </row>
    <row r="4799" spans="1:14" hidden="1" x14ac:dyDescent="0.35">
      <c r="A4799" s="52" t="s">
        <v>682</v>
      </c>
      <c r="B4799" s="52" t="s">
        <v>37</v>
      </c>
      <c r="C4799" s="52" t="s">
        <v>109</v>
      </c>
      <c r="D4799" s="52" t="s">
        <v>109</v>
      </c>
      <c r="E4799" s="52" t="s">
        <v>584</v>
      </c>
      <c r="F4799" s="52" t="s">
        <v>581</v>
      </c>
      <c r="G4799" s="55" t="s">
        <v>278</v>
      </c>
      <c r="H4799" s="55">
        <v>1.8911250000000001E-2</v>
      </c>
      <c r="I4799" s="55">
        <v>1.8911250000000001E-2</v>
      </c>
      <c r="J4799" s="55">
        <v>0</v>
      </c>
      <c r="K4799" s="55">
        <v>0</v>
      </c>
      <c r="L4799" s="55">
        <v>0</v>
      </c>
      <c r="M4799" s="55">
        <v>0</v>
      </c>
      <c r="N4799" s="55">
        <v>0</v>
      </c>
    </row>
    <row r="4800" spans="1:14" hidden="1" x14ac:dyDescent="0.35">
      <c r="A4800" s="52" t="s">
        <v>682</v>
      </c>
      <c r="B4800" s="52" t="s">
        <v>37</v>
      </c>
      <c r="C4800" s="52" t="s">
        <v>109</v>
      </c>
      <c r="D4800" s="52" t="s">
        <v>109</v>
      </c>
      <c r="E4800" s="52" t="s">
        <v>584</v>
      </c>
      <c r="F4800" s="52" t="s">
        <v>581</v>
      </c>
      <c r="G4800" s="55" t="s">
        <v>279</v>
      </c>
      <c r="H4800" s="55">
        <v>2.5608230000000001</v>
      </c>
      <c r="I4800" s="55">
        <v>1.4713989999999999</v>
      </c>
      <c r="J4800" s="55">
        <v>1.263916</v>
      </c>
      <c r="K4800" s="55">
        <v>1.1756679999999999</v>
      </c>
      <c r="L4800" s="55">
        <v>1.0574520000000001</v>
      </c>
      <c r="M4800" s="55">
        <v>0.60566350000000002</v>
      </c>
      <c r="N4800" s="55">
        <v>4.3064999999999999E-2</v>
      </c>
    </row>
    <row r="4801" spans="1:14" hidden="1" x14ac:dyDescent="0.35">
      <c r="A4801" s="52" t="s">
        <v>682</v>
      </c>
      <c r="B4801" s="52" t="s">
        <v>37</v>
      </c>
      <c r="C4801" s="52" t="s">
        <v>109</v>
      </c>
      <c r="D4801" s="52" t="s">
        <v>109</v>
      </c>
      <c r="E4801" s="52" t="s">
        <v>584</v>
      </c>
      <c r="F4801" s="52" t="s">
        <v>26</v>
      </c>
      <c r="G4801" s="55" t="s">
        <v>275</v>
      </c>
      <c r="H4801" s="55">
        <v>0.59624580000000005</v>
      </c>
      <c r="I4801" s="55">
        <v>-0.43954500000000002</v>
      </c>
      <c r="J4801" s="55">
        <v>-0.78735390000000005</v>
      </c>
      <c r="K4801" s="55">
        <v>-1.184517</v>
      </c>
      <c r="L4801" s="55">
        <v>-1.1947680000000001</v>
      </c>
      <c r="M4801" s="55">
        <v>-1.409092</v>
      </c>
      <c r="N4801" s="55">
        <v>7.7945100000000003E-2</v>
      </c>
    </row>
    <row r="4802" spans="1:14" hidden="1" x14ac:dyDescent="0.35">
      <c r="A4802" s="52" t="s">
        <v>682</v>
      </c>
      <c r="B4802" s="52" t="s">
        <v>37</v>
      </c>
      <c r="C4802" s="52" t="s">
        <v>109</v>
      </c>
      <c r="D4802" s="52" t="s">
        <v>109</v>
      </c>
      <c r="E4802" s="52" t="s">
        <v>584</v>
      </c>
      <c r="F4802" s="52" t="s">
        <v>26</v>
      </c>
      <c r="G4802" s="55" t="s">
        <v>276</v>
      </c>
      <c r="H4802" s="55">
        <v>-2.9267530000000002</v>
      </c>
      <c r="I4802" s="55">
        <v>-0.18266850000000001</v>
      </c>
      <c r="J4802" s="55">
        <v>-0.35612729999999998</v>
      </c>
      <c r="K4802" s="55">
        <v>-0.64690119999999995</v>
      </c>
      <c r="L4802" s="55">
        <v>-0.55065439999999999</v>
      </c>
      <c r="M4802" s="55">
        <v>-0.55196259999999997</v>
      </c>
      <c r="N4802" s="55">
        <v>-9.9001080000000005E-2</v>
      </c>
    </row>
    <row r="4803" spans="1:14" hidden="1" x14ac:dyDescent="0.35">
      <c r="A4803" s="52" t="s">
        <v>682</v>
      </c>
      <c r="B4803" s="52" t="s">
        <v>37</v>
      </c>
      <c r="C4803" s="52" t="s">
        <v>109</v>
      </c>
      <c r="D4803" s="52" t="s">
        <v>109</v>
      </c>
      <c r="E4803" s="52" t="s">
        <v>584</v>
      </c>
      <c r="F4803" s="52" t="s">
        <v>26</v>
      </c>
      <c r="G4803" s="55" t="s">
        <v>277</v>
      </c>
      <c r="H4803" s="55">
        <v>1.4998860000000001</v>
      </c>
      <c r="I4803" s="55">
        <v>1.208378</v>
      </c>
      <c r="J4803" s="55">
        <v>0.9522294</v>
      </c>
      <c r="K4803" s="55">
        <v>0.61588039999999999</v>
      </c>
      <c r="L4803" s="55">
        <v>0.1022198</v>
      </c>
      <c r="M4803" s="55">
        <v>2.538464E-2</v>
      </c>
      <c r="N4803" s="55">
        <v>2.4831039999999999E-2</v>
      </c>
    </row>
    <row r="4804" spans="1:14" hidden="1" x14ac:dyDescent="0.35">
      <c r="A4804" s="52" t="s">
        <v>682</v>
      </c>
      <c r="B4804" s="52" t="s">
        <v>37</v>
      </c>
      <c r="C4804" s="52" t="s">
        <v>109</v>
      </c>
      <c r="D4804" s="52" t="s">
        <v>109</v>
      </c>
      <c r="E4804" s="52" t="s">
        <v>584</v>
      </c>
      <c r="F4804" s="52" t="s">
        <v>26</v>
      </c>
      <c r="G4804" s="55" t="s">
        <v>279</v>
      </c>
      <c r="H4804" s="55">
        <v>14.38358</v>
      </c>
      <c r="I4804" s="55">
        <v>7.4622010000000003</v>
      </c>
      <c r="J4804" s="55">
        <v>6.232259</v>
      </c>
      <c r="K4804" s="55">
        <v>5.6277439999999999</v>
      </c>
      <c r="L4804" s="55">
        <v>4.9154580000000001</v>
      </c>
      <c r="M4804" s="55">
        <v>4.3895520000000001</v>
      </c>
      <c r="N4804" s="55">
        <v>6.4188839999999997E-2</v>
      </c>
    </row>
    <row r="4805" spans="1:14" hidden="1" x14ac:dyDescent="0.35">
      <c r="A4805" s="52" t="s">
        <v>682</v>
      </c>
      <c r="B4805" s="52" t="s">
        <v>37</v>
      </c>
      <c r="C4805" s="52" t="s">
        <v>57</v>
      </c>
      <c r="D4805" s="52" t="s">
        <v>57</v>
      </c>
      <c r="E4805" s="52" t="s">
        <v>584</v>
      </c>
      <c r="F4805" s="52" t="s">
        <v>581</v>
      </c>
      <c r="G4805" s="55" t="s">
        <v>275</v>
      </c>
      <c r="H4805" s="55">
        <v>5.1718630000000002E-2</v>
      </c>
      <c r="I4805" s="55">
        <v>-1.882756E-2</v>
      </c>
      <c r="J4805" s="55">
        <v>-1.110242E-2</v>
      </c>
      <c r="K4805" s="55">
        <v>2.382886E-2</v>
      </c>
      <c r="L4805" s="55">
        <v>2.062959E-2</v>
      </c>
      <c r="M4805" s="55">
        <v>1.6465130000000001E-2</v>
      </c>
      <c r="N4805" s="55">
        <v>1.2362069999999999E-2</v>
      </c>
    </row>
    <row r="4806" spans="1:14" hidden="1" x14ac:dyDescent="0.35">
      <c r="A4806" s="52" t="s">
        <v>682</v>
      </c>
      <c r="B4806" s="52" t="s">
        <v>37</v>
      </c>
      <c r="C4806" s="52" t="s">
        <v>57</v>
      </c>
      <c r="D4806" s="52" t="s">
        <v>57</v>
      </c>
      <c r="E4806" s="52" t="s">
        <v>584</v>
      </c>
      <c r="F4806" s="52" t="s">
        <v>581</v>
      </c>
      <c r="G4806" s="55" t="s">
        <v>276</v>
      </c>
      <c r="H4806" s="55">
        <v>1.7664119999999998E-2</v>
      </c>
      <c r="I4806" s="55">
        <v>-1.7427339999999999E-2</v>
      </c>
      <c r="J4806" s="55">
        <v>-1.358004E-2</v>
      </c>
      <c r="K4806" s="55">
        <v>-1.125028E-2</v>
      </c>
      <c r="L4806" s="55">
        <v>-9.2513430000000004E-3</v>
      </c>
      <c r="M4806" s="55">
        <v>-7.5610590000000002E-3</v>
      </c>
      <c r="N4806" s="55">
        <v>-5.7988839999999998E-3</v>
      </c>
    </row>
    <row r="4807" spans="1:14" hidden="1" x14ac:dyDescent="0.35">
      <c r="A4807" s="52" t="s">
        <v>682</v>
      </c>
      <c r="B4807" s="52" t="s">
        <v>37</v>
      </c>
      <c r="C4807" s="52" t="s">
        <v>57</v>
      </c>
      <c r="D4807" s="52" t="s">
        <v>57</v>
      </c>
      <c r="E4807" s="52" t="s">
        <v>584</v>
      </c>
      <c r="F4807" s="52" t="s">
        <v>581</v>
      </c>
      <c r="G4807" s="55" t="s">
        <v>277</v>
      </c>
      <c r="H4807" s="55">
        <v>7.8195210000000001E-2</v>
      </c>
      <c r="I4807" s="55">
        <v>6.6445509999999999E-2</v>
      </c>
      <c r="J4807" s="55">
        <v>6.1211080000000001E-2</v>
      </c>
      <c r="K4807" s="55"/>
      <c r="L4807" s="55"/>
      <c r="M4807" s="55"/>
      <c r="N4807" s="55"/>
    </row>
    <row r="4808" spans="1:14" hidden="1" x14ac:dyDescent="0.35">
      <c r="A4808" s="52" t="s">
        <v>682</v>
      </c>
      <c r="B4808" s="52" t="s">
        <v>37</v>
      </c>
      <c r="C4808" s="52" t="s">
        <v>57</v>
      </c>
      <c r="D4808" s="52" t="s">
        <v>57</v>
      </c>
      <c r="E4808" s="52" t="s">
        <v>584</v>
      </c>
      <c r="F4808" s="52" t="s">
        <v>581</v>
      </c>
      <c r="G4808" s="55" t="s">
        <v>278</v>
      </c>
      <c r="H4808" s="55">
        <v>8.8521999999999993E-3</v>
      </c>
      <c r="I4808" s="55">
        <v>8.8521999999999993E-3</v>
      </c>
      <c r="J4808" s="55">
        <v>0</v>
      </c>
      <c r="K4808" s="55">
        <v>0</v>
      </c>
      <c r="L4808" s="55">
        <v>0</v>
      </c>
      <c r="M4808" s="55">
        <v>0</v>
      </c>
      <c r="N4808" s="55">
        <v>0</v>
      </c>
    </row>
    <row r="4809" spans="1:14" hidden="1" x14ac:dyDescent="0.35">
      <c r="A4809" s="52" t="s">
        <v>682</v>
      </c>
      <c r="B4809" s="52" t="s">
        <v>37</v>
      </c>
      <c r="C4809" s="52" t="s">
        <v>57</v>
      </c>
      <c r="D4809" s="52" t="s">
        <v>57</v>
      </c>
      <c r="E4809" s="52" t="s">
        <v>584</v>
      </c>
      <c r="F4809" s="52" t="s">
        <v>581</v>
      </c>
      <c r="G4809" s="55" t="s">
        <v>279</v>
      </c>
      <c r="H4809" s="55">
        <v>0.1112171</v>
      </c>
      <c r="I4809" s="55">
        <v>9.2199329999999996E-2</v>
      </c>
      <c r="J4809" s="55">
        <v>9.2523170000000002E-2</v>
      </c>
      <c r="K4809" s="55">
        <v>9.6475389999999994E-2</v>
      </c>
      <c r="L4809" s="55">
        <v>9.5136700000000005E-2</v>
      </c>
      <c r="M4809" s="55">
        <v>9.2880820000000003E-2</v>
      </c>
      <c r="N4809" s="55">
        <v>9.1123099999999999E-2</v>
      </c>
    </row>
    <row r="4810" spans="1:14" hidden="1" x14ac:dyDescent="0.35">
      <c r="A4810" s="52" t="s">
        <v>682</v>
      </c>
      <c r="B4810" s="52" t="s">
        <v>34</v>
      </c>
      <c r="C4810" s="52" t="s">
        <v>33</v>
      </c>
      <c r="D4810" s="52" t="s">
        <v>33</v>
      </c>
      <c r="E4810" s="52" t="s">
        <v>605</v>
      </c>
      <c r="F4810" s="52" t="s">
        <v>581</v>
      </c>
      <c r="G4810" s="55" t="s">
        <v>275</v>
      </c>
      <c r="H4810" s="55"/>
      <c r="I4810" s="55"/>
      <c r="J4810" s="55"/>
      <c r="K4810" s="55"/>
      <c r="L4810" s="55"/>
      <c r="M4810" s="55">
        <v>0</v>
      </c>
      <c r="N4810" s="55">
        <v>0</v>
      </c>
    </row>
    <row r="4811" spans="1:14" hidden="1" x14ac:dyDescent="0.35">
      <c r="A4811" s="52" t="s">
        <v>682</v>
      </c>
      <c r="B4811" s="52" t="s">
        <v>34</v>
      </c>
      <c r="C4811" s="52" t="s">
        <v>33</v>
      </c>
      <c r="D4811" s="52" t="s">
        <v>33</v>
      </c>
      <c r="E4811" s="52" t="s">
        <v>605</v>
      </c>
      <c r="F4811" s="52" t="s">
        <v>581</v>
      </c>
      <c r="G4811" s="55" t="s">
        <v>276</v>
      </c>
      <c r="H4811" s="55"/>
      <c r="I4811" s="55"/>
      <c r="J4811" s="55"/>
      <c r="K4811" s="55"/>
      <c r="L4811" s="55"/>
      <c r="M4811" s="55">
        <v>0</v>
      </c>
      <c r="N4811" s="55">
        <v>0</v>
      </c>
    </row>
    <row r="4812" spans="1:14" hidden="1" x14ac:dyDescent="0.35">
      <c r="A4812" s="52" t="s">
        <v>682</v>
      </c>
      <c r="B4812" s="52" t="s">
        <v>34</v>
      </c>
      <c r="C4812" s="52" t="s">
        <v>33</v>
      </c>
      <c r="D4812" s="52" t="s">
        <v>33</v>
      </c>
      <c r="E4812" s="52" t="s">
        <v>605</v>
      </c>
      <c r="F4812" s="52" t="s">
        <v>581</v>
      </c>
      <c r="G4812" s="55" t="s">
        <v>279</v>
      </c>
      <c r="H4812" s="55"/>
      <c r="I4812" s="55"/>
      <c r="J4812" s="55"/>
      <c r="K4812" s="55"/>
      <c r="L4812" s="55"/>
      <c r="M4812" s="55">
        <v>0</v>
      </c>
      <c r="N4812" s="55">
        <v>0</v>
      </c>
    </row>
    <row r="4813" spans="1:14" hidden="1" x14ac:dyDescent="0.35">
      <c r="A4813" s="52" t="s">
        <v>682</v>
      </c>
      <c r="B4813" s="52" t="s">
        <v>34</v>
      </c>
      <c r="C4813" s="52" t="s">
        <v>33</v>
      </c>
      <c r="D4813" s="52" t="s">
        <v>33</v>
      </c>
      <c r="E4813" s="52" t="s">
        <v>605</v>
      </c>
      <c r="F4813" s="52" t="s">
        <v>26</v>
      </c>
      <c r="G4813" s="55" t="s">
        <v>275</v>
      </c>
      <c r="H4813" s="55">
        <v>-54.969540000000002</v>
      </c>
      <c r="I4813" s="55">
        <v>10.56475</v>
      </c>
      <c r="J4813" s="55">
        <v>12.25578</v>
      </c>
      <c r="K4813" s="55">
        <v>14.54776</v>
      </c>
      <c r="L4813" s="55">
        <v>12.945650000000001</v>
      </c>
      <c r="M4813" s="55">
        <v>14.25942</v>
      </c>
      <c r="N4813" s="55">
        <v>6.7432049999999997</v>
      </c>
    </row>
    <row r="4814" spans="1:14" hidden="1" x14ac:dyDescent="0.35">
      <c r="A4814" s="52" t="s">
        <v>682</v>
      </c>
      <c r="B4814" s="52" t="s">
        <v>34</v>
      </c>
      <c r="C4814" s="52" t="s">
        <v>33</v>
      </c>
      <c r="D4814" s="52" t="s">
        <v>33</v>
      </c>
      <c r="E4814" s="52" t="s">
        <v>605</v>
      </c>
      <c r="F4814" s="52" t="s">
        <v>26</v>
      </c>
      <c r="G4814" s="55" t="s">
        <v>276</v>
      </c>
      <c r="H4814" s="55">
        <v>-9.4923739999999999</v>
      </c>
      <c r="I4814" s="55">
        <v>-8.7200799999999994</v>
      </c>
      <c r="J4814" s="55">
        <v>-5.8809509999999996</v>
      </c>
      <c r="K4814" s="55">
        <v>-2.5020739999999999</v>
      </c>
      <c r="L4814" s="55">
        <v>2.5572370000000002</v>
      </c>
      <c r="M4814" s="55">
        <v>3.3260399999999999</v>
      </c>
      <c r="N4814" s="55">
        <v>3.4567999999999999</v>
      </c>
    </row>
    <row r="4815" spans="1:14" hidden="1" x14ac:dyDescent="0.35">
      <c r="A4815" s="52" t="s">
        <v>682</v>
      </c>
      <c r="B4815" s="52" t="s">
        <v>34</v>
      </c>
      <c r="C4815" s="52" t="s">
        <v>33</v>
      </c>
      <c r="D4815" s="52" t="s">
        <v>33</v>
      </c>
      <c r="E4815" s="52" t="s">
        <v>605</v>
      </c>
      <c r="F4815" s="52" t="s">
        <v>26</v>
      </c>
      <c r="G4815" s="55" t="s">
        <v>277</v>
      </c>
      <c r="H4815" s="55">
        <v>56.834820000000001</v>
      </c>
      <c r="I4815" s="55">
        <v>12.08694</v>
      </c>
      <c r="J4815" s="55">
        <v>4.3840950000000003</v>
      </c>
      <c r="K4815" s="55">
        <v>2.6198980000000001</v>
      </c>
      <c r="L4815" s="55">
        <v>1.1277729999999999</v>
      </c>
      <c r="M4815" s="55">
        <v>0.66901429999999995</v>
      </c>
      <c r="N4815" s="55">
        <v>3.5237080000000001</v>
      </c>
    </row>
    <row r="4816" spans="1:14" hidden="1" x14ac:dyDescent="0.35">
      <c r="A4816" s="52" t="s">
        <v>682</v>
      </c>
      <c r="B4816" s="52" t="s">
        <v>34</v>
      </c>
      <c r="C4816" s="52" t="s">
        <v>33</v>
      </c>
      <c r="D4816" s="52" t="s">
        <v>33</v>
      </c>
      <c r="E4816" s="52" t="s">
        <v>605</v>
      </c>
      <c r="F4816" s="52" t="s">
        <v>26</v>
      </c>
      <c r="G4816" s="55" t="s">
        <v>278</v>
      </c>
      <c r="H4816" s="55">
        <v>21.565180000000002</v>
      </c>
      <c r="I4816" s="55">
        <v>2.9130669999999999</v>
      </c>
      <c r="J4816" s="55">
        <v>10.46147</v>
      </c>
      <c r="K4816" s="55">
        <v>3.7278479999999998</v>
      </c>
      <c r="L4816" s="55">
        <v>4.2003649999999997</v>
      </c>
      <c r="M4816" s="55">
        <v>2.8980220000000001</v>
      </c>
      <c r="N4816" s="55">
        <v>6.8167549999999997</v>
      </c>
    </row>
    <row r="4817" spans="1:14" hidden="1" x14ac:dyDescent="0.35">
      <c r="A4817" s="52" t="s">
        <v>682</v>
      </c>
      <c r="B4817" s="52" t="s">
        <v>34</v>
      </c>
      <c r="C4817" s="52" t="s">
        <v>33</v>
      </c>
      <c r="D4817" s="52" t="s">
        <v>33</v>
      </c>
      <c r="E4817" s="52" t="s">
        <v>605</v>
      </c>
      <c r="F4817" s="52" t="s">
        <v>26</v>
      </c>
      <c r="G4817" s="55" t="s">
        <v>279</v>
      </c>
      <c r="H4817" s="55">
        <v>126.7658</v>
      </c>
      <c r="I4817" s="55">
        <v>125.441</v>
      </c>
      <c r="J4817" s="55">
        <v>145.7645</v>
      </c>
      <c r="K4817" s="55">
        <v>150.38550000000001</v>
      </c>
      <c r="L4817" s="55">
        <v>139.39940000000001</v>
      </c>
      <c r="M4817" s="55">
        <v>130.62440000000001</v>
      </c>
      <c r="N4817" s="55">
        <v>124.0847</v>
      </c>
    </row>
    <row r="4818" spans="1:14" hidden="1" x14ac:dyDescent="0.35">
      <c r="A4818" s="52" t="s">
        <v>682</v>
      </c>
      <c r="B4818" s="52" t="s">
        <v>34</v>
      </c>
      <c r="C4818" s="52" t="s">
        <v>33</v>
      </c>
      <c r="D4818" s="52" t="s">
        <v>33</v>
      </c>
      <c r="E4818" s="52" t="s">
        <v>636</v>
      </c>
      <c r="F4818" s="52" t="s">
        <v>581</v>
      </c>
      <c r="G4818" s="55" t="s">
        <v>275</v>
      </c>
      <c r="H4818" s="55">
        <v>-73.884739999999994</v>
      </c>
      <c r="I4818" s="55">
        <v>-48.801189999999998</v>
      </c>
      <c r="J4818" s="55">
        <v>43.610759999999999</v>
      </c>
      <c r="K4818" s="55">
        <v>27.71172</v>
      </c>
      <c r="L4818" s="55">
        <v>14.003130000000001</v>
      </c>
      <c r="M4818" s="55">
        <v>10.367789999999999</v>
      </c>
      <c r="N4818" s="55">
        <v>6.9571170000000002</v>
      </c>
    </row>
    <row r="4819" spans="1:14" hidden="1" x14ac:dyDescent="0.35">
      <c r="A4819" s="52" t="s">
        <v>682</v>
      </c>
      <c r="B4819" s="52" t="s">
        <v>34</v>
      </c>
      <c r="C4819" s="52" t="s">
        <v>33</v>
      </c>
      <c r="D4819" s="52" t="s">
        <v>33</v>
      </c>
      <c r="E4819" s="52" t="s">
        <v>636</v>
      </c>
      <c r="F4819" s="52" t="s">
        <v>581</v>
      </c>
      <c r="G4819" s="55" t="s">
        <v>276</v>
      </c>
      <c r="H4819" s="55">
        <v>-19.21144</v>
      </c>
      <c r="I4819" s="55">
        <v>-40.061520000000002</v>
      </c>
      <c r="J4819" s="55">
        <v>-28.69924</v>
      </c>
      <c r="K4819" s="55">
        <v>-13.622400000000001</v>
      </c>
      <c r="L4819" s="55">
        <v>-3.3391389999999999</v>
      </c>
      <c r="M4819" s="55">
        <v>2.7816459999999998</v>
      </c>
      <c r="N4819" s="55">
        <v>2.8232029999999999</v>
      </c>
    </row>
    <row r="4820" spans="1:14" hidden="1" x14ac:dyDescent="0.35">
      <c r="A4820" s="52" t="s">
        <v>682</v>
      </c>
      <c r="B4820" s="52" t="s">
        <v>34</v>
      </c>
      <c r="C4820" s="52" t="s">
        <v>33</v>
      </c>
      <c r="D4820" s="52" t="s">
        <v>33</v>
      </c>
      <c r="E4820" s="52" t="s">
        <v>636</v>
      </c>
      <c r="F4820" s="52" t="s">
        <v>581</v>
      </c>
      <c r="G4820" s="55" t="s">
        <v>277</v>
      </c>
      <c r="H4820" s="55">
        <v>150.4187</v>
      </c>
      <c r="I4820" s="55">
        <v>93.937079999999995</v>
      </c>
      <c r="J4820" s="55">
        <v>2.3223549999999999</v>
      </c>
      <c r="K4820" s="55">
        <v>0.38799679999999998</v>
      </c>
      <c r="L4820" s="55">
        <v>2.1885620000000001</v>
      </c>
      <c r="M4820" s="55">
        <v>0.40179189999999998</v>
      </c>
      <c r="N4820" s="55">
        <v>1.4989870000000001</v>
      </c>
    </row>
    <row r="4821" spans="1:14" hidden="1" x14ac:dyDescent="0.35">
      <c r="A4821" s="52" t="s">
        <v>682</v>
      </c>
      <c r="B4821" s="52" t="s">
        <v>34</v>
      </c>
      <c r="C4821" s="52" t="s">
        <v>33</v>
      </c>
      <c r="D4821" s="52" t="s">
        <v>33</v>
      </c>
      <c r="E4821" s="52" t="s">
        <v>636</v>
      </c>
      <c r="F4821" s="52" t="s">
        <v>581</v>
      </c>
      <c r="G4821" s="55" t="s">
        <v>278</v>
      </c>
      <c r="H4821" s="55">
        <v>33.714869999999998</v>
      </c>
      <c r="I4821" s="55">
        <v>16.062919999999998</v>
      </c>
      <c r="J4821" s="55">
        <v>2.0998950000000001</v>
      </c>
      <c r="K4821" s="55">
        <v>1.3743879999999999</v>
      </c>
      <c r="L4821" s="55">
        <v>2.9636680000000002</v>
      </c>
      <c r="M4821" s="55">
        <v>1.9700629999999999</v>
      </c>
      <c r="N4821" s="55">
        <v>4.9224579999999998</v>
      </c>
    </row>
    <row r="4822" spans="1:14" hidden="1" x14ac:dyDescent="0.35">
      <c r="A4822" s="52" t="s">
        <v>682</v>
      </c>
      <c r="B4822" s="52" t="s">
        <v>34</v>
      </c>
      <c r="C4822" s="52" t="s">
        <v>33</v>
      </c>
      <c r="D4822" s="52" t="s">
        <v>33</v>
      </c>
      <c r="E4822" s="52" t="s">
        <v>636</v>
      </c>
      <c r="F4822" s="52" t="s">
        <v>581</v>
      </c>
      <c r="G4822" s="55" t="s">
        <v>279</v>
      </c>
      <c r="H4822" s="55">
        <v>21.626380000000001</v>
      </c>
      <c r="I4822" s="55">
        <v>14.097289999999999</v>
      </c>
      <c r="J4822" s="55">
        <v>12.16982</v>
      </c>
      <c r="K4822" s="55">
        <v>10.08433</v>
      </c>
      <c r="L4822" s="55">
        <v>9.2896280000000004</v>
      </c>
      <c r="M4822" s="55">
        <v>9.2282879999999992</v>
      </c>
      <c r="N4822" s="55">
        <v>9.4379550000000005</v>
      </c>
    </row>
    <row r="4823" spans="1:14" hidden="1" x14ac:dyDescent="0.35">
      <c r="A4823" s="52" t="s">
        <v>682</v>
      </c>
      <c r="B4823" s="52" t="s">
        <v>34</v>
      </c>
      <c r="C4823" s="52" t="s">
        <v>33</v>
      </c>
      <c r="D4823" s="52" t="s">
        <v>33</v>
      </c>
      <c r="E4823" s="52" t="s">
        <v>636</v>
      </c>
      <c r="F4823" s="52" t="s">
        <v>26</v>
      </c>
      <c r="G4823" s="55" t="s">
        <v>275</v>
      </c>
      <c r="H4823" s="55">
        <v>-4.2073049999999999</v>
      </c>
      <c r="I4823" s="55">
        <v>-3.3484630000000002</v>
      </c>
      <c r="J4823" s="55">
        <v>-3.0356709999999998</v>
      </c>
      <c r="K4823" s="55">
        <v>-2.7511380000000001</v>
      </c>
      <c r="L4823" s="55">
        <v>-2.600069</v>
      </c>
      <c r="M4823" s="55">
        <v>-2.231436</v>
      </c>
      <c r="N4823" s="55">
        <v>-2.163532</v>
      </c>
    </row>
    <row r="4824" spans="1:14" hidden="1" x14ac:dyDescent="0.35">
      <c r="A4824" s="52" t="s">
        <v>682</v>
      </c>
      <c r="B4824" s="52" t="s">
        <v>34</v>
      </c>
      <c r="C4824" s="52" t="s">
        <v>33</v>
      </c>
      <c r="D4824" s="52" t="s">
        <v>33</v>
      </c>
      <c r="E4824" s="52" t="s">
        <v>636</v>
      </c>
      <c r="F4824" s="52" t="s">
        <v>26</v>
      </c>
      <c r="G4824" s="55" t="s">
        <v>276</v>
      </c>
      <c r="H4824" s="55">
        <v>-1.516918</v>
      </c>
      <c r="I4824" s="55">
        <v>-1.116155</v>
      </c>
      <c r="J4824" s="55">
        <v>-0.95863310000000002</v>
      </c>
      <c r="K4824" s="55">
        <v>-0.82176859999999996</v>
      </c>
      <c r="L4824" s="55">
        <v>-0.77664290000000002</v>
      </c>
      <c r="M4824" s="55">
        <v>-0.66653289999999998</v>
      </c>
      <c r="N4824" s="55">
        <v>-0.64624990000000004</v>
      </c>
    </row>
    <row r="4825" spans="1:14" hidden="1" x14ac:dyDescent="0.35">
      <c r="A4825" s="52" t="s">
        <v>682</v>
      </c>
      <c r="B4825" s="52" t="s">
        <v>34</v>
      </c>
      <c r="C4825" s="52" t="s">
        <v>33</v>
      </c>
      <c r="D4825" s="52" t="s">
        <v>33</v>
      </c>
      <c r="E4825" s="52" t="s">
        <v>636</v>
      </c>
      <c r="F4825" s="52" t="s">
        <v>26</v>
      </c>
      <c r="G4825" s="55" t="s">
        <v>279</v>
      </c>
      <c r="H4825" s="55">
        <v>18.301850000000002</v>
      </c>
      <c r="I4825" s="55">
        <v>14.824859999999999</v>
      </c>
      <c r="J4825" s="55">
        <v>13.2509</v>
      </c>
      <c r="K4825" s="55">
        <v>11.108739999999999</v>
      </c>
      <c r="L4825" s="55">
        <v>10.567130000000001</v>
      </c>
      <c r="M4825" s="55">
        <v>9.7549550000000007</v>
      </c>
      <c r="N4825" s="55">
        <v>9.4571149999999999</v>
      </c>
    </row>
    <row r="4826" spans="1:14" hidden="1" x14ac:dyDescent="0.35">
      <c r="A4826" s="52" t="s">
        <v>682</v>
      </c>
      <c r="B4826" s="52" t="s">
        <v>34</v>
      </c>
      <c r="C4826" s="52" t="s">
        <v>33</v>
      </c>
      <c r="D4826" s="52" t="s">
        <v>33</v>
      </c>
      <c r="E4826" s="52" t="s">
        <v>604</v>
      </c>
      <c r="F4826" s="52" t="s">
        <v>581</v>
      </c>
      <c r="G4826" s="55" t="s">
        <v>275</v>
      </c>
      <c r="H4826" s="55">
        <v>8.9306780000000003</v>
      </c>
      <c r="I4826" s="55">
        <v>-5.9592919999999996</v>
      </c>
      <c r="J4826" s="55">
        <v>4.252599</v>
      </c>
      <c r="K4826" s="55">
        <v>3.4879660000000001</v>
      </c>
      <c r="L4826" s="55">
        <v>3.632863</v>
      </c>
      <c r="M4826" s="55">
        <v>3.361256</v>
      </c>
      <c r="N4826" s="55">
        <v>2.8172649999999999</v>
      </c>
    </row>
    <row r="4827" spans="1:14" hidden="1" x14ac:dyDescent="0.35">
      <c r="A4827" s="52" t="s">
        <v>682</v>
      </c>
      <c r="B4827" s="52" t="s">
        <v>34</v>
      </c>
      <c r="C4827" s="52" t="s">
        <v>33</v>
      </c>
      <c r="D4827" s="52" t="s">
        <v>33</v>
      </c>
      <c r="E4827" s="52" t="s">
        <v>604</v>
      </c>
      <c r="F4827" s="52" t="s">
        <v>581</v>
      </c>
      <c r="G4827" s="55" t="s">
        <v>276</v>
      </c>
      <c r="H4827" s="55">
        <v>-3.8203010000000002</v>
      </c>
      <c r="I4827" s="55">
        <v>-4.6591180000000003</v>
      </c>
      <c r="J4827" s="55">
        <v>-1.861926</v>
      </c>
      <c r="K4827" s="55">
        <v>-0.42341770000000001</v>
      </c>
      <c r="L4827" s="55">
        <v>-0.17302909999999999</v>
      </c>
      <c r="M4827" s="55">
        <v>0.53965050000000003</v>
      </c>
      <c r="N4827" s="55">
        <v>0.61058159999999995</v>
      </c>
    </row>
    <row r="4828" spans="1:14" hidden="1" x14ac:dyDescent="0.35">
      <c r="A4828" s="52" t="s">
        <v>682</v>
      </c>
      <c r="B4828" s="52" t="s">
        <v>34</v>
      </c>
      <c r="C4828" s="52" t="s">
        <v>33</v>
      </c>
      <c r="D4828" s="52" t="s">
        <v>33</v>
      </c>
      <c r="E4828" s="52" t="s">
        <v>604</v>
      </c>
      <c r="F4828" s="52" t="s">
        <v>581</v>
      </c>
      <c r="G4828" s="55" t="s">
        <v>277</v>
      </c>
      <c r="H4828" s="55">
        <v>5.4585129999999999</v>
      </c>
      <c r="I4828" s="55">
        <v>14.5</v>
      </c>
      <c r="J4828" s="55">
        <v>0.69233449999999996</v>
      </c>
      <c r="K4828" s="55">
        <v>0.91748960000000002</v>
      </c>
      <c r="L4828" s="55">
        <v>0.17598739999999999</v>
      </c>
      <c r="M4828" s="55">
        <v>0</v>
      </c>
      <c r="N4828" s="55">
        <v>0</v>
      </c>
    </row>
    <row r="4829" spans="1:14" hidden="1" x14ac:dyDescent="0.35">
      <c r="A4829" s="52" t="s">
        <v>682</v>
      </c>
      <c r="B4829" s="52" t="s">
        <v>34</v>
      </c>
      <c r="C4829" s="52" t="s">
        <v>33</v>
      </c>
      <c r="D4829" s="52" t="s">
        <v>33</v>
      </c>
      <c r="E4829" s="52" t="s">
        <v>604</v>
      </c>
      <c r="F4829" s="52" t="s">
        <v>581</v>
      </c>
      <c r="G4829" s="55" t="s">
        <v>278</v>
      </c>
      <c r="H4829" s="55">
        <v>2.0379459999999998</v>
      </c>
      <c r="I4829" s="55">
        <v>0.5</v>
      </c>
      <c r="J4829" s="55">
        <v>2.4334920000000002</v>
      </c>
      <c r="K4829" s="55">
        <v>1.082616</v>
      </c>
      <c r="L4829" s="55">
        <v>0.91647749999999994</v>
      </c>
      <c r="M4829" s="55">
        <v>0</v>
      </c>
      <c r="N4829" s="55">
        <v>0</v>
      </c>
    </row>
    <row r="4830" spans="1:14" hidden="1" x14ac:dyDescent="0.35">
      <c r="A4830" s="52" t="s">
        <v>682</v>
      </c>
      <c r="B4830" s="52" t="s">
        <v>34</v>
      </c>
      <c r="C4830" s="52" t="s">
        <v>33</v>
      </c>
      <c r="D4830" s="52" t="s">
        <v>33</v>
      </c>
      <c r="E4830" s="52" t="s">
        <v>604</v>
      </c>
      <c r="F4830" s="52" t="s">
        <v>581</v>
      </c>
      <c r="G4830" s="55" t="s">
        <v>279</v>
      </c>
      <c r="H4830" s="55">
        <v>3.3862019999999999</v>
      </c>
      <c r="I4830" s="55">
        <v>2.979978</v>
      </c>
      <c r="J4830" s="55">
        <v>3.5516299999999998</v>
      </c>
      <c r="K4830" s="55">
        <v>3.2179160000000002</v>
      </c>
      <c r="L4830" s="55">
        <v>2.5911719999999998</v>
      </c>
      <c r="M4830" s="55">
        <v>2.3221120000000002</v>
      </c>
      <c r="N4830" s="55">
        <v>2.0350709999999999</v>
      </c>
    </row>
    <row r="4831" spans="1:14" hidden="1" x14ac:dyDescent="0.35">
      <c r="A4831" s="52" t="s">
        <v>682</v>
      </c>
      <c r="B4831" s="52" t="s">
        <v>34</v>
      </c>
      <c r="C4831" s="52" t="s">
        <v>33</v>
      </c>
      <c r="D4831" s="52" t="s">
        <v>33</v>
      </c>
      <c r="E4831" s="52" t="s">
        <v>604</v>
      </c>
      <c r="F4831" s="52" t="s">
        <v>26</v>
      </c>
      <c r="G4831" s="55" t="s">
        <v>275</v>
      </c>
      <c r="H4831" s="55">
        <v>-1.5673349999999999</v>
      </c>
      <c r="I4831" s="55">
        <v>-1.4535819999999999</v>
      </c>
      <c r="J4831" s="55">
        <v>-1.7951490000000001</v>
      </c>
      <c r="K4831" s="55">
        <v>-1.7599180000000001</v>
      </c>
      <c r="L4831" s="55">
        <v>-1.4301379999999999</v>
      </c>
      <c r="M4831" s="55">
        <v>-1.1511880000000001</v>
      </c>
      <c r="N4831" s="55">
        <v>-1.0188649999999999</v>
      </c>
    </row>
    <row r="4832" spans="1:14" hidden="1" x14ac:dyDescent="0.35">
      <c r="A4832" s="52" t="s">
        <v>682</v>
      </c>
      <c r="B4832" s="52" t="s">
        <v>34</v>
      </c>
      <c r="C4832" s="52" t="s">
        <v>33</v>
      </c>
      <c r="D4832" s="52" t="s">
        <v>33</v>
      </c>
      <c r="E4832" s="52" t="s">
        <v>604</v>
      </c>
      <c r="F4832" s="52" t="s">
        <v>26</v>
      </c>
      <c r="G4832" s="55" t="s">
        <v>276</v>
      </c>
      <c r="H4832" s="55">
        <v>-0.56509399999999999</v>
      </c>
      <c r="I4832" s="55">
        <v>-0.48452790000000001</v>
      </c>
      <c r="J4832" s="55">
        <v>-0.56688930000000004</v>
      </c>
      <c r="K4832" s="55">
        <v>-0.52568979999999998</v>
      </c>
      <c r="L4832" s="55">
        <v>-0.42718539999999999</v>
      </c>
      <c r="M4832" s="55">
        <v>-0.34386109999999998</v>
      </c>
      <c r="N4832" s="55">
        <v>-0.304336</v>
      </c>
    </row>
    <row r="4833" spans="1:14" hidden="1" x14ac:dyDescent="0.35">
      <c r="A4833" s="52" t="s">
        <v>682</v>
      </c>
      <c r="B4833" s="52" t="s">
        <v>34</v>
      </c>
      <c r="C4833" s="52" t="s">
        <v>33</v>
      </c>
      <c r="D4833" s="52" t="s">
        <v>33</v>
      </c>
      <c r="E4833" s="52" t="s">
        <v>604</v>
      </c>
      <c r="F4833" s="52" t="s">
        <v>26</v>
      </c>
      <c r="G4833" s="55" t="s">
        <v>279</v>
      </c>
      <c r="H4833" s="55">
        <v>6.7950530000000002</v>
      </c>
      <c r="I4833" s="55">
        <v>6.5480270000000003</v>
      </c>
      <c r="J4833" s="55">
        <v>7.9331370000000003</v>
      </c>
      <c r="K4833" s="55">
        <v>7.3049749999999998</v>
      </c>
      <c r="L4833" s="55">
        <v>6.1507300000000003</v>
      </c>
      <c r="M4833" s="55">
        <v>5.2123809999999997</v>
      </c>
      <c r="N4833" s="55">
        <v>4.5685180000000001</v>
      </c>
    </row>
    <row r="4834" spans="1:14" hidden="1" x14ac:dyDescent="0.35">
      <c r="A4834" s="52" t="s">
        <v>682</v>
      </c>
      <c r="B4834" s="52" t="s">
        <v>34</v>
      </c>
      <c r="C4834" s="52" t="s">
        <v>33</v>
      </c>
      <c r="D4834" s="52" t="s">
        <v>33</v>
      </c>
      <c r="E4834" s="52" t="s">
        <v>683</v>
      </c>
      <c r="F4834" s="52" t="s">
        <v>581</v>
      </c>
      <c r="G4834" s="55" t="s">
        <v>275</v>
      </c>
      <c r="H4834" s="55">
        <v>0.26500000000000001</v>
      </c>
      <c r="I4834" s="55">
        <v>0.25</v>
      </c>
      <c r="J4834" s="55">
        <v>0.24</v>
      </c>
      <c r="K4834" s="55">
        <v>0</v>
      </c>
      <c r="L4834" s="55"/>
      <c r="M4834" s="55"/>
      <c r="N4834" s="55"/>
    </row>
    <row r="4835" spans="1:14" hidden="1" x14ac:dyDescent="0.35">
      <c r="A4835" s="52" t="s">
        <v>682</v>
      </c>
      <c r="B4835" s="52" t="s">
        <v>34</v>
      </c>
      <c r="C4835" s="52" t="s">
        <v>33</v>
      </c>
      <c r="D4835" s="52" t="s">
        <v>33</v>
      </c>
      <c r="E4835" s="52" t="s">
        <v>683</v>
      </c>
      <c r="F4835" s="52" t="s">
        <v>581</v>
      </c>
      <c r="G4835" s="55" t="s">
        <v>276</v>
      </c>
      <c r="H4835" s="55">
        <v>-0.26500000000000001</v>
      </c>
      <c r="I4835" s="55">
        <v>-0.25</v>
      </c>
      <c r="J4835" s="55">
        <v>-0.24</v>
      </c>
      <c r="K4835" s="55">
        <v>0</v>
      </c>
      <c r="L4835" s="55"/>
      <c r="M4835" s="55"/>
      <c r="N4835" s="55"/>
    </row>
    <row r="4836" spans="1:14" hidden="1" x14ac:dyDescent="0.35">
      <c r="A4836" s="52" t="s">
        <v>682</v>
      </c>
      <c r="B4836" s="52" t="s">
        <v>34</v>
      </c>
      <c r="C4836" s="52" t="s">
        <v>33</v>
      </c>
      <c r="D4836" s="52" t="s">
        <v>33</v>
      </c>
      <c r="E4836" s="52" t="s">
        <v>683</v>
      </c>
      <c r="F4836" s="52" t="s">
        <v>581</v>
      </c>
      <c r="G4836" s="55" t="s">
        <v>277</v>
      </c>
      <c r="H4836" s="55">
        <v>0</v>
      </c>
      <c r="I4836" s="55"/>
      <c r="J4836" s="55"/>
      <c r="K4836" s="55"/>
      <c r="L4836" s="55"/>
      <c r="M4836" s="55"/>
      <c r="N4836" s="55"/>
    </row>
    <row r="4837" spans="1:14" hidden="1" x14ac:dyDescent="0.35">
      <c r="A4837" s="52" t="s">
        <v>682</v>
      </c>
      <c r="B4837" s="52" t="s">
        <v>34</v>
      </c>
      <c r="C4837" s="52" t="s">
        <v>66</v>
      </c>
      <c r="D4837" s="52" t="s">
        <v>66</v>
      </c>
      <c r="E4837" s="52" t="s">
        <v>584</v>
      </c>
      <c r="F4837" s="52" t="s">
        <v>581</v>
      </c>
      <c r="G4837" s="55" t="s">
        <v>275</v>
      </c>
      <c r="H4837" s="55">
        <v>71.692729999999997</v>
      </c>
      <c r="I4837" s="55">
        <v>7.0193989999999999</v>
      </c>
      <c r="J4837" s="55">
        <v>32.757899999999999</v>
      </c>
      <c r="K4837" s="55">
        <v>22.71632</v>
      </c>
      <c r="L4837" s="55">
        <v>15.23629</v>
      </c>
      <c r="M4837" s="55">
        <v>10.61351</v>
      </c>
      <c r="N4837" s="55">
        <v>9.4344079999999995</v>
      </c>
    </row>
    <row r="4838" spans="1:14" hidden="1" x14ac:dyDescent="0.35">
      <c r="A4838" s="52" t="s">
        <v>682</v>
      </c>
      <c r="B4838" s="52" t="s">
        <v>34</v>
      </c>
      <c r="C4838" s="52" t="s">
        <v>66</v>
      </c>
      <c r="D4838" s="52" t="s">
        <v>66</v>
      </c>
      <c r="E4838" s="52" t="s">
        <v>584</v>
      </c>
      <c r="F4838" s="52" t="s">
        <v>581</v>
      </c>
      <c r="G4838" s="55" t="s">
        <v>276</v>
      </c>
      <c r="H4838" s="55">
        <v>59.244070000000001</v>
      </c>
      <c r="I4838" s="55">
        <v>18.752369999999999</v>
      </c>
      <c r="J4838" s="55">
        <v>20.513639999999999</v>
      </c>
      <c r="K4838" s="55">
        <v>25.549630000000001</v>
      </c>
      <c r="L4838" s="55">
        <v>24.823309999999999</v>
      </c>
      <c r="M4838" s="55">
        <v>21.162680000000002</v>
      </c>
      <c r="N4838" s="55">
        <v>18.303840000000001</v>
      </c>
    </row>
    <row r="4839" spans="1:14" hidden="1" x14ac:dyDescent="0.35">
      <c r="A4839" s="52" t="s">
        <v>682</v>
      </c>
      <c r="B4839" s="52" t="s">
        <v>34</v>
      </c>
      <c r="C4839" s="52" t="s">
        <v>66</v>
      </c>
      <c r="D4839" s="52" t="s">
        <v>66</v>
      </c>
      <c r="E4839" s="52" t="s">
        <v>584</v>
      </c>
      <c r="F4839" s="52" t="s">
        <v>581</v>
      </c>
      <c r="G4839" s="55" t="s">
        <v>277</v>
      </c>
      <c r="H4839" s="55">
        <v>20.75028</v>
      </c>
      <c r="I4839" s="55">
        <v>25.494009999999999</v>
      </c>
      <c r="J4839" s="55">
        <v>8.9418749999999996</v>
      </c>
      <c r="K4839" s="55">
        <v>10.252039999999999</v>
      </c>
      <c r="L4839" s="55">
        <v>11.16553</v>
      </c>
      <c r="M4839" s="55">
        <v>11.193680000000001</v>
      </c>
      <c r="N4839" s="55">
        <v>7.775353</v>
      </c>
    </row>
    <row r="4840" spans="1:14" hidden="1" x14ac:dyDescent="0.35">
      <c r="A4840" s="52" t="s">
        <v>682</v>
      </c>
      <c r="B4840" s="52" t="s">
        <v>34</v>
      </c>
      <c r="C4840" s="52" t="s">
        <v>66</v>
      </c>
      <c r="D4840" s="52" t="s">
        <v>66</v>
      </c>
      <c r="E4840" s="52" t="s">
        <v>584</v>
      </c>
      <c r="F4840" s="52" t="s">
        <v>581</v>
      </c>
      <c r="G4840" s="55" t="s">
        <v>278</v>
      </c>
      <c r="H4840" s="55">
        <v>10.89207</v>
      </c>
      <c r="I4840" s="55">
        <v>1.51562E-2</v>
      </c>
      <c r="J4840" s="55">
        <v>0.1618578</v>
      </c>
      <c r="K4840" s="55">
        <v>1.51562E-2</v>
      </c>
      <c r="L4840" s="55">
        <v>1.51562E-2</v>
      </c>
      <c r="M4840" s="55">
        <v>0.76584839999999998</v>
      </c>
      <c r="N4840" s="55">
        <v>1.51562E-2</v>
      </c>
    </row>
    <row r="4841" spans="1:14" hidden="1" x14ac:dyDescent="0.35">
      <c r="A4841" s="52" t="s">
        <v>682</v>
      </c>
      <c r="B4841" s="52" t="s">
        <v>34</v>
      </c>
      <c r="C4841" s="52" t="s">
        <v>66</v>
      </c>
      <c r="D4841" s="52" t="s">
        <v>66</v>
      </c>
      <c r="E4841" s="52" t="s">
        <v>584</v>
      </c>
      <c r="F4841" s="52" t="s">
        <v>581</v>
      </c>
      <c r="G4841" s="55" t="s">
        <v>279</v>
      </c>
      <c r="H4841" s="55">
        <v>42.446750000000002</v>
      </c>
      <c r="I4841" s="55">
        <v>35.890979999999999</v>
      </c>
      <c r="J4841" s="55">
        <v>37.884419999999999</v>
      </c>
      <c r="K4841" s="55">
        <v>40.007710000000003</v>
      </c>
      <c r="L4841" s="55">
        <v>38.185200000000002</v>
      </c>
      <c r="M4841" s="55">
        <v>35.006810000000002</v>
      </c>
      <c r="N4841" s="55">
        <v>34.781550000000003</v>
      </c>
    </row>
    <row r="4842" spans="1:14" hidden="1" x14ac:dyDescent="0.35">
      <c r="A4842" s="52" t="s">
        <v>682</v>
      </c>
      <c r="B4842" s="52" t="s">
        <v>34</v>
      </c>
      <c r="C4842" s="52" t="s">
        <v>300</v>
      </c>
      <c r="D4842" s="52" t="s">
        <v>300</v>
      </c>
      <c r="E4842" s="52" t="s">
        <v>584</v>
      </c>
      <c r="F4842" s="52" t="s">
        <v>581</v>
      </c>
      <c r="G4842" s="55" t="s">
        <v>275</v>
      </c>
      <c r="H4842" s="55">
        <v>-3.4090549999999997E-2</v>
      </c>
      <c r="I4842" s="55">
        <v>-3.4090549999999997E-2</v>
      </c>
      <c r="J4842" s="55">
        <v>0</v>
      </c>
      <c r="K4842" s="55">
        <v>0</v>
      </c>
      <c r="L4842" s="55">
        <v>0</v>
      </c>
      <c r="M4842" s="55">
        <v>0</v>
      </c>
      <c r="N4842" s="55">
        <v>0</v>
      </c>
    </row>
    <row r="4843" spans="1:14" hidden="1" x14ac:dyDescent="0.35">
      <c r="A4843" s="52" t="s">
        <v>682</v>
      </c>
      <c r="B4843" s="52" t="s">
        <v>34</v>
      </c>
      <c r="C4843" s="52" t="s">
        <v>300</v>
      </c>
      <c r="D4843" s="52" t="s">
        <v>300</v>
      </c>
      <c r="E4843" s="52" t="s">
        <v>584</v>
      </c>
      <c r="F4843" s="52" t="s">
        <v>581</v>
      </c>
      <c r="G4843" s="55" t="s">
        <v>276</v>
      </c>
      <c r="H4843" s="55"/>
      <c r="I4843" s="55"/>
      <c r="J4843" s="55">
        <v>-3.4090549999999997E-2</v>
      </c>
      <c r="K4843" s="55">
        <v>-3.4090549999999997E-2</v>
      </c>
      <c r="L4843" s="55">
        <v>-3.4090549999999997E-2</v>
      </c>
      <c r="M4843" s="55">
        <v>-3.4090549999999997E-2</v>
      </c>
      <c r="N4843" s="55">
        <v>-3.4090549999999997E-2</v>
      </c>
    </row>
    <row r="4844" spans="1:14" hidden="1" x14ac:dyDescent="0.35">
      <c r="A4844" s="52" t="s">
        <v>682</v>
      </c>
      <c r="B4844" s="52" t="s">
        <v>34</v>
      </c>
      <c r="C4844" s="52" t="s">
        <v>300</v>
      </c>
      <c r="D4844" s="52" t="s">
        <v>300</v>
      </c>
      <c r="E4844" s="52" t="s">
        <v>584</v>
      </c>
      <c r="F4844" s="52" t="s">
        <v>581</v>
      </c>
      <c r="G4844" s="55" t="s">
        <v>278</v>
      </c>
      <c r="H4844" s="55">
        <v>3.4090549999999997E-2</v>
      </c>
      <c r="I4844" s="55">
        <v>3.4090549999999997E-2</v>
      </c>
      <c r="J4844" s="55">
        <v>3.4090549999999997E-2</v>
      </c>
      <c r="K4844" s="55">
        <v>3.4090549999999997E-2</v>
      </c>
      <c r="L4844" s="55">
        <v>3.4090549999999997E-2</v>
      </c>
      <c r="M4844" s="55">
        <v>3.4090549999999997E-2</v>
      </c>
      <c r="N4844" s="55">
        <v>3.4090549999999997E-2</v>
      </c>
    </row>
    <row r="4845" spans="1:14" hidden="1" x14ac:dyDescent="0.35">
      <c r="A4845" s="52" t="s">
        <v>682</v>
      </c>
      <c r="B4845" s="52" t="s">
        <v>154</v>
      </c>
      <c r="C4845" s="52" t="s">
        <v>261</v>
      </c>
      <c r="D4845" s="52" t="s">
        <v>261</v>
      </c>
      <c r="E4845" s="52" t="s">
        <v>584</v>
      </c>
      <c r="F4845" s="52" t="s">
        <v>581</v>
      </c>
      <c r="G4845" s="55" t="s">
        <v>275</v>
      </c>
      <c r="H4845" s="55">
        <v>-22.461480000000002</v>
      </c>
      <c r="I4845" s="55">
        <v>-0.28786200000000001</v>
      </c>
      <c r="J4845" s="55">
        <v>-4.0878050000000004</v>
      </c>
      <c r="K4845" s="55">
        <v>-8.9962230000000005</v>
      </c>
      <c r="L4845" s="55">
        <v>-129.29509999999999</v>
      </c>
      <c r="M4845" s="55">
        <v>-32.900550000000003</v>
      </c>
      <c r="N4845" s="55">
        <v>45.463610000000003</v>
      </c>
    </row>
    <row r="4846" spans="1:14" hidden="1" x14ac:dyDescent="0.35">
      <c r="A4846" s="52" t="s">
        <v>682</v>
      </c>
      <c r="B4846" s="52" t="s">
        <v>154</v>
      </c>
      <c r="C4846" s="52" t="s">
        <v>261</v>
      </c>
      <c r="D4846" s="52" t="s">
        <v>261</v>
      </c>
      <c r="E4846" s="52" t="s">
        <v>584</v>
      </c>
      <c r="F4846" s="52" t="s">
        <v>581</v>
      </c>
      <c r="G4846" s="55" t="s">
        <v>276</v>
      </c>
      <c r="H4846" s="55"/>
      <c r="I4846" s="55"/>
      <c r="J4846" s="55">
        <v>-0.303894</v>
      </c>
      <c r="K4846" s="55">
        <v>-8.7651989999999999E-2</v>
      </c>
      <c r="L4846" s="55">
        <v>-6.2256800000000001E-2</v>
      </c>
      <c r="M4846" s="55">
        <v>6.8784359999999998</v>
      </c>
      <c r="N4846" s="55">
        <v>26.02131</v>
      </c>
    </row>
    <row r="4847" spans="1:14" hidden="1" x14ac:dyDescent="0.35">
      <c r="A4847" s="52" t="s">
        <v>682</v>
      </c>
      <c r="B4847" s="52" t="s">
        <v>154</v>
      </c>
      <c r="C4847" s="52" t="s">
        <v>261</v>
      </c>
      <c r="D4847" s="52" t="s">
        <v>261</v>
      </c>
      <c r="E4847" s="52" t="s">
        <v>584</v>
      </c>
      <c r="F4847" s="52" t="s">
        <v>581</v>
      </c>
      <c r="G4847" s="55" t="s">
        <v>277</v>
      </c>
      <c r="H4847" s="55">
        <v>0.2</v>
      </c>
      <c r="I4847" s="55">
        <v>0</v>
      </c>
      <c r="J4847" s="55">
        <v>4</v>
      </c>
      <c r="K4847" s="55">
        <v>7.989382</v>
      </c>
      <c r="L4847" s="55">
        <v>128.37610000000001</v>
      </c>
      <c r="M4847" s="55">
        <v>38.484780000000001</v>
      </c>
      <c r="N4847" s="55">
        <v>8.6469000000000005</v>
      </c>
    </row>
    <row r="4848" spans="1:14" hidden="1" x14ac:dyDescent="0.35">
      <c r="A4848" s="52" t="s">
        <v>682</v>
      </c>
      <c r="B4848" s="52" t="s">
        <v>154</v>
      </c>
      <c r="C4848" s="52" t="s">
        <v>261</v>
      </c>
      <c r="D4848" s="52" t="s">
        <v>261</v>
      </c>
      <c r="E4848" s="52" t="s">
        <v>584</v>
      </c>
      <c r="F4848" s="52" t="s">
        <v>581</v>
      </c>
      <c r="G4848" s="55" t="s">
        <v>278</v>
      </c>
      <c r="H4848" s="55">
        <v>22.261479999999999</v>
      </c>
      <c r="I4848" s="55">
        <v>0.28786200000000001</v>
      </c>
      <c r="J4848" s="55">
        <v>0.39169920000000003</v>
      </c>
      <c r="K4848" s="55">
        <v>0.17545720000000001</v>
      </c>
      <c r="L4848" s="55">
        <v>6.2256800000000001E-2</v>
      </c>
      <c r="M4848" s="55">
        <v>6.2257199999999999E-2</v>
      </c>
      <c r="N4848" s="55">
        <v>6.2257199999999999E-2</v>
      </c>
    </row>
    <row r="4849" spans="1:14" hidden="1" x14ac:dyDescent="0.35">
      <c r="A4849" s="52" t="s">
        <v>682</v>
      </c>
      <c r="B4849" s="52" t="s">
        <v>154</v>
      </c>
      <c r="C4849" s="52" t="s">
        <v>261</v>
      </c>
      <c r="D4849" s="52" t="s">
        <v>261</v>
      </c>
      <c r="E4849" s="52" t="s">
        <v>584</v>
      </c>
      <c r="F4849" s="52" t="s">
        <v>581</v>
      </c>
      <c r="G4849" s="55" t="s">
        <v>279</v>
      </c>
      <c r="H4849" s="55"/>
      <c r="I4849" s="55"/>
      <c r="J4849" s="55">
        <v>0</v>
      </c>
      <c r="K4849" s="55">
        <v>0.9190391</v>
      </c>
      <c r="L4849" s="55">
        <v>0.91903919999999995</v>
      </c>
      <c r="M4849" s="55">
        <v>15.968439999999999</v>
      </c>
      <c r="N4849" s="55">
        <v>28.693370000000002</v>
      </c>
    </row>
    <row r="4850" spans="1:14" hidden="1" x14ac:dyDescent="0.35">
      <c r="A4850" s="52" t="s">
        <v>682</v>
      </c>
      <c r="B4850" s="52" t="s">
        <v>154</v>
      </c>
      <c r="C4850" s="52" t="s">
        <v>383</v>
      </c>
      <c r="D4850" s="52" t="s">
        <v>383</v>
      </c>
      <c r="E4850" s="52" t="s">
        <v>584</v>
      </c>
      <c r="F4850" s="52" t="s">
        <v>581</v>
      </c>
      <c r="G4850" s="55" t="s">
        <v>275</v>
      </c>
      <c r="H4850" s="55">
        <v>-0.25686829999999999</v>
      </c>
      <c r="I4850" s="55">
        <v>-0.25686829999999999</v>
      </c>
      <c r="J4850" s="55">
        <v>0</v>
      </c>
      <c r="K4850" s="55">
        <v>0</v>
      </c>
      <c r="L4850" s="55">
        <v>0</v>
      </c>
      <c r="M4850" s="55">
        <v>0</v>
      </c>
      <c r="N4850" s="55">
        <v>0</v>
      </c>
    </row>
    <row r="4851" spans="1:14" hidden="1" x14ac:dyDescent="0.35">
      <c r="A4851" s="52" t="s">
        <v>682</v>
      </c>
      <c r="B4851" s="52" t="s">
        <v>154</v>
      </c>
      <c r="C4851" s="52" t="s">
        <v>383</v>
      </c>
      <c r="D4851" s="52" t="s">
        <v>383</v>
      </c>
      <c r="E4851" s="52" t="s">
        <v>584</v>
      </c>
      <c r="F4851" s="52" t="s">
        <v>581</v>
      </c>
      <c r="G4851" s="55" t="s">
        <v>276</v>
      </c>
      <c r="H4851" s="55"/>
      <c r="I4851" s="55"/>
      <c r="J4851" s="55">
        <v>-0.25686829999999999</v>
      </c>
      <c r="K4851" s="55">
        <v>-0.25686829999999999</v>
      </c>
      <c r="L4851" s="55">
        <v>-83.043310000000005</v>
      </c>
      <c r="M4851" s="55">
        <v>-0.25686829999999999</v>
      </c>
      <c r="N4851" s="55">
        <v>-0.5203354</v>
      </c>
    </row>
    <row r="4852" spans="1:14" hidden="1" x14ac:dyDescent="0.35">
      <c r="A4852" s="52" t="s">
        <v>682</v>
      </c>
      <c r="B4852" s="52" t="s">
        <v>154</v>
      </c>
      <c r="C4852" s="52" t="s">
        <v>383</v>
      </c>
      <c r="D4852" s="52" t="s">
        <v>383</v>
      </c>
      <c r="E4852" s="52" t="s">
        <v>584</v>
      </c>
      <c r="F4852" s="52" t="s">
        <v>581</v>
      </c>
      <c r="G4852" s="55" t="s">
        <v>277</v>
      </c>
      <c r="H4852" s="55"/>
      <c r="I4852" s="55"/>
      <c r="J4852" s="55"/>
      <c r="K4852" s="55"/>
      <c r="L4852" s="55"/>
      <c r="M4852" s="55">
        <v>0</v>
      </c>
      <c r="N4852" s="55">
        <v>0.26346710000000001</v>
      </c>
    </row>
    <row r="4853" spans="1:14" hidden="1" x14ac:dyDescent="0.35">
      <c r="A4853" s="52" t="s">
        <v>682</v>
      </c>
      <c r="B4853" s="52" t="s">
        <v>154</v>
      </c>
      <c r="C4853" s="52" t="s">
        <v>383</v>
      </c>
      <c r="D4853" s="52" t="s">
        <v>383</v>
      </c>
      <c r="E4853" s="52" t="s">
        <v>584</v>
      </c>
      <c r="F4853" s="52" t="s">
        <v>581</v>
      </c>
      <c r="G4853" s="55" t="s">
        <v>278</v>
      </c>
      <c r="H4853" s="55">
        <v>0.25686829999999999</v>
      </c>
      <c r="I4853" s="55">
        <v>0.25686829999999999</v>
      </c>
      <c r="J4853" s="55">
        <v>0.25686829999999999</v>
      </c>
      <c r="K4853" s="55">
        <v>0.25686829999999999</v>
      </c>
      <c r="L4853" s="55">
        <v>83.043310000000005</v>
      </c>
      <c r="M4853" s="55">
        <v>0.25686829999999999</v>
      </c>
      <c r="N4853" s="55">
        <v>0.25686829999999999</v>
      </c>
    </row>
    <row r="4854" spans="1:14" hidden="1" x14ac:dyDescent="0.35">
      <c r="A4854" s="52" t="s">
        <v>682</v>
      </c>
      <c r="B4854" s="52" t="s">
        <v>154</v>
      </c>
      <c r="C4854" s="52" t="s">
        <v>153</v>
      </c>
      <c r="D4854" s="52" t="s">
        <v>153</v>
      </c>
      <c r="E4854" s="52" t="s">
        <v>584</v>
      </c>
      <c r="F4854" s="52" t="s">
        <v>581</v>
      </c>
      <c r="G4854" s="55" t="s">
        <v>275</v>
      </c>
      <c r="H4854" s="55">
        <v>-0.36707820000000002</v>
      </c>
      <c r="I4854" s="55">
        <v>-0.36707820000000002</v>
      </c>
      <c r="J4854" s="55">
        <v>0</v>
      </c>
      <c r="K4854" s="55">
        <v>0</v>
      </c>
      <c r="L4854" s="55">
        <v>0</v>
      </c>
      <c r="M4854" s="55">
        <v>0</v>
      </c>
      <c r="N4854" s="55">
        <v>0</v>
      </c>
    </row>
    <row r="4855" spans="1:14" hidden="1" x14ac:dyDescent="0.35">
      <c r="A4855" s="52" t="s">
        <v>682</v>
      </c>
      <c r="B4855" s="52" t="s">
        <v>154</v>
      </c>
      <c r="C4855" s="52" t="s">
        <v>153</v>
      </c>
      <c r="D4855" s="52" t="s">
        <v>153</v>
      </c>
      <c r="E4855" s="52" t="s">
        <v>584</v>
      </c>
      <c r="F4855" s="52" t="s">
        <v>581</v>
      </c>
      <c r="G4855" s="55" t="s">
        <v>276</v>
      </c>
      <c r="H4855" s="55"/>
      <c r="I4855" s="55"/>
      <c r="J4855" s="55">
        <v>-0.14732999999999999</v>
      </c>
      <c r="K4855" s="55">
        <v>-0.14732999999999999</v>
      </c>
      <c r="L4855" s="55">
        <v>-0.23733000000000001</v>
      </c>
      <c r="M4855" s="55">
        <v>-0.23733000000000001</v>
      </c>
      <c r="N4855" s="55">
        <v>-1.9473309999999999</v>
      </c>
    </row>
    <row r="4856" spans="1:14" hidden="1" x14ac:dyDescent="0.35">
      <c r="A4856" s="52" t="s">
        <v>682</v>
      </c>
      <c r="B4856" s="52" t="s">
        <v>154</v>
      </c>
      <c r="C4856" s="52" t="s">
        <v>153</v>
      </c>
      <c r="D4856" s="52" t="s">
        <v>153</v>
      </c>
      <c r="E4856" s="52" t="s">
        <v>584</v>
      </c>
      <c r="F4856" s="52" t="s">
        <v>581</v>
      </c>
      <c r="G4856" s="55" t="s">
        <v>277</v>
      </c>
      <c r="H4856" s="55"/>
      <c r="I4856" s="55"/>
      <c r="J4856" s="55">
        <v>0</v>
      </c>
      <c r="K4856" s="55">
        <v>0</v>
      </c>
      <c r="L4856" s="55">
        <v>0.09</v>
      </c>
      <c r="M4856" s="55">
        <v>0.09</v>
      </c>
      <c r="N4856" s="55">
        <v>1.8</v>
      </c>
    </row>
    <row r="4857" spans="1:14" hidden="1" x14ac:dyDescent="0.35">
      <c r="A4857" s="52" t="s">
        <v>682</v>
      </c>
      <c r="B4857" s="52" t="s">
        <v>154</v>
      </c>
      <c r="C4857" s="52" t="s">
        <v>153</v>
      </c>
      <c r="D4857" s="52" t="s">
        <v>153</v>
      </c>
      <c r="E4857" s="52" t="s">
        <v>584</v>
      </c>
      <c r="F4857" s="52" t="s">
        <v>581</v>
      </c>
      <c r="G4857" s="55" t="s">
        <v>278</v>
      </c>
      <c r="H4857" s="55">
        <v>0.36707820000000002</v>
      </c>
      <c r="I4857" s="55">
        <v>0.36707820000000002</v>
      </c>
      <c r="J4857" s="55">
        <v>0.14732999999999999</v>
      </c>
      <c r="K4857" s="55">
        <v>0.14732999999999999</v>
      </c>
      <c r="L4857" s="55">
        <v>0.14732999999999999</v>
      </c>
      <c r="M4857" s="55">
        <v>0.14732999999999999</v>
      </c>
      <c r="N4857" s="55">
        <v>0.14732999999999999</v>
      </c>
    </row>
    <row r="4858" spans="1:14" hidden="1" x14ac:dyDescent="0.35">
      <c r="A4858" s="52" t="s">
        <v>682</v>
      </c>
      <c r="B4858" s="52" t="s">
        <v>154</v>
      </c>
      <c r="C4858" s="52" t="s">
        <v>153</v>
      </c>
      <c r="D4858" s="52" t="s">
        <v>153</v>
      </c>
      <c r="E4858" s="52" t="s">
        <v>584</v>
      </c>
      <c r="F4858" s="52" t="s">
        <v>581</v>
      </c>
      <c r="G4858" s="55" t="s">
        <v>279</v>
      </c>
      <c r="H4858" s="55"/>
      <c r="I4858" s="55"/>
      <c r="J4858" s="55"/>
      <c r="K4858" s="55"/>
      <c r="L4858" s="55">
        <v>0</v>
      </c>
      <c r="M4858" s="55">
        <v>0</v>
      </c>
      <c r="N4858" s="55">
        <v>0</v>
      </c>
    </row>
    <row r="4859" spans="1:14" hidden="1" x14ac:dyDescent="0.35">
      <c r="A4859" s="52" t="s">
        <v>682</v>
      </c>
      <c r="B4859" s="52" t="s">
        <v>154</v>
      </c>
      <c r="C4859" s="52" t="s">
        <v>153</v>
      </c>
      <c r="D4859" s="52" t="s">
        <v>153</v>
      </c>
      <c r="E4859" s="52" t="s">
        <v>584</v>
      </c>
      <c r="F4859" s="52" t="s">
        <v>26</v>
      </c>
      <c r="G4859" s="55" t="s">
        <v>275</v>
      </c>
      <c r="H4859" s="55"/>
      <c r="I4859" s="55"/>
      <c r="J4859" s="55"/>
      <c r="K4859" s="55"/>
      <c r="L4859" s="55"/>
      <c r="M4859" s="55"/>
      <c r="N4859" s="55">
        <v>0</v>
      </c>
    </row>
    <row r="4860" spans="1:14" hidden="1" x14ac:dyDescent="0.35">
      <c r="A4860" s="52" t="s">
        <v>682</v>
      </c>
      <c r="B4860" s="52" t="s">
        <v>154</v>
      </c>
      <c r="C4860" s="52" t="s">
        <v>153</v>
      </c>
      <c r="D4860" s="52" t="s">
        <v>153</v>
      </c>
      <c r="E4860" s="52" t="s">
        <v>584</v>
      </c>
      <c r="F4860" s="52" t="s">
        <v>26</v>
      </c>
      <c r="G4860" s="55" t="s">
        <v>276</v>
      </c>
      <c r="H4860" s="55"/>
      <c r="I4860" s="55"/>
      <c r="J4860" s="55"/>
      <c r="K4860" s="55"/>
      <c r="L4860" s="55"/>
      <c r="M4860" s="55"/>
      <c r="N4860" s="55">
        <v>0</v>
      </c>
    </row>
    <row r="4861" spans="1:14" hidden="1" x14ac:dyDescent="0.35">
      <c r="A4861" s="52" t="s">
        <v>682</v>
      </c>
      <c r="B4861" s="52" t="s">
        <v>154</v>
      </c>
      <c r="C4861" s="52" t="s">
        <v>153</v>
      </c>
      <c r="D4861" s="52" t="s">
        <v>153</v>
      </c>
      <c r="E4861" s="52" t="s">
        <v>584</v>
      </c>
      <c r="F4861" s="52" t="s">
        <v>26</v>
      </c>
      <c r="G4861" s="55" t="s">
        <v>279</v>
      </c>
      <c r="H4861" s="55"/>
      <c r="I4861" s="55"/>
      <c r="J4861" s="55"/>
      <c r="K4861" s="55"/>
      <c r="L4861" s="55"/>
      <c r="M4861" s="55"/>
      <c r="N4861" s="55">
        <v>0</v>
      </c>
    </row>
    <row r="4862" spans="1:14" hidden="1" x14ac:dyDescent="0.35">
      <c r="A4862" s="52" t="s">
        <v>682</v>
      </c>
      <c r="B4862" s="52" t="s">
        <v>150</v>
      </c>
      <c r="C4862" s="52" t="s">
        <v>329</v>
      </c>
      <c r="D4862" s="52" t="s">
        <v>329</v>
      </c>
      <c r="E4862" s="52" t="s">
        <v>584</v>
      </c>
      <c r="F4862" s="52" t="s">
        <v>581</v>
      </c>
      <c r="G4862" s="55" t="s">
        <v>275</v>
      </c>
      <c r="H4862" s="55">
        <v>-14.546530000000001</v>
      </c>
      <c r="I4862" s="55">
        <v>-0.15465680000000001</v>
      </c>
      <c r="J4862" s="55">
        <v>0</v>
      </c>
      <c r="K4862" s="55">
        <v>0</v>
      </c>
      <c r="L4862" s="55">
        <v>0</v>
      </c>
      <c r="M4862" s="55">
        <v>0</v>
      </c>
      <c r="N4862" s="55">
        <v>0</v>
      </c>
    </row>
    <row r="4863" spans="1:14" hidden="1" x14ac:dyDescent="0.35">
      <c r="A4863" s="52" t="s">
        <v>682</v>
      </c>
      <c r="B4863" s="52" t="s">
        <v>150</v>
      </c>
      <c r="C4863" s="52" t="s">
        <v>329</v>
      </c>
      <c r="D4863" s="52" t="s">
        <v>329</v>
      </c>
      <c r="E4863" s="52" t="s">
        <v>584</v>
      </c>
      <c r="F4863" s="52" t="s">
        <v>581</v>
      </c>
      <c r="G4863" s="55" t="s">
        <v>276</v>
      </c>
      <c r="H4863" s="55">
        <v>-6.234229</v>
      </c>
      <c r="I4863" s="55">
        <v>-6.6281199999999998E-2</v>
      </c>
      <c r="J4863" s="55">
        <v>-18.32131</v>
      </c>
      <c r="K4863" s="55">
        <v>-13.289249999999999</v>
      </c>
      <c r="L4863" s="55">
        <v>-8.8945240000000005</v>
      </c>
      <c r="M4863" s="55">
        <v>-0.105076</v>
      </c>
      <c r="N4863" s="55">
        <v>-0.105076</v>
      </c>
    </row>
    <row r="4864" spans="1:14" hidden="1" x14ac:dyDescent="0.35">
      <c r="A4864" s="52" t="s">
        <v>682</v>
      </c>
      <c r="B4864" s="52" t="s">
        <v>150</v>
      </c>
      <c r="C4864" s="52" t="s">
        <v>329</v>
      </c>
      <c r="D4864" s="52" t="s">
        <v>329</v>
      </c>
      <c r="E4864" s="52" t="s">
        <v>584</v>
      </c>
      <c r="F4864" s="52" t="s">
        <v>581</v>
      </c>
      <c r="G4864" s="55" t="s">
        <v>277</v>
      </c>
      <c r="H4864" s="55"/>
      <c r="I4864" s="55"/>
      <c r="J4864" s="55"/>
      <c r="K4864" s="55"/>
      <c r="L4864" s="55"/>
      <c r="M4864" s="55">
        <v>0</v>
      </c>
      <c r="N4864" s="55">
        <v>0</v>
      </c>
    </row>
    <row r="4865" spans="1:14" hidden="1" x14ac:dyDescent="0.35">
      <c r="A4865" s="52" t="s">
        <v>682</v>
      </c>
      <c r="B4865" s="52" t="s">
        <v>150</v>
      </c>
      <c r="C4865" s="52" t="s">
        <v>329</v>
      </c>
      <c r="D4865" s="52" t="s">
        <v>329</v>
      </c>
      <c r="E4865" s="52" t="s">
        <v>584</v>
      </c>
      <c r="F4865" s="52" t="s">
        <v>581</v>
      </c>
      <c r="G4865" s="55" t="s">
        <v>278</v>
      </c>
      <c r="H4865" s="55">
        <v>20.780760000000001</v>
      </c>
      <c r="I4865" s="55">
        <v>0.22093840000000001</v>
      </c>
      <c r="J4865" s="55">
        <v>18.32131</v>
      </c>
      <c r="K4865" s="55">
        <v>13.289249999999999</v>
      </c>
      <c r="L4865" s="55">
        <v>8.8945240000000005</v>
      </c>
      <c r="M4865" s="55">
        <v>0.105076</v>
      </c>
      <c r="N4865" s="55">
        <v>0.105076</v>
      </c>
    </row>
    <row r="4866" spans="1:14" hidden="1" x14ac:dyDescent="0.35">
      <c r="A4866" s="52" t="s">
        <v>682</v>
      </c>
      <c r="B4866" s="52" t="s">
        <v>53</v>
      </c>
      <c r="C4866" s="52" t="s">
        <v>175</v>
      </c>
      <c r="D4866" s="52" t="s">
        <v>175</v>
      </c>
      <c r="E4866" s="52" t="s">
        <v>584</v>
      </c>
      <c r="F4866" s="52" t="s">
        <v>26</v>
      </c>
      <c r="G4866" s="55" t="s">
        <v>275</v>
      </c>
      <c r="H4866" s="55">
        <v>-1.0179469999999999</v>
      </c>
      <c r="I4866" s="55">
        <v>-1.0179469999999999</v>
      </c>
      <c r="J4866" s="55">
        <v>0</v>
      </c>
      <c r="K4866" s="55">
        <v>0</v>
      </c>
      <c r="L4866" s="55">
        <v>0</v>
      </c>
      <c r="M4866" s="55">
        <v>0</v>
      </c>
      <c r="N4866" s="55">
        <v>0</v>
      </c>
    </row>
    <row r="4867" spans="1:14" hidden="1" x14ac:dyDescent="0.35">
      <c r="A4867" s="52" t="s">
        <v>682</v>
      </c>
      <c r="B4867" s="52" t="s">
        <v>53</v>
      </c>
      <c r="C4867" s="52" t="s">
        <v>175</v>
      </c>
      <c r="D4867" s="52" t="s">
        <v>175</v>
      </c>
      <c r="E4867" s="52" t="s">
        <v>584</v>
      </c>
      <c r="F4867" s="52" t="s">
        <v>26</v>
      </c>
      <c r="G4867" s="55" t="s">
        <v>276</v>
      </c>
      <c r="H4867" s="55">
        <v>-0.4362627</v>
      </c>
      <c r="I4867" s="55">
        <v>-0.4362627</v>
      </c>
      <c r="J4867" s="55">
        <v>-0.1592315</v>
      </c>
      <c r="K4867" s="55">
        <v>-0.1592315</v>
      </c>
      <c r="L4867" s="55">
        <v>-0.17659250000000001</v>
      </c>
      <c r="M4867" s="55">
        <v>-0.176593</v>
      </c>
      <c r="N4867" s="55">
        <v>-3.3182640000000001</v>
      </c>
    </row>
    <row r="4868" spans="1:14" hidden="1" x14ac:dyDescent="0.35">
      <c r="A4868" s="52" t="s">
        <v>682</v>
      </c>
      <c r="B4868" s="52" t="s">
        <v>53</v>
      </c>
      <c r="C4868" s="52" t="s">
        <v>175</v>
      </c>
      <c r="D4868" s="52" t="s">
        <v>175</v>
      </c>
      <c r="E4868" s="52" t="s">
        <v>584</v>
      </c>
      <c r="F4868" s="52" t="s">
        <v>26</v>
      </c>
      <c r="G4868" s="55" t="s">
        <v>277</v>
      </c>
      <c r="H4868" s="55"/>
      <c r="I4868" s="55"/>
      <c r="J4868" s="55"/>
      <c r="K4868" s="55">
        <v>0</v>
      </c>
      <c r="L4868" s="55">
        <v>1.7361499999999998E-2</v>
      </c>
      <c r="M4868" s="55">
        <v>1.7361000000000001E-2</v>
      </c>
      <c r="N4868" s="55">
        <v>0</v>
      </c>
    </row>
    <row r="4869" spans="1:14" hidden="1" x14ac:dyDescent="0.35">
      <c r="A4869" s="52" t="s">
        <v>682</v>
      </c>
      <c r="B4869" s="52" t="s">
        <v>53</v>
      </c>
      <c r="C4869" s="52" t="s">
        <v>175</v>
      </c>
      <c r="D4869" s="52" t="s">
        <v>175</v>
      </c>
      <c r="E4869" s="52" t="s">
        <v>584</v>
      </c>
      <c r="F4869" s="52" t="s">
        <v>26</v>
      </c>
      <c r="G4869" s="55" t="s">
        <v>278</v>
      </c>
      <c r="H4869" s="55">
        <v>1.4542090000000001</v>
      </c>
      <c r="I4869" s="55">
        <v>1.4542090000000001</v>
      </c>
      <c r="J4869" s="55">
        <v>0.15923200000000001</v>
      </c>
      <c r="K4869" s="55">
        <v>0.15923200000000001</v>
      </c>
      <c r="L4869" s="55">
        <v>0.15923200000000001</v>
      </c>
      <c r="M4869" s="55">
        <v>0.15923200000000001</v>
      </c>
      <c r="N4869" s="55">
        <v>3.3182649999999998</v>
      </c>
    </row>
    <row r="4870" spans="1:14" hidden="1" x14ac:dyDescent="0.35">
      <c r="A4870" s="52" t="s">
        <v>682</v>
      </c>
      <c r="B4870" s="52" t="s">
        <v>53</v>
      </c>
      <c r="C4870" s="52" t="s">
        <v>214</v>
      </c>
      <c r="D4870" s="52" t="s">
        <v>214</v>
      </c>
      <c r="E4870" s="52" t="s">
        <v>584</v>
      </c>
      <c r="F4870" s="52" t="s">
        <v>581</v>
      </c>
      <c r="G4870" s="55" t="s">
        <v>275</v>
      </c>
      <c r="H4870" s="55"/>
      <c r="I4870" s="55"/>
      <c r="J4870" s="55"/>
      <c r="K4870" s="55"/>
      <c r="L4870" s="55"/>
      <c r="M4870" s="55">
        <v>0</v>
      </c>
      <c r="N4870" s="55"/>
    </row>
    <row r="4871" spans="1:14" hidden="1" x14ac:dyDescent="0.35">
      <c r="A4871" s="52" t="s">
        <v>682</v>
      </c>
      <c r="B4871" s="52" t="s">
        <v>53</v>
      </c>
      <c r="C4871" s="52" t="s">
        <v>214</v>
      </c>
      <c r="D4871" s="52" t="s">
        <v>214</v>
      </c>
      <c r="E4871" s="52" t="s">
        <v>584</v>
      </c>
      <c r="F4871" s="52" t="s">
        <v>581</v>
      </c>
      <c r="G4871" s="55" t="s">
        <v>276</v>
      </c>
      <c r="H4871" s="55"/>
      <c r="I4871" s="55"/>
      <c r="J4871" s="55"/>
      <c r="K4871" s="55"/>
      <c r="L4871" s="55"/>
      <c r="M4871" s="55">
        <v>0</v>
      </c>
      <c r="N4871" s="55"/>
    </row>
    <row r="4872" spans="1:14" hidden="1" x14ac:dyDescent="0.35">
      <c r="A4872" s="52" t="s">
        <v>682</v>
      </c>
      <c r="B4872" s="52" t="s">
        <v>53</v>
      </c>
      <c r="C4872" s="52" t="s">
        <v>214</v>
      </c>
      <c r="D4872" s="52" t="s">
        <v>214</v>
      </c>
      <c r="E4872" s="52" t="s">
        <v>584</v>
      </c>
      <c r="F4872" s="52" t="s">
        <v>581</v>
      </c>
      <c r="G4872" s="55" t="s">
        <v>278</v>
      </c>
      <c r="H4872" s="55"/>
      <c r="I4872" s="55"/>
      <c r="J4872" s="55"/>
      <c r="K4872" s="55"/>
      <c r="L4872" s="55"/>
      <c r="M4872" s="55">
        <v>0</v>
      </c>
      <c r="N4872" s="55"/>
    </row>
    <row r="4873" spans="1:14" hidden="1" x14ac:dyDescent="0.35">
      <c r="A4873" s="52" t="s">
        <v>682</v>
      </c>
      <c r="B4873" s="52" t="s">
        <v>53</v>
      </c>
      <c r="C4873" s="52" t="s">
        <v>214</v>
      </c>
      <c r="D4873" s="52" t="s">
        <v>214</v>
      </c>
      <c r="E4873" s="52" t="s">
        <v>584</v>
      </c>
      <c r="F4873" s="52" t="s">
        <v>26</v>
      </c>
      <c r="G4873" s="55" t="s">
        <v>275</v>
      </c>
      <c r="H4873" s="55">
        <v>-0.42532880000000001</v>
      </c>
      <c r="I4873" s="55">
        <v>-0.42532880000000001</v>
      </c>
      <c r="J4873" s="55">
        <v>0</v>
      </c>
      <c r="K4873" s="55">
        <v>0</v>
      </c>
      <c r="L4873" s="55">
        <v>0</v>
      </c>
      <c r="M4873" s="55">
        <v>0</v>
      </c>
      <c r="N4873" s="55">
        <v>0</v>
      </c>
    </row>
    <row r="4874" spans="1:14" hidden="1" x14ac:dyDescent="0.35">
      <c r="A4874" s="52" t="s">
        <v>682</v>
      </c>
      <c r="B4874" s="52" t="s">
        <v>53</v>
      </c>
      <c r="C4874" s="52" t="s">
        <v>214</v>
      </c>
      <c r="D4874" s="52" t="s">
        <v>214</v>
      </c>
      <c r="E4874" s="52" t="s">
        <v>584</v>
      </c>
      <c r="F4874" s="52" t="s">
        <v>26</v>
      </c>
      <c r="G4874" s="55" t="s">
        <v>276</v>
      </c>
      <c r="H4874" s="55">
        <v>-0.182284</v>
      </c>
      <c r="I4874" s="55">
        <v>-0.182284</v>
      </c>
      <c r="J4874" s="55">
        <v>-0.5707508</v>
      </c>
      <c r="K4874" s="55">
        <v>-2.4757400000000001</v>
      </c>
      <c r="L4874" s="55">
        <v>-0.51638899999999999</v>
      </c>
      <c r="M4874" s="55">
        <v>-0.1152272</v>
      </c>
      <c r="N4874" s="55">
        <v>-0.1152276</v>
      </c>
    </row>
    <row r="4875" spans="1:14" hidden="1" x14ac:dyDescent="0.35">
      <c r="A4875" s="52" t="s">
        <v>682</v>
      </c>
      <c r="B4875" s="52" t="s">
        <v>53</v>
      </c>
      <c r="C4875" s="52" t="s">
        <v>214</v>
      </c>
      <c r="D4875" s="52" t="s">
        <v>214</v>
      </c>
      <c r="E4875" s="52" t="s">
        <v>584</v>
      </c>
      <c r="F4875" s="52" t="s">
        <v>26</v>
      </c>
      <c r="G4875" s="55" t="s">
        <v>278</v>
      </c>
      <c r="H4875" s="55">
        <v>0.60761319999999996</v>
      </c>
      <c r="I4875" s="55">
        <v>0.60761310000000002</v>
      </c>
      <c r="J4875" s="55">
        <v>0.5707508</v>
      </c>
      <c r="K4875" s="55">
        <v>2.4757400000000001</v>
      </c>
      <c r="L4875" s="55">
        <v>0.51638899999999999</v>
      </c>
      <c r="M4875" s="55">
        <v>0.1152272</v>
      </c>
      <c r="N4875" s="55">
        <v>0.1152272</v>
      </c>
    </row>
    <row r="4876" spans="1:14" hidden="1" x14ac:dyDescent="0.35">
      <c r="A4876" s="52" t="s">
        <v>682</v>
      </c>
      <c r="B4876" s="52" t="s">
        <v>53</v>
      </c>
      <c r="C4876" s="52" t="s">
        <v>372</v>
      </c>
      <c r="D4876" s="52" t="s">
        <v>372</v>
      </c>
      <c r="E4876" s="52" t="s">
        <v>584</v>
      </c>
      <c r="F4876" s="52" t="s">
        <v>26</v>
      </c>
      <c r="G4876" s="55" t="s">
        <v>275</v>
      </c>
      <c r="H4876" s="55">
        <v>-3.3350420000000001</v>
      </c>
      <c r="I4876" s="55">
        <v>-3.3350420000000001</v>
      </c>
      <c r="J4876" s="55">
        <v>0</v>
      </c>
      <c r="K4876" s="55">
        <v>0</v>
      </c>
      <c r="L4876" s="55">
        <v>0</v>
      </c>
      <c r="M4876" s="55">
        <v>0</v>
      </c>
      <c r="N4876" s="55">
        <v>0</v>
      </c>
    </row>
    <row r="4877" spans="1:14" hidden="1" x14ac:dyDescent="0.35">
      <c r="A4877" s="52" t="s">
        <v>682</v>
      </c>
      <c r="B4877" s="52" t="s">
        <v>53</v>
      </c>
      <c r="C4877" s="52" t="s">
        <v>372</v>
      </c>
      <c r="D4877" s="52" t="s">
        <v>372</v>
      </c>
      <c r="E4877" s="52" t="s">
        <v>584</v>
      </c>
      <c r="F4877" s="52" t="s">
        <v>26</v>
      </c>
      <c r="G4877" s="55" t="s">
        <v>276</v>
      </c>
      <c r="H4877" s="55">
        <v>-1.429303</v>
      </c>
      <c r="I4877" s="55">
        <v>-1.429303</v>
      </c>
      <c r="J4877" s="55">
        <v>-4.7643459999999997</v>
      </c>
      <c r="K4877" s="55">
        <v>-4.7643449999999996</v>
      </c>
      <c r="L4877" s="55">
        <v>-6.0551589999999997</v>
      </c>
      <c r="M4877" s="55">
        <v>-0.1171705</v>
      </c>
      <c r="N4877" s="55">
        <v>-0.1171705</v>
      </c>
    </row>
    <row r="4878" spans="1:14" hidden="1" x14ac:dyDescent="0.35">
      <c r="A4878" s="52" t="s">
        <v>682</v>
      </c>
      <c r="B4878" s="52" t="s">
        <v>53</v>
      </c>
      <c r="C4878" s="52" t="s">
        <v>372</v>
      </c>
      <c r="D4878" s="52" t="s">
        <v>372</v>
      </c>
      <c r="E4878" s="52" t="s">
        <v>584</v>
      </c>
      <c r="F4878" s="52" t="s">
        <v>26</v>
      </c>
      <c r="G4878" s="55" t="s">
        <v>277</v>
      </c>
      <c r="H4878" s="55"/>
      <c r="I4878" s="55"/>
      <c r="J4878" s="55"/>
      <c r="K4878" s="55"/>
      <c r="L4878" s="55"/>
      <c r="M4878" s="55"/>
      <c r="N4878" s="55">
        <v>0</v>
      </c>
    </row>
    <row r="4879" spans="1:14" hidden="1" x14ac:dyDescent="0.35">
      <c r="A4879" s="52" t="s">
        <v>682</v>
      </c>
      <c r="B4879" s="52" t="s">
        <v>53</v>
      </c>
      <c r="C4879" s="52" t="s">
        <v>372</v>
      </c>
      <c r="D4879" s="52" t="s">
        <v>372</v>
      </c>
      <c r="E4879" s="52" t="s">
        <v>584</v>
      </c>
      <c r="F4879" s="52" t="s">
        <v>26</v>
      </c>
      <c r="G4879" s="55" t="s">
        <v>278</v>
      </c>
      <c r="H4879" s="55">
        <v>4.7643440000000004</v>
      </c>
      <c r="I4879" s="55">
        <v>4.7643449999999996</v>
      </c>
      <c r="J4879" s="55">
        <v>4.7643449999999996</v>
      </c>
      <c r="K4879" s="55">
        <v>4.7643449999999996</v>
      </c>
      <c r="L4879" s="55">
        <v>6.0551599999999999</v>
      </c>
      <c r="M4879" s="55">
        <v>0.1171705</v>
      </c>
      <c r="N4879" s="55">
        <v>0.1171705</v>
      </c>
    </row>
    <row r="4880" spans="1:14" hidden="1" x14ac:dyDescent="0.35">
      <c r="A4880" s="52" t="s">
        <v>682</v>
      </c>
      <c r="B4880" s="52" t="s">
        <v>160</v>
      </c>
      <c r="C4880" s="52" t="s">
        <v>309</v>
      </c>
      <c r="D4880" s="52" t="s">
        <v>310</v>
      </c>
      <c r="E4880" s="52" t="s">
        <v>584</v>
      </c>
      <c r="F4880" s="52" t="s">
        <v>581</v>
      </c>
      <c r="G4880" s="55" t="s">
        <v>275</v>
      </c>
      <c r="H4880" s="55">
        <v>-0.35267280000000001</v>
      </c>
      <c r="I4880" s="55">
        <v>-6.9276000000000004E-2</v>
      </c>
      <c r="J4880" s="55">
        <v>0</v>
      </c>
      <c r="K4880" s="55">
        <v>0</v>
      </c>
      <c r="L4880" s="55">
        <v>0</v>
      </c>
      <c r="M4880" s="55">
        <v>0</v>
      </c>
      <c r="N4880" s="55">
        <v>0</v>
      </c>
    </row>
    <row r="4881" spans="1:14" hidden="1" x14ac:dyDescent="0.35">
      <c r="A4881" s="52" t="s">
        <v>682</v>
      </c>
      <c r="B4881" s="52" t="s">
        <v>160</v>
      </c>
      <c r="C4881" s="52" t="s">
        <v>309</v>
      </c>
      <c r="D4881" s="52" t="s">
        <v>310</v>
      </c>
      <c r="E4881" s="52" t="s">
        <v>584</v>
      </c>
      <c r="F4881" s="52" t="s">
        <v>581</v>
      </c>
      <c r="G4881" s="55" t="s">
        <v>276</v>
      </c>
      <c r="H4881" s="55">
        <v>-2.20926E-2</v>
      </c>
      <c r="I4881" s="55">
        <v>-2.5308600000000001E-2</v>
      </c>
      <c r="J4881" s="55">
        <v>-6.4260899999999996E-2</v>
      </c>
      <c r="K4881" s="55">
        <v>-6.3802659999999998</v>
      </c>
      <c r="L4881" s="55">
        <v>-5.9962509999999997E-2</v>
      </c>
      <c r="M4881" s="55">
        <v>-0.14990609999999999</v>
      </c>
      <c r="N4881" s="55">
        <v>-20.334710000000001</v>
      </c>
    </row>
    <row r="4882" spans="1:14" hidden="1" x14ac:dyDescent="0.35">
      <c r="A4882" s="52" t="s">
        <v>682</v>
      </c>
      <c r="B4882" s="52" t="s">
        <v>160</v>
      </c>
      <c r="C4882" s="52" t="s">
        <v>309</v>
      </c>
      <c r="D4882" s="52" t="s">
        <v>310</v>
      </c>
      <c r="E4882" s="52" t="s">
        <v>584</v>
      </c>
      <c r="F4882" s="52" t="s">
        <v>581</v>
      </c>
      <c r="G4882" s="55" t="s">
        <v>278</v>
      </c>
      <c r="H4882" s="55">
        <v>0.37476510000000002</v>
      </c>
      <c r="I4882" s="55">
        <v>9.4584600000000005E-2</v>
      </c>
      <c r="J4882" s="55">
        <v>6.4260600000000001E-2</v>
      </c>
      <c r="K4882" s="55">
        <v>6.3802669999999999</v>
      </c>
      <c r="L4882" s="55">
        <v>5.9962500000000002E-2</v>
      </c>
      <c r="M4882" s="55">
        <v>0.14990609999999999</v>
      </c>
      <c r="N4882" s="55">
        <v>20.334720000000001</v>
      </c>
    </row>
    <row r="4883" spans="1:14" hidden="1" x14ac:dyDescent="0.35">
      <c r="A4883" s="52" t="s">
        <v>682</v>
      </c>
      <c r="B4883" s="52" t="s">
        <v>160</v>
      </c>
      <c r="C4883" s="52" t="s">
        <v>298</v>
      </c>
      <c r="D4883" s="52" t="s">
        <v>299</v>
      </c>
      <c r="E4883" s="52" t="s">
        <v>584</v>
      </c>
      <c r="F4883" s="52" t="s">
        <v>581</v>
      </c>
      <c r="G4883" s="55" t="s">
        <v>275</v>
      </c>
      <c r="H4883" s="55">
        <v>-1.0769820000000001</v>
      </c>
      <c r="I4883" s="55">
        <v>-0.1358924</v>
      </c>
      <c r="J4883" s="55">
        <v>0</v>
      </c>
      <c r="K4883" s="55">
        <v>0</v>
      </c>
      <c r="L4883" s="55">
        <v>0</v>
      </c>
      <c r="M4883" s="55">
        <v>0</v>
      </c>
      <c r="N4883" s="55">
        <v>0</v>
      </c>
    </row>
    <row r="4884" spans="1:14" hidden="1" x14ac:dyDescent="0.35">
      <c r="A4884" s="52" t="s">
        <v>682</v>
      </c>
      <c r="B4884" s="52" t="s">
        <v>160</v>
      </c>
      <c r="C4884" s="52" t="s">
        <v>298</v>
      </c>
      <c r="D4884" s="52" t="s">
        <v>299</v>
      </c>
      <c r="E4884" s="52" t="s">
        <v>584</v>
      </c>
      <c r="F4884" s="52" t="s">
        <v>581</v>
      </c>
      <c r="G4884" s="55" t="s">
        <v>276</v>
      </c>
      <c r="H4884" s="55">
        <v>0.3310266</v>
      </c>
      <c r="I4884" s="55">
        <v>-5.23746E-2</v>
      </c>
      <c r="J4884" s="55">
        <v>-13.997780000000001</v>
      </c>
      <c r="K4884" s="55">
        <v>-0.13402520000000001</v>
      </c>
      <c r="L4884" s="55">
        <v>-8.2409929999999996</v>
      </c>
      <c r="M4884" s="55">
        <v>-31.565049999999999</v>
      </c>
      <c r="N4884" s="55">
        <v>-61.668770000000002</v>
      </c>
    </row>
    <row r="4885" spans="1:14" hidden="1" x14ac:dyDescent="0.35">
      <c r="A4885" s="52" t="s">
        <v>682</v>
      </c>
      <c r="B4885" s="52" t="s">
        <v>160</v>
      </c>
      <c r="C4885" s="52" t="s">
        <v>298</v>
      </c>
      <c r="D4885" s="52" t="s">
        <v>299</v>
      </c>
      <c r="E4885" s="52" t="s">
        <v>584</v>
      </c>
      <c r="F4885" s="52" t="s">
        <v>581</v>
      </c>
      <c r="G4885" s="55" t="s">
        <v>277</v>
      </c>
      <c r="H4885" s="55"/>
      <c r="I4885" s="55">
        <v>0</v>
      </c>
      <c r="J4885" s="55">
        <v>7.3274779999999998E-2</v>
      </c>
      <c r="K4885" s="55">
        <v>0</v>
      </c>
      <c r="L4885" s="55"/>
      <c r="M4885" s="55">
        <v>0</v>
      </c>
      <c r="N4885" s="55">
        <v>2.4392400000000002E-2</v>
      </c>
    </row>
    <row r="4886" spans="1:14" hidden="1" x14ac:dyDescent="0.35">
      <c r="A4886" s="52" t="s">
        <v>682</v>
      </c>
      <c r="B4886" s="52" t="s">
        <v>160</v>
      </c>
      <c r="C4886" s="52" t="s">
        <v>298</v>
      </c>
      <c r="D4886" s="52" t="s">
        <v>299</v>
      </c>
      <c r="E4886" s="52" t="s">
        <v>584</v>
      </c>
      <c r="F4886" s="52" t="s">
        <v>581</v>
      </c>
      <c r="G4886" s="55" t="s">
        <v>278</v>
      </c>
      <c r="H4886" s="55">
        <v>0.74595560000000005</v>
      </c>
      <c r="I4886" s="55">
        <v>0.18826660000000001</v>
      </c>
      <c r="J4886" s="55">
        <v>13.92451</v>
      </c>
      <c r="K4886" s="55">
        <v>0.13402520000000001</v>
      </c>
      <c r="L4886" s="55">
        <v>8.2409929999999996</v>
      </c>
      <c r="M4886" s="55">
        <v>31.565049999999999</v>
      </c>
      <c r="N4886" s="55">
        <v>61.644379999999998</v>
      </c>
    </row>
    <row r="4887" spans="1:14" hidden="1" x14ac:dyDescent="0.35">
      <c r="A4887" s="52" t="s">
        <v>682</v>
      </c>
      <c r="B4887" s="52" t="s">
        <v>162</v>
      </c>
      <c r="C4887" s="52" t="s">
        <v>301</v>
      </c>
      <c r="D4887" s="52" t="s">
        <v>301</v>
      </c>
      <c r="E4887" s="52" t="s">
        <v>584</v>
      </c>
      <c r="F4887" s="52" t="s">
        <v>581</v>
      </c>
      <c r="G4887" s="55" t="s">
        <v>275</v>
      </c>
      <c r="H4887" s="55">
        <v>-11.36795</v>
      </c>
      <c r="I4887" s="55">
        <v>-3.7831799999999999E-2</v>
      </c>
      <c r="J4887" s="55">
        <v>0</v>
      </c>
      <c r="K4887" s="55">
        <v>0</v>
      </c>
      <c r="L4887" s="55">
        <v>0</v>
      </c>
      <c r="M4887" s="55">
        <v>0</v>
      </c>
      <c r="N4887" s="55">
        <v>0</v>
      </c>
    </row>
    <row r="4888" spans="1:14" hidden="1" x14ac:dyDescent="0.35">
      <c r="A4888" s="52" t="s">
        <v>682</v>
      </c>
      <c r="B4888" s="52" t="s">
        <v>162</v>
      </c>
      <c r="C4888" s="52" t="s">
        <v>301</v>
      </c>
      <c r="D4888" s="52" t="s">
        <v>301</v>
      </c>
      <c r="E4888" s="52" t="s">
        <v>584</v>
      </c>
      <c r="F4888" s="52" t="s">
        <v>581</v>
      </c>
      <c r="G4888" s="55" t="s">
        <v>276</v>
      </c>
      <c r="H4888" s="55"/>
      <c r="I4888" s="55"/>
      <c r="J4888" s="55">
        <v>-3.7831799999999999E-2</v>
      </c>
      <c r="K4888" s="55">
        <v>-3.7831799999999999E-2</v>
      </c>
      <c r="L4888" s="55">
        <v>-3.7831799999999999E-2</v>
      </c>
      <c r="M4888" s="55">
        <v>-3.7831799999999999E-2</v>
      </c>
      <c r="N4888" s="55">
        <v>-3.7831799999999999E-2</v>
      </c>
    </row>
    <row r="4889" spans="1:14" hidden="1" x14ac:dyDescent="0.35">
      <c r="A4889" s="52" t="s">
        <v>682</v>
      </c>
      <c r="B4889" s="52" t="s">
        <v>162</v>
      </c>
      <c r="C4889" s="52" t="s">
        <v>301</v>
      </c>
      <c r="D4889" s="52" t="s">
        <v>301</v>
      </c>
      <c r="E4889" s="52" t="s">
        <v>584</v>
      </c>
      <c r="F4889" s="52" t="s">
        <v>581</v>
      </c>
      <c r="G4889" s="55" t="s">
        <v>277</v>
      </c>
      <c r="H4889" s="55"/>
      <c r="I4889" s="55"/>
      <c r="J4889" s="55"/>
      <c r="K4889" s="55"/>
      <c r="L4889" s="55"/>
      <c r="M4889" s="55">
        <v>0</v>
      </c>
      <c r="N4889" s="55"/>
    </row>
    <row r="4890" spans="1:14" hidden="1" x14ac:dyDescent="0.35">
      <c r="A4890" s="52" t="s">
        <v>682</v>
      </c>
      <c r="B4890" s="52" t="s">
        <v>162</v>
      </c>
      <c r="C4890" s="52" t="s">
        <v>301</v>
      </c>
      <c r="D4890" s="52" t="s">
        <v>301</v>
      </c>
      <c r="E4890" s="52" t="s">
        <v>584</v>
      </c>
      <c r="F4890" s="52" t="s">
        <v>581</v>
      </c>
      <c r="G4890" s="55" t="s">
        <v>278</v>
      </c>
      <c r="H4890" s="55">
        <v>11.36795</v>
      </c>
      <c r="I4890" s="55">
        <v>3.7831799999999999E-2</v>
      </c>
      <c r="J4890" s="55">
        <v>3.7831799999999999E-2</v>
      </c>
      <c r="K4890" s="55">
        <v>3.7831799999999999E-2</v>
      </c>
      <c r="L4890" s="55">
        <v>3.7831799999999999E-2</v>
      </c>
      <c r="M4890" s="55">
        <v>3.7831799999999999E-2</v>
      </c>
      <c r="N4890" s="55">
        <v>3.7831799999999999E-2</v>
      </c>
    </row>
    <row r="4891" spans="1:14" hidden="1" x14ac:dyDescent="0.35">
      <c r="A4891" s="52" t="s">
        <v>682</v>
      </c>
      <c r="B4891" s="52" t="s">
        <v>162</v>
      </c>
      <c r="C4891" s="52" t="s">
        <v>301</v>
      </c>
      <c r="D4891" s="52" t="s">
        <v>301</v>
      </c>
      <c r="E4891" s="52" t="s">
        <v>584</v>
      </c>
      <c r="F4891" s="52" t="s">
        <v>26</v>
      </c>
      <c r="G4891" s="55" t="s">
        <v>275</v>
      </c>
      <c r="H4891" s="55">
        <v>-1.045711E-2</v>
      </c>
      <c r="I4891" s="55">
        <v>-1.045711E-2</v>
      </c>
      <c r="J4891" s="55">
        <v>0</v>
      </c>
      <c r="K4891" s="55">
        <v>0</v>
      </c>
      <c r="L4891" s="55">
        <v>0</v>
      </c>
      <c r="M4891" s="55">
        <v>0</v>
      </c>
      <c r="N4891" s="55">
        <v>0</v>
      </c>
    </row>
    <row r="4892" spans="1:14" hidden="1" x14ac:dyDescent="0.35">
      <c r="A4892" s="52" t="s">
        <v>682</v>
      </c>
      <c r="B4892" s="52" t="s">
        <v>162</v>
      </c>
      <c r="C4892" s="52" t="s">
        <v>301</v>
      </c>
      <c r="D4892" s="52" t="s">
        <v>301</v>
      </c>
      <c r="E4892" s="52" t="s">
        <v>584</v>
      </c>
      <c r="F4892" s="52" t="s">
        <v>26</v>
      </c>
      <c r="G4892" s="55" t="s">
        <v>276</v>
      </c>
      <c r="H4892" s="55"/>
      <c r="I4892" s="55"/>
      <c r="J4892" s="55">
        <v>-1.045711E-2</v>
      </c>
      <c r="K4892" s="55">
        <v>-1.045711E-2</v>
      </c>
      <c r="L4892" s="55">
        <v>-1.045711E-2</v>
      </c>
      <c r="M4892" s="55">
        <v>-1.045711E-2</v>
      </c>
      <c r="N4892" s="55">
        <v>-2.4544610000000001E-2</v>
      </c>
    </row>
    <row r="4893" spans="1:14" hidden="1" x14ac:dyDescent="0.35">
      <c r="A4893" s="52" t="s">
        <v>682</v>
      </c>
      <c r="B4893" s="52" t="s">
        <v>162</v>
      </c>
      <c r="C4893" s="52" t="s">
        <v>301</v>
      </c>
      <c r="D4893" s="52" t="s">
        <v>301</v>
      </c>
      <c r="E4893" s="52" t="s">
        <v>584</v>
      </c>
      <c r="F4893" s="52" t="s">
        <v>26</v>
      </c>
      <c r="G4893" s="55" t="s">
        <v>277</v>
      </c>
      <c r="H4893" s="55"/>
      <c r="I4893" s="55"/>
      <c r="J4893" s="55"/>
      <c r="K4893" s="55"/>
      <c r="L4893" s="55"/>
      <c r="M4893" s="55">
        <v>0</v>
      </c>
      <c r="N4893" s="55">
        <v>1.4087499999999999E-2</v>
      </c>
    </row>
    <row r="4894" spans="1:14" hidden="1" x14ac:dyDescent="0.35">
      <c r="A4894" s="52" t="s">
        <v>682</v>
      </c>
      <c r="B4894" s="52" t="s">
        <v>162</v>
      </c>
      <c r="C4894" s="52" t="s">
        <v>301</v>
      </c>
      <c r="D4894" s="52" t="s">
        <v>301</v>
      </c>
      <c r="E4894" s="52" t="s">
        <v>584</v>
      </c>
      <c r="F4894" s="52" t="s">
        <v>26</v>
      </c>
      <c r="G4894" s="55" t="s">
        <v>278</v>
      </c>
      <c r="H4894" s="55">
        <v>1.045711E-2</v>
      </c>
      <c r="I4894" s="55">
        <v>1.045711E-2</v>
      </c>
      <c r="J4894" s="55">
        <v>1.045711E-2</v>
      </c>
      <c r="K4894" s="55">
        <v>1.045711E-2</v>
      </c>
      <c r="L4894" s="55">
        <v>1.045711E-2</v>
      </c>
      <c r="M4894" s="55">
        <v>1.045711E-2</v>
      </c>
      <c r="N4894" s="55">
        <v>1.045711E-2</v>
      </c>
    </row>
    <row r="4895" spans="1:14" hidden="1" x14ac:dyDescent="0.35">
      <c r="A4895" s="52" t="s">
        <v>682</v>
      </c>
      <c r="B4895" s="52" t="s">
        <v>162</v>
      </c>
      <c r="C4895" s="52" t="s">
        <v>161</v>
      </c>
      <c r="D4895" s="52" t="s">
        <v>161</v>
      </c>
      <c r="E4895" s="52" t="s">
        <v>584</v>
      </c>
      <c r="F4895" s="52" t="s">
        <v>581</v>
      </c>
      <c r="G4895" s="55" t="s">
        <v>275</v>
      </c>
      <c r="H4895" s="55">
        <v>-1.1755170000000001E-2</v>
      </c>
      <c r="I4895" s="55">
        <v>-1.1755170000000001E-2</v>
      </c>
      <c r="J4895" s="55">
        <v>-1.1755170000000001E-2</v>
      </c>
      <c r="K4895" s="55">
        <v>-6.2883380000000003E-2</v>
      </c>
      <c r="L4895" s="55">
        <v>-6.2883380000000003E-2</v>
      </c>
      <c r="M4895" s="55">
        <v>-1.0343199999999999</v>
      </c>
      <c r="N4895" s="55">
        <v>-2.1704379999999999</v>
      </c>
    </row>
    <row r="4896" spans="1:14" hidden="1" x14ac:dyDescent="0.35">
      <c r="A4896" s="52" t="s">
        <v>682</v>
      </c>
      <c r="B4896" s="52" t="s">
        <v>162</v>
      </c>
      <c r="C4896" s="52" t="s">
        <v>161</v>
      </c>
      <c r="D4896" s="52" t="s">
        <v>161</v>
      </c>
      <c r="E4896" s="52" t="s">
        <v>584</v>
      </c>
      <c r="F4896" s="52" t="s">
        <v>581</v>
      </c>
      <c r="G4896" s="55" t="s">
        <v>277</v>
      </c>
      <c r="H4896" s="55"/>
      <c r="I4896" s="55"/>
      <c r="J4896" s="55">
        <v>0</v>
      </c>
      <c r="K4896" s="55">
        <v>5.112829E-2</v>
      </c>
      <c r="L4896" s="55">
        <v>5.112821E-2</v>
      </c>
      <c r="M4896" s="55">
        <v>1.0225649999999999</v>
      </c>
      <c r="N4896" s="55">
        <v>1.9463649999999999</v>
      </c>
    </row>
    <row r="4897" spans="1:14" hidden="1" x14ac:dyDescent="0.35">
      <c r="A4897" s="52" t="s">
        <v>682</v>
      </c>
      <c r="B4897" s="52" t="s">
        <v>162</v>
      </c>
      <c r="C4897" s="52" t="s">
        <v>161</v>
      </c>
      <c r="D4897" s="52" t="s">
        <v>161</v>
      </c>
      <c r="E4897" s="52" t="s">
        <v>584</v>
      </c>
      <c r="F4897" s="52" t="s">
        <v>581</v>
      </c>
      <c r="G4897" s="55" t="s">
        <v>278</v>
      </c>
      <c r="H4897" s="55">
        <v>1.1755170000000001E-2</v>
      </c>
      <c r="I4897" s="55">
        <v>1.1755170000000001E-2</v>
      </c>
      <c r="J4897" s="55">
        <v>1.1755170000000001E-2</v>
      </c>
      <c r="K4897" s="55">
        <v>1.1755170000000001E-2</v>
      </c>
      <c r="L4897" s="55">
        <v>1.1755170000000001E-2</v>
      </c>
      <c r="M4897" s="55">
        <v>1.1755170000000001E-2</v>
      </c>
      <c r="N4897" s="55">
        <v>1.1755170000000001E-2</v>
      </c>
    </row>
    <row r="4898" spans="1:14" hidden="1" x14ac:dyDescent="0.35">
      <c r="A4898" s="52" t="s">
        <v>682</v>
      </c>
      <c r="B4898" s="52" t="s">
        <v>162</v>
      </c>
      <c r="C4898" s="52" t="s">
        <v>161</v>
      </c>
      <c r="D4898" s="52" t="s">
        <v>161</v>
      </c>
      <c r="E4898" s="52" t="s">
        <v>584</v>
      </c>
      <c r="F4898" s="52" t="s">
        <v>581</v>
      </c>
      <c r="G4898" s="55" t="s">
        <v>279</v>
      </c>
      <c r="H4898" s="55"/>
      <c r="I4898" s="55"/>
      <c r="J4898" s="55"/>
      <c r="K4898" s="55"/>
      <c r="L4898" s="55"/>
      <c r="M4898" s="55">
        <v>0</v>
      </c>
      <c r="N4898" s="55">
        <v>0.21231720000000001</v>
      </c>
    </row>
    <row r="4899" spans="1:14" hidden="1" x14ac:dyDescent="0.35">
      <c r="A4899" s="52" t="s">
        <v>682</v>
      </c>
      <c r="B4899" s="52" t="s">
        <v>162</v>
      </c>
      <c r="C4899" s="52" t="s">
        <v>161</v>
      </c>
      <c r="D4899" s="52" t="s">
        <v>161</v>
      </c>
      <c r="E4899" s="52" t="s">
        <v>584</v>
      </c>
      <c r="F4899" s="52" t="s">
        <v>26</v>
      </c>
      <c r="G4899" s="55" t="s">
        <v>275</v>
      </c>
      <c r="H4899" s="55">
        <v>-0.12609419999999999</v>
      </c>
      <c r="I4899" s="55">
        <v>-0.12609419999999999</v>
      </c>
      <c r="J4899" s="55">
        <v>-5.8142430000000002E-2</v>
      </c>
      <c r="K4899" s="55">
        <v>-5.8142430000000002E-2</v>
      </c>
      <c r="L4899" s="55">
        <v>-0.46314250000000001</v>
      </c>
      <c r="M4899" s="55">
        <v>-3.5547800000000001</v>
      </c>
      <c r="N4899" s="55">
        <v>-9.935594</v>
      </c>
    </row>
    <row r="4900" spans="1:14" hidden="1" x14ac:dyDescent="0.35">
      <c r="A4900" s="52" t="s">
        <v>682</v>
      </c>
      <c r="B4900" s="52" t="s">
        <v>162</v>
      </c>
      <c r="C4900" s="52" t="s">
        <v>161</v>
      </c>
      <c r="D4900" s="52" t="s">
        <v>161</v>
      </c>
      <c r="E4900" s="52" t="s">
        <v>584</v>
      </c>
      <c r="F4900" s="52" t="s">
        <v>26</v>
      </c>
      <c r="G4900" s="55" t="s">
        <v>276</v>
      </c>
      <c r="H4900" s="55"/>
      <c r="I4900" s="55"/>
      <c r="J4900" s="55"/>
      <c r="K4900" s="55"/>
      <c r="L4900" s="55"/>
      <c r="M4900" s="55"/>
      <c r="N4900" s="55">
        <v>0</v>
      </c>
    </row>
    <row r="4901" spans="1:14" hidden="1" x14ac:dyDescent="0.35">
      <c r="A4901" s="52" t="s">
        <v>682</v>
      </c>
      <c r="B4901" s="52" t="s">
        <v>162</v>
      </c>
      <c r="C4901" s="52" t="s">
        <v>161</v>
      </c>
      <c r="D4901" s="52" t="s">
        <v>161</v>
      </c>
      <c r="E4901" s="52" t="s">
        <v>584</v>
      </c>
      <c r="F4901" s="52" t="s">
        <v>26</v>
      </c>
      <c r="G4901" s="55" t="s">
        <v>277</v>
      </c>
      <c r="H4901" s="55"/>
      <c r="I4901" s="55">
        <v>0</v>
      </c>
      <c r="J4901" s="55">
        <v>4.4999999999999998E-2</v>
      </c>
      <c r="K4901" s="55">
        <v>4.4999999999999998E-2</v>
      </c>
      <c r="L4901" s="55">
        <v>0.45</v>
      </c>
      <c r="M4901" s="55">
        <v>3.4786380000000001</v>
      </c>
      <c r="N4901" s="55">
        <v>9.8622029999999992</v>
      </c>
    </row>
    <row r="4902" spans="1:14" hidden="1" x14ac:dyDescent="0.35">
      <c r="A4902" s="52" t="s">
        <v>682</v>
      </c>
      <c r="B4902" s="52" t="s">
        <v>162</v>
      </c>
      <c r="C4902" s="52" t="s">
        <v>161</v>
      </c>
      <c r="D4902" s="52" t="s">
        <v>161</v>
      </c>
      <c r="E4902" s="52" t="s">
        <v>584</v>
      </c>
      <c r="F4902" s="52" t="s">
        <v>26</v>
      </c>
      <c r="G4902" s="55" t="s">
        <v>278</v>
      </c>
      <c r="H4902" s="55">
        <v>0.12609419999999999</v>
      </c>
      <c r="I4902" s="55">
        <v>0.12609419999999999</v>
      </c>
      <c r="J4902" s="55">
        <v>1.314243E-2</v>
      </c>
      <c r="K4902" s="55">
        <v>1.314243E-2</v>
      </c>
      <c r="L4902" s="55">
        <v>1.314243E-2</v>
      </c>
      <c r="M4902" s="55">
        <v>1.314243E-2</v>
      </c>
      <c r="N4902" s="55">
        <v>0</v>
      </c>
    </row>
    <row r="4903" spans="1:14" hidden="1" x14ac:dyDescent="0.35">
      <c r="A4903" s="52" t="s">
        <v>682</v>
      </c>
      <c r="B4903" s="52" t="s">
        <v>162</v>
      </c>
      <c r="C4903" s="52" t="s">
        <v>161</v>
      </c>
      <c r="D4903" s="52" t="s">
        <v>161</v>
      </c>
      <c r="E4903" s="52" t="s">
        <v>584</v>
      </c>
      <c r="F4903" s="52" t="s">
        <v>26</v>
      </c>
      <c r="G4903" s="55" t="s">
        <v>279</v>
      </c>
      <c r="H4903" s="55"/>
      <c r="I4903" s="55"/>
      <c r="J4903" s="55"/>
      <c r="K4903" s="55"/>
      <c r="L4903" s="55">
        <v>0</v>
      </c>
      <c r="M4903" s="55">
        <v>6.3E-2</v>
      </c>
      <c r="N4903" s="55">
        <v>7.3389659999999995E-2</v>
      </c>
    </row>
    <row r="4904" spans="1:14" hidden="1" x14ac:dyDescent="0.35">
      <c r="A4904" s="52" t="s">
        <v>671</v>
      </c>
      <c r="B4904" s="52" t="s">
        <v>37</v>
      </c>
      <c r="C4904" s="52" t="s">
        <v>35</v>
      </c>
      <c r="D4904" s="52" t="s">
        <v>163</v>
      </c>
      <c r="E4904" s="52" t="s">
        <v>580</v>
      </c>
      <c r="F4904" s="52" t="s">
        <v>581</v>
      </c>
      <c r="G4904" s="55" t="s">
        <v>275</v>
      </c>
      <c r="H4904" s="55">
        <v>74.75403</v>
      </c>
      <c r="I4904" s="55">
        <v>225.28110000000001</v>
      </c>
      <c r="J4904" s="55">
        <v>329.6601</v>
      </c>
      <c r="K4904" s="55">
        <v>372.76220000000001</v>
      </c>
      <c r="L4904" s="55">
        <v>291.28300000000002</v>
      </c>
      <c r="M4904" s="55">
        <v>195.53980000000001</v>
      </c>
      <c r="N4904" s="55">
        <v>167.9264</v>
      </c>
    </row>
    <row r="4905" spans="1:14" hidden="1" x14ac:dyDescent="0.35">
      <c r="A4905" s="52" t="s">
        <v>671</v>
      </c>
      <c r="B4905" s="52" t="s">
        <v>37</v>
      </c>
      <c r="C4905" s="52" t="s">
        <v>35</v>
      </c>
      <c r="D4905" s="52" t="s">
        <v>163</v>
      </c>
      <c r="E4905" s="52" t="s">
        <v>580</v>
      </c>
      <c r="F4905" s="52" t="s">
        <v>581</v>
      </c>
      <c r="G4905" s="55" t="s">
        <v>276</v>
      </c>
      <c r="H4905" s="55">
        <v>79.103200000000001</v>
      </c>
      <c r="I4905" s="55">
        <v>-14.41747</v>
      </c>
      <c r="J4905" s="55">
        <v>-6.2510830000000004</v>
      </c>
      <c r="K4905" s="55">
        <v>-26.380849999999999</v>
      </c>
      <c r="L4905" s="55">
        <v>5.1424409999999998</v>
      </c>
      <c r="M4905" s="55">
        <v>50.414270000000002</v>
      </c>
      <c r="N4905" s="55">
        <v>59.726819999999996</v>
      </c>
    </row>
    <row r="4906" spans="1:14" hidden="1" x14ac:dyDescent="0.35">
      <c r="A4906" s="52" t="s">
        <v>671</v>
      </c>
      <c r="B4906" s="52" t="s">
        <v>37</v>
      </c>
      <c r="C4906" s="52" t="s">
        <v>35</v>
      </c>
      <c r="D4906" s="52" t="s">
        <v>163</v>
      </c>
      <c r="E4906" s="52" t="s">
        <v>580</v>
      </c>
      <c r="F4906" s="52" t="s">
        <v>581</v>
      </c>
      <c r="G4906" s="55" t="s">
        <v>277</v>
      </c>
      <c r="H4906" s="55">
        <v>600.16560000000004</v>
      </c>
      <c r="I4906" s="55">
        <v>136.9896</v>
      </c>
      <c r="J4906" s="55">
        <v>60.574080000000002</v>
      </c>
      <c r="K4906" s="55">
        <v>20.004239999999999</v>
      </c>
      <c r="L4906" s="55">
        <v>35.72551</v>
      </c>
      <c r="M4906" s="55">
        <v>49.26388</v>
      </c>
      <c r="N4906" s="55">
        <v>70.968829999999997</v>
      </c>
    </row>
    <row r="4907" spans="1:14" hidden="1" x14ac:dyDescent="0.35">
      <c r="A4907" s="52" t="s">
        <v>671</v>
      </c>
      <c r="B4907" s="52" t="s">
        <v>37</v>
      </c>
      <c r="C4907" s="52" t="s">
        <v>35</v>
      </c>
      <c r="D4907" s="52" t="s">
        <v>163</v>
      </c>
      <c r="E4907" s="52" t="s">
        <v>580</v>
      </c>
      <c r="F4907" s="52" t="s">
        <v>581</v>
      </c>
      <c r="G4907" s="55" t="s">
        <v>278</v>
      </c>
      <c r="H4907" s="55">
        <v>154.1223</v>
      </c>
      <c r="I4907" s="55">
        <v>64.676730000000006</v>
      </c>
      <c r="J4907" s="55">
        <v>67.626990000000006</v>
      </c>
      <c r="K4907" s="55">
        <v>67.735309999999998</v>
      </c>
      <c r="L4907" s="55">
        <v>74.421329999999998</v>
      </c>
      <c r="M4907" s="55">
        <v>99.109030000000004</v>
      </c>
      <c r="N4907" s="55">
        <v>124.1491</v>
      </c>
    </row>
    <row r="4908" spans="1:14" hidden="1" x14ac:dyDescent="0.35">
      <c r="A4908" s="52" t="s">
        <v>671</v>
      </c>
      <c r="B4908" s="52" t="s">
        <v>37</v>
      </c>
      <c r="C4908" s="52" t="s">
        <v>35</v>
      </c>
      <c r="D4908" s="52" t="s">
        <v>163</v>
      </c>
      <c r="E4908" s="52" t="s">
        <v>580</v>
      </c>
      <c r="F4908" s="52" t="s">
        <v>581</v>
      </c>
      <c r="G4908" s="55" t="s">
        <v>279</v>
      </c>
      <c r="H4908" s="55">
        <v>280.62630000000001</v>
      </c>
      <c r="I4908" s="55">
        <v>228.7525</v>
      </c>
      <c r="J4908" s="55">
        <v>236.8605</v>
      </c>
      <c r="K4908" s="55">
        <v>236.3107</v>
      </c>
      <c r="L4908" s="55">
        <v>207.27279999999999</v>
      </c>
      <c r="M4908" s="55">
        <v>231.21969999999999</v>
      </c>
      <c r="N4908" s="55">
        <v>243.62620000000001</v>
      </c>
    </row>
    <row r="4909" spans="1:14" hidden="1" x14ac:dyDescent="0.35">
      <c r="A4909" s="52" t="s">
        <v>671</v>
      </c>
      <c r="B4909" s="52" t="s">
        <v>37</v>
      </c>
      <c r="C4909" s="52" t="s">
        <v>35</v>
      </c>
      <c r="D4909" s="52" t="s">
        <v>163</v>
      </c>
      <c r="E4909" s="52" t="s">
        <v>580</v>
      </c>
      <c r="F4909" s="52" t="s">
        <v>26</v>
      </c>
      <c r="G4909" s="55" t="s">
        <v>275</v>
      </c>
      <c r="H4909" s="55">
        <v>-67.900030000000001</v>
      </c>
      <c r="I4909" s="55">
        <v>-42.557360000000003</v>
      </c>
      <c r="J4909" s="55">
        <v>-14.77863</v>
      </c>
      <c r="K4909" s="55">
        <v>4.5274000000000001</v>
      </c>
      <c r="L4909" s="55">
        <v>27.514040000000001</v>
      </c>
      <c r="M4909" s="55">
        <v>43.166930000000001</v>
      </c>
      <c r="N4909" s="55">
        <v>71.488029999999995</v>
      </c>
    </row>
    <row r="4910" spans="1:14" hidden="1" x14ac:dyDescent="0.35">
      <c r="A4910" s="52" t="s">
        <v>671</v>
      </c>
      <c r="B4910" s="52" t="s">
        <v>37</v>
      </c>
      <c r="C4910" s="52" t="s">
        <v>35</v>
      </c>
      <c r="D4910" s="52" t="s">
        <v>163</v>
      </c>
      <c r="E4910" s="52" t="s">
        <v>580</v>
      </c>
      <c r="F4910" s="52" t="s">
        <v>26</v>
      </c>
      <c r="G4910" s="55" t="s">
        <v>276</v>
      </c>
      <c r="H4910" s="55">
        <v>-18.049389999999999</v>
      </c>
      <c r="I4910" s="55">
        <v>-11.312709999999999</v>
      </c>
      <c r="J4910" s="55">
        <v>-3.9284949999999998</v>
      </c>
      <c r="K4910" s="55">
        <v>1.2034769999999999</v>
      </c>
      <c r="L4910" s="55">
        <v>7.3138699999999996</v>
      </c>
      <c r="M4910" s="55">
        <v>11.474769999999999</v>
      </c>
      <c r="N4910" s="55">
        <v>19.003150000000002</v>
      </c>
    </row>
    <row r="4911" spans="1:14" hidden="1" x14ac:dyDescent="0.35">
      <c r="A4911" s="52" t="s">
        <v>671</v>
      </c>
      <c r="B4911" s="52" t="s">
        <v>37</v>
      </c>
      <c r="C4911" s="52" t="s">
        <v>35</v>
      </c>
      <c r="D4911" s="52" t="s">
        <v>163</v>
      </c>
      <c r="E4911" s="52" t="s">
        <v>580</v>
      </c>
      <c r="F4911" s="52" t="s">
        <v>26</v>
      </c>
      <c r="G4911" s="55" t="s">
        <v>279</v>
      </c>
      <c r="H4911" s="55">
        <v>132.85059999999999</v>
      </c>
      <c r="I4911" s="55">
        <v>126.81180000000001</v>
      </c>
      <c r="J4911" s="55">
        <v>134.54429999999999</v>
      </c>
      <c r="K4911" s="55">
        <v>140.36859999999999</v>
      </c>
      <c r="L4911" s="55">
        <v>130.3861</v>
      </c>
      <c r="M4911" s="55">
        <v>146.18049999999999</v>
      </c>
      <c r="N4911" s="55">
        <v>158.4093</v>
      </c>
    </row>
    <row r="4912" spans="1:14" hidden="1" x14ac:dyDescent="0.35">
      <c r="A4912" s="52" t="s">
        <v>671</v>
      </c>
      <c r="B4912" s="52" t="s">
        <v>37</v>
      </c>
      <c r="C4912" s="52" t="s">
        <v>35</v>
      </c>
      <c r="D4912" s="52" t="s">
        <v>163</v>
      </c>
      <c r="E4912" s="52" t="s">
        <v>582</v>
      </c>
      <c r="F4912" s="52" t="s">
        <v>581</v>
      </c>
      <c r="G4912" s="55" t="s">
        <v>275</v>
      </c>
      <c r="H4912" s="55">
        <v>-13.151960000000001</v>
      </c>
      <c r="I4912" s="55">
        <v>10.652620000000001</v>
      </c>
      <c r="J4912" s="55">
        <v>19.303349999999998</v>
      </c>
      <c r="K4912" s="55">
        <v>16.58333</v>
      </c>
      <c r="L4912" s="55">
        <v>11.336449999999999</v>
      </c>
      <c r="M4912" s="55">
        <v>0.3899455</v>
      </c>
      <c r="N4912" s="55">
        <v>-2.5319980000000002</v>
      </c>
    </row>
    <row r="4913" spans="1:14" hidden="1" x14ac:dyDescent="0.35">
      <c r="A4913" s="52" t="s">
        <v>671</v>
      </c>
      <c r="B4913" s="52" t="s">
        <v>37</v>
      </c>
      <c r="C4913" s="52" t="s">
        <v>35</v>
      </c>
      <c r="D4913" s="52" t="s">
        <v>163</v>
      </c>
      <c r="E4913" s="52" t="s">
        <v>582</v>
      </c>
      <c r="F4913" s="52" t="s">
        <v>581</v>
      </c>
      <c r="G4913" s="55" t="s">
        <v>276</v>
      </c>
      <c r="H4913" s="55">
        <v>1.980691</v>
      </c>
      <c r="I4913" s="55">
        <v>-2.1093329999999999</v>
      </c>
      <c r="J4913" s="55">
        <v>-3.690725</v>
      </c>
      <c r="K4913" s="55">
        <v>-1.9918499999999999</v>
      </c>
      <c r="L4913" s="55">
        <v>-0.85510059999999999</v>
      </c>
      <c r="M4913" s="55">
        <v>3.4764370000000002</v>
      </c>
      <c r="N4913" s="55">
        <v>4.8654669999999998</v>
      </c>
    </row>
    <row r="4914" spans="1:14" hidden="1" x14ac:dyDescent="0.35">
      <c r="A4914" s="52" t="s">
        <v>671</v>
      </c>
      <c r="B4914" s="52" t="s">
        <v>37</v>
      </c>
      <c r="C4914" s="52" t="s">
        <v>35</v>
      </c>
      <c r="D4914" s="52" t="s">
        <v>163</v>
      </c>
      <c r="E4914" s="52" t="s">
        <v>582</v>
      </c>
      <c r="F4914" s="52" t="s">
        <v>581</v>
      </c>
      <c r="G4914" s="55" t="s">
        <v>277</v>
      </c>
      <c r="H4914" s="55">
        <v>42.163429999999998</v>
      </c>
      <c r="I4914" s="55">
        <v>5.7021449999999998</v>
      </c>
      <c r="J4914" s="55">
        <v>2.5168789999999999</v>
      </c>
      <c r="K4914" s="55">
        <v>1.6027420000000001</v>
      </c>
      <c r="L4914" s="55">
        <v>2.6444540000000001</v>
      </c>
      <c r="M4914" s="55">
        <v>5.2402309999999996</v>
      </c>
      <c r="N4914" s="55">
        <v>9.1513840000000002</v>
      </c>
    </row>
    <row r="4915" spans="1:14" hidden="1" x14ac:dyDescent="0.35">
      <c r="A4915" s="52" t="s">
        <v>671</v>
      </c>
      <c r="B4915" s="52" t="s">
        <v>37</v>
      </c>
      <c r="C4915" s="52" t="s">
        <v>35</v>
      </c>
      <c r="D4915" s="52" t="s">
        <v>163</v>
      </c>
      <c r="E4915" s="52" t="s">
        <v>582</v>
      </c>
      <c r="F4915" s="52" t="s">
        <v>581</v>
      </c>
      <c r="G4915" s="55" t="s">
        <v>278</v>
      </c>
      <c r="H4915" s="55">
        <v>13.150169999999999</v>
      </c>
      <c r="I4915" s="55">
        <v>3.1579519999999999</v>
      </c>
      <c r="J4915" s="55">
        <v>4.4253629999999999</v>
      </c>
      <c r="K4915" s="55">
        <v>6.870101</v>
      </c>
      <c r="L4915" s="55">
        <v>11.423959999999999</v>
      </c>
      <c r="M4915" s="55">
        <v>20.214179999999999</v>
      </c>
      <c r="N4915" s="55">
        <v>28.87368</v>
      </c>
    </row>
    <row r="4916" spans="1:14" hidden="1" x14ac:dyDescent="0.35">
      <c r="A4916" s="52" t="s">
        <v>671</v>
      </c>
      <c r="B4916" s="52" t="s">
        <v>37</v>
      </c>
      <c r="C4916" s="52" t="s">
        <v>35</v>
      </c>
      <c r="D4916" s="52" t="s">
        <v>163</v>
      </c>
      <c r="E4916" s="52" t="s">
        <v>582</v>
      </c>
      <c r="F4916" s="52" t="s">
        <v>581</v>
      </c>
      <c r="G4916" s="55" t="s">
        <v>279</v>
      </c>
      <c r="H4916" s="55">
        <v>10.77392</v>
      </c>
      <c r="I4916" s="55">
        <v>7.2793270000000003</v>
      </c>
      <c r="J4916" s="55">
        <v>8.9903549999999992</v>
      </c>
      <c r="K4916" s="55">
        <v>9.5924209999999999</v>
      </c>
      <c r="L4916" s="55">
        <v>9.8054710000000007</v>
      </c>
      <c r="M4916" s="55">
        <v>13.188470000000001</v>
      </c>
      <c r="N4916" s="55">
        <v>17.988969999999998</v>
      </c>
    </row>
    <row r="4917" spans="1:14" hidden="1" x14ac:dyDescent="0.35">
      <c r="A4917" s="52" t="s">
        <v>671</v>
      </c>
      <c r="B4917" s="52" t="s">
        <v>37</v>
      </c>
      <c r="C4917" s="52" t="s">
        <v>35</v>
      </c>
      <c r="D4917" s="52" t="s">
        <v>163</v>
      </c>
      <c r="E4917" s="52" t="s">
        <v>582</v>
      </c>
      <c r="F4917" s="52" t="s">
        <v>26</v>
      </c>
      <c r="G4917" s="55" t="s">
        <v>275</v>
      </c>
      <c r="H4917" s="55">
        <v>-3.4492080000000001</v>
      </c>
      <c r="I4917" s="55">
        <v>-1.4981089999999999</v>
      </c>
      <c r="J4917" s="55">
        <v>6.9723199999999999E-2</v>
      </c>
      <c r="K4917" s="55">
        <v>1.4010609999999999</v>
      </c>
      <c r="L4917" s="55">
        <v>3.1923319999999999</v>
      </c>
      <c r="M4917" s="55">
        <v>5.4573429999999998</v>
      </c>
      <c r="N4917" s="55">
        <v>10.36233</v>
      </c>
    </row>
    <row r="4918" spans="1:14" hidden="1" x14ac:dyDescent="0.35">
      <c r="A4918" s="52" t="s">
        <v>671</v>
      </c>
      <c r="B4918" s="52" t="s">
        <v>37</v>
      </c>
      <c r="C4918" s="52" t="s">
        <v>35</v>
      </c>
      <c r="D4918" s="52" t="s">
        <v>163</v>
      </c>
      <c r="E4918" s="52" t="s">
        <v>582</v>
      </c>
      <c r="F4918" s="52" t="s">
        <v>26</v>
      </c>
      <c r="G4918" s="55" t="s">
        <v>276</v>
      </c>
      <c r="H4918" s="55">
        <v>-0.91687700000000005</v>
      </c>
      <c r="I4918" s="55">
        <v>-0.39823190000000003</v>
      </c>
      <c r="J4918" s="55">
        <v>1.8534209999999999E-2</v>
      </c>
      <c r="K4918" s="55">
        <v>0.37243280000000001</v>
      </c>
      <c r="L4918" s="55">
        <v>0.84859530000000005</v>
      </c>
      <c r="M4918" s="55">
        <v>1.4506870000000001</v>
      </c>
      <c r="N4918" s="55">
        <v>2.7545440000000001</v>
      </c>
    </row>
    <row r="4919" spans="1:14" hidden="1" x14ac:dyDescent="0.35">
      <c r="A4919" s="52" t="s">
        <v>671</v>
      </c>
      <c r="B4919" s="52" t="s">
        <v>37</v>
      </c>
      <c r="C4919" s="52" t="s">
        <v>35</v>
      </c>
      <c r="D4919" s="52" t="s">
        <v>163</v>
      </c>
      <c r="E4919" s="52" t="s">
        <v>582</v>
      </c>
      <c r="F4919" s="52" t="s">
        <v>26</v>
      </c>
      <c r="G4919" s="55" t="s">
        <v>279</v>
      </c>
      <c r="H4919" s="55">
        <v>7.4698399999999996</v>
      </c>
      <c r="I4919" s="55">
        <v>5.8158349999999999</v>
      </c>
      <c r="J4919" s="55">
        <v>7.3272029999999999</v>
      </c>
      <c r="K4919" s="55">
        <v>8.1054300000000001</v>
      </c>
      <c r="L4919" s="55">
        <v>8.6368200000000002</v>
      </c>
      <c r="M4919" s="55">
        <v>11.504849999999999</v>
      </c>
      <c r="N4919" s="55">
        <v>15.894959999999999</v>
      </c>
    </row>
    <row r="4920" spans="1:14" hidden="1" x14ac:dyDescent="0.35">
      <c r="A4920" s="52" t="s">
        <v>671</v>
      </c>
      <c r="B4920" s="52" t="s">
        <v>37</v>
      </c>
      <c r="C4920" s="52" t="s">
        <v>35</v>
      </c>
      <c r="D4920" s="52" t="s">
        <v>39</v>
      </c>
      <c r="E4920" s="52" t="s">
        <v>582</v>
      </c>
      <c r="F4920" s="52" t="s">
        <v>581</v>
      </c>
      <c r="G4920" s="55" t="s">
        <v>275</v>
      </c>
      <c r="H4920" s="55">
        <v>88.724530000000001</v>
      </c>
      <c r="I4920" s="55">
        <v>23.015170000000001</v>
      </c>
      <c r="J4920" s="55">
        <v>66.125370000000004</v>
      </c>
      <c r="K4920" s="55">
        <v>58.668819999999997</v>
      </c>
      <c r="L4920" s="55">
        <v>42.592089999999999</v>
      </c>
      <c r="M4920" s="55">
        <v>31.797989999999999</v>
      </c>
      <c r="N4920" s="55">
        <v>20.083390000000001</v>
      </c>
    </row>
    <row r="4921" spans="1:14" hidden="1" x14ac:dyDescent="0.35">
      <c r="A4921" s="52" t="s">
        <v>671</v>
      </c>
      <c r="B4921" s="52" t="s">
        <v>37</v>
      </c>
      <c r="C4921" s="52" t="s">
        <v>35</v>
      </c>
      <c r="D4921" s="52" t="s">
        <v>39</v>
      </c>
      <c r="E4921" s="52" t="s">
        <v>582</v>
      </c>
      <c r="F4921" s="52" t="s">
        <v>581</v>
      </c>
      <c r="G4921" s="55" t="s">
        <v>276</v>
      </c>
      <c r="H4921" s="55">
        <v>14.605549999999999</v>
      </c>
      <c r="I4921" s="55">
        <v>-0.20440659999999999</v>
      </c>
      <c r="J4921" s="55">
        <v>-7.2620480000000001</v>
      </c>
      <c r="K4921" s="55">
        <v>-4.6348690000000001</v>
      </c>
      <c r="L4921" s="55">
        <v>5.3486479999999998</v>
      </c>
      <c r="M4921" s="55">
        <v>6.3573849999999998</v>
      </c>
      <c r="N4921" s="55">
        <v>9.8317870000000003</v>
      </c>
    </row>
    <row r="4922" spans="1:14" hidden="1" x14ac:dyDescent="0.35">
      <c r="A4922" s="52" t="s">
        <v>671</v>
      </c>
      <c r="B4922" s="52" t="s">
        <v>37</v>
      </c>
      <c r="C4922" s="52" t="s">
        <v>35</v>
      </c>
      <c r="D4922" s="52" t="s">
        <v>39</v>
      </c>
      <c r="E4922" s="52" t="s">
        <v>582</v>
      </c>
      <c r="F4922" s="52" t="s">
        <v>581</v>
      </c>
      <c r="G4922" s="55" t="s">
        <v>277</v>
      </c>
      <c r="H4922" s="55">
        <v>55.669110000000003</v>
      </c>
      <c r="I4922" s="55">
        <v>40.395760000000003</v>
      </c>
      <c r="J4922" s="55">
        <v>7.3522999999999996</v>
      </c>
      <c r="K4922" s="55">
        <v>3.028451</v>
      </c>
      <c r="L4922" s="55">
        <v>7.865869</v>
      </c>
      <c r="M4922" s="55">
        <v>10.37316</v>
      </c>
      <c r="N4922" s="55">
        <v>18.080169999999999</v>
      </c>
    </row>
    <row r="4923" spans="1:14" hidden="1" x14ac:dyDescent="0.35">
      <c r="A4923" s="52" t="s">
        <v>671</v>
      </c>
      <c r="B4923" s="52" t="s">
        <v>37</v>
      </c>
      <c r="C4923" s="52" t="s">
        <v>35</v>
      </c>
      <c r="D4923" s="52" t="s">
        <v>39</v>
      </c>
      <c r="E4923" s="52" t="s">
        <v>582</v>
      </c>
      <c r="F4923" s="52" t="s">
        <v>581</v>
      </c>
      <c r="G4923" s="55" t="s">
        <v>278</v>
      </c>
      <c r="H4923" s="55">
        <v>8.5182959999999994</v>
      </c>
      <c r="I4923" s="55">
        <v>10.288930000000001</v>
      </c>
      <c r="J4923" s="55">
        <v>6.1433900000000001</v>
      </c>
      <c r="K4923" s="55">
        <v>5.2023409999999997</v>
      </c>
      <c r="L4923" s="55">
        <v>7.2024410000000003</v>
      </c>
      <c r="M4923" s="55">
        <v>11.7828</v>
      </c>
      <c r="N4923" s="55">
        <v>17.853860000000001</v>
      </c>
    </row>
    <row r="4924" spans="1:14" hidden="1" x14ac:dyDescent="0.35">
      <c r="A4924" s="52" t="s">
        <v>671</v>
      </c>
      <c r="B4924" s="52" t="s">
        <v>37</v>
      </c>
      <c r="C4924" s="52" t="s">
        <v>35</v>
      </c>
      <c r="D4924" s="52" t="s">
        <v>39</v>
      </c>
      <c r="E4924" s="52" t="s">
        <v>582</v>
      </c>
      <c r="F4924" s="52" t="s">
        <v>581</v>
      </c>
      <c r="G4924" s="55" t="s">
        <v>279</v>
      </c>
      <c r="H4924" s="55">
        <v>60.51294</v>
      </c>
      <c r="I4924" s="55">
        <v>53.097650000000002</v>
      </c>
      <c r="J4924" s="55">
        <v>48.830570000000002</v>
      </c>
      <c r="K4924" s="55">
        <v>43.923690000000001</v>
      </c>
      <c r="L4924" s="55">
        <v>41.717640000000003</v>
      </c>
      <c r="M4924" s="55">
        <v>48.203539999999997</v>
      </c>
      <c r="N4924" s="55">
        <v>51.979640000000003</v>
      </c>
    </row>
    <row r="4925" spans="1:14" hidden="1" x14ac:dyDescent="0.35">
      <c r="A4925" s="52" t="s">
        <v>671</v>
      </c>
      <c r="B4925" s="52" t="s">
        <v>37</v>
      </c>
      <c r="C4925" s="52" t="s">
        <v>35</v>
      </c>
      <c r="D4925" s="52" t="s">
        <v>39</v>
      </c>
      <c r="E4925" s="52" t="s">
        <v>582</v>
      </c>
      <c r="F4925" s="52" t="s">
        <v>26</v>
      </c>
      <c r="G4925" s="55" t="s">
        <v>275</v>
      </c>
      <c r="H4925" s="55">
        <v>-12.107329999999999</v>
      </c>
      <c r="I4925" s="55">
        <v>-7.9894020000000001</v>
      </c>
      <c r="J4925" s="55">
        <v>-2.9465340000000002</v>
      </c>
      <c r="K4925" s="55">
        <v>-6.7007040000000004E-2</v>
      </c>
      <c r="L4925" s="55">
        <v>3.2507679999999999</v>
      </c>
      <c r="M4925" s="55">
        <v>5.1493339999999996</v>
      </c>
      <c r="N4925" s="55">
        <v>9.0699140000000007</v>
      </c>
    </row>
    <row r="4926" spans="1:14" hidden="1" x14ac:dyDescent="0.35">
      <c r="A4926" s="52" t="s">
        <v>671</v>
      </c>
      <c r="B4926" s="52" t="s">
        <v>37</v>
      </c>
      <c r="C4926" s="52" t="s">
        <v>35</v>
      </c>
      <c r="D4926" s="52" t="s">
        <v>39</v>
      </c>
      <c r="E4926" s="52" t="s">
        <v>582</v>
      </c>
      <c r="F4926" s="52" t="s">
        <v>26</v>
      </c>
      <c r="G4926" s="55" t="s">
        <v>276</v>
      </c>
      <c r="H4926" s="55">
        <v>-3.218407</v>
      </c>
      <c r="I4926" s="55">
        <v>-2.1237659999999998</v>
      </c>
      <c r="J4926" s="55">
        <v>-0.78325679999999998</v>
      </c>
      <c r="K4926" s="55">
        <v>-1.7814389999999999E-2</v>
      </c>
      <c r="L4926" s="55">
        <v>0.86413019999999996</v>
      </c>
      <c r="M4926" s="55">
        <v>1.3688100000000001</v>
      </c>
      <c r="N4926" s="55">
        <v>2.410987</v>
      </c>
    </row>
    <row r="4927" spans="1:14" hidden="1" x14ac:dyDescent="0.35">
      <c r="A4927" s="52" t="s">
        <v>671</v>
      </c>
      <c r="B4927" s="52" t="s">
        <v>37</v>
      </c>
      <c r="C4927" s="52" t="s">
        <v>35</v>
      </c>
      <c r="D4927" s="52" t="s">
        <v>39</v>
      </c>
      <c r="E4927" s="52" t="s">
        <v>582</v>
      </c>
      <c r="F4927" s="52" t="s">
        <v>26</v>
      </c>
      <c r="G4927" s="55" t="s">
        <v>279</v>
      </c>
      <c r="H4927" s="55">
        <v>22.935189999999999</v>
      </c>
      <c r="I4927" s="55">
        <v>22.014869999999998</v>
      </c>
      <c r="J4927" s="55">
        <v>20.610810000000001</v>
      </c>
      <c r="K4927" s="55">
        <v>19.075030000000002</v>
      </c>
      <c r="L4927" s="55">
        <v>18.829270000000001</v>
      </c>
      <c r="M4927" s="55">
        <v>21.456029999999998</v>
      </c>
      <c r="N4927" s="55">
        <v>23.38561</v>
      </c>
    </row>
    <row r="4928" spans="1:14" hidden="1" x14ac:dyDescent="0.35">
      <c r="A4928" s="52" t="s">
        <v>671</v>
      </c>
      <c r="B4928" s="52" t="s">
        <v>37</v>
      </c>
      <c r="C4928" s="52" t="s">
        <v>35</v>
      </c>
      <c r="D4928" s="52" t="s">
        <v>39</v>
      </c>
      <c r="E4928" s="52" t="s">
        <v>580</v>
      </c>
      <c r="F4928" s="52" t="s">
        <v>581</v>
      </c>
      <c r="G4928" s="55" t="s">
        <v>275</v>
      </c>
      <c r="H4928" s="55">
        <v>-75.018410000000003</v>
      </c>
      <c r="I4928" s="55">
        <v>-5.736955</v>
      </c>
      <c r="J4928" s="55">
        <v>26.548159999999999</v>
      </c>
      <c r="K4928" s="55">
        <v>30.312539999999998</v>
      </c>
      <c r="L4928" s="55">
        <v>31.4038</v>
      </c>
      <c r="M4928" s="55">
        <v>19.70965</v>
      </c>
      <c r="N4928" s="55">
        <v>14.57297</v>
      </c>
    </row>
    <row r="4929" spans="1:14" hidden="1" x14ac:dyDescent="0.35">
      <c r="A4929" s="52" t="s">
        <v>671</v>
      </c>
      <c r="B4929" s="52" t="s">
        <v>37</v>
      </c>
      <c r="C4929" s="52" t="s">
        <v>35</v>
      </c>
      <c r="D4929" s="52" t="s">
        <v>39</v>
      </c>
      <c r="E4929" s="52" t="s">
        <v>580</v>
      </c>
      <c r="F4929" s="52" t="s">
        <v>581</v>
      </c>
      <c r="G4929" s="55" t="s">
        <v>276</v>
      </c>
      <c r="H4929" s="55">
        <v>9.5518509999999992</v>
      </c>
      <c r="I4929" s="55">
        <v>-1.401953</v>
      </c>
      <c r="J4929" s="55">
        <v>-0.44588939999999999</v>
      </c>
      <c r="K4929" s="55">
        <v>-5.800465</v>
      </c>
      <c r="L4929" s="55">
        <v>-9.6087939999999996</v>
      </c>
      <c r="M4929" s="55">
        <v>-3.0972510000000002E-2</v>
      </c>
      <c r="N4929" s="55">
        <v>2.856506</v>
      </c>
    </row>
    <row r="4930" spans="1:14" hidden="1" x14ac:dyDescent="0.35">
      <c r="A4930" s="52" t="s">
        <v>671</v>
      </c>
      <c r="B4930" s="52" t="s">
        <v>37</v>
      </c>
      <c r="C4930" s="52" t="s">
        <v>35</v>
      </c>
      <c r="D4930" s="52" t="s">
        <v>39</v>
      </c>
      <c r="E4930" s="52" t="s">
        <v>580</v>
      </c>
      <c r="F4930" s="52" t="s">
        <v>581</v>
      </c>
      <c r="G4930" s="55" t="s">
        <v>277</v>
      </c>
      <c r="H4930" s="55">
        <v>143.38900000000001</v>
      </c>
      <c r="I4930" s="55">
        <v>43.849910000000001</v>
      </c>
      <c r="J4930" s="55">
        <v>11.41377</v>
      </c>
      <c r="K4930" s="55">
        <v>7.237997</v>
      </c>
      <c r="L4930" s="55">
        <v>7.8372450000000002</v>
      </c>
      <c r="M4930" s="55">
        <v>5.6529769999999999</v>
      </c>
      <c r="N4930" s="55">
        <v>5.9791639999999999</v>
      </c>
    </row>
    <row r="4931" spans="1:14" hidden="1" x14ac:dyDescent="0.35">
      <c r="A4931" s="52" t="s">
        <v>671</v>
      </c>
      <c r="B4931" s="52" t="s">
        <v>37</v>
      </c>
      <c r="C4931" s="52" t="s">
        <v>35</v>
      </c>
      <c r="D4931" s="52" t="s">
        <v>39</v>
      </c>
      <c r="E4931" s="52" t="s">
        <v>580</v>
      </c>
      <c r="F4931" s="52" t="s">
        <v>581</v>
      </c>
      <c r="G4931" s="55" t="s">
        <v>278</v>
      </c>
      <c r="H4931" s="55">
        <v>16.78491</v>
      </c>
      <c r="I4931" s="55">
        <v>6.3787760000000002</v>
      </c>
      <c r="J4931" s="55">
        <v>2.8868130000000001</v>
      </c>
      <c r="K4931" s="55">
        <v>0.91513199999999995</v>
      </c>
      <c r="L4931" s="55">
        <v>8.0842399999999995E-2</v>
      </c>
      <c r="M4931" s="55">
        <v>0</v>
      </c>
      <c r="N4931" s="55"/>
    </row>
    <row r="4932" spans="1:14" hidden="1" x14ac:dyDescent="0.35">
      <c r="A4932" s="52" t="s">
        <v>671</v>
      </c>
      <c r="B4932" s="52" t="s">
        <v>37</v>
      </c>
      <c r="C4932" s="52" t="s">
        <v>35</v>
      </c>
      <c r="D4932" s="52" t="s">
        <v>39</v>
      </c>
      <c r="E4932" s="52" t="s">
        <v>580</v>
      </c>
      <c r="F4932" s="52" t="s">
        <v>581</v>
      </c>
      <c r="G4932" s="55" t="s">
        <v>279</v>
      </c>
      <c r="H4932" s="55">
        <v>33.931280000000001</v>
      </c>
      <c r="I4932" s="55">
        <v>30.823419999999999</v>
      </c>
      <c r="J4932" s="55">
        <v>26.858609999999999</v>
      </c>
      <c r="K4932" s="55">
        <v>22.860759999999999</v>
      </c>
      <c r="L4932" s="55">
        <v>19.445219999999999</v>
      </c>
      <c r="M4932" s="55">
        <v>19.78736</v>
      </c>
      <c r="N4932" s="55">
        <v>17.941279999999999</v>
      </c>
    </row>
    <row r="4933" spans="1:14" hidden="1" x14ac:dyDescent="0.35">
      <c r="A4933" s="52" t="s">
        <v>671</v>
      </c>
      <c r="B4933" s="52" t="s">
        <v>37</v>
      </c>
      <c r="C4933" s="52" t="s">
        <v>35</v>
      </c>
      <c r="D4933" s="52" t="s">
        <v>39</v>
      </c>
      <c r="E4933" s="52" t="s">
        <v>580</v>
      </c>
      <c r="F4933" s="52" t="s">
        <v>26</v>
      </c>
      <c r="G4933" s="55" t="s">
        <v>275</v>
      </c>
      <c r="H4933" s="55">
        <v>-11.32338</v>
      </c>
      <c r="I4933" s="55">
        <v>-7.7574829999999997</v>
      </c>
      <c r="J4933" s="55">
        <v>-2.714947</v>
      </c>
      <c r="K4933" s="55">
        <v>-8.9975100000000002E-2</v>
      </c>
      <c r="L4933" s="55">
        <v>2.503997</v>
      </c>
      <c r="M4933" s="55">
        <v>3.5239699999999998</v>
      </c>
      <c r="N4933" s="55">
        <v>5.2350380000000003</v>
      </c>
    </row>
    <row r="4934" spans="1:14" hidden="1" x14ac:dyDescent="0.35">
      <c r="A4934" s="52" t="s">
        <v>671</v>
      </c>
      <c r="B4934" s="52" t="s">
        <v>37</v>
      </c>
      <c r="C4934" s="52" t="s">
        <v>35</v>
      </c>
      <c r="D4934" s="52" t="s">
        <v>39</v>
      </c>
      <c r="E4934" s="52" t="s">
        <v>580</v>
      </c>
      <c r="F4934" s="52" t="s">
        <v>26</v>
      </c>
      <c r="G4934" s="55" t="s">
        <v>276</v>
      </c>
      <c r="H4934" s="55">
        <v>-3.0100120000000001</v>
      </c>
      <c r="I4934" s="55">
        <v>-2.0621139999999998</v>
      </c>
      <c r="J4934" s="55">
        <v>-0.72169550000000005</v>
      </c>
      <c r="K4934" s="55">
        <v>-2.3917290000000001E-2</v>
      </c>
      <c r="L4934" s="55">
        <v>0.66562010000000005</v>
      </c>
      <c r="M4934" s="55">
        <v>0.93675180000000002</v>
      </c>
      <c r="N4934" s="55">
        <v>1.3915919999999999</v>
      </c>
    </row>
    <row r="4935" spans="1:14" hidden="1" x14ac:dyDescent="0.35">
      <c r="A4935" s="52" t="s">
        <v>671</v>
      </c>
      <c r="B4935" s="52" t="s">
        <v>37</v>
      </c>
      <c r="C4935" s="52" t="s">
        <v>35</v>
      </c>
      <c r="D4935" s="52" t="s">
        <v>39</v>
      </c>
      <c r="E4935" s="52" t="s">
        <v>580</v>
      </c>
      <c r="F4935" s="52" t="s">
        <v>26</v>
      </c>
      <c r="G4935" s="55" t="s">
        <v>279</v>
      </c>
      <c r="H4935" s="55">
        <v>21.43055</v>
      </c>
      <c r="I4935" s="55">
        <v>21.317959999999999</v>
      </c>
      <c r="J4935" s="55">
        <v>18.898520000000001</v>
      </c>
      <c r="K4935" s="55">
        <v>16.56503</v>
      </c>
      <c r="L4935" s="55">
        <v>14.63499</v>
      </c>
      <c r="M4935" s="55">
        <v>14.67517</v>
      </c>
      <c r="N4935" s="55">
        <v>13.44013</v>
      </c>
    </row>
    <row r="4936" spans="1:14" hidden="1" x14ac:dyDescent="0.35">
      <c r="A4936" s="52" t="s">
        <v>671</v>
      </c>
      <c r="B4936" s="52" t="s">
        <v>37</v>
      </c>
      <c r="C4936" s="52" t="s">
        <v>35</v>
      </c>
      <c r="D4936" s="52" t="s">
        <v>38</v>
      </c>
      <c r="E4936" s="52" t="s">
        <v>582</v>
      </c>
      <c r="F4936" s="52" t="s">
        <v>581</v>
      </c>
      <c r="G4936" s="55" t="s">
        <v>275</v>
      </c>
      <c r="H4936" s="55">
        <v>44.080710000000003</v>
      </c>
      <c r="I4936" s="55">
        <v>15.932410000000001</v>
      </c>
      <c r="J4936" s="55">
        <v>11.6899</v>
      </c>
      <c r="K4936" s="55">
        <v>10.72953</v>
      </c>
      <c r="L4936" s="55">
        <v>9.3088929999999994</v>
      </c>
      <c r="M4936" s="55">
        <v>6.3020139999999998</v>
      </c>
      <c r="N4936" s="55">
        <v>6.4710150000000004</v>
      </c>
    </row>
    <row r="4937" spans="1:14" hidden="1" x14ac:dyDescent="0.35">
      <c r="A4937" s="52" t="s">
        <v>671</v>
      </c>
      <c r="B4937" s="52" t="s">
        <v>37</v>
      </c>
      <c r="C4937" s="52" t="s">
        <v>35</v>
      </c>
      <c r="D4937" s="52" t="s">
        <v>38</v>
      </c>
      <c r="E4937" s="52" t="s">
        <v>582</v>
      </c>
      <c r="F4937" s="52" t="s">
        <v>581</v>
      </c>
      <c r="G4937" s="55" t="s">
        <v>276</v>
      </c>
      <c r="H4937" s="55">
        <v>6.3252389999999998</v>
      </c>
      <c r="I4937" s="55">
        <v>3.170242</v>
      </c>
      <c r="J4937" s="55">
        <v>2.2554910000000001</v>
      </c>
      <c r="K4937" s="55">
        <v>1.8622050000000001</v>
      </c>
      <c r="L4937" s="55">
        <v>2.3652639999999998</v>
      </c>
      <c r="M4937" s="55">
        <v>3.2416079999999998</v>
      </c>
      <c r="N4937" s="55">
        <v>2.834298</v>
      </c>
    </row>
    <row r="4938" spans="1:14" hidden="1" x14ac:dyDescent="0.35">
      <c r="A4938" s="52" t="s">
        <v>671</v>
      </c>
      <c r="B4938" s="52" t="s">
        <v>37</v>
      </c>
      <c r="C4938" s="52" t="s">
        <v>35</v>
      </c>
      <c r="D4938" s="52" t="s">
        <v>38</v>
      </c>
      <c r="E4938" s="52" t="s">
        <v>582</v>
      </c>
      <c r="F4938" s="52" t="s">
        <v>581</v>
      </c>
      <c r="G4938" s="55" t="s">
        <v>277</v>
      </c>
      <c r="H4938" s="55">
        <v>13.318820000000001</v>
      </c>
      <c r="I4938" s="55">
        <v>2.6351580000000001</v>
      </c>
      <c r="J4938" s="55">
        <v>2.7478790000000002</v>
      </c>
      <c r="K4938" s="55">
        <v>3.0022229999999999</v>
      </c>
      <c r="L4938" s="55">
        <v>3.835896</v>
      </c>
      <c r="M4938" s="55">
        <v>4.8419090000000002</v>
      </c>
      <c r="N4938" s="55">
        <v>5.491428</v>
      </c>
    </row>
    <row r="4939" spans="1:14" hidden="1" x14ac:dyDescent="0.35">
      <c r="A4939" s="52" t="s">
        <v>671</v>
      </c>
      <c r="B4939" s="52" t="s">
        <v>37</v>
      </c>
      <c r="C4939" s="52" t="s">
        <v>35</v>
      </c>
      <c r="D4939" s="52" t="s">
        <v>38</v>
      </c>
      <c r="E4939" s="52" t="s">
        <v>582</v>
      </c>
      <c r="F4939" s="52" t="s">
        <v>581</v>
      </c>
      <c r="G4939" s="55" t="s">
        <v>278</v>
      </c>
      <c r="H4939" s="55">
        <v>3.5295770000000002</v>
      </c>
      <c r="I4939" s="55">
        <v>0</v>
      </c>
      <c r="J4939" s="55">
        <v>4.3840479999999999</v>
      </c>
      <c r="K4939" s="55">
        <v>5.5251070000000002</v>
      </c>
      <c r="L4939" s="55">
        <v>7.4606139999999996</v>
      </c>
      <c r="M4939" s="55">
        <v>8.4095999999999993</v>
      </c>
      <c r="N4939" s="55">
        <v>8.9485399999999995</v>
      </c>
    </row>
    <row r="4940" spans="1:14" hidden="1" x14ac:dyDescent="0.35">
      <c r="A4940" s="52" t="s">
        <v>671</v>
      </c>
      <c r="B4940" s="52" t="s">
        <v>37</v>
      </c>
      <c r="C4940" s="52" t="s">
        <v>35</v>
      </c>
      <c r="D4940" s="52" t="s">
        <v>38</v>
      </c>
      <c r="E4940" s="52" t="s">
        <v>582</v>
      </c>
      <c r="F4940" s="52" t="s">
        <v>581</v>
      </c>
      <c r="G4940" s="55" t="s">
        <v>279</v>
      </c>
      <c r="H4940" s="55">
        <v>23.85736</v>
      </c>
      <c r="I4940" s="55">
        <v>15.30927</v>
      </c>
      <c r="J4940" s="55">
        <v>13.98488</v>
      </c>
      <c r="K4940" s="55">
        <v>14.58675</v>
      </c>
      <c r="L4940" s="55">
        <v>14.64931</v>
      </c>
      <c r="M4940" s="55">
        <v>17.56457</v>
      </c>
      <c r="N4940" s="55">
        <v>18.099229999999999</v>
      </c>
    </row>
    <row r="4941" spans="1:14" hidden="1" x14ac:dyDescent="0.35">
      <c r="A4941" s="52" t="s">
        <v>671</v>
      </c>
      <c r="B4941" s="52" t="s">
        <v>37</v>
      </c>
      <c r="C4941" s="52" t="s">
        <v>35</v>
      </c>
      <c r="D4941" s="52" t="s">
        <v>38</v>
      </c>
      <c r="E4941" s="52" t="s">
        <v>582</v>
      </c>
      <c r="F4941" s="52" t="s">
        <v>26</v>
      </c>
      <c r="G4941" s="55" t="s">
        <v>275</v>
      </c>
      <c r="H4941" s="55">
        <v>-4.7475069999999997</v>
      </c>
      <c r="I4941" s="55">
        <v>-2.2964380000000002</v>
      </c>
      <c r="J4941" s="55">
        <v>-0.84846759999999999</v>
      </c>
      <c r="K4941" s="55">
        <v>-2.6831689999999998E-2</v>
      </c>
      <c r="L4941" s="55">
        <v>1.1654960000000001</v>
      </c>
      <c r="M4941" s="55">
        <v>1.8812549999999999</v>
      </c>
      <c r="N4941" s="55">
        <v>3.1584120000000002</v>
      </c>
    </row>
    <row r="4942" spans="1:14" hidden="1" x14ac:dyDescent="0.35">
      <c r="A4942" s="52" t="s">
        <v>671</v>
      </c>
      <c r="B4942" s="52" t="s">
        <v>37</v>
      </c>
      <c r="C4942" s="52" t="s">
        <v>35</v>
      </c>
      <c r="D4942" s="52" t="s">
        <v>38</v>
      </c>
      <c r="E4942" s="52" t="s">
        <v>582</v>
      </c>
      <c r="F4942" s="52" t="s">
        <v>26</v>
      </c>
      <c r="G4942" s="55" t="s">
        <v>276</v>
      </c>
      <c r="H4942" s="55">
        <v>-1.261995</v>
      </c>
      <c r="I4942" s="55">
        <v>-0.61044560000000003</v>
      </c>
      <c r="J4942" s="55">
        <v>-0.22554250000000001</v>
      </c>
      <c r="K4942" s="55">
        <v>-7.1320979999999999E-3</v>
      </c>
      <c r="L4942" s="55">
        <v>0.30981589999999998</v>
      </c>
      <c r="M4942" s="55">
        <v>0.50008070000000004</v>
      </c>
      <c r="N4942" s="55">
        <v>0.83957789999999999</v>
      </c>
    </row>
    <row r="4943" spans="1:14" hidden="1" x14ac:dyDescent="0.35">
      <c r="A4943" s="52" t="s">
        <v>671</v>
      </c>
      <c r="B4943" s="52" t="s">
        <v>37</v>
      </c>
      <c r="C4943" s="52" t="s">
        <v>35</v>
      </c>
      <c r="D4943" s="52" t="s">
        <v>38</v>
      </c>
      <c r="E4943" s="52" t="s">
        <v>582</v>
      </c>
      <c r="F4943" s="52" t="s">
        <v>26</v>
      </c>
      <c r="G4943" s="55" t="s">
        <v>279</v>
      </c>
      <c r="H4943" s="55">
        <v>8.9933069999999997</v>
      </c>
      <c r="I4943" s="55">
        <v>6.3262210000000003</v>
      </c>
      <c r="J4943" s="55">
        <v>5.8882750000000001</v>
      </c>
      <c r="K4943" s="55">
        <v>6.3167929999999997</v>
      </c>
      <c r="L4943" s="55">
        <v>6.5901889999999996</v>
      </c>
      <c r="M4943" s="55">
        <v>7.7864880000000003</v>
      </c>
      <c r="N4943" s="55">
        <v>8.1107940000000003</v>
      </c>
    </row>
    <row r="4944" spans="1:14" hidden="1" x14ac:dyDescent="0.35">
      <c r="A4944" s="52" t="s">
        <v>671</v>
      </c>
      <c r="B4944" s="52" t="s">
        <v>37</v>
      </c>
      <c r="C4944" s="52" t="s">
        <v>35</v>
      </c>
      <c r="D4944" s="52" t="s">
        <v>38</v>
      </c>
      <c r="E4944" s="52" t="s">
        <v>584</v>
      </c>
      <c r="F4944" s="52" t="s">
        <v>581</v>
      </c>
      <c r="G4944" s="55" t="s">
        <v>275</v>
      </c>
      <c r="H4944" s="55">
        <v>30.25189</v>
      </c>
      <c r="I4944" s="55">
        <v>13.77567</v>
      </c>
      <c r="J4944" s="55">
        <v>10.63776</v>
      </c>
      <c r="K4944" s="55">
        <v>10.153370000000001</v>
      </c>
      <c r="L4944" s="55">
        <v>9.7256009999999993</v>
      </c>
      <c r="M4944" s="55">
        <v>9.5836869999999994</v>
      </c>
      <c r="N4944" s="55">
        <v>9.4772169999999996</v>
      </c>
    </row>
    <row r="4945" spans="1:14" hidden="1" x14ac:dyDescent="0.35">
      <c r="A4945" s="52" t="s">
        <v>671</v>
      </c>
      <c r="B4945" s="52" t="s">
        <v>37</v>
      </c>
      <c r="C4945" s="52" t="s">
        <v>35</v>
      </c>
      <c r="D4945" s="52" t="s">
        <v>38</v>
      </c>
      <c r="E4945" s="52" t="s">
        <v>584</v>
      </c>
      <c r="F4945" s="52" t="s">
        <v>581</v>
      </c>
      <c r="G4945" s="55" t="s">
        <v>276</v>
      </c>
      <c r="H4945" s="55">
        <v>6.4432660000000004</v>
      </c>
      <c r="I4945" s="55">
        <v>-0.55398820000000004</v>
      </c>
      <c r="J4945" s="55">
        <v>2.8277600000000001</v>
      </c>
      <c r="K4945" s="55">
        <v>2.6989969999999999</v>
      </c>
      <c r="L4945" s="55">
        <v>2.5852870000000001</v>
      </c>
      <c r="M4945" s="55">
        <v>2.5475620000000001</v>
      </c>
      <c r="N4945" s="55">
        <v>2.5192600000000001</v>
      </c>
    </row>
    <row r="4946" spans="1:14" hidden="1" x14ac:dyDescent="0.35">
      <c r="A4946" s="52" t="s">
        <v>671</v>
      </c>
      <c r="B4946" s="52" t="s">
        <v>37</v>
      </c>
      <c r="C4946" s="52" t="s">
        <v>35</v>
      </c>
      <c r="D4946" s="52" t="s">
        <v>38</v>
      </c>
      <c r="E4946" s="52" t="s">
        <v>584</v>
      </c>
      <c r="F4946" s="52" t="s">
        <v>581</v>
      </c>
      <c r="G4946" s="55" t="s">
        <v>277</v>
      </c>
      <c r="H4946" s="55"/>
      <c r="I4946" s="55">
        <v>0</v>
      </c>
      <c r="J4946" s="55"/>
      <c r="K4946" s="55"/>
      <c r="L4946" s="55"/>
      <c r="M4946" s="55"/>
      <c r="N4946" s="55"/>
    </row>
    <row r="4947" spans="1:14" hidden="1" x14ac:dyDescent="0.35">
      <c r="A4947" s="52" t="s">
        <v>671</v>
      </c>
      <c r="B4947" s="52" t="s">
        <v>37</v>
      </c>
      <c r="C4947" s="52" t="s">
        <v>35</v>
      </c>
      <c r="D4947" s="52" t="s">
        <v>38</v>
      </c>
      <c r="E4947" s="52" t="s">
        <v>584</v>
      </c>
      <c r="F4947" s="52" t="s">
        <v>581</v>
      </c>
      <c r="G4947" s="55" t="s">
        <v>279</v>
      </c>
      <c r="H4947" s="55">
        <v>15.91873</v>
      </c>
      <c r="I4947" s="55">
        <v>11.69097</v>
      </c>
      <c r="J4947" s="55">
        <v>11.05781</v>
      </c>
      <c r="K4947" s="55">
        <v>11.59825</v>
      </c>
      <c r="L4947" s="55">
        <v>11.92146</v>
      </c>
      <c r="M4947" s="55">
        <v>11.378579999999999</v>
      </c>
      <c r="N4947" s="55">
        <v>10.923120000000001</v>
      </c>
    </row>
    <row r="4948" spans="1:14" hidden="1" x14ac:dyDescent="0.35">
      <c r="A4948" s="52" t="s">
        <v>671</v>
      </c>
      <c r="B4948" s="52" t="s">
        <v>37</v>
      </c>
      <c r="C4948" s="52" t="s">
        <v>35</v>
      </c>
      <c r="D4948" s="52" t="s">
        <v>38</v>
      </c>
      <c r="E4948" s="52" t="s">
        <v>584</v>
      </c>
      <c r="F4948" s="52" t="s">
        <v>26</v>
      </c>
      <c r="G4948" s="55" t="s">
        <v>275</v>
      </c>
      <c r="H4948" s="55">
        <v>-10.26038</v>
      </c>
      <c r="I4948" s="55">
        <v>-6.117883</v>
      </c>
      <c r="J4948" s="55">
        <v>-2.9583970000000002</v>
      </c>
      <c r="K4948" s="55">
        <v>-1.5077480000000001</v>
      </c>
      <c r="L4948" s="55">
        <v>-6.2225580000000003E-2</v>
      </c>
      <c r="M4948" s="55">
        <v>1.78925</v>
      </c>
      <c r="N4948" s="55">
        <v>3.324214</v>
      </c>
    </row>
    <row r="4949" spans="1:14" hidden="1" x14ac:dyDescent="0.35">
      <c r="A4949" s="52" t="s">
        <v>671</v>
      </c>
      <c r="B4949" s="52" t="s">
        <v>37</v>
      </c>
      <c r="C4949" s="52" t="s">
        <v>35</v>
      </c>
      <c r="D4949" s="52" t="s">
        <v>38</v>
      </c>
      <c r="E4949" s="52" t="s">
        <v>584</v>
      </c>
      <c r="F4949" s="52" t="s">
        <v>26</v>
      </c>
      <c r="G4949" s="55" t="s">
        <v>276</v>
      </c>
      <c r="H4949" s="55">
        <v>-2.7274419999999999</v>
      </c>
      <c r="I4949" s="55">
        <v>-1.6262730000000001</v>
      </c>
      <c r="J4949" s="55">
        <v>-0.78641050000000001</v>
      </c>
      <c r="K4949" s="55">
        <v>-0.40079389999999998</v>
      </c>
      <c r="L4949" s="55">
        <v>-1.6541299999999998E-2</v>
      </c>
      <c r="M4949" s="55">
        <v>0.47562320000000002</v>
      </c>
      <c r="N4949" s="55">
        <v>0.88365210000000005</v>
      </c>
    </row>
    <row r="4950" spans="1:14" hidden="1" x14ac:dyDescent="0.35">
      <c r="A4950" s="52" t="s">
        <v>671</v>
      </c>
      <c r="B4950" s="52" t="s">
        <v>37</v>
      </c>
      <c r="C4950" s="52" t="s">
        <v>35</v>
      </c>
      <c r="D4950" s="52" t="s">
        <v>38</v>
      </c>
      <c r="E4950" s="52" t="s">
        <v>584</v>
      </c>
      <c r="F4950" s="52" t="s">
        <v>26</v>
      </c>
      <c r="G4950" s="55" t="s">
        <v>279</v>
      </c>
      <c r="H4950" s="55">
        <v>18.577200000000001</v>
      </c>
      <c r="I4950" s="55">
        <v>15.316179999999999</v>
      </c>
      <c r="J4950" s="55">
        <v>14.317550000000001</v>
      </c>
      <c r="K4950" s="55">
        <v>14.829000000000001</v>
      </c>
      <c r="L4950" s="55">
        <v>14.905659999999999</v>
      </c>
      <c r="M4950" s="55">
        <v>13.776210000000001</v>
      </c>
      <c r="N4950" s="55">
        <v>12.77162</v>
      </c>
    </row>
    <row r="4951" spans="1:14" hidden="1" x14ac:dyDescent="0.35">
      <c r="A4951" s="52" t="s">
        <v>671</v>
      </c>
      <c r="B4951" s="52" t="s">
        <v>37</v>
      </c>
      <c r="C4951" s="52" t="s">
        <v>105</v>
      </c>
      <c r="D4951" s="52" t="s">
        <v>105</v>
      </c>
      <c r="E4951" s="52" t="s">
        <v>633</v>
      </c>
      <c r="F4951" s="52" t="s">
        <v>581</v>
      </c>
      <c r="G4951" s="55" t="s">
        <v>275</v>
      </c>
      <c r="H4951" s="55">
        <v>110.51049999999999</v>
      </c>
      <c r="I4951" s="55">
        <v>38.038550000000001</v>
      </c>
      <c r="J4951" s="55">
        <v>34.137309999999999</v>
      </c>
      <c r="K4951" s="55">
        <v>30.84442</v>
      </c>
      <c r="L4951" s="55">
        <v>29.42755</v>
      </c>
      <c r="M4951" s="55">
        <v>25.543289999999999</v>
      </c>
      <c r="N4951" s="55">
        <v>23.473559999999999</v>
      </c>
    </row>
    <row r="4952" spans="1:14" hidden="1" x14ac:dyDescent="0.35">
      <c r="A4952" s="52" t="s">
        <v>671</v>
      </c>
      <c r="B4952" s="52" t="s">
        <v>37</v>
      </c>
      <c r="C4952" s="52" t="s">
        <v>105</v>
      </c>
      <c r="D4952" s="52" t="s">
        <v>105</v>
      </c>
      <c r="E4952" s="52" t="s">
        <v>633</v>
      </c>
      <c r="F4952" s="52" t="s">
        <v>581</v>
      </c>
      <c r="G4952" s="55" t="s">
        <v>276</v>
      </c>
      <c r="H4952" s="55">
        <v>38.305129999999998</v>
      </c>
      <c r="I4952" s="55">
        <v>13.18493</v>
      </c>
      <c r="J4952" s="55">
        <v>11.83268</v>
      </c>
      <c r="K4952" s="55">
        <v>10.69129</v>
      </c>
      <c r="L4952" s="55">
        <v>10.20018</v>
      </c>
      <c r="M4952" s="55">
        <v>8.8538169999999994</v>
      </c>
      <c r="N4952" s="55">
        <v>8.1364000000000001</v>
      </c>
    </row>
    <row r="4953" spans="1:14" hidden="1" x14ac:dyDescent="0.35">
      <c r="A4953" s="52" t="s">
        <v>671</v>
      </c>
      <c r="B4953" s="52" t="s">
        <v>37</v>
      </c>
      <c r="C4953" s="52" t="s">
        <v>105</v>
      </c>
      <c r="D4953" s="52" t="s">
        <v>105</v>
      </c>
      <c r="E4953" s="52" t="s">
        <v>633</v>
      </c>
      <c r="F4953" s="52" t="s">
        <v>581</v>
      </c>
      <c r="G4953" s="55" t="s">
        <v>279</v>
      </c>
      <c r="H4953" s="55">
        <v>47.156480000000002</v>
      </c>
      <c r="I4953" s="55">
        <v>31.668399999999998</v>
      </c>
      <c r="J4953" s="55">
        <v>27.174589999999998</v>
      </c>
      <c r="K4953" s="55">
        <v>25.851510000000001</v>
      </c>
      <c r="L4953" s="55">
        <v>23.787790000000001</v>
      </c>
      <c r="M4953" s="55">
        <v>24.077860000000001</v>
      </c>
      <c r="N4953" s="55">
        <v>21.981339999999999</v>
      </c>
    </row>
    <row r="4954" spans="1:14" hidden="1" x14ac:dyDescent="0.35">
      <c r="A4954" s="52" t="s">
        <v>671</v>
      </c>
      <c r="B4954" s="52" t="s">
        <v>37</v>
      </c>
      <c r="C4954" s="52" t="s">
        <v>105</v>
      </c>
      <c r="D4954" s="52" t="s">
        <v>105</v>
      </c>
      <c r="E4954" s="52" t="s">
        <v>633</v>
      </c>
      <c r="F4954" s="52" t="s">
        <v>26</v>
      </c>
      <c r="G4954" s="55" t="s">
        <v>275</v>
      </c>
      <c r="H4954" s="55">
        <v>7.8681960000000002</v>
      </c>
      <c r="I4954" s="55">
        <v>35.64649</v>
      </c>
      <c r="J4954" s="55">
        <v>36.541029999999999</v>
      </c>
      <c r="K4954" s="55">
        <v>23.5854</v>
      </c>
      <c r="L4954" s="55">
        <v>13.83522</v>
      </c>
      <c r="M4954" s="55">
        <v>8.9689940000000004</v>
      </c>
      <c r="N4954" s="55">
        <v>8.2539960000000008</v>
      </c>
    </row>
    <row r="4955" spans="1:14" hidden="1" x14ac:dyDescent="0.35">
      <c r="A4955" s="52" t="s">
        <v>671</v>
      </c>
      <c r="B4955" s="52" t="s">
        <v>37</v>
      </c>
      <c r="C4955" s="52" t="s">
        <v>105</v>
      </c>
      <c r="D4955" s="52" t="s">
        <v>105</v>
      </c>
      <c r="E4955" s="52" t="s">
        <v>633</v>
      </c>
      <c r="F4955" s="52" t="s">
        <v>26</v>
      </c>
      <c r="G4955" s="55" t="s">
        <v>276</v>
      </c>
      <c r="H4955" s="55">
        <v>-33.249389999999998</v>
      </c>
      <c r="I4955" s="55">
        <v>-19.96509</v>
      </c>
      <c r="J4955" s="55">
        <v>-20.542470000000002</v>
      </c>
      <c r="K4955" s="55">
        <v>-13.035119999999999</v>
      </c>
      <c r="L4955" s="55">
        <v>-2.4417620000000002</v>
      </c>
      <c r="M4955" s="55">
        <v>1.9611190000000001</v>
      </c>
      <c r="N4955" s="55">
        <v>1.6854359999999999</v>
      </c>
    </row>
    <row r="4956" spans="1:14" hidden="1" x14ac:dyDescent="0.35">
      <c r="A4956" s="52" t="s">
        <v>671</v>
      </c>
      <c r="B4956" s="52" t="s">
        <v>37</v>
      </c>
      <c r="C4956" s="52" t="s">
        <v>105</v>
      </c>
      <c r="D4956" s="52" t="s">
        <v>105</v>
      </c>
      <c r="E4956" s="52" t="s">
        <v>633</v>
      </c>
      <c r="F4956" s="52" t="s">
        <v>26</v>
      </c>
      <c r="G4956" s="55" t="s">
        <v>277</v>
      </c>
      <c r="H4956" s="55">
        <v>53.069710000000001</v>
      </c>
      <c r="I4956" s="55">
        <v>3.1235569999999999</v>
      </c>
      <c r="J4956" s="55">
        <v>5.3897040000000001</v>
      </c>
      <c r="K4956" s="55">
        <v>6.3758929999999996</v>
      </c>
      <c r="L4956" s="55">
        <v>4.1483309999999998</v>
      </c>
      <c r="M4956" s="55">
        <v>0</v>
      </c>
      <c r="N4956" s="55">
        <v>0</v>
      </c>
    </row>
    <row r="4957" spans="1:14" hidden="1" x14ac:dyDescent="0.35">
      <c r="A4957" s="52" t="s">
        <v>671</v>
      </c>
      <c r="B4957" s="52" t="s">
        <v>37</v>
      </c>
      <c r="C4957" s="52" t="s">
        <v>105</v>
      </c>
      <c r="D4957" s="52" t="s">
        <v>105</v>
      </c>
      <c r="E4957" s="52" t="s">
        <v>633</v>
      </c>
      <c r="F4957" s="52" t="s">
        <v>26</v>
      </c>
      <c r="G4957" s="55" t="s">
        <v>278</v>
      </c>
      <c r="H4957" s="55">
        <v>1.052632</v>
      </c>
      <c r="I4957" s="55">
        <v>0</v>
      </c>
      <c r="J4957" s="55"/>
      <c r="K4957" s="55"/>
      <c r="L4957" s="55"/>
      <c r="M4957" s="55"/>
      <c r="N4957" s="55"/>
    </row>
    <row r="4958" spans="1:14" hidden="1" x14ac:dyDescent="0.35">
      <c r="A4958" s="52" t="s">
        <v>671</v>
      </c>
      <c r="B4958" s="52" t="s">
        <v>37</v>
      </c>
      <c r="C4958" s="52" t="s">
        <v>105</v>
      </c>
      <c r="D4958" s="52" t="s">
        <v>105</v>
      </c>
      <c r="E4958" s="52" t="s">
        <v>633</v>
      </c>
      <c r="F4958" s="52" t="s">
        <v>26</v>
      </c>
      <c r="G4958" s="55" t="s">
        <v>279</v>
      </c>
      <c r="H4958" s="55">
        <v>81.847239999999999</v>
      </c>
      <c r="I4958" s="55">
        <v>62.89564</v>
      </c>
      <c r="J4958" s="55">
        <v>54.291980000000002</v>
      </c>
      <c r="K4958" s="55">
        <v>52.382599999999996</v>
      </c>
      <c r="L4958" s="55">
        <v>49.36074</v>
      </c>
      <c r="M4958" s="55">
        <v>48.65493</v>
      </c>
      <c r="N4958" s="55">
        <v>44.386150000000001</v>
      </c>
    </row>
    <row r="4959" spans="1:14" hidden="1" x14ac:dyDescent="0.35">
      <c r="A4959" s="52" t="s">
        <v>671</v>
      </c>
      <c r="B4959" s="52" t="s">
        <v>37</v>
      </c>
      <c r="C4959" s="52" t="s">
        <v>105</v>
      </c>
      <c r="D4959" s="52" t="s">
        <v>105</v>
      </c>
      <c r="E4959" s="52" t="s">
        <v>632</v>
      </c>
      <c r="F4959" s="52" t="s">
        <v>581</v>
      </c>
      <c r="G4959" s="55" t="s">
        <v>275</v>
      </c>
      <c r="H4959" s="55">
        <v>30.122969999999999</v>
      </c>
      <c r="I4959" s="55">
        <v>67.015079999999998</v>
      </c>
      <c r="J4959" s="55">
        <v>60.748269999999998</v>
      </c>
      <c r="K4959" s="55">
        <v>54.929400000000001</v>
      </c>
      <c r="L4959" s="55">
        <v>31.639209999999999</v>
      </c>
      <c r="M4959" s="55">
        <v>15.10636</v>
      </c>
      <c r="N4959" s="55">
        <v>-9.2647519999999997</v>
      </c>
    </row>
    <row r="4960" spans="1:14" hidden="1" x14ac:dyDescent="0.35">
      <c r="A4960" s="52" t="s">
        <v>671</v>
      </c>
      <c r="B4960" s="52" t="s">
        <v>37</v>
      </c>
      <c r="C4960" s="52" t="s">
        <v>105</v>
      </c>
      <c r="D4960" s="52" t="s">
        <v>105</v>
      </c>
      <c r="E4960" s="52" t="s">
        <v>632</v>
      </c>
      <c r="F4960" s="52" t="s">
        <v>581</v>
      </c>
      <c r="G4960" s="55" t="s">
        <v>276</v>
      </c>
      <c r="H4960" s="55">
        <v>4.7560739999999999</v>
      </c>
      <c r="I4960" s="55">
        <v>-21.182670000000002</v>
      </c>
      <c r="J4960" s="55">
        <v>-24.904959999999999</v>
      </c>
      <c r="K4960" s="55">
        <v>-27.54748</v>
      </c>
      <c r="L4960" s="55">
        <v>-6.950545</v>
      </c>
      <c r="M4960" s="55">
        <v>6.0821329999999998</v>
      </c>
      <c r="N4960" s="55">
        <v>5.6470190000000002</v>
      </c>
    </row>
    <row r="4961" spans="1:14" hidden="1" x14ac:dyDescent="0.35">
      <c r="A4961" s="52" t="s">
        <v>671</v>
      </c>
      <c r="B4961" s="52" t="s">
        <v>37</v>
      </c>
      <c r="C4961" s="52" t="s">
        <v>105</v>
      </c>
      <c r="D4961" s="52" t="s">
        <v>105</v>
      </c>
      <c r="E4961" s="52" t="s">
        <v>632</v>
      </c>
      <c r="F4961" s="52" t="s">
        <v>581</v>
      </c>
      <c r="G4961" s="55" t="s">
        <v>277</v>
      </c>
      <c r="H4961" s="55">
        <v>135.3058</v>
      </c>
      <c r="I4961" s="55">
        <v>2.6346759999999998</v>
      </c>
      <c r="J4961" s="55">
        <v>1.1867000000000001</v>
      </c>
      <c r="K4961" s="55">
        <v>1.4738039999999999</v>
      </c>
      <c r="L4961" s="55">
        <v>2.4270830000000001</v>
      </c>
      <c r="M4961" s="55">
        <v>3.883432</v>
      </c>
      <c r="N4961" s="55">
        <v>28.386009999999999</v>
      </c>
    </row>
    <row r="4962" spans="1:14" hidden="1" x14ac:dyDescent="0.35">
      <c r="A4962" s="52" t="s">
        <v>671</v>
      </c>
      <c r="B4962" s="52" t="s">
        <v>37</v>
      </c>
      <c r="C4962" s="52" t="s">
        <v>105</v>
      </c>
      <c r="D4962" s="52" t="s">
        <v>105</v>
      </c>
      <c r="E4962" s="52" t="s">
        <v>632</v>
      </c>
      <c r="F4962" s="52" t="s">
        <v>581</v>
      </c>
      <c r="G4962" s="55" t="s">
        <v>278</v>
      </c>
      <c r="H4962" s="55">
        <v>0</v>
      </c>
      <c r="I4962" s="55">
        <v>0</v>
      </c>
      <c r="J4962" s="55">
        <v>1.015247</v>
      </c>
      <c r="K4962" s="55">
        <v>3.7881870000000002</v>
      </c>
      <c r="L4962" s="55">
        <v>3.9769969999999999</v>
      </c>
      <c r="M4962" s="55">
        <v>2.920887</v>
      </c>
      <c r="N4962" s="55">
        <v>7.7459639999999998</v>
      </c>
    </row>
    <row r="4963" spans="1:14" hidden="1" x14ac:dyDescent="0.35">
      <c r="A4963" s="52" t="s">
        <v>671</v>
      </c>
      <c r="B4963" s="52" t="s">
        <v>37</v>
      </c>
      <c r="C4963" s="52" t="s">
        <v>105</v>
      </c>
      <c r="D4963" s="52" t="s">
        <v>105</v>
      </c>
      <c r="E4963" s="52" t="s">
        <v>632</v>
      </c>
      <c r="F4963" s="52" t="s">
        <v>581</v>
      </c>
      <c r="G4963" s="55" t="s">
        <v>279</v>
      </c>
      <c r="H4963" s="55">
        <v>50.015479999999997</v>
      </c>
      <c r="I4963" s="55">
        <v>27.645980000000002</v>
      </c>
      <c r="J4963" s="55">
        <v>20.86429</v>
      </c>
      <c r="K4963" s="55">
        <v>18.821380000000001</v>
      </c>
      <c r="L4963" s="55">
        <v>17.160979999999999</v>
      </c>
      <c r="M4963" s="55">
        <v>17.627749999999999</v>
      </c>
      <c r="N4963" s="55">
        <v>19.307189999999999</v>
      </c>
    </row>
    <row r="4964" spans="1:14" hidden="1" x14ac:dyDescent="0.35">
      <c r="A4964" s="52" t="s">
        <v>671</v>
      </c>
      <c r="B4964" s="52" t="s">
        <v>37</v>
      </c>
      <c r="C4964" s="52" t="s">
        <v>105</v>
      </c>
      <c r="D4964" s="52" t="s">
        <v>105</v>
      </c>
      <c r="E4964" s="52" t="s">
        <v>632</v>
      </c>
      <c r="F4964" s="52" t="s">
        <v>26</v>
      </c>
      <c r="G4964" s="55" t="s">
        <v>275</v>
      </c>
      <c r="H4964" s="55">
        <v>12.307510000000001</v>
      </c>
      <c r="I4964" s="55">
        <v>7.0433849999999998</v>
      </c>
      <c r="J4964" s="55">
        <v>6.8011470000000003</v>
      </c>
      <c r="K4964" s="55">
        <v>5.2748309999999998</v>
      </c>
      <c r="L4964" s="55">
        <v>4.9350500000000004</v>
      </c>
      <c r="M4964" s="55">
        <v>3.721228</v>
      </c>
      <c r="N4964" s="55">
        <v>4.2249780000000001</v>
      </c>
    </row>
    <row r="4965" spans="1:14" hidden="1" x14ac:dyDescent="0.35">
      <c r="A4965" s="52" t="s">
        <v>671</v>
      </c>
      <c r="B4965" s="52" t="s">
        <v>37</v>
      </c>
      <c r="C4965" s="52" t="s">
        <v>105</v>
      </c>
      <c r="D4965" s="52" t="s">
        <v>105</v>
      </c>
      <c r="E4965" s="52" t="s">
        <v>632</v>
      </c>
      <c r="F4965" s="52" t="s">
        <v>26</v>
      </c>
      <c r="G4965" s="55" t="s">
        <v>276</v>
      </c>
      <c r="H4965" s="55">
        <v>4.2660239999999998</v>
      </c>
      <c r="I4965" s="55">
        <v>2.441376</v>
      </c>
      <c r="J4965" s="55">
        <v>2.3574120000000001</v>
      </c>
      <c r="K4965" s="55">
        <v>1.828362</v>
      </c>
      <c r="L4965" s="55">
        <v>1.710588</v>
      </c>
      <c r="M4965" s="55">
        <v>1.2898540000000001</v>
      </c>
      <c r="N4965" s="55">
        <v>1.4644630000000001</v>
      </c>
    </row>
    <row r="4966" spans="1:14" hidden="1" x14ac:dyDescent="0.35">
      <c r="A4966" s="52" t="s">
        <v>671</v>
      </c>
      <c r="B4966" s="52" t="s">
        <v>37</v>
      </c>
      <c r="C4966" s="52" t="s">
        <v>105</v>
      </c>
      <c r="D4966" s="52" t="s">
        <v>105</v>
      </c>
      <c r="E4966" s="52" t="s">
        <v>632</v>
      </c>
      <c r="F4966" s="52" t="s">
        <v>26</v>
      </c>
      <c r="G4966" s="55" t="s">
        <v>279</v>
      </c>
      <c r="H4966" s="55">
        <v>38.191809999999997</v>
      </c>
      <c r="I4966" s="55">
        <v>25.012</v>
      </c>
      <c r="J4966" s="55">
        <v>19.016819999999999</v>
      </c>
      <c r="K4966" s="55">
        <v>17.353919999999999</v>
      </c>
      <c r="L4966" s="55">
        <v>16.111160000000002</v>
      </c>
      <c r="M4966" s="55">
        <v>16.202819999999999</v>
      </c>
      <c r="N4966" s="55">
        <v>17.62642</v>
      </c>
    </row>
    <row r="4967" spans="1:14" hidden="1" x14ac:dyDescent="0.35">
      <c r="A4967" s="52" t="s">
        <v>671</v>
      </c>
      <c r="B4967" s="52" t="s">
        <v>37</v>
      </c>
      <c r="C4967" s="52" t="s">
        <v>105</v>
      </c>
      <c r="D4967" s="52" t="s">
        <v>105</v>
      </c>
      <c r="E4967" s="52" t="s">
        <v>584</v>
      </c>
      <c r="F4967" s="52" t="s">
        <v>581</v>
      </c>
      <c r="G4967" s="55" t="s">
        <v>275</v>
      </c>
      <c r="H4967" s="55">
        <v>8.5580820000000006</v>
      </c>
      <c r="I4967" s="55">
        <v>1.6632290000000001</v>
      </c>
      <c r="J4967" s="55">
        <v>1.466545</v>
      </c>
      <c r="K4967" s="55">
        <v>0.9557968</v>
      </c>
      <c r="L4967" s="55">
        <v>0.73068469999999996</v>
      </c>
      <c r="M4967" s="55">
        <v>0.69077489999999997</v>
      </c>
      <c r="N4967" s="55">
        <v>0.65430350000000004</v>
      </c>
    </row>
    <row r="4968" spans="1:14" hidden="1" x14ac:dyDescent="0.35">
      <c r="A4968" s="52" t="s">
        <v>671</v>
      </c>
      <c r="B4968" s="52" t="s">
        <v>37</v>
      </c>
      <c r="C4968" s="52" t="s">
        <v>105</v>
      </c>
      <c r="D4968" s="52" t="s">
        <v>105</v>
      </c>
      <c r="E4968" s="52" t="s">
        <v>584</v>
      </c>
      <c r="F4968" s="52" t="s">
        <v>581</v>
      </c>
      <c r="G4968" s="55" t="s">
        <v>276</v>
      </c>
      <c r="H4968" s="55">
        <v>2.0029140000000001</v>
      </c>
      <c r="I4968" s="55">
        <v>0.21692339999999999</v>
      </c>
      <c r="J4968" s="55">
        <v>0.26387670000000002</v>
      </c>
      <c r="K4968" s="55">
        <v>0.32066729999999999</v>
      </c>
      <c r="L4968" s="55">
        <v>0.24640780000000001</v>
      </c>
      <c r="M4968" s="55">
        <v>0.2343731</v>
      </c>
      <c r="N4968" s="55">
        <v>0.2230451</v>
      </c>
    </row>
    <row r="4969" spans="1:14" hidden="1" x14ac:dyDescent="0.35">
      <c r="A4969" s="52" t="s">
        <v>671</v>
      </c>
      <c r="B4969" s="52" t="s">
        <v>37</v>
      </c>
      <c r="C4969" s="52" t="s">
        <v>105</v>
      </c>
      <c r="D4969" s="52" t="s">
        <v>105</v>
      </c>
      <c r="E4969" s="52" t="s">
        <v>584</v>
      </c>
      <c r="F4969" s="52" t="s">
        <v>581</v>
      </c>
      <c r="G4969" s="55" t="s">
        <v>277</v>
      </c>
      <c r="H4969" s="55"/>
      <c r="I4969" s="55">
        <v>0</v>
      </c>
      <c r="J4969" s="55"/>
      <c r="K4969" s="55"/>
      <c r="L4969" s="55"/>
      <c r="M4969" s="55"/>
      <c r="N4969" s="55"/>
    </row>
    <row r="4970" spans="1:14" hidden="1" x14ac:dyDescent="0.35">
      <c r="A4970" s="52" t="s">
        <v>671</v>
      </c>
      <c r="B4970" s="52" t="s">
        <v>37</v>
      </c>
      <c r="C4970" s="52" t="s">
        <v>105</v>
      </c>
      <c r="D4970" s="52" t="s">
        <v>105</v>
      </c>
      <c r="E4970" s="52" t="s">
        <v>584</v>
      </c>
      <c r="F4970" s="52" t="s">
        <v>581</v>
      </c>
      <c r="G4970" s="55" t="s">
        <v>279</v>
      </c>
      <c r="H4970" s="55">
        <v>8.7978559999999995</v>
      </c>
      <c r="I4970" s="55">
        <v>5.8526959999999999</v>
      </c>
      <c r="J4970" s="55">
        <v>4.7802249999999997</v>
      </c>
      <c r="K4970" s="55">
        <v>4.3663999999999996</v>
      </c>
      <c r="L4970" s="55">
        <v>3.8971460000000002</v>
      </c>
      <c r="M4970" s="55">
        <v>3.2186189999999999</v>
      </c>
      <c r="N4970" s="55">
        <v>2.6749360000000002</v>
      </c>
    </row>
    <row r="4971" spans="1:14" hidden="1" x14ac:dyDescent="0.35">
      <c r="A4971" s="52" t="s">
        <v>671</v>
      </c>
      <c r="B4971" s="52" t="s">
        <v>37</v>
      </c>
      <c r="C4971" s="52" t="s">
        <v>105</v>
      </c>
      <c r="D4971" s="52" t="s">
        <v>105</v>
      </c>
      <c r="E4971" s="52" t="s">
        <v>584</v>
      </c>
      <c r="F4971" s="52" t="s">
        <v>26</v>
      </c>
      <c r="G4971" s="55" t="s">
        <v>275</v>
      </c>
      <c r="H4971" s="55">
        <v>8.8872280000000003</v>
      </c>
      <c r="I4971" s="55">
        <v>10.865500000000001</v>
      </c>
      <c r="J4971" s="55">
        <v>9.6703259999999993</v>
      </c>
      <c r="K4971" s="55">
        <v>2.8810020000000001</v>
      </c>
      <c r="L4971" s="55">
        <v>1.889926</v>
      </c>
      <c r="M4971" s="55">
        <v>1.7189129999999999</v>
      </c>
      <c r="N4971" s="55">
        <v>1.5610390000000001</v>
      </c>
    </row>
    <row r="4972" spans="1:14" hidden="1" x14ac:dyDescent="0.35">
      <c r="A4972" s="52" t="s">
        <v>671</v>
      </c>
      <c r="B4972" s="52" t="s">
        <v>37</v>
      </c>
      <c r="C4972" s="52" t="s">
        <v>105</v>
      </c>
      <c r="D4972" s="52" t="s">
        <v>105</v>
      </c>
      <c r="E4972" s="52" t="s">
        <v>584</v>
      </c>
      <c r="F4972" s="52" t="s">
        <v>26</v>
      </c>
      <c r="G4972" s="55" t="s">
        <v>276</v>
      </c>
      <c r="H4972" s="55">
        <v>-2.5060889999999998</v>
      </c>
      <c r="I4972" s="55">
        <v>-6.4610289999999999</v>
      </c>
      <c r="J4972" s="55">
        <v>-4.1859460000000004</v>
      </c>
      <c r="K4972" s="55">
        <v>0.92024550000000005</v>
      </c>
      <c r="L4972" s="55">
        <v>0.60707949999999999</v>
      </c>
      <c r="M4972" s="55">
        <v>0.55115000000000003</v>
      </c>
      <c r="N4972" s="55">
        <v>0.49964259999999999</v>
      </c>
    </row>
    <row r="4973" spans="1:14" hidden="1" x14ac:dyDescent="0.35">
      <c r="A4973" s="52" t="s">
        <v>671</v>
      </c>
      <c r="B4973" s="52" t="s">
        <v>37</v>
      </c>
      <c r="C4973" s="52" t="s">
        <v>105</v>
      </c>
      <c r="D4973" s="52" t="s">
        <v>105</v>
      </c>
      <c r="E4973" s="52" t="s">
        <v>584</v>
      </c>
      <c r="F4973" s="52" t="s">
        <v>26</v>
      </c>
      <c r="G4973" s="55" t="s">
        <v>277</v>
      </c>
      <c r="H4973" s="55"/>
      <c r="I4973" s="55">
        <v>0</v>
      </c>
      <c r="J4973" s="55"/>
      <c r="K4973" s="55"/>
      <c r="L4973" s="55">
        <v>0</v>
      </c>
      <c r="M4973" s="55"/>
      <c r="N4973" s="55"/>
    </row>
    <row r="4974" spans="1:14" hidden="1" x14ac:dyDescent="0.35">
      <c r="A4974" s="52" t="s">
        <v>671</v>
      </c>
      <c r="B4974" s="52" t="s">
        <v>37</v>
      </c>
      <c r="C4974" s="52" t="s">
        <v>105</v>
      </c>
      <c r="D4974" s="52" t="s">
        <v>105</v>
      </c>
      <c r="E4974" s="52" t="s">
        <v>584</v>
      </c>
      <c r="F4974" s="52" t="s">
        <v>26</v>
      </c>
      <c r="G4974" s="55" t="s">
        <v>279</v>
      </c>
      <c r="H4974" s="55">
        <v>24.825099999999999</v>
      </c>
      <c r="I4974" s="55">
        <v>20.115950000000002</v>
      </c>
      <c r="J4974" s="55">
        <v>18.593299999999999</v>
      </c>
      <c r="K4974" s="55">
        <v>18.859850000000002</v>
      </c>
      <c r="L4974" s="55">
        <v>18.625540000000001</v>
      </c>
      <c r="M4974" s="55">
        <v>16.961950000000002</v>
      </c>
      <c r="N4974" s="55">
        <v>15.4945</v>
      </c>
    </row>
    <row r="4975" spans="1:14" hidden="1" x14ac:dyDescent="0.35">
      <c r="A4975" s="52" t="s">
        <v>671</v>
      </c>
      <c r="B4975" s="52" t="s">
        <v>37</v>
      </c>
      <c r="C4975" s="52" t="s">
        <v>105</v>
      </c>
      <c r="D4975" s="52" t="s">
        <v>105</v>
      </c>
      <c r="E4975" s="52" t="s">
        <v>643</v>
      </c>
      <c r="F4975" s="52" t="s">
        <v>581</v>
      </c>
      <c r="G4975" s="55" t="s">
        <v>275</v>
      </c>
      <c r="H4975" s="55">
        <v>1.853901</v>
      </c>
      <c r="I4975" s="55">
        <v>0.2315142</v>
      </c>
      <c r="J4975" s="55">
        <v>0.2253212</v>
      </c>
      <c r="K4975" s="55">
        <v>0.19753689999999999</v>
      </c>
      <c r="L4975" s="55">
        <v>0.1879893</v>
      </c>
      <c r="M4975" s="55">
        <v>0.1480957</v>
      </c>
      <c r="N4975" s="55">
        <v>0.13799739999999999</v>
      </c>
    </row>
    <row r="4976" spans="1:14" hidden="1" x14ac:dyDescent="0.35">
      <c r="A4976" s="52" t="s">
        <v>671</v>
      </c>
      <c r="B4976" s="52" t="s">
        <v>37</v>
      </c>
      <c r="C4976" s="52" t="s">
        <v>105</v>
      </c>
      <c r="D4976" s="52" t="s">
        <v>105</v>
      </c>
      <c r="E4976" s="52" t="s">
        <v>643</v>
      </c>
      <c r="F4976" s="52" t="s">
        <v>581</v>
      </c>
      <c r="G4976" s="55" t="s">
        <v>276</v>
      </c>
      <c r="H4976" s="55">
        <v>0.49280889999999999</v>
      </c>
      <c r="I4976" s="55">
        <v>6.1541499999999999E-2</v>
      </c>
      <c r="J4976" s="55">
        <v>5.98963E-2</v>
      </c>
      <c r="K4976" s="55">
        <v>5.2510099999999997E-2</v>
      </c>
      <c r="L4976" s="55">
        <v>4.9971799999999997E-2</v>
      </c>
      <c r="M4976" s="55">
        <v>3.93675E-2</v>
      </c>
      <c r="N4976" s="55">
        <v>3.6683199999999999E-2</v>
      </c>
    </row>
    <row r="4977" spans="1:14" hidden="1" x14ac:dyDescent="0.35">
      <c r="A4977" s="52" t="s">
        <v>671</v>
      </c>
      <c r="B4977" s="52" t="s">
        <v>37</v>
      </c>
      <c r="C4977" s="52" t="s">
        <v>105</v>
      </c>
      <c r="D4977" s="52" t="s">
        <v>105</v>
      </c>
      <c r="E4977" s="52" t="s">
        <v>643</v>
      </c>
      <c r="F4977" s="52" t="s">
        <v>581</v>
      </c>
      <c r="G4977" s="55" t="s">
        <v>279</v>
      </c>
      <c r="H4977" s="55">
        <v>1.578765</v>
      </c>
      <c r="I4977" s="55">
        <v>0.47053460000000003</v>
      </c>
      <c r="J4977" s="55">
        <v>0.41454770000000002</v>
      </c>
      <c r="K4977" s="55">
        <v>0.39423859999999999</v>
      </c>
      <c r="L4977" s="55">
        <v>0.35800510000000002</v>
      </c>
      <c r="M4977" s="55">
        <v>0.36616470000000001</v>
      </c>
      <c r="N4977" s="55">
        <v>0.33695429999999998</v>
      </c>
    </row>
    <row r="4978" spans="1:14" hidden="1" x14ac:dyDescent="0.35">
      <c r="A4978" s="52" t="s">
        <v>671</v>
      </c>
      <c r="B4978" s="52" t="s">
        <v>37</v>
      </c>
      <c r="C4978" s="52" t="s">
        <v>105</v>
      </c>
      <c r="D4978" s="52" t="s">
        <v>105</v>
      </c>
      <c r="E4978" s="52" t="s">
        <v>643</v>
      </c>
      <c r="F4978" s="52" t="s">
        <v>26</v>
      </c>
      <c r="G4978" s="55" t="s">
        <v>275</v>
      </c>
      <c r="H4978" s="55">
        <v>0.36510599999999999</v>
      </c>
      <c r="I4978" s="55">
        <v>0.21706810000000001</v>
      </c>
      <c r="J4978" s="55">
        <v>6.1767799999999998E-2</v>
      </c>
      <c r="K4978" s="55">
        <v>5.313501E-3</v>
      </c>
      <c r="L4978" s="55">
        <v>-2.9006000000000001E-3</v>
      </c>
      <c r="M4978" s="55">
        <v>-7.0472000000000007E-2</v>
      </c>
      <c r="N4978" s="55">
        <v>-6.5271599999999999E-2</v>
      </c>
    </row>
    <row r="4979" spans="1:14" hidden="1" x14ac:dyDescent="0.35">
      <c r="A4979" s="52" t="s">
        <v>671</v>
      </c>
      <c r="B4979" s="52" t="s">
        <v>37</v>
      </c>
      <c r="C4979" s="52" t="s">
        <v>105</v>
      </c>
      <c r="D4979" s="52" t="s">
        <v>105</v>
      </c>
      <c r="E4979" s="52" t="s">
        <v>643</v>
      </c>
      <c r="F4979" s="52" t="s">
        <v>26</v>
      </c>
      <c r="G4979" s="55" t="s">
        <v>276</v>
      </c>
      <c r="H4979" s="55">
        <v>-0.25125500000000001</v>
      </c>
      <c r="I4979" s="55">
        <v>-0.24672250000000001</v>
      </c>
      <c r="J4979" s="55">
        <v>1.6419300000000001E-2</v>
      </c>
      <c r="K4979" s="55">
        <v>1.4126E-3</v>
      </c>
      <c r="L4979" s="55">
        <v>-7.7049810000000003E-4</v>
      </c>
      <c r="M4979" s="55">
        <v>-1.8732599999999999E-2</v>
      </c>
      <c r="N4979" s="55">
        <v>-1.7350600000000001E-2</v>
      </c>
    </row>
    <row r="4980" spans="1:14" hidden="1" x14ac:dyDescent="0.35">
      <c r="A4980" s="52" t="s">
        <v>671</v>
      </c>
      <c r="B4980" s="52" t="s">
        <v>37</v>
      </c>
      <c r="C4980" s="52" t="s">
        <v>105</v>
      </c>
      <c r="D4980" s="52" t="s">
        <v>105</v>
      </c>
      <c r="E4980" s="52" t="s">
        <v>643</v>
      </c>
      <c r="F4980" s="52" t="s">
        <v>26</v>
      </c>
      <c r="G4980" s="55" t="s">
        <v>277</v>
      </c>
      <c r="H4980" s="55"/>
      <c r="I4980" s="55"/>
      <c r="J4980" s="55"/>
      <c r="K4980" s="55"/>
      <c r="L4980" s="55"/>
      <c r="M4980" s="55">
        <v>0</v>
      </c>
      <c r="N4980" s="55">
        <v>0</v>
      </c>
    </row>
    <row r="4981" spans="1:14" hidden="1" x14ac:dyDescent="0.35">
      <c r="A4981" s="52" t="s">
        <v>671</v>
      </c>
      <c r="B4981" s="52" t="s">
        <v>37</v>
      </c>
      <c r="C4981" s="52" t="s">
        <v>105</v>
      </c>
      <c r="D4981" s="52" t="s">
        <v>105</v>
      </c>
      <c r="E4981" s="52" t="s">
        <v>643</v>
      </c>
      <c r="F4981" s="52" t="s">
        <v>26</v>
      </c>
      <c r="G4981" s="55" t="s">
        <v>279</v>
      </c>
      <c r="H4981" s="55">
        <v>5.3161199999999997</v>
      </c>
      <c r="I4981" s="55">
        <v>1.543121</v>
      </c>
      <c r="J4981" s="55">
        <v>1.3519920000000001</v>
      </c>
      <c r="K4981" s="55">
        <v>1.303269</v>
      </c>
      <c r="L4981" s="55">
        <v>1.210124</v>
      </c>
      <c r="M4981" s="55">
        <v>1.204461</v>
      </c>
      <c r="N4981" s="55">
        <v>1.1078539999999999</v>
      </c>
    </row>
    <row r="4982" spans="1:14" hidden="1" x14ac:dyDescent="0.35">
      <c r="A4982" s="52" t="s">
        <v>671</v>
      </c>
      <c r="B4982" s="52" t="s">
        <v>37</v>
      </c>
      <c r="C4982" s="52" t="s">
        <v>86</v>
      </c>
      <c r="D4982" s="52" t="s">
        <v>86</v>
      </c>
      <c r="E4982" s="52" t="s">
        <v>584</v>
      </c>
      <c r="F4982" s="52" t="s">
        <v>581</v>
      </c>
      <c r="G4982" s="55" t="s">
        <v>275</v>
      </c>
      <c r="H4982" s="55">
        <v>2.292761</v>
      </c>
      <c r="I4982" s="55">
        <v>1.266567</v>
      </c>
      <c r="J4982" s="55">
        <v>1.0804</v>
      </c>
      <c r="K4982" s="55">
        <v>0.77351389999999998</v>
      </c>
      <c r="L4982" s="55">
        <v>0.75969799999999998</v>
      </c>
      <c r="M4982" s="55">
        <v>0.74489870000000002</v>
      </c>
      <c r="N4982" s="55">
        <v>0.73342719999999995</v>
      </c>
    </row>
    <row r="4983" spans="1:14" hidden="1" x14ac:dyDescent="0.35">
      <c r="A4983" s="52" t="s">
        <v>671</v>
      </c>
      <c r="B4983" s="52" t="s">
        <v>37</v>
      </c>
      <c r="C4983" s="52" t="s">
        <v>86</v>
      </c>
      <c r="D4983" s="52" t="s">
        <v>86</v>
      </c>
      <c r="E4983" s="52" t="s">
        <v>584</v>
      </c>
      <c r="F4983" s="52" t="s">
        <v>581</v>
      </c>
      <c r="G4983" s="55" t="s">
        <v>276</v>
      </c>
      <c r="H4983" s="55">
        <v>0.250892</v>
      </c>
      <c r="I4983" s="55">
        <v>-0.2024929</v>
      </c>
      <c r="J4983" s="55">
        <v>-2.3496489999999998E-2</v>
      </c>
      <c r="K4983" s="55">
        <v>0.2681153</v>
      </c>
      <c r="L4983" s="55">
        <v>0.26332680000000003</v>
      </c>
      <c r="M4983" s="55">
        <v>0.2581968</v>
      </c>
      <c r="N4983" s="55">
        <v>0.25422050000000002</v>
      </c>
    </row>
    <row r="4984" spans="1:14" hidden="1" x14ac:dyDescent="0.35">
      <c r="A4984" s="52" t="s">
        <v>671</v>
      </c>
      <c r="B4984" s="52" t="s">
        <v>37</v>
      </c>
      <c r="C4984" s="52" t="s">
        <v>86</v>
      </c>
      <c r="D4984" s="52" t="s">
        <v>86</v>
      </c>
      <c r="E4984" s="52" t="s">
        <v>584</v>
      </c>
      <c r="F4984" s="52" t="s">
        <v>581</v>
      </c>
      <c r="G4984" s="55" t="s">
        <v>277</v>
      </c>
      <c r="H4984" s="55"/>
      <c r="I4984" s="55">
        <v>0</v>
      </c>
      <c r="J4984" s="55"/>
      <c r="K4984" s="55"/>
      <c r="L4984" s="55"/>
      <c r="M4984" s="55"/>
      <c r="N4984" s="55"/>
    </row>
    <row r="4985" spans="1:14" hidden="1" x14ac:dyDescent="0.35">
      <c r="A4985" s="52" t="s">
        <v>671</v>
      </c>
      <c r="B4985" s="52" t="s">
        <v>37</v>
      </c>
      <c r="C4985" s="52" t="s">
        <v>86</v>
      </c>
      <c r="D4985" s="52" t="s">
        <v>86</v>
      </c>
      <c r="E4985" s="52" t="s">
        <v>584</v>
      </c>
      <c r="F4985" s="52" t="s">
        <v>581</v>
      </c>
      <c r="G4985" s="55" t="s">
        <v>279</v>
      </c>
      <c r="H4985" s="55">
        <v>0.55875600000000003</v>
      </c>
      <c r="I4985" s="55">
        <v>0.3997501</v>
      </c>
      <c r="J4985" s="55">
        <v>0.39010319999999998</v>
      </c>
      <c r="K4985" s="55">
        <v>0.41737760000000002</v>
      </c>
      <c r="L4985" s="55">
        <v>0.43712610000000002</v>
      </c>
      <c r="M4985" s="55">
        <v>0.42590529999999999</v>
      </c>
      <c r="N4985" s="55">
        <v>0.4168039</v>
      </c>
    </row>
    <row r="4986" spans="1:14" hidden="1" x14ac:dyDescent="0.35">
      <c r="A4986" s="52" t="s">
        <v>671</v>
      </c>
      <c r="B4986" s="52" t="s">
        <v>37</v>
      </c>
      <c r="C4986" s="52" t="s">
        <v>86</v>
      </c>
      <c r="D4986" s="52" t="s">
        <v>86</v>
      </c>
      <c r="E4986" s="52" t="s">
        <v>584</v>
      </c>
      <c r="F4986" s="52" t="s">
        <v>26</v>
      </c>
      <c r="G4986" s="55" t="s">
        <v>275</v>
      </c>
      <c r="H4986" s="55">
        <v>9.1164999999999996E-2</v>
      </c>
      <c r="I4986" s="55">
        <v>2.3761299999999999E-2</v>
      </c>
      <c r="J4986" s="55">
        <v>0.1100167</v>
      </c>
      <c r="K4986" s="55">
        <v>-6.3396990000000002E-5</v>
      </c>
      <c r="L4986" s="55">
        <v>-8.0783900000000006E-2</v>
      </c>
      <c r="M4986" s="55">
        <v>-7.3746900000000004E-2</v>
      </c>
      <c r="N4986" s="55">
        <v>-6.811979E-2</v>
      </c>
    </row>
    <row r="4987" spans="1:14" hidden="1" x14ac:dyDescent="0.35">
      <c r="A4987" s="52" t="s">
        <v>671</v>
      </c>
      <c r="B4987" s="52" t="s">
        <v>37</v>
      </c>
      <c r="C4987" s="52" t="s">
        <v>86</v>
      </c>
      <c r="D4987" s="52" t="s">
        <v>86</v>
      </c>
      <c r="E4987" s="52" t="s">
        <v>584</v>
      </c>
      <c r="F4987" s="52" t="s">
        <v>26</v>
      </c>
      <c r="G4987" s="55" t="s">
        <v>276</v>
      </c>
      <c r="H4987" s="55">
        <v>3.1600000000000003E-2</v>
      </c>
      <c r="I4987" s="55">
        <v>8.2356010000000004E-3</v>
      </c>
      <c r="J4987" s="55">
        <v>3.8133399999999998E-2</v>
      </c>
      <c r="K4987" s="55">
        <v>-2.269913E-5</v>
      </c>
      <c r="L4987" s="55">
        <v>-2.8001700000000001E-2</v>
      </c>
      <c r="M4987" s="55">
        <v>-2.55623E-2</v>
      </c>
      <c r="N4987" s="55">
        <v>-2.3612000000000001E-2</v>
      </c>
    </row>
    <row r="4988" spans="1:14" hidden="1" x14ac:dyDescent="0.35">
      <c r="A4988" s="52" t="s">
        <v>671</v>
      </c>
      <c r="B4988" s="52" t="s">
        <v>37</v>
      </c>
      <c r="C4988" s="52" t="s">
        <v>86</v>
      </c>
      <c r="D4988" s="52" t="s">
        <v>86</v>
      </c>
      <c r="E4988" s="52" t="s">
        <v>584</v>
      </c>
      <c r="F4988" s="52" t="s">
        <v>26</v>
      </c>
      <c r="G4988" s="55" t="s">
        <v>279</v>
      </c>
      <c r="H4988" s="55">
        <v>2.4137970000000002</v>
      </c>
      <c r="I4988" s="55">
        <v>1.976888</v>
      </c>
      <c r="J4988" s="55">
        <v>1.839639</v>
      </c>
      <c r="K4988" s="55">
        <v>1.8849659999999999</v>
      </c>
      <c r="L4988" s="55">
        <v>1.8783129999999999</v>
      </c>
      <c r="M4988" s="55">
        <v>1.7205569999999999</v>
      </c>
      <c r="N4988" s="55">
        <v>1.5807150000000001</v>
      </c>
    </row>
    <row r="4989" spans="1:14" hidden="1" x14ac:dyDescent="0.35">
      <c r="A4989" s="52" t="s">
        <v>671</v>
      </c>
      <c r="B4989" s="52" t="s">
        <v>37</v>
      </c>
      <c r="C4989" s="52" t="s">
        <v>95</v>
      </c>
      <c r="D4989" s="52" t="s">
        <v>95</v>
      </c>
      <c r="E4989" s="52" t="s">
        <v>584</v>
      </c>
      <c r="F4989" s="52" t="s">
        <v>26</v>
      </c>
      <c r="G4989" s="55" t="s">
        <v>275</v>
      </c>
      <c r="H4989" s="55">
        <v>0.57194599999999995</v>
      </c>
      <c r="I4989" s="55">
        <v>0.43145820000000001</v>
      </c>
      <c r="J4989" s="55">
        <v>0.38838080000000003</v>
      </c>
      <c r="K4989" s="55">
        <v>0.134523</v>
      </c>
      <c r="L4989" s="55">
        <v>9.8068489999999994E-2</v>
      </c>
      <c r="M4989" s="55">
        <v>9.308901E-2</v>
      </c>
      <c r="N4989" s="55">
        <v>8.8049500000000003E-2</v>
      </c>
    </row>
    <row r="4990" spans="1:14" hidden="1" x14ac:dyDescent="0.35">
      <c r="A4990" s="52" t="s">
        <v>671</v>
      </c>
      <c r="B4990" s="52" t="s">
        <v>37</v>
      </c>
      <c r="C4990" s="52" t="s">
        <v>95</v>
      </c>
      <c r="D4990" s="52" t="s">
        <v>95</v>
      </c>
      <c r="E4990" s="52" t="s">
        <v>584</v>
      </c>
      <c r="F4990" s="52" t="s">
        <v>26</v>
      </c>
      <c r="G4990" s="55" t="s">
        <v>276</v>
      </c>
      <c r="H4990" s="55">
        <v>-0.28778399999999998</v>
      </c>
      <c r="I4990" s="55">
        <v>-0.22850280000000001</v>
      </c>
      <c r="J4990" s="55">
        <v>-0.14380080000000001</v>
      </c>
      <c r="K4990" s="55">
        <v>4.6627889999999998E-2</v>
      </c>
      <c r="L4990" s="55">
        <v>3.3992399999999999E-2</v>
      </c>
      <c r="M4990" s="55">
        <v>3.22676E-2</v>
      </c>
      <c r="N4990" s="55">
        <v>3.0519299999999999E-2</v>
      </c>
    </row>
    <row r="4991" spans="1:14" hidden="1" x14ac:dyDescent="0.35">
      <c r="A4991" s="52" t="s">
        <v>671</v>
      </c>
      <c r="B4991" s="52" t="s">
        <v>37</v>
      </c>
      <c r="C4991" s="52" t="s">
        <v>95</v>
      </c>
      <c r="D4991" s="52" t="s">
        <v>95</v>
      </c>
      <c r="E4991" s="52" t="s">
        <v>584</v>
      </c>
      <c r="F4991" s="52" t="s">
        <v>26</v>
      </c>
      <c r="G4991" s="55" t="s">
        <v>279</v>
      </c>
      <c r="H4991" s="55">
        <v>0.89519910000000003</v>
      </c>
      <c r="I4991" s="55">
        <v>0.7310565</v>
      </c>
      <c r="J4991" s="55">
        <v>0.67964939999999996</v>
      </c>
      <c r="K4991" s="55">
        <v>0.69627890000000003</v>
      </c>
      <c r="L4991" s="55">
        <v>0.70143549999999999</v>
      </c>
      <c r="M4991" s="55">
        <v>0.66590740000000004</v>
      </c>
      <c r="N4991" s="55">
        <v>0.63215010000000005</v>
      </c>
    </row>
    <row r="4992" spans="1:14" hidden="1" x14ac:dyDescent="0.35">
      <c r="A4992" s="52" t="s">
        <v>671</v>
      </c>
      <c r="B4992" s="52" t="s">
        <v>37</v>
      </c>
      <c r="C4992" s="52" t="s">
        <v>70</v>
      </c>
      <c r="D4992" s="52" t="s">
        <v>70</v>
      </c>
      <c r="E4992" s="52" t="s">
        <v>584</v>
      </c>
      <c r="F4992" s="52" t="s">
        <v>581</v>
      </c>
      <c r="G4992" s="55" t="s">
        <v>275</v>
      </c>
      <c r="H4992" s="55">
        <v>0.96817900000000001</v>
      </c>
      <c r="I4992" s="55">
        <v>0.37220560000000003</v>
      </c>
      <c r="J4992" s="55">
        <v>0.27786929999999999</v>
      </c>
      <c r="K4992" s="55">
        <v>0.12914919999999999</v>
      </c>
      <c r="L4992" s="55">
        <v>0.1044075</v>
      </c>
      <c r="M4992" s="55">
        <v>8.4393689999999993E-2</v>
      </c>
      <c r="N4992" s="55">
        <v>6.8215899999999996E-2</v>
      </c>
    </row>
    <row r="4993" spans="1:14" hidden="1" x14ac:dyDescent="0.35">
      <c r="A4993" s="52" t="s">
        <v>671</v>
      </c>
      <c r="B4993" s="52" t="s">
        <v>37</v>
      </c>
      <c r="C4993" s="52" t="s">
        <v>70</v>
      </c>
      <c r="D4993" s="52" t="s">
        <v>70</v>
      </c>
      <c r="E4993" s="52" t="s">
        <v>584</v>
      </c>
      <c r="F4993" s="52" t="s">
        <v>581</v>
      </c>
      <c r="G4993" s="55" t="s">
        <v>276</v>
      </c>
      <c r="H4993" s="55">
        <v>-0.274366</v>
      </c>
      <c r="I4993" s="55">
        <v>-0.13434370000000001</v>
      </c>
      <c r="J4993" s="55">
        <v>-7.7671900000000002E-2</v>
      </c>
      <c r="K4993" s="55">
        <v>3.4330899999999998E-2</v>
      </c>
      <c r="L4993" s="55">
        <v>2.7753199999999999E-2</v>
      </c>
      <c r="M4993" s="55">
        <v>2.2434300000000001E-2</v>
      </c>
      <c r="N4993" s="55">
        <v>1.8134000000000001E-2</v>
      </c>
    </row>
    <row r="4994" spans="1:14" hidden="1" x14ac:dyDescent="0.35">
      <c r="A4994" s="52" t="s">
        <v>671</v>
      </c>
      <c r="B4994" s="52" t="s">
        <v>37</v>
      </c>
      <c r="C4994" s="52" t="s">
        <v>70</v>
      </c>
      <c r="D4994" s="52" t="s">
        <v>70</v>
      </c>
      <c r="E4994" s="52" t="s">
        <v>584</v>
      </c>
      <c r="F4994" s="52" t="s">
        <v>581</v>
      </c>
      <c r="G4994" s="55" t="s">
        <v>279</v>
      </c>
      <c r="H4994" s="55">
        <v>0.192971</v>
      </c>
      <c r="I4994" s="55">
        <v>0.1144357</v>
      </c>
      <c r="J4994" s="55">
        <v>9.4360600000000003E-2</v>
      </c>
      <c r="K4994" s="55">
        <v>8.5119E-2</v>
      </c>
      <c r="L4994" s="55">
        <v>7.4870599999999995E-2</v>
      </c>
      <c r="M4994" s="55">
        <v>6.1186499999999998E-2</v>
      </c>
      <c r="N4994" s="55">
        <v>5.0139700000000002E-2</v>
      </c>
    </row>
    <row r="4995" spans="1:14" hidden="1" x14ac:dyDescent="0.35">
      <c r="A4995" s="52" t="s">
        <v>671</v>
      </c>
      <c r="B4995" s="52" t="s">
        <v>37</v>
      </c>
      <c r="C4995" s="52" t="s">
        <v>70</v>
      </c>
      <c r="D4995" s="52" t="s">
        <v>70</v>
      </c>
      <c r="E4995" s="52" t="s">
        <v>584</v>
      </c>
      <c r="F4995" s="52" t="s">
        <v>26</v>
      </c>
      <c r="G4995" s="55" t="s">
        <v>275</v>
      </c>
      <c r="H4995" s="55">
        <v>5.0000000000000001E-3</v>
      </c>
      <c r="I4995" s="55">
        <v>3.0701999999999999E-3</v>
      </c>
      <c r="J4995" s="55">
        <v>4.9148999999999998E-3</v>
      </c>
      <c r="K4995" s="55">
        <v>2.5236999999999998E-3</v>
      </c>
      <c r="L4995" s="55">
        <v>7.1629989999999998E-4</v>
      </c>
      <c r="M4995" s="55">
        <v>6.6319999999999997E-4</v>
      </c>
      <c r="N4995" s="55">
        <v>6.0249999999999995E-4</v>
      </c>
    </row>
    <row r="4996" spans="1:14" hidden="1" x14ac:dyDescent="0.35">
      <c r="A4996" s="52" t="s">
        <v>671</v>
      </c>
      <c r="B4996" s="52" t="s">
        <v>37</v>
      </c>
      <c r="C4996" s="52" t="s">
        <v>70</v>
      </c>
      <c r="D4996" s="52" t="s">
        <v>70</v>
      </c>
      <c r="E4996" s="52" t="s">
        <v>584</v>
      </c>
      <c r="F4996" s="52" t="s">
        <v>26</v>
      </c>
      <c r="G4996" s="55" t="s">
        <v>276</v>
      </c>
      <c r="H4996" s="55">
        <v>1.3290000000000001E-3</v>
      </c>
      <c r="I4996" s="55">
        <v>8.1579999999999999E-4</v>
      </c>
      <c r="J4996" s="55">
        <v>1.3066E-3</v>
      </c>
      <c r="K4996" s="55">
        <v>6.7080000000000004E-4</v>
      </c>
      <c r="L4996" s="55">
        <v>1.9000000000000001E-4</v>
      </c>
      <c r="M4996" s="55">
        <v>1.76E-4</v>
      </c>
      <c r="N4996" s="55">
        <v>1.6019999999999999E-4</v>
      </c>
    </row>
    <row r="4997" spans="1:14" hidden="1" x14ac:dyDescent="0.35">
      <c r="A4997" s="52" t="s">
        <v>671</v>
      </c>
      <c r="B4997" s="52" t="s">
        <v>37</v>
      </c>
      <c r="C4997" s="52" t="s">
        <v>70</v>
      </c>
      <c r="D4997" s="52" t="s">
        <v>70</v>
      </c>
      <c r="E4997" s="52" t="s">
        <v>584</v>
      </c>
      <c r="F4997" s="52" t="s">
        <v>26</v>
      </c>
      <c r="G4997" s="55" t="s">
        <v>279</v>
      </c>
      <c r="H4997" s="55">
        <v>4.9832000000000001E-2</v>
      </c>
      <c r="I4997" s="55">
        <v>4.06288E-2</v>
      </c>
      <c r="J4997" s="55">
        <v>3.7861699999999998E-2</v>
      </c>
      <c r="K4997" s="55">
        <v>3.8641300000000003E-2</v>
      </c>
      <c r="L4997" s="55">
        <v>3.8404300000000002E-2</v>
      </c>
      <c r="M4997" s="55">
        <v>3.52079E-2</v>
      </c>
      <c r="N4997" s="55">
        <v>3.2373899999999997E-2</v>
      </c>
    </row>
    <row r="4998" spans="1:14" hidden="1" x14ac:dyDescent="0.35">
      <c r="A4998" s="52" t="s">
        <v>671</v>
      </c>
      <c r="B4998" s="52" t="s">
        <v>37</v>
      </c>
      <c r="C4998" s="52" t="s">
        <v>205</v>
      </c>
      <c r="D4998" s="52" t="s">
        <v>205</v>
      </c>
      <c r="E4998" s="52" t="s">
        <v>584</v>
      </c>
      <c r="F4998" s="52" t="s">
        <v>581</v>
      </c>
      <c r="G4998" s="55" t="s">
        <v>275</v>
      </c>
      <c r="H4998" s="55">
        <v>0.29588199999999998</v>
      </c>
      <c r="I4998" s="55">
        <v>0.23259250000000001</v>
      </c>
      <c r="J4998" s="55">
        <v>0.1770795</v>
      </c>
      <c r="K4998" s="55">
        <v>0.12243510000000001</v>
      </c>
      <c r="L4998" s="55">
        <v>0.1315963</v>
      </c>
      <c r="M4998" s="55">
        <v>0.107525</v>
      </c>
      <c r="N4998" s="55">
        <v>0.1125501</v>
      </c>
    </row>
    <row r="4999" spans="1:14" hidden="1" x14ac:dyDescent="0.35">
      <c r="A4999" s="52" t="s">
        <v>671</v>
      </c>
      <c r="B4999" s="52" t="s">
        <v>37</v>
      </c>
      <c r="C4999" s="52" t="s">
        <v>205</v>
      </c>
      <c r="D4999" s="52" t="s">
        <v>205</v>
      </c>
      <c r="E4999" s="52" t="s">
        <v>584</v>
      </c>
      <c r="F4999" s="52" t="s">
        <v>581</v>
      </c>
      <c r="G4999" s="55" t="s">
        <v>276</v>
      </c>
      <c r="H4999" s="55">
        <v>7.9724009999999998E-2</v>
      </c>
      <c r="I4999" s="55">
        <v>1.15631E-2</v>
      </c>
      <c r="J4999" s="55">
        <v>3.6390080000000001E-4</v>
      </c>
      <c r="K4999" s="55">
        <v>3.6923999999999998E-2</v>
      </c>
      <c r="L4999" s="55">
        <v>1.7839600000000001E-2</v>
      </c>
      <c r="M4999" s="55">
        <v>3.56531E-2</v>
      </c>
      <c r="N4999" s="55">
        <v>3.07278E-2</v>
      </c>
    </row>
    <row r="5000" spans="1:14" hidden="1" x14ac:dyDescent="0.35">
      <c r="A5000" s="52" t="s">
        <v>671</v>
      </c>
      <c r="B5000" s="52" t="s">
        <v>37</v>
      </c>
      <c r="C5000" s="52" t="s">
        <v>205</v>
      </c>
      <c r="D5000" s="52" t="s">
        <v>205</v>
      </c>
      <c r="E5000" s="52" t="s">
        <v>584</v>
      </c>
      <c r="F5000" s="52" t="s">
        <v>581</v>
      </c>
      <c r="G5000" s="55" t="s">
        <v>277</v>
      </c>
      <c r="H5000" s="55">
        <v>0.24135000000000001</v>
      </c>
      <c r="I5000" s="55">
        <v>0</v>
      </c>
      <c r="J5000" s="55"/>
      <c r="K5000" s="55"/>
      <c r="L5000" s="55"/>
      <c r="M5000" s="55"/>
      <c r="N5000" s="55"/>
    </row>
    <row r="5001" spans="1:14" hidden="1" x14ac:dyDescent="0.35">
      <c r="A5001" s="52" t="s">
        <v>671</v>
      </c>
      <c r="B5001" s="52" t="s">
        <v>37</v>
      </c>
      <c r="C5001" s="52" t="s">
        <v>205</v>
      </c>
      <c r="D5001" s="52" t="s">
        <v>205</v>
      </c>
      <c r="E5001" s="52" t="s">
        <v>584</v>
      </c>
      <c r="F5001" s="52" t="s">
        <v>581</v>
      </c>
      <c r="G5001" s="55" t="s">
        <v>279</v>
      </c>
      <c r="H5001" s="55">
        <v>0.14788000000000001</v>
      </c>
      <c r="I5001" s="55">
        <v>9.9940200000000007E-2</v>
      </c>
      <c r="J5001" s="55">
        <v>9.3718689999999993E-2</v>
      </c>
      <c r="K5001" s="55">
        <v>9.7241889999999997E-2</v>
      </c>
      <c r="L5001" s="55">
        <v>0.1001509</v>
      </c>
      <c r="M5001" s="55">
        <v>9.64444E-2</v>
      </c>
      <c r="N5001" s="55">
        <v>9.5903699999999995E-2</v>
      </c>
    </row>
    <row r="5002" spans="1:14" hidden="1" x14ac:dyDescent="0.35">
      <c r="A5002" s="52" t="s">
        <v>671</v>
      </c>
      <c r="B5002" s="52" t="s">
        <v>37</v>
      </c>
      <c r="C5002" s="52" t="s">
        <v>205</v>
      </c>
      <c r="D5002" s="52" t="s">
        <v>205</v>
      </c>
      <c r="E5002" s="52" t="s">
        <v>584</v>
      </c>
      <c r="F5002" s="52" t="s">
        <v>26</v>
      </c>
      <c r="G5002" s="55" t="s">
        <v>275</v>
      </c>
      <c r="H5002" s="55">
        <v>0</v>
      </c>
      <c r="I5002" s="55"/>
      <c r="J5002" s="55"/>
      <c r="K5002" s="55"/>
      <c r="L5002" s="55"/>
      <c r="M5002" s="55"/>
      <c r="N5002" s="55"/>
    </row>
    <row r="5003" spans="1:14" hidden="1" x14ac:dyDescent="0.35">
      <c r="A5003" s="52" t="s">
        <v>671</v>
      </c>
      <c r="B5003" s="52" t="s">
        <v>37</v>
      </c>
      <c r="C5003" s="52" t="s">
        <v>205</v>
      </c>
      <c r="D5003" s="52" t="s">
        <v>205</v>
      </c>
      <c r="E5003" s="52" t="s">
        <v>584</v>
      </c>
      <c r="F5003" s="52" t="s">
        <v>26</v>
      </c>
      <c r="G5003" s="55" t="s">
        <v>276</v>
      </c>
      <c r="H5003" s="55">
        <v>0</v>
      </c>
      <c r="I5003" s="55"/>
      <c r="J5003" s="55"/>
      <c r="K5003" s="55"/>
      <c r="L5003" s="55"/>
      <c r="M5003" s="55"/>
      <c r="N5003" s="55"/>
    </row>
    <row r="5004" spans="1:14" hidden="1" x14ac:dyDescent="0.35">
      <c r="A5004" s="52" t="s">
        <v>671</v>
      </c>
      <c r="B5004" s="52" t="s">
        <v>37</v>
      </c>
      <c r="C5004" s="52" t="s">
        <v>109</v>
      </c>
      <c r="D5004" s="52" t="s">
        <v>109</v>
      </c>
      <c r="E5004" s="52" t="s">
        <v>584</v>
      </c>
      <c r="F5004" s="52" t="s">
        <v>581</v>
      </c>
      <c r="G5004" s="55" t="s">
        <v>275</v>
      </c>
      <c r="H5004" s="55">
        <v>2.5265699999999999E-2</v>
      </c>
      <c r="I5004" s="55">
        <v>2.1234989999999999E-2</v>
      </c>
      <c r="J5004" s="55">
        <v>2.056734E-2</v>
      </c>
      <c r="K5004" s="55">
        <v>-2.7416390000000001E-3</v>
      </c>
      <c r="L5004" s="55">
        <v>-4.7288989999999997E-4</v>
      </c>
      <c r="M5004" s="55">
        <v>8.0756980000000001E-4</v>
      </c>
      <c r="N5004" s="55">
        <v>1.7360399999999999E-3</v>
      </c>
    </row>
    <row r="5005" spans="1:14" hidden="1" x14ac:dyDescent="0.35">
      <c r="A5005" s="52" t="s">
        <v>671</v>
      </c>
      <c r="B5005" s="52" t="s">
        <v>37</v>
      </c>
      <c r="C5005" s="52" t="s">
        <v>109</v>
      </c>
      <c r="D5005" s="52" t="s">
        <v>109</v>
      </c>
      <c r="E5005" s="52" t="s">
        <v>584</v>
      </c>
      <c r="F5005" s="52" t="s">
        <v>581</v>
      </c>
      <c r="G5005" s="55" t="s">
        <v>276</v>
      </c>
      <c r="H5005" s="55">
        <v>4.0593000000000001E-3</v>
      </c>
      <c r="I5005" s="55">
        <v>2.93247E-3</v>
      </c>
      <c r="J5005" s="55">
        <v>-2.4493200000000001E-3</v>
      </c>
      <c r="K5005" s="55">
        <v>2.2633200000000001E-3</v>
      </c>
      <c r="L5005" s="55">
        <v>1.34454E-3</v>
      </c>
      <c r="M5005" s="55">
        <v>7.6479E-4</v>
      </c>
      <c r="N5005" s="55">
        <v>4.7631000000000003E-4</v>
      </c>
    </row>
    <row r="5006" spans="1:14" hidden="1" x14ac:dyDescent="0.35">
      <c r="A5006" s="52" t="s">
        <v>671</v>
      </c>
      <c r="B5006" s="52" t="s">
        <v>37</v>
      </c>
      <c r="C5006" s="52" t="s">
        <v>109</v>
      </c>
      <c r="D5006" s="52" t="s">
        <v>109</v>
      </c>
      <c r="E5006" s="52" t="s">
        <v>584</v>
      </c>
      <c r="F5006" s="52" t="s">
        <v>581</v>
      </c>
      <c r="G5006" s="55" t="s">
        <v>277</v>
      </c>
      <c r="H5006" s="55"/>
      <c r="I5006" s="55"/>
      <c r="J5006" s="55">
        <v>0</v>
      </c>
      <c r="K5006" s="55">
        <v>1.407039E-2</v>
      </c>
      <c r="L5006" s="55">
        <v>9.7278899999999995E-3</v>
      </c>
      <c r="M5006" s="55">
        <v>6.7832099999999996E-3</v>
      </c>
      <c r="N5006" s="55">
        <v>4.7831999999999996E-3</v>
      </c>
    </row>
    <row r="5007" spans="1:14" hidden="1" x14ac:dyDescent="0.35">
      <c r="A5007" s="52" t="s">
        <v>671</v>
      </c>
      <c r="B5007" s="52" t="s">
        <v>37</v>
      </c>
      <c r="C5007" s="52" t="s">
        <v>109</v>
      </c>
      <c r="D5007" s="52" t="s">
        <v>109</v>
      </c>
      <c r="E5007" s="52" t="s">
        <v>584</v>
      </c>
      <c r="F5007" s="52" t="s">
        <v>581</v>
      </c>
      <c r="G5007" s="55" t="s">
        <v>279</v>
      </c>
      <c r="H5007" s="55">
        <v>1.1850899999999999E-2</v>
      </c>
      <c r="I5007" s="55">
        <v>1.31187E-2</v>
      </c>
      <c r="J5007" s="55">
        <v>1.0554600000000001E-2</v>
      </c>
      <c r="K5007" s="55">
        <v>8.9870999999999996E-3</v>
      </c>
      <c r="L5007" s="55">
        <v>7.4646000000000001E-3</v>
      </c>
      <c r="M5007" s="55">
        <v>6.3660000000000001E-3</v>
      </c>
      <c r="N5007" s="55">
        <v>5.2443000000000004E-3</v>
      </c>
    </row>
    <row r="5008" spans="1:14" hidden="1" x14ac:dyDescent="0.35">
      <c r="A5008" s="52" t="s">
        <v>671</v>
      </c>
      <c r="B5008" s="52" t="s">
        <v>37</v>
      </c>
      <c r="C5008" s="52" t="s">
        <v>109</v>
      </c>
      <c r="D5008" s="52" t="s">
        <v>109</v>
      </c>
      <c r="E5008" s="52" t="s">
        <v>584</v>
      </c>
      <c r="F5008" s="52" t="s">
        <v>26</v>
      </c>
      <c r="G5008" s="55" t="s">
        <v>275</v>
      </c>
      <c r="H5008" s="55">
        <v>1.8585600000000001E-2</v>
      </c>
      <c r="I5008" s="55">
        <v>3.9748810000000004E-3</v>
      </c>
      <c r="J5008" s="55">
        <v>2.704092E-2</v>
      </c>
      <c r="K5008" s="55">
        <v>5.0856900000000003E-3</v>
      </c>
      <c r="L5008" s="55">
        <v>4.2563999999999996E-3</v>
      </c>
      <c r="M5008" s="55">
        <v>1.428E-3</v>
      </c>
      <c r="N5008" s="55">
        <v>5.8014000000000004E-4</v>
      </c>
    </row>
    <row r="5009" spans="1:14" hidden="1" x14ac:dyDescent="0.35">
      <c r="A5009" s="52" t="s">
        <v>671</v>
      </c>
      <c r="B5009" s="52" t="s">
        <v>37</v>
      </c>
      <c r="C5009" s="52" t="s">
        <v>109</v>
      </c>
      <c r="D5009" s="52" t="s">
        <v>109</v>
      </c>
      <c r="E5009" s="52" t="s">
        <v>584</v>
      </c>
      <c r="F5009" s="52" t="s">
        <v>26</v>
      </c>
      <c r="G5009" s="55" t="s">
        <v>276</v>
      </c>
      <c r="H5009" s="55">
        <v>-7.8882009999999992E-3</v>
      </c>
      <c r="I5009" s="55">
        <v>-1.063653E-2</v>
      </c>
      <c r="J5009" s="55">
        <v>-3.6902009999999999E-2</v>
      </c>
      <c r="K5009" s="55">
        <v>-1.0935000000000001E-3</v>
      </c>
      <c r="L5009" s="55">
        <v>-3.3628500000000001E-3</v>
      </c>
      <c r="M5009" s="55">
        <v>-2.67855E-3</v>
      </c>
      <c r="N5009" s="55">
        <v>-2.0751599999999999E-3</v>
      </c>
    </row>
    <row r="5010" spans="1:14" hidden="1" x14ac:dyDescent="0.35">
      <c r="A5010" s="52" t="s">
        <v>671</v>
      </c>
      <c r="B5010" s="52" t="s">
        <v>37</v>
      </c>
      <c r="C5010" s="52" t="s">
        <v>109</v>
      </c>
      <c r="D5010" s="52" t="s">
        <v>109</v>
      </c>
      <c r="E5010" s="52" t="s">
        <v>584</v>
      </c>
      <c r="F5010" s="52" t="s">
        <v>26</v>
      </c>
      <c r="G5010" s="55" t="s">
        <v>277</v>
      </c>
      <c r="H5010" s="55">
        <v>2.9138399999999998E-2</v>
      </c>
      <c r="I5010" s="55">
        <v>2.2969199999999999E-2</v>
      </c>
      <c r="J5010" s="55">
        <v>2.0475299999999998E-2</v>
      </c>
      <c r="K5010" s="55">
        <v>0</v>
      </c>
      <c r="L5010" s="55"/>
      <c r="M5010" s="55"/>
      <c r="N5010" s="55"/>
    </row>
    <row r="5011" spans="1:14" hidden="1" x14ac:dyDescent="0.35">
      <c r="A5011" s="52" t="s">
        <v>671</v>
      </c>
      <c r="B5011" s="52" t="s">
        <v>37</v>
      </c>
      <c r="C5011" s="52" t="s">
        <v>109</v>
      </c>
      <c r="D5011" s="52" t="s">
        <v>109</v>
      </c>
      <c r="E5011" s="52" t="s">
        <v>584</v>
      </c>
      <c r="F5011" s="52" t="s">
        <v>26</v>
      </c>
      <c r="G5011" s="55" t="s">
        <v>279</v>
      </c>
      <c r="H5011" s="55">
        <v>7.7055899999999997E-2</v>
      </c>
      <c r="I5011" s="55">
        <v>5.0701509999999998E-2</v>
      </c>
      <c r="J5011" s="55">
        <v>3.7380900000000002E-2</v>
      </c>
      <c r="K5011" s="55">
        <v>2.8989000000000001E-2</v>
      </c>
      <c r="L5011" s="55">
        <v>2.1783899999999998E-2</v>
      </c>
      <c r="M5011" s="55">
        <v>1.6833899999999999E-2</v>
      </c>
      <c r="N5011" s="55">
        <v>1.2196800000000001E-2</v>
      </c>
    </row>
    <row r="5012" spans="1:14" hidden="1" x14ac:dyDescent="0.35">
      <c r="A5012" s="52" t="s">
        <v>671</v>
      </c>
      <c r="B5012" s="52" t="s">
        <v>37</v>
      </c>
      <c r="C5012" s="52" t="s">
        <v>118</v>
      </c>
      <c r="D5012" s="52" t="s">
        <v>118</v>
      </c>
      <c r="E5012" s="52" t="s">
        <v>584</v>
      </c>
      <c r="F5012" s="52" t="s">
        <v>26</v>
      </c>
      <c r="G5012" s="55" t="s">
        <v>275</v>
      </c>
      <c r="H5012" s="55">
        <v>-7.5356000000000006E-2</v>
      </c>
      <c r="I5012" s="55">
        <v>2.8685100000000002E-2</v>
      </c>
      <c r="J5012" s="55">
        <v>-5.6921909999999999E-2</v>
      </c>
      <c r="K5012" s="55">
        <v>-5.9567599999999998E-2</v>
      </c>
      <c r="L5012" s="55">
        <v>-4.2852399999999999E-2</v>
      </c>
      <c r="M5012" s="55">
        <v>-4.3870899999999997E-2</v>
      </c>
      <c r="N5012" s="55">
        <v>1.58808E-2</v>
      </c>
    </row>
    <row r="5013" spans="1:14" hidden="1" x14ac:dyDescent="0.35">
      <c r="A5013" s="52" t="s">
        <v>671</v>
      </c>
      <c r="B5013" s="52" t="s">
        <v>37</v>
      </c>
      <c r="C5013" s="52" t="s">
        <v>118</v>
      </c>
      <c r="D5013" s="52" t="s">
        <v>118</v>
      </c>
      <c r="E5013" s="52" t="s">
        <v>584</v>
      </c>
      <c r="F5013" s="52" t="s">
        <v>26</v>
      </c>
      <c r="G5013" s="55" t="s">
        <v>276</v>
      </c>
      <c r="H5013" s="55">
        <v>-2.3439000000000002E-2</v>
      </c>
      <c r="I5013" s="55">
        <v>-1.8649900000000001E-2</v>
      </c>
      <c r="J5013" s="55">
        <v>-1.7292499999999999E-2</v>
      </c>
      <c r="K5013" s="55">
        <v>-6.7935000000000001E-3</v>
      </c>
      <c r="L5013" s="55">
        <v>-1.6171999999999999E-2</v>
      </c>
      <c r="M5013" s="55">
        <v>-7.3516989999999997E-3</v>
      </c>
      <c r="N5013" s="55">
        <v>-1.16863E-2</v>
      </c>
    </row>
    <row r="5014" spans="1:14" hidden="1" x14ac:dyDescent="0.35">
      <c r="A5014" s="52" t="s">
        <v>671</v>
      </c>
      <c r="B5014" s="52" t="s">
        <v>37</v>
      </c>
      <c r="C5014" s="52" t="s">
        <v>118</v>
      </c>
      <c r="D5014" s="52" t="s">
        <v>118</v>
      </c>
      <c r="E5014" s="52" t="s">
        <v>584</v>
      </c>
      <c r="F5014" s="52" t="s">
        <v>26</v>
      </c>
      <c r="G5014" s="55" t="s">
        <v>277</v>
      </c>
      <c r="H5014" s="55">
        <v>0.113839</v>
      </c>
      <c r="I5014" s="55">
        <v>0</v>
      </c>
      <c r="J5014" s="55">
        <v>8.5582000000000005E-2</v>
      </c>
      <c r="K5014" s="55">
        <v>7.4202699999999996E-2</v>
      </c>
      <c r="L5014" s="55">
        <v>6.4338000000000006E-2</v>
      </c>
      <c r="M5014" s="55">
        <v>5.5960000000000003E-2</v>
      </c>
      <c r="N5014" s="55">
        <v>0</v>
      </c>
    </row>
    <row r="5015" spans="1:14" hidden="1" x14ac:dyDescent="0.35">
      <c r="A5015" s="52" t="s">
        <v>671</v>
      </c>
      <c r="B5015" s="52" t="s">
        <v>37</v>
      </c>
      <c r="C5015" s="52" t="s">
        <v>118</v>
      </c>
      <c r="D5015" s="52" t="s">
        <v>118</v>
      </c>
      <c r="E5015" s="52" t="s">
        <v>584</v>
      </c>
      <c r="F5015" s="52" t="s">
        <v>26</v>
      </c>
      <c r="G5015" s="55" t="s">
        <v>279</v>
      </c>
      <c r="H5015" s="55">
        <v>5.4271010000000001E-2</v>
      </c>
      <c r="I5015" s="55">
        <v>4.13602E-2</v>
      </c>
      <c r="J5015" s="55">
        <v>3.6250299999999999E-2</v>
      </c>
      <c r="K5015" s="55">
        <v>3.4482899999999997E-2</v>
      </c>
      <c r="L5015" s="55">
        <v>3.2328599999999999E-2</v>
      </c>
      <c r="M5015" s="55">
        <v>2.88268E-2</v>
      </c>
      <c r="N5015" s="55">
        <v>2.5619200000000002E-2</v>
      </c>
    </row>
    <row r="5016" spans="1:14" hidden="1" x14ac:dyDescent="0.35">
      <c r="A5016" s="52" t="s">
        <v>671</v>
      </c>
      <c r="B5016" s="52" t="s">
        <v>291</v>
      </c>
      <c r="C5016" s="52" t="s">
        <v>102</v>
      </c>
      <c r="D5016" s="52" t="s">
        <v>102</v>
      </c>
      <c r="E5016" s="52" t="s">
        <v>584</v>
      </c>
      <c r="F5016" s="52" t="s">
        <v>581</v>
      </c>
      <c r="G5016" s="55" t="s">
        <v>275</v>
      </c>
      <c r="H5016" s="55">
        <v>-0.22724900000000001</v>
      </c>
      <c r="I5016" s="55">
        <v>-0.22724900000000001</v>
      </c>
      <c r="J5016" s="55">
        <v>0</v>
      </c>
      <c r="K5016" s="55">
        <v>0</v>
      </c>
      <c r="L5016" s="55">
        <v>0</v>
      </c>
      <c r="M5016" s="55">
        <v>0</v>
      </c>
      <c r="N5016" s="55">
        <v>0</v>
      </c>
    </row>
    <row r="5017" spans="1:14" hidden="1" x14ac:dyDescent="0.35">
      <c r="A5017" s="52" t="s">
        <v>671</v>
      </c>
      <c r="B5017" s="52" t="s">
        <v>291</v>
      </c>
      <c r="C5017" s="52" t="s">
        <v>102</v>
      </c>
      <c r="D5017" s="52" t="s">
        <v>102</v>
      </c>
      <c r="E5017" s="52" t="s">
        <v>584</v>
      </c>
      <c r="F5017" s="52" t="s">
        <v>581</v>
      </c>
      <c r="G5017" s="55" t="s">
        <v>276</v>
      </c>
      <c r="H5017" s="55"/>
      <c r="I5017" s="55"/>
      <c r="J5017" s="55">
        <v>-0.22724900000000001</v>
      </c>
      <c r="K5017" s="55">
        <v>-0.22724900000000001</v>
      </c>
      <c r="L5017" s="55">
        <v>-2.194312</v>
      </c>
      <c r="M5017" s="55">
        <v>-1.6741509999999999</v>
      </c>
      <c r="N5017" s="55">
        <v>-1.2871440000000001</v>
      </c>
    </row>
    <row r="5018" spans="1:14" hidden="1" x14ac:dyDescent="0.35">
      <c r="A5018" s="52" t="s">
        <v>671</v>
      </c>
      <c r="B5018" s="52" t="s">
        <v>291</v>
      </c>
      <c r="C5018" s="52" t="s">
        <v>102</v>
      </c>
      <c r="D5018" s="52" t="s">
        <v>102</v>
      </c>
      <c r="E5018" s="52" t="s">
        <v>584</v>
      </c>
      <c r="F5018" s="52" t="s">
        <v>581</v>
      </c>
      <c r="G5018" s="55" t="s">
        <v>278</v>
      </c>
      <c r="H5018" s="55">
        <v>0.22724900000000001</v>
      </c>
      <c r="I5018" s="55">
        <v>0.22724900000000001</v>
      </c>
      <c r="J5018" s="55">
        <v>0.22724900000000001</v>
      </c>
      <c r="K5018" s="55">
        <v>0.22724900000000001</v>
      </c>
      <c r="L5018" s="55">
        <v>2.1943109999999999</v>
      </c>
      <c r="M5018" s="55">
        <v>1.6741509999999999</v>
      </c>
      <c r="N5018" s="55">
        <v>1.2871440000000001</v>
      </c>
    </row>
    <row r="5019" spans="1:14" hidden="1" x14ac:dyDescent="0.35">
      <c r="A5019" s="52" t="s">
        <v>685</v>
      </c>
      <c r="B5019" s="52" t="s">
        <v>37</v>
      </c>
      <c r="C5019" s="52" t="s">
        <v>35</v>
      </c>
      <c r="D5019" s="52" t="s">
        <v>36</v>
      </c>
      <c r="E5019" s="52" t="s">
        <v>589</v>
      </c>
      <c r="F5019" s="52" t="s">
        <v>581</v>
      </c>
      <c r="G5019" s="55" t="s">
        <v>275</v>
      </c>
      <c r="H5019" s="55">
        <v>-235.6104</v>
      </c>
      <c r="I5019" s="55">
        <v>36.229340000000001</v>
      </c>
      <c r="J5019" s="55">
        <v>65.339889999999997</v>
      </c>
      <c r="K5019" s="55">
        <v>222.28620000000001</v>
      </c>
      <c r="L5019" s="55">
        <v>204.48</v>
      </c>
      <c r="M5019" s="55">
        <v>140.5813</v>
      </c>
      <c r="N5019" s="55">
        <v>105.7413</v>
      </c>
    </row>
    <row r="5020" spans="1:14" hidden="1" x14ac:dyDescent="0.35">
      <c r="A5020" s="52" t="s">
        <v>685</v>
      </c>
      <c r="B5020" s="52" t="s">
        <v>37</v>
      </c>
      <c r="C5020" s="52" t="s">
        <v>35</v>
      </c>
      <c r="D5020" s="52" t="s">
        <v>36</v>
      </c>
      <c r="E5020" s="52" t="s">
        <v>589</v>
      </c>
      <c r="F5020" s="52" t="s">
        <v>581</v>
      </c>
      <c r="G5020" s="55" t="s">
        <v>276</v>
      </c>
      <c r="H5020" s="55">
        <v>34.992040000000003</v>
      </c>
      <c r="I5020" s="55">
        <v>-5.1704809999999997</v>
      </c>
      <c r="J5020" s="55">
        <v>5.1684390000000002</v>
      </c>
      <c r="K5020" s="55">
        <v>-14.90061</v>
      </c>
      <c r="L5020" s="55">
        <v>-4.8796150000000003</v>
      </c>
      <c r="M5020" s="55">
        <v>28.864280000000001</v>
      </c>
      <c r="N5020" s="55">
        <v>29.030860000000001</v>
      </c>
    </row>
    <row r="5021" spans="1:14" hidden="1" x14ac:dyDescent="0.35">
      <c r="A5021" s="52" t="s">
        <v>685</v>
      </c>
      <c r="B5021" s="52" t="s">
        <v>37</v>
      </c>
      <c r="C5021" s="52" t="s">
        <v>35</v>
      </c>
      <c r="D5021" s="52" t="s">
        <v>36</v>
      </c>
      <c r="E5021" s="52" t="s">
        <v>589</v>
      </c>
      <c r="F5021" s="52" t="s">
        <v>581</v>
      </c>
      <c r="G5021" s="55" t="s">
        <v>277</v>
      </c>
      <c r="H5021" s="55">
        <v>616.62570000000005</v>
      </c>
      <c r="I5021" s="55">
        <v>187.6884</v>
      </c>
      <c r="J5021" s="55">
        <v>113.15560000000001</v>
      </c>
      <c r="K5021" s="55">
        <v>26.233519999999999</v>
      </c>
      <c r="L5021" s="55">
        <v>34.44218</v>
      </c>
      <c r="M5021" s="55">
        <v>46.388979999999997</v>
      </c>
      <c r="N5021" s="55">
        <v>105.9883</v>
      </c>
    </row>
    <row r="5022" spans="1:14" hidden="1" x14ac:dyDescent="0.35">
      <c r="A5022" s="52" t="s">
        <v>685</v>
      </c>
      <c r="B5022" s="52" t="s">
        <v>37</v>
      </c>
      <c r="C5022" s="52" t="s">
        <v>35</v>
      </c>
      <c r="D5022" s="52" t="s">
        <v>36</v>
      </c>
      <c r="E5022" s="52" t="s">
        <v>589</v>
      </c>
      <c r="F5022" s="52" t="s">
        <v>581</v>
      </c>
      <c r="G5022" s="55" t="s">
        <v>278</v>
      </c>
      <c r="H5022" s="55">
        <v>0.37437500000000001</v>
      </c>
      <c r="I5022" s="55">
        <v>0.28211269999999999</v>
      </c>
      <c r="J5022" s="55">
        <v>108.2692</v>
      </c>
      <c r="K5022" s="55">
        <v>83.140789999999996</v>
      </c>
      <c r="L5022" s="55">
        <v>84.279039999999995</v>
      </c>
      <c r="M5022" s="55">
        <v>79.442629999999994</v>
      </c>
      <c r="N5022" s="55">
        <v>69.880359999999996</v>
      </c>
    </row>
    <row r="5023" spans="1:14" hidden="1" x14ac:dyDescent="0.35">
      <c r="A5023" s="52" t="s">
        <v>685</v>
      </c>
      <c r="B5023" s="52" t="s">
        <v>37</v>
      </c>
      <c r="C5023" s="52" t="s">
        <v>35</v>
      </c>
      <c r="D5023" s="52" t="s">
        <v>36</v>
      </c>
      <c r="E5023" s="52" t="s">
        <v>589</v>
      </c>
      <c r="F5023" s="52" t="s">
        <v>581</v>
      </c>
      <c r="G5023" s="55" t="s">
        <v>279</v>
      </c>
      <c r="H5023" s="55">
        <v>136.714</v>
      </c>
      <c r="I5023" s="55">
        <v>128.2825</v>
      </c>
      <c r="J5023" s="55">
        <v>159.36009999999999</v>
      </c>
      <c r="K5023" s="55">
        <v>178.75210000000001</v>
      </c>
      <c r="L5023" s="55">
        <v>162.75989999999999</v>
      </c>
      <c r="M5023" s="55">
        <v>186.5958</v>
      </c>
      <c r="N5023" s="55">
        <v>194.92740000000001</v>
      </c>
    </row>
    <row r="5024" spans="1:14" hidden="1" x14ac:dyDescent="0.35">
      <c r="A5024" s="52" t="s">
        <v>685</v>
      </c>
      <c r="B5024" s="52" t="s">
        <v>37</v>
      </c>
      <c r="C5024" s="52" t="s">
        <v>35</v>
      </c>
      <c r="D5024" s="52" t="s">
        <v>36</v>
      </c>
      <c r="E5024" s="52" t="s">
        <v>589</v>
      </c>
      <c r="F5024" s="52" t="s">
        <v>26</v>
      </c>
      <c r="G5024" s="55" t="s">
        <v>275</v>
      </c>
      <c r="H5024" s="55">
        <v>-7.7972760000000001</v>
      </c>
      <c r="I5024" s="55">
        <v>-6.9479670000000002</v>
      </c>
      <c r="J5024" s="55">
        <v>-7.908334</v>
      </c>
      <c r="K5024" s="55">
        <v>-9.3409060000000004</v>
      </c>
      <c r="L5024" s="55">
        <v>-8.1075459999999993</v>
      </c>
      <c r="M5024" s="55">
        <v>-10.687049999999999</v>
      </c>
      <c r="N5024" s="55">
        <v>-11.151540000000001</v>
      </c>
    </row>
    <row r="5025" spans="1:14" hidden="1" x14ac:dyDescent="0.35">
      <c r="A5025" s="52" t="s">
        <v>685</v>
      </c>
      <c r="B5025" s="52" t="s">
        <v>37</v>
      </c>
      <c r="C5025" s="52" t="s">
        <v>35</v>
      </c>
      <c r="D5025" s="52" t="s">
        <v>36</v>
      </c>
      <c r="E5025" s="52" t="s">
        <v>589</v>
      </c>
      <c r="F5025" s="52" t="s">
        <v>26</v>
      </c>
      <c r="G5025" s="55" t="s">
        <v>276</v>
      </c>
      <c r="H5025" s="55">
        <v>-2.0726930000000001</v>
      </c>
      <c r="I5025" s="55">
        <v>-1.8469279999999999</v>
      </c>
      <c r="J5025" s="55">
        <v>-2.1022240000000001</v>
      </c>
      <c r="K5025" s="55">
        <v>-2.4830350000000001</v>
      </c>
      <c r="L5025" s="55">
        <v>-2.1551650000000002</v>
      </c>
      <c r="M5025" s="55">
        <v>-2.8408679999999999</v>
      </c>
      <c r="N5025" s="55">
        <v>-2.9643350000000002</v>
      </c>
    </row>
    <row r="5026" spans="1:14" hidden="1" x14ac:dyDescent="0.35">
      <c r="A5026" s="52" t="s">
        <v>685</v>
      </c>
      <c r="B5026" s="52" t="s">
        <v>37</v>
      </c>
      <c r="C5026" s="52" t="s">
        <v>35</v>
      </c>
      <c r="D5026" s="52" t="s">
        <v>36</v>
      </c>
      <c r="E5026" s="52" t="s">
        <v>589</v>
      </c>
      <c r="F5026" s="52" t="s">
        <v>26</v>
      </c>
      <c r="G5026" s="55" t="s">
        <v>279</v>
      </c>
      <c r="H5026" s="55">
        <v>19.302250000000001</v>
      </c>
      <c r="I5026" s="55">
        <v>16.624739999999999</v>
      </c>
      <c r="J5026" s="55">
        <v>20.62161</v>
      </c>
      <c r="K5026" s="55">
        <v>23.413399999999999</v>
      </c>
      <c r="L5026" s="55">
        <v>21.459610000000001</v>
      </c>
      <c r="M5026" s="55">
        <v>24.67878</v>
      </c>
      <c r="N5026" s="55">
        <v>25.750050000000002</v>
      </c>
    </row>
    <row r="5027" spans="1:14" hidden="1" x14ac:dyDescent="0.35">
      <c r="A5027" s="52" t="s">
        <v>685</v>
      </c>
      <c r="B5027" s="52" t="s">
        <v>37</v>
      </c>
      <c r="C5027" s="52" t="s">
        <v>35</v>
      </c>
      <c r="D5027" s="52" t="s">
        <v>36</v>
      </c>
      <c r="E5027" s="52" t="s">
        <v>590</v>
      </c>
      <c r="F5027" s="52" t="s">
        <v>581</v>
      </c>
      <c r="G5027" s="55" t="s">
        <v>275</v>
      </c>
      <c r="H5027" s="55">
        <v>274.23480000000001</v>
      </c>
      <c r="I5027" s="55">
        <v>211.2885</v>
      </c>
      <c r="J5027" s="55">
        <v>209.9374</v>
      </c>
      <c r="K5027" s="55">
        <v>183.82329999999999</v>
      </c>
      <c r="L5027" s="55">
        <v>146.21600000000001</v>
      </c>
      <c r="M5027" s="55">
        <v>108.8522</v>
      </c>
      <c r="N5027" s="55">
        <v>68.967960000000005</v>
      </c>
    </row>
    <row r="5028" spans="1:14" hidden="1" x14ac:dyDescent="0.35">
      <c r="A5028" s="52" t="s">
        <v>685</v>
      </c>
      <c r="B5028" s="52" t="s">
        <v>37</v>
      </c>
      <c r="C5028" s="52" t="s">
        <v>35</v>
      </c>
      <c r="D5028" s="52" t="s">
        <v>36</v>
      </c>
      <c r="E5028" s="52" t="s">
        <v>590</v>
      </c>
      <c r="F5028" s="52" t="s">
        <v>581</v>
      </c>
      <c r="G5028" s="55" t="s">
        <v>276</v>
      </c>
      <c r="H5028" s="55">
        <v>55.504330000000003</v>
      </c>
      <c r="I5028" s="55">
        <v>-16.654209999999999</v>
      </c>
      <c r="J5028" s="55">
        <v>-18.67876</v>
      </c>
      <c r="K5028" s="55">
        <v>-7.9489489999999998</v>
      </c>
      <c r="L5028" s="55">
        <v>12.976179999999999</v>
      </c>
      <c r="M5028" s="55">
        <v>26.781870000000001</v>
      </c>
      <c r="N5028" s="55">
        <v>26.897089999999999</v>
      </c>
    </row>
    <row r="5029" spans="1:14" hidden="1" x14ac:dyDescent="0.35">
      <c r="A5029" s="52" t="s">
        <v>685</v>
      </c>
      <c r="B5029" s="52" t="s">
        <v>37</v>
      </c>
      <c r="C5029" s="52" t="s">
        <v>35</v>
      </c>
      <c r="D5029" s="52" t="s">
        <v>36</v>
      </c>
      <c r="E5029" s="52" t="s">
        <v>590</v>
      </c>
      <c r="F5029" s="52" t="s">
        <v>581</v>
      </c>
      <c r="G5029" s="55" t="s">
        <v>277</v>
      </c>
      <c r="H5029" s="55">
        <v>249.91120000000001</v>
      </c>
      <c r="I5029" s="55">
        <v>44.919089999999997</v>
      </c>
      <c r="J5029" s="55">
        <v>14.11238</v>
      </c>
      <c r="K5029" s="55">
        <v>6.1921799999999996</v>
      </c>
      <c r="L5029" s="55">
        <v>7.7947850000000001</v>
      </c>
      <c r="M5029" s="55">
        <v>9.8471620000000009</v>
      </c>
      <c r="N5029" s="55">
        <v>33.079990000000002</v>
      </c>
    </row>
    <row r="5030" spans="1:14" hidden="1" x14ac:dyDescent="0.35">
      <c r="A5030" s="52" t="s">
        <v>685</v>
      </c>
      <c r="B5030" s="52" t="s">
        <v>37</v>
      </c>
      <c r="C5030" s="52" t="s">
        <v>35</v>
      </c>
      <c r="D5030" s="52" t="s">
        <v>36</v>
      </c>
      <c r="E5030" s="52" t="s">
        <v>590</v>
      </c>
      <c r="F5030" s="52" t="s">
        <v>581</v>
      </c>
      <c r="G5030" s="55" t="s">
        <v>278</v>
      </c>
      <c r="H5030" s="55">
        <v>8.8805999999999996E-2</v>
      </c>
      <c r="I5030" s="55">
        <v>7.2103299999999995E-2</v>
      </c>
      <c r="J5030" s="55">
        <v>7.0128240000000002</v>
      </c>
      <c r="K5030" s="55">
        <v>6.5592879999999996</v>
      </c>
      <c r="L5030" s="55">
        <v>10.1434</v>
      </c>
      <c r="M5030" s="55">
        <v>11.39359</v>
      </c>
      <c r="N5030" s="55">
        <v>26.756989999999998</v>
      </c>
    </row>
    <row r="5031" spans="1:14" hidden="1" x14ac:dyDescent="0.35">
      <c r="A5031" s="52" t="s">
        <v>685</v>
      </c>
      <c r="B5031" s="52" t="s">
        <v>37</v>
      </c>
      <c r="C5031" s="52" t="s">
        <v>35</v>
      </c>
      <c r="D5031" s="52" t="s">
        <v>36</v>
      </c>
      <c r="E5031" s="52" t="s">
        <v>590</v>
      </c>
      <c r="F5031" s="52" t="s">
        <v>581</v>
      </c>
      <c r="G5031" s="55" t="s">
        <v>279</v>
      </c>
      <c r="H5031" s="55">
        <v>185.51009999999999</v>
      </c>
      <c r="I5031" s="55">
        <v>136.86019999999999</v>
      </c>
      <c r="J5031" s="55">
        <v>114.149</v>
      </c>
      <c r="K5031" s="55">
        <v>104.5741</v>
      </c>
      <c r="L5031" s="55">
        <v>91.446179999999998</v>
      </c>
      <c r="M5031" s="55">
        <v>97.529889999999995</v>
      </c>
      <c r="N5031" s="55">
        <v>95.995869999999996</v>
      </c>
    </row>
    <row r="5032" spans="1:14" hidden="1" x14ac:dyDescent="0.35">
      <c r="A5032" s="52" t="s">
        <v>685</v>
      </c>
      <c r="B5032" s="52" t="s">
        <v>37</v>
      </c>
      <c r="C5032" s="52" t="s">
        <v>35</v>
      </c>
      <c r="D5032" s="52" t="s">
        <v>36</v>
      </c>
      <c r="E5032" s="52" t="s">
        <v>590</v>
      </c>
      <c r="F5032" s="52" t="s">
        <v>26</v>
      </c>
      <c r="G5032" s="55" t="s">
        <v>275</v>
      </c>
      <c r="H5032" s="55">
        <v>-12.56917</v>
      </c>
      <c r="I5032" s="55">
        <v>-8.8377970000000001</v>
      </c>
      <c r="J5032" s="55">
        <v>-6.7754529999999997</v>
      </c>
      <c r="K5032" s="55">
        <v>-6.5278980000000004</v>
      </c>
      <c r="L5032" s="55">
        <v>-5.5518770000000002</v>
      </c>
      <c r="M5032" s="55">
        <v>-6.6774290000000001</v>
      </c>
      <c r="N5032" s="55">
        <v>-6.5621229999999997</v>
      </c>
    </row>
    <row r="5033" spans="1:14" hidden="1" x14ac:dyDescent="0.35">
      <c r="A5033" s="52" t="s">
        <v>685</v>
      </c>
      <c r="B5033" s="52" t="s">
        <v>37</v>
      </c>
      <c r="C5033" s="52" t="s">
        <v>35</v>
      </c>
      <c r="D5033" s="52" t="s">
        <v>36</v>
      </c>
      <c r="E5033" s="52" t="s">
        <v>590</v>
      </c>
      <c r="F5033" s="52" t="s">
        <v>26</v>
      </c>
      <c r="G5033" s="55" t="s">
        <v>276</v>
      </c>
      <c r="H5033" s="55">
        <v>-3.3411710000000001</v>
      </c>
      <c r="I5033" s="55">
        <v>-2.3492769999999998</v>
      </c>
      <c r="J5033" s="55">
        <v>-1.801061</v>
      </c>
      <c r="K5033" s="55">
        <v>-1.735277</v>
      </c>
      <c r="L5033" s="55">
        <v>-1.475813</v>
      </c>
      <c r="M5033" s="55">
        <v>-1.7750049999999999</v>
      </c>
      <c r="N5033" s="55">
        <v>-1.7443649999999999</v>
      </c>
    </row>
    <row r="5034" spans="1:14" hidden="1" x14ac:dyDescent="0.35">
      <c r="A5034" s="52" t="s">
        <v>685</v>
      </c>
      <c r="B5034" s="52" t="s">
        <v>37</v>
      </c>
      <c r="C5034" s="52" t="s">
        <v>35</v>
      </c>
      <c r="D5034" s="52" t="s">
        <v>36</v>
      </c>
      <c r="E5034" s="52" t="s">
        <v>590</v>
      </c>
      <c r="F5034" s="52" t="s">
        <v>26</v>
      </c>
      <c r="G5034" s="55" t="s">
        <v>279</v>
      </c>
      <c r="H5034" s="55">
        <v>31.115120000000001</v>
      </c>
      <c r="I5034" s="55">
        <v>21.11157</v>
      </c>
      <c r="J5034" s="55">
        <v>17.595970000000001</v>
      </c>
      <c r="K5034" s="55">
        <v>16.31315</v>
      </c>
      <c r="L5034" s="55">
        <v>14.36856</v>
      </c>
      <c r="M5034" s="55">
        <v>15.37036</v>
      </c>
      <c r="N5034" s="55">
        <v>15.106999999999999</v>
      </c>
    </row>
    <row r="5035" spans="1:14" hidden="1" x14ac:dyDescent="0.35">
      <c r="A5035" s="52" t="s">
        <v>685</v>
      </c>
      <c r="B5035" s="52" t="s">
        <v>37</v>
      </c>
      <c r="C5035" s="52" t="s">
        <v>35</v>
      </c>
      <c r="D5035" s="52" t="s">
        <v>36</v>
      </c>
      <c r="E5035" s="52" t="s">
        <v>588</v>
      </c>
      <c r="F5035" s="52" t="s">
        <v>581</v>
      </c>
      <c r="G5035" s="55" t="s">
        <v>275</v>
      </c>
      <c r="H5035" s="55">
        <v>-14.430350000000001</v>
      </c>
      <c r="I5035" s="55">
        <v>39.735080000000004</v>
      </c>
      <c r="J5035" s="55">
        <v>61.658230000000003</v>
      </c>
      <c r="K5035" s="55">
        <v>47.022460000000002</v>
      </c>
      <c r="L5035" s="55">
        <v>37.268920000000001</v>
      </c>
      <c r="M5035" s="55">
        <v>23.881340000000002</v>
      </c>
      <c r="N5035" s="55">
        <v>-42.336730000000003</v>
      </c>
    </row>
    <row r="5036" spans="1:14" hidden="1" x14ac:dyDescent="0.35">
      <c r="A5036" s="52" t="s">
        <v>685</v>
      </c>
      <c r="B5036" s="52" t="s">
        <v>37</v>
      </c>
      <c r="C5036" s="52" t="s">
        <v>35</v>
      </c>
      <c r="D5036" s="52" t="s">
        <v>36</v>
      </c>
      <c r="E5036" s="52" t="s">
        <v>588</v>
      </c>
      <c r="F5036" s="52" t="s">
        <v>581</v>
      </c>
      <c r="G5036" s="55" t="s">
        <v>276</v>
      </c>
      <c r="H5036" s="55">
        <v>3.849513</v>
      </c>
      <c r="I5036" s="55">
        <v>-4.2367800000000004</v>
      </c>
      <c r="J5036" s="55">
        <v>-16.57151</v>
      </c>
      <c r="K5036" s="55">
        <v>-7.5160499999999999</v>
      </c>
      <c r="L5036" s="55">
        <v>-3.0473499999999998</v>
      </c>
      <c r="M5036" s="55">
        <v>5.034662</v>
      </c>
      <c r="N5036" s="55">
        <v>6.0230779999999999</v>
      </c>
    </row>
    <row r="5037" spans="1:14" hidden="1" x14ac:dyDescent="0.35">
      <c r="A5037" s="52" t="s">
        <v>685</v>
      </c>
      <c r="B5037" s="52" t="s">
        <v>37</v>
      </c>
      <c r="C5037" s="52" t="s">
        <v>35</v>
      </c>
      <c r="D5037" s="52" t="s">
        <v>36</v>
      </c>
      <c r="E5037" s="52" t="s">
        <v>588</v>
      </c>
      <c r="F5037" s="52" t="s">
        <v>581</v>
      </c>
      <c r="G5037" s="55" t="s">
        <v>277</v>
      </c>
      <c r="H5037" s="55">
        <v>118.9449</v>
      </c>
      <c r="I5037" s="55">
        <v>15.83658</v>
      </c>
      <c r="J5037" s="55">
        <v>2.0042810000000002</v>
      </c>
      <c r="K5037" s="55">
        <v>0.26101750000000001</v>
      </c>
      <c r="L5037" s="55">
        <v>0.39878269999999999</v>
      </c>
      <c r="M5037" s="55">
        <v>0.58215019999999995</v>
      </c>
      <c r="N5037" s="55">
        <v>20.907509999999998</v>
      </c>
    </row>
    <row r="5038" spans="1:14" hidden="1" x14ac:dyDescent="0.35">
      <c r="A5038" s="52" t="s">
        <v>685</v>
      </c>
      <c r="B5038" s="52" t="s">
        <v>37</v>
      </c>
      <c r="C5038" s="52" t="s">
        <v>35</v>
      </c>
      <c r="D5038" s="52" t="s">
        <v>36</v>
      </c>
      <c r="E5038" s="52" t="s">
        <v>588</v>
      </c>
      <c r="F5038" s="52" t="s">
        <v>581</v>
      </c>
      <c r="G5038" s="55" t="s">
        <v>278</v>
      </c>
      <c r="H5038" s="55">
        <v>5.5130999999999999E-2</v>
      </c>
      <c r="I5038" s="55">
        <v>4.0099599999999999E-2</v>
      </c>
      <c r="J5038" s="55">
        <v>0.64812700000000001</v>
      </c>
      <c r="K5038" s="55">
        <v>1.5909500000000001</v>
      </c>
      <c r="L5038" s="55">
        <v>2.440264</v>
      </c>
      <c r="M5038" s="55">
        <v>2.5735760000000001</v>
      </c>
      <c r="N5038" s="55">
        <v>63.016689999999997</v>
      </c>
    </row>
    <row r="5039" spans="1:14" hidden="1" x14ac:dyDescent="0.35">
      <c r="A5039" s="52" t="s">
        <v>685</v>
      </c>
      <c r="B5039" s="52" t="s">
        <v>37</v>
      </c>
      <c r="C5039" s="52" t="s">
        <v>35</v>
      </c>
      <c r="D5039" s="52" t="s">
        <v>36</v>
      </c>
      <c r="E5039" s="52" t="s">
        <v>588</v>
      </c>
      <c r="F5039" s="52" t="s">
        <v>581</v>
      </c>
      <c r="G5039" s="55" t="s">
        <v>279</v>
      </c>
      <c r="H5039" s="55">
        <v>31.759</v>
      </c>
      <c r="I5039" s="55">
        <v>26.317309999999999</v>
      </c>
      <c r="J5039" s="55">
        <v>23.037780000000001</v>
      </c>
      <c r="K5039" s="55">
        <v>20.602550000000001</v>
      </c>
      <c r="L5039" s="55">
        <v>17.284680000000002</v>
      </c>
      <c r="M5039" s="55">
        <v>17.803750000000001</v>
      </c>
      <c r="N5039" s="55">
        <v>25.936319999999998</v>
      </c>
    </row>
    <row r="5040" spans="1:14" hidden="1" x14ac:dyDescent="0.35">
      <c r="A5040" s="52" t="s">
        <v>685</v>
      </c>
      <c r="B5040" s="52" t="s">
        <v>37</v>
      </c>
      <c r="C5040" s="52" t="s">
        <v>35</v>
      </c>
      <c r="D5040" s="52" t="s">
        <v>36</v>
      </c>
      <c r="E5040" s="52" t="s">
        <v>588</v>
      </c>
      <c r="F5040" s="52" t="s">
        <v>26</v>
      </c>
      <c r="G5040" s="55" t="s">
        <v>275</v>
      </c>
      <c r="H5040" s="55">
        <v>-2.8704550000000002</v>
      </c>
      <c r="I5040" s="55">
        <v>-2.2573979999999998</v>
      </c>
      <c r="J5040" s="55">
        <v>-1.813382</v>
      </c>
      <c r="K5040" s="55">
        <v>-1.7078310000000001</v>
      </c>
      <c r="L5040" s="55">
        <v>-1.3945959999999999</v>
      </c>
      <c r="M5040" s="55">
        <v>-1.6202220000000001</v>
      </c>
      <c r="N5040" s="55">
        <v>-2.3466520000000002</v>
      </c>
    </row>
    <row r="5041" spans="1:14" hidden="1" x14ac:dyDescent="0.35">
      <c r="A5041" s="52" t="s">
        <v>685</v>
      </c>
      <c r="B5041" s="52" t="s">
        <v>37</v>
      </c>
      <c r="C5041" s="52" t="s">
        <v>35</v>
      </c>
      <c r="D5041" s="52" t="s">
        <v>36</v>
      </c>
      <c r="E5041" s="52" t="s">
        <v>588</v>
      </c>
      <c r="F5041" s="52" t="s">
        <v>26</v>
      </c>
      <c r="G5041" s="55" t="s">
        <v>276</v>
      </c>
      <c r="H5041" s="55">
        <v>-0.76303509999999997</v>
      </c>
      <c r="I5041" s="55">
        <v>-0.6000683</v>
      </c>
      <c r="J5041" s="55">
        <v>-0.4820393</v>
      </c>
      <c r="K5041" s="55">
        <v>-0.45398080000000002</v>
      </c>
      <c r="L5041" s="55">
        <v>-0.3707145</v>
      </c>
      <c r="M5041" s="55">
        <v>-0.4306912</v>
      </c>
      <c r="N5041" s="55">
        <v>-0.62379470000000004</v>
      </c>
    </row>
    <row r="5042" spans="1:14" hidden="1" x14ac:dyDescent="0.35">
      <c r="A5042" s="52" t="s">
        <v>685</v>
      </c>
      <c r="B5042" s="52" t="s">
        <v>37</v>
      </c>
      <c r="C5042" s="52" t="s">
        <v>35</v>
      </c>
      <c r="D5042" s="52" t="s">
        <v>36</v>
      </c>
      <c r="E5042" s="52" t="s">
        <v>588</v>
      </c>
      <c r="F5042" s="52" t="s">
        <v>26</v>
      </c>
      <c r="G5042" s="55" t="s">
        <v>279</v>
      </c>
      <c r="H5042" s="55">
        <v>7.1058500000000002</v>
      </c>
      <c r="I5042" s="55">
        <v>5.3918309999999998</v>
      </c>
      <c r="J5042" s="55">
        <v>4.7104160000000004</v>
      </c>
      <c r="K5042" s="55">
        <v>4.2664999999999997</v>
      </c>
      <c r="L5042" s="55">
        <v>3.6027849999999999</v>
      </c>
      <c r="M5042" s="55">
        <v>3.7286079999999999</v>
      </c>
      <c r="N5042" s="55">
        <v>5.412496</v>
      </c>
    </row>
    <row r="5043" spans="1:14" hidden="1" x14ac:dyDescent="0.35">
      <c r="A5043" s="52" t="s">
        <v>685</v>
      </c>
      <c r="B5043" s="52" t="s">
        <v>37</v>
      </c>
      <c r="C5043" s="52" t="s">
        <v>35</v>
      </c>
      <c r="D5043" s="52" t="s">
        <v>36</v>
      </c>
      <c r="E5043" s="52" t="s">
        <v>587</v>
      </c>
      <c r="F5043" s="52" t="s">
        <v>581</v>
      </c>
      <c r="G5043" s="55" t="s">
        <v>275</v>
      </c>
      <c r="H5043" s="55">
        <v>45.377780000000001</v>
      </c>
      <c r="I5043" s="55">
        <v>17.508579999999998</v>
      </c>
      <c r="J5043" s="55">
        <v>15.76182</v>
      </c>
      <c r="K5043" s="55">
        <v>12.704890000000001</v>
      </c>
      <c r="L5043" s="55">
        <v>11.799989999999999</v>
      </c>
      <c r="M5043" s="55">
        <v>9.9484519999999996</v>
      </c>
      <c r="N5043" s="55">
        <v>9.0088980000000003</v>
      </c>
    </row>
    <row r="5044" spans="1:14" hidden="1" x14ac:dyDescent="0.35">
      <c r="A5044" s="52" t="s">
        <v>685</v>
      </c>
      <c r="B5044" s="52" t="s">
        <v>37</v>
      </c>
      <c r="C5044" s="52" t="s">
        <v>35</v>
      </c>
      <c r="D5044" s="52" t="s">
        <v>36</v>
      </c>
      <c r="E5044" s="52" t="s">
        <v>587</v>
      </c>
      <c r="F5044" s="52" t="s">
        <v>581</v>
      </c>
      <c r="G5044" s="55" t="s">
        <v>276</v>
      </c>
      <c r="H5044" s="55">
        <v>4.9689069999999997</v>
      </c>
      <c r="I5044" s="55">
        <v>2.1718160000000002</v>
      </c>
      <c r="J5044" s="55">
        <v>2.2261470000000001</v>
      </c>
      <c r="K5044" s="55">
        <v>3.3772489999999999</v>
      </c>
      <c r="L5044" s="55">
        <v>3.1367069999999999</v>
      </c>
      <c r="M5044" s="55">
        <v>2.6445240000000001</v>
      </c>
      <c r="N5044" s="55">
        <v>2.3947699999999998</v>
      </c>
    </row>
    <row r="5045" spans="1:14" hidden="1" x14ac:dyDescent="0.35">
      <c r="A5045" s="52" t="s">
        <v>685</v>
      </c>
      <c r="B5045" s="52" t="s">
        <v>37</v>
      </c>
      <c r="C5045" s="52" t="s">
        <v>35</v>
      </c>
      <c r="D5045" s="52" t="s">
        <v>36</v>
      </c>
      <c r="E5045" s="52" t="s">
        <v>587</v>
      </c>
      <c r="F5045" s="52" t="s">
        <v>581</v>
      </c>
      <c r="G5045" s="55" t="s">
        <v>277</v>
      </c>
      <c r="H5045" s="55"/>
      <c r="I5045" s="55"/>
      <c r="J5045" s="55"/>
      <c r="K5045" s="55"/>
      <c r="L5045" s="55"/>
      <c r="M5045" s="55">
        <v>0</v>
      </c>
      <c r="N5045" s="55">
        <v>0</v>
      </c>
    </row>
    <row r="5046" spans="1:14" hidden="1" x14ac:dyDescent="0.35">
      <c r="A5046" s="52" t="s">
        <v>685</v>
      </c>
      <c r="B5046" s="52" t="s">
        <v>37</v>
      </c>
      <c r="C5046" s="52" t="s">
        <v>35</v>
      </c>
      <c r="D5046" s="52" t="s">
        <v>36</v>
      </c>
      <c r="E5046" s="52" t="s">
        <v>587</v>
      </c>
      <c r="F5046" s="52" t="s">
        <v>581</v>
      </c>
      <c r="G5046" s="55" t="s">
        <v>279</v>
      </c>
      <c r="H5046" s="55">
        <v>17.691130000000001</v>
      </c>
      <c r="I5046" s="55">
        <v>12.69943</v>
      </c>
      <c r="J5046" s="55">
        <v>10.91207</v>
      </c>
      <c r="K5046" s="55">
        <v>10.10755</v>
      </c>
      <c r="L5046" s="55">
        <v>8.7964990000000007</v>
      </c>
      <c r="M5046" s="55">
        <v>8.9680630000000008</v>
      </c>
      <c r="N5046" s="55">
        <v>8.0727790000000006</v>
      </c>
    </row>
    <row r="5047" spans="1:14" hidden="1" x14ac:dyDescent="0.35">
      <c r="A5047" s="52" t="s">
        <v>685</v>
      </c>
      <c r="B5047" s="52" t="s">
        <v>37</v>
      </c>
      <c r="C5047" s="52" t="s">
        <v>35</v>
      </c>
      <c r="D5047" s="52" t="s">
        <v>36</v>
      </c>
      <c r="E5047" s="52" t="s">
        <v>587</v>
      </c>
      <c r="F5047" s="52" t="s">
        <v>26</v>
      </c>
      <c r="G5047" s="55" t="s">
        <v>275</v>
      </c>
      <c r="H5047" s="55">
        <v>-3.3006229999999999</v>
      </c>
      <c r="I5047" s="55">
        <v>-2.2641360000000001</v>
      </c>
      <c r="J5047" s="55">
        <v>-1.7843880000000001</v>
      </c>
      <c r="K5047" s="55">
        <v>-1.743206</v>
      </c>
      <c r="L5047" s="55">
        <v>-1.4868920000000001</v>
      </c>
      <c r="M5047" s="55">
        <v>-1.7011989999999999</v>
      </c>
      <c r="N5047" s="55">
        <v>-1.530624</v>
      </c>
    </row>
    <row r="5048" spans="1:14" hidden="1" x14ac:dyDescent="0.35">
      <c r="A5048" s="52" t="s">
        <v>685</v>
      </c>
      <c r="B5048" s="52" t="s">
        <v>37</v>
      </c>
      <c r="C5048" s="52" t="s">
        <v>35</v>
      </c>
      <c r="D5048" s="52" t="s">
        <v>36</v>
      </c>
      <c r="E5048" s="52" t="s">
        <v>587</v>
      </c>
      <c r="F5048" s="52" t="s">
        <v>26</v>
      </c>
      <c r="G5048" s="55" t="s">
        <v>276</v>
      </c>
      <c r="H5048" s="55">
        <v>-0.87738110000000002</v>
      </c>
      <c r="I5048" s="55">
        <v>-0.60185889999999997</v>
      </c>
      <c r="J5048" s="55">
        <v>-0.4743308</v>
      </c>
      <c r="K5048" s="55">
        <v>-0.46338400000000002</v>
      </c>
      <c r="L5048" s="55">
        <v>-0.39525009999999999</v>
      </c>
      <c r="M5048" s="55">
        <v>-0.4522176</v>
      </c>
      <c r="N5048" s="55">
        <v>-0.40687440000000002</v>
      </c>
    </row>
    <row r="5049" spans="1:14" hidden="1" x14ac:dyDescent="0.35">
      <c r="A5049" s="52" t="s">
        <v>685</v>
      </c>
      <c r="B5049" s="52" t="s">
        <v>37</v>
      </c>
      <c r="C5049" s="52" t="s">
        <v>35</v>
      </c>
      <c r="D5049" s="52" t="s">
        <v>36</v>
      </c>
      <c r="E5049" s="52" t="s">
        <v>587</v>
      </c>
      <c r="F5049" s="52" t="s">
        <v>26</v>
      </c>
      <c r="G5049" s="55" t="s">
        <v>279</v>
      </c>
      <c r="H5049" s="55">
        <v>8.3830019999999994</v>
      </c>
      <c r="I5049" s="55">
        <v>5.5384729999999998</v>
      </c>
      <c r="J5049" s="55">
        <v>4.7619550000000004</v>
      </c>
      <c r="K5049" s="55">
        <v>4.4643759999999997</v>
      </c>
      <c r="L5049" s="55">
        <v>3.920099</v>
      </c>
      <c r="M5049" s="55">
        <v>3.996569</v>
      </c>
      <c r="N5049" s="55">
        <v>3.5943450000000001</v>
      </c>
    </row>
    <row r="5050" spans="1:14" hidden="1" x14ac:dyDescent="0.35">
      <c r="A5050" s="52" t="s">
        <v>685</v>
      </c>
      <c r="B5050" s="52" t="s">
        <v>37</v>
      </c>
      <c r="C5050" s="52" t="s">
        <v>35</v>
      </c>
      <c r="D5050" s="52" t="s">
        <v>129</v>
      </c>
      <c r="E5050" s="52" t="s">
        <v>580</v>
      </c>
      <c r="F5050" s="52" t="s">
        <v>581</v>
      </c>
      <c r="G5050" s="55" t="s">
        <v>275</v>
      </c>
      <c r="H5050" s="55">
        <v>-152.286</v>
      </c>
      <c r="I5050" s="55">
        <v>137.8049</v>
      </c>
      <c r="J5050" s="55">
        <v>251.0197</v>
      </c>
      <c r="K5050" s="55">
        <v>275.52499999999998</v>
      </c>
      <c r="L5050" s="55">
        <v>223.19579999999999</v>
      </c>
      <c r="M5050" s="55">
        <v>125.3151</v>
      </c>
      <c r="N5050" s="55">
        <v>55.212580000000003</v>
      </c>
    </row>
    <row r="5051" spans="1:14" hidden="1" x14ac:dyDescent="0.35">
      <c r="A5051" s="52" t="s">
        <v>685</v>
      </c>
      <c r="B5051" s="52" t="s">
        <v>37</v>
      </c>
      <c r="C5051" s="52" t="s">
        <v>35</v>
      </c>
      <c r="D5051" s="52" t="s">
        <v>129</v>
      </c>
      <c r="E5051" s="52" t="s">
        <v>580</v>
      </c>
      <c r="F5051" s="52" t="s">
        <v>581</v>
      </c>
      <c r="G5051" s="55" t="s">
        <v>276</v>
      </c>
      <c r="H5051" s="55">
        <v>57.953319999999998</v>
      </c>
      <c r="I5051" s="55">
        <v>-52.763620000000003</v>
      </c>
      <c r="J5051" s="55">
        <v>-83.362110000000001</v>
      </c>
      <c r="K5051" s="55">
        <v>-83.082170000000005</v>
      </c>
      <c r="L5051" s="55">
        <v>-43.325659999999999</v>
      </c>
      <c r="M5051" s="55">
        <v>20.512149999999998</v>
      </c>
      <c r="N5051" s="55">
        <v>26.755130000000001</v>
      </c>
    </row>
    <row r="5052" spans="1:14" hidden="1" x14ac:dyDescent="0.35">
      <c r="A5052" s="52" t="s">
        <v>685</v>
      </c>
      <c r="B5052" s="52" t="s">
        <v>37</v>
      </c>
      <c r="C5052" s="52" t="s">
        <v>35</v>
      </c>
      <c r="D5052" s="52" t="s">
        <v>129</v>
      </c>
      <c r="E5052" s="52" t="s">
        <v>580</v>
      </c>
      <c r="F5052" s="52" t="s">
        <v>581</v>
      </c>
      <c r="G5052" s="55" t="s">
        <v>277</v>
      </c>
      <c r="H5052" s="55">
        <v>971.62720000000002</v>
      </c>
      <c r="I5052" s="55">
        <v>194.2801</v>
      </c>
      <c r="J5052" s="55">
        <v>62.091769999999997</v>
      </c>
      <c r="K5052" s="55">
        <v>22.087420000000002</v>
      </c>
      <c r="L5052" s="55">
        <v>28.52075</v>
      </c>
      <c r="M5052" s="55">
        <v>55.095109999999998</v>
      </c>
      <c r="N5052" s="55">
        <v>113.651</v>
      </c>
    </row>
    <row r="5053" spans="1:14" hidden="1" x14ac:dyDescent="0.35">
      <c r="A5053" s="52" t="s">
        <v>685</v>
      </c>
      <c r="B5053" s="52" t="s">
        <v>37</v>
      </c>
      <c r="C5053" s="52" t="s">
        <v>35</v>
      </c>
      <c r="D5053" s="52" t="s">
        <v>129</v>
      </c>
      <c r="E5053" s="52" t="s">
        <v>580</v>
      </c>
      <c r="F5053" s="52" t="s">
        <v>581</v>
      </c>
      <c r="G5053" s="55" t="s">
        <v>278</v>
      </c>
      <c r="H5053" s="55">
        <v>0.46668799999999999</v>
      </c>
      <c r="I5053" s="55">
        <v>0.34443370000000001</v>
      </c>
      <c r="J5053" s="55">
        <v>52.286619999999999</v>
      </c>
      <c r="K5053" s="55">
        <v>48.440719999999999</v>
      </c>
      <c r="L5053" s="55">
        <v>43.780810000000002</v>
      </c>
      <c r="M5053" s="55">
        <v>24.749939999999999</v>
      </c>
      <c r="N5053" s="55">
        <v>38.2727</v>
      </c>
    </row>
    <row r="5054" spans="1:14" hidden="1" x14ac:dyDescent="0.35">
      <c r="A5054" s="52" t="s">
        <v>685</v>
      </c>
      <c r="B5054" s="52" t="s">
        <v>37</v>
      </c>
      <c r="C5054" s="52" t="s">
        <v>35</v>
      </c>
      <c r="D5054" s="52" t="s">
        <v>129</v>
      </c>
      <c r="E5054" s="52" t="s">
        <v>580</v>
      </c>
      <c r="F5054" s="52" t="s">
        <v>581</v>
      </c>
      <c r="G5054" s="55" t="s">
        <v>279</v>
      </c>
      <c r="H5054" s="55">
        <v>269.50310000000002</v>
      </c>
      <c r="I5054" s="55">
        <v>170.9931</v>
      </c>
      <c r="J5054" s="55">
        <v>160.74170000000001</v>
      </c>
      <c r="K5054" s="55">
        <v>154.28210000000001</v>
      </c>
      <c r="L5054" s="55">
        <v>134.69820000000001</v>
      </c>
      <c r="M5054" s="55">
        <v>146.82060000000001</v>
      </c>
      <c r="N5054" s="55">
        <v>147.10480000000001</v>
      </c>
    </row>
    <row r="5055" spans="1:14" hidden="1" x14ac:dyDescent="0.35">
      <c r="A5055" s="52" t="s">
        <v>685</v>
      </c>
      <c r="B5055" s="52" t="s">
        <v>37</v>
      </c>
      <c r="C5055" s="52" t="s">
        <v>35</v>
      </c>
      <c r="D5055" s="52" t="s">
        <v>129</v>
      </c>
      <c r="E5055" s="52" t="s">
        <v>580</v>
      </c>
      <c r="F5055" s="52" t="s">
        <v>26</v>
      </c>
      <c r="G5055" s="55" t="s">
        <v>275</v>
      </c>
      <c r="H5055" s="55">
        <v>1.7289570000000001</v>
      </c>
      <c r="I5055" s="55">
        <v>1.0238700000000001</v>
      </c>
      <c r="J5055" s="55">
        <v>1.7889569999999999</v>
      </c>
      <c r="K5055" s="55">
        <v>0.23530429999999999</v>
      </c>
      <c r="L5055" s="55">
        <v>0.8648998</v>
      </c>
      <c r="M5055" s="55">
        <v>-1.788783</v>
      </c>
      <c r="N5055" s="55">
        <v>-2.028089</v>
      </c>
    </row>
    <row r="5056" spans="1:14" hidden="1" x14ac:dyDescent="0.35">
      <c r="A5056" s="52" t="s">
        <v>685</v>
      </c>
      <c r="B5056" s="52" t="s">
        <v>37</v>
      </c>
      <c r="C5056" s="52" t="s">
        <v>35</v>
      </c>
      <c r="D5056" s="52" t="s">
        <v>129</v>
      </c>
      <c r="E5056" s="52" t="s">
        <v>580</v>
      </c>
      <c r="F5056" s="52" t="s">
        <v>26</v>
      </c>
      <c r="G5056" s="55" t="s">
        <v>276</v>
      </c>
      <c r="H5056" s="55">
        <v>0.45961279999999999</v>
      </c>
      <c r="I5056" s="55">
        <v>0.27216810000000002</v>
      </c>
      <c r="J5056" s="55">
        <v>0.47554819999999998</v>
      </c>
      <c r="K5056" s="55">
        <v>6.2547149999999996E-2</v>
      </c>
      <c r="L5056" s="55">
        <v>0.22991200000000001</v>
      </c>
      <c r="M5056" s="55">
        <v>-0.47550530000000002</v>
      </c>
      <c r="N5056" s="55">
        <v>-0.53912000000000004</v>
      </c>
    </row>
    <row r="5057" spans="1:14" hidden="1" x14ac:dyDescent="0.35">
      <c r="A5057" s="52" t="s">
        <v>685</v>
      </c>
      <c r="B5057" s="52" t="s">
        <v>37</v>
      </c>
      <c r="C5057" s="52" t="s">
        <v>35</v>
      </c>
      <c r="D5057" s="52" t="s">
        <v>129</v>
      </c>
      <c r="E5057" s="52" t="s">
        <v>580</v>
      </c>
      <c r="F5057" s="52" t="s">
        <v>26</v>
      </c>
      <c r="G5057" s="55" t="s">
        <v>279</v>
      </c>
      <c r="H5057" s="55">
        <v>28.453710000000001</v>
      </c>
      <c r="I5057" s="55">
        <v>25.087150000000001</v>
      </c>
      <c r="J5057" s="55">
        <v>24.260549999999999</v>
      </c>
      <c r="K5057" s="55">
        <v>24.010680000000001</v>
      </c>
      <c r="L5057" s="55">
        <v>21.231909999999999</v>
      </c>
      <c r="M5057" s="55">
        <v>23.265540000000001</v>
      </c>
      <c r="N5057" s="55">
        <v>23.42615</v>
      </c>
    </row>
    <row r="5058" spans="1:14" hidden="1" x14ac:dyDescent="0.35">
      <c r="A5058" s="52" t="s">
        <v>662</v>
      </c>
      <c r="B5058" s="52" t="s">
        <v>37</v>
      </c>
      <c r="C5058" s="52" t="s">
        <v>63</v>
      </c>
      <c r="D5058" s="52" t="s">
        <v>63</v>
      </c>
      <c r="E5058" s="52" t="s">
        <v>621</v>
      </c>
      <c r="F5058" s="52" t="s">
        <v>26</v>
      </c>
      <c r="G5058" s="55" t="s">
        <v>275</v>
      </c>
      <c r="H5058" s="55">
        <v>-184.6189</v>
      </c>
      <c r="I5058" s="55">
        <v>68.048109999999994</v>
      </c>
      <c r="J5058" s="55">
        <v>134.36760000000001</v>
      </c>
      <c r="K5058" s="55">
        <v>133.05359999999999</v>
      </c>
      <c r="L5058" s="55">
        <v>147.6258</v>
      </c>
      <c r="M5058" s="55">
        <v>134.98859999999999</v>
      </c>
      <c r="N5058" s="55">
        <v>108.39230000000001</v>
      </c>
    </row>
    <row r="5059" spans="1:14" hidden="1" x14ac:dyDescent="0.35">
      <c r="A5059" s="52" t="s">
        <v>662</v>
      </c>
      <c r="B5059" s="52" t="s">
        <v>37</v>
      </c>
      <c r="C5059" s="52" t="s">
        <v>63</v>
      </c>
      <c r="D5059" s="52" t="s">
        <v>63</v>
      </c>
      <c r="E5059" s="52" t="s">
        <v>621</v>
      </c>
      <c r="F5059" s="52" t="s">
        <v>26</v>
      </c>
      <c r="G5059" s="55" t="s">
        <v>276</v>
      </c>
      <c r="H5059" s="55">
        <v>-33.345320000000001</v>
      </c>
      <c r="I5059" s="55">
        <v>-17.76839</v>
      </c>
      <c r="J5059" s="55">
        <v>-6.6299049999999999</v>
      </c>
      <c r="K5059" s="55">
        <v>-3.019965</v>
      </c>
      <c r="L5059" s="55">
        <v>9.3189279999999997</v>
      </c>
      <c r="M5059" s="55">
        <v>-3.7143799999999998</v>
      </c>
      <c r="N5059" s="55">
        <v>1.750127</v>
      </c>
    </row>
    <row r="5060" spans="1:14" hidden="1" x14ac:dyDescent="0.35">
      <c r="A5060" s="52" t="s">
        <v>662</v>
      </c>
      <c r="B5060" s="52" t="s">
        <v>37</v>
      </c>
      <c r="C5060" s="52" t="s">
        <v>63</v>
      </c>
      <c r="D5060" s="52" t="s">
        <v>63</v>
      </c>
      <c r="E5060" s="52" t="s">
        <v>621</v>
      </c>
      <c r="F5060" s="52" t="s">
        <v>26</v>
      </c>
      <c r="G5060" s="55" t="s">
        <v>277</v>
      </c>
      <c r="H5060" s="55">
        <v>334.04939999999999</v>
      </c>
      <c r="I5060" s="55">
        <v>134.3485</v>
      </c>
      <c r="J5060" s="55">
        <v>96.98357</v>
      </c>
      <c r="K5060" s="55">
        <v>63.843339999999998</v>
      </c>
      <c r="L5060" s="55">
        <v>50.419690000000003</v>
      </c>
      <c r="M5060" s="55">
        <v>0</v>
      </c>
      <c r="N5060" s="55">
        <v>0</v>
      </c>
    </row>
    <row r="5061" spans="1:14" hidden="1" x14ac:dyDescent="0.35">
      <c r="A5061" s="52" t="s">
        <v>662</v>
      </c>
      <c r="B5061" s="52" t="s">
        <v>37</v>
      </c>
      <c r="C5061" s="52" t="s">
        <v>63</v>
      </c>
      <c r="D5061" s="52" t="s">
        <v>63</v>
      </c>
      <c r="E5061" s="52" t="s">
        <v>621</v>
      </c>
      <c r="F5061" s="52" t="s">
        <v>26</v>
      </c>
      <c r="G5061" s="55" t="s">
        <v>278</v>
      </c>
      <c r="H5061" s="55">
        <v>30.950610000000001</v>
      </c>
      <c r="I5061" s="55">
        <v>17.100000000000001</v>
      </c>
      <c r="J5061" s="55">
        <v>12.267049999999999</v>
      </c>
      <c r="K5061" s="55">
        <v>12.18721</v>
      </c>
      <c r="L5061" s="55">
        <v>7.4027710000000004</v>
      </c>
      <c r="M5061" s="55">
        <v>0</v>
      </c>
      <c r="N5061" s="55">
        <v>0</v>
      </c>
    </row>
    <row r="5062" spans="1:14" hidden="1" x14ac:dyDescent="0.35">
      <c r="A5062" s="52" t="s">
        <v>662</v>
      </c>
      <c r="B5062" s="52" t="s">
        <v>37</v>
      </c>
      <c r="C5062" s="52" t="s">
        <v>63</v>
      </c>
      <c r="D5062" s="52" t="s">
        <v>63</v>
      </c>
      <c r="E5062" s="52" t="s">
        <v>621</v>
      </c>
      <c r="F5062" s="52" t="s">
        <v>26</v>
      </c>
      <c r="G5062" s="55" t="s">
        <v>279</v>
      </c>
      <c r="H5062" s="55">
        <v>744.02049999999997</v>
      </c>
      <c r="I5062" s="55">
        <v>669.10580000000004</v>
      </c>
      <c r="J5062" s="55">
        <v>578.91629999999998</v>
      </c>
      <c r="K5062" s="55">
        <v>581.77419999999995</v>
      </c>
      <c r="L5062" s="55">
        <v>548.11980000000005</v>
      </c>
      <c r="M5062" s="55">
        <v>535.78700000000003</v>
      </c>
      <c r="N5062" s="55">
        <v>451.17329999999998</v>
      </c>
    </row>
    <row r="5063" spans="1:14" hidden="1" x14ac:dyDescent="0.35">
      <c r="A5063" s="52" t="s">
        <v>662</v>
      </c>
      <c r="B5063" s="52" t="s">
        <v>37</v>
      </c>
      <c r="C5063" s="52" t="s">
        <v>63</v>
      </c>
      <c r="D5063" s="52" t="s">
        <v>63</v>
      </c>
      <c r="E5063" s="52" t="s">
        <v>610</v>
      </c>
      <c r="F5063" s="52" t="s">
        <v>581</v>
      </c>
      <c r="G5063" s="55" t="s">
        <v>275</v>
      </c>
      <c r="H5063" s="55">
        <v>-257.17309999999998</v>
      </c>
      <c r="I5063" s="55">
        <v>-313.55099999999999</v>
      </c>
      <c r="J5063" s="55">
        <v>-28.051490000000001</v>
      </c>
      <c r="K5063" s="55">
        <v>31.262429999999998</v>
      </c>
      <c r="L5063" s="55">
        <v>71.871600000000001</v>
      </c>
      <c r="M5063" s="55">
        <v>55.438009999999998</v>
      </c>
      <c r="N5063" s="55">
        <v>45.353200000000001</v>
      </c>
    </row>
    <row r="5064" spans="1:14" hidden="1" x14ac:dyDescent="0.35">
      <c r="A5064" s="52" t="s">
        <v>662</v>
      </c>
      <c r="B5064" s="52" t="s">
        <v>37</v>
      </c>
      <c r="C5064" s="52" t="s">
        <v>63</v>
      </c>
      <c r="D5064" s="52" t="s">
        <v>63</v>
      </c>
      <c r="E5064" s="52" t="s">
        <v>610</v>
      </c>
      <c r="F5064" s="52" t="s">
        <v>581</v>
      </c>
      <c r="G5064" s="55" t="s">
        <v>276</v>
      </c>
      <c r="H5064" s="55">
        <v>-6.9773529999999999</v>
      </c>
      <c r="I5064" s="55">
        <v>-22.955380000000002</v>
      </c>
      <c r="J5064" s="55">
        <v>-21.643899999999999</v>
      </c>
      <c r="K5064" s="55">
        <v>-18.667179999999998</v>
      </c>
      <c r="L5064" s="55">
        <v>-12.628539999999999</v>
      </c>
      <c r="M5064" s="55">
        <v>-13.891870000000001</v>
      </c>
      <c r="N5064" s="55">
        <v>-9.7511980000000005</v>
      </c>
    </row>
    <row r="5065" spans="1:14" hidden="1" x14ac:dyDescent="0.35">
      <c r="A5065" s="52" t="s">
        <v>662</v>
      </c>
      <c r="B5065" s="52" t="s">
        <v>37</v>
      </c>
      <c r="C5065" s="52" t="s">
        <v>63</v>
      </c>
      <c r="D5065" s="52" t="s">
        <v>63</v>
      </c>
      <c r="E5065" s="52" t="s">
        <v>610</v>
      </c>
      <c r="F5065" s="52" t="s">
        <v>581</v>
      </c>
      <c r="G5065" s="55" t="s">
        <v>277</v>
      </c>
      <c r="H5065" s="55">
        <v>422.64280000000002</v>
      </c>
      <c r="I5065" s="55">
        <v>347.0831</v>
      </c>
      <c r="J5065" s="55">
        <v>98.893879999999996</v>
      </c>
      <c r="K5065" s="55">
        <v>29.807700000000001</v>
      </c>
      <c r="L5065" s="55">
        <v>16.854600000000001</v>
      </c>
      <c r="M5065" s="55">
        <v>0</v>
      </c>
      <c r="N5065" s="55">
        <v>0</v>
      </c>
    </row>
    <row r="5066" spans="1:14" hidden="1" x14ac:dyDescent="0.35">
      <c r="A5066" s="52" t="s">
        <v>662</v>
      </c>
      <c r="B5066" s="52" t="s">
        <v>37</v>
      </c>
      <c r="C5066" s="52" t="s">
        <v>63</v>
      </c>
      <c r="D5066" s="52" t="s">
        <v>63</v>
      </c>
      <c r="E5066" s="52" t="s">
        <v>610</v>
      </c>
      <c r="F5066" s="52" t="s">
        <v>581</v>
      </c>
      <c r="G5066" s="55" t="s">
        <v>278</v>
      </c>
      <c r="H5066" s="55">
        <v>75.60275</v>
      </c>
      <c r="I5066" s="55">
        <v>54.733379999999997</v>
      </c>
      <c r="J5066" s="55">
        <v>37.733969999999999</v>
      </c>
      <c r="K5066" s="55">
        <v>36.914250000000003</v>
      </c>
      <c r="L5066" s="55">
        <v>18.724969999999999</v>
      </c>
      <c r="M5066" s="55">
        <v>0</v>
      </c>
      <c r="N5066" s="55">
        <v>0</v>
      </c>
    </row>
    <row r="5067" spans="1:14" hidden="1" x14ac:dyDescent="0.35">
      <c r="A5067" s="52" t="s">
        <v>662</v>
      </c>
      <c r="B5067" s="52" t="s">
        <v>37</v>
      </c>
      <c r="C5067" s="52" t="s">
        <v>63</v>
      </c>
      <c r="D5067" s="52" t="s">
        <v>63</v>
      </c>
      <c r="E5067" s="52" t="s">
        <v>610</v>
      </c>
      <c r="F5067" s="52" t="s">
        <v>581</v>
      </c>
      <c r="G5067" s="55" t="s">
        <v>279</v>
      </c>
      <c r="H5067" s="55">
        <v>263.88310000000001</v>
      </c>
      <c r="I5067" s="55">
        <v>287.03930000000003</v>
      </c>
      <c r="J5067" s="55">
        <v>293.05579999999998</v>
      </c>
      <c r="K5067" s="55">
        <v>295.79169999999999</v>
      </c>
      <c r="L5067" s="55">
        <v>250.4624</v>
      </c>
      <c r="M5067" s="55">
        <v>259.66739999999999</v>
      </c>
      <c r="N5067" s="55">
        <v>223.2662</v>
      </c>
    </row>
    <row r="5068" spans="1:14" hidden="1" x14ac:dyDescent="0.35">
      <c r="A5068" s="52" t="s">
        <v>662</v>
      </c>
      <c r="B5068" s="52" t="s">
        <v>37</v>
      </c>
      <c r="C5068" s="52" t="s">
        <v>63</v>
      </c>
      <c r="D5068" s="52" t="s">
        <v>63</v>
      </c>
      <c r="E5068" s="52" t="s">
        <v>610</v>
      </c>
      <c r="F5068" s="52" t="s">
        <v>26</v>
      </c>
      <c r="G5068" s="55" t="s">
        <v>275</v>
      </c>
      <c r="H5068" s="55">
        <v>-182.6841</v>
      </c>
      <c r="I5068" s="55">
        <v>-33.399340000000002</v>
      </c>
      <c r="J5068" s="55">
        <v>33.990009999999998</v>
      </c>
      <c r="K5068" s="55">
        <v>35.78828</v>
      </c>
      <c r="L5068" s="55">
        <v>42.499189999999999</v>
      </c>
      <c r="M5068" s="55">
        <v>22.282050000000002</v>
      </c>
      <c r="N5068" s="55">
        <v>17.932559999999999</v>
      </c>
    </row>
    <row r="5069" spans="1:14" hidden="1" x14ac:dyDescent="0.35">
      <c r="A5069" s="52" t="s">
        <v>662</v>
      </c>
      <c r="B5069" s="52" t="s">
        <v>37</v>
      </c>
      <c r="C5069" s="52" t="s">
        <v>63</v>
      </c>
      <c r="D5069" s="52" t="s">
        <v>63</v>
      </c>
      <c r="E5069" s="52" t="s">
        <v>610</v>
      </c>
      <c r="F5069" s="52" t="s">
        <v>26</v>
      </c>
      <c r="G5069" s="55" t="s">
        <v>276</v>
      </c>
      <c r="H5069" s="55">
        <v>-3.718512</v>
      </c>
      <c r="I5069" s="55">
        <v>-0.35802719999999999</v>
      </c>
      <c r="J5069" s="55">
        <v>5.1089510000000002</v>
      </c>
      <c r="K5069" s="55">
        <v>2.8842379999999999</v>
      </c>
      <c r="L5069" s="55">
        <v>4.6639410000000003</v>
      </c>
      <c r="M5069" s="55">
        <v>-1.864711</v>
      </c>
      <c r="N5069" s="55">
        <v>-0.2471526</v>
      </c>
    </row>
    <row r="5070" spans="1:14" hidden="1" x14ac:dyDescent="0.35">
      <c r="A5070" s="52" t="s">
        <v>662</v>
      </c>
      <c r="B5070" s="52" t="s">
        <v>37</v>
      </c>
      <c r="C5070" s="52" t="s">
        <v>63</v>
      </c>
      <c r="D5070" s="52" t="s">
        <v>63</v>
      </c>
      <c r="E5070" s="52" t="s">
        <v>610</v>
      </c>
      <c r="F5070" s="52" t="s">
        <v>26</v>
      </c>
      <c r="G5070" s="55" t="s">
        <v>277</v>
      </c>
      <c r="H5070" s="55">
        <v>188.40870000000001</v>
      </c>
      <c r="I5070" s="55">
        <v>63.34834</v>
      </c>
      <c r="J5070" s="55">
        <v>19.9682</v>
      </c>
      <c r="K5070" s="55">
        <v>7.1125730000000003</v>
      </c>
      <c r="L5070" s="55"/>
      <c r="M5070" s="55">
        <v>0.44965349999999998</v>
      </c>
      <c r="N5070" s="55">
        <v>0</v>
      </c>
    </row>
    <row r="5071" spans="1:14" hidden="1" x14ac:dyDescent="0.35">
      <c r="A5071" s="52" t="s">
        <v>662</v>
      </c>
      <c r="B5071" s="52" t="s">
        <v>37</v>
      </c>
      <c r="C5071" s="52" t="s">
        <v>63</v>
      </c>
      <c r="D5071" s="52" t="s">
        <v>63</v>
      </c>
      <c r="E5071" s="52" t="s">
        <v>610</v>
      </c>
      <c r="F5071" s="52" t="s">
        <v>26</v>
      </c>
      <c r="G5071" s="55" t="s">
        <v>278</v>
      </c>
      <c r="H5071" s="55">
        <v>23.345749999999999</v>
      </c>
      <c r="I5071" s="55">
        <v>6.6516520000000003</v>
      </c>
      <c r="J5071" s="55">
        <v>5.4510459999999998</v>
      </c>
      <c r="K5071" s="55">
        <v>4.9156170000000001</v>
      </c>
      <c r="L5071" s="55"/>
      <c r="M5071" s="55">
        <v>0</v>
      </c>
      <c r="N5071" s="55"/>
    </row>
    <row r="5072" spans="1:14" hidden="1" x14ac:dyDescent="0.35">
      <c r="A5072" s="52" t="s">
        <v>662</v>
      </c>
      <c r="B5072" s="52" t="s">
        <v>37</v>
      </c>
      <c r="C5072" s="52" t="s">
        <v>63</v>
      </c>
      <c r="D5072" s="52" t="s">
        <v>63</v>
      </c>
      <c r="E5072" s="52" t="s">
        <v>610</v>
      </c>
      <c r="F5072" s="52" t="s">
        <v>26</v>
      </c>
      <c r="G5072" s="55" t="s">
        <v>279</v>
      </c>
      <c r="H5072" s="55">
        <v>285.55959999999999</v>
      </c>
      <c r="I5072" s="55">
        <v>283.47289999999998</v>
      </c>
      <c r="J5072" s="55">
        <v>289.17489999999998</v>
      </c>
      <c r="K5072" s="55">
        <v>293.9708</v>
      </c>
      <c r="L5072" s="55">
        <v>258.36489999999998</v>
      </c>
      <c r="M5072" s="55">
        <v>258.39359999999999</v>
      </c>
      <c r="N5072" s="55">
        <v>222.32130000000001</v>
      </c>
    </row>
    <row r="5073" spans="1:14" hidden="1" x14ac:dyDescent="0.35">
      <c r="A5073" s="52" t="s">
        <v>662</v>
      </c>
      <c r="B5073" s="52" t="s">
        <v>37</v>
      </c>
      <c r="C5073" s="52" t="s">
        <v>63</v>
      </c>
      <c r="D5073" s="52" t="s">
        <v>63</v>
      </c>
      <c r="E5073" s="52" t="s">
        <v>609</v>
      </c>
      <c r="F5073" s="52" t="s">
        <v>581</v>
      </c>
      <c r="G5073" s="55" t="s">
        <v>275</v>
      </c>
      <c r="H5073" s="55">
        <v>-5.2180000000000004E-3</v>
      </c>
      <c r="I5073" s="55">
        <v>-4.0704900000000002E-2</v>
      </c>
      <c r="J5073" s="55">
        <v>-3.1547600000000002E-2</v>
      </c>
      <c r="K5073" s="55">
        <v>-5.4638199999999998E-2</v>
      </c>
      <c r="L5073" s="55">
        <v>-7.86554E-2</v>
      </c>
      <c r="M5073" s="55">
        <v>-9.7506389999999998E-2</v>
      </c>
      <c r="N5073" s="55">
        <v>-7.1790499999999993E-2</v>
      </c>
    </row>
    <row r="5074" spans="1:14" hidden="1" x14ac:dyDescent="0.35">
      <c r="A5074" s="52" t="s">
        <v>662</v>
      </c>
      <c r="B5074" s="52" t="s">
        <v>37</v>
      </c>
      <c r="C5074" s="52" t="s">
        <v>63</v>
      </c>
      <c r="D5074" s="52" t="s">
        <v>63</v>
      </c>
      <c r="E5074" s="52" t="s">
        <v>609</v>
      </c>
      <c r="F5074" s="52" t="s">
        <v>581</v>
      </c>
      <c r="G5074" s="55" t="s">
        <v>276</v>
      </c>
      <c r="H5074" s="55">
        <v>-3.6299999999999999E-4</v>
      </c>
      <c r="I5074" s="55">
        <v>-2.8295999999999998E-3</v>
      </c>
      <c r="J5074" s="55">
        <v>-2.1930999999999999E-3</v>
      </c>
      <c r="K5074" s="55">
        <v>-3.7986999999999999E-3</v>
      </c>
      <c r="L5074" s="55">
        <v>-4.4805000000000001E-3</v>
      </c>
      <c r="M5074" s="55">
        <v>-6.778699E-3</v>
      </c>
      <c r="N5074" s="55">
        <v>-4.9896999999999997E-3</v>
      </c>
    </row>
    <row r="5075" spans="1:14" hidden="1" x14ac:dyDescent="0.35">
      <c r="A5075" s="52" t="s">
        <v>662</v>
      </c>
      <c r="B5075" s="52" t="s">
        <v>37</v>
      </c>
      <c r="C5075" s="52" t="s">
        <v>63</v>
      </c>
      <c r="D5075" s="52" t="s">
        <v>63</v>
      </c>
      <c r="E5075" s="52" t="s">
        <v>609</v>
      </c>
      <c r="F5075" s="52" t="s">
        <v>581</v>
      </c>
      <c r="G5075" s="55" t="s">
        <v>279</v>
      </c>
      <c r="H5075" s="55">
        <v>0.129719</v>
      </c>
      <c r="I5075" s="55">
        <v>9.3341400000000005E-2</v>
      </c>
      <c r="J5075" s="55">
        <v>7.5534799999999999E-2</v>
      </c>
      <c r="K5075" s="55">
        <v>0.12754989999999999</v>
      </c>
      <c r="L5075" s="55">
        <v>0.20102300000000001</v>
      </c>
      <c r="M5075" s="55">
        <v>0.20833889999999999</v>
      </c>
      <c r="N5075" s="55">
        <v>0.1538021</v>
      </c>
    </row>
    <row r="5076" spans="1:14" hidden="1" x14ac:dyDescent="0.35">
      <c r="A5076" s="52" t="s">
        <v>662</v>
      </c>
      <c r="B5076" s="52" t="s">
        <v>37</v>
      </c>
      <c r="C5076" s="52" t="s">
        <v>63</v>
      </c>
      <c r="D5076" s="52" t="s">
        <v>63</v>
      </c>
      <c r="E5076" s="52" t="s">
        <v>609</v>
      </c>
      <c r="F5076" s="52" t="s">
        <v>26</v>
      </c>
      <c r="G5076" s="55" t="s">
        <v>275</v>
      </c>
      <c r="H5076" s="55">
        <v>0.54432899999999995</v>
      </c>
      <c r="I5076" s="55">
        <v>0.30677389999999999</v>
      </c>
      <c r="J5076" s="55">
        <v>0.38341619999999998</v>
      </c>
      <c r="K5076" s="55">
        <v>-1.340427</v>
      </c>
      <c r="L5076" s="55">
        <v>-2.0149539999999999</v>
      </c>
      <c r="M5076" s="55">
        <v>0.14774950000000001</v>
      </c>
      <c r="N5076" s="55">
        <v>0.11679920000000001</v>
      </c>
    </row>
    <row r="5077" spans="1:14" hidden="1" x14ac:dyDescent="0.35">
      <c r="A5077" s="52" t="s">
        <v>662</v>
      </c>
      <c r="B5077" s="52" t="s">
        <v>37</v>
      </c>
      <c r="C5077" s="52" t="s">
        <v>63</v>
      </c>
      <c r="D5077" s="52" t="s">
        <v>63</v>
      </c>
      <c r="E5077" s="52" t="s">
        <v>609</v>
      </c>
      <c r="F5077" s="52" t="s">
        <v>26</v>
      </c>
      <c r="G5077" s="55" t="s">
        <v>276</v>
      </c>
      <c r="H5077" s="55">
        <v>-0.13298599999999999</v>
      </c>
      <c r="I5077" s="55">
        <v>-0.14950050000000001</v>
      </c>
      <c r="J5077" s="55">
        <v>-8.3272399999999996E-2</v>
      </c>
      <c r="K5077" s="55">
        <v>-4.6292600000000003E-2</v>
      </c>
      <c r="L5077" s="55">
        <v>2.7152099999999998E-2</v>
      </c>
      <c r="M5077" s="55">
        <v>-3.4937500000000003E-2</v>
      </c>
      <c r="N5077" s="55">
        <v>-3.70891E-2</v>
      </c>
    </row>
    <row r="5078" spans="1:14" hidden="1" x14ac:dyDescent="0.35">
      <c r="A5078" s="52" t="s">
        <v>662</v>
      </c>
      <c r="B5078" s="52" t="s">
        <v>37</v>
      </c>
      <c r="C5078" s="52" t="s">
        <v>63</v>
      </c>
      <c r="D5078" s="52" t="s">
        <v>63</v>
      </c>
      <c r="E5078" s="52" t="s">
        <v>609</v>
      </c>
      <c r="F5078" s="52" t="s">
        <v>26</v>
      </c>
      <c r="G5078" s="55" t="s">
        <v>277</v>
      </c>
      <c r="H5078" s="55"/>
      <c r="I5078" s="55"/>
      <c r="J5078" s="55">
        <v>0</v>
      </c>
      <c r="K5078" s="55">
        <v>1.7493829999999999</v>
      </c>
      <c r="L5078" s="55">
        <v>2.8028590000000002</v>
      </c>
      <c r="M5078" s="55">
        <v>0</v>
      </c>
      <c r="N5078" s="55">
        <v>0</v>
      </c>
    </row>
    <row r="5079" spans="1:14" hidden="1" x14ac:dyDescent="0.35">
      <c r="A5079" s="52" t="s">
        <v>662</v>
      </c>
      <c r="B5079" s="52" t="s">
        <v>37</v>
      </c>
      <c r="C5079" s="52" t="s">
        <v>63</v>
      </c>
      <c r="D5079" s="52" t="s">
        <v>63</v>
      </c>
      <c r="E5079" s="52" t="s">
        <v>609</v>
      </c>
      <c r="F5079" s="52" t="s">
        <v>26</v>
      </c>
      <c r="G5079" s="55" t="s">
        <v>279</v>
      </c>
      <c r="H5079" s="55">
        <v>3.7213919999999998</v>
      </c>
      <c r="I5079" s="55">
        <v>2.3073890000000001</v>
      </c>
      <c r="J5079" s="55">
        <v>1.891073</v>
      </c>
      <c r="K5079" s="55">
        <v>3.2192120000000002</v>
      </c>
      <c r="L5079" s="55">
        <v>5.2324020000000004</v>
      </c>
      <c r="M5079" s="55">
        <v>5.1985619999999999</v>
      </c>
      <c r="N5079" s="55">
        <v>3.837313</v>
      </c>
    </row>
    <row r="5080" spans="1:14" hidden="1" x14ac:dyDescent="0.35">
      <c r="A5080" s="52" t="s">
        <v>662</v>
      </c>
      <c r="B5080" s="52" t="s">
        <v>37</v>
      </c>
      <c r="C5080" s="52" t="s">
        <v>118</v>
      </c>
      <c r="D5080" s="52" t="s">
        <v>118</v>
      </c>
      <c r="E5080" s="52" t="s">
        <v>663</v>
      </c>
      <c r="F5080" s="52" t="s">
        <v>581</v>
      </c>
      <c r="G5080" s="55" t="s">
        <v>275</v>
      </c>
      <c r="H5080" s="55">
        <v>6.1866849999999998</v>
      </c>
      <c r="I5080" s="55">
        <v>1.775577</v>
      </c>
      <c r="J5080" s="55">
        <v>1.4900139999999999</v>
      </c>
      <c r="K5080" s="55">
        <v>3.1523119999999998</v>
      </c>
      <c r="L5080" s="55">
        <v>-1.872274</v>
      </c>
      <c r="M5080" s="55">
        <v>0.47768680000000002</v>
      </c>
      <c r="N5080" s="55">
        <v>0.35377439999999999</v>
      </c>
    </row>
    <row r="5081" spans="1:14" hidden="1" x14ac:dyDescent="0.35">
      <c r="A5081" s="52" t="s">
        <v>662</v>
      </c>
      <c r="B5081" s="52" t="s">
        <v>37</v>
      </c>
      <c r="C5081" s="52" t="s">
        <v>118</v>
      </c>
      <c r="D5081" s="52" t="s">
        <v>118</v>
      </c>
      <c r="E5081" s="52" t="s">
        <v>663</v>
      </c>
      <c r="F5081" s="52" t="s">
        <v>581</v>
      </c>
      <c r="G5081" s="55" t="s">
        <v>276</v>
      </c>
      <c r="H5081" s="55">
        <v>-2.1678829999999998</v>
      </c>
      <c r="I5081" s="55">
        <v>-1.3622129999999999</v>
      </c>
      <c r="J5081" s="55">
        <v>-1.0712809999999999</v>
      </c>
      <c r="K5081" s="55">
        <v>-4.5999610000000004</v>
      </c>
      <c r="L5081" s="55">
        <v>2.0620699999999999E-2</v>
      </c>
      <c r="M5081" s="55">
        <v>-6.2989400000000001E-2</v>
      </c>
      <c r="N5081" s="55">
        <v>-5.7932499999999998E-2</v>
      </c>
    </row>
    <row r="5082" spans="1:14" hidden="1" x14ac:dyDescent="0.35">
      <c r="A5082" s="52" t="s">
        <v>662</v>
      </c>
      <c r="B5082" s="52" t="s">
        <v>37</v>
      </c>
      <c r="C5082" s="52" t="s">
        <v>118</v>
      </c>
      <c r="D5082" s="52" t="s">
        <v>118</v>
      </c>
      <c r="E5082" s="52" t="s">
        <v>663</v>
      </c>
      <c r="F5082" s="52" t="s">
        <v>581</v>
      </c>
      <c r="G5082" s="55" t="s">
        <v>277</v>
      </c>
      <c r="H5082" s="55">
        <v>0</v>
      </c>
      <c r="I5082" s="55"/>
      <c r="J5082" s="55">
        <v>0</v>
      </c>
      <c r="K5082" s="55">
        <v>2.029217</v>
      </c>
      <c r="L5082" s="55">
        <v>2.8431570000000002</v>
      </c>
      <c r="M5082" s="55">
        <v>0</v>
      </c>
      <c r="N5082" s="55">
        <v>0</v>
      </c>
    </row>
    <row r="5083" spans="1:14" hidden="1" x14ac:dyDescent="0.35">
      <c r="A5083" s="52" t="s">
        <v>662</v>
      </c>
      <c r="B5083" s="52" t="s">
        <v>37</v>
      </c>
      <c r="C5083" s="52" t="s">
        <v>118</v>
      </c>
      <c r="D5083" s="52" t="s">
        <v>118</v>
      </c>
      <c r="E5083" s="52" t="s">
        <v>663</v>
      </c>
      <c r="F5083" s="52" t="s">
        <v>581</v>
      </c>
      <c r="G5083" s="55" t="s">
        <v>278</v>
      </c>
      <c r="H5083" s="55">
        <v>0</v>
      </c>
      <c r="I5083" s="55"/>
      <c r="J5083" s="55"/>
      <c r="K5083" s="55"/>
      <c r="L5083" s="55"/>
      <c r="M5083" s="55"/>
      <c r="N5083" s="55"/>
    </row>
    <row r="5084" spans="1:14" hidden="1" x14ac:dyDescent="0.35">
      <c r="A5084" s="52" t="s">
        <v>662</v>
      </c>
      <c r="B5084" s="52" t="s">
        <v>37</v>
      </c>
      <c r="C5084" s="52" t="s">
        <v>118</v>
      </c>
      <c r="D5084" s="52" t="s">
        <v>118</v>
      </c>
      <c r="E5084" s="52" t="s">
        <v>663</v>
      </c>
      <c r="F5084" s="52" t="s">
        <v>581</v>
      </c>
      <c r="G5084" s="55" t="s">
        <v>279</v>
      </c>
      <c r="H5084" s="55">
        <v>3.9268130000000001</v>
      </c>
      <c r="I5084" s="55">
        <v>2.7945099999999998</v>
      </c>
      <c r="J5084" s="55">
        <v>2.3816830000000002</v>
      </c>
      <c r="K5084" s="55">
        <v>2.5713020000000002</v>
      </c>
      <c r="L5084" s="55">
        <v>2.6442070000000002</v>
      </c>
      <c r="M5084" s="55">
        <v>2.6658179999999998</v>
      </c>
      <c r="N5084" s="55">
        <v>2.3008320000000002</v>
      </c>
    </row>
    <row r="5085" spans="1:14" hidden="1" x14ac:dyDescent="0.35">
      <c r="A5085" s="52" t="s">
        <v>662</v>
      </c>
      <c r="B5085" s="52" t="s">
        <v>37</v>
      </c>
      <c r="C5085" s="52" t="s">
        <v>118</v>
      </c>
      <c r="D5085" s="52" t="s">
        <v>118</v>
      </c>
      <c r="E5085" s="52" t="s">
        <v>663</v>
      </c>
      <c r="F5085" s="52" t="s">
        <v>26</v>
      </c>
      <c r="G5085" s="55" t="s">
        <v>275</v>
      </c>
      <c r="H5085" s="55">
        <v>-0.80110000000000003</v>
      </c>
      <c r="I5085" s="55">
        <v>-0.65472949999999996</v>
      </c>
      <c r="J5085" s="55">
        <v>-0.52134270000000005</v>
      </c>
      <c r="K5085" s="55">
        <v>-0.54326459999999999</v>
      </c>
      <c r="L5085" s="55">
        <v>-0.48730830000000003</v>
      </c>
      <c r="M5085" s="55">
        <v>-0.58959189999999995</v>
      </c>
      <c r="N5085" s="55">
        <v>-0.53018030000000005</v>
      </c>
    </row>
    <row r="5086" spans="1:14" hidden="1" x14ac:dyDescent="0.35">
      <c r="A5086" s="52" t="s">
        <v>662</v>
      </c>
      <c r="B5086" s="52" t="s">
        <v>37</v>
      </c>
      <c r="C5086" s="52" t="s">
        <v>118</v>
      </c>
      <c r="D5086" s="52" t="s">
        <v>118</v>
      </c>
      <c r="E5086" s="52" t="s">
        <v>663</v>
      </c>
      <c r="F5086" s="52" t="s">
        <v>26</v>
      </c>
      <c r="G5086" s="55" t="s">
        <v>276</v>
      </c>
      <c r="H5086" s="55">
        <v>-0.212951</v>
      </c>
      <c r="I5086" s="55">
        <v>-0.17404259999999999</v>
      </c>
      <c r="J5086" s="55">
        <v>-0.13858480000000001</v>
      </c>
      <c r="K5086" s="55">
        <v>-0.1444115</v>
      </c>
      <c r="L5086" s="55">
        <v>-0.12953799999999999</v>
      </c>
      <c r="M5086" s="55">
        <v>-0.15672720000000001</v>
      </c>
      <c r="N5086" s="55">
        <v>-0.14093339999999999</v>
      </c>
    </row>
    <row r="5087" spans="1:14" hidden="1" x14ac:dyDescent="0.35">
      <c r="A5087" s="52" t="s">
        <v>662</v>
      </c>
      <c r="B5087" s="52" t="s">
        <v>37</v>
      </c>
      <c r="C5087" s="52" t="s">
        <v>118</v>
      </c>
      <c r="D5087" s="52" t="s">
        <v>118</v>
      </c>
      <c r="E5087" s="52" t="s">
        <v>663</v>
      </c>
      <c r="F5087" s="52" t="s">
        <v>26</v>
      </c>
      <c r="G5087" s="55" t="s">
        <v>279</v>
      </c>
      <c r="H5087" s="55">
        <v>2.0486140000000002</v>
      </c>
      <c r="I5087" s="55">
        <v>1.591118</v>
      </c>
      <c r="J5087" s="55">
        <v>1.3769149999999999</v>
      </c>
      <c r="K5087" s="55">
        <v>1.421837</v>
      </c>
      <c r="L5087" s="55">
        <v>1.393473</v>
      </c>
      <c r="M5087" s="55">
        <v>1.4296139999999999</v>
      </c>
      <c r="N5087" s="55">
        <v>1.2671410000000001</v>
      </c>
    </row>
    <row r="5088" spans="1:14" hidden="1" x14ac:dyDescent="0.35">
      <c r="A5088" s="52" t="s">
        <v>662</v>
      </c>
      <c r="B5088" s="52" t="s">
        <v>37</v>
      </c>
      <c r="C5088" s="52" t="s">
        <v>46</v>
      </c>
      <c r="D5088" s="52" t="s">
        <v>46</v>
      </c>
      <c r="E5088" s="52" t="s">
        <v>646</v>
      </c>
      <c r="F5088" s="52" t="s">
        <v>581</v>
      </c>
      <c r="G5088" s="55" t="s">
        <v>275</v>
      </c>
      <c r="H5088" s="55">
        <v>4.452026</v>
      </c>
      <c r="I5088" s="55">
        <v>1.307903</v>
      </c>
      <c r="J5088" s="55">
        <v>1.147805</v>
      </c>
      <c r="K5088" s="55">
        <v>2.3312369999999998</v>
      </c>
      <c r="L5088" s="55">
        <v>-1.744532</v>
      </c>
      <c r="M5088" s="55">
        <v>0.36924380000000001</v>
      </c>
      <c r="N5088" s="55">
        <v>0.31203320000000001</v>
      </c>
    </row>
    <row r="5089" spans="1:14" hidden="1" x14ac:dyDescent="0.35">
      <c r="A5089" s="52" t="s">
        <v>662</v>
      </c>
      <c r="B5089" s="52" t="s">
        <v>37</v>
      </c>
      <c r="C5089" s="52" t="s">
        <v>46</v>
      </c>
      <c r="D5089" s="52" t="s">
        <v>46</v>
      </c>
      <c r="E5089" s="52" t="s">
        <v>646</v>
      </c>
      <c r="F5089" s="52" t="s">
        <v>581</v>
      </c>
      <c r="G5089" s="55" t="s">
        <v>276</v>
      </c>
      <c r="H5089" s="55">
        <v>-0.86400290000000002</v>
      </c>
      <c r="I5089" s="55">
        <v>-0.77458640000000001</v>
      </c>
      <c r="J5089" s="55">
        <v>-0.5902501</v>
      </c>
      <c r="K5089" s="55">
        <v>-2.7904939999999998</v>
      </c>
      <c r="L5089" s="55">
        <v>1.443901E-2</v>
      </c>
      <c r="M5089" s="55">
        <v>-4.2121800000000001E-2</v>
      </c>
      <c r="N5089" s="55">
        <v>-2.8875100000000001E-2</v>
      </c>
    </row>
    <row r="5090" spans="1:14" hidden="1" x14ac:dyDescent="0.35">
      <c r="A5090" s="52" t="s">
        <v>662</v>
      </c>
      <c r="B5090" s="52" t="s">
        <v>37</v>
      </c>
      <c r="C5090" s="52" t="s">
        <v>46</v>
      </c>
      <c r="D5090" s="52" t="s">
        <v>46</v>
      </c>
      <c r="E5090" s="52" t="s">
        <v>646</v>
      </c>
      <c r="F5090" s="52" t="s">
        <v>581</v>
      </c>
      <c r="G5090" s="55" t="s">
        <v>277</v>
      </c>
      <c r="H5090" s="55">
        <v>0</v>
      </c>
      <c r="I5090" s="55"/>
      <c r="J5090" s="55">
        <v>0</v>
      </c>
      <c r="K5090" s="55">
        <v>0.97301159999999998</v>
      </c>
      <c r="L5090" s="55">
        <v>2.4375279999999999</v>
      </c>
      <c r="M5090" s="55">
        <v>0</v>
      </c>
      <c r="N5090" s="55">
        <v>0</v>
      </c>
    </row>
    <row r="5091" spans="1:14" hidden="1" x14ac:dyDescent="0.35">
      <c r="A5091" s="52" t="s">
        <v>662</v>
      </c>
      <c r="B5091" s="52" t="s">
        <v>37</v>
      </c>
      <c r="C5091" s="52" t="s">
        <v>46</v>
      </c>
      <c r="D5091" s="52" t="s">
        <v>46</v>
      </c>
      <c r="E5091" s="52" t="s">
        <v>646</v>
      </c>
      <c r="F5091" s="52" t="s">
        <v>581</v>
      </c>
      <c r="G5091" s="55" t="s">
        <v>278</v>
      </c>
      <c r="H5091" s="55">
        <v>0</v>
      </c>
      <c r="I5091" s="55"/>
      <c r="J5091" s="55"/>
      <c r="K5091" s="55"/>
      <c r="L5091" s="55"/>
      <c r="M5091" s="55"/>
      <c r="N5091" s="55"/>
    </row>
    <row r="5092" spans="1:14" hidden="1" x14ac:dyDescent="0.35">
      <c r="A5092" s="52" t="s">
        <v>662</v>
      </c>
      <c r="B5092" s="52" t="s">
        <v>37</v>
      </c>
      <c r="C5092" s="52" t="s">
        <v>46</v>
      </c>
      <c r="D5092" s="52" t="s">
        <v>46</v>
      </c>
      <c r="E5092" s="52" t="s">
        <v>646</v>
      </c>
      <c r="F5092" s="52" t="s">
        <v>581</v>
      </c>
      <c r="G5092" s="55" t="s">
        <v>279</v>
      </c>
      <c r="H5092" s="55">
        <v>3.5179999999999998</v>
      </c>
      <c r="I5092" s="55">
        <v>2.327782</v>
      </c>
      <c r="J5092" s="55">
        <v>1.967263</v>
      </c>
      <c r="K5092" s="55">
        <v>2.0265949999999999</v>
      </c>
      <c r="L5092" s="55">
        <v>2.1965319999999999</v>
      </c>
      <c r="M5092" s="55">
        <v>2.2867999999999999</v>
      </c>
      <c r="N5092" s="55">
        <v>1.963897</v>
      </c>
    </row>
    <row r="5093" spans="1:14" hidden="1" x14ac:dyDescent="0.35">
      <c r="A5093" s="52" t="s">
        <v>662</v>
      </c>
      <c r="B5093" s="52" t="s">
        <v>37</v>
      </c>
      <c r="C5093" s="52" t="s">
        <v>46</v>
      </c>
      <c r="D5093" s="52" t="s">
        <v>46</v>
      </c>
      <c r="E5093" s="52" t="s">
        <v>646</v>
      </c>
      <c r="F5093" s="52" t="s">
        <v>26</v>
      </c>
      <c r="G5093" s="55" t="s">
        <v>275</v>
      </c>
      <c r="H5093" s="55">
        <v>-0.60665199999999997</v>
      </c>
      <c r="I5093" s="55">
        <v>-0.4496424</v>
      </c>
      <c r="J5093" s="55">
        <v>-0.35262850000000001</v>
      </c>
      <c r="K5093" s="55">
        <v>-0.37815339999999997</v>
      </c>
      <c r="L5093" s="55">
        <v>-0.39903300000000003</v>
      </c>
      <c r="M5093" s="55">
        <v>-0.46227109999999999</v>
      </c>
      <c r="N5093" s="55">
        <v>-0.39710659999999998</v>
      </c>
    </row>
    <row r="5094" spans="1:14" hidden="1" x14ac:dyDescent="0.35">
      <c r="A5094" s="52" t="s">
        <v>662</v>
      </c>
      <c r="B5094" s="52" t="s">
        <v>37</v>
      </c>
      <c r="C5094" s="52" t="s">
        <v>46</v>
      </c>
      <c r="D5094" s="52" t="s">
        <v>46</v>
      </c>
      <c r="E5094" s="52" t="s">
        <v>646</v>
      </c>
      <c r="F5094" s="52" t="s">
        <v>26</v>
      </c>
      <c r="G5094" s="55" t="s">
        <v>276</v>
      </c>
      <c r="H5094" s="55">
        <v>-0.17586199999999999</v>
      </c>
      <c r="I5094" s="55">
        <v>-0.13034699999999999</v>
      </c>
      <c r="J5094" s="55">
        <v>-0.1022231</v>
      </c>
      <c r="K5094" s="55">
        <v>-0.1096232</v>
      </c>
      <c r="L5094" s="55">
        <v>-0.1156759</v>
      </c>
      <c r="M5094" s="55">
        <v>-0.1340075</v>
      </c>
      <c r="N5094" s="55">
        <v>-0.1151172</v>
      </c>
    </row>
    <row r="5095" spans="1:14" hidden="1" x14ac:dyDescent="0.35">
      <c r="A5095" s="52" t="s">
        <v>662</v>
      </c>
      <c r="B5095" s="52" t="s">
        <v>37</v>
      </c>
      <c r="C5095" s="52" t="s">
        <v>46</v>
      </c>
      <c r="D5095" s="52" t="s">
        <v>46</v>
      </c>
      <c r="E5095" s="52" t="s">
        <v>646</v>
      </c>
      <c r="F5095" s="52" t="s">
        <v>26</v>
      </c>
      <c r="G5095" s="55" t="s">
        <v>279</v>
      </c>
      <c r="H5095" s="55">
        <v>1.487657</v>
      </c>
      <c r="I5095" s="55">
        <v>1.0665819999999999</v>
      </c>
      <c r="J5095" s="55">
        <v>0.90609050000000002</v>
      </c>
      <c r="K5095" s="55">
        <v>0.93997350000000002</v>
      </c>
      <c r="L5095" s="55">
        <v>1.0311589999999999</v>
      </c>
      <c r="M5095" s="55">
        <v>1.0607279999999999</v>
      </c>
      <c r="N5095" s="55">
        <v>0.91082260000000004</v>
      </c>
    </row>
    <row r="5096" spans="1:14" hidden="1" x14ac:dyDescent="0.35">
      <c r="A5096" s="52" t="s">
        <v>662</v>
      </c>
      <c r="B5096" s="52" t="s">
        <v>74</v>
      </c>
      <c r="C5096" s="52" t="s">
        <v>835</v>
      </c>
      <c r="D5096" s="52" t="s">
        <v>835</v>
      </c>
      <c r="E5096" s="52" t="s">
        <v>836</v>
      </c>
      <c r="F5096" s="52" t="s">
        <v>26</v>
      </c>
      <c r="G5096" s="55" t="s">
        <v>275</v>
      </c>
      <c r="H5096" s="55">
        <v>-0.126836</v>
      </c>
      <c r="I5096" s="55">
        <v>-0.126836</v>
      </c>
      <c r="J5096" s="55">
        <v>0</v>
      </c>
      <c r="K5096" s="55">
        <v>0</v>
      </c>
      <c r="L5096" s="55">
        <v>0</v>
      </c>
      <c r="M5096" s="55">
        <v>0</v>
      </c>
      <c r="N5096" s="55">
        <v>0</v>
      </c>
    </row>
    <row r="5097" spans="1:14" hidden="1" x14ac:dyDescent="0.35">
      <c r="A5097" s="52" t="s">
        <v>662</v>
      </c>
      <c r="B5097" s="52" t="s">
        <v>74</v>
      </c>
      <c r="C5097" s="52" t="s">
        <v>835</v>
      </c>
      <c r="D5097" s="52" t="s">
        <v>835</v>
      </c>
      <c r="E5097" s="52" t="s">
        <v>836</v>
      </c>
      <c r="F5097" s="52" t="s">
        <v>26</v>
      </c>
      <c r="G5097" s="55" t="s">
        <v>276</v>
      </c>
      <c r="H5097" s="55">
        <v>-8.4557999999999994E-2</v>
      </c>
      <c r="I5097" s="55">
        <v>-8.4557999999999994E-2</v>
      </c>
      <c r="J5097" s="55">
        <v>-0.211393</v>
      </c>
      <c r="K5097" s="55">
        <v>-0.35203099999999998</v>
      </c>
      <c r="L5097" s="55">
        <v>-0.211393</v>
      </c>
      <c r="M5097" s="55">
        <v>-0.211394</v>
      </c>
      <c r="N5097" s="55">
        <v>0</v>
      </c>
    </row>
    <row r="5098" spans="1:14" hidden="1" x14ac:dyDescent="0.35">
      <c r="A5098" s="52" t="s">
        <v>662</v>
      </c>
      <c r="B5098" s="52" t="s">
        <v>74</v>
      </c>
      <c r="C5098" s="52" t="s">
        <v>835</v>
      </c>
      <c r="D5098" s="52" t="s">
        <v>835</v>
      </c>
      <c r="E5098" s="52" t="s">
        <v>836</v>
      </c>
      <c r="F5098" s="52" t="s">
        <v>26</v>
      </c>
      <c r="G5098" s="55" t="s">
        <v>278</v>
      </c>
      <c r="H5098" s="55">
        <v>0.211394</v>
      </c>
      <c r="I5098" s="55">
        <v>0.211394</v>
      </c>
      <c r="J5098" s="55">
        <v>0.211394</v>
      </c>
      <c r="K5098" s="55">
        <v>0.35203099999999998</v>
      </c>
      <c r="L5098" s="55">
        <v>0.211394</v>
      </c>
      <c r="M5098" s="55">
        <v>0.211394</v>
      </c>
      <c r="N5098" s="55">
        <v>0</v>
      </c>
    </row>
    <row r="5099" spans="1:14" hidden="1" x14ac:dyDescent="0.35">
      <c r="A5099" s="52" t="s">
        <v>662</v>
      </c>
      <c r="B5099" s="52" t="s">
        <v>74</v>
      </c>
      <c r="C5099" s="52" t="s">
        <v>835</v>
      </c>
      <c r="D5099" s="52" t="s">
        <v>835</v>
      </c>
      <c r="E5099" s="52" t="s">
        <v>837</v>
      </c>
      <c r="F5099" s="52" t="s">
        <v>26</v>
      </c>
      <c r="G5099" s="55" t="s">
        <v>275</v>
      </c>
      <c r="H5099" s="55">
        <v>-0.13336300000000001</v>
      </c>
      <c r="I5099" s="55">
        <v>-0.13336300000000001</v>
      </c>
      <c r="J5099" s="55">
        <v>0</v>
      </c>
      <c r="K5099" s="55">
        <v>0</v>
      </c>
      <c r="L5099" s="55">
        <v>0</v>
      </c>
      <c r="M5099" s="55">
        <v>0</v>
      </c>
      <c r="N5099" s="55">
        <v>0</v>
      </c>
    </row>
    <row r="5100" spans="1:14" hidden="1" x14ac:dyDescent="0.35">
      <c r="A5100" s="52" t="s">
        <v>662</v>
      </c>
      <c r="B5100" s="52" t="s">
        <v>74</v>
      </c>
      <c r="C5100" s="52" t="s">
        <v>835</v>
      </c>
      <c r="D5100" s="52" t="s">
        <v>835</v>
      </c>
      <c r="E5100" s="52" t="s">
        <v>837</v>
      </c>
      <c r="F5100" s="52" t="s">
        <v>26</v>
      </c>
      <c r="G5100" s="55" t="s">
        <v>276</v>
      </c>
      <c r="H5100" s="55">
        <v>-8.8908989999999993E-2</v>
      </c>
      <c r="I5100" s="55">
        <v>-8.8907990000000006E-2</v>
      </c>
      <c r="J5100" s="55">
        <v>-0.222273</v>
      </c>
      <c r="K5100" s="55">
        <v>-0.36290899999999998</v>
      </c>
      <c r="L5100" s="55">
        <v>-0.222271</v>
      </c>
      <c r="M5100" s="55">
        <v>-0.222272</v>
      </c>
      <c r="N5100" s="55">
        <v>0</v>
      </c>
    </row>
    <row r="5101" spans="1:14" hidden="1" x14ac:dyDescent="0.35">
      <c r="A5101" s="52" t="s">
        <v>662</v>
      </c>
      <c r="B5101" s="52" t="s">
        <v>74</v>
      </c>
      <c r="C5101" s="52" t="s">
        <v>835</v>
      </c>
      <c r="D5101" s="52" t="s">
        <v>835</v>
      </c>
      <c r="E5101" s="52" t="s">
        <v>837</v>
      </c>
      <c r="F5101" s="52" t="s">
        <v>26</v>
      </c>
      <c r="G5101" s="55" t="s">
        <v>278</v>
      </c>
      <c r="H5101" s="55">
        <v>0.222272</v>
      </c>
      <c r="I5101" s="55">
        <v>0.222272</v>
      </c>
      <c r="J5101" s="55">
        <v>0.222272</v>
      </c>
      <c r="K5101" s="55">
        <v>0.36290899999999998</v>
      </c>
      <c r="L5101" s="55">
        <v>0.222272</v>
      </c>
      <c r="M5101" s="55">
        <v>0.222272</v>
      </c>
      <c r="N5101" s="55">
        <v>0</v>
      </c>
    </row>
    <row r="5102" spans="1:14" hidden="1" x14ac:dyDescent="0.35">
      <c r="A5102" s="52" t="s">
        <v>662</v>
      </c>
      <c r="B5102" s="52" t="s">
        <v>74</v>
      </c>
      <c r="C5102" s="52" t="s">
        <v>835</v>
      </c>
      <c r="D5102" s="52" t="s">
        <v>835</v>
      </c>
      <c r="E5102" s="52" t="s">
        <v>838</v>
      </c>
      <c r="F5102" s="52" t="s">
        <v>26</v>
      </c>
      <c r="G5102" s="55" t="s">
        <v>275</v>
      </c>
      <c r="H5102" s="55">
        <v>-0.134433</v>
      </c>
      <c r="I5102" s="55">
        <v>-0.134433</v>
      </c>
      <c r="J5102" s="55">
        <v>0</v>
      </c>
      <c r="K5102" s="55">
        <v>0</v>
      </c>
      <c r="L5102" s="55">
        <v>0</v>
      </c>
      <c r="M5102" s="55">
        <v>0</v>
      </c>
      <c r="N5102" s="55">
        <v>0</v>
      </c>
    </row>
    <row r="5103" spans="1:14" hidden="1" x14ac:dyDescent="0.35">
      <c r="A5103" s="52" t="s">
        <v>662</v>
      </c>
      <c r="B5103" s="52" t="s">
        <v>74</v>
      </c>
      <c r="C5103" s="52" t="s">
        <v>835</v>
      </c>
      <c r="D5103" s="52" t="s">
        <v>835</v>
      </c>
      <c r="E5103" s="52" t="s">
        <v>838</v>
      </c>
      <c r="F5103" s="52" t="s">
        <v>26</v>
      </c>
      <c r="G5103" s="55" t="s">
        <v>276</v>
      </c>
      <c r="H5103" s="55">
        <v>-8.962299E-2</v>
      </c>
      <c r="I5103" s="55">
        <v>-8.9621989999999999E-2</v>
      </c>
      <c r="J5103" s="55">
        <v>-0.22405600000000001</v>
      </c>
      <c r="K5103" s="55">
        <v>-0.36469200000000002</v>
      </c>
      <c r="L5103" s="55">
        <v>-0.224055</v>
      </c>
      <c r="M5103" s="55">
        <v>-0.22405600000000001</v>
      </c>
      <c r="N5103" s="55">
        <v>0</v>
      </c>
    </row>
    <row r="5104" spans="1:14" hidden="1" x14ac:dyDescent="0.35">
      <c r="A5104" s="52" t="s">
        <v>662</v>
      </c>
      <c r="B5104" s="52" t="s">
        <v>74</v>
      </c>
      <c r="C5104" s="52" t="s">
        <v>835</v>
      </c>
      <c r="D5104" s="52" t="s">
        <v>835</v>
      </c>
      <c r="E5104" s="52" t="s">
        <v>838</v>
      </c>
      <c r="F5104" s="52" t="s">
        <v>26</v>
      </c>
      <c r="G5104" s="55" t="s">
        <v>278</v>
      </c>
      <c r="H5104" s="55">
        <v>0.224055</v>
      </c>
      <c r="I5104" s="55">
        <v>0.224055</v>
      </c>
      <c r="J5104" s="55">
        <v>0.224055</v>
      </c>
      <c r="K5104" s="55">
        <v>0.36469200000000002</v>
      </c>
      <c r="L5104" s="55">
        <v>0.224055</v>
      </c>
      <c r="M5104" s="55">
        <v>0.224055</v>
      </c>
      <c r="N5104" s="55">
        <v>0</v>
      </c>
    </row>
    <row r="5105" spans="1:14" hidden="1" x14ac:dyDescent="0.35">
      <c r="A5105" s="52" t="s">
        <v>662</v>
      </c>
      <c r="B5105" s="52" t="s">
        <v>74</v>
      </c>
      <c r="C5105" s="52" t="s">
        <v>834</v>
      </c>
      <c r="D5105" s="52" t="s">
        <v>834</v>
      </c>
      <c r="E5105" s="52" t="s">
        <v>584</v>
      </c>
      <c r="F5105" s="52" t="s">
        <v>26</v>
      </c>
      <c r="G5105" s="55" t="s">
        <v>275</v>
      </c>
      <c r="H5105" s="55">
        <v>-0.26643699999999998</v>
      </c>
      <c r="I5105" s="55">
        <v>-0.26643600000000001</v>
      </c>
      <c r="J5105" s="55">
        <v>0</v>
      </c>
      <c r="K5105" s="55">
        <v>0</v>
      </c>
      <c r="L5105" s="55">
        <v>0</v>
      </c>
      <c r="M5105" s="55">
        <v>0</v>
      </c>
      <c r="N5105" s="55">
        <v>0</v>
      </c>
    </row>
    <row r="5106" spans="1:14" hidden="1" x14ac:dyDescent="0.35">
      <c r="A5106" s="52" t="s">
        <v>662</v>
      </c>
      <c r="B5106" s="52" t="s">
        <v>74</v>
      </c>
      <c r="C5106" s="52" t="s">
        <v>834</v>
      </c>
      <c r="D5106" s="52" t="s">
        <v>834</v>
      </c>
      <c r="E5106" s="52" t="s">
        <v>584</v>
      </c>
      <c r="F5106" s="52" t="s">
        <v>26</v>
      </c>
      <c r="G5106" s="55" t="s">
        <v>276</v>
      </c>
      <c r="H5106" s="55">
        <v>-0.17762500000000001</v>
      </c>
      <c r="I5106" s="55">
        <v>-0.17762500000000001</v>
      </c>
      <c r="J5106" s="55">
        <v>-0.44406000000000001</v>
      </c>
      <c r="K5106" s="55">
        <v>-0.69439700000000004</v>
      </c>
      <c r="L5106" s="55">
        <v>-0.44405899999999998</v>
      </c>
      <c r="M5106" s="55">
        <v>-0.44405800000000001</v>
      </c>
      <c r="N5106" s="55">
        <v>0</v>
      </c>
    </row>
    <row r="5107" spans="1:14" hidden="1" x14ac:dyDescent="0.35">
      <c r="A5107" s="52" t="s">
        <v>662</v>
      </c>
      <c r="B5107" s="52" t="s">
        <v>74</v>
      </c>
      <c r="C5107" s="52" t="s">
        <v>834</v>
      </c>
      <c r="D5107" s="52" t="s">
        <v>834</v>
      </c>
      <c r="E5107" s="52" t="s">
        <v>584</v>
      </c>
      <c r="F5107" s="52" t="s">
        <v>26</v>
      </c>
      <c r="G5107" s="55" t="s">
        <v>278</v>
      </c>
      <c r="H5107" s="55">
        <v>0.44406000000000001</v>
      </c>
      <c r="I5107" s="55">
        <v>0.44406000000000001</v>
      </c>
      <c r="J5107" s="55">
        <v>0.44406000000000001</v>
      </c>
      <c r="K5107" s="55">
        <v>0.69439700000000004</v>
      </c>
      <c r="L5107" s="55">
        <v>0.44406000000000001</v>
      </c>
      <c r="M5107" s="55">
        <v>0.44406000000000001</v>
      </c>
      <c r="N5107" s="55">
        <v>0</v>
      </c>
    </row>
    <row r="5108" spans="1:14" hidden="1" x14ac:dyDescent="0.35">
      <c r="A5108" s="52" t="s">
        <v>662</v>
      </c>
      <c r="B5108" s="52" t="s">
        <v>74</v>
      </c>
      <c r="C5108" s="52" t="s">
        <v>839</v>
      </c>
      <c r="D5108" s="52" t="s">
        <v>839</v>
      </c>
      <c r="E5108" s="52" t="s">
        <v>584</v>
      </c>
      <c r="F5108" s="52" t="s">
        <v>26</v>
      </c>
      <c r="G5108" s="55" t="s">
        <v>275</v>
      </c>
      <c r="H5108" s="55">
        <v>-0.13806199999999999</v>
      </c>
      <c r="I5108" s="55">
        <v>-0.13806099999999999</v>
      </c>
      <c r="J5108" s="55">
        <v>0</v>
      </c>
      <c r="K5108" s="55">
        <v>0</v>
      </c>
      <c r="L5108" s="55">
        <v>0</v>
      </c>
      <c r="M5108" s="55">
        <v>0</v>
      </c>
      <c r="N5108" s="55">
        <v>0</v>
      </c>
    </row>
    <row r="5109" spans="1:14" hidden="1" x14ac:dyDescent="0.35">
      <c r="A5109" s="52" t="s">
        <v>662</v>
      </c>
      <c r="B5109" s="52" t="s">
        <v>74</v>
      </c>
      <c r="C5109" s="52" t="s">
        <v>839</v>
      </c>
      <c r="D5109" s="52" t="s">
        <v>839</v>
      </c>
      <c r="E5109" s="52" t="s">
        <v>584</v>
      </c>
      <c r="F5109" s="52" t="s">
        <v>26</v>
      </c>
      <c r="G5109" s="55" t="s">
        <v>276</v>
      </c>
      <c r="H5109" s="55">
        <v>-9.2040999999999998E-2</v>
      </c>
      <c r="I5109" s="55">
        <v>-9.2040999999999998E-2</v>
      </c>
      <c r="J5109" s="55">
        <v>-0.230103</v>
      </c>
      <c r="K5109" s="55">
        <v>-0.37074000000000001</v>
      </c>
      <c r="L5109" s="55">
        <v>-0.230104</v>
      </c>
      <c r="M5109" s="55">
        <v>-0.230104</v>
      </c>
      <c r="N5109" s="55">
        <v>0</v>
      </c>
    </row>
    <row r="5110" spans="1:14" hidden="1" x14ac:dyDescent="0.35">
      <c r="A5110" s="52" t="s">
        <v>662</v>
      </c>
      <c r="B5110" s="52" t="s">
        <v>74</v>
      </c>
      <c r="C5110" s="52" t="s">
        <v>839</v>
      </c>
      <c r="D5110" s="52" t="s">
        <v>839</v>
      </c>
      <c r="E5110" s="52" t="s">
        <v>584</v>
      </c>
      <c r="F5110" s="52" t="s">
        <v>26</v>
      </c>
      <c r="G5110" s="55" t="s">
        <v>278</v>
      </c>
      <c r="H5110" s="55">
        <v>0.230103</v>
      </c>
      <c r="I5110" s="55">
        <v>0.230103</v>
      </c>
      <c r="J5110" s="55">
        <v>0.230103</v>
      </c>
      <c r="K5110" s="55">
        <v>0.37074000000000001</v>
      </c>
      <c r="L5110" s="55">
        <v>0.230103</v>
      </c>
      <c r="M5110" s="55">
        <v>0.230103</v>
      </c>
      <c r="N5110" s="55">
        <v>0</v>
      </c>
    </row>
    <row r="5111" spans="1:14" hidden="1" x14ac:dyDescent="0.35">
      <c r="A5111" s="52" t="s">
        <v>662</v>
      </c>
      <c r="B5111" s="52" t="s">
        <v>74</v>
      </c>
      <c r="C5111" s="52" t="s">
        <v>224</v>
      </c>
      <c r="D5111" s="52" t="s">
        <v>224</v>
      </c>
      <c r="E5111" s="52" t="s">
        <v>584</v>
      </c>
      <c r="F5111" s="52" t="s">
        <v>26</v>
      </c>
      <c r="G5111" s="55" t="s">
        <v>275</v>
      </c>
      <c r="H5111" s="55">
        <v>-0.13806199999999999</v>
      </c>
      <c r="I5111" s="55">
        <v>-0.13806099999999999</v>
      </c>
      <c r="J5111" s="55">
        <v>0</v>
      </c>
      <c r="K5111" s="55">
        <v>0</v>
      </c>
      <c r="L5111" s="55">
        <v>0</v>
      </c>
      <c r="M5111" s="55">
        <v>0</v>
      </c>
      <c r="N5111" s="55">
        <v>0</v>
      </c>
    </row>
    <row r="5112" spans="1:14" hidden="1" x14ac:dyDescent="0.35">
      <c r="A5112" s="52" t="s">
        <v>662</v>
      </c>
      <c r="B5112" s="52" t="s">
        <v>74</v>
      </c>
      <c r="C5112" s="52" t="s">
        <v>224</v>
      </c>
      <c r="D5112" s="52" t="s">
        <v>224</v>
      </c>
      <c r="E5112" s="52" t="s">
        <v>584</v>
      </c>
      <c r="F5112" s="52" t="s">
        <v>26</v>
      </c>
      <c r="G5112" s="55" t="s">
        <v>276</v>
      </c>
      <c r="H5112" s="55">
        <v>-9.2040999999999998E-2</v>
      </c>
      <c r="I5112" s="55">
        <v>-9.2040999999999998E-2</v>
      </c>
      <c r="J5112" s="55">
        <v>-0.230103</v>
      </c>
      <c r="K5112" s="55">
        <v>-0.33980199999999999</v>
      </c>
      <c r="L5112" s="55">
        <v>-0.230104</v>
      </c>
      <c r="M5112" s="55">
        <v>-0.230104</v>
      </c>
      <c r="N5112" s="55">
        <v>0</v>
      </c>
    </row>
    <row r="5113" spans="1:14" hidden="1" x14ac:dyDescent="0.35">
      <c r="A5113" s="52" t="s">
        <v>662</v>
      </c>
      <c r="B5113" s="52" t="s">
        <v>74</v>
      </c>
      <c r="C5113" s="52" t="s">
        <v>224</v>
      </c>
      <c r="D5113" s="52" t="s">
        <v>224</v>
      </c>
      <c r="E5113" s="52" t="s">
        <v>584</v>
      </c>
      <c r="F5113" s="52" t="s">
        <v>26</v>
      </c>
      <c r="G5113" s="55" t="s">
        <v>278</v>
      </c>
      <c r="H5113" s="55">
        <v>0.230103</v>
      </c>
      <c r="I5113" s="55">
        <v>0.230103</v>
      </c>
      <c r="J5113" s="55">
        <v>0.230103</v>
      </c>
      <c r="K5113" s="55">
        <v>0.33980300000000002</v>
      </c>
      <c r="L5113" s="55">
        <v>0.230103</v>
      </c>
      <c r="M5113" s="55">
        <v>0.230103</v>
      </c>
      <c r="N5113" s="55">
        <v>0</v>
      </c>
    </row>
    <row r="5114" spans="1:14" hidden="1" x14ac:dyDescent="0.35">
      <c r="A5114" s="52" t="s">
        <v>662</v>
      </c>
      <c r="B5114" s="52" t="s">
        <v>74</v>
      </c>
      <c r="C5114" s="52" t="s">
        <v>224</v>
      </c>
      <c r="D5114" s="52" t="s">
        <v>224</v>
      </c>
      <c r="E5114" s="52" t="s">
        <v>840</v>
      </c>
      <c r="F5114" s="52" t="s">
        <v>26</v>
      </c>
      <c r="G5114" s="55" t="s">
        <v>275</v>
      </c>
      <c r="H5114" s="55">
        <v>-9.4577999999999995E-2</v>
      </c>
      <c r="I5114" s="55">
        <v>-9.4577999999999995E-2</v>
      </c>
      <c r="J5114" s="55">
        <v>0</v>
      </c>
      <c r="K5114" s="55">
        <v>0</v>
      </c>
      <c r="L5114" s="55">
        <v>0</v>
      </c>
      <c r="M5114" s="55">
        <v>0</v>
      </c>
      <c r="N5114" s="55">
        <v>0</v>
      </c>
    </row>
    <row r="5115" spans="1:14" hidden="1" x14ac:dyDescent="0.35">
      <c r="A5115" s="52" t="s">
        <v>662</v>
      </c>
      <c r="B5115" s="52" t="s">
        <v>74</v>
      </c>
      <c r="C5115" s="52" t="s">
        <v>224</v>
      </c>
      <c r="D5115" s="52" t="s">
        <v>224</v>
      </c>
      <c r="E5115" s="52" t="s">
        <v>840</v>
      </c>
      <c r="F5115" s="52" t="s">
        <v>26</v>
      </c>
      <c r="G5115" s="55" t="s">
        <v>276</v>
      </c>
      <c r="H5115" s="55">
        <v>-6.3051999999999997E-2</v>
      </c>
      <c r="I5115" s="55">
        <v>-6.3051999999999997E-2</v>
      </c>
      <c r="J5115" s="55">
        <v>-0.15762999999999999</v>
      </c>
      <c r="K5115" s="55">
        <v>-0.276063</v>
      </c>
      <c r="L5115" s="55">
        <v>-0.180924</v>
      </c>
      <c r="M5115" s="55">
        <v>-0.15762999999999999</v>
      </c>
      <c r="N5115" s="55">
        <v>-0.15762999999999999</v>
      </c>
    </row>
    <row r="5116" spans="1:14" hidden="1" x14ac:dyDescent="0.35">
      <c r="A5116" s="52" t="s">
        <v>662</v>
      </c>
      <c r="B5116" s="52" t="s">
        <v>74</v>
      </c>
      <c r="C5116" s="52" t="s">
        <v>224</v>
      </c>
      <c r="D5116" s="52" t="s">
        <v>224</v>
      </c>
      <c r="E5116" s="52" t="s">
        <v>840</v>
      </c>
      <c r="F5116" s="52" t="s">
        <v>26</v>
      </c>
      <c r="G5116" s="55" t="s">
        <v>278</v>
      </c>
      <c r="H5116" s="55">
        <v>0.15762999999999999</v>
      </c>
      <c r="I5116" s="55">
        <v>0.15762999999999999</v>
      </c>
      <c r="J5116" s="55">
        <v>0.15762999999999999</v>
      </c>
      <c r="K5116" s="55">
        <v>0.27606199999999997</v>
      </c>
      <c r="L5116" s="55">
        <v>0.180924</v>
      </c>
      <c r="M5116" s="55">
        <v>0.15762999999999999</v>
      </c>
      <c r="N5116" s="55">
        <v>0.15762999999999999</v>
      </c>
    </row>
    <row r="5117" spans="1:14" hidden="1" x14ac:dyDescent="0.35">
      <c r="A5117" s="52" t="s">
        <v>662</v>
      </c>
      <c r="B5117" s="52" t="s">
        <v>74</v>
      </c>
      <c r="C5117" s="52" t="s">
        <v>224</v>
      </c>
      <c r="D5117" s="52" t="s">
        <v>224</v>
      </c>
      <c r="E5117" s="52" t="s">
        <v>841</v>
      </c>
      <c r="F5117" s="52" t="s">
        <v>26</v>
      </c>
      <c r="G5117" s="55" t="s">
        <v>275</v>
      </c>
      <c r="H5117" s="55">
        <v>-9.7759009999999993E-2</v>
      </c>
      <c r="I5117" s="55">
        <v>-9.7757999999999998E-2</v>
      </c>
      <c r="J5117" s="55">
        <v>0</v>
      </c>
      <c r="K5117" s="55">
        <v>0</v>
      </c>
      <c r="L5117" s="55">
        <v>0</v>
      </c>
      <c r="M5117" s="55">
        <v>0</v>
      </c>
      <c r="N5117" s="55">
        <v>0</v>
      </c>
    </row>
    <row r="5118" spans="1:14" hidden="1" x14ac:dyDescent="0.35">
      <c r="A5118" s="52" t="s">
        <v>662</v>
      </c>
      <c r="B5118" s="52" t="s">
        <v>74</v>
      </c>
      <c r="C5118" s="52" t="s">
        <v>224</v>
      </c>
      <c r="D5118" s="52" t="s">
        <v>224</v>
      </c>
      <c r="E5118" s="52" t="s">
        <v>841</v>
      </c>
      <c r="F5118" s="52" t="s">
        <v>26</v>
      </c>
      <c r="G5118" s="55" t="s">
        <v>276</v>
      </c>
      <c r="H5118" s="55">
        <v>-6.5171999999999994E-2</v>
      </c>
      <c r="I5118" s="55">
        <v>-6.5173999999999996E-2</v>
      </c>
      <c r="J5118" s="55">
        <v>-0.16293099999999999</v>
      </c>
      <c r="K5118" s="55">
        <v>-0.28136299999999997</v>
      </c>
      <c r="L5118" s="55">
        <v>-0.186226</v>
      </c>
      <c r="M5118" s="55">
        <v>-0.16292999999999999</v>
      </c>
      <c r="N5118" s="55">
        <v>-0.16293199999999999</v>
      </c>
    </row>
    <row r="5119" spans="1:14" hidden="1" x14ac:dyDescent="0.35">
      <c r="A5119" s="52" t="s">
        <v>662</v>
      </c>
      <c r="B5119" s="52" t="s">
        <v>74</v>
      </c>
      <c r="C5119" s="52" t="s">
        <v>224</v>
      </c>
      <c r="D5119" s="52" t="s">
        <v>224</v>
      </c>
      <c r="E5119" s="52" t="s">
        <v>841</v>
      </c>
      <c r="F5119" s="52" t="s">
        <v>26</v>
      </c>
      <c r="G5119" s="55" t="s">
        <v>278</v>
      </c>
      <c r="H5119" s="55">
        <v>0.16293099999999999</v>
      </c>
      <c r="I5119" s="55">
        <v>0.16293099999999999</v>
      </c>
      <c r="J5119" s="55">
        <v>0.16293099999999999</v>
      </c>
      <c r="K5119" s="55">
        <v>0.28136299999999997</v>
      </c>
      <c r="L5119" s="55">
        <v>0.186225</v>
      </c>
      <c r="M5119" s="55">
        <v>0.16293099999999999</v>
      </c>
      <c r="N5119" s="55">
        <v>0.16293099999999999</v>
      </c>
    </row>
    <row r="5120" spans="1:14" hidden="1" x14ac:dyDescent="0.35">
      <c r="A5120" s="52" t="s">
        <v>666</v>
      </c>
      <c r="B5120" s="52" t="s">
        <v>37</v>
      </c>
      <c r="C5120" s="52" t="s">
        <v>63</v>
      </c>
      <c r="D5120" s="52" t="s">
        <v>63</v>
      </c>
      <c r="E5120" s="52" t="s">
        <v>608</v>
      </c>
      <c r="F5120" s="52" t="s">
        <v>581</v>
      </c>
      <c r="G5120" s="55" t="s">
        <v>275</v>
      </c>
      <c r="H5120" s="55">
        <v>36.263919999999999</v>
      </c>
      <c r="I5120" s="55">
        <v>13.67315</v>
      </c>
      <c r="J5120" s="55">
        <v>16.098040000000001</v>
      </c>
      <c r="K5120" s="55">
        <v>15.78959</v>
      </c>
      <c r="L5120" s="55">
        <v>17.608429999999998</v>
      </c>
      <c r="M5120" s="55">
        <v>16.059429999999999</v>
      </c>
      <c r="N5120" s="55">
        <v>13.4255</v>
      </c>
    </row>
    <row r="5121" spans="1:14" hidden="1" x14ac:dyDescent="0.35">
      <c r="A5121" s="52" t="s">
        <v>666</v>
      </c>
      <c r="B5121" s="52" t="s">
        <v>37</v>
      </c>
      <c r="C5121" s="52" t="s">
        <v>63</v>
      </c>
      <c r="D5121" s="52" t="s">
        <v>63</v>
      </c>
      <c r="E5121" s="52" t="s">
        <v>608</v>
      </c>
      <c r="F5121" s="52" t="s">
        <v>581</v>
      </c>
      <c r="G5121" s="55" t="s">
        <v>276</v>
      </c>
      <c r="H5121" s="55">
        <v>0</v>
      </c>
      <c r="I5121" s="55">
        <v>0</v>
      </c>
      <c r="J5121" s="55"/>
      <c r="K5121" s="55">
        <v>4.1972180000000003</v>
      </c>
      <c r="L5121" s="55">
        <v>1.9094610000000001</v>
      </c>
      <c r="M5121" s="55">
        <v>1.6696040000000001</v>
      </c>
      <c r="N5121" s="55">
        <v>3.568838</v>
      </c>
    </row>
    <row r="5122" spans="1:14" hidden="1" x14ac:dyDescent="0.35">
      <c r="A5122" s="52" t="s">
        <v>666</v>
      </c>
      <c r="B5122" s="52" t="s">
        <v>37</v>
      </c>
      <c r="C5122" s="52" t="s">
        <v>63</v>
      </c>
      <c r="D5122" s="52" t="s">
        <v>63</v>
      </c>
      <c r="E5122" s="52" t="s">
        <v>608</v>
      </c>
      <c r="F5122" s="52" t="s">
        <v>581</v>
      </c>
      <c r="G5122" s="55" t="s">
        <v>279</v>
      </c>
      <c r="H5122" s="55">
        <v>7.0398129999999997</v>
      </c>
      <c r="I5122" s="55">
        <v>5.9284369999999997</v>
      </c>
      <c r="J5122" s="55">
        <v>7.1793069999999997</v>
      </c>
      <c r="K5122" s="55">
        <v>8.5150869999999994</v>
      </c>
      <c r="L5122" s="55">
        <v>8.2289720000000006</v>
      </c>
      <c r="M5122" s="55">
        <v>8.4179770000000005</v>
      </c>
      <c r="N5122" s="55">
        <v>8.032076</v>
      </c>
    </row>
    <row r="5123" spans="1:14" hidden="1" x14ac:dyDescent="0.35">
      <c r="A5123" s="52" t="s">
        <v>666</v>
      </c>
      <c r="B5123" s="52" t="s">
        <v>37</v>
      </c>
      <c r="C5123" s="52" t="s">
        <v>63</v>
      </c>
      <c r="D5123" s="52" t="s">
        <v>63</v>
      </c>
      <c r="E5123" s="52" t="s">
        <v>608</v>
      </c>
      <c r="F5123" s="52" t="s">
        <v>26</v>
      </c>
      <c r="G5123" s="55" t="s">
        <v>275</v>
      </c>
      <c r="H5123" s="55">
        <v>-224.37190000000001</v>
      </c>
      <c r="I5123" s="55">
        <v>61.104030000000002</v>
      </c>
      <c r="J5123" s="55">
        <v>155.66970000000001</v>
      </c>
      <c r="K5123" s="55">
        <v>159.24449999999999</v>
      </c>
      <c r="L5123" s="55">
        <v>170.3784</v>
      </c>
      <c r="M5123" s="55">
        <v>147.61000000000001</v>
      </c>
      <c r="N5123" s="55">
        <v>125.0838</v>
      </c>
    </row>
    <row r="5124" spans="1:14" hidden="1" x14ac:dyDescent="0.35">
      <c r="A5124" s="52" t="s">
        <v>666</v>
      </c>
      <c r="B5124" s="52" t="s">
        <v>37</v>
      </c>
      <c r="C5124" s="52" t="s">
        <v>63</v>
      </c>
      <c r="D5124" s="52" t="s">
        <v>63</v>
      </c>
      <c r="E5124" s="52" t="s">
        <v>608</v>
      </c>
      <c r="F5124" s="52" t="s">
        <v>26</v>
      </c>
      <c r="G5124" s="55" t="s">
        <v>276</v>
      </c>
      <c r="H5124" s="55">
        <v>0</v>
      </c>
      <c r="I5124" s="55">
        <v>0</v>
      </c>
      <c r="J5124" s="55"/>
      <c r="K5124" s="55">
        <v>9.5043430000000004</v>
      </c>
      <c r="L5124" s="55">
        <v>7.4626349999999997</v>
      </c>
      <c r="M5124" s="55">
        <v>3.722553</v>
      </c>
      <c r="N5124" s="55">
        <v>12.45776</v>
      </c>
    </row>
    <row r="5125" spans="1:14" hidden="1" x14ac:dyDescent="0.35">
      <c r="A5125" s="52" t="s">
        <v>666</v>
      </c>
      <c r="B5125" s="52" t="s">
        <v>37</v>
      </c>
      <c r="C5125" s="52" t="s">
        <v>63</v>
      </c>
      <c r="D5125" s="52" t="s">
        <v>63</v>
      </c>
      <c r="E5125" s="52" t="s">
        <v>608</v>
      </c>
      <c r="F5125" s="52" t="s">
        <v>26</v>
      </c>
      <c r="G5125" s="55" t="s">
        <v>277</v>
      </c>
      <c r="H5125" s="55">
        <v>427.63350000000003</v>
      </c>
      <c r="I5125" s="55">
        <v>94.387270000000001</v>
      </c>
      <c r="J5125" s="55">
        <v>84.586489999999998</v>
      </c>
      <c r="K5125" s="55">
        <v>68.112470000000002</v>
      </c>
      <c r="L5125" s="55">
        <v>37.759270000000001</v>
      </c>
      <c r="M5125" s="55">
        <v>36.292009999999998</v>
      </c>
      <c r="N5125" s="55">
        <v>42.895690000000002</v>
      </c>
    </row>
    <row r="5126" spans="1:14" hidden="1" x14ac:dyDescent="0.35">
      <c r="A5126" s="52" t="s">
        <v>666</v>
      </c>
      <c r="B5126" s="52" t="s">
        <v>37</v>
      </c>
      <c r="C5126" s="52" t="s">
        <v>63</v>
      </c>
      <c r="D5126" s="52" t="s">
        <v>63</v>
      </c>
      <c r="E5126" s="52" t="s">
        <v>608</v>
      </c>
      <c r="F5126" s="52" t="s">
        <v>26</v>
      </c>
      <c r="G5126" s="55" t="s">
        <v>278</v>
      </c>
      <c r="H5126" s="55">
        <v>37.840060000000001</v>
      </c>
      <c r="I5126" s="55">
        <v>17.783999999999999</v>
      </c>
      <c r="J5126" s="55">
        <v>17.054400000000001</v>
      </c>
      <c r="K5126" s="55">
        <v>23.728999999999999</v>
      </c>
      <c r="L5126" s="55">
        <v>14.425560000000001</v>
      </c>
      <c r="M5126" s="55">
        <v>14.890650000000001</v>
      </c>
      <c r="N5126" s="55">
        <v>11.59803</v>
      </c>
    </row>
    <row r="5127" spans="1:14" hidden="1" x14ac:dyDescent="0.35">
      <c r="A5127" s="52" t="s">
        <v>666</v>
      </c>
      <c r="B5127" s="52" t="s">
        <v>37</v>
      </c>
      <c r="C5127" s="52" t="s">
        <v>63</v>
      </c>
      <c r="D5127" s="52" t="s">
        <v>63</v>
      </c>
      <c r="E5127" s="52" t="s">
        <v>608</v>
      </c>
      <c r="F5127" s="52" t="s">
        <v>26</v>
      </c>
      <c r="G5127" s="55" t="s">
        <v>279</v>
      </c>
      <c r="H5127" s="55">
        <v>416.32440000000003</v>
      </c>
      <c r="I5127" s="55">
        <v>344.90969999999999</v>
      </c>
      <c r="J5127" s="55">
        <v>427.19850000000002</v>
      </c>
      <c r="K5127" s="55">
        <v>519.98149999999998</v>
      </c>
      <c r="L5127" s="55">
        <v>525.90970000000004</v>
      </c>
      <c r="M5127" s="55">
        <v>506.89170000000001</v>
      </c>
      <c r="N5127" s="55">
        <v>481.81200000000001</v>
      </c>
    </row>
    <row r="5128" spans="1:14" hidden="1" x14ac:dyDescent="0.35">
      <c r="A5128" s="52" t="s">
        <v>666</v>
      </c>
      <c r="B5128" s="52" t="s">
        <v>37</v>
      </c>
      <c r="C5128" s="52" t="s">
        <v>63</v>
      </c>
      <c r="D5128" s="52" t="s">
        <v>63</v>
      </c>
      <c r="E5128" s="52" t="s">
        <v>610</v>
      </c>
      <c r="F5128" s="52" t="s">
        <v>581</v>
      </c>
      <c r="G5128" s="55" t="s">
        <v>275</v>
      </c>
      <c r="H5128" s="55">
        <v>50.621040000000001</v>
      </c>
      <c r="I5128" s="55">
        <v>30.538</v>
      </c>
      <c r="J5128" s="55">
        <v>37.910229999999999</v>
      </c>
      <c r="K5128" s="55">
        <v>47.317230000000002</v>
      </c>
      <c r="L5128" s="55">
        <v>52.215699999999998</v>
      </c>
      <c r="M5128" s="55">
        <v>49.025700000000001</v>
      </c>
      <c r="N5128" s="55">
        <v>51.09637</v>
      </c>
    </row>
    <row r="5129" spans="1:14" hidden="1" x14ac:dyDescent="0.35">
      <c r="A5129" s="52" t="s">
        <v>666</v>
      </c>
      <c r="B5129" s="52" t="s">
        <v>37</v>
      </c>
      <c r="C5129" s="52" t="s">
        <v>63</v>
      </c>
      <c r="D5129" s="52" t="s">
        <v>63</v>
      </c>
      <c r="E5129" s="52" t="s">
        <v>610</v>
      </c>
      <c r="F5129" s="52" t="s">
        <v>581</v>
      </c>
      <c r="G5129" s="55" t="s">
        <v>276</v>
      </c>
      <c r="H5129" s="55">
        <v>8.1570999999999998</v>
      </c>
      <c r="I5129" s="55">
        <v>0.82144709999999999</v>
      </c>
      <c r="J5129" s="55">
        <v>6.606052</v>
      </c>
      <c r="K5129" s="55">
        <v>10.21542</v>
      </c>
      <c r="L5129" s="55">
        <v>10.41736</v>
      </c>
      <c r="M5129" s="55">
        <v>11.62078</v>
      </c>
      <c r="N5129" s="55">
        <v>13.464919999999999</v>
      </c>
    </row>
    <row r="5130" spans="1:14" hidden="1" x14ac:dyDescent="0.35">
      <c r="A5130" s="52" t="s">
        <v>666</v>
      </c>
      <c r="B5130" s="52" t="s">
        <v>37</v>
      </c>
      <c r="C5130" s="52" t="s">
        <v>63</v>
      </c>
      <c r="D5130" s="52" t="s">
        <v>63</v>
      </c>
      <c r="E5130" s="52" t="s">
        <v>610</v>
      </c>
      <c r="F5130" s="52" t="s">
        <v>581</v>
      </c>
      <c r="G5130" s="55" t="s">
        <v>279</v>
      </c>
      <c r="H5130" s="55">
        <v>10.330360000000001</v>
      </c>
      <c r="I5130" s="55">
        <v>10.336220000000001</v>
      </c>
      <c r="J5130" s="55">
        <v>13.289899999999999</v>
      </c>
      <c r="K5130" s="55">
        <v>17.483460000000001</v>
      </c>
      <c r="L5130" s="55">
        <v>18.569109999999998</v>
      </c>
      <c r="M5130" s="55">
        <v>20.169339999999998</v>
      </c>
      <c r="N5130" s="55">
        <v>21.273589999999999</v>
      </c>
    </row>
    <row r="5131" spans="1:14" hidden="1" x14ac:dyDescent="0.35">
      <c r="A5131" s="52" t="s">
        <v>666</v>
      </c>
      <c r="B5131" s="52" t="s">
        <v>37</v>
      </c>
      <c r="C5131" s="52" t="s">
        <v>63</v>
      </c>
      <c r="D5131" s="52" t="s">
        <v>63</v>
      </c>
      <c r="E5131" s="52" t="s">
        <v>610</v>
      </c>
      <c r="F5131" s="52" t="s">
        <v>26</v>
      </c>
      <c r="G5131" s="55" t="s">
        <v>275</v>
      </c>
      <c r="H5131" s="55">
        <v>-32.286740000000002</v>
      </c>
      <c r="I5131" s="55">
        <v>-29.845230000000001</v>
      </c>
      <c r="J5131" s="55">
        <v>-2.6648170000000002</v>
      </c>
      <c r="K5131" s="55">
        <v>13.92576</v>
      </c>
      <c r="L5131" s="55">
        <v>28.506029999999999</v>
      </c>
      <c r="M5131" s="55">
        <v>15.7995</v>
      </c>
      <c r="N5131" s="55">
        <v>18.68638</v>
      </c>
    </row>
    <row r="5132" spans="1:14" hidden="1" x14ac:dyDescent="0.35">
      <c r="A5132" s="52" t="s">
        <v>666</v>
      </c>
      <c r="B5132" s="52" t="s">
        <v>37</v>
      </c>
      <c r="C5132" s="52" t="s">
        <v>63</v>
      </c>
      <c r="D5132" s="52" t="s">
        <v>63</v>
      </c>
      <c r="E5132" s="52" t="s">
        <v>610</v>
      </c>
      <c r="F5132" s="52" t="s">
        <v>26</v>
      </c>
      <c r="G5132" s="55" t="s">
        <v>276</v>
      </c>
      <c r="H5132" s="55">
        <v>0</v>
      </c>
      <c r="I5132" s="55">
        <v>0</v>
      </c>
      <c r="J5132" s="55">
        <v>0.20448359999999999</v>
      </c>
      <c r="K5132" s="55">
        <v>1.6913849999999999</v>
      </c>
      <c r="L5132" s="55">
        <v>1.387975</v>
      </c>
      <c r="M5132" s="55">
        <v>0.6749058</v>
      </c>
      <c r="N5132" s="55">
        <v>2.7850039999999998</v>
      </c>
    </row>
    <row r="5133" spans="1:14" hidden="1" x14ac:dyDescent="0.35">
      <c r="A5133" s="52" t="s">
        <v>666</v>
      </c>
      <c r="B5133" s="52" t="s">
        <v>37</v>
      </c>
      <c r="C5133" s="52" t="s">
        <v>63</v>
      </c>
      <c r="D5133" s="52" t="s">
        <v>63</v>
      </c>
      <c r="E5133" s="52" t="s">
        <v>610</v>
      </c>
      <c r="F5133" s="52" t="s">
        <v>26</v>
      </c>
      <c r="G5133" s="55" t="s">
        <v>277</v>
      </c>
      <c r="H5133" s="55">
        <v>77.61703</v>
      </c>
      <c r="I5133" s="55">
        <v>59.077350000000003</v>
      </c>
      <c r="J5133" s="55">
        <v>56.128489999999999</v>
      </c>
      <c r="K5133" s="55">
        <v>38.912649999999999</v>
      </c>
      <c r="L5133" s="55">
        <v>28.088789999999999</v>
      </c>
      <c r="M5133" s="55">
        <v>35.672029999999999</v>
      </c>
      <c r="N5133" s="55">
        <v>37.481990000000003</v>
      </c>
    </row>
    <row r="5134" spans="1:14" hidden="1" x14ac:dyDescent="0.35">
      <c r="A5134" s="52" t="s">
        <v>666</v>
      </c>
      <c r="B5134" s="52" t="s">
        <v>37</v>
      </c>
      <c r="C5134" s="52" t="s">
        <v>63</v>
      </c>
      <c r="D5134" s="52" t="s">
        <v>63</v>
      </c>
      <c r="E5134" s="52" t="s">
        <v>610</v>
      </c>
      <c r="F5134" s="52" t="s">
        <v>26</v>
      </c>
      <c r="G5134" s="55" t="s">
        <v>278</v>
      </c>
      <c r="H5134" s="55">
        <v>12.249470000000001</v>
      </c>
      <c r="I5134" s="55">
        <v>18.341470000000001</v>
      </c>
      <c r="J5134" s="55">
        <v>22.997779999999999</v>
      </c>
      <c r="K5134" s="55">
        <v>31.343589999999999</v>
      </c>
      <c r="L5134" s="55">
        <v>26.703320000000001</v>
      </c>
      <c r="M5134" s="55">
        <v>27.062010000000001</v>
      </c>
      <c r="N5134" s="55">
        <v>25.05922</v>
      </c>
    </row>
    <row r="5135" spans="1:14" hidden="1" x14ac:dyDescent="0.35">
      <c r="A5135" s="52" t="s">
        <v>666</v>
      </c>
      <c r="B5135" s="52" t="s">
        <v>37</v>
      </c>
      <c r="C5135" s="52" t="s">
        <v>63</v>
      </c>
      <c r="D5135" s="52" t="s">
        <v>63</v>
      </c>
      <c r="E5135" s="52" t="s">
        <v>610</v>
      </c>
      <c r="F5135" s="52" t="s">
        <v>26</v>
      </c>
      <c r="G5135" s="55" t="s">
        <v>279</v>
      </c>
      <c r="H5135" s="55">
        <v>99.895390000000006</v>
      </c>
      <c r="I5135" s="55">
        <v>94.274699999999996</v>
      </c>
      <c r="J5135" s="55">
        <v>124.6427</v>
      </c>
      <c r="K5135" s="55">
        <v>169.0899</v>
      </c>
      <c r="L5135" s="55">
        <v>189.20760000000001</v>
      </c>
      <c r="M5135" s="55">
        <v>193.04810000000001</v>
      </c>
      <c r="N5135" s="55">
        <v>203.95650000000001</v>
      </c>
    </row>
    <row r="5136" spans="1:14" hidden="1" x14ac:dyDescent="0.35">
      <c r="A5136" s="52" t="s">
        <v>666</v>
      </c>
      <c r="B5136" s="52" t="s">
        <v>37</v>
      </c>
      <c r="C5136" s="52" t="s">
        <v>63</v>
      </c>
      <c r="D5136" s="52" t="s">
        <v>63</v>
      </c>
      <c r="E5136" s="52" t="s">
        <v>609</v>
      </c>
      <c r="F5136" s="52" t="s">
        <v>581</v>
      </c>
      <c r="G5136" s="55" t="s">
        <v>275</v>
      </c>
      <c r="H5136" s="55">
        <v>-0.28561199999999998</v>
      </c>
      <c r="I5136" s="55">
        <v>0.90179160000000003</v>
      </c>
      <c r="J5136" s="55">
        <v>0.84470009999999995</v>
      </c>
      <c r="K5136" s="55">
        <v>0.28089950000000002</v>
      </c>
      <c r="L5136" s="55">
        <v>0.46637319999999999</v>
      </c>
      <c r="M5136" s="55">
        <v>0.6170156</v>
      </c>
      <c r="N5136" s="55">
        <v>0.78265459999999998</v>
      </c>
    </row>
    <row r="5137" spans="1:14" hidden="1" x14ac:dyDescent="0.35">
      <c r="A5137" s="52" t="s">
        <v>666</v>
      </c>
      <c r="B5137" s="52" t="s">
        <v>37</v>
      </c>
      <c r="C5137" s="52" t="s">
        <v>63</v>
      </c>
      <c r="D5137" s="52" t="s">
        <v>63</v>
      </c>
      <c r="E5137" s="52" t="s">
        <v>609</v>
      </c>
      <c r="F5137" s="52" t="s">
        <v>581</v>
      </c>
      <c r="G5137" s="55" t="s">
        <v>276</v>
      </c>
      <c r="H5137" s="55">
        <v>-4.1213E-2</v>
      </c>
      <c r="I5137" s="55">
        <v>0.21973760000000001</v>
      </c>
      <c r="J5137" s="55">
        <v>0.19773879999999999</v>
      </c>
      <c r="K5137" s="55">
        <v>0.15169350000000001</v>
      </c>
      <c r="L5137" s="55">
        <v>0.16132779999999999</v>
      </c>
      <c r="M5137" s="55">
        <v>0.20493649999999999</v>
      </c>
      <c r="N5137" s="55">
        <v>0.28926950000000001</v>
      </c>
    </row>
    <row r="5138" spans="1:14" hidden="1" x14ac:dyDescent="0.35">
      <c r="A5138" s="52" t="s">
        <v>666</v>
      </c>
      <c r="B5138" s="52" t="s">
        <v>37</v>
      </c>
      <c r="C5138" s="52" t="s">
        <v>63</v>
      </c>
      <c r="D5138" s="52" t="s">
        <v>63</v>
      </c>
      <c r="E5138" s="52" t="s">
        <v>609</v>
      </c>
      <c r="F5138" s="52" t="s">
        <v>581</v>
      </c>
      <c r="G5138" s="55" t="s">
        <v>279</v>
      </c>
      <c r="H5138" s="55">
        <v>0.32682600000000001</v>
      </c>
      <c r="I5138" s="55">
        <v>0.87850150000000005</v>
      </c>
      <c r="J5138" s="55">
        <v>0.85386709999999999</v>
      </c>
      <c r="K5138" s="55">
        <v>1.557504</v>
      </c>
      <c r="L5138" s="55">
        <v>1.6932970000000001</v>
      </c>
      <c r="M5138" s="55">
        <v>1.5576570000000001</v>
      </c>
      <c r="N5138" s="55">
        <v>1.36124</v>
      </c>
    </row>
    <row r="5139" spans="1:14" hidden="1" x14ac:dyDescent="0.35">
      <c r="A5139" s="52" t="s">
        <v>666</v>
      </c>
      <c r="B5139" s="52" t="s">
        <v>37</v>
      </c>
      <c r="C5139" s="52" t="s">
        <v>63</v>
      </c>
      <c r="D5139" s="52" t="s">
        <v>63</v>
      </c>
      <c r="E5139" s="52" t="s">
        <v>609</v>
      </c>
      <c r="F5139" s="52" t="s">
        <v>26</v>
      </c>
      <c r="G5139" s="55" t="s">
        <v>275</v>
      </c>
      <c r="H5139" s="55">
        <v>-105.12860000000001</v>
      </c>
      <c r="I5139" s="55">
        <v>94.027739999999994</v>
      </c>
      <c r="J5139" s="55">
        <v>116.7732</v>
      </c>
      <c r="K5139" s="55">
        <v>84.822410000000005</v>
      </c>
      <c r="L5139" s="55">
        <v>75.524879999999996</v>
      </c>
      <c r="M5139" s="55">
        <v>64.455359999999999</v>
      </c>
      <c r="N5139" s="55">
        <v>16.083269999999999</v>
      </c>
    </row>
    <row r="5140" spans="1:14" hidden="1" x14ac:dyDescent="0.35">
      <c r="A5140" s="52" t="s">
        <v>666</v>
      </c>
      <c r="B5140" s="52" t="s">
        <v>37</v>
      </c>
      <c r="C5140" s="52" t="s">
        <v>63</v>
      </c>
      <c r="D5140" s="52" t="s">
        <v>63</v>
      </c>
      <c r="E5140" s="52" t="s">
        <v>609</v>
      </c>
      <c r="F5140" s="52" t="s">
        <v>26</v>
      </c>
      <c r="G5140" s="55" t="s">
        <v>276</v>
      </c>
      <c r="H5140" s="55">
        <v>10.01061</v>
      </c>
      <c r="I5140" s="55">
        <v>5.0060880000000001</v>
      </c>
      <c r="J5140" s="55">
        <v>4.8658950000000001</v>
      </c>
      <c r="K5140" s="55">
        <v>5.4500029999999997</v>
      </c>
      <c r="L5140" s="55">
        <v>4.7428869999999996</v>
      </c>
      <c r="M5140" s="55">
        <v>11.250590000000001</v>
      </c>
      <c r="N5140" s="55">
        <v>15.69436</v>
      </c>
    </row>
    <row r="5141" spans="1:14" hidden="1" x14ac:dyDescent="0.35">
      <c r="A5141" s="52" t="s">
        <v>666</v>
      </c>
      <c r="B5141" s="52" t="s">
        <v>37</v>
      </c>
      <c r="C5141" s="52" t="s">
        <v>63</v>
      </c>
      <c r="D5141" s="52" t="s">
        <v>63</v>
      </c>
      <c r="E5141" s="52" t="s">
        <v>609</v>
      </c>
      <c r="F5141" s="52" t="s">
        <v>26</v>
      </c>
      <c r="G5141" s="55" t="s">
        <v>277</v>
      </c>
      <c r="H5141" s="55">
        <v>234.6224</v>
      </c>
      <c r="I5141" s="55">
        <v>46.786650000000002</v>
      </c>
      <c r="J5141" s="55">
        <v>31.614039999999999</v>
      </c>
      <c r="K5141" s="55">
        <v>45.248600000000003</v>
      </c>
      <c r="L5141" s="55">
        <v>67.962280000000007</v>
      </c>
      <c r="M5141" s="55">
        <v>87.940539999999999</v>
      </c>
      <c r="N5141" s="55">
        <v>145.86699999999999</v>
      </c>
    </row>
    <row r="5142" spans="1:14" hidden="1" x14ac:dyDescent="0.35">
      <c r="A5142" s="52" t="s">
        <v>666</v>
      </c>
      <c r="B5142" s="52" t="s">
        <v>37</v>
      </c>
      <c r="C5142" s="52" t="s">
        <v>63</v>
      </c>
      <c r="D5142" s="52" t="s">
        <v>63</v>
      </c>
      <c r="E5142" s="52" t="s">
        <v>609</v>
      </c>
      <c r="F5142" s="52" t="s">
        <v>26</v>
      </c>
      <c r="G5142" s="55" t="s">
        <v>278</v>
      </c>
      <c r="H5142" s="55">
        <v>29.765470000000001</v>
      </c>
      <c r="I5142" s="55">
        <v>13.87152</v>
      </c>
      <c r="J5142" s="55">
        <v>11.9016</v>
      </c>
      <c r="K5142" s="55">
        <v>19.673919999999999</v>
      </c>
      <c r="L5142" s="55">
        <v>12.24109</v>
      </c>
      <c r="M5142" s="55">
        <v>0</v>
      </c>
      <c r="N5142" s="55"/>
    </row>
    <row r="5143" spans="1:14" hidden="1" x14ac:dyDescent="0.35">
      <c r="A5143" s="52" t="s">
        <v>666</v>
      </c>
      <c r="B5143" s="52" t="s">
        <v>37</v>
      </c>
      <c r="C5143" s="52" t="s">
        <v>63</v>
      </c>
      <c r="D5143" s="52" t="s">
        <v>63</v>
      </c>
      <c r="E5143" s="52" t="s">
        <v>609</v>
      </c>
      <c r="F5143" s="52" t="s">
        <v>26</v>
      </c>
      <c r="G5143" s="55" t="s">
        <v>279</v>
      </c>
      <c r="H5143" s="55">
        <v>94.844220000000007</v>
      </c>
      <c r="I5143" s="55">
        <v>99.323400000000007</v>
      </c>
      <c r="J5143" s="55">
        <v>96.221310000000003</v>
      </c>
      <c r="K5143" s="55">
        <v>105.97539999999999</v>
      </c>
      <c r="L5143" s="55">
        <v>116.55589999999999</v>
      </c>
      <c r="M5143" s="55">
        <v>123.53440000000001</v>
      </c>
      <c r="N5143" s="55">
        <v>132.989</v>
      </c>
    </row>
    <row r="5144" spans="1:14" hidden="1" x14ac:dyDescent="0.35">
      <c r="A5144" s="52" t="s">
        <v>666</v>
      </c>
      <c r="B5144" s="52" t="s">
        <v>37</v>
      </c>
      <c r="C5144" s="52" t="s">
        <v>63</v>
      </c>
      <c r="D5144" s="52" t="s">
        <v>63</v>
      </c>
      <c r="E5144" s="52" t="s">
        <v>584</v>
      </c>
      <c r="F5144" s="52" t="s">
        <v>581</v>
      </c>
      <c r="G5144" s="55" t="s">
        <v>275</v>
      </c>
      <c r="H5144" s="55">
        <v>1.3506000000000001E-2</v>
      </c>
      <c r="I5144" s="55">
        <v>-5.5599999999999996E-4</v>
      </c>
      <c r="J5144" s="55">
        <v>0</v>
      </c>
      <c r="K5144" s="55"/>
      <c r="L5144" s="55"/>
      <c r="M5144" s="55">
        <v>0</v>
      </c>
      <c r="N5144" s="55"/>
    </row>
    <row r="5145" spans="1:14" hidden="1" x14ac:dyDescent="0.35">
      <c r="A5145" s="52" t="s">
        <v>666</v>
      </c>
      <c r="B5145" s="52" t="s">
        <v>37</v>
      </c>
      <c r="C5145" s="52" t="s">
        <v>63</v>
      </c>
      <c r="D5145" s="52" t="s">
        <v>63</v>
      </c>
      <c r="E5145" s="52" t="s">
        <v>584</v>
      </c>
      <c r="F5145" s="52" t="s">
        <v>581</v>
      </c>
      <c r="G5145" s="55" t="s">
        <v>276</v>
      </c>
      <c r="H5145" s="55">
        <v>0</v>
      </c>
      <c r="I5145" s="55"/>
      <c r="J5145" s="55"/>
      <c r="K5145" s="55"/>
      <c r="L5145" s="55"/>
      <c r="M5145" s="55"/>
      <c r="N5145" s="55"/>
    </row>
    <row r="5146" spans="1:14" hidden="1" x14ac:dyDescent="0.35">
      <c r="A5146" s="52" t="s">
        <v>666</v>
      </c>
      <c r="B5146" s="52" t="s">
        <v>37</v>
      </c>
      <c r="C5146" s="52" t="s">
        <v>63</v>
      </c>
      <c r="D5146" s="52" t="s">
        <v>63</v>
      </c>
      <c r="E5146" s="52" t="s">
        <v>584</v>
      </c>
      <c r="F5146" s="52" t="s">
        <v>581</v>
      </c>
      <c r="G5146" s="55" t="s">
        <v>278</v>
      </c>
      <c r="H5146" s="55">
        <v>0</v>
      </c>
      <c r="I5146" s="55">
        <v>5.5599999999999996E-4</v>
      </c>
      <c r="J5146" s="55">
        <v>0</v>
      </c>
      <c r="K5146" s="55"/>
      <c r="L5146" s="55"/>
      <c r="M5146" s="55"/>
      <c r="N5146" s="55"/>
    </row>
    <row r="5147" spans="1:14" hidden="1" x14ac:dyDescent="0.35">
      <c r="A5147" s="52" t="s">
        <v>666</v>
      </c>
      <c r="B5147" s="52" t="s">
        <v>37</v>
      </c>
      <c r="C5147" s="52" t="s">
        <v>63</v>
      </c>
      <c r="D5147" s="52" t="s">
        <v>63</v>
      </c>
      <c r="E5147" s="52" t="s">
        <v>584</v>
      </c>
      <c r="F5147" s="52" t="s">
        <v>581</v>
      </c>
      <c r="G5147" s="55" t="s">
        <v>279</v>
      </c>
      <c r="H5147" s="55">
        <v>3.4989999999999999E-3</v>
      </c>
      <c r="I5147" s="55">
        <v>0</v>
      </c>
      <c r="J5147" s="55">
        <v>0</v>
      </c>
      <c r="K5147" s="55"/>
      <c r="L5147" s="55"/>
      <c r="M5147" s="55">
        <v>0</v>
      </c>
      <c r="N5147" s="55"/>
    </row>
    <row r="5148" spans="1:14" hidden="1" x14ac:dyDescent="0.35">
      <c r="A5148" s="52" t="s">
        <v>666</v>
      </c>
      <c r="B5148" s="52" t="s">
        <v>37</v>
      </c>
      <c r="C5148" s="52" t="s">
        <v>63</v>
      </c>
      <c r="D5148" s="52" t="s">
        <v>63</v>
      </c>
      <c r="E5148" s="52" t="s">
        <v>584</v>
      </c>
      <c r="F5148" s="52" t="s">
        <v>26</v>
      </c>
      <c r="G5148" s="55" t="s">
        <v>275</v>
      </c>
      <c r="H5148" s="55">
        <v>46.062980000000003</v>
      </c>
      <c r="I5148" s="55">
        <v>35.791429999999998</v>
      </c>
      <c r="J5148" s="55">
        <v>1.9524319999999999</v>
      </c>
      <c r="K5148" s="55">
        <v>-6.9003230000000002</v>
      </c>
      <c r="L5148" s="55">
        <v>-5.0909329999999997</v>
      </c>
      <c r="M5148" s="55">
        <v>-4.1757520000000001</v>
      </c>
      <c r="N5148" s="55">
        <v>-0.69639300000000004</v>
      </c>
    </row>
    <row r="5149" spans="1:14" hidden="1" x14ac:dyDescent="0.35">
      <c r="A5149" s="52" t="s">
        <v>666</v>
      </c>
      <c r="B5149" s="52" t="s">
        <v>37</v>
      </c>
      <c r="C5149" s="52" t="s">
        <v>63</v>
      </c>
      <c r="D5149" s="52" t="s">
        <v>63</v>
      </c>
      <c r="E5149" s="52" t="s">
        <v>584</v>
      </c>
      <c r="F5149" s="52" t="s">
        <v>26</v>
      </c>
      <c r="G5149" s="55" t="s">
        <v>276</v>
      </c>
      <c r="H5149" s="55">
        <v>9.2283460000000002</v>
      </c>
      <c r="I5149" s="55">
        <v>8.7806339999999992</v>
      </c>
      <c r="J5149" s="55">
        <v>7.103688</v>
      </c>
      <c r="K5149" s="55">
        <v>6.9264869999999998</v>
      </c>
      <c r="L5149" s="55">
        <v>5.2148380000000003</v>
      </c>
      <c r="M5149" s="55">
        <v>4.3175829999999999</v>
      </c>
      <c r="N5149" s="55">
        <v>0.79249139999999996</v>
      </c>
    </row>
    <row r="5150" spans="1:14" hidden="1" x14ac:dyDescent="0.35">
      <c r="A5150" s="52" t="s">
        <v>666</v>
      </c>
      <c r="B5150" s="52" t="s">
        <v>37</v>
      </c>
      <c r="C5150" s="52" t="s">
        <v>63</v>
      </c>
      <c r="D5150" s="52" t="s">
        <v>63</v>
      </c>
      <c r="E5150" s="52" t="s">
        <v>584</v>
      </c>
      <c r="F5150" s="52" t="s">
        <v>26</v>
      </c>
      <c r="G5150" s="55" t="s">
        <v>277</v>
      </c>
      <c r="H5150" s="55"/>
      <c r="I5150" s="55">
        <v>0</v>
      </c>
      <c r="J5150" s="55">
        <v>42.544719999999998</v>
      </c>
      <c r="K5150" s="55">
        <v>45.806899999999999</v>
      </c>
      <c r="L5150" s="55">
        <v>46.972259999999999</v>
      </c>
      <c r="M5150" s="55">
        <v>48.166849999999997</v>
      </c>
      <c r="N5150" s="55">
        <v>49.391489999999997</v>
      </c>
    </row>
    <row r="5151" spans="1:14" hidden="1" x14ac:dyDescent="0.35">
      <c r="A5151" s="52" t="s">
        <v>666</v>
      </c>
      <c r="B5151" s="52" t="s">
        <v>37</v>
      </c>
      <c r="C5151" s="52" t="s">
        <v>63</v>
      </c>
      <c r="D5151" s="52" t="s">
        <v>63</v>
      </c>
      <c r="E5151" s="52" t="s">
        <v>584</v>
      </c>
      <c r="F5151" s="52" t="s">
        <v>26</v>
      </c>
      <c r="G5151" s="55" t="s">
        <v>278</v>
      </c>
      <c r="H5151" s="55">
        <v>0</v>
      </c>
      <c r="I5151" s="55">
        <v>0.929369</v>
      </c>
      <c r="J5151" s="55">
        <v>0</v>
      </c>
      <c r="K5151" s="55"/>
      <c r="L5151" s="55"/>
      <c r="M5151" s="55"/>
      <c r="N5151" s="55"/>
    </row>
    <row r="5152" spans="1:14" hidden="1" x14ac:dyDescent="0.35">
      <c r="A5152" s="52" t="s">
        <v>666</v>
      </c>
      <c r="B5152" s="52" t="s">
        <v>37</v>
      </c>
      <c r="C5152" s="52" t="s">
        <v>63</v>
      </c>
      <c r="D5152" s="52" t="s">
        <v>63</v>
      </c>
      <c r="E5152" s="52" t="s">
        <v>584</v>
      </c>
      <c r="F5152" s="52" t="s">
        <v>26</v>
      </c>
      <c r="G5152" s="55" t="s">
        <v>279</v>
      </c>
      <c r="H5152" s="55">
        <v>56.650579999999998</v>
      </c>
      <c r="I5152" s="55">
        <v>50.22954</v>
      </c>
      <c r="J5152" s="55">
        <v>50.689160000000001</v>
      </c>
      <c r="K5152" s="55">
        <v>59.000239999999998</v>
      </c>
      <c r="L5152" s="55">
        <v>60.438090000000003</v>
      </c>
      <c r="M5152" s="55">
        <v>61.926540000000003</v>
      </c>
      <c r="N5152" s="55">
        <v>63.448599999999999</v>
      </c>
    </row>
    <row r="5153" spans="1:14" hidden="1" x14ac:dyDescent="0.35">
      <c r="A5153" s="52" t="s">
        <v>666</v>
      </c>
      <c r="B5153" s="52" t="s">
        <v>37</v>
      </c>
      <c r="C5153" s="52" t="s">
        <v>63</v>
      </c>
      <c r="D5153" s="52" t="s">
        <v>63</v>
      </c>
      <c r="E5153" s="52" t="s">
        <v>611</v>
      </c>
      <c r="F5153" s="52" t="s">
        <v>581</v>
      </c>
      <c r="G5153" s="55" t="s">
        <v>275</v>
      </c>
      <c r="H5153" s="55">
        <v>0.434832</v>
      </c>
      <c r="I5153" s="55">
        <v>0.1383906</v>
      </c>
      <c r="J5153" s="55">
        <v>0.1133932</v>
      </c>
      <c r="K5153" s="55">
        <v>0.1041493</v>
      </c>
      <c r="L5153" s="55">
        <v>9.2468099999999998E-2</v>
      </c>
      <c r="M5153" s="55">
        <v>8.4179799999999999E-2</v>
      </c>
      <c r="N5153" s="55">
        <v>7.8087299999999998E-2</v>
      </c>
    </row>
    <row r="5154" spans="1:14" hidden="1" x14ac:dyDescent="0.35">
      <c r="A5154" s="52" t="s">
        <v>666</v>
      </c>
      <c r="B5154" s="52" t="s">
        <v>37</v>
      </c>
      <c r="C5154" s="52" t="s">
        <v>63</v>
      </c>
      <c r="D5154" s="52" t="s">
        <v>63</v>
      </c>
      <c r="E5154" s="52" t="s">
        <v>611</v>
      </c>
      <c r="F5154" s="52" t="s">
        <v>581</v>
      </c>
      <c r="G5154" s="55" t="s">
        <v>276</v>
      </c>
      <c r="H5154" s="55">
        <v>4.7779000000000002E-2</v>
      </c>
      <c r="I5154" s="55">
        <v>1.5206600000000001E-2</v>
      </c>
      <c r="J5154" s="55">
        <v>4.5914799999999999E-2</v>
      </c>
      <c r="K5154" s="55">
        <v>4.2171E-2</v>
      </c>
      <c r="L5154" s="55">
        <v>4.0398900000000001E-2</v>
      </c>
      <c r="M5154" s="55">
        <v>3.5960199999999998E-2</v>
      </c>
      <c r="N5154" s="55">
        <v>3.2214300000000001E-2</v>
      </c>
    </row>
    <row r="5155" spans="1:14" hidden="1" x14ac:dyDescent="0.35">
      <c r="A5155" s="52" t="s">
        <v>666</v>
      </c>
      <c r="B5155" s="52" t="s">
        <v>37</v>
      </c>
      <c r="C5155" s="52" t="s">
        <v>63</v>
      </c>
      <c r="D5155" s="52" t="s">
        <v>63</v>
      </c>
      <c r="E5155" s="52" t="s">
        <v>611</v>
      </c>
      <c r="F5155" s="52" t="s">
        <v>581</v>
      </c>
      <c r="G5155" s="55" t="s">
        <v>279</v>
      </c>
      <c r="H5155" s="55">
        <v>0.172121</v>
      </c>
      <c r="I5155" s="55">
        <v>0.1144804</v>
      </c>
      <c r="J5155" s="55">
        <v>0.1156122</v>
      </c>
      <c r="K5155" s="55">
        <v>0.11477229999999999</v>
      </c>
      <c r="L5155" s="55">
        <v>0.1345693</v>
      </c>
      <c r="M5155" s="55">
        <v>0.12466820000000001</v>
      </c>
      <c r="N5155" s="55">
        <v>0.1026545</v>
      </c>
    </row>
    <row r="5156" spans="1:14" hidden="1" x14ac:dyDescent="0.35">
      <c r="A5156" s="52" t="s">
        <v>666</v>
      </c>
      <c r="B5156" s="52" t="s">
        <v>37</v>
      </c>
      <c r="C5156" s="52" t="s">
        <v>63</v>
      </c>
      <c r="D5156" s="52" t="s">
        <v>63</v>
      </c>
      <c r="E5156" s="52" t="s">
        <v>611</v>
      </c>
      <c r="F5156" s="52" t="s">
        <v>26</v>
      </c>
      <c r="G5156" s="55" t="s">
        <v>275</v>
      </c>
      <c r="H5156" s="55">
        <v>4.4623809999999997</v>
      </c>
      <c r="I5156" s="55">
        <v>2.6103480000000001</v>
      </c>
      <c r="J5156" s="55">
        <v>2.1112410000000001</v>
      </c>
      <c r="K5156" s="55">
        <v>2.2882790000000002</v>
      </c>
      <c r="L5156" s="55">
        <v>-0.98719670000000004</v>
      </c>
      <c r="M5156" s="55">
        <v>1.758203</v>
      </c>
      <c r="N5156" s="55">
        <v>1.563828</v>
      </c>
    </row>
    <row r="5157" spans="1:14" hidden="1" x14ac:dyDescent="0.35">
      <c r="A5157" s="52" t="s">
        <v>666</v>
      </c>
      <c r="B5157" s="52" t="s">
        <v>37</v>
      </c>
      <c r="C5157" s="52" t="s">
        <v>63</v>
      </c>
      <c r="D5157" s="52" t="s">
        <v>63</v>
      </c>
      <c r="E5157" s="52" t="s">
        <v>611</v>
      </c>
      <c r="F5157" s="52" t="s">
        <v>26</v>
      </c>
      <c r="G5157" s="55" t="s">
        <v>276</v>
      </c>
      <c r="H5157" s="55">
        <v>-0.39790599999999998</v>
      </c>
      <c r="I5157" s="55">
        <v>-0.54213769999999994</v>
      </c>
      <c r="J5157" s="55">
        <v>0.25550610000000001</v>
      </c>
      <c r="K5157" s="55">
        <v>0.4604993</v>
      </c>
      <c r="L5157" s="55">
        <v>0.44101630000000003</v>
      </c>
      <c r="M5157" s="55">
        <v>0.49885420000000003</v>
      </c>
      <c r="N5157" s="55">
        <v>0.42310249999999999</v>
      </c>
    </row>
    <row r="5158" spans="1:14" hidden="1" x14ac:dyDescent="0.35">
      <c r="A5158" s="52" t="s">
        <v>666</v>
      </c>
      <c r="B5158" s="52" t="s">
        <v>37</v>
      </c>
      <c r="C5158" s="52" t="s">
        <v>63</v>
      </c>
      <c r="D5158" s="52" t="s">
        <v>63</v>
      </c>
      <c r="E5158" s="52" t="s">
        <v>611</v>
      </c>
      <c r="F5158" s="52" t="s">
        <v>26</v>
      </c>
      <c r="G5158" s="55" t="s">
        <v>277</v>
      </c>
      <c r="H5158" s="55">
        <v>0</v>
      </c>
      <c r="I5158" s="55">
        <v>0.62927599999999995</v>
      </c>
      <c r="J5158" s="55">
        <v>0.81362409999999996</v>
      </c>
      <c r="K5158" s="55">
        <v>0</v>
      </c>
      <c r="L5158" s="55">
        <v>1.9774369999999999</v>
      </c>
      <c r="M5158" s="55">
        <v>0</v>
      </c>
      <c r="N5158" s="55">
        <v>0</v>
      </c>
    </row>
    <row r="5159" spans="1:14" hidden="1" x14ac:dyDescent="0.35">
      <c r="A5159" s="52" t="s">
        <v>666</v>
      </c>
      <c r="B5159" s="52" t="s">
        <v>37</v>
      </c>
      <c r="C5159" s="52" t="s">
        <v>63</v>
      </c>
      <c r="D5159" s="52" t="s">
        <v>63</v>
      </c>
      <c r="E5159" s="52" t="s">
        <v>611</v>
      </c>
      <c r="F5159" s="52" t="s">
        <v>26</v>
      </c>
      <c r="G5159" s="55" t="s">
        <v>278</v>
      </c>
      <c r="H5159" s="55"/>
      <c r="I5159" s="55"/>
      <c r="J5159" s="55"/>
      <c r="K5159" s="55">
        <v>0</v>
      </c>
      <c r="L5159" s="55">
        <v>1.1520049999999999</v>
      </c>
      <c r="M5159" s="55">
        <v>0</v>
      </c>
      <c r="N5159" s="55"/>
    </row>
    <row r="5160" spans="1:14" hidden="1" x14ac:dyDescent="0.35">
      <c r="A5160" s="52" t="s">
        <v>666</v>
      </c>
      <c r="B5160" s="52" t="s">
        <v>37</v>
      </c>
      <c r="C5160" s="52" t="s">
        <v>63</v>
      </c>
      <c r="D5160" s="52" t="s">
        <v>63</v>
      </c>
      <c r="E5160" s="52" t="s">
        <v>611</v>
      </c>
      <c r="F5160" s="52" t="s">
        <v>26</v>
      </c>
      <c r="G5160" s="55" t="s">
        <v>279</v>
      </c>
      <c r="H5160" s="55">
        <v>5.517048</v>
      </c>
      <c r="I5160" s="55">
        <v>4.1132590000000002</v>
      </c>
      <c r="J5160" s="55">
        <v>4.2197839999999998</v>
      </c>
      <c r="K5160" s="55">
        <v>4.2429730000000001</v>
      </c>
      <c r="L5160" s="55">
        <v>4.5785629999999999</v>
      </c>
      <c r="M5160" s="55">
        <v>4.2634999999999996</v>
      </c>
      <c r="N5160" s="55">
        <v>3.648809</v>
      </c>
    </row>
    <row r="5161" spans="1:14" hidden="1" x14ac:dyDescent="0.35">
      <c r="A5161" s="52" t="s">
        <v>666</v>
      </c>
      <c r="B5161" s="52" t="s">
        <v>37</v>
      </c>
      <c r="C5161" s="52" t="s">
        <v>63</v>
      </c>
      <c r="D5161" s="52" t="s">
        <v>63</v>
      </c>
      <c r="E5161" s="52" t="s">
        <v>667</v>
      </c>
      <c r="F5161" s="52" t="s">
        <v>26</v>
      </c>
      <c r="G5161" s="55" t="s">
        <v>275</v>
      </c>
      <c r="H5161" s="55">
        <v>4.3249999999999997E-2</v>
      </c>
      <c r="I5161" s="55">
        <v>-0.13458529999999999</v>
      </c>
      <c r="J5161" s="55">
        <v>-7.9800300000000005E-2</v>
      </c>
      <c r="K5161" s="55">
        <v>-9.0362700000000004E-2</v>
      </c>
      <c r="L5161" s="55">
        <v>-8.4498500000000004E-2</v>
      </c>
      <c r="M5161" s="55">
        <v>-4.84418E-2</v>
      </c>
      <c r="N5161" s="55">
        <v>2.9783500000000001E-2</v>
      </c>
    </row>
    <row r="5162" spans="1:14" hidden="1" x14ac:dyDescent="0.35">
      <c r="A5162" s="52" t="s">
        <v>666</v>
      </c>
      <c r="B5162" s="52" t="s">
        <v>37</v>
      </c>
      <c r="C5162" s="52" t="s">
        <v>63</v>
      </c>
      <c r="D5162" s="52" t="s">
        <v>63</v>
      </c>
      <c r="E5162" s="52" t="s">
        <v>667</v>
      </c>
      <c r="F5162" s="52" t="s">
        <v>26</v>
      </c>
      <c r="G5162" s="55" t="s">
        <v>276</v>
      </c>
      <c r="H5162" s="55">
        <v>-8.619599E-2</v>
      </c>
      <c r="I5162" s="55">
        <v>-4.1181200000000001E-2</v>
      </c>
      <c r="J5162" s="55">
        <v>-2.4417600000000001E-2</v>
      </c>
      <c r="K5162" s="55">
        <v>-2.7649E-2</v>
      </c>
      <c r="L5162" s="55">
        <v>-2.5855599999999999E-2</v>
      </c>
      <c r="M5162" s="55">
        <v>-1.4822E-2</v>
      </c>
      <c r="N5162" s="55">
        <v>9.1131000000000007E-3</v>
      </c>
    </row>
    <row r="5163" spans="1:14" hidden="1" x14ac:dyDescent="0.35">
      <c r="A5163" s="52" t="s">
        <v>666</v>
      </c>
      <c r="B5163" s="52" t="s">
        <v>37</v>
      </c>
      <c r="C5163" s="52" t="s">
        <v>63</v>
      </c>
      <c r="D5163" s="52" t="s">
        <v>63</v>
      </c>
      <c r="E5163" s="52" t="s">
        <v>667</v>
      </c>
      <c r="F5163" s="52" t="s">
        <v>26</v>
      </c>
      <c r="G5163" s="55" t="s">
        <v>277</v>
      </c>
      <c r="H5163" s="55"/>
      <c r="I5163" s="55"/>
      <c r="J5163" s="55"/>
      <c r="K5163" s="55"/>
      <c r="L5163" s="55">
        <v>0</v>
      </c>
      <c r="M5163" s="55">
        <v>0</v>
      </c>
      <c r="N5163" s="55">
        <v>0</v>
      </c>
    </row>
    <row r="5164" spans="1:14" hidden="1" x14ac:dyDescent="0.35">
      <c r="A5164" s="52" t="s">
        <v>666</v>
      </c>
      <c r="B5164" s="52" t="s">
        <v>37</v>
      </c>
      <c r="C5164" s="52" t="s">
        <v>63</v>
      </c>
      <c r="D5164" s="52" t="s">
        <v>63</v>
      </c>
      <c r="E5164" s="52" t="s">
        <v>667</v>
      </c>
      <c r="F5164" s="52" t="s">
        <v>26</v>
      </c>
      <c r="G5164" s="55" t="s">
        <v>279</v>
      </c>
      <c r="H5164" s="55">
        <v>0.44491399999999998</v>
      </c>
      <c r="I5164" s="55">
        <v>1.0335780000000001</v>
      </c>
      <c r="J5164" s="55">
        <v>0.9248073</v>
      </c>
      <c r="K5164" s="55">
        <v>0.8748262</v>
      </c>
      <c r="L5164" s="55">
        <v>0.80902410000000002</v>
      </c>
      <c r="M5164" s="55">
        <v>0.70952610000000005</v>
      </c>
      <c r="N5164" s="55">
        <v>0.55526770000000003</v>
      </c>
    </row>
    <row r="5165" spans="1:14" hidden="1" x14ac:dyDescent="0.35">
      <c r="A5165" s="52" t="s">
        <v>666</v>
      </c>
      <c r="B5165" s="52" t="s">
        <v>37</v>
      </c>
      <c r="C5165" s="52" t="s">
        <v>63</v>
      </c>
      <c r="D5165" s="52" t="s">
        <v>63</v>
      </c>
      <c r="E5165" s="52" t="s">
        <v>668</v>
      </c>
      <c r="F5165" s="52" t="s">
        <v>581</v>
      </c>
      <c r="G5165" s="55" t="s">
        <v>275</v>
      </c>
      <c r="H5165" s="55">
        <v>0</v>
      </c>
      <c r="I5165" s="55">
        <v>-2.1380199999999999E-2</v>
      </c>
      <c r="J5165" s="55">
        <v>-1.8134899999999999E-2</v>
      </c>
      <c r="K5165" s="55">
        <v>-1.70189E-2</v>
      </c>
      <c r="L5165" s="55">
        <v>-1.43213E-2</v>
      </c>
      <c r="M5165" s="55">
        <v>8.6720010000000004E-3</v>
      </c>
      <c r="N5165" s="55">
        <v>1.1355799999999999E-2</v>
      </c>
    </row>
    <row r="5166" spans="1:14" hidden="1" x14ac:dyDescent="0.35">
      <c r="A5166" s="52" t="s">
        <v>666</v>
      </c>
      <c r="B5166" s="52" t="s">
        <v>37</v>
      </c>
      <c r="C5166" s="52" t="s">
        <v>63</v>
      </c>
      <c r="D5166" s="52" t="s">
        <v>63</v>
      </c>
      <c r="E5166" s="52" t="s">
        <v>668</v>
      </c>
      <c r="F5166" s="52" t="s">
        <v>581</v>
      </c>
      <c r="G5166" s="55" t="s">
        <v>276</v>
      </c>
      <c r="H5166" s="55">
        <v>0</v>
      </c>
      <c r="I5166" s="55">
        <v>-6.5417000000000001E-3</v>
      </c>
      <c r="J5166" s="55">
        <v>-5.5488999999999998E-3</v>
      </c>
      <c r="K5166" s="55">
        <v>-5.2069999999999998E-3</v>
      </c>
      <c r="L5166" s="55">
        <v>-4.3825000000000001E-3</v>
      </c>
      <c r="M5166" s="55">
        <v>2.653E-3</v>
      </c>
      <c r="N5166" s="55">
        <v>3.4743999999999999E-3</v>
      </c>
    </row>
    <row r="5167" spans="1:14" hidden="1" x14ac:dyDescent="0.35">
      <c r="A5167" s="52" t="s">
        <v>666</v>
      </c>
      <c r="B5167" s="52" t="s">
        <v>37</v>
      </c>
      <c r="C5167" s="52" t="s">
        <v>63</v>
      </c>
      <c r="D5167" s="52" t="s">
        <v>63</v>
      </c>
      <c r="E5167" s="52" t="s">
        <v>668</v>
      </c>
      <c r="F5167" s="52" t="s">
        <v>581</v>
      </c>
      <c r="G5167" s="55" t="s">
        <v>279</v>
      </c>
      <c r="H5167" s="55">
        <v>0</v>
      </c>
      <c r="I5167" s="55">
        <v>0.10746650000000001</v>
      </c>
      <c r="J5167" s="55">
        <v>9.5654000000000003E-2</v>
      </c>
      <c r="K5167" s="55">
        <v>8.8972999999999997E-2</v>
      </c>
      <c r="L5167" s="55">
        <v>8.0592399999999995E-2</v>
      </c>
      <c r="M5167" s="55">
        <v>4.6202E-2</v>
      </c>
      <c r="N5167" s="55">
        <v>3.8339989999999997E-2</v>
      </c>
    </row>
    <row r="5168" spans="1:14" hidden="1" x14ac:dyDescent="0.35">
      <c r="A5168" s="52" t="s">
        <v>666</v>
      </c>
      <c r="B5168" s="52" t="s">
        <v>37</v>
      </c>
      <c r="C5168" s="52" t="s">
        <v>63</v>
      </c>
      <c r="D5168" s="52" t="s">
        <v>63</v>
      </c>
      <c r="E5168" s="52" t="s">
        <v>668</v>
      </c>
      <c r="F5168" s="52" t="s">
        <v>26</v>
      </c>
      <c r="G5168" s="55" t="s">
        <v>275</v>
      </c>
      <c r="H5168" s="55">
        <v>4.8565999999999998E-2</v>
      </c>
      <c r="I5168" s="55">
        <v>9.6355389999999999E-2</v>
      </c>
      <c r="J5168" s="55">
        <v>0.1084852</v>
      </c>
      <c r="K5168" s="55">
        <v>8.7217699999999995E-2</v>
      </c>
      <c r="L5168" s="55">
        <v>7.6513999999999999E-2</v>
      </c>
      <c r="M5168" s="55">
        <v>6.1162300000000003E-2</v>
      </c>
      <c r="N5168" s="55">
        <v>5.6382799999999997E-2</v>
      </c>
    </row>
    <row r="5169" spans="1:14" hidden="1" x14ac:dyDescent="0.35">
      <c r="A5169" s="52" t="s">
        <v>666</v>
      </c>
      <c r="B5169" s="52" t="s">
        <v>37</v>
      </c>
      <c r="C5169" s="52" t="s">
        <v>63</v>
      </c>
      <c r="D5169" s="52" t="s">
        <v>63</v>
      </c>
      <c r="E5169" s="52" t="s">
        <v>668</v>
      </c>
      <c r="F5169" s="52" t="s">
        <v>26</v>
      </c>
      <c r="G5169" s="55" t="s">
        <v>276</v>
      </c>
      <c r="H5169" s="55">
        <v>1.486E-2</v>
      </c>
      <c r="I5169" s="55">
        <v>2.9483200000000001E-2</v>
      </c>
      <c r="J5169" s="55">
        <v>3.3194000000000001E-2</v>
      </c>
      <c r="K5169" s="55">
        <v>2.6687200000000001E-2</v>
      </c>
      <c r="L5169" s="55">
        <v>2.34118E-2</v>
      </c>
      <c r="M5169" s="55">
        <v>1.8714499999999998E-2</v>
      </c>
      <c r="N5169" s="55">
        <v>1.7252699999999999E-2</v>
      </c>
    </row>
    <row r="5170" spans="1:14" hidden="1" x14ac:dyDescent="0.35">
      <c r="A5170" s="52" t="s">
        <v>666</v>
      </c>
      <c r="B5170" s="52" t="s">
        <v>37</v>
      </c>
      <c r="C5170" s="52" t="s">
        <v>63</v>
      </c>
      <c r="D5170" s="52" t="s">
        <v>63</v>
      </c>
      <c r="E5170" s="52" t="s">
        <v>668</v>
      </c>
      <c r="F5170" s="52" t="s">
        <v>26</v>
      </c>
      <c r="G5170" s="55" t="s">
        <v>277</v>
      </c>
      <c r="H5170" s="55"/>
      <c r="I5170" s="55"/>
      <c r="J5170" s="55"/>
      <c r="K5170" s="55"/>
      <c r="L5170" s="55">
        <v>0</v>
      </c>
      <c r="M5170" s="55">
        <v>0</v>
      </c>
      <c r="N5170" s="55">
        <v>0</v>
      </c>
    </row>
    <row r="5171" spans="1:14" hidden="1" x14ac:dyDescent="0.35">
      <c r="A5171" s="52" t="s">
        <v>666</v>
      </c>
      <c r="B5171" s="52" t="s">
        <v>37</v>
      </c>
      <c r="C5171" s="52" t="s">
        <v>63</v>
      </c>
      <c r="D5171" s="52" t="s">
        <v>63</v>
      </c>
      <c r="E5171" s="52" t="s">
        <v>668</v>
      </c>
      <c r="F5171" s="52" t="s">
        <v>26</v>
      </c>
      <c r="G5171" s="55" t="s">
        <v>279</v>
      </c>
      <c r="H5171" s="55">
        <v>0.15583</v>
      </c>
      <c r="I5171" s="55">
        <v>0.34305809999999998</v>
      </c>
      <c r="J5171" s="55">
        <v>0.3078166</v>
      </c>
      <c r="K5171" s="55">
        <v>0.30081200000000002</v>
      </c>
      <c r="L5171" s="55">
        <v>0.28293079999999998</v>
      </c>
      <c r="M5171" s="55">
        <v>0.27426210000000001</v>
      </c>
      <c r="N5171" s="55">
        <v>0.25195610000000002</v>
      </c>
    </row>
    <row r="5172" spans="1:14" hidden="1" x14ac:dyDescent="0.35">
      <c r="A5172" s="52" t="s">
        <v>666</v>
      </c>
      <c r="B5172" s="52" t="s">
        <v>37</v>
      </c>
      <c r="C5172" s="52" t="s">
        <v>110</v>
      </c>
      <c r="D5172" s="52" t="s">
        <v>110</v>
      </c>
      <c r="E5172" s="52" t="s">
        <v>584</v>
      </c>
      <c r="F5172" s="52" t="s">
        <v>26</v>
      </c>
      <c r="G5172" s="55" t="s">
        <v>275</v>
      </c>
      <c r="H5172" s="55">
        <v>23.323360000000001</v>
      </c>
      <c r="I5172" s="55">
        <v>14.89569</v>
      </c>
      <c r="J5172" s="55">
        <v>16.555009999999999</v>
      </c>
      <c r="K5172" s="55">
        <v>15.111370000000001</v>
      </c>
      <c r="L5172" s="55">
        <v>13.7859</v>
      </c>
      <c r="M5172" s="55">
        <v>13.15981</v>
      </c>
      <c r="N5172" s="55">
        <v>12.555899999999999</v>
      </c>
    </row>
    <row r="5173" spans="1:14" hidden="1" x14ac:dyDescent="0.35">
      <c r="A5173" s="52" t="s">
        <v>666</v>
      </c>
      <c r="B5173" s="52" t="s">
        <v>37</v>
      </c>
      <c r="C5173" s="52" t="s">
        <v>110</v>
      </c>
      <c r="D5173" s="52" t="s">
        <v>110</v>
      </c>
      <c r="E5173" s="52" t="s">
        <v>584</v>
      </c>
      <c r="F5173" s="52" t="s">
        <v>26</v>
      </c>
      <c r="G5173" s="55" t="s">
        <v>276</v>
      </c>
      <c r="H5173" s="55">
        <v>0.96522289999999999</v>
      </c>
      <c r="I5173" s="55">
        <v>3.9887410000000001</v>
      </c>
      <c r="J5173" s="55">
        <v>4.3885139999999998</v>
      </c>
      <c r="K5173" s="55">
        <v>4.0072000000000001</v>
      </c>
      <c r="L5173" s="55">
        <v>3.656806</v>
      </c>
      <c r="M5173" s="55">
        <v>3.4669840000000001</v>
      </c>
      <c r="N5173" s="55">
        <v>3.3376459999999999</v>
      </c>
    </row>
    <row r="5174" spans="1:14" hidden="1" x14ac:dyDescent="0.35">
      <c r="A5174" s="52" t="s">
        <v>666</v>
      </c>
      <c r="B5174" s="52" t="s">
        <v>37</v>
      </c>
      <c r="C5174" s="52" t="s">
        <v>110</v>
      </c>
      <c r="D5174" s="52" t="s">
        <v>110</v>
      </c>
      <c r="E5174" s="52" t="s">
        <v>584</v>
      </c>
      <c r="F5174" s="52" t="s">
        <v>26</v>
      </c>
      <c r="G5174" s="55" t="s">
        <v>277</v>
      </c>
      <c r="H5174" s="55"/>
      <c r="I5174" s="55">
        <v>0</v>
      </c>
      <c r="J5174" s="55"/>
      <c r="K5174" s="55"/>
      <c r="L5174" s="55"/>
      <c r="M5174" s="55"/>
      <c r="N5174" s="55"/>
    </row>
    <row r="5175" spans="1:14" hidden="1" x14ac:dyDescent="0.35">
      <c r="A5175" s="52" t="s">
        <v>666</v>
      </c>
      <c r="B5175" s="52" t="s">
        <v>37</v>
      </c>
      <c r="C5175" s="52" t="s">
        <v>110</v>
      </c>
      <c r="D5175" s="52" t="s">
        <v>110</v>
      </c>
      <c r="E5175" s="52" t="s">
        <v>584</v>
      </c>
      <c r="F5175" s="52" t="s">
        <v>26</v>
      </c>
      <c r="G5175" s="55" t="s">
        <v>278</v>
      </c>
      <c r="H5175" s="55">
        <v>0</v>
      </c>
      <c r="I5175" s="55">
        <v>0.286497</v>
      </c>
      <c r="J5175" s="55">
        <v>0</v>
      </c>
      <c r="K5175" s="55"/>
      <c r="L5175" s="55"/>
      <c r="M5175" s="55"/>
      <c r="N5175" s="55"/>
    </row>
    <row r="5176" spans="1:14" hidden="1" x14ac:dyDescent="0.35">
      <c r="A5176" s="52" t="s">
        <v>666</v>
      </c>
      <c r="B5176" s="52" t="s">
        <v>37</v>
      </c>
      <c r="C5176" s="52" t="s">
        <v>110</v>
      </c>
      <c r="D5176" s="52" t="s">
        <v>110</v>
      </c>
      <c r="E5176" s="52" t="s">
        <v>584</v>
      </c>
      <c r="F5176" s="52" t="s">
        <v>26</v>
      </c>
      <c r="G5176" s="55" t="s">
        <v>279</v>
      </c>
      <c r="H5176" s="55">
        <v>25.438379999999999</v>
      </c>
      <c r="I5176" s="55">
        <v>21.784269999999999</v>
      </c>
      <c r="J5176" s="55">
        <v>21.20083</v>
      </c>
      <c r="K5176" s="55">
        <v>22.454920000000001</v>
      </c>
      <c r="L5176" s="55">
        <v>23.208010000000002</v>
      </c>
      <c r="M5176" s="55">
        <v>22.20458</v>
      </c>
      <c r="N5176" s="55">
        <v>21.326530000000002</v>
      </c>
    </row>
    <row r="5177" spans="1:14" hidden="1" x14ac:dyDescent="0.35">
      <c r="A5177" s="52" t="s">
        <v>666</v>
      </c>
      <c r="B5177" s="52" t="s">
        <v>37</v>
      </c>
      <c r="C5177" s="52" t="s">
        <v>115</v>
      </c>
      <c r="D5177" s="52" t="s">
        <v>115</v>
      </c>
      <c r="E5177" s="52" t="s">
        <v>584</v>
      </c>
      <c r="F5177" s="52" t="s">
        <v>26</v>
      </c>
      <c r="G5177" s="55" t="s">
        <v>275</v>
      </c>
      <c r="H5177" s="55">
        <v>0.72697400000000001</v>
      </c>
      <c r="I5177" s="55">
        <v>-0.66624130000000004</v>
      </c>
      <c r="J5177" s="55">
        <v>-0.50321090000000002</v>
      </c>
      <c r="K5177" s="55">
        <v>-0.45044190000000001</v>
      </c>
      <c r="L5177" s="55">
        <v>-0.4019336</v>
      </c>
      <c r="M5177" s="55">
        <v>-0.25909399999999999</v>
      </c>
      <c r="N5177" s="55">
        <v>-0.23172390000000001</v>
      </c>
    </row>
    <row r="5178" spans="1:14" hidden="1" x14ac:dyDescent="0.35">
      <c r="A5178" s="52" t="s">
        <v>666</v>
      </c>
      <c r="B5178" s="52" t="s">
        <v>37</v>
      </c>
      <c r="C5178" s="52" t="s">
        <v>115</v>
      </c>
      <c r="D5178" s="52" t="s">
        <v>115</v>
      </c>
      <c r="E5178" s="52" t="s">
        <v>584</v>
      </c>
      <c r="F5178" s="52" t="s">
        <v>26</v>
      </c>
      <c r="G5178" s="55" t="s">
        <v>276</v>
      </c>
      <c r="H5178" s="55">
        <v>-2.3605000000000001E-2</v>
      </c>
      <c r="I5178" s="55">
        <v>3.4436099999999997E-2</v>
      </c>
      <c r="J5178" s="55">
        <v>3.0514900000000001E-2</v>
      </c>
      <c r="K5178" s="55">
        <v>-9.5778010000000004E-3</v>
      </c>
      <c r="L5178" s="55">
        <v>-3.78567E-2</v>
      </c>
      <c r="M5178" s="55">
        <v>-0.13058529999999999</v>
      </c>
      <c r="N5178" s="55">
        <v>-0.1140287</v>
      </c>
    </row>
    <row r="5179" spans="1:14" hidden="1" x14ac:dyDescent="0.35">
      <c r="A5179" s="52" t="s">
        <v>666</v>
      </c>
      <c r="B5179" s="52" t="s">
        <v>37</v>
      </c>
      <c r="C5179" s="52" t="s">
        <v>115</v>
      </c>
      <c r="D5179" s="52" t="s">
        <v>115</v>
      </c>
      <c r="E5179" s="52" t="s">
        <v>584</v>
      </c>
      <c r="F5179" s="52" t="s">
        <v>26</v>
      </c>
      <c r="G5179" s="55" t="s">
        <v>277</v>
      </c>
      <c r="H5179" s="55">
        <v>0</v>
      </c>
      <c r="I5179" s="55">
        <v>1.1405430000000001</v>
      </c>
      <c r="J5179" s="55">
        <v>1.0013590000000001</v>
      </c>
      <c r="K5179" s="55">
        <v>0.90136629999999995</v>
      </c>
      <c r="L5179" s="55">
        <v>0.81135590000000002</v>
      </c>
      <c r="M5179" s="55">
        <v>0.73033570000000003</v>
      </c>
      <c r="N5179" s="55">
        <v>0.65740569999999998</v>
      </c>
    </row>
    <row r="5180" spans="1:14" hidden="1" x14ac:dyDescent="0.35">
      <c r="A5180" s="52" t="s">
        <v>666</v>
      </c>
      <c r="B5180" s="52" t="s">
        <v>37</v>
      </c>
      <c r="C5180" s="52" t="s">
        <v>115</v>
      </c>
      <c r="D5180" s="52" t="s">
        <v>115</v>
      </c>
      <c r="E5180" s="52" t="s">
        <v>584</v>
      </c>
      <c r="F5180" s="52" t="s">
        <v>26</v>
      </c>
      <c r="G5180" s="55" t="s">
        <v>278</v>
      </c>
      <c r="H5180" s="55">
        <v>0</v>
      </c>
      <c r="I5180" s="55">
        <v>3.725E-3</v>
      </c>
      <c r="J5180" s="55">
        <v>0</v>
      </c>
      <c r="K5180" s="55"/>
      <c r="L5180" s="55"/>
      <c r="M5180" s="55"/>
      <c r="N5180" s="55"/>
    </row>
    <row r="5181" spans="1:14" hidden="1" x14ac:dyDescent="0.35">
      <c r="A5181" s="52" t="s">
        <v>666</v>
      </c>
      <c r="B5181" s="52" t="s">
        <v>37</v>
      </c>
      <c r="C5181" s="52" t="s">
        <v>115</v>
      </c>
      <c r="D5181" s="52" t="s">
        <v>115</v>
      </c>
      <c r="E5181" s="52" t="s">
        <v>584</v>
      </c>
      <c r="F5181" s="52" t="s">
        <v>26</v>
      </c>
      <c r="G5181" s="55" t="s">
        <v>279</v>
      </c>
      <c r="H5181" s="55">
        <v>1.051393</v>
      </c>
      <c r="I5181" s="55">
        <v>0.83834249999999999</v>
      </c>
      <c r="J5181" s="55">
        <v>0.77057169999999997</v>
      </c>
      <c r="K5181" s="55">
        <v>0.75757280000000005</v>
      </c>
      <c r="L5181" s="55">
        <v>0.73543460000000005</v>
      </c>
      <c r="M5181" s="55">
        <v>0.68083269999999996</v>
      </c>
      <c r="N5181" s="55">
        <v>0.63036230000000004</v>
      </c>
    </row>
    <row r="5182" spans="1:14" hidden="1" x14ac:dyDescent="0.35">
      <c r="A5182" s="52" t="s">
        <v>666</v>
      </c>
      <c r="B5182" s="52" t="s">
        <v>37</v>
      </c>
      <c r="C5182" s="52" t="s">
        <v>246</v>
      </c>
      <c r="D5182" s="52" t="s">
        <v>246</v>
      </c>
      <c r="E5182" s="52" t="s">
        <v>647</v>
      </c>
      <c r="F5182" s="52" t="s">
        <v>26</v>
      </c>
      <c r="G5182" s="55" t="s">
        <v>275</v>
      </c>
      <c r="H5182" s="55">
        <v>8.0940000000000005E-3</v>
      </c>
      <c r="I5182" s="55">
        <v>1.6242599999999999E-2</v>
      </c>
      <c r="J5182" s="55">
        <v>1.8299099999999999E-2</v>
      </c>
      <c r="K5182" s="55">
        <v>1.4714400000000001E-2</v>
      </c>
      <c r="L5182" s="55">
        <v>-6.3527040000000001</v>
      </c>
      <c r="M5182" s="55">
        <v>0.43293670000000001</v>
      </c>
      <c r="N5182" s="55">
        <v>0.33774520000000002</v>
      </c>
    </row>
    <row r="5183" spans="1:14" hidden="1" x14ac:dyDescent="0.35">
      <c r="A5183" s="52" t="s">
        <v>666</v>
      </c>
      <c r="B5183" s="52" t="s">
        <v>37</v>
      </c>
      <c r="C5183" s="52" t="s">
        <v>246</v>
      </c>
      <c r="D5183" s="52" t="s">
        <v>246</v>
      </c>
      <c r="E5183" s="52" t="s">
        <v>647</v>
      </c>
      <c r="F5183" s="52" t="s">
        <v>26</v>
      </c>
      <c r="G5183" s="55" t="s">
        <v>276</v>
      </c>
      <c r="H5183" s="55">
        <v>2.4780000000000002E-3</v>
      </c>
      <c r="I5183" s="55">
        <v>4.9705000000000001E-3</v>
      </c>
      <c r="J5183" s="55">
        <v>5.6016010000000003E-3</v>
      </c>
      <c r="K5183" s="55">
        <v>4.5033E-3</v>
      </c>
      <c r="L5183" s="55">
        <v>-0.27882669999999998</v>
      </c>
      <c r="M5183" s="55">
        <v>-0.20052539999999999</v>
      </c>
      <c r="N5183" s="55">
        <v>-0.16305210000000001</v>
      </c>
    </row>
    <row r="5184" spans="1:14" hidden="1" x14ac:dyDescent="0.35">
      <c r="A5184" s="52" t="s">
        <v>666</v>
      </c>
      <c r="B5184" s="52" t="s">
        <v>37</v>
      </c>
      <c r="C5184" s="52" t="s">
        <v>246</v>
      </c>
      <c r="D5184" s="52" t="s">
        <v>246</v>
      </c>
      <c r="E5184" s="52" t="s">
        <v>647</v>
      </c>
      <c r="F5184" s="52" t="s">
        <v>26</v>
      </c>
      <c r="G5184" s="55" t="s">
        <v>277</v>
      </c>
      <c r="H5184" s="55"/>
      <c r="I5184" s="55"/>
      <c r="J5184" s="55"/>
      <c r="K5184" s="55">
        <v>0</v>
      </c>
      <c r="L5184" s="55">
        <v>6.1232600000000001</v>
      </c>
      <c r="M5184" s="55">
        <v>0</v>
      </c>
      <c r="N5184" s="55">
        <v>0</v>
      </c>
    </row>
    <row r="5185" spans="1:14" hidden="1" x14ac:dyDescent="0.35">
      <c r="A5185" s="52" t="s">
        <v>666</v>
      </c>
      <c r="B5185" s="52" t="s">
        <v>37</v>
      </c>
      <c r="C5185" s="52" t="s">
        <v>246</v>
      </c>
      <c r="D5185" s="52" t="s">
        <v>246</v>
      </c>
      <c r="E5185" s="52" t="s">
        <v>647</v>
      </c>
      <c r="F5185" s="52" t="s">
        <v>26</v>
      </c>
      <c r="G5185" s="55" t="s">
        <v>278</v>
      </c>
      <c r="H5185" s="55"/>
      <c r="I5185" s="55"/>
      <c r="J5185" s="55"/>
      <c r="K5185" s="55">
        <v>0</v>
      </c>
      <c r="L5185" s="55">
        <v>0.67854689999999995</v>
      </c>
      <c r="M5185" s="55">
        <v>0</v>
      </c>
      <c r="N5185" s="55"/>
    </row>
    <row r="5186" spans="1:14" hidden="1" x14ac:dyDescent="0.35">
      <c r="A5186" s="52" t="s">
        <v>666</v>
      </c>
      <c r="B5186" s="52" t="s">
        <v>37</v>
      </c>
      <c r="C5186" s="52" t="s">
        <v>246</v>
      </c>
      <c r="D5186" s="52" t="s">
        <v>246</v>
      </c>
      <c r="E5186" s="52" t="s">
        <v>647</v>
      </c>
      <c r="F5186" s="52" t="s">
        <v>26</v>
      </c>
      <c r="G5186" s="55" t="s">
        <v>279</v>
      </c>
      <c r="H5186" s="55">
        <v>2.5971000000000001E-2</v>
      </c>
      <c r="I5186" s="55">
        <v>5.7827099999999999E-2</v>
      </c>
      <c r="J5186" s="55">
        <v>5.1899399999999998E-2</v>
      </c>
      <c r="K5186" s="55">
        <v>5.0718899999999997E-2</v>
      </c>
      <c r="L5186" s="55">
        <v>0.40993889999999999</v>
      </c>
      <c r="M5186" s="55">
        <v>0.74360389999999998</v>
      </c>
      <c r="N5186" s="55">
        <v>0.56063850000000004</v>
      </c>
    </row>
    <row r="5187" spans="1:14" hidden="1" x14ac:dyDescent="0.35">
      <c r="A5187" s="52" t="s">
        <v>666</v>
      </c>
      <c r="B5187" s="52" t="s">
        <v>37</v>
      </c>
      <c r="C5187" s="52" t="s">
        <v>109</v>
      </c>
      <c r="D5187" s="52" t="s">
        <v>109</v>
      </c>
      <c r="E5187" s="52" t="s">
        <v>584</v>
      </c>
      <c r="F5187" s="52" t="s">
        <v>581</v>
      </c>
      <c r="G5187" s="55" t="s">
        <v>275</v>
      </c>
      <c r="H5187" s="55">
        <v>0</v>
      </c>
      <c r="I5187" s="55"/>
      <c r="J5187" s="55">
        <v>0</v>
      </c>
      <c r="K5187" s="55">
        <v>0</v>
      </c>
      <c r="L5187" s="55">
        <v>0</v>
      </c>
      <c r="M5187" s="55">
        <v>0</v>
      </c>
      <c r="N5187" s="55">
        <v>0</v>
      </c>
    </row>
    <row r="5188" spans="1:14" hidden="1" x14ac:dyDescent="0.35">
      <c r="A5188" s="52" t="s">
        <v>666</v>
      </c>
      <c r="B5188" s="52" t="s">
        <v>37</v>
      </c>
      <c r="C5188" s="52" t="s">
        <v>109</v>
      </c>
      <c r="D5188" s="52" t="s">
        <v>109</v>
      </c>
      <c r="E5188" s="52" t="s">
        <v>584</v>
      </c>
      <c r="F5188" s="52" t="s">
        <v>581</v>
      </c>
      <c r="G5188" s="55" t="s">
        <v>276</v>
      </c>
      <c r="H5188" s="55"/>
      <c r="I5188" s="55"/>
      <c r="J5188" s="55">
        <v>0</v>
      </c>
      <c r="K5188" s="55">
        <v>0</v>
      </c>
      <c r="L5188" s="55">
        <v>0</v>
      </c>
      <c r="M5188" s="55">
        <v>0</v>
      </c>
      <c r="N5188" s="55">
        <v>0</v>
      </c>
    </row>
    <row r="5189" spans="1:14" hidden="1" x14ac:dyDescent="0.35">
      <c r="A5189" s="52" t="s">
        <v>666</v>
      </c>
      <c r="B5189" s="52" t="s">
        <v>37</v>
      </c>
      <c r="C5189" s="52" t="s">
        <v>109</v>
      </c>
      <c r="D5189" s="52" t="s">
        <v>109</v>
      </c>
      <c r="E5189" s="52" t="s">
        <v>584</v>
      </c>
      <c r="F5189" s="52" t="s">
        <v>581</v>
      </c>
      <c r="G5189" s="55" t="s">
        <v>278</v>
      </c>
      <c r="H5189" s="55"/>
      <c r="I5189" s="55"/>
      <c r="J5189" s="55">
        <v>0</v>
      </c>
      <c r="K5189" s="55">
        <v>0</v>
      </c>
      <c r="L5189" s="55">
        <v>0</v>
      </c>
      <c r="M5189" s="55">
        <v>0</v>
      </c>
      <c r="N5189" s="55">
        <v>0</v>
      </c>
    </row>
    <row r="5190" spans="1:14" hidden="1" x14ac:dyDescent="0.35">
      <c r="A5190" s="52" t="s">
        <v>687</v>
      </c>
      <c r="B5190" s="52" t="s">
        <v>160</v>
      </c>
      <c r="C5190" s="52" t="s">
        <v>159</v>
      </c>
      <c r="D5190" s="52" t="s">
        <v>159</v>
      </c>
      <c r="E5190" s="52" t="s">
        <v>584</v>
      </c>
      <c r="F5190" s="52" t="s">
        <v>581</v>
      </c>
      <c r="G5190" s="55" t="s">
        <v>275</v>
      </c>
      <c r="H5190" s="55">
        <v>419.33960000000002</v>
      </c>
      <c r="I5190" s="55">
        <v>291.07580000000002</v>
      </c>
      <c r="J5190" s="55">
        <v>330.80250000000001</v>
      </c>
      <c r="K5190" s="55">
        <v>229.9128</v>
      </c>
      <c r="L5190" s="55">
        <v>124.1828</v>
      </c>
      <c r="M5190" s="55">
        <v>107.7525</v>
      </c>
      <c r="N5190" s="55">
        <v>28.530169999999998</v>
      </c>
    </row>
    <row r="5191" spans="1:14" hidden="1" x14ac:dyDescent="0.35">
      <c r="A5191" s="52" t="s">
        <v>687</v>
      </c>
      <c r="B5191" s="52" t="s">
        <v>160</v>
      </c>
      <c r="C5191" s="52" t="s">
        <v>159</v>
      </c>
      <c r="D5191" s="52" t="s">
        <v>159</v>
      </c>
      <c r="E5191" s="52" t="s">
        <v>584</v>
      </c>
      <c r="F5191" s="52" t="s">
        <v>581</v>
      </c>
      <c r="G5191" s="55" t="s">
        <v>276</v>
      </c>
      <c r="H5191" s="55">
        <v>532.41700000000003</v>
      </c>
      <c r="I5191" s="55">
        <v>197.26830000000001</v>
      </c>
      <c r="J5191" s="55">
        <v>257.85079999999999</v>
      </c>
      <c r="K5191" s="55">
        <v>253.2979</v>
      </c>
      <c r="L5191" s="55">
        <v>289.62119999999999</v>
      </c>
      <c r="M5191" s="55">
        <v>333.38979999999998</v>
      </c>
      <c r="N5191" s="55">
        <v>332.93889999999999</v>
      </c>
    </row>
    <row r="5192" spans="1:14" hidden="1" x14ac:dyDescent="0.35">
      <c r="A5192" s="52" t="s">
        <v>687</v>
      </c>
      <c r="B5192" s="52" t="s">
        <v>160</v>
      </c>
      <c r="C5192" s="52" t="s">
        <v>159</v>
      </c>
      <c r="D5192" s="52" t="s">
        <v>159</v>
      </c>
      <c r="E5192" s="52" t="s">
        <v>584</v>
      </c>
      <c r="F5192" s="52" t="s">
        <v>581</v>
      </c>
      <c r="G5192" s="55" t="s">
        <v>277</v>
      </c>
      <c r="H5192" s="55">
        <v>164.18799999999999</v>
      </c>
      <c r="I5192" s="55">
        <v>118.4228</v>
      </c>
      <c r="J5192" s="55">
        <v>115.2244</v>
      </c>
      <c r="K5192" s="55">
        <v>202.221</v>
      </c>
      <c r="L5192" s="55">
        <v>326.1705</v>
      </c>
      <c r="M5192" s="55">
        <v>348.83940000000001</v>
      </c>
      <c r="N5192" s="55">
        <v>387.0222</v>
      </c>
    </row>
    <row r="5193" spans="1:14" hidden="1" x14ac:dyDescent="0.35">
      <c r="A5193" s="52" t="s">
        <v>687</v>
      </c>
      <c r="B5193" s="52" t="s">
        <v>160</v>
      </c>
      <c r="C5193" s="52" t="s">
        <v>159</v>
      </c>
      <c r="D5193" s="52" t="s">
        <v>159</v>
      </c>
      <c r="E5193" s="52" t="s">
        <v>584</v>
      </c>
      <c r="F5193" s="52" t="s">
        <v>581</v>
      </c>
      <c r="G5193" s="55" t="s">
        <v>278</v>
      </c>
      <c r="H5193" s="55">
        <v>24.440290000000001</v>
      </c>
      <c r="I5193" s="55">
        <v>11.117050000000001</v>
      </c>
      <c r="J5193" s="55">
        <v>6.197159E-2</v>
      </c>
      <c r="K5193" s="55">
        <v>8.9080429999999993</v>
      </c>
      <c r="L5193" s="55">
        <v>0.49930449999999998</v>
      </c>
      <c r="M5193" s="55">
        <v>0.99070380000000002</v>
      </c>
      <c r="N5193" s="55">
        <v>9.136669E-2</v>
      </c>
    </row>
    <row r="5194" spans="1:14" hidden="1" x14ac:dyDescent="0.35">
      <c r="A5194" s="52" t="s">
        <v>687</v>
      </c>
      <c r="B5194" s="52" t="s">
        <v>160</v>
      </c>
      <c r="C5194" s="52" t="s">
        <v>159</v>
      </c>
      <c r="D5194" s="52" t="s">
        <v>159</v>
      </c>
      <c r="E5194" s="52" t="s">
        <v>584</v>
      </c>
      <c r="F5194" s="52" t="s">
        <v>581</v>
      </c>
      <c r="G5194" s="55" t="s">
        <v>279</v>
      </c>
      <c r="H5194" s="55">
        <v>348.31139999999999</v>
      </c>
      <c r="I5194" s="55">
        <v>275.09429999999998</v>
      </c>
      <c r="J5194" s="55">
        <v>299.44459999999998</v>
      </c>
      <c r="K5194" s="55">
        <v>329.14280000000002</v>
      </c>
      <c r="L5194" s="55">
        <v>354.70749999999998</v>
      </c>
      <c r="M5194" s="55">
        <v>383.00279999999998</v>
      </c>
      <c r="N5194" s="55">
        <v>426.34469999999999</v>
      </c>
    </row>
    <row r="5195" spans="1:14" hidden="1" x14ac:dyDescent="0.35">
      <c r="A5195" s="52" t="s">
        <v>687</v>
      </c>
      <c r="B5195" s="52" t="s">
        <v>160</v>
      </c>
      <c r="C5195" s="52" t="s">
        <v>159</v>
      </c>
      <c r="D5195" s="52" t="s">
        <v>159</v>
      </c>
      <c r="E5195" s="52" t="s">
        <v>584</v>
      </c>
      <c r="F5195" s="52" t="s">
        <v>26</v>
      </c>
      <c r="G5195" s="55" t="s">
        <v>275</v>
      </c>
      <c r="H5195" s="55">
        <v>31.997499999999999</v>
      </c>
      <c r="I5195" s="55">
        <v>22.847149999999999</v>
      </c>
      <c r="J5195" s="55">
        <v>18.879339999999999</v>
      </c>
      <c r="K5195" s="55">
        <v>18.304179999999999</v>
      </c>
      <c r="L5195" s="55">
        <v>18.274470000000001</v>
      </c>
      <c r="M5195" s="55">
        <v>15.898759999999999</v>
      </c>
      <c r="N5195" s="55">
        <v>14.227740000000001</v>
      </c>
    </row>
    <row r="5196" spans="1:14" hidden="1" x14ac:dyDescent="0.35">
      <c r="A5196" s="52" t="s">
        <v>687</v>
      </c>
      <c r="B5196" s="52" t="s">
        <v>160</v>
      </c>
      <c r="C5196" s="52" t="s">
        <v>159</v>
      </c>
      <c r="D5196" s="52" t="s">
        <v>159</v>
      </c>
      <c r="E5196" s="52" t="s">
        <v>584</v>
      </c>
      <c r="F5196" s="52" t="s">
        <v>26</v>
      </c>
      <c r="G5196" s="55" t="s">
        <v>276</v>
      </c>
      <c r="H5196" s="55">
        <v>22.176729999999999</v>
      </c>
      <c r="I5196" s="55">
        <v>9.7194040000000008</v>
      </c>
      <c r="J5196" s="55">
        <v>5.606954</v>
      </c>
      <c r="K5196" s="55">
        <v>6.3163710000000002</v>
      </c>
      <c r="L5196" s="55">
        <v>7.6474359999999999</v>
      </c>
      <c r="M5196" s="55">
        <v>11.69802</v>
      </c>
      <c r="N5196" s="55">
        <v>13.80054</v>
      </c>
    </row>
    <row r="5197" spans="1:14" hidden="1" x14ac:dyDescent="0.35">
      <c r="A5197" s="52" t="s">
        <v>687</v>
      </c>
      <c r="B5197" s="52" t="s">
        <v>160</v>
      </c>
      <c r="C5197" s="52" t="s">
        <v>159</v>
      </c>
      <c r="D5197" s="52" t="s">
        <v>159</v>
      </c>
      <c r="E5197" s="52" t="s">
        <v>584</v>
      </c>
      <c r="F5197" s="52" t="s">
        <v>26</v>
      </c>
      <c r="G5197" s="55" t="s">
        <v>277</v>
      </c>
      <c r="H5197" s="55">
        <v>0.83976759999999995</v>
      </c>
      <c r="I5197" s="55">
        <v>1.135988</v>
      </c>
      <c r="J5197" s="55">
        <v>1.383405</v>
      </c>
      <c r="K5197" s="55">
        <v>1.415354</v>
      </c>
      <c r="L5197" s="55">
        <v>1.757179</v>
      </c>
      <c r="M5197" s="55">
        <v>3.078195</v>
      </c>
      <c r="N5197" s="55">
        <v>2.8649070000000001</v>
      </c>
    </row>
    <row r="5198" spans="1:14" hidden="1" x14ac:dyDescent="0.35">
      <c r="A5198" s="52" t="s">
        <v>687</v>
      </c>
      <c r="B5198" s="52" t="s">
        <v>160</v>
      </c>
      <c r="C5198" s="52" t="s">
        <v>159</v>
      </c>
      <c r="D5198" s="52" t="s">
        <v>159</v>
      </c>
      <c r="E5198" s="52" t="s">
        <v>584</v>
      </c>
      <c r="F5198" s="52" t="s">
        <v>26</v>
      </c>
      <c r="G5198" s="55" t="s">
        <v>279</v>
      </c>
      <c r="H5198" s="55">
        <v>24.03837</v>
      </c>
      <c r="I5198" s="55">
        <v>19.095030000000001</v>
      </c>
      <c r="J5198" s="55">
        <v>25.304400000000001</v>
      </c>
      <c r="K5198" s="55">
        <v>30.884679999999999</v>
      </c>
      <c r="L5198" s="55">
        <v>33.215130000000002</v>
      </c>
      <c r="M5198" s="55">
        <v>37.368470000000002</v>
      </c>
      <c r="N5198" s="55">
        <v>37.353319999999997</v>
      </c>
    </row>
    <row r="5199" spans="1:14" hidden="1" x14ac:dyDescent="0.35">
      <c r="A5199" s="52" t="s">
        <v>687</v>
      </c>
      <c r="B5199" s="52" t="s">
        <v>160</v>
      </c>
      <c r="C5199" s="52" t="s">
        <v>298</v>
      </c>
      <c r="D5199" s="52" t="s">
        <v>688</v>
      </c>
      <c r="E5199" s="52" t="s">
        <v>584</v>
      </c>
      <c r="F5199" s="52" t="s">
        <v>581</v>
      </c>
      <c r="G5199" s="55" t="s">
        <v>275</v>
      </c>
      <c r="H5199" s="55">
        <v>1.6964170000000001</v>
      </c>
      <c r="I5199" s="55">
        <v>1.082395</v>
      </c>
      <c r="J5199" s="55">
        <v>1.0267729999999999</v>
      </c>
      <c r="K5199" s="55">
        <v>0.39047579999999998</v>
      </c>
      <c r="L5199" s="55">
        <v>0.27884239999999999</v>
      </c>
      <c r="M5199" s="55">
        <v>0.23764859999999999</v>
      </c>
      <c r="N5199" s="55">
        <v>0.19775300000000001</v>
      </c>
    </row>
    <row r="5200" spans="1:14" hidden="1" x14ac:dyDescent="0.35">
      <c r="A5200" s="52" t="s">
        <v>687</v>
      </c>
      <c r="B5200" s="52" t="s">
        <v>160</v>
      </c>
      <c r="C5200" s="52" t="s">
        <v>298</v>
      </c>
      <c r="D5200" s="52" t="s">
        <v>688</v>
      </c>
      <c r="E5200" s="52" t="s">
        <v>584</v>
      </c>
      <c r="F5200" s="52" t="s">
        <v>581</v>
      </c>
      <c r="G5200" s="55" t="s">
        <v>276</v>
      </c>
      <c r="H5200" s="55">
        <v>-0.73309360000000001</v>
      </c>
      <c r="I5200" s="55">
        <v>-0.60227249999999999</v>
      </c>
      <c r="J5200" s="55">
        <v>-0.62949359999999999</v>
      </c>
      <c r="K5200" s="55">
        <v>-4.4806680000000002E-2</v>
      </c>
      <c r="L5200" s="55">
        <v>-2.4767930000000001E-2</v>
      </c>
      <c r="M5200" s="55">
        <v>-4.2388149999999999E-2</v>
      </c>
      <c r="N5200" s="55">
        <v>-5.4589140000000001E-2</v>
      </c>
    </row>
    <row r="5201" spans="1:14" hidden="1" x14ac:dyDescent="0.35">
      <c r="A5201" s="52" t="s">
        <v>687</v>
      </c>
      <c r="B5201" s="52" t="s">
        <v>160</v>
      </c>
      <c r="C5201" s="52" t="s">
        <v>298</v>
      </c>
      <c r="D5201" s="52" t="s">
        <v>688</v>
      </c>
      <c r="E5201" s="52" t="s">
        <v>584</v>
      </c>
      <c r="F5201" s="52" t="s">
        <v>581</v>
      </c>
      <c r="G5201" s="55" t="s">
        <v>277</v>
      </c>
      <c r="H5201" s="55">
        <v>7.9592789999999997E-2</v>
      </c>
      <c r="I5201" s="55">
        <v>5.7919749999999999E-2</v>
      </c>
      <c r="J5201" s="55">
        <v>5.5357749999999997E-2</v>
      </c>
      <c r="K5201" s="55">
        <v>7.2467290000000004E-2</v>
      </c>
      <c r="L5201" s="55">
        <v>7.4171619999999994E-2</v>
      </c>
      <c r="M5201" s="55">
        <v>7.0455139999999999E-2</v>
      </c>
      <c r="N5201" s="55">
        <v>7.3503219999999994E-2</v>
      </c>
    </row>
    <row r="5202" spans="1:14" hidden="1" x14ac:dyDescent="0.35">
      <c r="A5202" s="52" t="s">
        <v>687</v>
      </c>
      <c r="B5202" s="52" t="s">
        <v>160</v>
      </c>
      <c r="C5202" s="52" t="s">
        <v>298</v>
      </c>
      <c r="D5202" s="52" t="s">
        <v>688</v>
      </c>
      <c r="E5202" s="52" t="s">
        <v>584</v>
      </c>
      <c r="F5202" s="52" t="s">
        <v>581</v>
      </c>
      <c r="G5202" s="55" t="s">
        <v>279</v>
      </c>
      <c r="H5202" s="55">
        <v>0.25021080000000001</v>
      </c>
      <c r="I5202" s="55">
        <v>0.1690315</v>
      </c>
      <c r="J5202" s="55">
        <v>0.14037369999999999</v>
      </c>
      <c r="K5202" s="55">
        <v>0.15086669999999999</v>
      </c>
      <c r="L5202" s="55">
        <v>0.1184297</v>
      </c>
      <c r="M5202" s="55">
        <v>9.5863390000000007E-2</v>
      </c>
      <c r="N5202" s="55">
        <v>7.8167310000000004E-2</v>
      </c>
    </row>
    <row r="5203" spans="1:14" hidden="1" x14ac:dyDescent="0.35">
      <c r="A5203" s="52" t="s">
        <v>687</v>
      </c>
      <c r="B5203" s="52" t="s">
        <v>160</v>
      </c>
      <c r="C5203" s="52" t="s">
        <v>309</v>
      </c>
      <c r="D5203" s="52" t="s">
        <v>689</v>
      </c>
      <c r="E5203" s="52" t="s">
        <v>584</v>
      </c>
      <c r="F5203" s="52" t="s">
        <v>581</v>
      </c>
      <c r="G5203" s="55" t="s">
        <v>275</v>
      </c>
      <c r="H5203" s="55">
        <v>0.48394569999999998</v>
      </c>
      <c r="I5203" s="55">
        <v>0.2112802</v>
      </c>
      <c r="J5203" s="55">
        <v>0.15570249999999999</v>
      </c>
      <c r="K5203" s="55">
        <v>-9.4768809999999995E-2</v>
      </c>
      <c r="L5203" s="55">
        <v>4.5476549999999998E-2</v>
      </c>
      <c r="M5203" s="55">
        <v>0</v>
      </c>
      <c r="N5203" s="55"/>
    </row>
    <row r="5204" spans="1:14" hidden="1" x14ac:dyDescent="0.35">
      <c r="A5204" s="52" t="s">
        <v>687</v>
      </c>
      <c r="B5204" s="52" t="s">
        <v>160</v>
      </c>
      <c r="C5204" s="52" t="s">
        <v>309</v>
      </c>
      <c r="D5204" s="52" t="s">
        <v>689</v>
      </c>
      <c r="E5204" s="52" t="s">
        <v>584</v>
      </c>
      <c r="F5204" s="52" t="s">
        <v>581</v>
      </c>
      <c r="G5204" s="55" t="s">
        <v>276</v>
      </c>
      <c r="H5204" s="55">
        <v>0.25390990000000002</v>
      </c>
      <c r="I5204" s="55">
        <v>7.1331610000000004E-2</v>
      </c>
      <c r="J5204" s="55">
        <v>-1.0687220000000001E-2</v>
      </c>
      <c r="K5204" s="55">
        <v>-0.1177243</v>
      </c>
      <c r="L5204" s="55">
        <v>-4.5476549999999998E-2</v>
      </c>
      <c r="M5204" s="55">
        <v>0</v>
      </c>
      <c r="N5204" s="55"/>
    </row>
    <row r="5205" spans="1:14" hidden="1" x14ac:dyDescent="0.35">
      <c r="A5205" s="52" t="s">
        <v>687</v>
      </c>
      <c r="B5205" s="52" t="s">
        <v>160</v>
      </c>
      <c r="C5205" s="52" t="s">
        <v>309</v>
      </c>
      <c r="D5205" s="52" t="s">
        <v>689</v>
      </c>
      <c r="E5205" s="52" t="s">
        <v>584</v>
      </c>
      <c r="F5205" s="52" t="s">
        <v>581</v>
      </c>
      <c r="G5205" s="55" t="s">
        <v>277</v>
      </c>
      <c r="H5205" s="55">
        <v>0.28328409999999998</v>
      </c>
      <c r="I5205" s="55">
        <v>0.19827990000000001</v>
      </c>
      <c r="J5205" s="55">
        <v>0</v>
      </c>
      <c r="K5205" s="55"/>
      <c r="L5205" s="55"/>
      <c r="M5205" s="55"/>
      <c r="N5205" s="55"/>
    </row>
    <row r="5206" spans="1:14" hidden="1" x14ac:dyDescent="0.35">
      <c r="A5206" s="52" t="s">
        <v>687</v>
      </c>
      <c r="B5206" s="52" t="s">
        <v>160</v>
      </c>
      <c r="C5206" s="52" t="s">
        <v>309</v>
      </c>
      <c r="D5206" s="52" t="s">
        <v>689</v>
      </c>
      <c r="E5206" s="52" t="s">
        <v>584</v>
      </c>
      <c r="F5206" s="52" t="s">
        <v>581</v>
      </c>
      <c r="G5206" s="55" t="s">
        <v>279</v>
      </c>
      <c r="H5206" s="55">
        <v>0.19581589999999999</v>
      </c>
      <c r="I5206" s="55">
        <v>0.1142527</v>
      </c>
      <c r="J5206" s="55">
        <v>3.4258909999999997E-2</v>
      </c>
      <c r="K5206" s="55">
        <v>0.21249309999999999</v>
      </c>
      <c r="L5206" s="55">
        <v>0</v>
      </c>
      <c r="M5206" s="55"/>
      <c r="N5206" s="55"/>
    </row>
    <row r="5207" spans="1:14" hidden="1" x14ac:dyDescent="0.35">
      <c r="A5207" s="52" t="s">
        <v>687</v>
      </c>
      <c r="B5207" s="52" t="s">
        <v>160</v>
      </c>
      <c r="C5207" s="52" t="s">
        <v>309</v>
      </c>
      <c r="D5207" s="52" t="s">
        <v>689</v>
      </c>
      <c r="E5207" s="52" t="s">
        <v>584</v>
      </c>
      <c r="F5207" s="52" t="s">
        <v>26</v>
      </c>
      <c r="G5207" s="55" t="s">
        <v>275</v>
      </c>
      <c r="H5207" s="55">
        <v>0.84386360000000005</v>
      </c>
      <c r="I5207" s="55">
        <v>0.39273740000000001</v>
      </c>
      <c r="J5207" s="55">
        <v>0.32302579999999997</v>
      </c>
      <c r="K5207" s="55">
        <v>-7.3748159999999993E-2</v>
      </c>
      <c r="L5207" s="55">
        <v>0.17939459999999999</v>
      </c>
      <c r="M5207" s="55">
        <v>0</v>
      </c>
      <c r="N5207" s="55"/>
    </row>
    <row r="5208" spans="1:14" hidden="1" x14ac:dyDescent="0.35">
      <c r="A5208" s="52" t="s">
        <v>687</v>
      </c>
      <c r="B5208" s="52" t="s">
        <v>160</v>
      </c>
      <c r="C5208" s="52" t="s">
        <v>309</v>
      </c>
      <c r="D5208" s="52" t="s">
        <v>689</v>
      </c>
      <c r="E5208" s="52" t="s">
        <v>584</v>
      </c>
      <c r="F5208" s="52" t="s">
        <v>26</v>
      </c>
      <c r="G5208" s="55" t="s">
        <v>276</v>
      </c>
      <c r="H5208" s="55">
        <v>-0.84386360000000005</v>
      </c>
      <c r="I5208" s="55">
        <v>-0.39273740000000001</v>
      </c>
      <c r="J5208" s="55">
        <v>-0.2259814</v>
      </c>
      <c r="K5208" s="55">
        <v>-0.31952160000000002</v>
      </c>
      <c r="L5208" s="55">
        <v>-0.17939459999999999</v>
      </c>
      <c r="M5208" s="55">
        <v>0</v>
      </c>
      <c r="N5208" s="55"/>
    </row>
    <row r="5209" spans="1:14" hidden="1" x14ac:dyDescent="0.35">
      <c r="A5209" s="52" t="s">
        <v>687</v>
      </c>
      <c r="B5209" s="52" t="s">
        <v>160</v>
      </c>
      <c r="C5209" s="52" t="s">
        <v>309</v>
      </c>
      <c r="D5209" s="52" t="s">
        <v>689</v>
      </c>
      <c r="E5209" s="52" t="s">
        <v>584</v>
      </c>
      <c r="F5209" s="52" t="s">
        <v>26</v>
      </c>
      <c r="G5209" s="55" t="s">
        <v>279</v>
      </c>
      <c r="H5209" s="55"/>
      <c r="I5209" s="55">
        <v>0</v>
      </c>
      <c r="J5209" s="55">
        <v>6.7551509999999995E-2</v>
      </c>
      <c r="K5209" s="55">
        <v>0.3932698</v>
      </c>
      <c r="L5209" s="55">
        <v>0</v>
      </c>
      <c r="M5209" s="55"/>
      <c r="N5209" s="55"/>
    </row>
    <row r="5210" spans="1:14" hidden="1" x14ac:dyDescent="0.35">
      <c r="A5210" s="52" t="s">
        <v>687</v>
      </c>
      <c r="B5210" s="52" t="s">
        <v>160</v>
      </c>
      <c r="C5210" s="52" t="s">
        <v>309</v>
      </c>
      <c r="D5210" s="52" t="s">
        <v>310</v>
      </c>
      <c r="E5210" s="52" t="s">
        <v>584</v>
      </c>
      <c r="F5210" s="52" t="s">
        <v>581</v>
      </c>
      <c r="G5210" s="55" t="s">
        <v>275</v>
      </c>
      <c r="H5210" s="55">
        <v>1.784913</v>
      </c>
      <c r="I5210" s="55">
        <v>2.220653</v>
      </c>
      <c r="J5210" s="55">
        <v>1.760516</v>
      </c>
      <c r="K5210" s="55">
        <v>1.7593620000000001</v>
      </c>
      <c r="L5210" s="55">
        <v>0.56420959999999998</v>
      </c>
      <c r="M5210" s="55">
        <v>-1.1646429999999999E-2</v>
      </c>
      <c r="N5210" s="55">
        <v>-1.314281E-2</v>
      </c>
    </row>
    <row r="5211" spans="1:14" hidden="1" x14ac:dyDescent="0.35">
      <c r="A5211" s="52" t="s">
        <v>687</v>
      </c>
      <c r="B5211" s="52" t="s">
        <v>160</v>
      </c>
      <c r="C5211" s="52" t="s">
        <v>309</v>
      </c>
      <c r="D5211" s="52" t="s">
        <v>310</v>
      </c>
      <c r="E5211" s="52" t="s">
        <v>584</v>
      </c>
      <c r="F5211" s="52" t="s">
        <v>581</v>
      </c>
      <c r="G5211" s="55" t="s">
        <v>276</v>
      </c>
      <c r="H5211" s="55">
        <v>-2.3707799999999999</v>
      </c>
      <c r="I5211" s="55">
        <v>-2.3685160000000001</v>
      </c>
      <c r="J5211" s="55">
        <v>-1.287901</v>
      </c>
      <c r="K5211" s="55">
        <v>-1.291452</v>
      </c>
      <c r="L5211" s="55">
        <v>-6.816614E-2</v>
      </c>
      <c r="M5211" s="55">
        <v>-0.1589216</v>
      </c>
      <c r="N5211" s="55">
        <v>-0.17634069999999999</v>
      </c>
    </row>
    <row r="5212" spans="1:14" hidden="1" x14ac:dyDescent="0.35">
      <c r="A5212" s="52" t="s">
        <v>687</v>
      </c>
      <c r="B5212" s="52" t="s">
        <v>160</v>
      </c>
      <c r="C5212" s="52" t="s">
        <v>309</v>
      </c>
      <c r="D5212" s="52" t="s">
        <v>310</v>
      </c>
      <c r="E5212" s="52" t="s">
        <v>584</v>
      </c>
      <c r="F5212" s="52" t="s">
        <v>581</v>
      </c>
      <c r="G5212" s="55" t="s">
        <v>277</v>
      </c>
      <c r="H5212" s="55"/>
      <c r="I5212" s="55"/>
      <c r="J5212" s="55"/>
      <c r="K5212" s="55">
        <v>0</v>
      </c>
      <c r="L5212" s="55">
        <v>5.0903999999999999E-4</v>
      </c>
      <c r="M5212" s="55">
        <v>1.5271200000000001E-3</v>
      </c>
      <c r="N5212" s="55">
        <v>2.6472740000000002E-2</v>
      </c>
    </row>
    <row r="5213" spans="1:14" hidden="1" x14ac:dyDescent="0.35">
      <c r="A5213" s="52" t="s">
        <v>687</v>
      </c>
      <c r="B5213" s="52" t="s">
        <v>160</v>
      </c>
      <c r="C5213" s="52" t="s">
        <v>309</v>
      </c>
      <c r="D5213" s="52" t="s">
        <v>310</v>
      </c>
      <c r="E5213" s="52" t="s">
        <v>584</v>
      </c>
      <c r="F5213" s="52" t="s">
        <v>581</v>
      </c>
      <c r="G5213" s="55" t="s">
        <v>278</v>
      </c>
      <c r="H5213" s="55">
        <v>0.58586720000000003</v>
      </c>
      <c r="I5213" s="55">
        <v>0.14786299999999999</v>
      </c>
      <c r="J5213" s="55">
        <v>9.4062339999999994E-2</v>
      </c>
      <c r="K5213" s="55">
        <v>9.8260920000000002E-2</v>
      </c>
      <c r="L5213" s="55">
        <v>6.9110740000000004E-2</v>
      </c>
      <c r="M5213" s="55">
        <v>0.17277709999999999</v>
      </c>
      <c r="N5213" s="55">
        <v>0.1662399</v>
      </c>
    </row>
    <row r="5214" spans="1:14" hidden="1" x14ac:dyDescent="0.35">
      <c r="A5214" s="52" t="s">
        <v>687</v>
      </c>
      <c r="B5214" s="52" t="s">
        <v>160</v>
      </c>
      <c r="C5214" s="52" t="s">
        <v>309</v>
      </c>
      <c r="D5214" s="52" t="s">
        <v>310</v>
      </c>
      <c r="E5214" s="52" t="s">
        <v>584</v>
      </c>
      <c r="F5214" s="52" t="s">
        <v>581</v>
      </c>
      <c r="G5214" s="55" t="s">
        <v>279</v>
      </c>
      <c r="H5214" s="55"/>
      <c r="I5214" s="55"/>
      <c r="J5214" s="55"/>
      <c r="K5214" s="55"/>
      <c r="L5214" s="55"/>
      <c r="M5214" s="55"/>
      <c r="N5214" s="55">
        <v>0</v>
      </c>
    </row>
    <row r="5215" spans="1:14" hidden="1" x14ac:dyDescent="0.35">
      <c r="A5215" s="52" t="s">
        <v>687</v>
      </c>
      <c r="B5215" s="52" t="s">
        <v>160</v>
      </c>
      <c r="C5215" s="52" t="s">
        <v>309</v>
      </c>
      <c r="D5215" s="52" t="s">
        <v>310</v>
      </c>
      <c r="E5215" s="52" t="s">
        <v>584</v>
      </c>
      <c r="F5215" s="52" t="s">
        <v>26</v>
      </c>
      <c r="G5215" s="55" t="s">
        <v>275</v>
      </c>
      <c r="H5215" s="55"/>
      <c r="I5215" s="55"/>
      <c r="J5215" s="55"/>
      <c r="K5215" s="55"/>
      <c r="L5215" s="55"/>
      <c r="M5215" s="55"/>
      <c r="N5215" s="55">
        <v>0</v>
      </c>
    </row>
    <row r="5216" spans="1:14" hidden="1" x14ac:dyDescent="0.35">
      <c r="A5216" s="52" t="s">
        <v>687</v>
      </c>
      <c r="B5216" s="52" t="s">
        <v>160</v>
      </c>
      <c r="C5216" s="52" t="s">
        <v>309</v>
      </c>
      <c r="D5216" s="52" t="s">
        <v>310</v>
      </c>
      <c r="E5216" s="52" t="s">
        <v>584</v>
      </c>
      <c r="F5216" s="52" t="s">
        <v>26</v>
      </c>
      <c r="G5216" s="55" t="s">
        <v>276</v>
      </c>
      <c r="H5216" s="55"/>
      <c r="I5216" s="55"/>
      <c r="J5216" s="55"/>
      <c r="K5216" s="55"/>
      <c r="L5216" s="55"/>
      <c r="M5216" s="55"/>
      <c r="N5216" s="55">
        <v>0</v>
      </c>
    </row>
    <row r="5217" spans="1:14" hidden="1" x14ac:dyDescent="0.35">
      <c r="A5217" s="52" t="s">
        <v>687</v>
      </c>
      <c r="B5217" s="52" t="s">
        <v>160</v>
      </c>
      <c r="C5217" s="52" t="s">
        <v>309</v>
      </c>
      <c r="D5217" s="52" t="s">
        <v>310</v>
      </c>
      <c r="E5217" s="52" t="s">
        <v>584</v>
      </c>
      <c r="F5217" s="52" t="s">
        <v>26</v>
      </c>
      <c r="G5217" s="55" t="s">
        <v>279</v>
      </c>
      <c r="H5217" s="55"/>
      <c r="I5217" s="55"/>
      <c r="J5217" s="55"/>
      <c r="K5217" s="55"/>
      <c r="L5217" s="55"/>
      <c r="M5217" s="55"/>
      <c r="N5217" s="55">
        <v>0</v>
      </c>
    </row>
    <row r="5218" spans="1:14" hidden="1" x14ac:dyDescent="0.35">
      <c r="A5218" s="52" t="s">
        <v>687</v>
      </c>
      <c r="B5218" s="52" t="s">
        <v>160</v>
      </c>
      <c r="C5218" s="52" t="s">
        <v>349</v>
      </c>
      <c r="D5218" s="52" t="s">
        <v>350</v>
      </c>
      <c r="E5218" s="52" t="s">
        <v>584</v>
      </c>
      <c r="F5218" s="52" t="s">
        <v>581</v>
      </c>
      <c r="G5218" s="55" t="s">
        <v>275</v>
      </c>
      <c r="H5218" s="55">
        <v>-7.4122800000000003E-2</v>
      </c>
      <c r="I5218" s="55">
        <v>-9.8895000000000007E-3</v>
      </c>
      <c r="J5218" s="55">
        <v>0</v>
      </c>
      <c r="K5218" s="55">
        <v>0</v>
      </c>
      <c r="L5218" s="55">
        <v>0</v>
      </c>
      <c r="M5218" s="55">
        <v>0</v>
      </c>
      <c r="N5218" s="55">
        <v>0</v>
      </c>
    </row>
    <row r="5219" spans="1:14" hidden="1" x14ac:dyDescent="0.35">
      <c r="A5219" s="52" t="s">
        <v>687</v>
      </c>
      <c r="B5219" s="52" t="s">
        <v>160</v>
      </c>
      <c r="C5219" s="52" t="s">
        <v>349</v>
      </c>
      <c r="D5219" s="52" t="s">
        <v>350</v>
      </c>
      <c r="E5219" s="52" t="s">
        <v>584</v>
      </c>
      <c r="F5219" s="52" t="s">
        <v>581</v>
      </c>
      <c r="G5219" s="55" t="s">
        <v>276</v>
      </c>
      <c r="H5219" s="55">
        <v>-1.0819499999999999E-2</v>
      </c>
      <c r="I5219" s="55">
        <v>-1.15484E-2</v>
      </c>
      <c r="J5219" s="55">
        <v>-1.4564799999999999E-2</v>
      </c>
      <c r="K5219" s="55">
        <v>-1.8363</v>
      </c>
      <c r="L5219" s="55">
        <v>-6.8626699999999999E-2</v>
      </c>
      <c r="M5219" s="55">
        <v>-6.0121099999999997E-2</v>
      </c>
      <c r="N5219" s="55">
        <v>-7.1085560000000001</v>
      </c>
    </row>
    <row r="5220" spans="1:14" hidden="1" x14ac:dyDescent="0.35">
      <c r="A5220" s="52" t="s">
        <v>687</v>
      </c>
      <c r="B5220" s="52" t="s">
        <v>160</v>
      </c>
      <c r="C5220" s="52" t="s">
        <v>349</v>
      </c>
      <c r="D5220" s="52" t="s">
        <v>350</v>
      </c>
      <c r="E5220" s="52" t="s">
        <v>584</v>
      </c>
      <c r="F5220" s="52" t="s">
        <v>581</v>
      </c>
      <c r="G5220" s="55" t="s">
        <v>278</v>
      </c>
      <c r="H5220" s="55">
        <v>8.4942299999999998E-2</v>
      </c>
      <c r="I5220" s="55">
        <v>2.1437999999999999E-2</v>
      </c>
      <c r="J5220" s="55">
        <v>1.4565E-2</v>
      </c>
      <c r="K5220" s="55">
        <v>1.8363</v>
      </c>
      <c r="L5220" s="55">
        <v>6.8626900000000005E-2</v>
      </c>
      <c r="M5220" s="55">
        <v>6.0121099999999997E-2</v>
      </c>
      <c r="N5220" s="55">
        <v>7.1085560000000001</v>
      </c>
    </row>
    <row r="5221" spans="1:14" hidden="1" x14ac:dyDescent="0.35">
      <c r="A5221" s="52" t="s">
        <v>687</v>
      </c>
      <c r="B5221" s="52" t="s">
        <v>160</v>
      </c>
      <c r="C5221" s="52" t="s">
        <v>846</v>
      </c>
      <c r="D5221" s="52" t="s">
        <v>847</v>
      </c>
      <c r="E5221" s="52" t="s">
        <v>584</v>
      </c>
      <c r="F5221" s="52" t="s">
        <v>581</v>
      </c>
      <c r="G5221" s="55" t="s">
        <v>275</v>
      </c>
      <c r="H5221" s="55">
        <v>-0.20057030000000001</v>
      </c>
      <c r="I5221" s="55">
        <v>-2.1514510000000001E-2</v>
      </c>
      <c r="J5221" s="55">
        <v>0</v>
      </c>
      <c r="K5221" s="55">
        <v>0</v>
      </c>
      <c r="L5221" s="55">
        <v>0</v>
      </c>
      <c r="M5221" s="55">
        <v>0</v>
      </c>
      <c r="N5221" s="55">
        <v>0</v>
      </c>
    </row>
    <row r="5222" spans="1:14" hidden="1" x14ac:dyDescent="0.35">
      <c r="A5222" s="52" t="s">
        <v>687</v>
      </c>
      <c r="B5222" s="52" t="s">
        <v>160</v>
      </c>
      <c r="C5222" s="52" t="s">
        <v>846</v>
      </c>
      <c r="D5222" s="52" t="s">
        <v>847</v>
      </c>
      <c r="E5222" s="52" t="s">
        <v>584</v>
      </c>
      <c r="F5222" s="52" t="s">
        <v>581</v>
      </c>
      <c r="G5222" s="55" t="s">
        <v>276</v>
      </c>
      <c r="H5222" s="55">
        <v>-4.055044E-2</v>
      </c>
      <c r="I5222" s="55">
        <v>-3.9340279999999998E-2</v>
      </c>
      <c r="J5222" s="55">
        <v>-4.1344520000000003E-2</v>
      </c>
      <c r="K5222" s="55">
        <v>-1.8076509999999999</v>
      </c>
      <c r="L5222" s="55">
        <v>-6.4547140000000003E-3</v>
      </c>
      <c r="M5222" s="55">
        <v>-1.6136810000000001E-2</v>
      </c>
      <c r="N5222" s="55">
        <v>-1.6136959999999999E-2</v>
      </c>
    </row>
    <row r="5223" spans="1:14" hidden="1" x14ac:dyDescent="0.35">
      <c r="A5223" s="52" t="s">
        <v>687</v>
      </c>
      <c r="B5223" s="52" t="s">
        <v>160</v>
      </c>
      <c r="C5223" s="52" t="s">
        <v>846</v>
      </c>
      <c r="D5223" s="52" t="s">
        <v>847</v>
      </c>
      <c r="E5223" s="52" t="s">
        <v>584</v>
      </c>
      <c r="F5223" s="52" t="s">
        <v>581</v>
      </c>
      <c r="G5223" s="55" t="s">
        <v>277</v>
      </c>
      <c r="H5223" s="55"/>
      <c r="I5223" s="55"/>
      <c r="J5223" s="55"/>
      <c r="K5223" s="55"/>
      <c r="L5223" s="55"/>
      <c r="M5223" s="55"/>
      <c r="N5223" s="55">
        <v>0</v>
      </c>
    </row>
    <row r="5224" spans="1:14" hidden="1" x14ac:dyDescent="0.35">
      <c r="A5224" s="52" t="s">
        <v>687</v>
      </c>
      <c r="B5224" s="52" t="s">
        <v>160</v>
      </c>
      <c r="C5224" s="52" t="s">
        <v>846</v>
      </c>
      <c r="D5224" s="52" t="s">
        <v>847</v>
      </c>
      <c r="E5224" s="52" t="s">
        <v>584</v>
      </c>
      <c r="F5224" s="52" t="s">
        <v>581</v>
      </c>
      <c r="G5224" s="55" t="s">
        <v>278</v>
      </c>
      <c r="H5224" s="55">
        <v>0.2411209</v>
      </c>
      <c r="I5224" s="55">
        <v>6.0854770000000002E-2</v>
      </c>
      <c r="J5224" s="55">
        <v>4.1344649999999997E-2</v>
      </c>
      <c r="K5224" s="55">
        <v>1.8076509999999999</v>
      </c>
      <c r="L5224" s="55">
        <v>6.4546999999999998E-3</v>
      </c>
      <c r="M5224" s="55">
        <v>1.613682E-2</v>
      </c>
      <c r="N5224" s="55">
        <v>1.613682E-2</v>
      </c>
    </row>
    <row r="5225" spans="1:14" hidden="1" x14ac:dyDescent="0.35">
      <c r="A5225" s="52" t="s">
        <v>687</v>
      </c>
      <c r="B5225" s="52" t="s">
        <v>160</v>
      </c>
      <c r="C5225" s="52" t="s">
        <v>176</v>
      </c>
      <c r="D5225" s="52" t="s">
        <v>177</v>
      </c>
      <c r="E5225" s="52" t="s">
        <v>584</v>
      </c>
      <c r="F5225" s="52" t="s">
        <v>581</v>
      </c>
      <c r="G5225" s="55" t="s">
        <v>275</v>
      </c>
      <c r="H5225" s="55">
        <v>-8.9264999999999997E-2</v>
      </c>
      <c r="I5225" s="55">
        <v>-1.7534399999999999E-2</v>
      </c>
      <c r="J5225" s="55">
        <v>0</v>
      </c>
      <c r="K5225" s="55">
        <v>0</v>
      </c>
      <c r="L5225" s="55">
        <v>0</v>
      </c>
      <c r="M5225" s="55">
        <v>0</v>
      </c>
      <c r="N5225" s="55">
        <v>0</v>
      </c>
    </row>
    <row r="5226" spans="1:14" hidden="1" x14ac:dyDescent="0.35">
      <c r="A5226" s="52" t="s">
        <v>687</v>
      </c>
      <c r="B5226" s="52" t="s">
        <v>160</v>
      </c>
      <c r="C5226" s="52" t="s">
        <v>176</v>
      </c>
      <c r="D5226" s="52" t="s">
        <v>177</v>
      </c>
      <c r="E5226" s="52" t="s">
        <v>584</v>
      </c>
      <c r="F5226" s="52" t="s">
        <v>581</v>
      </c>
      <c r="G5226" s="55" t="s">
        <v>276</v>
      </c>
      <c r="H5226" s="55">
        <v>-5.5918000000000001E-3</v>
      </c>
      <c r="I5226" s="55">
        <v>-6.405801E-3</v>
      </c>
      <c r="J5226" s="55">
        <v>-6.5777049999999999</v>
      </c>
      <c r="K5226" s="55">
        <v>-1.704278E-2</v>
      </c>
      <c r="L5226" s="55">
        <v>-1.5176790000000001E-2</v>
      </c>
      <c r="M5226" s="55">
        <v>-3.7943020000000001E-2</v>
      </c>
      <c r="N5226" s="55">
        <v>-3.7942789999999997E-2</v>
      </c>
    </row>
    <row r="5227" spans="1:14" hidden="1" x14ac:dyDescent="0.35">
      <c r="A5227" s="52" t="s">
        <v>687</v>
      </c>
      <c r="B5227" s="52" t="s">
        <v>160</v>
      </c>
      <c r="C5227" s="52" t="s">
        <v>176</v>
      </c>
      <c r="D5227" s="52" t="s">
        <v>177</v>
      </c>
      <c r="E5227" s="52" t="s">
        <v>584</v>
      </c>
      <c r="F5227" s="52" t="s">
        <v>581</v>
      </c>
      <c r="G5227" s="55" t="s">
        <v>277</v>
      </c>
      <c r="H5227" s="55"/>
      <c r="I5227" s="55"/>
      <c r="J5227" s="55"/>
      <c r="K5227" s="55"/>
      <c r="L5227" s="55"/>
      <c r="M5227" s="55"/>
      <c r="N5227" s="55">
        <v>0</v>
      </c>
    </row>
    <row r="5228" spans="1:14" hidden="1" x14ac:dyDescent="0.35">
      <c r="A5228" s="52" t="s">
        <v>687</v>
      </c>
      <c r="B5228" s="52" t="s">
        <v>160</v>
      </c>
      <c r="C5228" s="52" t="s">
        <v>176</v>
      </c>
      <c r="D5228" s="52" t="s">
        <v>177</v>
      </c>
      <c r="E5228" s="52" t="s">
        <v>584</v>
      </c>
      <c r="F5228" s="52" t="s">
        <v>581</v>
      </c>
      <c r="G5228" s="55" t="s">
        <v>278</v>
      </c>
      <c r="H5228" s="55">
        <v>9.4856800000000005E-2</v>
      </c>
      <c r="I5228" s="55">
        <v>2.3940199999999998E-2</v>
      </c>
      <c r="J5228" s="55">
        <v>6.5777039999999998</v>
      </c>
      <c r="K5228" s="55">
        <v>1.70428E-2</v>
      </c>
      <c r="L5228" s="55">
        <v>1.5177E-2</v>
      </c>
      <c r="M5228" s="55">
        <v>3.7942799999999999E-2</v>
      </c>
      <c r="N5228" s="55">
        <v>3.7942799999999999E-2</v>
      </c>
    </row>
    <row r="5229" spans="1:14" hidden="1" x14ac:dyDescent="0.35">
      <c r="A5229" s="52" t="s">
        <v>687</v>
      </c>
      <c r="B5229" s="52" t="s">
        <v>45</v>
      </c>
      <c r="C5229" s="52" t="s">
        <v>44</v>
      </c>
      <c r="D5229" s="52" t="s">
        <v>44</v>
      </c>
      <c r="E5229" s="52" t="s">
        <v>584</v>
      </c>
      <c r="F5229" s="52" t="s">
        <v>581</v>
      </c>
      <c r="G5229" s="55" t="s">
        <v>275</v>
      </c>
      <c r="H5229" s="55">
        <v>82.310550000000006</v>
      </c>
      <c r="I5229" s="55">
        <v>22.563379999999999</v>
      </c>
      <c r="J5229" s="55">
        <v>49.739820000000002</v>
      </c>
      <c r="K5229" s="55">
        <v>55.932409999999997</v>
      </c>
      <c r="L5229" s="55">
        <v>47.761400000000002</v>
      </c>
      <c r="M5229" s="55">
        <v>31.79363</v>
      </c>
      <c r="N5229" s="55">
        <v>30.189689999999999</v>
      </c>
    </row>
    <row r="5230" spans="1:14" hidden="1" x14ac:dyDescent="0.35">
      <c r="A5230" s="52" t="s">
        <v>687</v>
      </c>
      <c r="B5230" s="52" t="s">
        <v>45</v>
      </c>
      <c r="C5230" s="52" t="s">
        <v>44</v>
      </c>
      <c r="D5230" s="52" t="s">
        <v>44</v>
      </c>
      <c r="E5230" s="52" t="s">
        <v>584</v>
      </c>
      <c r="F5230" s="52" t="s">
        <v>581</v>
      </c>
      <c r="G5230" s="55" t="s">
        <v>276</v>
      </c>
      <c r="H5230" s="55">
        <v>41.484639999999999</v>
      </c>
      <c r="I5230" s="55">
        <v>24.265139999999999</v>
      </c>
      <c r="J5230" s="55">
        <v>24.312149999999999</v>
      </c>
      <c r="K5230" s="55">
        <v>23.63627</v>
      </c>
      <c r="L5230" s="55">
        <v>21.99334</v>
      </c>
      <c r="M5230" s="55">
        <v>19.665669999999999</v>
      </c>
      <c r="N5230" s="55">
        <v>17.239139999999999</v>
      </c>
    </row>
    <row r="5231" spans="1:14" hidden="1" x14ac:dyDescent="0.35">
      <c r="A5231" s="52" t="s">
        <v>687</v>
      </c>
      <c r="B5231" s="52" t="s">
        <v>45</v>
      </c>
      <c r="C5231" s="52" t="s">
        <v>44</v>
      </c>
      <c r="D5231" s="52" t="s">
        <v>44</v>
      </c>
      <c r="E5231" s="52" t="s">
        <v>584</v>
      </c>
      <c r="F5231" s="52" t="s">
        <v>581</v>
      </c>
      <c r="G5231" s="55" t="s">
        <v>277</v>
      </c>
      <c r="H5231" s="55">
        <v>79.710149999999999</v>
      </c>
      <c r="I5231" s="55">
        <v>46.513179999999998</v>
      </c>
      <c r="J5231" s="55">
        <v>22.25563</v>
      </c>
      <c r="K5231" s="55">
        <v>9.9312609999999992</v>
      </c>
      <c r="L5231" s="55">
        <v>11.774419999999999</v>
      </c>
      <c r="M5231" s="55">
        <v>13.89626</v>
      </c>
      <c r="N5231" s="55">
        <v>14.44265</v>
      </c>
    </row>
    <row r="5232" spans="1:14" hidden="1" x14ac:dyDescent="0.35">
      <c r="A5232" s="52" t="s">
        <v>687</v>
      </c>
      <c r="B5232" s="52" t="s">
        <v>45</v>
      </c>
      <c r="C5232" s="52" t="s">
        <v>44</v>
      </c>
      <c r="D5232" s="52" t="s">
        <v>44</v>
      </c>
      <c r="E5232" s="52" t="s">
        <v>584</v>
      </c>
      <c r="F5232" s="52" t="s">
        <v>581</v>
      </c>
      <c r="G5232" s="55" t="s">
        <v>278</v>
      </c>
      <c r="H5232" s="55">
        <v>0.143286</v>
      </c>
      <c r="I5232" s="55">
        <v>5.8242330000000004</v>
      </c>
      <c r="J5232" s="55">
        <v>1.9230149999999999E-3</v>
      </c>
      <c r="K5232" s="55">
        <v>1.9230149999999999E-3</v>
      </c>
      <c r="L5232" s="55">
        <v>1.9230149999999999E-3</v>
      </c>
      <c r="M5232" s="55">
        <v>0</v>
      </c>
      <c r="N5232" s="55">
        <v>0</v>
      </c>
    </row>
    <row r="5233" spans="1:14" hidden="1" x14ac:dyDescent="0.35">
      <c r="A5233" s="52" t="s">
        <v>687</v>
      </c>
      <c r="B5233" s="52" t="s">
        <v>45</v>
      </c>
      <c r="C5233" s="52" t="s">
        <v>44</v>
      </c>
      <c r="D5233" s="52" t="s">
        <v>44</v>
      </c>
      <c r="E5233" s="52" t="s">
        <v>584</v>
      </c>
      <c r="F5233" s="52" t="s">
        <v>581</v>
      </c>
      <c r="G5233" s="55" t="s">
        <v>279</v>
      </c>
      <c r="H5233" s="55">
        <v>41.509990000000002</v>
      </c>
      <c r="I5233" s="55">
        <v>40.932250000000003</v>
      </c>
      <c r="J5233" s="55">
        <v>42.01164</v>
      </c>
      <c r="K5233" s="55">
        <v>44.621549999999999</v>
      </c>
      <c r="L5233" s="55">
        <v>42.020620000000001</v>
      </c>
      <c r="M5233" s="55">
        <v>42.844990000000003</v>
      </c>
      <c r="N5233" s="55">
        <v>31.66253</v>
      </c>
    </row>
    <row r="5234" spans="1:14" hidden="1" x14ac:dyDescent="0.35">
      <c r="A5234" s="52" t="s">
        <v>687</v>
      </c>
      <c r="B5234" s="52" t="s">
        <v>45</v>
      </c>
      <c r="C5234" s="52" t="s">
        <v>44</v>
      </c>
      <c r="D5234" s="52" t="s">
        <v>44</v>
      </c>
      <c r="E5234" s="52" t="s">
        <v>584</v>
      </c>
      <c r="F5234" s="52" t="s">
        <v>26</v>
      </c>
      <c r="G5234" s="55" t="s">
        <v>275</v>
      </c>
      <c r="H5234" s="55"/>
      <c r="I5234" s="55"/>
      <c r="J5234" s="55">
        <v>0</v>
      </c>
      <c r="K5234" s="55">
        <v>0</v>
      </c>
      <c r="L5234" s="55">
        <v>0</v>
      </c>
      <c r="M5234" s="55">
        <v>0</v>
      </c>
      <c r="N5234" s="55">
        <v>0</v>
      </c>
    </row>
    <row r="5235" spans="1:14" hidden="1" x14ac:dyDescent="0.35">
      <c r="A5235" s="52" t="s">
        <v>687</v>
      </c>
      <c r="B5235" s="52" t="s">
        <v>45</v>
      </c>
      <c r="C5235" s="52" t="s">
        <v>44</v>
      </c>
      <c r="D5235" s="52" t="s">
        <v>44</v>
      </c>
      <c r="E5235" s="52" t="s">
        <v>584</v>
      </c>
      <c r="F5235" s="52" t="s">
        <v>26</v>
      </c>
      <c r="G5235" s="55" t="s">
        <v>277</v>
      </c>
      <c r="H5235" s="55"/>
      <c r="I5235" s="55"/>
      <c r="J5235" s="55"/>
      <c r="K5235" s="55"/>
      <c r="L5235" s="55"/>
      <c r="M5235" s="55"/>
      <c r="N5235" s="55">
        <v>0</v>
      </c>
    </row>
    <row r="5236" spans="1:14" hidden="1" x14ac:dyDescent="0.35">
      <c r="A5236" s="52" t="s">
        <v>687</v>
      </c>
      <c r="B5236" s="52" t="s">
        <v>45</v>
      </c>
      <c r="C5236" s="52" t="s">
        <v>44</v>
      </c>
      <c r="D5236" s="52" t="s">
        <v>44</v>
      </c>
      <c r="E5236" s="52" t="s">
        <v>584</v>
      </c>
      <c r="F5236" s="52" t="s">
        <v>26</v>
      </c>
      <c r="G5236" s="55" t="s">
        <v>278</v>
      </c>
      <c r="H5236" s="55"/>
      <c r="I5236" s="55"/>
      <c r="J5236" s="55">
        <v>0</v>
      </c>
      <c r="K5236" s="55">
        <v>0</v>
      </c>
      <c r="L5236" s="55">
        <v>0</v>
      </c>
      <c r="M5236" s="55">
        <v>0</v>
      </c>
      <c r="N5236" s="55">
        <v>0</v>
      </c>
    </row>
    <row r="5237" spans="1:14" hidden="1" x14ac:dyDescent="0.35">
      <c r="A5237" s="52" t="s">
        <v>687</v>
      </c>
      <c r="B5237" s="52" t="s">
        <v>295</v>
      </c>
      <c r="C5237" s="52" t="s">
        <v>294</v>
      </c>
      <c r="D5237" s="52" t="s">
        <v>294</v>
      </c>
      <c r="E5237" s="52" t="s">
        <v>584</v>
      </c>
      <c r="F5237" s="52" t="s">
        <v>581</v>
      </c>
      <c r="G5237" s="55" t="s">
        <v>275</v>
      </c>
      <c r="H5237" s="55">
        <v>-1.699138</v>
      </c>
      <c r="I5237" s="55">
        <v>-3.0915870000000001</v>
      </c>
      <c r="J5237" s="55">
        <v>-3.0915870000000001</v>
      </c>
      <c r="K5237" s="55">
        <v>-1.584152</v>
      </c>
      <c r="L5237" s="55">
        <v>1.373229</v>
      </c>
      <c r="M5237" s="55">
        <v>4.1007040000000003</v>
      </c>
      <c r="N5237" s="55">
        <v>4.0646399999999998</v>
      </c>
    </row>
    <row r="5238" spans="1:14" hidden="1" x14ac:dyDescent="0.35">
      <c r="A5238" s="52" t="s">
        <v>687</v>
      </c>
      <c r="B5238" s="52" t="s">
        <v>295</v>
      </c>
      <c r="C5238" s="52" t="s">
        <v>294</v>
      </c>
      <c r="D5238" s="52" t="s">
        <v>294</v>
      </c>
      <c r="E5238" s="52" t="s">
        <v>584</v>
      </c>
      <c r="F5238" s="52" t="s">
        <v>581</v>
      </c>
      <c r="G5238" s="55" t="s">
        <v>276</v>
      </c>
      <c r="H5238" s="55"/>
      <c r="I5238" s="55"/>
      <c r="J5238" s="55">
        <v>0</v>
      </c>
      <c r="K5238" s="55">
        <v>2.486122E-2</v>
      </c>
      <c r="L5238" s="55">
        <v>2.0698829999999999</v>
      </c>
      <c r="M5238" s="55">
        <v>0.60076399999999996</v>
      </c>
      <c r="N5238" s="55">
        <v>0.61578599999999994</v>
      </c>
    </row>
    <row r="5239" spans="1:14" hidden="1" x14ac:dyDescent="0.35">
      <c r="A5239" s="52" t="s">
        <v>687</v>
      </c>
      <c r="B5239" s="52" t="s">
        <v>295</v>
      </c>
      <c r="C5239" s="52" t="s">
        <v>294</v>
      </c>
      <c r="D5239" s="52" t="s">
        <v>294</v>
      </c>
      <c r="E5239" s="52" t="s">
        <v>584</v>
      </c>
      <c r="F5239" s="52" t="s">
        <v>581</v>
      </c>
      <c r="G5239" s="55" t="s">
        <v>277</v>
      </c>
      <c r="H5239" s="55">
        <v>1.6693880000000001</v>
      </c>
      <c r="I5239" s="55">
        <v>3.0618370000000001</v>
      </c>
      <c r="J5239" s="55">
        <v>3.0618370000000001</v>
      </c>
      <c r="K5239" s="55">
        <v>1.4993570000000001</v>
      </c>
      <c r="L5239" s="55">
        <v>0.35382419999999998</v>
      </c>
      <c r="M5239" s="55">
        <v>0.62844699999999998</v>
      </c>
      <c r="N5239" s="55">
        <v>0.78555870000000005</v>
      </c>
    </row>
    <row r="5240" spans="1:14" hidden="1" x14ac:dyDescent="0.35">
      <c r="A5240" s="52" t="s">
        <v>687</v>
      </c>
      <c r="B5240" s="52" t="s">
        <v>295</v>
      </c>
      <c r="C5240" s="52" t="s">
        <v>294</v>
      </c>
      <c r="D5240" s="52" t="s">
        <v>294</v>
      </c>
      <c r="E5240" s="52" t="s">
        <v>584</v>
      </c>
      <c r="F5240" s="52" t="s">
        <v>581</v>
      </c>
      <c r="G5240" s="55" t="s">
        <v>279</v>
      </c>
      <c r="H5240" s="55">
        <v>2.9749999999999999E-2</v>
      </c>
      <c r="I5240" s="55">
        <v>2.9749999999999999E-2</v>
      </c>
      <c r="J5240" s="55">
        <v>2.9749999999999999E-2</v>
      </c>
      <c r="K5240" s="55">
        <v>0.1126709</v>
      </c>
      <c r="L5240" s="55">
        <v>0.51711669999999998</v>
      </c>
      <c r="M5240" s="55">
        <v>0.67772239999999995</v>
      </c>
      <c r="N5240" s="55">
        <v>0.69187670000000001</v>
      </c>
    </row>
    <row r="5241" spans="1:14" hidden="1" x14ac:dyDescent="0.35">
      <c r="A5241" s="52" t="s">
        <v>687</v>
      </c>
      <c r="B5241" s="52" t="s">
        <v>295</v>
      </c>
      <c r="C5241" s="52" t="s">
        <v>294</v>
      </c>
      <c r="D5241" s="52" t="s">
        <v>294</v>
      </c>
      <c r="E5241" s="52" t="s">
        <v>584</v>
      </c>
      <c r="F5241" s="52" t="s">
        <v>26</v>
      </c>
      <c r="G5241" s="55" t="s">
        <v>275</v>
      </c>
      <c r="H5241" s="55">
        <v>-162.63659999999999</v>
      </c>
      <c r="I5241" s="55">
        <v>-207.08869999999999</v>
      </c>
      <c r="J5241" s="55">
        <v>-174.05799999999999</v>
      </c>
      <c r="K5241" s="55">
        <v>-195.1431</v>
      </c>
      <c r="L5241" s="55">
        <v>-101.8904</v>
      </c>
      <c r="M5241" s="55">
        <v>-220.01</v>
      </c>
      <c r="N5241" s="55">
        <v>-350.99759999999998</v>
      </c>
    </row>
    <row r="5242" spans="1:14" hidden="1" x14ac:dyDescent="0.35">
      <c r="A5242" s="52" t="s">
        <v>687</v>
      </c>
      <c r="B5242" s="52" t="s">
        <v>295</v>
      </c>
      <c r="C5242" s="52" t="s">
        <v>294</v>
      </c>
      <c r="D5242" s="52" t="s">
        <v>294</v>
      </c>
      <c r="E5242" s="52" t="s">
        <v>584</v>
      </c>
      <c r="F5242" s="52" t="s">
        <v>26</v>
      </c>
      <c r="G5242" s="55" t="s">
        <v>276</v>
      </c>
      <c r="H5242" s="55">
        <v>-18.35811</v>
      </c>
      <c r="I5242" s="55">
        <v>-28.278700000000001</v>
      </c>
      <c r="J5242" s="55">
        <v>-39.07282</v>
      </c>
      <c r="K5242" s="55">
        <v>-47.255679999999998</v>
      </c>
      <c r="L5242" s="55">
        <v>-31.569759999999999</v>
      </c>
      <c r="M5242" s="55">
        <v>-35.047449999999998</v>
      </c>
      <c r="N5242" s="55">
        <v>-45.368810000000003</v>
      </c>
    </row>
    <row r="5243" spans="1:14" hidden="1" x14ac:dyDescent="0.35">
      <c r="A5243" s="52" t="s">
        <v>687</v>
      </c>
      <c r="B5243" s="52" t="s">
        <v>295</v>
      </c>
      <c r="C5243" s="52" t="s">
        <v>294</v>
      </c>
      <c r="D5243" s="52" t="s">
        <v>294</v>
      </c>
      <c r="E5243" s="52" t="s">
        <v>584</v>
      </c>
      <c r="F5243" s="52" t="s">
        <v>26</v>
      </c>
      <c r="G5243" s="55" t="s">
        <v>277</v>
      </c>
      <c r="H5243" s="55">
        <v>179.98259999999999</v>
      </c>
      <c r="I5243" s="55">
        <v>234.3553</v>
      </c>
      <c r="J5243" s="55">
        <v>212.14230000000001</v>
      </c>
      <c r="K5243" s="55">
        <v>235.9195</v>
      </c>
      <c r="L5243" s="55">
        <v>194.75649999999999</v>
      </c>
      <c r="M5243" s="55">
        <v>346.38409999999999</v>
      </c>
      <c r="N5243" s="55">
        <v>489.95240000000001</v>
      </c>
    </row>
    <row r="5244" spans="1:14" hidden="1" x14ac:dyDescent="0.35">
      <c r="A5244" s="52" t="s">
        <v>687</v>
      </c>
      <c r="B5244" s="52" t="s">
        <v>295</v>
      </c>
      <c r="C5244" s="52" t="s">
        <v>294</v>
      </c>
      <c r="D5244" s="52" t="s">
        <v>294</v>
      </c>
      <c r="E5244" s="52" t="s">
        <v>584</v>
      </c>
      <c r="F5244" s="52" t="s">
        <v>26</v>
      </c>
      <c r="G5244" s="55" t="s">
        <v>278</v>
      </c>
      <c r="H5244" s="55">
        <v>0.116731</v>
      </c>
      <c r="I5244" s="55">
        <v>0.116731</v>
      </c>
      <c r="J5244" s="55">
        <v>9.6491289999999993E-2</v>
      </c>
      <c r="K5244" s="55">
        <v>9.6491289999999993E-2</v>
      </c>
      <c r="L5244" s="55">
        <v>5.2162510000000002E-2</v>
      </c>
      <c r="M5244" s="55">
        <v>5.2162510000000002E-2</v>
      </c>
      <c r="N5244" s="55">
        <v>5.2162510000000002E-2</v>
      </c>
    </row>
    <row r="5245" spans="1:14" hidden="1" x14ac:dyDescent="0.35">
      <c r="A5245" s="52" t="s">
        <v>687</v>
      </c>
      <c r="B5245" s="52" t="s">
        <v>295</v>
      </c>
      <c r="C5245" s="52" t="s">
        <v>294</v>
      </c>
      <c r="D5245" s="52" t="s">
        <v>294</v>
      </c>
      <c r="E5245" s="52" t="s">
        <v>584</v>
      </c>
      <c r="F5245" s="52" t="s">
        <v>26</v>
      </c>
      <c r="G5245" s="55" t="s">
        <v>279</v>
      </c>
      <c r="H5245" s="55">
        <v>0.89537389999999994</v>
      </c>
      <c r="I5245" s="55">
        <v>0.89537389999999994</v>
      </c>
      <c r="J5245" s="55">
        <v>0.89537389999999994</v>
      </c>
      <c r="K5245" s="55">
        <v>6.9596920000000004</v>
      </c>
      <c r="L5245" s="55">
        <v>32.697040000000001</v>
      </c>
      <c r="M5245" s="55">
        <v>43.940779999999997</v>
      </c>
      <c r="N5245" s="55">
        <v>44.90784</v>
      </c>
    </row>
    <row r="5246" spans="1:14" hidden="1" x14ac:dyDescent="0.35">
      <c r="A5246" s="52" t="s">
        <v>687</v>
      </c>
      <c r="B5246" s="52" t="s">
        <v>192</v>
      </c>
      <c r="C5246" s="52" t="s">
        <v>44</v>
      </c>
      <c r="D5246" s="52" t="s">
        <v>44</v>
      </c>
      <c r="E5246" s="52" t="s">
        <v>584</v>
      </c>
      <c r="F5246" s="52" t="s">
        <v>581</v>
      </c>
      <c r="G5246" s="55" t="s">
        <v>275</v>
      </c>
      <c r="H5246" s="55">
        <v>11.736319999999999</v>
      </c>
      <c r="I5246" s="55">
        <v>4.562684</v>
      </c>
      <c r="J5246" s="55">
        <v>3.7434409999999998</v>
      </c>
      <c r="K5246" s="55">
        <v>2.6715089999999999</v>
      </c>
      <c r="L5246" s="55">
        <v>2.0695920000000001</v>
      </c>
      <c r="M5246" s="55">
        <v>1.6201760000000001</v>
      </c>
      <c r="N5246" s="55">
        <v>1.20943</v>
      </c>
    </row>
    <row r="5247" spans="1:14" hidden="1" x14ac:dyDescent="0.35">
      <c r="A5247" s="52" t="s">
        <v>687</v>
      </c>
      <c r="B5247" s="52" t="s">
        <v>192</v>
      </c>
      <c r="C5247" s="52" t="s">
        <v>44</v>
      </c>
      <c r="D5247" s="52" t="s">
        <v>44</v>
      </c>
      <c r="E5247" s="52" t="s">
        <v>584</v>
      </c>
      <c r="F5247" s="52" t="s">
        <v>581</v>
      </c>
      <c r="G5247" s="55" t="s">
        <v>276</v>
      </c>
      <c r="H5247" s="55">
        <v>3.3370410000000001</v>
      </c>
      <c r="I5247" s="55">
        <v>1.462555</v>
      </c>
      <c r="J5247" s="55">
        <v>1.252977</v>
      </c>
      <c r="K5247" s="55">
        <v>1.088306</v>
      </c>
      <c r="L5247" s="55">
        <v>0.95267469999999999</v>
      </c>
      <c r="M5247" s="55">
        <v>0.23612610000000001</v>
      </c>
      <c r="N5247" s="55">
        <v>0.74500310000000003</v>
      </c>
    </row>
    <row r="5248" spans="1:14" hidden="1" x14ac:dyDescent="0.35">
      <c r="A5248" s="52" t="s">
        <v>687</v>
      </c>
      <c r="B5248" s="52" t="s">
        <v>192</v>
      </c>
      <c r="C5248" s="52" t="s">
        <v>44</v>
      </c>
      <c r="D5248" s="52" t="s">
        <v>44</v>
      </c>
      <c r="E5248" s="52" t="s">
        <v>584</v>
      </c>
      <c r="F5248" s="52" t="s">
        <v>581</v>
      </c>
      <c r="G5248" s="55" t="s">
        <v>277</v>
      </c>
      <c r="H5248" s="55">
        <v>0.4346488</v>
      </c>
      <c r="I5248" s="55">
        <v>0</v>
      </c>
      <c r="J5248" s="55">
        <v>0</v>
      </c>
      <c r="K5248" s="55">
        <v>0.3359762</v>
      </c>
      <c r="L5248" s="55">
        <v>0.40564879999999998</v>
      </c>
      <c r="M5248" s="55">
        <v>0.41578949999999998</v>
      </c>
      <c r="N5248" s="55">
        <v>0.43717800000000001</v>
      </c>
    </row>
    <row r="5249" spans="1:14" hidden="1" x14ac:dyDescent="0.35">
      <c r="A5249" s="52" t="s">
        <v>687</v>
      </c>
      <c r="B5249" s="52" t="s">
        <v>192</v>
      </c>
      <c r="C5249" s="52" t="s">
        <v>44</v>
      </c>
      <c r="D5249" s="52" t="s">
        <v>44</v>
      </c>
      <c r="E5249" s="52" t="s">
        <v>584</v>
      </c>
      <c r="F5249" s="52" t="s">
        <v>581</v>
      </c>
      <c r="G5249" s="55" t="s">
        <v>278</v>
      </c>
      <c r="H5249" s="55">
        <v>3.8071799999999999E-3</v>
      </c>
      <c r="I5249" s="55">
        <v>3.8071799999999999E-3</v>
      </c>
      <c r="J5249" s="55">
        <v>3.8071799999999999E-3</v>
      </c>
      <c r="K5249" s="55">
        <v>3.8071799999999999E-3</v>
      </c>
      <c r="L5249" s="55">
        <v>3.8071799999999999E-3</v>
      </c>
      <c r="M5249" s="55">
        <v>0.60975400000000002</v>
      </c>
      <c r="N5249" s="55">
        <v>3.8071799999999999E-3</v>
      </c>
    </row>
    <row r="5250" spans="1:14" hidden="1" x14ac:dyDescent="0.35">
      <c r="A5250" s="52" t="s">
        <v>687</v>
      </c>
      <c r="B5250" s="52" t="s">
        <v>192</v>
      </c>
      <c r="C5250" s="52" t="s">
        <v>44</v>
      </c>
      <c r="D5250" s="52" t="s">
        <v>44</v>
      </c>
      <c r="E5250" s="52" t="s">
        <v>584</v>
      </c>
      <c r="F5250" s="52" t="s">
        <v>581</v>
      </c>
      <c r="G5250" s="55" t="s">
        <v>279</v>
      </c>
      <c r="H5250" s="55">
        <v>1.7709360000000001</v>
      </c>
      <c r="I5250" s="55">
        <v>1.5456220000000001</v>
      </c>
      <c r="J5250" s="55">
        <v>1.5087390000000001</v>
      </c>
      <c r="K5250" s="55">
        <v>1.5565260000000001</v>
      </c>
      <c r="L5250" s="55">
        <v>1.521957</v>
      </c>
      <c r="M5250" s="55">
        <v>1.4990209999999999</v>
      </c>
      <c r="N5250" s="55">
        <v>1.482718</v>
      </c>
    </row>
    <row r="5251" spans="1:14" hidden="1" x14ac:dyDescent="0.35">
      <c r="A5251" s="52" t="s">
        <v>687</v>
      </c>
      <c r="B5251" s="52" t="s">
        <v>282</v>
      </c>
      <c r="C5251" s="52" t="s">
        <v>365</v>
      </c>
      <c r="D5251" s="52" t="s">
        <v>365</v>
      </c>
      <c r="E5251" s="52" t="s">
        <v>584</v>
      </c>
      <c r="F5251" s="52" t="s">
        <v>581</v>
      </c>
      <c r="G5251" s="55" t="s">
        <v>275</v>
      </c>
      <c r="H5251" s="55"/>
      <c r="I5251" s="55"/>
      <c r="J5251" s="55"/>
      <c r="K5251" s="55">
        <v>0</v>
      </c>
      <c r="L5251" s="55">
        <v>0</v>
      </c>
      <c r="M5251" s="55">
        <v>0</v>
      </c>
      <c r="N5251" s="55">
        <v>0</v>
      </c>
    </row>
    <row r="5252" spans="1:14" hidden="1" x14ac:dyDescent="0.35">
      <c r="A5252" s="52" t="s">
        <v>687</v>
      </c>
      <c r="B5252" s="52" t="s">
        <v>282</v>
      </c>
      <c r="C5252" s="52" t="s">
        <v>365</v>
      </c>
      <c r="D5252" s="52" t="s">
        <v>365</v>
      </c>
      <c r="E5252" s="52" t="s">
        <v>584</v>
      </c>
      <c r="F5252" s="52" t="s">
        <v>581</v>
      </c>
      <c r="G5252" s="55" t="s">
        <v>276</v>
      </c>
      <c r="H5252" s="55"/>
      <c r="I5252" s="55"/>
      <c r="J5252" s="55"/>
      <c r="K5252" s="55">
        <v>0</v>
      </c>
      <c r="L5252" s="55">
        <v>-2.9312000000000001E-3</v>
      </c>
      <c r="M5252" s="55">
        <v>-2.9320000000000001E-3</v>
      </c>
      <c r="N5252" s="55">
        <v>-2.9328000000000002E-3</v>
      </c>
    </row>
    <row r="5253" spans="1:14" hidden="1" x14ac:dyDescent="0.35">
      <c r="A5253" s="52" t="s">
        <v>687</v>
      </c>
      <c r="B5253" s="52" t="s">
        <v>282</v>
      </c>
      <c r="C5253" s="52" t="s">
        <v>365</v>
      </c>
      <c r="D5253" s="52" t="s">
        <v>365</v>
      </c>
      <c r="E5253" s="52" t="s">
        <v>584</v>
      </c>
      <c r="F5253" s="52" t="s">
        <v>581</v>
      </c>
      <c r="G5253" s="55" t="s">
        <v>277</v>
      </c>
      <c r="H5253" s="55"/>
      <c r="I5253" s="55"/>
      <c r="J5253" s="55"/>
      <c r="K5253" s="55"/>
      <c r="L5253" s="55"/>
      <c r="M5253" s="55">
        <v>0</v>
      </c>
      <c r="N5253" s="55"/>
    </row>
    <row r="5254" spans="1:14" hidden="1" x14ac:dyDescent="0.35">
      <c r="A5254" s="52" t="s">
        <v>687</v>
      </c>
      <c r="B5254" s="52" t="s">
        <v>282</v>
      </c>
      <c r="C5254" s="52" t="s">
        <v>365</v>
      </c>
      <c r="D5254" s="52" t="s">
        <v>365</v>
      </c>
      <c r="E5254" s="52" t="s">
        <v>584</v>
      </c>
      <c r="F5254" s="52" t="s">
        <v>581</v>
      </c>
      <c r="G5254" s="55" t="s">
        <v>279</v>
      </c>
      <c r="H5254" s="55"/>
      <c r="I5254" s="55"/>
      <c r="J5254" s="55"/>
      <c r="K5254" s="55">
        <v>0</v>
      </c>
      <c r="L5254" s="55">
        <v>2.9328000000000002E-3</v>
      </c>
      <c r="M5254" s="55">
        <v>2.9312000000000001E-3</v>
      </c>
      <c r="N5254" s="55">
        <v>2.9328000000000002E-3</v>
      </c>
    </row>
    <row r="5255" spans="1:14" hidden="1" x14ac:dyDescent="0.35">
      <c r="A5255" s="52" t="s">
        <v>687</v>
      </c>
      <c r="B5255" s="52" t="s">
        <v>282</v>
      </c>
      <c r="C5255" s="52" t="s">
        <v>365</v>
      </c>
      <c r="D5255" s="52" t="s">
        <v>365</v>
      </c>
      <c r="E5255" s="52" t="s">
        <v>584</v>
      </c>
      <c r="F5255" s="52" t="s">
        <v>26</v>
      </c>
      <c r="G5255" s="55" t="s">
        <v>275</v>
      </c>
      <c r="H5255" s="55">
        <v>-0.23926239999999999</v>
      </c>
      <c r="I5255" s="55">
        <v>-0.23926239999999999</v>
      </c>
      <c r="J5255" s="55">
        <v>0</v>
      </c>
      <c r="K5255" s="55">
        <v>0</v>
      </c>
      <c r="L5255" s="55">
        <v>0</v>
      </c>
      <c r="M5255" s="55">
        <v>0</v>
      </c>
      <c r="N5255" s="55">
        <v>0</v>
      </c>
    </row>
    <row r="5256" spans="1:14" hidden="1" x14ac:dyDescent="0.35">
      <c r="A5256" s="52" t="s">
        <v>687</v>
      </c>
      <c r="B5256" s="52" t="s">
        <v>282</v>
      </c>
      <c r="C5256" s="52" t="s">
        <v>365</v>
      </c>
      <c r="D5256" s="52" t="s">
        <v>365</v>
      </c>
      <c r="E5256" s="52" t="s">
        <v>584</v>
      </c>
      <c r="F5256" s="52" t="s">
        <v>26</v>
      </c>
      <c r="G5256" s="55" t="s">
        <v>276</v>
      </c>
      <c r="H5256" s="55"/>
      <c r="I5256" s="55"/>
      <c r="J5256" s="55">
        <v>-2.9965890000000002</v>
      </c>
      <c r="K5256" s="55">
        <v>-0.30526239999999999</v>
      </c>
      <c r="L5256" s="55">
        <v>-0.25114239999999999</v>
      </c>
      <c r="M5256" s="55">
        <v>-4.23872E-2</v>
      </c>
      <c r="N5256" s="55">
        <v>-4.23872E-2</v>
      </c>
    </row>
    <row r="5257" spans="1:14" hidden="1" x14ac:dyDescent="0.35">
      <c r="A5257" s="52" t="s">
        <v>687</v>
      </c>
      <c r="B5257" s="52" t="s">
        <v>282</v>
      </c>
      <c r="C5257" s="52" t="s">
        <v>365</v>
      </c>
      <c r="D5257" s="52" t="s">
        <v>365</v>
      </c>
      <c r="E5257" s="52" t="s">
        <v>584</v>
      </c>
      <c r="F5257" s="52" t="s">
        <v>26</v>
      </c>
      <c r="G5257" s="55" t="s">
        <v>277</v>
      </c>
      <c r="H5257" s="55"/>
      <c r="I5257" s="55">
        <v>0</v>
      </c>
      <c r="J5257" s="55">
        <v>6.0000000000000001E-3</v>
      </c>
      <c r="K5257" s="55">
        <v>6.6000000000000003E-2</v>
      </c>
      <c r="L5257" s="55">
        <v>0</v>
      </c>
      <c r="M5257" s="55"/>
      <c r="N5257" s="55"/>
    </row>
    <row r="5258" spans="1:14" hidden="1" x14ac:dyDescent="0.35">
      <c r="A5258" s="52" t="s">
        <v>687</v>
      </c>
      <c r="B5258" s="52" t="s">
        <v>282</v>
      </c>
      <c r="C5258" s="52" t="s">
        <v>365</v>
      </c>
      <c r="D5258" s="52" t="s">
        <v>365</v>
      </c>
      <c r="E5258" s="52" t="s">
        <v>584</v>
      </c>
      <c r="F5258" s="52" t="s">
        <v>26</v>
      </c>
      <c r="G5258" s="55" t="s">
        <v>278</v>
      </c>
      <c r="H5258" s="55">
        <v>0.23926239999999999</v>
      </c>
      <c r="I5258" s="55">
        <v>0.23926239999999999</v>
      </c>
      <c r="J5258" s="55">
        <v>2.9905900000000001</v>
      </c>
      <c r="K5258" s="55">
        <v>0.23926239999999999</v>
      </c>
      <c r="L5258" s="55">
        <v>0.23926239999999999</v>
      </c>
      <c r="M5258" s="55">
        <v>3.0507200000000002E-2</v>
      </c>
      <c r="N5258" s="55">
        <v>3.0507200000000002E-2</v>
      </c>
    </row>
    <row r="5259" spans="1:14" hidden="1" x14ac:dyDescent="0.35">
      <c r="A5259" s="52" t="s">
        <v>687</v>
      </c>
      <c r="B5259" s="52" t="s">
        <v>282</v>
      </c>
      <c r="C5259" s="52" t="s">
        <v>365</v>
      </c>
      <c r="D5259" s="52" t="s">
        <v>365</v>
      </c>
      <c r="E5259" s="52" t="s">
        <v>584</v>
      </c>
      <c r="F5259" s="52" t="s">
        <v>26</v>
      </c>
      <c r="G5259" s="55" t="s">
        <v>279</v>
      </c>
      <c r="H5259" s="55"/>
      <c r="I5259" s="55"/>
      <c r="J5259" s="55"/>
      <c r="K5259" s="55">
        <v>0</v>
      </c>
      <c r="L5259" s="55">
        <v>1.188E-2</v>
      </c>
      <c r="M5259" s="55">
        <v>1.188E-2</v>
      </c>
      <c r="N5259" s="55">
        <v>1.188E-2</v>
      </c>
    </row>
    <row r="5260" spans="1:14" hidden="1" x14ac:dyDescent="0.35">
      <c r="A5260" s="52" t="s">
        <v>687</v>
      </c>
      <c r="B5260" s="52" t="s">
        <v>282</v>
      </c>
      <c r="C5260" s="52" t="s">
        <v>281</v>
      </c>
      <c r="D5260" s="52" t="s">
        <v>281</v>
      </c>
      <c r="E5260" s="52" t="s">
        <v>584</v>
      </c>
      <c r="F5260" s="52" t="s">
        <v>581</v>
      </c>
      <c r="G5260" s="55" t="s">
        <v>275</v>
      </c>
      <c r="H5260" s="55"/>
      <c r="I5260" s="55"/>
      <c r="J5260" s="55"/>
      <c r="K5260" s="55">
        <v>0</v>
      </c>
      <c r="L5260" s="55">
        <v>0</v>
      </c>
      <c r="M5260" s="55">
        <v>0</v>
      </c>
      <c r="N5260" s="55">
        <v>0</v>
      </c>
    </row>
    <row r="5261" spans="1:14" hidden="1" x14ac:dyDescent="0.35">
      <c r="A5261" s="52" t="s">
        <v>687</v>
      </c>
      <c r="B5261" s="52" t="s">
        <v>282</v>
      </c>
      <c r="C5261" s="52" t="s">
        <v>281</v>
      </c>
      <c r="D5261" s="52" t="s">
        <v>281</v>
      </c>
      <c r="E5261" s="52" t="s">
        <v>584</v>
      </c>
      <c r="F5261" s="52" t="s">
        <v>581</v>
      </c>
      <c r="G5261" s="55" t="s">
        <v>276</v>
      </c>
      <c r="H5261" s="55"/>
      <c r="I5261" s="55"/>
      <c r="J5261" s="55"/>
      <c r="K5261" s="55">
        <v>0</v>
      </c>
      <c r="L5261" s="55">
        <v>-1.4084E-3</v>
      </c>
      <c r="M5261" s="55">
        <v>-1.4084E-3</v>
      </c>
      <c r="N5261" s="55">
        <v>-1.4084E-3</v>
      </c>
    </row>
    <row r="5262" spans="1:14" hidden="1" x14ac:dyDescent="0.35">
      <c r="A5262" s="52" t="s">
        <v>687</v>
      </c>
      <c r="B5262" s="52" t="s">
        <v>282</v>
      </c>
      <c r="C5262" s="52" t="s">
        <v>281</v>
      </c>
      <c r="D5262" s="52" t="s">
        <v>281</v>
      </c>
      <c r="E5262" s="52" t="s">
        <v>584</v>
      </c>
      <c r="F5262" s="52" t="s">
        <v>581</v>
      </c>
      <c r="G5262" s="55" t="s">
        <v>277</v>
      </c>
      <c r="H5262" s="55"/>
      <c r="I5262" s="55"/>
      <c r="J5262" s="55"/>
      <c r="K5262" s="55"/>
      <c r="L5262" s="55"/>
      <c r="M5262" s="55">
        <v>0</v>
      </c>
      <c r="N5262" s="55"/>
    </row>
    <row r="5263" spans="1:14" hidden="1" x14ac:dyDescent="0.35">
      <c r="A5263" s="52" t="s">
        <v>687</v>
      </c>
      <c r="B5263" s="52" t="s">
        <v>282</v>
      </c>
      <c r="C5263" s="52" t="s">
        <v>281</v>
      </c>
      <c r="D5263" s="52" t="s">
        <v>281</v>
      </c>
      <c r="E5263" s="52" t="s">
        <v>584</v>
      </c>
      <c r="F5263" s="52" t="s">
        <v>581</v>
      </c>
      <c r="G5263" s="55" t="s">
        <v>279</v>
      </c>
      <c r="H5263" s="55"/>
      <c r="I5263" s="55"/>
      <c r="J5263" s="55"/>
      <c r="K5263" s="55">
        <v>0</v>
      </c>
      <c r="L5263" s="55">
        <v>1.4084E-3</v>
      </c>
      <c r="M5263" s="55">
        <v>1.4084E-3</v>
      </c>
      <c r="N5263" s="55">
        <v>1.4084E-3</v>
      </c>
    </row>
    <row r="5264" spans="1:14" hidden="1" x14ac:dyDescent="0.35">
      <c r="A5264" s="52" t="s">
        <v>687</v>
      </c>
      <c r="B5264" s="52" t="s">
        <v>282</v>
      </c>
      <c r="C5264" s="52" t="s">
        <v>281</v>
      </c>
      <c r="D5264" s="52" t="s">
        <v>281</v>
      </c>
      <c r="E5264" s="52" t="s">
        <v>584</v>
      </c>
      <c r="F5264" s="52" t="s">
        <v>26</v>
      </c>
      <c r="G5264" s="55" t="s">
        <v>275</v>
      </c>
      <c r="H5264" s="55">
        <v>-0.12303600000000001</v>
      </c>
      <c r="I5264" s="55">
        <v>-0.12303600000000001</v>
      </c>
      <c r="J5264" s="55">
        <v>0</v>
      </c>
      <c r="K5264" s="55">
        <v>0</v>
      </c>
      <c r="L5264" s="55">
        <v>0</v>
      </c>
      <c r="M5264" s="55">
        <v>0</v>
      </c>
      <c r="N5264" s="55">
        <v>0</v>
      </c>
    </row>
    <row r="5265" spans="1:14" hidden="1" x14ac:dyDescent="0.35">
      <c r="A5265" s="52" t="s">
        <v>687</v>
      </c>
      <c r="B5265" s="52" t="s">
        <v>282</v>
      </c>
      <c r="C5265" s="52" t="s">
        <v>281</v>
      </c>
      <c r="D5265" s="52" t="s">
        <v>281</v>
      </c>
      <c r="E5265" s="52" t="s">
        <v>584</v>
      </c>
      <c r="F5265" s="52" t="s">
        <v>26</v>
      </c>
      <c r="G5265" s="55" t="s">
        <v>276</v>
      </c>
      <c r="H5265" s="55"/>
      <c r="I5265" s="55"/>
      <c r="J5265" s="55">
        <v>-1.148317</v>
      </c>
      <c r="K5265" s="55">
        <v>-0.197436</v>
      </c>
      <c r="L5265" s="55">
        <v>-0.12874240000000001</v>
      </c>
      <c r="M5265" s="55">
        <v>-2.1224400000000001E-2</v>
      </c>
      <c r="N5265" s="55">
        <v>-2.1224400000000001E-2</v>
      </c>
    </row>
    <row r="5266" spans="1:14" hidden="1" x14ac:dyDescent="0.35">
      <c r="A5266" s="52" t="s">
        <v>687</v>
      </c>
      <c r="B5266" s="52" t="s">
        <v>282</v>
      </c>
      <c r="C5266" s="52" t="s">
        <v>281</v>
      </c>
      <c r="D5266" s="52" t="s">
        <v>281</v>
      </c>
      <c r="E5266" s="52" t="s">
        <v>584</v>
      </c>
      <c r="F5266" s="52" t="s">
        <v>26</v>
      </c>
      <c r="G5266" s="55" t="s">
        <v>277</v>
      </c>
      <c r="H5266" s="55"/>
      <c r="I5266" s="55">
        <v>0</v>
      </c>
      <c r="J5266" s="55">
        <v>2.3999999999999998E-3</v>
      </c>
      <c r="K5266" s="55">
        <v>7.4400010000000003E-2</v>
      </c>
      <c r="L5266" s="55">
        <v>0</v>
      </c>
      <c r="M5266" s="55">
        <v>0</v>
      </c>
      <c r="N5266" s="55"/>
    </row>
    <row r="5267" spans="1:14" hidden="1" x14ac:dyDescent="0.35">
      <c r="A5267" s="52" t="s">
        <v>687</v>
      </c>
      <c r="B5267" s="52" t="s">
        <v>282</v>
      </c>
      <c r="C5267" s="52" t="s">
        <v>281</v>
      </c>
      <c r="D5267" s="52" t="s">
        <v>281</v>
      </c>
      <c r="E5267" s="52" t="s">
        <v>584</v>
      </c>
      <c r="F5267" s="52" t="s">
        <v>26</v>
      </c>
      <c r="G5267" s="55" t="s">
        <v>278</v>
      </c>
      <c r="H5267" s="55">
        <v>0.12303600000000001</v>
      </c>
      <c r="I5267" s="55">
        <v>0.12303600000000001</v>
      </c>
      <c r="J5267" s="55">
        <v>1.1459170000000001</v>
      </c>
      <c r="K5267" s="55">
        <v>0.12303600000000001</v>
      </c>
      <c r="L5267" s="55">
        <v>0.12303600000000001</v>
      </c>
      <c r="M5267" s="55">
        <v>1.5518000000000001E-2</v>
      </c>
      <c r="N5267" s="55">
        <v>1.5518000000000001E-2</v>
      </c>
    </row>
    <row r="5268" spans="1:14" hidden="1" x14ac:dyDescent="0.35">
      <c r="A5268" s="52" t="s">
        <v>687</v>
      </c>
      <c r="B5268" s="52" t="s">
        <v>282</v>
      </c>
      <c r="C5268" s="52" t="s">
        <v>281</v>
      </c>
      <c r="D5268" s="52" t="s">
        <v>281</v>
      </c>
      <c r="E5268" s="52" t="s">
        <v>584</v>
      </c>
      <c r="F5268" s="52" t="s">
        <v>26</v>
      </c>
      <c r="G5268" s="55" t="s">
        <v>279</v>
      </c>
      <c r="H5268" s="55"/>
      <c r="I5268" s="55"/>
      <c r="J5268" s="55"/>
      <c r="K5268" s="55">
        <v>0</v>
      </c>
      <c r="L5268" s="55">
        <v>5.7064000000000004E-3</v>
      </c>
      <c r="M5268" s="55">
        <v>5.7064000000000004E-3</v>
      </c>
      <c r="N5268" s="55">
        <v>5.7064000000000004E-3</v>
      </c>
    </row>
    <row r="5269" spans="1:14" hidden="1" x14ac:dyDescent="0.35">
      <c r="A5269" s="52" t="s">
        <v>687</v>
      </c>
      <c r="B5269" s="52" t="s">
        <v>337</v>
      </c>
      <c r="C5269" s="52" t="s">
        <v>229</v>
      </c>
      <c r="D5269" s="52" t="s">
        <v>229</v>
      </c>
      <c r="E5269" s="52" t="s">
        <v>584</v>
      </c>
      <c r="F5269" s="52" t="s">
        <v>581</v>
      </c>
      <c r="G5269" s="55" t="s">
        <v>275</v>
      </c>
      <c r="H5269" s="55">
        <v>-0.30780659999999999</v>
      </c>
      <c r="I5269" s="55">
        <v>-0.30780659999999999</v>
      </c>
      <c r="J5269" s="55">
        <v>0</v>
      </c>
      <c r="K5269" s="55">
        <v>0</v>
      </c>
      <c r="L5269" s="55">
        <v>0</v>
      </c>
      <c r="M5269" s="55">
        <v>0</v>
      </c>
      <c r="N5269" s="55">
        <v>0</v>
      </c>
    </row>
    <row r="5270" spans="1:14" hidden="1" x14ac:dyDescent="0.35">
      <c r="A5270" s="52" t="s">
        <v>687</v>
      </c>
      <c r="B5270" s="52" t="s">
        <v>337</v>
      </c>
      <c r="C5270" s="52" t="s">
        <v>229</v>
      </c>
      <c r="D5270" s="52" t="s">
        <v>229</v>
      </c>
      <c r="E5270" s="52" t="s">
        <v>584</v>
      </c>
      <c r="F5270" s="52" t="s">
        <v>581</v>
      </c>
      <c r="G5270" s="55" t="s">
        <v>276</v>
      </c>
      <c r="H5270" s="55"/>
      <c r="I5270" s="55"/>
      <c r="J5270" s="55">
        <v>-30.372669999999999</v>
      </c>
      <c r="K5270" s="55">
        <v>-8.9809870000000007</v>
      </c>
      <c r="L5270" s="55">
        <v>-1.912954</v>
      </c>
      <c r="M5270" s="55">
        <v>-0.23072899999999999</v>
      </c>
      <c r="N5270" s="55">
        <v>-0.2307294</v>
      </c>
    </row>
    <row r="5271" spans="1:14" hidden="1" x14ac:dyDescent="0.35">
      <c r="A5271" s="52" t="s">
        <v>687</v>
      </c>
      <c r="B5271" s="52" t="s">
        <v>337</v>
      </c>
      <c r="C5271" s="52" t="s">
        <v>229</v>
      </c>
      <c r="D5271" s="52" t="s">
        <v>229</v>
      </c>
      <c r="E5271" s="52" t="s">
        <v>584</v>
      </c>
      <c r="F5271" s="52" t="s">
        <v>581</v>
      </c>
      <c r="G5271" s="55" t="s">
        <v>277</v>
      </c>
      <c r="H5271" s="55"/>
      <c r="I5271" s="55">
        <v>0</v>
      </c>
      <c r="J5271" s="55">
        <v>0.67500000000000004</v>
      </c>
      <c r="K5271" s="55">
        <v>0</v>
      </c>
      <c r="L5271" s="55">
        <v>0</v>
      </c>
      <c r="M5271" s="55">
        <v>3.125E-2</v>
      </c>
      <c r="N5271" s="55">
        <v>3.125E-2</v>
      </c>
    </row>
    <row r="5272" spans="1:14" hidden="1" x14ac:dyDescent="0.35">
      <c r="A5272" s="52" t="s">
        <v>687</v>
      </c>
      <c r="B5272" s="52" t="s">
        <v>337</v>
      </c>
      <c r="C5272" s="52" t="s">
        <v>229</v>
      </c>
      <c r="D5272" s="52" t="s">
        <v>229</v>
      </c>
      <c r="E5272" s="52" t="s">
        <v>584</v>
      </c>
      <c r="F5272" s="52" t="s">
        <v>581</v>
      </c>
      <c r="G5272" s="55" t="s">
        <v>278</v>
      </c>
      <c r="H5272" s="55">
        <v>0.30780659999999999</v>
      </c>
      <c r="I5272" s="55">
        <v>0.30780659999999999</v>
      </c>
      <c r="J5272" s="55">
        <v>29.697669999999999</v>
      </c>
      <c r="K5272" s="55">
        <v>8.8811289999999996</v>
      </c>
      <c r="L5272" s="55">
        <v>1.813097</v>
      </c>
      <c r="M5272" s="55">
        <v>9.9622589999999997E-2</v>
      </c>
      <c r="N5272" s="55">
        <v>9.9622589999999997E-2</v>
      </c>
    </row>
    <row r="5273" spans="1:14" hidden="1" x14ac:dyDescent="0.35">
      <c r="A5273" s="52" t="s">
        <v>687</v>
      </c>
      <c r="B5273" s="52" t="s">
        <v>337</v>
      </c>
      <c r="C5273" s="52" t="s">
        <v>229</v>
      </c>
      <c r="D5273" s="52" t="s">
        <v>229</v>
      </c>
      <c r="E5273" s="52" t="s">
        <v>584</v>
      </c>
      <c r="F5273" s="52" t="s">
        <v>581</v>
      </c>
      <c r="G5273" s="55" t="s">
        <v>279</v>
      </c>
      <c r="H5273" s="55"/>
      <c r="I5273" s="55"/>
      <c r="J5273" s="55">
        <v>0</v>
      </c>
      <c r="K5273" s="55">
        <v>9.9856799999999996E-2</v>
      </c>
      <c r="L5273" s="55">
        <v>9.9857260000000003E-2</v>
      </c>
      <c r="M5273" s="55">
        <v>9.9856790000000001E-2</v>
      </c>
      <c r="N5273" s="55">
        <v>9.9856799999999996E-2</v>
      </c>
    </row>
    <row r="5274" spans="1:14" hidden="1" x14ac:dyDescent="0.35">
      <c r="A5274" s="52" t="s">
        <v>687</v>
      </c>
      <c r="B5274" s="52" t="s">
        <v>337</v>
      </c>
      <c r="C5274" s="52" t="s">
        <v>229</v>
      </c>
      <c r="D5274" s="52" t="s">
        <v>229</v>
      </c>
      <c r="E5274" s="52" t="s">
        <v>584</v>
      </c>
      <c r="F5274" s="52" t="s">
        <v>26</v>
      </c>
      <c r="G5274" s="55" t="s">
        <v>275</v>
      </c>
      <c r="H5274" s="55"/>
      <c r="I5274" s="55"/>
      <c r="J5274" s="55">
        <v>0</v>
      </c>
      <c r="K5274" s="55">
        <v>0</v>
      </c>
      <c r="L5274" s="55">
        <v>0</v>
      </c>
      <c r="M5274" s="55">
        <v>0</v>
      </c>
      <c r="N5274" s="55">
        <v>0</v>
      </c>
    </row>
    <row r="5275" spans="1:14" hidden="1" x14ac:dyDescent="0.35">
      <c r="A5275" s="52" t="s">
        <v>687</v>
      </c>
      <c r="B5275" s="52" t="s">
        <v>337</v>
      </c>
      <c r="C5275" s="52" t="s">
        <v>229</v>
      </c>
      <c r="D5275" s="52" t="s">
        <v>229</v>
      </c>
      <c r="E5275" s="52" t="s">
        <v>584</v>
      </c>
      <c r="F5275" s="52" t="s">
        <v>26</v>
      </c>
      <c r="G5275" s="55" t="s">
        <v>276</v>
      </c>
      <c r="H5275" s="55"/>
      <c r="I5275" s="55"/>
      <c r="J5275" s="55">
        <v>0</v>
      </c>
      <c r="K5275" s="55">
        <v>-3.7451249999999998E-2</v>
      </c>
      <c r="L5275" s="55">
        <v>-3.7451249999999998E-2</v>
      </c>
      <c r="M5275" s="55">
        <v>-3.7451249999999998E-2</v>
      </c>
      <c r="N5275" s="55">
        <v>-3.7451249999999998E-2</v>
      </c>
    </row>
    <row r="5276" spans="1:14" hidden="1" x14ac:dyDescent="0.35">
      <c r="A5276" s="52" t="s">
        <v>687</v>
      </c>
      <c r="B5276" s="52" t="s">
        <v>337</v>
      </c>
      <c r="C5276" s="52" t="s">
        <v>229</v>
      </c>
      <c r="D5276" s="52" t="s">
        <v>229</v>
      </c>
      <c r="E5276" s="52" t="s">
        <v>584</v>
      </c>
      <c r="F5276" s="52" t="s">
        <v>26</v>
      </c>
      <c r="G5276" s="55" t="s">
        <v>279</v>
      </c>
      <c r="H5276" s="55"/>
      <c r="I5276" s="55"/>
      <c r="J5276" s="55">
        <v>0</v>
      </c>
      <c r="K5276" s="55">
        <v>3.7451249999999998E-2</v>
      </c>
      <c r="L5276" s="55">
        <v>3.7451249999999998E-2</v>
      </c>
      <c r="M5276" s="55">
        <v>3.7451249999999998E-2</v>
      </c>
      <c r="N5276" s="55">
        <v>3.7451249999999998E-2</v>
      </c>
    </row>
    <row r="5277" spans="1:14" hidden="1" x14ac:dyDescent="0.35">
      <c r="A5277" s="52" t="s">
        <v>678</v>
      </c>
      <c r="B5277" s="52" t="s">
        <v>37</v>
      </c>
      <c r="C5277" s="52" t="s">
        <v>218</v>
      </c>
      <c r="D5277" s="52" t="s">
        <v>218</v>
      </c>
      <c r="E5277" s="52" t="s">
        <v>593</v>
      </c>
      <c r="F5277" s="52" t="s">
        <v>581</v>
      </c>
      <c r="G5277" s="55" t="s">
        <v>275</v>
      </c>
      <c r="H5277" s="55">
        <v>124.0223</v>
      </c>
      <c r="I5277" s="55">
        <v>178.02170000000001</v>
      </c>
      <c r="J5277" s="55">
        <v>210.26339999999999</v>
      </c>
      <c r="K5277" s="55">
        <v>327.12900000000002</v>
      </c>
      <c r="L5277" s="55">
        <v>463.7602</v>
      </c>
      <c r="M5277" s="55">
        <v>321.78489999999999</v>
      </c>
      <c r="N5277" s="55">
        <v>301.12729999999999</v>
      </c>
    </row>
    <row r="5278" spans="1:14" hidden="1" x14ac:dyDescent="0.35">
      <c r="A5278" s="52" t="s">
        <v>678</v>
      </c>
      <c r="B5278" s="52" t="s">
        <v>37</v>
      </c>
      <c r="C5278" s="52" t="s">
        <v>218</v>
      </c>
      <c r="D5278" s="52" t="s">
        <v>218</v>
      </c>
      <c r="E5278" s="52" t="s">
        <v>593</v>
      </c>
      <c r="F5278" s="52" t="s">
        <v>581</v>
      </c>
      <c r="G5278" s="55" t="s">
        <v>276</v>
      </c>
      <c r="H5278" s="55">
        <v>65.641469999999998</v>
      </c>
      <c r="I5278" s="55">
        <v>-54.026919999999997</v>
      </c>
      <c r="J5278" s="55">
        <v>-41.184820000000002</v>
      </c>
      <c r="K5278" s="55">
        <v>-36.531030000000001</v>
      </c>
      <c r="L5278" s="55">
        <v>9.2898270000000007</v>
      </c>
      <c r="M5278" s="55">
        <v>50.410710000000002</v>
      </c>
      <c r="N5278" s="55">
        <v>40.270940000000003</v>
      </c>
    </row>
    <row r="5279" spans="1:14" hidden="1" x14ac:dyDescent="0.35">
      <c r="A5279" s="52" t="s">
        <v>678</v>
      </c>
      <c r="B5279" s="52" t="s">
        <v>37</v>
      </c>
      <c r="C5279" s="52" t="s">
        <v>218</v>
      </c>
      <c r="D5279" s="52" t="s">
        <v>218</v>
      </c>
      <c r="E5279" s="52" t="s">
        <v>593</v>
      </c>
      <c r="F5279" s="52" t="s">
        <v>581</v>
      </c>
      <c r="G5279" s="55" t="s">
        <v>277</v>
      </c>
      <c r="H5279" s="55">
        <v>909.82500000000005</v>
      </c>
      <c r="I5279" s="55">
        <v>256.3811</v>
      </c>
      <c r="J5279" s="55">
        <v>302.59800000000001</v>
      </c>
      <c r="K5279" s="55">
        <v>259.93279999999999</v>
      </c>
      <c r="L5279" s="55">
        <v>78.124769999999998</v>
      </c>
      <c r="M5279" s="55">
        <v>90.537530000000004</v>
      </c>
      <c r="N5279" s="55">
        <v>76.12285</v>
      </c>
    </row>
    <row r="5280" spans="1:14" hidden="1" x14ac:dyDescent="0.35">
      <c r="A5280" s="52" t="s">
        <v>678</v>
      </c>
      <c r="B5280" s="52" t="s">
        <v>37</v>
      </c>
      <c r="C5280" s="52" t="s">
        <v>218</v>
      </c>
      <c r="D5280" s="52" t="s">
        <v>218</v>
      </c>
      <c r="E5280" s="52" t="s">
        <v>593</v>
      </c>
      <c r="F5280" s="52" t="s">
        <v>581</v>
      </c>
      <c r="G5280" s="55" t="s">
        <v>278</v>
      </c>
      <c r="H5280" s="55">
        <v>25.48011</v>
      </c>
      <c r="I5280" s="55">
        <v>24.095829999999999</v>
      </c>
      <c r="J5280" s="55">
        <v>69.355930000000001</v>
      </c>
      <c r="K5280" s="55">
        <v>43.115319999999997</v>
      </c>
      <c r="L5280" s="55">
        <v>20.758690000000001</v>
      </c>
      <c r="M5280" s="55">
        <v>3.7603789999999999</v>
      </c>
      <c r="N5280" s="55">
        <v>0.74894760000000005</v>
      </c>
    </row>
    <row r="5281" spans="1:14" hidden="1" x14ac:dyDescent="0.35">
      <c r="A5281" s="52" t="s">
        <v>678</v>
      </c>
      <c r="B5281" s="52" t="s">
        <v>37</v>
      </c>
      <c r="C5281" s="52" t="s">
        <v>218</v>
      </c>
      <c r="D5281" s="52" t="s">
        <v>218</v>
      </c>
      <c r="E5281" s="52" t="s">
        <v>593</v>
      </c>
      <c r="F5281" s="52" t="s">
        <v>581</v>
      </c>
      <c r="G5281" s="55" t="s">
        <v>279</v>
      </c>
      <c r="H5281" s="55">
        <v>324.8963</v>
      </c>
      <c r="I5281" s="55">
        <v>222.37110000000001</v>
      </c>
      <c r="J5281" s="55">
        <v>288.10399999999998</v>
      </c>
      <c r="K5281" s="55">
        <v>331.11380000000003</v>
      </c>
      <c r="L5281" s="55">
        <v>298.35969999999998</v>
      </c>
      <c r="M5281" s="55">
        <v>289.48320000000001</v>
      </c>
      <c r="N5281" s="55">
        <v>254.31010000000001</v>
      </c>
    </row>
    <row r="5282" spans="1:14" hidden="1" x14ac:dyDescent="0.35">
      <c r="A5282" s="52" t="s">
        <v>678</v>
      </c>
      <c r="B5282" s="52" t="s">
        <v>37</v>
      </c>
      <c r="C5282" s="52" t="s">
        <v>218</v>
      </c>
      <c r="D5282" s="52" t="s">
        <v>218</v>
      </c>
      <c r="E5282" s="52" t="s">
        <v>593</v>
      </c>
      <c r="F5282" s="52" t="s">
        <v>26</v>
      </c>
      <c r="G5282" s="55" t="s">
        <v>275</v>
      </c>
      <c r="H5282" s="55">
        <v>26.980799999999999</v>
      </c>
      <c r="I5282" s="55">
        <v>45.258890000000001</v>
      </c>
      <c r="J5282" s="55">
        <v>80.402940000000001</v>
      </c>
      <c r="K5282" s="55">
        <v>81.368499999999997</v>
      </c>
      <c r="L5282" s="55">
        <v>79.723950000000002</v>
      </c>
      <c r="M5282" s="55">
        <v>52.398479999999999</v>
      </c>
      <c r="N5282" s="55">
        <v>46.524700000000003</v>
      </c>
    </row>
    <row r="5283" spans="1:14" hidden="1" x14ac:dyDescent="0.35">
      <c r="A5283" s="52" t="s">
        <v>678</v>
      </c>
      <c r="B5283" s="52" t="s">
        <v>37</v>
      </c>
      <c r="C5283" s="52" t="s">
        <v>218</v>
      </c>
      <c r="D5283" s="52" t="s">
        <v>218</v>
      </c>
      <c r="E5283" s="52" t="s">
        <v>593</v>
      </c>
      <c r="F5283" s="52" t="s">
        <v>26</v>
      </c>
      <c r="G5283" s="55" t="s">
        <v>276</v>
      </c>
      <c r="H5283" s="55">
        <v>7.1721120000000003</v>
      </c>
      <c r="I5283" s="55">
        <v>12.030849999999999</v>
      </c>
      <c r="J5283" s="55">
        <v>21.37294</v>
      </c>
      <c r="K5283" s="55">
        <v>21.6296</v>
      </c>
      <c r="L5283" s="55">
        <v>21.192450000000001</v>
      </c>
      <c r="M5283" s="55">
        <v>13.928710000000001</v>
      </c>
      <c r="N5283" s="55">
        <v>12.367330000000001</v>
      </c>
    </row>
    <row r="5284" spans="1:14" hidden="1" x14ac:dyDescent="0.35">
      <c r="A5284" s="52" t="s">
        <v>678</v>
      </c>
      <c r="B5284" s="52" t="s">
        <v>37</v>
      </c>
      <c r="C5284" s="52" t="s">
        <v>218</v>
      </c>
      <c r="D5284" s="52" t="s">
        <v>218</v>
      </c>
      <c r="E5284" s="52" t="s">
        <v>593</v>
      </c>
      <c r="F5284" s="52" t="s">
        <v>26</v>
      </c>
      <c r="G5284" s="55" t="s">
        <v>279</v>
      </c>
      <c r="H5284" s="55">
        <v>183.69399999999999</v>
      </c>
      <c r="I5284" s="55">
        <v>146.63460000000001</v>
      </c>
      <c r="J5284" s="55">
        <v>201.4676</v>
      </c>
      <c r="K5284" s="55">
        <v>237.28049999999999</v>
      </c>
      <c r="L5284" s="55">
        <v>218.26929999999999</v>
      </c>
      <c r="M5284" s="55">
        <v>206.0341</v>
      </c>
      <c r="N5284" s="55">
        <v>179.05500000000001</v>
      </c>
    </row>
    <row r="5285" spans="1:14" hidden="1" x14ac:dyDescent="0.35">
      <c r="A5285" s="52" t="s">
        <v>678</v>
      </c>
      <c r="B5285" s="52" t="s">
        <v>37</v>
      </c>
      <c r="C5285" s="52" t="s">
        <v>218</v>
      </c>
      <c r="D5285" s="52" t="s">
        <v>218</v>
      </c>
      <c r="E5285" s="52" t="s">
        <v>584</v>
      </c>
      <c r="F5285" s="52" t="s">
        <v>581</v>
      </c>
      <c r="G5285" s="55" t="s">
        <v>275</v>
      </c>
      <c r="H5285" s="55">
        <v>9.9038789999999999</v>
      </c>
      <c r="I5285" s="55">
        <v>2.1621779999999999</v>
      </c>
      <c r="J5285" s="55">
        <v>5.1356029999999997</v>
      </c>
      <c r="K5285" s="55">
        <v>3.7321360000000001</v>
      </c>
      <c r="L5285" s="55">
        <v>3.0586869999999999</v>
      </c>
      <c r="M5285" s="55">
        <v>2.3585219999999998</v>
      </c>
      <c r="N5285" s="55">
        <v>1.7190939999999999</v>
      </c>
    </row>
    <row r="5286" spans="1:14" hidden="1" x14ac:dyDescent="0.35">
      <c r="A5286" s="52" t="s">
        <v>678</v>
      </c>
      <c r="B5286" s="52" t="s">
        <v>37</v>
      </c>
      <c r="C5286" s="52" t="s">
        <v>218</v>
      </c>
      <c r="D5286" s="52" t="s">
        <v>218</v>
      </c>
      <c r="E5286" s="52" t="s">
        <v>584</v>
      </c>
      <c r="F5286" s="52" t="s">
        <v>581</v>
      </c>
      <c r="G5286" s="55" t="s">
        <v>276</v>
      </c>
      <c r="H5286" s="55">
        <v>2.749044</v>
      </c>
      <c r="I5286" s="55">
        <v>0.162103</v>
      </c>
      <c r="J5286" s="55">
        <v>-0.32952720000000002</v>
      </c>
      <c r="K5286" s="55">
        <v>0.1494722</v>
      </c>
      <c r="L5286" s="55">
        <v>0.14573469999999999</v>
      </c>
      <c r="M5286" s="55">
        <v>0.23601359999999999</v>
      </c>
      <c r="N5286" s="55">
        <v>0.45697349999999998</v>
      </c>
    </row>
    <row r="5287" spans="1:14" hidden="1" x14ac:dyDescent="0.35">
      <c r="A5287" s="52" t="s">
        <v>678</v>
      </c>
      <c r="B5287" s="52" t="s">
        <v>37</v>
      </c>
      <c r="C5287" s="52" t="s">
        <v>218</v>
      </c>
      <c r="D5287" s="52" t="s">
        <v>218</v>
      </c>
      <c r="E5287" s="52" t="s">
        <v>584</v>
      </c>
      <c r="F5287" s="52" t="s">
        <v>581</v>
      </c>
      <c r="G5287" s="55" t="s">
        <v>277</v>
      </c>
      <c r="H5287" s="55">
        <v>5.2313999999999998</v>
      </c>
      <c r="I5287" s="55">
        <v>3.5904690000000001</v>
      </c>
      <c r="J5287" s="55">
        <v>0</v>
      </c>
      <c r="K5287" s="55"/>
      <c r="L5287" s="55"/>
      <c r="M5287" s="55"/>
      <c r="N5287" s="55"/>
    </row>
    <row r="5288" spans="1:14" hidden="1" x14ac:dyDescent="0.35">
      <c r="A5288" s="52" t="s">
        <v>678</v>
      </c>
      <c r="B5288" s="52" t="s">
        <v>37</v>
      </c>
      <c r="C5288" s="52" t="s">
        <v>218</v>
      </c>
      <c r="D5288" s="52" t="s">
        <v>218</v>
      </c>
      <c r="E5288" s="52" t="s">
        <v>584</v>
      </c>
      <c r="F5288" s="52" t="s">
        <v>581</v>
      </c>
      <c r="G5288" s="55" t="s">
        <v>279</v>
      </c>
      <c r="H5288" s="55">
        <v>4.5941099999999997</v>
      </c>
      <c r="I5288" s="55">
        <v>2.7905039999999999</v>
      </c>
      <c r="J5288" s="55">
        <v>2.2946070000000001</v>
      </c>
      <c r="K5288" s="55">
        <v>2.077502</v>
      </c>
      <c r="L5288" s="55">
        <v>1.8285899999999999</v>
      </c>
      <c r="M5288" s="55">
        <v>1.6887540000000001</v>
      </c>
      <c r="N5288" s="55">
        <v>1.4871259999999999</v>
      </c>
    </row>
    <row r="5289" spans="1:14" hidden="1" x14ac:dyDescent="0.35">
      <c r="A5289" s="52" t="s">
        <v>678</v>
      </c>
      <c r="B5289" s="52" t="s">
        <v>37</v>
      </c>
      <c r="C5289" s="52" t="s">
        <v>218</v>
      </c>
      <c r="D5289" s="52" t="s">
        <v>218</v>
      </c>
      <c r="E5289" s="52" t="s">
        <v>584</v>
      </c>
      <c r="F5289" s="52" t="s">
        <v>26</v>
      </c>
      <c r="G5289" s="55" t="s">
        <v>275</v>
      </c>
      <c r="H5289" s="55">
        <v>0.96523709999999996</v>
      </c>
      <c r="I5289" s="55">
        <v>0.95506449999999998</v>
      </c>
      <c r="J5289" s="55">
        <v>-2.3973469999999999</v>
      </c>
      <c r="K5289" s="55">
        <v>-2.344684</v>
      </c>
      <c r="L5289" s="55">
        <v>-1.907017</v>
      </c>
      <c r="M5289" s="55">
        <v>-1.588959</v>
      </c>
      <c r="N5289" s="55">
        <v>-1.032877</v>
      </c>
    </row>
    <row r="5290" spans="1:14" hidden="1" x14ac:dyDescent="0.35">
      <c r="A5290" s="52" t="s">
        <v>678</v>
      </c>
      <c r="B5290" s="52" t="s">
        <v>37</v>
      </c>
      <c r="C5290" s="52" t="s">
        <v>218</v>
      </c>
      <c r="D5290" s="52" t="s">
        <v>218</v>
      </c>
      <c r="E5290" s="52" t="s">
        <v>584</v>
      </c>
      <c r="F5290" s="52" t="s">
        <v>26</v>
      </c>
      <c r="G5290" s="55" t="s">
        <v>276</v>
      </c>
      <c r="H5290" s="55">
        <v>0.129328</v>
      </c>
      <c r="I5290" s="55">
        <v>0.2130473</v>
      </c>
      <c r="J5290" s="55">
        <v>4.4393979999999998E-3</v>
      </c>
      <c r="K5290" s="55">
        <v>-2.5775599999999999E-2</v>
      </c>
      <c r="L5290" s="55">
        <v>-0.1266612</v>
      </c>
      <c r="M5290" s="55">
        <v>-0.1988463</v>
      </c>
      <c r="N5290" s="55">
        <v>-0.49264019999999997</v>
      </c>
    </row>
    <row r="5291" spans="1:14" hidden="1" x14ac:dyDescent="0.35">
      <c r="A5291" s="52" t="s">
        <v>678</v>
      </c>
      <c r="B5291" s="52" t="s">
        <v>37</v>
      </c>
      <c r="C5291" s="52" t="s">
        <v>218</v>
      </c>
      <c r="D5291" s="52" t="s">
        <v>218</v>
      </c>
      <c r="E5291" s="52" t="s">
        <v>584</v>
      </c>
      <c r="F5291" s="52" t="s">
        <v>26</v>
      </c>
      <c r="G5291" s="55" t="s">
        <v>277</v>
      </c>
      <c r="H5291" s="55"/>
      <c r="I5291" s="55">
        <v>0</v>
      </c>
      <c r="J5291" s="55">
        <v>3.7855590000000001</v>
      </c>
      <c r="K5291" s="55">
        <v>3.566754</v>
      </c>
      <c r="L5291" s="55">
        <v>3.1071970000000002</v>
      </c>
      <c r="M5291" s="55">
        <v>2.7278180000000001</v>
      </c>
      <c r="N5291" s="55">
        <v>2.4119830000000002</v>
      </c>
    </row>
    <row r="5292" spans="1:14" hidden="1" x14ac:dyDescent="0.35">
      <c r="A5292" s="52" t="s">
        <v>678</v>
      </c>
      <c r="B5292" s="52" t="s">
        <v>37</v>
      </c>
      <c r="C5292" s="52" t="s">
        <v>218</v>
      </c>
      <c r="D5292" s="52" t="s">
        <v>218</v>
      </c>
      <c r="E5292" s="52" t="s">
        <v>584</v>
      </c>
      <c r="F5292" s="52" t="s">
        <v>26</v>
      </c>
      <c r="G5292" s="55" t="s">
        <v>279</v>
      </c>
      <c r="H5292" s="55">
        <v>2.53382</v>
      </c>
      <c r="I5292" s="55">
        <v>2.12249</v>
      </c>
      <c r="J5292" s="55">
        <v>2.0130889999999999</v>
      </c>
      <c r="K5292" s="55">
        <v>2.0067010000000001</v>
      </c>
      <c r="L5292" s="55">
        <v>1.9357930000000001</v>
      </c>
      <c r="M5292" s="55">
        <v>1.8878459999999999</v>
      </c>
      <c r="N5292" s="55">
        <v>1.7656860000000001</v>
      </c>
    </row>
    <row r="5293" spans="1:14" hidden="1" x14ac:dyDescent="0.35">
      <c r="A5293" s="52" t="s">
        <v>678</v>
      </c>
      <c r="B5293" s="52" t="s">
        <v>37</v>
      </c>
      <c r="C5293" s="52" t="s">
        <v>218</v>
      </c>
      <c r="D5293" s="52" t="s">
        <v>218</v>
      </c>
      <c r="E5293" s="52" t="s">
        <v>594</v>
      </c>
      <c r="F5293" s="52" t="s">
        <v>581</v>
      </c>
      <c r="G5293" s="55" t="s">
        <v>275</v>
      </c>
      <c r="H5293" s="55">
        <v>1.6826209999999999</v>
      </c>
      <c r="I5293" s="55">
        <v>0.651088</v>
      </c>
      <c r="J5293" s="55">
        <v>0.53463300000000002</v>
      </c>
      <c r="K5293" s="55">
        <v>-0.46920610000000001</v>
      </c>
      <c r="L5293" s="55">
        <v>-1.60914</v>
      </c>
      <c r="M5293" s="55">
        <v>-0.26199250000000002</v>
      </c>
      <c r="N5293" s="55">
        <v>-1.754683</v>
      </c>
    </row>
    <row r="5294" spans="1:14" hidden="1" x14ac:dyDescent="0.35">
      <c r="A5294" s="52" t="s">
        <v>678</v>
      </c>
      <c r="B5294" s="52" t="s">
        <v>37</v>
      </c>
      <c r="C5294" s="52" t="s">
        <v>218</v>
      </c>
      <c r="D5294" s="52" t="s">
        <v>218</v>
      </c>
      <c r="E5294" s="52" t="s">
        <v>594</v>
      </c>
      <c r="F5294" s="52" t="s">
        <v>581</v>
      </c>
      <c r="G5294" s="55" t="s">
        <v>276</v>
      </c>
      <c r="H5294" s="55">
        <v>-1.6826209999999999</v>
      </c>
      <c r="I5294" s="55">
        <v>-0.651088</v>
      </c>
      <c r="J5294" s="55">
        <v>-0.1603899</v>
      </c>
      <c r="K5294" s="55">
        <v>-0.25161260000000002</v>
      </c>
      <c r="L5294" s="55">
        <v>0.1176615</v>
      </c>
      <c r="M5294" s="55">
        <v>5.5845199999999998E-2</v>
      </c>
      <c r="N5294" s="55">
        <v>8.0969799999999995E-2</v>
      </c>
    </row>
    <row r="5295" spans="1:14" hidden="1" x14ac:dyDescent="0.35">
      <c r="A5295" s="52" t="s">
        <v>678</v>
      </c>
      <c r="B5295" s="52" t="s">
        <v>37</v>
      </c>
      <c r="C5295" s="52" t="s">
        <v>218</v>
      </c>
      <c r="D5295" s="52" t="s">
        <v>218</v>
      </c>
      <c r="E5295" s="52" t="s">
        <v>594</v>
      </c>
      <c r="F5295" s="52" t="s">
        <v>581</v>
      </c>
      <c r="G5295" s="55" t="s">
        <v>277</v>
      </c>
      <c r="H5295" s="55">
        <v>0</v>
      </c>
      <c r="I5295" s="55"/>
      <c r="J5295" s="55">
        <v>0</v>
      </c>
      <c r="K5295" s="55">
        <v>0.3856928</v>
      </c>
      <c r="L5295" s="55">
        <v>0.71001709999999996</v>
      </c>
      <c r="M5295" s="55">
        <v>0.40747620000000001</v>
      </c>
      <c r="N5295" s="55">
        <v>1.1325449999999999</v>
      </c>
    </row>
    <row r="5296" spans="1:14" hidden="1" x14ac:dyDescent="0.35">
      <c r="A5296" s="52" t="s">
        <v>678</v>
      </c>
      <c r="B5296" s="52" t="s">
        <v>37</v>
      </c>
      <c r="C5296" s="52" t="s">
        <v>218</v>
      </c>
      <c r="D5296" s="52" t="s">
        <v>218</v>
      </c>
      <c r="E5296" s="52" t="s">
        <v>594</v>
      </c>
      <c r="F5296" s="52" t="s">
        <v>581</v>
      </c>
      <c r="G5296" s="55" t="s">
        <v>278</v>
      </c>
      <c r="H5296" s="55"/>
      <c r="I5296" s="55"/>
      <c r="J5296" s="55">
        <v>0</v>
      </c>
      <c r="K5296" s="55">
        <v>1.2289220000000001</v>
      </c>
      <c r="L5296" s="55">
        <v>2.1776209999999998</v>
      </c>
      <c r="M5296" s="55">
        <v>1.018486</v>
      </c>
      <c r="N5296" s="55">
        <v>2.3954399999999998</v>
      </c>
    </row>
    <row r="5297" spans="1:14" hidden="1" x14ac:dyDescent="0.35">
      <c r="A5297" s="52" t="s">
        <v>678</v>
      </c>
      <c r="B5297" s="52" t="s">
        <v>37</v>
      </c>
      <c r="C5297" s="52" t="s">
        <v>218</v>
      </c>
      <c r="D5297" s="52" t="s">
        <v>218</v>
      </c>
      <c r="E5297" s="52" t="s">
        <v>594</v>
      </c>
      <c r="F5297" s="52" t="s">
        <v>581</v>
      </c>
      <c r="G5297" s="55" t="s">
        <v>279</v>
      </c>
      <c r="H5297" s="55"/>
      <c r="I5297" s="55"/>
      <c r="J5297" s="55">
        <v>0</v>
      </c>
      <c r="K5297" s="55">
        <v>0.11793629999999999</v>
      </c>
      <c r="L5297" s="55">
        <v>0.46423360000000002</v>
      </c>
      <c r="M5297" s="55">
        <v>0.47900999999999999</v>
      </c>
      <c r="N5297" s="55">
        <v>0.67242360000000001</v>
      </c>
    </row>
    <row r="5298" spans="1:14" hidden="1" x14ac:dyDescent="0.35">
      <c r="A5298" s="52" t="s">
        <v>678</v>
      </c>
      <c r="B5298" s="52" t="s">
        <v>37</v>
      </c>
      <c r="C5298" s="52" t="s">
        <v>218</v>
      </c>
      <c r="D5298" s="52" t="s">
        <v>218</v>
      </c>
      <c r="E5298" s="52" t="s">
        <v>594</v>
      </c>
      <c r="F5298" s="52" t="s">
        <v>26</v>
      </c>
      <c r="G5298" s="55" t="s">
        <v>275</v>
      </c>
      <c r="H5298" s="55"/>
      <c r="I5298" s="55"/>
      <c r="J5298" s="55">
        <v>0</v>
      </c>
      <c r="K5298" s="55">
        <v>7.3159999999999996E-3</v>
      </c>
      <c r="L5298" s="55">
        <v>3.4212899999999997E-2</v>
      </c>
      <c r="M5298" s="55">
        <v>2.4528000000000001E-2</v>
      </c>
      <c r="N5298" s="55">
        <v>3.55971E-2</v>
      </c>
    </row>
    <row r="5299" spans="1:14" hidden="1" x14ac:dyDescent="0.35">
      <c r="A5299" s="52" t="s">
        <v>678</v>
      </c>
      <c r="B5299" s="52" t="s">
        <v>37</v>
      </c>
      <c r="C5299" s="52" t="s">
        <v>218</v>
      </c>
      <c r="D5299" s="52" t="s">
        <v>218</v>
      </c>
      <c r="E5299" s="52" t="s">
        <v>594</v>
      </c>
      <c r="F5299" s="52" t="s">
        <v>26</v>
      </c>
      <c r="G5299" s="55" t="s">
        <v>276</v>
      </c>
      <c r="H5299" s="55"/>
      <c r="I5299" s="55"/>
      <c r="J5299" s="55">
        <v>0</v>
      </c>
      <c r="K5299" s="55">
        <v>1.9445E-3</v>
      </c>
      <c r="L5299" s="55">
        <v>9.0941990000000007E-3</v>
      </c>
      <c r="M5299" s="55">
        <v>6.5202999999999997E-3</v>
      </c>
      <c r="N5299" s="55">
        <v>9.4631009999999998E-3</v>
      </c>
    </row>
    <row r="5300" spans="1:14" hidden="1" x14ac:dyDescent="0.35">
      <c r="A5300" s="52" t="s">
        <v>678</v>
      </c>
      <c r="B5300" s="52" t="s">
        <v>37</v>
      </c>
      <c r="C5300" s="52" t="s">
        <v>218</v>
      </c>
      <c r="D5300" s="52" t="s">
        <v>218</v>
      </c>
      <c r="E5300" s="52" t="s">
        <v>594</v>
      </c>
      <c r="F5300" s="52" t="s">
        <v>26</v>
      </c>
      <c r="G5300" s="55" t="s">
        <v>279</v>
      </c>
      <c r="H5300" s="55"/>
      <c r="I5300" s="55"/>
      <c r="J5300" s="55">
        <v>0</v>
      </c>
      <c r="K5300" s="55">
        <v>1.1975400000000001E-2</v>
      </c>
      <c r="L5300" s="55">
        <v>4.6808799999999998E-2</v>
      </c>
      <c r="M5300" s="55">
        <v>4.8478800000000002E-2</v>
      </c>
      <c r="N5300" s="55">
        <v>6.6745600000000002E-2</v>
      </c>
    </row>
    <row r="5301" spans="1:14" hidden="1" x14ac:dyDescent="0.35">
      <c r="A5301" s="52" t="s">
        <v>678</v>
      </c>
      <c r="B5301" s="52" t="s">
        <v>37</v>
      </c>
      <c r="C5301" s="52" t="s">
        <v>35</v>
      </c>
      <c r="D5301" s="52" t="s">
        <v>164</v>
      </c>
      <c r="E5301" s="52" t="s">
        <v>580</v>
      </c>
      <c r="F5301" s="52" t="s">
        <v>581</v>
      </c>
      <c r="G5301" s="55" t="s">
        <v>275</v>
      </c>
      <c r="H5301" s="55">
        <v>-80.289919999999995</v>
      </c>
      <c r="I5301" s="55">
        <v>29.5059</v>
      </c>
      <c r="J5301" s="55">
        <v>68.662719999999993</v>
      </c>
      <c r="K5301" s="55">
        <v>61.434849999999997</v>
      </c>
      <c r="L5301" s="55">
        <v>71.236429999999999</v>
      </c>
      <c r="M5301" s="55">
        <v>46.149639999999998</v>
      </c>
      <c r="N5301" s="55">
        <v>36.999859999999998</v>
      </c>
    </row>
    <row r="5302" spans="1:14" hidden="1" x14ac:dyDescent="0.35">
      <c r="A5302" s="52" t="s">
        <v>678</v>
      </c>
      <c r="B5302" s="52" t="s">
        <v>37</v>
      </c>
      <c r="C5302" s="52" t="s">
        <v>35</v>
      </c>
      <c r="D5302" s="52" t="s">
        <v>164</v>
      </c>
      <c r="E5302" s="52" t="s">
        <v>580</v>
      </c>
      <c r="F5302" s="52" t="s">
        <v>581</v>
      </c>
      <c r="G5302" s="55" t="s">
        <v>276</v>
      </c>
      <c r="H5302" s="55">
        <v>2.5995330000000001</v>
      </c>
      <c r="I5302" s="55">
        <v>-18.132020000000001</v>
      </c>
      <c r="J5302" s="55">
        <v>-27.67109</v>
      </c>
      <c r="K5302" s="55">
        <v>-22.353079999999999</v>
      </c>
      <c r="L5302" s="55">
        <v>-13.332750000000001</v>
      </c>
      <c r="M5302" s="55">
        <v>3.6935709999999999</v>
      </c>
      <c r="N5302" s="55">
        <v>4.9788930000000002</v>
      </c>
    </row>
    <row r="5303" spans="1:14" hidden="1" x14ac:dyDescent="0.35">
      <c r="A5303" s="52" t="s">
        <v>678</v>
      </c>
      <c r="B5303" s="52" t="s">
        <v>37</v>
      </c>
      <c r="C5303" s="52" t="s">
        <v>35</v>
      </c>
      <c r="D5303" s="52" t="s">
        <v>164</v>
      </c>
      <c r="E5303" s="52" t="s">
        <v>580</v>
      </c>
      <c r="F5303" s="52" t="s">
        <v>581</v>
      </c>
      <c r="G5303" s="55" t="s">
        <v>277</v>
      </c>
      <c r="H5303" s="55">
        <v>276.24509999999998</v>
      </c>
      <c r="I5303" s="55">
        <v>50.968060000000001</v>
      </c>
      <c r="J5303" s="55">
        <v>15.03478</v>
      </c>
      <c r="K5303" s="55">
        <v>11.54182</v>
      </c>
      <c r="L5303" s="55">
        <v>5.7922890000000002</v>
      </c>
      <c r="M5303" s="55">
        <v>0</v>
      </c>
      <c r="N5303" s="55">
        <v>0</v>
      </c>
    </row>
    <row r="5304" spans="1:14" hidden="1" x14ac:dyDescent="0.35">
      <c r="A5304" s="52" t="s">
        <v>678</v>
      </c>
      <c r="B5304" s="52" t="s">
        <v>37</v>
      </c>
      <c r="C5304" s="52" t="s">
        <v>35</v>
      </c>
      <c r="D5304" s="52" t="s">
        <v>164</v>
      </c>
      <c r="E5304" s="52" t="s">
        <v>580</v>
      </c>
      <c r="F5304" s="52" t="s">
        <v>581</v>
      </c>
      <c r="G5304" s="55" t="s">
        <v>278</v>
      </c>
      <c r="H5304" s="55">
        <v>9.7548940000000002</v>
      </c>
      <c r="I5304" s="55">
        <v>4.1566710000000002</v>
      </c>
      <c r="J5304" s="55">
        <v>17.097760000000001</v>
      </c>
      <c r="K5304" s="55">
        <v>21.478380000000001</v>
      </c>
      <c r="L5304" s="55">
        <v>7.6997099999999996</v>
      </c>
      <c r="M5304" s="55">
        <v>0</v>
      </c>
      <c r="N5304" s="55">
        <v>0</v>
      </c>
    </row>
    <row r="5305" spans="1:14" hidden="1" x14ac:dyDescent="0.35">
      <c r="A5305" s="52" t="s">
        <v>678</v>
      </c>
      <c r="B5305" s="52" t="s">
        <v>37</v>
      </c>
      <c r="C5305" s="52" t="s">
        <v>35</v>
      </c>
      <c r="D5305" s="52" t="s">
        <v>164</v>
      </c>
      <c r="E5305" s="52" t="s">
        <v>580</v>
      </c>
      <c r="F5305" s="52" t="s">
        <v>581</v>
      </c>
      <c r="G5305" s="55" t="s">
        <v>279</v>
      </c>
      <c r="H5305" s="55">
        <v>98.469250000000002</v>
      </c>
      <c r="I5305" s="55">
        <v>74.389589999999998</v>
      </c>
      <c r="J5305" s="55">
        <v>74.792689999999993</v>
      </c>
      <c r="K5305" s="55">
        <v>76.761759999999995</v>
      </c>
      <c r="L5305" s="55">
        <v>66.306120000000007</v>
      </c>
      <c r="M5305" s="55">
        <v>62.897559999999999</v>
      </c>
      <c r="N5305" s="55">
        <v>52.686100000000003</v>
      </c>
    </row>
    <row r="5306" spans="1:14" hidden="1" x14ac:dyDescent="0.35">
      <c r="A5306" s="52" t="s">
        <v>678</v>
      </c>
      <c r="B5306" s="52" t="s">
        <v>37</v>
      </c>
      <c r="C5306" s="52" t="s">
        <v>35</v>
      </c>
      <c r="D5306" s="52" t="s">
        <v>164</v>
      </c>
      <c r="E5306" s="52" t="s">
        <v>580</v>
      </c>
      <c r="F5306" s="52" t="s">
        <v>26</v>
      </c>
      <c r="G5306" s="55" t="s">
        <v>275</v>
      </c>
      <c r="H5306" s="55">
        <v>-28.049759999999999</v>
      </c>
      <c r="I5306" s="55">
        <v>-24.663019999999999</v>
      </c>
      <c r="J5306" s="55">
        <v>-24.033059999999999</v>
      </c>
      <c r="K5306" s="55">
        <v>-25.375240000000002</v>
      </c>
      <c r="L5306" s="55">
        <v>-21.88748</v>
      </c>
      <c r="M5306" s="55">
        <v>-21.5914</v>
      </c>
      <c r="N5306" s="55">
        <v>-18.08606</v>
      </c>
    </row>
    <row r="5307" spans="1:14" hidden="1" x14ac:dyDescent="0.35">
      <c r="A5307" s="52" t="s">
        <v>678</v>
      </c>
      <c r="B5307" s="52" t="s">
        <v>37</v>
      </c>
      <c r="C5307" s="52" t="s">
        <v>35</v>
      </c>
      <c r="D5307" s="52" t="s">
        <v>164</v>
      </c>
      <c r="E5307" s="52" t="s">
        <v>580</v>
      </c>
      <c r="F5307" s="52" t="s">
        <v>26</v>
      </c>
      <c r="G5307" s="55" t="s">
        <v>276</v>
      </c>
      <c r="H5307" s="55">
        <v>-7.4562619999999997</v>
      </c>
      <c r="I5307" s="55">
        <v>-6.5559950000000002</v>
      </c>
      <c r="J5307" s="55">
        <v>-6.388541</v>
      </c>
      <c r="K5307" s="55">
        <v>-6.7453219999999998</v>
      </c>
      <c r="L5307" s="55">
        <v>-5.8181950000000002</v>
      </c>
      <c r="M5307" s="55">
        <v>-5.7394850000000002</v>
      </c>
      <c r="N5307" s="55">
        <v>-4.8076819999999998</v>
      </c>
    </row>
    <row r="5308" spans="1:14" hidden="1" x14ac:dyDescent="0.35">
      <c r="A5308" s="52" t="s">
        <v>678</v>
      </c>
      <c r="B5308" s="52" t="s">
        <v>37</v>
      </c>
      <c r="C5308" s="52" t="s">
        <v>35</v>
      </c>
      <c r="D5308" s="52" t="s">
        <v>164</v>
      </c>
      <c r="E5308" s="52" t="s">
        <v>580</v>
      </c>
      <c r="F5308" s="52" t="s">
        <v>26</v>
      </c>
      <c r="G5308" s="55" t="s">
        <v>279</v>
      </c>
      <c r="H5308" s="55">
        <v>49.279969999999999</v>
      </c>
      <c r="I5308" s="55">
        <v>42.673389999999998</v>
      </c>
      <c r="J5308" s="55">
        <v>43.039619999999999</v>
      </c>
      <c r="K5308" s="55">
        <v>44.695500000000003</v>
      </c>
      <c r="L5308" s="55">
        <v>39.251469999999998</v>
      </c>
      <c r="M5308" s="55">
        <v>36.754629999999999</v>
      </c>
      <c r="N5308" s="55">
        <v>30.77778</v>
      </c>
    </row>
    <row r="5309" spans="1:14" hidden="1" x14ac:dyDescent="0.35">
      <c r="A5309" s="52" t="s">
        <v>709</v>
      </c>
      <c r="B5309" s="52" t="s">
        <v>59</v>
      </c>
      <c r="C5309" s="52" t="s">
        <v>161</v>
      </c>
      <c r="D5309" s="52" t="s">
        <v>161</v>
      </c>
      <c r="E5309" s="52" t="s">
        <v>584</v>
      </c>
      <c r="F5309" s="52" t="s">
        <v>581</v>
      </c>
      <c r="G5309" s="55" t="s">
        <v>275</v>
      </c>
      <c r="H5309" s="55">
        <v>5.8738849999999996</v>
      </c>
      <c r="I5309" s="55">
        <v>36.057830000000003</v>
      </c>
      <c r="J5309" s="55">
        <v>11.47434</v>
      </c>
      <c r="K5309" s="55">
        <v>9.5000269999999993</v>
      </c>
      <c r="L5309" s="55">
        <v>10.82244</v>
      </c>
      <c r="M5309" s="55">
        <v>2.302387</v>
      </c>
      <c r="N5309" s="55">
        <v>-1.418053</v>
      </c>
    </row>
    <row r="5310" spans="1:14" hidden="1" x14ac:dyDescent="0.35">
      <c r="A5310" s="52" t="s">
        <v>709</v>
      </c>
      <c r="B5310" s="52" t="s">
        <v>59</v>
      </c>
      <c r="C5310" s="52" t="s">
        <v>161</v>
      </c>
      <c r="D5310" s="52" t="s">
        <v>161</v>
      </c>
      <c r="E5310" s="52" t="s">
        <v>584</v>
      </c>
      <c r="F5310" s="52" t="s">
        <v>581</v>
      </c>
      <c r="G5310" s="55" t="s">
        <v>276</v>
      </c>
      <c r="H5310" s="55">
        <v>2.7158500000000001</v>
      </c>
      <c r="I5310" s="55">
        <v>1.377923</v>
      </c>
      <c r="J5310" s="55">
        <v>-0.40095029999999998</v>
      </c>
      <c r="K5310" s="55">
        <v>0.73751469999999997</v>
      </c>
      <c r="L5310" s="55">
        <v>-1.798503</v>
      </c>
      <c r="M5310" s="55">
        <v>-0.51706940000000001</v>
      </c>
      <c r="N5310" s="55">
        <v>-1.6181220000000001</v>
      </c>
    </row>
    <row r="5311" spans="1:14" hidden="1" x14ac:dyDescent="0.35">
      <c r="A5311" s="52" t="s">
        <v>709</v>
      </c>
      <c r="B5311" s="52" t="s">
        <v>59</v>
      </c>
      <c r="C5311" s="52" t="s">
        <v>161</v>
      </c>
      <c r="D5311" s="52" t="s">
        <v>161</v>
      </c>
      <c r="E5311" s="52" t="s">
        <v>584</v>
      </c>
      <c r="F5311" s="52" t="s">
        <v>581</v>
      </c>
      <c r="G5311" s="55" t="s">
        <v>277</v>
      </c>
      <c r="H5311" s="55">
        <v>14.762499999999999</v>
      </c>
      <c r="I5311" s="55">
        <v>8.8575009999999992</v>
      </c>
      <c r="J5311" s="55">
        <v>11.90926</v>
      </c>
      <c r="K5311" s="55">
        <v>7.745298</v>
      </c>
      <c r="L5311" s="55">
        <v>7.2308599999999998</v>
      </c>
      <c r="M5311" s="55">
        <v>5.3216760000000001</v>
      </c>
      <c r="N5311" s="55">
        <v>6.0978620000000001</v>
      </c>
    </row>
    <row r="5312" spans="1:14" hidden="1" x14ac:dyDescent="0.35">
      <c r="A5312" s="52" t="s">
        <v>709</v>
      </c>
      <c r="B5312" s="52" t="s">
        <v>59</v>
      </c>
      <c r="C5312" s="52" t="s">
        <v>161</v>
      </c>
      <c r="D5312" s="52" t="s">
        <v>161</v>
      </c>
      <c r="E5312" s="52" t="s">
        <v>584</v>
      </c>
      <c r="F5312" s="52" t="s">
        <v>581</v>
      </c>
      <c r="G5312" s="55" t="s">
        <v>279</v>
      </c>
      <c r="H5312" s="55">
        <v>37.50076</v>
      </c>
      <c r="I5312" s="55">
        <v>42.668230000000001</v>
      </c>
      <c r="J5312" s="55">
        <v>41.362960000000001</v>
      </c>
      <c r="K5312" s="55">
        <v>42.506920000000001</v>
      </c>
      <c r="L5312" s="55">
        <v>42.723039999999997</v>
      </c>
      <c r="M5312" s="55">
        <v>42.852930000000001</v>
      </c>
      <c r="N5312" s="55">
        <v>42.969410000000003</v>
      </c>
    </row>
    <row r="5313" spans="1:14" hidden="1" x14ac:dyDescent="0.35">
      <c r="A5313" s="52" t="s">
        <v>709</v>
      </c>
      <c r="B5313" s="52" t="s">
        <v>59</v>
      </c>
      <c r="C5313" s="52" t="s">
        <v>161</v>
      </c>
      <c r="D5313" s="52" t="s">
        <v>161</v>
      </c>
      <c r="E5313" s="52" t="s">
        <v>584</v>
      </c>
      <c r="F5313" s="52" t="s">
        <v>26</v>
      </c>
      <c r="G5313" s="55" t="s">
        <v>275</v>
      </c>
      <c r="H5313" s="55">
        <v>58.156300000000002</v>
      </c>
      <c r="I5313" s="55">
        <v>70.654169999999993</v>
      </c>
      <c r="J5313" s="55">
        <v>58.480449999999998</v>
      </c>
      <c r="K5313" s="55">
        <v>65.744439999999997</v>
      </c>
      <c r="L5313" s="55">
        <v>67.649169999999998</v>
      </c>
      <c r="M5313" s="55">
        <v>57.013339999999999</v>
      </c>
      <c r="N5313" s="55">
        <v>50.279600000000002</v>
      </c>
    </row>
    <row r="5314" spans="1:14" hidden="1" x14ac:dyDescent="0.35">
      <c r="A5314" s="52" t="s">
        <v>709</v>
      </c>
      <c r="B5314" s="52" t="s">
        <v>59</v>
      </c>
      <c r="C5314" s="52" t="s">
        <v>161</v>
      </c>
      <c r="D5314" s="52" t="s">
        <v>161</v>
      </c>
      <c r="E5314" s="52" t="s">
        <v>584</v>
      </c>
      <c r="F5314" s="52" t="s">
        <v>26</v>
      </c>
      <c r="G5314" s="55" t="s">
        <v>276</v>
      </c>
      <c r="H5314" s="55">
        <v>30.704540000000001</v>
      </c>
      <c r="I5314" s="55">
        <v>28.716609999999999</v>
      </c>
      <c r="J5314" s="55">
        <v>32.440939999999998</v>
      </c>
      <c r="K5314" s="55">
        <v>31.692900000000002</v>
      </c>
      <c r="L5314" s="55">
        <v>31.798760000000001</v>
      </c>
      <c r="M5314" s="55">
        <v>23.273070000000001</v>
      </c>
      <c r="N5314" s="55">
        <v>22.523700000000002</v>
      </c>
    </row>
    <row r="5315" spans="1:14" hidden="1" x14ac:dyDescent="0.35">
      <c r="A5315" s="52" t="s">
        <v>709</v>
      </c>
      <c r="B5315" s="52" t="s">
        <v>59</v>
      </c>
      <c r="C5315" s="52" t="s">
        <v>161</v>
      </c>
      <c r="D5315" s="52" t="s">
        <v>161</v>
      </c>
      <c r="E5315" s="52" t="s">
        <v>584</v>
      </c>
      <c r="F5315" s="52" t="s">
        <v>26</v>
      </c>
      <c r="G5315" s="55" t="s">
        <v>277</v>
      </c>
      <c r="H5315" s="55">
        <v>24.915679999999998</v>
      </c>
      <c r="I5315" s="55">
        <v>26.372900000000001</v>
      </c>
      <c r="J5315" s="55">
        <v>26.61711</v>
      </c>
      <c r="K5315" s="55">
        <v>19.146180000000001</v>
      </c>
      <c r="L5315" s="55">
        <v>17.718250000000001</v>
      </c>
      <c r="M5315" s="55">
        <v>13.177989999999999</v>
      </c>
      <c r="N5315" s="55">
        <v>14.270149999999999</v>
      </c>
    </row>
    <row r="5316" spans="1:14" hidden="1" x14ac:dyDescent="0.35">
      <c r="A5316" s="52" t="s">
        <v>709</v>
      </c>
      <c r="B5316" s="52" t="s">
        <v>59</v>
      </c>
      <c r="C5316" s="52" t="s">
        <v>161</v>
      </c>
      <c r="D5316" s="52" t="s">
        <v>161</v>
      </c>
      <c r="E5316" s="52" t="s">
        <v>584</v>
      </c>
      <c r="F5316" s="52" t="s">
        <v>26</v>
      </c>
      <c r="G5316" s="55" t="s">
        <v>278</v>
      </c>
      <c r="H5316" s="55">
        <v>8.0157010000000001E-3</v>
      </c>
      <c r="I5316" s="55">
        <v>8.0157000000000006E-3</v>
      </c>
      <c r="J5316" s="55">
        <v>8.0157010000000001E-3</v>
      </c>
      <c r="K5316" s="55">
        <v>8.0157010000000001E-3</v>
      </c>
      <c r="L5316" s="55">
        <v>8.0157010000000001E-3</v>
      </c>
      <c r="M5316" s="55">
        <v>8.0157010000000001E-3</v>
      </c>
      <c r="N5316" s="55">
        <v>8.0157010000000001E-3</v>
      </c>
    </row>
    <row r="5317" spans="1:14" hidden="1" x14ac:dyDescent="0.35">
      <c r="A5317" s="52" t="s">
        <v>709</v>
      </c>
      <c r="B5317" s="52" t="s">
        <v>59</v>
      </c>
      <c r="C5317" s="52" t="s">
        <v>161</v>
      </c>
      <c r="D5317" s="52" t="s">
        <v>161</v>
      </c>
      <c r="E5317" s="52" t="s">
        <v>584</v>
      </c>
      <c r="F5317" s="52" t="s">
        <v>26</v>
      </c>
      <c r="G5317" s="55" t="s">
        <v>279</v>
      </c>
      <c r="H5317" s="55">
        <v>46.278010000000002</v>
      </c>
      <c r="I5317" s="55">
        <v>44.209490000000002</v>
      </c>
      <c r="J5317" s="55">
        <v>42.103319999999997</v>
      </c>
      <c r="K5317" s="55">
        <v>45.114899999999999</v>
      </c>
      <c r="L5317" s="55">
        <v>43.911949999999997</v>
      </c>
      <c r="M5317" s="55">
        <v>42.476860000000002</v>
      </c>
      <c r="N5317" s="55">
        <v>40.953499999999998</v>
      </c>
    </row>
    <row r="5318" spans="1:14" hidden="1" x14ac:dyDescent="0.35">
      <c r="A5318" s="52" t="s">
        <v>709</v>
      </c>
      <c r="B5318" s="52" t="s">
        <v>59</v>
      </c>
      <c r="C5318" s="52" t="s">
        <v>165</v>
      </c>
      <c r="D5318" s="52" t="s">
        <v>165</v>
      </c>
      <c r="E5318" s="52" t="s">
        <v>584</v>
      </c>
      <c r="F5318" s="52" t="s">
        <v>581</v>
      </c>
      <c r="G5318" s="55" t="s">
        <v>275</v>
      </c>
      <c r="H5318" s="55">
        <v>4.9973789999999996</v>
      </c>
      <c r="I5318" s="55">
        <v>0.64715420000000001</v>
      </c>
      <c r="J5318" s="55">
        <v>2.3521730000000001</v>
      </c>
      <c r="K5318" s="55">
        <v>2.3125610000000001</v>
      </c>
      <c r="L5318" s="55">
        <v>1.9973749999999999</v>
      </c>
      <c r="M5318" s="55">
        <v>1.802268</v>
      </c>
      <c r="N5318" s="55">
        <v>1.4267939999999999</v>
      </c>
    </row>
    <row r="5319" spans="1:14" hidden="1" x14ac:dyDescent="0.35">
      <c r="A5319" s="52" t="s">
        <v>709</v>
      </c>
      <c r="B5319" s="52" t="s">
        <v>59</v>
      </c>
      <c r="C5319" s="52" t="s">
        <v>165</v>
      </c>
      <c r="D5319" s="52" t="s">
        <v>165</v>
      </c>
      <c r="E5319" s="52" t="s">
        <v>584</v>
      </c>
      <c r="F5319" s="52" t="s">
        <v>581</v>
      </c>
      <c r="G5319" s="55" t="s">
        <v>276</v>
      </c>
      <c r="H5319" s="55">
        <v>3.0042300000000002</v>
      </c>
      <c r="I5319" s="55">
        <v>1.6046929999999999</v>
      </c>
      <c r="J5319" s="55">
        <v>1.6344989999999999</v>
      </c>
      <c r="K5319" s="55">
        <v>1.651969</v>
      </c>
      <c r="L5319" s="55">
        <v>1.3924890000000001</v>
      </c>
      <c r="M5319" s="55">
        <v>1.296303</v>
      </c>
      <c r="N5319" s="55">
        <v>1.0645260000000001</v>
      </c>
    </row>
    <row r="5320" spans="1:14" hidden="1" x14ac:dyDescent="0.35">
      <c r="A5320" s="52" t="s">
        <v>709</v>
      </c>
      <c r="B5320" s="52" t="s">
        <v>59</v>
      </c>
      <c r="C5320" s="52" t="s">
        <v>165</v>
      </c>
      <c r="D5320" s="52" t="s">
        <v>165</v>
      </c>
      <c r="E5320" s="52" t="s">
        <v>584</v>
      </c>
      <c r="F5320" s="52" t="s">
        <v>581</v>
      </c>
      <c r="G5320" s="55" t="s">
        <v>277</v>
      </c>
      <c r="H5320" s="55">
        <v>0.45313389999999998</v>
      </c>
      <c r="I5320" s="55">
        <v>0.3185152</v>
      </c>
      <c r="J5320" s="55">
        <v>0.3185152</v>
      </c>
      <c r="K5320" s="55">
        <v>0.3081914</v>
      </c>
      <c r="L5320" s="55"/>
      <c r="M5320" s="55"/>
      <c r="N5320" s="55"/>
    </row>
    <row r="5321" spans="1:14" hidden="1" x14ac:dyDescent="0.35">
      <c r="A5321" s="52" t="s">
        <v>709</v>
      </c>
      <c r="B5321" s="52" t="s">
        <v>59</v>
      </c>
      <c r="C5321" s="52" t="s">
        <v>165</v>
      </c>
      <c r="D5321" s="52" t="s">
        <v>165</v>
      </c>
      <c r="E5321" s="52" t="s">
        <v>584</v>
      </c>
      <c r="F5321" s="52" t="s">
        <v>581</v>
      </c>
      <c r="G5321" s="55" t="s">
        <v>279</v>
      </c>
      <c r="H5321" s="55">
        <v>1.475516</v>
      </c>
      <c r="I5321" s="55">
        <v>3.086859</v>
      </c>
      <c r="J5321" s="55">
        <v>1.4658100000000001</v>
      </c>
      <c r="K5321" s="55">
        <v>1.5817490000000001</v>
      </c>
      <c r="L5321" s="55">
        <v>1.5888659999999999</v>
      </c>
      <c r="M5321" s="55">
        <v>1.5734220000000001</v>
      </c>
      <c r="N5321" s="55">
        <v>1.4295880000000001</v>
      </c>
    </row>
    <row r="5322" spans="1:14" hidden="1" x14ac:dyDescent="0.35">
      <c r="A5322" s="52" t="s">
        <v>709</v>
      </c>
      <c r="B5322" s="52" t="s">
        <v>59</v>
      </c>
      <c r="C5322" s="52" t="s">
        <v>165</v>
      </c>
      <c r="D5322" s="52" t="s">
        <v>165</v>
      </c>
      <c r="E5322" s="52" t="s">
        <v>584</v>
      </c>
      <c r="F5322" s="52" t="s">
        <v>26</v>
      </c>
      <c r="G5322" s="55" t="s">
        <v>275</v>
      </c>
      <c r="H5322" s="55">
        <v>73.810379999999995</v>
      </c>
      <c r="I5322" s="55">
        <v>30.718810000000001</v>
      </c>
      <c r="J5322" s="55">
        <v>50.4101</v>
      </c>
      <c r="K5322" s="55">
        <v>60.830309999999997</v>
      </c>
      <c r="L5322" s="55">
        <v>50.747120000000002</v>
      </c>
      <c r="M5322" s="55">
        <v>38.180419999999998</v>
      </c>
      <c r="N5322" s="55">
        <v>29.1677</v>
      </c>
    </row>
    <row r="5323" spans="1:14" hidden="1" x14ac:dyDescent="0.35">
      <c r="A5323" s="52" t="s">
        <v>709</v>
      </c>
      <c r="B5323" s="52" t="s">
        <v>59</v>
      </c>
      <c r="C5323" s="52" t="s">
        <v>165</v>
      </c>
      <c r="D5323" s="52" t="s">
        <v>165</v>
      </c>
      <c r="E5323" s="52" t="s">
        <v>584</v>
      </c>
      <c r="F5323" s="52" t="s">
        <v>26</v>
      </c>
      <c r="G5323" s="55" t="s">
        <v>276</v>
      </c>
      <c r="H5323" s="55">
        <v>22.814889999999998</v>
      </c>
      <c r="I5323" s="55">
        <v>16.200009999999999</v>
      </c>
      <c r="J5323" s="55">
        <v>14.92559</v>
      </c>
      <c r="K5323" s="55">
        <v>14.818630000000001</v>
      </c>
      <c r="L5323" s="55">
        <v>13.914759999999999</v>
      </c>
      <c r="M5323" s="55">
        <v>15.33954</v>
      </c>
      <c r="N5323" s="55">
        <v>15.21271</v>
      </c>
    </row>
    <row r="5324" spans="1:14" hidden="1" x14ac:dyDescent="0.35">
      <c r="A5324" s="52" t="s">
        <v>709</v>
      </c>
      <c r="B5324" s="52" t="s">
        <v>59</v>
      </c>
      <c r="C5324" s="52" t="s">
        <v>165</v>
      </c>
      <c r="D5324" s="52" t="s">
        <v>165</v>
      </c>
      <c r="E5324" s="52" t="s">
        <v>584</v>
      </c>
      <c r="F5324" s="52" t="s">
        <v>26</v>
      </c>
      <c r="G5324" s="55" t="s">
        <v>277</v>
      </c>
      <c r="H5324" s="55">
        <v>18.56363</v>
      </c>
      <c r="I5324" s="55">
        <v>16.822759999999999</v>
      </c>
      <c r="J5324" s="55">
        <v>17.352409999999999</v>
      </c>
      <c r="K5324" s="55">
        <v>5.9887699999999997</v>
      </c>
      <c r="L5324" s="55">
        <v>7.5337690000000004</v>
      </c>
      <c r="M5324" s="55">
        <v>8.8531479999999991</v>
      </c>
      <c r="N5324" s="55">
        <v>9.3770439999999997</v>
      </c>
    </row>
    <row r="5325" spans="1:14" hidden="1" x14ac:dyDescent="0.35">
      <c r="A5325" s="52" t="s">
        <v>709</v>
      </c>
      <c r="B5325" s="52" t="s">
        <v>59</v>
      </c>
      <c r="C5325" s="52" t="s">
        <v>165</v>
      </c>
      <c r="D5325" s="52" t="s">
        <v>165</v>
      </c>
      <c r="E5325" s="52" t="s">
        <v>584</v>
      </c>
      <c r="F5325" s="52" t="s">
        <v>26</v>
      </c>
      <c r="G5325" s="55" t="s">
        <v>278</v>
      </c>
      <c r="H5325" s="55">
        <v>2.753121E-2</v>
      </c>
      <c r="I5325" s="55">
        <v>2.753121E-2</v>
      </c>
      <c r="J5325" s="55">
        <v>0</v>
      </c>
      <c r="K5325" s="55">
        <v>0</v>
      </c>
      <c r="L5325" s="55">
        <v>0</v>
      </c>
      <c r="M5325" s="55">
        <v>0</v>
      </c>
      <c r="N5325" s="55">
        <v>0</v>
      </c>
    </row>
    <row r="5326" spans="1:14" hidden="1" x14ac:dyDescent="0.35">
      <c r="A5326" s="52" t="s">
        <v>709</v>
      </c>
      <c r="B5326" s="52" t="s">
        <v>59</v>
      </c>
      <c r="C5326" s="52" t="s">
        <v>165</v>
      </c>
      <c r="D5326" s="52" t="s">
        <v>165</v>
      </c>
      <c r="E5326" s="52" t="s">
        <v>584</v>
      </c>
      <c r="F5326" s="52" t="s">
        <v>26</v>
      </c>
      <c r="G5326" s="55" t="s">
        <v>279</v>
      </c>
      <c r="H5326" s="55">
        <v>55.741379999999999</v>
      </c>
      <c r="I5326" s="55">
        <v>71.665080000000003</v>
      </c>
      <c r="J5326" s="55">
        <v>52.976570000000002</v>
      </c>
      <c r="K5326" s="55">
        <v>56.45729</v>
      </c>
      <c r="L5326" s="55">
        <v>57.231589999999997</v>
      </c>
      <c r="M5326" s="55">
        <v>58.323569999999997</v>
      </c>
      <c r="N5326" s="55">
        <v>58.029969999999999</v>
      </c>
    </row>
    <row r="5327" spans="1:14" hidden="1" x14ac:dyDescent="0.35">
      <c r="A5327" s="52" t="s">
        <v>709</v>
      </c>
      <c r="B5327" s="52" t="s">
        <v>74</v>
      </c>
      <c r="C5327" s="52" t="s">
        <v>87</v>
      </c>
      <c r="D5327" s="52" t="s">
        <v>88</v>
      </c>
      <c r="E5327" s="52" t="s">
        <v>584</v>
      </c>
      <c r="F5327" s="52" t="s">
        <v>581</v>
      </c>
      <c r="G5327" s="55" t="s">
        <v>275</v>
      </c>
      <c r="H5327" s="55">
        <v>10.246829999999999</v>
      </c>
      <c r="I5327" s="55">
        <v>13.2638</v>
      </c>
      <c r="J5327" s="55">
        <v>14.705769999999999</v>
      </c>
      <c r="K5327" s="55">
        <v>13.835089999999999</v>
      </c>
      <c r="L5327" s="55">
        <v>11.647779999999999</v>
      </c>
      <c r="M5327" s="55">
        <v>9.7996549999999996</v>
      </c>
      <c r="N5327" s="55">
        <v>7.936769</v>
      </c>
    </row>
    <row r="5328" spans="1:14" hidden="1" x14ac:dyDescent="0.35">
      <c r="A5328" s="52" t="s">
        <v>709</v>
      </c>
      <c r="B5328" s="52" t="s">
        <v>74</v>
      </c>
      <c r="C5328" s="52" t="s">
        <v>87</v>
      </c>
      <c r="D5328" s="52" t="s">
        <v>88</v>
      </c>
      <c r="E5328" s="52" t="s">
        <v>584</v>
      </c>
      <c r="F5328" s="52" t="s">
        <v>581</v>
      </c>
      <c r="G5328" s="55" t="s">
        <v>276</v>
      </c>
      <c r="H5328" s="55">
        <v>4.538341</v>
      </c>
      <c r="I5328" s="55">
        <v>8.8425460000000005</v>
      </c>
      <c r="J5328" s="55">
        <v>9.8038509999999999</v>
      </c>
      <c r="K5328" s="55">
        <v>9.2233920000000005</v>
      </c>
      <c r="L5328" s="55">
        <v>7.7651859999999999</v>
      </c>
      <c r="M5328" s="55">
        <v>6.5331029999999997</v>
      </c>
      <c r="N5328" s="55">
        <v>5.2911820000000001</v>
      </c>
    </row>
    <row r="5329" spans="1:14" hidden="1" x14ac:dyDescent="0.35">
      <c r="A5329" s="52" t="s">
        <v>709</v>
      </c>
      <c r="B5329" s="52" t="s">
        <v>74</v>
      </c>
      <c r="C5329" s="52" t="s">
        <v>87</v>
      </c>
      <c r="D5329" s="52" t="s">
        <v>88</v>
      </c>
      <c r="E5329" s="52" t="s">
        <v>584</v>
      </c>
      <c r="F5329" s="52" t="s">
        <v>581</v>
      </c>
      <c r="G5329" s="55" t="s">
        <v>277</v>
      </c>
      <c r="H5329" s="55">
        <v>1.859434</v>
      </c>
      <c r="I5329" s="55">
        <v>0</v>
      </c>
      <c r="J5329" s="55"/>
      <c r="K5329" s="55"/>
      <c r="L5329" s="55"/>
      <c r="M5329" s="55"/>
      <c r="N5329" s="55"/>
    </row>
    <row r="5330" spans="1:14" hidden="1" x14ac:dyDescent="0.35">
      <c r="A5330" s="52" t="s">
        <v>709</v>
      </c>
      <c r="B5330" s="52" t="s">
        <v>74</v>
      </c>
      <c r="C5330" s="52" t="s">
        <v>87</v>
      </c>
      <c r="D5330" s="52" t="s">
        <v>88</v>
      </c>
      <c r="E5330" s="52" t="s">
        <v>584</v>
      </c>
      <c r="F5330" s="52" t="s">
        <v>581</v>
      </c>
      <c r="G5330" s="55" t="s">
        <v>279</v>
      </c>
      <c r="H5330" s="55">
        <v>2.115259</v>
      </c>
      <c r="I5330" s="55">
        <v>5.0419340000000004</v>
      </c>
      <c r="J5330" s="55">
        <v>5.2361399999999998</v>
      </c>
      <c r="K5330" s="55">
        <v>4.4761579999999999</v>
      </c>
      <c r="L5330" s="55">
        <v>3.7780749999999999</v>
      </c>
      <c r="M5330" s="55">
        <v>3.2489859999999999</v>
      </c>
      <c r="N5330" s="55">
        <v>3.21468</v>
      </c>
    </row>
    <row r="5331" spans="1:14" hidden="1" x14ac:dyDescent="0.35">
      <c r="A5331" s="52" t="s">
        <v>709</v>
      </c>
      <c r="B5331" s="52" t="s">
        <v>74</v>
      </c>
      <c r="C5331" s="52" t="s">
        <v>87</v>
      </c>
      <c r="D5331" s="52" t="s">
        <v>88</v>
      </c>
      <c r="E5331" s="52" t="s">
        <v>584</v>
      </c>
      <c r="F5331" s="52" t="s">
        <v>26</v>
      </c>
      <c r="G5331" s="55" t="s">
        <v>275</v>
      </c>
      <c r="H5331" s="55">
        <v>8.4684600000000003</v>
      </c>
      <c r="I5331" s="55">
        <v>32.032389999999999</v>
      </c>
      <c r="J5331" s="55">
        <v>47.329329999999999</v>
      </c>
      <c r="K5331" s="55">
        <v>62.560490000000001</v>
      </c>
      <c r="L5331" s="55">
        <v>50.487900000000003</v>
      </c>
      <c r="M5331" s="55">
        <v>40.485909999999997</v>
      </c>
      <c r="N5331" s="55">
        <v>29.998740000000002</v>
      </c>
    </row>
    <row r="5332" spans="1:14" hidden="1" x14ac:dyDescent="0.35">
      <c r="A5332" s="52" t="s">
        <v>709</v>
      </c>
      <c r="B5332" s="52" t="s">
        <v>74</v>
      </c>
      <c r="C5332" s="52" t="s">
        <v>87</v>
      </c>
      <c r="D5332" s="52" t="s">
        <v>88</v>
      </c>
      <c r="E5332" s="52" t="s">
        <v>584</v>
      </c>
      <c r="F5332" s="52" t="s">
        <v>26</v>
      </c>
      <c r="G5332" s="55" t="s">
        <v>276</v>
      </c>
      <c r="H5332" s="55">
        <v>-50.063369999999999</v>
      </c>
      <c r="I5332" s="55">
        <v>16.024000000000001</v>
      </c>
      <c r="J5332" s="55">
        <v>26.642309999999998</v>
      </c>
      <c r="K5332" s="55">
        <v>41.128660000000004</v>
      </c>
      <c r="L5332" s="55">
        <v>32.909570000000002</v>
      </c>
      <c r="M5332" s="55">
        <v>26.136990000000001</v>
      </c>
      <c r="N5332" s="55">
        <v>19.016069999999999</v>
      </c>
    </row>
    <row r="5333" spans="1:14" hidden="1" x14ac:dyDescent="0.35">
      <c r="A5333" s="52" t="s">
        <v>709</v>
      </c>
      <c r="B5333" s="52" t="s">
        <v>74</v>
      </c>
      <c r="C5333" s="52" t="s">
        <v>87</v>
      </c>
      <c r="D5333" s="52" t="s">
        <v>88</v>
      </c>
      <c r="E5333" s="52" t="s">
        <v>584</v>
      </c>
      <c r="F5333" s="52" t="s">
        <v>26</v>
      </c>
      <c r="G5333" s="55" t="s">
        <v>277</v>
      </c>
      <c r="H5333" s="55">
        <v>79.23057</v>
      </c>
      <c r="I5333" s="55">
        <v>51.17689</v>
      </c>
      <c r="J5333" s="55">
        <v>47.141620000000003</v>
      </c>
      <c r="K5333" s="55">
        <v>5.5520259999999997</v>
      </c>
      <c r="L5333" s="55">
        <v>7.1907160000000001</v>
      </c>
      <c r="M5333" s="55">
        <v>8.1947980000000005</v>
      </c>
      <c r="N5333" s="55">
        <v>9.4376379999999997</v>
      </c>
    </row>
    <row r="5334" spans="1:14" hidden="1" x14ac:dyDescent="0.35">
      <c r="A5334" s="52" t="s">
        <v>709</v>
      </c>
      <c r="B5334" s="52" t="s">
        <v>74</v>
      </c>
      <c r="C5334" s="52" t="s">
        <v>87</v>
      </c>
      <c r="D5334" s="52" t="s">
        <v>88</v>
      </c>
      <c r="E5334" s="52" t="s">
        <v>584</v>
      </c>
      <c r="F5334" s="52" t="s">
        <v>26</v>
      </c>
      <c r="G5334" s="55" t="s">
        <v>279</v>
      </c>
      <c r="H5334" s="55">
        <v>25.131150000000002</v>
      </c>
      <c r="I5334" s="55">
        <v>46.443019999999997</v>
      </c>
      <c r="J5334" s="55">
        <v>45.555120000000002</v>
      </c>
      <c r="K5334" s="55">
        <v>41.156509999999997</v>
      </c>
      <c r="L5334" s="55">
        <v>36.057940000000002</v>
      </c>
      <c r="M5334" s="55">
        <v>32.163469999999997</v>
      </c>
      <c r="N5334" s="55">
        <v>31.366910000000001</v>
      </c>
    </row>
    <row r="5335" spans="1:14" hidden="1" x14ac:dyDescent="0.35">
      <c r="A5335" s="52" t="s">
        <v>709</v>
      </c>
      <c r="B5335" s="52" t="s">
        <v>74</v>
      </c>
      <c r="C5335" s="52" t="s">
        <v>87</v>
      </c>
      <c r="D5335" s="52" t="s">
        <v>91</v>
      </c>
      <c r="E5335" s="52" t="s">
        <v>584</v>
      </c>
      <c r="F5335" s="52" t="s">
        <v>581</v>
      </c>
      <c r="G5335" s="55" t="s">
        <v>275</v>
      </c>
      <c r="H5335" s="55">
        <v>7.8024829999999996</v>
      </c>
      <c r="I5335" s="55">
        <v>2.09877</v>
      </c>
      <c r="J5335" s="55">
        <v>1.8042039999999999</v>
      </c>
      <c r="K5335" s="55">
        <v>1.174749</v>
      </c>
      <c r="L5335" s="55">
        <v>0.94041249999999998</v>
      </c>
      <c r="M5335" s="55">
        <v>0.51231890000000002</v>
      </c>
      <c r="N5335" s="55">
        <v>9.4536400000000007E-2</v>
      </c>
    </row>
    <row r="5336" spans="1:14" hidden="1" x14ac:dyDescent="0.35">
      <c r="A5336" s="52" t="s">
        <v>709</v>
      </c>
      <c r="B5336" s="52" t="s">
        <v>74</v>
      </c>
      <c r="C5336" s="52" t="s">
        <v>87</v>
      </c>
      <c r="D5336" s="52" t="s">
        <v>91</v>
      </c>
      <c r="E5336" s="52" t="s">
        <v>584</v>
      </c>
      <c r="F5336" s="52" t="s">
        <v>581</v>
      </c>
      <c r="G5336" s="55" t="s">
        <v>276</v>
      </c>
      <c r="H5336" s="55">
        <v>5.1535970000000004</v>
      </c>
      <c r="I5336" s="55">
        <v>1.361632</v>
      </c>
      <c r="J5336" s="55">
        <v>1.1688019999999999</v>
      </c>
      <c r="K5336" s="55">
        <v>0.74297230000000003</v>
      </c>
      <c r="L5336" s="55">
        <v>0.57975810000000005</v>
      </c>
      <c r="M5336" s="55">
        <v>0.2967265</v>
      </c>
      <c r="N5336" s="55">
        <v>1.505975E-2</v>
      </c>
    </row>
    <row r="5337" spans="1:14" hidden="1" x14ac:dyDescent="0.35">
      <c r="A5337" s="52" t="s">
        <v>709</v>
      </c>
      <c r="B5337" s="52" t="s">
        <v>74</v>
      </c>
      <c r="C5337" s="52" t="s">
        <v>87</v>
      </c>
      <c r="D5337" s="52" t="s">
        <v>91</v>
      </c>
      <c r="E5337" s="52" t="s">
        <v>584</v>
      </c>
      <c r="F5337" s="52" t="s">
        <v>581</v>
      </c>
      <c r="G5337" s="55" t="s">
        <v>277</v>
      </c>
      <c r="H5337" s="55">
        <v>0.46136969999999999</v>
      </c>
      <c r="I5337" s="55">
        <v>0.36045739999999998</v>
      </c>
      <c r="J5337" s="55">
        <v>0.32639940000000001</v>
      </c>
      <c r="K5337" s="55">
        <v>0.3858607</v>
      </c>
      <c r="L5337" s="55">
        <v>0.45296170000000002</v>
      </c>
      <c r="M5337" s="55">
        <v>0.4302646</v>
      </c>
      <c r="N5337" s="55">
        <v>0.4604588</v>
      </c>
    </row>
    <row r="5338" spans="1:14" hidden="1" x14ac:dyDescent="0.35">
      <c r="A5338" s="52" t="s">
        <v>709</v>
      </c>
      <c r="B5338" s="52" t="s">
        <v>74</v>
      </c>
      <c r="C5338" s="52" t="s">
        <v>87</v>
      </c>
      <c r="D5338" s="52" t="s">
        <v>91</v>
      </c>
      <c r="E5338" s="52" t="s">
        <v>584</v>
      </c>
      <c r="F5338" s="52" t="s">
        <v>581</v>
      </c>
      <c r="G5338" s="55" t="s">
        <v>279</v>
      </c>
      <c r="H5338" s="55">
        <v>4.9185270000000001</v>
      </c>
      <c r="I5338" s="55">
        <v>4.1489979999999997</v>
      </c>
      <c r="J5338" s="55">
        <v>3.9692409999999998</v>
      </c>
      <c r="K5338" s="55">
        <v>4.5003500000000001</v>
      </c>
      <c r="L5338" s="55">
        <v>4.5172480000000004</v>
      </c>
      <c r="M5338" s="55">
        <v>4.4372470000000002</v>
      </c>
      <c r="N5338" s="55">
        <v>4.3757780000000004</v>
      </c>
    </row>
    <row r="5339" spans="1:14" hidden="1" x14ac:dyDescent="0.35">
      <c r="A5339" s="52" t="s">
        <v>709</v>
      </c>
      <c r="B5339" s="52" t="s">
        <v>74</v>
      </c>
      <c r="C5339" s="52" t="s">
        <v>87</v>
      </c>
      <c r="D5339" s="52" t="s">
        <v>91</v>
      </c>
      <c r="E5339" s="52" t="s">
        <v>584</v>
      </c>
      <c r="F5339" s="52" t="s">
        <v>26</v>
      </c>
      <c r="G5339" s="55" t="s">
        <v>275</v>
      </c>
      <c r="H5339" s="55">
        <v>0.63930050000000005</v>
      </c>
      <c r="I5339" s="55">
        <v>0.39014199999999999</v>
      </c>
      <c r="J5339" s="55">
        <v>0.41242529999999999</v>
      </c>
      <c r="K5339" s="55">
        <v>0.37740970000000001</v>
      </c>
      <c r="L5339" s="55">
        <v>0.35991689999999998</v>
      </c>
      <c r="M5339" s="55">
        <v>0.31497459999999999</v>
      </c>
      <c r="N5339" s="55">
        <v>0.27437780000000001</v>
      </c>
    </row>
    <row r="5340" spans="1:14" hidden="1" x14ac:dyDescent="0.35">
      <c r="A5340" s="52" t="s">
        <v>709</v>
      </c>
      <c r="B5340" s="52" t="s">
        <v>74</v>
      </c>
      <c r="C5340" s="52" t="s">
        <v>87</v>
      </c>
      <c r="D5340" s="52" t="s">
        <v>91</v>
      </c>
      <c r="E5340" s="52" t="s">
        <v>584</v>
      </c>
      <c r="F5340" s="52" t="s">
        <v>26</v>
      </c>
      <c r="G5340" s="55" t="s">
        <v>276</v>
      </c>
      <c r="H5340" s="55">
        <v>0.42620059999999999</v>
      </c>
      <c r="I5340" s="55">
        <v>0.26009460000000001</v>
      </c>
      <c r="J5340" s="55">
        <v>0.27495019999999998</v>
      </c>
      <c r="K5340" s="55">
        <v>0.25160650000000001</v>
      </c>
      <c r="L5340" s="55">
        <v>0.23994450000000001</v>
      </c>
      <c r="M5340" s="55">
        <v>0.2099829</v>
      </c>
      <c r="N5340" s="55">
        <v>0.18291869999999999</v>
      </c>
    </row>
    <row r="5341" spans="1:14" hidden="1" x14ac:dyDescent="0.35">
      <c r="A5341" s="52" t="s">
        <v>709</v>
      </c>
      <c r="B5341" s="52" t="s">
        <v>74</v>
      </c>
      <c r="C5341" s="52" t="s">
        <v>87</v>
      </c>
      <c r="D5341" s="52" t="s">
        <v>91</v>
      </c>
      <c r="E5341" s="52" t="s">
        <v>584</v>
      </c>
      <c r="F5341" s="52" t="s">
        <v>26</v>
      </c>
      <c r="G5341" s="55" t="s">
        <v>279</v>
      </c>
      <c r="H5341" s="55">
        <v>0.38563920000000002</v>
      </c>
      <c r="I5341" s="55">
        <v>0.2434781</v>
      </c>
      <c r="J5341" s="55">
        <v>0.22830049999999999</v>
      </c>
      <c r="K5341" s="55">
        <v>0.22793379999999999</v>
      </c>
      <c r="L5341" s="55">
        <v>0.2174208</v>
      </c>
      <c r="M5341" s="55">
        <v>0.19014400000000001</v>
      </c>
      <c r="N5341" s="55">
        <v>0.16566529999999999</v>
      </c>
    </row>
    <row r="5342" spans="1:14" hidden="1" x14ac:dyDescent="0.35">
      <c r="A5342" s="52" t="s">
        <v>709</v>
      </c>
      <c r="B5342" s="52" t="s">
        <v>74</v>
      </c>
      <c r="C5342" s="52" t="s">
        <v>87</v>
      </c>
      <c r="D5342" s="52" t="s">
        <v>92</v>
      </c>
      <c r="E5342" s="52" t="s">
        <v>584</v>
      </c>
      <c r="F5342" s="52" t="s">
        <v>581</v>
      </c>
      <c r="G5342" s="55" t="s">
        <v>275</v>
      </c>
      <c r="H5342" s="55">
        <v>-0.5983849</v>
      </c>
      <c r="I5342" s="55">
        <v>-2.2999879999999999</v>
      </c>
      <c r="J5342" s="55">
        <v>-0.18501409999999999</v>
      </c>
      <c r="K5342" s="55">
        <v>-6.0262610000000001E-2</v>
      </c>
      <c r="L5342" s="55"/>
      <c r="M5342" s="55">
        <v>0</v>
      </c>
      <c r="N5342" s="55">
        <v>0</v>
      </c>
    </row>
    <row r="5343" spans="1:14" hidden="1" x14ac:dyDescent="0.35">
      <c r="A5343" s="52" t="s">
        <v>709</v>
      </c>
      <c r="B5343" s="52" t="s">
        <v>74</v>
      </c>
      <c r="C5343" s="52" t="s">
        <v>87</v>
      </c>
      <c r="D5343" s="52" t="s">
        <v>92</v>
      </c>
      <c r="E5343" s="52" t="s">
        <v>584</v>
      </c>
      <c r="F5343" s="52" t="s">
        <v>581</v>
      </c>
      <c r="G5343" s="55" t="s">
        <v>276</v>
      </c>
      <c r="H5343" s="55">
        <v>-0.50328269999999997</v>
      </c>
      <c r="I5343" s="55">
        <v>-1.5905990000000001</v>
      </c>
      <c r="J5343" s="55">
        <v>-0.1547752</v>
      </c>
      <c r="K5343" s="55">
        <v>-4.0175000000000002E-2</v>
      </c>
      <c r="L5343" s="55"/>
      <c r="M5343" s="55">
        <v>0</v>
      </c>
      <c r="N5343" s="55">
        <v>0</v>
      </c>
    </row>
    <row r="5344" spans="1:14" hidden="1" x14ac:dyDescent="0.35">
      <c r="A5344" s="52" t="s">
        <v>709</v>
      </c>
      <c r="B5344" s="52" t="s">
        <v>74</v>
      </c>
      <c r="C5344" s="52" t="s">
        <v>87</v>
      </c>
      <c r="D5344" s="52" t="s">
        <v>92</v>
      </c>
      <c r="E5344" s="52" t="s">
        <v>584</v>
      </c>
      <c r="F5344" s="52" t="s">
        <v>581</v>
      </c>
      <c r="G5344" s="55" t="s">
        <v>277</v>
      </c>
      <c r="H5344" s="55">
        <v>1.001851</v>
      </c>
      <c r="I5344" s="55">
        <v>0.54982759999999997</v>
      </c>
      <c r="J5344" s="55">
        <v>0.30175190000000002</v>
      </c>
      <c r="K5344" s="55">
        <v>0</v>
      </c>
      <c r="L5344" s="55"/>
      <c r="M5344" s="55"/>
      <c r="N5344" s="55"/>
    </row>
    <row r="5345" spans="1:14" hidden="1" x14ac:dyDescent="0.35">
      <c r="A5345" s="52" t="s">
        <v>709</v>
      </c>
      <c r="B5345" s="52" t="s">
        <v>74</v>
      </c>
      <c r="C5345" s="52" t="s">
        <v>87</v>
      </c>
      <c r="D5345" s="52" t="s">
        <v>92</v>
      </c>
      <c r="E5345" s="52" t="s">
        <v>584</v>
      </c>
      <c r="F5345" s="52" t="s">
        <v>581</v>
      </c>
      <c r="G5345" s="55" t="s">
        <v>279</v>
      </c>
      <c r="H5345" s="55">
        <v>0.30865340000000002</v>
      </c>
      <c r="I5345" s="55">
        <v>3.523879</v>
      </c>
      <c r="J5345" s="55">
        <v>0.228903</v>
      </c>
      <c r="K5345" s="55">
        <v>0.26439220000000002</v>
      </c>
      <c r="L5345" s="55"/>
      <c r="M5345" s="55">
        <v>0</v>
      </c>
      <c r="N5345" s="55">
        <v>0</v>
      </c>
    </row>
    <row r="5346" spans="1:14" hidden="1" x14ac:dyDescent="0.35">
      <c r="A5346" s="52" t="s">
        <v>709</v>
      </c>
      <c r="B5346" s="52" t="s">
        <v>74</v>
      </c>
      <c r="C5346" s="52" t="s">
        <v>87</v>
      </c>
      <c r="D5346" s="52" t="s">
        <v>92</v>
      </c>
      <c r="E5346" s="52" t="s">
        <v>584</v>
      </c>
      <c r="F5346" s="52" t="s">
        <v>26</v>
      </c>
      <c r="G5346" s="55" t="s">
        <v>275</v>
      </c>
      <c r="H5346" s="55">
        <v>1.913581E-2</v>
      </c>
      <c r="I5346" s="55">
        <v>2.9020089999999998E-2</v>
      </c>
      <c r="J5346" s="55">
        <v>3.5060189999999998E-2</v>
      </c>
      <c r="K5346" s="55">
        <v>2.944227E-2</v>
      </c>
      <c r="L5346" s="55"/>
      <c r="M5346" s="55">
        <v>0</v>
      </c>
      <c r="N5346" s="55">
        <v>0</v>
      </c>
    </row>
    <row r="5347" spans="1:14" hidden="1" x14ac:dyDescent="0.35">
      <c r="A5347" s="52" t="s">
        <v>709</v>
      </c>
      <c r="B5347" s="52" t="s">
        <v>74</v>
      </c>
      <c r="C5347" s="52" t="s">
        <v>87</v>
      </c>
      <c r="D5347" s="52" t="s">
        <v>92</v>
      </c>
      <c r="E5347" s="52" t="s">
        <v>584</v>
      </c>
      <c r="F5347" s="52" t="s">
        <v>26</v>
      </c>
      <c r="G5347" s="55" t="s">
        <v>276</v>
      </c>
      <c r="H5347" s="55">
        <v>1.275721E-2</v>
      </c>
      <c r="I5347" s="55">
        <v>1.9346800000000001E-2</v>
      </c>
      <c r="J5347" s="55">
        <v>2.3373410000000001E-2</v>
      </c>
      <c r="K5347" s="55">
        <v>1.9628179999999999E-2</v>
      </c>
      <c r="L5347" s="55"/>
      <c r="M5347" s="55">
        <v>0</v>
      </c>
      <c r="N5347" s="55">
        <v>0</v>
      </c>
    </row>
    <row r="5348" spans="1:14" hidden="1" x14ac:dyDescent="0.35">
      <c r="A5348" s="52" t="s">
        <v>709</v>
      </c>
      <c r="B5348" s="52" t="s">
        <v>74</v>
      </c>
      <c r="C5348" s="52" t="s">
        <v>87</v>
      </c>
      <c r="D5348" s="52" t="s">
        <v>92</v>
      </c>
      <c r="E5348" s="52" t="s">
        <v>584</v>
      </c>
      <c r="F5348" s="52" t="s">
        <v>26</v>
      </c>
      <c r="G5348" s="55" t="s">
        <v>279</v>
      </c>
      <c r="H5348" s="55">
        <v>1.1543960000000001E-2</v>
      </c>
      <c r="I5348" s="55">
        <v>1.8112219999999998E-2</v>
      </c>
      <c r="J5348" s="55">
        <v>1.9409050000000001E-2</v>
      </c>
      <c r="K5348" s="55">
        <v>1.778242E-2</v>
      </c>
      <c r="L5348" s="55"/>
      <c r="M5348" s="55">
        <v>0</v>
      </c>
      <c r="N5348" s="55">
        <v>0</v>
      </c>
    </row>
    <row r="5349" spans="1:14" hidden="1" x14ac:dyDescent="0.35">
      <c r="A5349" s="52" t="s">
        <v>709</v>
      </c>
      <c r="B5349" s="52" t="s">
        <v>74</v>
      </c>
      <c r="C5349" s="52" t="s">
        <v>87</v>
      </c>
      <c r="D5349" s="52" t="s">
        <v>89</v>
      </c>
      <c r="E5349" s="52" t="s">
        <v>584</v>
      </c>
      <c r="F5349" s="52" t="s">
        <v>581</v>
      </c>
      <c r="G5349" s="55" t="s">
        <v>275</v>
      </c>
      <c r="H5349" s="55">
        <v>-4.0870000000000001E-4</v>
      </c>
      <c r="I5349" s="55">
        <v>-5.5820000000000002E-4</v>
      </c>
      <c r="J5349" s="55">
        <v>0</v>
      </c>
      <c r="K5349" s="55">
        <v>0</v>
      </c>
      <c r="L5349" s="55">
        <v>0</v>
      </c>
      <c r="M5349" s="55">
        <v>0</v>
      </c>
      <c r="N5349" s="55">
        <v>0</v>
      </c>
    </row>
    <row r="5350" spans="1:14" hidden="1" x14ac:dyDescent="0.35">
      <c r="A5350" s="52" t="s">
        <v>709</v>
      </c>
      <c r="B5350" s="52" t="s">
        <v>74</v>
      </c>
      <c r="C5350" s="52" t="s">
        <v>87</v>
      </c>
      <c r="D5350" s="52" t="s">
        <v>89</v>
      </c>
      <c r="E5350" s="52" t="s">
        <v>584</v>
      </c>
      <c r="F5350" s="52" t="s">
        <v>581</v>
      </c>
      <c r="G5350" s="55" t="s">
        <v>276</v>
      </c>
      <c r="H5350" s="55">
        <v>-2.7260000000000001E-4</v>
      </c>
      <c r="I5350" s="55">
        <v>-3.7219999999999999E-4</v>
      </c>
      <c r="J5350" s="55">
        <v>-9.3030000000000001E-4</v>
      </c>
      <c r="K5350" s="55">
        <v>-9.3039999999999996E-4</v>
      </c>
      <c r="L5350" s="55">
        <v>-9.3019990000000002E-4</v>
      </c>
      <c r="M5350" s="55">
        <v>-9.3030000000000001E-4</v>
      </c>
      <c r="N5350" s="55">
        <v>-9.3030000000000001E-4</v>
      </c>
    </row>
    <row r="5351" spans="1:14" hidden="1" x14ac:dyDescent="0.35">
      <c r="A5351" s="52" t="s">
        <v>709</v>
      </c>
      <c r="B5351" s="52" t="s">
        <v>74</v>
      </c>
      <c r="C5351" s="52" t="s">
        <v>87</v>
      </c>
      <c r="D5351" s="52" t="s">
        <v>89</v>
      </c>
      <c r="E5351" s="52" t="s">
        <v>584</v>
      </c>
      <c r="F5351" s="52" t="s">
        <v>581</v>
      </c>
      <c r="G5351" s="55" t="s">
        <v>278</v>
      </c>
      <c r="H5351" s="55">
        <v>6.8130000000000003E-4</v>
      </c>
      <c r="I5351" s="55">
        <v>9.3030000000000001E-4</v>
      </c>
      <c r="J5351" s="55">
        <v>9.3030000000000001E-4</v>
      </c>
      <c r="K5351" s="55">
        <v>9.3030000000000001E-4</v>
      </c>
      <c r="L5351" s="55">
        <v>9.3030000000000001E-4</v>
      </c>
      <c r="M5351" s="55">
        <v>9.3030000000000001E-4</v>
      </c>
      <c r="N5351" s="55">
        <v>9.3030000000000001E-4</v>
      </c>
    </row>
    <row r="5352" spans="1:14" hidden="1" x14ac:dyDescent="0.35">
      <c r="A5352" s="52" t="s">
        <v>709</v>
      </c>
      <c r="B5352" s="52" t="s">
        <v>74</v>
      </c>
      <c r="C5352" s="52" t="s">
        <v>87</v>
      </c>
      <c r="D5352" s="52" t="s">
        <v>130</v>
      </c>
      <c r="E5352" s="52" t="s">
        <v>584</v>
      </c>
      <c r="F5352" s="52" t="s">
        <v>581</v>
      </c>
      <c r="G5352" s="55" t="s">
        <v>275</v>
      </c>
      <c r="H5352" s="55">
        <v>-3.1030440000000001E-3</v>
      </c>
      <c r="I5352" s="55">
        <v>-4.2370430000000002E-3</v>
      </c>
      <c r="J5352" s="55">
        <v>0</v>
      </c>
      <c r="K5352" s="55">
        <v>0</v>
      </c>
      <c r="L5352" s="55">
        <v>0</v>
      </c>
      <c r="M5352" s="55">
        <v>0</v>
      </c>
      <c r="N5352" s="55">
        <v>0</v>
      </c>
    </row>
    <row r="5353" spans="1:14" hidden="1" x14ac:dyDescent="0.35">
      <c r="A5353" s="52" t="s">
        <v>709</v>
      </c>
      <c r="B5353" s="52" t="s">
        <v>74</v>
      </c>
      <c r="C5353" s="52" t="s">
        <v>87</v>
      </c>
      <c r="D5353" s="52" t="s">
        <v>130</v>
      </c>
      <c r="E5353" s="52" t="s">
        <v>584</v>
      </c>
      <c r="F5353" s="52" t="s">
        <v>581</v>
      </c>
      <c r="G5353" s="55" t="s">
        <v>276</v>
      </c>
      <c r="H5353" s="55">
        <v>-2.068336E-3</v>
      </c>
      <c r="I5353" s="55">
        <v>-2.8246349999999998E-3</v>
      </c>
      <c r="J5353" s="55">
        <v>-7.0618579999999999E-3</v>
      </c>
      <c r="K5353" s="55">
        <v>-7.0616780000000001E-3</v>
      </c>
      <c r="L5353" s="55">
        <v>-7.0618579999999999E-3</v>
      </c>
      <c r="M5353" s="55">
        <v>-7.0618579999999999E-3</v>
      </c>
      <c r="N5353" s="55">
        <v>-2.3778469999999999E-2</v>
      </c>
    </row>
    <row r="5354" spans="1:14" hidden="1" x14ac:dyDescent="0.35">
      <c r="A5354" s="52" t="s">
        <v>709</v>
      </c>
      <c r="B5354" s="52" t="s">
        <v>74</v>
      </c>
      <c r="C5354" s="52" t="s">
        <v>87</v>
      </c>
      <c r="D5354" s="52" t="s">
        <v>130</v>
      </c>
      <c r="E5354" s="52" t="s">
        <v>584</v>
      </c>
      <c r="F5354" s="52" t="s">
        <v>581</v>
      </c>
      <c r="G5354" s="55" t="s">
        <v>277</v>
      </c>
      <c r="H5354" s="55"/>
      <c r="I5354" s="55"/>
      <c r="J5354" s="55"/>
      <c r="K5354" s="55"/>
      <c r="L5354" s="55"/>
      <c r="M5354" s="55">
        <v>0</v>
      </c>
      <c r="N5354" s="55">
        <v>1.6716970000000001E-2</v>
      </c>
    </row>
    <row r="5355" spans="1:14" hidden="1" x14ac:dyDescent="0.35">
      <c r="A5355" s="52" t="s">
        <v>709</v>
      </c>
      <c r="B5355" s="52" t="s">
        <v>74</v>
      </c>
      <c r="C5355" s="52" t="s">
        <v>87</v>
      </c>
      <c r="D5355" s="52" t="s">
        <v>130</v>
      </c>
      <c r="E5355" s="52" t="s">
        <v>584</v>
      </c>
      <c r="F5355" s="52" t="s">
        <v>581</v>
      </c>
      <c r="G5355" s="55" t="s">
        <v>278</v>
      </c>
      <c r="H5355" s="55">
        <v>5.1715600000000004E-3</v>
      </c>
      <c r="I5355" s="55">
        <v>7.0616769999999997E-3</v>
      </c>
      <c r="J5355" s="55">
        <v>7.0616769999999997E-3</v>
      </c>
      <c r="K5355" s="55">
        <v>7.0616769999999997E-3</v>
      </c>
      <c r="L5355" s="55">
        <v>7.0616769999999997E-3</v>
      </c>
      <c r="M5355" s="55">
        <v>7.0616780000000001E-3</v>
      </c>
      <c r="N5355" s="55">
        <v>7.0616769999999997E-3</v>
      </c>
    </row>
    <row r="5356" spans="1:14" hidden="1" x14ac:dyDescent="0.35">
      <c r="A5356" s="52" t="s">
        <v>709</v>
      </c>
      <c r="B5356" s="52" t="s">
        <v>74</v>
      </c>
      <c r="C5356" s="52" t="s">
        <v>227</v>
      </c>
      <c r="D5356" s="52" t="s">
        <v>227</v>
      </c>
      <c r="E5356" s="52" t="s">
        <v>584</v>
      </c>
      <c r="F5356" s="52" t="s">
        <v>581</v>
      </c>
      <c r="G5356" s="55" t="s">
        <v>275</v>
      </c>
      <c r="H5356" s="55">
        <v>-27.89198</v>
      </c>
      <c r="I5356" s="55">
        <v>-2.023838</v>
      </c>
      <c r="J5356" s="55">
        <v>35.161790000000003</v>
      </c>
      <c r="K5356" s="55">
        <v>37.396830000000001</v>
      </c>
      <c r="L5356" s="55">
        <v>37.337710000000001</v>
      </c>
      <c r="M5356" s="55">
        <v>37.646999999999998</v>
      </c>
      <c r="N5356" s="55">
        <v>29.86195</v>
      </c>
    </row>
    <row r="5357" spans="1:14" hidden="1" x14ac:dyDescent="0.35">
      <c r="A5357" s="52" t="s">
        <v>709</v>
      </c>
      <c r="B5357" s="52" t="s">
        <v>74</v>
      </c>
      <c r="C5357" s="52" t="s">
        <v>227</v>
      </c>
      <c r="D5357" s="52" t="s">
        <v>227</v>
      </c>
      <c r="E5357" s="52" t="s">
        <v>584</v>
      </c>
      <c r="F5357" s="52" t="s">
        <v>581</v>
      </c>
      <c r="G5357" s="55" t="s">
        <v>276</v>
      </c>
      <c r="H5357" s="55">
        <v>-148.446</v>
      </c>
      <c r="I5357" s="55">
        <v>-6.0368279999999999</v>
      </c>
      <c r="J5357" s="55">
        <v>22.195350000000001</v>
      </c>
      <c r="K5357" s="55">
        <v>23.527190000000001</v>
      </c>
      <c r="L5357" s="55">
        <v>24.086120000000001</v>
      </c>
      <c r="M5357" s="55">
        <v>24.216629999999999</v>
      </c>
      <c r="N5357" s="55">
        <v>18.875389999999999</v>
      </c>
    </row>
    <row r="5358" spans="1:14" hidden="1" x14ac:dyDescent="0.35">
      <c r="A5358" s="52" t="s">
        <v>709</v>
      </c>
      <c r="B5358" s="52" t="s">
        <v>74</v>
      </c>
      <c r="C5358" s="52" t="s">
        <v>227</v>
      </c>
      <c r="D5358" s="52" t="s">
        <v>227</v>
      </c>
      <c r="E5358" s="52" t="s">
        <v>584</v>
      </c>
      <c r="F5358" s="52" t="s">
        <v>581</v>
      </c>
      <c r="G5358" s="55" t="s">
        <v>277</v>
      </c>
      <c r="H5358" s="55">
        <v>185.67240000000001</v>
      </c>
      <c r="I5358" s="55">
        <v>45.000950000000003</v>
      </c>
      <c r="J5358" s="55">
        <v>11.57376</v>
      </c>
      <c r="K5358" s="55">
        <v>5.4602680000000001</v>
      </c>
      <c r="L5358" s="55">
        <v>7.4483370000000004</v>
      </c>
      <c r="M5358" s="55">
        <v>8.7748059999999999</v>
      </c>
      <c r="N5358" s="55">
        <v>23.665189999999999</v>
      </c>
    </row>
    <row r="5359" spans="1:14" hidden="1" x14ac:dyDescent="0.35">
      <c r="A5359" s="52" t="s">
        <v>709</v>
      </c>
      <c r="B5359" s="52" t="s">
        <v>74</v>
      </c>
      <c r="C5359" s="52" t="s">
        <v>227</v>
      </c>
      <c r="D5359" s="52" t="s">
        <v>227</v>
      </c>
      <c r="E5359" s="52" t="s">
        <v>584</v>
      </c>
      <c r="F5359" s="52" t="s">
        <v>581</v>
      </c>
      <c r="G5359" s="55" t="s">
        <v>278</v>
      </c>
      <c r="H5359" s="55">
        <v>3.673539E-2</v>
      </c>
      <c r="I5359" s="55">
        <v>5.0161770000000001E-2</v>
      </c>
      <c r="J5359" s="55">
        <v>5.0161770000000001E-2</v>
      </c>
      <c r="K5359" s="55">
        <v>0.84517830000000005</v>
      </c>
      <c r="L5359" s="55">
        <v>5.0161770000000001E-2</v>
      </c>
      <c r="M5359" s="55">
        <v>4.0236769999999998E-2</v>
      </c>
      <c r="N5359" s="55">
        <v>4.0236769999999998E-2</v>
      </c>
    </row>
    <row r="5360" spans="1:14" hidden="1" x14ac:dyDescent="0.35">
      <c r="A5360" s="52" t="s">
        <v>709</v>
      </c>
      <c r="B5360" s="52" t="s">
        <v>74</v>
      </c>
      <c r="C5360" s="52" t="s">
        <v>227</v>
      </c>
      <c r="D5360" s="52" t="s">
        <v>227</v>
      </c>
      <c r="E5360" s="52" t="s">
        <v>584</v>
      </c>
      <c r="F5360" s="52" t="s">
        <v>581</v>
      </c>
      <c r="G5360" s="55" t="s">
        <v>279</v>
      </c>
      <c r="H5360" s="55">
        <v>19.988489999999999</v>
      </c>
      <c r="I5360" s="55">
        <v>34.844430000000003</v>
      </c>
      <c r="J5360" s="55">
        <v>48.869010000000003</v>
      </c>
      <c r="K5360" s="55">
        <v>55.490540000000003</v>
      </c>
      <c r="L5360" s="55">
        <v>56.882429999999999</v>
      </c>
      <c r="M5360" s="55">
        <v>58.322139999999997</v>
      </c>
      <c r="N5360" s="55">
        <v>59.775889999999997</v>
      </c>
    </row>
    <row r="5361" spans="1:14" hidden="1" x14ac:dyDescent="0.35">
      <c r="A5361" s="52" t="s">
        <v>709</v>
      </c>
      <c r="B5361" s="52" t="s">
        <v>74</v>
      </c>
      <c r="C5361" s="52" t="s">
        <v>227</v>
      </c>
      <c r="D5361" s="52" t="s">
        <v>228</v>
      </c>
      <c r="E5361" s="52" t="s">
        <v>584</v>
      </c>
      <c r="F5361" s="52" t="s">
        <v>581</v>
      </c>
      <c r="G5361" s="55" t="s">
        <v>275</v>
      </c>
      <c r="H5361" s="55">
        <v>-9.1087070000000006E-2</v>
      </c>
      <c r="I5361" s="55">
        <v>-3.4817089999999999</v>
      </c>
      <c r="J5361" s="55">
        <v>-2.7604069999999998</v>
      </c>
      <c r="K5361" s="55">
        <v>-3.6096270000000001</v>
      </c>
      <c r="L5361" s="55">
        <v>-3.8545370000000001</v>
      </c>
      <c r="M5361" s="55">
        <v>-10.67055</v>
      </c>
      <c r="N5361" s="55">
        <v>7.2670500000000002E-5</v>
      </c>
    </row>
    <row r="5362" spans="1:14" hidden="1" x14ac:dyDescent="0.35">
      <c r="A5362" s="52" t="s">
        <v>709</v>
      </c>
      <c r="B5362" s="52" t="s">
        <v>74</v>
      </c>
      <c r="C5362" s="52" t="s">
        <v>227</v>
      </c>
      <c r="D5362" s="52" t="s">
        <v>228</v>
      </c>
      <c r="E5362" s="52" t="s">
        <v>584</v>
      </c>
      <c r="F5362" s="52" t="s">
        <v>581</v>
      </c>
      <c r="G5362" s="55" t="s">
        <v>276</v>
      </c>
      <c r="H5362" s="55">
        <v>-0.14997489999999999</v>
      </c>
      <c r="I5362" s="55">
        <v>-2.5849519999999999</v>
      </c>
      <c r="J5362" s="55">
        <v>-1.88907</v>
      </c>
      <c r="K5362" s="55">
        <v>-2.4230309999999999</v>
      </c>
      <c r="L5362" s="55">
        <v>-2.5788090000000001</v>
      </c>
      <c r="M5362" s="55">
        <v>-7.113702</v>
      </c>
      <c r="N5362" s="55">
        <v>4.8459599999999999E-5</v>
      </c>
    </row>
    <row r="5363" spans="1:14" hidden="1" x14ac:dyDescent="0.35">
      <c r="A5363" s="52" t="s">
        <v>709</v>
      </c>
      <c r="B5363" s="52" t="s">
        <v>74</v>
      </c>
      <c r="C5363" s="52" t="s">
        <v>227</v>
      </c>
      <c r="D5363" s="52" t="s">
        <v>228</v>
      </c>
      <c r="E5363" s="52" t="s">
        <v>584</v>
      </c>
      <c r="F5363" s="52" t="s">
        <v>581</v>
      </c>
      <c r="G5363" s="55" t="s">
        <v>277</v>
      </c>
      <c r="H5363" s="55">
        <v>0.85680009999999995</v>
      </c>
      <c r="I5363" s="55">
        <v>2.5326</v>
      </c>
      <c r="J5363" s="55">
        <v>0.46846680000000002</v>
      </c>
      <c r="K5363" s="55">
        <v>0.15948270000000001</v>
      </c>
      <c r="L5363" s="55">
        <v>8.7525919999999993E-2</v>
      </c>
      <c r="M5363" s="55">
        <v>0</v>
      </c>
      <c r="N5363" s="55"/>
    </row>
    <row r="5364" spans="1:14" hidden="1" x14ac:dyDescent="0.35">
      <c r="A5364" s="52" t="s">
        <v>709</v>
      </c>
      <c r="B5364" s="52" t="s">
        <v>74</v>
      </c>
      <c r="C5364" s="52" t="s">
        <v>227</v>
      </c>
      <c r="D5364" s="52" t="s">
        <v>228</v>
      </c>
      <c r="E5364" s="52" t="s">
        <v>584</v>
      </c>
      <c r="F5364" s="52" t="s">
        <v>581</v>
      </c>
      <c r="G5364" s="55" t="s">
        <v>279</v>
      </c>
      <c r="H5364" s="55">
        <v>10.5703</v>
      </c>
      <c r="I5364" s="55">
        <v>9.7728479999999998</v>
      </c>
      <c r="J5364" s="55">
        <v>8.9025630000000007</v>
      </c>
      <c r="K5364" s="55">
        <v>10.21246</v>
      </c>
      <c r="L5364" s="55">
        <v>10.120939999999999</v>
      </c>
      <c r="M5364" s="55">
        <v>21.288530000000002</v>
      </c>
      <c r="N5364" s="55">
        <v>1.05651E-4</v>
      </c>
    </row>
    <row r="5365" spans="1:14" hidden="1" x14ac:dyDescent="0.35">
      <c r="A5365" s="52" t="s">
        <v>709</v>
      </c>
      <c r="B5365" s="52" t="s">
        <v>74</v>
      </c>
      <c r="C5365" s="52" t="s">
        <v>227</v>
      </c>
      <c r="D5365" s="52" t="s">
        <v>228</v>
      </c>
      <c r="E5365" s="52" t="s">
        <v>584</v>
      </c>
      <c r="F5365" s="52" t="s">
        <v>26</v>
      </c>
      <c r="G5365" s="55" t="s">
        <v>275</v>
      </c>
      <c r="H5365" s="55">
        <v>0.1798631</v>
      </c>
      <c r="I5365" s="55">
        <v>0.17142650000000001</v>
      </c>
      <c r="J5365" s="55">
        <v>0.15654580000000001</v>
      </c>
      <c r="K5365" s="55">
        <v>0.1356231</v>
      </c>
      <c r="L5365" s="55">
        <v>0.11803329999999999</v>
      </c>
      <c r="M5365" s="55">
        <v>0.1034447</v>
      </c>
      <c r="N5365" s="55"/>
    </row>
    <row r="5366" spans="1:14" hidden="1" x14ac:dyDescent="0.35">
      <c r="A5366" s="52" t="s">
        <v>709</v>
      </c>
      <c r="B5366" s="52" t="s">
        <v>74</v>
      </c>
      <c r="C5366" s="52" t="s">
        <v>227</v>
      </c>
      <c r="D5366" s="52" t="s">
        <v>228</v>
      </c>
      <c r="E5366" s="52" t="s">
        <v>584</v>
      </c>
      <c r="F5366" s="52" t="s">
        <v>26</v>
      </c>
      <c r="G5366" s="55" t="s">
        <v>276</v>
      </c>
      <c r="H5366" s="55">
        <v>0.119909</v>
      </c>
      <c r="I5366" s="55">
        <v>0.1142842</v>
      </c>
      <c r="J5366" s="55">
        <v>0.10436380000000001</v>
      </c>
      <c r="K5366" s="55">
        <v>9.0415389999999998E-2</v>
      </c>
      <c r="L5366" s="55">
        <v>7.8689049999999996E-2</v>
      </c>
      <c r="M5366" s="55">
        <v>6.8962220000000005E-2</v>
      </c>
      <c r="N5366" s="55"/>
    </row>
    <row r="5367" spans="1:14" hidden="1" x14ac:dyDescent="0.35">
      <c r="A5367" s="52" t="s">
        <v>709</v>
      </c>
      <c r="B5367" s="52" t="s">
        <v>74</v>
      </c>
      <c r="C5367" s="52" t="s">
        <v>227</v>
      </c>
      <c r="D5367" s="52" t="s">
        <v>228</v>
      </c>
      <c r="E5367" s="52" t="s">
        <v>584</v>
      </c>
      <c r="F5367" s="52" t="s">
        <v>26</v>
      </c>
      <c r="G5367" s="55" t="s">
        <v>279</v>
      </c>
      <c r="H5367" s="55">
        <v>0.23291300000000001</v>
      </c>
      <c r="I5367" s="55">
        <v>0.2423611</v>
      </c>
      <c r="J5367" s="55">
        <v>0.19124759999999999</v>
      </c>
      <c r="K5367" s="55">
        <v>0.1861245</v>
      </c>
      <c r="L5367" s="55">
        <v>0.16156670000000001</v>
      </c>
      <c r="M5367" s="55">
        <v>0.15185940000000001</v>
      </c>
      <c r="N5367" s="55"/>
    </row>
    <row r="5368" spans="1:14" hidden="1" x14ac:dyDescent="0.35">
      <c r="A5368" s="52" t="s">
        <v>709</v>
      </c>
      <c r="B5368" s="52" t="s">
        <v>74</v>
      </c>
      <c r="C5368" s="52" t="s">
        <v>71</v>
      </c>
      <c r="D5368" s="52" t="s">
        <v>75</v>
      </c>
      <c r="E5368" s="52" t="s">
        <v>584</v>
      </c>
      <c r="F5368" s="52" t="s">
        <v>581</v>
      </c>
      <c r="G5368" s="55" t="s">
        <v>275</v>
      </c>
      <c r="H5368" s="55">
        <v>29.788049999999998</v>
      </c>
      <c r="I5368" s="55">
        <v>8.513045</v>
      </c>
      <c r="J5368" s="55">
        <v>2.762216</v>
      </c>
      <c r="K5368" s="55">
        <v>2.8448910000000001</v>
      </c>
      <c r="L5368" s="55">
        <v>1.585996</v>
      </c>
      <c r="M5368" s="55">
        <v>0.54312249999999995</v>
      </c>
      <c r="N5368" s="55">
        <v>1.0769979999999999</v>
      </c>
    </row>
    <row r="5369" spans="1:14" hidden="1" x14ac:dyDescent="0.35">
      <c r="A5369" s="52" t="s">
        <v>709</v>
      </c>
      <c r="B5369" s="52" t="s">
        <v>74</v>
      </c>
      <c r="C5369" s="52" t="s">
        <v>71</v>
      </c>
      <c r="D5369" s="52" t="s">
        <v>75</v>
      </c>
      <c r="E5369" s="52" t="s">
        <v>584</v>
      </c>
      <c r="F5369" s="52" t="s">
        <v>581</v>
      </c>
      <c r="G5369" s="55" t="s">
        <v>276</v>
      </c>
      <c r="H5369" s="55">
        <v>19.25046</v>
      </c>
      <c r="I5369" s="55">
        <v>5.3746939999999999</v>
      </c>
      <c r="J5369" s="55">
        <v>1.102948</v>
      </c>
      <c r="K5369" s="55">
        <v>1.578619</v>
      </c>
      <c r="L5369" s="55">
        <v>0.46041260000000001</v>
      </c>
      <c r="M5369" s="55">
        <v>-0.2381173</v>
      </c>
      <c r="N5369" s="55">
        <v>0.516212</v>
      </c>
    </row>
    <row r="5370" spans="1:14" hidden="1" x14ac:dyDescent="0.35">
      <c r="A5370" s="52" t="s">
        <v>709</v>
      </c>
      <c r="B5370" s="52" t="s">
        <v>74</v>
      </c>
      <c r="C5370" s="52" t="s">
        <v>71</v>
      </c>
      <c r="D5370" s="52" t="s">
        <v>75</v>
      </c>
      <c r="E5370" s="52" t="s">
        <v>584</v>
      </c>
      <c r="F5370" s="52" t="s">
        <v>581</v>
      </c>
      <c r="G5370" s="55" t="s">
        <v>277</v>
      </c>
      <c r="H5370" s="55">
        <v>5.8390870000000001</v>
      </c>
      <c r="I5370" s="55">
        <v>2.8864209999999999</v>
      </c>
      <c r="J5370" s="55">
        <v>6.9595700000000003</v>
      </c>
      <c r="K5370" s="55">
        <v>2.9222519999999998</v>
      </c>
      <c r="L5370" s="55">
        <v>5.6001099999999999</v>
      </c>
      <c r="M5370" s="55">
        <v>5.5561579999999999</v>
      </c>
      <c r="N5370" s="55">
        <v>1.8068470000000001</v>
      </c>
    </row>
    <row r="5371" spans="1:14" hidden="1" x14ac:dyDescent="0.35">
      <c r="A5371" s="52" t="s">
        <v>709</v>
      </c>
      <c r="B5371" s="52" t="s">
        <v>74</v>
      </c>
      <c r="C5371" s="52" t="s">
        <v>71</v>
      </c>
      <c r="D5371" s="52" t="s">
        <v>75</v>
      </c>
      <c r="E5371" s="52" t="s">
        <v>584</v>
      </c>
      <c r="F5371" s="52" t="s">
        <v>581</v>
      </c>
      <c r="G5371" s="55" t="s">
        <v>278</v>
      </c>
      <c r="H5371" s="55">
        <v>9.9404009999999998E-3</v>
      </c>
      <c r="I5371" s="55">
        <v>1.3573979999999999E-2</v>
      </c>
      <c r="J5371" s="55">
        <v>1.3573750000000001E-2</v>
      </c>
      <c r="K5371" s="55">
        <v>1.3573979999999999E-2</v>
      </c>
      <c r="L5371" s="55">
        <v>1.3573979999999999E-2</v>
      </c>
      <c r="M5371" s="55">
        <v>2.1433239999999999E-2</v>
      </c>
      <c r="N5371" s="55">
        <v>1.3573979999999999E-2</v>
      </c>
    </row>
    <row r="5372" spans="1:14" hidden="1" x14ac:dyDescent="0.35">
      <c r="A5372" s="52" t="s">
        <v>709</v>
      </c>
      <c r="B5372" s="52" t="s">
        <v>74</v>
      </c>
      <c r="C5372" s="52" t="s">
        <v>71</v>
      </c>
      <c r="D5372" s="52" t="s">
        <v>75</v>
      </c>
      <c r="E5372" s="52" t="s">
        <v>584</v>
      </c>
      <c r="F5372" s="52" t="s">
        <v>581</v>
      </c>
      <c r="G5372" s="55" t="s">
        <v>279</v>
      </c>
      <c r="H5372" s="55">
        <v>10.51524</v>
      </c>
      <c r="I5372" s="55">
        <v>8.1898540000000004</v>
      </c>
      <c r="J5372" s="55">
        <v>7.0672709999999999</v>
      </c>
      <c r="K5372" s="55">
        <v>7.6681400000000002</v>
      </c>
      <c r="L5372" s="55">
        <v>7.6198430000000004</v>
      </c>
      <c r="M5372" s="55">
        <v>7.4309599999999998</v>
      </c>
      <c r="N5372" s="55">
        <v>7.1129850000000001</v>
      </c>
    </row>
    <row r="5373" spans="1:14" hidden="1" x14ac:dyDescent="0.35">
      <c r="A5373" s="52" t="s">
        <v>709</v>
      </c>
      <c r="B5373" s="52" t="s">
        <v>74</v>
      </c>
      <c r="C5373" s="52" t="s">
        <v>71</v>
      </c>
      <c r="D5373" s="52" t="s">
        <v>75</v>
      </c>
      <c r="E5373" s="52" t="s">
        <v>584</v>
      </c>
      <c r="F5373" s="52" t="s">
        <v>26</v>
      </c>
      <c r="G5373" s="55" t="s">
        <v>275</v>
      </c>
      <c r="H5373" s="55">
        <v>0.7484208</v>
      </c>
      <c r="I5373" s="55">
        <v>0.77201529999999996</v>
      </c>
      <c r="J5373" s="55">
        <v>0.6375596</v>
      </c>
      <c r="K5373" s="55">
        <v>0.52521649999999998</v>
      </c>
      <c r="L5373" s="55">
        <v>0.53399790000000003</v>
      </c>
      <c r="M5373" s="55">
        <v>0.46554210000000001</v>
      </c>
      <c r="N5373" s="55">
        <v>0.36802649999999998</v>
      </c>
    </row>
    <row r="5374" spans="1:14" hidden="1" x14ac:dyDescent="0.35">
      <c r="A5374" s="52" t="s">
        <v>709</v>
      </c>
      <c r="B5374" s="52" t="s">
        <v>74</v>
      </c>
      <c r="C5374" s="52" t="s">
        <v>71</v>
      </c>
      <c r="D5374" s="52" t="s">
        <v>75</v>
      </c>
      <c r="E5374" s="52" t="s">
        <v>584</v>
      </c>
      <c r="F5374" s="52" t="s">
        <v>26</v>
      </c>
      <c r="G5374" s="55" t="s">
        <v>276</v>
      </c>
      <c r="H5374" s="55">
        <v>0.49894680000000002</v>
      </c>
      <c r="I5374" s="55">
        <v>0.51467689999999999</v>
      </c>
      <c r="J5374" s="55">
        <v>0.42504009999999998</v>
      </c>
      <c r="K5374" s="55">
        <v>0.35014459999999997</v>
      </c>
      <c r="L5374" s="55">
        <v>0.3559985</v>
      </c>
      <c r="M5374" s="55">
        <v>0.31036140000000001</v>
      </c>
      <c r="N5374" s="55">
        <v>0.24535090000000001</v>
      </c>
    </row>
    <row r="5375" spans="1:14" hidden="1" x14ac:dyDescent="0.35">
      <c r="A5375" s="52" t="s">
        <v>709</v>
      </c>
      <c r="B5375" s="52" t="s">
        <v>74</v>
      </c>
      <c r="C5375" s="52" t="s">
        <v>71</v>
      </c>
      <c r="D5375" s="52" t="s">
        <v>75</v>
      </c>
      <c r="E5375" s="52" t="s">
        <v>584</v>
      </c>
      <c r="F5375" s="52" t="s">
        <v>26</v>
      </c>
      <c r="G5375" s="55" t="s">
        <v>279</v>
      </c>
      <c r="H5375" s="55">
        <v>0.36684509999999998</v>
      </c>
      <c r="I5375" s="55">
        <v>0.39040459999999999</v>
      </c>
      <c r="J5375" s="55">
        <v>0.28805750000000002</v>
      </c>
      <c r="K5375" s="55">
        <v>0.2579226</v>
      </c>
      <c r="L5375" s="55">
        <v>0.26186670000000001</v>
      </c>
      <c r="M5375" s="55">
        <v>0.2281514</v>
      </c>
      <c r="N5375" s="55">
        <v>0.18039050000000001</v>
      </c>
    </row>
    <row r="5376" spans="1:14" hidden="1" x14ac:dyDescent="0.35">
      <c r="A5376" s="52" t="s">
        <v>709</v>
      </c>
      <c r="B5376" s="52" t="s">
        <v>74</v>
      </c>
      <c r="C5376" s="52" t="s">
        <v>71</v>
      </c>
      <c r="D5376" s="52" t="s">
        <v>137</v>
      </c>
      <c r="E5376" s="52" t="s">
        <v>584</v>
      </c>
      <c r="F5376" s="52" t="s">
        <v>581</v>
      </c>
      <c r="G5376" s="55" t="s">
        <v>275</v>
      </c>
      <c r="H5376" s="55">
        <v>1.2102310000000001</v>
      </c>
      <c r="I5376" s="55">
        <v>-0.92488309999999996</v>
      </c>
      <c r="J5376" s="55">
        <v>-1.2088369999999999</v>
      </c>
      <c r="K5376" s="55">
        <v>-1.7412289999999999</v>
      </c>
      <c r="L5376" s="55">
        <v>-2.0651109999999999</v>
      </c>
      <c r="M5376" s="55">
        <v>-2.1059679999999998</v>
      </c>
      <c r="N5376" s="55">
        <v>-2.2529499999999998</v>
      </c>
    </row>
    <row r="5377" spans="1:14" hidden="1" x14ac:dyDescent="0.35">
      <c r="A5377" s="52" t="s">
        <v>709</v>
      </c>
      <c r="B5377" s="52" t="s">
        <v>74</v>
      </c>
      <c r="C5377" s="52" t="s">
        <v>71</v>
      </c>
      <c r="D5377" s="52" t="s">
        <v>137</v>
      </c>
      <c r="E5377" s="52" t="s">
        <v>584</v>
      </c>
      <c r="F5377" s="52" t="s">
        <v>581</v>
      </c>
      <c r="G5377" s="55" t="s">
        <v>276</v>
      </c>
      <c r="H5377" s="55">
        <v>0.71200529999999995</v>
      </c>
      <c r="I5377" s="55">
        <v>-0.61658939999999995</v>
      </c>
      <c r="J5377" s="55">
        <v>-0.80888510000000002</v>
      </c>
      <c r="K5377" s="55">
        <v>-1.163813</v>
      </c>
      <c r="L5377" s="55">
        <v>-1.4041870000000001</v>
      </c>
      <c r="M5377" s="55">
        <v>-1.406973</v>
      </c>
      <c r="N5377" s="55">
        <v>-1.5049600000000001</v>
      </c>
    </row>
    <row r="5378" spans="1:14" hidden="1" x14ac:dyDescent="0.35">
      <c r="A5378" s="52" t="s">
        <v>709</v>
      </c>
      <c r="B5378" s="52" t="s">
        <v>74</v>
      </c>
      <c r="C5378" s="52" t="s">
        <v>71</v>
      </c>
      <c r="D5378" s="52" t="s">
        <v>137</v>
      </c>
      <c r="E5378" s="52" t="s">
        <v>584</v>
      </c>
      <c r="F5378" s="52" t="s">
        <v>581</v>
      </c>
      <c r="G5378" s="55" t="s">
        <v>277</v>
      </c>
      <c r="H5378" s="55">
        <v>0.91022930000000002</v>
      </c>
      <c r="I5378" s="55">
        <v>0</v>
      </c>
      <c r="J5378" s="55"/>
      <c r="K5378" s="55">
        <v>0</v>
      </c>
      <c r="L5378" s="55">
        <v>0.23474159999999999</v>
      </c>
      <c r="M5378" s="55">
        <v>0</v>
      </c>
      <c r="N5378" s="55"/>
    </row>
    <row r="5379" spans="1:14" hidden="1" x14ac:dyDescent="0.35">
      <c r="A5379" s="52" t="s">
        <v>709</v>
      </c>
      <c r="B5379" s="52" t="s">
        <v>74</v>
      </c>
      <c r="C5379" s="52" t="s">
        <v>71</v>
      </c>
      <c r="D5379" s="52" t="s">
        <v>137</v>
      </c>
      <c r="E5379" s="52" t="s">
        <v>584</v>
      </c>
      <c r="F5379" s="52" t="s">
        <v>581</v>
      </c>
      <c r="G5379" s="55" t="s">
        <v>278</v>
      </c>
      <c r="H5379" s="55">
        <v>2.1924000000000002E-3</v>
      </c>
      <c r="I5379" s="55">
        <v>2.9937000000000002E-3</v>
      </c>
      <c r="J5379" s="55">
        <v>2.9937000000000002E-3</v>
      </c>
      <c r="K5379" s="55">
        <v>2.9937000000000002E-3</v>
      </c>
      <c r="L5379" s="55">
        <v>2.9937000000000002E-3</v>
      </c>
      <c r="M5379" s="55">
        <v>2.9937000000000002E-3</v>
      </c>
      <c r="N5379" s="55">
        <v>2.9937000000000002E-3</v>
      </c>
    </row>
    <row r="5380" spans="1:14" hidden="1" x14ac:dyDescent="0.35">
      <c r="A5380" s="52" t="s">
        <v>709</v>
      </c>
      <c r="B5380" s="52" t="s">
        <v>74</v>
      </c>
      <c r="C5380" s="52" t="s">
        <v>71</v>
      </c>
      <c r="D5380" s="52" t="s">
        <v>137</v>
      </c>
      <c r="E5380" s="52" t="s">
        <v>584</v>
      </c>
      <c r="F5380" s="52" t="s">
        <v>581</v>
      </c>
      <c r="G5380" s="55" t="s">
        <v>279</v>
      </c>
      <c r="H5380" s="55">
        <v>4.586443</v>
      </c>
      <c r="I5380" s="55">
        <v>3.8401580000000002</v>
      </c>
      <c r="J5380" s="55">
        <v>3.6093489999999999</v>
      </c>
      <c r="K5380" s="55">
        <v>4.2513430000000003</v>
      </c>
      <c r="L5380" s="55">
        <v>4.2916540000000003</v>
      </c>
      <c r="M5380" s="55">
        <v>4.3482029999999998</v>
      </c>
      <c r="N5380" s="55">
        <v>4.4165580000000002</v>
      </c>
    </row>
    <row r="5381" spans="1:14" hidden="1" x14ac:dyDescent="0.35">
      <c r="A5381" s="52" t="s">
        <v>709</v>
      </c>
      <c r="B5381" s="52" t="s">
        <v>74</v>
      </c>
      <c r="C5381" s="52" t="s">
        <v>71</v>
      </c>
      <c r="D5381" s="52" t="s">
        <v>137</v>
      </c>
      <c r="E5381" s="52" t="s">
        <v>584</v>
      </c>
      <c r="F5381" s="52" t="s">
        <v>26</v>
      </c>
      <c r="G5381" s="55" t="s">
        <v>275</v>
      </c>
      <c r="H5381" s="55">
        <v>0.10599690000000001</v>
      </c>
      <c r="I5381" s="55">
        <v>5.686861E-2</v>
      </c>
      <c r="J5381" s="55">
        <v>4.564236E-2</v>
      </c>
      <c r="K5381" s="55">
        <v>3.7769820000000003E-2</v>
      </c>
      <c r="L5381" s="55">
        <v>2.9666430000000001E-2</v>
      </c>
      <c r="M5381" s="55">
        <v>2.347227E-2</v>
      </c>
      <c r="N5381" s="55">
        <v>1.8523439999999999E-2</v>
      </c>
    </row>
    <row r="5382" spans="1:14" hidden="1" x14ac:dyDescent="0.35">
      <c r="A5382" s="52" t="s">
        <v>709</v>
      </c>
      <c r="B5382" s="52" t="s">
        <v>74</v>
      </c>
      <c r="C5382" s="52" t="s">
        <v>71</v>
      </c>
      <c r="D5382" s="52" t="s">
        <v>137</v>
      </c>
      <c r="E5382" s="52" t="s">
        <v>584</v>
      </c>
      <c r="F5382" s="52" t="s">
        <v>26</v>
      </c>
      <c r="G5382" s="55" t="s">
        <v>276</v>
      </c>
      <c r="H5382" s="55">
        <v>7.0664699999999997E-2</v>
      </c>
      <c r="I5382" s="55">
        <v>3.7912290000000001E-2</v>
      </c>
      <c r="J5382" s="55">
        <v>3.0428190000000001E-2</v>
      </c>
      <c r="K5382" s="55">
        <v>2.5179839999999998E-2</v>
      </c>
      <c r="L5382" s="55">
        <v>1.977756E-2</v>
      </c>
      <c r="M5382" s="55">
        <v>1.5647910000000001E-2</v>
      </c>
      <c r="N5382" s="55">
        <v>1.234857E-2</v>
      </c>
    </row>
    <row r="5383" spans="1:14" hidden="1" x14ac:dyDescent="0.35">
      <c r="A5383" s="52" t="s">
        <v>709</v>
      </c>
      <c r="B5383" s="52" t="s">
        <v>74</v>
      </c>
      <c r="C5383" s="52" t="s">
        <v>71</v>
      </c>
      <c r="D5383" s="52" t="s">
        <v>137</v>
      </c>
      <c r="E5383" s="52" t="s">
        <v>584</v>
      </c>
      <c r="F5383" s="52" t="s">
        <v>26</v>
      </c>
      <c r="G5383" s="55" t="s">
        <v>279</v>
      </c>
      <c r="H5383" s="55">
        <v>6.2812499999999993E-2</v>
      </c>
      <c r="I5383" s="55">
        <v>3.4859099999999997E-2</v>
      </c>
      <c r="J5383" s="55">
        <v>2.4830100000000001E-2</v>
      </c>
      <c r="K5383" s="55">
        <v>2.24088E-2</v>
      </c>
      <c r="L5383" s="55">
        <v>1.7604600000000001E-2</v>
      </c>
      <c r="M5383" s="55">
        <v>1.39197E-2</v>
      </c>
      <c r="N5383" s="55">
        <v>1.0986900000000001E-2</v>
      </c>
    </row>
    <row r="5384" spans="1:14" hidden="1" x14ac:dyDescent="0.35">
      <c r="A5384" s="52" t="s">
        <v>709</v>
      </c>
      <c r="B5384" s="52" t="s">
        <v>74</v>
      </c>
      <c r="C5384" s="52" t="s">
        <v>71</v>
      </c>
      <c r="D5384" s="52" t="s">
        <v>78</v>
      </c>
      <c r="E5384" s="52" t="s">
        <v>584</v>
      </c>
      <c r="F5384" s="52" t="s">
        <v>581</v>
      </c>
      <c r="G5384" s="55" t="s">
        <v>275</v>
      </c>
      <c r="H5384" s="55">
        <v>1.162561</v>
      </c>
      <c r="I5384" s="55">
        <v>0.38738489999999998</v>
      </c>
      <c r="J5384" s="55">
        <v>0.27748250000000002</v>
      </c>
      <c r="K5384" s="55">
        <v>0.10978540000000001</v>
      </c>
      <c r="L5384" s="55">
        <v>5.5360260000000001E-2</v>
      </c>
      <c r="M5384" s="55">
        <v>0</v>
      </c>
      <c r="N5384" s="55">
        <v>0</v>
      </c>
    </row>
    <row r="5385" spans="1:14" hidden="1" x14ac:dyDescent="0.35">
      <c r="A5385" s="52" t="s">
        <v>709</v>
      </c>
      <c r="B5385" s="52" t="s">
        <v>74</v>
      </c>
      <c r="C5385" s="52" t="s">
        <v>71</v>
      </c>
      <c r="D5385" s="52" t="s">
        <v>78</v>
      </c>
      <c r="E5385" s="52" t="s">
        <v>584</v>
      </c>
      <c r="F5385" s="52" t="s">
        <v>581</v>
      </c>
      <c r="G5385" s="55" t="s">
        <v>276</v>
      </c>
      <c r="H5385" s="55">
        <v>0.77504070000000003</v>
      </c>
      <c r="I5385" s="55">
        <v>0.2582566</v>
      </c>
      <c r="J5385" s="55">
        <v>0.1835378</v>
      </c>
      <c r="K5385" s="55">
        <v>7.1739990000000003E-2</v>
      </c>
      <c r="L5385" s="55">
        <v>3.545657E-2</v>
      </c>
      <c r="M5385" s="55">
        <v>-1.4503700000000001E-3</v>
      </c>
      <c r="N5385" s="55">
        <v>-1.4504100000000001E-3</v>
      </c>
    </row>
    <row r="5386" spans="1:14" hidden="1" x14ac:dyDescent="0.35">
      <c r="A5386" s="52" t="s">
        <v>709</v>
      </c>
      <c r="B5386" s="52" t="s">
        <v>74</v>
      </c>
      <c r="C5386" s="52" t="s">
        <v>71</v>
      </c>
      <c r="D5386" s="52" t="s">
        <v>78</v>
      </c>
      <c r="E5386" s="52" t="s">
        <v>584</v>
      </c>
      <c r="F5386" s="52" t="s">
        <v>581</v>
      </c>
      <c r="G5386" s="55" t="s">
        <v>278</v>
      </c>
      <c r="H5386" s="55">
        <v>1.062101E-3</v>
      </c>
      <c r="I5386" s="55">
        <v>1.4503700000000001E-3</v>
      </c>
      <c r="J5386" s="55">
        <v>1.4503700000000001E-3</v>
      </c>
      <c r="K5386" s="55">
        <v>1.4503700000000001E-3</v>
      </c>
      <c r="L5386" s="55">
        <v>1.4503700000000001E-3</v>
      </c>
      <c r="M5386" s="55">
        <v>1.4503700000000001E-3</v>
      </c>
      <c r="N5386" s="55">
        <v>1.4503700000000001E-3</v>
      </c>
    </row>
    <row r="5387" spans="1:14" hidden="1" x14ac:dyDescent="0.35">
      <c r="A5387" s="52" t="s">
        <v>709</v>
      </c>
      <c r="B5387" s="52" t="s">
        <v>74</v>
      </c>
      <c r="C5387" s="52" t="s">
        <v>71</v>
      </c>
      <c r="D5387" s="52" t="s">
        <v>78</v>
      </c>
      <c r="E5387" s="52" t="s">
        <v>584</v>
      </c>
      <c r="F5387" s="52" t="s">
        <v>581</v>
      </c>
      <c r="G5387" s="55" t="s">
        <v>279</v>
      </c>
      <c r="H5387" s="55">
        <v>0.2802616</v>
      </c>
      <c r="I5387" s="55">
        <v>0.1834954</v>
      </c>
      <c r="J5387" s="55">
        <v>0.1338211</v>
      </c>
      <c r="K5387" s="55">
        <v>6.5713740000000007E-2</v>
      </c>
      <c r="L5387" s="55">
        <v>3.3135289999999998E-2</v>
      </c>
      <c r="M5387" s="55">
        <v>0</v>
      </c>
      <c r="N5387" s="55">
        <v>0</v>
      </c>
    </row>
    <row r="5388" spans="1:14" hidden="1" x14ac:dyDescent="0.35">
      <c r="A5388" s="52" t="s">
        <v>709</v>
      </c>
      <c r="B5388" s="52" t="s">
        <v>74</v>
      </c>
      <c r="C5388" s="52" t="s">
        <v>71</v>
      </c>
      <c r="D5388" s="52" t="s">
        <v>78</v>
      </c>
      <c r="E5388" s="52" t="s">
        <v>584</v>
      </c>
      <c r="F5388" s="52" t="s">
        <v>26</v>
      </c>
      <c r="G5388" s="55" t="s">
        <v>275</v>
      </c>
      <c r="H5388" s="55">
        <v>-8.2011109999999992</v>
      </c>
      <c r="I5388" s="55">
        <v>-5.4786460000000003</v>
      </c>
      <c r="J5388" s="55">
        <v>-16.576149999999998</v>
      </c>
      <c r="K5388" s="55">
        <v>-1.5235050000000001</v>
      </c>
      <c r="L5388" s="55">
        <v>-0.60035680000000002</v>
      </c>
      <c r="M5388" s="55">
        <v>0</v>
      </c>
      <c r="N5388" s="55"/>
    </row>
    <row r="5389" spans="1:14" hidden="1" x14ac:dyDescent="0.35">
      <c r="A5389" s="52" t="s">
        <v>709</v>
      </c>
      <c r="B5389" s="52" t="s">
        <v>74</v>
      </c>
      <c r="C5389" s="52" t="s">
        <v>71</v>
      </c>
      <c r="D5389" s="52" t="s">
        <v>78</v>
      </c>
      <c r="E5389" s="52" t="s">
        <v>584</v>
      </c>
      <c r="F5389" s="52" t="s">
        <v>26</v>
      </c>
      <c r="G5389" s="55" t="s">
        <v>276</v>
      </c>
      <c r="H5389" s="55">
        <v>-5.4778880000000001</v>
      </c>
      <c r="I5389" s="55">
        <v>-3.6576939999999998</v>
      </c>
      <c r="J5389" s="55">
        <v>-11.07464</v>
      </c>
      <c r="K5389" s="55">
        <v>-1.0156700000000001</v>
      </c>
      <c r="L5389" s="55">
        <v>-0.40023779999999998</v>
      </c>
      <c r="M5389" s="55">
        <v>0</v>
      </c>
      <c r="N5389" s="55"/>
    </row>
    <row r="5390" spans="1:14" hidden="1" x14ac:dyDescent="0.35">
      <c r="A5390" s="52" t="s">
        <v>709</v>
      </c>
      <c r="B5390" s="52" t="s">
        <v>74</v>
      </c>
      <c r="C5390" s="52" t="s">
        <v>71</v>
      </c>
      <c r="D5390" s="52" t="s">
        <v>78</v>
      </c>
      <c r="E5390" s="52" t="s">
        <v>584</v>
      </c>
      <c r="F5390" s="52" t="s">
        <v>26</v>
      </c>
      <c r="G5390" s="55" t="s">
        <v>277</v>
      </c>
      <c r="H5390" s="55">
        <v>0.1006026</v>
      </c>
      <c r="I5390" s="55">
        <v>5.0526050000000003E-2</v>
      </c>
      <c r="J5390" s="55">
        <v>0.22915949999999999</v>
      </c>
      <c r="K5390" s="55">
        <v>0</v>
      </c>
      <c r="L5390" s="55">
        <v>0</v>
      </c>
      <c r="M5390" s="55"/>
      <c r="N5390" s="55"/>
    </row>
    <row r="5391" spans="1:14" hidden="1" x14ac:dyDescent="0.35">
      <c r="A5391" s="52" t="s">
        <v>709</v>
      </c>
      <c r="B5391" s="52" t="s">
        <v>74</v>
      </c>
      <c r="C5391" s="52" t="s">
        <v>71</v>
      </c>
      <c r="D5391" s="52" t="s">
        <v>78</v>
      </c>
      <c r="E5391" s="52" t="s">
        <v>584</v>
      </c>
      <c r="F5391" s="52" t="s">
        <v>26</v>
      </c>
      <c r="G5391" s="55" t="s">
        <v>279</v>
      </c>
      <c r="H5391" s="55">
        <v>17.661090000000002</v>
      </c>
      <c r="I5391" s="55">
        <v>11.6692</v>
      </c>
      <c r="J5391" s="55">
        <v>29.482759999999999</v>
      </c>
      <c r="K5391" s="55">
        <v>3.527374</v>
      </c>
      <c r="L5391" s="55">
        <v>1.498794</v>
      </c>
      <c r="M5391" s="55">
        <v>0</v>
      </c>
      <c r="N5391" s="55"/>
    </row>
    <row r="5392" spans="1:14" hidden="1" x14ac:dyDescent="0.35">
      <c r="A5392" s="52" t="s">
        <v>709</v>
      </c>
      <c r="B5392" s="52" t="s">
        <v>74</v>
      </c>
      <c r="C5392" s="52" t="s">
        <v>146</v>
      </c>
      <c r="D5392" s="52" t="s">
        <v>147</v>
      </c>
      <c r="E5392" s="52" t="s">
        <v>584</v>
      </c>
      <c r="F5392" s="52" t="s">
        <v>581</v>
      </c>
      <c r="G5392" s="55" t="s">
        <v>275</v>
      </c>
      <c r="H5392" s="55">
        <v>1.1348259999999999</v>
      </c>
      <c r="I5392" s="55">
        <v>-1.2924009999999999</v>
      </c>
      <c r="J5392" s="55">
        <v>-1.508095</v>
      </c>
      <c r="K5392" s="55">
        <v>-5.0300940000000001</v>
      </c>
      <c r="L5392" s="55">
        <v>-2.6725940000000001</v>
      </c>
      <c r="M5392" s="55">
        <v>-1.078066</v>
      </c>
      <c r="N5392" s="55">
        <v>0.1094677</v>
      </c>
    </row>
    <row r="5393" spans="1:14" hidden="1" x14ac:dyDescent="0.35">
      <c r="A5393" s="52" t="s">
        <v>709</v>
      </c>
      <c r="B5393" s="52" t="s">
        <v>74</v>
      </c>
      <c r="C5393" s="52" t="s">
        <v>146</v>
      </c>
      <c r="D5393" s="52" t="s">
        <v>147</v>
      </c>
      <c r="E5393" s="52" t="s">
        <v>584</v>
      </c>
      <c r="F5393" s="52" t="s">
        <v>581</v>
      </c>
      <c r="G5393" s="55" t="s">
        <v>276</v>
      </c>
      <c r="H5393" s="55">
        <v>0.73305120000000001</v>
      </c>
      <c r="I5393" s="55">
        <v>-1.11496</v>
      </c>
      <c r="J5393" s="55">
        <v>-1.1719010000000001</v>
      </c>
      <c r="K5393" s="55">
        <v>-3.3721179999999999</v>
      </c>
      <c r="L5393" s="55">
        <v>-1.9385650000000001</v>
      </c>
      <c r="M5393" s="55">
        <v>-0.73743210000000003</v>
      </c>
      <c r="N5393" s="55">
        <v>-4.232416E-2</v>
      </c>
    </row>
    <row r="5394" spans="1:14" hidden="1" x14ac:dyDescent="0.35">
      <c r="A5394" s="52" t="s">
        <v>709</v>
      </c>
      <c r="B5394" s="52" t="s">
        <v>74</v>
      </c>
      <c r="C5394" s="52" t="s">
        <v>146</v>
      </c>
      <c r="D5394" s="52" t="s">
        <v>147</v>
      </c>
      <c r="E5394" s="52" t="s">
        <v>584</v>
      </c>
      <c r="F5394" s="52" t="s">
        <v>581</v>
      </c>
      <c r="G5394" s="55" t="s">
        <v>277</v>
      </c>
      <c r="H5394" s="55">
        <v>0.22559999999999999</v>
      </c>
      <c r="I5394" s="55">
        <v>2.4322319999999999</v>
      </c>
      <c r="J5394" s="55">
        <v>1.459033</v>
      </c>
      <c r="K5394" s="55">
        <v>1.020402</v>
      </c>
      <c r="L5394" s="55">
        <v>0.29518119999999998</v>
      </c>
      <c r="M5394" s="55">
        <v>0.03</v>
      </c>
      <c r="N5394" s="55">
        <v>0</v>
      </c>
    </row>
    <row r="5395" spans="1:14" hidden="1" x14ac:dyDescent="0.35">
      <c r="A5395" s="52" t="s">
        <v>709</v>
      </c>
      <c r="B5395" s="52" t="s">
        <v>74</v>
      </c>
      <c r="C5395" s="52" t="s">
        <v>146</v>
      </c>
      <c r="D5395" s="52" t="s">
        <v>147</v>
      </c>
      <c r="E5395" s="52" t="s">
        <v>584</v>
      </c>
      <c r="F5395" s="52" t="s">
        <v>581</v>
      </c>
      <c r="G5395" s="55" t="s">
        <v>278</v>
      </c>
      <c r="H5395" s="55">
        <v>1.3710409999999999E-2</v>
      </c>
      <c r="I5395" s="55">
        <v>1.8722010000000001E-2</v>
      </c>
      <c r="J5395" s="55">
        <v>1.8722010000000001E-2</v>
      </c>
      <c r="K5395" s="55">
        <v>1.8722010000000001E-2</v>
      </c>
      <c r="L5395" s="55">
        <v>1.8722010000000001E-2</v>
      </c>
      <c r="M5395" s="55">
        <v>1.8722010000000001E-2</v>
      </c>
      <c r="N5395" s="55">
        <v>0.1153019</v>
      </c>
    </row>
    <row r="5396" spans="1:14" hidden="1" x14ac:dyDescent="0.35">
      <c r="A5396" s="52" t="s">
        <v>709</v>
      </c>
      <c r="B5396" s="52" t="s">
        <v>74</v>
      </c>
      <c r="C5396" s="52" t="s">
        <v>146</v>
      </c>
      <c r="D5396" s="52" t="s">
        <v>147</v>
      </c>
      <c r="E5396" s="52" t="s">
        <v>584</v>
      </c>
      <c r="F5396" s="52" t="s">
        <v>581</v>
      </c>
      <c r="G5396" s="55" t="s">
        <v>279</v>
      </c>
      <c r="H5396" s="55">
        <v>7.0479500000000002</v>
      </c>
      <c r="I5396" s="55">
        <v>5.0886550000000002</v>
      </c>
      <c r="J5396" s="55">
        <v>4.7778070000000001</v>
      </c>
      <c r="K5396" s="55">
        <v>9.6557670000000009</v>
      </c>
      <c r="L5396" s="55">
        <v>6.1297740000000003</v>
      </c>
      <c r="M5396" s="55">
        <v>5.7046200000000002</v>
      </c>
      <c r="N5396" s="55">
        <v>6.1542820000000003</v>
      </c>
    </row>
    <row r="5397" spans="1:14" hidden="1" x14ac:dyDescent="0.35">
      <c r="A5397" s="52" t="s">
        <v>709</v>
      </c>
      <c r="B5397" s="52" t="s">
        <v>74</v>
      </c>
      <c r="C5397" s="52" t="s">
        <v>146</v>
      </c>
      <c r="D5397" s="52" t="s">
        <v>147</v>
      </c>
      <c r="E5397" s="52" t="s">
        <v>584</v>
      </c>
      <c r="F5397" s="52" t="s">
        <v>26</v>
      </c>
      <c r="G5397" s="55" t="s">
        <v>275</v>
      </c>
      <c r="H5397" s="55">
        <v>2.7118289999999998</v>
      </c>
      <c r="I5397" s="55">
        <v>1.4538800000000001</v>
      </c>
      <c r="J5397" s="55">
        <v>0.40504119999999999</v>
      </c>
      <c r="K5397" s="55">
        <v>-14.406599999999999</v>
      </c>
      <c r="L5397" s="55">
        <v>0.47407630000000001</v>
      </c>
      <c r="M5397" s="55">
        <v>4.6359659999999998</v>
      </c>
      <c r="N5397" s="55">
        <v>4.7889480000000004</v>
      </c>
    </row>
    <row r="5398" spans="1:14" hidden="1" x14ac:dyDescent="0.35">
      <c r="A5398" s="52" t="s">
        <v>709</v>
      </c>
      <c r="B5398" s="52" t="s">
        <v>74</v>
      </c>
      <c r="C5398" s="52" t="s">
        <v>146</v>
      </c>
      <c r="D5398" s="52" t="s">
        <v>147</v>
      </c>
      <c r="E5398" s="52" t="s">
        <v>584</v>
      </c>
      <c r="F5398" s="52" t="s">
        <v>26</v>
      </c>
      <c r="G5398" s="55" t="s">
        <v>276</v>
      </c>
      <c r="H5398" s="55">
        <v>1.8078860000000001</v>
      </c>
      <c r="I5398" s="55">
        <v>0.96925349999999999</v>
      </c>
      <c r="J5398" s="55">
        <v>0.27002720000000002</v>
      </c>
      <c r="K5398" s="55">
        <v>-9.6044029999999996</v>
      </c>
      <c r="L5398" s="55">
        <v>-3.6946620000000001</v>
      </c>
      <c r="M5398" s="55">
        <v>2.7851469999999998</v>
      </c>
      <c r="N5398" s="55">
        <v>2.8571309999999999</v>
      </c>
    </row>
    <row r="5399" spans="1:14" hidden="1" x14ac:dyDescent="0.35">
      <c r="A5399" s="52" t="s">
        <v>709</v>
      </c>
      <c r="B5399" s="52" t="s">
        <v>74</v>
      </c>
      <c r="C5399" s="52" t="s">
        <v>146</v>
      </c>
      <c r="D5399" s="52" t="s">
        <v>147</v>
      </c>
      <c r="E5399" s="52" t="s">
        <v>584</v>
      </c>
      <c r="F5399" s="52" t="s">
        <v>26</v>
      </c>
      <c r="G5399" s="55" t="s">
        <v>277</v>
      </c>
      <c r="H5399" s="55">
        <v>0.13694999999999999</v>
      </c>
      <c r="I5399" s="55">
        <v>2.1911999999999998</v>
      </c>
      <c r="J5399" s="55">
        <v>2.96319</v>
      </c>
      <c r="K5399" s="55">
        <v>26.25216</v>
      </c>
      <c r="L5399" s="55">
        <v>6.8223849999999997</v>
      </c>
      <c r="M5399" s="55">
        <v>2.9327749999999999</v>
      </c>
      <c r="N5399" s="55">
        <v>3.220818</v>
      </c>
    </row>
    <row r="5400" spans="1:14" hidden="1" x14ac:dyDescent="0.35">
      <c r="A5400" s="52" t="s">
        <v>709</v>
      </c>
      <c r="B5400" s="52" t="s">
        <v>74</v>
      </c>
      <c r="C5400" s="52" t="s">
        <v>146</v>
      </c>
      <c r="D5400" s="52" t="s">
        <v>147</v>
      </c>
      <c r="E5400" s="52" t="s">
        <v>584</v>
      </c>
      <c r="F5400" s="52" t="s">
        <v>26</v>
      </c>
      <c r="G5400" s="55" t="s">
        <v>279</v>
      </c>
      <c r="H5400" s="55">
        <v>1.0502750000000001</v>
      </c>
      <c r="I5400" s="55">
        <v>1.062729</v>
      </c>
      <c r="J5400" s="55">
        <v>0.76027670000000003</v>
      </c>
      <c r="K5400" s="55">
        <v>0.70714589999999999</v>
      </c>
      <c r="L5400" s="55">
        <v>3.1291340000000001</v>
      </c>
      <c r="M5400" s="55">
        <v>7.1467640000000001</v>
      </c>
      <c r="N5400" s="55">
        <v>6.8570260000000003</v>
      </c>
    </row>
    <row r="5401" spans="1:14" hidden="1" x14ac:dyDescent="0.35">
      <c r="A5401" s="52" t="s">
        <v>709</v>
      </c>
      <c r="B5401" s="52" t="s">
        <v>74</v>
      </c>
      <c r="C5401" s="52" t="s">
        <v>146</v>
      </c>
      <c r="D5401" s="52" t="s">
        <v>146</v>
      </c>
      <c r="E5401" s="52" t="s">
        <v>584</v>
      </c>
      <c r="F5401" s="52" t="s">
        <v>581</v>
      </c>
      <c r="G5401" s="55" t="s">
        <v>275</v>
      </c>
      <c r="H5401" s="55">
        <v>0.77776319999999999</v>
      </c>
      <c r="I5401" s="55">
        <v>9.0355630000000006E-2</v>
      </c>
      <c r="J5401" s="55">
        <v>-0.31744169999999999</v>
      </c>
      <c r="K5401" s="55">
        <v>-0.15784899999999999</v>
      </c>
      <c r="L5401" s="55">
        <v>-1.4467460000000001</v>
      </c>
      <c r="M5401" s="55">
        <v>-1.591418</v>
      </c>
      <c r="N5401" s="55">
        <v>0</v>
      </c>
    </row>
    <row r="5402" spans="1:14" hidden="1" x14ac:dyDescent="0.35">
      <c r="A5402" s="52" t="s">
        <v>709</v>
      </c>
      <c r="B5402" s="52" t="s">
        <v>74</v>
      </c>
      <c r="C5402" s="52" t="s">
        <v>146</v>
      </c>
      <c r="D5402" s="52" t="s">
        <v>146</v>
      </c>
      <c r="E5402" s="52" t="s">
        <v>584</v>
      </c>
      <c r="F5402" s="52" t="s">
        <v>581</v>
      </c>
      <c r="G5402" s="55" t="s">
        <v>276</v>
      </c>
      <c r="H5402" s="55">
        <v>0.45878540000000001</v>
      </c>
      <c r="I5402" s="55">
        <v>6.0236489999999997E-2</v>
      </c>
      <c r="J5402" s="55">
        <v>-0.2168165</v>
      </c>
      <c r="K5402" s="55">
        <v>-0.1104213</v>
      </c>
      <c r="L5402" s="55">
        <v>-0.96968600000000005</v>
      </c>
      <c r="M5402" s="55">
        <v>-1.0661339999999999</v>
      </c>
      <c r="N5402" s="55">
        <v>-3.8068680000000001E-2</v>
      </c>
    </row>
    <row r="5403" spans="1:14" hidden="1" x14ac:dyDescent="0.35">
      <c r="A5403" s="52" t="s">
        <v>709</v>
      </c>
      <c r="B5403" s="52" t="s">
        <v>74</v>
      </c>
      <c r="C5403" s="52" t="s">
        <v>146</v>
      </c>
      <c r="D5403" s="52" t="s">
        <v>146</v>
      </c>
      <c r="E5403" s="52" t="s">
        <v>584</v>
      </c>
      <c r="F5403" s="52" t="s">
        <v>581</v>
      </c>
      <c r="G5403" s="55" t="s">
        <v>277</v>
      </c>
      <c r="H5403" s="55">
        <v>0.57334490000000005</v>
      </c>
      <c r="I5403" s="55"/>
      <c r="J5403" s="55">
        <v>0</v>
      </c>
      <c r="K5403" s="55"/>
      <c r="L5403" s="55"/>
      <c r="M5403" s="55">
        <v>0</v>
      </c>
      <c r="N5403" s="55">
        <v>3.288E-2</v>
      </c>
    </row>
    <row r="5404" spans="1:14" hidden="1" x14ac:dyDescent="0.35">
      <c r="A5404" s="52" t="s">
        <v>709</v>
      </c>
      <c r="B5404" s="52" t="s">
        <v>74</v>
      </c>
      <c r="C5404" s="52" t="s">
        <v>146</v>
      </c>
      <c r="D5404" s="52" t="s">
        <v>146</v>
      </c>
      <c r="E5404" s="52" t="s">
        <v>584</v>
      </c>
      <c r="F5404" s="52" t="s">
        <v>581</v>
      </c>
      <c r="G5404" s="55" t="s">
        <v>278</v>
      </c>
      <c r="H5404" s="55">
        <v>3.7998319999999999E-3</v>
      </c>
      <c r="I5404" s="55">
        <v>5.1886839999999998E-3</v>
      </c>
      <c r="J5404" s="55">
        <v>5.1886830000000004E-3</v>
      </c>
      <c r="K5404" s="55">
        <v>5.1886830000000004E-3</v>
      </c>
      <c r="L5404" s="55">
        <v>5.1886830000000004E-3</v>
      </c>
      <c r="M5404" s="55">
        <v>5.1886839999999998E-3</v>
      </c>
      <c r="N5404" s="55">
        <v>5.1886830000000004E-3</v>
      </c>
    </row>
    <row r="5405" spans="1:14" hidden="1" x14ac:dyDescent="0.35">
      <c r="A5405" s="52" t="s">
        <v>709</v>
      </c>
      <c r="B5405" s="52" t="s">
        <v>74</v>
      </c>
      <c r="C5405" s="52" t="s">
        <v>146</v>
      </c>
      <c r="D5405" s="52" t="s">
        <v>146</v>
      </c>
      <c r="E5405" s="52" t="s">
        <v>584</v>
      </c>
      <c r="F5405" s="52" t="s">
        <v>581</v>
      </c>
      <c r="G5405" s="55" t="s">
        <v>279</v>
      </c>
      <c r="H5405" s="55">
        <v>3.0239739999999999</v>
      </c>
      <c r="I5405" s="55">
        <v>1.2466159999999999</v>
      </c>
      <c r="J5405" s="55">
        <v>0.90609720000000005</v>
      </c>
      <c r="K5405" s="55">
        <v>0.26308189999999998</v>
      </c>
      <c r="L5405" s="55">
        <v>2.4112420000000001</v>
      </c>
      <c r="M5405" s="55">
        <v>2.6523629999999998</v>
      </c>
      <c r="N5405" s="55">
        <v>4.2963200000000002E-5</v>
      </c>
    </row>
    <row r="5406" spans="1:14" hidden="1" x14ac:dyDescent="0.35">
      <c r="A5406" s="52" t="s">
        <v>709</v>
      </c>
      <c r="B5406" s="52" t="s">
        <v>60</v>
      </c>
      <c r="C5406" s="52" t="s">
        <v>126</v>
      </c>
      <c r="D5406" s="52" t="s">
        <v>126</v>
      </c>
      <c r="E5406" s="52" t="s">
        <v>584</v>
      </c>
      <c r="F5406" s="52" t="s">
        <v>26</v>
      </c>
      <c r="G5406" s="55" t="s">
        <v>275</v>
      </c>
      <c r="H5406" s="55">
        <v>-15.656219999999999</v>
      </c>
      <c r="I5406" s="55">
        <v>-13.45303</v>
      </c>
      <c r="J5406" s="55">
        <v>-11.343220000000001</v>
      </c>
      <c r="K5406" s="55">
        <v>49.039279999999998</v>
      </c>
      <c r="L5406" s="55">
        <v>85.541070000000005</v>
      </c>
      <c r="M5406" s="55">
        <v>88.98151</v>
      </c>
      <c r="N5406" s="55">
        <v>94.632710000000003</v>
      </c>
    </row>
    <row r="5407" spans="1:14" hidden="1" x14ac:dyDescent="0.35">
      <c r="A5407" s="52" t="s">
        <v>709</v>
      </c>
      <c r="B5407" s="52" t="s">
        <v>60</v>
      </c>
      <c r="C5407" s="52" t="s">
        <v>126</v>
      </c>
      <c r="D5407" s="52" t="s">
        <v>126</v>
      </c>
      <c r="E5407" s="52" t="s">
        <v>584</v>
      </c>
      <c r="F5407" s="52" t="s">
        <v>26</v>
      </c>
      <c r="G5407" s="55" t="s">
        <v>276</v>
      </c>
      <c r="H5407" s="55">
        <v>106.2731</v>
      </c>
      <c r="I5407" s="55">
        <v>72.817400000000006</v>
      </c>
      <c r="J5407" s="55">
        <v>75.063019999999995</v>
      </c>
      <c r="K5407" s="55">
        <v>76.83587</v>
      </c>
      <c r="L5407" s="55">
        <v>81.830579999999998</v>
      </c>
      <c r="M5407" s="55">
        <v>84.04128</v>
      </c>
      <c r="N5407" s="55">
        <v>85.791960000000003</v>
      </c>
    </row>
    <row r="5408" spans="1:14" hidden="1" x14ac:dyDescent="0.35">
      <c r="A5408" s="52" t="s">
        <v>709</v>
      </c>
      <c r="B5408" s="52" t="s">
        <v>60</v>
      </c>
      <c r="C5408" s="52" t="s">
        <v>126</v>
      </c>
      <c r="D5408" s="52" t="s">
        <v>126</v>
      </c>
      <c r="E5408" s="52" t="s">
        <v>584</v>
      </c>
      <c r="F5408" s="52" t="s">
        <v>26</v>
      </c>
      <c r="G5408" s="55" t="s">
        <v>277</v>
      </c>
      <c r="H5408" s="55">
        <v>86.199560000000005</v>
      </c>
      <c r="I5408" s="55">
        <v>61.657710000000002</v>
      </c>
      <c r="J5408" s="55">
        <v>61.160089999999997</v>
      </c>
      <c r="K5408" s="55">
        <v>24.34797</v>
      </c>
      <c r="L5408" s="55">
        <v>5.3390649999999997</v>
      </c>
      <c r="M5408" s="55">
        <v>6.0629840000000002</v>
      </c>
      <c r="N5408" s="55">
        <v>3.099952</v>
      </c>
    </row>
    <row r="5409" spans="1:14" hidden="1" x14ac:dyDescent="0.35">
      <c r="A5409" s="52" t="s">
        <v>709</v>
      </c>
      <c r="B5409" s="52" t="s">
        <v>60</v>
      </c>
      <c r="C5409" s="52" t="s">
        <v>126</v>
      </c>
      <c r="D5409" s="52" t="s">
        <v>126</v>
      </c>
      <c r="E5409" s="52" t="s">
        <v>584</v>
      </c>
      <c r="F5409" s="52" t="s">
        <v>26</v>
      </c>
      <c r="G5409" s="55" t="s">
        <v>278</v>
      </c>
      <c r="H5409" s="55">
        <v>6.56772E-3</v>
      </c>
      <c r="I5409" s="55">
        <v>4.275722E-3</v>
      </c>
      <c r="J5409" s="55">
        <v>4.0347450000000002E-3</v>
      </c>
      <c r="K5409" s="55">
        <v>1.4558099999999999E-2</v>
      </c>
      <c r="L5409" s="55">
        <v>9.7664650000000002E-3</v>
      </c>
      <c r="M5409" s="55">
        <v>9.7664650000000002E-3</v>
      </c>
      <c r="N5409" s="55">
        <v>9.7664650000000002E-3</v>
      </c>
    </row>
    <row r="5410" spans="1:14" hidden="1" x14ac:dyDescent="0.35">
      <c r="A5410" s="52" t="s">
        <v>709</v>
      </c>
      <c r="B5410" s="52" t="s">
        <v>60</v>
      </c>
      <c r="C5410" s="52" t="s">
        <v>126</v>
      </c>
      <c r="D5410" s="52" t="s">
        <v>126</v>
      </c>
      <c r="E5410" s="52" t="s">
        <v>584</v>
      </c>
      <c r="F5410" s="52" t="s">
        <v>26</v>
      </c>
      <c r="G5410" s="55" t="s">
        <v>279</v>
      </c>
      <c r="H5410" s="55">
        <v>20.895520000000001</v>
      </c>
      <c r="I5410" s="55">
        <v>19.361889999999999</v>
      </c>
      <c r="J5410" s="55">
        <v>20.095659999999999</v>
      </c>
      <c r="K5410" s="55">
        <v>29.200579999999999</v>
      </c>
      <c r="L5410" s="55">
        <v>35.105550000000001</v>
      </c>
      <c r="M5410" s="55">
        <v>36.34104</v>
      </c>
      <c r="N5410" s="55">
        <v>37.219949999999997</v>
      </c>
    </row>
    <row r="5411" spans="1:14" hidden="1" x14ac:dyDescent="0.35">
      <c r="A5411" s="52" t="s">
        <v>709</v>
      </c>
      <c r="B5411" s="52" t="s">
        <v>60</v>
      </c>
      <c r="C5411" s="52" t="s">
        <v>200</v>
      </c>
      <c r="D5411" s="52" t="s">
        <v>200</v>
      </c>
      <c r="E5411" s="52" t="s">
        <v>584</v>
      </c>
      <c r="F5411" s="52" t="s">
        <v>26</v>
      </c>
      <c r="G5411" s="55" t="s">
        <v>275</v>
      </c>
      <c r="H5411" s="55">
        <v>-5.8076929999999996E-4</v>
      </c>
      <c r="I5411" s="55">
        <v>-1.1328519999999999E-3</v>
      </c>
      <c r="J5411" s="55">
        <v>-1.0586390000000001E-3</v>
      </c>
      <c r="K5411" s="55">
        <v>-8.8624530000000002E-4</v>
      </c>
      <c r="L5411" s="55">
        <v>-8.8624530000000002E-4</v>
      </c>
      <c r="M5411" s="55">
        <v>-8.8624530000000002E-4</v>
      </c>
      <c r="N5411" s="55">
        <v>-8.8624530000000002E-4</v>
      </c>
    </row>
    <row r="5412" spans="1:14" hidden="1" x14ac:dyDescent="0.35">
      <c r="A5412" s="52" t="s">
        <v>709</v>
      </c>
      <c r="B5412" s="52" t="s">
        <v>60</v>
      </c>
      <c r="C5412" s="52" t="s">
        <v>200</v>
      </c>
      <c r="D5412" s="52" t="s">
        <v>200</v>
      </c>
      <c r="E5412" s="52" t="s">
        <v>584</v>
      </c>
      <c r="F5412" s="52" t="s">
        <v>26</v>
      </c>
      <c r="G5412" s="55" t="s">
        <v>278</v>
      </c>
      <c r="H5412" s="55">
        <v>5.8076929999999996E-4</v>
      </c>
      <c r="I5412" s="55">
        <v>1.1328519999999999E-3</v>
      </c>
      <c r="J5412" s="55">
        <v>1.0586390000000001E-3</v>
      </c>
      <c r="K5412" s="55">
        <v>8.8624530000000002E-4</v>
      </c>
      <c r="L5412" s="55">
        <v>8.8624530000000002E-4</v>
      </c>
      <c r="M5412" s="55">
        <v>8.8624530000000002E-4</v>
      </c>
      <c r="N5412" s="55">
        <v>8.8624530000000002E-4</v>
      </c>
    </row>
    <row r="5413" spans="1:14" hidden="1" x14ac:dyDescent="0.35">
      <c r="A5413" s="52" t="s">
        <v>709</v>
      </c>
      <c r="B5413" s="52" t="s">
        <v>32</v>
      </c>
      <c r="C5413" s="52" t="s">
        <v>30</v>
      </c>
      <c r="D5413" s="52" t="s">
        <v>30</v>
      </c>
      <c r="E5413" s="52" t="s">
        <v>584</v>
      </c>
      <c r="F5413" s="52" t="s">
        <v>581</v>
      </c>
      <c r="G5413" s="55" t="s">
        <v>275</v>
      </c>
      <c r="H5413" s="55">
        <v>112.3905</v>
      </c>
      <c r="I5413" s="55">
        <v>60.567399999999999</v>
      </c>
      <c r="J5413" s="55">
        <v>58.590739999999997</v>
      </c>
      <c r="K5413" s="55">
        <v>39.507849999999998</v>
      </c>
      <c r="L5413" s="55">
        <v>34.216209999999997</v>
      </c>
      <c r="M5413" s="55">
        <v>31.82612</v>
      </c>
      <c r="N5413" s="55">
        <v>31.594370000000001</v>
      </c>
    </row>
    <row r="5414" spans="1:14" hidden="1" x14ac:dyDescent="0.35">
      <c r="A5414" s="52" t="s">
        <v>709</v>
      </c>
      <c r="B5414" s="52" t="s">
        <v>32</v>
      </c>
      <c r="C5414" s="52" t="s">
        <v>30</v>
      </c>
      <c r="D5414" s="52" t="s">
        <v>30</v>
      </c>
      <c r="E5414" s="52" t="s">
        <v>584</v>
      </c>
      <c r="F5414" s="52" t="s">
        <v>581</v>
      </c>
      <c r="G5414" s="55" t="s">
        <v>276</v>
      </c>
      <c r="H5414" s="55">
        <v>133.3261</v>
      </c>
      <c r="I5414" s="55">
        <v>41.827100000000002</v>
      </c>
      <c r="J5414" s="55">
        <v>40.992420000000003</v>
      </c>
      <c r="K5414" s="55">
        <v>54.814500000000002</v>
      </c>
      <c r="L5414" s="55">
        <v>57.598059999999997</v>
      </c>
      <c r="M5414" s="55">
        <v>56.97307</v>
      </c>
      <c r="N5414" s="55">
        <v>55.47551</v>
      </c>
    </row>
    <row r="5415" spans="1:14" hidden="1" x14ac:dyDescent="0.35">
      <c r="A5415" s="52" t="s">
        <v>709</v>
      </c>
      <c r="B5415" s="52" t="s">
        <v>32</v>
      </c>
      <c r="C5415" s="52" t="s">
        <v>30</v>
      </c>
      <c r="D5415" s="52" t="s">
        <v>30</v>
      </c>
      <c r="E5415" s="52" t="s">
        <v>584</v>
      </c>
      <c r="F5415" s="52" t="s">
        <v>581</v>
      </c>
      <c r="G5415" s="55" t="s">
        <v>277</v>
      </c>
      <c r="H5415" s="55">
        <v>10.485519999999999</v>
      </c>
      <c r="I5415" s="55">
        <v>4.8503480000000003</v>
      </c>
      <c r="J5415" s="55">
        <v>4.3233670000000002</v>
      </c>
      <c r="K5415" s="55">
        <v>5.2033069999999997</v>
      </c>
      <c r="L5415" s="55">
        <v>5.9225430000000001</v>
      </c>
      <c r="M5415" s="55">
        <v>5.8960169999999996</v>
      </c>
      <c r="N5415" s="55">
        <v>5.0913329999999997</v>
      </c>
    </row>
    <row r="5416" spans="1:14" hidden="1" x14ac:dyDescent="0.35">
      <c r="A5416" s="52" t="s">
        <v>709</v>
      </c>
      <c r="B5416" s="52" t="s">
        <v>32</v>
      </c>
      <c r="C5416" s="52" t="s">
        <v>30</v>
      </c>
      <c r="D5416" s="52" t="s">
        <v>30</v>
      </c>
      <c r="E5416" s="52" t="s">
        <v>584</v>
      </c>
      <c r="F5416" s="52" t="s">
        <v>581</v>
      </c>
      <c r="G5416" s="55" t="s">
        <v>278</v>
      </c>
      <c r="H5416" s="55">
        <v>1.6957150000000001E-2</v>
      </c>
      <c r="I5416" s="55">
        <v>1.6957150000000001E-2</v>
      </c>
      <c r="J5416" s="55">
        <v>1.6957139999999999E-2</v>
      </c>
      <c r="K5416" s="55">
        <v>1.6957139999999999E-2</v>
      </c>
      <c r="L5416" s="55">
        <v>1.6957150000000001E-2</v>
      </c>
      <c r="M5416" s="55">
        <v>1.6957139999999999E-2</v>
      </c>
      <c r="N5416" s="55">
        <v>1.6957139999999999E-2</v>
      </c>
    </row>
    <row r="5417" spans="1:14" hidden="1" x14ac:dyDescent="0.35">
      <c r="A5417" s="52" t="s">
        <v>709</v>
      </c>
      <c r="B5417" s="52" t="s">
        <v>32</v>
      </c>
      <c r="C5417" s="52" t="s">
        <v>30</v>
      </c>
      <c r="D5417" s="52" t="s">
        <v>30</v>
      </c>
      <c r="E5417" s="52" t="s">
        <v>584</v>
      </c>
      <c r="F5417" s="52" t="s">
        <v>581</v>
      </c>
      <c r="G5417" s="55" t="s">
        <v>279</v>
      </c>
      <c r="H5417" s="55">
        <v>51.53613</v>
      </c>
      <c r="I5417" s="55">
        <v>47.52073</v>
      </c>
      <c r="J5417" s="55">
        <v>48.685589999999998</v>
      </c>
      <c r="K5417" s="55">
        <v>52.405769999999997</v>
      </c>
      <c r="L5417" s="55">
        <v>52.961759999999998</v>
      </c>
      <c r="M5417" s="55">
        <v>53.326819999999998</v>
      </c>
      <c r="N5417" s="55">
        <v>53.797190000000001</v>
      </c>
    </row>
    <row r="5418" spans="1:14" hidden="1" x14ac:dyDescent="0.35">
      <c r="A5418" s="52" t="s">
        <v>709</v>
      </c>
      <c r="B5418" s="52" t="s">
        <v>69</v>
      </c>
      <c r="C5418" s="52" t="s">
        <v>68</v>
      </c>
      <c r="D5418" s="52" t="s">
        <v>68</v>
      </c>
      <c r="E5418" s="52" t="s">
        <v>584</v>
      </c>
      <c r="F5418" s="52" t="s">
        <v>581</v>
      </c>
      <c r="G5418" s="55" t="s">
        <v>275</v>
      </c>
      <c r="H5418" s="55">
        <v>-14.1579</v>
      </c>
      <c r="I5418" s="55">
        <v>-1.5932360000000001</v>
      </c>
      <c r="J5418" s="55">
        <v>2.6240359999999998</v>
      </c>
      <c r="K5418" s="55">
        <v>2.7108270000000001</v>
      </c>
      <c r="L5418" s="55">
        <v>2.8398810000000001</v>
      </c>
      <c r="M5418" s="55">
        <v>3.3174709999999998</v>
      </c>
      <c r="N5418" s="55">
        <v>-2.5077039999999999</v>
      </c>
    </row>
    <row r="5419" spans="1:14" hidden="1" x14ac:dyDescent="0.35">
      <c r="A5419" s="52" t="s">
        <v>709</v>
      </c>
      <c r="B5419" s="52" t="s">
        <v>69</v>
      </c>
      <c r="C5419" s="52" t="s">
        <v>68</v>
      </c>
      <c r="D5419" s="52" t="s">
        <v>68</v>
      </c>
      <c r="E5419" s="52" t="s">
        <v>584</v>
      </c>
      <c r="F5419" s="52" t="s">
        <v>581</v>
      </c>
      <c r="G5419" s="55" t="s">
        <v>276</v>
      </c>
      <c r="H5419" s="55">
        <v>7.5175270000000003</v>
      </c>
      <c r="I5419" s="55">
        <v>4.2350250000000003</v>
      </c>
      <c r="J5419" s="55">
        <v>4.4552829999999997</v>
      </c>
      <c r="K5419" s="55">
        <v>4.285952</v>
      </c>
      <c r="L5419" s="55">
        <v>4.2743799999999998</v>
      </c>
      <c r="M5419" s="55">
        <v>4.1677299999999997</v>
      </c>
      <c r="N5419" s="55">
        <v>4.1023389999999997</v>
      </c>
    </row>
    <row r="5420" spans="1:14" hidden="1" x14ac:dyDescent="0.35">
      <c r="A5420" s="52" t="s">
        <v>709</v>
      </c>
      <c r="B5420" s="52" t="s">
        <v>69</v>
      </c>
      <c r="C5420" s="52" t="s">
        <v>68</v>
      </c>
      <c r="D5420" s="52" t="s">
        <v>68</v>
      </c>
      <c r="E5420" s="52" t="s">
        <v>584</v>
      </c>
      <c r="F5420" s="52" t="s">
        <v>581</v>
      </c>
      <c r="G5420" s="55" t="s">
        <v>277</v>
      </c>
      <c r="H5420" s="55">
        <v>4.7408720000000004</v>
      </c>
      <c r="I5420" s="55">
        <v>3.8660580000000002</v>
      </c>
      <c r="J5420" s="55">
        <v>2.3681589999999999</v>
      </c>
      <c r="K5420" s="55">
        <v>1.6351290000000001</v>
      </c>
      <c r="L5420" s="55">
        <v>1.2453989999999999</v>
      </c>
      <c r="M5420" s="55">
        <v>0.81000220000000001</v>
      </c>
      <c r="N5420" s="55">
        <v>0.74954829999999995</v>
      </c>
    </row>
    <row r="5421" spans="1:14" hidden="1" x14ac:dyDescent="0.35">
      <c r="A5421" s="52" t="s">
        <v>709</v>
      </c>
      <c r="B5421" s="52" t="s">
        <v>69</v>
      </c>
      <c r="C5421" s="52" t="s">
        <v>68</v>
      </c>
      <c r="D5421" s="52" t="s">
        <v>68</v>
      </c>
      <c r="E5421" s="52" t="s">
        <v>584</v>
      </c>
      <c r="F5421" s="52" t="s">
        <v>581</v>
      </c>
      <c r="G5421" s="55" t="s">
        <v>278</v>
      </c>
      <c r="H5421" s="55">
        <v>24.443380000000001</v>
      </c>
      <c r="I5421" s="55">
        <v>2.4146559999999999</v>
      </c>
      <c r="J5421" s="55">
        <v>1.8283359999999999E-2</v>
      </c>
      <c r="K5421" s="55">
        <v>1.8283359999999999E-2</v>
      </c>
      <c r="L5421" s="55">
        <v>1.8283359999999999E-2</v>
      </c>
      <c r="M5421" s="55">
        <v>1.8283359999999999E-2</v>
      </c>
      <c r="N5421" s="55">
        <v>1.8283359999999999E-2</v>
      </c>
    </row>
    <row r="5422" spans="1:14" hidden="1" x14ac:dyDescent="0.35">
      <c r="A5422" s="52" t="s">
        <v>709</v>
      </c>
      <c r="B5422" s="52" t="s">
        <v>69</v>
      </c>
      <c r="C5422" s="52" t="s">
        <v>68</v>
      </c>
      <c r="D5422" s="52" t="s">
        <v>68</v>
      </c>
      <c r="E5422" s="52" t="s">
        <v>584</v>
      </c>
      <c r="F5422" s="52" t="s">
        <v>581</v>
      </c>
      <c r="G5422" s="55" t="s">
        <v>279</v>
      </c>
      <c r="H5422" s="55">
        <v>13.251899999999999</v>
      </c>
      <c r="I5422" s="55">
        <v>9.7167790000000007</v>
      </c>
      <c r="J5422" s="55">
        <v>9.7352659999999993</v>
      </c>
      <c r="K5422" s="55">
        <v>9.7659330000000004</v>
      </c>
      <c r="L5422" s="55">
        <v>9.3205910000000003</v>
      </c>
      <c r="M5422" s="55">
        <v>8.8510109999999997</v>
      </c>
      <c r="N5422" s="55">
        <v>12.49469</v>
      </c>
    </row>
    <row r="5423" spans="1:14" hidden="1" x14ac:dyDescent="0.35">
      <c r="A5423" s="52" t="s">
        <v>709</v>
      </c>
      <c r="B5423" s="52" t="s">
        <v>69</v>
      </c>
      <c r="C5423" s="52" t="s">
        <v>68</v>
      </c>
      <c r="D5423" s="52" t="s">
        <v>68</v>
      </c>
      <c r="E5423" s="52" t="s">
        <v>584</v>
      </c>
      <c r="F5423" s="52" t="s">
        <v>26</v>
      </c>
      <c r="G5423" s="55" t="s">
        <v>275</v>
      </c>
      <c r="H5423" s="55">
        <v>72.760890000000003</v>
      </c>
      <c r="I5423" s="55">
        <v>63.70288</v>
      </c>
      <c r="J5423" s="55">
        <v>62.829320000000003</v>
      </c>
      <c r="K5423" s="55">
        <v>49.604930000000003</v>
      </c>
      <c r="L5423" s="55">
        <v>35.675460000000001</v>
      </c>
      <c r="M5423" s="55">
        <v>18.33015</v>
      </c>
      <c r="N5423" s="55">
        <v>13.643940000000001</v>
      </c>
    </row>
    <row r="5424" spans="1:14" hidden="1" x14ac:dyDescent="0.35">
      <c r="A5424" s="52" t="s">
        <v>709</v>
      </c>
      <c r="B5424" s="52" t="s">
        <v>69</v>
      </c>
      <c r="C5424" s="52" t="s">
        <v>68</v>
      </c>
      <c r="D5424" s="52" t="s">
        <v>68</v>
      </c>
      <c r="E5424" s="52" t="s">
        <v>584</v>
      </c>
      <c r="F5424" s="52" t="s">
        <v>26</v>
      </c>
      <c r="G5424" s="55" t="s">
        <v>276</v>
      </c>
      <c r="H5424" s="55">
        <v>14.06277</v>
      </c>
      <c r="I5424" s="55">
        <v>20.18309</v>
      </c>
      <c r="J5424" s="55">
        <v>23.369810000000001</v>
      </c>
      <c r="K5424" s="55">
        <v>26.668690000000002</v>
      </c>
      <c r="L5424" s="55">
        <v>29.788620000000002</v>
      </c>
      <c r="M5424" s="55">
        <v>31.172809999999998</v>
      </c>
      <c r="N5424" s="55">
        <v>30.455210000000001</v>
      </c>
    </row>
    <row r="5425" spans="1:14" hidden="1" x14ac:dyDescent="0.35">
      <c r="A5425" s="52" t="s">
        <v>709</v>
      </c>
      <c r="B5425" s="52" t="s">
        <v>69</v>
      </c>
      <c r="C5425" s="52" t="s">
        <v>68</v>
      </c>
      <c r="D5425" s="52" t="s">
        <v>68</v>
      </c>
      <c r="E5425" s="52" t="s">
        <v>584</v>
      </c>
      <c r="F5425" s="52" t="s">
        <v>26</v>
      </c>
      <c r="G5425" s="55" t="s">
        <v>277</v>
      </c>
      <c r="H5425" s="55">
        <v>15.27525</v>
      </c>
      <c r="I5425" s="55">
        <v>2.798708</v>
      </c>
      <c r="J5425" s="55">
        <v>0.97540749999999998</v>
      </c>
      <c r="K5425" s="55">
        <v>4.4228690000000004</v>
      </c>
      <c r="L5425" s="55">
        <v>10.981820000000001</v>
      </c>
      <c r="M5425" s="55">
        <v>24.73273</v>
      </c>
      <c r="N5425" s="55">
        <v>28.860019999999999</v>
      </c>
    </row>
    <row r="5426" spans="1:14" hidden="1" x14ac:dyDescent="0.35">
      <c r="A5426" s="52" t="s">
        <v>709</v>
      </c>
      <c r="B5426" s="52" t="s">
        <v>69</v>
      </c>
      <c r="C5426" s="52" t="s">
        <v>68</v>
      </c>
      <c r="D5426" s="52" t="s">
        <v>68</v>
      </c>
      <c r="E5426" s="52" t="s">
        <v>584</v>
      </c>
      <c r="F5426" s="52" t="s">
        <v>26</v>
      </c>
      <c r="G5426" s="55" t="s">
        <v>278</v>
      </c>
      <c r="H5426" s="55">
        <v>0.71758520000000003</v>
      </c>
      <c r="I5426" s="55">
        <v>0.71758520000000003</v>
      </c>
      <c r="J5426" s="55">
        <v>0.66134999999999999</v>
      </c>
      <c r="K5426" s="55">
        <v>0.70894760000000001</v>
      </c>
      <c r="L5426" s="55">
        <v>0.8538694</v>
      </c>
      <c r="M5426" s="55">
        <v>0.21854100000000001</v>
      </c>
      <c r="N5426" s="55">
        <v>5.4548279999999998E-2</v>
      </c>
    </row>
    <row r="5427" spans="1:14" hidden="1" x14ac:dyDescent="0.35">
      <c r="A5427" s="52" t="s">
        <v>709</v>
      </c>
      <c r="B5427" s="52" t="s">
        <v>69</v>
      </c>
      <c r="C5427" s="52" t="s">
        <v>68</v>
      </c>
      <c r="D5427" s="52" t="s">
        <v>68</v>
      </c>
      <c r="E5427" s="52" t="s">
        <v>584</v>
      </c>
      <c r="F5427" s="52" t="s">
        <v>26</v>
      </c>
      <c r="G5427" s="55" t="s">
        <v>279</v>
      </c>
      <c r="H5427" s="55">
        <v>35.402650000000001</v>
      </c>
      <c r="I5427" s="55">
        <v>31.05979</v>
      </c>
      <c r="J5427" s="55">
        <v>32.907299999999999</v>
      </c>
      <c r="K5427" s="55">
        <v>35.547530000000002</v>
      </c>
      <c r="L5427" s="55">
        <v>35.459240000000001</v>
      </c>
      <c r="M5427" s="55">
        <v>35.599170000000001</v>
      </c>
      <c r="N5427" s="55">
        <v>36.152079999999998</v>
      </c>
    </row>
    <row r="5428" spans="1:14" hidden="1" x14ac:dyDescent="0.35">
      <c r="A5428" s="52" t="s">
        <v>709</v>
      </c>
      <c r="B5428" s="52" t="s">
        <v>154</v>
      </c>
      <c r="C5428" s="52" t="s">
        <v>261</v>
      </c>
      <c r="D5428" s="52" t="s">
        <v>261</v>
      </c>
      <c r="E5428" s="52" t="s">
        <v>584</v>
      </c>
      <c r="F5428" s="52" t="s">
        <v>581</v>
      </c>
      <c r="G5428" s="55" t="s">
        <v>275</v>
      </c>
      <c r="H5428" s="55">
        <v>27.88983</v>
      </c>
      <c r="I5428" s="55">
        <v>8.7999480000000005</v>
      </c>
      <c r="J5428" s="55">
        <v>7.7075969999999998</v>
      </c>
      <c r="K5428" s="55">
        <v>-0.36322919999999997</v>
      </c>
      <c r="L5428" s="55">
        <v>-5.8979309999999998</v>
      </c>
      <c r="M5428" s="55">
        <v>-7.5565860000000002</v>
      </c>
      <c r="N5428" s="55">
        <v>-2.484944</v>
      </c>
    </row>
    <row r="5429" spans="1:14" hidden="1" x14ac:dyDescent="0.35">
      <c r="A5429" s="52" t="s">
        <v>709</v>
      </c>
      <c r="B5429" s="52" t="s">
        <v>154</v>
      </c>
      <c r="C5429" s="52" t="s">
        <v>261</v>
      </c>
      <c r="D5429" s="52" t="s">
        <v>261</v>
      </c>
      <c r="E5429" s="52" t="s">
        <v>584</v>
      </c>
      <c r="F5429" s="52" t="s">
        <v>581</v>
      </c>
      <c r="G5429" s="55" t="s">
        <v>276</v>
      </c>
      <c r="H5429" s="55"/>
      <c r="I5429" s="55"/>
      <c r="J5429" s="55">
        <v>-4.334532E-2</v>
      </c>
      <c r="K5429" s="55">
        <v>-4.334532E-2</v>
      </c>
      <c r="L5429" s="55">
        <v>-4.3345309999999998E-2</v>
      </c>
      <c r="M5429" s="55">
        <v>-4.3345309999999998E-2</v>
      </c>
      <c r="N5429" s="55">
        <v>-0.17122029999999999</v>
      </c>
    </row>
    <row r="5430" spans="1:14" hidden="1" x14ac:dyDescent="0.35">
      <c r="A5430" s="52" t="s">
        <v>709</v>
      </c>
      <c r="B5430" s="52" t="s">
        <v>154</v>
      </c>
      <c r="C5430" s="52" t="s">
        <v>261</v>
      </c>
      <c r="D5430" s="52" t="s">
        <v>261</v>
      </c>
      <c r="E5430" s="52" t="s">
        <v>584</v>
      </c>
      <c r="F5430" s="52" t="s">
        <v>581</v>
      </c>
      <c r="G5430" s="55" t="s">
        <v>277</v>
      </c>
      <c r="H5430" s="55">
        <v>8.2804859999999998</v>
      </c>
      <c r="I5430" s="55">
        <v>8.0206300000000006</v>
      </c>
      <c r="J5430" s="55">
        <v>7.9074869999999997</v>
      </c>
      <c r="K5430" s="55">
        <v>5.4710140000000003</v>
      </c>
      <c r="L5430" s="55">
        <v>3.0025559999999998</v>
      </c>
      <c r="M5430" s="55">
        <v>1.6478379999999999</v>
      </c>
      <c r="N5430" s="55">
        <v>0.2479712</v>
      </c>
    </row>
    <row r="5431" spans="1:14" hidden="1" x14ac:dyDescent="0.35">
      <c r="A5431" s="52" t="s">
        <v>709</v>
      </c>
      <c r="B5431" s="52" t="s">
        <v>154</v>
      </c>
      <c r="C5431" s="52" t="s">
        <v>261</v>
      </c>
      <c r="D5431" s="52" t="s">
        <v>261</v>
      </c>
      <c r="E5431" s="52" t="s">
        <v>584</v>
      </c>
      <c r="F5431" s="52" t="s">
        <v>581</v>
      </c>
      <c r="G5431" s="55" t="s">
        <v>278</v>
      </c>
      <c r="H5431" s="55">
        <v>5.2555089999999999E-2</v>
      </c>
      <c r="I5431" s="55">
        <v>4.3345309999999998E-2</v>
      </c>
      <c r="J5431" s="55">
        <v>4.334532E-2</v>
      </c>
      <c r="K5431" s="55">
        <v>4.334532E-2</v>
      </c>
      <c r="L5431" s="55">
        <v>4.3345309999999998E-2</v>
      </c>
      <c r="M5431" s="55">
        <v>4.3345309999999998E-2</v>
      </c>
      <c r="N5431" s="55">
        <v>4.3345309999999998E-2</v>
      </c>
    </row>
    <row r="5432" spans="1:14" hidden="1" x14ac:dyDescent="0.35">
      <c r="A5432" s="52" t="s">
        <v>709</v>
      </c>
      <c r="B5432" s="52" t="s">
        <v>154</v>
      </c>
      <c r="C5432" s="52" t="s">
        <v>261</v>
      </c>
      <c r="D5432" s="52" t="s">
        <v>261</v>
      </c>
      <c r="E5432" s="52" t="s">
        <v>584</v>
      </c>
      <c r="F5432" s="52" t="s">
        <v>581</v>
      </c>
      <c r="G5432" s="55" t="s">
        <v>279</v>
      </c>
      <c r="H5432" s="55">
        <v>27.181339999999999</v>
      </c>
      <c r="I5432" s="55">
        <v>26.123380000000001</v>
      </c>
      <c r="J5432" s="55">
        <v>25.998619999999999</v>
      </c>
      <c r="K5432" s="55">
        <v>21.521570000000001</v>
      </c>
      <c r="L5432" s="55">
        <v>16.118300000000001</v>
      </c>
      <c r="M5432" s="55">
        <v>14.84243</v>
      </c>
      <c r="N5432" s="55">
        <v>3.156755</v>
      </c>
    </row>
    <row r="5433" spans="1:14" hidden="1" x14ac:dyDescent="0.35">
      <c r="A5433" s="52" t="s">
        <v>709</v>
      </c>
      <c r="B5433" s="52" t="s">
        <v>154</v>
      </c>
      <c r="C5433" s="52" t="s">
        <v>261</v>
      </c>
      <c r="D5433" s="52" t="s">
        <v>261</v>
      </c>
      <c r="E5433" s="52" t="s">
        <v>584</v>
      </c>
      <c r="F5433" s="52" t="s">
        <v>26</v>
      </c>
      <c r="G5433" s="55" t="s">
        <v>275</v>
      </c>
      <c r="H5433" s="55"/>
      <c r="I5433" s="55">
        <v>-9.2097810000000002E-3</v>
      </c>
      <c r="J5433" s="55">
        <v>0</v>
      </c>
      <c r="K5433" s="55">
        <v>-0.1651051</v>
      </c>
      <c r="L5433" s="55">
        <v>0</v>
      </c>
      <c r="M5433" s="55">
        <v>0</v>
      </c>
      <c r="N5433" s="55">
        <v>0</v>
      </c>
    </row>
    <row r="5434" spans="1:14" hidden="1" x14ac:dyDescent="0.35">
      <c r="A5434" s="52" t="s">
        <v>709</v>
      </c>
      <c r="B5434" s="52" t="s">
        <v>154</v>
      </c>
      <c r="C5434" s="52" t="s">
        <v>261</v>
      </c>
      <c r="D5434" s="52" t="s">
        <v>261</v>
      </c>
      <c r="E5434" s="52" t="s">
        <v>584</v>
      </c>
      <c r="F5434" s="52" t="s">
        <v>26</v>
      </c>
      <c r="G5434" s="55" t="s">
        <v>277</v>
      </c>
      <c r="H5434" s="55"/>
      <c r="I5434" s="55"/>
      <c r="J5434" s="55"/>
      <c r="K5434" s="55">
        <v>0</v>
      </c>
      <c r="L5434" s="55">
        <v>0</v>
      </c>
      <c r="M5434" s="55">
        <v>0</v>
      </c>
      <c r="N5434" s="55">
        <v>0</v>
      </c>
    </row>
    <row r="5435" spans="1:14" hidden="1" x14ac:dyDescent="0.35">
      <c r="A5435" s="52" t="s">
        <v>709</v>
      </c>
      <c r="B5435" s="52" t="s">
        <v>154</v>
      </c>
      <c r="C5435" s="52" t="s">
        <v>261</v>
      </c>
      <c r="D5435" s="52" t="s">
        <v>261</v>
      </c>
      <c r="E5435" s="52" t="s">
        <v>584</v>
      </c>
      <c r="F5435" s="52" t="s">
        <v>26</v>
      </c>
      <c r="G5435" s="55" t="s">
        <v>278</v>
      </c>
      <c r="H5435" s="55"/>
      <c r="I5435" s="55">
        <v>9.2097810000000002E-3</v>
      </c>
      <c r="J5435" s="55">
        <v>0</v>
      </c>
      <c r="K5435" s="55">
        <v>0</v>
      </c>
      <c r="L5435" s="55">
        <v>0</v>
      </c>
      <c r="M5435" s="55">
        <v>0</v>
      </c>
      <c r="N5435" s="55">
        <v>0</v>
      </c>
    </row>
    <row r="5436" spans="1:14" hidden="1" x14ac:dyDescent="0.35">
      <c r="A5436" s="52" t="s">
        <v>709</v>
      </c>
      <c r="B5436" s="52" t="s">
        <v>154</v>
      </c>
      <c r="C5436" s="52" t="s">
        <v>261</v>
      </c>
      <c r="D5436" s="52" t="s">
        <v>261</v>
      </c>
      <c r="E5436" s="52" t="s">
        <v>584</v>
      </c>
      <c r="F5436" s="52" t="s">
        <v>26</v>
      </c>
      <c r="G5436" s="55" t="s">
        <v>279</v>
      </c>
      <c r="H5436" s="55"/>
      <c r="I5436" s="55"/>
      <c r="J5436" s="55">
        <v>0</v>
      </c>
      <c r="K5436" s="55">
        <v>0.55251090000000003</v>
      </c>
      <c r="L5436" s="55">
        <v>0</v>
      </c>
      <c r="M5436" s="55"/>
      <c r="N5436" s="55">
        <v>0</v>
      </c>
    </row>
    <row r="5437" spans="1:14" hidden="1" x14ac:dyDescent="0.35">
      <c r="A5437" s="52" t="s">
        <v>709</v>
      </c>
      <c r="B5437" s="52" t="s">
        <v>37</v>
      </c>
      <c r="C5437" s="52" t="s">
        <v>61</v>
      </c>
      <c r="D5437" s="52" t="s">
        <v>62</v>
      </c>
      <c r="E5437" s="52" t="s">
        <v>584</v>
      </c>
      <c r="F5437" s="52" t="s">
        <v>581</v>
      </c>
      <c r="G5437" s="55" t="s">
        <v>275</v>
      </c>
      <c r="H5437" s="55">
        <v>15.33085</v>
      </c>
      <c r="I5437" s="55">
        <v>15.63631</v>
      </c>
      <c r="J5437" s="55">
        <v>12.72465</v>
      </c>
      <c r="K5437" s="55">
        <v>11.61819</v>
      </c>
      <c r="L5437" s="55">
        <v>9.8272069999999996</v>
      </c>
      <c r="M5437" s="55">
        <v>6.7601570000000004</v>
      </c>
      <c r="N5437" s="55">
        <v>5.4644599999999999</v>
      </c>
    </row>
    <row r="5438" spans="1:14" hidden="1" x14ac:dyDescent="0.35">
      <c r="A5438" s="52" t="s">
        <v>709</v>
      </c>
      <c r="B5438" s="52" t="s">
        <v>37</v>
      </c>
      <c r="C5438" s="52" t="s">
        <v>61</v>
      </c>
      <c r="D5438" s="52" t="s">
        <v>62</v>
      </c>
      <c r="E5438" s="52" t="s">
        <v>584</v>
      </c>
      <c r="F5438" s="52" t="s">
        <v>581</v>
      </c>
      <c r="G5438" s="55" t="s">
        <v>276</v>
      </c>
      <c r="H5438" s="55">
        <v>1.1273850000000001</v>
      </c>
      <c r="I5438" s="55">
        <v>-0.1026103</v>
      </c>
      <c r="J5438" s="55">
        <v>1.483376</v>
      </c>
      <c r="K5438" s="55">
        <v>0.45272380000000001</v>
      </c>
      <c r="L5438" s="55">
        <v>0.48978909999999998</v>
      </c>
      <c r="M5438" s="55">
        <v>1.8152219999999999</v>
      </c>
      <c r="N5438" s="55">
        <v>1.4885189999999999</v>
      </c>
    </row>
    <row r="5439" spans="1:14" hidden="1" x14ac:dyDescent="0.35">
      <c r="A5439" s="52" t="s">
        <v>709</v>
      </c>
      <c r="B5439" s="52" t="s">
        <v>37</v>
      </c>
      <c r="C5439" s="52" t="s">
        <v>61</v>
      </c>
      <c r="D5439" s="52" t="s">
        <v>62</v>
      </c>
      <c r="E5439" s="52" t="s">
        <v>584</v>
      </c>
      <c r="F5439" s="52" t="s">
        <v>581</v>
      </c>
      <c r="G5439" s="55" t="s">
        <v>277</v>
      </c>
      <c r="H5439" s="55">
        <v>0.98968299999999998</v>
      </c>
      <c r="I5439" s="55">
        <v>0.74519930000000001</v>
      </c>
      <c r="J5439" s="55">
        <v>0.64575119999999997</v>
      </c>
      <c r="K5439" s="55">
        <v>0.76339060000000003</v>
      </c>
      <c r="L5439" s="55">
        <v>0.89614380000000005</v>
      </c>
      <c r="M5439" s="55">
        <v>0.85123930000000003</v>
      </c>
      <c r="N5439" s="55">
        <v>0.91097589999999995</v>
      </c>
    </row>
    <row r="5440" spans="1:14" hidden="1" x14ac:dyDescent="0.35">
      <c r="A5440" s="52" t="s">
        <v>709</v>
      </c>
      <c r="B5440" s="52" t="s">
        <v>37</v>
      </c>
      <c r="C5440" s="52" t="s">
        <v>61</v>
      </c>
      <c r="D5440" s="52" t="s">
        <v>62</v>
      </c>
      <c r="E5440" s="52" t="s">
        <v>584</v>
      </c>
      <c r="F5440" s="52" t="s">
        <v>581</v>
      </c>
      <c r="G5440" s="55" t="s">
        <v>278</v>
      </c>
      <c r="H5440" s="55">
        <v>19.56812</v>
      </c>
      <c r="I5440" s="55">
        <v>0</v>
      </c>
      <c r="J5440" s="55"/>
      <c r="K5440" s="55"/>
      <c r="L5440" s="55"/>
      <c r="M5440" s="55"/>
      <c r="N5440" s="55"/>
    </row>
    <row r="5441" spans="1:14" hidden="1" x14ac:dyDescent="0.35">
      <c r="A5441" s="52" t="s">
        <v>709</v>
      </c>
      <c r="B5441" s="52" t="s">
        <v>37</v>
      </c>
      <c r="C5441" s="52" t="s">
        <v>61</v>
      </c>
      <c r="D5441" s="52" t="s">
        <v>62</v>
      </c>
      <c r="E5441" s="52" t="s">
        <v>584</v>
      </c>
      <c r="F5441" s="52" t="s">
        <v>581</v>
      </c>
      <c r="G5441" s="55" t="s">
        <v>279</v>
      </c>
      <c r="H5441" s="55">
        <v>6.9941149999999999</v>
      </c>
      <c r="I5441" s="55">
        <v>6.550211</v>
      </c>
      <c r="J5441" s="55">
        <v>6.528238</v>
      </c>
      <c r="K5441" s="55">
        <v>6.6862890000000004</v>
      </c>
      <c r="L5441" s="55">
        <v>6.4025790000000002</v>
      </c>
      <c r="M5441" s="55">
        <v>6.0834580000000003</v>
      </c>
      <c r="N5441" s="55">
        <v>5.8190470000000003</v>
      </c>
    </row>
    <row r="5442" spans="1:14" hidden="1" x14ac:dyDescent="0.35">
      <c r="A5442" s="52" t="s">
        <v>709</v>
      </c>
      <c r="B5442" s="52" t="s">
        <v>37</v>
      </c>
      <c r="C5442" s="52" t="s">
        <v>61</v>
      </c>
      <c r="D5442" s="52" t="s">
        <v>62</v>
      </c>
      <c r="E5442" s="52" t="s">
        <v>584</v>
      </c>
      <c r="F5442" s="52" t="s">
        <v>26</v>
      </c>
      <c r="G5442" s="55" t="s">
        <v>275</v>
      </c>
      <c r="H5442" s="55">
        <v>0.1702882</v>
      </c>
      <c r="I5442" s="55">
        <v>0.15744820000000001</v>
      </c>
      <c r="J5442" s="55">
        <v>0.1696859</v>
      </c>
      <c r="K5442" s="55">
        <v>0.15720799999999999</v>
      </c>
      <c r="L5442" s="55">
        <v>0.15344940000000001</v>
      </c>
      <c r="M5442" s="55">
        <v>0.14619879999999999</v>
      </c>
      <c r="N5442" s="55">
        <v>0.13965140000000001</v>
      </c>
    </row>
    <row r="5443" spans="1:14" hidden="1" x14ac:dyDescent="0.35">
      <c r="A5443" s="52" t="s">
        <v>709</v>
      </c>
      <c r="B5443" s="52" t="s">
        <v>37</v>
      </c>
      <c r="C5443" s="52" t="s">
        <v>61</v>
      </c>
      <c r="D5443" s="52" t="s">
        <v>62</v>
      </c>
      <c r="E5443" s="52" t="s">
        <v>584</v>
      </c>
      <c r="F5443" s="52" t="s">
        <v>26</v>
      </c>
      <c r="G5443" s="55" t="s">
        <v>276</v>
      </c>
      <c r="H5443" s="55">
        <v>4.5266800000000003E-2</v>
      </c>
      <c r="I5443" s="55">
        <v>4.1853130000000002E-2</v>
      </c>
      <c r="J5443" s="55">
        <v>4.5106399999999998E-2</v>
      </c>
      <c r="K5443" s="55">
        <v>4.1789689999999997E-2</v>
      </c>
      <c r="L5443" s="55">
        <v>4.0790159999999999E-2</v>
      </c>
      <c r="M5443" s="55">
        <v>3.8862889999999997E-2</v>
      </c>
      <c r="N5443" s="55">
        <v>3.7122420000000003E-2</v>
      </c>
    </row>
    <row r="5444" spans="1:14" hidden="1" x14ac:dyDescent="0.35">
      <c r="A5444" s="52" t="s">
        <v>709</v>
      </c>
      <c r="B5444" s="52" t="s">
        <v>37</v>
      </c>
      <c r="C5444" s="52" t="s">
        <v>61</v>
      </c>
      <c r="D5444" s="52" t="s">
        <v>62</v>
      </c>
      <c r="E5444" s="52" t="s">
        <v>584</v>
      </c>
      <c r="F5444" s="52" t="s">
        <v>26</v>
      </c>
      <c r="G5444" s="55" t="s">
        <v>279</v>
      </c>
      <c r="H5444" s="55">
        <v>0.20027890000000001</v>
      </c>
      <c r="I5444" s="55">
        <v>0.2266581</v>
      </c>
      <c r="J5444" s="55">
        <v>0.23761930000000001</v>
      </c>
      <c r="K5444" s="55">
        <v>0.25364750000000003</v>
      </c>
      <c r="L5444" s="55">
        <v>0.24704989999999999</v>
      </c>
      <c r="M5444" s="55">
        <v>0.2351972</v>
      </c>
      <c r="N5444" s="55">
        <v>0.22479250000000001</v>
      </c>
    </row>
    <row r="5445" spans="1:14" hidden="1" x14ac:dyDescent="0.35">
      <c r="A5445" s="52" t="s">
        <v>709</v>
      </c>
      <c r="B5445" s="52" t="s">
        <v>37</v>
      </c>
      <c r="C5445" s="52" t="s">
        <v>79</v>
      </c>
      <c r="D5445" s="52" t="s">
        <v>79</v>
      </c>
      <c r="E5445" s="52" t="s">
        <v>584</v>
      </c>
      <c r="F5445" s="52" t="s">
        <v>581</v>
      </c>
      <c r="G5445" s="55" t="s">
        <v>275</v>
      </c>
      <c r="H5445" s="55">
        <v>0.434031</v>
      </c>
      <c r="I5445" s="55">
        <v>0.14969260000000001</v>
      </c>
      <c r="J5445" s="55">
        <v>0.15139340000000001</v>
      </c>
      <c r="K5445" s="55">
        <v>0.1494492</v>
      </c>
      <c r="L5445" s="55">
        <v>0.1470986</v>
      </c>
      <c r="M5445" s="55">
        <v>0.14489260000000001</v>
      </c>
      <c r="N5445" s="55">
        <v>0.1432853</v>
      </c>
    </row>
    <row r="5446" spans="1:14" hidden="1" x14ac:dyDescent="0.35">
      <c r="A5446" s="52" t="s">
        <v>709</v>
      </c>
      <c r="B5446" s="52" t="s">
        <v>37</v>
      </c>
      <c r="C5446" s="52" t="s">
        <v>79</v>
      </c>
      <c r="D5446" s="52" t="s">
        <v>79</v>
      </c>
      <c r="E5446" s="52" t="s">
        <v>584</v>
      </c>
      <c r="F5446" s="52" t="s">
        <v>581</v>
      </c>
      <c r="G5446" s="55" t="s">
        <v>276</v>
      </c>
      <c r="H5446" s="55">
        <v>0.11537500000000001</v>
      </c>
      <c r="I5446" s="55">
        <v>3.97915E-2</v>
      </c>
      <c r="J5446" s="55">
        <v>4.02444E-2</v>
      </c>
      <c r="K5446" s="55">
        <v>3.9727600000000002E-2</v>
      </c>
      <c r="L5446" s="55">
        <v>3.91023E-2</v>
      </c>
      <c r="M5446" s="55">
        <v>3.8516000000000002E-2</v>
      </c>
      <c r="N5446" s="55">
        <v>3.8088700000000003E-2</v>
      </c>
    </row>
    <row r="5447" spans="1:14" hidden="1" x14ac:dyDescent="0.35">
      <c r="A5447" s="52" t="s">
        <v>709</v>
      </c>
      <c r="B5447" s="52" t="s">
        <v>37</v>
      </c>
      <c r="C5447" s="52" t="s">
        <v>79</v>
      </c>
      <c r="D5447" s="52" t="s">
        <v>79</v>
      </c>
      <c r="E5447" s="52" t="s">
        <v>584</v>
      </c>
      <c r="F5447" s="52" t="s">
        <v>581</v>
      </c>
      <c r="G5447" s="55" t="s">
        <v>277</v>
      </c>
      <c r="H5447" s="55"/>
      <c r="I5447" s="55"/>
      <c r="J5447" s="55">
        <v>0</v>
      </c>
      <c r="K5447" s="55"/>
      <c r="L5447" s="55"/>
      <c r="M5447" s="55"/>
      <c r="N5447" s="55"/>
    </row>
    <row r="5448" spans="1:14" hidden="1" x14ac:dyDescent="0.35">
      <c r="A5448" s="52" t="s">
        <v>709</v>
      </c>
      <c r="B5448" s="52" t="s">
        <v>37</v>
      </c>
      <c r="C5448" s="52" t="s">
        <v>79</v>
      </c>
      <c r="D5448" s="52" t="s">
        <v>79</v>
      </c>
      <c r="E5448" s="52" t="s">
        <v>584</v>
      </c>
      <c r="F5448" s="52" t="s">
        <v>581</v>
      </c>
      <c r="G5448" s="55" t="s">
        <v>279</v>
      </c>
      <c r="H5448" s="55">
        <v>0.20550099999999999</v>
      </c>
      <c r="I5448" s="55">
        <v>0.16064880000000001</v>
      </c>
      <c r="J5448" s="55">
        <v>0.15736130000000001</v>
      </c>
      <c r="K5448" s="55">
        <v>0.16139909999999999</v>
      </c>
      <c r="L5448" s="55">
        <v>0.1633568</v>
      </c>
      <c r="M5448" s="55">
        <v>0.15746779999999999</v>
      </c>
      <c r="N5448" s="55">
        <v>0.1524887</v>
      </c>
    </row>
    <row r="5449" spans="1:14" hidden="1" x14ac:dyDescent="0.35">
      <c r="A5449" s="52" t="s">
        <v>709</v>
      </c>
      <c r="B5449" s="52" t="s">
        <v>37</v>
      </c>
      <c r="C5449" s="52" t="s">
        <v>79</v>
      </c>
      <c r="D5449" s="52" t="s">
        <v>79</v>
      </c>
      <c r="E5449" s="52" t="s">
        <v>584</v>
      </c>
      <c r="F5449" s="52" t="s">
        <v>26</v>
      </c>
      <c r="G5449" s="55" t="s">
        <v>275</v>
      </c>
      <c r="H5449" s="55">
        <v>-1.8256790000000001</v>
      </c>
      <c r="I5449" s="55">
        <v>-1.8412120000000001</v>
      </c>
      <c r="J5449" s="55">
        <v>-1.54494</v>
      </c>
      <c r="K5449" s="55">
        <v>-1.4736549999999999</v>
      </c>
      <c r="L5449" s="55">
        <v>-1.4017759999999999</v>
      </c>
      <c r="M5449" s="55">
        <v>-1.2156469999999999</v>
      </c>
      <c r="N5449" s="55">
        <v>-1.0644910000000001</v>
      </c>
    </row>
    <row r="5450" spans="1:14" hidden="1" x14ac:dyDescent="0.35">
      <c r="A5450" s="52" t="s">
        <v>709</v>
      </c>
      <c r="B5450" s="52" t="s">
        <v>37</v>
      </c>
      <c r="C5450" s="52" t="s">
        <v>79</v>
      </c>
      <c r="D5450" s="52" t="s">
        <v>79</v>
      </c>
      <c r="E5450" s="52" t="s">
        <v>584</v>
      </c>
      <c r="F5450" s="52" t="s">
        <v>26</v>
      </c>
      <c r="G5450" s="55" t="s">
        <v>276</v>
      </c>
      <c r="H5450" s="55">
        <v>-0.81668700000000005</v>
      </c>
      <c r="I5450" s="55">
        <v>-0.7748874</v>
      </c>
      <c r="J5450" s="55">
        <v>-0.66274670000000002</v>
      </c>
      <c r="K5450" s="55">
        <v>-0.63656380000000001</v>
      </c>
      <c r="L5450" s="55">
        <v>-0.57515439999999995</v>
      </c>
      <c r="M5450" s="55">
        <v>-0.51883710000000005</v>
      </c>
      <c r="N5450" s="55">
        <v>-0.46660689999999999</v>
      </c>
    </row>
    <row r="5451" spans="1:14" hidden="1" x14ac:dyDescent="0.35">
      <c r="A5451" s="52" t="s">
        <v>709</v>
      </c>
      <c r="B5451" s="52" t="s">
        <v>37</v>
      </c>
      <c r="C5451" s="52" t="s">
        <v>79</v>
      </c>
      <c r="D5451" s="52" t="s">
        <v>79</v>
      </c>
      <c r="E5451" s="52" t="s">
        <v>584</v>
      </c>
      <c r="F5451" s="52" t="s">
        <v>26</v>
      </c>
      <c r="G5451" s="55" t="s">
        <v>277</v>
      </c>
      <c r="H5451" s="55">
        <v>3.6216149999999998</v>
      </c>
      <c r="I5451" s="55">
        <v>3.2440639999999998</v>
      </c>
      <c r="J5451" s="55">
        <v>2.906847</v>
      </c>
      <c r="K5451" s="55">
        <v>2.6014810000000002</v>
      </c>
      <c r="L5451" s="55">
        <v>2.3025259999999999</v>
      </c>
      <c r="M5451" s="55">
        <v>1.9895689999999999</v>
      </c>
      <c r="N5451" s="55">
        <v>1.724064</v>
      </c>
    </row>
    <row r="5452" spans="1:14" hidden="1" x14ac:dyDescent="0.35">
      <c r="A5452" s="52" t="s">
        <v>709</v>
      </c>
      <c r="B5452" s="52" t="s">
        <v>37</v>
      </c>
      <c r="C5452" s="52" t="s">
        <v>79</v>
      </c>
      <c r="D5452" s="52" t="s">
        <v>79</v>
      </c>
      <c r="E5452" s="52" t="s">
        <v>584</v>
      </c>
      <c r="F5452" s="52" t="s">
        <v>26</v>
      </c>
      <c r="G5452" s="55" t="s">
        <v>279</v>
      </c>
      <c r="H5452" s="55">
        <v>2.9450090000000002</v>
      </c>
      <c r="I5452" s="55">
        <v>2.365262</v>
      </c>
      <c r="J5452" s="55">
        <v>2.1532930000000001</v>
      </c>
      <c r="K5452" s="55">
        <v>2.1128110000000002</v>
      </c>
      <c r="L5452" s="55">
        <v>2.0254129999999999</v>
      </c>
      <c r="M5452" s="55">
        <v>1.814335</v>
      </c>
      <c r="N5452" s="55">
        <v>1.6312500000000001</v>
      </c>
    </row>
    <row r="5453" spans="1:14" hidden="1" x14ac:dyDescent="0.35">
      <c r="A5453" s="52" t="s">
        <v>709</v>
      </c>
      <c r="B5453" s="52" t="s">
        <v>37</v>
      </c>
      <c r="C5453" s="52" t="s">
        <v>109</v>
      </c>
      <c r="D5453" s="52" t="s">
        <v>109</v>
      </c>
      <c r="E5453" s="52" t="s">
        <v>584</v>
      </c>
      <c r="F5453" s="52" t="s">
        <v>581</v>
      </c>
      <c r="G5453" s="55" t="s">
        <v>275</v>
      </c>
      <c r="H5453" s="55">
        <v>0.91409560000000001</v>
      </c>
      <c r="I5453" s="55">
        <v>0.34467579999999998</v>
      </c>
      <c r="J5453" s="55">
        <v>0.32807059999999999</v>
      </c>
      <c r="K5453" s="55">
        <v>0.19287599999999999</v>
      </c>
      <c r="L5453" s="55">
        <v>0.18733359999999999</v>
      </c>
      <c r="M5453" s="55">
        <v>0.1537983</v>
      </c>
      <c r="N5453" s="55">
        <v>0.13279189999999999</v>
      </c>
    </row>
    <row r="5454" spans="1:14" hidden="1" x14ac:dyDescent="0.35">
      <c r="A5454" s="52" t="s">
        <v>709</v>
      </c>
      <c r="B5454" s="52" t="s">
        <v>37</v>
      </c>
      <c r="C5454" s="52" t="s">
        <v>109</v>
      </c>
      <c r="D5454" s="52" t="s">
        <v>109</v>
      </c>
      <c r="E5454" s="52" t="s">
        <v>584</v>
      </c>
      <c r="F5454" s="52" t="s">
        <v>581</v>
      </c>
      <c r="G5454" s="55" t="s">
        <v>276</v>
      </c>
      <c r="H5454" s="55">
        <v>0.2240711</v>
      </c>
      <c r="I5454" s="55">
        <v>1.857079E-2</v>
      </c>
      <c r="J5454" s="55">
        <v>2.0709449999999999E-4</v>
      </c>
      <c r="K5454" s="55">
        <v>-8.4158519999999997E-3</v>
      </c>
      <c r="L5454" s="55">
        <v>-2.18134E-2</v>
      </c>
      <c r="M5454" s="55">
        <v>-1.49982E-2</v>
      </c>
      <c r="N5454" s="55">
        <v>-1.933522E-2</v>
      </c>
    </row>
    <row r="5455" spans="1:14" hidden="1" x14ac:dyDescent="0.35">
      <c r="A5455" s="52" t="s">
        <v>709</v>
      </c>
      <c r="B5455" s="52" t="s">
        <v>37</v>
      </c>
      <c r="C5455" s="52" t="s">
        <v>109</v>
      </c>
      <c r="D5455" s="52" t="s">
        <v>109</v>
      </c>
      <c r="E5455" s="52" t="s">
        <v>584</v>
      </c>
      <c r="F5455" s="52" t="s">
        <v>581</v>
      </c>
      <c r="G5455" s="55" t="s">
        <v>277</v>
      </c>
      <c r="H5455" s="55">
        <v>1.457392</v>
      </c>
      <c r="I5455" s="55">
        <v>1.1647110000000001</v>
      </c>
      <c r="J5455" s="55">
        <v>1.0423990000000001</v>
      </c>
      <c r="K5455" s="55">
        <v>1.0374460000000001</v>
      </c>
      <c r="L5455" s="55">
        <v>0.93279849999999997</v>
      </c>
      <c r="M5455" s="55">
        <v>0.81953659999999995</v>
      </c>
      <c r="N5455" s="55">
        <v>0.72274459999999996</v>
      </c>
    </row>
    <row r="5456" spans="1:14" hidden="1" x14ac:dyDescent="0.35">
      <c r="A5456" s="52" t="s">
        <v>709</v>
      </c>
      <c r="B5456" s="52" t="s">
        <v>37</v>
      </c>
      <c r="C5456" s="52" t="s">
        <v>109</v>
      </c>
      <c r="D5456" s="52" t="s">
        <v>109</v>
      </c>
      <c r="E5456" s="52" t="s">
        <v>584</v>
      </c>
      <c r="F5456" s="52" t="s">
        <v>581</v>
      </c>
      <c r="G5456" s="55" t="s">
        <v>279</v>
      </c>
      <c r="H5456" s="55">
        <v>2.0524230000000001</v>
      </c>
      <c r="I5456" s="55">
        <v>0.64030500000000001</v>
      </c>
      <c r="J5456" s="55">
        <v>0.61004409999999998</v>
      </c>
      <c r="K5456" s="55">
        <v>0.60189250000000005</v>
      </c>
      <c r="L5456" s="55">
        <v>0.56207269999999998</v>
      </c>
      <c r="M5456" s="55">
        <v>0.51687830000000001</v>
      </c>
      <c r="N5456" s="55">
        <v>0.47748210000000002</v>
      </c>
    </row>
    <row r="5457" spans="1:14" hidden="1" x14ac:dyDescent="0.35">
      <c r="A5457" s="52" t="s">
        <v>709</v>
      </c>
      <c r="B5457" s="52" t="s">
        <v>37</v>
      </c>
      <c r="C5457" s="52" t="s">
        <v>109</v>
      </c>
      <c r="D5457" s="52" t="s">
        <v>109</v>
      </c>
      <c r="E5457" s="52" t="s">
        <v>584</v>
      </c>
      <c r="F5457" s="52" t="s">
        <v>26</v>
      </c>
      <c r="G5457" s="55" t="s">
        <v>275</v>
      </c>
      <c r="H5457" s="55">
        <v>-5.0122369999999998</v>
      </c>
      <c r="I5457" s="55">
        <v>-6.5039099999999999E-3</v>
      </c>
      <c r="J5457" s="55">
        <v>-2.3972199999999998E-3</v>
      </c>
      <c r="K5457" s="55">
        <v>-5.3919950000000001E-3</v>
      </c>
      <c r="L5457" s="55">
        <v>-4.1616400000000003E-3</v>
      </c>
      <c r="M5457" s="55">
        <v>-2.9701699999999998E-3</v>
      </c>
      <c r="N5457" s="55">
        <v>-1.934205E-3</v>
      </c>
    </row>
    <row r="5458" spans="1:14" hidden="1" x14ac:dyDescent="0.35">
      <c r="A5458" s="52" t="s">
        <v>709</v>
      </c>
      <c r="B5458" s="52" t="s">
        <v>37</v>
      </c>
      <c r="C5458" s="52" t="s">
        <v>109</v>
      </c>
      <c r="D5458" s="52" t="s">
        <v>109</v>
      </c>
      <c r="E5458" s="52" t="s">
        <v>584</v>
      </c>
      <c r="F5458" s="52" t="s">
        <v>26</v>
      </c>
      <c r="G5458" s="55" t="s">
        <v>276</v>
      </c>
      <c r="H5458" s="55">
        <v>-1.3323659999999999</v>
      </c>
      <c r="I5458" s="55">
        <v>-1.728895E-3</v>
      </c>
      <c r="J5458" s="55">
        <v>-6.3738490000000004E-4</v>
      </c>
      <c r="K5458" s="55">
        <v>-1.4334949999999999E-3</v>
      </c>
      <c r="L5458" s="55">
        <v>-1.106175E-3</v>
      </c>
      <c r="M5458" s="55">
        <v>-7.8959989999999997E-4</v>
      </c>
      <c r="N5458" s="55">
        <v>-5.1407989999999995E-4</v>
      </c>
    </row>
    <row r="5459" spans="1:14" hidden="1" x14ac:dyDescent="0.35">
      <c r="A5459" s="52" t="s">
        <v>709</v>
      </c>
      <c r="B5459" s="52" t="s">
        <v>37</v>
      </c>
      <c r="C5459" s="52" t="s">
        <v>109</v>
      </c>
      <c r="D5459" s="52" t="s">
        <v>109</v>
      </c>
      <c r="E5459" s="52" t="s">
        <v>584</v>
      </c>
      <c r="F5459" s="52" t="s">
        <v>26</v>
      </c>
      <c r="G5459" s="55" t="s">
        <v>279</v>
      </c>
      <c r="H5459" s="55">
        <v>6.4976390000000004</v>
      </c>
      <c r="I5459" s="55">
        <v>0.13638620000000001</v>
      </c>
      <c r="J5459" s="55">
        <v>0.13712160000000001</v>
      </c>
      <c r="K5459" s="55">
        <v>0.14121400000000001</v>
      </c>
      <c r="L5459" s="55">
        <v>0.13896459999999999</v>
      </c>
      <c r="M5459" s="55">
        <v>0.13375619999999999</v>
      </c>
      <c r="N5459" s="55">
        <v>0.1293319</v>
      </c>
    </row>
    <row r="5460" spans="1:14" hidden="1" x14ac:dyDescent="0.35">
      <c r="A5460" s="52" t="s">
        <v>709</v>
      </c>
      <c r="B5460" s="52" t="s">
        <v>31</v>
      </c>
      <c r="C5460" s="52" t="s">
        <v>30</v>
      </c>
      <c r="D5460" s="52" t="s">
        <v>30</v>
      </c>
      <c r="E5460" s="52" t="s">
        <v>584</v>
      </c>
      <c r="F5460" s="52" t="s">
        <v>581</v>
      </c>
      <c r="G5460" s="55" t="s">
        <v>275</v>
      </c>
      <c r="H5460" s="55">
        <v>38.56823</v>
      </c>
      <c r="I5460" s="55">
        <v>17.60286</v>
      </c>
      <c r="J5460" s="55">
        <v>9.5797799999999995</v>
      </c>
      <c r="K5460" s="55">
        <v>19.130019999999998</v>
      </c>
      <c r="L5460" s="55">
        <v>1.241055</v>
      </c>
      <c r="M5460" s="55">
        <v>0.86476529999999996</v>
      </c>
      <c r="N5460" s="55">
        <v>2.4579249999999999</v>
      </c>
    </row>
    <row r="5461" spans="1:14" hidden="1" x14ac:dyDescent="0.35">
      <c r="A5461" s="52" t="s">
        <v>709</v>
      </c>
      <c r="B5461" s="52" t="s">
        <v>31</v>
      </c>
      <c r="C5461" s="52" t="s">
        <v>30</v>
      </c>
      <c r="D5461" s="52" t="s">
        <v>30</v>
      </c>
      <c r="E5461" s="52" t="s">
        <v>584</v>
      </c>
      <c r="F5461" s="52" t="s">
        <v>581</v>
      </c>
      <c r="G5461" s="55" t="s">
        <v>276</v>
      </c>
      <c r="H5461" s="55">
        <v>-7.5643320000000003</v>
      </c>
      <c r="I5461" s="55">
        <v>-9.0719539999999999</v>
      </c>
      <c r="J5461" s="55">
        <v>-1.4791700000000001</v>
      </c>
      <c r="K5461" s="55">
        <v>-12.72527</v>
      </c>
      <c r="L5461" s="55">
        <v>4.2655859999999999</v>
      </c>
      <c r="M5461" s="55">
        <v>3.566392</v>
      </c>
      <c r="N5461" s="55">
        <v>3.3967839999999998</v>
      </c>
    </row>
    <row r="5462" spans="1:14" hidden="1" x14ac:dyDescent="0.35">
      <c r="A5462" s="52" t="s">
        <v>709</v>
      </c>
      <c r="B5462" s="52" t="s">
        <v>31</v>
      </c>
      <c r="C5462" s="52" t="s">
        <v>30</v>
      </c>
      <c r="D5462" s="52" t="s">
        <v>30</v>
      </c>
      <c r="E5462" s="52" t="s">
        <v>584</v>
      </c>
      <c r="F5462" s="52" t="s">
        <v>581</v>
      </c>
      <c r="G5462" s="55" t="s">
        <v>277</v>
      </c>
      <c r="H5462" s="55">
        <v>3.3993340000000001</v>
      </c>
      <c r="I5462" s="55">
        <v>2.6824780000000001</v>
      </c>
      <c r="J5462" s="55">
        <v>2.394819</v>
      </c>
      <c r="K5462" s="55">
        <v>2.8759570000000001</v>
      </c>
      <c r="L5462" s="55">
        <v>3.2300580000000001</v>
      </c>
      <c r="M5462" s="55">
        <v>3.209965</v>
      </c>
      <c r="N5462" s="55">
        <v>1.0578620000000001</v>
      </c>
    </row>
    <row r="5463" spans="1:14" hidden="1" x14ac:dyDescent="0.35">
      <c r="A5463" s="52" t="s">
        <v>709</v>
      </c>
      <c r="B5463" s="52" t="s">
        <v>31</v>
      </c>
      <c r="C5463" s="52" t="s">
        <v>30</v>
      </c>
      <c r="D5463" s="52" t="s">
        <v>30</v>
      </c>
      <c r="E5463" s="52" t="s">
        <v>584</v>
      </c>
      <c r="F5463" s="52" t="s">
        <v>581</v>
      </c>
      <c r="G5463" s="55" t="s">
        <v>278</v>
      </c>
      <c r="H5463" s="55">
        <v>0.11891649999999999</v>
      </c>
      <c r="I5463" s="55">
        <v>0.11891649999999999</v>
      </c>
      <c r="J5463" s="55">
        <v>0.11891649999999999</v>
      </c>
      <c r="K5463" s="55">
        <v>0.11891649999999999</v>
      </c>
      <c r="L5463" s="55">
        <v>0.11891649999999999</v>
      </c>
      <c r="M5463" s="55">
        <v>0.25553350000000002</v>
      </c>
      <c r="N5463" s="55">
        <v>0.11891649999999999</v>
      </c>
    </row>
    <row r="5464" spans="1:14" hidden="1" x14ac:dyDescent="0.35">
      <c r="A5464" s="52" t="s">
        <v>709</v>
      </c>
      <c r="B5464" s="52" t="s">
        <v>31</v>
      </c>
      <c r="C5464" s="52" t="s">
        <v>30</v>
      </c>
      <c r="D5464" s="52" t="s">
        <v>30</v>
      </c>
      <c r="E5464" s="52" t="s">
        <v>584</v>
      </c>
      <c r="F5464" s="52" t="s">
        <v>581</v>
      </c>
      <c r="G5464" s="55" t="s">
        <v>279</v>
      </c>
      <c r="H5464" s="55">
        <v>14.281510000000001</v>
      </c>
      <c r="I5464" s="55">
        <v>13.196709999999999</v>
      </c>
      <c r="J5464" s="55">
        <v>13.522959999999999</v>
      </c>
      <c r="K5464" s="55">
        <v>14.55439</v>
      </c>
      <c r="L5464" s="55">
        <v>14.70018</v>
      </c>
      <c r="M5464" s="55">
        <v>14.75198</v>
      </c>
      <c r="N5464" s="55">
        <v>14.834350000000001</v>
      </c>
    </row>
    <row r="5465" spans="1:14" hidden="1" x14ac:dyDescent="0.35">
      <c r="A5465" s="52" t="s">
        <v>709</v>
      </c>
      <c r="B5465" s="52" t="s">
        <v>31</v>
      </c>
      <c r="C5465" s="52" t="s">
        <v>30</v>
      </c>
      <c r="D5465" s="52" t="s">
        <v>30</v>
      </c>
      <c r="E5465" s="52" t="s">
        <v>584</v>
      </c>
      <c r="F5465" s="52" t="s">
        <v>26</v>
      </c>
      <c r="G5465" s="55" t="s">
        <v>275</v>
      </c>
      <c r="H5465" s="55">
        <v>2.584673</v>
      </c>
      <c r="I5465" s="55">
        <v>2.584673</v>
      </c>
      <c r="J5465" s="55">
        <v>2.7499280000000002</v>
      </c>
      <c r="K5465" s="55">
        <v>4.1313990000000002E-2</v>
      </c>
      <c r="L5465" s="55">
        <v>2.0656999999999998E-2</v>
      </c>
      <c r="M5465" s="55">
        <v>0</v>
      </c>
      <c r="N5465" s="55">
        <v>0</v>
      </c>
    </row>
    <row r="5466" spans="1:14" hidden="1" x14ac:dyDescent="0.35">
      <c r="A5466" s="52" t="s">
        <v>709</v>
      </c>
      <c r="B5466" s="52" t="s">
        <v>31</v>
      </c>
      <c r="C5466" s="52" t="s">
        <v>30</v>
      </c>
      <c r="D5466" s="52" t="s">
        <v>30</v>
      </c>
      <c r="E5466" s="52" t="s">
        <v>584</v>
      </c>
      <c r="F5466" s="52" t="s">
        <v>26</v>
      </c>
      <c r="G5466" s="55" t="s">
        <v>276</v>
      </c>
      <c r="H5466" s="55">
        <v>-2.791242</v>
      </c>
      <c r="I5466" s="55">
        <v>-2.791242</v>
      </c>
      <c r="J5466" s="55">
        <v>0</v>
      </c>
      <c r="K5466" s="55">
        <v>0</v>
      </c>
      <c r="L5466" s="55">
        <v>0</v>
      </c>
      <c r="M5466" s="55">
        <v>0</v>
      </c>
      <c r="N5466" s="55">
        <v>0</v>
      </c>
    </row>
    <row r="5467" spans="1:14" hidden="1" x14ac:dyDescent="0.35">
      <c r="A5467" s="52" t="s">
        <v>709</v>
      </c>
      <c r="B5467" s="52" t="s">
        <v>31</v>
      </c>
      <c r="C5467" s="52" t="s">
        <v>30</v>
      </c>
      <c r="D5467" s="52" t="s">
        <v>30</v>
      </c>
      <c r="E5467" s="52" t="s">
        <v>584</v>
      </c>
      <c r="F5467" s="52" t="s">
        <v>26</v>
      </c>
      <c r="G5467" s="55" t="s">
        <v>277</v>
      </c>
      <c r="H5467" s="55"/>
      <c r="I5467" s="55"/>
      <c r="J5467" s="55">
        <v>0</v>
      </c>
      <c r="K5467" s="55">
        <v>0</v>
      </c>
      <c r="L5467" s="55">
        <v>0</v>
      </c>
      <c r="M5467" s="55">
        <v>0</v>
      </c>
      <c r="N5467" s="55">
        <v>0</v>
      </c>
    </row>
    <row r="5468" spans="1:14" hidden="1" x14ac:dyDescent="0.35">
      <c r="A5468" s="52" t="s">
        <v>709</v>
      </c>
      <c r="B5468" s="52" t="s">
        <v>31</v>
      </c>
      <c r="C5468" s="52" t="s">
        <v>30</v>
      </c>
      <c r="D5468" s="52" t="s">
        <v>30</v>
      </c>
      <c r="E5468" s="52" t="s">
        <v>584</v>
      </c>
      <c r="F5468" s="52" t="s">
        <v>26</v>
      </c>
      <c r="G5468" s="55" t="s">
        <v>278</v>
      </c>
      <c r="H5468" s="55">
        <v>0.206569</v>
      </c>
      <c r="I5468" s="55">
        <v>0.206569</v>
      </c>
      <c r="J5468" s="55">
        <v>0</v>
      </c>
      <c r="K5468" s="55">
        <v>0</v>
      </c>
      <c r="L5468" s="55">
        <v>0</v>
      </c>
      <c r="M5468" s="55">
        <v>0</v>
      </c>
      <c r="N5468" s="55">
        <v>0</v>
      </c>
    </row>
    <row r="5469" spans="1:14" hidden="1" x14ac:dyDescent="0.35">
      <c r="A5469" s="52" t="s">
        <v>709</v>
      </c>
      <c r="B5469" s="52" t="s">
        <v>31</v>
      </c>
      <c r="C5469" s="52" t="s">
        <v>30</v>
      </c>
      <c r="D5469" s="52" t="s">
        <v>30</v>
      </c>
      <c r="E5469" s="52" t="s">
        <v>584</v>
      </c>
      <c r="F5469" s="52" t="s">
        <v>26</v>
      </c>
      <c r="G5469" s="55" t="s">
        <v>279</v>
      </c>
      <c r="H5469" s="55"/>
      <c r="I5469" s="55"/>
      <c r="J5469" s="55"/>
      <c r="K5469" s="55"/>
      <c r="L5469" s="55">
        <v>0</v>
      </c>
      <c r="M5469" s="55">
        <v>0</v>
      </c>
      <c r="N5469" s="55">
        <v>0</v>
      </c>
    </row>
    <row r="5470" spans="1:14" hidden="1" x14ac:dyDescent="0.35">
      <c r="A5470" s="52" t="s">
        <v>709</v>
      </c>
      <c r="B5470" s="52" t="s">
        <v>195</v>
      </c>
      <c r="C5470" s="52" t="s">
        <v>710</v>
      </c>
      <c r="D5470" s="52" t="s">
        <v>710</v>
      </c>
      <c r="E5470" s="52" t="s">
        <v>584</v>
      </c>
      <c r="F5470" s="52" t="s">
        <v>581</v>
      </c>
      <c r="G5470" s="55" t="s">
        <v>275</v>
      </c>
      <c r="H5470" s="55">
        <v>2.8178809999999999</v>
      </c>
      <c r="I5470" s="55">
        <v>0.6274149</v>
      </c>
      <c r="J5470" s="55">
        <v>0.58318879999999995</v>
      </c>
      <c r="K5470" s="55">
        <v>0.54192340000000006</v>
      </c>
      <c r="L5470" s="55">
        <v>0.50630390000000003</v>
      </c>
      <c r="M5470" s="55">
        <v>0.43656260000000002</v>
      </c>
      <c r="N5470" s="55">
        <v>0.30978539999999999</v>
      </c>
    </row>
    <row r="5471" spans="1:14" hidden="1" x14ac:dyDescent="0.35">
      <c r="A5471" s="52" t="s">
        <v>709</v>
      </c>
      <c r="B5471" s="52" t="s">
        <v>195</v>
      </c>
      <c r="C5471" s="52" t="s">
        <v>710</v>
      </c>
      <c r="D5471" s="52" t="s">
        <v>710</v>
      </c>
      <c r="E5471" s="52" t="s">
        <v>584</v>
      </c>
      <c r="F5471" s="52" t="s">
        <v>581</v>
      </c>
      <c r="G5471" s="55" t="s">
        <v>276</v>
      </c>
      <c r="H5471" s="55">
        <v>0.61881529999999996</v>
      </c>
      <c r="I5471" s="55">
        <v>0.48668909999999999</v>
      </c>
      <c r="J5471" s="55">
        <v>0.49956460000000003</v>
      </c>
      <c r="K5471" s="55">
        <v>0.49426019999999998</v>
      </c>
      <c r="L5471" s="55">
        <v>0.46498669999999998</v>
      </c>
      <c r="M5471" s="55">
        <v>0.40767389999999998</v>
      </c>
      <c r="N5471" s="55">
        <v>0.30354120000000001</v>
      </c>
    </row>
    <row r="5472" spans="1:14" hidden="1" x14ac:dyDescent="0.35">
      <c r="A5472" s="52" t="s">
        <v>709</v>
      </c>
      <c r="B5472" s="52" t="s">
        <v>195</v>
      </c>
      <c r="C5472" s="52" t="s">
        <v>710</v>
      </c>
      <c r="D5472" s="52" t="s">
        <v>710</v>
      </c>
      <c r="E5472" s="52" t="s">
        <v>584</v>
      </c>
      <c r="F5472" s="52" t="s">
        <v>581</v>
      </c>
      <c r="G5472" s="55" t="s">
        <v>279</v>
      </c>
      <c r="H5472" s="55">
        <v>0.74441239999999997</v>
      </c>
      <c r="I5472" s="55">
        <v>0.57887659999999996</v>
      </c>
      <c r="J5472" s="55">
        <v>0.58246180000000003</v>
      </c>
      <c r="K5472" s="55">
        <v>0.61135050000000002</v>
      </c>
      <c r="L5472" s="55">
        <v>0.57866490000000004</v>
      </c>
      <c r="M5472" s="55">
        <v>0.51467629999999998</v>
      </c>
      <c r="N5472" s="55">
        <v>0.398478</v>
      </c>
    </row>
    <row r="5473" spans="1:14" hidden="1" x14ac:dyDescent="0.35">
      <c r="A5473" s="52" t="s">
        <v>709</v>
      </c>
      <c r="B5473" s="52" t="s">
        <v>195</v>
      </c>
      <c r="C5473" s="52" t="s">
        <v>710</v>
      </c>
      <c r="D5473" s="52" t="s">
        <v>710</v>
      </c>
      <c r="E5473" s="52" t="s">
        <v>584</v>
      </c>
      <c r="F5473" s="52" t="s">
        <v>26</v>
      </c>
      <c r="G5473" s="55" t="s">
        <v>275</v>
      </c>
      <c r="H5473" s="55">
        <v>-1.2690619999999999</v>
      </c>
      <c r="I5473" s="55">
        <v>-0.26680019999999999</v>
      </c>
      <c r="J5473" s="55">
        <v>0.34332580000000001</v>
      </c>
      <c r="K5473" s="55">
        <v>1.106463</v>
      </c>
      <c r="L5473" s="55">
        <v>2.1072649999999999</v>
      </c>
      <c r="M5473" s="55">
        <v>2.222251</v>
      </c>
      <c r="N5473" s="55">
        <v>1.2683759999999999</v>
      </c>
    </row>
    <row r="5474" spans="1:14" hidden="1" x14ac:dyDescent="0.35">
      <c r="A5474" s="52" t="s">
        <v>709</v>
      </c>
      <c r="B5474" s="52" t="s">
        <v>195</v>
      </c>
      <c r="C5474" s="52" t="s">
        <v>710</v>
      </c>
      <c r="D5474" s="52" t="s">
        <v>710</v>
      </c>
      <c r="E5474" s="52" t="s">
        <v>584</v>
      </c>
      <c r="F5474" s="52" t="s">
        <v>26</v>
      </c>
      <c r="G5474" s="55" t="s">
        <v>276</v>
      </c>
      <c r="H5474" s="55">
        <v>0.1988212</v>
      </c>
      <c r="I5474" s="55">
        <v>0.2113428</v>
      </c>
      <c r="J5474" s="55">
        <v>0.39812550000000002</v>
      </c>
      <c r="K5474" s="55">
        <v>0.37399209999999999</v>
      </c>
      <c r="L5474" s="55">
        <v>0.34352460000000001</v>
      </c>
      <c r="M5474" s="55">
        <v>-5.6933579999999998E-2</v>
      </c>
      <c r="N5474" s="55">
        <v>0.24382490000000001</v>
      </c>
    </row>
    <row r="5475" spans="1:14" hidden="1" x14ac:dyDescent="0.35">
      <c r="A5475" s="52" t="s">
        <v>709</v>
      </c>
      <c r="B5475" s="52" t="s">
        <v>195</v>
      </c>
      <c r="C5475" s="52" t="s">
        <v>710</v>
      </c>
      <c r="D5475" s="52" t="s">
        <v>710</v>
      </c>
      <c r="E5475" s="52" t="s">
        <v>584</v>
      </c>
      <c r="F5475" s="52" t="s">
        <v>26</v>
      </c>
      <c r="G5475" s="55" t="s">
        <v>277</v>
      </c>
      <c r="H5475" s="55">
        <v>6.4345350000000003</v>
      </c>
      <c r="I5475" s="55">
        <v>2.2144400000000002</v>
      </c>
      <c r="J5475" s="55">
        <v>1.996059</v>
      </c>
      <c r="K5475" s="55">
        <v>2.419149</v>
      </c>
      <c r="L5475" s="55">
        <v>1.0030829999999999</v>
      </c>
      <c r="M5475" s="55">
        <v>0.29257490000000003</v>
      </c>
      <c r="N5475" s="55">
        <v>0.31977729999999999</v>
      </c>
    </row>
    <row r="5476" spans="1:14" hidden="1" x14ac:dyDescent="0.35">
      <c r="A5476" s="52" t="s">
        <v>709</v>
      </c>
      <c r="B5476" s="52" t="s">
        <v>195</v>
      </c>
      <c r="C5476" s="52" t="s">
        <v>710</v>
      </c>
      <c r="D5476" s="52" t="s">
        <v>710</v>
      </c>
      <c r="E5476" s="52" t="s">
        <v>584</v>
      </c>
      <c r="F5476" s="52" t="s">
        <v>26</v>
      </c>
      <c r="G5476" s="55" t="s">
        <v>278</v>
      </c>
      <c r="H5476" s="55">
        <v>5.1064239999999997E-2</v>
      </c>
      <c r="I5476" s="55">
        <v>2.6465879999999999</v>
      </c>
      <c r="J5476" s="55">
        <v>1.844395</v>
      </c>
      <c r="K5476" s="55">
        <v>1.484108E-2</v>
      </c>
      <c r="L5476" s="55">
        <v>1.484108E-2</v>
      </c>
      <c r="M5476" s="55">
        <v>0.37571460000000001</v>
      </c>
      <c r="N5476" s="55">
        <v>1.484108E-2</v>
      </c>
    </row>
    <row r="5477" spans="1:14" hidden="1" x14ac:dyDescent="0.35">
      <c r="A5477" s="52" t="s">
        <v>709</v>
      </c>
      <c r="B5477" s="52" t="s">
        <v>195</v>
      </c>
      <c r="C5477" s="52" t="s">
        <v>710</v>
      </c>
      <c r="D5477" s="52" t="s">
        <v>710</v>
      </c>
      <c r="E5477" s="52" t="s">
        <v>584</v>
      </c>
      <c r="F5477" s="52" t="s">
        <v>26</v>
      </c>
      <c r="G5477" s="55" t="s">
        <v>279</v>
      </c>
      <c r="H5477" s="55">
        <v>7.0879810000000001</v>
      </c>
      <c r="I5477" s="55">
        <v>5.8867190000000003</v>
      </c>
      <c r="J5477" s="55">
        <v>5.963463</v>
      </c>
      <c r="K5477" s="55">
        <v>6.2215780000000001</v>
      </c>
      <c r="L5477" s="55">
        <v>5.954987</v>
      </c>
      <c r="M5477" s="55">
        <v>5.4977080000000003</v>
      </c>
      <c r="N5477" s="55">
        <v>4.7050429999999999</v>
      </c>
    </row>
    <row r="5478" spans="1:14" hidden="1" x14ac:dyDescent="0.35">
      <c r="A5478" s="52" t="s">
        <v>709</v>
      </c>
      <c r="B5478" s="52" t="s">
        <v>195</v>
      </c>
      <c r="C5478" s="52" t="s">
        <v>194</v>
      </c>
      <c r="D5478" s="52" t="s">
        <v>194</v>
      </c>
      <c r="E5478" s="52" t="s">
        <v>584</v>
      </c>
      <c r="F5478" s="52" t="s">
        <v>26</v>
      </c>
      <c r="G5478" s="55" t="s">
        <v>275</v>
      </c>
      <c r="H5478" s="55">
        <v>-7.9069780000000003E-3</v>
      </c>
      <c r="I5478" s="55">
        <v>-7.9069780000000003E-3</v>
      </c>
      <c r="J5478" s="55">
        <v>0</v>
      </c>
      <c r="K5478" s="55">
        <v>0</v>
      </c>
      <c r="L5478" s="55">
        <v>0</v>
      </c>
      <c r="M5478" s="55">
        <v>0</v>
      </c>
      <c r="N5478" s="55">
        <v>0</v>
      </c>
    </row>
    <row r="5479" spans="1:14" hidden="1" x14ac:dyDescent="0.35">
      <c r="A5479" s="52" t="s">
        <v>709</v>
      </c>
      <c r="B5479" s="52" t="s">
        <v>195</v>
      </c>
      <c r="C5479" s="52" t="s">
        <v>194</v>
      </c>
      <c r="D5479" s="52" t="s">
        <v>194</v>
      </c>
      <c r="E5479" s="52" t="s">
        <v>584</v>
      </c>
      <c r="F5479" s="52" t="s">
        <v>26</v>
      </c>
      <c r="G5479" s="55" t="s">
        <v>276</v>
      </c>
      <c r="H5479" s="55"/>
      <c r="I5479" s="55"/>
      <c r="J5479" s="55">
        <v>-7.9069780000000003E-3</v>
      </c>
      <c r="K5479" s="55">
        <v>-7.9069780000000003E-3</v>
      </c>
      <c r="L5479" s="55">
        <v>-7.9069780000000003E-3</v>
      </c>
      <c r="M5479" s="55">
        <v>-7.9069780000000003E-3</v>
      </c>
      <c r="N5479" s="55">
        <v>-7.9069780000000003E-3</v>
      </c>
    </row>
    <row r="5480" spans="1:14" hidden="1" x14ac:dyDescent="0.35">
      <c r="A5480" s="52" t="s">
        <v>709</v>
      </c>
      <c r="B5480" s="52" t="s">
        <v>195</v>
      </c>
      <c r="C5480" s="52" t="s">
        <v>194</v>
      </c>
      <c r="D5480" s="52" t="s">
        <v>194</v>
      </c>
      <c r="E5480" s="52" t="s">
        <v>584</v>
      </c>
      <c r="F5480" s="52" t="s">
        <v>26</v>
      </c>
      <c r="G5480" s="55" t="s">
        <v>277</v>
      </c>
      <c r="H5480" s="55"/>
      <c r="I5480" s="55"/>
      <c r="J5480" s="55"/>
      <c r="K5480" s="55"/>
      <c r="L5480" s="55"/>
      <c r="M5480" s="55"/>
      <c r="N5480" s="55">
        <v>0</v>
      </c>
    </row>
    <row r="5481" spans="1:14" hidden="1" x14ac:dyDescent="0.35">
      <c r="A5481" s="52" t="s">
        <v>709</v>
      </c>
      <c r="B5481" s="52" t="s">
        <v>195</v>
      </c>
      <c r="C5481" s="52" t="s">
        <v>194</v>
      </c>
      <c r="D5481" s="52" t="s">
        <v>194</v>
      </c>
      <c r="E5481" s="52" t="s">
        <v>584</v>
      </c>
      <c r="F5481" s="52" t="s">
        <v>26</v>
      </c>
      <c r="G5481" s="55" t="s">
        <v>278</v>
      </c>
      <c r="H5481" s="55">
        <v>7.9069780000000003E-3</v>
      </c>
      <c r="I5481" s="55">
        <v>7.9069780000000003E-3</v>
      </c>
      <c r="J5481" s="55">
        <v>7.9069780000000003E-3</v>
      </c>
      <c r="K5481" s="55">
        <v>7.9069780000000003E-3</v>
      </c>
      <c r="L5481" s="55">
        <v>7.9069780000000003E-3</v>
      </c>
      <c r="M5481" s="55">
        <v>7.9069780000000003E-3</v>
      </c>
      <c r="N5481" s="55">
        <v>7.9069780000000003E-3</v>
      </c>
    </row>
    <row r="5482" spans="1:14" hidden="1" x14ac:dyDescent="0.35">
      <c r="A5482" s="52" t="s">
        <v>709</v>
      </c>
      <c r="B5482" s="52" t="s">
        <v>625</v>
      </c>
      <c r="C5482" s="52" t="s">
        <v>626</v>
      </c>
      <c r="D5482" s="52" t="s">
        <v>626</v>
      </c>
      <c r="E5482" s="52" t="s">
        <v>584</v>
      </c>
      <c r="F5482" s="52" t="s">
        <v>581</v>
      </c>
      <c r="G5482" s="55" t="s">
        <v>275</v>
      </c>
      <c r="H5482" s="55">
        <v>1.9507E-2</v>
      </c>
      <c r="I5482" s="55">
        <v>7.1938499999999999E-3</v>
      </c>
      <c r="J5482" s="55">
        <v>6.6010000000000001E-3</v>
      </c>
      <c r="K5482" s="55">
        <v>5.3597499999999999E-3</v>
      </c>
      <c r="L5482" s="55">
        <v>5.3648000000000003E-3</v>
      </c>
      <c r="M5482" s="55">
        <v>5.2518010000000004E-3</v>
      </c>
      <c r="N5482" s="55">
        <v>5.1623499999999996E-3</v>
      </c>
    </row>
    <row r="5483" spans="1:14" hidden="1" x14ac:dyDescent="0.35">
      <c r="A5483" s="52" t="s">
        <v>709</v>
      </c>
      <c r="B5483" s="52" t="s">
        <v>625</v>
      </c>
      <c r="C5483" s="52" t="s">
        <v>626</v>
      </c>
      <c r="D5483" s="52" t="s">
        <v>626</v>
      </c>
      <c r="E5483" s="52" t="s">
        <v>584</v>
      </c>
      <c r="F5483" s="52" t="s">
        <v>581</v>
      </c>
      <c r="G5483" s="55" t="s">
        <v>276</v>
      </c>
      <c r="H5483" s="55">
        <v>1.9507E-2</v>
      </c>
      <c r="I5483" s="55">
        <v>7.1938499999999999E-3</v>
      </c>
      <c r="J5483" s="55">
        <v>6.6010000000000001E-3</v>
      </c>
      <c r="K5483" s="55">
        <v>5.3597499999999999E-3</v>
      </c>
      <c r="L5483" s="55">
        <v>-8.6592010000000001E-3</v>
      </c>
      <c r="M5483" s="55">
        <v>-8.7741999999999994E-3</v>
      </c>
      <c r="N5483" s="55">
        <v>-8.8656510000000004E-3</v>
      </c>
    </row>
    <row r="5484" spans="1:14" hidden="1" x14ac:dyDescent="0.35">
      <c r="A5484" s="52" t="s">
        <v>709</v>
      </c>
      <c r="B5484" s="52" t="s">
        <v>625</v>
      </c>
      <c r="C5484" s="52" t="s">
        <v>626</v>
      </c>
      <c r="D5484" s="52" t="s">
        <v>626</v>
      </c>
      <c r="E5484" s="52" t="s">
        <v>584</v>
      </c>
      <c r="F5484" s="52" t="s">
        <v>581</v>
      </c>
      <c r="G5484" s="55" t="s">
        <v>279</v>
      </c>
      <c r="H5484" s="55">
        <v>7.2934999999999996E-3</v>
      </c>
      <c r="I5484" s="55">
        <v>6.3435000000000002E-3</v>
      </c>
      <c r="J5484" s="55">
        <v>5.5230499999999998E-3</v>
      </c>
      <c r="K5484" s="55">
        <v>3.8953E-3</v>
      </c>
      <c r="L5484" s="55">
        <v>1.7846399999999998E-2</v>
      </c>
      <c r="M5484" s="55">
        <v>1.76931E-2</v>
      </c>
      <c r="N5484" s="55">
        <v>1.755965E-2</v>
      </c>
    </row>
    <row r="5485" spans="1:14" hidden="1" x14ac:dyDescent="0.35">
      <c r="A5485" s="52" t="s">
        <v>709</v>
      </c>
      <c r="B5485" s="52" t="s">
        <v>625</v>
      </c>
      <c r="C5485" s="52" t="s">
        <v>626</v>
      </c>
      <c r="D5485" s="52" t="s">
        <v>626</v>
      </c>
      <c r="E5485" s="52" t="s">
        <v>584</v>
      </c>
      <c r="F5485" s="52" t="s">
        <v>26</v>
      </c>
      <c r="G5485" s="55" t="s">
        <v>275</v>
      </c>
      <c r="H5485" s="55">
        <v>0.35304550000000001</v>
      </c>
      <c r="I5485" s="55">
        <v>7.2398089999999998E-2</v>
      </c>
      <c r="J5485" s="55">
        <v>6.6187659999999995E-2</v>
      </c>
      <c r="K5485" s="55">
        <v>3.5417030000000002E-2</v>
      </c>
      <c r="L5485" s="55">
        <v>0.7604187</v>
      </c>
      <c r="M5485" s="55">
        <v>0.62317659999999997</v>
      </c>
      <c r="N5485" s="55">
        <v>0.49650060000000001</v>
      </c>
    </row>
    <row r="5486" spans="1:14" hidden="1" x14ac:dyDescent="0.35">
      <c r="A5486" s="52" t="s">
        <v>709</v>
      </c>
      <c r="B5486" s="52" t="s">
        <v>625</v>
      </c>
      <c r="C5486" s="52" t="s">
        <v>626</v>
      </c>
      <c r="D5486" s="52" t="s">
        <v>626</v>
      </c>
      <c r="E5486" s="52" t="s">
        <v>584</v>
      </c>
      <c r="F5486" s="52" t="s">
        <v>26</v>
      </c>
      <c r="G5486" s="55" t="s">
        <v>276</v>
      </c>
      <c r="H5486" s="55">
        <v>-9.0201500000000004E-2</v>
      </c>
      <c r="I5486" s="55">
        <v>-0.26703250000000001</v>
      </c>
      <c r="J5486" s="55">
        <v>-0.22797229999999999</v>
      </c>
      <c r="K5486" s="55">
        <v>-3.7687729999999999</v>
      </c>
      <c r="L5486" s="55">
        <v>-9.7203579999999998E-2</v>
      </c>
      <c r="M5486" s="55">
        <v>-2.0924399999999999E-2</v>
      </c>
      <c r="N5486" s="55">
        <v>5.1457669999999997E-2</v>
      </c>
    </row>
    <row r="5487" spans="1:14" hidden="1" x14ac:dyDescent="0.35">
      <c r="A5487" s="52" t="s">
        <v>709</v>
      </c>
      <c r="B5487" s="52" t="s">
        <v>625</v>
      </c>
      <c r="C5487" s="52" t="s">
        <v>626</v>
      </c>
      <c r="D5487" s="52" t="s">
        <v>626</v>
      </c>
      <c r="E5487" s="52" t="s">
        <v>584</v>
      </c>
      <c r="F5487" s="52" t="s">
        <v>26</v>
      </c>
      <c r="G5487" s="55" t="s">
        <v>277</v>
      </c>
      <c r="H5487" s="55">
        <v>1.067612</v>
      </c>
      <c r="I5487" s="55">
        <v>0.99528249999999996</v>
      </c>
      <c r="J5487" s="55">
        <v>0.92900970000000005</v>
      </c>
      <c r="K5487" s="55">
        <v>1.9619150000000001</v>
      </c>
      <c r="L5487" s="55">
        <v>0</v>
      </c>
      <c r="M5487" s="55"/>
      <c r="N5487" s="55"/>
    </row>
    <row r="5488" spans="1:14" hidden="1" x14ac:dyDescent="0.35">
      <c r="A5488" s="52" t="s">
        <v>709</v>
      </c>
      <c r="B5488" s="52" t="s">
        <v>625</v>
      </c>
      <c r="C5488" s="52" t="s">
        <v>626</v>
      </c>
      <c r="D5488" s="52" t="s">
        <v>626</v>
      </c>
      <c r="E5488" s="52" t="s">
        <v>584</v>
      </c>
      <c r="F5488" s="52" t="s">
        <v>26</v>
      </c>
      <c r="G5488" s="55" t="s">
        <v>278</v>
      </c>
      <c r="H5488" s="55">
        <v>7.4427999999999994E-2</v>
      </c>
      <c r="I5488" s="55">
        <v>7.4427999999999994E-2</v>
      </c>
      <c r="J5488" s="55">
        <v>7.4427999999999994E-2</v>
      </c>
      <c r="K5488" s="55">
        <v>2.5659299999999998</v>
      </c>
      <c r="L5488" s="55">
        <v>7.4427999999999994E-2</v>
      </c>
      <c r="M5488" s="55">
        <v>7.4427999999999994E-2</v>
      </c>
      <c r="N5488" s="55">
        <v>7.4427999999999994E-2</v>
      </c>
    </row>
    <row r="5489" spans="1:14" hidden="1" x14ac:dyDescent="0.35">
      <c r="A5489" s="52" t="s">
        <v>709</v>
      </c>
      <c r="B5489" s="52" t="s">
        <v>625</v>
      </c>
      <c r="C5489" s="52" t="s">
        <v>626</v>
      </c>
      <c r="D5489" s="52" t="s">
        <v>626</v>
      </c>
      <c r="E5489" s="52" t="s">
        <v>584</v>
      </c>
      <c r="F5489" s="52" t="s">
        <v>26</v>
      </c>
      <c r="G5489" s="55" t="s">
        <v>279</v>
      </c>
      <c r="H5489" s="55">
        <v>0.23718500000000001</v>
      </c>
      <c r="I5489" s="55">
        <v>0.2157985</v>
      </c>
      <c r="J5489" s="55">
        <v>0.21235019999999999</v>
      </c>
      <c r="K5489" s="55">
        <v>0.21522540000000001</v>
      </c>
      <c r="L5489" s="55">
        <v>0.22059039999999999</v>
      </c>
      <c r="M5489" s="55">
        <v>0.21106059999999999</v>
      </c>
      <c r="N5489" s="55">
        <v>0.20259630000000001</v>
      </c>
    </row>
    <row r="5490" spans="1:14" hidden="1" x14ac:dyDescent="0.35">
      <c r="A5490" s="52" t="s">
        <v>709</v>
      </c>
      <c r="B5490" s="52" t="s">
        <v>625</v>
      </c>
      <c r="C5490" s="52" t="s">
        <v>822</v>
      </c>
      <c r="D5490" s="52" t="s">
        <v>822</v>
      </c>
      <c r="E5490" s="52" t="s">
        <v>584</v>
      </c>
      <c r="F5490" s="52" t="s">
        <v>26</v>
      </c>
      <c r="G5490" s="55" t="s">
        <v>275</v>
      </c>
      <c r="H5490" s="55">
        <v>-3.2143999999999999E-2</v>
      </c>
      <c r="I5490" s="55">
        <v>-3.2739999999999998E-2</v>
      </c>
      <c r="J5490" s="55">
        <v>0</v>
      </c>
      <c r="K5490" s="55">
        <v>0</v>
      </c>
      <c r="L5490" s="55">
        <v>0</v>
      </c>
      <c r="M5490" s="55">
        <v>0</v>
      </c>
      <c r="N5490" s="55">
        <v>0</v>
      </c>
    </row>
    <row r="5491" spans="1:14" hidden="1" x14ac:dyDescent="0.35">
      <c r="A5491" s="52" t="s">
        <v>709</v>
      </c>
      <c r="B5491" s="52" t="s">
        <v>625</v>
      </c>
      <c r="C5491" s="52" t="s">
        <v>822</v>
      </c>
      <c r="D5491" s="52" t="s">
        <v>822</v>
      </c>
      <c r="E5491" s="52" t="s">
        <v>584</v>
      </c>
      <c r="F5491" s="52" t="s">
        <v>26</v>
      </c>
      <c r="G5491" s="55" t="s">
        <v>276</v>
      </c>
      <c r="H5491" s="55">
        <v>-3.9287000000000002E-2</v>
      </c>
      <c r="I5491" s="55">
        <v>-3.8691999999999997E-2</v>
      </c>
      <c r="J5491" s="55">
        <v>-7.1431990000000001E-2</v>
      </c>
      <c r="K5491" s="55">
        <v>-7.1431990000000001E-2</v>
      </c>
      <c r="L5491" s="55">
        <v>-9.1740270000000006</v>
      </c>
      <c r="M5491" s="55">
        <v>-7.143091E-2</v>
      </c>
      <c r="N5491" s="55">
        <v>-0.21643100000000001</v>
      </c>
    </row>
    <row r="5492" spans="1:14" hidden="1" x14ac:dyDescent="0.35">
      <c r="A5492" s="52" t="s">
        <v>709</v>
      </c>
      <c r="B5492" s="52" t="s">
        <v>625</v>
      </c>
      <c r="C5492" s="52" t="s">
        <v>822</v>
      </c>
      <c r="D5492" s="52" t="s">
        <v>822</v>
      </c>
      <c r="E5492" s="52" t="s">
        <v>584</v>
      </c>
      <c r="F5492" s="52" t="s">
        <v>26</v>
      </c>
      <c r="G5492" s="55" t="s">
        <v>277</v>
      </c>
      <c r="H5492" s="55"/>
      <c r="I5492" s="55"/>
      <c r="J5492" s="55"/>
      <c r="K5492" s="55"/>
      <c r="L5492" s="55"/>
      <c r="M5492" s="55">
        <v>0</v>
      </c>
      <c r="N5492" s="55">
        <v>0.14499999999999999</v>
      </c>
    </row>
    <row r="5493" spans="1:14" hidden="1" x14ac:dyDescent="0.35">
      <c r="A5493" s="52" t="s">
        <v>709</v>
      </c>
      <c r="B5493" s="52" t="s">
        <v>625</v>
      </c>
      <c r="C5493" s="52" t="s">
        <v>822</v>
      </c>
      <c r="D5493" s="52" t="s">
        <v>822</v>
      </c>
      <c r="E5493" s="52" t="s">
        <v>584</v>
      </c>
      <c r="F5493" s="52" t="s">
        <v>26</v>
      </c>
      <c r="G5493" s="55" t="s">
        <v>278</v>
      </c>
      <c r="H5493" s="55">
        <v>7.1431999999999995E-2</v>
      </c>
      <c r="I5493" s="55">
        <v>7.1431999999999995E-2</v>
      </c>
      <c r="J5493" s="55">
        <v>7.1431999999999995E-2</v>
      </c>
      <c r="K5493" s="55">
        <v>7.1431999999999995E-2</v>
      </c>
      <c r="L5493" s="55">
        <v>9.1740259999999996</v>
      </c>
      <c r="M5493" s="55">
        <v>7.1431999999999995E-2</v>
      </c>
      <c r="N5493" s="55">
        <v>7.1431990000000001E-2</v>
      </c>
    </row>
    <row r="5494" spans="1:14" hidden="1" x14ac:dyDescent="0.35">
      <c r="A5494" s="52" t="s">
        <v>709</v>
      </c>
      <c r="B5494" s="52" t="s">
        <v>625</v>
      </c>
      <c r="C5494" s="52" t="s">
        <v>848</v>
      </c>
      <c r="D5494" s="52" t="s">
        <v>848</v>
      </c>
      <c r="E5494" s="52" t="s">
        <v>584</v>
      </c>
      <c r="F5494" s="52" t="s">
        <v>26</v>
      </c>
      <c r="G5494" s="55" t="s">
        <v>275</v>
      </c>
      <c r="H5494" s="55">
        <v>-3.3128999999999999E-2</v>
      </c>
      <c r="I5494" s="55">
        <v>-3.3742000000000001E-2</v>
      </c>
      <c r="J5494" s="55">
        <v>0</v>
      </c>
      <c r="K5494" s="55">
        <v>0</v>
      </c>
      <c r="L5494" s="55">
        <v>0</v>
      </c>
      <c r="M5494" s="55">
        <v>0</v>
      </c>
      <c r="N5494" s="55">
        <v>0</v>
      </c>
    </row>
    <row r="5495" spans="1:14" hidden="1" x14ac:dyDescent="0.35">
      <c r="A5495" s="52" t="s">
        <v>709</v>
      </c>
      <c r="B5495" s="52" t="s">
        <v>625</v>
      </c>
      <c r="C5495" s="52" t="s">
        <v>848</v>
      </c>
      <c r="D5495" s="52" t="s">
        <v>848</v>
      </c>
      <c r="E5495" s="52" t="s">
        <v>584</v>
      </c>
      <c r="F5495" s="52" t="s">
        <v>26</v>
      </c>
      <c r="G5495" s="55" t="s">
        <v>276</v>
      </c>
      <c r="H5495" s="55">
        <v>-4.0490999999999999E-2</v>
      </c>
      <c r="I5495" s="55">
        <v>-3.9877000000000003E-2</v>
      </c>
      <c r="J5495" s="55">
        <v>-7.362001E-2</v>
      </c>
      <c r="K5495" s="55">
        <v>-7.3619000000000004E-2</v>
      </c>
      <c r="L5495" s="55">
        <v>-10.27191</v>
      </c>
      <c r="M5495" s="55">
        <v>-7.3620889999999994E-2</v>
      </c>
      <c r="N5495" s="55">
        <v>-7.3619959999999998E-2</v>
      </c>
    </row>
    <row r="5496" spans="1:14" hidden="1" x14ac:dyDescent="0.35">
      <c r="A5496" s="52" t="s">
        <v>709</v>
      </c>
      <c r="B5496" s="52" t="s">
        <v>625</v>
      </c>
      <c r="C5496" s="52" t="s">
        <v>848</v>
      </c>
      <c r="D5496" s="52" t="s">
        <v>848</v>
      </c>
      <c r="E5496" s="52" t="s">
        <v>584</v>
      </c>
      <c r="F5496" s="52" t="s">
        <v>26</v>
      </c>
      <c r="G5496" s="55" t="s">
        <v>277</v>
      </c>
      <c r="H5496" s="55"/>
      <c r="I5496" s="55"/>
      <c r="J5496" s="55"/>
      <c r="K5496" s="55"/>
      <c r="L5496" s="55"/>
      <c r="M5496" s="55"/>
      <c r="N5496" s="55">
        <v>0</v>
      </c>
    </row>
    <row r="5497" spans="1:14" hidden="1" x14ac:dyDescent="0.35">
      <c r="A5497" s="52" t="s">
        <v>709</v>
      </c>
      <c r="B5497" s="52" t="s">
        <v>625</v>
      </c>
      <c r="C5497" s="52" t="s">
        <v>848</v>
      </c>
      <c r="D5497" s="52" t="s">
        <v>848</v>
      </c>
      <c r="E5497" s="52" t="s">
        <v>584</v>
      </c>
      <c r="F5497" s="52" t="s">
        <v>26</v>
      </c>
      <c r="G5497" s="55" t="s">
        <v>278</v>
      </c>
      <c r="H5497" s="55">
        <v>7.3620000000000005E-2</v>
      </c>
      <c r="I5497" s="55">
        <v>7.3620000000000005E-2</v>
      </c>
      <c r="J5497" s="55">
        <v>7.3620000000000005E-2</v>
      </c>
      <c r="K5497" s="55">
        <v>7.3620000000000005E-2</v>
      </c>
      <c r="L5497" s="55">
        <v>10.27191</v>
      </c>
      <c r="M5497" s="55">
        <v>7.362001E-2</v>
      </c>
      <c r="N5497" s="55">
        <v>7.3620000000000005E-2</v>
      </c>
    </row>
    <row r="5498" spans="1:14" hidden="1" x14ac:dyDescent="0.35">
      <c r="A5498" s="52" t="s">
        <v>709</v>
      </c>
      <c r="B5498" s="52" t="s">
        <v>625</v>
      </c>
      <c r="C5498" s="52" t="s">
        <v>849</v>
      </c>
      <c r="D5498" s="52" t="s">
        <v>849</v>
      </c>
      <c r="E5498" s="52" t="s">
        <v>584</v>
      </c>
      <c r="F5498" s="52" t="s">
        <v>26</v>
      </c>
      <c r="G5498" s="55" t="s">
        <v>275</v>
      </c>
      <c r="H5498" s="55">
        <v>-2.496E-2</v>
      </c>
      <c r="I5498" s="55">
        <v>-2.5422E-2</v>
      </c>
      <c r="J5498" s="55">
        <v>0</v>
      </c>
      <c r="K5498" s="55">
        <v>0</v>
      </c>
      <c r="L5498" s="55">
        <v>0</v>
      </c>
      <c r="M5498" s="55">
        <v>0</v>
      </c>
      <c r="N5498" s="55">
        <v>0</v>
      </c>
    </row>
    <row r="5499" spans="1:14" hidden="1" x14ac:dyDescent="0.35">
      <c r="A5499" s="52" t="s">
        <v>709</v>
      </c>
      <c r="B5499" s="52" t="s">
        <v>625</v>
      </c>
      <c r="C5499" s="52" t="s">
        <v>849</v>
      </c>
      <c r="D5499" s="52" t="s">
        <v>849</v>
      </c>
      <c r="E5499" s="52" t="s">
        <v>584</v>
      </c>
      <c r="F5499" s="52" t="s">
        <v>26</v>
      </c>
      <c r="G5499" s="55" t="s">
        <v>276</v>
      </c>
      <c r="H5499" s="55">
        <v>-3.0506999999999999E-2</v>
      </c>
      <c r="I5499" s="55">
        <v>-3.0044000000000001E-2</v>
      </c>
      <c r="J5499" s="55">
        <v>-5.5466000000000001E-2</v>
      </c>
      <c r="K5499" s="55">
        <v>-10.13836</v>
      </c>
      <c r="L5499" s="55">
        <v>-5.5467049999999997E-2</v>
      </c>
      <c r="M5499" s="55">
        <v>-5.5466939999999999E-2</v>
      </c>
      <c r="N5499" s="55">
        <v>-5.5467009999999997E-2</v>
      </c>
    </row>
    <row r="5500" spans="1:14" hidden="1" x14ac:dyDescent="0.35">
      <c r="A5500" s="52" t="s">
        <v>709</v>
      </c>
      <c r="B5500" s="52" t="s">
        <v>625</v>
      </c>
      <c r="C5500" s="52" t="s">
        <v>849</v>
      </c>
      <c r="D5500" s="52" t="s">
        <v>849</v>
      </c>
      <c r="E5500" s="52" t="s">
        <v>584</v>
      </c>
      <c r="F5500" s="52" t="s">
        <v>26</v>
      </c>
      <c r="G5500" s="55" t="s">
        <v>278</v>
      </c>
      <c r="H5500" s="55">
        <v>5.5467000000000002E-2</v>
      </c>
      <c r="I5500" s="55">
        <v>5.5467000000000002E-2</v>
      </c>
      <c r="J5500" s="55">
        <v>5.5467000000000002E-2</v>
      </c>
      <c r="K5500" s="55">
        <v>10.13836</v>
      </c>
      <c r="L5500" s="55">
        <v>5.5467000000000002E-2</v>
      </c>
      <c r="M5500" s="55">
        <v>5.5467000000000002E-2</v>
      </c>
      <c r="N5500" s="55">
        <v>5.5467000000000002E-2</v>
      </c>
    </row>
    <row r="5501" spans="1:14" hidden="1" x14ac:dyDescent="0.35">
      <c r="A5501" s="52" t="s">
        <v>709</v>
      </c>
      <c r="B5501" s="52" t="s">
        <v>112</v>
      </c>
      <c r="C5501" s="52" t="s">
        <v>191</v>
      </c>
      <c r="D5501" s="52" t="s">
        <v>191</v>
      </c>
      <c r="E5501" s="52" t="s">
        <v>584</v>
      </c>
      <c r="F5501" s="52" t="s">
        <v>581</v>
      </c>
      <c r="G5501" s="55" t="s">
        <v>275</v>
      </c>
      <c r="H5501" s="55">
        <v>-1.6517199999999999E-2</v>
      </c>
      <c r="I5501" s="55">
        <v>-1.6517199999999999E-2</v>
      </c>
      <c r="J5501" s="55">
        <v>1.3213600000000001E-2</v>
      </c>
      <c r="K5501" s="55">
        <v>1.1561999999999999E-2</v>
      </c>
      <c r="L5501" s="55">
        <v>9.9100000000000004E-3</v>
      </c>
      <c r="M5501" s="55">
        <v>8.2584000000000008E-3</v>
      </c>
      <c r="N5501" s="55">
        <v>6.6068000000000003E-3</v>
      </c>
    </row>
    <row r="5502" spans="1:14" hidden="1" x14ac:dyDescent="0.35">
      <c r="A5502" s="52" t="s">
        <v>709</v>
      </c>
      <c r="B5502" s="52" t="s">
        <v>112</v>
      </c>
      <c r="C5502" s="52" t="s">
        <v>191</v>
      </c>
      <c r="D5502" s="52" t="s">
        <v>191</v>
      </c>
      <c r="E5502" s="52" t="s">
        <v>584</v>
      </c>
      <c r="F5502" s="52" t="s">
        <v>581</v>
      </c>
      <c r="G5502" s="55" t="s">
        <v>276</v>
      </c>
      <c r="H5502" s="55">
        <v>-1.6517199999999999E-2</v>
      </c>
      <c r="I5502" s="55">
        <v>-1.6516800000000002E-2</v>
      </c>
      <c r="J5502" s="55">
        <v>0</v>
      </c>
      <c r="K5502" s="55">
        <v>0</v>
      </c>
      <c r="L5502" s="55">
        <v>0</v>
      </c>
      <c r="M5502" s="55">
        <v>0</v>
      </c>
      <c r="N5502" s="55">
        <v>0</v>
      </c>
    </row>
    <row r="5503" spans="1:14" hidden="1" x14ac:dyDescent="0.35">
      <c r="A5503" s="52" t="s">
        <v>709</v>
      </c>
      <c r="B5503" s="52" t="s">
        <v>112</v>
      </c>
      <c r="C5503" s="52" t="s">
        <v>191</v>
      </c>
      <c r="D5503" s="52" t="s">
        <v>191</v>
      </c>
      <c r="E5503" s="52" t="s">
        <v>584</v>
      </c>
      <c r="F5503" s="52" t="s">
        <v>581</v>
      </c>
      <c r="G5503" s="55" t="s">
        <v>278</v>
      </c>
      <c r="H5503" s="55">
        <v>3.3034000000000001E-2</v>
      </c>
      <c r="I5503" s="55">
        <v>3.3034000000000001E-2</v>
      </c>
      <c r="J5503" s="55">
        <v>0</v>
      </c>
      <c r="K5503" s="55">
        <v>0</v>
      </c>
      <c r="L5503" s="55">
        <v>0</v>
      </c>
      <c r="M5503" s="55">
        <v>0</v>
      </c>
      <c r="N5503" s="55">
        <v>0</v>
      </c>
    </row>
    <row r="5504" spans="1:14" hidden="1" x14ac:dyDescent="0.35">
      <c r="A5504" s="52" t="s">
        <v>709</v>
      </c>
      <c r="B5504" s="52" t="s">
        <v>112</v>
      </c>
      <c r="C5504" s="52" t="s">
        <v>191</v>
      </c>
      <c r="D5504" s="52" t="s">
        <v>191</v>
      </c>
      <c r="E5504" s="52" t="s">
        <v>584</v>
      </c>
      <c r="F5504" s="52" t="s">
        <v>26</v>
      </c>
      <c r="G5504" s="55" t="s">
        <v>275</v>
      </c>
      <c r="H5504" s="55">
        <v>1.2054E-2</v>
      </c>
      <c r="I5504" s="55">
        <v>1.2053599999999999E-2</v>
      </c>
      <c r="J5504" s="55">
        <v>0</v>
      </c>
      <c r="K5504" s="55">
        <v>0</v>
      </c>
      <c r="L5504" s="55">
        <v>0</v>
      </c>
      <c r="M5504" s="55">
        <v>0</v>
      </c>
      <c r="N5504" s="55">
        <v>0</v>
      </c>
    </row>
    <row r="5505" spans="1:14" hidden="1" x14ac:dyDescent="0.35">
      <c r="A5505" s="52" t="s">
        <v>709</v>
      </c>
      <c r="B5505" s="52" t="s">
        <v>112</v>
      </c>
      <c r="C5505" s="52" t="s">
        <v>191</v>
      </c>
      <c r="D5505" s="52" t="s">
        <v>191</v>
      </c>
      <c r="E5505" s="52" t="s">
        <v>584</v>
      </c>
      <c r="F5505" s="52" t="s">
        <v>26</v>
      </c>
      <c r="G5505" s="55" t="s">
        <v>276</v>
      </c>
      <c r="H5505" s="55">
        <v>-1.49908E-2</v>
      </c>
      <c r="I5505" s="55">
        <v>-1.49908E-2</v>
      </c>
      <c r="J5505" s="55">
        <v>-2.9367999999999998E-3</v>
      </c>
      <c r="K5505" s="55">
        <v>-2.9372000000000001E-3</v>
      </c>
      <c r="L5505" s="55">
        <v>-1.34368E-2</v>
      </c>
      <c r="M5505" s="55">
        <v>-1.34368E-2</v>
      </c>
      <c r="N5505" s="55">
        <v>-2.9364E-3</v>
      </c>
    </row>
    <row r="5506" spans="1:14" hidden="1" x14ac:dyDescent="0.35">
      <c r="A5506" s="52" t="s">
        <v>709</v>
      </c>
      <c r="B5506" s="52" t="s">
        <v>112</v>
      </c>
      <c r="C5506" s="52" t="s">
        <v>191</v>
      </c>
      <c r="D5506" s="52" t="s">
        <v>191</v>
      </c>
      <c r="E5506" s="52" t="s">
        <v>584</v>
      </c>
      <c r="F5506" s="52" t="s">
        <v>26</v>
      </c>
      <c r="G5506" s="55" t="s">
        <v>277</v>
      </c>
      <c r="H5506" s="55"/>
      <c r="I5506" s="55"/>
      <c r="J5506" s="55"/>
      <c r="K5506" s="55">
        <v>0</v>
      </c>
      <c r="L5506" s="55">
        <v>1.0500000000000001E-2</v>
      </c>
      <c r="M5506" s="55">
        <v>1.0500000000000001E-2</v>
      </c>
      <c r="N5506" s="55">
        <v>0</v>
      </c>
    </row>
    <row r="5507" spans="1:14" hidden="1" x14ac:dyDescent="0.35">
      <c r="A5507" s="52" t="s">
        <v>709</v>
      </c>
      <c r="B5507" s="52" t="s">
        <v>112</v>
      </c>
      <c r="C5507" s="52" t="s">
        <v>191</v>
      </c>
      <c r="D5507" s="52" t="s">
        <v>191</v>
      </c>
      <c r="E5507" s="52" t="s">
        <v>584</v>
      </c>
      <c r="F5507" s="52" t="s">
        <v>26</v>
      </c>
      <c r="G5507" s="55" t="s">
        <v>278</v>
      </c>
      <c r="H5507" s="55">
        <v>2.9367999999999998E-3</v>
      </c>
      <c r="I5507" s="55">
        <v>2.9367999999999998E-3</v>
      </c>
      <c r="J5507" s="55">
        <v>2.9367999999999998E-3</v>
      </c>
      <c r="K5507" s="55">
        <v>2.9367999999999998E-3</v>
      </c>
      <c r="L5507" s="55">
        <v>2.9367999999999998E-3</v>
      </c>
      <c r="M5507" s="55">
        <v>2.9367999999999998E-3</v>
      </c>
      <c r="N5507" s="55">
        <v>2.9367999999999998E-3</v>
      </c>
    </row>
    <row r="5508" spans="1:14" hidden="1" x14ac:dyDescent="0.35">
      <c r="A5508" s="52" t="s">
        <v>709</v>
      </c>
      <c r="B5508" s="52" t="s">
        <v>53</v>
      </c>
      <c r="C5508" s="52" t="s">
        <v>52</v>
      </c>
      <c r="D5508" s="52" t="s">
        <v>52</v>
      </c>
      <c r="E5508" s="52" t="s">
        <v>584</v>
      </c>
      <c r="F5508" s="52" t="s">
        <v>581</v>
      </c>
      <c r="G5508" s="55" t="s">
        <v>275</v>
      </c>
      <c r="H5508" s="55">
        <v>4.1654590000000002</v>
      </c>
      <c r="I5508" s="55">
        <v>3.9503940000000002</v>
      </c>
      <c r="J5508" s="55">
        <v>-3.8863120000000001E-2</v>
      </c>
      <c r="K5508" s="55">
        <v>0.36804799999999999</v>
      </c>
      <c r="L5508" s="55">
        <v>0</v>
      </c>
      <c r="M5508" s="55">
        <v>0</v>
      </c>
      <c r="N5508" s="55">
        <v>0</v>
      </c>
    </row>
    <row r="5509" spans="1:14" hidden="1" x14ac:dyDescent="0.35">
      <c r="A5509" s="52" t="s">
        <v>709</v>
      </c>
      <c r="B5509" s="52" t="s">
        <v>53</v>
      </c>
      <c r="C5509" s="52" t="s">
        <v>52</v>
      </c>
      <c r="D5509" s="52" t="s">
        <v>52</v>
      </c>
      <c r="E5509" s="52" t="s">
        <v>584</v>
      </c>
      <c r="F5509" s="52" t="s">
        <v>581</v>
      </c>
      <c r="G5509" s="55" t="s">
        <v>276</v>
      </c>
      <c r="H5509" s="55">
        <v>-15.228899999999999</v>
      </c>
      <c r="I5509" s="55">
        <v>-6.0027540000000004</v>
      </c>
      <c r="J5509" s="55">
        <v>-1.9117249999999999</v>
      </c>
      <c r="K5509" s="55">
        <v>-0.48670449999999998</v>
      </c>
      <c r="L5509" s="55">
        <v>-1.9161000000000001E-2</v>
      </c>
      <c r="M5509" s="55">
        <v>-2.19735E-2</v>
      </c>
      <c r="N5509" s="55">
        <v>-2.197325E-2</v>
      </c>
    </row>
    <row r="5510" spans="1:14" hidden="1" x14ac:dyDescent="0.35">
      <c r="A5510" s="52" t="s">
        <v>709</v>
      </c>
      <c r="B5510" s="52" t="s">
        <v>53</v>
      </c>
      <c r="C5510" s="52" t="s">
        <v>52</v>
      </c>
      <c r="D5510" s="52" t="s">
        <v>52</v>
      </c>
      <c r="E5510" s="52" t="s">
        <v>584</v>
      </c>
      <c r="F5510" s="52" t="s">
        <v>581</v>
      </c>
      <c r="G5510" s="55" t="s">
        <v>277</v>
      </c>
      <c r="H5510" s="55"/>
      <c r="I5510" s="55"/>
      <c r="J5510" s="55"/>
      <c r="K5510" s="55"/>
      <c r="L5510" s="55">
        <v>0</v>
      </c>
      <c r="M5510" s="55">
        <v>2.8124999999999999E-3</v>
      </c>
      <c r="N5510" s="55">
        <v>2.8124999999999999E-3</v>
      </c>
    </row>
    <row r="5511" spans="1:14" hidden="1" x14ac:dyDescent="0.35">
      <c r="A5511" s="52" t="s">
        <v>709</v>
      </c>
      <c r="B5511" s="52" t="s">
        <v>53</v>
      </c>
      <c r="C5511" s="52" t="s">
        <v>52</v>
      </c>
      <c r="D5511" s="52" t="s">
        <v>52</v>
      </c>
      <c r="E5511" s="52" t="s">
        <v>584</v>
      </c>
      <c r="F5511" s="52" t="s">
        <v>581</v>
      </c>
      <c r="G5511" s="55" t="s">
        <v>278</v>
      </c>
      <c r="H5511" s="55">
        <v>0.1186565</v>
      </c>
      <c r="I5511" s="55">
        <v>0.1186567</v>
      </c>
      <c r="J5511" s="55">
        <v>0.1186565</v>
      </c>
      <c r="K5511" s="55">
        <v>0.1186565</v>
      </c>
      <c r="L5511" s="55">
        <v>1.9161000000000001E-2</v>
      </c>
      <c r="M5511" s="55">
        <v>1.9161000000000001E-2</v>
      </c>
      <c r="N5511" s="55">
        <v>1.9161000000000001E-2</v>
      </c>
    </row>
    <row r="5512" spans="1:14" hidden="1" x14ac:dyDescent="0.35">
      <c r="A5512" s="52" t="s">
        <v>709</v>
      </c>
      <c r="B5512" s="52" t="s">
        <v>53</v>
      </c>
      <c r="C5512" s="52" t="s">
        <v>52</v>
      </c>
      <c r="D5512" s="52" t="s">
        <v>52</v>
      </c>
      <c r="E5512" s="52" t="s">
        <v>584</v>
      </c>
      <c r="F5512" s="52" t="s">
        <v>581</v>
      </c>
      <c r="G5512" s="55" t="s">
        <v>279</v>
      </c>
      <c r="H5512" s="55">
        <v>10.944789999999999</v>
      </c>
      <c r="I5512" s="55">
        <v>1.933705</v>
      </c>
      <c r="J5512" s="55">
        <v>1.831931</v>
      </c>
      <c r="K5512" s="55">
        <v>0</v>
      </c>
      <c r="L5512" s="55"/>
      <c r="M5512" s="55"/>
      <c r="N5512" s="55"/>
    </row>
    <row r="5513" spans="1:14" hidden="1" x14ac:dyDescent="0.35">
      <c r="A5513" s="52" t="s">
        <v>709</v>
      </c>
      <c r="B5513" s="52" t="s">
        <v>53</v>
      </c>
      <c r="C5513" s="52" t="s">
        <v>52</v>
      </c>
      <c r="D5513" s="52" t="s">
        <v>52</v>
      </c>
      <c r="E5513" s="52" t="s">
        <v>584</v>
      </c>
      <c r="F5513" s="52" t="s">
        <v>26</v>
      </c>
      <c r="G5513" s="55" t="s">
        <v>275</v>
      </c>
      <c r="H5513" s="55">
        <v>-2.6641749999999999E-2</v>
      </c>
      <c r="I5513" s="55">
        <v>-2.6641749999999999E-2</v>
      </c>
      <c r="J5513" s="55">
        <v>0</v>
      </c>
      <c r="K5513" s="55">
        <v>0</v>
      </c>
      <c r="L5513" s="55">
        <v>0</v>
      </c>
      <c r="M5513" s="55">
        <v>0</v>
      </c>
      <c r="N5513" s="55">
        <v>0</v>
      </c>
    </row>
    <row r="5514" spans="1:14" hidden="1" x14ac:dyDescent="0.35">
      <c r="A5514" s="52" t="s">
        <v>709</v>
      </c>
      <c r="B5514" s="52" t="s">
        <v>53</v>
      </c>
      <c r="C5514" s="52" t="s">
        <v>52</v>
      </c>
      <c r="D5514" s="52" t="s">
        <v>52</v>
      </c>
      <c r="E5514" s="52" t="s">
        <v>584</v>
      </c>
      <c r="F5514" s="52" t="s">
        <v>26</v>
      </c>
      <c r="G5514" s="55" t="s">
        <v>276</v>
      </c>
      <c r="H5514" s="55">
        <v>-1.1417999999999999E-2</v>
      </c>
      <c r="I5514" s="55">
        <v>-1.141825E-2</v>
      </c>
      <c r="J5514" s="55">
        <v>-3.8059500000000003E-2</v>
      </c>
      <c r="K5514" s="55">
        <v>-3.8059750000000003E-2</v>
      </c>
      <c r="L5514" s="55">
        <v>-3.8059250000000003E-2</v>
      </c>
      <c r="M5514" s="55">
        <v>-3.9753749999999997E-2</v>
      </c>
      <c r="N5514" s="55">
        <v>-3.9753499999999997E-2</v>
      </c>
    </row>
    <row r="5515" spans="1:14" hidden="1" x14ac:dyDescent="0.35">
      <c r="A5515" s="52" t="s">
        <v>709</v>
      </c>
      <c r="B5515" s="52" t="s">
        <v>53</v>
      </c>
      <c r="C5515" s="52" t="s">
        <v>52</v>
      </c>
      <c r="D5515" s="52" t="s">
        <v>52</v>
      </c>
      <c r="E5515" s="52" t="s">
        <v>584</v>
      </c>
      <c r="F5515" s="52" t="s">
        <v>26</v>
      </c>
      <c r="G5515" s="55" t="s">
        <v>277</v>
      </c>
      <c r="H5515" s="55"/>
      <c r="I5515" s="55"/>
      <c r="J5515" s="55"/>
      <c r="K5515" s="55"/>
      <c r="L5515" s="55">
        <v>0</v>
      </c>
      <c r="M5515" s="55">
        <v>1.6937499999999999E-3</v>
      </c>
      <c r="N5515" s="55">
        <v>1.6934999999999999E-3</v>
      </c>
    </row>
    <row r="5516" spans="1:14" hidden="1" x14ac:dyDescent="0.35">
      <c r="A5516" s="52" t="s">
        <v>709</v>
      </c>
      <c r="B5516" s="52" t="s">
        <v>53</v>
      </c>
      <c r="C5516" s="52" t="s">
        <v>52</v>
      </c>
      <c r="D5516" s="52" t="s">
        <v>52</v>
      </c>
      <c r="E5516" s="52" t="s">
        <v>584</v>
      </c>
      <c r="F5516" s="52" t="s">
        <v>26</v>
      </c>
      <c r="G5516" s="55" t="s">
        <v>278</v>
      </c>
      <c r="H5516" s="55">
        <v>3.8059750000000003E-2</v>
      </c>
      <c r="I5516" s="55">
        <v>3.8059750000000003E-2</v>
      </c>
      <c r="J5516" s="55">
        <v>3.8059750000000003E-2</v>
      </c>
      <c r="K5516" s="55">
        <v>3.8059750000000003E-2</v>
      </c>
      <c r="L5516" s="55">
        <v>3.8059750000000003E-2</v>
      </c>
      <c r="M5516" s="55">
        <v>3.8059750000000003E-2</v>
      </c>
      <c r="N5516" s="55">
        <v>3.8059750000000003E-2</v>
      </c>
    </row>
    <row r="5517" spans="1:14" hidden="1" x14ac:dyDescent="0.35">
      <c r="A5517" s="52" t="s">
        <v>709</v>
      </c>
      <c r="B5517" s="52" t="s">
        <v>160</v>
      </c>
      <c r="C5517" s="52" t="s">
        <v>342</v>
      </c>
      <c r="D5517" s="52" t="s">
        <v>343</v>
      </c>
      <c r="E5517" s="52" t="s">
        <v>584</v>
      </c>
      <c r="F5517" s="52" t="s">
        <v>581</v>
      </c>
      <c r="G5517" s="55" t="s">
        <v>275</v>
      </c>
      <c r="H5517" s="55">
        <v>-6.4960799999999999E-2</v>
      </c>
      <c r="I5517" s="55">
        <v>-8.6670010000000006E-3</v>
      </c>
      <c r="J5517" s="55">
        <v>0</v>
      </c>
      <c r="K5517" s="55">
        <v>0</v>
      </c>
      <c r="L5517" s="55">
        <v>0</v>
      </c>
      <c r="M5517" s="55">
        <v>0</v>
      </c>
      <c r="N5517" s="55">
        <v>0</v>
      </c>
    </row>
    <row r="5518" spans="1:14" hidden="1" x14ac:dyDescent="0.35">
      <c r="A5518" s="52" t="s">
        <v>709</v>
      </c>
      <c r="B5518" s="52" t="s">
        <v>160</v>
      </c>
      <c r="C5518" s="52" t="s">
        <v>342</v>
      </c>
      <c r="D5518" s="52" t="s">
        <v>343</v>
      </c>
      <c r="E5518" s="52" t="s">
        <v>584</v>
      </c>
      <c r="F5518" s="52" t="s">
        <v>581</v>
      </c>
      <c r="G5518" s="55" t="s">
        <v>276</v>
      </c>
      <c r="H5518" s="55">
        <v>-9.4821000000000003E-3</v>
      </c>
      <c r="I5518" s="55">
        <v>-1.0120799999999999E-2</v>
      </c>
      <c r="J5518" s="55">
        <v>-1.2765E-2</v>
      </c>
      <c r="K5518" s="55">
        <v>-1.33752E-2</v>
      </c>
      <c r="L5518" s="55">
        <v>-1.8931770000000001</v>
      </c>
      <c r="M5518" s="55">
        <v>-0.92344749999999998</v>
      </c>
      <c r="N5518" s="55">
        <v>-2.9777109999999999E-2</v>
      </c>
    </row>
    <row r="5519" spans="1:14" hidden="1" x14ac:dyDescent="0.35">
      <c r="A5519" s="52" t="s">
        <v>709</v>
      </c>
      <c r="B5519" s="52" t="s">
        <v>160</v>
      </c>
      <c r="C5519" s="52" t="s">
        <v>342</v>
      </c>
      <c r="D5519" s="52" t="s">
        <v>343</v>
      </c>
      <c r="E5519" s="52" t="s">
        <v>584</v>
      </c>
      <c r="F5519" s="52" t="s">
        <v>581</v>
      </c>
      <c r="G5519" s="55" t="s">
        <v>278</v>
      </c>
      <c r="H5519" s="55">
        <v>7.4442900000000006E-2</v>
      </c>
      <c r="I5519" s="55">
        <v>1.8788099999999999E-2</v>
      </c>
      <c r="J5519" s="55">
        <v>1.27647E-2</v>
      </c>
      <c r="K5519" s="55">
        <v>1.33752E-2</v>
      </c>
      <c r="L5519" s="55">
        <v>1.893176</v>
      </c>
      <c r="M5519" s="55">
        <v>0.92344740000000003</v>
      </c>
      <c r="N5519" s="55">
        <v>2.9777100000000001E-2</v>
      </c>
    </row>
    <row r="5520" spans="1:14" hidden="1" x14ac:dyDescent="0.35">
      <c r="A5520" s="52" t="s">
        <v>673</v>
      </c>
      <c r="B5520" s="52" t="s">
        <v>37</v>
      </c>
      <c r="C5520" s="52" t="s">
        <v>46</v>
      </c>
      <c r="D5520" s="52" t="s">
        <v>46</v>
      </c>
      <c r="E5520" s="52" t="s">
        <v>641</v>
      </c>
      <c r="F5520" s="52" t="s">
        <v>26</v>
      </c>
      <c r="G5520" s="55" t="s">
        <v>275</v>
      </c>
      <c r="H5520" s="55">
        <v>-148.44280000000001</v>
      </c>
      <c r="I5520" s="55">
        <v>334.54360000000003</v>
      </c>
      <c r="J5520" s="55">
        <v>440.20069999999998</v>
      </c>
      <c r="K5520" s="55">
        <v>453.90190000000001</v>
      </c>
      <c r="L5520" s="55">
        <v>456.18700000000001</v>
      </c>
      <c r="M5520" s="55">
        <v>404.86509999999998</v>
      </c>
      <c r="N5520" s="55">
        <v>405.88630000000001</v>
      </c>
    </row>
    <row r="5521" spans="1:14" hidden="1" x14ac:dyDescent="0.35">
      <c r="A5521" s="52" t="s">
        <v>673</v>
      </c>
      <c r="B5521" s="52" t="s">
        <v>37</v>
      </c>
      <c r="C5521" s="52" t="s">
        <v>46</v>
      </c>
      <c r="D5521" s="52" t="s">
        <v>46</v>
      </c>
      <c r="E5521" s="52" t="s">
        <v>641</v>
      </c>
      <c r="F5521" s="52" t="s">
        <v>26</v>
      </c>
      <c r="G5521" s="55" t="s">
        <v>276</v>
      </c>
      <c r="H5521" s="55">
        <v>72.985600000000005</v>
      </c>
      <c r="I5521" s="55">
        <v>74.005960000000002</v>
      </c>
      <c r="J5521" s="55">
        <v>78.789159999999995</v>
      </c>
      <c r="K5521" s="55">
        <v>58.608890000000002</v>
      </c>
      <c r="L5521" s="55">
        <v>69.160539999999997</v>
      </c>
      <c r="M5521" s="55">
        <v>123.7906</v>
      </c>
      <c r="N5521" s="55">
        <v>140.37880000000001</v>
      </c>
    </row>
    <row r="5522" spans="1:14" hidden="1" x14ac:dyDescent="0.35">
      <c r="A5522" s="52" t="s">
        <v>673</v>
      </c>
      <c r="B5522" s="52" t="s">
        <v>37</v>
      </c>
      <c r="C5522" s="52" t="s">
        <v>46</v>
      </c>
      <c r="D5522" s="52" t="s">
        <v>46</v>
      </c>
      <c r="E5522" s="52" t="s">
        <v>641</v>
      </c>
      <c r="F5522" s="52" t="s">
        <v>26</v>
      </c>
      <c r="G5522" s="55" t="s">
        <v>277</v>
      </c>
      <c r="H5522" s="55">
        <v>588.11670000000004</v>
      </c>
      <c r="I5522" s="55">
        <v>154.89099999999999</v>
      </c>
      <c r="J5522" s="55">
        <v>119.9773</v>
      </c>
      <c r="K5522" s="55">
        <v>106.98569999999999</v>
      </c>
      <c r="L5522" s="55">
        <v>128.80350000000001</v>
      </c>
      <c r="M5522" s="55">
        <v>154.1379</v>
      </c>
      <c r="N5522" s="55">
        <v>185.57589999999999</v>
      </c>
    </row>
    <row r="5523" spans="1:14" hidden="1" x14ac:dyDescent="0.35">
      <c r="A5523" s="52" t="s">
        <v>673</v>
      </c>
      <c r="B5523" s="52" t="s">
        <v>37</v>
      </c>
      <c r="C5523" s="52" t="s">
        <v>46</v>
      </c>
      <c r="D5523" s="52" t="s">
        <v>46</v>
      </c>
      <c r="E5523" s="52" t="s">
        <v>641</v>
      </c>
      <c r="F5523" s="52" t="s">
        <v>26</v>
      </c>
      <c r="G5523" s="55" t="s">
        <v>278</v>
      </c>
      <c r="H5523" s="55">
        <v>151.73820000000001</v>
      </c>
      <c r="I5523" s="55">
        <v>70.989590000000007</v>
      </c>
      <c r="J5523" s="55">
        <v>56.125720000000001</v>
      </c>
      <c r="K5523" s="55">
        <v>66.311400000000006</v>
      </c>
      <c r="L5523" s="55">
        <v>69.736080000000001</v>
      </c>
      <c r="M5523" s="55">
        <v>79.191130000000001</v>
      </c>
      <c r="N5523" s="55">
        <v>103.15600000000001</v>
      </c>
    </row>
    <row r="5524" spans="1:14" hidden="1" x14ac:dyDescent="0.35">
      <c r="A5524" s="52" t="s">
        <v>673</v>
      </c>
      <c r="B5524" s="52" t="s">
        <v>37</v>
      </c>
      <c r="C5524" s="52" t="s">
        <v>46</v>
      </c>
      <c r="D5524" s="52" t="s">
        <v>46</v>
      </c>
      <c r="E5524" s="52" t="s">
        <v>641</v>
      </c>
      <c r="F5524" s="52" t="s">
        <v>26</v>
      </c>
      <c r="G5524" s="55" t="s">
        <v>279</v>
      </c>
      <c r="H5524" s="55">
        <v>323.78739999999999</v>
      </c>
      <c r="I5524" s="55">
        <v>321.69850000000002</v>
      </c>
      <c r="J5524" s="55">
        <v>327.71140000000003</v>
      </c>
      <c r="K5524" s="55">
        <v>339.90390000000002</v>
      </c>
      <c r="L5524" s="55">
        <v>358.37189999999998</v>
      </c>
      <c r="M5524" s="55">
        <v>409.56619999999998</v>
      </c>
      <c r="N5524" s="55">
        <v>449.01310000000001</v>
      </c>
    </row>
    <row r="5525" spans="1:14" hidden="1" x14ac:dyDescent="0.35">
      <c r="A5525" s="52" t="s">
        <v>673</v>
      </c>
      <c r="B5525" s="52" t="s">
        <v>37</v>
      </c>
      <c r="C5525" s="52" t="s">
        <v>46</v>
      </c>
      <c r="D5525" s="52" t="s">
        <v>46</v>
      </c>
      <c r="E5525" s="52" t="s">
        <v>584</v>
      </c>
      <c r="F5525" s="52" t="s">
        <v>581</v>
      </c>
      <c r="G5525" s="55" t="s">
        <v>275</v>
      </c>
      <c r="H5525" s="55">
        <v>2.565493</v>
      </c>
      <c r="I5525" s="55">
        <v>-0.4144137</v>
      </c>
      <c r="J5525" s="55">
        <v>-0.23909559999999999</v>
      </c>
      <c r="K5525" s="55">
        <v>-0.288713</v>
      </c>
      <c r="L5525" s="55">
        <v>-8.3097580000000004E-2</v>
      </c>
      <c r="M5525" s="55">
        <v>-0.49556109999999998</v>
      </c>
      <c r="N5525" s="55">
        <v>-0.44490740000000001</v>
      </c>
    </row>
    <row r="5526" spans="1:14" hidden="1" x14ac:dyDescent="0.35">
      <c r="A5526" s="52" t="s">
        <v>673</v>
      </c>
      <c r="B5526" s="52" t="s">
        <v>37</v>
      </c>
      <c r="C5526" s="52" t="s">
        <v>46</v>
      </c>
      <c r="D5526" s="52" t="s">
        <v>46</v>
      </c>
      <c r="E5526" s="52" t="s">
        <v>584</v>
      </c>
      <c r="F5526" s="52" t="s">
        <v>581</v>
      </c>
      <c r="G5526" s="55" t="s">
        <v>276</v>
      </c>
      <c r="H5526" s="55">
        <v>0.68196599999999996</v>
      </c>
      <c r="I5526" s="55">
        <v>-0.110161</v>
      </c>
      <c r="J5526" s="55">
        <v>-6.3557799999999998E-2</v>
      </c>
      <c r="K5526" s="55">
        <v>-7.6746599999999998E-2</v>
      </c>
      <c r="L5526" s="55">
        <v>-2.208769E-2</v>
      </c>
      <c r="M5526" s="55">
        <v>-0.13173080000000001</v>
      </c>
      <c r="N5526" s="55">
        <v>-0.11826780000000001</v>
      </c>
    </row>
    <row r="5527" spans="1:14" hidden="1" x14ac:dyDescent="0.35">
      <c r="A5527" s="52" t="s">
        <v>673</v>
      </c>
      <c r="B5527" s="52" t="s">
        <v>37</v>
      </c>
      <c r="C5527" s="52" t="s">
        <v>46</v>
      </c>
      <c r="D5527" s="52" t="s">
        <v>46</v>
      </c>
      <c r="E5527" s="52" t="s">
        <v>584</v>
      </c>
      <c r="F5527" s="52" t="s">
        <v>581</v>
      </c>
      <c r="G5527" s="55" t="s">
        <v>279</v>
      </c>
      <c r="H5527" s="55">
        <v>5.678655</v>
      </c>
      <c r="I5527" s="55">
        <v>4.4970509999999999</v>
      </c>
      <c r="J5527" s="55">
        <v>3.9569770000000002</v>
      </c>
      <c r="K5527" s="55">
        <v>3.740005</v>
      </c>
      <c r="L5527" s="55">
        <v>3.2381950000000002</v>
      </c>
      <c r="M5527" s="55">
        <v>3.5294140000000001</v>
      </c>
      <c r="N5527" s="55">
        <v>3.2103959999999998</v>
      </c>
    </row>
    <row r="5528" spans="1:14" hidden="1" x14ac:dyDescent="0.35">
      <c r="A5528" s="52" t="s">
        <v>673</v>
      </c>
      <c r="B5528" s="52" t="s">
        <v>37</v>
      </c>
      <c r="C5528" s="52" t="s">
        <v>46</v>
      </c>
      <c r="D5528" s="52" t="s">
        <v>46</v>
      </c>
      <c r="E5528" s="52" t="s">
        <v>584</v>
      </c>
      <c r="F5528" s="52" t="s">
        <v>26</v>
      </c>
      <c r="G5528" s="55" t="s">
        <v>275</v>
      </c>
      <c r="H5528" s="55">
        <v>55.81823</v>
      </c>
      <c r="I5528" s="55">
        <v>36.4589</v>
      </c>
      <c r="J5528" s="55">
        <v>33.234020000000001</v>
      </c>
      <c r="K5528" s="55">
        <v>29.53389</v>
      </c>
      <c r="L5528" s="55">
        <v>25.837969999999999</v>
      </c>
      <c r="M5528" s="55">
        <v>22.04862</v>
      </c>
      <c r="N5528" s="55">
        <v>5.417719</v>
      </c>
    </row>
    <row r="5529" spans="1:14" hidden="1" x14ac:dyDescent="0.35">
      <c r="A5529" s="52" t="s">
        <v>673</v>
      </c>
      <c r="B5529" s="52" t="s">
        <v>37</v>
      </c>
      <c r="C5529" s="52" t="s">
        <v>46</v>
      </c>
      <c r="D5529" s="52" t="s">
        <v>46</v>
      </c>
      <c r="E5529" s="52" t="s">
        <v>584</v>
      </c>
      <c r="F5529" s="52" t="s">
        <v>26</v>
      </c>
      <c r="G5529" s="55" t="s">
        <v>276</v>
      </c>
      <c r="H5529" s="55">
        <v>3.2287499999999998</v>
      </c>
      <c r="I5529" s="55">
        <v>0.48715000000000003</v>
      </c>
      <c r="J5529" s="55">
        <v>0.78817700000000002</v>
      </c>
      <c r="K5529" s="55">
        <v>3.0734849999999998</v>
      </c>
      <c r="L5529" s="55">
        <v>6.8508329999999997</v>
      </c>
      <c r="M5529" s="55">
        <v>5.5951009999999997</v>
      </c>
      <c r="N5529" s="55">
        <v>4.6981869999999999</v>
      </c>
    </row>
    <row r="5530" spans="1:14" hidden="1" x14ac:dyDescent="0.35">
      <c r="A5530" s="52" t="s">
        <v>673</v>
      </c>
      <c r="B5530" s="52" t="s">
        <v>37</v>
      </c>
      <c r="C5530" s="52" t="s">
        <v>46</v>
      </c>
      <c r="D5530" s="52" t="s">
        <v>46</v>
      </c>
      <c r="E5530" s="52" t="s">
        <v>584</v>
      </c>
      <c r="F5530" s="52" t="s">
        <v>26</v>
      </c>
      <c r="G5530" s="55" t="s">
        <v>277</v>
      </c>
      <c r="H5530" s="55">
        <v>5.0000000000000004E-6</v>
      </c>
      <c r="I5530" s="55">
        <v>0</v>
      </c>
      <c r="J5530" s="55">
        <v>3.5721159999999998</v>
      </c>
      <c r="K5530" s="55">
        <v>3.476928</v>
      </c>
      <c r="L5530" s="55">
        <v>1.1846829999999999</v>
      </c>
      <c r="M5530" s="55">
        <v>0</v>
      </c>
      <c r="N5530" s="55">
        <v>17.784030000000001</v>
      </c>
    </row>
    <row r="5531" spans="1:14" hidden="1" x14ac:dyDescent="0.35">
      <c r="A5531" s="52" t="s">
        <v>673</v>
      </c>
      <c r="B5531" s="52" t="s">
        <v>37</v>
      </c>
      <c r="C5531" s="52" t="s">
        <v>46</v>
      </c>
      <c r="D5531" s="52" t="s">
        <v>46</v>
      </c>
      <c r="E5531" s="52" t="s">
        <v>584</v>
      </c>
      <c r="F5531" s="52" t="s">
        <v>26</v>
      </c>
      <c r="G5531" s="55" t="s">
        <v>279</v>
      </c>
      <c r="H5531" s="55">
        <v>50.500500000000002</v>
      </c>
      <c r="I5531" s="55">
        <v>37.517699999999998</v>
      </c>
      <c r="J5531" s="55">
        <v>33.526359999999997</v>
      </c>
      <c r="K5531" s="55">
        <v>32.986339999999998</v>
      </c>
      <c r="L5531" s="55">
        <v>29.53154</v>
      </c>
      <c r="M5531" s="55">
        <v>29.954170000000001</v>
      </c>
      <c r="N5531" s="55">
        <v>28.641300000000001</v>
      </c>
    </row>
    <row r="5532" spans="1:14" hidden="1" x14ac:dyDescent="0.35">
      <c r="A5532" s="52" t="s">
        <v>673</v>
      </c>
      <c r="B5532" s="52" t="s">
        <v>37</v>
      </c>
      <c r="C5532" s="52" t="s">
        <v>51</v>
      </c>
      <c r="D5532" s="52" t="s">
        <v>51</v>
      </c>
      <c r="E5532" s="52" t="s">
        <v>602</v>
      </c>
      <c r="F5532" s="52" t="s">
        <v>581</v>
      </c>
      <c r="G5532" s="55" t="s">
        <v>275</v>
      </c>
      <c r="H5532" s="55">
        <v>100.14360000000001</v>
      </c>
      <c r="I5532" s="55">
        <v>43.749029999999998</v>
      </c>
      <c r="J5532" s="55">
        <v>36.085079999999998</v>
      </c>
      <c r="K5532" s="55">
        <v>38.563659999999999</v>
      </c>
      <c r="L5532" s="55">
        <v>28.69745</v>
      </c>
      <c r="M5532" s="55">
        <v>23.23236</v>
      </c>
      <c r="N5532" s="55">
        <v>15.77333</v>
      </c>
    </row>
    <row r="5533" spans="1:14" hidden="1" x14ac:dyDescent="0.35">
      <c r="A5533" s="52" t="s">
        <v>673</v>
      </c>
      <c r="B5533" s="52" t="s">
        <v>37</v>
      </c>
      <c r="C5533" s="52" t="s">
        <v>51</v>
      </c>
      <c r="D5533" s="52" t="s">
        <v>51</v>
      </c>
      <c r="E5533" s="52" t="s">
        <v>602</v>
      </c>
      <c r="F5533" s="52" t="s">
        <v>581</v>
      </c>
      <c r="G5533" s="55" t="s">
        <v>276</v>
      </c>
      <c r="H5533" s="55">
        <v>9.9298830000000002</v>
      </c>
      <c r="I5533" s="55">
        <v>3.7994859999999999</v>
      </c>
      <c r="J5533" s="55">
        <v>3.2066219999999999</v>
      </c>
      <c r="K5533" s="55">
        <v>-1.5645720000000001</v>
      </c>
      <c r="L5533" s="55">
        <v>7.2800529999999997</v>
      </c>
      <c r="M5533" s="55">
        <v>6.6216710000000001</v>
      </c>
      <c r="N5533" s="55">
        <v>5.7433930000000002</v>
      </c>
    </row>
    <row r="5534" spans="1:14" hidden="1" x14ac:dyDescent="0.35">
      <c r="A5534" s="52" t="s">
        <v>673</v>
      </c>
      <c r="B5534" s="52" t="s">
        <v>37</v>
      </c>
      <c r="C5534" s="52" t="s">
        <v>51</v>
      </c>
      <c r="D5534" s="52" t="s">
        <v>51</v>
      </c>
      <c r="E5534" s="52" t="s">
        <v>602</v>
      </c>
      <c r="F5534" s="52" t="s">
        <v>581</v>
      </c>
      <c r="G5534" s="55" t="s">
        <v>277</v>
      </c>
      <c r="H5534" s="55">
        <v>4.9820479999999998</v>
      </c>
      <c r="I5534" s="55">
        <v>0.34097230000000001</v>
      </c>
      <c r="J5534" s="55">
        <v>5.0158370000000003</v>
      </c>
      <c r="K5534" s="55">
        <v>2.254848</v>
      </c>
      <c r="L5534" s="55">
        <v>1.1782550000000001</v>
      </c>
      <c r="M5534" s="55">
        <v>1.8903190000000001</v>
      </c>
      <c r="N5534" s="55">
        <v>7.577312</v>
      </c>
    </row>
    <row r="5535" spans="1:14" hidden="1" x14ac:dyDescent="0.35">
      <c r="A5535" s="52" t="s">
        <v>673</v>
      </c>
      <c r="B5535" s="52" t="s">
        <v>37</v>
      </c>
      <c r="C5535" s="52" t="s">
        <v>51</v>
      </c>
      <c r="D5535" s="52" t="s">
        <v>51</v>
      </c>
      <c r="E5535" s="52" t="s">
        <v>602</v>
      </c>
      <c r="F5535" s="52" t="s">
        <v>581</v>
      </c>
      <c r="G5535" s="55" t="s">
        <v>278</v>
      </c>
      <c r="H5535" s="55">
        <v>0.51795199999999997</v>
      </c>
      <c r="I5535" s="55">
        <v>0</v>
      </c>
      <c r="J5535" s="55">
        <v>1.0722210000000001</v>
      </c>
      <c r="K5535" s="55">
        <v>1.14002</v>
      </c>
      <c r="L5535" s="55">
        <v>1.696223</v>
      </c>
      <c r="M5535" s="55">
        <v>2.2787820000000001</v>
      </c>
      <c r="N5535" s="55">
        <v>4.5590140000000003</v>
      </c>
    </row>
    <row r="5536" spans="1:14" hidden="1" x14ac:dyDescent="0.35">
      <c r="A5536" s="52" t="s">
        <v>673</v>
      </c>
      <c r="B5536" s="52" t="s">
        <v>37</v>
      </c>
      <c r="C5536" s="52" t="s">
        <v>51</v>
      </c>
      <c r="D5536" s="52" t="s">
        <v>51</v>
      </c>
      <c r="E5536" s="52" t="s">
        <v>602</v>
      </c>
      <c r="F5536" s="52" t="s">
        <v>581</v>
      </c>
      <c r="G5536" s="55" t="s">
        <v>279</v>
      </c>
      <c r="H5536" s="55">
        <v>27.008310000000002</v>
      </c>
      <c r="I5536" s="55">
        <v>19.56598</v>
      </c>
      <c r="J5536" s="55">
        <v>17.77721</v>
      </c>
      <c r="K5536" s="55">
        <v>16.230540000000001</v>
      </c>
      <c r="L5536" s="55">
        <v>14.656610000000001</v>
      </c>
      <c r="M5536" s="55">
        <v>15.02107</v>
      </c>
      <c r="N5536" s="55">
        <v>14.66029</v>
      </c>
    </row>
    <row r="5537" spans="1:14" hidden="1" x14ac:dyDescent="0.35">
      <c r="A5537" s="52" t="s">
        <v>673</v>
      </c>
      <c r="B5537" s="52" t="s">
        <v>37</v>
      </c>
      <c r="C5537" s="52" t="s">
        <v>51</v>
      </c>
      <c r="D5537" s="52" t="s">
        <v>51</v>
      </c>
      <c r="E5537" s="52" t="s">
        <v>602</v>
      </c>
      <c r="F5537" s="52" t="s">
        <v>26</v>
      </c>
      <c r="G5537" s="55" t="s">
        <v>275</v>
      </c>
      <c r="H5537" s="55">
        <v>5.2384130000000004</v>
      </c>
      <c r="I5537" s="55">
        <v>2.997547</v>
      </c>
      <c r="J5537" s="55">
        <v>3.148415</v>
      </c>
      <c r="K5537" s="55">
        <v>2.7400950000000002</v>
      </c>
      <c r="L5537" s="55">
        <v>2.6283799999999999</v>
      </c>
      <c r="M5537" s="55">
        <v>2.194715</v>
      </c>
      <c r="N5537" s="55">
        <v>2.1392389999999999</v>
      </c>
    </row>
    <row r="5538" spans="1:14" hidden="1" x14ac:dyDescent="0.35">
      <c r="A5538" s="52" t="s">
        <v>673</v>
      </c>
      <c r="B5538" s="52" t="s">
        <v>37</v>
      </c>
      <c r="C5538" s="52" t="s">
        <v>51</v>
      </c>
      <c r="D5538" s="52" t="s">
        <v>51</v>
      </c>
      <c r="E5538" s="52" t="s">
        <v>602</v>
      </c>
      <c r="F5538" s="52" t="s">
        <v>26</v>
      </c>
      <c r="G5538" s="55" t="s">
        <v>276</v>
      </c>
      <c r="H5538" s="55">
        <v>1.392487</v>
      </c>
      <c r="I5538" s="55">
        <v>0.79681429999999998</v>
      </c>
      <c r="J5538" s="55">
        <v>0.83692029999999995</v>
      </c>
      <c r="K5538" s="55">
        <v>0.72838139999999996</v>
      </c>
      <c r="L5538" s="55">
        <v>0.69868240000000004</v>
      </c>
      <c r="M5538" s="55">
        <v>0.58340570000000003</v>
      </c>
      <c r="N5538" s="55">
        <v>0.56865790000000005</v>
      </c>
    </row>
    <row r="5539" spans="1:14" hidden="1" x14ac:dyDescent="0.35">
      <c r="A5539" s="52" t="s">
        <v>673</v>
      </c>
      <c r="B5539" s="52" t="s">
        <v>37</v>
      </c>
      <c r="C5539" s="52" t="s">
        <v>51</v>
      </c>
      <c r="D5539" s="52" t="s">
        <v>51</v>
      </c>
      <c r="E5539" s="52" t="s">
        <v>602</v>
      </c>
      <c r="F5539" s="52" t="s">
        <v>26</v>
      </c>
      <c r="G5539" s="55" t="s">
        <v>279</v>
      </c>
      <c r="H5539" s="55">
        <v>4.6448479999999996</v>
      </c>
      <c r="I5539" s="55">
        <v>2.8232439999999999</v>
      </c>
      <c r="J5539" s="55">
        <v>2.59076</v>
      </c>
      <c r="K5539" s="55">
        <v>2.3810709999999999</v>
      </c>
      <c r="L5539" s="55">
        <v>2.158906</v>
      </c>
      <c r="M5539" s="55">
        <v>2.2120790000000001</v>
      </c>
      <c r="N5539" s="55">
        <v>2.1528689999999999</v>
      </c>
    </row>
    <row r="5540" spans="1:14" hidden="1" x14ac:dyDescent="0.35">
      <c r="A5540" s="52" t="s">
        <v>673</v>
      </c>
      <c r="B5540" s="52" t="s">
        <v>37</v>
      </c>
      <c r="C5540" s="52" t="s">
        <v>79</v>
      </c>
      <c r="D5540" s="52" t="s">
        <v>79</v>
      </c>
      <c r="E5540" s="52" t="s">
        <v>615</v>
      </c>
      <c r="F5540" s="52" t="s">
        <v>581</v>
      </c>
      <c r="G5540" s="55" t="s">
        <v>275</v>
      </c>
      <c r="H5540" s="55">
        <v>-16.32583</v>
      </c>
      <c r="I5540" s="55">
        <v>1.9177420000000001</v>
      </c>
      <c r="J5540" s="55">
        <v>-0.59180820000000001</v>
      </c>
      <c r="K5540" s="55">
        <v>-0.60162000000000004</v>
      </c>
      <c r="L5540" s="55">
        <v>0.61794870000000002</v>
      </c>
      <c r="M5540" s="55">
        <v>1.181441</v>
      </c>
      <c r="N5540" s="55">
        <v>1.0566329999999999</v>
      </c>
    </row>
    <row r="5541" spans="1:14" hidden="1" x14ac:dyDescent="0.35">
      <c r="A5541" s="52" t="s">
        <v>673</v>
      </c>
      <c r="B5541" s="52" t="s">
        <v>37</v>
      </c>
      <c r="C5541" s="52" t="s">
        <v>79</v>
      </c>
      <c r="D5541" s="52" t="s">
        <v>79</v>
      </c>
      <c r="E5541" s="52" t="s">
        <v>615</v>
      </c>
      <c r="F5541" s="52" t="s">
        <v>581</v>
      </c>
      <c r="G5541" s="55" t="s">
        <v>276</v>
      </c>
      <c r="H5541" s="55">
        <v>-0.187221</v>
      </c>
      <c r="I5541" s="55">
        <v>-0.35316150000000002</v>
      </c>
      <c r="J5541" s="55">
        <v>-0.3542285</v>
      </c>
      <c r="K5541" s="55">
        <v>-0.28814790000000001</v>
      </c>
      <c r="L5541" s="55">
        <v>-1.6769879999999999</v>
      </c>
      <c r="M5541" s="55">
        <v>4.5720289999999997E-2</v>
      </c>
      <c r="N5541" s="55">
        <v>-0.15417710000000001</v>
      </c>
    </row>
    <row r="5542" spans="1:14" hidden="1" x14ac:dyDescent="0.35">
      <c r="A5542" s="52" t="s">
        <v>673</v>
      </c>
      <c r="B5542" s="52" t="s">
        <v>37</v>
      </c>
      <c r="C5542" s="52" t="s">
        <v>79</v>
      </c>
      <c r="D5542" s="52" t="s">
        <v>79</v>
      </c>
      <c r="E5542" s="52" t="s">
        <v>615</v>
      </c>
      <c r="F5542" s="52" t="s">
        <v>581</v>
      </c>
      <c r="G5542" s="55" t="s">
        <v>277</v>
      </c>
      <c r="H5542" s="55">
        <v>5.0124709999999997</v>
      </c>
      <c r="I5542" s="55">
        <v>0</v>
      </c>
      <c r="J5542" s="55">
        <v>1.6929749999999999</v>
      </c>
      <c r="K5542" s="55">
        <v>1.6262369999999999</v>
      </c>
      <c r="L5542" s="55">
        <v>2.4848620000000001</v>
      </c>
      <c r="M5542" s="55">
        <v>0</v>
      </c>
      <c r="N5542" s="55">
        <v>0</v>
      </c>
    </row>
    <row r="5543" spans="1:14" hidden="1" x14ac:dyDescent="0.35">
      <c r="A5543" s="52" t="s">
        <v>673</v>
      </c>
      <c r="B5543" s="52" t="s">
        <v>37</v>
      </c>
      <c r="C5543" s="52" t="s">
        <v>79</v>
      </c>
      <c r="D5543" s="52" t="s">
        <v>79</v>
      </c>
      <c r="E5543" s="52" t="s">
        <v>615</v>
      </c>
      <c r="F5543" s="52" t="s">
        <v>581</v>
      </c>
      <c r="G5543" s="55" t="s">
        <v>278</v>
      </c>
      <c r="H5543" s="55">
        <v>14.587529999999999</v>
      </c>
      <c r="I5543" s="55">
        <v>0</v>
      </c>
      <c r="J5543" s="55">
        <v>0.65535699999999997</v>
      </c>
      <c r="K5543" s="55">
        <v>0.86177000000000004</v>
      </c>
      <c r="L5543" s="55">
        <v>0.42008600000000001</v>
      </c>
      <c r="M5543" s="55">
        <v>0</v>
      </c>
      <c r="N5543" s="55"/>
    </row>
    <row r="5544" spans="1:14" hidden="1" x14ac:dyDescent="0.35">
      <c r="A5544" s="52" t="s">
        <v>673</v>
      </c>
      <c r="B5544" s="52" t="s">
        <v>37</v>
      </c>
      <c r="C5544" s="52" t="s">
        <v>79</v>
      </c>
      <c r="D5544" s="52" t="s">
        <v>79</v>
      </c>
      <c r="E5544" s="52" t="s">
        <v>615</v>
      </c>
      <c r="F5544" s="52" t="s">
        <v>581</v>
      </c>
      <c r="G5544" s="55" t="s">
        <v>279</v>
      </c>
      <c r="H5544" s="55">
        <v>0.45092700000000002</v>
      </c>
      <c r="I5544" s="55">
        <v>0.3020854</v>
      </c>
      <c r="J5544" s="55">
        <v>0.26366149999999999</v>
      </c>
      <c r="K5544" s="55">
        <v>0.3065795</v>
      </c>
      <c r="L5544" s="55">
        <v>0.353126</v>
      </c>
      <c r="M5544" s="55">
        <v>0.25012259999999997</v>
      </c>
      <c r="N5544" s="55">
        <v>0.1835881</v>
      </c>
    </row>
    <row r="5545" spans="1:14" hidden="1" x14ac:dyDescent="0.35">
      <c r="A5545" s="52" t="s">
        <v>673</v>
      </c>
      <c r="B5545" s="52" t="s">
        <v>37</v>
      </c>
      <c r="C5545" s="52" t="s">
        <v>79</v>
      </c>
      <c r="D5545" s="52" t="s">
        <v>79</v>
      </c>
      <c r="E5545" s="52" t="s">
        <v>615</v>
      </c>
      <c r="F5545" s="52" t="s">
        <v>26</v>
      </c>
      <c r="G5545" s="55" t="s">
        <v>275</v>
      </c>
      <c r="H5545" s="55">
        <v>3.8802000000000003E-2</v>
      </c>
      <c r="I5545" s="55">
        <v>3.6463000000000002E-2</v>
      </c>
      <c r="J5545" s="55">
        <v>3.4887099999999997E-2</v>
      </c>
      <c r="K5545" s="55">
        <v>3.90246E-2</v>
      </c>
      <c r="L5545" s="55">
        <v>4.5414700000000002E-2</v>
      </c>
      <c r="M5545" s="55">
        <v>2.95622E-2</v>
      </c>
      <c r="N5545" s="55">
        <v>2.16616E-2</v>
      </c>
    </row>
    <row r="5546" spans="1:14" hidden="1" x14ac:dyDescent="0.35">
      <c r="A5546" s="52" t="s">
        <v>673</v>
      </c>
      <c r="B5546" s="52" t="s">
        <v>37</v>
      </c>
      <c r="C5546" s="52" t="s">
        <v>79</v>
      </c>
      <c r="D5546" s="52" t="s">
        <v>79</v>
      </c>
      <c r="E5546" s="52" t="s">
        <v>615</v>
      </c>
      <c r="F5546" s="52" t="s">
        <v>26</v>
      </c>
      <c r="G5546" s="55" t="s">
        <v>276</v>
      </c>
      <c r="H5546" s="55">
        <v>1.1247999999999999E-2</v>
      </c>
      <c r="I5546" s="55">
        <v>1.0570299999999999E-2</v>
      </c>
      <c r="J5546" s="55">
        <v>1.0113E-2</v>
      </c>
      <c r="K5546" s="55">
        <v>1.1313699999999999E-2</v>
      </c>
      <c r="L5546" s="55">
        <v>1.3165899999999999E-2</v>
      </c>
      <c r="M5546" s="55">
        <v>8.5696999999999995E-3</v>
      </c>
      <c r="N5546" s="55">
        <v>6.2795000000000004E-3</v>
      </c>
    </row>
    <row r="5547" spans="1:14" hidden="1" x14ac:dyDescent="0.35">
      <c r="A5547" s="52" t="s">
        <v>673</v>
      </c>
      <c r="B5547" s="52" t="s">
        <v>37</v>
      </c>
      <c r="C5547" s="52" t="s">
        <v>79</v>
      </c>
      <c r="D5547" s="52" t="s">
        <v>79</v>
      </c>
      <c r="E5547" s="52" t="s">
        <v>615</v>
      </c>
      <c r="F5547" s="52" t="s">
        <v>26</v>
      </c>
      <c r="G5547" s="55" t="s">
        <v>279</v>
      </c>
      <c r="H5547" s="55">
        <v>2.5887E-2</v>
      </c>
      <c r="I5547" s="55">
        <v>2.5356199999999999E-2</v>
      </c>
      <c r="J5547" s="55">
        <v>2.2404899999999998E-2</v>
      </c>
      <c r="K5547" s="55">
        <v>2.6363000000000001E-2</v>
      </c>
      <c r="L5547" s="55">
        <v>3.0938299999999998E-2</v>
      </c>
      <c r="M5547" s="55">
        <v>2.18812E-2</v>
      </c>
      <c r="N5547" s="55">
        <v>1.60339E-2</v>
      </c>
    </row>
    <row r="5548" spans="1:14" hidden="1" x14ac:dyDescent="0.35">
      <c r="A5548" s="52" t="s">
        <v>673</v>
      </c>
      <c r="B5548" s="52" t="s">
        <v>37</v>
      </c>
      <c r="C5548" s="52" t="s">
        <v>110</v>
      </c>
      <c r="D5548" s="52" t="s">
        <v>110</v>
      </c>
      <c r="E5548" s="52" t="s">
        <v>584</v>
      </c>
      <c r="F5548" s="52" t="s">
        <v>26</v>
      </c>
      <c r="G5548" s="55" t="s">
        <v>275</v>
      </c>
      <c r="H5548" s="55">
        <v>0.449046</v>
      </c>
      <c r="I5548" s="55">
        <v>0.31294</v>
      </c>
      <c r="J5548" s="55">
        <v>0.2830125</v>
      </c>
      <c r="K5548" s="55">
        <v>0.2325517</v>
      </c>
      <c r="L5548" s="55">
        <v>0.19263649999999999</v>
      </c>
      <c r="M5548" s="55">
        <v>0.16774939999999999</v>
      </c>
      <c r="N5548" s="55">
        <v>0.1459163</v>
      </c>
    </row>
    <row r="5549" spans="1:14" hidden="1" x14ac:dyDescent="0.35">
      <c r="A5549" s="52" t="s">
        <v>673</v>
      </c>
      <c r="B5549" s="52" t="s">
        <v>37</v>
      </c>
      <c r="C5549" s="52" t="s">
        <v>110</v>
      </c>
      <c r="D5549" s="52" t="s">
        <v>110</v>
      </c>
      <c r="E5549" s="52" t="s">
        <v>584</v>
      </c>
      <c r="F5549" s="52" t="s">
        <v>26</v>
      </c>
      <c r="G5549" s="55" t="s">
        <v>276</v>
      </c>
      <c r="H5549" s="55">
        <v>7.5817999999999997E-2</v>
      </c>
      <c r="I5549" s="55">
        <v>6.1409600000000002E-2</v>
      </c>
      <c r="J5549" s="55">
        <v>7.5230489999999997E-2</v>
      </c>
      <c r="K5549" s="55">
        <v>6.1817400000000002E-2</v>
      </c>
      <c r="L5549" s="55">
        <v>5.1206000000000002E-2</v>
      </c>
      <c r="M5549" s="55">
        <v>4.4590999999999999E-2</v>
      </c>
      <c r="N5549" s="55">
        <v>3.8788200000000002E-2</v>
      </c>
    </row>
    <row r="5550" spans="1:14" hidden="1" x14ac:dyDescent="0.35">
      <c r="A5550" s="52" t="s">
        <v>673</v>
      </c>
      <c r="B5550" s="52" t="s">
        <v>37</v>
      </c>
      <c r="C5550" s="52" t="s">
        <v>110</v>
      </c>
      <c r="D5550" s="52" t="s">
        <v>110</v>
      </c>
      <c r="E5550" s="52" t="s">
        <v>584</v>
      </c>
      <c r="F5550" s="52" t="s">
        <v>26</v>
      </c>
      <c r="G5550" s="55" t="s">
        <v>277</v>
      </c>
      <c r="H5550" s="55"/>
      <c r="I5550" s="55"/>
      <c r="J5550" s="55"/>
      <c r="K5550" s="55"/>
      <c r="L5550" s="55"/>
      <c r="M5550" s="55"/>
      <c r="N5550" s="55"/>
    </row>
    <row r="5551" spans="1:14" hidden="1" x14ac:dyDescent="0.35">
      <c r="A5551" s="52" t="s">
        <v>673</v>
      </c>
      <c r="B5551" s="52" t="s">
        <v>37</v>
      </c>
      <c r="C5551" s="52" t="s">
        <v>110</v>
      </c>
      <c r="D5551" s="52" t="s">
        <v>110</v>
      </c>
      <c r="E5551" s="52" t="s">
        <v>584</v>
      </c>
      <c r="F5551" s="52" t="s">
        <v>26</v>
      </c>
      <c r="G5551" s="55" t="s">
        <v>278</v>
      </c>
      <c r="H5551" s="55">
        <v>1.4E-5</v>
      </c>
      <c r="I5551" s="55">
        <v>0</v>
      </c>
      <c r="J5551" s="55"/>
      <c r="K5551" s="55"/>
      <c r="L5551" s="55"/>
      <c r="M5551" s="55"/>
      <c r="N5551" s="55"/>
    </row>
    <row r="5552" spans="1:14" hidden="1" x14ac:dyDescent="0.35">
      <c r="A5552" s="52" t="s">
        <v>673</v>
      </c>
      <c r="B5552" s="52" t="s">
        <v>37</v>
      </c>
      <c r="C5552" s="52" t="s">
        <v>110</v>
      </c>
      <c r="D5552" s="52" t="s">
        <v>110</v>
      </c>
      <c r="E5552" s="52" t="s">
        <v>584</v>
      </c>
      <c r="F5552" s="52" t="s">
        <v>26</v>
      </c>
      <c r="G5552" s="55" t="s">
        <v>279</v>
      </c>
      <c r="H5552" s="55">
        <v>0.42716399999999999</v>
      </c>
      <c r="I5552" s="55">
        <v>0.31725360000000002</v>
      </c>
      <c r="J5552" s="55">
        <v>0.26949899999999999</v>
      </c>
      <c r="K5552" s="55">
        <v>0.25228739999999999</v>
      </c>
      <c r="L5552" s="55">
        <v>0.2324822</v>
      </c>
      <c r="M5552" s="55">
        <v>0.2024386</v>
      </c>
      <c r="N5552" s="55">
        <v>0.17626710000000001</v>
      </c>
    </row>
    <row r="5553" spans="1:14" hidden="1" x14ac:dyDescent="0.35">
      <c r="A5553" s="52" t="s">
        <v>711</v>
      </c>
      <c r="B5553" s="52" t="s">
        <v>74</v>
      </c>
      <c r="C5553" s="52" t="s">
        <v>87</v>
      </c>
      <c r="D5553" s="52" t="s">
        <v>87</v>
      </c>
      <c r="E5553" s="52" t="s">
        <v>584</v>
      </c>
      <c r="F5553" s="52" t="s">
        <v>581</v>
      </c>
      <c r="G5553" s="55" t="s">
        <v>275</v>
      </c>
      <c r="H5553" s="55">
        <v>312.10019999999997</v>
      </c>
      <c r="I5553" s="55">
        <v>40.696899999999999</v>
      </c>
      <c r="J5553" s="55">
        <v>-56.567749999999997</v>
      </c>
      <c r="K5553" s="55">
        <v>5.3978200000000003</v>
      </c>
      <c r="L5553" s="55">
        <v>-12.76282</v>
      </c>
      <c r="M5553" s="55">
        <v>-31.2135</v>
      </c>
      <c r="N5553" s="55">
        <v>-0.43370199999999998</v>
      </c>
    </row>
    <row r="5554" spans="1:14" hidden="1" x14ac:dyDescent="0.35">
      <c r="A5554" s="52" t="s">
        <v>711</v>
      </c>
      <c r="B5554" s="52" t="s">
        <v>74</v>
      </c>
      <c r="C5554" s="52" t="s">
        <v>87</v>
      </c>
      <c r="D5554" s="52" t="s">
        <v>87</v>
      </c>
      <c r="E5554" s="52" t="s">
        <v>584</v>
      </c>
      <c r="F5554" s="52" t="s">
        <v>581</v>
      </c>
      <c r="G5554" s="55" t="s">
        <v>276</v>
      </c>
      <c r="H5554" s="55">
        <v>207.52680000000001</v>
      </c>
      <c r="I5554" s="55">
        <v>24.319739999999999</v>
      </c>
      <c r="J5554" s="55">
        <v>-45.217919999999999</v>
      </c>
      <c r="K5554" s="55">
        <v>-6.5291639999999997</v>
      </c>
      <c r="L5554" s="55">
        <v>-9.1248400000000007</v>
      </c>
      <c r="M5554" s="55">
        <v>-42.452869999999997</v>
      </c>
      <c r="N5554" s="55">
        <v>-4.8385379999999998</v>
      </c>
    </row>
    <row r="5555" spans="1:14" hidden="1" x14ac:dyDescent="0.35">
      <c r="A5555" s="52" t="s">
        <v>711</v>
      </c>
      <c r="B5555" s="52" t="s">
        <v>74</v>
      </c>
      <c r="C5555" s="52" t="s">
        <v>87</v>
      </c>
      <c r="D5555" s="52" t="s">
        <v>87</v>
      </c>
      <c r="E5555" s="52" t="s">
        <v>584</v>
      </c>
      <c r="F5555" s="52" t="s">
        <v>581</v>
      </c>
      <c r="G5555" s="55" t="s">
        <v>277</v>
      </c>
      <c r="H5555" s="55">
        <v>10.97151</v>
      </c>
      <c r="I5555" s="55">
        <v>26.990649999999999</v>
      </c>
      <c r="J5555" s="55">
        <v>138.22980000000001</v>
      </c>
      <c r="K5555" s="55">
        <v>4.9203780000000004</v>
      </c>
      <c r="L5555" s="55">
        <v>4.3657029999999999</v>
      </c>
      <c r="M5555" s="55">
        <v>7.4502439999999996</v>
      </c>
      <c r="N5555" s="55">
        <v>27.057179999999999</v>
      </c>
    </row>
    <row r="5556" spans="1:14" hidden="1" x14ac:dyDescent="0.35">
      <c r="A5556" s="52" t="s">
        <v>711</v>
      </c>
      <c r="B5556" s="52" t="s">
        <v>74</v>
      </c>
      <c r="C5556" s="52" t="s">
        <v>87</v>
      </c>
      <c r="D5556" s="52" t="s">
        <v>87</v>
      </c>
      <c r="E5556" s="52" t="s">
        <v>584</v>
      </c>
      <c r="F5556" s="52" t="s">
        <v>581</v>
      </c>
      <c r="G5556" s="55" t="s">
        <v>278</v>
      </c>
      <c r="H5556" s="55">
        <v>0.35398800000000002</v>
      </c>
      <c r="I5556" s="55">
        <v>0.28296100000000002</v>
      </c>
      <c r="J5556" s="55">
        <v>0.28296100000000002</v>
      </c>
      <c r="K5556" s="55">
        <v>0.28296100000000002</v>
      </c>
      <c r="L5556" s="55">
        <v>0.28296100000000002</v>
      </c>
      <c r="M5556" s="55">
        <v>21.275690000000001</v>
      </c>
      <c r="N5556" s="55">
        <v>4.1643860000000004</v>
      </c>
    </row>
    <row r="5557" spans="1:14" hidden="1" x14ac:dyDescent="0.35">
      <c r="A5557" s="52" t="s">
        <v>711</v>
      </c>
      <c r="B5557" s="52" t="s">
        <v>74</v>
      </c>
      <c r="C5557" s="52" t="s">
        <v>87</v>
      </c>
      <c r="D5557" s="52" t="s">
        <v>87</v>
      </c>
      <c r="E5557" s="52" t="s">
        <v>584</v>
      </c>
      <c r="F5557" s="52" t="s">
        <v>581</v>
      </c>
      <c r="G5557" s="55" t="s">
        <v>279</v>
      </c>
      <c r="H5557" s="55">
        <v>184.97669999999999</v>
      </c>
      <c r="I5557" s="55">
        <v>161.9461</v>
      </c>
      <c r="J5557" s="55">
        <v>153.24600000000001</v>
      </c>
      <c r="K5557" s="55">
        <v>156.00479999999999</v>
      </c>
      <c r="L5557" s="55">
        <v>151.52780000000001</v>
      </c>
      <c r="M5557" s="55">
        <v>144.55799999999999</v>
      </c>
      <c r="N5557" s="55">
        <v>52.079090000000001</v>
      </c>
    </row>
    <row r="5558" spans="1:14" hidden="1" x14ac:dyDescent="0.35">
      <c r="A5558" s="52" t="s">
        <v>711</v>
      </c>
      <c r="B5558" s="52" t="s">
        <v>74</v>
      </c>
      <c r="C5558" s="52" t="s">
        <v>87</v>
      </c>
      <c r="D5558" s="52" t="s">
        <v>87</v>
      </c>
      <c r="E5558" s="52" t="s">
        <v>584</v>
      </c>
      <c r="F5558" s="52" t="s">
        <v>26</v>
      </c>
      <c r="G5558" s="55" t="s">
        <v>275</v>
      </c>
      <c r="H5558" s="55">
        <v>8.4460440000000006</v>
      </c>
      <c r="I5558" s="55">
        <v>3.7233350000000001</v>
      </c>
      <c r="J5558" s="55">
        <v>0.7597256</v>
      </c>
      <c r="K5558" s="55">
        <v>1.128657</v>
      </c>
      <c r="L5558" s="55">
        <v>0.98612259999999996</v>
      </c>
      <c r="M5558" s="55">
        <v>0.69880770000000003</v>
      </c>
      <c r="N5558" s="55">
        <v>0.54213299999999998</v>
      </c>
    </row>
    <row r="5559" spans="1:14" hidden="1" x14ac:dyDescent="0.35">
      <c r="A5559" s="52" t="s">
        <v>711</v>
      </c>
      <c r="B5559" s="52" t="s">
        <v>74</v>
      </c>
      <c r="C5559" s="52" t="s">
        <v>87</v>
      </c>
      <c r="D5559" s="52" t="s">
        <v>87</v>
      </c>
      <c r="E5559" s="52" t="s">
        <v>584</v>
      </c>
      <c r="F5559" s="52" t="s">
        <v>26</v>
      </c>
      <c r="G5559" s="55" t="s">
        <v>276</v>
      </c>
      <c r="H5559" s="55">
        <v>5.6306820000000002</v>
      </c>
      <c r="I5559" s="55">
        <v>2.482227</v>
      </c>
      <c r="J5559" s="55">
        <v>0.50648550000000003</v>
      </c>
      <c r="K5559" s="55">
        <v>0.67218449999999996</v>
      </c>
      <c r="L5559" s="55">
        <v>0.65741640000000001</v>
      </c>
      <c r="M5559" s="55">
        <v>0.46586959999999999</v>
      </c>
      <c r="N5559" s="55">
        <v>0.36142210000000002</v>
      </c>
    </row>
    <row r="5560" spans="1:14" hidden="1" x14ac:dyDescent="0.35">
      <c r="A5560" s="52" t="s">
        <v>711</v>
      </c>
      <c r="B5560" s="52" t="s">
        <v>74</v>
      </c>
      <c r="C5560" s="52" t="s">
        <v>87</v>
      </c>
      <c r="D5560" s="52" t="s">
        <v>87</v>
      </c>
      <c r="E5560" s="52" t="s">
        <v>584</v>
      </c>
      <c r="F5560" s="52" t="s">
        <v>26</v>
      </c>
      <c r="G5560" s="55" t="s">
        <v>277</v>
      </c>
      <c r="H5560" s="55">
        <v>9.2490000000000003E-2</v>
      </c>
      <c r="I5560" s="55">
        <v>0</v>
      </c>
      <c r="J5560" s="55">
        <v>0.67794500000000002</v>
      </c>
      <c r="K5560" s="55">
        <v>0</v>
      </c>
      <c r="L5560" s="55"/>
      <c r="M5560" s="55"/>
      <c r="N5560" s="55"/>
    </row>
    <row r="5561" spans="1:14" hidden="1" x14ac:dyDescent="0.35">
      <c r="A5561" s="52" t="s">
        <v>711</v>
      </c>
      <c r="B5561" s="52" t="s">
        <v>74</v>
      </c>
      <c r="C5561" s="52" t="s">
        <v>87</v>
      </c>
      <c r="D5561" s="52" t="s">
        <v>87</v>
      </c>
      <c r="E5561" s="52" t="s">
        <v>584</v>
      </c>
      <c r="F5561" s="52" t="s">
        <v>26</v>
      </c>
      <c r="G5561" s="55" t="s">
        <v>279</v>
      </c>
      <c r="H5561" s="55">
        <v>3.8653240000000002</v>
      </c>
      <c r="I5561" s="55">
        <v>1.925673</v>
      </c>
      <c r="J5561" s="55">
        <v>0.92915130000000001</v>
      </c>
      <c r="K5561" s="55">
        <v>0.86044220000000005</v>
      </c>
      <c r="L5561" s="55">
        <v>0.73415649999999999</v>
      </c>
      <c r="M5561" s="55">
        <v>0.52922930000000001</v>
      </c>
      <c r="N5561" s="55">
        <v>0.40951939999999998</v>
      </c>
    </row>
    <row r="5562" spans="1:14" hidden="1" x14ac:dyDescent="0.35">
      <c r="A5562" s="52" t="s">
        <v>711</v>
      </c>
      <c r="B5562" s="52" t="s">
        <v>74</v>
      </c>
      <c r="C5562" s="52" t="s">
        <v>87</v>
      </c>
      <c r="D5562" s="52" t="s">
        <v>88</v>
      </c>
      <c r="E5562" s="52" t="s">
        <v>584</v>
      </c>
      <c r="F5562" s="52" t="s">
        <v>581</v>
      </c>
      <c r="G5562" s="55" t="s">
        <v>275</v>
      </c>
      <c r="H5562" s="55">
        <v>40.632469999999998</v>
      </c>
      <c r="I5562" s="55">
        <v>18.79964</v>
      </c>
      <c r="J5562" s="55">
        <v>15.281330000000001</v>
      </c>
      <c r="K5562" s="55">
        <v>12.314030000000001</v>
      </c>
      <c r="L5562" s="55">
        <v>9.1846289999999993</v>
      </c>
      <c r="M5562" s="55">
        <v>6.6414070000000001</v>
      </c>
      <c r="N5562" s="55">
        <v>6.9188689999999999</v>
      </c>
    </row>
    <row r="5563" spans="1:14" hidden="1" x14ac:dyDescent="0.35">
      <c r="A5563" s="52" t="s">
        <v>711</v>
      </c>
      <c r="B5563" s="52" t="s">
        <v>74</v>
      </c>
      <c r="C5563" s="52" t="s">
        <v>87</v>
      </c>
      <c r="D5563" s="52" t="s">
        <v>88</v>
      </c>
      <c r="E5563" s="52" t="s">
        <v>584</v>
      </c>
      <c r="F5563" s="52" t="s">
        <v>581</v>
      </c>
      <c r="G5563" s="55" t="s">
        <v>276</v>
      </c>
      <c r="H5563" s="55">
        <v>23.218540000000001</v>
      </c>
      <c r="I5563" s="55">
        <v>11.18533</v>
      </c>
      <c r="J5563" s="55">
        <v>9.0030669999999997</v>
      </c>
      <c r="K5563" s="55">
        <v>6.7838799999999999</v>
      </c>
      <c r="L5563" s="55">
        <v>4.5146879999999996</v>
      </c>
      <c r="M5563" s="55">
        <v>2.8540760000000001</v>
      </c>
      <c r="N5563" s="55">
        <v>3.05301</v>
      </c>
    </row>
    <row r="5564" spans="1:14" hidden="1" x14ac:dyDescent="0.35">
      <c r="A5564" s="52" t="s">
        <v>711</v>
      </c>
      <c r="B5564" s="52" t="s">
        <v>74</v>
      </c>
      <c r="C5564" s="52" t="s">
        <v>87</v>
      </c>
      <c r="D5564" s="52" t="s">
        <v>88</v>
      </c>
      <c r="E5564" s="52" t="s">
        <v>584</v>
      </c>
      <c r="F5564" s="52" t="s">
        <v>581</v>
      </c>
      <c r="G5564" s="55" t="s">
        <v>277</v>
      </c>
      <c r="H5564" s="55">
        <v>37.149769999999997</v>
      </c>
      <c r="I5564" s="55">
        <v>12.93852</v>
      </c>
      <c r="J5564" s="55">
        <v>11.31601</v>
      </c>
      <c r="K5564" s="55">
        <v>13.629490000000001</v>
      </c>
      <c r="L5564" s="55">
        <v>15.192629999999999</v>
      </c>
      <c r="M5564" s="55">
        <v>15.050850000000001</v>
      </c>
      <c r="N5564" s="55">
        <v>14.91682</v>
      </c>
    </row>
    <row r="5565" spans="1:14" hidden="1" x14ac:dyDescent="0.35">
      <c r="A5565" s="52" t="s">
        <v>711</v>
      </c>
      <c r="B5565" s="52" t="s">
        <v>74</v>
      </c>
      <c r="C5565" s="52" t="s">
        <v>87</v>
      </c>
      <c r="D5565" s="52" t="s">
        <v>88</v>
      </c>
      <c r="E5565" s="52" t="s">
        <v>584</v>
      </c>
      <c r="F5565" s="52" t="s">
        <v>581</v>
      </c>
      <c r="G5565" s="55" t="s">
        <v>278</v>
      </c>
      <c r="H5565" s="55">
        <v>4.1987839999999997E-3</v>
      </c>
      <c r="I5565" s="55">
        <v>5.733541E-3</v>
      </c>
      <c r="J5565" s="55">
        <v>5.7335399999999996E-3</v>
      </c>
      <c r="K5565" s="55">
        <v>5.7335399999999996E-3</v>
      </c>
      <c r="L5565" s="55">
        <v>2.5834300000000001E-2</v>
      </c>
      <c r="M5565" s="55">
        <v>5.7335399999999996E-3</v>
      </c>
      <c r="N5565" s="55">
        <v>5.7335399999999996E-3</v>
      </c>
    </row>
    <row r="5566" spans="1:14" hidden="1" x14ac:dyDescent="0.35">
      <c r="A5566" s="52" t="s">
        <v>711</v>
      </c>
      <c r="B5566" s="52" t="s">
        <v>74</v>
      </c>
      <c r="C5566" s="52" t="s">
        <v>87</v>
      </c>
      <c r="D5566" s="52" t="s">
        <v>88</v>
      </c>
      <c r="E5566" s="52" t="s">
        <v>584</v>
      </c>
      <c r="F5566" s="52" t="s">
        <v>581</v>
      </c>
      <c r="G5566" s="55" t="s">
        <v>279</v>
      </c>
      <c r="H5566" s="55">
        <v>24.702380000000002</v>
      </c>
      <c r="I5566" s="55">
        <v>22.996040000000001</v>
      </c>
      <c r="J5566" s="55">
        <v>21.064229999999998</v>
      </c>
      <c r="K5566" s="55">
        <v>23.671949999999999</v>
      </c>
      <c r="L5566" s="55">
        <v>23.046060000000001</v>
      </c>
      <c r="M5566" s="55">
        <v>23.0244</v>
      </c>
      <c r="N5566" s="55">
        <v>21.77618</v>
      </c>
    </row>
    <row r="5567" spans="1:14" hidden="1" x14ac:dyDescent="0.35">
      <c r="A5567" s="52" t="s">
        <v>711</v>
      </c>
      <c r="B5567" s="52" t="s">
        <v>74</v>
      </c>
      <c r="C5567" s="52" t="s">
        <v>87</v>
      </c>
      <c r="D5567" s="52" t="s">
        <v>88</v>
      </c>
      <c r="E5567" s="52" t="s">
        <v>584</v>
      </c>
      <c r="F5567" s="52" t="s">
        <v>26</v>
      </c>
      <c r="G5567" s="55" t="s">
        <v>275</v>
      </c>
      <c r="H5567" s="55">
        <v>17.354780000000002</v>
      </c>
      <c r="I5567" s="55">
        <v>17.48441</v>
      </c>
      <c r="J5567" s="55">
        <v>18.044689999999999</v>
      </c>
      <c r="K5567" s="55">
        <v>15.310280000000001</v>
      </c>
      <c r="L5567" s="55">
        <v>17.214210000000001</v>
      </c>
      <c r="M5567" s="55">
        <v>12.880459999999999</v>
      </c>
      <c r="N5567" s="55">
        <v>18.968720000000001</v>
      </c>
    </row>
    <row r="5568" spans="1:14" hidden="1" x14ac:dyDescent="0.35">
      <c r="A5568" s="52" t="s">
        <v>711</v>
      </c>
      <c r="B5568" s="52" t="s">
        <v>74</v>
      </c>
      <c r="C5568" s="52" t="s">
        <v>87</v>
      </c>
      <c r="D5568" s="52" t="s">
        <v>88</v>
      </c>
      <c r="E5568" s="52" t="s">
        <v>584</v>
      </c>
      <c r="F5568" s="52" t="s">
        <v>26</v>
      </c>
      <c r="G5568" s="55" t="s">
        <v>276</v>
      </c>
      <c r="H5568" s="55">
        <v>11.56986</v>
      </c>
      <c r="I5568" s="55">
        <v>11.656269999999999</v>
      </c>
      <c r="J5568" s="55">
        <v>11.976559999999999</v>
      </c>
      <c r="K5568" s="55">
        <v>10.14392</v>
      </c>
      <c r="L5568" s="55">
        <v>11.45213</v>
      </c>
      <c r="M5568" s="55">
        <v>8.5641590000000001</v>
      </c>
      <c r="N5568" s="55">
        <v>12.49005</v>
      </c>
    </row>
    <row r="5569" spans="1:14" hidden="1" x14ac:dyDescent="0.35">
      <c r="A5569" s="52" t="s">
        <v>711</v>
      </c>
      <c r="B5569" s="52" t="s">
        <v>74</v>
      </c>
      <c r="C5569" s="52" t="s">
        <v>87</v>
      </c>
      <c r="D5569" s="52" t="s">
        <v>88</v>
      </c>
      <c r="E5569" s="52" t="s">
        <v>584</v>
      </c>
      <c r="F5569" s="52" t="s">
        <v>26</v>
      </c>
      <c r="G5569" s="55" t="s">
        <v>277</v>
      </c>
      <c r="H5569" s="55"/>
      <c r="I5569" s="55">
        <v>0</v>
      </c>
      <c r="J5569" s="55">
        <v>0.51105489999999998</v>
      </c>
      <c r="K5569" s="55">
        <v>0.60415589999999997</v>
      </c>
      <c r="L5569" s="55">
        <v>0.2305673</v>
      </c>
      <c r="M5569" s="55">
        <v>0.21901390000000001</v>
      </c>
      <c r="N5569" s="55">
        <v>1.4953190000000001</v>
      </c>
    </row>
    <row r="5570" spans="1:14" hidden="1" x14ac:dyDescent="0.35">
      <c r="A5570" s="52" t="s">
        <v>711</v>
      </c>
      <c r="B5570" s="52" t="s">
        <v>74</v>
      </c>
      <c r="C5570" s="52" t="s">
        <v>87</v>
      </c>
      <c r="D5570" s="52" t="s">
        <v>88</v>
      </c>
      <c r="E5570" s="52" t="s">
        <v>584</v>
      </c>
      <c r="F5570" s="52" t="s">
        <v>26</v>
      </c>
      <c r="G5570" s="55" t="s">
        <v>279</v>
      </c>
      <c r="H5570" s="55">
        <v>12.34342</v>
      </c>
      <c r="I5570" s="55">
        <v>12.90963</v>
      </c>
      <c r="J5570" s="55">
        <v>11.92859</v>
      </c>
      <c r="K5570" s="55">
        <v>19.05217</v>
      </c>
      <c r="L5570" s="55">
        <v>12.67999</v>
      </c>
      <c r="M5570" s="55">
        <v>17.687750000000001</v>
      </c>
      <c r="N5570" s="55">
        <v>13.097580000000001</v>
      </c>
    </row>
    <row r="5571" spans="1:14" hidden="1" x14ac:dyDescent="0.35">
      <c r="A5571" s="52" t="s">
        <v>711</v>
      </c>
      <c r="B5571" s="52" t="s">
        <v>74</v>
      </c>
      <c r="C5571" s="52" t="s">
        <v>87</v>
      </c>
      <c r="D5571" s="52" t="s">
        <v>92</v>
      </c>
      <c r="E5571" s="52" t="s">
        <v>584</v>
      </c>
      <c r="F5571" s="52" t="s">
        <v>581</v>
      </c>
      <c r="G5571" s="55" t="s">
        <v>275</v>
      </c>
      <c r="H5571" s="55">
        <v>24.314160000000001</v>
      </c>
      <c r="I5571" s="55">
        <v>2.9869910000000002</v>
      </c>
      <c r="J5571" s="55">
        <v>0</v>
      </c>
      <c r="K5571" s="55">
        <v>-0.161553</v>
      </c>
      <c r="L5571" s="55">
        <v>0</v>
      </c>
      <c r="M5571" s="55">
        <v>0</v>
      </c>
      <c r="N5571" s="55">
        <v>0</v>
      </c>
    </row>
    <row r="5572" spans="1:14" hidden="1" x14ac:dyDescent="0.35">
      <c r="A5572" s="52" t="s">
        <v>711</v>
      </c>
      <c r="B5572" s="52" t="s">
        <v>74</v>
      </c>
      <c r="C5572" s="52" t="s">
        <v>87</v>
      </c>
      <c r="D5572" s="52" t="s">
        <v>92</v>
      </c>
      <c r="E5572" s="52" t="s">
        <v>584</v>
      </c>
      <c r="F5572" s="52" t="s">
        <v>581</v>
      </c>
      <c r="G5572" s="55" t="s">
        <v>276</v>
      </c>
      <c r="H5572" s="55">
        <v>16.11778</v>
      </c>
      <c r="I5572" s="55">
        <v>1.991328</v>
      </c>
      <c r="J5572" s="55">
        <v>-3.680191E-2</v>
      </c>
      <c r="K5572" s="55">
        <v>-0.14450389999999999</v>
      </c>
      <c r="L5572" s="55">
        <v>-0.13671800000000001</v>
      </c>
      <c r="M5572" s="55">
        <v>-7.0149320000000001E-2</v>
      </c>
      <c r="N5572" s="55">
        <v>-0.73708549999999995</v>
      </c>
    </row>
    <row r="5573" spans="1:14" hidden="1" x14ac:dyDescent="0.35">
      <c r="A5573" s="52" t="s">
        <v>711</v>
      </c>
      <c r="B5573" s="52" t="s">
        <v>74</v>
      </c>
      <c r="C5573" s="52" t="s">
        <v>87</v>
      </c>
      <c r="D5573" s="52" t="s">
        <v>92</v>
      </c>
      <c r="E5573" s="52" t="s">
        <v>584</v>
      </c>
      <c r="F5573" s="52" t="s">
        <v>581</v>
      </c>
      <c r="G5573" s="55" t="s">
        <v>277</v>
      </c>
      <c r="H5573" s="55">
        <v>0.88</v>
      </c>
      <c r="I5573" s="55">
        <v>0</v>
      </c>
      <c r="J5573" s="55"/>
      <c r="K5573" s="55"/>
      <c r="L5573" s="55">
        <v>0</v>
      </c>
      <c r="M5573" s="55">
        <v>3.3346939999999999E-2</v>
      </c>
      <c r="N5573" s="55">
        <v>0.70028570000000001</v>
      </c>
    </row>
    <row r="5574" spans="1:14" hidden="1" x14ac:dyDescent="0.35">
      <c r="A5574" s="52" t="s">
        <v>711</v>
      </c>
      <c r="B5574" s="52" t="s">
        <v>74</v>
      </c>
      <c r="C5574" s="52" t="s">
        <v>87</v>
      </c>
      <c r="D5574" s="52" t="s">
        <v>92</v>
      </c>
      <c r="E5574" s="52" t="s">
        <v>584</v>
      </c>
      <c r="F5574" s="52" t="s">
        <v>581</v>
      </c>
      <c r="G5574" s="55" t="s">
        <v>278</v>
      </c>
      <c r="H5574" s="55">
        <v>2.6951289999999999E-2</v>
      </c>
      <c r="I5574" s="55">
        <v>3.680191E-2</v>
      </c>
      <c r="J5574" s="55">
        <v>3.680191E-2</v>
      </c>
      <c r="K5574" s="55">
        <v>3.680191E-2</v>
      </c>
      <c r="L5574" s="55">
        <v>0.13671800000000001</v>
      </c>
      <c r="M5574" s="55">
        <v>3.680191E-2</v>
      </c>
      <c r="N5574" s="55">
        <v>3.680191E-2</v>
      </c>
    </row>
    <row r="5575" spans="1:14" hidden="1" x14ac:dyDescent="0.35">
      <c r="A5575" s="52" t="s">
        <v>711</v>
      </c>
      <c r="B5575" s="52" t="s">
        <v>74</v>
      </c>
      <c r="C5575" s="52" t="s">
        <v>87</v>
      </c>
      <c r="D5575" s="52" t="s">
        <v>92</v>
      </c>
      <c r="E5575" s="52" t="s">
        <v>584</v>
      </c>
      <c r="F5575" s="52" t="s">
        <v>581</v>
      </c>
      <c r="G5575" s="55" t="s">
        <v>279</v>
      </c>
      <c r="H5575" s="55">
        <v>83.178229999999999</v>
      </c>
      <c r="I5575" s="55">
        <v>4.5637530000000002</v>
      </c>
      <c r="J5575" s="55">
        <v>0</v>
      </c>
      <c r="K5575" s="55">
        <v>0.269256</v>
      </c>
      <c r="L5575" s="55">
        <v>0</v>
      </c>
      <c r="M5575" s="55"/>
      <c r="N5575" s="55">
        <v>0</v>
      </c>
    </row>
    <row r="5576" spans="1:14" hidden="1" x14ac:dyDescent="0.35">
      <c r="A5576" s="52" t="s">
        <v>711</v>
      </c>
      <c r="B5576" s="52" t="s">
        <v>74</v>
      </c>
      <c r="C5576" s="52" t="s">
        <v>87</v>
      </c>
      <c r="D5576" s="52" t="s">
        <v>92</v>
      </c>
      <c r="E5576" s="52" t="s">
        <v>584</v>
      </c>
      <c r="F5576" s="52" t="s">
        <v>26</v>
      </c>
      <c r="G5576" s="55" t="s">
        <v>275</v>
      </c>
      <c r="H5576" s="55">
        <v>1.655127</v>
      </c>
      <c r="I5576" s="55">
        <v>0.21360319999999999</v>
      </c>
      <c r="J5576" s="55">
        <v>0</v>
      </c>
      <c r="K5576" s="55">
        <v>-0.34808</v>
      </c>
      <c r="L5576" s="55">
        <v>0</v>
      </c>
      <c r="M5576" s="55"/>
      <c r="N5576" s="55"/>
    </row>
    <row r="5577" spans="1:14" hidden="1" x14ac:dyDescent="0.35">
      <c r="A5577" s="52" t="s">
        <v>711</v>
      </c>
      <c r="B5577" s="52" t="s">
        <v>74</v>
      </c>
      <c r="C5577" s="52" t="s">
        <v>87</v>
      </c>
      <c r="D5577" s="52" t="s">
        <v>92</v>
      </c>
      <c r="E5577" s="52" t="s">
        <v>584</v>
      </c>
      <c r="F5577" s="52" t="s">
        <v>26</v>
      </c>
      <c r="G5577" s="55" t="s">
        <v>276</v>
      </c>
      <c r="H5577" s="55">
        <v>1.103418</v>
      </c>
      <c r="I5577" s="55">
        <v>0.142402</v>
      </c>
      <c r="J5577" s="55">
        <v>0</v>
      </c>
      <c r="K5577" s="55">
        <v>-0.23205300000000001</v>
      </c>
      <c r="L5577" s="55">
        <v>0</v>
      </c>
      <c r="M5577" s="55"/>
      <c r="N5577" s="55"/>
    </row>
    <row r="5578" spans="1:14" hidden="1" x14ac:dyDescent="0.35">
      <c r="A5578" s="52" t="s">
        <v>711</v>
      </c>
      <c r="B5578" s="52" t="s">
        <v>74</v>
      </c>
      <c r="C5578" s="52" t="s">
        <v>87</v>
      </c>
      <c r="D5578" s="52" t="s">
        <v>92</v>
      </c>
      <c r="E5578" s="52" t="s">
        <v>584</v>
      </c>
      <c r="F5578" s="52" t="s">
        <v>26</v>
      </c>
      <c r="G5578" s="55" t="s">
        <v>279</v>
      </c>
      <c r="H5578" s="55">
        <v>4.3141420000000004</v>
      </c>
      <c r="I5578" s="55">
        <v>0.59357000000000004</v>
      </c>
      <c r="J5578" s="55">
        <v>0</v>
      </c>
      <c r="K5578" s="55">
        <v>0.58013300000000001</v>
      </c>
      <c r="L5578" s="55">
        <v>0</v>
      </c>
      <c r="M5578" s="55"/>
      <c r="N5578" s="55"/>
    </row>
    <row r="5579" spans="1:14" hidden="1" x14ac:dyDescent="0.35">
      <c r="A5579" s="52" t="s">
        <v>711</v>
      </c>
      <c r="B5579" s="52" t="s">
        <v>74</v>
      </c>
      <c r="C5579" s="52" t="s">
        <v>87</v>
      </c>
      <c r="D5579" s="52" t="s">
        <v>89</v>
      </c>
      <c r="E5579" s="52" t="s">
        <v>584</v>
      </c>
      <c r="F5579" s="52" t="s">
        <v>581</v>
      </c>
      <c r="G5579" s="55" t="s">
        <v>275</v>
      </c>
      <c r="H5579" s="55">
        <v>4.5869929999999997</v>
      </c>
      <c r="I5579" s="55">
        <v>0.20387350000000001</v>
      </c>
      <c r="J5579" s="55">
        <v>-1.360293</v>
      </c>
      <c r="K5579" s="55">
        <v>-1.466094</v>
      </c>
      <c r="L5579" s="55">
        <v>0</v>
      </c>
      <c r="M5579" s="55">
        <v>0</v>
      </c>
      <c r="N5579" s="55">
        <v>0</v>
      </c>
    </row>
    <row r="5580" spans="1:14" hidden="1" x14ac:dyDescent="0.35">
      <c r="A5580" s="52" t="s">
        <v>711</v>
      </c>
      <c r="B5580" s="52" t="s">
        <v>74</v>
      </c>
      <c r="C5580" s="52" t="s">
        <v>87</v>
      </c>
      <c r="D5580" s="52" t="s">
        <v>89</v>
      </c>
      <c r="E5580" s="52" t="s">
        <v>584</v>
      </c>
      <c r="F5580" s="52" t="s">
        <v>581</v>
      </c>
      <c r="G5580" s="55" t="s">
        <v>276</v>
      </c>
      <c r="H5580" s="55">
        <v>3.0579939999999999</v>
      </c>
      <c r="I5580" s="55">
        <v>0.1359148</v>
      </c>
      <c r="J5580" s="55">
        <v>-0.91331490000000004</v>
      </c>
      <c r="K5580" s="55">
        <v>-0.9838479</v>
      </c>
      <c r="L5580" s="55">
        <v>-6.4523999999999996E-3</v>
      </c>
      <c r="M5580" s="55">
        <v>-6.4526000000000002E-3</v>
      </c>
      <c r="N5580" s="55">
        <v>-6.4526000000000002E-3</v>
      </c>
    </row>
    <row r="5581" spans="1:14" hidden="1" x14ac:dyDescent="0.35">
      <c r="A5581" s="52" t="s">
        <v>711</v>
      </c>
      <c r="B5581" s="52" t="s">
        <v>74</v>
      </c>
      <c r="C5581" s="52" t="s">
        <v>87</v>
      </c>
      <c r="D5581" s="52" t="s">
        <v>89</v>
      </c>
      <c r="E5581" s="52" t="s">
        <v>584</v>
      </c>
      <c r="F5581" s="52" t="s">
        <v>581</v>
      </c>
      <c r="G5581" s="55" t="s">
        <v>278</v>
      </c>
      <c r="H5581" s="55">
        <v>4.7254000000000003E-3</v>
      </c>
      <c r="I5581" s="55">
        <v>6.4526000000000002E-3</v>
      </c>
      <c r="J5581" s="55">
        <v>6.4526000000000002E-3</v>
      </c>
      <c r="K5581" s="55">
        <v>6.4526000000000002E-3</v>
      </c>
      <c r="L5581" s="55">
        <v>6.4526000000000002E-3</v>
      </c>
      <c r="M5581" s="55">
        <v>6.4526000000000002E-3</v>
      </c>
      <c r="N5581" s="55">
        <v>6.4526000000000002E-3</v>
      </c>
    </row>
    <row r="5582" spans="1:14" hidden="1" x14ac:dyDescent="0.35">
      <c r="A5582" s="52" t="s">
        <v>711</v>
      </c>
      <c r="B5582" s="52" t="s">
        <v>74</v>
      </c>
      <c r="C5582" s="52" t="s">
        <v>87</v>
      </c>
      <c r="D5582" s="52" t="s">
        <v>89</v>
      </c>
      <c r="E5582" s="52" t="s">
        <v>584</v>
      </c>
      <c r="F5582" s="52" t="s">
        <v>581</v>
      </c>
      <c r="G5582" s="55" t="s">
        <v>279</v>
      </c>
      <c r="H5582" s="55">
        <v>4.1068540000000002</v>
      </c>
      <c r="I5582" s="55">
        <v>0.57617359999999995</v>
      </c>
      <c r="J5582" s="55">
        <v>2.2671549999999998</v>
      </c>
      <c r="K5582" s="55">
        <v>2.443489</v>
      </c>
      <c r="L5582" s="55">
        <v>0</v>
      </c>
      <c r="M5582" s="55"/>
      <c r="N5582" s="55"/>
    </row>
    <row r="5583" spans="1:14" hidden="1" x14ac:dyDescent="0.35">
      <c r="A5583" s="52" t="s">
        <v>711</v>
      </c>
      <c r="B5583" s="52" t="s">
        <v>74</v>
      </c>
      <c r="C5583" s="52" t="s">
        <v>87</v>
      </c>
      <c r="D5583" s="52" t="s">
        <v>89</v>
      </c>
      <c r="E5583" s="52" t="s">
        <v>584</v>
      </c>
      <c r="F5583" s="52" t="s">
        <v>26</v>
      </c>
      <c r="G5583" s="55" t="s">
        <v>275</v>
      </c>
      <c r="H5583" s="55">
        <v>-1.2010860000000001</v>
      </c>
      <c r="I5583" s="55">
        <v>-2.054529</v>
      </c>
      <c r="J5583" s="55">
        <v>-0.4391832</v>
      </c>
      <c r="K5583" s="55">
        <v>-0.47334199999999998</v>
      </c>
      <c r="L5583" s="55">
        <v>0</v>
      </c>
      <c r="M5583" s="55"/>
      <c r="N5583" s="55"/>
    </row>
    <row r="5584" spans="1:14" hidden="1" x14ac:dyDescent="0.35">
      <c r="A5584" s="52" t="s">
        <v>711</v>
      </c>
      <c r="B5584" s="52" t="s">
        <v>74</v>
      </c>
      <c r="C5584" s="52" t="s">
        <v>87</v>
      </c>
      <c r="D5584" s="52" t="s">
        <v>89</v>
      </c>
      <c r="E5584" s="52" t="s">
        <v>584</v>
      </c>
      <c r="F5584" s="52" t="s">
        <v>26</v>
      </c>
      <c r="G5584" s="55" t="s">
        <v>276</v>
      </c>
      <c r="H5584" s="55">
        <v>-0.80072270000000001</v>
      </c>
      <c r="I5584" s="55">
        <v>-1.369686</v>
      </c>
      <c r="J5584" s="55">
        <v>-0.29278880000000002</v>
      </c>
      <c r="K5584" s="55">
        <v>-0.31556119999999999</v>
      </c>
      <c r="L5584" s="55">
        <v>0</v>
      </c>
      <c r="M5584" s="55"/>
      <c r="N5584" s="55"/>
    </row>
    <row r="5585" spans="1:14" hidden="1" x14ac:dyDescent="0.35">
      <c r="A5585" s="52" t="s">
        <v>711</v>
      </c>
      <c r="B5585" s="52" t="s">
        <v>74</v>
      </c>
      <c r="C5585" s="52" t="s">
        <v>87</v>
      </c>
      <c r="D5585" s="52" t="s">
        <v>89</v>
      </c>
      <c r="E5585" s="52" t="s">
        <v>584</v>
      </c>
      <c r="F5585" s="52" t="s">
        <v>26</v>
      </c>
      <c r="G5585" s="55" t="s">
        <v>279</v>
      </c>
      <c r="H5585" s="55">
        <v>11.30889</v>
      </c>
      <c r="I5585" s="55">
        <v>4.6986470000000002</v>
      </c>
      <c r="J5585" s="55">
        <v>0.73197199999999996</v>
      </c>
      <c r="K5585" s="55">
        <v>0.78890309999999997</v>
      </c>
      <c r="L5585" s="55">
        <v>0</v>
      </c>
      <c r="M5585" s="55"/>
      <c r="N5585" s="55"/>
    </row>
    <row r="5586" spans="1:14" hidden="1" x14ac:dyDescent="0.35">
      <c r="A5586" s="52" t="s">
        <v>711</v>
      </c>
      <c r="B5586" s="52" t="s">
        <v>74</v>
      </c>
      <c r="C5586" s="52" t="s">
        <v>87</v>
      </c>
      <c r="D5586" s="52" t="s">
        <v>91</v>
      </c>
      <c r="E5586" s="52" t="s">
        <v>584</v>
      </c>
      <c r="F5586" s="52" t="s">
        <v>581</v>
      </c>
      <c r="G5586" s="55" t="s">
        <v>275</v>
      </c>
      <c r="H5586" s="55">
        <v>0.39550540000000001</v>
      </c>
      <c r="I5586" s="55">
        <v>-0.32306469999999998</v>
      </c>
      <c r="J5586" s="55">
        <v>-0.40503489999999998</v>
      </c>
      <c r="K5586" s="55">
        <v>-0.54248759999999996</v>
      </c>
      <c r="L5586" s="55">
        <v>-0.57522329999999999</v>
      </c>
      <c r="M5586" s="55">
        <v>-0.5416666</v>
      </c>
      <c r="N5586" s="55">
        <v>-0.58140060000000005</v>
      </c>
    </row>
    <row r="5587" spans="1:14" hidden="1" x14ac:dyDescent="0.35">
      <c r="A5587" s="52" t="s">
        <v>711</v>
      </c>
      <c r="B5587" s="52" t="s">
        <v>74</v>
      </c>
      <c r="C5587" s="52" t="s">
        <v>87</v>
      </c>
      <c r="D5587" s="52" t="s">
        <v>91</v>
      </c>
      <c r="E5587" s="52" t="s">
        <v>584</v>
      </c>
      <c r="F5587" s="52" t="s">
        <v>581</v>
      </c>
      <c r="G5587" s="55" t="s">
        <v>276</v>
      </c>
      <c r="H5587" s="55">
        <v>0.23102310000000001</v>
      </c>
      <c r="I5587" s="55">
        <v>-0.23329369999999999</v>
      </c>
      <c r="J5587" s="55">
        <v>-0.2863735</v>
      </c>
      <c r="K5587" s="55">
        <v>-0.37357220000000002</v>
      </c>
      <c r="L5587" s="55">
        <v>-0.38999889999999998</v>
      </c>
      <c r="M5587" s="55">
        <v>-0.36762840000000002</v>
      </c>
      <c r="N5587" s="55">
        <v>-0.39411669999999999</v>
      </c>
    </row>
    <row r="5588" spans="1:14" hidden="1" x14ac:dyDescent="0.35">
      <c r="A5588" s="52" t="s">
        <v>711</v>
      </c>
      <c r="B5588" s="52" t="s">
        <v>74</v>
      </c>
      <c r="C5588" s="52" t="s">
        <v>87</v>
      </c>
      <c r="D5588" s="52" t="s">
        <v>91</v>
      </c>
      <c r="E5588" s="52" t="s">
        <v>584</v>
      </c>
      <c r="F5588" s="52" t="s">
        <v>581</v>
      </c>
      <c r="G5588" s="55" t="s">
        <v>277</v>
      </c>
      <c r="H5588" s="55">
        <v>0.31340800000000002</v>
      </c>
      <c r="I5588" s="55">
        <v>0.17200199999999999</v>
      </c>
      <c r="J5588" s="55">
        <v>9.4396640000000004E-2</v>
      </c>
      <c r="K5588" s="55">
        <v>5.1805980000000001E-2</v>
      </c>
      <c r="L5588" s="55">
        <v>0</v>
      </c>
      <c r="M5588" s="55"/>
      <c r="N5588" s="55"/>
    </row>
    <row r="5589" spans="1:14" hidden="1" x14ac:dyDescent="0.35">
      <c r="A5589" s="52" t="s">
        <v>711</v>
      </c>
      <c r="B5589" s="52" t="s">
        <v>74</v>
      </c>
      <c r="C5589" s="52" t="s">
        <v>87</v>
      </c>
      <c r="D5589" s="52" t="s">
        <v>91</v>
      </c>
      <c r="E5589" s="52" t="s">
        <v>584</v>
      </c>
      <c r="F5589" s="52" t="s">
        <v>581</v>
      </c>
      <c r="G5589" s="55" t="s">
        <v>278</v>
      </c>
      <c r="H5589" s="55">
        <v>4.772765E-3</v>
      </c>
      <c r="I5589" s="55">
        <v>6.5167560000000003E-3</v>
      </c>
      <c r="J5589" s="55">
        <v>6.5167549999999999E-3</v>
      </c>
      <c r="K5589" s="55">
        <v>6.5167549999999999E-3</v>
      </c>
      <c r="L5589" s="55">
        <v>6.5167549999999999E-3</v>
      </c>
      <c r="M5589" s="55">
        <v>6.5167560000000003E-3</v>
      </c>
      <c r="N5589" s="55">
        <v>6.5167549999999999E-3</v>
      </c>
    </row>
    <row r="5590" spans="1:14" hidden="1" x14ac:dyDescent="0.35">
      <c r="A5590" s="52" t="s">
        <v>711</v>
      </c>
      <c r="B5590" s="52" t="s">
        <v>74</v>
      </c>
      <c r="C5590" s="52" t="s">
        <v>87</v>
      </c>
      <c r="D5590" s="52" t="s">
        <v>91</v>
      </c>
      <c r="E5590" s="52" t="s">
        <v>584</v>
      </c>
      <c r="F5590" s="52" t="s">
        <v>581</v>
      </c>
      <c r="G5590" s="55" t="s">
        <v>279</v>
      </c>
      <c r="H5590" s="55">
        <v>2.108107</v>
      </c>
      <c r="I5590" s="55">
        <v>1.867246</v>
      </c>
      <c r="J5590" s="55">
        <v>1.5951569999999999</v>
      </c>
      <c r="K5590" s="55">
        <v>1.795031</v>
      </c>
      <c r="L5590" s="55">
        <v>1.7352540000000001</v>
      </c>
      <c r="M5590" s="55">
        <v>1.9380930000000001</v>
      </c>
      <c r="N5590" s="55">
        <v>1.9505980000000001</v>
      </c>
    </row>
    <row r="5591" spans="1:14" hidden="1" x14ac:dyDescent="0.35">
      <c r="A5591" s="52" t="s">
        <v>711</v>
      </c>
      <c r="B5591" s="52" t="s">
        <v>74</v>
      </c>
      <c r="C5591" s="52" t="s">
        <v>87</v>
      </c>
      <c r="D5591" s="52" t="s">
        <v>91</v>
      </c>
      <c r="E5591" s="52" t="s">
        <v>584</v>
      </c>
      <c r="F5591" s="52" t="s">
        <v>26</v>
      </c>
      <c r="G5591" s="55" t="s">
        <v>275</v>
      </c>
      <c r="H5591" s="55">
        <v>3.2283159999999998E-2</v>
      </c>
      <c r="I5591" s="55">
        <v>2.6212699999999999E-2</v>
      </c>
      <c r="J5591" s="55">
        <v>2.3618119999999999E-2</v>
      </c>
      <c r="K5591" s="55">
        <v>2.0515869999999999E-2</v>
      </c>
      <c r="L5591" s="55">
        <v>1.738056E-2</v>
      </c>
      <c r="M5591" s="55">
        <v>2.125867E-2</v>
      </c>
      <c r="N5591" s="55">
        <v>1.9791420000000001E-2</v>
      </c>
    </row>
    <row r="5592" spans="1:14" hidden="1" x14ac:dyDescent="0.35">
      <c r="A5592" s="52" t="s">
        <v>711</v>
      </c>
      <c r="B5592" s="52" t="s">
        <v>74</v>
      </c>
      <c r="C5592" s="52" t="s">
        <v>87</v>
      </c>
      <c r="D5592" s="52" t="s">
        <v>91</v>
      </c>
      <c r="E5592" s="52" t="s">
        <v>584</v>
      </c>
      <c r="F5592" s="52" t="s">
        <v>26</v>
      </c>
      <c r="G5592" s="55" t="s">
        <v>276</v>
      </c>
      <c r="H5592" s="55">
        <v>2.152213E-2</v>
      </c>
      <c r="I5592" s="55">
        <v>1.747512E-2</v>
      </c>
      <c r="J5592" s="55">
        <v>1.5745410000000001E-2</v>
      </c>
      <c r="K5592" s="55">
        <v>1.367721E-2</v>
      </c>
      <c r="L5592" s="55">
        <v>1.158705E-2</v>
      </c>
      <c r="M5592" s="55">
        <v>1.417244E-2</v>
      </c>
      <c r="N5592" s="55">
        <v>1.3194310000000001E-2</v>
      </c>
    </row>
    <row r="5593" spans="1:14" hidden="1" x14ac:dyDescent="0.35">
      <c r="A5593" s="52" t="s">
        <v>711</v>
      </c>
      <c r="B5593" s="52" t="s">
        <v>74</v>
      </c>
      <c r="C5593" s="52" t="s">
        <v>87</v>
      </c>
      <c r="D5593" s="52" t="s">
        <v>91</v>
      </c>
      <c r="E5593" s="52" t="s">
        <v>584</v>
      </c>
      <c r="F5593" s="52" t="s">
        <v>26</v>
      </c>
      <c r="G5593" s="55" t="s">
        <v>279</v>
      </c>
      <c r="H5593" s="55">
        <v>0.1007629</v>
      </c>
      <c r="I5593" s="55">
        <v>8.7922559999999997E-2</v>
      </c>
      <c r="J5593" s="55">
        <v>6.0035860000000003E-2</v>
      </c>
      <c r="K5593" s="55">
        <v>5.7370419999999998E-2</v>
      </c>
      <c r="L5593" s="55">
        <v>4.64638E-2</v>
      </c>
      <c r="M5593" s="55">
        <v>6.584653E-2</v>
      </c>
      <c r="N5593" s="55">
        <v>6.3296619999999998E-2</v>
      </c>
    </row>
    <row r="5594" spans="1:14" hidden="1" x14ac:dyDescent="0.35">
      <c r="A5594" s="52" t="s">
        <v>711</v>
      </c>
      <c r="B5594" s="52" t="s">
        <v>74</v>
      </c>
      <c r="C5594" s="52" t="s">
        <v>87</v>
      </c>
      <c r="D5594" s="52" t="s">
        <v>130</v>
      </c>
      <c r="E5594" s="52" t="s">
        <v>584</v>
      </c>
      <c r="F5594" s="52" t="s">
        <v>581</v>
      </c>
      <c r="G5594" s="55" t="s">
        <v>275</v>
      </c>
      <c r="H5594" s="55">
        <v>-4.06281E-3</v>
      </c>
      <c r="I5594" s="55">
        <v>-5.5461870000000002E-3</v>
      </c>
      <c r="J5594" s="55">
        <v>0</v>
      </c>
      <c r="K5594" s="55">
        <v>0</v>
      </c>
      <c r="L5594" s="55">
        <v>0</v>
      </c>
      <c r="M5594" s="55">
        <v>0</v>
      </c>
      <c r="N5594" s="55">
        <v>0</v>
      </c>
    </row>
    <row r="5595" spans="1:14" hidden="1" x14ac:dyDescent="0.35">
      <c r="A5595" s="52" t="s">
        <v>711</v>
      </c>
      <c r="B5595" s="52" t="s">
        <v>74</v>
      </c>
      <c r="C5595" s="52" t="s">
        <v>87</v>
      </c>
      <c r="D5595" s="52" t="s">
        <v>130</v>
      </c>
      <c r="E5595" s="52" t="s">
        <v>584</v>
      </c>
      <c r="F5595" s="52" t="s">
        <v>581</v>
      </c>
      <c r="G5595" s="55" t="s">
        <v>276</v>
      </c>
      <c r="H5595" s="55">
        <v>-2.70842E-3</v>
      </c>
      <c r="I5595" s="55">
        <v>-3.6980049999999999E-3</v>
      </c>
      <c r="J5595" s="55">
        <v>-9.244192E-3</v>
      </c>
      <c r="K5595" s="55">
        <v>-9.2468519999999998E-3</v>
      </c>
      <c r="L5595" s="55">
        <v>-9.2451919999999993E-3</v>
      </c>
      <c r="M5595" s="55">
        <v>-9.2451919999999993E-3</v>
      </c>
      <c r="N5595" s="55">
        <v>-9.244192E-3</v>
      </c>
    </row>
    <row r="5596" spans="1:14" hidden="1" x14ac:dyDescent="0.35">
      <c r="A5596" s="52" t="s">
        <v>711</v>
      </c>
      <c r="B5596" s="52" t="s">
        <v>74</v>
      </c>
      <c r="C5596" s="52" t="s">
        <v>87</v>
      </c>
      <c r="D5596" s="52" t="s">
        <v>130</v>
      </c>
      <c r="E5596" s="52" t="s">
        <v>584</v>
      </c>
      <c r="F5596" s="52" t="s">
        <v>581</v>
      </c>
      <c r="G5596" s="55" t="s">
        <v>278</v>
      </c>
      <c r="H5596" s="55">
        <v>6.7712299999999996E-3</v>
      </c>
      <c r="I5596" s="55">
        <v>9.2451930000000005E-3</v>
      </c>
      <c r="J5596" s="55">
        <v>9.2451930000000005E-3</v>
      </c>
      <c r="K5596" s="55">
        <v>9.2451930000000005E-3</v>
      </c>
      <c r="L5596" s="55">
        <v>9.2451930000000005E-3</v>
      </c>
      <c r="M5596" s="55">
        <v>9.2451930000000005E-3</v>
      </c>
      <c r="N5596" s="55">
        <v>9.2451930000000005E-3</v>
      </c>
    </row>
    <row r="5597" spans="1:14" hidden="1" x14ac:dyDescent="0.35">
      <c r="A5597" s="52" t="s">
        <v>711</v>
      </c>
      <c r="B5597" s="52" t="s">
        <v>74</v>
      </c>
      <c r="C5597" s="52" t="s">
        <v>96</v>
      </c>
      <c r="D5597" s="52" t="s">
        <v>348</v>
      </c>
      <c r="E5597" s="52" t="s">
        <v>584</v>
      </c>
      <c r="F5597" s="52" t="s">
        <v>581</v>
      </c>
      <c r="G5597" s="55" t="s">
        <v>275</v>
      </c>
      <c r="H5597" s="55">
        <v>-0.4222996</v>
      </c>
      <c r="I5597" s="55">
        <v>-0.48600549999999998</v>
      </c>
      <c r="J5597" s="55">
        <v>2.98421</v>
      </c>
      <c r="K5597" s="55">
        <v>2.267881</v>
      </c>
      <c r="L5597" s="55">
        <v>1.6996070000000001</v>
      </c>
      <c r="M5597" s="55">
        <v>0.87703540000000002</v>
      </c>
      <c r="N5597" s="55">
        <v>0.69068879999999999</v>
      </c>
    </row>
    <row r="5598" spans="1:14" hidden="1" x14ac:dyDescent="0.35">
      <c r="A5598" s="52" t="s">
        <v>711</v>
      </c>
      <c r="B5598" s="52" t="s">
        <v>74</v>
      </c>
      <c r="C5598" s="52" t="s">
        <v>96</v>
      </c>
      <c r="D5598" s="52" t="s">
        <v>348</v>
      </c>
      <c r="E5598" s="52" t="s">
        <v>584</v>
      </c>
      <c r="F5598" s="52" t="s">
        <v>581</v>
      </c>
      <c r="G5598" s="55" t="s">
        <v>276</v>
      </c>
      <c r="H5598" s="55">
        <v>-0.28153349999999999</v>
      </c>
      <c r="I5598" s="55">
        <v>-0.5032449</v>
      </c>
      <c r="J5598" s="55">
        <v>1.826427</v>
      </c>
      <c r="K5598" s="55">
        <v>-20.348009999999999</v>
      </c>
      <c r="L5598" s="55">
        <v>1.055015</v>
      </c>
      <c r="M5598" s="55">
        <v>0.50663340000000001</v>
      </c>
      <c r="N5598" s="55">
        <v>0.38239980000000001</v>
      </c>
    </row>
    <row r="5599" spans="1:14" hidden="1" x14ac:dyDescent="0.35">
      <c r="A5599" s="52" t="s">
        <v>711</v>
      </c>
      <c r="B5599" s="52" t="s">
        <v>74</v>
      </c>
      <c r="C5599" s="52" t="s">
        <v>96</v>
      </c>
      <c r="D5599" s="52" t="s">
        <v>348</v>
      </c>
      <c r="E5599" s="52" t="s">
        <v>584</v>
      </c>
      <c r="F5599" s="52" t="s">
        <v>581</v>
      </c>
      <c r="G5599" s="55" t="s">
        <v>277</v>
      </c>
      <c r="H5599" s="55">
        <v>0.58442780000000005</v>
      </c>
      <c r="I5599" s="55">
        <v>0.82875290000000001</v>
      </c>
      <c r="J5599" s="55">
        <v>0</v>
      </c>
      <c r="K5599" s="55">
        <v>0</v>
      </c>
      <c r="L5599" s="55">
        <v>2.6495319999999999E-2</v>
      </c>
      <c r="M5599" s="55">
        <v>0.7071075</v>
      </c>
      <c r="N5599" s="55">
        <v>0.52683590000000002</v>
      </c>
    </row>
    <row r="5600" spans="1:14" hidden="1" x14ac:dyDescent="0.35">
      <c r="A5600" s="52" t="s">
        <v>711</v>
      </c>
      <c r="B5600" s="52" t="s">
        <v>74</v>
      </c>
      <c r="C5600" s="52" t="s">
        <v>96</v>
      </c>
      <c r="D5600" s="52" t="s">
        <v>348</v>
      </c>
      <c r="E5600" s="52" t="s">
        <v>584</v>
      </c>
      <c r="F5600" s="52" t="s">
        <v>581</v>
      </c>
      <c r="G5600" s="55" t="s">
        <v>278</v>
      </c>
      <c r="H5600" s="55">
        <v>0.11940530000000001</v>
      </c>
      <c r="I5600" s="55">
        <v>0.163047</v>
      </c>
      <c r="J5600" s="55">
        <v>0.163047</v>
      </c>
      <c r="K5600" s="55">
        <v>21.859929999999999</v>
      </c>
      <c r="L5600" s="55">
        <v>7.8061510000000001E-2</v>
      </c>
      <c r="M5600" s="55">
        <v>7.8061510000000001E-2</v>
      </c>
      <c r="N5600" s="55">
        <v>7.8061510000000001E-2</v>
      </c>
    </row>
    <row r="5601" spans="1:14" hidden="1" x14ac:dyDescent="0.35">
      <c r="A5601" s="52" t="s">
        <v>711</v>
      </c>
      <c r="B5601" s="52" t="s">
        <v>74</v>
      </c>
      <c r="C5601" s="52" t="s">
        <v>96</v>
      </c>
      <c r="D5601" s="52" t="s">
        <v>348</v>
      </c>
      <c r="E5601" s="52" t="s">
        <v>584</v>
      </c>
      <c r="F5601" s="52" t="s">
        <v>581</v>
      </c>
      <c r="G5601" s="55" t="s">
        <v>279</v>
      </c>
      <c r="H5601" s="55">
        <v>0</v>
      </c>
      <c r="I5601" s="55">
        <v>5.5897500000000001E-3</v>
      </c>
      <c r="J5601" s="55">
        <v>11.66769</v>
      </c>
      <c r="K5601" s="55">
        <v>11.208500000000001</v>
      </c>
      <c r="L5601" s="55">
        <v>8.4773969999999998</v>
      </c>
      <c r="M5601" s="55">
        <v>6.4287979999999996</v>
      </c>
      <c r="N5601" s="55">
        <v>4.9737410000000004</v>
      </c>
    </row>
    <row r="5602" spans="1:14" hidden="1" x14ac:dyDescent="0.35">
      <c r="A5602" s="52" t="s">
        <v>711</v>
      </c>
      <c r="B5602" s="52" t="s">
        <v>74</v>
      </c>
      <c r="C5602" s="52" t="s">
        <v>96</v>
      </c>
      <c r="D5602" s="52" t="s">
        <v>348</v>
      </c>
      <c r="E5602" s="52" t="s">
        <v>584</v>
      </c>
      <c r="F5602" s="52" t="s">
        <v>26</v>
      </c>
      <c r="G5602" s="55" t="s">
        <v>275</v>
      </c>
      <c r="H5602" s="55">
        <v>-27.653569999999998</v>
      </c>
      <c r="I5602" s="55">
        <v>-55.967329999999997</v>
      </c>
      <c r="J5602" s="55">
        <v>41.820450000000001</v>
      </c>
      <c r="K5602" s="55">
        <v>79.223500000000001</v>
      </c>
      <c r="L5602" s="55">
        <v>26.454190000000001</v>
      </c>
      <c r="M5602" s="55">
        <v>-7.8236169999999996</v>
      </c>
      <c r="N5602" s="55">
        <v>74.653090000000006</v>
      </c>
    </row>
    <row r="5603" spans="1:14" hidden="1" x14ac:dyDescent="0.35">
      <c r="A5603" s="52" t="s">
        <v>711</v>
      </c>
      <c r="B5603" s="52" t="s">
        <v>74</v>
      </c>
      <c r="C5603" s="52" t="s">
        <v>96</v>
      </c>
      <c r="D5603" s="52" t="s">
        <v>348</v>
      </c>
      <c r="E5603" s="52" t="s">
        <v>584</v>
      </c>
      <c r="F5603" s="52" t="s">
        <v>26</v>
      </c>
      <c r="G5603" s="55" t="s">
        <v>276</v>
      </c>
      <c r="H5603" s="55">
        <v>-18.43571</v>
      </c>
      <c r="I5603" s="55">
        <v>-52.535879999999999</v>
      </c>
      <c r="J5603" s="55">
        <v>19.906389999999998</v>
      </c>
      <c r="K5603" s="55">
        <v>52.211010000000002</v>
      </c>
      <c r="L5603" s="55">
        <v>16.732320000000001</v>
      </c>
      <c r="M5603" s="55">
        <v>-6.6162229999999997</v>
      </c>
      <c r="N5603" s="55">
        <v>24.159210000000002</v>
      </c>
    </row>
    <row r="5604" spans="1:14" hidden="1" x14ac:dyDescent="0.35">
      <c r="A5604" s="52" t="s">
        <v>711</v>
      </c>
      <c r="B5604" s="52" t="s">
        <v>74</v>
      </c>
      <c r="C5604" s="52" t="s">
        <v>96</v>
      </c>
      <c r="D5604" s="52" t="s">
        <v>348</v>
      </c>
      <c r="E5604" s="52" t="s">
        <v>584</v>
      </c>
      <c r="F5604" s="52" t="s">
        <v>26</v>
      </c>
      <c r="G5604" s="55" t="s">
        <v>277</v>
      </c>
      <c r="H5604" s="55">
        <v>27.441569999999999</v>
      </c>
      <c r="I5604" s="55">
        <v>93.491240000000005</v>
      </c>
      <c r="J5604" s="55">
        <v>77.411969999999997</v>
      </c>
      <c r="K5604" s="55">
        <v>14.143660000000001</v>
      </c>
      <c r="L5604" s="55">
        <v>65.445149999999998</v>
      </c>
      <c r="M5604" s="55">
        <v>91.887100000000004</v>
      </c>
      <c r="N5604" s="55">
        <v>67.971729999999994</v>
      </c>
    </row>
    <row r="5605" spans="1:14" hidden="1" x14ac:dyDescent="0.35">
      <c r="A5605" s="52" t="s">
        <v>711</v>
      </c>
      <c r="B5605" s="52" t="s">
        <v>74</v>
      </c>
      <c r="C5605" s="52" t="s">
        <v>96</v>
      </c>
      <c r="D5605" s="52" t="s">
        <v>348</v>
      </c>
      <c r="E5605" s="52" t="s">
        <v>584</v>
      </c>
      <c r="F5605" s="52" t="s">
        <v>26</v>
      </c>
      <c r="G5605" s="55" t="s">
        <v>278</v>
      </c>
      <c r="H5605" s="55">
        <v>18.64771</v>
      </c>
      <c r="I5605" s="55">
        <v>0.1092938</v>
      </c>
      <c r="J5605" s="55">
        <v>9.0684070000000006E-2</v>
      </c>
      <c r="K5605" s="55">
        <v>9.0684070000000006E-2</v>
      </c>
      <c r="L5605" s="55">
        <v>7.9755759999999998E-3</v>
      </c>
      <c r="M5605" s="55">
        <v>7.9755759999999998E-3</v>
      </c>
      <c r="N5605" s="55">
        <v>7.9755759999999998E-3</v>
      </c>
    </row>
    <row r="5606" spans="1:14" hidden="1" x14ac:dyDescent="0.35">
      <c r="A5606" s="52" t="s">
        <v>711</v>
      </c>
      <c r="B5606" s="52" t="s">
        <v>74</v>
      </c>
      <c r="C5606" s="52" t="s">
        <v>96</v>
      </c>
      <c r="D5606" s="52" t="s">
        <v>348</v>
      </c>
      <c r="E5606" s="52" t="s">
        <v>584</v>
      </c>
      <c r="F5606" s="52" t="s">
        <v>26</v>
      </c>
      <c r="G5606" s="55" t="s">
        <v>279</v>
      </c>
      <c r="H5606" s="55">
        <v>0</v>
      </c>
      <c r="I5606" s="55">
        <v>15.018370000000001</v>
      </c>
      <c r="J5606" s="55">
        <v>193.06739999999999</v>
      </c>
      <c r="K5606" s="55">
        <v>236.5866</v>
      </c>
      <c r="L5606" s="55">
        <v>187.9228</v>
      </c>
      <c r="M5606" s="55">
        <v>146.90289999999999</v>
      </c>
      <c r="N5606" s="55">
        <v>156.88419999999999</v>
      </c>
    </row>
    <row r="5607" spans="1:14" hidden="1" x14ac:dyDescent="0.35">
      <c r="A5607" s="52" t="s">
        <v>711</v>
      </c>
      <c r="B5607" s="52" t="s">
        <v>74</v>
      </c>
      <c r="C5607" s="52" t="s">
        <v>96</v>
      </c>
      <c r="D5607" s="52" t="s">
        <v>96</v>
      </c>
      <c r="E5607" s="52" t="s">
        <v>584</v>
      </c>
      <c r="F5607" s="52" t="s">
        <v>581</v>
      </c>
      <c r="G5607" s="55" t="s">
        <v>275</v>
      </c>
      <c r="H5607" s="55">
        <v>-2.3637180000000001E-2</v>
      </c>
      <c r="I5607" s="55">
        <v>-4.7936340000000001E-2</v>
      </c>
      <c r="J5607" s="55">
        <v>2.5004619999999999E-5</v>
      </c>
      <c r="K5607" s="55">
        <v>1.5446540000000001E-5</v>
      </c>
      <c r="L5607" s="55">
        <v>9.9847790000000006E-6</v>
      </c>
      <c r="M5607" s="55">
        <v>6.3151599999999999E-6</v>
      </c>
      <c r="N5607" s="55">
        <v>4.2243299999999999E-6</v>
      </c>
    </row>
    <row r="5608" spans="1:14" hidden="1" x14ac:dyDescent="0.35">
      <c r="A5608" s="52" t="s">
        <v>711</v>
      </c>
      <c r="B5608" s="52" t="s">
        <v>74</v>
      </c>
      <c r="C5608" s="52" t="s">
        <v>96</v>
      </c>
      <c r="D5608" s="52" t="s">
        <v>96</v>
      </c>
      <c r="E5608" s="52" t="s">
        <v>584</v>
      </c>
      <c r="F5608" s="52" t="s">
        <v>581</v>
      </c>
      <c r="G5608" s="55" t="s">
        <v>276</v>
      </c>
      <c r="H5608" s="55">
        <v>-1.575849E-2</v>
      </c>
      <c r="I5608" s="55">
        <v>-3.1958319999999998E-2</v>
      </c>
      <c r="J5608" s="55">
        <v>-7.9946690000000001E-2</v>
      </c>
      <c r="K5608" s="55">
        <v>-7.9953129999999997E-2</v>
      </c>
      <c r="L5608" s="55">
        <v>-0.16833129999999999</v>
      </c>
      <c r="M5608" s="55">
        <v>-8.0783640000000004E-2</v>
      </c>
      <c r="N5608" s="55">
        <v>-8.0784439999999999E-2</v>
      </c>
    </row>
    <row r="5609" spans="1:14" hidden="1" x14ac:dyDescent="0.35">
      <c r="A5609" s="52" t="s">
        <v>711</v>
      </c>
      <c r="B5609" s="52" t="s">
        <v>74</v>
      </c>
      <c r="C5609" s="52" t="s">
        <v>96</v>
      </c>
      <c r="D5609" s="52" t="s">
        <v>96</v>
      </c>
      <c r="E5609" s="52" t="s">
        <v>584</v>
      </c>
      <c r="F5609" s="52" t="s">
        <v>581</v>
      </c>
      <c r="G5609" s="55" t="s">
        <v>277</v>
      </c>
      <c r="H5609" s="55"/>
      <c r="I5609" s="55"/>
      <c r="J5609" s="55"/>
      <c r="K5609" s="55"/>
      <c r="L5609" s="55">
        <v>0</v>
      </c>
      <c r="M5609" s="55">
        <v>8.25E-4</v>
      </c>
      <c r="N5609" s="55">
        <v>8.25E-4</v>
      </c>
    </row>
    <row r="5610" spans="1:14" hidden="1" x14ac:dyDescent="0.35">
      <c r="A5610" s="52" t="s">
        <v>711</v>
      </c>
      <c r="B5610" s="52" t="s">
        <v>74</v>
      </c>
      <c r="C5610" s="52" t="s">
        <v>96</v>
      </c>
      <c r="D5610" s="52" t="s">
        <v>96</v>
      </c>
      <c r="E5610" s="52" t="s">
        <v>584</v>
      </c>
      <c r="F5610" s="52" t="s">
        <v>581</v>
      </c>
      <c r="G5610" s="55" t="s">
        <v>278</v>
      </c>
      <c r="H5610" s="55">
        <v>5.8559340000000001E-2</v>
      </c>
      <c r="I5610" s="55">
        <v>7.9962690000000003E-2</v>
      </c>
      <c r="J5610" s="55">
        <v>7.9962690000000003E-2</v>
      </c>
      <c r="K5610" s="55">
        <v>7.9962690000000003E-2</v>
      </c>
      <c r="L5610" s="55">
        <v>0.16833819999999999</v>
      </c>
      <c r="M5610" s="55">
        <v>7.9962690000000003E-2</v>
      </c>
      <c r="N5610" s="55">
        <v>7.9962690000000003E-2</v>
      </c>
    </row>
    <row r="5611" spans="1:14" hidden="1" x14ac:dyDescent="0.35">
      <c r="A5611" s="52" t="s">
        <v>711</v>
      </c>
      <c r="B5611" s="52" t="s">
        <v>74</v>
      </c>
      <c r="C5611" s="52" t="s">
        <v>96</v>
      </c>
      <c r="D5611" s="52" t="s">
        <v>96</v>
      </c>
      <c r="E5611" s="52" t="s">
        <v>584</v>
      </c>
      <c r="F5611" s="52" t="s">
        <v>581</v>
      </c>
      <c r="G5611" s="55" t="s">
        <v>279</v>
      </c>
      <c r="H5611" s="55">
        <v>2.1881180000000002E-3</v>
      </c>
      <c r="I5611" s="55">
        <v>1.5361200000000001E-5</v>
      </c>
      <c r="J5611" s="55">
        <v>9.8140999999999998E-6</v>
      </c>
      <c r="K5611" s="55">
        <v>7.2539000000000001E-6</v>
      </c>
      <c r="L5611" s="55">
        <v>3.8403000000000003E-6</v>
      </c>
      <c r="M5611" s="55">
        <v>2.5602000000000001E-6</v>
      </c>
      <c r="N5611" s="55">
        <v>1.2801E-6</v>
      </c>
    </row>
    <row r="5612" spans="1:14" hidden="1" x14ac:dyDescent="0.35">
      <c r="A5612" s="52" t="s">
        <v>711</v>
      </c>
      <c r="B5612" s="52" t="s">
        <v>74</v>
      </c>
      <c r="C5612" s="52" t="s">
        <v>96</v>
      </c>
      <c r="D5612" s="52" t="s">
        <v>96</v>
      </c>
      <c r="E5612" s="52" t="s">
        <v>584</v>
      </c>
      <c r="F5612" s="52" t="s">
        <v>26</v>
      </c>
      <c r="G5612" s="55" t="s">
        <v>275</v>
      </c>
      <c r="H5612" s="55">
        <v>0.63483889999999998</v>
      </c>
      <c r="I5612" s="55">
        <v>-4.1158340000000004</v>
      </c>
      <c r="J5612" s="55">
        <v>-3.4500769999999998</v>
      </c>
      <c r="K5612" s="55">
        <v>-0.60353710000000005</v>
      </c>
      <c r="L5612" s="55">
        <v>-0.67164740000000001</v>
      </c>
      <c r="M5612" s="55">
        <v>2.2171759999999999E-2</v>
      </c>
      <c r="N5612" s="55">
        <v>4.4557290000000003E-3</v>
      </c>
    </row>
    <row r="5613" spans="1:14" hidden="1" x14ac:dyDescent="0.35">
      <c r="A5613" s="52" t="s">
        <v>711</v>
      </c>
      <c r="B5613" s="52" t="s">
        <v>74</v>
      </c>
      <c r="C5613" s="52" t="s">
        <v>96</v>
      </c>
      <c r="D5613" s="52" t="s">
        <v>96</v>
      </c>
      <c r="E5613" s="52" t="s">
        <v>584</v>
      </c>
      <c r="F5613" s="52" t="s">
        <v>26</v>
      </c>
      <c r="G5613" s="55" t="s">
        <v>276</v>
      </c>
      <c r="H5613" s="55">
        <v>0.30138389999999998</v>
      </c>
      <c r="I5613" s="55">
        <v>-4.3213929999999996</v>
      </c>
      <c r="J5613" s="55">
        <v>-2.6679879999999998</v>
      </c>
      <c r="K5613" s="55">
        <v>-0.47025610000000001</v>
      </c>
      <c r="L5613" s="55">
        <v>-0.45705020000000002</v>
      </c>
      <c r="M5613" s="55">
        <v>1.196211E-2</v>
      </c>
      <c r="N5613" s="55">
        <v>2.9700450000000002E-3</v>
      </c>
    </row>
    <row r="5614" spans="1:14" hidden="1" x14ac:dyDescent="0.35">
      <c r="A5614" s="52" t="s">
        <v>711</v>
      </c>
      <c r="B5614" s="52" t="s">
        <v>74</v>
      </c>
      <c r="C5614" s="52" t="s">
        <v>96</v>
      </c>
      <c r="D5614" s="52" t="s">
        <v>96</v>
      </c>
      <c r="E5614" s="52" t="s">
        <v>584</v>
      </c>
      <c r="F5614" s="52" t="s">
        <v>26</v>
      </c>
      <c r="G5614" s="55" t="s">
        <v>277</v>
      </c>
      <c r="H5614" s="55">
        <v>1.1696820000000001</v>
      </c>
      <c r="I5614" s="55">
        <v>15.144030000000001</v>
      </c>
      <c r="J5614" s="55">
        <v>3.5321989999999999</v>
      </c>
      <c r="K5614" s="55">
        <v>0.65181540000000004</v>
      </c>
      <c r="L5614" s="55">
        <v>8.9134720000000001E-2</v>
      </c>
      <c r="M5614" s="55"/>
      <c r="N5614" s="55"/>
    </row>
    <row r="5615" spans="1:14" hidden="1" x14ac:dyDescent="0.35">
      <c r="A5615" s="52" t="s">
        <v>711</v>
      </c>
      <c r="B5615" s="52" t="s">
        <v>74</v>
      </c>
      <c r="C5615" s="52" t="s">
        <v>96</v>
      </c>
      <c r="D5615" s="52" t="s">
        <v>96</v>
      </c>
      <c r="E5615" s="52" t="s">
        <v>584</v>
      </c>
      <c r="F5615" s="52" t="s">
        <v>26</v>
      </c>
      <c r="G5615" s="55" t="s">
        <v>279</v>
      </c>
      <c r="H5615" s="55">
        <v>15.007</v>
      </c>
      <c r="I5615" s="55">
        <v>15.29133</v>
      </c>
      <c r="J5615" s="55">
        <v>28.57029</v>
      </c>
      <c r="K5615" s="55">
        <v>11.805199999999999</v>
      </c>
      <c r="L5615" s="55">
        <v>3.306279</v>
      </c>
      <c r="M5615" s="55">
        <v>0.1418363</v>
      </c>
      <c r="N5615" s="55">
        <v>0.12535760000000001</v>
      </c>
    </row>
    <row r="5616" spans="1:14" hidden="1" x14ac:dyDescent="0.35">
      <c r="A5616" s="52" t="s">
        <v>711</v>
      </c>
      <c r="B5616" s="52" t="s">
        <v>74</v>
      </c>
      <c r="C5616" s="52" t="s">
        <v>71</v>
      </c>
      <c r="D5616" s="52" t="s">
        <v>75</v>
      </c>
      <c r="E5616" s="52" t="s">
        <v>584</v>
      </c>
      <c r="F5616" s="52" t="s">
        <v>581</v>
      </c>
      <c r="G5616" s="55" t="s">
        <v>275</v>
      </c>
      <c r="H5616" s="55">
        <v>99.731210000000004</v>
      </c>
      <c r="I5616" s="55">
        <v>28.947030000000002</v>
      </c>
      <c r="J5616" s="55">
        <v>17.568149999999999</v>
      </c>
      <c r="K5616" s="55">
        <v>9.8126390000000008</v>
      </c>
      <c r="L5616" s="55">
        <v>5.3274720000000002</v>
      </c>
      <c r="M5616" s="55">
        <v>1.824327</v>
      </c>
      <c r="N5616" s="55">
        <v>3.61775</v>
      </c>
    </row>
    <row r="5617" spans="1:14" hidden="1" x14ac:dyDescent="0.35">
      <c r="A5617" s="52" t="s">
        <v>711</v>
      </c>
      <c r="B5617" s="52" t="s">
        <v>74</v>
      </c>
      <c r="C5617" s="52" t="s">
        <v>71</v>
      </c>
      <c r="D5617" s="52" t="s">
        <v>75</v>
      </c>
      <c r="E5617" s="52" t="s">
        <v>584</v>
      </c>
      <c r="F5617" s="52" t="s">
        <v>581</v>
      </c>
      <c r="G5617" s="55" t="s">
        <v>276</v>
      </c>
      <c r="H5617" s="55">
        <v>64.444270000000003</v>
      </c>
      <c r="I5617" s="55">
        <v>18.345210000000002</v>
      </c>
      <c r="J5617" s="55">
        <v>10.819190000000001</v>
      </c>
      <c r="K5617" s="55">
        <v>5.4763640000000002</v>
      </c>
      <c r="L5617" s="55">
        <v>1.549228</v>
      </c>
      <c r="M5617" s="55">
        <v>-0.77082289999999998</v>
      </c>
      <c r="N5617" s="55">
        <v>1.736737</v>
      </c>
    </row>
    <row r="5618" spans="1:14" hidden="1" x14ac:dyDescent="0.35">
      <c r="A5618" s="52" t="s">
        <v>711</v>
      </c>
      <c r="B5618" s="52" t="s">
        <v>74</v>
      </c>
      <c r="C5618" s="52" t="s">
        <v>71</v>
      </c>
      <c r="D5618" s="52" t="s">
        <v>75</v>
      </c>
      <c r="E5618" s="52" t="s">
        <v>584</v>
      </c>
      <c r="F5618" s="52" t="s">
        <v>581</v>
      </c>
      <c r="G5618" s="55" t="s">
        <v>277</v>
      </c>
      <c r="H5618" s="55">
        <v>19.614650000000001</v>
      </c>
      <c r="I5618" s="55">
        <v>9.1469430000000003</v>
      </c>
      <c r="J5618" s="55">
        <v>8.1604880000000009</v>
      </c>
      <c r="K5618" s="55">
        <v>9.8164210000000001</v>
      </c>
      <c r="L5618" s="55">
        <v>18.811869999999999</v>
      </c>
      <c r="M5618" s="55">
        <v>18.66423</v>
      </c>
      <c r="N5618" s="55"/>
    </row>
    <row r="5619" spans="1:14" hidden="1" x14ac:dyDescent="0.35">
      <c r="A5619" s="52" t="s">
        <v>711</v>
      </c>
      <c r="B5619" s="52" t="s">
        <v>74</v>
      </c>
      <c r="C5619" s="52" t="s">
        <v>71</v>
      </c>
      <c r="D5619" s="52" t="s">
        <v>75</v>
      </c>
      <c r="E5619" s="52" t="s">
        <v>584</v>
      </c>
      <c r="F5619" s="52" t="s">
        <v>581</v>
      </c>
      <c r="G5619" s="55" t="s">
        <v>278</v>
      </c>
      <c r="H5619" s="55">
        <v>3.1381619999999999E-2</v>
      </c>
      <c r="I5619" s="55">
        <v>4.285245E-2</v>
      </c>
      <c r="J5619" s="55">
        <v>4.285245E-2</v>
      </c>
      <c r="K5619" s="55">
        <v>4.285245E-2</v>
      </c>
      <c r="L5619" s="55">
        <v>4.285245E-2</v>
      </c>
      <c r="M5619" s="55">
        <v>4.285245E-2</v>
      </c>
      <c r="N5619" s="55">
        <v>4.285245E-2</v>
      </c>
    </row>
    <row r="5620" spans="1:14" hidden="1" x14ac:dyDescent="0.35">
      <c r="A5620" s="52" t="s">
        <v>711</v>
      </c>
      <c r="B5620" s="52" t="s">
        <v>74</v>
      </c>
      <c r="C5620" s="52" t="s">
        <v>71</v>
      </c>
      <c r="D5620" s="52" t="s">
        <v>75</v>
      </c>
      <c r="E5620" s="52" t="s">
        <v>584</v>
      </c>
      <c r="F5620" s="52" t="s">
        <v>581</v>
      </c>
      <c r="G5620" s="55" t="s">
        <v>279</v>
      </c>
      <c r="H5620" s="55">
        <v>34.272300000000001</v>
      </c>
      <c r="I5620" s="55">
        <v>26.788720000000001</v>
      </c>
      <c r="J5620" s="55">
        <v>23.064689999999999</v>
      </c>
      <c r="K5620" s="55">
        <v>24.981010000000001</v>
      </c>
      <c r="L5620" s="55">
        <v>25.596409999999999</v>
      </c>
      <c r="M5620" s="55">
        <v>24.961970000000001</v>
      </c>
      <c r="N5620" s="55">
        <v>23.893840000000001</v>
      </c>
    </row>
    <row r="5621" spans="1:14" hidden="1" x14ac:dyDescent="0.35">
      <c r="A5621" s="52" t="s">
        <v>711</v>
      </c>
      <c r="B5621" s="52" t="s">
        <v>74</v>
      </c>
      <c r="C5621" s="52" t="s">
        <v>71</v>
      </c>
      <c r="D5621" s="52" t="s">
        <v>75</v>
      </c>
      <c r="E5621" s="52" t="s">
        <v>584</v>
      </c>
      <c r="F5621" s="52" t="s">
        <v>26</v>
      </c>
      <c r="G5621" s="55" t="s">
        <v>275</v>
      </c>
      <c r="H5621" s="55">
        <v>2.4862600000000001</v>
      </c>
      <c r="I5621" s="55">
        <v>2.574217</v>
      </c>
      <c r="J5621" s="55">
        <v>2.1242420000000002</v>
      </c>
      <c r="K5621" s="55">
        <v>1.7523759999999999</v>
      </c>
      <c r="L5621" s="55">
        <v>1.7938050000000001</v>
      </c>
      <c r="M5621" s="55">
        <v>1.5638479999999999</v>
      </c>
      <c r="N5621" s="55">
        <v>1.2362740000000001</v>
      </c>
    </row>
    <row r="5622" spans="1:14" hidden="1" x14ac:dyDescent="0.35">
      <c r="A5622" s="52" t="s">
        <v>711</v>
      </c>
      <c r="B5622" s="52" t="s">
        <v>74</v>
      </c>
      <c r="C5622" s="52" t="s">
        <v>71</v>
      </c>
      <c r="D5622" s="52" t="s">
        <v>75</v>
      </c>
      <c r="E5622" s="52" t="s">
        <v>584</v>
      </c>
      <c r="F5622" s="52" t="s">
        <v>26</v>
      </c>
      <c r="G5622" s="55" t="s">
        <v>276</v>
      </c>
      <c r="H5622" s="55">
        <v>1.657505</v>
      </c>
      <c r="I5622" s="55">
        <v>1.7161439999999999</v>
      </c>
      <c r="J5622" s="55">
        <v>1.4161619999999999</v>
      </c>
      <c r="K5622" s="55">
        <v>1.1682520000000001</v>
      </c>
      <c r="L5622" s="55">
        <v>1.1958690000000001</v>
      </c>
      <c r="M5622" s="55">
        <v>1.042565</v>
      </c>
      <c r="N5622" s="55">
        <v>0.82418199999999997</v>
      </c>
    </row>
    <row r="5623" spans="1:14" hidden="1" x14ac:dyDescent="0.35">
      <c r="A5623" s="52" t="s">
        <v>711</v>
      </c>
      <c r="B5623" s="52" t="s">
        <v>74</v>
      </c>
      <c r="C5623" s="52" t="s">
        <v>71</v>
      </c>
      <c r="D5623" s="52" t="s">
        <v>75</v>
      </c>
      <c r="E5623" s="52" t="s">
        <v>584</v>
      </c>
      <c r="F5623" s="52" t="s">
        <v>26</v>
      </c>
      <c r="G5623" s="55" t="s">
        <v>279</v>
      </c>
      <c r="H5623" s="55">
        <v>1.2152940000000001</v>
      </c>
      <c r="I5623" s="55">
        <v>1.29969</v>
      </c>
      <c r="J5623" s="55">
        <v>0.95858469999999996</v>
      </c>
      <c r="K5623" s="55">
        <v>0.85915280000000005</v>
      </c>
      <c r="L5623" s="55">
        <v>0.87966219999999995</v>
      </c>
      <c r="M5623" s="55">
        <v>0.76640560000000002</v>
      </c>
      <c r="N5623" s="55">
        <v>0.60596749999999999</v>
      </c>
    </row>
    <row r="5624" spans="1:14" hidden="1" x14ac:dyDescent="0.35">
      <c r="A5624" s="52" t="s">
        <v>711</v>
      </c>
      <c r="B5624" s="52" t="s">
        <v>74</v>
      </c>
      <c r="C5624" s="52" t="s">
        <v>71</v>
      </c>
      <c r="D5624" s="52" t="s">
        <v>137</v>
      </c>
      <c r="E5624" s="52" t="s">
        <v>584</v>
      </c>
      <c r="F5624" s="52" t="s">
        <v>581</v>
      </c>
      <c r="G5624" s="55" t="s">
        <v>275</v>
      </c>
      <c r="H5624" s="55">
        <v>61.239409999999999</v>
      </c>
      <c r="I5624" s="55">
        <v>15.856490000000001</v>
      </c>
      <c r="J5624" s="55">
        <v>9.4740179999999992</v>
      </c>
      <c r="K5624" s="55">
        <v>5.4302060000000001</v>
      </c>
      <c r="L5624" s="55">
        <v>3.417662</v>
      </c>
      <c r="M5624" s="55">
        <v>-3.1718500000000001</v>
      </c>
      <c r="N5624" s="55">
        <v>-1.4876</v>
      </c>
    </row>
    <row r="5625" spans="1:14" hidden="1" x14ac:dyDescent="0.35">
      <c r="A5625" s="52" t="s">
        <v>711</v>
      </c>
      <c r="B5625" s="52" t="s">
        <v>74</v>
      </c>
      <c r="C5625" s="52" t="s">
        <v>71</v>
      </c>
      <c r="D5625" s="52" t="s">
        <v>137</v>
      </c>
      <c r="E5625" s="52" t="s">
        <v>584</v>
      </c>
      <c r="F5625" s="52" t="s">
        <v>581</v>
      </c>
      <c r="G5625" s="55" t="s">
        <v>276</v>
      </c>
      <c r="H5625" s="55">
        <v>39.99897</v>
      </c>
      <c r="I5625" s="55">
        <v>10.442159999999999</v>
      </c>
      <c r="J5625" s="55">
        <v>6.1683079999999997</v>
      </c>
      <c r="K5625" s="55">
        <v>3.431781</v>
      </c>
      <c r="L5625" s="55">
        <v>1.7333019999999999</v>
      </c>
      <c r="M5625" s="55">
        <v>-2.6093489999999999</v>
      </c>
      <c r="N5625" s="55">
        <v>-1.5211710000000001</v>
      </c>
    </row>
    <row r="5626" spans="1:14" hidden="1" x14ac:dyDescent="0.35">
      <c r="A5626" s="52" t="s">
        <v>711</v>
      </c>
      <c r="B5626" s="52" t="s">
        <v>74</v>
      </c>
      <c r="C5626" s="52" t="s">
        <v>71</v>
      </c>
      <c r="D5626" s="52" t="s">
        <v>137</v>
      </c>
      <c r="E5626" s="52" t="s">
        <v>584</v>
      </c>
      <c r="F5626" s="52" t="s">
        <v>581</v>
      </c>
      <c r="G5626" s="55" t="s">
        <v>277</v>
      </c>
      <c r="H5626" s="55">
        <v>7.9420440000000001</v>
      </c>
      <c r="I5626" s="55">
        <v>1.2367939999999999</v>
      </c>
      <c r="J5626" s="55">
        <v>1.2410479999999999</v>
      </c>
      <c r="K5626" s="55">
        <v>1.631316</v>
      </c>
      <c r="L5626" s="55">
        <v>5.0564340000000003</v>
      </c>
      <c r="M5626" s="55">
        <v>4.5730209999999998</v>
      </c>
      <c r="N5626" s="55">
        <v>4.9056759999999997</v>
      </c>
    </row>
    <row r="5627" spans="1:14" hidden="1" x14ac:dyDescent="0.35">
      <c r="A5627" s="52" t="s">
        <v>711</v>
      </c>
      <c r="B5627" s="52" t="s">
        <v>74</v>
      </c>
      <c r="C5627" s="52" t="s">
        <v>71</v>
      </c>
      <c r="D5627" s="52" t="s">
        <v>137</v>
      </c>
      <c r="E5627" s="52" t="s">
        <v>584</v>
      </c>
      <c r="F5627" s="52" t="s">
        <v>581</v>
      </c>
      <c r="G5627" s="55" t="s">
        <v>278</v>
      </c>
      <c r="H5627" s="55">
        <v>1.3495E-2</v>
      </c>
      <c r="I5627" s="55">
        <v>1.8426999999999999E-2</v>
      </c>
      <c r="J5627" s="55">
        <v>1.8426999999999999E-2</v>
      </c>
      <c r="K5627" s="55">
        <v>1.8426999999999999E-2</v>
      </c>
      <c r="L5627" s="55">
        <v>1.8426999999999999E-2</v>
      </c>
      <c r="M5627" s="55">
        <v>1.8426999999999999E-2</v>
      </c>
      <c r="N5627" s="55">
        <v>1.8426999999999999E-2</v>
      </c>
    </row>
    <row r="5628" spans="1:14" hidden="1" x14ac:dyDescent="0.35">
      <c r="A5628" s="52" t="s">
        <v>711</v>
      </c>
      <c r="B5628" s="52" t="s">
        <v>74</v>
      </c>
      <c r="C5628" s="52" t="s">
        <v>71</v>
      </c>
      <c r="D5628" s="52" t="s">
        <v>137</v>
      </c>
      <c r="E5628" s="52" t="s">
        <v>584</v>
      </c>
      <c r="F5628" s="52" t="s">
        <v>581</v>
      </c>
      <c r="G5628" s="55" t="s">
        <v>279</v>
      </c>
      <c r="H5628" s="55">
        <v>39.928649999999998</v>
      </c>
      <c r="I5628" s="55">
        <v>33.440190000000001</v>
      </c>
      <c r="J5628" s="55">
        <v>28.489809999999999</v>
      </c>
      <c r="K5628" s="55">
        <v>29.36788</v>
      </c>
      <c r="L5628" s="55">
        <v>28.64329</v>
      </c>
      <c r="M5628" s="55">
        <v>34.905360000000002</v>
      </c>
      <c r="N5628" s="55">
        <v>26.588909999999998</v>
      </c>
    </row>
    <row r="5629" spans="1:14" hidden="1" x14ac:dyDescent="0.35">
      <c r="A5629" s="52" t="s">
        <v>711</v>
      </c>
      <c r="B5629" s="52" t="s">
        <v>74</v>
      </c>
      <c r="C5629" s="52" t="s">
        <v>71</v>
      </c>
      <c r="D5629" s="52" t="s">
        <v>137</v>
      </c>
      <c r="E5629" s="52" t="s">
        <v>584</v>
      </c>
      <c r="F5629" s="52" t="s">
        <v>26</v>
      </c>
      <c r="G5629" s="55" t="s">
        <v>275</v>
      </c>
      <c r="H5629" s="55">
        <v>0.50079549999999995</v>
      </c>
      <c r="I5629" s="55">
        <v>0.32446000000000003</v>
      </c>
      <c r="J5629" s="55">
        <v>0.21366099999999999</v>
      </c>
      <c r="K5629" s="55">
        <v>0.1743014</v>
      </c>
      <c r="L5629" s="55">
        <v>0.13358100000000001</v>
      </c>
      <c r="M5629" s="55">
        <v>9.9631940000000002E-2</v>
      </c>
      <c r="N5629" s="55">
        <v>8.1333600000000006E-2</v>
      </c>
    </row>
    <row r="5630" spans="1:14" hidden="1" x14ac:dyDescent="0.35">
      <c r="A5630" s="52" t="s">
        <v>711</v>
      </c>
      <c r="B5630" s="52" t="s">
        <v>74</v>
      </c>
      <c r="C5630" s="52" t="s">
        <v>71</v>
      </c>
      <c r="D5630" s="52" t="s">
        <v>137</v>
      </c>
      <c r="E5630" s="52" t="s">
        <v>584</v>
      </c>
      <c r="F5630" s="52" t="s">
        <v>26</v>
      </c>
      <c r="G5630" s="55" t="s">
        <v>276</v>
      </c>
      <c r="H5630" s="55">
        <v>0.33386549999999998</v>
      </c>
      <c r="I5630" s="55">
        <v>0.2163043</v>
      </c>
      <c r="J5630" s="55">
        <v>0.14243990000000001</v>
      </c>
      <c r="K5630" s="55">
        <v>0.1162012</v>
      </c>
      <c r="L5630" s="55">
        <v>8.9052500000000007E-2</v>
      </c>
      <c r="M5630" s="55">
        <v>6.6419939999999997E-2</v>
      </c>
      <c r="N5630" s="55">
        <v>5.4222149999999997E-2</v>
      </c>
    </row>
    <row r="5631" spans="1:14" hidden="1" x14ac:dyDescent="0.35">
      <c r="A5631" s="52" t="s">
        <v>711</v>
      </c>
      <c r="B5631" s="52" t="s">
        <v>74</v>
      </c>
      <c r="C5631" s="52" t="s">
        <v>71</v>
      </c>
      <c r="D5631" s="52" t="s">
        <v>137</v>
      </c>
      <c r="E5631" s="52" t="s">
        <v>584</v>
      </c>
      <c r="F5631" s="52" t="s">
        <v>26</v>
      </c>
      <c r="G5631" s="55" t="s">
        <v>279</v>
      </c>
      <c r="H5631" s="55">
        <v>0.2404625</v>
      </c>
      <c r="I5631" s="55">
        <v>0.15438250000000001</v>
      </c>
      <c r="J5631" s="55">
        <v>8.4086499999999995E-2</v>
      </c>
      <c r="K5631" s="55">
        <v>7.1088999999999999E-2</v>
      </c>
      <c r="L5631" s="55">
        <v>5.3797999999999999E-2</v>
      </c>
      <c r="M5631" s="55">
        <v>4.5017500000000002E-2</v>
      </c>
      <c r="N5631" s="55">
        <v>3.6508499999999999E-2</v>
      </c>
    </row>
    <row r="5632" spans="1:14" hidden="1" x14ac:dyDescent="0.35">
      <c r="A5632" s="52" t="s">
        <v>711</v>
      </c>
      <c r="B5632" s="52" t="s">
        <v>74</v>
      </c>
      <c r="C5632" s="52" t="s">
        <v>146</v>
      </c>
      <c r="D5632" s="52" t="s">
        <v>147</v>
      </c>
      <c r="E5632" s="52" t="s">
        <v>584</v>
      </c>
      <c r="F5632" s="52" t="s">
        <v>581</v>
      </c>
      <c r="G5632" s="55" t="s">
        <v>275</v>
      </c>
      <c r="H5632" s="55">
        <v>-3.4673549999999997E-2</v>
      </c>
      <c r="I5632" s="55">
        <v>-9.0108999999999995</v>
      </c>
      <c r="J5632" s="55">
        <v>-9.4283319999999993</v>
      </c>
      <c r="K5632" s="55">
        <v>-107.44799999999999</v>
      </c>
      <c r="L5632" s="55">
        <v>-51.236449999999998</v>
      </c>
      <c r="M5632" s="55">
        <v>-2.0681500000000002</v>
      </c>
      <c r="N5632" s="55">
        <v>0.57579919999999996</v>
      </c>
    </row>
    <row r="5633" spans="1:14" hidden="1" x14ac:dyDescent="0.35">
      <c r="A5633" s="52" t="s">
        <v>711</v>
      </c>
      <c r="B5633" s="52" t="s">
        <v>74</v>
      </c>
      <c r="C5633" s="52" t="s">
        <v>146</v>
      </c>
      <c r="D5633" s="52" t="s">
        <v>147</v>
      </c>
      <c r="E5633" s="52" t="s">
        <v>584</v>
      </c>
      <c r="F5633" s="52" t="s">
        <v>581</v>
      </c>
      <c r="G5633" s="55" t="s">
        <v>276</v>
      </c>
      <c r="H5633" s="55">
        <v>-0.56436070000000005</v>
      </c>
      <c r="I5633" s="55">
        <v>-6.8095189999999999</v>
      </c>
      <c r="J5633" s="55">
        <v>-6.8485500000000004</v>
      </c>
      <c r="K5633" s="55">
        <v>-71.70438</v>
      </c>
      <c r="L5633" s="55">
        <v>-34.596179999999997</v>
      </c>
      <c r="M5633" s="55">
        <v>-1.4511750000000001</v>
      </c>
      <c r="N5633" s="55">
        <v>0.3114635</v>
      </c>
    </row>
    <row r="5634" spans="1:14" hidden="1" x14ac:dyDescent="0.35">
      <c r="A5634" s="52" t="s">
        <v>711</v>
      </c>
      <c r="B5634" s="52" t="s">
        <v>74</v>
      </c>
      <c r="C5634" s="52" t="s">
        <v>146</v>
      </c>
      <c r="D5634" s="52" t="s">
        <v>147</v>
      </c>
      <c r="E5634" s="52" t="s">
        <v>584</v>
      </c>
      <c r="F5634" s="52" t="s">
        <v>581</v>
      </c>
      <c r="G5634" s="55" t="s">
        <v>277</v>
      </c>
      <c r="H5634" s="55">
        <v>5.1960009999999999</v>
      </c>
      <c r="I5634" s="55">
        <v>7.7015880000000001</v>
      </c>
      <c r="J5634" s="55">
        <v>4.8165180000000003</v>
      </c>
      <c r="K5634" s="55">
        <v>2.7050529999999999</v>
      </c>
      <c r="L5634" s="55">
        <v>0.70298669999999996</v>
      </c>
      <c r="M5634" s="55">
        <v>0</v>
      </c>
      <c r="N5634" s="55"/>
    </row>
    <row r="5635" spans="1:14" hidden="1" x14ac:dyDescent="0.35">
      <c r="A5635" s="52" t="s">
        <v>711</v>
      </c>
      <c r="B5635" s="52" t="s">
        <v>74</v>
      </c>
      <c r="C5635" s="52" t="s">
        <v>146</v>
      </c>
      <c r="D5635" s="52" t="s">
        <v>147</v>
      </c>
      <c r="E5635" s="52" t="s">
        <v>584</v>
      </c>
      <c r="F5635" s="52" t="s">
        <v>581</v>
      </c>
      <c r="G5635" s="55" t="s">
        <v>278</v>
      </c>
      <c r="H5635" s="55">
        <v>5.3025000000000003E-2</v>
      </c>
      <c r="I5635" s="55">
        <v>7.240605E-2</v>
      </c>
      <c r="J5635" s="55">
        <v>7.240605E-2</v>
      </c>
      <c r="K5635" s="55">
        <v>7.240605E-2</v>
      </c>
      <c r="L5635" s="55">
        <v>7.240605E-2</v>
      </c>
      <c r="M5635" s="55">
        <v>7.240605E-2</v>
      </c>
      <c r="N5635" s="55">
        <v>7.240605E-2</v>
      </c>
    </row>
    <row r="5636" spans="1:14" hidden="1" x14ac:dyDescent="0.35">
      <c r="A5636" s="52" t="s">
        <v>711</v>
      </c>
      <c r="B5636" s="52" t="s">
        <v>74</v>
      </c>
      <c r="C5636" s="52" t="s">
        <v>146</v>
      </c>
      <c r="D5636" s="52" t="s">
        <v>147</v>
      </c>
      <c r="E5636" s="52" t="s">
        <v>584</v>
      </c>
      <c r="F5636" s="52" t="s">
        <v>581</v>
      </c>
      <c r="G5636" s="55" t="s">
        <v>279</v>
      </c>
      <c r="H5636" s="55">
        <v>35.375160000000001</v>
      </c>
      <c r="I5636" s="55">
        <v>27.50591</v>
      </c>
      <c r="J5636" s="55">
        <v>24.351839999999999</v>
      </c>
      <c r="K5636" s="55">
        <v>181.7818</v>
      </c>
      <c r="L5636" s="55">
        <v>89.499269999999996</v>
      </c>
      <c r="M5636" s="55">
        <v>13.22139</v>
      </c>
      <c r="N5636" s="55">
        <v>14.236599999999999</v>
      </c>
    </row>
    <row r="5637" spans="1:14" hidden="1" x14ac:dyDescent="0.35">
      <c r="A5637" s="52" t="s">
        <v>711</v>
      </c>
      <c r="B5637" s="52" t="s">
        <v>74</v>
      </c>
      <c r="C5637" s="52" t="s">
        <v>146</v>
      </c>
      <c r="D5637" s="52" t="s">
        <v>147</v>
      </c>
      <c r="E5637" s="52" t="s">
        <v>584</v>
      </c>
      <c r="F5637" s="52" t="s">
        <v>26</v>
      </c>
      <c r="G5637" s="55" t="s">
        <v>275</v>
      </c>
      <c r="H5637" s="55">
        <v>6.2017480000000003</v>
      </c>
      <c r="I5637" s="55">
        <v>2.8582139999999998</v>
      </c>
      <c r="J5637" s="55">
        <v>0.31752160000000001</v>
      </c>
      <c r="K5637" s="55">
        <v>-38.675190000000001</v>
      </c>
      <c r="L5637" s="55">
        <v>0.58354470000000003</v>
      </c>
      <c r="M5637" s="55">
        <v>11.972340000000001</v>
      </c>
      <c r="N5637" s="55">
        <v>12.080030000000001</v>
      </c>
    </row>
    <row r="5638" spans="1:14" hidden="1" x14ac:dyDescent="0.35">
      <c r="A5638" s="52" t="s">
        <v>711</v>
      </c>
      <c r="B5638" s="52" t="s">
        <v>74</v>
      </c>
      <c r="C5638" s="52" t="s">
        <v>146</v>
      </c>
      <c r="D5638" s="52" t="s">
        <v>147</v>
      </c>
      <c r="E5638" s="52" t="s">
        <v>584</v>
      </c>
      <c r="F5638" s="52" t="s">
        <v>26</v>
      </c>
      <c r="G5638" s="55" t="s">
        <v>276</v>
      </c>
      <c r="H5638" s="55">
        <v>4.1344989999999999</v>
      </c>
      <c r="I5638" s="55">
        <v>1.9054759999999999</v>
      </c>
      <c r="J5638" s="55">
        <v>0.21168000000000001</v>
      </c>
      <c r="K5638" s="55">
        <v>-25.783460000000002</v>
      </c>
      <c r="L5638" s="55">
        <v>-10.24324</v>
      </c>
      <c r="M5638" s="55">
        <v>7.1716990000000003</v>
      </c>
      <c r="N5638" s="55">
        <v>7.1639530000000002</v>
      </c>
    </row>
    <row r="5639" spans="1:14" hidden="1" x14ac:dyDescent="0.35">
      <c r="A5639" s="52" t="s">
        <v>711</v>
      </c>
      <c r="B5639" s="52" t="s">
        <v>74</v>
      </c>
      <c r="C5639" s="52" t="s">
        <v>146</v>
      </c>
      <c r="D5639" s="52" t="s">
        <v>147</v>
      </c>
      <c r="E5639" s="52" t="s">
        <v>584</v>
      </c>
      <c r="F5639" s="52" t="s">
        <v>26</v>
      </c>
      <c r="G5639" s="55" t="s">
        <v>277</v>
      </c>
      <c r="H5639" s="55">
        <v>0.36304999999999998</v>
      </c>
      <c r="I5639" s="55">
        <v>5.8087999999999997</v>
      </c>
      <c r="J5639" s="55">
        <v>7.8553199999999999</v>
      </c>
      <c r="K5639" s="55">
        <v>69.593620000000001</v>
      </c>
      <c r="L5639" s="55">
        <v>18.085920000000002</v>
      </c>
      <c r="M5639" s="55">
        <v>7.7746909999999998</v>
      </c>
      <c r="N5639" s="55">
        <v>8.5382829999999998</v>
      </c>
    </row>
    <row r="5640" spans="1:14" hidden="1" x14ac:dyDescent="0.35">
      <c r="A5640" s="52" t="s">
        <v>711</v>
      </c>
      <c r="B5640" s="52" t="s">
        <v>74</v>
      </c>
      <c r="C5640" s="52" t="s">
        <v>146</v>
      </c>
      <c r="D5640" s="52" t="s">
        <v>147</v>
      </c>
      <c r="E5640" s="52" t="s">
        <v>584</v>
      </c>
      <c r="F5640" s="52" t="s">
        <v>26</v>
      </c>
      <c r="G5640" s="55" t="s">
        <v>279</v>
      </c>
      <c r="H5640" s="55">
        <v>3.4835799999999999</v>
      </c>
      <c r="I5640" s="55">
        <v>3.2152189999999998</v>
      </c>
      <c r="J5640" s="55">
        <v>2.2394370000000001</v>
      </c>
      <c r="K5640" s="55">
        <v>1.637273</v>
      </c>
      <c r="L5640" s="55">
        <v>8.8810900000000004</v>
      </c>
      <c r="M5640" s="55">
        <v>18.83708</v>
      </c>
      <c r="N5640" s="55">
        <v>17.965070000000001</v>
      </c>
    </row>
    <row r="5641" spans="1:14" hidden="1" x14ac:dyDescent="0.35">
      <c r="A5641" s="52" t="s">
        <v>711</v>
      </c>
      <c r="B5641" s="52" t="s">
        <v>74</v>
      </c>
      <c r="C5641" s="52" t="s">
        <v>146</v>
      </c>
      <c r="D5641" s="52" t="s">
        <v>146</v>
      </c>
      <c r="E5641" s="52" t="s">
        <v>584</v>
      </c>
      <c r="F5641" s="52" t="s">
        <v>581</v>
      </c>
      <c r="G5641" s="55" t="s">
        <v>275</v>
      </c>
      <c r="H5641" s="55">
        <v>-14.28425</v>
      </c>
      <c r="I5641" s="55">
        <v>-21.225850000000001</v>
      </c>
      <c r="J5641" s="55">
        <v>-15.296950000000001</v>
      </c>
      <c r="K5641" s="55">
        <v>-36.018689999999999</v>
      </c>
      <c r="L5641" s="55">
        <v>-40.788989999999998</v>
      </c>
      <c r="M5641" s="55">
        <v>-31.629000000000001</v>
      </c>
      <c r="N5641" s="55">
        <v>-4.1413200000000003</v>
      </c>
    </row>
    <row r="5642" spans="1:14" hidden="1" x14ac:dyDescent="0.35">
      <c r="A5642" s="52" t="s">
        <v>711</v>
      </c>
      <c r="B5642" s="52" t="s">
        <v>74</v>
      </c>
      <c r="C5642" s="52" t="s">
        <v>146</v>
      </c>
      <c r="D5642" s="52" t="s">
        <v>146</v>
      </c>
      <c r="E5642" s="52" t="s">
        <v>584</v>
      </c>
      <c r="F5642" s="52" t="s">
        <v>581</v>
      </c>
      <c r="G5642" s="55" t="s">
        <v>276</v>
      </c>
      <c r="H5642" s="55">
        <v>-10.04461</v>
      </c>
      <c r="I5642" s="55">
        <v>-14.351139999999999</v>
      </c>
      <c r="J5642" s="55">
        <v>-10.223380000000001</v>
      </c>
      <c r="K5642" s="55">
        <v>-24.037880000000001</v>
      </c>
      <c r="L5642" s="55">
        <v>-27.218070000000001</v>
      </c>
      <c r="M5642" s="55">
        <v>-21.111419999999999</v>
      </c>
      <c r="N5642" s="55">
        <v>-2.7862960000000001</v>
      </c>
    </row>
    <row r="5643" spans="1:14" hidden="1" x14ac:dyDescent="0.35">
      <c r="A5643" s="52" t="s">
        <v>711</v>
      </c>
      <c r="B5643" s="52" t="s">
        <v>74</v>
      </c>
      <c r="C5643" s="52" t="s">
        <v>146</v>
      </c>
      <c r="D5643" s="52" t="s">
        <v>146</v>
      </c>
      <c r="E5643" s="52" t="s">
        <v>584</v>
      </c>
      <c r="F5643" s="52" t="s">
        <v>581</v>
      </c>
      <c r="G5643" s="55" t="s">
        <v>277</v>
      </c>
      <c r="H5643" s="55">
        <v>5.0090409999999999</v>
      </c>
      <c r="I5643" s="55">
        <v>1.9255070000000001</v>
      </c>
      <c r="J5643" s="55">
        <v>0</v>
      </c>
      <c r="K5643" s="55">
        <v>0</v>
      </c>
      <c r="L5643" s="55"/>
      <c r="M5643" s="55"/>
      <c r="N5643" s="55"/>
    </row>
    <row r="5644" spans="1:14" hidden="1" x14ac:dyDescent="0.35">
      <c r="A5644" s="52" t="s">
        <v>711</v>
      </c>
      <c r="B5644" s="52" t="s">
        <v>74</v>
      </c>
      <c r="C5644" s="52" t="s">
        <v>146</v>
      </c>
      <c r="D5644" s="52" t="s">
        <v>146</v>
      </c>
      <c r="E5644" s="52" t="s">
        <v>584</v>
      </c>
      <c r="F5644" s="52" t="s">
        <v>581</v>
      </c>
      <c r="G5644" s="55" t="s">
        <v>278</v>
      </c>
      <c r="H5644" s="55">
        <v>1.8615469999999999E-2</v>
      </c>
      <c r="I5644" s="55">
        <v>2.5418670000000001E-2</v>
      </c>
      <c r="J5644" s="55">
        <v>2.5418670000000001E-2</v>
      </c>
      <c r="K5644" s="55">
        <v>2.5418670000000001E-2</v>
      </c>
      <c r="L5644" s="55">
        <v>2.5418670000000001E-2</v>
      </c>
      <c r="M5644" s="55">
        <v>2.5418670000000001E-2</v>
      </c>
      <c r="N5644" s="55">
        <v>2.5418670000000001E-2</v>
      </c>
    </row>
    <row r="5645" spans="1:14" hidden="1" x14ac:dyDescent="0.35">
      <c r="A5645" s="52" t="s">
        <v>711</v>
      </c>
      <c r="B5645" s="52" t="s">
        <v>74</v>
      </c>
      <c r="C5645" s="52" t="s">
        <v>146</v>
      </c>
      <c r="D5645" s="52" t="s">
        <v>146</v>
      </c>
      <c r="E5645" s="52" t="s">
        <v>584</v>
      </c>
      <c r="F5645" s="52" t="s">
        <v>581</v>
      </c>
      <c r="G5645" s="55" t="s">
        <v>279</v>
      </c>
      <c r="H5645" s="55">
        <v>28.22091</v>
      </c>
      <c r="I5645" s="55">
        <v>39.281579999999998</v>
      </c>
      <c r="J5645" s="55">
        <v>28.59545</v>
      </c>
      <c r="K5645" s="55">
        <v>60.06756</v>
      </c>
      <c r="L5645" s="55">
        <v>67.981639999999999</v>
      </c>
      <c r="M5645" s="55">
        <v>52.715000000000003</v>
      </c>
      <c r="N5645" s="55">
        <v>6.9021999999999997</v>
      </c>
    </row>
    <row r="5646" spans="1:14" hidden="1" x14ac:dyDescent="0.35">
      <c r="A5646" s="52" t="s">
        <v>711</v>
      </c>
      <c r="B5646" s="52" t="s">
        <v>74</v>
      </c>
      <c r="C5646" s="52" t="s">
        <v>127</v>
      </c>
      <c r="D5646" s="52" t="s">
        <v>127</v>
      </c>
      <c r="E5646" s="52" t="s">
        <v>584</v>
      </c>
      <c r="F5646" s="52" t="s">
        <v>581</v>
      </c>
      <c r="G5646" s="55" t="s">
        <v>275</v>
      </c>
      <c r="H5646" s="55">
        <v>12.470079999999999</v>
      </c>
      <c r="I5646" s="55">
        <v>-21.067830000000001</v>
      </c>
      <c r="J5646" s="55">
        <v>-5.2673350000000001</v>
      </c>
      <c r="K5646" s="55">
        <v>-7.9062020000000004</v>
      </c>
      <c r="L5646" s="55">
        <v>-8.6094609999999996</v>
      </c>
      <c r="M5646" s="55">
        <v>-8.8170120000000001</v>
      </c>
      <c r="N5646" s="55">
        <v>-9.4332080000000005</v>
      </c>
    </row>
    <row r="5647" spans="1:14" hidden="1" x14ac:dyDescent="0.35">
      <c r="A5647" s="52" t="s">
        <v>711</v>
      </c>
      <c r="B5647" s="52" t="s">
        <v>74</v>
      </c>
      <c r="C5647" s="52" t="s">
        <v>127</v>
      </c>
      <c r="D5647" s="52" t="s">
        <v>127</v>
      </c>
      <c r="E5647" s="52" t="s">
        <v>584</v>
      </c>
      <c r="F5647" s="52" t="s">
        <v>581</v>
      </c>
      <c r="G5647" s="55" t="s">
        <v>276</v>
      </c>
      <c r="H5647" s="55">
        <v>7.4925540000000002</v>
      </c>
      <c r="I5647" s="55">
        <v>-17.316600000000001</v>
      </c>
      <c r="J5647" s="55">
        <v>-3.654785</v>
      </c>
      <c r="K5647" s="55">
        <v>-5.4459200000000001</v>
      </c>
      <c r="L5647" s="55">
        <v>-5.9463699999999999</v>
      </c>
      <c r="M5647" s="55">
        <v>-6.1670299999999996</v>
      </c>
      <c r="N5647" s="55">
        <v>-7.2999919999999996</v>
      </c>
    </row>
    <row r="5648" spans="1:14" hidden="1" x14ac:dyDescent="0.35">
      <c r="A5648" s="52" t="s">
        <v>711</v>
      </c>
      <c r="B5648" s="52" t="s">
        <v>74</v>
      </c>
      <c r="C5648" s="52" t="s">
        <v>127</v>
      </c>
      <c r="D5648" s="52" t="s">
        <v>127</v>
      </c>
      <c r="E5648" s="52" t="s">
        <v>584</v>
      </c>
      <c r="F5648" s="52" t="s">
        <v>581</v>
      </c>
      <c r="G5648" s="55" t="s">
        <v>277</v>
      </c>
      <c r="H5648" s="55">
        <v>7.8799989999999998</v>
      </c>
      <c r="I5648" s="55">
        <v>31.405259999999998</v>
      </c>
      <c r="J5648" s="55">
        <v>1.023093</v>
      </c>
      <c r="K5648" s="55">
        <v>1.329215</v>
      </c>
      <c r="L5648" s="55">
        <v>1.6327020000000001</v>
      </c>
      <c r="M5648" s="55">
        <v>1.82073</v>
      </c>
      <c r="N5648" s="55">
        <v>2.733508</v>
      </c>
    </row>
    <row r="5649" spans="1:14" hidden="1" x14ac:dyDescent="0.35">
      <c r="A5649" s="52" t="s">
        <v>711</v>
      </c>
      <c r="B5649" s="52" t="s">
        <v>74</v>
      </c>
      <c r="C5649" s="52" t="s">
        <v>127</v>
      </c>
      <c r="D5649" s="52" t="s">
        <v>127</v>
      </c>
      <c r="E5649" s="52" t="s">
        <v>584</v>
      </c>
      <c r="F5649" s="52" t="s">
        <v>581</v>
      </c>
      <c r="G5649" s="55" t="s">
        <v>278</v>
      </c>
      <c r="H5649" s="55">
        <v>2.6844E-2</v>
      </c>
      <c r="I5649" s="55">
        <v>3.6655E-2</v>
      </c>
      <c r="J5649" s="55">
        <v>3.6655E-2</v>
      </c>
      <c r="K5649" s="55">
        <v>3.6655E-2</v>
      </c>
      <c r="L5649" s="55">
        <v>3.6655E-2</v>
      </c>
      <c r="M5649" s="55">
        <v>3.6655E-2</v>
      </c>
      <c r="N5649" s="55">
        <v>3.6655E-2</v>
      </c>
    </row>
    <row r="5650" spans="1:14" hidden="1" x14ac:dyDescent="0.35">
      <c r="A5650" s="52" t="s">
        <v>711</v>
      </c>
      <c r="B5650" s="52" t="s">
        <v>74</v>
      </c>
      <c r="C5650" s="52" t="s">
        <v>127</v>
      </c>
      <c r="D5650" s="52" t="s">
        <v>127</v>
      </c>
      <c r="E5650" s="52" t="s">
        <v>584</v>
      </c>
      <c r="F5650" s="52" t="s">
        <v>581</v>
      </c>
      <c r="G5650" s="55" t="s">
        <v>279</v>
      </c>
      <c r="H5650" s="55">
        <v>48.1571</v>
      </c>
      <c r="I5650" s="55">
        <v>38.158969999999997</v>
      </c>
      <c r="J5650" s="55">
        <v>35.290190000000003</v>
      </c>
      <c r="K5650" s="55">
        <v>41.10087</v>
      </c>
      <c r="L5650" s="55">
        <v>38.87068</v>
      </c>
      <c r="M5650" s="55">
        <v>41.401690000000002</v>
      </c>
      <c r="N5650" s="55">
        <v>39.614449999999998</v>
      </c>
    </row>
    <row r="5651" spans="1:14" hidden="1" x14ac:dyDescent="0.35">
      <c r="A5651" s="52" t="s">
        <v>711</v>
      </c>
      <c r="B5651" s="52" t="s">
        <v>60</v>
      </c>
      <c r="C5651" s="52" t="s">
        <v>58</v>
      </c>
      <c r="D5651" s="52" t="s">
        <v>58</v>
      </c>
      <c r="E5651" s="52" t="s">
        <v>584</v>
      </c>
      <c r="F5651" s="52" t="s">
        <v>581</v>
      </c>
      <c r="G5651" s="55" t="s">
        <v>275</v>
      </c>
      <c r="H5651" s="55">
        <v>1.6251040000000001</v>
      </c>
      <c r="I5651" s="55">
        <v>3.1380970000000001</v>
      </c>
      <c r="J5651" s="55">
        <v>2.2692709999999998</v>
      </c>
      <c r="K5651" s="55">
        <v>1.929354</v>
      </c>
      <c r="L5651" s="55">
        <v>1.2343900000000001</v>
      </c>
      <c r="M5651" s="55">
        <v>1.1298189999999999</v>
      </c>
      <c r="N5651" s="55">
        <v>1.1860949999999999</v>
      </c>
    </row>
    <row r="5652" spans="1:14" hidden="1" x14ac:dyDescent="0.35">
      <c r="A5652" s="52" t="s">
        <v>711</v>
      </c>
      <c r="B5652" s="52" t="s">
        <v>60</v>
      </c>
      <c r="C5652" s="52" t="s">
        <v>58</v>
      </c>
      <c r="D5652" s="52" t="s">
        <v>58</v>
      </c>
      <c r="E5652" s="52" t="s">
        <v>584</v>
      </c>
      <c r="F5652" s="52" t="s">
        <v>581</v>
      </c>
      <c r="G5652" s="55" t="s">
        <v>276</v>
      </c>
      <c r="H5652" s="55">
        <v>3.6028920000000002</v>
      </c>
      <c r="I5652" s="55">
        <v>2.4429569999999998</v>
      </c>
      <c r="J5652" s="55">
        <v>2.0280770000000001</v>
      </c>
      <c r="K5652" s="55">
        <v>1.666712</v>
      </c>
      <c r="L5652" s="55">
        <v>1.4193020000000001</v>
      </c>
      <c r="M5652" s="55">
        <v>1.256535</v>
      </c>
      <c r="N5652" s="55">
        <v>1.027007</v>
      </c>
    </row>
    <row r="5653" spans="1:14" hidden="1" x14ac:dyDescent="0.35">
      <c r="A5653" s="52" t="s">
        <v>711</v>
      </c>
      <c r="B5653" s="52" t="s">
        <v>60</v>
      </c>
      <c r="C5653" s="52" t="s">
        <v>58</v>
      </c>
      <c r="D5653" s="52" t="s">
        <v>58</v>
      </c>
      <c r="E5653" s="52" t="s">
        <v>584</v>
      </c>
      <c r="F5653" s="52" t="s">
        <v>581</v>
      </c>
      <c r="G5653" s="55" t="s">
        <v>277</v>
      </c>
      <c r="H5653" s="55">
        <v>1.2600880000000001</v>
      </c>
      <c r="I5653" s="55">
        <v>0</v>
      </c>
      <c r="J5653" s="55"/>
      <c r="K5653" s="55"/>
      <c r="L5653" s="55"/>
      <c r="M5653" s="55"/>
      <c r="N5653" s="55">
        <v>0</v>
      </c>
    </row>
    <row r="5654" spans="1:14" hidden="1" x14ac:dyDescent="0.35">
      <c r="A5654" s="52" t="s">
        <v>711</v>
      </c>
      <c r="B5654" s="52" t="s">
        <v>60</v>
      </c>
      <c r="C5654" s="52" t="s">
        <v>58</v>
      </c>
      <c r="D5654" s="52" t="s">
        <v>58</v>
      </c>
      <c r="E5654" s="52" t="s">
        <v>584</v>
      </c>
      <c r="F5654" s="52" t="s">
        <v>581</v>
      </c>
      <c r="G5654" s="55" t="s">
        <v>279</v>
      </c>
      <c r="H5654" s="55">
        <v>0.78771150000000001</v>
      </c>
      <c r="I5654" s="55">
        <v>1.2333670000000001</v>
      </c>
      <c r="J5654" s="55">
        <v>1.0984970000000001</v>
      </c>
      <c r="K5654" s="55">
        <v>0.94433509999999998</v>
      </c>
      <c r="L5654" s="55">
        <v>0.68872840000000002</v>
      </c>
      <c r="M5654" s="55">
        <v>0.64350370000000001</v>
      </c>
      <c r="N5654" s="55">
        <v>0.6157878</v>
      </c>
    </row>
    <row r="5655" spans="1:14" hidden="1" x14ac:dyDescent="0.35">
      <c r="A5655" s="52" t="s">
        <v>711</v>
      </c>
      <c r="B5655" s="52" t="s">
        <v>60</v>
      </c>
      <c r="C5655" s="52" t="s">
        <v>58</v>
      </c>
      <c r="D5655" s="52" t="s">
        <v>58</v>
      </c>
      <c r="E5655" s="52" t="s">
        <v>584</v>
      </c>
      <c r="F5655" s="52" t="s">
        <v>26</v>
      </c>
      <c r="G5655" s="55" t="s">
        <v>275</v>
      </c>
      <c r="H5655" s="55">
        <v>35.757330000000003</v>
      </c>
      <c r="I5655" s="55">
        <v>122.0338</v>
      </c>
      <c r="J5655" s="55">
        <v>75.823059999999998</v>
      </c>
      <c r="K5655" s="55">
        <v>62.41187</v>
      </c>
      <c r="L5655" s="55">
        <v>50.947740000000003</v>
      </c>
      <c r="M5655" s="55">
        <v>41.318510000000003</v>
      </c>
      <c r="N5655" s="55">
        <v>35.287390000000002</v>
      </c>
    </row>
    <row r="5656" spans="1:14" hidden="1" x14ac:dyDescent="0.35">
      <c r="A5656" s="52" t="s">
        <v>711</v>
      </c>
      <c r="B5656" s="52" t="s">
        <v>60</v>
      </c>
      <c r="C5656" s="52" t="s">
        <v>58</v>
      </c>
      <c r="D5656" s="52" t="s">
        <v>58</v>
      </c>
      <c r="E5656" s="52" t="s">
        <v>584</v>
      </c>
      <c r="F5656" s="52" t="s">
        <v>26</v>
      </c>
      <c r="G5656" s="55" t="s">
        <v>276</v>
      </c>
      <c r="H5656" s="55">
        <v>57.295679999999997</v>
      </c>
      <c r="I5656" s="55">
        <v>73.529499999999999</v>
      </c>
      <c r="J5656" s="55">
        <v>65.484999999999999</v>
      </c>
      <c r="K5656" s="55">
        <v>54.565829999999998</v>
      </c>
      <c r="L5656" s="55">
        <v>42.342019999999998</v>
      </c>
      <c r="M5656" s="55">
        <v>39.764940000000003</v>
      </c>
      <c r="N5656" s="55">
        <v>36.569339999999997</v>
      </c>
    </row>
    <row r="5657" spans="1:14" hidden="1" x14ac:dyDescent="0.35">
      <c r="A5657" s="52" t="s">
        <v>711</v>
      </c>
      <c r="B5657" s="52" t="s">
        <v>60</v>
      </c>
      <c r="C5657" s="52" t="s">
        <v>58</v>
      </c>
      <c r="D5657" s="52" t="s">
        <v>58</v>
      </c>
      <c r="E5657" s="52" t="s">
        <v>584</v>
      </c>
      <c r="F5657" s="52" t="s">
        <v>26</v>
      </c>
      <c r="G5657" s="55" t="s">
        <v>277</v>
      </c>
      <c r="H5657" s="55">
        <v>58.516120000000001</v>
      </c>
      <c r="I5657" s="55">
        <v>6.1362880000000004</v>
      </c>
      <c r="J5657" s="55">
        <v>8.0618750000000006</v>
      </c>
      <c r="K5657" s="55">
        <v>10.76183</v>
      </c>
      <c r="L5657" s="55">
        <v>11.76695</v>
      </c>
      <c r="M5657" s="55">
        <v>11.96129</v>
      </c>
      <c r="N5657" s="55">
        <v>11.85684</v>
      </c>
    </row>
    <row r="5658" spans="1:14" hidden="1" x14ac:dyDescent="0.35">
      <c r="A5658" s="52" t="s">
        <v>711</v>
      </c>
      <c r="B5658" s="52" t="s">
        <v>60</v>
      </c>
      <c r="C5658" s="52" t="s">
        <v>58</v>
      </c>
      <c r="D5658" s="52" t="s">
        <v>58</v>
      </c>
      <c r="E5658" s="52" t="s">
        <v>584</v>
      </c>
      <c r="F5658" s="52" t="s">
        <v>26</v>
      </c>
      <c r="G5658" s="55" t="s">
        <v>278</v>
      </c>
      <c r="H5658" s="55">
        <v>1.688286E-2</v>
      </c>
      <c r="I5658" s="55">
        <v>1.0990929999999999E-2</v>
      </c>
      <c r="J5658" s="55">
        <v>1.0371719999999999E-2</v>
      </c>
      <c r="K5658" s="55">
        <v>3.7422759999999999E-2</v>
      </c>
      <c r="L5658" s="55">
        <v>2.5105410000000002E-2</v>
      </c>
      <c r="M5658" s="55">
        <v>2.5105410000000002E-2</v>
      </c>
      <c r="N5658" s="55">
        <v>2.5105410000000002E-2</v>
      </c>
    </row>
    <row r="5659" spans="1:14" hidden="1" x14ac:dyDescent="0.35">
      <c r="A5659" s="52" t="s">
        <v>711</v>
      </c>
      <c r="B5659" s="52" t="s">
        <v>60</v>
      </c>
      <c r="C5659" s="52" t="s">
        <v>58</v>
      </c>
      <c r="D5659" s="52" t="s">
        <v>58</v>
      </c>
      <c r="E5659" s="52" t="s">
        <v>584</v>
      </c>
      <c r="F5659" s="52" t="s">
        <v>26</v>
      </c>
      <c r="G5659" s="55" t="s">
        <v>279</v>
      </c>
      <c r="H5659" s="55">
        <v>36.022590000000001</v>
      </c>
      <c r="I5659" s="55">
        <v>46.731380000000001</v>
      </c>
      <c r="J5659" s="55">
        <v>41.335270000000001</v>
      </c>
      <c r="K5659" s="55">
        <v>37.271619999999999</v>
      </c>
      <c r="L5659" s="55">
        <v>31.25827</v>
      </c>
      <c r="M5659" s="55">
        <v>28.456959999999999</v>
      </c>
      <c r="N5659" s="55">
        <v>26.25902</v>
      </c>
    </row>
    <row r="5660" spans="1:14" hidden="1" x14ac:dyDescent="0.35">
      <c r="A5660" s="52" t="s">
        <v>711</v>
      </c>
      <c r="B5660" s="52" t="s">
        <v>60</v>
      </c>
      <c r="C5660" s="52" t="s">
        <v>305</v>
      </c>
      <c r="D5660" s="52" t="s">
        <v>305</v>
      </c>
      <c r="E5660" s="52" t="s">
        <v>584</v>
      </c>
      <c r="F5660" s="52" t="s">
        <v>581</v>
      </c>
      <c r="G5660" s="55" t="s">
        <v>275</v>
      </c>
      <c r="H5660" s="55"/>
      <c r="I5660" s="55"/>
      <c r="J5660" s="55"/>
      <c r="K5660" s="55"/>
      <c r="L5660" s="55"/>
      <c r="M5660" s="55"/>
      <c r="N5660" s="55">
        <v>0</v>
      </c>
    </row>
    <row r="5661" spans="1:14" hidden="1" x14ac:dyDescent="0.35">
      <c r="A5661" s="52" t="s">
        <v>711</v>
      </c>
      <c r="B5661" s="52" t="s">
        <v>60</v>
      </c>
      <c r="C5661" s="52" t="s">
        <v>305</v>
      </c>
      <c r="D5661" s="52" t="s">
        <v>305</v>
      </c>
      <c r="E5661" s="52" t="s">
        <v>584</v>
      </c>
      <c r="F5661" s="52" t="s">
        <v>581</v>
      </c>
      <c r="G5661" s="55" t="s">
        <v>276</v>
      </c>
      <c r="H5661" s="55"/>
      <c r="I5661" s="55"/>
      <c r="J5661" s="55"/>
      <c r="K5661" s="55"/>
      <c r="L5661" s="55"/>
      <c r="M5661" s="55"/>
      <c r="N5661" s="55">
        <v>0</v>
      </c>
    </row>
    <row r="5662" spans="1:14" hidden="1" x14ac:dyDescent="0.35">
      <c r="A5662" s="52" t="s">
        <v>711</v>
      </c>
      <c r="B5662" s="52" t="s">
        <v>60</v>
      </c>
      <c r="C5662" s="52" t="s">
        <v>305</v>
      </c>
      <c r="D5662" s="52" t="s">
        <v>305</v>
      </c>
      <c r="E5662" s="52" t="s">
        <v>584</v>
      </c>
      <c r="F5662" s="52" t="s">
        <v>581</v>
      </c>
      <c r="G5662" s="55" t="s">
        <v>279</v>
      </c>
      <c r="H5662" s="55"/>
      <c r="I5662" s="55"/>
      <c r="J5662" s="55"/>
      <c r="K5662" s="55"/>
      <c r="L5662" s="55"/>
      <c r="M5662" s="55"/>
      <c r="N5662" s="55">
        <v>0</v>
      </c>
    </row>
    <row r="5663" spans="1:14" hidden="1" x14ac:dyDescent="0.35">
      <c r="A5663" s="52" t="s">
        <v>711</v>
      </c>
      <c r="B5663" s="52" t="s">
        <v>60</v>
      </c>
      <c r="C5663" s="52" t="s">
        <v>305</v>
      </c>
      <c r="D5663" s="52" t="s">
        <v>305</v>
      </c>
      <c r="E5663" s="52" t="s">
        <v>584</v>
      </c>
      <c r="F5663" s="52" t="s">
        <v>26</v>
      </c>
      <c r="G5663" s="55" t="s">
        <v>275</v>
      </c>
      <c r="H5663" s="55">
        <v>-3.0544180000000001</v>
      </c>
      <c r="I5663" s="55">
        <v>-1.5796460000000001</v>
      </c>
      <c r="J5663" s="55">
        <v>0</v>
      </c>
      <c r="K5663" s="55">
        <v>0</v>
      </c>
      <c r="L5663" s="55">
        <v>0</v>
      </c>
      <c r="M5663" s="55">
        <v>0</v>
      </c>
      <c r="N5663" s="55">
        <v>0</v>
      </c>
    </row>
    <row r="5664" spans="1:14" hidden="1" x14ac:dyDescent="0.35">
      <c r="A5664" s="52" t="s">
        <v>711</v>
      </c>
      <c r="B5664" s="52" t="s">
        <v>60</v>
      </c>
      <c r="C5664" s="52" t="s">
        <v>305</v>
      </c>
      <c r="D5664" s="52" t="s">
        <v>305</v>
      </c>
      <c r="E5664" s="52" t="s">
        <v>584</v>
      </c>
      <c r="F5664" s="52" t="s">
        <v>26</v>
      </c>
      <c r="G5664" s="55" t="s">
        <v>276</v>
      </c>
      <c r="H5664" s="55">
        <v>0.18855</v>
      </c>
      <c r="I5664" s="55">
        <v>-0.28607880000000002</v>
      </c>
      <c r="J5664" s="55">
        <v>-9.3745910000000006</v>
      </c>
      <c r="K5664" s="55">
        <v>-0.7418998</v>
      </c>
      <c r="L5664" s="55">
        <v>-0.54671219999999998</v>
      </c>
      <c r="M5664" s="55">
        <v>-0.54671179999999997</v>
      </c>
      <c r="N5664" s="55">
        <v>-0.98771200000000003</v>
      </c>
    </row>
    <row r="5665" spans="1:14" hidden="1" x14ac:dyDescent="0.35">
      <c r="A5665" s="52" t="s">
        <v>711</v>
      </c>
      <c r="B5665" s="52" t="s">
        <v>60</v>
      </c>
      <c r="C5665" s="52" t="s">
        <v>305</v>
      </c>
      <c r="D5665" s="52" t="s">
        <v>305</v>
      </c>
      <c r="E5665" s="52" t="s">
        <v>584</v>
      </c>
      <c r="F5665" s="52" t="s">
        <v>26</v>
      </c>
      <c r="G5665" s="55" t="s">
        <v>277</v>
      </c>
      <c r="H5665" s="55"/>
      <c r="I5665" s="55"/>
      <c r="J5665" s="55"/>
      <c r="K5665" s="55">
        <v>0</v>
      </c>
      <c r="L5665" s="55">
        <v>4.9000000000000002E-2</v>
      </c>
      <c r="M5665" s="55">
        <v>4.9000000000000002E-2</v>
      </c>
      <c r="N5665" s="55">
        <v>0.49</v>
      </c>
    </row>
    <row r="5666" spans="1:14" hidden="1" x14ac:dyDescent="0.35">
      <c r="A5666" s="52" t="s">
        <v>711</v>
      </c>
      <c r="B5666" s="52" t="s">
        <v>60</v>
      </c>
      <c r="C5666" s="52" t="s">
        <v>305</v>
      </c>
      <c r="D5666" s="52" t="s">
        <v>305</v>
      </c>
      <c r="E5666" s="52" t="s">
        <v>584</v>
      </c>
      <c r="F5666" s="52" t="s">
        <v>26</v>
      </c>
      <c r="G5666" s="55" t="s">
        <v>278</v>
      </c>
      <c r="H5666" s="55">
        <v>2.8658679999999999</v>
      </c>
      <c r="I5666" s="55">
        <v>1.8657250000000001</v>
      </c>
      <c r="J5666" s="55">
        <v>9.3745899999999995</v>
      </c>
      <c r="K5666" s="55">
        <v>0.7418998</v>
      </c>
      <c r="L5666" s="55">
        <v>0.4977124</v>
      </c>
      <c r="M5666" s="55">
        <v>0.4977124</v>
      </c>
      <c r="N5666" s="55">
        <v>0.4977124</v>
      </c>
    </row>
    <row r="5667" spans="1:14" hidden="1" x14ac:dyDescent="0.35">
      <c r="A5667" s="52" t="s">
        <v>711</v>
      </c>
      <c r="B5667" s="52" t="s">
        <v>60</v>
      </c>
      <c r="C5667" s="52" t="s">
        <v>305</v>
      </c>
      <c r="D5667" s="52" t="s">
        <v>305</v>
      </c>
      <c r="E5667" s="52" t="s">
        <v>584</v>
      </c>
      <c r="F5667" s="52" t="s">
        <v>26</v>
      </c>
      <c r="G5667" s="55" t="s">
        <v>279</v>
      </c>
      <c r="H5667" s="55"/>
      <c r="I5667" s="55"/>
      <c r="J5667" s="55"/>
      <c r="K5667" s="55"/>
      <c r="L5667" s="55"/>
      <c r="M5667" s="55"/>
      <c r="N5667" s="55">
        <v>0</v>
      </c>
    </row>
    <row r="5668" spans="1:14" hidden="1" x14ac:dyDescent="0.35">
      <c r="A5668" s="52" t="s">
        <v>711</v>
      </c>
      <c r="B5668" s="52" t="s">
        <v>60</v>
      </c>
      <c r="C5668" s="52" t="s">
        <v>153</v>
      </c>
      <c r="D5668" s="52" t="s">
        <v>153</v>
      </c>
      <c r="E5668" s="52" t="s">
        <v>584</v>
      </c>
      <c r="F5668" s="52" t="s">
        <v>581</v>
      </c>
      <c r="G5668" s="55" t="s">
        <v>275</v>
      </c>
      <c r="H5668" s="55">
        <v>-0.119676</v>
      </c>
      <c r="I5668" s="55">
        <v>-31.43657</v>
      </c>
      <c r="J5668" s="55">
        <v>0</v>
      </c>
      <c r="K5668" s="55">
        <v>0</v>
      </c>
      <c r="L5668" s="55">
        <v>0</v>
      </c>
      <c r="M5668" s="55">
        <v>0</v>
      </c>
      <c r="N5668" s="55">
        <v>0</v>
      </c>
    </row>
    <row r="5669" spans="1:14" hidden="1" x14ac:dyDescent="0.35">
      <c r="A5669" s="52" t="s">
        <v>711</v>
      </c>
      <c r="B5669" s="52" t="s">
        <v>60</v>
      </c>
      <c r="C5669" s="52" t="s">
        <v>153</v>
      </c>
      <c r="D5669" s="52" t="s">
        <v>153</v>
      </c>
      <c r="E5669" s="52" t="s">
        <v>584</v>
      </c>
      <c r="F5669" s="52" t="s">
        <v>581</v>
      </c>
      <c r="G5669" s="55" t="s">
        <v>276</v>
      </c>
      <c r="H5669" s="55"/>
      <c r="I5669" s="55"/>
      <c r="J5669" s="55"/>
      <c r="K5669" s="55"/>
      <c r="L5669" s="55">
        <v>0</v>
      </c>
      <c r="M5669" s="55">
        <v>0</v>
      </c>
      <c r="N5669" s="55">
        <v>0</v>
      </c>
    </row>
    <row r="5670" spans="1:14" hidden="1" x14ac:dyDescent="0.35">
      <c r="A5670" s="52" t="s">
        <v>711</v>
      </c>
      <c r="B5670" s="52" t="s">
        <v>60</v>
      </c>
      <c r="C5670" s="52" t="s">
        <v>153</v>
      </c>
      <c r="D5670" s="52" t="s">
        <v>153</v>
      </c>
      <c r="E5670" s="52" t="s">
        <v>584</v>
      </c>
      <c r="F5670" s="52" t="s">
        <v>581</v>
      </c>
      <c r="G5670" s="55" t="s">
        <v>277</v>
      </c>
      <c r="H5670" s="55">
        <v>0</v>
      </c>
      <c r="I5670" s="55">
        <v>0.4</v>
      </c>
      <c r="J5670" s="55">
        <v>0</v>
      </c>
      <c r="K5670" s="55">
        <v>0</v>
      </c>
      <c r="L5670" s="55">
        <v>0</v>
      </c>
      <c r="M5670" s="55">
        <v>0</v>
      </c>
      <c r="N5670" s="55">
        <v>0</v>
      </c>
    </row>
    <row r="5671" spans="1:14" hidden="1" x14ac:dyDescent="0.35">
      <c r="A5671" s="52" t="s">
        <v>711</v>
      </c>
      <c r="B5671" s="52" t="s">
        <v>60</v>
      </c>
      <c r="C5671" s="52" t="s">
        <v>153</v>
      </c>
      <c r="D5671" s="52" t="s">
        <v>153</v>
      </c>
      <c r="E5671" s="52" t="s">
        <v>584</v>
      </c>
      <c r="F5671" s="52" t="s">
        <v>581</v>
      </c>
      <c r="G5671" s="55" t="s">
        <v>278</v>
      </c>
      <c r="H5671" s="55">
        <v>0.119676</v>
      </c>
      <c r="I5671" s="55">
        <v>31.036570000000001</v>
      </c>
      <c r="J5671" s="55">
        <v>0</v>
      </c>
      <c r="K5671" s="55">
        <v>0</v>
      </c>
      <c r="L5671" s="55">
        <v>0</v>
      </c>
      <c r="M5671" s="55"/>
      <c r="N5671" s="55"/>
    </row>
    <row r="5672" spans="1:14" hidden="1" x14ac:dyDescent="0.35">
      <c r="A5672" s="52" t="s">
        <v>711</v>
      </c>
      <c r="B5672" s="52" t="s">
        <v>60</v>
      </c>
      <c r="C5672" s="52" t="s">
        <v>153</v>
      </c>
      <c r="D5672" s="52" t="s">
        <v>153</v>
      </c>
      <c r="E5672" s="52" t="s">
        <v>584</v>
      </c>
      <c r="F5672" s="52" t="s">
        <v>581</v>
      </c>
      <c r="G5672" s="55" t="s">
        <v>279</v>
      </c>
      <c r="H5672" s="55"/>
      <c r="I5672" s="55"/>
      <c r="J5672" s="55">
        <v>0</v>
      </c>
      <c r="K5672" s="55">
        <v>0</v>
      </c>
      <c r="L5672" s="55">
        <v>0</v>
      </c>
      <c r="M5672" s="55">
        <v>0</v>
      </c>
      <c r="N5672" s="55">
        <v>0</v>
      </c>
    </row>
    <row r="5673" spans="1:14" hidden="1" x14ac:dyDescent="0.35">
      <c r="A5673" s="52" t="s">
        <v>711</v>
      </c>
      <c r="B5673" s="52" t="s">
        <v>60</v>
      </c>
      <c r="C5673" s="52" t="s">
        <v>153</v>
      </c>
      <c r="D5673" s="52" t="s">
        <v>153</v>
      </c>
      <c r="E5673" s="52" t="s">
        <v>584</v>
      </c>
      <c r="F5673" s="52" t="s">
        <v>26</v>
      </c>
      <c r="G5673" s="55" t="s">
        <v>275</v>
      </c>
      <c r="H5673" s="55">
        <v>-0.76745830000000004</v>
      </c>
      <c r="I5673" s="55">
        <v>-23.874210000000001</v>
      </c>
      <c r="J5673" s="55">
        <v>0</v>
      </c>
      <c r="K5673" s="55">
        <v>0</v>
      </c>
      <c r="L5673" s="55">
        <v>0</v>
      </c>
      <c r="M5673" s="55">
        <v>0</v>
      </c>
      <c r="N5673" s="55">
        <v>0</v>
      </c>
    </row>
    <row r="5674" spans="1:14" hidden="1" x14ac:dyDescent="0.35">
      <c r="A5674" s="52" t="s">
        <v>711</v>
      </c>
      <c r="B5674" s="52" t="s">
        <v>60</v>
      </c>
      <c r="C5674" s="52" t="s">
        <v>153</v>
      </c>
      <c r="D5674" s="52" t="s">
        <v>153</v>
      </c>
      <c r="E5674" s="52" t="s">
        <v>584</v>
      </c>
      <c r="F5674" s="52" t="s">
        <v>26</v>
      </c>
      <c r="G5674" s="55" t="s">
        <v>276</v>
      </c>
      <c r="H5674" s="55"/>
      <c r="I5674" s="55"/>
      <c r="J5674" s="55">
        <v>-0.40227839999999998</v>
      </c>
      <c r="K5674" s="55">
        <v>-0.15750639999999999</v>
      </c>
      <c r="L5674" s="55">
        <v>-0.1056648</v>
      </c>
      <c r="M5674" s="55">
        <v>-0.1056648</v>
      </c>
      <c r="N5674" s="55">
        <v>-0.1056648</v>
      </c>
    </row>
    <row r="5675" spans="1:14" hidden="1" x14ac:dyDescent="0.35">
      <c r="A5675" s="52" t="s">
        <v>711</v>
      </c>
      <c r="B5675" s="52" t="s">
        <v>60</v>
      </c>
      <c r="C5675" s="52" t="s">
        <v>153</v>
      </c>
      <c r="D5675" s="52" t="s">
        <v>153</v>
      </c>
      <c r="E5675" s="52" t="s">
        <v>584</v>
      </c>
      <c r="F5675" s="52" t="s">
        <v>26</v>
      </c>
      <c r="G5675" s="55" t="s">
        <v>277</v>
      </c>
      <c r="H5675" s="55">
        <v>0</v>
      </c>
      <c r="I5675" s="55">
        <v>0.4</v>
      </c>
      <c r="J5675" s="55">
        <v>0</v>
      </c>
      <c r="K5675" s="55">
        <v>0</v>
      </c>
      <c r="L5675" s="55">
        <v>0</v>
      </c>
      <c r="M5675" s="55">
        <v>0</v>
      </c>
      <c r="N5675" s="55">
        <v>0</v>
      </c>
    </row>
    <row r="5676" spans="1:14" hidden="1" x14ac:dyDescent="0.35">
      <c r="A5676" s="52" t="s">
        <v>711</v>
      </c>
      <c r="B5676" s="52" t="s">
        <v>60</v>
      </c>
      <c r="C5676" s="52" t="s">
        <v>153</v>
      </c>
      <c r="D5676" s="52" t="s">
        <v>153</v>
      </c>
      <c r="E5676" s="52" t="s">
        <v>584</v>
      </c>
      <c r="F5676" s="52" t="s">
        <v>26</v>
      </c>
      <c r="G5676" s="55" t="s">
        <v>278</v>
      </c>
      <c r="H5676" s="55">
        <v>0.76745839999999999</v>
      </c>
      <c r="I5676" s="55">
        <v>23.474209999999999</v>
      </c>
      <c r="J5676" s="55">
        <v>0.40227839999999998</v>
      </c>
      <c r="K5676" s="55">
        <v>0.15750639999999999</v>
      </c>
      <c r="L5676" s="55">
        <v>0.1056648</v>
      </c>
      <c r="M5676" s="55">
        <v>0.1056648</v>
      </c>
      <c r="N5676" s="55">
        <v>0.1056648</v>
      </c>
    </row>
    <row r="5677" spans="1:14" hidden="1" x14ac:dyDescent="0.35">
      <c r="A5677" s="52" t="s">
        <v>711</v>
      </c>
      <c r="B5677" s="52" t="s">
        <v>60</v>
      </c>
      <c r="C5677" s="52" t="s">
        <v>153</v>
      </c>
      <c r="D5677" s="52" t="s">
        <v>153</v>
      </c>
      <c r="E5677" s="52" t="s">
        <v>584</v>
      </c>
      <c r="F5677" s="52" t="s">
        <v>26</v>
      </c>
      <c r="G5677" s="55" t="s">
        <v>279</v>
      </c>
      <c r="H5677" s="55"/>
      <c r="I5677" s="55"/>
      <c r="J5677" s="55">
        <v>0</v>
      </c>
      <c r="K5677" s="55">
        <v>0</v>
      </c>
      <c r="L5677" s="55">
        <v>0</v>
      </c>
      <c r="M5677" s="55">
        <v>0</v>
      </c>
      <c r="N5677" s="55">
        <v>0</v>
      </c>
    </row>
    <row r="5678" spans="1:14" hidden="1" x14ac:dyDescent="0.35">
      <c r="A5678" s="52" t="s">
        <v>711</v>
      </c>
      <c r="B5678" s="52" t="s">
        <v>154</v>
      </c>
      <c r="C5678" s="52" t="s">
        <v>153</v>
      </c>
      <c r="D5678" s="52" t="s">
        <v>153</v>
      </c>
      <c r="E5678" s="52" t="s">
        <v>584</v>
      </c>
      <c r="F5678" s="52" t="s">
        <v>581</v>
      </c>
      <c r="G5678" s="55" t="s">
        <v>275</v>
      </c>
      <c r="H5678" s="55">
        <v>61.326000000000001</v>
      </c>
      <c r="I5678" s="55">
        <v>14.23038</v>
      </c>
      <c r="J5678" s="55">
        <v>13.48368</v>
      </c>
      <c r="K5678" s="55">
        <v>10.772069999999999</v>
      </c>
      <c r="L5678" s="55">
        <v>-3.2429619999999999</v>
      </c>
      <c r="M5678" s="55">
        <v>9.8330929999999999</v>
      </c>
      <c r="N5678" s="55">
        <v>4.9574239999999996</v>
      </c>
    </row>
    <row r="5679" spans="1:14" hidden="1" x14ac:dyDescent="0.35">
      <c r="A5679" s="52" t="s">
        <v>711</v>
      </c>
      <c r="B5679" s="52" t="s">
        <v>154</v>
      </c>
      <c r="C5679" s="52" t="s">
        <v>153</v>
      </c>
      <c r="D5679" s="52" t="s">
        <v>153</v>
      </c>
      <c r="E5679" s="52" t="s">
        <v>584</v>
      </c>
      <c r="F5679" s="52" t="s">
        <v>581</v>
      </c>
      <c r="G5679" s="55" t="s">
        <v>276</v>
      </c>
      <c r="H5679" s="55">
        <v>52.200989999999997</v>
      </c>
      <c r="I5679" s="55">
        <v>17.68863</v>
      </c>
      <c r="J5679" s="55">
        <v>18.30705</v>
      </c>
      <c r="K5679" s="55">
        <v>16.00667</v>
      </c>
      <c r="L5679" s="55">
        <v>16.200559999999999</v>
      </c>
      <c r="M5679" s="55">
        <v>12.47326</v>
      </c>
      <c r="N5679" s="55">
        <v>11.909319999999999</v>
      </c>
    </row>
    <row r="5680" spans="1:14" hidden="1" x14ac:dyDescent="0.35">
      <c r="A5680" s="52" t="s">
        <v>711</v>
      </c>
      <c r="B5680" s="52" t="s">
        <v>154</v>
      </c>
      <c r="C5680" s="52" t="s">
        <v>153</v>
      </c>
      <c r="D5680" s="52" t="s">
        <v>153</v>
      </c>
      <c r="E5680" s="52" t="s">
        <v>584</v>
      </c>
      <c r="F5680" s="52" t="s">
        <v>581</v>
      </c>
      <c r="G5680" s="55" t="s">
        <v>277</v>
      </c>
      <c r="H5680" s="55">
        <v>4.1862500000000002</v>
      </c>
      <c r="I5680" s="55">
        <v>4.1905760000000001</v>
      </c>
      <c r="J5680" s="55">
        <v>10.685129999999999</v>
      </c>
      <c r="K5680" s="55">
        <v>7.1718630000000001</v>
      </c>
      <c r="L5680" s="55">
        <v>7.9774969999999996</v>
      </c>
      <c r="M5680" s="55">
        <v>10.2004</v>
      </c>
      <c r="N5680" s="55">
        <v>8.5495999999999999</v>
      </c>
    </row>
    <row r="5681" spans="1:14" hidden="1" x14ac:dyDescent="0.35">
      <c r="A5681" s="52" t="s">
        <v>711</v>
      </c>
      <c r="B5681" s="52" t="s">
        <v>154</v>
      </c>
      <c r="C5681" s="52" t="s">
        <v>153</v>
      </c>
      <c r="D5681" s="52" t="s">
        <v>153</v>
      </c>
      <c r="E5681" s="52" t="s">
        <v>584</v>
      </c>
      <c r="F5681" s="52" t="s">
        <v>581</v>
      </c>
      <c r="G5681" s="55" t="s">
        <v>278</v>
      </c>
      <c r="H5681" s="55">
        <v>6.7054370000000002E-2</v>
      </c>
      <c r="I5681" s="55">
        <v>6.7054370000000002E-2</v>
      </c>
      <c r="J5681" s="55">
        <v>6.7054370000000002E-2</v>
      </c>
      <c r="K5681" s="55">
        <v>6.7054370000000002E-2</v>
      </c>
      <c r="L5681" s="55">
        <v>6.7054370000000002E-2</v>
      </c>
      <c r="M5681" s="55">
        <v>6.7054370000000002E-2</v>
      </c>
      <c r="N5681" s="55">
        <v>6.7054370000000002E-2</v>
      </c>
    </row>
    <row r="5682" spans="1:14" hidden="1" x14ac:dyDescent="0.35">
      <c r="A5682" s="52" t="s">
        <v>711</v>
      </c>
      <c r="B5682" s="52" t="s">
        <v>154</v>
      </c>
      <c r="C5682" s="52" t="s">
        <v>153</v>
      </c>
      <c r="D5682" s="52" t="s">
        <v>153</v>
      </c>
      <c r="E5682" s="52" t="s">
        <v>584</v>
      </c>
      <c r="F5682" s="52" t="s">
        <v>581</v>
      </c>
      <c r="G5682" s="55" t="s">
        <v>279</v>
      </c>
      <c r="H5682" s="55">
        <v>52.500230000000002</v>
      </c>
      <c r="I5682" s="55">
        <v>49.35801</v>
      </c>
      <c r="J5682" s="55">
        <v>50.977780000000003</v>
      </c>
      <c r="K5682" s="55">
        <v>51.555190000000003</v>
      </c>
      <c r="L5682" s="55">
        <v>66.006649999999993</v>
      </c>
      <c r="M5682" s="55">
        <v>51.306240000000003</v>
      </c>
      <c r="N5682" s="55">
        <v>50.728999999999999</v>
      </c>
    </row>
    <row r="5683" spans="1:14" hidden="1" x14ac:dyDescent="0.35">
      <c r="A5683" s="52" t="s">
        <v>711</v>
      </c>
      <c r="B5683" s="52" t="s">
        <v>154</v>
      </c>
      <c r="C5683" s="52" t="s">
        <v>153</v>
      </c>
      <c r="D5683" s="52" t="s">
        <v>153</v>
      </c>
      <c r="E5683" s="52" t="s">
        <v>584</v>
      </c>
      <c r="F5683" s="52" t="s">
        <v>26</v>
      </c>
      <c r="G5683" s="55" t="s">
        <v>275</v>
      </c>
      <c r="H5683" s="55">
        <v>-0.64330229999999999</v>
      </c>
      <c r="I5683" s="55">
        <v>-0.56666859999999997</v>
      </c>
      <c r="J5683" s="55">
        <v>-0.88419250000000005</v>
      </c>
      <c r="K5683" s="55">
        <v>-0.57693459999999996</v>
      </c>
      <c r="L5683" s="55">
        <v>-9.6514229999999994</v>
      </c>
      <c r="M5683" s="55">
        <v>-0.22522690000000001</v>
      </c>
      <c r="N5683" s="55">
        <v>-0.358045</v>
      </c>
    </row>
    <row r="5684" spans="1:14" hidden="1" x14ac:dyDescent="0.35">
      <c r="A5684" s="52" t="s">
        <v>711</v>
      </c>
      <c r="B5684" s="52" t="s">
        <v>154</v>
      </c>
      <c r="C5684" s="52" t="s">
        <v>153</v>
      </c>
      <c r="D5684" s="52" t="s">
        <v>153</v>
      </c>
      <c r="E5684" s="52" t="s">
        <v>584</v>
      </c>
      <c r="F5684" s="52" t="s">
        <v>26</v>
      </c>
      <c r="G5684" s="55" t="s">
        <v>276</v>
      </c>
      <c r="H5684" s="55">
        <v>0.75052609999999997</v>
      </c>
      <c r="I5684" s="55">
        <v>0.3644521</v>
      </c>
      <c r="J5684" s="55">
        <v>1.039083E-2</v>
      </c>
      <c r="K5684" s="55">
        <v>-9.2021550000000001E-3</v>
      </c>
      <c r="L5684" s="55">
        <v>-5.2781179999999997E-2</v>
      </c>
      <c r="M5684" s="55">
        <v>-4.8103569999999998E-2</v>
      </c>
      <c r="N5684" s="55">
        <v>0.1110964</v>
      </c>
    </row>
    <row r="5685" spans="1:14" hidden="1" x14ac:dyDescent="0.35">
      <c r="A5685" s="52" t="s">
        <v>711</v>
      </c>
      <c r="B5685" s="52" t="s">
        <v>154</v>
      </c>
      <c r="C5685" s="52" t="s">
        <v>153</v>
      </c>
      <c r="D5685" s="52" t="s">
        <v>153</v>
      </c>
      <c r="E5685" s="52" t="s">
        <v>584</v>
      </c>
      <c r="F5685" s="52" t="s">
        <v>26</v>
      </c>
      <c r="G5685" s="55" t="s">
        <v>279</v>
      </c>
      <c r="H5685" s="55">
        <v>3.592368</v>
      </c>
      <c r="I5685" s="55">
        <v>2.6171720000000001</v>
      </c>
      <c r="J5685" s="55">
        <v>2.5751390000000001</v>
      </c>
      <c r="K5685" s="55">
        <v>1.2157309999999999</v>
      </c>
      <c r="L5685" s="55">
        <v>10.23733</v>
      </c>
      <c r="M5685" s="55">
        <v>0.79035129999999998</v>
      </c>
      <c r="N5685" s="55">
        <v>0.71921210000000002</v>
      </c>
    </row>
    <row r="5686" spans="1:14" hidden="1" x14ac:dyDescent="0.35">
      <c r="A5686" s="52" t="s">
        <v>711</v>
      </c>
      <c r="B5686" s="52" t="s">
        <v>387</v>
      </c>
      <c r="C5686" s="52" t="s">
        <v>386</v>
      </c>
      <c r="D5686" s="52" t="s">
        <v>386</v>
      </c>
      <c r="E5686" s="52" t="s">
        <v>584</v>
      </c>
      <c r="F5686" s="52" t="s">
        <v>581</v>
      </c>
      <c r="G5686" s="55" t="s">
        <v>275</v>
      </c>
      <c r="H5686" s="55">
        <v>-31.23658</v>
      </c>
      <c r="I5686" s="55">
        <v>-6.0365760000000002</v>
      </c>
      <c r="J5686" s="55">
        <v>-40.052489999999999</v>
      </c>
      <c r="K5686" s="55">
        <v>-310.01979999999998</v>
      </c>
      <c r="L5686" s="55">
        <v>-341.90730000000002</v>
      </c>
      <c r="M5686" s="55">
        <v>-342.88850000000002</v>
      </c>
      <c r="N5686" s="55">
        <v>-125.4517</v>
      </c>
    </row>
    <row r="5687" spans="1:14" hidden="1" x14ac:dyDescent="0.35">
      <c r="A5687" s="52" t="s">
        <v>711</v>
      </c>
      <c r="B5687" s="52" t="s">
        <v>387</v>
      </c>
      <c r="C5687" s="52" t="s">
        <v>386</v>
      </c>
      <c r="D5687" s="52" t="s">
        <v>386</v>
      </c>
      <c r="E5687" s="52" t="s">
        <v>584</v>
      </c>
      <c r="F5687" s="52" t="s">
        <v>581</v>
      </c>
      <c r="G5687" s="55" t="s">
        <v>276</v>
      </c>
      <c r="H5687" s="55"/>
      <c r="I5687" s="55"/>
      <c r="J5687" s="55">
        <v>-0.66414039999999996</v>
      </c>
      <c r="K5687" s="55">
        <v>-0.64688559999999995</v>
      </c>
      <c r="L5687" s="55">
        <v>-1.2544580000000001</v>
      </c>
      <c r="M5687" s="55">
        <v>-0.35200969999999998</v>
      </c>
      <c r="N5687" s="55">
        <v>-0.39007209999999998</v>
      </c>
    </row>
    <row r="5688" spans="1:14" hidden="1" x14ac:dyDescent="0.35">
      <c r="A5688" s="52" t="s">
        <v>711</v>
      </c>
      <c r="B5688" s="52" t="s">
        <v>387</v>
      </c>
      <c r="C5688" s="52" t="s">
        <v>386</v>
      </c>
      <c r="D5688" s="52" t="s">
        <v>386</v>
      </c>
      <c r="E5688" s="52" t="s">
        <v>584</v>
      </c>
      <c r="F5688" s="52" t="s">
        <v>581</v>
      </c>
      <c r="G5688" s="55" t="s">
        <v>277</v>
      </c>
      <c r="H5688" s="55">
        <v>29.928000000000001</v>
      </c>
      <c r="I5688" s="55">
        <v>4.7279999999999998</v>
      </c>
      <c r="J5688" s="55">
        <v>37.113460000000003</v>
      </c>
      <c r="K5688" s="55">
        <v>301.20769999999999</v>
      </c>
      <c r="L5688" s="55">
        <v>339.09519999999998</v>
      </c>
      <c r="M5688" s="55">
        <v>340.07639999999998</v>
      </c>
      <c r="N5688" s="55">
        <v>68.156019999999998</v>
      </c>
    </row>
    <row r="5689" spans="1:14" hidden="1" x14ac:dyDescent="0.35">
      <c r="A5689" s="52" t="s">
        <v>711</v>
      </c>
      <c r="B5689" s="52" t="s">
        <v>387</v>
      </c>
      <c r="C5689" s="52" t="s">
        <v>386</v>
      </c>
      <c r="D5689" s="52" t="s">
        <v>386</v>
      </c>
      <c r="E5689" s="52" t="s">
        <v>584</v>
      </c>
      <c r="F5689" s="52" t="s">
        <v>581</v>
      </c>
      <c r="G5689" s="55" t="s">
        <v>278</v>
      </c>
      <c r="H5689" s="55">
        <v>1.308576</v>
      </c>
      <c r="I5689" s="55">
        <v>1.308576</v>
      </c>
      <c r="J5689" s="55">
        <v>0.87316970000000005</v>
      </c>
      <c r="K5689" s="55">
        <v>0.72897540000000005</v>
      </c>
      <c r="L5689" s="55">
        <v>1.3365480000000001</v>
      </c>
      <c r="M5689" s="55">
        <v>0.43409930000000002</v>
      </c>
      <c r="N5689" s="55">
        <v>0.43409930000000002</v>
      </c>
    </row>
    <row r="5690" spans="1:14" hidden="1" x14ac:dyDescent="0.35">
      <c r="A5690" s="52" t="s">
        <v>711</v>
      </c>
      <c r="B5690" s="52" t="s">
        <v>387</v>
      </c>
      <c r="C5690" s="52" t="s">
        <v>386</v>
      </c>
      <c r="D5690" s="52" t="s">
        <v>386</v>
      </c>
      <c r="E5690" s="52" t="s">
        <v>584</v>
      </c>
      <c r="F5690" s="52" t="s">
        <v>581</v>
      </c>
      <c r="G5690" s="55" t="s">
        <v>279</v>
      </c>
      <c r="H5690" s="55"/>
      <c r="I5690" s="55">
        <v>0</v>
      </c>
      <c r="J5690" s="55">
        <v>2.73</v>
      </c>
      <c r="K5690" s="55">
        <v>8.73</v>
      </c>
      <c r="L5690" s="55">
        <v>2.73</v>
      </c>
      <c r="M5690" s="55">
        <v>2.73</v>
      </c>
      <c r="N5690" s="55">
        <v>203.21879999999999</v>
      </c>
    </row>
    <row r="5691" spans="1:14" hidden="1" x14ac:dyDescent="0.35">
      <c r="A5691" s="52" t="s">
        <v>711</v>
      </c>
      <c r="B5691" s="52" t="s">
        <v>150</v>
      </c>
      <c r="C5691" s="52" t="s">
        <v>148</v>
      </c>
      <c r="D5691" s="52" t="s">
        <v>149</v>
      </c>
      <c r="E5691" s="52" t="s">
        <v>584</v>
      </c>
      <c r="F5691" s="52" t="s">
        <v>581</v>
      </c>
      <c r="G5691" s="55" t="s">
        <v>275</v>
      </c>
      <c r="H5691" s="55">
        <v>-76.14443</v>
      </c>
      <c r="I5691" s="55">
        <v>-13.472849999999999</v>
      </c>
      <c r="J5691" s="55">
        <v>-7.5861650000000003</v>
      </c>
      <c r="K5691" s="55">
        <v>-30.047329999999999</v>
      </c>
      <c r="L5691" s="55">
        <v>-131.43790000000001</v>
      </c>
      <c r="M5691" s="55">
        <v>-151.8134</v>
      </c>
      <c r="N5691" s="55">
        <v>-39.221550000000001</v>
      </c>
    </row>
    <row r="5692" spans="1:14" hidden="1" x14ac:dyDescent="0.35">
      <c r="A5692" s="52" t="s">
        <v>711</v>
      </c>
      <c r="B5692" s="52" t="s">
        <v>150</v>
      </c>
      <c r="C5692" s="52" t="s">
        <v>148</v>
      </c>
      <c r="D5692" s="52" t="s">
        <v>149</v>
      </c>
      <c r="E5692" s="52" t="s">
        <v>584</v>
      </c>
      <c r="F5692" s="52" t="s">
        <v>581</v>
      </c>
      <c r="G5692" s="55" t="s">
        <v>276</v>
      </c>
      <c r="H5692" s="55">
        <v>0</v>
      </c>
      <c r="I5692" s="55"/>
      <c r="J5692" s="55">
        <v>-14.84238</v>
      </c>
      <c r="K5692" s="55">
        <v>-10.156409999999999</v>
      </c>
      <c r="L5692" s="55">
        <v>-2.0801989999999999</v>
      </c>
      <c r="M5692" s="55">
        <v>-0.1176117</v>
      </c>
      <c r="N5692" s="55">
        <v>3.3258510000000001</v>
      </c>
    </row>
    <row r="5693" spans="1:14" hidden="1" x14ac:dyDescent="0.35">
      <c r="A5693" s="52" t="s">
        <v>711</v>
      </c>
      <c r="B5693" s="52" t="s">
        <v>150</v>
      </c>
      <c r="C5693" s="52" t="s">
        <v>148</v>
      </c>
      <c r="D5693" s="52" t="s">
        <v>149</v>
      </c>
      <c r="E5693" s="52" t="s">
        <v>584</v>
      </c>
      <c r="F5693" s="52" t="s">
        <v>581</v>
      </c>
      <c r="G5693" s="55" t="s">
        <v>277</v>
      </c>
      <c r="H5693" s="55">
        <v>10.220000000000001</v>
      </c>
      <c r="I5693" s="55">
        <v>0</v>
      </c>
      <c r="J5693" s="55">
        <v>7.5362879999999999</v>
      </c>
      <c r="K5693" s="55">
        <v>30.02112</v>
      </c>
      <c r="L5693" s="55">
        <v>131.43790000000001</v>
      </c>
      <c r="M5693" s="55">
        <v>151.82599999999999</v>
      </c>
      <c r="N5693" s="55">
        <v>91.069310000000002</v>
      </c>
    </row>
    <row r="5694" spans="1:14" hidden="1" x14ac:dyDescent="0.35">
      <c r="A5694" s="52" t="s">
        <v>711</v>
      </c>
      <c r="B5694" s="52" t="s">
        <v>150</v>
      </c>
      <c r="C5694" s="52" t="s">
        <v>148</v>
      </c>
      <c r="D5694" s="52" t="s">
        <v>149</v>
      </c>
      <c r="E5694" s="52" t="s">
        <v>584</v>
      </c>
      <c r="F5694" s="52" t="s">
        <v>581</v>
      </c>
      <c r="G5694" s="55" t="s">
        <v>278</v>
      </c>
      <c r="H5694" s="55">
        <v>65.924430000000001</v>
      </c>
      <c r="I5694" s="55">
        <v>13.472849999999999</v>
      </c>
      <c r="J5694" s="55">
        <v>14.89226</v>
      </c>
      <c r="K5694" s="55">
        <v>10.18262</v>
      </c>
      <c r="L5694" s="55">
        <v>2.0801989999999999</v>
      </c>
      <c r="M5694" s="55">
        <v>0.1051117</v>
      </c>
      <c r="N5694" s="55">
        <v>0.1051117</v>
      </c>
    </row>
    <row r="5695" spans="1:14" hidden="1" x14ac:dyDescent="0.35">
      <c r="A5695" s="52" t="s">
        <v>711</v>
      </c>
      <c r="B5695" s="52" t="s">
        <v>150</v>
      </c>
      <c r="C5695" s="52" t="s">
        <v>148</v>
      </c>
      <c r="D5695" s="52" t="s">
        <v>149</v>
      </c>
      <c r="E5695" s="52" t="s">
        <v>584</v>
      </c>
      <c r="F5695" s="52" t="s">
        <v>581</v>
      </c>
      <c r="G5695" s="55" t="s">
        <v>279</v>
      </c>
      <c r="H5695" s="55"/>
      <c r="I5695" s="55"/>
      <c r="J5695" s="55"/>
      <c r="K5695" s="55"/>
      <c r="L5695" s="55"/>
      <c r="M5695" s="55">
        <v>0</v>
      </c>
      <c r="N5695" s="55">
        <v>39.215150000000001</v>
      </c>
    </row>
    <row r="5696" spans="1:14" hidden="1" x14ac:dyDescent="0.35">
      <c r="A5696" s="52" t="s">
        <v>711</v>
      </c>
      <c r="B5696" s="52" t="s">
        <v>150</v>
      </c>
      <c r="C5696" s="52" t="s">
        <v>148</v>
      </c>
      <c r="D5696" s="52" t="s">
        <v>149</v>
      </c>
      <c r="E5696" s="52" t="s">
        <v>584</v>
      </c>
      <c r="F5696" s="52" t="s">
        <v>26</v>
      </c>
      <c r="G5696" s="55" t="s">
        <v>275</v>
      </c>
      <c r="H5696" s="55"/>
      <c r="I5696" s="55"/>
      <c r="J5696" s="55">
        <v>0</v>
      </c>
      <c r="K5696" s="55">
        <v>-0.45910299999999998</v>
      </c>
      <c r="L5696" s="55">
        <v>-2.0124689999999998</v>
      </c>
      <c r="M5696" s="55">
        <v>-1.7301</v>
      </c>
      <c r="N5696" s="55">
        <v>-0.35409160000000001</v>
      </c>
    </row>
    <row r="5697" spans="1:14" hidden="1" x14ac:dyDescent="0.35">
      <c r="A5697" s="52" t="s">
        <v>711</v>
      </c>
      <c r="B5697" s="52" t="s">
        <v>150</v>
      </c>
      <c r="C5697" s="52" t="s">
        <v>148</v>
      </c>
      <c r="D5697" s="52" t="s">
        <v>149</v>
      </c>
      <c r="E5697" s="52" t="s">
        <v>584</v>
      </c>
      <c r="F5697" s="52" t="s">
        <v>26</v>
      </c>
      <c r="G5697" s="55" t="s">
        <v>276</v>
      </c>
      <c r="H5697" s="55"/>
      <c r="I5697" s="55"/>
      <c r="J5697" s="55"/>
      <c r="K5697" s="55"/>
      <c r="L5697" s="55"/>
      <c r="M5697" s="55">
        <v>0</v>
      </c>
      <c r="N5697" s="55">
        <v>0.73141590000000001</v>
      </c>
    </row>
    <row r="5698" spans="1:14" hidden="1" x14ac:dyDescent="0.35">
      <c r="A5698" s="52" t="s">
        <v>711</v>
      </c>
      <c r="B5698" s="52" t="s">
        <v>150</v>
      </c>
      <c r="C5698" s="52" t="s">
        <v>148</v>
      </c>
      <c r="D5698" s="52" t="s">
        <v>149</v>
      </c>
      <c r="E5698" s="52" t="s">
        <v>584</v>
      </c>
      <c r="F5698" s="52" t="s">
        <v>26</v>
      </c>
      <c r="G5698" s="55" t="s">
        <v>277</v>
      </c>
      <c r="H5698" s="55"/>
      <c r="I5698" s="55"/>
      <c r="J5698" s="55">
        <v>0</v>
      </c>
      <c r="K5698" s="55">
        <v>0.45910299999999998</v>
      </c>
      <c r="L5698" s="55">
        <v>2.0124689999999998</v>
      </c>
      <c r="M5698" s="55">
        <v>1.7301</v>
      </c>
      <c r="N5698" s="55">
        <v>0.74147149999999995</v>
      </c>
    </row>
    <row r="5699" spans="1:14" hidden="1" x14ac:dyDescent="0.35">
      <c r="A5699" s="52" t="s">
        <v>711</v>
      </c>
      <c r="B5699" s="52" t="s">
        <v>150</v>
      </c>
      <c r="C5699" s="52" t="s">
        <v>148</v>
      </c>
      <c r="D5699" s="52" t="s">
        <v>149</v>
      </c>
      <c r="E5699" s="52" t="s">
        <v>584</v>
      </c>
      <c r="F5699" s="52" t="s">
        <v>26</v>
      </c>
      <c r="G5699" s="55" t="s">
        <v>279</v>
      </c>
      <c r="H5699" s="55"/>
      <c r="I5699" s="55"/>
      <c r="J5699" s="55"/>
      <c r="K5699" s="55"/>
      <c r="L5699" s="55"/>
      <c r="M5699" s="55">
        <v>0</v>
      </c>
      <c r="N5699" s="55">
        <v>1.319259</v>
      </c>
    </row>
    <row r="5700" spans="1:14" hidden="1" x14ac:dyDescent="0.35">
      <c r="A5700" s="52" t="s">
        <v>711</v>
      </c>
      <c r="B5700" s="52" t="s">
        <v>150</v>
      </c>
      <c r="C5700" s="52" t="s">
        <v>287</v>
      </c>
      <c r="D5700" s="52" t="s">
        <v>287</v>
      </c>
      <c r="E5700" s="52" t="s">
        <v>584</v>
      </c>
      <c r="F5700" s="52" t="s">
        <v>581</v>
      </c>
      <c r="G5700" s="55" t="s">
        <v>275</v>
      </c>
      <c r="H5700" s="55">
        <v>-0.36416500000000002</v>
      </c>
      <c r="I5700" s="55">
        <v>-0.52909899999999999</v>
      </c>
      <c r="J5700" s="55">
        <v>0</v>
      </c>
      <c r="K5700" s="55">
        <v>0</v>
      </c>
      <c r="L5700" s="55">
        <v>0</v>
      </c>
      <c r="M5700" s="55">
        <v>0</v>
      </c>
      <c r="N5700" s="55">
        <v>0</v>
      </c>
    </row>
    <row r="5701" spans="1:14" hidden="1" x14ac:dyDescent="0.35">
      <c r="A5701" s="52" t="s">
        <v>711</v>
      </c>
      <c r="B5701" s="52" t="s">
        <v>150</v>
      </c>
      <c r="C5701" s="52" t="s">
        <v>287</v>
      </c>
      <c r="D5701" s="52" t="s">
        <v>287</v>
      </c>
      <c r="E5701" s="52" t="s">
        <v>584</v>
      </c>
      <c r="F5701" s="52" t="s">
        <v>581</v>
      </c>
      <c r="G5701" s="55" t="s">
        <v>276</v>
      </c>
      <c r="H5701" s="55"/>
      <c r="I5701" s="55"/>
      <c r="J5701" s="55">
        <v>-0.49365300000000001</v>
      </c>
      <c r="K5701" s="55">
        <v>-52.730130000000003</v>
      </c>
      <c r="L5701" s="55">
        <v>-0.358068</v>
      </c>
      <c r="M5701" s="55">
        <v>-4.9203049999999999</v>
      </c>
      <c r="N5701" s="55">
        <v>-0.73306800000000005</v>
      </c>
    </row>
    <row r="5702" spans="1:14" hidden="1" x14ac:dyDescent="0.35">
      <c r="A5702" s="52" t="s">
        <v>711</v>
      </c>
      <c r="B5702" s="52" t="s">
        <v>150</v>
      </c>
      <c r="C5702" s="52" t="s">
        <v>287</v>
      </c>
      <c r="D5702" s="52" t="s">
        <v>287</v>
      </c>
      <c r="E5702" s="52" t="s">
        <v>584</v>
      </c>
      <c r="F5702" s="52" t="s">
        <v>581</v>
      </c>
      <c r="G5702" s="55" t="s">
        <v>277</v>
      </c>
      <c r="H5702" s="55"/>
      <c r="I5702" s="55"/>
      <c r="J5702" s="55"/>
      <c r="K5702" s="55"/>
      <c r="L5702" s="55">
        <v>0</v>
      </c>
      <c r="M5702" s="55">
        <v>0.42499999999999999</v>
      </c>
      <c r="N5702" s="55">
        <v>0.375</v>
      </c>
    </row>
    <row r="5703" spans="1:14" hidden="1" x14ac:dyDescent="0.35">
      <c r="A5703" s="52" t="s">
        <v>711</v>
      </c>
      <c r="B5703" s="52" t="s">
        <v>150</v>
      </c>
      <c r="C5703" s="52" t="s">
        <v>287</v>
      </c>
      <c r="D5703" s="52" t="s">
        <v>287</v>
      </c>
      <c r="E5703" s="52" t="s">
        <v>584</v>
      </c>
      <c r="F5703" s="52" t="s">
        <v>581</v>
      </c>
      <c r="G5703" s="55" t="s">
        <v>278</v>
      </c>
      <c r="H5703" s="55">
        <v>0.36416500000000002</v>
      </c>
      <c r="I5703" s="55">
        <v>0.52909899999999999</v>
      </c>
      <c r="J5703" s="55">
        <v>0.49365300000000001</v>
      </c>
      <c r="K5703" s="55">
        <v>52.730130000000003</v>
      </c>
      <c r="L5703" s="55">
        <v>0.358068</v>
      </c>
      <c r="M5703" s="55">
        <v>4.4953050000000001</v>
      </c>
      <c r="N5703" s="55">
        <v>0.358068</v>
      </c>
    </row>
    <row r="5704" spans="1:14" hidden="1" x14ac:dyDescent="0.35">
      <c r="A5704" s="52" t="s">
        <v>711</v>
      </c>
      <c r="B5704" s="52" t="s">
        <v>37</v>
      </c>
      <c r="C5704" s="52" t="s">
        <v>57</v>
      </c>
      <c r="D5704" s="52" t="s">
        <v>57</v>
      </c>
      <c r="E5704" s="52" t="s">
        <v>584</v>
      </c>
      <c r="F5704" s="52" t="s">
        <v>581</v>
      </c>
      <c r="G5704" s="55" t="s">
        <v>275</v>
      </c>
      <c r="H5704" s="55">
        <v>-1.0446850000000001</v>
      </c>
      <c r="I5704" s="55">
        <v>-28.183019999999999</v>
      </c>
      <c r="J5704" s="55">
        <v>1.2844260000000001</v>
      </c>
      <c r="K5704" s="55">
        <v>1.2844260000000001</v>
      </c>
      <c r="L5704" s="55">
        <v>0.53046119999999997</v>
      </c>
      <c r="M5704" s="55">
        <v>0</v>
      </c>
      <c r="N5704" s="55">
        <v>0</v>
      </c>
    </row>
    <row r="5705" spans="1:14" hidden="1" x14ac:dyDescent="0.35">
      <c r="A5705" s="52" t="s">
        <v>711</v>
      </c>
      <c r="B5705" s="52" t="s">
        <v>37</v>
      </c>
      <c r="C5705" s="52" t="s">
        <v>57</v>
      </c>
      <c r="D5705" s="52" t="s">
        <v>57</v>
      </c>
      <c r="E5705" s="52" t="s">
        <v>584</v>
      </c>
      <c r="F5705" s="52" t="s">
        <v>581</v>
      </c>
      <c r="G5705" s="55" t="s">
        <v>276</v>
      </c>
      <c r="H5705" s="55">
        <v>-1.6663829999999999</v>
      </c>
      <c r="I5705" s="55">
        <v>-3.0182280000000001</v>
      </c>
      <c r="J5705" s="55">
        <v>-5.6002109999999998</v>
      </c>
      <c r="K5705" s="55">
        <v>-7.1291679999999999</v>
      </c>
      <c r="L5705" s="55">
        <v>-6.9244329999999996</v>
      </c>
      <c r="M5705" s="55">
        <v>-5.2700199999999997</v>
      </c>
      <c r="N5705" s="55">
        <v>-4.0008609999999996</v>
      </c>
    </row>
    <row r="5706" spans="1:14" hidden="1" x14ac:dyDescent="0.35">
      <c r="A5706" s="52" t="s">
        <v>711</v>
      </c>
      <c r="B5706" s="52" t="s">
        <v>37</v>
      </c>
      <c r="C5706" s="52" t="s">
        <v>57</v>
      </c>
      <c r="D5706" s="52" t="s">
        <v>57</v>
      </c>
      <c r="E5706" s="52" t="s">
        <v>584</v>
      </c>
      <c r="F5706" s="52" t="s">
        <v>581</v>
      </c>
      <c r="G5706" s="55" t="s">
        <v>278</v>
      </c>
      <c r="H5706" s="55">
        <v>2.711074</v>
      </c>
      <c r="I5706" s="55">
        <v>31.201239999999999</v>
      </c>
      <c r="J5706" s="55">
        <v>5.6002130000000001</v>
      </c>
      <c r="K5706" s="55">
        <v>7.1291830000000003</v>
      </c>
      <c r="L5706" s="55">
        <v>6.9244060000000003</v>
      </c>
      <c r="M5706" s="55">
        <v>5.2700250000000004</v>
      </c>
      <c r="N5706" s="55">
        <v>4.0008670000000004</v>
      </c>
    </row>
    <row r="5707" spans="1:14" hidden="1" x14ac:dyDescent="0.35">
      <c r="A5707" s="52" t="s">
        <v>711</v>
      </c>
      <c r="B5707" s="52" t="s">
        <v>37</v>
      </c>
      <c r="C5707" s="52" t="s">
        <v>57</v>
      </c>
      <c r="D5707" s="52" t="s">
        <v>57</v>
      </c>
      <c r="E5707" s="52" t="s">
        <v>584</v>
      </c>
      <c r="F5707" s="52" t="s">
        <v>26</v>
      </c>
      <c r="G5707" s="55" t="s">
        <v>275</v>
      </c>
      <c r="H5707" s="55">
        <v>0</v>
      </c>
      <c r="I5707" s="55"/>
      <c r="J5707" s="55"/>
      <c r="K5707" s="55"/>
      <c r="L5707" s="55"/>
      <c r="M5707" s="55">
        <v>0</v>
      </c>
      <c r="N5707" s="55"/>
    </row>
    <row r="5708" spans="1:14" hidden="1" x14ac:dyDescent="0.35">
      <c r="A5708" s="52" t="s">
        <v>711</v>
      </c>
      <c r="B5708" s="52" t="s">
        <v>37</v>
      </c>
      <c r="C5708" s="52" t="s">
        <v>57</v>
      </c>
      <c r="D5708" s="52" t="s">
        <v>57</v>
      </c>
      <c r="E5708" s="52" t="s">
        <v>584</v>
      </c>
      <c r="F5708" s="52" t="s">
        <v>26</v>
      </c>
      <c r="G5708" s="55" t="s">
        <v>276</v>
      </c>
      <c r="H5708" s="55">
        <v>0</v>
      </c>
      <c r="I5708" s="55"/>
      <c r="J5708" s="55"/>
      <c r="K5708" s="55"/>
      <c r="L5708" s="55"/>
      <c r="M5708" s="55">
        <v>0</v>
      </c>
      <c r="N5708" s="55"/>
    </row>
    <row r="5709" spans="1:14" hidden="1" x14ac:dyDescent="0.35">
      <c r="A5709" s="52" t="s">
        <v>711</v>
      </c>
      <c r="B5709" s="52" t="s">
        <v>37</v>
      </c>
      <c r="C5709" s="52" t="s">
        <v>57</v>
      </c>
      <c r="D5709" s="52" t="s">
        <v>57</v>
      </c>
      <c r="E5709" s="52" t="s">
        <v>584</v>
      </c>
      <c r="F5709" s="52" t="s">
        <v>26</v>
      </c>
      <c r="G5709" s="55" t="s">
        <v>278</v>
      </c>
      <c r="H5709" s="55">
        <v>0</v>
      </c>
      <c r="I5709" s="55"/>
      <c r="J5709" s="55">
        <v>0</v>
      </c>
      <c r="K5709" s="55"/>
      <c r="L5709" s="55">
        <v>0</v>
      </c>
      <c r="M5709" s="55"/>
      <c r="N5709" s="55"/>
    </row>
    <row r="5710" spans="1:14" hidden="1" x14ac:dyDescent="0.35">
      <c r="A5710" s="52" t="s">
        <v>711</v>
      </c>
      <c r="B5710" s="52" t="s">
        <v>312</v>
      </c>
      <c r="C5710" s="52" t="s">
        <v>319</v>
      </c>
      <c r="D5710" s="52" t="s">
        <v>319</v>
      </c>
      <c r="E5710" s="52" t="s">
        <v>584</v>
      </c>
      <c r="F5710" s="52" t="s">
        <v>581</v>
      </c>
      <c r="G5710" s="55" t="s">
        <v>275</v>
      </c>
      <c r="H5710" s="55">
        <v>0</v>
      </c>
      <c r="I5710" s="55">
        <v>-5.4913119999999997</v>
      </c>
      <c r="J5710" s="55">
        <v>-4.9784329999999999</v>
      </c>
      <c r="K5710" s="55">
        <v>0</v>
      </c>
      <c r="L5710" s="55"/>
      <c r="M5710" s="55"/>
      <c r="N5710" s="55"/>
    </row>
    <row r="5711" spans="1:14" hidden="1" x14ac:dyDescent="0.35">
      <c r="A5711" s="52" t="s">
        <v>711</v>
      </c>
      <c r="B5711" s="52" t="s">
        <v>312</v>
      </c>
      <c r="C5711" s="52" t="s">
        <v>319</v>
      </c>
      <c r="D5711" s="52" t="s">
        <v>319</v>
      </c>
      <c r="E5711" s="52" t="s">
        <v>584</v>
      </c>
      <c r="F5711" s="52" t="s">
        <v>581</v>
      </c>
      <c r="G5711" s="55" t="s">
        <v>276</v>
      </c>
      <c r="H5711" s="55">
        <v>0</v>
      </c>
      <c r="I5711" s="55"/>
      <c r="J5711" s="55"/>
      <c r="K5711" s="55"/>
      <c r="L5711" s="55"/>
      <c r="M5711" s="55"/>
      <c r="N5711" s="55"/>
    </row>
    <row r="5712" spans="1:14" hidden="1" x14ac:dyDescent="0.35">
      <c r="A5712" s="52" t="s">
        <v>711</v>
      </c>
      <c r="B5712" s="52" t="s">
        <v>312</v>
      </c>
      <c r="C5712" s="52" t="s">
        <v>319</v>
      </c>
      <c r="D5712" s="52" t="s">
        <v>319</v>
      </c>
      <c r="E5712" s="52" t="s">
        <v>584</v>
      </c>
      <c r="F5712" s="52" t="s">
        <v>581</v>
      </c>
      <c r="G5712" s="55" t="s">
        <v>279</v>
      </c>
      <c r="H5712" s="55">
        <v>0</v>
      </c>
      <c r="I5712" s="55">
        <v>5.4913119999999997</v>
      </c>
      <c r="J5712" s="55">
        <v>4.9784329999999999</v>
      </c>
      <c r="K5712" s="55">
        <v>0</v>
      </c>
      <c r="L5712" s="55"/>
      <c r="M5712" s="55"/>
      <c r="N5712" s="55"/>
    </row>
    <row r="5713" spans="1:14" hidden="1" x14ac:dyDescent="0.35">
      <c r="A5713" s="52" t="s">
        <v>711</v>
      </c>
      <c r="B5713" s="52" t="s">
        <v>160</v>
      </c>
      <c r="C5713" s="52" t="s">
        <v>284</v>
      </c>
      <c r="D5713" s="52" t="s">
        <v>285</v>
      </c>
      <c r="E5713" s="52" t="s">
        <v>584</v>
      </c>
      <c r="F5713" s="52" t="s">
        <v>581</v>
      </c>
      <c r="G5713" s="55" t="s">
        <v>275</v>
      </c>
      <c r="H5713" s="55">
        <v>-0.23353109999999999</v>
      </c>
      <c r="I5713" s="55">
        <v>-17.255680000000002</v>
      </c>
      <c r="J5713" s="55">
        <v>0</v>
      </c>
      <c r="K5713" s="55">
        <v>0</v>
      </c>
      <c r="L5713" s="55">
        <v>0</v>
      </c>
      <c r="M5713" s="55">
        <v>0</v>
      </c>
      <c r="N5713" s="55">
        <v>0</v>
      </c>
    </row>
    <row r="5714" spans="1:14" hidden="1" x14ac:dyDescent="0.35">
      <c r="A5714" s="52" t="s">
        <v>711</v>
      </c>
      <c r="B5714" s="52" t="s">
        <v>160</v>
      </c>
      <c r="C5714" s="52" t="s">
        <v>284</v>
      </c>
      <c r="D5714" s="52" t="s">
        <v>285</v>
      </c>
      <c r="E5714" s="52" t="s">
        <v>584</v>
      </c>
      <c r="F5714" s="52" t="s">
        <v>581</v>
      </c>
      <c r="G5714" s="55" t="s">
        <v>276</v>
      </c>
      <c r="H5714" s="55">
        <v>-3.4087600000000003E-2</v>
      </c>
      <c r="I5714" s="55">
        <v>-0.64263060000000005</v>
      </c>
      <c r="J5714" s="55">
        <v>-2.1789869999999998</v>
      </c>
      <c r="K5714" s="55">
        <v>-4.8083889999999997E-2</v>
      </c>
      <c r="L5714" s="55">
        <v>-4.2818380000000003E-2</v>
      </c>
      <c r="M5714" s="55">
        <v>-0.1070478</v>
      </c>
      <c r="N5714" s="55">
        <v>-0.16802880000000001</v>
      </c>
    </row>
    <row r="5715" spans="1:14" hidden="1" x14ac:dyDescent="0.35">
      <c r="A5715" s="52" t="s">
        <v>711</v>
      </c>
      <c r="B5715" s="52" t="s">
        <v>160</v>
      </c>
      <c r="C5715" s="52" t="s">
        <v>284</v>
      </c>
      <c r="D5715" s="52" t="s">
        <v>285</v>
      </c>
      <c r="E5715" s="52" t="s">
        <v>584</v>
      </c>
      <c r="F5715" s="52" t="s">
        <v>581</v>
      </c>
      <c r="G5715" s="55" t="s">
        <v>277</v>
      </c>
      <c r="H5715" s="55"/>
      <c r="I5715" s="55"/>
      <c r="J5715" s="55"/>
      <c r="K5715" s="55"/>
      <c r="L5715" s="55"/>
      <c r="M5715" s="55">
        <v>0</v>
      </c>
      <c r="N5715" s="55">
        <v>6.0981E-2</v>
      </c>
    </row>
    <row r="5716" spans="1:14" hidden="1" x14ac:dyDescent="0.35">
      <c r="A5716" s="52" t="s">
        <v>711</v>
      </c>
      <c r="B5716" s="52" t="s">
        <v>160</v>
      </c>
      <c r="C5716" s="52" t="s">
        <v>284</v>
      </c>
      <c r="D5716" s="52" t="s">
        <v>285</v>
      </c>
      <c r="E5716" s="52" t="s">
        <v>584</v>
      </c>
      <c r="F5716" s="52" t="s">
        <v>581</v>
      </c>
      <c r="G5716" s="55" t="s">
        <v>278</v>
      </c>
      <c r="H5716" s="55">
        <v>0.267619</v>
      </c>
      <c r="I5716" s="55">
        <v>17.898309999999999</v>
      </c>
      <c r="J5716" s="55">
        <v>2.1789869999999998</v>
      </c>
      <c r="K5716" s="55">
        <v>4.8083099999999997E-2</v>
      </c>
      <c r="L5716" s="55">
        <v>4.2818700000000001E-2</v>
      </c>
      <c r="M5716" s="55">
        <v>0.1070478</v>
      </c>
      <c r="N5716" s="55">
        <v>0.1070478</v>
      </c>
    </row>
    <row r="5717" spans="1:14" hidden="1" x14ac:dyDescent="0.35">
      <c r="A5717" s="52" t="s">
        <v>686</v>
      </c>
      <c r="B5717" s="52" t="s">
        <v>34</v>
      </c>
      <c r="C5717" s="52" t="s">
        <v>33</v>
      </c>
      <c r="D5717" s="52" t="s">
        <v>33</v>
      </c>
      <c r="E5717" s="52" t="s">
        <v>605</v>
      </c>
      <c r="F5717" s="52" t="s">
        <v>581</v>
      </c>
      <c r="G5717" s="55" t="s">
        <v>275</v>
      </c>
      <c r="H5717" s="55">
        <v>307.9717</v>
      </c>
      <c r="I5717" s="55">
        <v>49.281329999999997</v>
      </c>
      <c r="J5717" s="55">
        <v>290.68090000000001</v>
      </c>
      <c r="K5717" s="55">
        <v>225.32980000000001</v>
      </c>
      <c r="L5717" s="55">
        <v>173.29259999999999</v>
      </c>
      <c r="M5717" s="55">
        <v>151.90010000000001</v>
      </c>
      <c r="N5717" s="55">
        <v>127.0085</v>
      </c>
    </row>
    <row r="5718" spans="1:14" hidden="1" x14ac:dyDescent="0.35">
      <c r="A5718" s="52" t="s">
        <v>686</v>
      </c>
      <c r="B5718" s="52" t="s">
        <v>34</v>
      </c>
      <c r="C5718" s="52" t="s">
        <v>33</v>
      </c>
      <c r="D5718" s="52" t="s">
        <v>33</v>
      </c>
      <c r="E5718" s="52" t="s">
        <v>605</v>
      </c>
      <c r="F5718" s="52" t="s">
        <v>581</v>
      </c>
      <c r="G5718" s="55" t="s">
        <v>276</v>
      </c>
      <c r="H5718" s="55">
        <v>71.729309999999998</v>
      </c>
      <c r="I5718" s="55">
        <v>-63.361379999999997</v>
      </c>
      <c r="J5718" s="55">
        <v>-32.163719999999998</v>
      </c>
      <c r="K5718" s="55">
        <v>-1.6489879999999999</v>
      </c>
      <c r="L5718" s="55">
        <v>27.918189999999999</v>
      </c>
      <c r="M5718" s="55">
        <v>47.260080000000002</v>
      </c>
      <c r="N5718" s="55">
        <v>48.367840000000001</v>
      </c>
    </row>
    <row r="5719" spans="1:14" hidden="1" x14ac:dyDescent="0.35">
      <c r="A5719" s="52" t="s">
        <v>686</v>
      </c>
      <c r="B5719" s="52" t="s">
        <v>34</v>
      </c>
      <c r="C5719" s="52" t="s">
        <v>33</v>
      </c>
      <c r="D5719" s="52" t="s">
        <v>33</v>
      </c>
      <c r="E5719" s="52" t="s">
        <v>605</v>
      </c>
      <c r="F5719" s="52" t="s">
        <v>581</v>
      </c>
      <c r="G5719" s="55" t="s">
        <v>277</v>
      </c>
      <c r="H5719" s="55">
        <v>504.94200000000001</v>
      </c>
      <c r="I5719" s="55">
        <v>303.43520000000001</v>
      </c>
      <c r="J5719" s="55">
        <v>34.44999</v>
      </c>
      <c r="K5719" s="55">
        <v>13.946540000000001</v>
      </c>
      <c r="L5719" s="55">
        <v>23.002369999999999</v>
      </c>
      <c r="M5719" s="55">
        <v>29.548290000000001</v>
      </c>
      <c r="N5719" s="55">
        <v>64.019069999999999</v>
      </c>
    </row>
    <row r="5720" spans="1:14" hidden="1" x14ac:dyDescent="0.35">
      <c r="A5720" s="52" t="s">
        <v>686</v>
      </c>
      <c r="B5720" s="52" t="s">
        <v>34</v>
      </c>
      <c r="C5720" s="52" t="s">
        <v>33</v>
      </c>
      <c r="D5720" s="52" t="s">
        <v>33</v>
      </c>
      <c r="E5720" s="52" t="s">
        <v>605</v>
      </c>
      <c r="F5720" s="52" t="s">
        <v>581</v>
      </c>
      <c r="G5720" s="55" t="s">
        <v>278</v>
      </c>
      <c r="H5720" s="55">
        <v>105.5895</v>
      </c>
      <c r="I5720" s="55">
        <v>86.819029999999998</v>
      </c>
      <c r="J5720" s="55">
        <v>51.132710000000003</v>
      </c>
      <c r="K5720" s="55">
        <v>40.37574</v>
      </c>
      <c r="L5720" s="55">
        <v>47.280900000000003</v>
      </c>
      <c r="M5720" s="55">
        <v>48.939010000000003</v>
      </c>
      <c r="N5720" s="55">
        <v>50.236640000000001</v>
      </c>
    </row>
    <row r="5721" spans="1:14" hidden="1" x14ac:dyDescent="0.35">
      <c r="A5721" s="52" t="s">
        <v>686</v>
      </c>
      <c r="B5721" s="52" t="s">
        <v>34</v>
      </c>
      <c r="C5721" s="52" t="s">
        <v>33</v>
      </c>
      <c r="D5721" s="52" t="s">
        <v>33</v>
      </c>
      <c r="E5721" s="52" t="s">
        <v>605</v>
      </c>
      <c r="F5721" s="52" t="s">
        <v>581</v>
      </c>
      <c r="G5721" s="55" t="s">
        <v>279</v>
      </c>
      <c r="H5721" s="55">
        <v>258.47460000000001</v>
      </c>
      <c r="I5721" s="55">
        <v>274.78570000000002</v>
      </c>
      <c r="J5721" s="55">
        <v>243.11510000000001</v>
      </c>
      <c r="K5721" s="55">
        <v>202.2106</v>
      </c>
      <c r="L5721" s="55">
        <v>186.61</v>
      </c>
      <c r="M5721" s="55">
        <v>184.29769999999999</v>
      </c>
      <c r="N5721" s="55">
        <v>190.2765</v>
      </c>
    </row>
    <row r="5722" spans="1:14" hidden="1" x14ac:dyDescent="0.35">
      <c r="A5722" s="52" t="s">
        <v>686</v>
      </c>
      <c r="B5722" s="52" t="s">
        <v>34</v>
      </c>
      <c r="C5722" s="52" t="s">
        <v>33</v>
      </c>
      <c r="D5722" s="52" t="s">
        <v>33</v>
      </c>
      <c r="E5722" s="52" t="s">
        <v>605</v>
      </c>
      <c r="F5722" s="52" t="s">
        <v>26</v>
      </c>
      <c r="G5722" s="55" t="s">
        <v>275</v>
      </c>
      <c r="H5722" s="55">
        <v>3.5969630000000001</v>
      </c>
      <c r="I5722" s="55">
        <v>-50.964329999999997</v>
      </c>
      <c r="J5722" s="55">
        <v>-15.11829</v>
      </c>
      <c r="K5722" s="55">
        <v>-10.64686</v>
      </c>
      <c r="L5722" s="55">
        <v>-12.97452</v>
      </c>
      <c r="M5722" s="55">
        <v>-11.91916</v>
      </c>
      <c r="N5722" s="55">
        <v>-18.05575</v>
      </c>
    </row>
    <row r="5723" spans="1:14" hidden="1" x14ac:dyDescent="0.35">
      <c r="A5723" s="52" t="s">
        <v>686</v>
      </c>
      <c r="B5723" s="52" t="s">
        <v>34</v>
      </c>
      <c r="C5723" s="52" t="s">
        <v>33</v>
      </c>
      <c r="D5723" s="52" t="s">
        <v>33</v>
      </c>
      <c r="E5723" s="52" t="s">
        <v>605</v>
      </c>
      <c r="F5723" s="52" t="s">
        <v>26</v>
      </c>
      <c r="G5723" s="55" t="s">
        <v>276</v>
      </c>
      <c r="H5723" s="55">
        <v>3.3258649999999998</v>
      </c>
      <c r="I5723" s="55">
        <v>-11.13503</v>
      </c>
      <c r="J5723" s="55">
        <v>-9.0253560000000004</v>
      </c>
      <c r="K5723" s="55">
        <v>-7.7013680000000004</v>
      </c>
      <c r="L5723" s="55">
        <v>-6.1434470000000001</v>
      </c>
      <c r="M5723" s="55">
        <v>-1.3827240000000001</v>
      </c>
      <c r="N5723" s="55">
        <v>-0.62048270000000005</v>
      </c>
    </row>
    <row r="5724" spans="1:14" hidden="1" x14ac:dyDescent="0.35">
      <c r="A5724" s="52" t="s">
        <v>686</v>
      </c>
      <c r="B5724" s="52" t="s">
        <v>34</v>
      </c>
      <c r="C5724" s="52" t="s">
        <v>33</v>
      </c>
      <c r="D5724" s="52" t="s">
        <v>33</v>
      </c>
      <c r="E5724" s="52" t="s">
        <v>605</v>
      </c>
      <c r="F5724" s="52" t="s">
        <v>26</v>
      </c>
      <c r="G5724" s="55" t="s">
        <v>277</v>
      </c>
      <c r="H5724" s="55">
        <v>18.980239999999998</v>
      </c>
      <c r="I5724" s="55">
        <v>37.146549999999998</v>
      </c>
      <c r="J5724" s="55">
        <v>7.1441990000000004</v>
      </c>
      <c r="K5724" s="55">
        <v>1.835766</v>
      </c>
      <c r="L5724" s="55">
        <v>3.826454</v>
      </c>
      <c r="M5724" s="55">
        <v>3.7470349999999999</v>
      </c>
      <c r="N5724" s="55">
        <v>5.3712939999999998</v>
      </c>
    </row>
    <row r="5725" spans="1:14" hidden="1" x14ac:dyDescent="0.35">
      <c r="A5725" s="52" t="s">
        <v>686</v>
      </c>
      <c r="B5725" s="52" t="s">
        <v>34</v>
      </c>
      <c r="C5725" s="52" t="s">
        <v>33</v>
      </c>
      <c r="D5725" s="52" t="s">
        <v>33</v>
      </c>
      <c r="E5725" s="52" t="s">
        <v>605</v>
      </c>
      <c r="F5725" s="52" t="s">
        <v>26</v>
      </c>
      <c r="G5725" s="55" t="s">
        <v>278</v>
      </c>
      <c r="H5725" s="55">
        <v>3.5877859999999999</v>
      </c>
      <c r="I5725" s="55">
        <v>8.8529879999999999</v>
      </c>
      <c r="J5725" s="55">
        <v>8.5268770000000007</v>
      </c>
      <c r="K5725" s="55">
        <v>6.062468</v>
      </c>
      <c r="L5725" s="55">
        <v>9.2396030000000007</v>
      </c>
      <c r="M5725" s="55">
        <v>18.18479</v>
      </c>
      <c r="N5725" s="55">
        <v>30.232050000000001</v>
      </c>
    </row>
    <row r="5726" spans="1:14" hidden="1" x14ac:dyDescent="0.35">
      <c r="A5726" s="52" t="s">
        <v>686</v>
      </c>
      <c r="B5726" s="52" t="s">
        <v>34</v>
      </c>
      <c r="C5726" s="52" t="s">
        <v>33</v>
      </c>
      <c r="D5726" s="52" t="s">
        <v>33</v>
      </c>
      <c r="E5726" s="52" t="s">
        <v>605</v>
      </c>
      <c r="F5726" s="52" t="s">
        <v>26</v>
      </c>
      <c r="G5726" s="55" t="s">
        <v>279</v>
      </c>
      <c r="H5726" s="55">
        <v>227.13</v>
      </c>
      <c r="I5726" s="55">
        <v>253.39859999999999</v>
      </c>
      <c r="J5726" s="55">
        <v>232.06360000000001</v>
      </c>
      <c r="K5726" s="55">
        <v>195.62700000000001</v>
      </c>
      <c r="L5726" s="55">
        <v>184.63919999999999</v>
      </c>
      <c r="M5726" s="55">
        <v>177.39330000000001</v>
      </c>
      <c r="N5726" s="55">
        <v>186.97659999999999</v>
      </c>
    </row>
    <row r="5727" spans="1:14" hidden="1" x14ac:dyDescent="0.35">
      <c r="A5727" s="52" t="s">
        <v>686</v>
      </c>
      <c r="B5727" s="52" t="s">
        <v>34</v>
      </c>
      <c r="C5727" s="52" t="s">
        <v>33</v>
      </c>
      <c r="D5727" s="52" t="s">
        <v>33</v>
      </c>
      <c r="E5727" s="52" t="s">
        <v>604</v>
      </c>
      <c r="F5727" s="52" t="s">
        <v>581</v>
      </c>
      <c r="G5727" s="55" t="s">
        <v>275</v>
      </c>
      <c r="H5727" s="55">
        <v>51.048580000000001</v>
      </c>
      <c r="I5727" s="55">
        <v>127.94589999999999</v>
      </c>
      <c r="J5727" s="55">
        <v>91.822680000000005</v>
      </c>
      <c r="K5727" s="55">
        <v>53.536540000000002</v>
      </c>
      <c r="L5727" s="55">
        <v>29.40014</v>
      </c>
      <c r="M5727" s="55">
        <v>24.576029999999999</v>
      </c>
      <c r="N5727" s="55">
        <v>23.316220000000001</v>
      </c>
    </row>
    <row r="5728" spans="1:14" hidden="1" x14ac:dyDescent="0.35">
      <c r="A5728" s="52" t="s">
        <v>686</v>
      </c>
      <c r="B5728" s="52" t="s">
        <v>34</v>
      </c>
      <c r="C5728" s="52" t="s">
        <v>33</v>
      </c>
      <c r="D5728" s="52" t="s">
        <v>33</v>
      </c>
      <c r="E5728" s="52" t="s">
        <v>604</v>
      </c>
      <c r="F5728" s="52" t="s">
        <v>581</v>
      </c>
      <c r="G5728" s="55" t="s">
        <v>276</v>
      </c>
      <c r="H5728" s="55">
        <v>-13.434889999999999</v>
      </c>
      <c r="I5728" s="55">
        <v>-66.095160000000007</v>
      </c>
      <c r="J5728" s="55">
        <v>-32.372509999999998</v>
      </c>
      <c r="K5728" s="55">
        <v>-6.0658079999999996</v>
      </c>
      <c r="L5728" s="55">
        <v>8.4875579999999999</v>
      </c>
      <c r="M5728" s="55">
        <v>9.0793839999999992</v>
      </c>
      <c r="N5728" s="55">
        <v>8.2625790000000006</v>
      </c>
    </row>
    <row r="5729" spans="1:14" hidden="1" x14ac:dyDescent="0.35">
      <c r="A5729" s="52" t="s">
        <v>686</v>
      </c>
      <c r="B5729" s="52" t="s">
        <v>34</v>
      </c>
      <c r="C5729" s="52" t="s">
        <v>33</v>
      </c>
      <c r="D5729" s="52" t="s">
        <v>33</v>
      </c>
      <c r="E5729" s="52" t="s">
        <v>604</v>
      </c>
      <c r="F5729" s="52" t="s">
        <v>581</v>
      </c>
      <c r="G5729" s="55" t="s">
        <v>277</v>
      </c>
      <c r="H5729" s="55">
        <v>254.88499999999999</v>
      </c>
      <c r="I5729" s="55">
        <v>24.2454</v>
      </c>
      <c r="J5729" s="55">
        <v>7.4480110000000002</v>
      </c>
      <c r="K5729" s="55">
        <v>4.4891839999999998</v>
      </c>
      <c r="L5729" s="55">
        <v>7.872897</v>
      </c>
      <c r="M5729" s="55">
        <v>10.84863</v>
      </c>
      <c r="N5729" s="55">
        <v>15.23493</v>
      </c>
    </row>
    <row r="5730" spans="1:14" hidden="1" x14ac:dyDescent="0.35">
      <c r="A5730" s="52" t="s">
        <v>686</v>
      </c>
      <c r="B5730" s="52" t="s">
        <v>34</v>
      </c>
      <c r="C5730" s="52" t="s">
        <v>33</v>
      </c>
      <c r="D5730" s="52" t="s">
        <v>33</v>
      </c>
      <c r="E5730" s="52" t="s">
        <v>604</v>
      </c>
      <c r="F5730" s="52" t="s">
        <v>581</v>
      </c>
      <c r="G5730" s="55" t="s">
        <v>278</v>
      </c>
      <c r="H5730" s="55">
        <v>30.71416</v>
      </c>
      <c r="I5730" s="55">
        <v>7.6369059999999998</v>
      </c>
      <c r="J5730" s="55">
        <v>6.12277</v>
      </c>
      <c r="K5730" s="55">
        <v>7.4031690000000001</v>
      </c>
      <c r="L5730" s="55">
        <v>9.9285069999999997</v>
      </c>
      <c r="M5730" s="55">
        <v>11.3331</v>
      </c>
      <c r="N5730" s="55">
        <v>7.8508199999999997</v>
      </c>
    </row>
    <row r="5731" spans="1:14" hidden="1" x14ac:dyDescent="0.35">
      <c r="A5731" s="52" t="s">
        <v>686</v>
      </c>
      <c r="B5731" s="52" t="s">
        <v>34</v>
      </c>
      <c r="C5731" s="52" t="s">
        <v>33</v>
      </c>
      <c r="D5731" s="52" t="s">
        <v>33</v>
      </c>
      <c r="E5731" s="52" t="s">
        <v>604</v>
      </c>
      <c r="F5731" s="52" t="s">
        <v>581</v>
      </c>
      <c r="G5731" s="55" t="s">
        <v>279</v>
      </c>
      <c r="H5731" s="55">
        <v>91.937389999999994</v>
      </c>
      <c r="I5731" s="55">
        <v>77.677080000000004</v>
      </c>
      <c r="J5731" s="55">
        <v>58.176380000000002</v>
      </c>
      <c r="K5731" s="55">
        <v>48.740189999999998</v>
      </c>
      <c r="L5731" s="55">
        <v>43.386569999999999</v>
      </c>
      <c r="M5731" s="55">
        <v>41.51587</v>
      </c>
      <c r="N5731" s="55">
        <v>40.034109999999998</v>
      </c>
    </row>
    <row r="5732" spans="1:14" hidden="1" x14ac:dyDescent="0.35">
      <c r="A5732" s="52" t="s">
        <v>686</v>
      </c>
      <c r="B5732" s="52" t="s">
        <v>34</v>
      </c>
      <c r="C5732" s="52" t="s">
        <v>33</v>
      </c>
      <c r="D5732" s="52" t="s">
        <v>33</v>
      </c>
      <c r="E5732" s="52" t="s">
        <v>604</v>
      </c>
      <c r="F5732" s="52" t="s">
        <v>26</v>
      </c>
      <c r="G5732" s="55" t="s">
        <v>275</v>
      </c>
      <c r="H5732" s="55">
        <v>36.408900000000003</v>
      </c>
      <c r="I5732" s="55">
        <v>13.49905</v>
      </c>
      <c r="J5732" s="55">
        <v>15.74884</v>
      </c>
      <c r="K5732" s="55">
        <v>10.84338</v>
      </c>
      <c r="L5732" s="55">
        <v>9.407591</v>
      </c>
      <c r="M5732" s="55">
        <v>12.104749999999999</v>
      </c>
      <c r="N5732" s="55">
        <v>11.712479999999999</v>
      </c>
    </row>
    <row r="5733" spans="1:14" hidden="1" x14ac:dyDescent="0.35">
      <c r="A5733" s="52" t="s">
        <v>686</v>
      </c>
      <c r="B5733" s="52" t="s">
        <v>34</v>
      </c>
      <c r="C5733" s="52" t="s">
        <v>33</v>
      </c>
      <c r="D5733" s="52" t="s">
        <v>33</v>
      </c>
      <c r="E5733" s="52" t="s">
        <v>604</v>
      </c>
      <c r="F5733" s="52" t="s">
        <v>26</v>
      </c>
      <c r="G5733" s="55" t="s">
        <v>276</v>
      </c>
      <c r="H5733" s="55">
        <v>13.12702</v>
      </c>
      <c r="I5733" s="55">
        <v>4.4996809999999998</v>
      </c>
      <c r="J5733" s="55">
        <v>4.9733159999999996</v>
      </c>
      <c r="K5733" s="55">
        <v>3.2389320000000001</v>
      </c>
      <c r="L5733" s="55">
        <v>2.8100610000000001</v>
      </c>
      <c r="M5733" s="55">
        <v>3.6157050000000002</v>
      </c>
      <c r="N5733" s="55">
        <v>3.498535</v>
      </c>
    </row>
    <row r="5734" spans="1:14" hidden="1" x14ac:dyDescent="0.35">
      <c r="A5734" s="52" t="s">
        <v>686</v>
      </c>
      <c r="B5734" s="52" t="s">
        <v>34</v>
      </c>
      <c r="C5734" s="52" t="s">
        <v>33</v>
      </c>
      <c r="D5734" s="52" t="s">
        <v>33</v>
      </c>
      <c r="E5734" s="52" t="s">
        <v>604</v>
      </c>
      <c r="F5734" s="52" t="s">
        <v>26</v>
      </c>
      <c r="G5734" s="55" t="s">
        <v>279</v>
      </c>
      <c r="H5734" s="55">
        <v>145.001</v>
      </c>
      <c r="I5734" s="55">
        <v>122.78830000000001</v>
      </c>
      <c r="J5734" s="55">
        <v>93.012609999999995</v>
      </c>
      <c r="K5734" s="55">
        <v>78.789559999999994</v>
      </c>
      <c r="L5734" s="55">
        <v>72.084530000000001</v>
      </c>
      <c r="M5734" s="55">
        <v>66.599140000000006</v>
      </c>
      <c r="N5734" s="55">
        <v>64.225040000000007</v>
      </c>
    </row>
    <row r="5735" spans="1:14" hidden="1" x14ac:dyDescent="0.35">
      <c r="A5735" s="52" t="s">
        <v>706</v>
      </c>
      <c r="B5735" s="52" t="s">
        <v>37</v>
      </c>
      <c r="C5735" s="52" t="s">
        <v>85</v>
      </c>
      <c r="D5735" s="52" t="s">
        <v>85</v>
      </c>
      <c r="E5735" s="52" t="s">
        <v>584</v>
      </c>
      <c r="F5735" s="52" t="s">
        <v>581</v>
      </c>
      <c r="G5735" s="55" t="s">
        <v>275</v>
      </c>
      <c r="H5735" s="55">
        <v>355.89859999999999</v>
      </c>
      <c r="I5735" s="55">
        <v>-106.7067</v>
      </c>
      <c r="J5735" s="55">
        <v>27.056419999999999</v>
      </c>
      <c r="K5735" s="55">
        <v>27.558070000000001</v>
      </c>
      <c r="L5735" s="55">
        <v>23.345790000000001</v>
      </c>
      <c r="M5735" s="55">
        <v>27.043880000000001</v>
      </c>
      <c r="N5735" s="55">
        <v>29.67005</v>
      </c>
    </row>
    <row r="5736" spans="1:14" hidden="1" x14ac:dyDescent="0.35">
      <c r="A5736" s="52" t="s">
        <v>706</v>
      </c>
      <c r="B5736" s="52" t="s">
        <v>37</v>
      </c>
      <c r="C5736" s="52" t="s">
        <v>85</v>
      </c>
      <c r="D5736" s="52" t="s">
        <v>85</v>
      </c>
      <c r="E5736" s="52" t="s">
        <v>584</v>
      </c>
      <c r="F5736" s="52" t="s">
        <v>581</v>
      </c>
      <c r="G5736" s="55" t="s">
        <v>276</v>
      </c>
      <c r="H5736" s="55">
        <v>131.83969999999999</v>
      </c>
      <c r="I5736" s="55">
        <v>0.69229890000000005</v>
      </c>
      <c r="J5736" s="55">
        <v>-23.67116</v>
      </c>
      <c r="K5736" s="55">
        <v>-35.306579999999997</v>
      </c>
      <c r="L5736" s="55">
        <v>-31.557369999999999</v>
      </c>
      <c r="M5736" s="55">
        <v>-23.206869999999999</v>
      </c>
      <c r="N5736" s="55">
        <v>-9.4119460000000004</v>
      </c>
    </row>
    <row r="5737" spans="1:14" hidden="1" x14ac:dyDescent="0.35">
      <c r="A5737" s="52" t="s">
        <v>706</v>
      </c>
      <c r="B5737" s="52" t="s">
        <v>37</v>
      </c>
      <c r="C5737" s="52" t="s">
        <v>85</v>
      </c>
      <c r="D5737" s="52" t="s">
        <v>85</v>
      </c>
      <c r="E5737" s="52" t="s">
        <v>584</v>
      </c>
      <c r="F5737" s="52" t="s">
        <v>581</v>
      </c>
      <c r="G5737" s="55" t="s">
        <v>277</v>
      </c>
      <c r="H5737" s="55">
        <v>398.64100000000002</v>
      </c>
      <c r="I5737" s="55">
        <v>346.3</v>
      </c>
      <c r="J5737" s="55">
        <v>221.84520000000001</v>
      </c>
      <c r="K5737" s="55">
        <v>189.13380000000001</v>
      </c>
      <c r="L5737" s="55">
        <v>160.47069999999999</v>
      </c>
      <c r="M5737" s="55">
        <v>135.12620000000001</v>
      </c>
      <c r="N5737" s="55">
        <v>109.14830000000001</v>
      </c>
    </row>
    <row r="5738" spans="1:14" hidden="1" x14ac:dyDescent="0.35">
      <c r="A5738" s="52" t="s">
        <v>706</v>
      </c>
      <c r="B5738" s="52" t="s">
        <v>37</v>
      </c>
      <c r="C5738" s="52" t="s">
        <v>85</v>
      </c>
      <c r="D5738" s="52" t="s">
        <v>85</v>
      </c>
      <c r="E5738" s="52" t="s">
        <v>584</v>
      </c>
      <c r="F5738" s="52" t="s">
        <v>581</v>
      </c>
      <c r="G5738" s="55" t="s">
        <v>278</v>
      </c>
      <c r="H5738" s="55">
        <v>26.94312</v>
      </c>
      <c r="I5738" s="55">
        <v>19.533750000000001</v>
      </c>
      <c r="J5738" s="55">
        <v>0</v>
      </c>
      <c r="K5738" s="55"/>
      <c r="L5738" s="55"/>
      <c r="M5738" s="55"/>
      <c r="N5738" s="55"/>
    </row>
    <row r="5739" spans="1:14" hidden="1" x14ac:dyDescent="0.35">
      <c r="A5739" s="52" t="s">
        <v>706</v>
      </c>
      <c r="B5739" s="52" t="s">
        <v>37</v>
      </c>
      <c r="C5739" s="52" t="s">
        <v>85</v>
      </c>
      <c r="D5739" s="52" t="s">
        <v>85</v>
      </c>
      <c r="E5739" s="52" t="s">
        <v>584</v>
      </c>
      <c r="F5739" s="52" t="s">
        <v>581</v>
      </c>
      <c r="G5739" s="55" t="s">
        <v>279</v>
      </c>
      <c r="H5739" s="55">
        <v>526.44119999999998</v>
      </c>
      <c r="I5739" s="55">
        <v>342.58429999999998</v>
      </c>
      <c r="J5739" s="55">
        <v>266.17360000000002</v>
      </c>
      <c r="K5739" s="55">
        <v>238.20500000000001</v>
      </c>
      <c r="L5739" s="55">
        <v>215.98140000000001</v>
      </c>
      <c r="M5739" s="55">
        <v>187.96440000000001</v>
      </c>
      <c r="N5739" s="55">
        <v>168.2319</v>
      </c>
    </row>
    <row r="5740" spans="1:14" hidden="1" x14ac:dyDescent="0.35">
      <c r="A5740" s="52" t="s">
        <v>706</v>
      </c>
      <c r="B5740" s="52" t="s">
        <v>37</v>
      </c>
      <c r="C5740" s="52" t="s">
        <v>85</v>
      </c>
      <c r="D5740" s="52" t="s">
        <v>85</v>
      </c>
      <c r="E5740" s="52" t="s">
        <v>584</v>
      </c>
      <c r="F5740" s="52" t="s">
        <v>26</v>
      </c>
      <c r="G5740" s="55" t="s">
        <v>275</v>
      </c>
      <c r="H5740" s="55">
        <v>-22.098009999999999</v>
      </c>
      <c r="I5740" s="55">
        <v>-26.29421</v>
      </c>
      <c r="J5740" s="55">
        <v>-11.02575</v>
      </c>
      <c r="K5740" s="55">
        <v>-13.470789999999999</v>
      </c>
      <c r="L5740" s="55">
        <v>-12.60266</v>
      </c>
      <c r="M5740" s="55">
        <v>-8.6556110000000004</v>
      </c>
      <c r="N5740" s="55">
        <v>-5.9565390000000003</v>
      </c>
    </row>
    <row r="5741" spans="1:14" hidden="1" x14ac:dyDescent="0.35">
      <c r="A5741" s="52" t="s">
        <v>706</v>
      </c>
      <c r="B5741" s="52" t="s">
        <v>37</v>
      </c>
      <c r="C5741" s="52" t="s">
        <v>85</v>
      </c>
      <c r="D5741" s="52" t="s">
        <v>85</v>
      </c>
      <c r="E5741" s="52" t="s">
        <v>584</v>
      </c>
      <c r="F5741" s="52" t="s">
        <v>26</v>
      </c>
      <c r="G5741" s="55" t="s">
        <v>276</v>
      </c>
      <c r="H5741" s="55">
        <v>-5.8741459999999996</v>
      </c>
      <c r="I5741" s="55">
        <v>-6.9896019999999996</v>
      </c>
      <c r="J5741" s="55">
        <v>-2.9309069999999999</v>
      </c>
      <c r="K5741" s="55">
        <v>-3.5808420000000001</v>
      </c>
      <c r="L5741" s="55">
        <v>-3.3500770000000002</v>
      </c>
      <c r="M5741" s="55">
        <v>-2.3008579999999998</v>
      </c>
      <c r="N5741" s="55">
        <v>-1.5833839999999999</v>
      </c>
    </row>
    <row r="5742" spans="1:14" hidden="1" x14ac:dyDescent="0.35">
      <c r="A5742" s="52" t="s">
        <v>706</v>
      </c>
      <c r="B5742" s="52" t="s">
        <v>37</v>
      </c>
      <c r="C5742" s="52" t="s">
        <v>85</v>
      </c>
      <c r="D5742" s="52" t="s">
        <v>85</v>
      </c>
      <c r="E5742" s="52" t="s">
        <v>584</v>
      </c>
      <c r="F5742" s="52" t="s">
        <v>26</v>
      </c>
      <c r="G5742" s="55" t="s">
        <v>279</v>
      </c>
      <c r="H5742" s="55">
        <v>193.7988</v>
      </c>
      <c r="I5742" s="55">
        <v>197.69669999999999</v>
      </c>
      <c r="J5742" s="55">
        <v>131.7757</v>
      </c>
      <c r="K5742" s="55">
        <v>98.126440000000002</v>
      </c>
      <c r="L5742" s="55">
        <v>71.69923</v>
      </c>
      <c r="M5742" s="55">
        <v>49.263190000000002</v>
      </c>
      <c r="N5742" s="55">
        <v>33.846939999999996</v>
      </c>
    </row>
    <row r="5743" spans="1:14" hidden="1" x14ac:dyDescent="0.35">
      <c r="A5743" s="52" t="s">
        <v>706</v>
      </c>
      <c r="B5743" s="52" t="s">
        <v>37</v>
      </c>
      <c r="C5743" s="52" t="s">
        <v>85</v>
      </c>
      <c r="D5743" s="52" t="s">
        <v>85</v>
      </c>
      <c r="E5743" s="52" t="s">
        <v>707</v>
      </c>
      <c r="F5743" s="52" t="s">
        <v>581</v>
      </c>
      <c r="G5743" s="55" t="s">
        <v>275</v>
      </c>
      <c r="H5743" s="55">
        <v>18.291329999999999</v>
      </c>
      <c r="I5743" s="55">
        <v>2.8716569999999999</v>
      </c>
      <c r="J5743" s="55">
        <v>1.815736</v>
      </c>
      <c r="K5743" s="55">
        <v>1.399024</v>
      </c>
      <c r="L5743" s="55">
        <v>0.45457589999999998</v>
      </c>
      <c r="M5743" s="55">
        <v>1.387141</v>
      </c>
      <c r="N5743" s="55">
        <v>1.3562460000000001</v>
      </c>
    </row>
    <row r="5744" spans="1:14" hidden="1" x14ac:dyDescent="0.35">
      <c r="A5744" s="52" t="s">
        <v>706</v>
      </c>
      <c r="B5744" s="52" t="s">
        <v>37</v>
      </c>
      <c r="C5744" s="52" t="s">
        <v>85</v>
      </c>
      <c r="D5744" s="52" t="s">
        <v>85</v>
      </c>
      <c r="E5744" s="52" t="s">
        <v>707</v>
      </c>
      <c r="F5744" s="52" t="s">
        <v>581</v>
      </c>
      <c r="G5744" s="55" t="s">
        <v>276</v>
      </c>
      <c r="H5744" s="55">
        <v>1.5507409999999999</v>
      </c>
      <c r="I5744" s="55">
        <v>-0.44862940000000001</v>
      </c>
      <c r="J5744" s="55">
        <v>-1.3764019999999999</v>
      </c>
      <c r="K5744" s="55">
        <v>-1.6222160000000001</v>
      </c>
      <c r="L5744" s="55">
        <v>0.45773770000000003</v>
      </c>
      <c r="M5744" s="55">
        <v>0.1024033</v>
      </c>
      <c r="N5744" s="55">
        <v>-5.5493979999999998E-2</v>
      </c>
    </row>
    <row r="5745" spans="1:14" hidden="1" x14ac:dyDescent="0.35">
      <c r="A5745" s="52" t="s">
        <v>706</v>
      </c>
      <c r="B5745" s="52" t="s">
        <v>37</v>
      </c>
      <c r="C5745" s="52" t="s">
        <v>85</v>
      </c>
      <c r="D5745" s="52" t="s">
        <v>85</v>
      </c>
      <c r="E5745" s="52" t="s">
        <v>707</v>
      </c>
      <c r="F5745" s="52" t="s">
        <v>581</v>
      </c>
      <c r="G5745" s="55" t="s">
        <v>277</v>
      </c>
      <c r="H5745" s="55">
        <v>0</v>
      </c>
      <c r="I5745" s="55">
        <v>0</v>
      </c>
      <c r="J5745" s="55">
        <v>2.283884</v>
      </c>
      <c r="K5745" s="55">
        <v>2.8137310000000002</v>
      </c>
      <c r="L5745" s="55">
        <v>2.5197729999999998</v>
      </c>
      <c r="M5745" s="55">
        <v>0</v>
      </c>
      <c r="N5745" s="55">
        <v>0</v>
      </c>
    </row>
    <row r="5746" spans="1:14" hidden="1" x14ac:dyDescent="0.35">
      <c r="A5746" s="52" t="s">
        <v>706</v>
      </c>
      <c r="B5746" s="52" t="s">
        <v>37</v>
      </c>
      <c r="C5746" s="52" t="s">
        <v>85</v>
      </c>
      <c r="D5746" s="52" t="s">
        <v>85</v>
      </c>
      <c r="E5746" s="52" t="s">
        <v>707</v>
      </c>
      <c r="F5746" s="52" t="s">
        <v>581</v>
      </c>
      <c r="G5746" s="55" t="s">
        <v>278</v>
      </c>
      <c r="H5746" s="55">
        <v>0</v>
      </c>
      <c r="I5746" s="55">
        <v>0</v>
      </c>
      <c r="J5746" s="55">
        <v>4.6079000000000002E-2</v>
      </c>
      <c r="K5746" s="55">
        <v>0</v>
      </c>
      <c r="L5746" s="55"/>
      <c r="M5746" s="55"/>
      <c r="N5746" s="55"/>
    </row>
    <row r="5747" spans="1:14" hidden="1" x14ac:dyDescent="0.35">
      <c r="A5747" s="52" t="s">
        <v>706</v>
      </c>
      <c r="B5747" s="52" t="s">
        <v>37</v>
      </c>
      <c r="C5747" s="52" t="s">
        <v>85</v>
      </c>
      <c r="D5747" s="52" t="s">
        <v>85</v>
      </c>
      <c r="E5747" s="52" t="s">
        <v>707</v>
      </c>
      <c r="F5747" s="52" t="s">
        <v>581</v>
      </c>
      <c r="G5747" s="55" t="s">
        <v>279</v>
      </c>
      <c r="H5747" s="55">
        <v>20.16011</v>
      </c>
      <c r="I5747" s="55">
        <v>10.36149</v>
      </c>
      <c r="J5747" s="55">
        <v>9.3940940000000008</v>
      </c>
      <c r="K5747" s="55">
        <v>9.7517399999999999</v>
      </c>
      <c r="L5747" s="55">
        <v>9.1038169999999994</v>
      </c>
      <c r="M5747" s="55">
        <v>9.8532340000000005</v>
      </c>
      <c r="N5747" s="55">
        <v>8.6606500000000004</v>
      </c>
    </row>
    <row r="5748" spans="1:14" hidden="1" x14ac:dyDescent="0.35">
      <c r="A5748" s="52" t="s">
        <v>706</v>
      </c>
      <c r="B5748" s="52" t="s">
        <v>37</v>
      </c>
      <c r="C5748" s="52" t="s">
        <v>85</v>
      </c>
      <c r="D5748" s="52" t="s">
        <v>85</v>
      </c>
      <c r="E5748" s="52" t="s">
        <v>707</v>
      </c>
      <c r="F5748" s="52" t="s">
        <v>26</v>
      </c>
      <c r="G5748" s="55" t="s">
        <v>275</v>
      </c>
      <c r="H5748" s="55">
        <v>-0.48052499999999998</v>
      </c>
      <c r="I5748" s="55">
        <v>-0.3077339</v>
      </c>
      <c r="J5748" s="55">
        <v>-0.22772120000000001</v>
      </c>
      <c r="K5748" s="55">
        <v>-0.25793700000000003</v>
      </c>
      <c r="L5748" s="55">
        <v>-0.20261979999999999</v>
      </c>
      <c r="M5748" s="55">
        <v>-0.31630029999999998</v>
      </c>
      <c r="N5748" s="55">
        <v>-0.278416</v>
      </c>
    </row>
    <row r="5749" spans="1:14" hidden="1" x14ac:dyDescent="0.35">
      <c r="A5749" s="52" t="s">
        <v>706</v>
      </c>
      <c r="B5749" s="52" t="s">
        <v>37</v>
      </c>
      <c r="C5749" s="52" t="s">
        <v>85</v>
      </c>
      <c r="D5749" s="52" t="s">
        <v>85</v>
      </c>
      <c r="E5749" s="52" t="s">
        <v>707</v>
      </c>
      <c r="F5749" s="52" t="s">
        <v>26</v>
      </c>
      <c r="G5749" s="55" t="s">
        <v>276</v>
      </c>
      <c r="H5749" s="55">
        <v>-0.12773399999999999</v>
      </c>
      <c r="I5749" s="55">
        <v>-8.1801899999999997E-2</v>
      </c>
      <c r="J5749" s="55">
        <v>-6.0532299999999997E-2</v>
      </c>
      <c r="K5749" s="55">
        <v>-6.8565299999999996E-2</v>
      </c>
      <c r="L5749" s="55">
        <v>-5.3861699999999998E-2</v>
      </c>
      <c r="M5749" s="55">
        <v>-8.4079890000000004E-2</v>
      </c>
      <c r="N5749" s="55">
        <v>-7.4009400000000003E-2</v>
      </c>
    </row>
    <row r="5750" spans="1:14" hidden="1" x14ac:dyDescent="0.35">
      <c r="A5750" s="52" t="s">
        <v>706</v>
      </c>
      <c r="B5750" s="52" t="s">
        <v>37</v>
      </c>
      <c r="C5750" s="52" t="s">
        <v>85</v>
      </c>
      <c r="D5750" s="52" t="s">
        <v>85</v>
      </c>
      <c r="E5750" s="52" t="s">
        <v>707</v>
      </c>
      <c r="F5750" s="52" t="s">
        <v>26</v>
      </c>
      <c r="G5750" s="55" t="s">
        <v>279</v>
      </c>
      <c r="H5750" s="55">
        <v>1.9205859999999999</v>
      </c>
      <c r="I5750" s="55">
        <v>1.136598</v>
      </c>
      <c r="J5750" s="55">
        <v>1.033291</v>
      </c>
      <c r="K5750" s="55">
        <v>1.079294</v>
      </c>
      <c r="L5750" s="55">
        <v>1.0185789999999999</v>
      </c>
      <c r="M5750" s="55">
        <v>1.091788</v>
      </c>
      <c r="N5750" s="55">
        <v>0.95970080000000002</v>
      </c>
    </row>
    <row r="5751" spans="1:14" hidden="1" x14ac:dyDescent="0.35">
      <c r="A5751" s="52" t="s">
        <v>706</v>
      </c>
      <c r="B5751" s="52" t="s">
        <v>37</v>
      </c>
      <c r="C5751" s="52" t="s">
        <v>273</v>
      </c>
      <c r="D5751" s="52" t="s">
        <v>273</v>
      </c>
      <c r="E5751" s="52" t="s">
        <v>584</v>
      </c>
      <c r="F5751" s="52" t="s">
        <v>581</v>
      </c>
      <c r="G5751" s="55" t="s">
        <v>275</v>
      </c>
      <c r="H5751" s="55">
        <v>98.206829999999997</v>
      </c>
      <c r="I5751" s="55">
        <v>-11.27037</v>
      </c>
      <c r="J5751" s="55">
        <v>-3.0789339999999998</v>
      </c>
      <c r="K5751" s="55">
        <v>1.231954</v>
      </c>
      <c r="L5751" s="55">
        <v>-12.478109999999999</v>
      </c>
      <c r="M5751" s="55">
        <v>-11.26093</v>
      </c>
      <c r="N5751" s="55">
        <v>-11.671329999999999</v>
      </c>
    </row>
    <row r="5752" spans="1:14" hidden="1" x14ac:dyDescent="0.35">
      <c r="A5752" s="52" t="s">
        <v>706</v>
      </c>
      <c r="B5752" s="52" t="s">
        <v>37</v>
      </c>
      <c r="C5752" s="52" t="s">
        <v>273</v>
      </c>
      <c r="D5752" s="52" t="s">
        <v>273</v>
      </c>
      <c r="E5752" s="52" t="s">
        <v>584</v>
      </c>
      <c r="F5752" s="52" t="s">
        <v>581</v>
      </c>
      <c r="G5752" s="55" t="s">
        <v>276</v>
      </c>
      <c r="H5752" s="55">
        <v>23.373550000000002</v>
      </c>
      <c r="I5752" s="55">
        <v>0.27487240000000002</v>
      </c>
      <c r="J5752" s="55">
        <v>-2.4763730000000002</v>
      </c>
      <c r="K5752" s="55">
        <v>-11.37</v>
      </c>
      <c r="L5752" s="55">
        <v>-5.9152659999999999</v>
      </c>
      <c r="M5752" s="55">
        <v>-5.5766780000000002</v>
      </c>
      <c r="N5752" s="55">
        <v>-4.5448810000000002</v>
      </c>
    </row>
    <row r="5753" spans="1:14" hidden="1" x14ac:dyDescent="0.35">
      <c r="A5753" s="52" t="s">
        <v>706</v>
      </c>
      <c r="B5753" s="52" t="s">
        <v>37</v>
      </c>
      <c r="C5753" s="52" t="s">
        <v>273</v>
      </c>
      <c r="D5753" s="52" t="s">
        <v>273</v>
      </c>
      <c r="E5753" s="52" t="s">
        <v>584</v>
      </c>
      <c r="F5753" s="52" t="s">
        <v>581</v>
      </c>
      <c r="G5753" s="55" t="s">
        <v>277</v>
      </c>
      <c r="H5753" s="55">
        <v>72.952740000000006</v>
      </c>
      <c r="I5753" s="55">
        <v>71.577449999999999</v>
      </c>
      <c r="J5753" s="55">
        <v>58.153350000000003</v>
      </c>
      <c r="K5753" s="55">
        <v>56.774970000000003</v>
      </c>
      <c r="L5753" s="55">
        <v>54.955060000000003</v>
      </c>
      <c r="M5753" s="55">
        <v>52.01878</v>
      </c>
      <c r="N5753" s="55">
        <v>49.455669999999998</v>
      </c>
    </row>
    <row r="5754" spans="1:14" hidden="1" x14ac:dyDescent="0.35">
      <c r="A5754" s="52" t="s">
        <v>706</v>
      </c>
      <c r="B5754" s="52" t="s">
        <v>37</v>
      </c>
      <c r="C5754" s="52" t="s">
        <v>273</v>
      </c>
      <c r="D5754" s="52" t="s">
        <v>273</v>
      </c>
      <c r="E5754" s="52" t="s">
        <v>584</v>
      </c>
      <c r="F5754" s="52" t="s">
        <v>581</v>
      </c>
      <c r="G5754" s="55" t="s">
        <v>279</v>
      </c>
      <c r="H5754" s="55">
        <v>325.28089999999997</v>
      </c>
      <c r="I5754" s="55">
        <v>276.9015</v>
      </c>
      <c r="J5754" s="55">
        <v>279.92469999999997</v>
      </c>
      <c r="K5754" s="55">
        <v>297.14589999999998</v>
      </c>
      <c r="L5754" s="55">
        <v>294.50299999999999</v>
      </c>
      <c r="M5754" s="55">
        <v>285.43020000000001</v>
      </c>
      <c r="N5754" s="55">
        <v>277.84320000000002</v>
      </c>
    </row>
    <row r="5755" spans="1:14" hidden="1" x14ac:dyDescent="0.35">
      <c r="A5755" s="52" t="s">
        <v>706</v>
      </c>
      <c r="B5755" s="52" t="s">
        <v>37</v>
      </c>
      <c r="C5755" s="52" t="s">
        <v>273</v>
      </c>
      <c r="D5755" s="52" t="s">
        <v>273</v>
      </c>
      <c r="E5755" s="52" t="s">
        <v>584</v>
      </c>
      <c r="F5755" s="52" t="s">
        <v>26</v>
      </c>
      <c r="G5755" s="55" t="s">
        <v>275</v>
      </c>
      <c r="H5755" s="55">
        <v>-1.1715720000000001</v>
      </c>
      <c r="I5755" s="55">
        <v>-0.99421870000000001</v>
      </c>
      <c r="J5755" s="55">
        <v>-0.99651489999999998</v>
      </c>
      <c r="K5755" s="55">
        <v>-1.0876840000000001</v>
      </c>
      <c r="L5755" s="55">
        <v>-1.105459</v>
      </c>
      <c r="M5755" s="55">
        <v>-1.0766770000000001</v>
      </c>
      <c r="N5755" s="55">
        <v>-1.055569</v>
      </c>
    </row>
    <row r="5756" spans="1:14" hidden="1" x14ac:dyDescent="0.35">
      <c r="A5756" s="52" t="s">
        <v>706</v>
      </c>
      <c r="B5756" s="52" t="s">
        <v>37</v>
      </c>
      <c r="C5756" s="52" t="s">
        <v>273</v>
      </c>
      <c r="D5756" s="52" t="s">
        <v>273</v>
      </c>
      <c r="E5756" s="52" t="s">
        <v>584</v>
      </c>
      <c r="F5756" s="52" t="s">
        <v>26</v>
      </c>
      <c r="G5756" s="55" t="s">
        <v>276</v>
      </c>
      <c r="H5756" s="55">
        <v>-0.31142799999999998</v>
      </c>
      <c r="I5756" s="55">
        <v>-0.26428810000000003</v>
      </c>
      <c r="J5756" s="55">
        <v>-0.2648954</v>
      </c>
      <c r="K5756" s="55">
        <v>-0.2891301</v>
      </c>
      <c r="L5756" s="55">
        <v>-0.29385869999999997</v>
      </c>
      <c r="M5756" s="55">
        <v>-0.28620879999999999</v>
      </c>
      <c r="N5756" s="55">
        <v>-0.28058850000000002</v>
      </c>
    </row>
    <row r="5757" spans="1:14" hidden="1" x14ac:dyDescent="0.35">
      <c r="A5757" s="52" t="s">
        <v>706</v>
      </c>
      <c r="B5757" s="52" t="s">
        <v>37</v>
      </c>
      <c r="C5757" s="52" t="s">
        <v>273</v>
      </c>
      <c r="D5757" s="52" t="s">
        <v>273</v>
      </c>
      <c r="E5757" s="52" t="s">
        <v>584</v>
      </c>
      <c r="F5757" s="52" t="s">
        <v>26</v>
      </c>
      <c r="G5757" s="55" t="s">
        <v>279</v>
      </c>
      <c r="H5757" s="55">
        <v>2.2507139999999999</v>
      </c>
      <c r="I5757" s="55">
        <v>2.1955290000000001</v>
      </c>
      <c r="J5757" s="55">
        <v>2.2368229999999998</v>
      </c>
      <c r="K5757" s="55">
        <v>2.3890669999999998</v>
      </c>
      <c r="L5757" s="55">
        <v>2.3770129999999998</v>
      </c>
      <c r="M5757" s="55">
        <v>2.312913</v>
      </c>
      <c r="N5757" s="55">
        <v>2.2605490000000001</v>
      </c>
    </row>
    <row r="5758" spans="1:14" hidden="1" x14ac:dyDescent="0.35">
      <c r="A5758" s="52" t="s">
        <v>706</v>
      </c>
      <c r="B5758" s="52" t="s">
        <v>37</v>
      </c>
      <c r="C5758" s="52" t="s">
        <v>111</v>
      </c>
      <c r="D5758" s="52" t="s">
        <v>111</v>
      </c>
      <c r="E5758" s="52" t="s">
        <v>584</v>
      </c>
      <c r="F5758" s="52" t="s">
        <v>581</v>
      </c>
      <c r="G5758" s="55" t="s">
        <v>275</v>
      </c>
      <c r="H5758" s="55">
        <v>18.163820000000001</v>
      </c>
      <c r="I5758" s="55">
        <v>-11.314439999999999</v>
      </c>
      <c r="J5758" s="55">
        <v>-2.9492479999999999</v>
      </c>
      <c r="K5758" s="55">
        <v>-3.427915</v>
      </c>
      <c r="L5758" s="55">
        <v>-3.7897430000000001</v>
      </c>
      <c r="M5758" s="55">
        <v>-3.0156480000000001</v>
      </c>
      <c r="N5758" s="55">
        <v>-2.7818160000000001</v>
      </c>
    </row>
    <row r="5759" spans="1:14" hidden="1" x14ac:dyDescent="0.35">
      <c r="A5759" s="52" t="s">
        <v>706</v>
      </c>
      <c r="B5759" s="52" t="s">
        <v>37</v>
      </c>
      <c r="C5759" s="52" t="s">
        <v>111</v>
      </c>
      <c r="D5759" s="52" t="s">
        <v>111</v>
      </c>
      <c r="E5759" s="52" t="s">
        <v>584</v>
      </c>
      <c r="F5759" s="52" t="s">
        <v>581</v>
      </c>
      <c r="G5759" s="55" t="s">
        <v>276</v>
      </c>
      <c r="H5759" s="55">
        <v>8.3019470000000002</v>
      </c>
      <c r="I5759" s="55">
        <v>-2.0631520000000001</v>
      </c>
      <c r="J5759" s="55">
        <v>-2.0053619999999999</v>
      </c>
      <c r="K5759" s="55">
        <v>-2.5549970000000002</v>
      </c>
      <c r="L5759" s="55">
        <v>-2.8428930000000001</v>
      </c>
      <c r="M5759" s="55">
        <v>-2.4680490000000002</v>
      </c>
      <c r="N5759" s="55">
        <v>-1.703271</v>
      </c>
    </row>
    <row r="5760" spans="1:14" hidden="1" x14ac:dyDescent="0.35">
      <c r="A5760" s="52" t="s">
        <v>706</v>
      </c>
      <c r="B5760" s="52" t="s">
        <v>37</v>
      </c>
      <c r="C5760" s="52" t="s">
        <v>111</v>
      </c>
      <c r="D5760" s="52" t="s">
        <v>111</v>
      </c>
      <c r="E5760" s="52" t="s">
        <v>584</v>
      </c>
      <c r="F5760" s="52" t="s">
        <v>581</v>
      </c>
      <c r="G5760" s="55" t="s">
        <v>277</v>
      </c>
      <c r="H5760" s="55">
        <v>33.406219999999998</v>
      </c>
      <c r="I5760" s="55">
        <v>32.119149999999998</v>
      </c>
      <c r="J5760" s="55">
        <v>26.25177</v>
      </c>
      <c r="K5760" s="55">
        <v>24.997330000000002</v>
      </c>
      <c r="L5760" s="55">
        <v>23.601140000000001</v>
      </c>
      <c r="M5760" s="55">
        <v>21.804300000000001</v>
      </c>
      <c r="N5760" s="55">
        <v>20.245450000000002</v>
      </c>
    </row>
    <row r="5761" spans="1:14" hidden="1" x14ac:dyDescent="0.35">
      <c r="A5761" s="52" t="s">
        <v>706</v>
      </c>
      <c r="B5761" s="52" t="s">
        <v>37</v>
      </c>
      <c r="C5761" s="52" t="s">
        <v>111</v>
      </c>
      <c r="D5761" s="52" t="s">
        <v>111</v>
      </c>
      <c r="E5761" s="52" t="s">
        <v>584</v>
      </c>
      <c r="F5761" s="52" t="s">
        <v>581</v>
      </c>
      <c r="G5761" s="55" t="s">
        <v>278</v>
      </c>
      <c r="H5761" s="55">
        <v>3.0048720000000002</v>
      </c>
      <c r="I5761" s="55">
        <v>2.1785320000000001</v>
      </c>
      <c r="J5761" s="55">
        <v>0</v>
      </c>
      <c r="K5761" s="55"/>
      <c r="L5761" s="55"/>
      <c r="M5761" s="55"/>
      <c r="N5761" s="55"/>
    </row>
    <row r="5762" spans="1:14" hidden="1" x14ac:dyDescent="0.35">
      <c r="A5762" s="52" t="s">
        <v>706</v>
      </c>
      <c r="B5762" s="52" t="s">
        <v>37</v>
      </c>
      <c r="C5762" s="52" t="s">
        <v>111</v>
      </c>
      <c r="D5762" s="52" t="s">
        <v>111</v>
      </c>
      <c r="E5762" s="52" t="s">
        <v>584</v>
      </c>
      <c r="F5762" s="52" t="s">
        <v>581</v>
      </c>
      <c r="G5762" s="55" t="s">
        <v>279</v>
      </c>
      <c r="H5762" s="55">
        <v>38.160350000000001</v>
      </c>
      <c r="I5762" s="55">
        <v>29.494240000000001</v>
      </c>
      <c r="J5762" s="55">
        <v>28.271139999999999</v>
      </c>
      <c r="K5762" s="55">
        <v>30.13655</v>
      </c>
      <c r="L5762" s="55">
        <v>31.323969999999999</v>
      </c>
      <c r="M5762" s="55">
        <v>30.07132</v>
      </c>
      <c r="N5762" s="55">
        <v>28.987860000000001</v>
      </c>
    </row>
    <row r="5763" spans="1:14" hidden="1" x14ac:dyDescent="0.35">
      <c r="A5763" s="52" t="s">
        <v>706</v>
      </c>
      <c r="B5763" s="52" t="s">
        <v>37</v>
      </c>
      <c r="C5763" s="52" t="s">
        <v>111</v>
      </c>
      <c r="D5763" s="52" t="s">
        <v>111</v>
      </c>
      <c r="E5763" s="52" t="s">
        <v>584</v>
      </c>
      <c r="F5763" s="52" t="s">
        <v>26</v>
      </c>
      <c r="G5763" s="55" t="s">
        <v>275</v>
      </c>
      <c r="H5763" s="55">
        <v>-1.1244620000000001</v>
      </c>
      <c r="I5763" s="55">
        <v>-1.130193</v>
      </c>
      <c r="J5763" s="55">
        <v>-0.71928599999999998</v>
      </c>
      <c r="K5763" s="55">
        <v>-0.97863750000000005</v>
      </c>
      <c r="L5763" s="55">
        <v>-1.1123620000000001</v>
      </c>
      <c r="M5763" s="55">
        <v>-0.96179460000000006</v>
      </c>
      <c r="N5763" s="55">
        <v>-0.83416559999999995</v>
      </c>
    </row>
    <row r="5764" spans="1:14" hidden="1" x14ac:dyDescent="0.35">
      <c r="A5764" s="52" t="s">
        <v>706</v>
      </c>
      <c r="B5764" s="52" t="s">
        <v>37</v>
      </c>
      <c r="C5764" s="52" t="s">
        <v>111</v>
      </c>
      <c r="D5764" s="52" t="s">
        <v>111</v>
      </c>
      <c r="E5764" s="52" t="s">
        <v>584</v>
      </c>
      <c r="F5764" s="52" t="s">
        <v>26</v>
      </c>
      <c r="G5764" s="55" t="s">
        <v>276</v>
      </c>
      <c r="H5764" s="55">
        <v>-0.29890699999999998</v>
      </c>
      <c r="I5764" s="55">
        <v>-0.30043180000000003</v>
      </c>
      <c r="J5764" s="55">
        <v>-0.1912025</v>
      </c>
      <c r="K5764" s="55">
        <v>-0.26014419999999999</v>
      </c>
      <c r="L5764" s="55">
        <v>-0.29569069999999997</v>
      </c>
      <c r="M5764" s="55">
        <v>-0.25566660000000002</v>
      </c>
      <c r="N5764" s="55">
        <v>-0.22174150000000001</v>
      </c>
    </row>
    <row r="5765" spans="1:14" hidden="1" x14ac:dyDescent="0.35">
      <c r="A5765" s="52" t="s">
        <v>706</v>
      </c>
      <c r="B5765" s="52" t="s">
        <v>37</v>
      </c>
      <c r="C5765" s="52" t="s">
        <v>111</v>
      </c>
      <c r="D5765" s="52" t="s">
        <v>111</v>
      </c>
      <c r="E5765" s="52" t="s">
        <v>584</v>
      </c>
      <c r="F5765" s="52" t="s">
        <v>26</v>
      </c>
      <c r="G5765" s="55" t="s">
        <v>279</v>
      </c>
      <c r="H5765" s="55">
        <v>7.083736</v>
      </c>
      <c r="I5765" s="55">
        <v>6.5133549999999998</v>
      </c>
      <c r="J5765" s="55">
        <v>5.6804490000000003</v>
      </c>
      <c r="K5765" s="55">
        <v>5.5265389999999996</v>
      </c>
      <c r="L5765" s="55">
        <v>5.2179289999999998</v>
      </c>
      <c r="M5765" s="55">
        <v>4.5166810000000002</v>
      </c>
      <c r="N5765" s="55">
        <v>3.915969</v>
      </c>
    </row>
    <row r="5766" spans="1:14" hidden="1" x14ac:dyDescent="0.35">
      <c r="A5766" s="52" t="s">
        <v>706</v>
      </c>
      <c r="B5766" s="52" t="s">
        <v>37</v>
      </c>
      <c r="C5766" s="52" t="s">
        <v>252</v>
      </c>
      <c r="D5766" s="52" t="s">
        <v>252</v>
      </c>
      <c r="E5766" s="52" t="s">
        <v>584</v>
      </c>
      <c r="F5766" s="52" t="s">
        <v>581</v>
      </c>
      <c r="G5766" s="55" t="s">
        <v>275</v>
      </c>
      <c r="H5766" s="55">
        <v>0.168434</v>
      </c>
      <c r="I5766" s="55">
        <v>3.4109100000000003E-2</v>
      </c>
      <c r="J5766" s="55">
        <v>-0.27238099999999998</v>
      </c>
      <c r="K5766" s="55">
        <v>0</v>
      </c>
      <c r="L5766" s="55"/>
      <c r="M5766" s="55"/>
      <c r="N5766" s="55">
        <v>0</v>
      </c>
    </row>
    <row r="5767" spans="1:14" hidden="1" x14ac:dyDescent="0.35">
      <c r="A5767" s="52" t="s">
        <v>706</v>
      </c>
      <c r="B5767" s="52" t="s">
        <v>37</v>
      </c>
      <c r="C5767" s="52" t="s">
        <v>252</v>
      </c>
      <c r="D5767" s="52" t="s">
        <v>252</v>
      </c>
      <c r="E5767" s="52" t="s">
        <v>584</v>
      </c>
      <c r="F5767" s="52" t="s">
        <v>581</v>
      </c>
      <c r="G5767" s="55" t="s">
        <v>276</v>
      </c>
      <c r="H5767" s="55">
        <v>4.4772989999999999E-2</v>
      </c>
      <c r="I5767" s="55">
        <v>9.0670000000000004E-3</v>
      </c>
      <c r="J5767" s="55">
        <v>-7.2404999999999997E-2</v>
      </c>
      <c r="K5767" s="55">
        <v>0</v>
      </c>
      <c r="L5767" s="55"/>
      <c r="M5767" s="55"/>
      <c r="N5767" s="55">
        <v>0</v>
      </c>
    </row>
    <row r="5768" spans="1:14" hidden="1" x14ac:dyDescent="0.35">
      <c r="A5768" s="52" t="s">
        <v>706</v>
      </c>
      <c r="B5768" s="52" t="s">
        <v>37</v>
      </c>
      <c r="C5768" s="52" t="s">
        <v>252</v>
      </c>
      <c r="D5768" s="52" t="s">
        <v>252</v>
      </c>
      <c r="E5768" s="52" t="s">
        <v>584</v>
      </c>
      <c r="F5768" s="52" t="s">
        <v>581</v>
      </c>
      <c r="G5768" s="55" t="s">
        <v>279</v>
      </c>
      <c r="H5768" s="55">
        <v>0.157999</v>
      </c>
      <c r="I5768" s="55">
        <v>8.5946690000000006E-2</v>
      </c>
      <c r="J5768" s="55">
        <v>0.34478500000000001</v>
      </c>
      <c r="K5768" s="55">
        <v>0</v>
      </c>
      <c r="L5768" s="55"/>
      <c r="M5768" s="55"/>
      <c r="N5768" s="55">
        <v>0</v>
      </c>
    </row>
    <row r="5769" spans="1:14" hidden="1" x14ac:dyDescent="0.35">
      <c r="A5769" s="52" t="s">
        <v>706</v>
      </c>
      <c r="B5769" s="52" t="s">
        <v>37</v>
      </c>
      <c r="C5769" s="52" t="s">
        <v>252</v>
      </c>
      <c r="D5769" s="52" t="s">
        <v>252</v>
      </c>
      <c r="E5769" s="52" t="s">
        <v>584</v>
      </c>
      <c r="F5769" s="52" t="s">
        <v>26</v>
      </c>
      <c r="G5769" s="55" t="s">
        <v>275</v>
      </c>
      <c r="H5769" s="55">
        <v>-7.2224279999999998</v>
      </c>
      <c r="I5769" s="55">
        <v>-4.1831889999999996</v>
      </c>
      <c r="J5769" s="55">
        <v>-100.5468</v>
      </c>
      <c r="K5769" s="55">
        <v>3.3899999999999998E-3</v>
      </c>
      <c r="L5769" s="55"/>
      <c r="M5769" s="55">
        <v>0</v>
      </c>
      <c r="N5769" s="55"/>
    </row>
    <row r="5770" spans="1:14" hidden="1" x14ac:dyDescent="0.35">
      <c r="A5770" s="52" t="s">
        <v>706</v>
      </c>
      <c r="B5770" s="52" t="s">
        <v>37</v>
      </c>
      <c r="C5770" s="52" t="s">
        <v>252</v>
      </c>
      <c r="D5770" s="52" t="s">
        <v>252</v>
      </c>
      <c r="E5770" s="52" t="s">
        <v>584</v>
      </c>
      <c r="F5770" s="52" t="s">
        <v>26</v>
      </c>
      <c r="G5770" s="55" t="s">
        <v>276</v>
      </c>
      <c r="H5770" s="55">
        <v>-2.0193720000000002</v>
      </c>
      <c r="I5770" s="55">
        <v>-1.542886</v>
      </c>
      <c r="J5770" s="55">
        <v>-26.73264</v>
      </c>
      <c r="K5770" s="55">
        <v>-3.3899999999999998E-3</v>
      </c>
      <c r="L5770" s="55"/>
      <c r="M5770" s="55"/>
      <c r="N5770" s="55"/>
    </row>
    <row r="5771" spans="1:14" hidden="1" x14ac:dyDescent="0.35">
      <c r="A5771" s="52" t="s">
        <v>706</v>
      </c>
      <c r="B5771" s="52" t="s">
        <v>37</v>
      </c>
      <c r="C5771" s="52" t="s">
        <v>252</v>
      </c>
      <c r="D5771" s="52" t="s">
        <v>252</v>
      </c>
      <c r="E5771" s="52" t="s">
        <v>584</v>
      </c>
      <c r="F5771" s="52" t="s">
        <v>26</v>
      </c>
      <c r="G5771" s="55" t="s">
        <v>278</v>
      </c>
      <c r="H5771" s="55">
        <v>5.2018000000000002E-2</v>
      </c>
      <c r="I5771" s="55">
        <v>3.7712990000000002E-2</v>
      </c>
      <c r="J5771" s="55">
        <v>0</v>
      </c>
      <c r="K5771" s="55"/>
      <c r="L5771" s="55"/>
      <c r="M5771" s="55"/>
      <c r="N5771" s="55"/>
    </row>
    <row r="5772" spans="1:14" hidden="1" x14ac:dyDescent="0.35">
      <c r="A5772" s="52" t="s">
        <v>706</v>
      </c>
      <c r="B5772" s="52" t="s">
        <v>37</v>
      </c>
      <c r="C5772" s="52" t="s">
        <v>252</v>
      </c>
      <c r="D5772" s="52" t="s">
        <v>252</v>
      </c>
      <c r="E5772" s="52" t="s">
        <v>584</v>
      </c>
      <c r="F5772" s="52" t="s">
        <v>26</v>
      </c>
      <c r="G5772" s="55" t="s">
        <v>279</v>
      </c>
      <c r="H5772" s="55">
        <v>31.086259999999999</v>
      </c>
      <c r="I5772" s="55">
        <v>18.240559999999999</v>
      </c>
      <c r="J5772" s="55">
        <v>127.2795</v>
      </c>
      <c r="K5772" s="55">
        <v>0</v>
      </c>
      <c r="L5772" s="55"/>
      <c r="M5772" s="55"/>
      <c r="N5772" s="55">
        <v>0</v>
      </c>
    </row>
    <row r="5773" spans="1:14" hidden="1" x14ac:dyDescent="0.35">
      <c r="A5773" s="52" t="s">
        <v>706</v>
      </c>
      <c r="B5773" s="52" t="s">
        <v>37</v>
      </c>
      <c r="C5773" s="52" t="s">
        <v>318</v>
      </c>
      <c r="D5773" s="52" t="s">
        <v>318</v>
      </c>
      <c r="E5773" s="52" t="s">
        <v>584</v>
      </c>
      <c r="F5773" s="52" t="s">
        <v>581</v>
      </c>
      <c r="G5773" s="55" t="s">
        <v>275</v>
      </c>
      <c r="H5773" s="55">
        <v>0.29711500000000002</v>
      </c>
      <c r="I5773" s="55">
        <v>0</v>
      </c>
      <c r="J5773" s="55"/>
      <c r="K5773" s="55"/>
      <c r="L5773" s="55"/>
      <c r="M5773" s="55"/>
      <c r="N5773" s="55"/>
    </row>
    <row r="5774" spans="1:14" hidden="1" x14ac:dyDescent="0.35">
      <c r="A5774" s="52" t="s">
        <v>706</v>
      </c>
      <c r="B5774" s="52" t="s">
        <v>37</v>
      </c>
      <c r="C5774" s="52" t="s">
        <v>318</v>
      </c>
      <c r="D5774" s="52" t="s">
        <v>318</v>
      </c>
      <c r="E5774" s="52" t="s">
        <v>584</v>
      </c>
      <c r="F5774" s="52" t="s">
        <v>581</v>
      </c>
      <c r="G5774" s="55" t="s">
        <v>276</v>
      </c>
      <c r="H5774" s="55">
        <v>-0.29711500000000002</v>
      </c>
      <c r="I5774" s="55">
        <v>0</v>
      </c>
      <c r="J5774" s="55"/>
      <c r="K5774" s="55"/>
      <c r="L5774" s="55"/>
      <c r="M5774" s="55"/>
      <c r="N5774" s="55"/>
    </row>
    <row r="5775" spans="1:14" hidden="1" x14ac:dyDescent="0.35">
      <c r="A5775" s="52" t="s">
        <v>706</v>
      </c>
      <c r="B5775" s="52" t="s">
        <v>37</v>
      </c>
      <c r="C5775" s="52" t="s">
        <v>318</v>
      </c>
      <c r="D5775" s="52" t="s">
        <v>318</v>
      </c>
      <c r="E5775" s="52" t="s">
        <v>584</v>
      </c>
      <c r="F5775" s="52" t="s">
        <v>581</v>
      </c>
      <c r="G5775" s="55" t="s">
        <v>278</v>
      </c>
      <c r="H5775" s="55">
        <v>0</v>
      </c>
      <c r="I5775" s="55"/>
      <c r="J5775" s="55"/>
      <c r="K5775" s="55"/>
      <c r="L5775" s="55"/>
      <c r="M5775" s="55"/>
      <c r="N5775" s="55"/>
    </row>
    <row r="5776" spans="1:14" hidden="1" x14ac:dyDescent="0.35">
      <c r="A5776" s="52" t="s">
        <v>706</v>
      </c>
      <c r="B5776" s="52" t="s">
        <v>37</v>
      </c>
      <c r="C5776" s="52" t="s">
        <v>318</v>
      </c>
      <c r="D5776" s="52" t="s">
        <v>318</v>
      </c>
      <c r="E5776" s="52" t="s">
        <v>584</v>
      </c>
      <c r="F5776" s="52" t="s">
        <v>26</v>
      </c>
      <c r="G5776" s="55" t="s">
        <v>275</v>
      </c>
      <c r="H5776" s="55">
        <v>0.198077</v>
      </c>
      <c r="I5776" s="55">
        <v>0</v>
      </c>
      <c r="J5776" s="55"/>
      <c r="K5776" s="55"/>
      <c r="L5776" s="55"/>
      <c r="M5776" s="55"/>
      <c r="N5776" s="55"/>
    </row>
    <row r="5777" spans="1:14" hidden="1" x14ac:dyDescent="0.35">
      <c r="A5777" s="52" t="s">
        <v>706</v>
      </c>
      <c r="B5777" s="52" t="s">
        <v>37</v>
      </c>
      <c r="C5777" s="52" t="s">
        <v>318</v>
      </c>
      <c r="D5777" s="52" t="s">
        <v>318</v>
      </c>
      <c r="E5777" s="52" t="s">
        <v>584</v>
      </c>
      <c r="F5777" s="52" t="s">
        <v>26</v>
      </c>
      <c r="G5777" s="55" t="s">
        <v>276</v>
      </c>
      <c r="H5777" s="55">
        <v>-0.198077</v>
      </c>
      <c r="I5777" s="55">
        <v>0</v>
      </c>
      <c r="J5777" s="55"/>
      <c r="K5777" s="55"/>
      <c r="L5777" s="55"/>
      <c r="M5777" s="55"/>
      <c r="N5777" s="55"/>
    </row>
    <row r="5778" spans="1:14" hidden="1" x14ac:dyDescent="0.35">
      <c r="A5778" s="52" t="s">
        <v>706</v>
      </c>
      <c r="B5778" s="52" t="s">
        <v>37</v>
      </c>
      <c r="C5778" s="52" t="s">
        <v>318</v>
      </c>
      <c r="D5778" s="52" t="s">
        <v>318</v>
      </c>
      <c r="E5778" s="52" t="s">
        <v>584</v>
      </c>
      <c r="F5778" s="52" t="s">
        <v>26</v>
      </c>
      <c r="G5778" s="55" t="s">
        <v>278</v>
      </c>
      <c r="H5778" s="55">
        <v>0</v>
      </c>
      <c r="I5778" s="55"/>
      <c r="J5778" s="55"/>
      <c r="K5778" s="55"/>
      <c r="L5778" s="55"/>
      <c r="M5778" s="55"/>
      <c r="N5778" s="55"/>
    </row>
    <row r="5779" spans="1:14" hidden="1" x14ac:dyDescent="0.35">
      <c r="A5779" s="52" t="s">
        <v>722</v>
      </c>
      <c r="B5779" s="52" t="s">
        <v>307</v>
      </c>
      <c r="C5779" s="52" t="s">
        <v>306</v>
      </c>
      <c r="D5779" s="52" t="s">
        <v>306</v>
      </c>
      <c r="E5779" s="52" t="s">
        <v>584</v>
      </c>
      <c r="F5779" s="52" t="s">
        <v>581</v>
      </c>
      <c r="G5779" s="55" t="s">
        <v>275</v>
      </c>
      <c r="H5779" s="55">
        <v>435.09679999999997</v>
      </c>
      <c r="I5779" s="55">
        <v>39.273350000000001</v>
      </c>
      <c r="J5779" s="55">
        <v>119.1982</v>
      </c>
      <c r="K5779" s="55">
        <v>100.93600000000001</v>
      </c>
      <c r="L5779" s="55">
        <v>51.91207</v>
      </c>
      <c r="M5779" s="55">
        <v>75.600080000000005</v>
      </c>
      <c r="N5779" s="55">
        <v>75.95926</v>
      </c>
    </row>
    <row r="5780" spans="1:14" hidden="1" x14ac:dyDescent="0.35">
      <c r="A5780" s="52" t="s">
        <v>722</v>
      </c>
      <c r="B5780" s="52" t="s">
        <v>307</v>
      </c>
      <c r="C5780" s="52" t="s">
        <v>306</v>
      </c>
      <c r="D5780" s="52" t="s">
        <v>306</v>
      </c>
      <c r="E5780" s="52" t="s">
        <v>584</v>
      </c>
      <c r="F5780" s="52" t="s">
        <v>581</v>
      </c>
      <c r="G5780" s="55" t="s">
        <v>276</v>
      </c>
      <c r="H5780" s="55">
        <v>213.79570000000001</v>
      </c>
      <c r="I5780" s="55">
        <v>-1.1790430000000001</v>
      </c>
      <c r="J5780" s="55">
        <v>39.458910000000003</v>
      </c>
      <c r="K5780" s="55">
        <v>41.320999999999998</v>
      </c>
      <c r="L5780" s="55">
        <v>33.138579999999997</v>
      </c>
      <c r="M5780" s="55">
        <v>42.66742</v>
      </c>
      <c r="N5780" s="55">
        <v>43.00508</v>
      </c>
    </row>
    <row r="5781" spans="1:14" hidden="1" x14ac:dyDescent="0.35">
      <c r="A5781" s="52" t="s">
        <v>722</v>
      </c>
      <c r="B5781" s="52" t="s">
        <v>307</v>
      </c>
      <c r="C5781" s="52" t="s">
        <v>306</v>
      </c>
      <c r="D5781" s="52" t="s">
        <v>306</v>
      </c>
      <c r="E5781" s="52" t="s">
        <v>584</v>
      </c>
      <c r="F5781" s="52" t="s">
        <v>581</v>
      </c>
      <c r="G5781" s="55" t="s">
        <v>277</v>
      </c>
      <c r="H5781" s="55">
        <v>221.3811</v>
      </c>
      <c r="I5781" s="55">
        <v>181.06360000000001</v>
      </c>
      <c r="J5781" s="55">
        <v>62.755940000000002</v>
      </c>
      <c r="K5781" s="55">
        <v>91.034199999999998</v>
      </c>
      <c r="L5781" s="55">
        <v>105.3978</v>
      </c>
      <c r="M5781" s="55">
        <v>66.148409999999998</v>
      </c>
      <c r="N5781" s="55">
        <v>39.296680000000002</v>
      </c>
    </row>
    <row r="5782" spans="1:14" hidden="1" x14ac:dyDescent="0.35">
      <c r="A5782" s="52" t="s">
        <v>722</v>
      </c>
      <c r="B5782" s="52" t="s">
        <v>307</v>
      </c>
      <c r="C5782" s="52" t="s">
        <v>306</v>
      </c>
      <c r="D5782" s="52" t="s">
        <v>306</v>
      </c>
      <c r="E5782" s="52" t="s">
        <v>584</v>
      </c>
      <c r="F5782" s="52" t="s">
        <v>581</v>
      </c>
      <c r="G5782" s="55" t="s">
        <v>278</v>
      </c>
      <c r="H5782" s="55">
        <v>0.64383299999999999</v>
      </c>
      <c r="I5782" s="55">
        <v>0.64383310000000005</v>
      </c>
      <c r="J5782" s="55">
        <v>0.26762000000000002</v>
      </c>
      <c r="K5782" s="55">
        <v>0.26762000000000002</v>
      </c>
      <c r="L5782" s="55">
        <v>0.26762000000000002</v>
      </c>
      <c r="M5782" s="55">
        <v>0.26762000000000002</v>
      </c>
      <c r="N5782" s="55">
        <v>0.26762000000000002</v>
      </c>
    </row>
    <row r="5783" spans="1:14" hidden="1" x14ac:dyDescent="0.35">
      <c r="A5783" s="52" t="s">
        <v>722</v>
      </c>
      <c r="B5783" s="52" t="s">
        <v>307</v>
      </c>
      <c r="C5783" s="52" t="s">
        <v>306</v>
      </c>
      <c r="D5783" s="52" t="s">
        <v>306</v>
      </c>
      <c r="E5783" s="52" t="s">
        <v>584</v>
      </c>
      <c r="F5783" s="52" t="s">
        <v>581</v>
      </c>
      <c r="G5783" s="55" t="s">
        <v>279</v>
      </c>
      <c r="H5783" s="55">
        <v>435.74160000000001</v>
      </c>
      <c r="I5783" s="55">
        <v>376.85149999999999</v>
      </c>
      <c r="J5783" s="55">
        <v>386.87610000000001</v>
      </c>
      <c r="K5783" s="55">
        <v>436.99990000000003</v>
      </c>
      <c r="L5783" s="55">
        <v>405.38220000000001</v>
      </c>
      <c r="M5783" s="55">
        <v>392.9751</v>
      </c>
      <c r="N5783" s="55">
        <v>368.63839999999999</v>
      </c>
    </row>
    <row r="5784" spans="1:14" hidden="1" x14ac:dyDescent="0.35">
      <c r="A5784" s="52" t="s">
        <v>722</v>
      </c>
      <c r="B5784" s="52" t="s">
        <v>307</v>
      </c>
      <c r="C5784" s="52" t="s">
        <v>306</v>
      </c>
      <c r="D5784" s="52" t="s">
        <v>306</v>
      </c>
      <c r="E5784" s="52" t="s">
        <v>584</v>
      </c>
      <c r="F5784" s="52" t="s">
        <v>26</v>
      </c>
      <c r="G5784" s="55" t="s">
        <v>275</v>
      </c>
      <c r="H5784" s="55">
        <v>2.749028</v>
      </c>
      <c r="I5784" s="55">
        <v>2.5274079999999999</v>
      </c>
      <c r="J5784" s="55">
        <v>5.1812469999999999</v>
      </c>
      <c r="K5784" s="55">
        <v>5.3720319999999999</v>
      </c>
      <c r="L5784" s="55">
        <v>7.440855</v>
      </c>
      <c r="M5784" s="55">
        <v>7.0141640000000001</v>
      </c>
      <c r="N5784" s="55">
        <v>6.3545540000000003</v>
      </c>
    </row>
    <row r="5785" spans="1:14" hidden="1" x14ac:dyDescent="0.35">
      <c r="A5785" s="52" t="s">
        <v>722</v>
      </c>
      <c r="B5785" s="52" t="s">
        <v>307</v>
      </c>
      <c r="C5785" s="52" t="s">
        <v>306</v>
      </c>
      <c r="D5785" s="52" t="s">
        <v>306</v>
      </c>
      <c r="E5785" s="52" t="s">
        <v>584</v>
      </c>
      <c r="F5785" s="52" t="s">
        <v>26</v>
      </c>
      <c r="G5785" s="55" t="s">
        <v>276</v>
      </c>
      <c r="H5785" s="55">
        <v>-9.4900300000000007E-2</v>
      </c>
      <c r="I5785" s="55">
        <v>1.521574</v>
      </c>
      <c r="J5785" s="55">
        <v>2.8607550000000002</v>
      </c>
      <c r="K5785" s="55">
        <v>2.9949870000000001</v>
      </c>
      <c r="L5785" s="55">
        <v>4.4009679999999998</v>
      </c>
      <c r="M5785" s="55">
        <v>4.2688360000000003</v>
      </c>
      <c r="N5785" s="55">
        <v>3.9951449999999999</v>
      </c>
    </row>
    <row r="5786" spans="1:14" hidden="1" x14ac:dyDescent="0.35">
      <c r="A5786" s="52" t="s">
        <v>722</v>
      </c>
      <c r="B5786" s="52" t="s">
        <v>307</v>
      </c>
      <c r="C5786" s="52" t="s">
        <v>306</v>
      </c>
      <c r="D5786" s="52" t="s">
        <v>306</v>
      </c>
      <c r="E5786" s="52" t="s">
        <v>584</v>
      </c>
      <c r="F5786" s="52" t="s">
        <v>26</v>
      </c>
      <c r="G5786" s="55" t="s">
        <v>277</v>
      </c>
      <c r="H5786" s="55">
        <v>0</v>
      </c>
      <c r="I5786" s="55"/>
      <c r="J5786" s="55"/>
      <c r="K5786" s="55"/>
      <c r="L5786" s="55"/>
      <c r="M5786" s="55"/>
      <c r="N5786" s="55"/>
    </row>
    <row r="5787" spans="1:14" hidden="1" x14ac:dyDescent="0.35">
      <c r="A5787" s="52" t="s">
        <v>722</v>
      </c>
      <c r="B5787" s="52" t="s">
        <v>307</v>
      </c>
      <c r="C5787" s="52" t="s">
        <v>306</v>
      </c>
      <c r="D5787" s="52" t="s">
        <v>306</v>
      </c>
      <c r="E5787" s="52" t="s">
        <v>584</v>
      </c>
      <c r="F5787" s="52" t="s">
        <v>26</v>
      </c>
      <c r="G5787" s="55" t="s">
        <v>279</v>
      </c>
      <c r="H5787" s="55">
        <v>12.072620000000001</v>
      </c>
      <c r="I5787" s="55">
        <v>12.184329999999999</v>
      </c>
      <c r="J5787" s="55">
        <v>25.932680000000001</v>
      </c>
      <c r="K5787" s="55">
        <v>36.639629999999997</v>
      </c>
      <c r="L5787" s="55">
        <v>51.778390000000002</v>
      </c>
      <c r="M5787" s="55">
        <v>49.374890000000001</v>
      </c>
      <c r="N5787" s="55">
        <v>45.319470000000003</v>
      </c>
    </row>
    <row r="5788" spans="1:14" hidden="1" x14ac:dyDescent="0.35">
      <c r="A5788" s="52" t="s">
        <v>722</v>
      </c>
      <c r="B5788" s="52" t="s">
        <v>265</v>
      </c>
      <c r="C5788" s="52" t="s">
        <v>265</v>
      </c>
      <c r="D5788" s="52" t="s">
        <v>265</v>
      </c>
      <c r="E5788" s="52" t="s">
        <v>584</v>
      </c>
      <c r="F5788" s="52" t="s">
        <v>581</v>
      </c>
      <c r="G5788" s="55" t="s">
        <v>275</v>
      </c>
      <c r="H5788" s="55">
        <v>25.796980000000001</v>
      </c>
      <c r="I5788" s="55">
        <v>12.758649999999999</v>
      </c>
      <c r="J5788" s="55">
        <v>19.999839999999999</v>
      </c>
      <c r="K5788" s="55">
        <v>10.56227</v>
      </c>
      <c r="L5788" s="55">
        <v>2.3260719999999999</v>
      </c>
      <c r="M5788" s="55">
        <v>6.0938489999999996</v>
      </c>
      <c r="N5788" s="55">
        <v>3.2771949999999999</v>
      </c>
    </row>
    <row r="5789" spans="1:14" hidden="1" x14ac:dyDescent="0.35">
      <c r="A5789" s="52" t="s">
        <v>722</v>
      </c>
      <c r="B5789" s="52" t="s">
        <v>265</v>
      </c>
      <c r="C5789" s="52" t="s">
        <v>265</v>
      </c>
      <c r="D5789" s="52" t="s">
        <v>265</v>
      </c>
      <c r="E5789" s="52" t="s">
        <v>584</v>
      </c>
      <c r="F5789" s="52" t="s">
        <v>581</v>
      </c>
      <c r="G5789" s="55" t="s">
        <v>276</v>
      </c>
      <c r="H5789" s="55">
        <v>15.085050000000001</v>
      </c>
      <c r="I5789" s="55">
        <v>2.2684660000000001</v>
      </c>
      <c r="J5789" s="55">
        <v>-3.6233010000000003E-2</v>
      </c>
      <c r="K5789" s="55">
        <v>-3.8940630000000001</v>
      </c>
      <c r="L5789" s="55">
        <v>-2.0601509999999998</v>
      </c>
      <c r="M5789" s="55">
        <v>1.5429090000000001</v>
      </c>
      <c r="N5789" s="55">
        <v>1.360501</v>
      </c>
    </row>
    <row r="5790" spans="1:14" hidden="1" x14ac:dyDescent="0.35">
      <c r="A5790" s="52" t="s">
        <v>722</v>
      </c>
      <c r="B5790" s="52" t="s">
        <v>265</v>
      </c>
      <c r="C5790" s="52" t="s">
        <v>265</v>
      </c>
      <c r="D5790" s="52" t="s">
        <v>265</v>
      </c>
      <c r="E5790" s="52" t="s">
        <v>584</v>
      </c>
      <c r="F5790" s="52" t="s">
        <v>581</v>
      </c>
      <c r="G5790" s="55" t="s">
        <v>277</v>
      </c>
      <c r="H5790" s="55">
        <v>28.27366</v>
      </c>
      <c r="I5790" s="55">
        <v>22.732780000000002</v>
      </c>
      <c r="J5790" s="55">
        <v>7.906555</v>
      </c>
      <c r="K5790" s="55">
        <v>13.63494</v>
      </c>
      <c r="L5790" s="55">
        <v>13.35317</v>
      </c>
      <c r="M5790" s="55">
        <v>13.72911</v>
      </c>
      <c r="N5790" s="55">
        <v>14.01909</v>
      </c>
    </row>
    <row r="5791" spans="1:14" hidden="1" x14ac:dyDescent="0.35">
      <c r="A5791" s="52" t="s">
        <v>722</v>
      </c>
      <c r="B5791" s="52" t="s">
        <v>265</v>
      </c>
      <c r="C5791" s="52" t="s">
        <v>265</v>
      </c>
      <c r="D5791" s="52" t="s">
        <v>265</v>
      </c>
      <c r="E5791" s="52" t="s">
        <v>584</v>
      </c>
      <c r="F5791" s="52" t="s">
        <v>581</v>
      </c>
      <c r="G5791" s="55" t="s">
        <v>278</v>
      </c>
      <c r="H5791" s="55">
        <v>41.814790000000002</v>
      </c>
      <c r="I5791" s="55">
        <v>0.30961640000000001</v>
      </c>
      <c r="J5791" s="55">
        <v>0.31094569999999999</v>
      </c>
      <c r="K5791" s="55">
        <v>1.8701430000000001</v>
      </c>
      <c r="L5791" s="55">
        <v>0.98638630000000005</v>
      </c>
      <c r="M5791" s="55">
        <v>0.17133470000000001</v>
      </c>
      <c r="N5791" s="55">
        <v>0.19505430000000001</v>
      </c>
    </row>
    <row r="5792" spans="1:14" hidden="1" x14ac:dyDescent="0.35">
      <c r="A5792" s="52" t="s">
        <v>722</v>
      </c>
      <c r="B5792" s="52" t="s">
        <v>265</v>
      </c>
      <c r="C5792" s="52" t="s">
        <v>265</v>
      </c>
      <c r="D5792" s="52" t="s">
        <v>265</v>
      </c>
      <c r="E5792" s="52" t="s">
        <v>584</v>
      </c>
      <c r="F5792" s="52" t="s">
        <v>581</v>
      </c>
      <c r="G5792" s="55" t="s">
        <v>279</v>
      </c>
      <c r="H5792" s="55">
        <v>90.68929</v>
      </c>
      <c r="I5792" s="55">
        <v>79.437129999999996</v>
      </c>
      <c r="J5792" s="55">
        <v>72.210049999999995</v>
      </c>
      <c r="K5792" s="55">
        <v>74.467669999999998</v>
      </c>
      <c r="L5792" s="55">
        <v>68.166579999999996</v>
      </c>
      <c r="M5792" s="55">
        <v>34.990470000000002</v>
      </c>
      <c r="N5792" s="55">
        <v>32.877850000000002</v>
      </c>
    </row>
    <row r="5793" spans="1:14" hidden="1" x14ac:dyDescent="0.35">
      <c r="A5793" s="52" t="s">
        <v>722</v>
      </c>
      <c r="B5793" s="52" t="s">
        <v>265</v>
      </c>
      <c r="C5793" s="52" t="s">
        <v>265</v>
      </c>
      <c r="D5793" s="52" t="s">
        <v>265</v>
      </c>
      <c r="E5793" s="52" t="s">
        <v>584</v>
      </c>
      <c r="F5793" s="52" t="s">
        <v>26</v>
      </c>
      <c r="G5793" s="55" t="s">
        <v>275</v>
      </c>
      <c r="H5793" s="55"/>
      <c r="I5793" s="55"/>
      <c r="J5793" s="55">
        <v>0</v>
      </c>
      <c r="K5793" s="55">
        <v>0</v>
      </c>
      <c r="L5793" s="55">
        <v>0</v>
      </c>
      <c r="M5793" s="55">
        <v>0</v>
      </c>
      <c r="N5793" s="55">
        <v>0</v>
      </c>
    </row>
    <row r="5794" spans="1:14" hidden="1" x14ac:dyDescent="0.35">
      <c r="A5794" s="52" t="s">
        <v>722</v>
      </c>
      <c r="B5794" s="52" t="s">
        <v>265</v>
      </c>
      <c r="C5794" s="52" t="s">
        <v>265</v>
      </c>
      <c r="D5794" s="52" t="s">
        <v>265</v>
      </c>
      <c r="E5794" s="52" t="s">
        <v>584</v>
      </c>
      <c r="F5794" s="52" t="s">
        <v>26</v>
      </c>
      <c r="G5794" s="55" t="s">
        <v>276</v>
      </c>
      <c r="H5794" s="55"/>
      <c r="I5794" s="55"/>
      <c r="J5794" s="55">
        <v>0</v>
      </c>
      <c r="K5794" s="55">
        <v>-2.6484E-3</v>
      </c>
      <c r="L5794" s="55">
        <v>-2.6492E-3</v>
      </c>
      <c r="M5794" s="55">
        <v>-2.6488000000000002E-3</v>
      </c>
      <c r="N5794" s="55">
        <v>-3.829275E-3</v>
      </c>
    </row>
    <row r="5795" spans="1:14" hidden="1" x14ac:dyDescent="0.35">
      <c r="A5795" s="52" t="s">
        <v>722</v>
      </c>
      <c r="B5795" s="52" t="s">
        <v>265</v>
      </c>
      <c r="C5795" s="52" t="s">
        <v>265</v>
      </c>
      <c r="D5795" s="52" t="s">
        <v>265</v>
      </c>
      <c r="E5795" s="52" t="s">
        <v>584</v>
      </c>
      <c r="F5795" s="52" t="s">
        <v>26</v>
      </c>
      <c r="G5795" s="55" t="s">
        <v>277</v>
      </c>
      <c r="H5795" s="55"/>
      <c r="I5795" s="55"/>
      <c r="J5795" s="55"/>
      <c r="K5795" s="55"/>
      <c r="L5795" s="55"/>
      <c r="M5795" s="55">
        <v>0</v>
      </c>
      <c r="N5795" s="55"/>
    </row>
    <row r="5796" spans="1:14" hidden="1" x14ac:dyDescent="0.35">
      <c r="A5796" s="52" t="s">
        <v>722</v>
      </c>
      <c r="B5796" s="52" t="s">
        <v>265</v>
      </c>
      <c r="C5796" s="52" t="s">
        <v>265</v>
      </c>
      <c r="D5796" s="52" t="s">
        <v>265</v>
      </c>
      <c r="E5796" s="52" t="s">
        <v>584</v>
      </c>
      <c r="F5796" s="52" t="s">
        <v>26</v>
      </c>
      <c r="G5796" s="55" t="s">
        <v>279</v>
      </c>
      <c r="H5796" s="55"/>
      <c r="I5796" s="55"/>
      <c r="J5796" s="55">
        <v>0</v>
      </c>
      <c r="K5796" s="55">
        <v>2.6488000000000002E-3</v>
      </c>
      <c r="L5796" s="55">
        <v>2.6488000000000002E-3</v>
      </c>
      <c r="M5796" s="55">
        <v>2.6488000000000002E-3</v>
      </c>
      <c r="N5796" s="55">
        <v>3.829275E-3</v>
      </c>
    </row>
    <row r="5797" spans="1:14" hidden="1" x14ac:dyDescent="0.35">
      <c r="A5797" s="52" t="s">
        <v>722</v>
      </c>
      <c r="B5797" s="52" t="s">
        <v>265</v>
      </c>
      <c r="C5797" s="52" t="s">
        <v>44</v>
      </c>
      <c r="D5797" s="52" t="s">
        <v>44</v>
      </c>
      <c r="E5797" s="52" t="s">
        <v>584</v>
      </c>
      <c r="F5797" s="52" t="s">
        <v>581</v>
      </c>
      <c r="G5797" s="55" t="s">
        <v>275</v>
      </c>
      <c r="H5797" s="55">
        <v>-11.224729999999999</v>
      </c>
      <c r="I5797" s="55">
        <v>-11.96719</v>
      </c>
      <c r="J5797" s="55">
        <v>-9.1244010000000006</v>
      </c>
      <c r="K5797" s="55">
        <v>-10.241669999999999</v>
      </c>
      <c r="L5797" s="55">
        <v>10.71847</v>
      </c>
      <c r="M5797" s="55">
        <v>6.9838750000000003</v>
      </c>
      <c r="N5797" s="55">
        <v>9.6853219999999993</v>
      </c>
    </row>
    <row r="5798" spans="1:14" hidden="1" x14ac:dyDescent="0.35">
      <c r="A5798" s="52" t="s">
        <v>722</v>
      </c>
      <c r="B5798" s="52" t="s">
        <v>265</v>
      </c>
      <c r="C5798" s="52" t="s">
        <v>44</v>
      </c>
      <c r="D5798" s="52" t="s">
        <v>44</v>
      </c>
      <c r="E5798" s="52" t="s">
        <v>584</v>
      </c>
      <c r="F5798" s="52" t="s">
        <v>581</v>
      </c>
      <c r="G5798" s="55" t="s">
        <v>276</v>
      </c>
      <c r="H5798" s="55">
        <v>-0.1266439</v>
      </c>
      <c r="I5798" s="55">
        <v>-3.0107780000000002</v>
      </c>
      <c r="J5798" s="55">
        <v>-4.428445</v>
      </c>
      <c r="K5798" s="55">
        <v>-6.7228070000000004</v>
      </c>
      <c r="L5798" s="55">
        <v>-2.3318970000000001</v>
      </c>
      <c r="M5798" s="55">
        <v>-0.65141689999999997</v>
      </c>
      <c r="N5798" s="55">
        <v>7.8672290000000006E-2</v>
      </c>
    </row>
    <row r="5799" spans="1:14" hidden="1" x14ac:dyDescent="0.35">
      <c r="A5799" s="52" t="s">
        <v>722</v>
      </c>
      <c r="B5799" s="52" t="s">
        <v>265</v>
      </c>
      <c r="C5799" s="52" t="s">
        <v>44</v>
      </c>
      <c r="D5799" s="52" t="s">
        <v>44</v>
      </c>
      <c r="E5799" s="52" t="s">
        <v>584</v>
      </c>
      <c r="F5799" s="52" t="s">
        <v>581</v>
      </c>
      <c r="G5799" s="55" t="s">
        <v>277</v>
      </c>
      <c r="H5799" s="55">
        <v>19.073969999999999</v>
      </c>
      <c r="I5799" s="55">
        <v>18.359490000000001</v>
      </c>
      <c r="J5799" s="55">
        <v>20.53322</v>
      </c>
      <c r="K5799" s="55">
        <v>21.870629999999998</v>
      </c>
      <c r="L5799" s="55">
        <v>3.8568790000000002</v>
      </c>
      <c r="M5799" s="55">
        <v>6.9419469999999999</v>
      </c>
      <c r="N5799" s="55">
        <v>1.418644</v>
      </c>
    </row>
    <row r="5800" spans="1:14" hidden="1" x14ac:dyDescent="0.35">
      <c r="A5800" s="52" t="s">
        <v>722</v>
      </c>
      <c r="B5800" s="52" t="s">
        <v>265</v>
      </c>
      <c r="C5800" s="52" t="s">
        <v>44</v>
      </c>
      <c r="D5800" s="52" t="s">
        <v>44</v>
      </c>
      <c r="E5800" s="52" t="s">
        <v>584</v>
      </c>
      <c r="F5800" s="52" t="s">
        <v>581</v>
      </c>
      <c r="G5800" s="55" t="s">
        <v>278</v>
      </c>
      <c r="H5800" s="55">
        <v>6.5554110000000003</v>
      </c>
      <c r="I5800" s="55">
        <v>4.1087550000000004</v>
      </c>
      <c r="J5800" s="55">
        <v>3.5077560000000001E-2</v>
      </c>
      <c r="K5800" s="55">
        <v>1.2845260000000001E-2</v>
      </c>
      <c r="L5800" s="55">
        <v>2.8132589999999999E-2</v>
      </c>
      <c r="M5800" s="55">
        <v>7.9449150000000003E-3</v>
      </c>
      <c r="N5800" s="55">
        <v>5.8488749999999999E-3</v>
      </c>
    </row>
    <row r="5801" spans="1:14" hidden="1" x14ac:dyDescent="0.35">
      <c r="A5801" s="52" t="s">
        <v>722</v>
      </c>
      <c r="B5801" s="52" t="s">
        <v>265</v>
      </c>
      <c r="C5801" s="52" t="s">
        <v>44</v>
      </c>
      <c r="D5801" s="52" t="s">
        <v>44</v>
      </c>
      <c r="E5801" s="52" t="s">
        <v>584</v>
      </c>
      <c r="F5801" s="52" t="s">
        <v>581</v>
      </c>
      <c r="G5801" s="55" t="s">
        <v>279</v>
      </c>
      <c r="H5801" s="55">
        <v>18.594729999999998</v>
      </c>
      <c r="I5801" s="55">
        <v>20.326730000000001</v>
      </c>
      <c r="J5801" s="55">
        <v>19.33145</v>
      </c>
      <c r="K5801" s="55">
        <v>23.253319999999999</v>
      </c>
      <c r="L5801" s="55">
        <v>25.90044</v>
      </c>
      <c r="M5801" s="55">
        <v>22.998989999999999</v>
      </c>
      <c r="N5801" s="55">
        <v>18.159849999999999</v>
      </c>
    </row>
    <row r="5802" spans="1:14" hidden="1" x14ac:dyDescent="0.35">
      <c r="A5802" s="52" t="s">
        <v>722</v>
      </c>
      <c r="B5802" s="52" t="s">
        <v>265</v>
      </c>
      <c r="C5802" s="52" t="s">
        <v>44</v>
      </c>
      <c r="D5802" s="52" t="s">
        <v>44</v>
      </c>
      <c r="E5802" s="52" t="s">
        <v>584</v>
      </c>
      <c r="F5802" s="52" t="s">
        <v>26</v>
      </c>
      <c r="G5802" s="55" t="s">
        <v>275</v>
      </c>
      <c r="H5802" s="55"/>
      <c r="I5802" s="55"/>
      <c r="J5802" s="55"/>
      <c r="K5802" s="55">
        <v>0</v>
      </c>
      <c r="L5802" s="55">
        <v>0</v>
      </c>
      <c r="M5802" s="55">
        <v>0</v>
      </c>
      <c r="N5802" s="55">
        <v>0</v>
      </c>
    </row>
    <row r="5803" spans="1:14" hidden="1" x14ac:dyDescent="0.35">
      <c r="A5803" s="52" t="s">
        <v>722</v>
      </c>
      <c r="B5803" s="52" t="s">
        <v>265</v>
      </c>
      <c r="C5803" s="52" t="s">
        <v>44</v>
      </c>
      <c r="D5803" s="52" t="s">
        <v>44</v>
      </c>
      <c r="E5803" s="52" t="s">
        <v>584</v>
      </c>
      <c r="F5803" s="52" t="s">
        <v>26</v>
      </c>
      <c r="G5803" s="55" t="s">
        <v>276</v>
      </c>
      <c r="H5803" s="55"/>
      <c r="I5803" s="55"/>
      <c r="J5803" s="55"/>
      <c r="K5803" s="55">
        <v>0</v>
      </c>
      <c r="L5803" s="55">
        <v>-1.4362500000000001E-4</v>
      </c>
      <c r="M5803" s="55">
        <v>-1.4362500000000001E-4</v>
      </c>
      <c r="N5803" s="55">
        <v>-1.4362500000000001E-4</v>
      </c>
    </row>
    <row r="5804" spans="1:14" hidden="1" x14ac:dyDescent="0.35">
      <c r="A5804" s="52" t="s">
        <v>722</v>
      </c>
      <c r="B5804" s="52" t="s">
        <v>265</v>
      </c>
      <c r="C5804" s="52" t="s">
        <v>44</v>
      </c>
      <c r="D5804" s="52" t="s">
        <v>44</v>
      </c>
      <c r="E5804" s="52" t="s">
        <v>584</v>
      </c>
      <c r="F5804" s="52" t="s">
        <v>26</v>
      </c>
      <c r="G5804" s="55" t="s">
        <v>279</v>
      </c>
      <c r="H5804" s="55"/>
      <c r="I5804" s="55"/>
      <c r="J5804" s="55"/>
      <c r="K5804" s="55">
        <v>0</v>
      </c>
      <c r="L5804" s="55">
        <v>1.4362500000000001E-4</v>
      </c>
      <c r="M5804" s="55">
        <v>1.4362500000000001E-4</v>
      </c>
      <c r="N5804" s="55">
        <v>1.437E-4</v>
      </c>
    </row>
    <row r="5805" spans="1:14" hidden="1" x14ac:dyDescent="0.35">
      <c r="A5805" s="52" t="s">
        <v>722</v>
      </c>
      <c r="B5805" s="52" t="s">
        <v>43</v>
      </c>
      <c r="C5805" s="52" t="s">
        <v>229</v>
      </c>
      <c r="D5805" s="52" t="s">
        <v>229</v>
      </c>
      <c r="E5805" s="52" t="s">
        <v>584</v>
      </c>
      <c r="F5805" s="52" t="s">
        <v>581</v>
      </c>
      <c r="G5805" s="55" t="s">
        <v>275</v>
      </c>
      <c r="H5805" s="55">
        <v>10.47953</v>
      </c>
      <c r="I5805" s="55">
        <v>-23.59468</v>
      </c>
      <c r="J5805" s="55">
        <v>-19.430479999999999</v>
      </c>
      <c r="K5805" s="55">
        <v>-5.9523469999999996</v>
      </c>
      <c r="L5805" s="55">
        <v>-0.68041830000000003</v>
      </c>
      <c r="M5805" s="55">
        <v>1.4524189999999999</v>
      </c>
      <c r="N5805" s="55">
        <v>-3.8243649999999998</v>
      </c>
    </row>
    <row r="5806" spans="1:14" hidden="1" x14ac:dyDescent="0.35">
      <c r="A5806" s="52" t="s">
        <v>722</v>
      </c>
      <c r="B5806" s="52" t="s">
        <v>43</v>
      </c>
      <c r="C5806" s="52" t="s">
        <v>229</v>
      </c>
      <c r="D5806" s="52" t="s">
        <v>229</v>
      </c>
      <c r="E5806" s="52" t="s">
        <v>584</v>
      </c>
      <c r="F5806" s="52" t="s">
        <v>581</v>
      </c>
      <c r="G5806" s="55" t="s">
        <v>276</v>
      </c>
      <c r="H5806" s="55">
        <v>10.26713</v>
      </c>
      <c r="I5806" s="55">
        <v>2.9126949999999998</v>
      </c>
      <c r="J5806" s="55">
        <v>2.5077929999999999</v>
      </c>
      <c r="K5806" s="55">
        <v>2.4466839999999999</v>
      </c>
      <c r="L5806" s="55">
        <v>2.470993</v>
      </c>
      <c r="M5806" s="55">
        <v>1.9164639999999999</v>
      </c>
      <c r="N5806" s="55">
        <v>1.7933319999999999</v>
      </c>
    </row>
    <row r="5807" spans="1:14" hidden="1" x14ac:dyDescent="0.35">
      <c r="A5807" s="52" t="s">
        <v>722</v>
      </c>
      <c r="B5807" s="52" t="s">
        <v>43</v>
      </c>
      <c r="C5807" s="52" t="s">
        <v>229</v>
      </c>
      <c r="D5807" s="52" t="s">
        <v>229</v>
      </c>
      <c r="E5807" s="52" t="s">
        <v>584</v>
      </c>
      <c r="F5807" s="52" t="s">
        <v>581</v>
      </c>
      <c r="G5807" s="55" t="s">
        <v>277</v>
      </c>
      <c r="H5807" s="55">
        <v>20.933250000000001</v>
      </c>
      <c r="I5807" s="55">
        <v>10.88339</v>
      </c>
      <c r="J5807" s="55">
        <v>24.84862</v>
      </c>
      <c r="K5807" s="55">
        <v>9.2199439999999999</v>
      </c>
      <c r="L5807" s="55">
        <v>3.9632139999999998</v>
      </c>
      <c r="M5807" s="55">
        <v>0.23021030000000001</v>
      </c>
      <c r="N5807" s="55">
        <v>4.032902E-2</v>
      </c>
    </row>
    <row r="5808" spans="1:14" hidden="1" x14ac:dyDescent="0.35">
      <c r="A5808" s="52" t="s">
        <v>722</v>
      </c>
      <c r="B5808" s="52" t="s">
        <v>43</v>
      </c>
      <c r="C5808" s="52" t="s">
        <v>229</v>
      </c>
      <c r="D5808" s="52" t="s">
        <v>229</v>
      </c>
      <c r="E5808" s="52" t="s">
        <v>584</v>
      </c>
      <c r="F5808" s="52" t="s">
        <v>581</v>
      </c>
      <c r="G5808" s="55" t="s">
        <v>278</v>
      </c>
      <c r="H5808" s="55">
        <v>16.681000000000001</v>
      </c>
      <c r="I5808" s="55">
        <v>20.709859999999999</v>
      </c>
      <c r="J5808" s="55">
        <v>0</v>
      </c>
      <c r="K5808" s="55">
        <v>0</v>
      </c>
      <c r="L5808" s="55">
        <v>0</v>
      </c>
      <c r="M5808" s="55">
        <v>0</v>
      </c>
      <c r="N5808" s="55">
        <v>0</v>
      </c>
    </row>
    <row r="5809" spans="1:14" hidden="1" x14ac:dyDescent="0.35">
      <c r="A5809" s="52" t="s">
        <v>722</v>
      </c>
      <c r="B5809" s="52" t="s">
        <v>43</v>
      </c>
      <c r="C5809" s="52" t="s">
        <v>229</v>
      </c>
      <c r="D5809" s="52" t="s">
        <v>229</v>
      </c>
      <c r="E5809" s="52" t="s">
        <v>584</v>
      </c>
      <c r="F5809" s="52" t="s">
        <v>581</v>
      </c>
      <c r="G5809" s="55" t="s">
        <v>279</v>
      </c>
      <c r="H5809" s="55">
        <v>32.366019999999999</v>
      </c>
      <c r="I5809" s="55">
        <v>29.855119999999999</v>
      </c>
      <c r="J5809" s="55">
        <v>27.777270000000001</v>
      </c>
      <c r="K5809" s="55">
        <v>29.223949999999999</v>
      </c>
      <c r="L5809" s="55">
        <v>29.666889999999999</v>
      </c>
      <c r="M5809" s="55">
        <v>26.256869999999999</v>
      </c>
      <c r="N5809" s="55">
        <v>29.980149999999998</v>
      </c>
    </row>
    <row r="5810" spans="1:14" hidden="1" x14ac:dyDescent="0.35">
      <c r="A5810" s="52" t="s">
        <v>722</v>
      </c>
      <c r="B5810" s="52" t="s">
        <v>264</v>
      </c>
      <c r="C5810" s="52" t="s">
        <v>264</v>
      </c>
      <c r="D5810" s="52" t="s">
        <v>264</v>
      </c>
      <c r="E5810" s="52" t="s">
        <v>584</v>
      </c>
      <c r="F5810" s="52" t="s">
        <v>581</v>
      </c>
      <c r="G5810" s="55" t="s">
        <v>275</v>
      </c>
      <c r="H5810" s="55">
        <v>6.3508360000000001</v>
      </c>
      <c r="I5810" s="55">
        <v>-8.8168819999999997</v>
      </c>
      <c r="J5810" s="55">
        <v>-6.9614130000000003</v>
      </c>
      <c r="K5810" s="55">
        <v>-7.0712299999999999</v>
      </c>
      <c r="L5810" s="55">
        <v>-0.20274139999999999</v>
      </c>
      <c r="M5810" s="55">
        <v>-0.95134160000000001</v>
      </c>
      <c r="N5810" s="55">
        <v>-1.8673550000000001</v>
      </c>
    </row>
    <row r="5811" spans="1:14" hidden="1" x14ac:dyDescent="0.35">
      <c r="A5811" s="52" t="s">
        <v>722</v>
      </c>
      <c r="B5811" s="52" t="s">
        <v>264</v>
      </c>
      <c r="C5811" s="52" t="s">
        <v>264</v>
      </c>
      <c r="D5811" s="52" t="s">
        <v>264</v>
      </c>
      <c r="E5811" s="52" t="s">
        <v>584</v>
      </c>
      <c r="F5811" s="52" t="s">
        <v>581</v>
      </c>
      <c r="G5811" s="55" t="s">
        <v>276</v>
      </c>
      <c r="H5811" s="55">
        <v>1.3564240000000001</v>
      </c>
      <c r="I5811" s="55">
        <v>0.25408439999999999</v>
      </c>
      <c r="J5811" s="55">
        <v>-17.93084</v>
      </c>
      <c r="K5811" s="55">
        <v>-13.79712</v>
      </c>
      <c r="L5811" s="55">
        <v>-13.614979999999999</v>
      </c>
      <c r="M5811" s="55">
        <v>-20.810269999999999</v>
      </c>
      <c r="N5811" s="55">
        <v>-4.9485109999999999</v>
      </c>
    </row>
    <row r="5812" spans="1:14" hidden="1" x14ac:dyDescent="0.35">
      <c r="A5812" s="52" t="s">
        <v>722</v>
      </c>
      <c r="B5812" s="52" t="s">
        <v>264</v>
      </c>
      <c r="C5812" s="52" t="s">
        <v>264</v>
      </c>
      <c r="D5812" s="52" t="s">
        <v>264</v>
      </c>
      <c r="E5812" s="52" t="s">
        <v>584</v>
      </c>
      <c r="F5812" s="52" t="s">
        <v>581</v>
      </c>
      <c r="G5812" s="55" t="s">
        <v>277</v>
      </c>
      <c r="H5812" s="55">
        <v>2.7397529999999999</v>
      </c>
      <c r="I5812" s="55">
        <v>1.878984</v>
      </c>
      <c r="J5812" s="55"/>
      <c r="K5812" s="55"/>
      <c r="L5812" s="55">
        <v>0</v>
      </c>
      <c r="M5812" s="55">
        <v>1.7999999999999999E-2</v>
      </c>
      <c r="N5812" s="55">
        <v>1.7999999999999999E-2</v>
      </c>
    </row>
    <row r="5813" spans="1:14" hidden="1" x14ac:dyDescent="0.35">
      <c r="A5813" s="52" t="s">
        <v>722</v>
      </c>
      <c r="B5813" s="52" t="s">
        <v>264</v>
      </c>
      <c r="C5813" s="52" t="s">
        <v>264</v>
      </c>
      <c r="D5813" s="52" t="s">
        <v>264</v>
      </c>
      <c r="E5813" s="52" t="s">
        <v>584</v>
      </c>
      <c r="F5813" s="52" t="s">
        <v>581</v>
      </c>
      <c r="G5813" s="55" t="s">
        <v>278</v>
      </c>
      <c r="H5813" s="55">
        <v>1.032548</v>
      </c>
      <c r="I5813" s="55">
        <v>1.032548</v>
      </c>
      <c r="J5813" s="55">
        <v>18.39573</v>
      </c>
      <c r="K5813" s="55">
        <v>14.27251</v>
      </c>
      <c r="L5813" s="55">
        <v>14.08765</v>
      </c>
      <c r="M5813" s="55">
        <v>21.231829999999999</v>
      </c>
      <c r="N5813" s="55">
        <v>5.3284890000000003</v>
      </c>
    </row>
    <row r="5814" spans="1:14" hidden="1" x14ac:dyDescent="0.35">
      <c r="A5814" s="52" t="s">
        <v>722</v>
      </c>
      <c r="B5814" s="52" t="s">
        <v>264</v>
      </c>
      <c r="C5814" s="52" t="s">
        <v>264</v>
      </c>
      <c r="D5814" s="52" t="s">
        <v>264</v>
      </c>
      <c r="E5814" s="52" t="s">
        <v>584</v>
      </c>
      <c r="F5814" s="52" t="s">
        <v>581</v>
      </c>
      <c r="G5814" s="55" t="s">
        <v>279</v>
      </c>
      <c r="H5814" s="55">
        <v>16.17266</v>
      </c>
      <c r="I5814" s="55">
        <v>15.19683</v>
      </c>
      <c r="J5814" s="55">
        <v>15.63373</v>
      </c>
      <c r="K5814" s="55">
        <v>16.539950000000001</v>
      </c>
      <c r="L5814" s="55">
        <v>9.6846899999999998</v>
      </c>
      <c r="M5814" s="55">
        <v>9.8333639999999995</v>
      </c>
      <c r="N5814" s="55">
        <v>9.9694079999999996</v>
      </c>
    </row>
    <row r="5815" spans="1:14" hidden="1" x14ac:dyDescent="0.35">
      <c r="A5815" s="52" t="s">
        <v>722</v>
      </c>
      <c r="B5815" s="52" t="s">
        <v>264</v>
      </c>
      <c r="C5815" s="52" t="s">
        <v>264</v>
      </c>
      <c r="D5815" s="52" t="s">
        <v>264</v>
      </c>
      <c r="E5815" s="52" t="s">
        <v>584</v>
      </c>
      <c r="F5815" s="52" t="s">
        <v>26</v>
      </c>
      <c r="G5815" s="55" t="s">
        <v>275</v>
      </c>
      <c r="H5815" s="55">
        <v>4.1223159999999996</v>
      </c>
      <c r="I5815" s="55">
        <v>2.1144069999999999</v>
      </c>
      <c r="J5815" s="55">
        <v>1.124333</v>
      </c>
      <c r="K5815" s="55">
        <v>1.0970679999999999</v>
      </c>
      <c r="L5815" s="55">
        <v>1.113847</v>
      </c>
      <c r="M5815" s="55">
        <v>1.052325</v>
      </c>
      <c r="N5815" s="55">
        <v>0.96573589999999998</v>
      </c>
    </row>
    <row r="5816" spans="1:14" hidden="1" x14ac:dyDescent="0.35">
      <c r="A5816" s="52" t="s">
        <v>722</v>
      </c>
      <c r="B5816" s="52" t="s">
        <v>264</v>
      </c>
      <c r="C5816" s="52" t="s">
        <v>264</v>
      </c>
      <c r="D5816" s="52" t="s">
        <v>264</v>
      </c>
      <c r="E5816" s="52" t="s">
        <v>584</v>
      </c>
      <c r="F5816" s="52" t="s">
        <v>26</v>
      </c>
      <c r="G5816" s="55" t="s">
        <v>276</v>
      </c>
      <c r="H5816" s="55">
        <v>1.803007</v>
      </c>
      <c r="I5816" s="55">
        <v>1.0253000000000001</v>
      </c>
      <c r="J5816" s="55">
        <v>0.71130669999999996</v>
      </c>
      <c r="K5816" s="55">
        <v>0.7309852</v>
      </c>
      <c r="L5816" s="55">
        <v>0.73692299999999999</v>
      </c>
      <c r="M5816" s="55">
        <v>0.69494250000000002</v>
      </c>
      <c r="N5816" s="55">
        <v>0.63823989999999997</v>
      </c>
    </row>
    <row r="5817" spans="1:14" hidden="1" x14ac:dyDescent="0.35">
      <c r="A5817" s="52" t="s">
        <v>722</v>
      </c>
      <c r="B5817" s="52" t="s">
        <v>264</v>
      </c>
      <c r="C5817" s="52" t="s">
        <v>264</v>
      </c>
      <c r="D5817" s="52" t="s">
        <v>264</v>
      </c>
      <c r="E5817" s="52" t="s">
        <v>584</v>
      </c>
      <c r="F5817" s="52" t="s">
        <v>26</v>
      </c>
      <c r="G5817" s="55" t="s">
        <v>278</v>
      </c>
      <c r="H5817" s="55"/>
      <c r="I5817" s="55"/>
      <c r="J5817" s="55">
        <v>0</v>
      </c>
      <c r="K5817" s="55">
        <v>0</v>
      </c>
      <c r="L5817" s="55">
        <v>0</v>
      </c>
      <c r="M5817" s="55">
        <v>0</v>
      </c>
      <c r="N5817" s="55"/>
    </row>
    <row r="5818" spans="1:14" hidden="1" x14ac:dyDescent="0.35">
      <c r="A5818" s="52" t="s">
        <v>722</v>
      </c>
      <c r="B5818" s="52" t="s">
        <v>264</v>
      </c>
      <c r="C5818" s="52" t="s">
        <v>264</v>
      </c>
      <c r="D5818" s="52" t="s">
        <v>264</v>
      </c>
      <c r="E5818" s="52" t="s">
        <v>584</v>
      </c>
      <c r="F5818" s="52" t="s">
        <v>26</v>
      </c>
      <c r="G5818" s="55" t="s">
        <v>279</v>
      </c>
      <c r="H5818" s="55">
        <v>1.2867059999999999</v>
      </c>
      <c r="I5818" s="55">
        <v>0.96149370000000001</v>
      </c>
      <c r="J5818" s="55">
        <v>1.009587</v>
      </c>
      <c r="K5818" s="55">
        <v>1.0958889999999999</v>
      </c>
      <c r="L5818" s="55">
        <v>1.096922</v>
      </c>
      <c r="M5818" s="55">
        <v>1.032502</v>
      </c>
      <c r="N5818" s="55">
        <v>0.94898340000000003</v>
      </c>
    </row>
    <row r="5819" spans="1:14" hidden="1" x14ac:dyDescent="0.35">
      <c r="A5819" s="52" t="s">
        <v>722</v>
      </c>
      <c r="B5819" s="52" t="s">
        <v>264</v>
      </c>
      <c r="C5819" s="52" t="s">
        <v>850</v>
      </c>
      <c r="D5819" s="52" t="s">
        <v>850</v>
      </c>
      <c r="E5819" s="52" t="s">
        <v>584</v>
      </c>
      <c r="F5819" s="52" t="s">
        <v>581</v>
      </c>
      <c r="G5819" s="55" t="s">
        <v>275</v>
      </c>
      <c r="H5819" s="55">
        <v>-0.12</v>
      </c>
      <c r="I5819" s="55">
        <v>-0.12</v>
      </c>
      <c r="J5819" s="55">
        <v>0</v>
      </c>
      <c r="K5819" s="55">
        <v>0</v>
      </c>
      <c r="L5819" s="55">
        <v>0</v>
      </c>
      <c r="M5819" s="55">
        <v>0</v>
      </c>
      <c r="N5819" s="55">
        <v>0</v>
      </c>
    </row>
    <row r="5820" spans="1:14" hidden="1" x14ac:dyDescent="0.35">
      <c r="A5820" s="52" t="s">
        <v>722</v>
      </c>
      <c r="B5820" s="52" t="s">
        <v>264</v>
      </c>
      <c r="C5820" s="52" t="s">
        <v>850</v>
      </c>
      <c r="D5820" s="52" t="s">
        <v>850</v>
      </c>
      <c r="E5820" s="52" t="s">
        <v>584</v>
      </c>
      <c r="F5820" s="52" t="s">
        <v>581</v>
      </c>
      <c r="G5820" s="55" t="s">
        <v>276</v>
      </c>
      <c r="H5820" s="55"/>
      <c r="I5820" s="55"/>
      <c r="J5820" s="55">
        <v>-0.12</v>
      </c>
      <c r="K5820" s="55">
        <v>-0.12</v>
      </c>
      <c r="L5820" s="55">
        <v>-7.5989740000000001</v>
      </c>
      <c r="M5820" s="55">
        <v>-1.936933</v>
      </c>
      <c r="N5820" s="55">
        <v>-0.12</v>
      </c>
    </row>
    <row r="5821" spans="1:14" hidden="1" x14ac:dyDescent="0.35">
      <c r="A5821" s="52" t="s">
        <v>722</v>
      </c>
      <c r="B5821" s="52" t="s">
        <v>264</v>
      </c>
      <c r="C5821" s="52" t="s">
        <v>850</v>
      </c>
      <c r="D5821" s="52" t="s">
        <v>850</v>
      </c>
      <c r="E5821" s="52" t="s">
        <v>584</v>
      </c>
      <c r="F5821" s="52" t="s">
        <v>581</v>
      </c>
      <c r="G5821" s="55" t="s">
        <v>278</v>
      </c>
      <c r="H5821" s="55">
        <v>0.12</v>
      </c>
      <c r="I5821" s="55">
        <v>0.12</v>
      </c>
      <c r="J5821" s="55">
        <v>0.12</v>
      </c>
      <c r="K5821" s="55">
        <v>0.12</v>
      </c>
      <c r="L5821" s="55">
        <v>7.5989740000000001</v>
      </c>
      <c r="M5821" s="55">
        <v>1.936933</v>
      </c>
      <c r="N5821" s="55">
        <v>0.12</v>
      </c>
    </row>
    <row r="5822" spans="1:14" hidden="1" x14ac:dyDescent="0.35">
      <c r="A5822" s="52" t="s">
        <v>722</v>
      </c>
      <c r="B5822" s="52" t="s">
        <v>366</v>
      </c>
      <c r="C5822" s="52" t="s">
        <v>723</v>
      </c>
      <c r="D5822" s="52" t="s">
        <v>724</v>
      </c>
      <c r="E5822" s="52" t="s">
        <v>584</v>
      </c>
      <c r="F5822" s="52" t="s">
        <v>581</v>
      </c>
      <c r="G5822" s="55" t="s">
        <v>275</v>
      </c>
      <c r="H5822" s="55">
        <v>-35.196210000000001</v>
      </c>
      <c r="I5822" s="55">
        <v>-12.07643</v>
      </c>
      <c r="J5822" s="55">
        <v>1.186436</v>
      </c>
      <c r="K5822" s="55">
        <v>-6.6718189999999997E-2</v>
      </c>
      <c r="L5822" s="55">
        <v>-20.992010000000001</v>
      </c>
      <c r="M5822" s="55">
        <v>-796.22829999999999</v>
      </c>
      <c r="N5822" s="55">
        <v>-267.70429999999999</v>
      </c>
    </row>
    <row r="5823" spans="1:14" hidden="1" x14ac:dyDescent="0.35">
      <c r="A5823" s="52" t="s">
        <v>722</v>
      </c>
      <c r="B5823" s="52" t="s">
        <v>366</v>
      </c>
      <c r="C5823" s="52" t="s">
        <v>723</v>
      </c>
      <c r="D5823" s="52" t="s">
        <v>724</v>
      </c>
      <c r="E5823" s="52" t="s">
        <v>584</v>
      </c>
      <c r="F5823" s="52" t="s">
        <v>581</v>
      </c>
      <c r="G5823" s="55" t="s">
        <v>276</v>
      </c>
      <c r="H5823" s="55">
        <v>0.66598900000000005</v>
      </c>
      <c r="I5823" s="55">
        <v>0.61174709999999999</v>
      </c>
      <c r="J5823" s="55">
        <v>0.37532880000000002</v>
      </c>
      <c r="K5823" s="55">
        <v>0.25083139999999998</v>
      </c>
      <c r="L5823" s="55">
        <v>0.17794560000000001</v>
      </c>
      <c r="M5823" s="55">
        <v>9.927155E-2</v>
      </c>
      <c r="N5823" s="55">
        <v>0.67344369999999998</v>
      </c>
    </row>
    <row r="5824" spans="1:14" hidden="1" x14ac:dyDescent="0.35">
      <c r="A5824" s="52" t="s">
        <v>722</v>
      </c>
      <c r="B5824" s="52" t="s">
        <v>366</v>
      </c>
      <c r="C5824" s="52" t="s">
        <v>723</v>
      </c>
      <c r="D5824" s="52" t="s">
        <v>724</v>
      </c>
      <c r="E5824" s="52" t="s">
        <v>584</v>
      </c>
      <c r="F5824" s="52" t="s">
        <v>581</v>
      </c>
      <c r="G5824" s="55" t="s">
        <v>277</v>
      </c>
      <c r="H5824" s="55">
        <v>45.623809999999999</v>
      </c>
      <c r="I5824" s="55">
        <v>15.61753</v>
      </c>
      <c r="J5824" s="55">
        <v>1.0118720000000001</v>
      </c>
      <c r="K5824" s="55">
        <v>1.310856</v>
      </c>
      <c r="L5824" s="55">
        <v>19.7864</v>
      </c>
      <c r="M5824" s="55">
        <v>795.12879999999996</v>
      </c>
      <c r="N5824" s="55">
        <v>271.05380000000002</v>
      </c>
    </row>
    <row r="5825" spans="1:14" hidden="1" x14ac:dyDescent="0.35">
      <c r="A5825" s="52" t="s">
        <v>722</v>
      </c>
      <c r="B5825" s="52" t="s">
        <v>366</v>
      </c>
      <c r="C5825" s="52" t="s">
        <v>723</v>
      </c>
      <c r="D5825" s="52" t="s">
        <v>724</v>
      </c>
      <c r="E5825" s="52" t="s">
        <v>584</v>
      </c>
      <c r="F5825" s="52" t="s">
        <v>581</v>
      </c>
      <c r="G5825" s="55" t="s">
        <v>278</v>
      </c>
      <c r="H5825" s="55">
        <v>0.85484950000000004</v>
      </c>
      <c r="I5825" s="55">
        <v>0.85484950000000004</v>
      </c>
      <c r="J5825" s="55">
        <v>0.85484950000000004</v>
      </c>
      <c r="K5825" s="55">
        <v>0.85484950000000004</v>
      </c>
      <c r="L5825" s="55">
        <v>0.85484950000000004</v>
      </c>
      <c r="M5825" s="55">
        <v>0.55357449999999997</v>
      </c>
      <c r="N5825" s="55">
        <v>0.55357449999999997</v>
      </c>
    </row>
    <row r="5826" spans="1:14" hidden="1" x14ac:dyDescent="0.35">
      <c r="A5826" s="52" t="s">
        <v>722</v>
      </c>
      <c r="B5826" s="52" t="s">
        <v>366</v>
      </c>
      <c r="C5826" s="52" t="s">
        <v>723</v>
      </c>
      <c r="D5826" s="52" t="s">
        <v>724</v>
      </c>
      <c r="E5826" s="52" t="s">
        <v>584</v>
      </c>
      <c r="F5826" s="52" t="s">
        <v>581</v>
      </c>
      <c r="G5826" s="55" t="s">
        <v>279</v>
      </c>
      <c r="H5826" s="55">
        <v>1.3713420000000001</v>
      </c>
      <c r="I5826" s="55">
        <v>1.370959</v>
      </c>
      <c r="J5826" s="55">
        <v>0.94325499999999995</v>
      </c>
      <c r="K5826" s="55">
        <v>0.71169899999999997</v>
      </c>
      <c r="L5826" s="55">
        <v>2.393694</v>
      </c>
      <c r="M5826" s="55">
        <v>2.275836</v>
      </c>
      <c r="N5826" s="55">
        <v>8.8924079999999996</v>
      </c>
    </row>
    <row r="5827" spans="1:14" hidden="1" x14ac:dyDescent="0.35">
      <c r="A5827" s="52" t="s">
        <v>722</v>
      </c>
      <c r="B5827" s="52" t="s">
        <v>366</v>
      </c>
      <c r="C5827" s="52" t="s">
        <v>723</v>
      </c>
      <c r="D5827" s="52" t="s">
        <v>851</v>
      </c>
      <c r="E5827" s="52" t="s">
        <v>584</v>
      </c>
      <c r="F5827" s="52" t="s">
        <v>581</v>
      </c>
      <c r="G5827" s="55" t="s">
        <v>275</v>
      </c>
      <c r="H5827" s="55">
        <v>-0.18194550000000001</v>
      </c>
      <c r="I5827" s="55">
        <v>-0.18194550000000001</v>
      </c>
      <c r="J5827" s="55">
        <v>0</v>
      </c>
      <c r="K5827" s="55">
        <v>0</v>
      </c>
      <c r="L5827" s="55">
        <v>0</v>
      </c>
      <c r="M5827" s="55">
        <v>0</v>
      </c>
      <c r="N5827" s="55">
        <v>0</v>
      </c>
    </row>
    <row r="5828" spans="1:14" hidden="1" x14ac:dyDescent="0.35">
      <c r="A5828" s="52" t="s">
        <v>722</v>
      </c>
      <c r="B5828" s="52" t="s">
        <v>366</v>
      </c>
      <c r="C5828" s="52" t="s">
        <v>723</v>
      </c>
      <c r="D5828" s="52" t="s">
        <v>851</v>
      </c>
      <c r="E5828" s="52" t="s">
        <v>584</v>
      </c>
      <c r="F5828" s="52" t="s">
        <v>581</v>
      </c>
      <c r="G5828" s="55" t="s">
        <v>276</v>
      </c>
      <c r="H5828" s="55"/>
      <c r="I5828" s="55"/>
      <c r="J5828" s="55">
        <v>-0.18194550000000001</v>
      </c>
      <c r="K5828" s="55">
        <v>-0.18194550000000001</v>
      </c>
      <c r="L5828" s="55">
        <v>-0.18194550000000001</v>
      </c>
      <c r="M5828" s="55">
        <v>-0.12717500000000001</v>
      </c>
      <c r="N5828" s="55">
        <v>-0.12717500000000001</v>
      </c>
    </row>
    <row r="5829" spans="1:14" hidden="1" x14ac:dyDescent="0.35">
      <c r="A5829" s="52" t="s">
        <v>722</v>
      </c>
      <c r="B5829" s="52" t="s">
        <v>366</v>
      </c>
      <c r="C5829" s="52" t="s">
        <v>723</v>
      </c>
      <c r="D5829" s="52" t="s">
        <v>851</v>
      </c>
      <c r="E5829" s="52" t="s">
        <v>584</v>
      </c>
      <c r="F5829" s="52" t="s">
        <v>581</v>
      </c>
      <c r="G5829" s="55" t="s">
        <v>278</v>
      </c>
      <c r="H5829" s="55">
        <v>0.18194550000000001</v>
      </c>
      <c r="I5829" s="55">
        <v>0.18194550000000001</v>
      </c>
      <c r="J5829" s="55">
        <v>0.18194550000000001</v>
      </c>
      <c r="K5829" s="55">
        <v>0.18194550000000001</v>
      </c>
      <c r="L5829" s="55">
        <v>0.18194550000000001</v>
      </c>
      <c r="M5829" s="55">
        <v>0.12717500000000001</v>
      </c>
      <c r="N5829" s="55">
        <v>0.12717500000000001</v>
      </c>
    </row>
    <row r="5830" spans="1:14" hidden="1" x14ac:dyDescent="0.35">
      <c r="A5830" s="52" t="s">
        <v>722</v>
      </c>
      <c r="B5830" s="52" t="s">
        <v>366</v>
      </c>
      <c r="C5830" s="52" t="s">
        <v>723</v>
      </c>
      <c r="D5830" s="52" t="s">
        <v>851</v>
      </c>
      <c r="E5830" s="52" t="s">
        <v>584</v>
      </c>
      <c r="F5830" s="52" t="s">
        <v>581</v>
      </c>
      <c r="G5830" s="55" t="s">
        <v>279</v>
      </c>
      <c r="H5830" s="55"/>
      <c r="I5830" s="55"/>
      <c r="J5830" s="55"/>
      <c r="K5830" s="55"/>
      <c r="L5830" s="55"/>
      <c r="M5830" s="55"/>
      <c r="N5830" s="55">
        <v>0</v>
      </c>
    </row>
    <row r="5831" spans="1:14" hidden="1" x14ac:dyDescent="0.35">
      <c r="A5831" s="52" t="s">
        <v>722</v>
      </c>
      <c r="B5831" s="52" t="s">
        <v>366</v>
      </c>
      <c r="C5831" s="52" t="s">
        <v>723</v>
      </c>
      <c r="D5831" s="52" t="s">
        <v>851</v>
      </c>
      <c r="E5831" s="52" t="s">
        <v>584</v>
      </c>
      <c r="F5831" s="52" t="s">
        <v>26</v>
      </c>
      <c r="G5831" s="55" t="s">
        <v>275</v>
      </c>
      <c r="H5831" s="55"/>
      <c r="I5831" s="55"/>
      <c r="J5831" s="55"/>
      <c r="K5831" s="55"/>
      <c r="L5831" s="55"/>
      <c r="M5831" s="55"/>
      <c r="N5831" s="55">
        <v>0</v>
      </c>
    </row>
    <row r="5832" spans="1:14" hidden="1" x14ac:dyDescent="0.35">
      <c r="A5832" s="52" t="s">
        <v>722</v>
      </c>
      <c r="B5832" s="52" t="s">
        <v>366</v>
      </c>
      <c r="C5832" s="52" t="s">
        <v>723</v>
      </c>
      <c r="D5832" s="52" t="s">
        <v>851</v>
      </c>
      <c r="E5832" s="52" t="s">
        <v>584</v>
      </c>
      <c r="F5832" s="52" t="s">
        <v>26</v>
      </c>
      <c r="G5832" s="55" t="s">
        <v>276</v>
      </c>
      <c r="H5832" s="55"/>
      <c r="I5832" s="55"/>
      <c r="J5832" s="55"/>
      <c r="K5832" s="55"/>
      <c r="L5832" s="55"/>
      <c r="M5832" s="55"/>
      <c r="N5832" s="55">
        <v>0</v>
      </c>
    </row>
    <row r="5833" spans="1:14" hidden="1" x14ac:dyDescent="0.35">
      <c r="A5833" s="52" t="s">
        <v>722</v>
      </c>
      <c r="B5833" s="52" t="s">
        <v>366</v>
      </c>
      <c r="C5833" s="52" t="s">
        <v>723</v>
      </c>
      <c r="D5833" s="52" t="s">
        <v>851</v>
      </c>
      <c r="E5833" s="52" t="s">
        <v>584</v>
      </c>
      <c r="F5833" s="52" t="s">
        <v>26</v>
      </c>
      <c r="G5833" s="55" t="s">
        <v>279</v>
      </c>
      <c r="H5833" s="55"/>
      <c r="I5833" s="55"/>
      <c r="J5833" s="55"/>
      <c r="K5833" s="55"/>
      <c r="L5833" s="55"/>
      <c r="M5833" s="55"/>
      <c r="N5833" s="55">
        <v>0</v>
      </c>
    </row>
    <row r="5834" spans="1:14" hidden="1" x14ac:dyDescent="0.35">
      <c r="A5834" s="52" t="s">
        <v>722</v>
      </c>
      <c r="B5834" s="52" t="s">
        <v>366</v>
      </c>
      <c r="C5834" s="52" t="s">
        <v>723</v>
      </c>
      <c r="D5834" s="52" t="s">
        <v>853</v>
      </c>
      <c r="E5834" s="52" t="s">
        <v>584</v>
      </c>
      <c r="F5834" s="52" t="s">
        <v>581</v>
      </c>
      <c r="G5834" s="55" t="s">
        <v>275</v>
      </c>
      <c r="H5834" s="55">
        <v>-0.40320149999999999</v>
      </c>
      <c r="I5834" s="55">
        <v>-0.40320149999999999</v>
      </c>
      <c r="J5834" s="55">
        <v>0</v>
      </c>
      <c r="K5834" s="55">
        <v>0</v>
      </c>
      <c r="L5834" s="55">
        <v>0</v>
      </c>
      <c r="M5834" s="55">
        <v>0</v>
      </c>
      <c r="N5834" s="55">
        <v>0</v>
      </c>
    </row>
    <row r="5835" spans="1:14" hidden="1" x14ac:dyDescent="0.35">
      <c r="A5835" s="52" t="s">
        <v>722</v>
      </c>
      <c r="B5835" s="52" t="s">
        <v>366</v>
      </c>
      <c r="C5835" s="52" t="s">
        <v>723</v>
      </c>
      <c r="D5835" s="52" t="s">
        <v>852</v>
      </c>
      <c r="E5835" s="52" t="s">
        <v>584</v>
      </c>
      <c r="F5835" s="52" t="s">
        <v>581</v>
      </c>
      <c r="G5835" s="55" t="s">
        <v>275</v>
      </c>
      <c r="H5835" s="55">
        <v>-0.24776000000000001</v>
      </c>
      <c r="I5835" s="55">
        <v>-0.24776000000000001</v>
      </c>
      <c r="J5835" s="55">
        <v>0</v>
      </c>
      <c r="K5835" s="55">
        <v>0</v>
      </c>
      <c r="L5835" s="55">
        <v>0</v>
      </c>
      <c r="M5835" s="55">
        <v>0</v>
      </c>
      <c r="N5835" s="55">
        <v>0</v>
      </c>
    </row>
    <row r="5836" spans="1:14" hidden="1" x14ac:dyDescent="0.35">
      <c r="A5836" s="52" t="s">
        <v>722</v>
      </c>
      <c r="B5836" s="52" t="s">
        <v>366</v>
      </c>
      <c r="C5836" s="52" t="s">
        <v>723</v>
      </c>
      <c r="D5836" s="52" t="s">
        <v>853</v>
      </c>
      <c r="E5836" s="52" t="s">
        <v>584</v>
      </c>
      <c r="F5836" s="52" t="s">
        <v>581</v>
      </c>
      <c r="G5836" s="55" t="s">
        <v>276</v>
      </c>
      <c r="H5836" s="55"/>
      <c r="I5836" s="55"/>
      <c r="J5836" s="55">
        <v>-7.5863E-2</v>
      </c>
      <c r="K5836" s="55">
        <v>-7.5863E-2</v>
      </c>
      <c r="L5836" s="55">
        <v>-7.5863E-2</v>
      </c>
      <c r="M5836" s="55">
        <v>-7.5863E-2</v>
      </c>
      <c r="N5836" s="55">
        <v>-7.5863E-2</v>
      </c>
    </row>
    <row r="5837" spans="1:14" hidden="1" x14ac:dyDescent="0.35">
      <c r="A5837" s="52" t="s">
        <v>722</v>
      </c>
      <c r="B5837" s="52" t="s">
        <v>366</v>
      </c>
      <c r="C5837" s="52" t="s">
        <v>723</v>
      </c>
      <c r="D5837" s="52" t="s">
        <v>852</v>
      </c>
      <c r="E5837" s="52" t="s">
        <v>584</v>
      </c>
      <c r="F5837" s="52" t="s">
        <v>581</v>
      </c>
      <c r="G5837" s="55" t="s">
        <v>276</v>
      </c>
      <c r="H5837" s="55"/>
      <c r="I5837" s="55"/>
      <c r="J5837" s="55">
        <v>-0.24776000000000001</v>
      </c>
      <c r="K5837" s="55">
        <v>-0.24776000000000001</v>
      </c>
      <c r="L5837" s="55">
        <v>-0.24776000000000001</v>
      </c>
      <c r="M5837" s="55">
        <v>-16.247910000000001</v>
      </c>
      <c r="N5837" s="55">
        <v>-0.19257099999999999</v>
      </c>
    </row>
    <row r="5838" spans="1:14" hidden="1" x14ac:dyDescent="0.35">
      <c r="A5838" s="52" t="s">
        <v>722</v>
      </c>
      <c r="B5838" s="52" t="s">
        <v>366</v>
      </c>
      <c r="C5838" s="52" t="s">
        <v>723</v>
      </c>
      <c r="D5838" s="52" t="s">
        <v>853</v>
      </c>
      <c r="E5838" s="52" t="s">
        <v>584</v>
      </c>
      <c r="F5838" s="52" t="s">
        <v>581</v>
      </c>
      <c r="G5838" s="55" t="s">
        <v>278</v>
      </c>
      <c r="H5838" s="55">
        <v>0.40320149999999999</v>
      </c>
      <c r="I5838" s="55">
        <v>0.40320149999999999</v>
      </c>
      <c r="J5838" s="55">
        <v>7.5863E-2</v>
      </c>
      <c r="K5838" s="55">
        <v>7.5863E-2</v>
      </c>
      <c r="L5838" s="55">
        <v>7.5863E-2</v>
      </c>
      <c r="M5838" s="55">
        <v>7.5863E-2</v>
      </c>
      <c r="N5838" s="55">
        <v>7.5863E-2</v>
      </c>
    </row>
    <row r="5839" spans="1:14" hidden="1" x14ac:dyDescent="0.35">
      <c r="A5839" s="52" t="s">
        <v>722</v>
      </c>
      <c r="B5839" s="52" t="s">
        <v>366</v>
      </c>
      <c r="C5839" s="52" t="s">
        <v>723</v>
      </c>
      <c r="D5839" s="52" t="s">
        <v>852</v>
      </c>
      <c r="E5839" s="52" t="s">
        <v>584</v>
      </c>
      <c r="F5839" s="52" t="s">
        <v>581</v>
      </c>
      <c r="G5839" s="55" t="s">
        <v>278</v>
      </c>
      <c r="H5839" s="55">
        <v>0.24776000000000001</v>
      </c>
      <c r="I5839" s="55">
        <v>0.24776000000000001</v>
      </c>
      <c r="J5839" s="55">
        <v>0.24776000000000001</v>
      </c>
      <c r="K5839" s="55">
        <v>0.24776000000000001</v>
      </c>
      <c r="L5839" s="55">
        <v>0.24776000000000001</v>
      </c>
      <c r="M5839" s="55">
        <v>16.247910000000001</v>
      </c>
      <c r="N5839" s="55">
        <v>0.19257099999999999</v>
      </c>
    </row>
    <row r="5840" spans="1:14" hidden="1" x14ac:dyDescent="0.35">
      <c r="A5840" s="52" t="s">
        <v>722</v>
      </c>
      <c r="B5840" s="52" t="s">
        <v>366</v>
      </c>
      <c r="C5840" s="52" t="s">
        <v>314</v>
      </c>
      <c r="D5840" s="52" t="s">
        <v>314</v>
      </c>
      <c r="E5840" s="52" t="s">
        <v>584</v>
      </c>
      <c r="F5840" s="52" t="s">
        <v>26</v>
      </c>
      <c r="G5840" s="55" t="s">
        <v>275</v>
      </c>
      <c r="H5840" s="55">
        <v>-2.2504199999999999E-2</v>
      </c>
      <c r="I5840" s="55">
        <v>-2.2504199999999999E-2</v>
      </c>
      <c r="J5840" s="55">
        <v>0</v>
      </c>
      <c r="K5840" s="55">
        <v>0</v>
      </c>
      <c r="L5840" s="55">
        <v>0</v>
      </c>
      <c r="M5840" s="55">
        <v>0</v>
      </c>
      <c r="N5840" s="55">
        <v>0</v>
      </c>
    </row>
    <row r="5841" spans="1:14" hidden="1" x14ac:dyDescent="0.35">
      <c r="A5841" s="52" t="s">
        <v>722</v>
      </c>
      <c r="B5841" s="52" t="s">
        <v>366</v>
      </c>
      <c r="C5841" s="52" t="s">
        <v>314</v>
      </c>
      <c r="D5841" s="52" t="s">
        <v>314</v>
      </c>
      <c r="E5841" s="52" t="s">
        <v>584</v>
      </c>
      <c r="F5841" s="52" t="s">
        <v>26</v>
      </c>
      <c r="G5841" s="55" t="s">
        <v>277</v>
      </c>
      <c r="H5841" s="55"/>
      <c r="I5841" s="55"/>
      <c r="J5841" s="55"/>
      <c r="K5841" s="55"/>
      <c r="L5841" s="55"/>
      <c r="M5841" s="55">
        <v>0</v>
      </c>
      <c r="N5841" s="55">
        <v>0</v>
      </c>
    </row>
    <row r="5842" spans="1:14" hidden="1" x14ac:dyDescent="0.35">
      <c r="A5842" s="52" t="s">
        <v>722</v>
      </c>
      <c r="B5842" s="52" t="s">
        <v>366</v>
      </c>
      <c r="C5842" s="52" t="s">
        <v>314</v>
      </c>
      <c r="D5842" s="52" t="s">
        <v>314</v>
      </c>
      <c r="E5842" s="52" t="s">
        <v>584</v>
      </c>
      <c r="F5842" s="52" t="s">
        <v>26</v>
      </c>
      <c r="G5842" s="55" t="s">
        <v>278</v>
      </c>
      <c r="H5842" s="55">
        <v>2.2504199999999999E-2</v>
      </c>
      <c r="I5842" s="55">
        <v>2.2504199999999999E-2</v>
      </c>
      <c r="J5842" s="55">
        <v>0</v>
      </c>
      <c r="K5842" s="55">
        <v>0</v>
      </c>
      <c r="L5842" s="55">
        <v>0</v>
      </c>
      <c r="M5842" s="55">
        <v>0</v>
      </c>
      <c r="N5842" s="55">
        <v>0</v>
      </c>
    </row>
    <row r="5843" spans="1:14" hidden="1" x14ac:dyDescent="0.35">
      <c r="A5843" s="52" t="s">
        <v>722</v>
      </c>
      <c r="B5843" s="52" t="s">
        <v>366</v>
      </c>
      <c r="C5843" s="52" t="s">
        <v>854</v>
      </c>
      <c r="D5843" s="52" t="s">
        <v>854</v>
      </c>
      <c r="E5843" s="52" t="s">
        <v>584</v>
      </c>
      <c r="F5843" s="52" t="s">
        <v>581</v>
      </c>
      <c r="G5843" s="55" t="s">
        <v>275</v>
      </c>
      <c r="H5843" s="55">
        <v>-0.1912065</v>
      </c>
      <c r="I5843" s="55">
        <v>-0.1912065</v>
      </c>
      <c r="J5843" s="55">
        <v>0</v>
      </c>
      <c r="K5843" s="55">
        <v>0</v>
      </c>
      <c r="L5843" s="55">
        <v>0</v>
      </c>
      <c r="M5843" s="55">
        <v>0</v>
      </c>
      <c r="N5843" s="55">
        <v>0</v>
      </c>
    </row>
    <row r="5844" spans="1:14" hidden="1" x14ac:dyDescent="0.35">
      <c r="A5844" s="52" t="s">
        <v>722</v>
      </c>
      <c r="B5844" s="52" t="s">
        <v>366</v>
      </c>
      <c r="C5844" s="52" t="s">
        <v>854</v>
      </c>
      <c r="D5844" s="52" t="s">
        <v>854</v>
      </c>
      <c r="E5844" s="52" t="s">
        <v>584</v>
      </c>
      <c r="F5844" s="52" t="s">
        <v>581</v>
      </c>
      <c r="G5844" s="55" t="s">
        <v>276</v>
      </c>
      <c r="H5844" s="55"/>
      <c r="I5844" s="55"/>
      <c r="J5844" s="55">
        <v>-0.1912065</v>
      </c>
      <c r="K5844" s="55">
        <v>-0.1912065</v>
      </c>
      <c r="L5844" s="55">
        <v>-8.9223499999999997E-2</v>
      </c>
      <c r="M5844" s="55">
        <v>-8.9223499999999997E-2</v>
      </c>
      <c r="N5844" s="55">
        <v>-8.9223499999999997E-2</v>
      </c>
    </row>
    <row r="5845" spans="1:14" hidden="1" x14ac:dyDescent="0.35">
      <c r="A5845" s="52" t="s">
        <v>722</v>
      </c>
      <c r="B5845" s="52" t="s">
        <v>366</v>
      </c>
      <c r="C5845" s="52" t="s">
        <v>854</v>
      </c>
      <c r="D5845" s="52" t="s">
        <v>854</v>
      </c>
      <c r="E5845" s="52" t="s">
        <v>584</v>
      </c>
      <c r="F5845" s="52" t="s">
        <v>581</v>
      </c>
      <c r="G5845" s="55" t="s">
        <v>278</v>
      </c>
      <c r="H5845" s="55">
        <v>0.1912065</v>
      </c>
      <c r="I5845" s="55">
        <v>0.1912065</v>
      </c>
      <c r="J5845" s="55">
        <v>0.1912065</v>
      </c>
      <c r="K5845" s="55">
        <v>0.1912065</v>
      </c>
      <c r="L5845" s="55">
        <v>8.9223499999999997E-2</v>
      </c>
      <c r="M5845" s="55">
        <v>8.9223499999999997E-2</v>
      </c>
      <c r="N5845" s="55">
        <v>8.9223499999999997E-2</v>
      </c>
    </row>
    <row r="5846" spans="1:14" hidden="1" x14ac:dyDescent="0.35">
      <c r="A5846" s="52" t="s">
        <v>722</v>
      </c>
      <c r="B5846" s="52" t="s">
        <v>74</v>
      </c>
      <c r="C5846" s="52" t="s">
        <v>96</v>
      </c>
      <c r="D5846" s="52" t="s">
        <v>96</v>
      </c>
      <c r="E5846" s="52" t="s">
        <v>584</v>
      </c>
      <c r="F5846" s="52" t="s">
        <v>581</v>
      </c>
      <c r="G5846" s="55" t="s">
        <v>275</v>
      </c>
      <c r="H5846" s="55">
        <v>-1.1572870000000001E-2</v>
      </c>
      <c r="I5846" s="55">
        <v>-1.5802090000000001E-2</v>
      </c>
      <c r="J5846" s="55">
        <v>0</v>
      </c>
      <c r="K5846" s="55">
        <v>0</v>
      </c>
      <c r="L5846" s="55">
        <v>0</v>
      </c>
      <c r="M5846" s="55">
        <v>0</v>
      </c>
      <c r="N5846" s="55">
        <v>0</v>
      </c>
    </row>
    <row r="5847" spans="1:14" hidden="1" x14ac:dyDescent="0.35">
      <c r="A5847" s="52" t="s">
        <v>722</v>
      </c>
      <c r="B5847" s="52" t="s">
        <v>74</v>
      </c>
      <c r="C5847" s="52" t="s">
        <v>96</v>
      </c>
      <c r="D5847" s="52" t="s">
        <v>96</v>
      </c>
      <c r="E5847" s="52" t="s">
        <v>584</v>
      </c>
      <c r="F5847" s="52" t="s">
        <v>581</v>
      </c>
      <c r="G5847" s="55" t="s">
        <v>276</v>
      </c>
      <c r="H5847" s="55">
        <v>-7.7164260000000002E-3</v>
      </c>
      <c r="I5847" s="55">
        <v>-1.0534490000000001E-2</v>
      </c>
      <c r="J5847" s="55">
        <v>-2.6335210000000001E-2</v>
      </c>
      <c r="K5847" s="55">
        <v>-2.633841E-2</v>
      </c>
      <c r="L5847" s="55">
        <v>-2.6337039999999999E-2</v>
      </c>
      <c r="M5847" s="55">
        <v>-2.6337240000000001E-2</v>
      </c>
      <c r="N5847" s="55">
        <v>-2.633541E-2</v>
      </c>
    </row>
    <row r="5848" spans="1:14" hidden="1" x14ac:dyDescent="0.35">
      <c r="A5848" s="52" t="s">
        <v>722</v>
      </c>
      <c r="B5848" s="52" t="s">
        <v>74</v>
      </c>
      <c r="C5848" s="52" t="s">
        <v>96</v>
      </c>
      <c r="D5848" s="52" t="s">
        <v>96</v>
      </c>
      <c r="E5848" s="52" t="s">
        <v>584</v>
      </c>
      <c r="F5848" s="52" t="s">
        <v>581</v>
      </c>
      <c r="G5848" s="55" t="s">
        <v>278</v>
      </c>
      <c r="H5848" s="55">
        <v>1.9287260000000001E-2</v>
      </c>
      <c r="I5848" s="55">
        <v>2.633725E-2</v>
      </c>
      <c r="J5848" s="55">
        <v>2.633725E-2</v>
      </c>
      <c r="K5848" s="55">
        <v>2.633725E-2</v>
      </c>
      <c r="L5848" s="55">
        <v>2.633725E-2</v>
      </c>
      <c r="M5848" s="55">
        <v>2.6337240000000001E-2</v>
      </c>
      <c r="N5848" s="55">
        <v>2.633725E-2</v>
      </c>
    </row>
    <row r="5849" spans="1:14" hidden="1" x14ac:dyDescent="0.35">
      <c r="A5849" s="52" t="s">
        <v>722</v>
      </c>
      <c r="B5849" s="52" t="s">
        <v>74</v>
      </c>
      <c r="C5849" s="52" t="s">
        <v>96</v>
      </c>
      <c r="D5849" s="52" t="s">
        <v>96</v>
      </c>
      <c r="E5849" s="52" t="s">
        <v>584</v>
      </c>
      <c r="F5849" s="52" t="s">
        <v>581</v>
      </c>
      <c r="G5849" s="55" t="s">
        <v>279</v>
      </c>
      <c r="H5849" s="55">
        <v>0</v>
      </c>
      <c r="I5849" s="55"/>
      <c r="J5849" s="55"/>
      <c r="K5849" s="55"/>
      <c r="L5849" s="55"/>
      <c r="M5849" s="55"/>
      <c r="N5849" s="55"/>
    </row>
    <row r="5850" spans="1:14" hidden="1" x14ac:dyDescent="0.35">
      <c r="A5850" s="52" t="s">
        <v>722</v>
      </c>
      <c r="B5850" s="52" t="s">
        <v>74</v>
      </c>
      <c r="C5850" s="52" t="s">
        <v>96</v>
      </c>
      <c r="D5850" s="52" t="s">
        <v>96</v>
      </c>
      <c r="E5850" s="52" t="s">
        <v>584</v>
      </c>
      <c r="F5850" s="52" t="s">
        <v>26</v>
      </c>
      <c r="G5850" s="55" t="s">
        <v>275</v>
      </c>
      <c r="H5850" s="55">
        <v>-62.996169999999999</v>
      </c>
      <c r="I5850" s="55">
        <v>0</v>
      </c>
      <c r="J5850" s="55">
        <v>0</v>
      </c>
      <c r="K5850" s="55">
        <v>-1.236513</v>
      </c>
      <c r="L5850" s="55">
        <v>0</v>
      </c>
      <c r="M5850" s="55"/>
      <c r="N5850" s="55"/>
    </row>
    <row r="5851" spans="1:14" hidden="1" x14ac:dyDescent="0.35">
      <c r="A5851" s="52" t="s">
        <v>722</v>
      </c>
      <c r="B5851" s="52" t="s">
        <v>74</v>
      </c>
      <c r="C5851" s="52" t="s">
        <v>96</v>
      </c>
      <c r="D5851" s="52" t="s">
        <v>96</v>
      </c>
      <c r="E5851" s="52" t="s">
        <v>584</v>
      </c>
      <c r="F5851" s="52" t="s">
        <v>26</v>
      </c>
      <c r="G5851" s="55" t="s">
        <v>276</v>
      </c>
      <c r="H5851" s="55">
        <v>-41.997450000000001</v>
      </c>
      <c r="I5851" s="55">
        <v>0</v>
      </c>
      <c r="J5851" s="55">
        <v>0</v>
      </c>
      <c r="K5851" s="55">
        <v>-0.82434200000000002</v>
      </c>
      <c r="L5851" s="55">
        <v>0</v>
      </c>
      <c r="M5851" s="55"/>
      <c r="N5851" s="55"/>
    </row>
    <row r="5852" spans="1:14" hidden="1" x14ac:dyDescent="0.35">
      <c r="A5852" s="52" t="s">
        <v>722</v>
      </c>
      <c r="B5852" s="52" t="s">
        <v>74</v>
      </c>
      <c r="C5852" s="52" t="s">
        <v>96</v>
      </c>
      <c r="D5852" s="52" t="s">
        <v>96</v>
      </c>
      <c r="E5852" s="52" t="s">
        <v>584</v>
      </c>
      <c r="F5852" s="52" t="s">
        <v>26</v>
      </c>
      <c r="G5852" s="55" t="s">
        <v>279</v>
      </c>
      <c r="H5852" s="55">
        <v>104.9936</v>
      </c>
      <c r="I5852" s="55">
        <v>0</v>
      </c>
      <c r="J5852" s="55">
        <v>0</v>
      </c>
      <c r="K5852" s="55">
        <v>2.0608550000000001</v>
      </c>
      <c r="L5852" s="55">
        <v>0</v>
      </c>
      <c r="M5852" s="55"/>
      <c r="N5852" s="55"/>
    </row>
    <row r="5853" spans="1:14" hidden="1" x14ac:dyDescent="0.35">
      <c r="A5853" s="52" t="s">
        <v>722</v>
      </c>
      <c r="B5853" s="52" t="s">
        <v>255</v>
      </c>
      <c r="C5853" s="52" t="s">
        <v>855</v>
      </c>
      <c r="D5853" s="52" t="s">
        <v>855</v>
      </c>
      <c r="E5853" s="52" t="s">
        <v>584</v>
      </c>
      <c r="F5853" s="52" t="s">
        <v>581</v>
      </c>
      <c r="G5853" s="55" t="s">
        <v>275</v>
      </c>
      <c r="H5853" s="55">
        <v>-0.57203110000000001</v>
      </c>
      <c r="I5853" s="55">
        <v>-15.800269999999999</v>
      </c>
      <c r="J5853" s="55">
        <v>0</v>
      </c>
      <c r="K5853" s="55">
        <v>0</v>
      </c>
      <c r="L5853" s="55">
        <v>0</v>
      </c>
      <c r="M5853" s="55">
        <v>0</v>
      </c>
      <c r="N5853" s="55">
        <v>0</v>
      </c>
    </row>
    <row r="5854" spans="1:14" hidden="1" x14ac:dyDescent="0.35">
      <c r="A5854" s="52" t="s">
        <v>722</v>
      </c>
      <c r="B5854" s="52" t="s">
        <v>255</v>
      </c>
      <c r="C5854" s="52" t="s">
        <v>855</v>
      </c>
      <c r="D5854" s="52" t="s">
        <v>855</v>
      </c>
      <c r="E5854" s="52" t="s">
        <v>584</v>
      </c>
      <c r="F5854" s="52" t="s">
        <v>581</v>
      </c>
      <c r="G5854" s="55" t="s">
        <v>276</v>
      </c>
      <c r="H5854" s="55">
        <v>-0.19407289999999999</v>
      </c>
      <c r="I5854" s="55">
        <v>-1.2347649999999999</v>
      </c>
      <c r="J5854" s="55">
        <v>-0.31454019999999999</v>
      </c>
      <c r="K5854" s="55">
        <v>-0.31454019999999999</v>
      </c>
      <c r="L5854" s="55">
        <v>-20.02505</v>
      </c>
      <c r="M5854" s="55">
        <v>-5.4218989999999998</v>
      </c>
      <c r="N5854" s="55">
        <v>-1.122457</v>
      </c>
    </row>
    <row r="5855" spans="1:14" hidden="1" x14ac:dyDescent="0.35">
      <c r="A5855" s="52" t="s">
        <v>722</v>
      </c>
      <c r="B5855" s="52" t="s">
        <v>255</v>
      </c>
      <c r="C5855" s="52" t="s">
        <v>855</v>
      </c>
      <c r="D5855" s="52" t="s">
        <v>855</v>
      </c>
      <c r="E5855" s="52" t="s">
        <v>584</v>
      </c>
      <c r="F5855" s="52" t="s">
        <v>581</v>
      </c>
      <c r="G5855" s="55" t="s">
        <v>277</v>
      </c>
      <c r="H5855" s="55"/>
      <c r="I5855" s="55"/>
      <c r="J5855" s="55"/>
      <c r="K5855" s="55">
        <v>0</v>
      </c>
      <c r="L5855" s="55">
        <v>8.07919E-2</v>
      </c>
      <c r="M5855" s="55">
        <v>8.0791890000000005E-2</v>
      </c>
      <c r="N5855" s="55">
        <v>0.8079172</v>
      </c>
    </row>
    <row r="5856" spans="1:14" hidden="1" x14ac:dyDescent="0.35">
      <c r="A5856" s="52" t="s">
        <v>722</v>
      </c>
      <c r="B5856" s="52" t="s">
        <v>255</v>
      </c>
      <c r="C5856" s="52" t="s">
        <v>855</v>
      </c>
      <c r="D5856" s="52" t="s">
        <v>855</v>
      </c>
      <c r="E5856" s="52" t="s">
        <v>584</v>
      </c>
      <c r="F5856" s="52" t="s">
        <v>581</v>
      </c>
      <c r="G5856" s="55" t="s">
        <v>278</v>
      </c>
      <c r="H5856" s="55">
        <v>0.76610400000000001</v>
      </c>
      <c r="I5856" s="55">
        <v>17.035029999999999</v>
      </c>
      <c r="J5856" s="55">
        <v>0.3145404</v>
      </c>
      <c r="K5856" s="55">
        <v>0.3145404</v>
      </c>
      <c r="L5856" s="55">
        <v>19.944269999999999</v>
      </c>
      <c r="M5856" s="55">
        <v>5.341107</v>
      </c>
      <c r="N5856" s="55">
        <v>0.3145404</v>
      </c>
    </row>
    <row r="5857" spans="1:14" hidden="1" x14ac:dyDescent="0.35">
      <c r="A5857" s="52" t="s">
        <v>722</v>
      </c>
      <c r="B5857" s="52" t="s">
        <v>255</v>
      </c>
      <c r="C5857" s="52" t="s">
        <v>855</v>
      </c>
      <c r="D5857" s="52" t="s">
        <v>855</v>
      </c>
      <c r="E5857" s="52" t="s">
        <v>584</v>
      </c>
      <c r="F5857" s="52" t="s">
        <v>581</v>
      </c>
      <c r="G5857" s="55" t="s">
        <v>279</v>
      </c>
      <c r="H5857" s="55"/>
      <c r="I5857" s="55"/>
      <c r="J5857" s="55"/>
      <c r="K5857" s="55"/>
      <c r="L5857" s="55"/>
      <c r="M5857" s="55"/>
      <c r="N5857" s="55">
        <v>0</v>
      </c>
    </row>
    <row r="5858" spans="1:14" hidden="1" x14ac:dyDescent="0.35">
      <c r="A5858" s="52" t="s">
        <v>722</v>
      </c>
      <c r="B5858" s="52" t="s">
        <v>255</v>
      </c>
      <c r="C5858" s="52" t="s">
        <v>855</v>
      </c>
      <c r="D5858" s="52" t="s">
        <v>855</v>
      </c>
      <c r="E5858" s="52" t="s">
        <v>584</v>
      </c>
      <c r="F5858" s="52" t="s">
        <v>26</v>
      </c>
      <c r="G5858" s="55" t="s">
        <v>275</v>
      </c>
      <c r="H5858" s="55"/>
      <c r="I5858" s="55"/>
      <c r="J5858" s="55"/>
      <c r="K5858" s="55"/>
      <c r="L5858" s="55"/>
      <c r="M5858" s="55"/>
      <c r="N5858" s="55">
        <v>0</v>
      </c>
    </row>
    <row r="5859" spans="1:14" hidden="1" x14ac:dyDescent="0.35">
      <c r="A5859" s="52" t="s">
        <v>722</v>
      </c>
      <c r="B5859" s="52" t="s">
        <v>255</v>
      </c>
      <c r="C5859" s="52" t="s">
        <v>855</v>
      </c>
      <c r="D5859" s="52" t="s">
        <v>855</v>
      </c>
      <c r="E5859" s="52" t="s">
        <v>584</v>
      </c>
      <c r="F5859" s="52" t="s">
        <v>26</v>
      </c>
      <c r="G5859" s="55" t="s">
        <v>276</v>
      </c>
      <c r="H5859" s="55"/>
      <c r="I5859" s="55"/>
      <c r="J5859" s="55"/>
      <c r="K5859" s="55"/>
      <c r="L5859" s="55"/>
      <c r="M5859" s="55"/>
      <c r="N5859" s="55">
        <v>0</v>
      </c>
    </row>
    <row r="5860" spans="1:14" hidden="1" x14ac:dyDescent="0.35">
      <c r="A5860" s="52" t="s">
        <v>722</v>
      </c>
      <c r="B5860" s="52" t="s">
        <v>255</v>
      </c>
      <c r="C5860" s="52" t="s">
        <v>855</v>
      </c>
      <c r="D5860" s="52" t="s">
        <v>855</v>
      </c>
      <c r="E5860" s="52" t="s">
        <v>584</v>
      </c>
      <c r="F5860" s="52" t="s">
        <v>26</v>
      </c>
      <c r="G5860" s="55" t="s">
        <v>279</v>
      </c>
      <c r="H5860" s="55"/>
      <c r="I5860" s="55"/>
      <c r="J5860" s="55"/>
      <c r="K5860" s="55"/>
      <c r="L5860" s="55"/>
      <c r="M5860" s="55"/>
      <c r="N5860" s="55">
        <v>0</v>
      </c>
    </row>
    <row r="5861" spans="1:14" hidden="1" x14ac:dyDescent="0.35">
      <c r="A5861" s="52" t="s">
        <v>722</v>
      </c>
      <c r="B5861" s="52" t="s">
        <v>856</v>
      </c>
      <c r="C5861" s="52" t="s">
        <v>294</v>
      </c>
      <c r="D5861" s="52" t="s">
        <v>294</v>
      </c>
      <c r="E5861" s="52" t="s">
        <v>584</v>
      </c>
      <c r="F5861" s="52" t="s">
        <v>581</v>
      </c>
      <c r="G5861" s="55" t="s">
        <v>275</v>
      </c>
      <c r="H5861" s="55">
        <v>-7.1530549999999998E-2</v>
      </c>
      <c r="I5861" s="55">
        <v>-7.1530899999999994E-2</v>
      </c>
      <c r="J5861" s="55">
        <v>0</v>
      </c>
      <c r="K5861" s="55">
        <v>0</v>
      </c>
      <c r="L5861" s="55">
        <v>0</v>
      </c>
      <c r="M5861" s="55">
        <v>0</v>
      </c>
      <c r="N5861" s="55">
        <v>0</v>
      </c>
    </row>
    <row r="5862" spans="1:14" hidden="1" x14ac:dyDescent="0.35">
      <c r="A5862" s="52" t="s">
        <v>722</v>
      </c>
      <c r="B5862" s="52" t="s">
        <v>856</v>
      </c>
      <c r="C5862" s="52" t="s">
        <v>294</v>
      </c>
      <c r="D5862" s="52" t="s">
        <v>294</v>
      </c>
      <c r="E5862" s="52" t="s">
        <v>584</v>
      </c>
      <c r="F5862" s="52" t="s">
        <v>581</v>
      </c>
      <c r="G5862" s="55" t="s">
        <v>276</v>
      </c>
      <c r="H5862" s="55">
        <v>-7.1530549999999998E-2</v>
      </c>
      <c r="I5862" s="55">
        <v>-7.1530549999999998E-2</v>
      </c>
      <c r="J5862" s="55">
        <v>-7.9532389999999999</v>
      </c>
      <c r="K5862" s="55">
        <v>-6.627758</v>
      </c>
      <c r="L5862" s="55">
        <v>-0.14306179999999999</v>
      </c>
      <c r="M5862" s="55">
        <v>-0.1430611</v>
      </c>
      <c r="N5862" s="55">
        <v>-0.15881120000000001</v>
      </c>
    </row>
    <row r="5863" spans="1:14" hidden="1" x14ac:dyDescent="0.35">
      <c r="A5863" s="52" t="s">
        <v>722</v>
      </c>
      <c r="B5863" s="52" t="s">
        <v>856</v>
      </c>
      <c r="C5863" s="52" t="s">
        <v>294</v>
      </c>
      <c r="D5863" s="52" t="s">
        <v>294</v>
      </c>
      <c r="E5863" s="52" t="s">
        <v>584</v>
      </c>
      <c r="F5863" s="52" t="s">
        <v>581</v>
      </c>
      <c r="G5863" s="55" t="s">
        <v>277</v>
      </c>
      <c r="H5863" s="55"/>
      <c r="I5863" s="55"/>
      <c r="J5863" s="55"/>
      <c r="K5863" s="55"/>
      <c r="L5863" s="55"/>
      <c r="M5863" s="55">
        <v>0</v>
      </c>
      <c r="N5863" s="55">
        <v>1.575E-2</v>
      </c>
    </row>
    <row r="5864" spans="1:14" hidden="1" x14ac:dyDescent="0.35">
      <c r="A5864" s="52" t="s">
        <v>722</v>
      </c>
      <c r="B5864" s="52" t="s">
        <v>856</v>
      </c>
      <c r="C5864" s="52" t="s">
        <v>294</v>
      </c>
      <c r="D5864" s="52" t="s">
        <v>294</v>
      </c>
      <c r="E5864" s="52" t="s">
        <v>584</v>
      </c>
      <c r="F5864" s="52" t="s">
        <v>581</v>
      </c>
      <c r="G5864" s="55" t="s">
        <v>278</v>
      </c>
      <c r="H5864" s="55">
        <v>0.14306150000000001</v>
      </c>
      <c r="I5864" s="55">
        <v>0.14306150000000001</v>
      </c>
      <c r="J5864" s="55">
        <v>7.9532389999999999</v>
      </c>
      <c r="K5864" s="55">
        <v>6.627758</v>
      </c>
      <c r="L5864" s="55">
        <v>0.14306150000000001</v>
      </c>
      <c r="M5864" s="55">
        <v>0.14306150000000001</v>
      </c>
      <c r="N5864" s="55">
        <v>0.14306150000000001</v>
      </c>
    </row>
    <row r="5865" spans="1:14" hidden="1" x14ac:dyDescent="0.35">
      <c r="A5865" s="52" t="s">
        <v>722</v>
      </c>
      <c r="B5865" s="52" t="s">
        <v>856</v>
      </c>
      <c r="C5865" s="52" t="s">
        <v>318</v>
      </c>
      <c r="D5865" s="52" t="s">
        <v>318</v>
      </c>
      <c r="E5865" s="52" t="s">
        <v>584</v>
      </c>
      <c r="F5865" s="52" t="s">
        <v>581</v>
      </c>
      <c r="G5865" s="55" t="s">
        <v>275</v>
      </c>
      <c r="H5865" s="55">
        <v>-3.8892700000000002E-2</v>
      </c>
      <c r="I5865" s="55">
        <v>-3.8892700000000002E-2</v>
      </c>
      <c r="J5865" s="55">
        <v>0</v>
      </c>
      <c r="K5865" s="55">
        <v>0</v>
      </c>
      <c r="L5865" s="55">
        <v>0</v>
      </c>
      <c r="M5865" s="55">
        <v>0</v>
      </c>
      <c r="N5865" s="55">
        <v>0</v>
      </c>
    </row>
    <row r="5866" spans="1:14" hidden="1" x14ac:dyDescent="0.35">
      <c r="A5866" s="52" t="s">
        <v>722</v>
      </c>
      <c r="B5866" s="52" t="s">
        <v>856</v>
      </c>
      <c r="C5866" s="52" t="s">
        <v>318</v>
      </c>
      <c r="D5866" s="52" t="s">
        <v>318</v>
      </c>
      <c r="E5866" s="52" t="s">
        <v>584</v>
      </c>
      <c r="F5866" s="52" t="s">
        <v>581</v>
      </c>
      <c r="G5866" s="55" t="s">
        <v>276</v>
      </c>
      <c r="H5866" s="55">
        <v>-3.8892700000000002E-2</v>
      </c>
      <c r="I5866" s="55">
        <v>-3.8892700000000002E-2</v>
      </c>
      <c r="J5866" s="55">
        <v>-7.778504E-2</v>
      </c>
      <c r="K5866" s="55">
        <v>-6.5624830000000003</v>
      </c>
      <c r="L5866" s="55">
        <v>-7.7785800000000002E-2</v>
      </c>
      <c r="M5866" s="55">
        <v>-7.7785069999999998E-2</v>
      </c>
      <c r="N5866" s="55">
        <v>-7.7785019999999996E-2</v>
      </c>
    </row>
    <row r="5867" spans="1:14" hidden="1" x14ac:dyDescent="0.35">
      <c r="A5867" s="52" t="s">
        <v>722</v>
      </c>
      <c r="B5867" s="52" t="s">
        <v>856</v>
      </c>
      <c r="C5867" s="52" t="s">
        <v>318</v>
      </c>
      <c r="D5867" s="52" t="s">
        <v>318</v>
      </c>
      <c r="E5867" s="52" t="s">
        <v>584</v>
      </c>
      <c r="F5867" s="52" t="s">
        <v>581</v>
      </c>
      <c r="G5867" s="55" t="s">
        <v>277</v>
      </c>
      <c r="H5867" s="55"/>
      <c r="I5867" s="55"/>
      <c r="J5867" s="55"/>
      <c r="K5867" s="55"/>
      <c r="L5867" s="55"/>
      <c r="M5867" s="55"/>
      <c r="N5867" s="55">
        <v>0</v>
      </c>
    </row>
    <row r="5868" spans="1:14" hidden="1" x14ac:dyDescent="0.35">
      <c r="A5868" s="52" t="s">
        <v>722</v>
      </c>
      <c r="B5868" s="52" t="s">
        <v>856</v>
      </c>
      <c r="C5868" s="52" t="s">
        <v>318</v>
      </c>
      <c r="D5868" s="52" t="s">
        <v>318</v>
      </c>
      <c r="E5868" s="52" t="s">
        <v>584</v>
      </c>
      <c r="F5868" s="52" t="s">
        <v>581</v>
      </c>
      <c r="G5868" s="55" t="s">
        <v>278</v>
      </c>
      <c r="H5868" s="55">
        <v>7.7785400000000005E-2</v>
      </c>
      <c r="I5868" s="55">
        <v>7.7785400000000005E-2</v>
      </c>
      <c r="J5868" s="55">
        <v>7.7785400000000005E-2</v>
      </c>
      <c r="K5868" s="55">
        <v>6.5624820000000001</v>
      </c>
      <c r="L5868" s="55">
        <v>7.7785400000000005E-2</v>
      </c>
      <c r="M5868" s="55">
        <v>7.7785400000000005E-2</v>
      </c>
      <c r="N5868" s="55">
        <v>7.7785400000000005E-2</v>
      </c>
    </row>
    <row r="5869" spans="1:14" hidden="1" x14ac:dyDescent="0.35">
      <c r="A5869" s="52" t="s">
        <v>722</v>
      </c>
      <c r="B5869" s="52" t="s">
        <v>291</v>
      </c>
      <c r="C5869" s="52" t="s">
        <v>102</v>
      </c>
      <c r="D5869" s="52" t="s">
        <v>102</v>
      </c>
      <c r="E5869" s="52" t="s">
        <v>584</v>
      </c>
      <c r="F5869" s="52" t="s">
        <v>581</v>
      </c>
      <c r="G5869" s="55" t="s">
        <v>275</v>
      </c>
      <c r="H5869" s="55">
        <v>-5.3773220000000004</v>
      </c>
      <c r="I5869" s="55">
        <v>-33.326630000000002</v>
      </c>
      <c r="J5869" s="55">
        <v>0</v>
      </c>
      <c r="K5869" s="55">
        <v>0</v>
      </c>
      <c r="L5869" s="55">
        <v>0</v>
      </c>
      <c r="M5869" s="55">
        <v>0</v>
      </c>
      <c r="N5869" s="55">
        <v>0</v>
      </c>
    </row>
    <row r="5870" spans="1:14" hidden="1" x14ac:dyDescent="0.35">
      <c r="A5870" s="52" t="s">
        <v>722</v>
      </c>
      <c r="B5870" s="52" t="s">
        <v>291</v>
      </c>
      <c r="C5870" s="52" t="s">
        <v>102</v>
      </c>
      <c r="D5870" s="52" t="s">
        <v>102</v>
      </c>
      <c r="E5870" s="52" t="s">
        <v>584</v>
      </c>
      <c r="F5870" s="52" t="s">
        <v>581</v>
      </c>
      <c r="G5870" s="55" t="s">
        <v>276</v>
      </c>
      <c r="H5870" s="55"/>
      <c r="I5870" s="55"/>
      <c r="J5870" s="55">
        <v>-62.555700000000002</v>
      </c>
      <c r="K5870" s="55">
        <v>-67.678039999999996</v>
      </c>
      <c r="L5870" s="55">
        <v>-0.31589240000000002</v>
      </c>
      <c r="M5870" s="55">
        <v>-0.31589240000000002</v>
      </c>
      <c r="N5870" s="55">
        <v>-0.2908924</v>
      </c>
    </row>
    <row r="5871" spans="1:14" hidden="1" x14ac:dyDescent="0.35">
      <c r="A5871" s="52" t="s">
        <v>722</v>
      </c>
      <c r="B5871" s="52" t="s">
        <v>291</v>
      </c>
      <c r="C5871" s="52" t="s">
        <v>102</v>
      </c>
      <c r="D5871" s="52" t="s">
        <v>102</v>
      </c>
      <c r="E5871" s="52" t="s">
        <v>584</v>
      </c>
      <c r="F5871" s="52" t="s">
        <v>581</v>
      </c>
      <c r="G5871" s="55" t="s">
        <v>277</v>
      </c>
      <c r="H5871" s="55"/>
      <c r="I5871" s="55">
        <v>0</v>
      </c>
      <c r="J5871" s="55">
        <v>0.01</v>
      </c>
      <c r="K5871" s="55">
        <v>0</v>
      </c>
      <c r="L5871" s="55">
        <v>2.5000000000000001E-2</v>
      </c>
      <c r="M5871" s="55">
        <v>2.5000000000000001E-2</v>
      </c>
      <c r="N5871" s="55">
        <v>0</v>
      </c>
    </row>
    <row r="5872" spans="1:14" hidden="1" x14ac:dyDescent="0.35">
      <c r="A5872" s="52" t="s">
        <v>722</v>
      </c>
      <c r="B5872" s="52" t="s">
        <v>291</v>
      </c>
      <c r="C5872" s="52" t="s">
        <v>102</v>
      </c>
      <c r="D5872" s="52" t="s">
        <v>102</v>
      </c>
      <c r="E5872" s="52" t="s">
        <v>584</v>
      </c>
      <c r="F5872" s="52" t="s">
        <v>581</v>
      </c>
      <c r="G5872" s="55" t="s">
        <v>278</v>
      </c>
      <c r="H5872" s="55">
        <v>5.3773220000000004</v>
      </c>
      <c r="I5872" s="55">
        <v>33.326630000000002</v>
      </c>
      <c r="J5872" s="55">
        <v>62.545699999999997</v>
      </c>
      <c r="K5872" s="55">
        <v>67.678039999999996</v>
      </c>
      <c r="L5872" s="55">
        <v>0.2908924</v>
      </c>
      <c r="M5872" s="55">
        <v>0.2908924</v>
      </c>
      <c r="N5872" s="55">
        <v>0.2908924</v>
      </c>
    </row>
    <row r="5873" spans="1:14" hidden="1" x14ac:dyDescent="0.35">
      <c r="A5873" s="52" t="s">
        <v>722</v>
      </c>
      <c r="B5873" s="52" t="s">
        <v>312</v>
      </c>
      <c r="C5873" s="52" t="s">
        <v>319</v>
      </c>
      <c r="D5873" s="52" t="s">
        <v>319</v>
      </c>
      <c r="E5873" s="52" t="s">
        <v>584</v>
      </c>
      <c r="F5873" s="52" t="s">
        <v>581</v>
      </c>
      <c r="G5873" s="55" t="s">
        <v>275</v>
      </c>
      <c r="H5873" s="55">
        <v>0</v>
      </c>
      <c r="I5873" s="55">
        <v>-15.05377</v>
      </c>
      <c r="J5873" s="55">
        <v>-13.64777</v>
      </c>
      <c r="K5873" s="55">
        <v>0</v>
      </c>
      <c r="L5873" s="55"/>
      <c r="M5873" s="55"/>
      <c r="N5873" s="55"/>
    </row>
    <row r="5874" spans="1:14" hidden="1" x14ac:dyDescent="0.35">
      <c r="A5874" s="52" t="s">
        <v>722</v>
      </c>
      <c r="B5874" s="52" t="s">
        <v>312</v>
      </c>
      <c r="C5874" s="52" t="s">
        <v>319</v>
      </c>
      <c r="D5874" s="52" t="s">
        <v>319</v>
      </c>
      <c r="E5874" s="52" t="s">
        <v>584</v>
      </c>
      <c r="F5874" s="52" t="s">
        <v>581</v>
      </c>
      <c r="G5874" s="55" t="s">
        <v>276</v>
      </c>
      <c r="H5874" s="55">
        <v>0</v>
      </c>
      <c r="I5874" s="55"/>
      <c r="J5874" s="55"/>
      <c r="K5874" s="55"/>
      <c r="L5874" s="55"/>
      <c r="M5874" s="55"/>
      <c r="N5874" s="55"/>
    </row>
    <row r="5875" spans="1:14" hidden="1" x14ac:dyDescent="0.35">
      <c r="A5875" s="52" t="s">
        <v>722</v>
      </c>
      <c r="B5875" s="52" t="s">
        <v>312</v>
      </c>
      <c r="C5875" s="52" t="s">
        <v>319</v>
      </c>
      <c r="D5875" s="52" t="s">
        <v>319</v>
      </c>
      <c r="E5875" s="52" t="s">
        <v>584</v>
      </c>
      <c r="F5875" s="52" t="s">
        <v>581</v>
      </c>
      <c r="G5875" s="55" t="s">
        <v>279</v>
      </c>
      <c r="H5875" s="55">
        <v>0</v>
      </c>
      <c r="I5875" s="55">
        <v>15.05377</v>
      </c>
      <c r="J5875" s="55">
        <v>13.64777</v>
      </c>
      <c r="K5875" s="55">
        <v>0</v>
      </c>
      <c r="L5875" s="55"/>
      <c r="M5875" s="55"/>
      <c r="N5875" s="55"/>
    </row>
    <row r="5876" spans="1:14" hidden="1" x14ac:dyDescent="0.35">
      <c r="A5876" s="52" t="s">
        <v>722</v>
      </c>
      <c r="B5876" s="52" t="s">
        <v>106</v>
      </c>
      <c r="C5876" s="52" t="s">
        <v>283</v>
      </c>
      <c r="D5876" s="52" t="s">
        <v>283</v>
      </c>
      <c r="E5876" s="52" t="s">
        <v>584</v>
      </c>
      <c r="F5876" s="52" t="s">
        <v>26</v>
      </c>
      <c r="G5876" s="55" t="s">
        <v>275</v>
      </c>
      <c r="H5876" s="55">
        <v>-59.886339999999997</v>
      </c>
      <c r="I5876" s="55">
        <v>-0.40079939999999997</v>
      </c>
      <c r="J5876" s="55">
        <v>0</v>
      </c>
      <c r="K5876" s="55">
        <v>0</v>
      </c>
      <c r="L5876" s="55">
        <v>0</v>
      </c>
      <c r="M5876" s="55">
        <v>0</v>
      </c>
      <c r="N5876" s="55">
        <v>0</v>
      </c>
    </row>
    <row r="5877" spans="1:14" hidden="1" x14ac:dyDescent="0.35">
      <c r="A5877" s="52" t="s">
        <v>722</v>
      </c>
      <c r="B5877" s="52" t="s">
        <v>312</v>
      </c>
      <c r="C5877" s="52" t="s">
        <v>319</v>
      </c>
      <c r="D5877" s="52" t="s">
        <v>319</v>
      </c>
      <c r="E5877" s="52" t="s">
        <v>584</v>
      </c>
      <c r="F5877" s="52" t="s">
        <v>26</v>
      </c>
      <c r="G5877" s="55" t="s">
        <v>275</v>
      </c>
      <c r="H5877" s="55">
        <v>-0.38741399999999998</v>
      </c>
      <c r="I5877" s="55">
        <v>-0.38741399999999998</v>
      </c>
      <c r="J5877" s="55">
        <v>0</v>
      </c>
      <c r="K5877" s="55">
        <v>0</v>
      </c>
      <c r="L5877" s="55">
        <v>0</v>
      </c>
      <c r="M5877" s="55">
        <v>0</v>
      </c>
      <c r="N5877" s="55">
        <v>0</v>
      </c>
    </row>
    <row r="5878" spans="1:14" hidden="1" x14ac:dyDescent="0.35">
      <c r="A5878" s="52" t="s">
        <v>722</v>
      </c>
      <c r="B5878" s="52" t="s">
        <v>312</v>
      </c>
      <c r="C5878" s="52" t="s">
        <v>319</v>
      </c>
      <c r="D5878" s="52" t="s">
        <v>319</v>
      </c>
      <c r="E5878" s="52" t="s">
        <v>584</v>
      </c>
      <c r="F5878" s="52" t="s">
        <v>26</v>
      </c>
      <c r="G5878" s="55" t="s">
        <v>276</v>
      </c>
      <c r="H5878" s="55"/>
      <c r="I5878" s="55"/>
      <c r="J5878" s="55">
        <v>-0.38741399999999998</v>
      </c>
      <c r="K5878" s="55">
        <v>-0.38741389999999998</v>
      </c>
      <c r="L5878" s="55">
        <v>-37.202260000000003</v>
      </c>
      <c r="M5878" s="55">
        <v>-9.0947619999999993</v>
      </c>
      <c r="N5878" s="55">
        <v>-0.11973689999999999</v>
      </c>
    </row>
    <row r="5879" spans="1:14" hidden="1" x14ac:dyDescent="0.35">
      <c r="A5879" s="52" t="s">
        <v>722</v>
      </c>
      <c r="B5879" s="52" t="s">
        <v>106</v>
      </c>
      <c r="C5879" s="52" t="s">
        <v>283</v>
      </c>
      <c r="D5879" s="52" t="s">
        <v>283</v>
      </c>
      <c r="E5879" s="52" t="s">
        <v>584</v>
      </c>
      <c r="F5879" s="52" t="s">
        <v>26</v>
      </c>
      <c r="G5879" s="55" t="s">
        <v>276</v>
      </c>
      <c r="H5879" s="55">
        <v>59.454450000000001</v>
      </c>
      <c r="I5879" s="55">
        <v>-3.1097E-2</v>
      </c>
      <c r="J5879" s="55">
        <v>-0.431894</v>
      </c>
      <c r="K5879" s="55">
        <v>-0.43189539999999998</v>
      </c>
      <c r="L5879" s="55">
        <v>-0.43189499999999997</v>
      </c>
      <c r="M5879" s="55">
        <v>-9.6091809999999995</v>
      </c>
      <c r="N5879" s="55">
        <v>-14.73687</v>
      </c>
    </row>
    <row r="5880" spans="1:14" hidden="1" x14ac:dyDescent="0.35">
      <c r="A5880" s="52" t="s">
        <v>722</v>
      </c>
      <c r="B5880" s="52" t="s">
        <v>312</v>
      </c>
      <c r="C5880" s="52" t="s">
        <v>319</v>
      </c>
      <c r="D5880" s="52" t="s">
        <v>319</v>
      </c>
      <c r="E5880" s="52" t="s">
        <v>584</v>
      </c>
      <c r="F5880" s="52" t="s">
        <v>26</v>
      </c>
      <c r="G5880" s="55" t="s">
        <v>278</v>
      </c>
      <c r="H5880" s="55">
        <v>0.38741399999999998</v>
      </c>
      <c r="I5880" s="55">
        <v>0.38741399999999998</v>
      </c>
      <c r="J5880" s="55">
        <v>0.38741399999999998</v>
      </c>
      <c r="K5880" s="55">
        <v>0.38741399999999998</v>
      </c>
      <c r="L5880" s="55">
        <v>37.202260000000003</v>
      </c>
      <c r="M5880" s="55">
        <v>9.0947610000000001</v>
      </c>
      <c r="N5880" s="55">
        <v>0.11973689999999999</v>
      </c>
    </row>
    <row r="5881" spans="1:14" hidden="1" x14ac:dyDescent="0.35">
      <c r="A5881" s="52" t="s">
        <v>722</v>
      </c>
      <c r="B5881" s="52" t="s">
        <v>106</v>
      </c>
      <c r="C5881" s="52" t="s">
        <v>283</v>
      </c>
      <c r="D5881" s="52" t="s">
        <v>283</v>
      </c>
      <c r="E5881" s="52" t="s">
        <v>584</v>
      </c>
      <c r="F5881" s="52" t="s">
        <v>26</v>
      </c>
      <c r="G5881" s="55" t="s">
        <v>278</v>
      </c>
      <c r="H5881" s="55">
        <v>0.43189499999999997</v>
      </c>
      <c r="I5881" s="55">
        <v>0.43189499999999997</v>
      </c>
      <c r="J5881" s="55">
        <v>0.431894</v>
      </c>
      <c r="K5881" s="55">
        <v>0.43189499999999997</v>
      </c>
      <c r="L5881" s="55">
        <v>0.43189499999999997</v>
      </c>
      <c r="M5881" s="55">
        <v>9.6091789999999992</v>
      </c>
      <c r="N5881" s="55">
        <v>14.73687</v>
      </c>
    </row>
    <row r="5882" spans="1:14" hidden="1" x14ac:dyDescent="0.35">
      <c r="A5882" s="52" t="s">
        <v>722</v>
      </c>
      <c r="B5882" s="52" t="s">
        <v>303</v>
      </c>
      <c r="C5882" s="52" t="s">
        <v>857</v>
      </c>
      <c r="D5882" s="52" t="s">
        <v>857</v>
      </c>
      <c r="E5882" s="52" t="s">
        <v>584</v>
      </c>
      <c r="F5882" s="52" t="s">
        <v>581</v>
      </c>
      <c r="G5882" s="55" t="s">
        <v>275</v>
      </c>
      <c r="H5882" s="55"/>
      <c r="I5882" s="55"/>
      <c r="J5882" s="55"/>
      <c r="K5882" s="55"/>
      <c r="L5882" s="55">
        <v>0</v>
      </c>
      <c r="M5882" s="55">
        <v>0</v>
      </c>
      <c r="N5882" s="55">
        <v>0</v>
      </c>
    </row>
    <row r="5883" spans="1:14" hidden="1" x14ac:dyDescent="0.35">
      <c r="A5883" s="52" t="s">
        <v>722</v>
      </c>
      <c r="B5883" s="52" t="s">
        <v>303</v>
      </c>
      <c r="C5883" s="52" t="s">
        <v>857</v>
      </c>
      <c r="D5883" s="52" t="s">
        <v>857</v>
      </c>
      <c r="E5883" s="52" t="s">
        <v>584</v>
      </c>
      <c r="F5883" s="52" t="s">
        <v>581</v>
      </c>
      <c r="G5883" s="55" t="s">
        <v>276</v>
      </c>
      <c r="H5883" s="55"/>
      <c r="I5883" s="55"/>
      <c r="J5883" s="55"/>
      <c r="K5883" s="55"/>
      <c r="L5883" s="55">
        <v>0</v>
      </c>
      <c r="M5883" s="55">
        <v>-1.3360500000000001E-2</v>
      </c>
      <c r="N5883" s="55">
        <v>-1.3360199999999999E-2</v>
      </c>
    </row>
    <row r="5884" spans="1:14" hidden="1" x14ac:dyDescent="0.35">
      <c r="A5884" s="52" t="s">
        <v>722</v>
      </c>
      <c r="B5884" s="52" t="s">
        <v>303</v>
      </c>
      <c r="C5884" s="52" t="s">
        <v>857</v>
      </c>
      <c r="D5884" s="52" t="s">
        <v>857</v>
      </c>
      <c r="E5884" s="52" t="s">
        <v>584</v>
      </c>
      <c r="F5884" s="52" t="s">
        <v>581</v>
      </c>
      <c r="G5884" s="55" t="s">
        <v>279</v>
      </c>
      <c r="H5884" s="55"/>
      <c r="I5884" s="55"/>
      <c r="J5884" s="55"/>
      <c r="K5884" s="55"/>
      <c r="L5884" s="55">
        <v>0</v>
      </c>
      <c r="M5884" s="55">
        <v>1.3360199999999999E-2</v>
      </c>
      <c r="N5884" s="55">
        <v>1.3359899999999999E-2</v>
      </c>
    </row>
    <row r="5885" spans="1:14" hidden="1" x14ac:dyDescent="0.35">
      <c r="A5885" s="52" t="s">
        <v>722</v>
      </c>
      <c r="B5885" s="52" t="s">
        <v>303</v>
      </c>
      <c r="C5885" s="52" t="s">
        <v>857</v>
      </c>
      <c r="D5885" s="52" t="s">
        <v>857</v>
      </c>
      <c r="E5885" s="52" t="s">
        <v>584</v>
      </c>
      <c r="F5885" s="52" t="s">
        <v>26</v>
      </c>
      <c r="G5885" s="55" t="s">
        <v>275</v>
      </c>
      <c r="H5885" s="55">
        <v>-4.0612189999999999E-2</v>
      </c>
      <c r="I5885" s="55">
        <v>-4.3993200000000003E-2</v>
      </c>
      <c r="J5885" s="55">
        <v>0</v>
      </c>
      <c r="K5885" s="55">
        <v>0</v>
      </c>
      <c r="L5885" s="55">
        <v>0</v>
      </c>
      <c r="M5885" s="55">
        <v>0</v>
      </c>
      <c r="N5885" s="55">
        <v>0</v>
      </c>
    </row>
    <row r="5886" spans="1:14" hidden="1" x14ac:dyDescent="0.35">
      <c r="A5886" s="52" t="s">
        <v>722</v>
      </c>
      <c r="B5886" s="52" t="s">
        <v>303</v>
      </c>
      <c r="C5886" s="52" t="s">
        <v>857</v>
      </c>
      <c r="D5886" s="52" t="s">
        <v>857</v>
      </c>
      <c r="E5886" s="52" t="s">
        <v>584</v>
      </c>
      <c r="F5886" s="52" t="s">
        <v>26</v>
      </c>
      <c r="G5886" s="55" t="s">
        <v>276</v>
      </c>
      <c r="H5886" s="55"/>
      <c r="I5886" s="55"/>
      <c r="J5886" s="55">
        <v>-3.6115569999999999</v>
      </c>
      <c r="K5886" s="55">
        <v>-2.6735769999999999</v>
      </c>
      <c r="L5886" s="55">
        <v>-1.908005</v>
      </c>
      <c r="M5886" s="55">
        <v>-9.4498799999999994E-2</v>
      </c>
      <c r="N5886" s="55">
        <v>-2.4661200000000001E-2</v>
      </c>
    </row>
    <row r="5887" spans="1:14" hidden="1" x14ac:dyDescent="0.35">
      <c r="A5887" s="52" t="s">
        <v>722</v>
      </c>
      <c r="B5887" s="52" t="s">
        <v>303</v>
      </c>
      <c r="C5887" s="52" t="s">
        <v>857</v>
      </c>
      <c r="D5887" s="52" t="s">
        <v>857</v>
      </c>
      <c r="E5887" s="52" t="s">
        <v>584</v>
      </c>
      <c r="F5887" s="52" t="s">
        <v>26</v>
      </c>
      <c r="G5887" s="55" t="s">
        <v>278</v>
      </c>
      <c r="H5887" s="55">
        <v>4.0612200000000001E-2</v>
      </c>
      <c r="I5887" s="55">
        <v>4.3993200000000003E-2</v>
      </c>
      <c r="J5887" s="55">
        <v>3.6115560000000002</v>
      </c>
      <c r="K5887" s="55">
        <v>2.6735769999999999</v>
      </c>
      <c r="L5887" s="55">
        <v>1.908005</v>
      </c>
      <c r="M5887" s="55">
        <v>6.9837899999999994E-2</v>
      </c>
      <c r="N5887" s="55">
        <v>0</v>
      </c>
    </row>
    <row r="5888" spans="1:14" hidden="1" x14ac:dyDescent="0.35">
      <c r="A5888" s="52" t="s">
        <v>722</v>
      </c>
      <c r="B5888" s="52" t="s">
        <v>303</v>
      </c>
      <c r="C5888" s="52" t="s">
        <v>857</v>
      </c>
      <c r="D5888" s="52" t="s">
        <v>857</v>
      </c>
      <c r="E5888" s="52" t="s">
        <v>584</v>
      </c>
      <c r="F5888" s="52" t="s">
        <v>26</v>
      </c>
      <c r="G5888" s="55" t="s">
        <v>279</v>
      </c>
      <c r="H5888" s="55"/>
      <c r="I5888" s="55"/>
      <c r="J5888" s="55"/>
      <c r="K5888" s="55"/>
      <c r="L5888" s="55">
        <v>0</v>
      </c>
      <c r="M5888" s="55">
        <v>2.4660899999999999E-2</v>
      </c>
      <c r="N5888" s="55">
        <v>2.4660899999999999E-2</v>
      </c>
    </row>
    <row r="5889" spans="1:14" hidden="1" x14ac:dyDescent="0.35">
      <c r="A5889" s="52" t="s">
        <v>722</v>
      </c>
      <c r="B5889" s="52" t="s">
        <v>282</v>
      </c>
      <c r="C5889" s="52" t="s">
        <v>365</v>
      </c>
      <c r="D5889" s="52" t="s">
        <v>365</v>
      </c>
      <c r="E5889" s="52" t="s">
        <v>584</v>
      </c>
      <c r="F5889" s="52" t="s">
        <v>581</v>
      </c>
      <c r="G5889" s="55" t="s">
        <v>275</v>
      </c>
      <c r="H5889" s="55"/>
      <c r="I5889" s="55"/>
      <c r="J5889" s="55"/>
      <c r="K5889" s="55"/>
      <c r="L5889" s="55">
        <v>0</v>
      </c>
      <c r="M5889" s="55">
        <v>0</v>
      </c>
      <c r="N5889" s="55">
        <v>0</v>
      </c>
    </row>
    <row r="5890" spans="1:14" hidden="1" x14ac:dyDescent="0.35">
      <c r="A5890" s="52" t="s">
        <v>722</v>
      </c>
      <c r="B5890" s="52" t="s">
        <v>282</v>
      </c>
      <c r="C5890" s="52" t="s">
        <v>365</v>
      </c>
      <c r="D5890" s="52" t="s">
        <v>365</v>
      </c>
      <c r="E5890" s="52" t="s">
        <v>584</v>
      </c>
      <c r="F5890" s="52" t="s">
        <v>581</v>
      </c>
      <c r="G5890" s="55" t="s">
        <v>276</v>
      </c>
      <c r="H5890" s="55"/>
      <c r="I5890" s="55"/>
      <c r="J5890" s="55"/>
      <c r="K5890" s="55"/>
      <c r="L5890" s="55">
        <v>0</v>
      </c>
      <c r="M5890" s="55">
        <v>-1.03824E-3</v>
      </c>
      <c r="N5890" s="55">
        <v>-1.03824E-3</v>
      </c>
    </row>
    <row r="5891" spans="1:14" hidden="1" x14ac:dyDescent="0.35">
      <c r="A5891" s="52" t="s">
        <v>722</v>
      </c>
      <c r="B5891" s="52" t="s">
        <v>282</v>
      </c>
      <c r="C5891" s="52" t="s">
        <v>365</v>
      </c>
      <c r="D5891" s="52" t="s">
        <v>365</v>
      </c>
      <c r="E5891" s="52" t="s">
        <v>584</v>
      </c>
      <c r="F5891" s="52" t="s">
        <v>581</v>
      </c>
      <c r="G5891" s="55" t="s">
        <v>277</v>
      </c>
      <c r="H5891" s="55"/>
      <c r="I5891" s="55"/>
      <c r="J5891" s="55"/>
      <c r="K5891" s="55"/>
      <c r="L5891" s="55"/>
      <c r="M5891" s="55"/>
      <c r="N5891" s="55">
        <v>0</v>
      </c>
    </row>
    <row r="5892" spans="1:14" hidden="1" x14ac:dyDescent="0.35">
      <c r="A5892" s="52" t="s">
        <v>722</v>
      </c>
      <c r="B5892" s="52" t="s">
        <v>282</v>
      </c>
      <c r="C5892" s="52" t="s">
        <v>365</v>
      </c>
      <c r="D5892" s="52" t="s">
        <v>365</v>
      </c>
      <c r="E5892" s="52" t="s">
        <v>584</v>
      </c>
      <c r="F5892" s="52" t="s">
        <v>581</v>
      </c>
      <c r="G5892" s="55" t="s">
        <v>279</v>
      </c>
      <c r="H5892" s="55"/>
      <c r="I5892" s="55"/>
      <c r="J5892" s="55"/>
      <c r="K5892" s="55"/>
      <c r="L5892" s="55">
        <v>0</v>
      </c>
      <c r="M5892" s="55">
        <v>1.03768E-3</v>
      </c>
      <c r="N5892" s="55">
        <v>1.03824E-3</v>
      </c>
    </row>
    <row r="5893" spans="1:14" hidden="1" x14ac:dyDescent="0.35">
      <c r="A5893" s="52" t="s">
        <v>722</v>
      </c>
      <c r="B5893" s="52" t="s">
        <v>282</v>
      </c>
      <c r="C5893" s="52" t="s">
        <v>365</v>
      </c>
      <c r="D5893" s="52" t="s">
        <v>365</v>
      </c>
      <c r="E5893" s="52" t="s">
        <v>584</v>
      </c>
      <c r="F5893" s="52" t="s">
        <v>26</v>
      </c>
      <c r="G5893" s="55" t="s">
        <v>275</v>
      </c>
      <c r="H5893" s="55">
        <v>-0.23245209999999999</v>
      </c>
      <c r="I5893" s="55">
        <v>-0.23245209999999999</v>
      </c>
      <c r="J5893" s="55">
        <v>0</v>
      </c>
      <c r="K5893" s="55">
        <v>0</v>
      </c>
      <c r="L5893" s="55">
        <v>0</v>
      </c>
      <c r="M5893" s="55">
        <v>0</v>
      </c>
      <c r="N5893" s="55">
        <v>0</v>
      </c>
    </row>
    <row r="5894" spans="1:14" hidden="1" x14ac:dyDescent="0.35">
      <c r="A5894" s="52" t="s">
        <v>722</v>
      </c>
      <c r="B5894" s="52" t="s">
        <v>282</v>
      </c>
      <c r="C5894" s="52" t="s">
        <v>365</v>
      </c>
      <c r="D5894" s="52" t="s">
        <v>365</v>
      </c>
      <c r="E5894" s="52" t="s">
        <v>584</v>
      </c>
      <c r="F5894" s="52" t="s">
        <v>26</v>
      </c>
      <c r="G5894" s="55" t="s">
        <v>276</v>
      </c>
      <c r="H5894" s="55"/>
      <c r="I5894" s="55"/>
      <c r="J5894" s="55">
        <v>-0.23245209999999999</v>
      </c>
      <c r="K5894" s="55">
        <v>-0.23245209999999999</v>
      </c>
      <c r="L5894" s="55">
        <v>-0.73905379999999998</v>
      </c>
      <c r="M5894" s="55">
        <v>-0.2366588</v>
      </c>
      <c r="N5894" s="55">
        <v>-0.23665820000000001</v>
      </c>
    </row>
    <row r="5895" spans="1:14" hidden="1" x14ac:dyDescent="0.35">
      <c r="A5895" s="52" t="s">
        <v>722</v>
      </c>
      <c r="B5895" s="52" t="s">
        <v>282</v>
      </c>
      <c r="C5895" s="52" t="s">
        <v>365</v>
      </c>
      <c r="D5895" s="52" t="s">
        <v>365</v>
      </c>
      <c r="E5895" s="52" t="s">
        <v>584</v>
      </c>
      <c r="F5895" s="52" t="s">
        <v>26</v>
      </c>
      <c r="G5895" s="55" t="s">
        <v>277</v>
      </c>
      <c r="H5895" s="55"/>
      <c r="I5895" s="55"/>
      <c r="J5895" s="55"/>
      <c r="K5895" s="55">
        <v>0</v>
      </c>
      <c r="L5895" s="55">
        <v>2.1503999999999999E-2</v>
      </c>
      <c r="M5895" s="55">
        <v>0</v>
      </c>
      <c r="N5895" s="55">
        <v>0</v>
      </c>
    </row>
    <row r="5896" spans="1:14" hidden="1" x14ac:dyDescent="0.35">
      <c r="A5896" s="52" t="s">
        <v>722</v>
      </c>
      <c r="B5896" s="52" t="s">
        <v>282</v>
      </c>
      <c r="C5896" s="52" t="s">
        <v>365</v>
      </c>
      <c r="D5896" s="52" t="s">
        <v>365</v>
      </c>
      <c r="E5896" s="52" t="s">
        <v>584</v>
      </c>
      <c r="F5896" s="52" t="s">
        <v>26</v>
      </c>
      <c r="G5896" s="55" t="s">
        <v>278</v>
      </c>
      <c r="H5896" s="55">
        <v>0.23245209999999999</v>
      </c>
      <c r="I5896" s="55">
        <v>0.23245209999999999</v>
      </c>
      <c r="J5896" s="55">
        <v>0.23245209999999999</v>
      </c>
      <c r="K5896" s="55">
        <v>0.23245209999999999</v>
      </c>
      <c r="L5896" s="55">
        <v>0.71754980000000002</v>
      </c>
      <c r="M5896" s="55">
        <v>0.23245209999999999</v>
      </c>
      <c r="N5896" s="55">
        <v>0.23245209999999999</v>
      </c>
    </row>
    <row r="5897" spans="1:14" hidden="1" x14ac:dyDescent="0.35">
      <c r="A5897" s="52" t="s">
        <v>722</v>
      </c>
      <c r="B5897" s="52" t="s">
        <v>282</v>
      </c>
      <c r="C5897" s="52" t="s">
        <v>365</v>
      </c>
      <c r="D5897" s="52" t="s">
        <v>365</v>
      </c>
      <c r="E5897" s="52" t="s">
        <v>584</v>
      </c>
      <c r="F5897" s="52" t="s">
        <v>26</v>
      </c>
      <c r="G5897" s="55" t="s">
        <v>279</v>
      </c>
      <c r="H5897" s="55"/>
      <c r="I5897" s="55"/>
      <c r="J5897" s="55"/>
      <c r="K5897" s="55"/>
      <c r="L5897" s="55">
        <v>0</v>
      </c>
      <c r="M5897" s="55">
        <v>4.2067199999999997E-3</v>
      </c>
      <c r="N5897" s="55">
        <v>4.2061599999999996E-3</v>
      </c>
    </row>
    <row r="5898" spans="1:14" hidden="1" x14ac:dyDescent="0.35">
      <c r="A5898" s="52" t="s">
        <v>722</v>
      </c>
      <c r="B5898" s="52" t="s">
        <v>282</v>
      </c>
      <c r="C5898" s="52" t="s">
        <v>281</v>
      </c>
      <c r="D5898" s="52" t="s">
        <v>281</v>
      </c>
      <c r="E5898" s="52" t="s">
        <v>584</v>
      </c>
      <c r="F5898" s="52" t="s">
        <v>581</v>
      </c>
      <c r="G5898" s="55" t="s">
        <v>275</v>
      </c>
      <c r="H5898" s="55"/>
      <c r="I5898" s="55"/>
      <c r="J5898" s="55"/>
      <c r="K5898" s="55">
        <v>0</v>
      </c>
      <c r="L5898" s="55">
        <v>0</v>
      </c>
      <c r="M5898" s="55">
        <v>0</v>
      </c>
      <c r="N5898" s="55">
        <v>0</v>
      </c>
    </row>
    <row r="5899" spans="1:14" hidden="1" x14ac:dyDescent="0.35">
      <c r="A5899" s="52" t="s">
        <v>722</v>
      </c>
      <c r="B5899" s="52" t="s">
        <v>282</v>
      </c>
      <c r="C5899" s="52" t="s">
        <v>281</v>
      </c>
      <c r="D5899" s="52" t="s">
        <v>281</v>
      </c>
      <c r="E5899" s="52" t="s">
        <v>584</v>
      </c>
      <c r="F5899" s="52" t="s">
        <v>581</v>
      </c>
      <c r="G5899" s="55" t="s">
        <v>276</v>
      </c>
      <c r="H5899" s="55"/>
      <c r="I5899" s="55"/>
      <c r="J5899" s="55"/>
      <c r="K5899" s="55">
        <v>0</v>
      </c>
      <c r="L5899" s="55">
        <v>-1.5505E-4</v>
      </c>
      <c r="M5899" s="55">
        <v>-1.5540000000000001E-4</v>
      </c>
      <c r="N5899" s="55">
        <v>-1.5505E-4</v>
      </c>
    </row>
    <row r="5900" spans="1:14" hidden="1" x14ac:dyDescent="0.35">
      <c r="A5900" s="52" t="s">
        <v>722</v>
      </c>
      <c r="B5900" s="52" t="s">
        <v>282</v>
      </c>
      <c r="C5900" s="52" t="s">
        <v>281</v>
      </c>
      <c r="D5900" s="52" t="s">
        <v>281</v>
      </c>
      <c r="E5900" s="52" t="s">
        <v>584</v>
      </c>
      <c r="F5900" s="52" t="s">
        <v>581</v>
      </c>
      <c r="G5900" s="55" t="s">
        <v>277</v>
      </c>
      <c r="H5900" s="55"/>
      <c r="I5900" s="55"/>
      <c r="J5900" s="55"/>
      <c r="K5900" s="55"/>
      <c r="L5900" s="55"/>
      <c r="M5900" s="55">
        <v>0</v>
      </c>
      <c r="N5900" s="55"/>
    </row>
    <row r="5901" spans="1:14" hidden="1" x14ac:dyDescent="0.35">
      <c r="A5901" s="52" t="s">
        <v>722</v>
      </c>
      <c r="B5901" s="52" t="s">
        <v>282</v>
      </c>
      <c r="C5901" s="52" t="s">
        <v>281</v>
      </c>
      <c r="D5901" s="52" t="s">
        <v>281</v>
      </c>
      <c r="E5901" s="52" t="s">
        <v>584</v>
      </c>
      <c r="F5901" s="52" t="s">
        <v>581</v>
      </c>
      <c r="G5901" s="55" t="s">
        <v>279</v>
      </c>
      <c r="H5901" s="55"/>
      <c r="I5901" s="55"/>
      <c r="J5901" s="55"/>
      <c r="K5901" s="55">
        <v>0</v>
      </c>
      <c r="L5901" s="55">
        <v>1.5540000000000001E-4</v>
      </c>
      <c r="M5901" s="55">
        <v>1.5505E-4</v>
      </c>
      <c r="N5901" s="55">
        <v>1.5540000000000001E-4</v>
      </c>
    </row>
    <row r="5902" spans="1:14" hidden="1" x14ac:dyDescent="0.35">
      <c r="A5902" s="52" t="s">
        <v>722</v>
      </c>
      <c r="B5902" s="52" t="s">
        <v>282</v>
      </c>
      <c r="C5902" s="52" t="s">
        <v>281</v>
      </c>
      <c r="D5902" s="52" t="s">
        <v>281</v>
      </c>
      <c r="E5902" s="52" t="s">
        <v>584</v>
      </c>
      <c r="F5902" s="52" t="s">
        <v>26</v>
      </c>
      <c r="G5902" s="55" t="s">
        <v>275</v>
      </c>
      <c r="H5902" s="55">
        <v>-0.25617269999999998</v>
      </c>
      <c r="I5902" s="55">
        <v>-0.25617269999999998</v>
      </c>
      <c r="J5902" s="55">
        <v>0</v>
      </c>
      <c r="K5902" s="55">
        <v>0</v>
      </c>
      <c r="L5902" s="55">
        <v>0</v>
      </c>
      <c r="M5902" s="55">
        <v>0</v>
      </c>
      <c r="N5902" s="55">
        <v>0</v>
      </c>
    </row>
    <row r="5903" spans="1:14" hidden="1" x14ac:dyDescent="0.35">
      <c r="A5903" s="52" t="s">
        <v>722</v>
      </c>
      <c r="B5903" s="52" t="s">
        <v>282</v>
      </c>
      <c r="C5903" s="52" t="s">
        <v>281</v>
      </c>
      <c r="D5903" s="52" t="s">
        <v>281</v>
      </c>
      <c r="E5903" s="52" t="s">
        <v>584</v>
      </c>
      <c r="F5903" s="52" t="s">
        <v>26</v>
      </c>
      <c r="G5903" s="55" t="s">
        <v>276</v>
      </c>
      <c r="H5903" s="55"/>
      <c r="I5903" s="55"/>
      <c r="J5903" s="55">
        <v>-0.26667229999999997</v>
      </c>
      <c r="K5903" s="55">
        <v>-0.69893289999999997</v>
      </c>
      <c r="L5903" s="55">
        <v>-19.596119999999999</v>
      </c>
      <c r="M5903" s="55">
        <v>-0.19755510000000001</v>
      </c>
      <c r="N5903" s="55">
        <v>-0.1555551</v>
      </c>
    </row>
    <row r="5904" spans="1:14" hidden="1" x14ac:dyDescent="0.35">
      <c r="A5904" s="52" t="s">
        <v>722</v>
      </c>
      <c r="B5904" s="52" t="s">
        <v>282</v>
      </c>
      <c r="C5904" s="52" t="s">
        <v>281</v>
      </c>
      <c r="D5904" s="52" t="s">
        <v>281</v>
      </c>
      <c r="E5904" s="52" t="s">
        <v>584</v>
      </c>
      <c r="F5904" s="52" t="s">
        <v>26</v>
      </c>
      <c r="G5904" s="55" t="s">
        <v>277</v>
      </c>
      <c r="H5904" s="55"/>
      <c r="I5904" s="55">
        <v>0</v>
      </c>
      <c r="J5904" s="55">
        <v>1.0500000000000001E-2</v>
      </c>
      <c r="K5904" s="55">
        <v>0.11550000000000001</v>
      </c>
      <c r="L5904" s="55">
        <v>4.2000000000000003E-2</v>
      </c>
      <c r="M5904" s="55">
        <v>4.2419999999999999E-2</v>
      </c>
      <c r="N5904" s="55">
        <v>4.200001E-4</v>
      </c>
    </row>
    <row r="5905" spans="1:14" hidden="1" x14ac:dyDescent="0.35">
      <c r="A5905" s="52" t="s">
        <v>722</v>
      </c>
      <c r="B5905" s="52" t="s">
        <v>282</v>
      </c>
      <c r="C5905" s="52" t="s">
        <v>281</v>
      </c>
      <c r="D5905" s="52" t="s">
        <v>281</v>
      </c>
      <c r="E5905" s="52" t="s">
        <v>584</v>
      </c>
      <c r="F5905" s="52" t="s">
        <v>26</v>
      </c>
      <c r="G5905" s="55" t="s">
        <v>278</v>
      </c>
      <c r="H5905" s="55">
        <v>0.25617269999999998</v>
      </c>
      <c r="I5905" s="55">
        <v>0.25617269999999998</v>
      </c>
      <c r="J5905" s="55">
        <v>0.25617269999999998</v>
      </c>
      <c r="K5905" s="55">
        <v>0.58343279999999997</v>
      </c>
      <c r="L5905" s="55">
        <v>19.553439999999998</v>
      </c>
      <c r="M5905" s="55">
        <v>0.15445320000000001</v>
      </c>
      <c r="N5905" s="55">
        <v>0.15445320000000001</v>
      </c>
    </row>
    <row r="5906" spans="1:14" hidden="1" x14ac:dyDescent="0.35">
      <c r="A5906" s="52" t="s">
        <v>722</v>
      </c>
      <c r="B5906" s="52" t="s">
        <v>282</v>
      </c>
      <c r="C5906" s="52" t="s">
        <v>281</v>
      </c>
      <c r="D5906" s="52" t="s">
        <v>281</v>
      </c>
      <c r="E5906" s="52" t="s">
        <v>584</v>
      </c>
      <c r="F5906" s="52" t="s">
        <v>26</v>
      </c>
      <c r="G5906" s="55" t="s">
        <v>279</v>
      </c>
      <c r="H5906" s="55"/>
      <c r="I5906" s="55"/>
      <c r="J5906" s="55"/>
      <c r="K5906" s="55">
        <v>0</v>
      </c>
      <c r="L5906" s="55">
        <v>6.8179999999999998E-4</v>
      </c>
      <c r="M5906" s="55">
        <v>6.8145E-4</v>
      </c>
      <c r="N5906" s="55">
        <v>6.8179999999999998E-4</v>
      </c>
    </row>
    <row r="5907" spans="1:14" hidden="1" x14ac:dyDescent="0.35">
      <c r="A5907" s="52" t="s">
        <v>722</v>
      </c>
      <c r="B5907" s="52" t="s">
        <v>858</v>
      </c>
      <c r="C5907" s="52" t="s">
        <v>859</v>
      </c>
      <c r="D5907" s="52" t="s">
        <v>859</v>
      </c>
      <c r="E5907" s="52" t="s">
        <v>584</v>
      </c>
      <c r="F5907" s="52" t="s">
        <v>581</v>
      </c>
      <c r="G5907" s="55" t="s">
        <v>275</v>
      </c>
      <c r="H5907" s="55">
        <v>-0.32771119999999998</v>
      </c>
      <c r="I5907" s="55">
        <v>-0.32771119999999998</v>
      </c>
      <c r="J5907" s="55">
        <v>0</v>
      </c>
      <c r="K5907" s="55">
        <v>0</v>
      </c>
      <c r="L5907" s="55">
        <v>0</v>
      </c>
      <c r="M5907" s="55">
        <v>0</v>
      </c>
      <c r="N5907" s="55">
        <v>0</v>
      </c>
    </row>
    <row r="5908" spans="1:14" hidden="1" x14ac:dyDescent="0.35">
      <c r="A5908" s="52" t="s">
        <v>722</v>
      </c>
      <c r="B5908" s="52" t="s">
        <v>858</v>
      </c>
      <c r="C5908" s="52" t="s">
        <v>859</v>
      </c>
      <c r="D5908" s="52" t="s">
        <v>859</v>
      </c>
      <c r="E5908" s="52" t="s">
        <v>584</v>
      </c>
      <c r="F5908" s="52" t="s">
        <v>581</v>
      </c>
      <c r="G5908" s="55" t="s">
        <v>276</v>
      </c>
      <c r="H5908" s="55"/>
      <c r="I5908" s="55"/>
      <c r="J5908" s="55">
        <v>-54.633159999999997</v>
      </c>
      <c r="K5908" s="55">
        <v>-0.32771119999999998</v>
      </c>
      <c r="L5908" s="55">
        <v>-1.41038</v>
      </c>
      <c r="M5908" s="55">
        <v>-0.46258320000000003</v>
      </c>
      <c r="N5908" s="55">
        <v>-0.1348712</v>
      </c>
    </row>
    <row r="5909" spans="1:14" hidden="1" x14ac:dyDescent="0.35">
      <c r="A5909" s="52" t="s">
        <v>722</v>
      </c>
      <c r="B5909" s="52" t="s">
        <v>858</v>
      </c>
      <c r="C5909" s="52" t="s">
        <v>859</v>
      </c>
      <c r="D5909" s="52" t="s">
        <v>859</v>
      </c>
      <c r="E5909" s="52" t="s">
        <v>584</v>
      </c>
      <c r="F5909" s="52" t="s">
        <v>581</v>
      </c>
      <c r="G5909" s="55" t="s">
        <v>277</v>
      </c>
      <c r="H5909" s="55"/>
      <c r="I5909" s="55">
        <v>0</v>
      </c>
      <c r="J5909" s="55">
        <v>0.21653359999999999</v>
      </c>
      <c r="K5909" s="55">
        <v>0</v>
      </c>
      <c r="L5909" s="55">
        <v>1.0826690000000001</v>
      </c>
      <c r="M5909" s="55">
        <v>0</v>
      </c>
      <c r="N5909" s="55"/>
    </row>
    <row r="5910" spans="1:14" hidden="1" x14ac:dyDescent="0.35">
      <c r="A5910" s="52" t="s">
        <v>722</v>
      </c>
      <c r="B5910" s="52" t="s">
        <v>858</v>
      </c>
      <c r="C5910" s="52" t="s">
        <v>859</v>
      </c>
      <c r="D5910" s="52" t="s">
        <v>859</v>
      </c>
      <c r="E5910" s="52" t="s">
        <v>584</v>
      </c>
      <c r="F5910" s="52" t="s">
        <v>581</v>
      </c>
      <c r="G5910" s="55" t="s">
        <v>278</v>
      </c>
      <c r="H5910" s="55">
        <v>0.32771119999999998</v>
      </c>
      <c r="I5910" s="55">
        <v>0.32771119999999998</v>
      </c>
      <c r="J5910" s="55">
        <v>54.416620000000002</v>
      </c>
      <c r="K5910" s="55">
        <v>0.32771119999999998</v>
      </c>
      <c r="L5910" s="55">
        <v>0.32771119999999998</v>
      </c>
      <c r="M5910" s="55">
        <v>0.32771119999999998</v>
      </c>
      <c r="N5910" s="55">
        <v>0</v>
      </c>
    </row>
    <row r="5911" spans="1:14" hidden="1" x14ac:dyDescent="0.35">
      <c r="A5911" s="52" t="s">
        <v>722</v>
      </c>
      <c r="B5911" s="52" t="s">
        <v>858</v>
      </c>
      <c r="C5911" s="52" t="s">
        <v>859</v>
      </c>
      <c r="D5911" s="52" t="s">
        <v>859</v>
      </c>
      <c r="E5911" s="52" t="s">
        <v>584</v>
      </c>
      <c r="F5911" s="52" t="s">
        <v>581</v>
      </c>
      <c r="G5911" s="55" t="s">
        <v>279</v>
      </c>
      <c r="H5911" s="55"/>
      <c r="I5911" s="55"/>
      <c r="J5911" s="55"/>
      <c r="K5911" s="55"/>
      <c r="L5911" s="55">
        <v>0</v>
      </c>
      <c r="M5911" s="55">
        <v>0.1348712</v>
      </c>
      <c r="N5911" s="55">
        <v>0.1348712</v>
      </c>
    </row>
    <row r="5912" spans="1:14" hidden="1" x14ac:dyDescent="0.35">
      <c r="A5912" s="52" t="s">
        <v>722</v>
      </c>
      <c r="B5912" s="52" t="s">
        <v>858</v>
      </c>
      <c r="C5912" s="52" t="s">
        <v>859</v>
      </c>
      <c r="D5912" s="52" t="s">
        <v>859</v>
      </c>
      <c r="E5912" s="52" t="s">
        <v>584</v>
      </c>
      <c r="F5912" s="52" t="s">
        <v>26</v>
      </c>
      <c r="G5912" s="55" t="s">
        <v>275</v>
      </c>
      <c r="H5912" s="55"/>
      <c r="I5912" s="55"/>
      <c r="J5912" s="55"/>
      <c r="K5912" s="55"/>
      <c r="L5912" s="55">
        <v>0</v>
      </c>
      <c r="M5912" s="55">
        <v>0</v>
      </c>
      <c r="N5912" s="55">
        <v>0</v>
      </c>
    </row>
    <row r="5913" spans="1:14" hidden="1" x14ac:dyDescent="0.35">
      <c r="A5913" s="52" t="s">
        <v>722</v>
      </c>
      <c r="B5913" s="52" t="s">
        <v>858</v>
      </c>
      <c r="C5913" s="52" t="s">
        <v>859</v>
      </c>
      <c r="D5913" s="52" t="s">
        <v>859</v>
      </c>
      <c r="E5913" s="52" t="s">
        <v>584</v>
      </c>
      <c r="F5913" s="52" t="s">
        <v>26</v>
      </c>
      <c r="G5913" s="55" t="s">
        <v>276</v>
      </c>
      <c r="H5913" s="55"/>
      <c r="I5913" s="55"/>
      <c r="J5913" s="55"/>
      <c r="K5913" s="55"/>
      <c r="L5913" s="55">
        <v>0</v>
      </c>
      <c r="M5913" s="55">
        <v>-4.8394399999999997E-2</v>
      </c>
      <c r="N5913" s="55">
        <v>-4.8394399999999997E-2</v>
      </c>
    </row>
    <row r="5914" spans="1:14" hidden="1" x14ac:dyDescent="0.35">
      <c r="A5914" s="52" t="s">
        <v>722</v>
      </c>
      <c r="B5914" s="52" t="s">
        <v>858</v>
      </c>
      <c r="C5914" s="52" t="s">
        <v>859</v>
      </c>
      <c r="D5914" s="52" t="s">
        <v>859</v>
      </c>
      <c r="E5914" s="52" t="s">
        <v>584</v>
      </c>
      <c r="F5914" s="52" t="s">
        <v>26</v>
      </c>
      <c r="G5914" s="55" t="s">
        <v>279</v>
      </c>
      <c r="H5914" s="55"/>
      <c r="I5914" s="55"/>
      <c r="J5914" s="55"/>
      <c r="K5914" s="55"/>
      <c r="L5914" s="55">
        <v>0</v>
      </c>
      <c r="M5914" s="55">
        <v>4.8394399999999997E-2</v>
      </c>
      <c r="N5914" s="55">
        <v>4.8394399999999997E-2</v>
      </c>
    </row>
    <row r="5915" spans="1:14" hidden="1" x14ac:dyDescent="0.35">
      <c r="A5915" s="52" t="s">
        <v>722</v>
      </c>
      <c r="B5915" s="52" t="s">
        <v>860</v>
      </c>
      <c r="C5915" s="52" t="s">
        <v>854</v>
      </c>
      <c r="D5915" s="52" t="s">
        <v>854</v>
      </c>
      <c r="E5915" s="52" t="s">
        <v>584</v>
      </c>
      <c r="F5915" s="52" t="s">
        <v>581</v>
      </c>
      <c r="G5915" s="55" t="s">
        <v>275</v>
      </c>
      <c r="H5915" s="55">
        <v>-0.1236975</v>
      </c>
      <c r="I5915" s="55">
        <v>-0.1236976</v>
      </c>
      <c r="J5915" s="55">
        <v>0</v>
      </c>
      <c r="K5915" s="55">
        <v>0</v>
      </c>
      <c r="L5915" s="55">
        <v>0</v>
      </c>
      <c r="M5915" s="55">
        <v>0</v>
      </c>
      <c r="N5915" s="55">
        <v>0</v>
      </c>
    </row>
    <row r="5916" spans="1:14" hidden="1" x14ac:dyDescent="0.35">
      <c r="A5916" s="52" t="s">
        <v>722</v>
      </c>
      <c r="B5916" s="52" t="s">
        <v>860</v>
      </c>
      <c r="C5916" s="52" t="s">
        <v>854</v>
      </c>
      <c r="D5916" s="52" t="s">
        <v>854</v>
      </c>
      <c r="E5916" s="52" t="s">
        <v>584</v>
      </c>
      <c r="F5916" s="52" t="s">
        <v>581</v>
      </c>
      <c r="G5916" s="55" t="s">
        <v>276</v>
      </c>
      <c r="H5916" s="55"/>
      <c r="I5916" s="55"/>
      <c r="J5916" s="55">
        <v>-0.46486759999999999</v>
      </c>
      <c r="K5916" s="55">
        <v>-3.3780119999999997E-2</v>
      </c>
      <c r="L5916" s="55">
        <v>-3.3780119999999997E-2</v>
      </c>
      <c r="M5916" s="55">
        <v>-3.3780119999999997E-2</v>
      </c>
      <c r="N5916" s="55">
        <v>-3.3780119999999997E-2</v>
      </c>
    </row>
    <row r="5917" spans="1:14" hidden="1" x14ac:dyDescent="0.35">
      <c r="A5917" s="52" t="s">
        <v>722</v>
      </c>
      <c r="B5917" s="52" t="s">
        <v>860</v>
      </c>
      <c r="C5917" s="52" t="s">
        <v>854</v>
      </c>
      <c r="D5917" s="52" t="s">
        <v>854</v>
      </c>
      <c r="E5917" s="52" t="s">
        <v>584</v>
      </c>
      <c r="F5917" s="52" t="s">
        <v>581</v>
      </c>
      <c r="G5917" s="55" t="s">
        <v>278</v>
      </c>
      <c r="H5917" s="55">
        <v>0.1236976</v>
      </c>
      <c r="I5917" s="55">
        <v>0.1236976</v>
      </c>
      <c r="J5917" s="55">
        <v>0.46486749999999999</v>
      </c>
      <c r="K5917" s="55">
        <v>3.3780119999999997E-2</v>
      </c>
      <c r="L5917" s="55">
        <v>3.3780119999999997E-2</v>
      </c>
      <c r="M5917" s="55">
        <v>3.3780119999999997E-2</v>
      </c>
      <c r="N5917" s="55">
        <v>3.3780119999999997E-2</v>
      </c>
    </row>
    <row r="5918" spans="1:14" hidden="1" x14ac:dyDescent="0.35">
      <c r="A5918" s="52" t="s">
        <v>722</v>
      </c>
      <c r="B5918" s="52" t="s">
        <v>860</v>
      </c>
      <c r="C5918" s="52" t="s">
        <v>854</v>
      </c>
      <c r="D5918" s="52" t="s">
        <v>854</v>
      </c>
      <c r="E5918" s="52" t="s">
        <v>584</v>
      </c>
      <c r="F5918" s="52" t="s">
        <v>581</v>
      </c>
      <c r="G5918" s="55" t="s">
        <v>279</v>
      </c>
      <c r="H5918" s="55"/>
      <c r="I5918" s="55"/>
      <c r="J5918" s="55"/>
      <c r="K5918" s="55"/>
      <c r="L5918" s="55"/>
      <c r="M5918" s="55"/>
      <c r="N5918" s="55">
        <v>0</v>
      </c>
    </row>
    <row r="5919" spans="1:14" hidden="1" x14ac:dyDescent="0.35">
      <c r="A5919" s="52" t="s">
        <v>722</v>
      </c>
      <c r="B5919" s="52" t="s">
        <v>860</v>
      </c>
      <c r="C5919" s="52" t="s">
        <v>854</v>
      </c>
      <c r="D5919" s="52" t="s">
        <v>854</v>
      </c>
      <c r="E5919" s="52" t="s">
        <v>584</v>
      </c>
      <c r="F5919" s="52" t="s">
        <v>26</v>
      </c>
      <c r="G5919" s="55" t="s">
        <v>275</v>
      </c>
      <c r="H5919" s="55"/>
      <c r="I5919" s="55"/>
      <c r="J5919" s="55"/>
      <c r="K5919" s="55"/>
      <c r="L5919" s="55"/>
      <c r="M5919" s="55"/>
      <c r="N5919" s="55">
        <v>0</v>
      </c>
    </row>
    <row r="5920" spans="1:14" hidden="1" x14ac:dyDescent="0.35">
      <c r="A5920" s="52" t="s">
        <v>722</v>
      </c>
      <c r="B5920" s="52" t="s">
        <v>860</v>
      </c>
      <c r="C5920" s="52" t="s">
        <v>854</v>
      </c>
      <c r="D5920" s="52" t="s">
        <v>854</v>
      </c>
      <c r="E5920" s="52" t="s">
        <v>584</v>
      </c>
      <c r="F5920" s="52" t="s">
        <v>26</v>
      </c>
      <c r="G5920" s="55" t="s">
        <v>276</v>
      </c>
      <c r="H5920" s="55"/>
      <c r="I5920" s="55"/>
      <c r="J5920" s="55"/>
      <c r="K5920" s="55"/>
      <c r="L5920" s="55"/>
      <c r="M5920" s="55"/>
      <c r="N5920" s="55">
        <v>0</v>
      </c>
    </row>
    <row r="5921" spans="1:14" hidden="1" x14ac:dyDescent="0.35">
      <c r="A5921" s="52" t="s">
        <v>722</v>
      </c>
      <c r="B5921" s="52" t="s">
        <v>860</v>
      </c>
      <c r="C5921" s="52" t="s">
        <v>854</v>
      </c>
      <c r="D5921" s="52" t="s">
        <v>854</v>
      </c>
      <c r="E5921" s="52" t="s">
        <v>584</v>
      </c>
      <c r="F5921" s="52" t="s">
        <v>26</v>
      </c>
      <c r="G5921" s="55" t="s">
        <v>279</v>
      </c>
      <c r="H5921" s="55"/>
      <c r="I5921" s="55"/>
      <c r="J5921" s="55"/>
      <c r="K5921" s="55"/>
      <c r="L5921" s="55"/>
      <c r="M5921" s="55"/>
      <c r="N5921" s="55">
        <v>0</v>
      </c>
    </row>
    <row r="5922" spans="1:14" hidden="1" x14ac:dyDescent="0.35">
      <c r="A5922" s="52" t="s">
        <v>722</v>
      </c>
      <c r="B5922" s="52" t="s">
        <v>860</v>
      </c>
      <c r="C5922" s="52" t="s">
        <v>861</v>
      </c>
      <c r="D5922" s="52" t="s">
        <v>861</v>
      </c>
      <c r="E5922" s="52" t="s">
        <v>584</v>
      </c>
      <c r="F5922" s="52" t="s">
        <v>581</v>
      </c>
      <c r="G5922" s="55" t="s">
        <v>275</v>
      </c>
      <c r="H5922" s="55">
        <v>-28.85352</v>
      </c>
      <c r="I5922" s="55">
        <v>-4.4836169999999997</v>
      </c>
      <c r="J5922" s="55">
        <v>-4.8253349999999999</v>
      </c>
      <c r="K5922" s="55">
        <v>-10.63503</v>
      </c>
      <c r="L5922" s="55">
        <v>-52.868670000000002</v>
      </c>
      <c r="M5922" s="55">
        <v>-205.17920000000001</v>
      </c>
      <c r="N5922" s="55">
        <v>-246.17570000000001</v>
      </c>
    </row>
    <row r="5923" spans="1:14" hidden="1" x14ac:dyDescent="0.35">
      <c r="A5923" s="52" t="s">
        <v>722</v>
      </c>
      <c r="B5923" s="52" t="s">
        <v>860</v>
      </c>
      <c r="C5923" s="52" t="s">
        <v>861</v>
      </c>
      <c r="D5923" s="52" t="s">
        <v>861</v>
      </c>
      <c r="E5923" s="52" t="s">
        <v>584</v>
      </c>
      <c r="F5923" s="52" t="s">
        <v>581</v>
      </c>
      <c r="G5923" s="55" t="s">
        <v>277</v>
      </c>
      <c r="H5923" s="55">
        <v>28.23499</v>
      </c>
      <c r="I5923" s="55">
        <v>3.8650880000000001</v>
      </c>
      <c r="J5923" s="55">
        <v>4.2510000000000003</v>
      </c>
      <c r="K5923" s="55">
        <v>10.060700000000001</v>
      </c>
      <c r="L5923" s="55">
        <v>52.294339999999998</v>
      </c>
      <c r="M5923" s="55">
        <v>204.9341</v>
      </c>
      <c r="N5923" s="55">
        <v>245.96690000000001</v>
      </c>
    </row>
    <row r="5924" spans="1:14" hidden="1" x14ac:dyDescent="0.35">
      <c r="A5924" s="52" t="s">
        <v>722</v>
      </c>
      <c r="B5924" s="52" t="s">
        <v>860</v>
      </c>
      <c r="C5924" s="52" t="s">
        <v>861</v>
      </c>
      <c r="D5924" s="52" t="s">
        <v>861</v>
      </c>
      <c r="E5924" s="52" t="s">
        <v>584</v>
      </c>
      <c r="F5924" s="52" t="s">
        <v>581</v>
      </c>
      <c r="G5924" s="55" t="s">
        <v>278</v>
      </c>
      <c r="H5924" s="55">
        <v>0.61852960000000001</v>
      </c>
      <c r="I5924" s="55">
        <v>0.61852960000000001</v>
      </c>
      <c r="J5924" s="55">
        <v>0.57433489999999998</v>
      </c>
      <c r="K5924" s="55">
        <v>0.57433489999999998</v>
      </c>
      <c r="L5924" s="55">
        <v>0.57433489999999998</v>
      </c>
      <c r="M5924" s="55">
        <v>0.2450833</v>
      </c>
      <c r="N5924" s="55">
        <v>0.20879310000000001</v>
      </c>
    </row>
    <row r="5925" spans="1:14" hidden="1" x14ac:dyDescent="0.35">
      <c r="A5925" s="52" t="s">
        <v>722</v>
      </c>
      <c r="B5925" s="52" t="s">
        <v>860</v>
      </c>
      <c r="C5925" s="52" t="s">
        <v>861</v>
      </c>
      <c r="D5925" s="52" t="s">
        <v>861</v>
      </c>
      <c r="E5925" s="52" t="s">
        <v>584</v>
      </c>
      <c r="F5925" s="52" t="s">
        <v>581</v>
      </c>
      <c r="G5925" s="55" t="s">
        <v>279</v>
      </c>
      <c r="H5925" s="55"/>
      <c r="I5925" s="55"/>
      <c r="J5925" s="55"/>
      <c r="K5925" s="55"/>
      <c r="L5925" s="55"/>
      <c r="M5925" s="55"/>
      <c r="N5925" s="55">
        <v>0</v>
      </c>
    </row>
    <row r="5926" spans="1:14" hidden="1" x14ac:dyDescent="0.35">
      <c r="A5926" s="52" t="s">
        <v>722</v>
      </c>
      <c r="B5926" s="52" t="s">
        <v>860</v>
      </c>
      <c r="C5926" s="52" t="s">
        <v>861</v>
      </c>
      <c r="D5926" s="52" t="s">
        <v>861</v>
      </c>
      <c r="E5926" s="52" t="s">
        <v>584</v>
      </c>
      <c r="F5926" s="52" t="s">
        <v>26</v>
      </c>
      <c r="G5926" s="55" t="s">
        <v>275</v>
      </c>
      <c r="H5926" s="55"/>
      <c r="I5926" s="55"/>
      <c r="J5926" s="55">
        <v>0</v>
      </c>
      <c r="K5926" s="55">
        <v>0</v>
      </c>
      <c r="L5926" s="55">
        <v>0</v>
      </c>
      <c r="M5926" s="55">
        <v>0</v>
      </c>
      <c r="N5926" s="55">
        <v>0</v>
      </c>
    </row>
    <row r="5927" spans="1:14" hidden="1" x14ac:dyDescent="0.35">
      <c r="A5927" s="52" t="s">
        <v>722</v>
      </c>
      <c r="B5927" s="52" t="s">
        <v>860</v>
      </c>
      <c r="C5927" s="52" t="s">
        <v>861</v>
      </c>
      <c r="D5927" s="52" t="s">
        <v>861</v>
      </c>
      <c r="E5927" s="52" t="s">
        <v>584</v>
      </c>
      <c r="F5927" s="52" t="s">
        <v>26</v>
      </c>
      <c r="G5927" s="55" t="s">
        <v>278</v>
      </c>
      <c r="H5927" s="55"/>
      <c r="I5927" s="55"/>
      <c r="J5927" s="55">
        <v>0</v>
      </c>
      <c r="K5927" s="55">
        <v>0</v>
      </c>
      <c r="L5927" s="55">
        <v>0</v>
      </c>
      <c r="M5927" s="55">
        <v>0</v>
      </c>
      <c r="N5927" s="55">
        <v>0</v>
      </c>
    </row>
    <row r="5928" spans="1:14" hidden="1" x14ac:dyDescent="0.35">
      <c r="A5928" s="52" t="s">
        <v>722</v>
      </c>
      <c r="B5928" s="52" t="s">
        <v>102</v>
      </c>
      <c r="C5928" s="52" t="s">
        <v>102</v>
      </c>
      <c r="D5928" s="52" t="s">
        <v>102</v>
      </c>
      <c r="E5928" s="52" t="s">
        <v>584</v>
      </c>
      <c r="F5928" s="52" t="s">
        <v>581</v>
      </c>
      <c r="G5928" s="55" t="s">
        <v>275</v>
      </c>
      <c r="H5928" s="55">
        <v>-93.881550000000004</v>
      </c>
      <c r="I5928" s="55">
        <v>-4.5080809999999998</v>
      </c>
      <c r="J5928" s="55">
        <v>0</v>
      </c>
      <c r="K5928" s="55">
        <v>0</v>
      </c>
      <c r="L5928" s="55">
        <v>0</v>
      </c>
      <c r="M5928" s="55">
        <v>0</v>
      </c>
      <c r="N5928" s="55">
        <v>0</v>
      </c>
    </row>
    <row r="5929" spans="1:14" hidden="1" x14ac:dyDescent="0.35">
      <c r="A5929" s="52" t="s">
        <v>722</v>
      </c>
      <c r="B5929" s="52" t="s">
        <v>102</v>
      </c>
      <c r="C5929" s="52" t="s">
        <v>102</v>
      </c>
      <c r="D5929" s="52" t="s">
        <v>102</v>
      </c>
      <c r="E5929" s="52" t="s">
        <v>584</v>
      </c>
      <c r="F5929" s="52" t="s">
        <v>581</v>
      </c>
      <c r="G5929" s="55" t="s">
        <v>276</v>
      </c>
      <c r="H5929" s="55"/>
      <c r="I5929" s="55"/>
      <c r="J5929" s="55">
        <v>-4.2677849999999999</v>
      </c>
      <c r="K5929" s="55">
        <v>-38.572479999999999</v>
      </c>
      <c r="L5929" s="55">
        <v>-4.3321759999999996</v>
      </c>
      <c r="M5929" s="55">
        <v>-1.64253</v>
      </c>
      <c r="N5929" s="55">
        <v>-1.319599</v>
      </c>
    </row>
    <row r="5930" spans="1:14" hidden="1" x14ac:dyDescent="0.35">
      <c r="A5930" s="52" t="s">
        <v>722</v>
      </c>
      <c r="B5930" s="52" t="s">
        <v>102</v>
      </c>
      <c r="C5930" s="52" t="s">
        <v>102</v>
      </c>
      <c r="D5930" s="52" t="s">
        <v>102</v>
      </c>
      <c r="E5930" s="52" t="s">
        <v>584</v>
      </c>
      <c r="F5930" s="52" t="s">
        <v>581</v>
      </c>
      <c r="G5930" s="55" t="s">
        <v>277</v>
      </c>
      <c r="H5930" s="55"/>
      <c r="I5930" s="55"/>
      <c r="J5930" s="55"/>
      <c r="K5930" s="55"/>
      <c r="L5930" s="55"/>
      <c r="M5930" s="55">
        <v>0</v>
      </c>
      <c r="N5930" s="55">
        <v>2.0718750000000001E-2</v>
      </c>
    </row>
    <row r="5931" spans="1:14" hidden="1" x14ac:dyDescent="0.35">
      <c r="A5931" s="52" t="s">
        <v>722</v>
      </c>
      <c r="B5931" s="52" t="s">
        <v>102</v>
      </c>
      <c r="C5931" s="52" t="s">
        <v>102</v>
      </c>
      <c r="D5931" s="52" t="s">
        <v>102</v>
      </c>
      <c r="E5931" s="52" t="s">
        <v>584</v>
      </c>
      <c r="F5931" s="52" t="s">
        <v>581</v>
      </c>
      <c r="G5931" s="55" t="s">
        <v>278</v>
      </c>
      <c r="H5931" s="55">
        <v>93.881550000000004</v>
      </c>
      <c r="I5931" s="55">
        <v>4.5080809999999998</v>
      </c>
      <c r="J5931" s="55">
        <v>4.2677860000000001</v>
      </c>
      <c r="K5931" s="55">
        <v>38.572470000000003</v>
      </c>
      <c r="L5931" s="55">
        <v>4.3321750000000003</v>
      </c>
      <c r="M5931" s="55">
        <v>1.642531</v>
      </c>
      <c r="N5931" s="55">
        <v>1.29888</v>
      </c>
    </row>
    <row r="5932" spans="1:14" hidden="1" x14ac:dyDescent="0.35">
      <c r="A5932" s="52" t="s">
        <v>696</v>
      </c>
      <c r="B5932" s="52" t="s">
        <v>34</v>
      </c>
      <c r="C5932" s="52" t="s">
        <v>230</v>
      </c>
      <c r="D5932" s="52" t="s">
        <v>230</v>
      </c>
      <c r="E5932" s="52" t="s">
        <v>697</v>
      </c>
      <c r="F5932" s="52" t="s">
        <v>581</v>
      </c>
      <c r="G5932" s="55" t="s">
        <v>275</v>
      </c>
      <c r="H5932" s="55">
        <v>110.6067</v>
      </c>
      <c r="I5932" s="55">
        <v>24.151720000000001</v>
      </c>
      <c r="J5932" s="55">
        <v>72.212010000000006</v>
      </c>
      <c r="K5932" s="55">
        <v>60.165649999999999</v>
      </c>
      <c r="L5932" s="55">
        <v>52.189300000000003</v>
      </c>
      <c r="M5932" s="55">
        <v>56.276620000000001</v>
      </c>
      <c r="N5932" s="55">
        <v>46.884990000000002</v>
      </c>
    </row>
    <row r="5933" spans="1:14" hidden="1" x14ac:dyDescent="0.35">
      <c r="A5933" s="52" t="s">
        <v>696</v>
      </c>
      <c r="B5933" s="52" t="s">
        <v>34</v>
      </c>
      <c r="C5933" s="52" t="s">
        <v>230</v>
      </c>
      <c r="D5933" s="52" t="s">
        <v>230</v>
      </c>
      <c r="E5933" s="52" t="s">
        <v>697</v>
      </c>
      <c r="F5933" s="52" t="s">
        <v>581</v>
      </c>
      <c r="G5933" s="55" t="s">
        <v>276</v>
      </c>
      <c r="H5933" s="55">
        <v>-4.8924529999999997</v>
      </c>
      <c r="I5933" s="55">
        <v>-69.479150000000004</v>
      </c>
      <c r="J5933" s="55">
        <v>-33.545490000000001</v>
      </c>
      <c r="K5933" s="55">
        <v>-13.47913</v>
      </c>
      <c r="L5933" s="55">
        <v>8.7342259999999996</v>
      </c>
      <c r="M5933" s="55">
        <v>10.14498</v>
      </c>
      <c r="N5933" s="55">
        <v>11.426550000000001</v>
      </c>
    </row>
    <row r="5934" spans="1:14" hidden="1" x14ac:dyDescent="0.35">
      <c r="A5934" s="52" t="s">
        <v>696</v>
      </c>
      <c r="B5934" s="52" t="s">
        <v>34</v>
      </c>
      <c r="C5934" s="52" t="s">
        <v>230</v>
      </c>
      <c r="D5934" s="52" t="s">
        <v>230</v>
      </c>
      <c r="E5934" s="52" t="s">
        <v>697</v>
      </c>
      <c r="F5934" s="52" t="s">
        <v>581</v>
      </c>
      <c r="G5934" s="55" t="s">
        <v>277</v>
      </c>
      <c r="H5934" s="55">
        <v>249.91069999999999</v>
      </c>
      <c r="I5934" s="55">
        <v>91.831819999999993</v>
      </c>
      <c r="J5934" s="55">
        <v>35.827030000000001</v>
      </c>
      <c r="K5934" s="55">
        <v>16.771930000000001</v>
      </c>
      <c r="L5934" s="55">
        <v>17.876460000000002</v>
      </c>
      <c r="M5934" s="55">
        <v>0.29253879999999999</v>
      </c>
      <c r="N5934" s="55">
        <v>0</v>
      </c>
    </row>
    <row r="5935" spans="1:14" hidden="1" x14ac:dyDescent="0.35">
      <c r="A5935" s="52" t="s">
        <v>696</v>
      </c>
      <c r="B5935" s="52" t="s">
        <v>34</v>
      </c>
      <c r="C5935" s="52" t="s">
        <v>230</v>
      </c>
      <c r="D5935" s="52" t="s">
        <v>230</v>
      </c>
      <c r="E5935" s="52" t="s">
        <v>697</v>
      </c>
      <c r="F5935" s="52" t="s">
        <v>581</v>
      </c>
      <c r="G5935" s="55" t="s">
        <v>278</v>
      </c>
      <c r="H5935" s="55">
        <v>52.076270000000001</v>
      </c>
      <c r="I5935" s="55">
        <v>36.436259999999997</v>
      </c>
      <c r="J5935" s="55">
        <v>16.789950000000001</v>
      </c>
      <c r="K5935" s="55">
        <v>15.122680000000001</v>
      </c>
      <c r="L5935" s="55">
        <v>14.67859</v>
      </c>
      <c r="M5935" s="55">
        <v>0</v>
      </c>
      <c r="N5935" s="55">
        <v>0</v>
      </c>
    </row>
    <row r="5936" spans="1:14" hidden="1" x14ac:dyDescent="0.35">
      <c r="A5936" s="52" t="s">
        <v>696</v>
      </c>
      <c r="B5936" s="52" t="s">
        <v>34</v>
      </c>
      <c r="C5936" s="52" t="s">
        <v>230</v>
      </c>
      <c r="D5936" s="52" t="s">
        <v>230</v>
      </c>
      <c r="E5936" s="52" t="s">
        <v>697</v>
      </c>
      <c r="F5936" s="52" t="s">
        <v>581</v>
      </c>
      <c r="G5936" s="55" t="s">
        <v>279</v>
      </c>
      <c r="H5936" s="55">
        <v>236.9795</v>
      </c>
      <c r="I5936" s="55">
        <v>228.6747</v>
      </c>
      <c r="J5936" s="55">
        <v>198.09549999999999</v>
      </c>
      <c r="K5936" s="55">
        <v>173.1138</v>
      </c>
      <c r="L5936" s="55">
        <v>142.7045</v>
      </c>
      <c r="M5936" s="55">
        <v>132.40309999999999</v>
      </c>
      <c r="N5936" s="55">
        <v>114.84650000000001</v>
      </c>
    </row>
    <row r="5937" spans="1:14" hidden="1" x14ac:dyDescent="0.35">
      <c r="A5937" s="52" t="s">
        <v>696</v>
      </c>
      <c r="B5937" s="52" t="s">
        <v>34</v>
      </c>
      <c r="C5937" s="52" t="s">
        <v>230</v>
      </c>
      <c r="D5937" s="52" t="s">
        <v>230</v>
      </c>
      <c r="E5937" s="52" t="s">
        <v>697</v>
      </c>
      <c r="F5937" s="52" t="s">
        <v>26</v>
      </c>
      <c r="G5937" s="55" t="s">
        <v>275</v>
      </c>
      <c r="H5937" s="55">
        <v>-3.1130490000000002</v>
      </c>
      <c r="I5937" s="55">
        <v>-5.4653140000000002</v>
      </c>
      <c r="J5937" s="55">
        <v>-3.5307680000000001</v>
      </c>
      <c r="K5937" s="55">
        <v>-3.2125249999999999</v>
      </c>
      <c r="L5937" s="55">
        <v>-1.808163</v>
      </c>
      <c r="M5937" s="55">
        <v>-2.1608610000000001</v>
      </c>
      <c r="N5937" s="55">
        <v>-1.8780730000000001</v>
      </c>
    </row>
    <row r="5938" spans="1:14" hidden="1" x14ac:dyDescent="0.35">
      <c r="A5938" s="52" t="s">
        <v>696</v>
      </c>
      <c r="B5938" s="52" t="s">
        <v>34</v>
      </c>
      <c r="C5938" s="52" t="s">
        <v>230</v>
      </c>
      <c r="D5938" s="52" t="s">
        <v>230</v>
      </c>
      <c r="E5938" s="52" t="s">
        <v>697</v>
      </c>
      <c r="F5938" s="52" t="s">
        <v>26</v>
      </c>
      <c r="G5938" s="55" t="s">
        <v>276</v>
      </c>
      <c r="H5938" s="55">
        <v>-1.1359360000000001</v>
      </c>
      <c r="I5938" s="55">
        <v>-2.0111400000000001</v>
      </c>
      <c r="J5938" s="55">
        <v>-1.294521</v>
      </c>
      <c r="K5938" s="55">
        <v>-1.1781630000000001</v>
      </c>
      <c r="L5938" s="55">
        <v>-0.65946720000000003</v>
      </c>
      <c r="M5938" s="55">
        <v>-0.79015619999999998</v>
      </c>
      <c r="N5938" s="55">
        <v>-0.68682080000000001</v>
      </c>
    </row>
    <row r="5939" spans="1:14" hidden="1" x14ac:dyDescent="0.35">
      <c r="A5939" s="52" t="s">
        <v>696</v>
      </c>
      <c r="B5939" s="52" t="s">
        <v>34</v>
      </c>
      <c r="C5939" s="52" t="s">
        <v>230</v>
      </c>
      <c r="D5939" s="52" t="s">
        <v>230</v>
      </c>
      <c r="E5939" s="52" t="s">
        <v>697</v>
      </c>
      <c r="F5939" s="52" t="s">
        <v>26</v>
      </c>
      <c r="G5939" s="55" t="s">
        <v>279</v>
      </c>
      <c r="H5939" s="55">
        <v>28.266719999999999</v>
      </c>
      <c r="I5939" s="55">
        <v>27.402049999999999</v>
      </c>
      <c r="J5939" s="55">
        <v>23.95561</v>
      </c>
      <c r="K5939" s="55">
        <v>21.175070000000002</v>
      </c>
      <c r="L5939" s="55">
        <v>18.043240000000001</v>
      </c>
      <c r="M5939" s="55">
        <v>16.11673</v>
      </c>
      <c r="N5939" s="55">
        <v>13.988</v>
      </c>
    </row>
    <row r="5940" spans="1:14" hidden="1" x14ac:dyDescent="0.35">
      <c r="A5940" s="52" t="s">
        <v>696</v>
      </c>
      <c r="B5940" s="52" t="s">
        <v>34</v>
      </c>
      <c r="C5940" s="52" t="s">
        <v>230</v>
      </c>
      <c r="D5940" s="52" t="s">
        <v>230</v>
      </c>
      <c r="E5940" s="52" t="s">
        <v>584</v>
      </c>
      <c r="F5940" s="52" t="s">
        <v>581</v>
      </c>
      <c r="G5940" s="55" t="s">
        <v>275</v>
      </c>
      <c r="H5940" s="55">
        <v>136.00399999999999</v>
      </c>
      <c r="I5940" s="55">
        <v>-21.865130000000001</v>
      </c>
      <c r="J5940" s="55">
        <v>-15.149480000000001</v>
      </c>
      <c r="K5940" s="55">
        <v>-16.219519999999999</v>
      </c>
      <c r="L5940" s="55">
        <v>-16.167120000000001</v>
      </c>
      <c r="M5940" s="55">
        <v>-3.0632229999999998</v>
      </c>
      <c r="N5940" s="55">
        <v>8.3914279999999994E-2</v>
      </c>
    </row>
    <row r="5941" spans="1:14" hidden="1" x14ac:dyDescent="0.35">
      <c r="A5941" s="52" t="s">
        <v>696</v>
      </c>
      <c r="B5941" s="52" t="s">
        <v>34</v>
      </c>
      <c r="C5941" s="52" t="s">
        <v>230</v>
      </c>
      <c r="D5941" s="52" t="s">
        <v>230</v>
      </c>
      <c r="E5941" s="52" t="s">
        <v>584</v>
      </c>
      <c r="F5941" s="52" t="s">
        <v>581</v>
      </c>
      <c r="G5941" s="55" t="s">
        <v>276</v>
      </c>
      <c r="H5941" s="55">
        <v>51.450510000000001</v>
      </c>
      <c r="I5941" s="55">
        <v>-5.1367339999999997</v>
      </c>
      <c r="J5941" s="55">
        <v>-4.583704</v>
      </c>
      <c r="K5941" s="55">
        <v>-5.5816990000000004</v>
      </c>
      <c r="L5941" s="55">
        <v>-6.6093250000000001</v>
      </c>
      <c r="M5941" s="55">
        <v>-2.7458629999999999</v>
      </c>
      <c r="N5941" s="55">
        <v>-1.8841619999999999</v>
      </c>
    </row>
    <row r="5942" spans="1:14" hidden="1" x14ac:dyDescent="0.35">
      <c r="A5942" s="52" t="s">
        <v>696</v>
      </c>
      <c r="B5942" s="52" t="s">
        <v>34</v>
      </c>
      <c r="C5942" s="52" t="s">
        <v>230</v>
      </c>
      <c r="D5942" s="52" t="s">
        <v>230</v>
      </c>
      <c r="E5942" s="52" t="s">
        <v>584</v>
      </c>
      <c r="F5942" s="52" t="s">
        <v>581</v>
      </c>
      <c r="G5942" s="55" t="s">
        <v>277</v>
      </c>
      <c r="H5942" s="55">
        <v>73.820520000000002</v>
      </c>
      <c r="I5942" s="55">
        <v>82.982730000000004</v>
      </c>
      <c r="J5942" s="55">
        <v>77.395160000000004</v>
      </c>
      <c r="K5942" s="55">
        <v>71.884450000000001</v>
      </c>
      <c r="L5942" s="55">
        <v>65.409589999999994</v>
      </c>
      <c r="M5942" s="55">
        <v>58.869489999999999</v>
      </c>
      <c r="N5942" s="55">
        <v>52.603990000000003</v>
      </c>
    </row>
    <row r="5943" spans="1:14" hidden="1" x14ac:dyDescent="0.35">
      <c r="A5943" s="52" t="s">
        <v>696</v>
      </c>
      <c r="B5943" s="52" t="s">
        <v>34</v>
      </c>
      <c r="C5943" s="52" t="s">
        <v>230</v>
      </c>
      <c r="D5943" s="52" t="s">
        <v>230</v>
      </c>
      <c r="E5943" s="52" t="s">
        <v>584</v>
      </c>
      <c r="F5943" s="52" t="s">
        <v>581</v>
      </c>
      <c r="G5943" s="55" t="s">
        <v>279</v>
      </c>
      <c r="H5943" s="55">
        <v>145.77690000000001</v>
      </c>
      <c r="I5943" s="55">
        <v>135.29839999999999</v>
      </c>
      <c r="J5943" s="55">
        <v>122.1564</v>
      </c>
      <c r="K5943" s="55">
        <v>119.7664</v>
      </c>
      <c r="L5943" s="55">
        <v>117.1357</v>
      </c>
      <c r="M5943" s="55">
        <v>94.207899999999995</v>
      </c>
      <c r="N5943" s="55">
        <v>85.506870000000006</v>
      </c>
    </row>
    <row r="5944" spans="1:14" hidden="1" x14ac:dyDescent="0.35">
      <c r="A5944" s="52" t="s">
        <v>696</v>
      </c>
      <c r="B5944" s="52" t="s">
        <v>34</v>
      </c>
      <c r="C5944" s="52" t="s">
        <v>230</v>
      </c>
      <c r="D5944" s="52" t="s">
        <v>230</v>
      </c>
      <c r="E5944" s="52" t="s">
        <v>584</v>
      </c>
      <c r="F5944" s="52" t="s">
        <v>26</v>
      </c>
      <c r="G5944" s="55" t="s">
        <v>275</v>
      </c>
      <c r="H5944" s="55">
        <v>-3.4377439999999999</v>
      </c>
      <c r="I5944" s="55">
        <v>-3.6160130000000001</v>
      </c>
      <c r="J5944" s="55">
        <v>-2.7886950000000001</v>
      </c>
      <c r="K5944" s="55">
        <v>-2.8651080000000002</v>
      </c>
      <c r="L5944" s="55">
        <v>-2.8251979999999999</v>
      </c>
      <c r="M5944" s="55">
        <v>-1.814827</v>
      </c>
      <c r="N5944" s="55">
        <v>-1.520878</v>
      </c>
    </row>
    <row r="5945" spans="1:14" hidden="1" x14ac:dyDescent="0.35">
      <c r="A5945" s="52" t="s">
        <v>696</v>
      </c>
      <c r="B5945" s="52" t="s">
        <v>34</v>
      </c>
      <c r="C5945" s="52" t="s">
        <v>230</v>
      </c>
      <c r="D5945" s="52" t="s">
        <v>230</v>
      </c>
      <c r="E5945" s="52" t="s">
        <v>584</v>
      </c>
      <c r="F5945" s="52" t="s">
        <v>26</v>
      </c>
      <c r="G5945" s="55" t="s">
        <v>276</v>
      </c>
      <c r="H5945" s="55">
        <v>-1.244658</v>
      </c>
      <c r="I5945" s="55">
        <v>-1.271023</v>
      </c>
      <c r="J5945" s="55">
        <v>-0.9767922</v>
      </c>
      <c r="K5945" s="55">
        <v>-1.000146</v>
      </c>
      <c r="L5945" s="55">
        <v>-0.9952474</v>
      </c>
      <c r="M5945" s="55">
        <v>-0.64651119999999995</v>
      </c>
      <c r="N5945" s="55">
        <v>-0.54472609999999999</v>
      </c>
    </row>
    <row r="5946" spans="1:14" hidden="1" x14ac:dyDescent="0.35">
      <c r="A5946" s="52" t="s">
        <v>696</v>
      </c>
      <c r="B5946" s="52" t="s">
        <v>34</v>
      </c>
      <c r="C5946" s="52" t="s">
        <v>230</v>
      </c>
      <c r="D5946" s="52" t="s">
        <v>230</v>
      </c>
      <c r="E5946" s="52" t="s">
        <v>584</v>
      </c>
      <c r="F5946" s="52" t="s">
        <v>26</v>
      </c>
      <c r="G5946" s="55" t="s">
        <v>279</v>
      </c>
      <c r="H5946" s="55">
        <v>16.61824</v>
      </c>
      <c r="I5946" s="55">
        <v>12.56094</v>
      </c>
      <c r="J5946" s="55">
        <v>9.8797449999999998</v>
      </c>
      <c r="K5946" s="55">
        <v>8.7923209999999994</v>
      </c>
      <c r="L5946" s="55">
        <v>7.848992</v>
      </c>
      <c r="M5946" s="55">
        <v>5.733708</v>
      </c>
      <c r="N5946" s="55">
        <v>4.7820150000000003</v>
      </c>
    </row>
    <row r="5947" spans="1:14" hidden="1" x14ac:dyDescent="0.35">
      <c r="A5947" s="52" t="s">
        <v>696</v>
      </c>
      <c r="B5947" s="52" t="s">
        <v>34</v>
      </c>
      <c r="C5947" s="52" t="s">
        <v>230</v>
      </c>
      <c r="D5947" s="52" t="s">
        <v>230</v>
      </c>
      <c r="E5947" s="52" t="s">
        <v>698</v>
      </c>
      <c r="F5947" s="52" t="s">
        <v>581</v>
      </c>
      <c r="G5947" s="55" t="s">
        <v>275</v>
      </c>
      <c r="H5947" s="55">
        <v>47.35266</v>
      </c>
      <c r="I5947" s="55">
        <v>5.7713890000000001</v>
      </c>
      <c r="J5947" s="55">
        <v>35.733629999999998</v>
      </c>
      <c r="K5947" s="55">
        <v>38.184890000000003</v>
      </c>
      <c r="L5947" s="55">
        <v>40.08334</v>
      </c>
      <c r="M5947" s="55">
        <v>37.385649999999998</v>
      </c>
      <c r="N5947" s="55">
        <v>30.226009999999999</v>
      </c>
    </row>
    <row r="5948" spans="1:14" hidden="1" x14ac:dyDescent="0.35">
      <c r="A5948" s="52" t="s">
        <v>696</v>
      </c>
      <c r="B5948" s="52" t="s">
        <v>34</v>
      </c>
      <c r="C5948" s="52" t="s">
        <v>230</v>
      </c>
      <c r="D5948" s="52" t="s">
        <v>230</v>
      </c>
      <c r="E5948" s="52" t="s">
        <v>698</v>
      </c>
      <c r="F5948" s="52" t="s">
        <v>581</v>
      </c>
      <c r="G5948" s="55" t="s">
        <v>276</v>
      </c>
      <c r="H5948" s="55">
        <v>15.4375</v>
      </c>
      <c r="I5948" s="55">
        <v>-21.147099999999998</v>
      </c>
      <c r="J5948" s="55">
        <v>-12.63796</v>
      </c>
      <c r="K5948" s="55">
        <v>-4.4777709999999997</v>
      </c>
      <c r="L5948" s="55">
        <v>4.0235789999999998</v>
      </c>
      <c r="M5948" s="55">
        <v>6.5792770000000003</v>
      </c>
      <c r="N5948" s="55">
        <v>7.9928990000000004</v>
      </c>
    </row>
    <row r="5949" spans="1:14" hidden="1" x14ac:dyDescent="0.35">
      <c r="A5949" s="52" t="s">
        <v>696</v>
      </c>
      <c r="B5949" s="52" t="s">
        <v>34</v>
      </c>
      <c r="C5949" s="52" t="s">
        <v>230</v>
      </c>
      <c r="D5949" s="52" t="s">
        <v>230</v>
      </c>
      <c r="E5949" s="52" t="s">
        <v>698</v>
      </c>
      <c r="F5949" s="52" t="s">
        <v>581</v>
      </c>
      <c r="G5949" s="55" t="s">
        <v>277</v>
      </c>
      <c r="H5949" s="55">
        <v>138.24119999999999</v>
      </c>
      <c r="I5949" s="55">
        <v>74.719200000000001</v>
      </c>
      <c r="J5949" s="55">
        <v>40.757649999999998</v>
      </c>
      <c r="K5949" s="55">
        <v>21.986270000000001</v>
      </c>
      <c r="L5949" s="55">
        <v>10.10966</v>
      </c>
      <c r="M5949" s="55">
        <v>0</v>
      </c>
      <c r="N5949" s="55">
        <v>0</v>
      </c>
    </row>
    <row r="5950" spans="1:14" hidden="1" x14ac:dyDescent="0.35">
      <c r="A5950" s="52" t="s">
        <v>696</v>
      </c>
      <c r="B5950" s="52" t="s">
        <v>34</v>
      </c>
      <c r="C5950" s="52" t="s">
        <v>230</v>
      </c>
      <c r="D5950" s="52" t="s">
        <v>230</v>
      </c>
      <c r="E5950" s="52" t="s">
        <v>698</v>
      </c>
      <c r="F5950" s="52" t="s">
        <v>581</v>
      </c>
      <c r="G5950" s="55" t="s">
        <v>278</v>
      </c>
      <c r="H5950" s="55">
        <v>9.9887929999999994</v>
      </c>
      <c r="I5950" s="55">
        <v>5.9772509999999999</v>
      </c>
      <c r="J5950" s="55">
        <v>3.168965</v>
      </c>
      <c r="K5950" s="55">
        <v>1.9094739999999999</v>
      </c>
      <c r="L5950" s="55">
        <v>0.45690370000000002</v>
      </c>
      <c r="M5950" s="55">
        <v>0</v>
      </c>
      <c r="N5950" s="55">
        <v>0</v>
      </c>
    </row>
    <row r="5951" spans="1:14" hidden="1" x14ac:dyDescent="0.35">
      <c r="A5951" s="52" t="s">
        <v>696</v>
      </c>
      <c r="B5951" s="52" t="s">
        <v>34</v>
      </c>
      <c r="C5951" s="52" t="s">
        <v>230</v>
      </c>
      <c r="D5951" s="52" t="s">
        <v>230</v>
      </c>
      <c r="E5951" s="52" t="s">
        <v>698</v>
      </c>
      <c r="F5951" s="52" t="s">
        <v>581</v>
      </c>
      <c r="G5951" s="55" t="s">
        <v>279</v>
      </c>
      <c r="H5951" s="55">
        <v>80.292079999999999</v>
      </c>
      <c r="I5951" s="55">
        <v>80.615120000000005</v>
      </c>
      <c r="J5951" s="55">
        <v>72.053690000000003</v>
      </c>
      <c r="K5951" s="55">
        <v>63.002369999999999</v>
      </c>
      <c r="L5951" s="55">
        <v>50.408239999999999</v>
      </c>
      <c r="M5951" s="55">
        <v>45.166339999999998</v>
      </c>
      <c r="N5951" s="55">
        <v>38.991379999999999</v>
      </c>
    </row>
    <row r="5952" spans="1:14" hidden="1" x14ac:dyDescent="0.35">
      <c r="A5952" s="52" t="s">
        <v>696</v>
      </c>
      <c r="B5952" s="52" t="s">
        <v>34</v>
      </c>
      <c r="C5952" s="52" t="s">
        <v>230</v>
      </c>
      <c r="D5952" s="52" t="s">
        <v>230</v>
      </c>
      <c r="E5952" s="52" t="s">
        <v>698</v>
      </c>
      <c r="F5952" s="52" t="s">
        <v>26</v>
      </c>
      <c r="G5952" s="55" t="s">
        <v>275</v>
      </c>
      <c r="H5952" s="55">
        <v>0.22913800000000001</v>
      </c>
      <c r="I5952" s="55">
        <v>-0.75876900000000003</v>
      </c>
      <c r="J5952" s="55">
        <v>-0.2153294</v>
      </c>
      <c r="K5952" s="55">
        <v>-0.25307869999999999</v>
      </c>
      <c r="L5952" s="55">
        <v>-5.7003499999999999E-3</v>
      </c>
      <c r="M5952" s="55">
        <v>-8.1993999999999997E-2</v>
      </c>
      <c r="N5952" s="55">
        <v>-7.3422600000000005E-2</v>
      </c>
    </row>
    <row r="5953" spans="1:14" hidden="1" x14ac:dyDescent="0.35">
      <c r="A5953" s="52" t="s">
        <v>696</v>
      </c>
      <c r="B5953" s="52" t="s">
        <v>34</v>
      </c>
      <c r="C5953" s="52" t="s">
        <v>230</v>
      </c>
      <c r="D5953" s="52" t="s">
        <v>230</v>
      </c>
      <c r="E5953" s="52" t="s">
        <v>698</v>
      </c>
      <c r="F5953" s="52" t="s">
        <v>26</v>
      </c>
      <c r="G5953" s="55" t="s">
        <v>276</v>
      </c>
      <c r="H5953" s="55">
        <v>8.4737989999999999E-2</v>
      </c>
      <c r="I5953" s="55">
        <v>-0.28064879999999998</v>
      </c>
      <c r="J5953" s="55">
        <v>-7.96399E-2</v>
      </c>
      <c r="K5953" s="55">
        <v>-9.3605209999999994E-2</v>
      </c>
      <c r="L5953" s="55">
        <v>-2.106354E-3</v>
      </c>
      <c r="M5953" s="55">
        <v>-3.0326800000000001E-2</v>
      </c>
      <c r="N5953" s="55">
        <v>-2.71582E-2</v>
      </c>
    </row>
    <row r="5954" spans="1:14" hidden="1" x14ac:dyDescent="0.35">
      <c r="A5954" s="52" t="s">
        <v>696</v>
      </c>
      <c r="B5954" s="52" t="s">
        <v>34</v>
      </c>
      <c r="C5954" s="52" t="s">
        <v>230</v>
      </c>
      <c r="D5954" s="52" t="s">
        <v>230</v>
      </c>
      <c r="E5954" s="52" t="s">
        <v>698</v>
      </c>
      <c r="F5954" s="52" t="s">
        <v>26</v>
      </c>
      <c r="G5954" s="55" t="s">
        <v>279</v>
      </c>
      <c r="H5954" s="55">
        <v>9.7582950000000004</v>
      </c>
      <c r="I5954" s="55">
        <v>8.6088360000000002</v>
      </c>
      <c r="J5954" s="55">
        <v>7.7775590000000001</v>
      </c>
      <c r="K5954" s="55">
        <v>6.8750479999999996</v>
      </c>
      <c r="L5954" s="55">
        <v>5.664669</v>
      </c>
      <c r="M5954" s="55">
        <v>4.8913539999999998</v>
      </c>
      <c r="N5954" s="55">
        <v>4.2228830000000004</v>
      </c>
    </row>
    <row r="5955" spans="1:14" hidden="1" x14ac:dyDescent="0.35">
      <c r="A5955" s="52" t="s">
        <v>696</v>
      </c>
      <c r="B5955" s="52" t="s">
        <v>34</v>
      </c>
      <c r="C5955" s="52" t="s">
        <v>230</v>
      </c>
      <c r="D5955" s="52" t="s">
        <v>230</v>
      </c>
      <c r="E5955" s="52" t="s">
        <v>699</v>
      </c>
      <c r="F5955" s="52" t="s">
        <v>581</v>
      </c>
      <c r="G5955" s="55" t="s">
        <v>275</v>
      </c>
      <c r="H5955" s="55">
        <v>33.650709999999997</v>
      </c>
      <c r="I5955" s="55">
        <v>14.794549999999999</v>
      </c>
      <c r="J5955" s="55">
        <v>28.427769999999999</v>
      </c>
      <c r="K5955" s="55">
        <v>30.370519999999999</v>
      </c>
      <c r="L5955" s="55">
        <v>29.458279999999998</v>
      </c>
      <c r="M5955" s="55">
        <v>25.142040000000001</v>
      </c>
      <c r="N5955" s="55">
        <v>20.561530000000001</v>
      </c>
    </row>
    <row r="5956" spans="1:14" hidden="1" x14ac:dyDescent="0.35">
      <c r="A5956" s="52" t="s">
        <v>696</v>
      </c>
      <c r="B5956" s="52" t="s">
        <v>34</v>
      </c>
      <c r="C5956" s="52" t="s">
        <v>230</v>
      </c>
      <c r="D5956" s="52" t="s">
        <v>230</v>
      </c>
      <c r="E5956" s="52" t="s">
        <v>699</v>
      </c>
      <c r="F5956" s="52" t="s">
        <v>581</v>
      </c>
      <c r="G5956" s="55" t="s">
        <v>276</v>
      </c>
      <c r="H5956" s="55">
        <v>3.0057179999999999</v>
      </c>
      <c r="I5956" s="55">
        <v>-11.13151</v>
      </c>
      <c r="J5956" s="55">
        <v>-6.7745050000000004</v>
      </c>
      <c r="K5956" s="55">
        <v>-1.701638</v>
      </c>
      <c r="L5956" s="55">
        <v>2.19129</v>
      </c>
      <c r="M5956" s="55">
        <v>4.1233310000000003</v>
      </c>
      <c r="N5956" s="55">
        <v>4.9380059999999997</v>
      </c>
    </row>
    <row r="5957" spans="1:14" hidden="1" x14ac:dyDescent="0.35">
      <c r="A5957" s="52" t="s">
        <v>696</v>
      </c>
      <c r="B5957" s="52" t="s">
        <v>34</v>
      </c>
      <c r="C5957" s="52" t="s">
        <v>230</v>
      </c>
      <c r="D5957" s="52" t="s">
        <v>230</v>
      </c>
      <c r="E5957" s="52" t="s">
        <v>699</v>
      </c>
      <c r="F5957" s="52" t="s">
        <v>581</v>
      </c>
      <c r="G5957" s="55" t="s">
        <v>277</v>
      </c>
      <c r="H5957" s="55">
        <v>91.221639999999994</v>
      </c>
      <c r="I5957" s="55">
        <v>55.518059999999998</v>
      </c>
      <c r="J5957" s="55">
        <v>28.731639999999999</v>
      </c>
      <c r="K5957" s="55">
        <v>12.65414</v>
      </c>
      <c r="L5957" s="55">
        <v>3.4656229999999999</v>
      </c>
      <c r="M5957" s="55">
        <v>0</v>
      </c>
      <c r="N5957" s="55">
        <v>0</v>
      </c>
    </row>
    <row r="5958" spans="1:14" hidden="1" x14ac:dyDescent="0.35">
      <c r="A5958" s="52" t="s">
        <v>696</v>
      </c>
      <c r="B5958" s="52" t="s">
        <v>34</v>
      </c>
      <c r="C5958" s="52" t="s">
        <v>230</v>
      </c>
      <c r="D5958" s="52" t="s">
        <v>230</v>
      </c>
      <c r="E5958" s="52" t="s">
        <v>699</v>
      </c>
      <c r="F5958" s="52" t="s">
        <v>581</v>
      </c>
      <c r="G5958" s="55" t="s">
        <v>278</v>
      </c>
      <c r="H5958" s="55">
        <v>4.778365</v>
      </c>
      <c r="I5958" s="55">
        <v>1.481938</v>
      </c>
      <c r="J5958" s="55">
        <v>0.5</v>
      </c>
      <c r="K5958" s="55">
        <v>0</v>
      </c>
      <c r="L5958" s="55"/>
      <c r="M5958" s="55"/>
      <c r="N5958" s="55"/>
    </row>
    <row r="5959" spans="1:14" hidden="1" x14ac:dyDescent="0.35">
      <c r="A5959" s="52" t="s">
        <v>696</v>
      </c>
      <c r="B5959" s="52" t="s">
        <v>34</v>
      </c>
      <c r="C5959" s="52" t="s">
        <v>230</v>
      </c>
      <c r="D5959" s="52" t="s">
        <v>230</v>
      </c>
      <c r="E5959" s="52" t="s">
        <v>699</v>
      </c>
      <c r="F5959" s="52" t="s">
        <v>581</v>
      </c>
      <c r="G5959" s="55" t="s">
        <v>279</v>
      </c>
      <c r="H5959" s="55">
        <v>20.200130000000001</v>
      </c>
      <c r="I5959" s="55">
        <v>19.549669999999999</v>
      </c>
      <c r="J5959" s="55">
        <v>15.26191</v>
      </c>
      <c r="K5959" s="55">
        <v>12.75381</v>
      </c>
      <c r="L5959" s="55">
        <v>10.17192</v>
      </c>
      <c r="M5959" s="55">
        <v>8.6322659999999996</v>
      </c>
      <c r="N5959" s="55">
        <v>7.4816500000000001</v>
      </c>
    </row>
    <row r="5960" spans="1:14" hidden="1" x14ac:dyDescent="0.35">
      <c r="A5960" s="52" t="s">
        <v>696</v>
      </c>
      <c r="B5960" s="52" t="s">
        <v>34</v>
      </c>
      <c r="C5960" s="52" t="s">
        <v>230</v>
      </c>
      <c r="D5960" s="52" t="s">
        <v>230</v>
      </c>
      <c r="E5960" s="52" t="s">
        <v>699</v>
      </c>
      <c r="F5960" s="52" t="s">
        <v>26</v>
      </c>
      <c r="G5960" s="55" t="s">
        <v>275</v>
      </c>
      <c r="H5960" s="55">
        <v>1.442841</v>
      </c>
      <c r="I5960" s="55">
        <v>0.92489869999999996</v>
      </c>
      <c r="J5960" s="55">
        <v>0.92051689999999997</v>
      </c>
      <c r="K5960" s="55">
        <v>0.73571710000000001</v>
      </c>
      <c r="L5960" s="55">
        <v>0.62189190000000005</v>
      </c>
      <c r="M5960" s="55">
        <v>0.54443660000000005</v>
      </c>
      <c r="N5960" s="55">
        <v>0.4709583</v>
      </c>
    </row>
    <row r="5961" spans="1:14" hidden="1" x14ac:dyDescent="0.35">
      <c r="A5961" s="52" t="s">
        <v>696</v>
      </c>
      <c r="B5961" s="52" t="s">
        <v>34</v>
      </c>
      <c r="C5961" s="52" t="s">
        <v>230</v>
      </c>
      <c r="D5961" s="52" t="s">
        <v>230</v>
      </c>
      <c r="E5961" s="52" t="s">
        <v>699</v>
      </c>
      <c r="F5961" s="52" t="s">
        <v>26</v>
      </c>
      <c r="G5961" s="55" t="s">
        <v>276</v>
      </c>
      <c r="H5961" s="55">
        <v>0.52020699999999997</v>
      </c>
      <c r="I5961" s="55">
        <v>0.30830109999999999</v>
      </c>
      <c r="J5961" s="55">
        <v>0.29068939999999999</v>
      </c>
      <c r="K5961" s="55">
        <v>0.2197596</v>
      </c>
      <c r="L5961" s="55">
        <v>0.1857608</v>
      </c>
      <c r="M5961" s="55">
        <v>0.1626234</v>
      </c>
      <c r="N5961" s="55">
        <v>0.14067640000000001</v>
      </c>
    </row>
    <row r="5962" spans="1:14" hidden="1" x14ac:dyDescent="0.35">
      <c r="A5962" s="52" t="s">
        <v>696</v>
      </c>
      <c r="B5962" s="52" t="s">
        <v>34</v>
      </c>
      <c r="C5962" s="52" t="s">
        <v>230</v>
      </c>
      <c r="D5962" s="52" t="s">
        <v>230</v>
      </c>
      <c r="E5962" s="52" t="s">
        <v>699</v>
      </c>
      <c r="F5962" s="52" t="s">
        <v>26</v>
      </c>
      <c r="G5962" s="55" t="s">
        <v>279</v>
      </c>
      <c r="H5962" s="55">
        <v>2.5903339999999999</v>
      </c>
      <c r="I5962" s="55">
        <v>2.5221360000000002</v>
      </c>
      <c r="J5962" s="55">
        <v>2.0006599999999999</v>
      </c>
      <c r="K5962" s="55">
        <v>1.698707</v>
      </c>
      <c r="L5962" s="55">
        <v>1.405413</v>
      </c>
      <c r="M5962" s="55">
        <v>1.137105</v>
      </c>
      <c r="N5962" s="55">
        <v>0.98562260000000002</v>
      </c>
    </row>
    <row r="5963" spans="1:14" hidden="1" x14ac:dyDescent="0.35">
      <c r="A5963" s="52" t="s">
        <v>696</v>
      </c>
      <c r="B5963" s="52" t="s">
        <v>34</v>
      </c>
      <c r="C5963" s="52" t="s">
        <v>230</v>
      </c>
      <c r="D5963" s="52" t="s">
        <v>230</v>
      </c>
      <c r="E5963" s="52" t="s">
        <v>700</v>
      </c>
      <c r="F5963" s="52" t="s">
        <v>581</v>
      </c>
      <c r="G5963" s="55" t="s">
        <v>275</v>
      </c>
      <c r="H5963" s="55">
        <v>7.1994439999999997</v>
      </c>
      <c r="I5963" s="55">
        <v>2.3615339999999998</v>
      </c>
      <c r="J5963" s="55">
        <v>2.1617229999999998</v>
      </c>
      <c r="K5963" s="55">
        <v>1.9990859999999999</v>
      </c>
      <c r="L5963" s="55">
        <v>1.883035</v>
      </c>
      <c r="M5963" s="55">
        <v>1.7492490000000001</v>
      </c>
      <c r="N5963" s="55">
        <v>1.6199749999999999</v>
      </c>
    </row>
    <row r="5964" spans="1:14" hidden="1" x14ac:dyDescent="0.35">
      <c r="A5964" s="52" t="s">
        <v>696</v>
      </c>
      <c r="B5964" s="52" t="s">
        <v>34</v>
      </c>
      <c r="C5964" s="52" t="s">
        <v>230</v>
      </c>
      <c r="D5964" s="52" t="s">
        <v>230</v>
      </c>
      <c r="E5964" s="52" t="s">
        <v>700</v>
      </c>
      <c r="F5964" s="52" t="s">
        <v>581</v>
      </c>
      <c r="G5964" s="55" t="s">
        <v>276</v>
      </c>
      <c r="H5964" s="55">
        <v>3.085474</v>
      </c>
      <c r="I5964" s="55">
        <v>1.012087</v>
      </c>
      <c r="J5964" s="55">
        <v>0.92645219999999995</v>
      </c>
      <c r="K5964" s="55">
        <v>0.85675140000000005</v>
      </c>
      <c r="L5964" s="55">
        <v>0.80701579999999995</v>
      </c>
      <c r="M5964" s="55">
        <v>0.74967740000000005</v>
      </c>
      <c r="N5964" s="55">
        <v>0.69427510000000003</v>
      </c>
    </row>
    <row r="5965" spans="1:14" hidden="1" x14ac:dyDescent="0.35">
      <c r="A5965" s="52" t="s">
        <v>696</v>
      </c>
      <c r="B5965" s="52" t="s">
        <v>34</v>
      </c>
      <c r="C5965" s="52" t="s">
        <v>230</v>
      </c>
      <c r="D5965" s="52" t="s">
        <v>230</v>
      </c>
      <c r="E5965" s="52" t="s">
        <v>700</v>
      </c>
      <c r="F5965" s="52" t="s">
        <v>581</v>
      </c>
      <c r="G5965" s="55" t="s">
        <v>277</v>
      </c>
      <c r="H5965" s="55"/>
      <c r="I5965" s="55"/>
      <c r="J5965" s="55"/>
      <c r="K5965" s="55"/>
      <c r="L5965" s="55"/>
      <c r="M5965" s="55">
        <v>0</v>
      </c>
      <c r="N5965" s="55">
        <v>0</v>
      </c>
    </row>
    <row r="5966" spans="1:14" hidden="1" x14ac:dyDescent="0.35">
      <c r="A5966" s="52" t="s">
        <v>696</v>
      </c>
      <c r="B5966" s="52" t="s">
        <v>34</v>
      </c>
      <c r="C5966" s="52" t="s">
        <v>230</v>
      </c>
      <c r="D5966" s="52" t="s">
        <v>230</v>
      </c>
      <c r="E5966" s="52" t="s">
        <v>700</v>
      </c>
      <c r="F5966" s="52" t="s">
        <v>581</v>
      </c>
      <c r="G5966" s="55" t="s">
        <v>279</v>
      </c>
      <c r="H5966" s="55">
        <v>1.813102</v>
      </c>
      <c r="I5966" s="55">
        <v>1.522289</v>
      </c>
      <c r="J5966" s="55">
        <v>1.3312079999999999</v>
      </c>
      <c r="K5966" s="55">
        <v>1.242334</v>
      </c>
      <c r="L5966" s="55">
        <v>1.1099669999999999</v>
      </c>
      <c r="M5966" s="55">
        <v>1.033398</v>
      </c>
      <c r="N5966" s="55">
        <v>0.95058609999999999</v>
      </c>
    </row>
    <row r="5967" spans="1:14" hidden="1" x14ac:dyDescent="0.35">
      <c r="A5967" s="52" t="s">
        <v>696</v>
      </c>
      <c r="B5967" s="52" t="s">
        <v>34</v>
      </c>
      <c r="C5967" s="52" t="s">
        <v>230</v>
      </c>
      <c r="D5967" s="52" t="s">
        <v>230</v>
      </c>
      <c r="E5967" s="52" t="s">
        <v>700</v>
      </c>
      <c r="F5967" s="52" t="s">
        <v>26</v>
      </c>
      <c r="G5967" s="55" t="s">
        <v>275</v>
      </c>
      <c r="H5967" s="55">
        <v>1.046628E-2</v>
      </c>
      <c r="I5967" s="55">
        <v>5.7808080000000001E-3</v>
      </c>
      <c r="J5967" s="55">
        <v>6.6115169999999999E-3</v>
      </c>
      <c r="K5967" s="55">
        <v>5.7337830000000001E-3</v>
      </c>
      <c r="L5967" s="55">
        <v>5.2973910000000003E-3</v>
      </c>
      <c r="M5967" s="55">
        <v>5.3167939999999997E-3</v>
      </c>
      <c r="N5967" s="55">
        <v>4.8827790000000003E-3</v>
      </c>
    </row>
    <row r="5968" spans="1:14" hidden="1" x14ac:dyDescent="0.35">
      <c r="A5968" s="52" t="s">
        <v>696</v>
      </c>
      <c r="B5968" s="52" t="s">
        <v>34</v>
      </c>
      <c r="C5968" s="52" t="s">
        <v>230</v>
      </c>
      <c r="D5968" s="52" t="s">
        <v>230</v>
      </c>
      <c r="E5968" s="52" t="s">
        <v>700</v>
      </c>
      <c r="F5968" s="52" t="s">
        <v>26</v>
      </c>
      <c r="G5968" s="55" t="s">
        <v>276</v>
      </c>
      <c r="H5968" s="55">
        <v>4.4856899999999996E-3</v>
      </c>
      <c r="I5968" s="55">
        <v>2.477178E-3</v>
      </c>
      <c r="J5968" s="55">
        <v>2.8335779999999998E-3</v>
      </c>
      <c r="K5968" s="55">
        <v>2.4571800000000002E-3</v>
      </c>
      <c r="L5968" s="55">
        <v>2.2707629999999999E-3</v>
      </c>
      <c r="M5968" s="55">
        <v>2.2789799999999999E-3</v>
      </c>
      <c r="N5968" s="55">
        <v>2.0921669999999998E-3</v>
      </c>
    </row>
    <row r="5969" spans="1:14" hidden="1" x14ac:dyDescent="0.35">
      <c r="A5969" s="52" t="s">
        <v>696</v>
      </c>
      <c r="B5969" s="52" t="s">
        <v>34</v>
      </c>
      <c r="C5969" s="52" t="s">
        <v>230</v>
      </c>
      <c r="D5969" s="52" t="s">
        <v>230</v>
      </c>
      <c r="E5969" s="52" t="s">
        <v>700</v>
      </c>
      <c r="F5969" s="52" t="s">
        <v>26</v>
      </c>
      <c r="G5969" s="55" t="s">
        <v>279</v>
      </c>
      <c r="H5969" s="55">
        <v>2.4582690000000001E-2</v>
      </c>
      <c r="I5969" s="55">
        <v>2.2807620000000001E-2</v>
      </c>
      <c r="J5969" s="55">
        <v>2.0267279999999999E-2</v>
      </c>
      <c r="K5969" s="55">
        <v>1.921778E-2</v>
      </c>
      <c r="L5969" s="55">
        <v>1.7734860000000002E-2</v>
      </c>
      <c r="M5969" s="55">
        <v>1.5809409999999999E-2</v>
      </c>
      <c r="N5969" s="55">
        <v>1.45427E-2</v>
      </c>
    </row>
    <row r="5970" spans="1:14" hidden="1" x14ac:dyDescent="0.35">
      <c r="A5970" s="52" t="s">
        <v>696</v>
      </c>
      <c r="B5970" s="52" t="s">
        <v>34</v>
      </c>
      <c r="C5970" s="52" t="s">
        <v>33</v>
      </c>
      <c r="D5970" s="52" t="s">
        <v>33</v>
      </c>
      <c r="E5970" s="52" t="s">
        <v>701</v>
      </c>
      <c r="F5970" s="52" t="s">
        <v>581</v>
      </c>
      <c r="G5970" s="55" t="s">
        <v>275</v>
      </c>
      <c r="H5970" s="55">
        <v>41.344349999999999</v>
      </c>
      <c r="I5970" s="55">
        <v>25.000820000000001</v>
      </c>
      <c r="J5970" s="55">
        <v>16.55884</v>
      </c>
      <c r="K5970" s="55">
        <v>14.318720000000001</v>
      </c>
      <c r="L5970" s="55">
        <v>11.255559999999999</v>
      </c>
      <c r="M5970" s="55">
        <v>13.144880000000001</v>
      </c>
      <c r="N5970" s="55">
        <v>11.563000000000001</v>
      </c>
    </row>
    <row r="5971" spans="1:14" hidden="1" x14ac:dyDescent="0.35">
      <c r="A5971" s="52" t="s">
        <v>696</v>
      </c>
      <c r="B5971" s="52" t="s">
        <v>34</v>
      </c>
      <c r="C5971" s="52" t="s">
        <v>33</v>
      </c>
      <c r="D5971" s="52" t="s">
        <v>33</v>
      </c>
      <c r="E5971" s="52" t="s">
        <v>701</v>
      </c>
      <c r="F5971" s="52" t="s">
        <v>581</v>
      </c>
      <c r="G5971" s="55" t="s">
        <v>276</v>
      </c>
      <c r="H5971" s="55">
        <v>3.3119700000000001</v>
      </c>
      <c r="I5971" s="55">
        <v>-5.7191669999999997</v>
      </c>
      <c r="J5971" s="55">
        <v>1.370582</v>
      </c>
      <c r="K5971" s="55">
        <v>2.583971</v>
      </c>
      <c r="L5971" s="55">
        <v>3.2133029999999998</v>
      </c>
      <c r="M5971" s="55">
        <v>3.1191010000000001</v>
      </c>
      <c r="N5971" s="55">
        <v>2.9824489999999999</v>
      </c>
    </row>
    <row r="5972" spans="1:14" hidden="1" x14ac:dyDescent="0.35">
      <c r="A5972" s="52" t="s">
        <v>696</v>
      </c>
      <c r="B5972" s="52" t="s">
        <v>34</v>
      </c>
      <c r="C5972" s="52" t="s">
        <v>33</v>
      </c>
      <c r="D5972" s="52" t="s">
        <v>33</v>
      </c>
      <c r="E5972" s="52" t="s">
        <v>701</v>
      </c>
      <c r="F5972" s="52" t="s">
        <v>581</v>
      </c>
      <c r="G5972" s="55" t="s">
        <v>277</v>
      </c>
      <c r="H5972" s="55">
        <v>19.63636</v>
      </c>
      <c r="I5972" s="55">
        <v>6</v>
      </c>
      <c r="J5972" s="55">
        <v>4.4975259999999997</v>
      </c>
      <c r="K5972" s="55">
        <v>2.6084619999999998</v>
      </c>
      <c r="L5972" s="55">
        <v>3.704688</v>
      </c>
      <c r="M5972" s="55">
        <v>0</v>
      </c>
      <c r="N5972" s="55">
        <v>0</v>
      </c>
    </row>
    <row r="5973" spans="1:14" hidden="1" x14ac:dyDescent="0.35">
      <c r="A5973" s="52" t="s">
        <v>696</v>
      </c>
      <c r="B5973" s="52" t="s">
        <v>34</v>
      </c>
      <c r="C5973" s="52" t="s">
        <v>33</v>
      </c>
      <c r="D5973" s="52" t="s">
        <v>33</v>
      </c>
      <c r="E5973" s="52" t="s">
        <v>701</v>
      </c>
      <c r="F5973" s="52" t="s">
        <v>581</v>
      </c>
      <c r="G5973" s="55" t="s">
        <v>278</v>
      </c>
      <c r="H5973" s="55">
        <v>0.36363600000000001</v>
      </c>
      <c r="I5973" s="55">
        <v>0</v>
      </c>
      <c r="J5973" s="55"/>
      <c r="K5973" s="55"/>
      <c r="L5973" s="55"/>
      <c r="M5973" s="55"/>
      <c r="N5973" s="55"/>
    </row>
    <row r="5974" spans="1:14" hidden="1" x14ac:dyDescent="0.35">
      <c r="A5974" s="52" t="s">
        <v>696</v>
      </c>
      <c r="B5974" s="52" t="s">
        <v>34</v>
      </c>
      <c r="C5974" s="52" t="s">
        <v>33</v>
      </c>
      <c r="D5974" s="52" t="s">
        <v>33</v>
      </c>
      <c r="E5974" s="52" t="s">
        <v>701</v>
      </c>
      <c r="F5974" s="52" t="s">
        <v>581</v>
      </c>
      <c r="G5974" s="55" t="s">
        <v>279</v>
      </c>
      <c r="H5974" s="55">
        <v>12.08311</v>
      </c>
      <c r="I5974" s="55">
        <v>10.4521</v>
      </c>
      <c r="J5974" s="55">
        <v>8.6413150000000005</v>
      </c>
      <c r="K5974" s="55">
        <v>7.7410119999999996</v>
      </c>
      <c r="L5974" s="55">
        <v>6.796386</v>
      </c>
      <c r="M5974" s="55">
        <v>6.1473769999999996</v>
      </c>
      <c r="N5974" s="55">
        <v>5.4652589999999996</v>
      </c>
    </row>
    <row r="5975" spans="1:14" hidden="1" x14ac:dyDescent="0.35">
      <c r="A5975" s="52" t="s">
        <v>696</v>
      </c>
      <c r="B5975" s="52" t="s">
        <v>34</v>
      </c>
      <c r="C5975" s="52" t="s">
        <v>33</v>
      </c>
      <c r="D5975" s="52" t="s">
        <v>33</v>
      </c>
      <c r="E5975" s="52" t="s">
        <v>701</v>
      </c>
      <c r="F5975" s="52" t="s">
        <v>26</v>
      </c>
      <c r="G5975" s="55" t="s">
        <v>275</v>
      </c>
      <c r="H5975" s="55">
        <v>-0.22450500000000001</v>
      </c>
      <c r="I5975" s="55">
        <v>-0.17756430000000001</v>
      </c>
      <c r="J5975" s="55">
        <v>-0.151672</v>
      </c>
      <c r="K5975" s="55">
        <v>-0.1761153</v>
      </c>
      <c r="L5975" s="55">
        <v>-0.15737119999999999</v>
      </c>
      <c r="M5975" s="55">
        <v>-0.1039031</v>
      </c>
      <c r="N5975" s="55">
        <v>-9.4883899999999993E-2</v>
      </c>
    </row>
    <row r="5976" spans="1:14" hidden="1" x14ac:dyDescent="0.35">
      <c r="A5976" s="52" t="s">
        <v>696</v>
      </c>
      <c r="B5976" s="52" t="s">
        <v>34</v>
      </c>
      <c r="C5976" s="52" t="s">
        <v>33</v>
      </c>
      <c r="D5976" s="52" t="s">
        <v>33</v>
      </c>
      <c r="E5976" s="52" t="s">
        <v>701</v>
      </c>
      <c r="F5976" s="52" t="s">
        <v>26</v>
      </c>
      <c r="G5976" s="55" t="s">
        <v>276</v>
      </c>
      <c r="H5976" s="55">
        <v>-8.0944000000000002E-2</v>
      </c>
      <c r="I5976" s="55">
        <v>-5.9189199999999997E-2</v>
      </c>
      <c r="J5976" s="55">
        <v>-4.7897500000000003E-2</v>
      </c>
      <c r="K5976" s="55">
        <v>-5.2605899999999997E-2</v>
      </c>
      <c r="L5976" s="55">
        <v>-4.7008099999999997E-2</v>
      </c>
      <c r="M5976" s="55">
        <v>-3.1035699999999999E-2</v>
      </c>
      <c r="N5976" s="55">
        <v>-2.8341499999999999E-2</v>
      </c>
    </row>
    <row r="5977" spans="1:14" hidden="1" x14ac:dyDescent="0.35">
      <c r="A5977" s="52" t="s">
        <v>696</v>
      </c>
      <c r="B5977" s="52" t="s">
        <v>34</v>
      </c>
      <c r="C5977" s="52" t="s">
        <v>33</v>
      </c>
      <c r="D5977" s="52" t="s">
        <v>33</v>
      </c>
      <c r="E5977" s="52" t="s">
        <v>701</v>
      </c>
      <c r="F5977" s="52" t="s">
        <v>26</v>
      </c>
      <c r="G5977" s="55" t="s">
        <v>279</v>
      </c>
      <c r="H5977" s="55">
        <v>2.8822019999999999</v>
      </c>
      <c r="I5977" s="55">
        <v>2.5131739999999998</v>
      </c>
      <c r="J5977" s="55">
        <v>2.1110820000000001</v>
      </c>
      <c r="K5977" s="55">
        <v>1.921462</v>
      </c>
      <c r="L5977" s="55">
        <v>1.7455529999999999</v>
      </c>
      <c r="M5977" s="55">
        <v>1.5091330000000001</v>
      </c>
      <c r="N5977" s="55">
        <v>1.341791</v>
      </c>
    </row>
    <row r="5978" spans="1:14" hidden="1" x14ac:dyDescent="0.35">
      <c r="A5978" s="52" t="s">
        <v>696</v>
      </c>
      <c r="B5978" s="52" t="s">
        <v>34</v>
      </c>
      <c r="C5978" s="52" t="s">
        <v>33</v>
      </c>
      <c r="D5978" s="52" t="s">
        <v>33</v>
      </c>
      <c r="E5978" s="52" t="s">
        <v>584</v>
      </c>
      <c r="F5978" s="52" t="s">
        <v>581</v>
      </c>
      <c r="G5978" s="55" t="s">
        <v>275</v>
      </c>
      <c r="H5978" s="55">
        <v>23.87256</v>
      </c>
      <c r="I5978" s="55">
        <v>2.0283009999999999</v>
      </c>
      <c r="J5978" s="55">
        <v>1.0731250000000001</v>
      </c>
      <c r="K5978" s="55">
        <v>0.61271410000000004</v>
      </c>
      <c r="L5978" s="55">
        <v>0.23539560000000001</v>
      </c>
      <c r="M5978" s="55">
        <v>1.041272</v>
      </c>
      <c r="N5978" s="55">
        <v>-13.734030000000001</v>
      </c>
    </row>
    <row r="5979" spans="1:14" hidden="1" x14ac:dyDescent="0.35">
      <c r="A5979" s="52" t="s">
        <v>696</v>
      </c>
      <c r="B5979" s="52" t="s">
        <v>34</v>
      </c>
      <c r="C5979" s="52" t="s">
        <v>33</v>
      </c>
      <c r="D5979" s="52" t="s">
        <v>33</v>
      </c>
      <c r="E5979" s="52" t="s">
        <v>584</v>
      </c>
      <c r="F5979" s="52" t="s">
        <v>581</v>
      </c>
      <c r="G5979" s="55" t="s">
        <v>276</v>
      </c>
      <c r="H5979" s="55">
        <v>4.7587700000000002</v>
      </c>
      <c r="I5979" s="55">
        <v>-3.1898019999999998</v>
      </c>
      <c r="J5979" s="55">
        <v>-1.291231</v>
      </c>
      <c r="K5979" s="55">
        <v>-0.87379689999999999</v>
      </c>
      <c r="L5979" s="55">
        <v>-0.58258220000000005</v>
      </c>
      <c r="M5979" s="55">
        <v>-0.22154299999999999</v>
      </c>
      <c r="N5979" s="55">
        <v>-4.3983189999999999</v>
      </c>
    </row>
    <row r="5980" spans="1:14" hidden="1" x14ac:dyDescent="0.35">
      <c r="A5980" s="52" t="s">
        <v>696</v>
      </c>
      <c r="B5980" s="52" t="s">
        <v>34</v>
      </c>
      <c r="C5980" s="52" t="s">
        <v>33</v>
      </c>
      <c r="D5980" s="52" t="s">
        <v>33</v>
      </c>
      <c r="E5980" s="52" t="s">
        <v>584</v>
      </c>
      <c r="F5980" s="52" t="s">
        <v>581</v>
      </c>
      <c r="G5980" s="55" t="s">
        <v>277</v>
      </c>
      <c r="H5980" s="55">
        <v>11.173999999999999</v>
      </c>
      <c r="I5980" s="55">
        <v>7</v>
      </c>
      <c r="J5980" s="55">
        <v>4.399648</v>
      </c>
      <c r="K5980" s="55">
        <v>2.807169</v>
      </c>
      <c r="L5980" s="55">
        <v>1.821234</v>
      </c>
      <c r="M5980" s="55">
        <v>0.63207199999999997</v>
      </c>
      <c r="N5980" s="55">
        <v>0.43246030000000002</v>
      </c>
    </row>
    <row r="5981" spans="1:14" hidden="1" x14ac:dyDescent="0.35">
      <c r="A5981" s="52" t="s">
        <v>696</v>
      </c>
      <c r="B5981" s="52" t="s">
        <v>34</v>
      </c>
      <c r="C5981" s="52" t="s">
        <v>33</v>
      </c>
      <c r="D5981" s="52" t="s">
        <v>33</v>
      </c>
      <c r="E5981" s="52" t="s">
        <v>584</v>
      </c>
      <c r="F5981" s="52" t="s">
        <v>581</v>
      </c>
      <c r="G5981" s="55" t="s">
        <v>279</v>
      </c>
      <c r="H5981" s="55">
        <v>26.78424</v>
      </c>
      <c r="I5981" s="55">
        <v>15.758419999999999</v>
      </c>
      <c r="J5981" s="55">
        <v>10.41858</v>
      </c>
      <c r="K5981" s="55">
        <v>7.5389809999999997</v>
      </c>
      <c r="L5981" s="55">
        <v>5.4908609999999998</v>
      </c>
      <c r="M5981" s="55">
        <v>3.3577530000000002</v>
      </c>
      <c r="N5981" s="55">
        <v>19.936789999999998</v>
      </c>
    </row>
    <row r="5982" spans="1:14" hidden="1" x14ac:dyDescent="0.35">
      <c r="A5982" s="52" t="s">
        <v>696</v>
      </c>
      <c r="B5982" s="52" t="s">
        <v>34</v>
      </c>
      <c r="C5982" s="52" t="s">
        <v>33</v>
      </c>
      <c r="D5982" s="52" t="s">
        <v>33</v>
      </c>
      <c r="E5982" s="52" t="s">
        <v>584</v>
      </c>
      <c r="F5982" s="52" t="s">
        <v>26</v>
      </c>
      <c r="G5982" s="55" t="s">
        <v>275</v>
      </c>
      <c r="H5982" s="55">
        <v>-0.51103900000000002</v>
      </c>
      <c r="I5982" s="55">
        <v>-0.47109790000000001</v>
      </c>
      <c r="J5982" s="55">
        <v>-0.45085910000000001</v>
      </c>
      <c r="K5982" s="55">
        <v>-0.49704310000000002</v>
      </c>
      <c r="L5982" s="55">
        <v>-0.54337789999999997</v>
      </c>
      <c r="M5982" s="55">
        <v>-0.71570750000000005</v>
      </c>
      <c r="N5982" s="55">
        <v>-4.0580109999999996</v>
      </c>
    </row>
    <row r="5983" spans="1:14" hidden="1" x14ac:dyDescent="0.35">
      <c r="A5983" s="52" t="s">
        <v>696</v>
      </c>
      <c r="B5983" s="52" t="s">
        <v>34</v>
      </c>
      <c r="C5983" s="52" t="s">
        <v>33</v>
      </c>
      <c r="D5983" s="52" t="s">
        <v>33</v>
      </c>
      <c r="E5983" s="52" t="s">
        <v>584</v>
      </c>
      <c r="F5983" s="52" t="s">
        <v>26</v>
      </c>
      <c r="G5983" s="55" t="s">
        <v>276</v>
      </c>
      <c r="H5983" s="55">
        <v>-0.184252</v>
      </c>
      <c r="I5983" s="55">
        <v>-0.15703220000000001</v>
      </c>
      <c r="J5983" s="55">
        <v>-0.1423769</v>
      </c>
      <c r="K5983" s="55">
        <v>-0.14846719999999999</v>
      </c>
      <c r="L5983" s="55">
        <v>-0.1623077</v>
      </c>
      <c r="M5983" s="55">
        <v>-0.14254900000000001</v>
      </c>
      <c r="N5983" s="55">
        <v>-1.235878</v>
      </c>
    </row>
    <row r="5984" spans="1:14" hidden="1" x14ac:dyDescent="0.35">
      <c r="A5984" s="52" t="s">
        <v>696</v>
      </c>
      <c r="B5984" s="52" t="s">
        <v>34</v>
      </c>
      <c r="C5984" s="52" t="s">
        <v>33</v>
      </c>
      <c r="D5984" s="52" t="s">
        <v>33</v>
      </c>
      <c r="E5984" s="52" t="s">
        <v>584</v>
      </c>
      <c r="F5984" s="52" t="s">
        <v>26</v>
      </c>
      <c r="G5984" s="55" t="s">
        <v>277</v>
      </c>
      <c r="H5984" s="55"/>
      <c r="I5984" s="55"/>
      <c r="J5984" s="55"/>
      <c r="K5984" s="55"/>
      <c r="L5984" s="55">
        <v>0</v>
      </c>
      <c r="M5984" s="55"/>
      <c r="N5984" s="55"/>
    </row>
    <row r="5985" spans="1:14" hidden="1" x14ac:dyDescent="0.35">
      <c r="A5985" s="52" t="s">
        <v>696</v>
      </c>
      <c r="B5985" s="52" t="s">
        <v>34</v>
      </c>
      <c r="C5985" s="52" t="s">
        <v>33</v>
      </c>
      <c r="D5985" s="52" t="s">
        <v>33</v>
      </c>
      <c r="E5985" s="52" t="s">
        <v>584</v>
      </c>
      <c r="F5985" s="52" t="s">
        <v>26</v>
      </c>
      <c r="G5985" s="55" t="s">
        <v>279</v>
      </c>
      <c r="H5985" s="55">
        <v>3.1056140000000001</v>
      </c>
      <c r="I5985" s="55">
        <v>1.382781</v>
      </c>
      <c r="J5985" s="55">
        <v>1.3013220000000001</v>
      </c>
      <c r="K5985" s="55">
        <v>1.332667</v>
      </c>
      <c r="L5985" s="55">
        <v>1.372369</v>
      </c>
      <c r="M5985" s="55">
        <v>1.1869510000000001</v>
      </c>
      <c r="N5985" s="55">
        <v>5.5477109999999996</v>
      </c>
    </row>
    <row r="5986" spans="1:14" hidden="1" x14ac:dyDescent="0.35">
      <c r="A5986" s="52" t="s">
        <v>696</v>
      </c>
      <c r="B5986" s="52" t="s">
        <v>34</v>
      </c>
      <c r="C5986" s="52" t="s">
        <v>33</v>
      </c>
      <c r="D5986" s="52" t="s">
        <v>33</v>
      </c>
      <c r="E5986" s="52" t="s">
        <v>702</v>
      </c>
      <c r="F5986" s="52" t="s">
        <v>581</v>
      </c>
      <c r="G5986" s="55" t="s">
        <v>275</v>
      </c>
      <c r="H5986" s="55">
        <v>-14.98992</v>
      </c>
      <c r="I5986" s="55">
        <v>-2.18859</v>
      </c>
      <c r="J5986" s="55">
        <v>2.7578390000000002</v>
      </c>
      <c r="K5986" s="55">
        <v>0.40963349999999998</v>
      </c>
      <c r="L5986" s="55">
        <v>0.99558749999999996</v>
      </c>
      <c r="M5986" s="55">
        <v>1.6552960000000001</v>
      </c>
      <c r="N5986" s="55">
        <v>0.97420410000000002</v>
      </c>
    </row>
    <row r="5987" spans="1:14" hidden="1" x14ac:dyDescent="0.35">
      <c r="A5987" s="52" t="s">
        <v>696</v>
      </c>
      <c r="B5987" s="52" t="s">
        <v>34</v>
      </c>
      <c r="C5987" s="52" t="s">
        <v>33</v>
      </c>
      <c r="D5987" s="52" t="s">
        <v>33</v>
      </c>
      <c r="E5987" s="52" t="s">
        <v>702</v>
      </c>
      <c r="F5987" s="52" t="s">
        <v>581</v>
      </c>
      <c r="G5987" s="55" t="s">
        <v>276</v>
      </c>
      <c r="H5987" s="55">
        <v>0.87922999999999996</v>
      </c>
      <c r="I5987" s="55">
        <v>-1.1250180000000001</v>
      </c>
      <c r="J5987" s="55">
        <v>-1.3348139999999999</v>
      </c>
      <c r="K5987" s="55">
        <v>-1.190671</v>
      </c>
      <c r="L5987" s="55">
        <v>0.1499219</v>
      </c>
      <c r="M5987" s="55">
        <v>0.35446640000000001</v>
      </c>
      <c r="N5987" s="55">
        <v>0.40084199999999998</v>
      </c>
    </row>
    <row r="5988" spans="1:14" hidden="1" x14ac:dyDescent="0.35">
      <c r="A5988" s="52" t="s">
        <v>696</v>
      </c>
      <c r="B5988" s="52" t="s">
        <v>34</v>
      </c>
      <c r="C5988" s="52" t="s">
        <v>33</v>
      </c>
      <c r="D5988" s="52" t="s">
        <v>33</v>
      </c>
      <c r="E5988" s="52" t="s">
        <v>702</v>
      </c>
      <c r="F5988" s="52" t="s">
        <v>581</v>
      </c>
      <c r="G5988" s="55" t="s">
        <v>277</v>
      </c>
      <c r="H5988" s="55">
        <v>2.8495309999999998</v>
      </c>
      <c r="I5988" s="55">
        <v>1.8431839999999999</v>
      </c>
      <c r="J5988" s="55">
        <v>1.259747</v>
      </c>
      <c r="K5988" s="55">
        <v>1.6873990000000001</v>
      </c>
      <c r="L5988" s="55">
        <v>1.288386</v>
      </c>
      <c r="M5988" s="55">
        <v>1.1735070000000001</v>
      </c>
      <c r="N5988" s="55">
        <v>1.5070589999999999</v>
      </c>
    </row>
    <row r="5989" spans="1:14" hidden="1" x14ac:dyDescent="0.35">
      <c r="A5989" s="52" t="s">
        <v>696</v>
      </c>
      <c r="B5989" s="52" t="s">
        <v>34</v>
      </c>
      <c r="C5989" s="52" t="s">
        <v>33</v>
      </c>
      <c r="D5989" s="52" t="s">
        <v>33</v>
      </c>
      <c r="E5989" s="52" t="s">
        <v>702</v>
      </c>
      <c r="F5989" s="52" t="s">
        <v>581</v>
      </c>
      <c r="G5989" s="55" t="s">
        <v>278</v>
      </c>
      <c r="H5989" s="55">
        <v>23.265470000000001</v>
      </c>
      <c r="I5989" s="55">
        <v>8.1568159999999992</v>
      </c>
      <c r="J5989" s="55">
        <v>4.3425419999999999</v>
      </c>
      <c r="K5989" s="55">
        <v>6.3573110000000002</v>
      </c>
      <c r="L5989" s="55">
        <v>5.9357150000000001</v>
      </c>
      <c r="M5989" s="55">
        <v>5.1587259999999997</v>
      </c>
      <c r="N5989" s="55">
        <v>6.1836140000000004</v>
      </c>
    </row>
    <row r="5990" spans="1:14" hidden="1" x14ac:dyDescent="0.35">
      <c r="A5990" s="52" t="s">
        <v>696</v>
      </c>
      <c r="B5990" s="52" t="s">
        <v>34</v>
      </c>
      <c r="C5990" s="52" t="s">
        <v>33</v>
      </c>
      <c r="D5990" s="52" t="s">
        <v>33</v>
      </c>
      <c r="E5990" s="52" t="s">
        <v>702</v>
      </c>
      <c r="F5990" s="52" t="s">
        <v>581</v>
      </c>
      <c r="G5990" s="55" t="s">
        <v>279</v>
      </c>
      <c r="H5990" s="55">
        <v>2.1603780000000001</v>
      </c>
      <c r="I5990" s="55">
        <v>3.0293169999999998</v>
      </c>
      <c r="J5990" s="55">
        <v>2.9834160000000001</v>
      </c>
      <c r="K5990" s="55">
        <v>3.063523</v>
      </c>
      <c r="L5990" s="55">
        <v>3.0533169999999998</v>
      </c>
      <c r="M5990" s="55">
        <v>3.0850939999999998</v>
      </c>
      <c r="N5990" s="55">
        <v>3.1817500000000001</v>
      </c>
    </row>
    <row r="5991" spans="1:14" hidden="1" x14ac:dyDescent="0.35">
      <c r="A5991" s="52" t="s">
        <v>696</v>
      </c>
      <c r="B5991" s="52" t="s">
        <v>34</v>
      </c>
      <c r="C5991" s="52" t="s">
        <v>33</v>
      </c>
      <c r="D5991" s="52" t="s">
        <v>33</v>
      </c>
      <c r="E5991" s="52" t="s">
        <v>702</v>
      </c>
      <c r="F5991" s="52" t="s">
        <v>26</v>
      </c>
      <c r="G5991" s="55" t="s">
        <v>275</v>
      </c>
      <c r="H5991" s="55">
        <v>-3.0927E-2</v>
      </c>
      <c r="I5991" s="55">
        <v>-4.0622199999999997E-2</v>
      </c>
      <c r="J5991" s="55">
        <v>-3.9703090000000003E-2</v>
      </c>
      <c r="K5991" s="55">
        <v>-4.6254200000000002E-2</v>
      </c>
      <c r="L5991" s="55">
        <v>-3.81868E-2</v>
      </c>
      <c r="M5991" s="55">
        <v>-3.1878299999999998E-2</v>
      </c>
      <c r="N5991" s="55">
        <v>-2.86812E-2</v>
      </c>
    </row>
    <row r="5992" spans="1:14" hidden="1" x14ac:dyDescent="0.35">
      <c r="A5992" s="52" t="s">
        <v>696</v>
      </c>
      <c r="B5992" s="52" t="s">
        <v>34</v>
      </c>
      <c r="C5992" s="52" t="s">
        <v>33</v>
      </c>
      <c r="D5992" s="52" t="s">
        <v>33</v>
      </c>
      <c r="E5992" s="52" t="s">
        <v>702</v>
      </c>
      <c r="F5992" s="52" t="s">
        <v>26</v>
      </c>
      <c r="G5992" s="55" t="s">
        <v>276</v>
      </c>
      <c r="H5992" s="55">
        <v>-1.1150999999999999E-2</v>
      </c>
      <c r="I5992" s="55">
        <v>-1.3540399999999999E-2</v>
      </c>
      <c r="J5992" s="55">
        <v>-1.2537599999999999E-2</v>
      </c>
      <c r="K5992" s="55">
        <v>-1.3817400000000001E-2</v>
      </c>
      <c r="L5992" s="55">
        <v>-1.1405800000000001E-2</v>
      </c>
      <c r="M5992" s="55">
        <v>-9.5220989999999991E-3</v>
      </c>
      <c r="N5992" s="55">
        <v>-8.5673989999999998E-3</v>
      </c>
    </row>
    <row r="5993" spans="1:14" hidden="1" x14ac:dyDescent="0.35">
      <c r="A5993" s="52" t="s">
        <v>696</v>
      </c>
      <c r="B5993" s="52" t="s">
        <v>34</v>
      </c>
      <c r="C5993" s="52" t="s">
        <v>33</v>
      </c>
      <c r="D5993" s="52" t="s">
        <v>33</v>
      </c>
      <c r="E5993" s="52" t="s">
        <v>702</v>
      </c>
      <c r="F5993" s="52" t="s">
        <v>26</v>
      </c>
      <c r="G5993" s="55" t="s">
        <v>279</v>
      </c>
      <c r="H5993" s="55">
        <v>0.22745899999999999</v>
      </c>
      <c r="I5993" s="55">
        <v>0.3209785</v>
      </c>
      <c r="J5993" s="55">
        <v>0.32088949999999999</v>
      </c>
      <c r="K5993" s="55">
        <v>0.33445009999999997</v>
      </c>
      <c r="L5993" s="55">
        <v>0.34941100000000003</v>
      </c>
      <c r="M5993" s="55">
        <v>0.33325110000000002</v>
      </c>
      <c r="N5993" s="55">
        <v>0.34366849999999999</v>
      </c>
    </row>
    <row r="5994" spans="1:14" hidden="1" x14ac:dyDescent="0.35">
      <c r="A5994" s="52" t="s">
        <v>696</v>
      </c>
      <c r="B5994" s="52" t="s">
        <v>34</v>
      </c>
      <c r="C5994" s="52" t="s">
        <v>33</v>
      </c>
      <c r="D5994" s="52" t="s">
        <v>33</v>
      </c>
      <c r="E5994" s="52" t="s">
        <v>703</v>
      </c>
      <c r="F5994" s="52" t="s">
        <v>581</v>
      </c>
      <c r="G5994" s="55" t="s">
        <v>275</v>
      </c>
      <c r="H5994" s="55">
        <v>7.3103660000000001</v>
      </c>
      <c r="I5994" s="55">
        <v>2.7128220000000001</v>
      </c>
      <c r="J5994" s="55">
        <v>2.491368</v>
      </c>
      <c r="K5994" s="55">
        <v>2.3285779999999998</v>
      </c>
      <c r="L5994" s="55">
        <v>2.1911619999999998</v>
      </c>
      <c r="M5994" s="55">
        <v>2.0338229999999999</v>
      </c>
      <c r="N5994" s="55">
        <v>1.883167</v>
      </c>
    </row>
    <row r="5995" spans="1:14" hidden="1" x14ac:dyDescent="0.35">
      <c r="A5995" s="52" t="s">
        <v>696</v>
      </c>
      <c r="B5995" s="52" t="s">
        <v>34</v>
      </c>
      <c r="C5995" s="52" t="s">
        <v>33</v>
      </c>
      <c r="D5995" s="52" t="s">
        <v>33</v>
      </c>
      <c r="E5995" s="52" t="s">
        <v>703</v>
      </c>
      <c r="F5995" s="52" t="s">
        <v>581</v>
      </c>
      <c r="G5995" s="55" t="s">
        <v>276</v>
      </c>
      <c r="H5995" s="55">
        <v>2.6357110000000001</v>
      </c>
      <c r="I5995" s="55">
        <v>0.90427460000000004</v>
      </c>
      <c r="J5995" s="55">
        <v>0.7867478</v>
      </c>
      <c r="K5995" s="55">
        <v>0.6955498</v>
      </c>
      <c r="L5995" s="55">
        <v>0.65450229999999998</v>
      </c>
      <c r="M5995" s="55">
        <v>0.60750579999999998</v>
      </c>
      <c r="N5995" s="55">
        <v>0.56250420000000001</v>
      </c>
    </row>
    <row r="5996" spans="1:14" hidden="1" x14ac:dyDescent="0.35">
      <c r="A5996" s="52" t="s">
        <v>696</v>
      </c>
      <c r="B5996" s="52" t="s">
        <v>34</v>
      </c>
      <c r="C5996" s="52" t="s">
        <v>33</v>
      </c>
      <c r="D5996" s="52" t="s">
        <v>33</v>
      </c>
      <c r="E5996" s="52" t="s">
        <v>703</v>
      </c>
      <c r="F5996" s="52" t="s">
        <v>581</v>
      </c>
      <c r="G5996" s="55" t="s">
        <v>277</v>
      </c>
      <c r="H5996" s="55"/>
      <c r="I5996" s="55"/>
      <c r="J5996" s="55"/>
      <c r="K5996" s="55"/>
      <c r="L5996" s="55"/>
      <c r="M5996" s="55">
        <v>0</v>
      </c>
      <c r="N5996" s="55">
        <v>0</v>
      </c>
    </row>
    <row r="5997" spans="1:14" hidden="1" x14ac:dyDescent="0.35">
      <c r="A5997" s="52" t="s">
        <v>696</v>
      </c>
      <c r="B5997" s="52" t="s">
        <v>34</v>
      </c>
      <c r="C5997" s="52" t="s">
        <v>33</v>
      </c>
      <c r="D5997" s="52" t="s">
        <v>33</v>
      </c>
      <c r="E5997" s="52" t="s">
        <v>703</v>
      </c>
      <c r="F5997" s="52" t="s">
        <v>581</v>
      </c>
      <c r="G5997" s="55" t="s">
        <v>279</v>
      </c>
      <c r="H5997" s="55">
        <v>1.6855150000000001</v>
      </c>
      <c r="I5997" s="55">
        <v>1.49312</v>
      </c>
      <c r="J5997" s="55">
        <v>1.292853</v>
      </c>
      <c r="K5997" s="55">
        <v>1.2020200000000001</v>
      </c>
      <c r="L5997" s="55">
        <v>1.071874</v>
      </c>
      <c r="M5997" s="55">
        <v>1.0001340000000001</v>
      </c>
      <c r="N5997" s="55">
        <v>0.91998179999999996</v>
      </c>
    </row>
    <row r="5998" spans="1:14" hidden="1" x14ac:dyDescent="0.35">
      <c r="A5998" s="52" t="s">
        <v>696</v>
      </c>
      <c r="B5998" s="52" t="s">
        <v>34</v>
      </c>
      <c r="C5998" s="52" t="s">
        <v>33</v>
      </c>
      <c r="D5998" s="52" t="s">
        <v>33</v>
      </c>
      <c r="E5998" s="52" t="s">
        <v>703</v>
      </c>
      <c r="F5998" s="52" t="s">
        <v>26</v>
      </c>
      <c r="G5998" s="55" t="s">
        <v>275</v>
      </c>
      <c r="H5998" s="55">
        <v>-2.0028000000000001E-2</v>
      </c>
      <c r="I5998" s="55">
        <v>-6.5281970000000003E-3</v>
      </c>
      <c r="J5998" s="55">
        <v>-6.2449009999999998E-3</v>
      </c>
      <c r="K5998" s="55">
        <v>-1.7046599999999999E-2</v>
      </c>
      <c r="L5998" s="55">
        <v>-1.55248E-2</v>
      </c>
      <c r="M5998" s="55">
        <v>-3.0993000000000001E-3</v>
      </c>
      <c r="N5998" s="55">
        <v>-3.6028980000000002E-3</v>
      </c>
    </row>
    <row r="5999" spans="1:14" hidden="1" x14ac:dyDescent="0.35">
      <c r="A5999" s="52" t="s">
        <v>696</v>
      </c>
      <c r="B5999" s="52" t="s">
        <v>34</v>
      </c>
      <c r="C5999" s="52" t="s">
        <v>33</v>
      </c>
      <c r="D5999" s="52" t="s">
        <v>33</v>
      </c>
      <c r="E5999" s="52" t="s">
        <v>703</v>
      </c>
      <c r="F5999" s="52" t="s">
        <v>26</v>
      </c>
      <c r="G5999" s="55" t="s">
        <v>276</v>
      </c>
      <c r="H5999" s="55">
        <v>-7.2199999999999999E-3</v>
      </c>
      <c r="I5999" s="55">
        <v>-2.1765E-3</v>
      </c>
      <c r="J5999" s="55">
        <v>-1.9721000000000001E-3</v>
      </c>
      <c r="K5999" s="55">
        <v>-5.0915999999999999E-3</v>
      </c>
      <c r="L5999" s="55">
        <v>-4.6371989999999998E-3</v>
      </c>
      <c r="M5999" s="55">
        <v>-9.2600029999999995E-4</v>
      </c>
      <c r="N5999" s="55">
        <v>-1.0762E-3</v>
      </c>
    </row>
    <row r="6000" spans="1:14" hidden="1" x14ac:dyDescent="0.35">
      <c r="A6000" s="52" t="s">
        <v>696</v>
      </c>
      <c r="B6000" s="52" t="s">
        <v>34</v>
      </c>
      <c r="C6000" s="52" t="s">
        <v>33</v>
      </c>
      <c r="D6000" s="52" t="s">
        <v>33</v>
      </c>
      <c r="E6000" s="52" t="s">
        <v>703</v>
      </c>
      <c r="F6000" s="52" t="s">
        <v>26</v>
      </c>
      <c r="G6000" s="55" t="s">
        <v>279</v>
      </c>
      <c r="H6000" s="55">
        <v>0.72879700000000003</v>
      </c>
      <c r="I6000" s="55">
        <v>0.65088599999999996</v>
      </c>
      <c r="J6000" s="55">
        <v>0.57249300000000003</v>
      </c>
      <c r="K6000" s="55">
        <v>0.54071970000000003</v>
      </c>
      <c r="L6000" s="55">
        <v>0.49781829999999999</v>
      </c>
      <c r="M6000" s="55">
        <v>0.44500849999999997</v>
      </c>
      <c r="N6000" s="55">
        <v>0.40937820000000003</v>
      </c>
    </row>
    <row r="6001" spans="1:14" hidden="1" x14ac:dyDescent="0.35">
      <c r="A6001" s="52" t="s">
        <v>696</v>
      </c>
      <c r="B6001" s="52" t="s">
        <v>34</v>
      </c>
      <c r="C6001" s="52" t="s">
        <v>33</v>
      </c>
      <c r="D6001" s="52" t="s">
        <v>33</v>
      </c>
      <c r="E6001" s="52" t="s">
        <v>683</v>
      </c>
      <c r="F6001" s="52" t="s">
        <v>581</v>
      </c>
      <c r="G6001" s="55" t="s">
        <v>275</v>
      </c>
      <c r="H6001" s="55">
        <v>-0.69956399999999996</v>
      </c>
      <c r="I6001" s="55">
        <v>-0.22105759999999999</v>
      </c>
      <c r="J6001" s="55">
        <v>-0.22042519999999999</v>
      </c>
      <c r="K6001" s="55">
        <v>0.1464511</v>
      </c>
      <c r="L6001" s="55">
        <v>-0.22330549999999999</v>
      </c>
      <c r="M6001" s="55">
        <v>0.44930340000000002</v>
      </c>
      <c r="N6001" s="55">
        <v>0.3400299</v>
      </c>
    </row>
    <row r="6002" spans="1:14" hidden="1" x14ac:dyDescent="0.35">
      <c r="A6002" s="52" t="s">
        <v>696</v>
      </c>
      <c r="B6002" s="52" t="s">
        <v>34</v>
      </c>
      <c r="C6002" s="52" t="s">
        <v>33</v>
      </c>
      <c r="D6002" s="52" t="s">
        <v>33</v>
      </c>
      <c r="E6002" s="52" t="s">
        <v>683</v>
      </c>
      <c r="F6002" s="52" t="s">
        <v>581</v>
      </c>
      <c r="G6002" s="55" t="s">
        <v>276</v>
      </c>
      <c r="H6002" s="55">
        <v>0.23436799999999999</v>
      </c>
      <c r="I6002" s="55">
        <v>-0.1138165</v>
      </c>
      <c r="J6002" s="55">
        <v>-0.1961803</v>
      </c>
      <c r="K6002" s="55">
        <v>-0.15709799999999999</v>
      </c>
      <c r="L6002" s="55">
        <v>-7.4975509999999995E-2</v>
      </c>
      <c r="M6002" s="55">
        <v>-3.2903399999999999E-2</v>
      </c>
      <c r="N6002" s="55">
        <v>6.1031990000000001E-3</v>
      </c>
    </row>
    <row r="6003" spans="1:14" hidden="1" x14ac:dyDescent="0.35">
      <c r="A6003" s="52" t="s">
        <v>696</v>
      </c>
      <c r="B6003" s="52" t="s">
        <v>34</v>
      </c>
      <c r="C6003" s="52" t="s">
        <v>33</v>
      </c>
      <c r="D6003" s="52" t="s">
        <v>33</v>
      </c>
      <c r="E6003" s="52" t="s">
        <v>683</v>
      </c>
      <c r="F6003" s="52" t="s">
        <v>581</v>
      </c>
      <c r="G6003" s="55" t="s">
        <v>277</v>
      </c>
      <c r="H6003" s="55">
        <v>1.5060089999999999</v>
      </c>
      <c r="I6003" s="55">
        <v>0.33333370000000001</v>
      </c>
      <c r="J6003" s="55">
        <v>0.95944569999999996</v>
      </c>
      <c r="K6003" s="55">
        <v>0.49663170000000001</v>
      </c>
      <c r="L6003" s="55">
        <v>0.78176000000000001</v>
      </c>
      <c r="M6003" s="55">
        <v>0</v>
      </c>
      <c r="N6003" s="55">
        <v>0</v>
      </c>
    </row>
    <row r="6004" spans="1:14" hidden="1" x14ac:dyDescent="0.35">
      <c r="A6004" s="52" t="s">
        <v>696</v>
      </c>
      <c r="B6004" s="52" t="s">
        <v>34</v>
      </c>
      <c r="C6004" s="52" t="s">
        <v>33</v>
      </c>
      <c r="D6004" s="52" t="s">
        <v>33</v>
      </c>
      <c r="E6004" s="52" t="s">
        <v>683</v>
      </c>
      <c r="F6004" s="52" t="s">
        <v>581</v>
      </c>
      <c r="G6004" s="55" t="s">
        <v>278</v>
      </c>
      <c r="H6004" s="55">
        <v>0.71399100000000004</v>
      </c>
      <c r="I6004" s="55">
        <v>0.66666700000000001</v>
      </c>
      <c r="J6004" s="55">
        <v>0</v>
      </c>
      <c r="K6004" s="55"/>
      <c r="L6004" s="55"/>
      <c r="M6004" s="55"/>
      <c r="N6004" s="55"/>
    </row>
    <row r="6005" spans="1:14" hidden="1" x14ac:dyDescent="0.35">
      <c r="A6005" s="52" t="s">
        <v>696</v>
      </c>
      <c r="B6005" s="52" t="s">
        <v>34</v>
      </c>
      <c r="C6005" s="52" t="s">
        <v>33</v>
      </c>
      <c r="D6005" s="52" t="s">
        <v>33</v>
      </c>
      <c r="E6005" s="52" t="s">
        <v>683</v>
      </c>
      <c r="F6005" s="52" t="s">
        <v>581</v>
      </c>
      <c r="G6005" s="55" t="s">
        <v>279</v>
      </c>
      <c r="H6005" s="55">
        <v>0.32886100000000001</v>
      </c>
      <c r="I6005" s="55">
        <v>0.27250550000000001</v>
      </c>
      <c r="J6005" s="55">
        <v>0.20401140000000001</v>
      </c>
      <c r="K6005" s="55">
        <v>0.1887704</v>
      </c>
      <c r="L6005" s="55">
        <v>0.17590169999999999</v>
      </c>
      <c r="M6005" s="55">
        <v>0.1550356</v>
      </c>
      <c r="N6005" s="55">
        <v>0.1281465</v>
      </c>
    </row>
    <row r="6006" spans="1:14" hidden="1" x14ac:dyDescent="0.35">
      <c r="A6006" s="52" t="s">
        <v>696</v>
      </c>
      <c r="B6006" s="52" t="s">
        <v>34</v>
      </c>
      <c r="C6006" s="52" t="s">
        <v>33</v>
      </c>
      <c r="D6006" s="52" t="s">
        <v>33</v>
      </c>
      <c r="E6006" s="52" t="s">
        <v>683</v>
      </c>
      <c r="F6006" s="52" t="s">
        <v>26</v>
      </c>
      <c r="G6006" s="55" t="s">
        <v>275</v>
      </c>
      <c r="H6006" s="55">
        <v>-1.0666E-2</v>
      </c>
      <c r="I6006" s="55">
        <v>-8.5792999999999998E-3</v>
      </c>
      <c r="J6006" s="55">
        <v>-6.4644000000000004E-3</v>
      </c>
      <c r="K6006" s="55">
        <v>-6.8646990000000001E-3</v>
      </c>
      <c r="L6006" s="55">
        <v>-6.4704000000000003E-3</v>
      </c>
      <c r="M6006" s="55">
        <v>-4.9283E-3</v>
      </c>
      <c r="N6006" s="55">
        <v>-4.1224E-3</v>
      </c>
    </row>
    <row r="6007" spans="1:14" hidden="1" x14ac:dyDescent="0.35">
      <c r="A6007" s="52" t="s">
        <v>696</v>
      </c>
      <c r="B6007" s="52" t="s">
        <v>34</v>
      </c>
      <c r="C6007" s="52" t="s">
        <v>33</v>
      </c>
      <c r="D6007" s="52" t="s">
        <v>33</v>
      </c>
      <c r="E6007" s="52" t="s">
        <v>683</v>
      </c>
      <c r="F6007" s="52" t="s">
        <v>26</v>
      </c>
      <c r="G6007" s="55" t="s">
        <v>276</v>
      </c>
      <c r="H6007" s="55">
        <v>-3.846E-3</v>
      </c>
      <c r="I6007" s="55">
        <v>-2.8600000000000001E-3</v>
      </c>
      <c r="J6007" s="55">
        <v>-2.0403999999999999E-3</v>
      </c>
      <c r="K6007" s="55">
        <v>-2.0508000000000002E-3</v>
      </c>
      <c r="L6007" s="55">
        <v>-1.9335000000000001E-3</v>
      </c>
      <c r="M6007" s="55">
        <v>-1.4733999999999999E-3</v>
      </c>
      <c r="N6007" s="55">
        <v>-1.2317000000000001E-3</v>
      </c>
    </row>
    <row r="6008" spans="1:14" hidden="1" x14ac:dyDescent="0.35">
      <c r="A6008" s="52" t="s">
        <v>696</v>
      </c>
      <c r="B6008" s="52" t="s">
        <v>34</v>
      </c>
      <c r="C6008" s="52" t="s">
        <v>33</v>
      </c>
      <c r="D6008" s="52" t="s">
        <v>33</v>
      </c>
      <c r="E6008" s="52" t="s">
        <v>683</v>
      </c>
      <c r="F6008" s="52" t="s">
        <v>26</v>
      </c>
      <c r="G6008" s="55" t="s">
        <v>279</v>
      </c>
      <c r="H6008" s="55">
        <v>7.1208999999999995E-2</v>
      </c>
      <c r="I6008" s="55">
        <v>5.93961E-2</v>
      </c>
      <c r="J6008" s="55">
        <v>4.5168899999999998E-2</v>
      </c>
      <c r="K6008" s="55">
        <v>4.24538E-2</v>
      </c>
      <c r="L6008" s="55">
        <v>4.1027399999999999E-2</v>
      </c>
      <c r="M6008" s="55">
        <v>3.4492399999999999E-2</v>
      </c>
      <c r="N6008" s="55">
        <v>2.8510600000000001E-2</v>
      </c>
    </row>
    <row r="6009" spans="1:14" hidden="1" x14ac:dyDescent="0.35">
      <c r="A6009" s="52" t="s">
        <v>696</v>
      </c>
      <c r="B6009" s="52" t="s">
        <v>34</v>
      </c>
      <c r="C6009" s="52" t="s">
        <v>33</v>
      </c>
      <c r="D6009" s="52" t="s">
        <v>33</v>
      </c>
      <c r="E6009" s="52" t="s">
        <v>704</v>
      </c>
      <c r="F6009" s="52" t="s">
        <v>581</v>
      </c>
      <c r="G6009" s="55" t="s">
        <v>275</v>
      </c>
      <c r="H6009" s="55">
        <v>0.203847</v>
      </c>
      <c r="I6009" s="55">
        <v>7.21411E-2</v>
      </c>
      <c r="J6009" s="55">
        <v>6.6208089999999997E-2</v>
      </c>
      <c r="K6009" s="55">
        <v>6.1232799999999997E-2</v>
      </c>
      <c r="L6009" s="55">
        <v>5.7673799999999997E-2</v>
      </c>
      <c r="M6009" s="55">
        <v>5.3576499999999999E-2</v>
      </c>
      <c r="N6009" s="55">
        <v>4.9616E-2</v>
      </c>
    </row>
    <row r="6010" spans="1:14" hidden="1" x14ac:dyDescent="0.35">
      <c r="A6010" s="52" t="s">
        <v>696</v>
      </c>
      <c r="B6010" s="52" t="s">
        <v>34</v>
      </c>
      <c r="C6010" s="52" t="s">
        <v>33</v>
      </c>
      <c r="D6010" s="52" t="s">
        <v>33</v>
      </c>
      <c r="E6010" s="52" t="s">
        <v>704</v>
      </c>
      <c r="F6010" s="52" t="s">
        <v>581</v>
      </c>
      <c r="G6010" s="55" t="s">
        <v>276</v>
      </c>
      <c r="H6010" s="55">
        <v>8.7362999999999996E-2</v>
      </c>
      <c r="I6010" s="55">
        <v>3.0917699999999999E-2</v>
      </c>
      <c r="J6010" s="55">
        <v>2.8375000000000001E-2</v>
      </c>
      <c r="K6010" s="55">
        <v>2.6242399999999999E-2</v>
      </c>
      <c r="L6010" s="55">
        <v>2.47175E-2</v>
      </c>
      <c r="M6010" s="55">
        <v>2.2961100000000002E-2</v>
      </c>
      <c r="N6010" s="55">
        <v>2.1264600000000002E-2</v>
      </c>
    </row>
    <row r="6011" spans="1:14" hidden="1" x14ac:dyDescent="0.35">
      <c r="A6011" s="52" t="s">
        <v>696</v>
      </c>
      <c r="B6011" s="52" t="s">
        <v>34</v>
      </c>
      <c r="C6011" s="52" t="s">
        <v>33</v>
      </c>
      <c r="D6011" s="52" t="s">
        <v>33</v>
      </c>
      <c r="E6011" s="52" t="s">
        <v>704</v>
      </c>
      <c r="F6011" s="52" t="s">
        <v>581</v>
      </c>
      <c r="G6011" s="55" t="s">
        <v>277</v>
      </c>
      <c r="H6011" s="55"/>
      <c r="I6011" s="55"/>
      <c r="J6011" s="55"/>
      <c r="K6011" s="55"/>
      <c r="L6011" s="55">
        <v>0</v>
      </c>
      <c r="M6011" s="55">
        <v>0</v>
      </c>
      <c r="N6011" s="55">
        <v>0</v>
      </c>
    </row>
    <row r="6012" spans="1:14" hidden="1" x14ac:dyDescent="0.35">
      <c r="A6012" s="52" t="s">
        <v>696</v>
      </c>
      <c r="B6012" s="52" t="s">
        <v>34</v>
      </c>
      <c r="C6012" s="52" t="s">
        <v>33</v>
      </c>
      <c r="D6012" s="52" t="s">
        <v>33</v>
      </c>
      <c r="E6012" s="52" t="s">
        <v>704</v>
      </c>
      <c r="F6012" s="52" t="s">
        <v>581</v>
      </c>
      <c r="G6012" s="55" t="s">
        <v>279</v>
      </c>
      <c r="H6012" s="55">
        <v>5.1315E-2</v>
      </c>
      <c r="I6012" s="55">
        <v>4.6441999999999997E-2</v>
      </c>
      <c r="J6012" s="55">
        <v>4.0717999999999997E-2</v>
      </c>
      <c r="K6012" s="55">
        <v>3.8004400000000001E-2</v>
      </c>
      <c r="L6012" s="55">
        <v>3.3957399999999999E-2</v>
      </c>
      <c r="M6012" s="55">
        <v>3.1613299999999997E-2</v>
      </c>
      <c r="N6012" s="55">
        <v>2.90791E-2</v>
      </c>
    </row>
    <row r="6013" spans="1:14" hidden="1" x14ac:dyDescent="0.35">
      <c r="A6013" s="52" t="s">
        <v>696</v>
      </c>
      <c r="B6013" s="52" t="s">
        <v>34</v>
      </c>
      <c r="C6013" s="52" t="s">
        <v>33</v>
      </c>
      <c r="D6013" s="52" t="s">
        <v>33</v>
      </c>
      <c r="E6013" s="52" t="s">
        <v>704</v>
      </c>
      <c r="F6013" s="52" t="s">
        <v>26</v>
      </c>
      <c r="G6013" s="55" t="s">
        <v>275</v>
      </c>
      <c r="H6013" s="55">
        <v>-8.2000000000000001E-5</v>
      </c>
      <c r="I6013" s="55">
        <v>-7.0099999999999996E-5</v>
      </c>
      <c r="J6013" s="55">
        <v>-6.3E-5</v>
      </c>
      <c r="K6013" s="55">
        <v>-6.9400000000000006E-5</v>
      </c>
      <c r="L6013" s="55">
        <v>-6.3699990000000003E-5</v>
      </c>
      <c r="M6013" s="55">
        <v>-4.7200000000000002E-5</v>
      </c>
      <c r="N6013" s="55">
        <v>-4.3699999999999998E-5</v>
      </c>
    </row>
    <row r="6014" spans="1:14" hidden="1" x14ac:dyDescent="0.35">
      <c r="A6014" s="52" t="s">
        <v>696</v>
      </c>
      <c r="B6014" s="52" t="s">
        <v>34</v>
      </c>
      <c r="C6014" s="52" t="s">
        <v>33</v>
      </c>
      <c r="D6014" s="52" t="s">
        <v>33</v>
      </c>
      <c r="E6014" s="52" t="s">
        <v>704</v>
      </c>
      <c r="F6014" s="52" t="s">
        <v>26</v>
      </c>
      <c r="G6014" s="55" t="s">
        <v>276</v>
      </c>
      <c r="H6014" s="55">
        <v>-3.6000000000000001E-5</v>
      </c>
      <c r="I6014" s="55">
        <v>-3.01E-5</v>
      </c>
      <c r="J6014" s="55">
        <v>-2.6999999999999999E-5</v>
      </c>
      <c r="K6014" s="55">
        <v>-2.9200000000000002E-5</v>
      </c>
      <c r="L6014" s="55">
        <v>-2.7100000000000001E-5</v>
      </c>
      <c r="M6014" s="55">
        <v>-1.98E-5</v>
      </c>
      <c r="N6014" s="55">
        <v>-1.84E-5</v>
      </c>
    </row>
    <row r="6015" spans="1:14" hidden="1" x14ac:dyDescent="0.35">
      <c r="A6015" s="52" t="s">
        <v>696</v>
      </c>
      <c r="B6015" s="52" t="s">
        <v>34</v>
      </c>
      <c r="C6015" s="52" t="s">
        <v>33</v>
      </c>
      <c r="D6015" s="52" t="s">
        <v>33</v>
      </c>
      <c r="E6015" s="52" t="s">
        <v>704</v>
      </c>
      <c r="F6015" s="52" t="s">
        <v>26</v>
      </c>
      <c r="G6015" s="55" t="s">
        <v>279</v>
      </c>
      <c r="H6015" s="55">
        <v>7.4900010000000003E-4</v>
      </c>
      <c r="I6015" s="55">
        <v>6.8300000000000001E-4</v>
      </c>
      <c r="J6015" s="55">
        <v>6.0700000000000001E-4</v>
      </c>
      <c r="K6015" s="55">
        <v>5.752E-4</v>
      </c>
      <c r="L6015" s="55">
        <v>5.3160000000000002E-4</v>
      </c>
      <c r="M6015" s="55">
        <v>4.7329989999999998E-4</v>
      </c>
      <c r="N6015" s="55">
        <v>4.3529989999999998E-4</v>
      </c>
    </row>
    <row r="6016" spans="1:14" hidden="1" x14ac:dyDescent="0.35">
      <c r="A6016" s="52" t="s">
        <v>696</v>
      </c>
      <c r="B6016" s="52" t="s">
        <v>37</v>
      </c>
      <c r="C6016" s="52" t="s">
        <v>51</v>
      </c>
      <c r="D6016" s="52" t="s">
        <v>51</v>
      </c>
      <c r="E6016" s="52" t="s">
        <v>602</v>
      </c>
      <c r="F6016" s="52" t="s">
        <v>581</v>
      </c>
      <c r="G6016" s="55" t="s">
        <v>275</v>
      </c>
      <c r="H6016" s="55">
        <v>-50.992350000000002</v>
      </c>
      <c r="I6016" s="55">
        <v>2.1313409999999999</v>
      </c>
      <c r="J6016" s="55">
        <v>11.52205</v>
      </c>
      <c r="K6016" s="55">
        <v>43.494190000000003</v>
      </c>
      <c r="L6016" s="55">
        <v>40.800229999999999</v>
      </c>
      <c r="M6016" s="55">
        <v>27.243379999999998</v>
      </c>
      <c r="N6016" s="55">
        <v>22.247820000000001</v>
      </c>
    </row>
    <row r="6017" spans="1:14" hidden="1" x14ac:dyDescent="0.35">
      <c r="A6017" s="52" t="s">
        <v>696</v>
      </c>
      <c r="B6017" s="52" t="s">
        <v>37</v>
      </c>
      <c r="C6017" s="52" t="s">
        <v>51</v>
      </c>
      <c r="D6017" s="52" t="s">
        <v>51</v>
      </c>
      <c r="E6017" s="52" t="s">
        <v>602</v>
      </c>
      <c r="F6017" s="52" t="s">
        <v>581</v>
      </c>
      <c r="G6017" s="55" t="s">
        <v>276</v>
      </c>
      <c r="H6017" s="55">
        <v>3.9563920000000001</v>
      </c>
      <c r="I6017" s="55">
        <v>-12.28337</v>
      </c>
      <c r="J6017" s="55">
        <v>-11.446490000000001</v>
      </c>
      <c r="K6017" s="55">
        <v>-16.20224</v>
      </c>
      <c r="L6017" s="55">
        <v>-11.443569999999999</v>
      </c>
      <c r="M6017" s="55">
        <v>-1.032395</v>
      </c>
      <c r="N6017" s="55">
        <v>-0.56262509999999999</v>
      </c>
    </row>
    <row r="6018" spans="1:14" hidden="1" x14ac:dyDescent="0.35">
      <c r="A6018" s="52" t="s">
        <v>696</v>
      </c>
      <c r="B6018" s="52" t="s">
        <v>37</v>
      </c>
      <c r="C6018" s="52" t="s">
        <v>51</v>
      </c>
      <c r="D6018" s="52" t="s">
        <v>51</v>
      </c>
      <c r="E6018" s="52" t="s">
        <v>602</v>
      </c>
      <c r="F6018" s="52" t="s">
        <v>581</v>
      </c>
      <c r="G6018" s="55" t="s">
        <v>277</v>
      </c>
      <c r="H6018" s="55">
        <v>176.20740000000001</v>
      </c>
      <c r="I6018" s="55">
        <v>22.2729</v>
      </c>
      <c r="J6018" s="55">
        <v>40.616219999999998</v>
      </c>
      <c r="K6018" s="55">
        <v>8.2487069999999996</v>
      </c>
      <c r="L6018" s="55">
        <v>6.7202970000000004</v>
      </c>
      <c r="M6018" s="55">
        <v>0</v>
      </c>
      <c r="N6018" s="55">
        <v>0</v>
      </c>
    </row>
    <row r="6019" spans="1:14" hidden="1" x14ac:dyDescent="0.35">
      <c r="A6019" s="52" t="s">
        <v>696</v>
      </c>
      <c r="B6019" s="52" t="s">
        <v>37</v>
      </c>
      <c r="C6019" s="52" t="s">
        <v>51</v>
      </c>
      <c r="D6019" s="52" t="s">
        <v>51</v>
      </c>
      <c r="E6019" s="52" t="s">
        <v>602</v>
      </c>
      <c r="F6019" s="52" t="s">
        <v>581</v>
      </c>
      <c r="G6019" s="55" t="s">
        <v>278</v>
      </c>
      <c r="H6019" s="55">
        <v>14.392569999999999</v>
      </c>
      <c r="I6019" s="55">
        <v>30.963010000000001</v>
      </c>
      <c r="J6019" s="55">
        <v>10.97983</v>
      </c>
      <c r="K6019" s="55">
        <v>9.1461520000000007</v>
      </c>
      <c r="L6019" s="55">
        <v>4.6030720000000001</v>
      </c>
      <c r="M6019" s="55">
        <v>0</v>
      </c>
      <c r="N6019" s="55">
        <v>0</v>
      </c>
    </row>
    <row r="6020" spans="1:14" hidden="1" x14ac:dyDescent="0.35">
      <c r="A6020" s="52" t="s">
        <v>696</v>
      </c>
      <c r="B6020" s="52" t="s">
        <v>37</v>
      </c>
      <c r="C6020" s="52" t="s">
        <v>51</v>
      </c>
      <c r="D6020" s="52" t="s">
        <v>51</v>
      </c>
      <c r="E6020" s="52" t="s">
        <v>602</v>
      </c>
      <c r="F6020" s="52" t="s">
        <v>581</v>
      </c>
      <c r="G6020" s="55" t="s">
        <v>279</v>
      </c>
      <c r="H6020" s="55">
        <v>70.799959999999999</v>
      </c>
      <c r="I6020" s="55">
        <v>57.367440000000002</v>
      </c>
      <c r="J6020" s="55">
        <v>62.75215</v>
      </c>
      <c r="K6020" s="55">
        <v>56.90352</v>
      </c>
      <c r="L6020" s="55">
        <v>43.473550000000003</v>
      </c>
      <c r="M6020" s="55">
        <v>39.380249999999997</v>
      </c>
      <c r="N6020" s="55">
        <v>32.32555</v>
      </c>
    </row>
    <row r="6021" spans="1:14" hidden="1" x14ac:dyDescent="0.35">
      <c r="A6021" s="52" t="s">
        <v>696</v>
      </c>
      <c r="B6021" s="52" t="s">
        <v>37</v>
      </c>
      <c r="C6021" s="52" t="s">
        <v>51</v>
      </c>
      <c r="D6021" s="52" t="s">
        <v>51</v>
      </c>
      <c r="E6021" s="52" t="s">
        <v>602</v>
      </c>
      <c r="F6021" s="52" t="s">
        <v>26</v>
      </c>
      <c r="G6021" s="55" t="s">
        <v>275</v>
      </c>
      <c r="H6021" s="55">
        <v>0.59658</v>
      </c>
      <c r="I6021" s="55">
        <v>0.2071925</v>
      </c>
      <c r="J6021" s="55">
        <v>0.57829649999999999</v>
      </c>
      <c r="K6021" s="55">
        <v>0.35342810000000002</v>
      </c>
      <c r="L6021" s="55">
        <v>0.40243719999999999</v>
      </c>
      <c r="M6021" s="55">
        <v>2.7001600000000001E-2</v>
      </c>
      <c r="N6021" s="55">
        <v>1.9725900000000001E-2</v>
      </c>
    </row>
    <row r="6022" spans="1:14" hidden="1" x14ac:dyDescent="0.35">
      <c r="A6022" s="52" t="s">
        <v>696</v>
      </c>
      <c r="B6022" s="52" t="s">
        <v>37</v>
      </c>
      <c r="C6022" s="52" t="s">
        <v>51</v>
      </c>
      <c r="D6022" s="52" t="s">
        <v>51</v>
      </c>
      <c r="E6022" s="52" t="s">
        <v>602</v>
      </c>
      <c r="F6022" s="52" t="s">
        <v>26</v>
      </c>
      <c r="G6022" s="55" t="s">
        <v>276</v>
      </c>
      <c r="H6022" s="55">
        <v>0.15858</v>
      </c>
      <c r="I6022" s="55">
        <v>5.5078000000000002E-2</v>
      </c>
      <c r="J6022" s="55">
        <v>0.15372160000000001</v>
      </c>
      <c r="K6022" s="55">
        <v>9.3948599999999993E-2</v>
      </c>
      <c r="L6022" s="55">
        <v>0.1069775</v>
      </c>
      <c r="M6022" s="55">
        <v>7.1796000000000004E-3</v>
      </c>
      <c r="N6022" s="55">
        <v>5.2439009999999996E-3</v>
      </c>
    </row>
    <row r="6023" spans="1:14" hidden="1" x14ac:dyDescent="0.35">
      <c r="A6023" s="52" t="s">
        <v>696</v>
      </c>
      <c r="B6023" s="52" t="s">
        <v>37</v>
      </c>
      <c r="C6023" s="52" t="s">
        <v>51</v>
      </c>
      <c r="D6023" s="52" t="s">
        <v>51</v>
      </c>
      <c r="E6023" s="52" t="s">
        <v>602</v>
      </c>
      <c r="F6023" s="52" t="s">
        <v>26</v>
      </c>
      <c r="G6023" s="55" t="s">
        <v>279</v>
      </c>
      <c r="H6023" s="55">
        <v>7.4976609999999999</v>
      </c>
      <c r="I6023" s="55">
        <v>4.459924</v>
      </c>
      <c r="J6023" s="55">
        <v>4.9143509999999999</v>
      </c>
      <c r="K6023" s="55">
        <v>4.5079380000000002</v>
      </c>
      <c r="L6023" s="55">
        <v>3.5401440000000002</v>
      </c>
      <c r="M6023" s="55">
        <v>3.1058110000000001</v>
      </c>
      <c r="N6023" s="55">
        <v>2.5482969999999998</v>
      </c>
    </row>
    <row r="6024" spans="1:14" hidden="1" x14ac:dyDescent="0.35">
      <c r="A6024" s="52" t="s">
        <v>696</v>
      </c>
      <c r="B6024" s="52" t="s">
        <v>37</v>
      </c>
      <c r="C6024" s="52" t="s">
        <v>51</v>
      </c>
      <c r="D6024" s="52" t="s">
        <v>51</v>
      </c>
      <c r="E6024" s="52" t="s">
        <v>705</v>
      </c>
      <c r="F6024" s="52" t="s">
        <v>581</v>
      </c>
      <c r="G6024" s="55" t="s">
        <v>275</v>
      </c>
      <c r="H6024" s="55">
        <v>6.5609380000000002</v>
      </c>
      <c r="I6024" s="55">
        <v>2.17788</v>
      </c>
      <c r="J6024" s="55">
        <v>1.9779119999999999</v>
      </c>
      <c r="K6024" s="55">
        <v>1.8046219999999999</v>
      </c>
      <c r="L6024" s="55">
        <v>1.6978709999999999</v>
      </c>
      <c r="M6024" s="55">
        <v>1.5030779999999999</v>
      </c>
      <c r="N6024" s="55">
        <v>1.396571</v>
      </c>
    </row>
    <row r="6025" spans="1:14" hidden="1" x14ac:dyDescent="0.35">
      <c r="A6025" s="52" t="s">
        <v>696</v>
      </c>
      <c r="B6025" s="52" t="s">
        <v>37</v>
      </c>
      <c r="C6025" s="52" t="s">
        <v>51</v>
      </c>
      <c r="D6025" s="52" t="s">
        <v>51</v>
      </c>
      <c r="E6025" s="52" t="s">
        <v>705</v>
      </c>
      <c r="F6025" s="52" t="s">
        <v>581</v>
      </c>
      <c r="G6025" s="55" t="s">
        <v>276</v>
      </c>
      <c r="H6025" s="55">
        <v>1.7440469999999999</v>
      </c>
      <c r="I6025" s="55">
        <v>0.57892980000000005</v>
      </c>
      <c r="J6025" s="55">
        <v>0.52577390000000002</v>
      </c>
      <c r="K6025" s="55">
        <v>0.47970970000000002</v>
      </c>
      <c r="L6025" s="55">
        <v>0.45133269999999998</v>
      </c>
      <c r="M6025" s="55">
        <v>0.39955220000000002</v>
      </c>
      <c r="N6025" s="55">
        <v>0.37124020000000002</v>
      </c>
    </row>
    <row r="6026" spans="1:14" hidden="1" x14ac:dyDescent="0.35">
      <c r="A6026" s="52" t="s">
        <v>696</v>
      </c>
      <c r="B6026" s="52" t="s">
        <v>37</v>
      </c>
      <c r="C6026" s="52" t="s">
        <v>51</v>
      </c>
      <c r="D6026" s="52" t="s">
        <v>51</v>
      </c>
      <c r="E6026" s="52" t="s">
        <v>705</v>
      </c>
      <c r="F6026" s="52" t="s">
        <v>581</v>
      </c>
      <c r="G6026" s="55" t="s">
        <v>277</v>
      </c>
      <c r="H6026" s="55"/>
      <c r="I6026" s="55"/>
      <c r="J6026" s="55"/>
      <c r="K6026" s="55"/>
      <c r="L6026" s="55"/>
      <c r="M6026" s="55">
        <v>0</v>
      </c>
      <c r="N6026" s="55">
        <v>0</v>
      </c>
    </row>
    <row r="6027" spans="1:14" hidden="1" x14ac:dyDescent="0.35">
      <c r="A6027" s="52" t="s">
        <v>696</v>
      </c>
      <c r="B6027" s="52" t="s">
        <v>37</v>
      </c>
      <c r="C6027" s="52" t="s">
        <v>51</v>
      </c>
      <c r="D6027" s="52" t="s">
        <v>51</v>
      </c>
      <c r="E6027" s="52" t="s">
        <v>705</v>
      </c>
      <c r="F6027" s="52" t="s">
        <v>581</v>
      </c>
      <c r="G6027" s="55" t="s">
        <v>279</v>
      </c>
      <c r="H6027" s="55">
        <v>2.270648</v>
      </c>
      <c r="I6027" s="55">
        <v>1.4794929999999999</v>
      </c>
      <c r="J6027" s="55">
        <v>1.292246</v>
      </c>
      <c r="K6027" s="55">
        <v>1.2291289999999999</v>
      </c>
      <c r="L6027" s="55">
        <v>1.1117239999999999</v>
      </c>
      <c r="M6027" s="55">
        <v>1.1347780000000001</v>
      </c>
      <c r="N6027" s="55">
        <v>1.0452729999999999</v>
      </c>
    </row>
    <row r="6028" spans="1:14" hidden="1" x14ac:dyDescent="0.35">
      <c r="A6028" s="52" t="s">
        <v>674</v>
      </c>
      <c r="B6028" s="52" t="s">
        <v>34</v>
      </c>
      <c r="C6028" s="52" t="s">
        <v>33</v>
      </c>
      <c r="D6028" s="52" t="s">
        <v>33</v>
      </c>
      <c r="E6028" s="52" t="s">
        <v>675</v>
      </c>
      <c r="F6028" s="52" t="s">
        <v>581</v>
      </c>
      <c r="G6028" s="55" t="s">
        <v>275</v>
      </c>
      <c r="H6028" s="55">
        <v>77.4679</v>
      </c>
      <c r="I6028" s="55">
        <v>12.759209999999999</v>
      </c>
      <c r="J6028" s="55">
        <v>13.428940000000001</v>
      </c>
      <c r="K6028" s="55">
        <v>11.157590000000001</v>
      </c>
      <c r="L6028" s="55">
        <v>9.5436069999999997</v>
      </c>
      <c r="M6028" s="55">
        <v>10.69012</v>
      </c>
      <c r="N6028" s="55">
        <v>10.151070000000001</v>
      </c>
    </row>
    <row r="6029" spans="1:14" hidden="1" x14ac:dyDescent="0.35">
      <c r="A6029" s="52" t="s">
        <v>674</v>
      </c>
      <c r="B6029" s="52" t="s">
        <v>34</v>
      </c>
      <c r="C6029" s="52" t="s">
        <v>33</v>
      </c>
      <c r="D6029" s="52" t="s">
        <v>33</v>
      </c>
      <c r="E6029" s="52" t="s">
        <v>675</v>
      </c>
      <c r="F6029" s="52" t="s">
        <v>581</v>
      </c>
      <c r="G6029" s="55" t="s">
        <v>276</v>
      </c>
      <c r="H6029" s="55">
        <v>27.930610000000001</v>
      </c>
      <c r="I6029" s="55">
        <v>4.2530780000000004</v>
      </c>
      <c r="J6029" s="55">
        <v>4.2407149999999998</v>
      </c>
      <c r="K6029" s="55">
        <v>3.3327870000000002</v>
      </c>
      <c r="L6029" s="55">
        <v>2.8506909999999999</v>
      </c>
      <c r="M6029" s="55">
        <v>3.1931530000000001</v>
      </c>
      <c r="N6029" s="55">
        <v>3.0321340000000001</v>
      </c>
    </row>
    <row r="6030" spans="1:14" hidden="1" x14ac:dyDescent="0.35">
      <c r="A6030" s="52" t="s">
        <v>674</v>
      </c>
      <c r="B6030" s="52" t="s">
        <v>34</v>
      </c>
      <c r="C6030" s="52" t="s">
        <v>33</v>
      </c>
      <c r="D6030" s="52" t="s">
        <v>33</v>
      </c>
      <c r="E6030" s="52" t="s">
        <v>675</v>
      </c>
      <c r="F6030" s="52" t="s">
        <v>581</v>
      </c>
      <c r="G6030" s="55" t="s">
        <v>279</v>
      </c>
      <c r="H6030" s="55">
        <v>68.027230000000003</v>
      </c>
      <c r="I6030" s="55">
        <v>66.905109999999993</v>
      </c>
      <c r="J6030" s="55">
        <v>65.83408</v>
      </c>
      <c r="K6030" s="55">
        <v>61.480319999999999</v>
      </c>
      <c r="L6030" s="55">
        <v>51.850059999999999</v>
      </c>
      <c r="M6030" s="55">
        <v>43.709980000000002</v>
      </c>
      <c r="N6030" s="55">
        <v>40.019280000000002</v>
      </c>
    </row>
    <row r="6031" spans="1:14" hidden="1" x14ac:dyDescent="0.35">
      <c r="A6031" s="52" t="s">
        <v>674</v>
      </c>
      <c r="B6031" s="52" t="s">
        <v>34</v>
      </c>
      <c r="C6031" s="52" t="s">
        <v>33</v>
      </c>
      <c r="D6031" s="52" t="s">
        <v>33</v>
      </c>
      <c r="E6031" s="52" t="s">
        <v>675</v>
      </c>
      <c r="F6031" s="52" t="s">
        <v>26</v>
      </c>
      <c r="G6031" s="55" t="s">
        <v>275</v>
      </c>
      <c r="H6031" s="55">
        <v>-194.64340000000001</v>
      </c>
      <c r="I6031" s="55">
        <v>118.307</v>
      </c>
      <c r="J6031" s="55">
        <v>114.3969</v>
      </c>
      <c r="K6031" s="55">
        <v>116.5395</v>
      </c>
      <c r="L6031" s="55">
        <v>76.734769999999997</v>
      </c>
      <c r="M6031" s="55">
        <v>67.488249999999994</v>
      </c>
      <c r="N6031" s="55">
        <v>52.1785</v>
      </c>
    </row>
    <row r="6032" spans="1:14" hidden="1" x14ac:dyDescent="0.35">
      <c r="A6032" s="52" t="s">
        <v>674</v>
      </c>
      <c r="B6032" s="52" t="s">
        <v>34</v>
      </c>
      <c r="C6032" s="52" t="s">
        <v>33</v>
      </c>
      <c r="D6032" s="52" t="s">
        <v>33</v>
      </c>
      <c r="E6032" s="52" t="s">
        <v>675</v>
      </c>
      <c r="F6032" s="52" t="s">
        <v>26</v>
      </c>
      <c r="G6032" s="55" t="s">
        <v>276</v>
      </c>
      <c r="H6032" s="55">
        <v>-61.2224</v>
      </c>
      <c r="I6032" s="55">
        <v>-47.758960000000002</v>
      </c>
      <c r="J6032" s="55">
        <v>-28.241520000000001</v>
      </c>
      <c r="K6032" s="55">
        <v>-7.6681109999999997</v>
      </c>
      <c r="L6032" s="55">
        <v>12.106479999999999</v>
      </c>
      <c r="M6032" s="55">
        <v>15.02914</v>
      </c>
      <c r="N6032" s="55">
        <v>15.51337</v>
      </c>
    </row>
    <row r="6033" spans="1:14" hidden="1" x14ac:dyDescent="0.35">
      <c r="A6033" s="52" t="s">
        <v>674</v>
      </c>
      <c r="B6033" s="52" t="s">
        <v>34</v>
      </c>
      <c r="C6033" s="52" t="s">
        <v>33</v>
      </c>
      <c r="D6033" s="52" t="s">
        <v>33</v>
      </c>
      <c r="E6033" s="52" t="s">
        <v>675</v>
      </c>
      <c r="F6033" s="52" t="s">
        <v>26</v>
      </c>
      <c r="G6033" s="55" t="s">
        <v>277</v>
      </c>
      <c r="H6033" s="55">
        <v>355.63499999999999</v>
      </c>
      <c r="I6033" s="55">
        <v>53.011479999999999</v>
      </c>
      <c r="J6033" s="55">
        <v>31.41151</v>
      </c>
      <c r="K6033" s="55">
        <v>6.7359830000000001</v>
      </c>
      <c r="L6033" s="55">
        <v>6.2517810000000003</v>
      </c>
      <c r="M6033" s="55">
        <v>7.6499119999999996</v>
      </c>
      <c r="N6033" s="55">
        <v>11.143190000000001</v>
      </c>
    </row>
    <row r="6034" spans="1:14" hidden="1" x14ac:dyDescent="0.35">
      <c r="A6034" s="52" t="s">
        <v>674</v>
      </c>
      <c r="B6034" s="52" t="s">
        <v>34</v>
      </c>
      <c r="C6034" s="52" t="s">
        <v>33</v>
      </c>
      <c r="D6034" s="52" t="s">
        <v>33</v>
      </c>
      <c r="E6034" s="52" t="s">
        <v>675</v>
      </c>
      <c r="F6034" s="52" t="s">
        <v>26</v>
      </c>
      <c r="G6034" s="55" t="s">
        <v>278</v>
      </c>
      <c r="H6034" s="55">
        <v>97.465019999999996</v>
      </c>
      <c r="I6034" s="55">
        <v>55.56514</v>
      </c>
      <c r="J6034" s="55">
        <v>37.784790000000001</v>
      </c>
      <c r="K6034" s="55">
        <v>13.940329999999999</v>
      </c>
      <c r="L6034" s="55">
        <v>11.62542</v>
      </c>
      <c r="M6034" s="55">
        <v>5.368938</v>
      </c>
      <c r="N6034" s="55">
        <v>5.7243279999999999</v>
      </c>
    </row>
    <row r="6035" spans="1:14" hidden="1" x14ac:dyDescent="0.35">
      <c r="A6035" s="52" t="s">
        <v>674</v>
      </c>
      <c r="B6035" s="52" t="s">
        <v>34</v>
      </c>
      <c r="C6035" s="52" t="s">
        <v>33</v>
      </c>
      <c r="D6035" s="52" t="s">
        <v>33</v>
      </c>
      <c r="E6035" s="52" t="s">
        <v>675</v>
      </c>
      <c r="F6035" s="52" t="s">
        <v>26</v>
      </c>
      <c r="G6035" s="55" t="s">
        <v>279</v>
      </c>
      <c r="H6035" s="55">
        <v>276.08010000000002</v>
      </c>
      <c r="I6035" s="55">
        <v>270.38909999999998</v>
      </c>
      <c r="J6035" s="55">
        <v>263.46949999999998</v>
      </c>
      <c r="K6035" s="55">
        <v>243.68199999999999</v>
      </c>
      <c r="L6035" s="55">
        <v>201.01840000000001</v>
      </c>
      <c r="M6035" s="55">
        <v>174.39250000000001</v>
      </c>
      <c r="N6035" s="55">
        <v>159.66399999999999</v>
      </c>
    </row>
    <row r="6036" spans="1:14" hidden="1" x14ac:dyDescent="0.35">
      <c r="A6036" s="52" t="s">
        <v>674</v>
      </c>
      <c r="B6036" s="52" t="s">
        <v>34</v>
      </c>
      <c r="C6036" s="52" t="s">
        <v>33</v>
      </c>
      <c r="D6036" s="52" t="s">
        <v>33</v>
      </c>
      <c r="E6036" s="52" t="s">
        <v>605</v>
      </c>
      <c r="F6036" s="52" t="s">
        <v>581</v>
      </c>
      <c r="G6036" s="55" t="s">
        <v>275</v>
      </c>
      <c r="H6036" s="55">
        <v>23.82377</v>
      </c>
      <c r="I6036" s="55">
        <v>6.0956039999999998</v>
      </c>
      <c r="J6036" s="55">
        <v>5.8449770000000001</v>
      </c>
      <c r="K6036" s="55">
        <v>4.827915</v>
      </c>
      <c r="L6036" s="55">
        <v>4.2769680000000001</v>
      </c>
      <c r="M6036" s="55">
        <v>4.7673319999999997</v>
      </c>
      <c r="N6036" s="55">
        <v>4.6772850000000004</v>
      </c>
    </row>
    <row r="6037" spans="1:14" hidden="1" x14ac:dyDescent="0.35">
      <c r="A6037" s="52" t="s">
        <v>674</v>
      </c>
      <c r="B6037" s="52" t="s">
        <v>34</v>
      </c>
      <c r="C6037" s="52" t="s">
        <v>33</v>
      </c>
      <c r="D6037" s="52" t="s">
        <v>33</v>
      </c>
      <c r="E6037" s="52" t="s">
        <v>605</v>
      </c>
      <c r="F6037" s="52" t="s">
        <v>581</v>
      </c>
      <c r="G6037" s="55" t="s">
        <v>276</v>
      </c>
      <c r="H6037" s="55">
        <v>7.9681550000000003</v>
      </c>
      <c r="I6037" s="55">
        <v>2.0318710000000002</v>
      </c>
      <c r="J6037" s="55">
        <v>1.94258</v>
      </c>
      <c r="K6037" s="55">
        <v>1.598776</v>
      </c>
      <c r="L6037" s="55">
        <v>1.4159139999999999</v>
      </c>
      <c r="M6037" s="55">
        <v>1.5798049999999999</v>
      </c>
      <c r="N6037" s="55">
        <v>1.550478</v>
      </c>
    </row>
    <row r="6038" spans="1:14" hidden="1" x14ac:dyDescent="0.35">
      <c r="A6038" s="52" t="s">
        <v>674</v>
      </c>
      <c r="B6038" s="52" t="s">
        <v>34</v>
      </c>
      <c r="C6038" s="52" t="s">
        <v>33</v>
      </c>
      <c r="D6038" s="52" t="s">
        <v>33</v>
      </c>
      <c r="E6038" s="52" t="s">
        <v>605</v>
      </c>
      <c r="F6038" s="52" t="s">
        <v>581</v>
      </c>
      <c r="G6038" s="55" t="s">
        <v>277</v>
      </c>
      <c r="H6038" s="55"/>
      <c r="I6038" s="55"/>
      <c r="J6038" s="55"/>
      <c r="K6038" s="55"/>
      <c r="L6038" s="55"/>
      <c r="M6038" s="55">
        <v>0</v>
      </c>
      <c r="N6038" s="55"/>
    </row>
    <row r="6039" spans="1:14" hidden="1" x14ac:dyDescent="0.35">
      <c r="A6039" s="52" t="s">
        <v>674</v>
      </c>
      <c r="B6039" s="52" t="s">
        <v>34</v>
      </c>
      <c r="C6039" s="52" t="s">
        <v>33</v>
      </c>
      <c r="D6039" s="52" t="s">
        <v>33</v>
      </c>
      <c r="E6039" s="52" t="s">
        <v>605</v>
      </c>
      <c r="F6039" s="52" t="s">
        <v>581</v>
      </c>
      <c r="G6039" s="55" t="s">
        <v>279</v>
      </c>
      <c r="H6039" s="55">
        <v>14.84849</v>
      </c>
      <c r="I6039" s="55">
        <v>16.42127</v>
      </c>
      <c r="J6039" s="55">
        <v>15.435079999999999</v>
      </c>
      <c r="K6039" s="55">
        <v>14.0733</v>
      </c>
      <c r="L6039" s="55">
        <v>12.8833</v>
      </c>
      <c r="M6039" s="55">
        <v>11.55489</v>
      </c>
      <c r="N6039" s="55">
        <v>11.14241</v>
      </c>
    </row>
    <row r="6040" spans="1:14" hidden="1" x14ac:dyDescent="0.35">
      <c r="A6040" s="52" t="s">
        <v>674</v>
      </c>
      <c r="B6040" s="52" t="s">
        <v>34</v>
      </c>
      <c r="C6040" s="52" t="s">
        <v>33</v>
      </c>
      <c r="D6040" s="52" t="s">
        <v>33</v>
      </c>
      <c r="E6040" s="52" t="s">
        <v>605</v>
      </c>
      <c r="F6040" s="52" t="s">
        <v>26</v>
      </c>
      <c r="G6040" s="55" t="s">
        <v>275</v>
      </c>
      <c r="H6040" s="55">
        <v>-14.958959999999999</v>
      </c>
      <c r="I6040" s="55">
        <v>59.099330000000002</v>
      </c>
      <c r="J6040" s="55">
        <v>65.876459999999994</v>
      </c>
      <c r="K6040" s="55">
        <v>46.946770000000001</v>
      </c>
      <c r="L6040" s="55">
        <v>30.923439999999999</v>
      </c>
      <c r="M6040" s="55">
        <v>27.61439</v>
      </c>
      <c r="N6040" s="55">
        <v>24.65025</v>
      </c>
    </row>
    <row r="6041" spans="1:14" hidden="1" x14ac:dyDescent="0.35">
      <c r="A6041" s="52" t="s">
        <v>674</v>
      </c>
      <c r="B6041" s="52" t="s">
        <v>34</v>
      </c>
      <c r="C6041" s="52" t="s">
        <v>33</v>
      </c>
      <c r="D6041" s="52" t="s">
        <v>33</v>
      </c>
      <c r="E6041" s="52" t="s">
        <v>605</v>
      </c>
      <c r="F6041" s="52" t="s">
        <v>26</v>
      </c>
      <c r="G6041" s="55" t="s">
        <v>276</v>
      </c>
      <c r="H6041" s="55">
        <v>-11.2813</v>
      </c>
      <c r="I6041" s="55">
        <v>-8.0788949999999993</v>
      </c>
      <c r="J6041" s="55">
        <v>-3.529315</v>
      </c>
      <c r="K6041" s="55">
        <v>4.3242729999999998</v>
      </c>
      <c r="L6041" s="55">
        <v>8.5737740000000002</v>
      </c>
      <c r="M6041" s="55">
        <v>9.7741199999999999</v>
      </c>
      <c r="N6041" s="55">
        <v>8.7389349999999997</v>
      </c>
    </row>
    <row r="6042" spans="1:14" hidden="1" x14ac:dyDescent="0.35">
      <c r="A6042" s="52" t="s">
        <v>674</v>
      </c>
      <c r="B6042" s="52" t="s">
        <v>34</v>
      </c>
      <c r="C6042" s="52" t="s">
        <v>33</v>
      </c>
      <c r="D6042" s="52" t="s">
        <v>33</v>
      </c>
      <c r="E6042" s="52" t="s">
        <v>605</v>
      </c>
      <c r="F6042" s="52" t="s">
        <v>26</v>
      </c>
      <c r="G6042" s="55" t="s">
        <v>277</v>
      </c>
      <c r="H6042" s="55">
        <v>100.52760000000001</v>
      </c>
      <c r="I6042" s="55">
        <v>21.646789999999999</v>
      </c>
      <c r="J6042" s="55">
        <v>5.0409689999999996</v>
      </c>
      <c r="K6042" s="55">
        <v>4.6250080000000002</v>
      </c>
      <c r="L6042" s="55">
        <v>7.8458350000000001</v>
      </c>
      <c r="M6042" s="55">
        <v>9.4707559999999997</v>
      </c>
      <c r="N6042" s="55">
        <v>12.635120000000001</v>
      </c>
    </row>
    <row r="6043" spans="1:14" hidden="1" x14ac:dyDescent="0.35">
      <c r="A6043" s="52" t="s">
        <v>674</v>
      </c>
      <c r="B6043" s="52" t="s">
        <v>34</v>
      </c>
      <c r="C6043" s="52" t="s">
        <v>33</v>
      </c>
      <c r="D6043" s="52" t="s">
        <v>33</v>
      </c>
      <c r="E6043" s="52" t="s">
        <v>605</v>
      </c>
      <c r="F6043" s="52" t="s">
        <v>26</v>
      </c>
      <c r="G6043" s="55" t="s">
        <v>278</v>
      </c>
      <c r="H6043" s="55">
        <v>13.76244</v>
      </c>
      <c r="I6043" s="55">
        <v>18.11449</v>
      </c>
      <c r="J6043" s="55">
        <v>8.4036659999999994</v>
      </c>
      <c r="K6043" s="55">
        <v>5.9363710000000003</v>
      </c>
      <c r="L6043" s="55">
        <v>6.4988669999999997</v>
      </c>
      <c r="M6043" s="55">
        <v>5.6134040000000001</v>
      </c>
      <c r="N6043" s="55">
        <v>2.8038690000000002</v>
      </c>
    </row>
    <row r="6044" spans="1:14" hidden="1" x14ac:dyDescent="0.35">
      <c r="A6044" s="52" t="s">
        <v>674</v>
      </c>
      <c r="B6044" s="52" t="s">
        <v>34</v>
      </c>
      <c r="C6044" s="52" t="s">
        <v>33</v>
      </c>
      <c r="D6044" s="52" t="s">
        <v>33</v>
      </c>
      <c r="E6044" s="52" t="s">
        <v>605</v>
      </c>
      <c r="F6044" s="52" t="s">
        <v>26</v>
      </c>
      <c r="G6044" s="55" t="s">
        <v>279</v>
      </c>
      <c r="H6044" s="55">
        <v>90.970789999999994</v>
      </c>
      <c r="I6044" s="55">
        <v>100.35939999999999</v>
      </c>
      <c r="J6044" s="55">
        <v>93.483720000000005</v>
      </c>
      <c r="K6044" s="55">
        <v>84.439769999999996</v>
      </c>
      <c r="L6044" s="55">
        <v>75.775220000000004</v>
      </c>
      <c r="M6044" s="55">
        <v>69.772639999999996</v>
      </c>
      <c r="N6044" s="55">
        <v>67.301410000000004</v>
      </c>
    </row>
    <row r="6045" spans="1:14" hidden="1" x14ac:dyDescent="0.35">
      <c r="A6045" s="52" t="s">
        <v>674</v>
      </c>
      <c r="B6045" s="52" t="s">
        <v>34</v>
      </c>
      <c r="C6045" s="52" t="s">
        <v>33</v>
      </c>
      <c r="D6045" s="52" t="s">
        <v>33</v>
      </c>
      <c r="E6045" s="52" t="s">
        <v>604</v>
      </c>
      <c r="F6045" s="52" t="s">
        <v>581</v>
      </c>
      <c r="G6045" s="55" t="s">
        <v>275</v>
      </c>
      <c r="H6045" s="55">
        <v>36.110320000000002</v>
      </c>
      <c r="I6045" s="55">
        <v>14.46903</v>
      </c>
      <c r="J6045" s="55">
        <v>17.26763</v>
      </c>
      <c r="K6045" s="55">
        <v>13.95476</v>
      </c>
      <c r="L6045" s="55">
        <v>12.23385</v>
      </c>
      <c r="M6045" s="55">
        <v>12.57236</v>
      </c>
      <c r="N6045" s="55">
        <v>12.42754</v>
      </c>
    </row>
    <row r="6046" spans="1:14" hidden="1" x14ac:dyDescent="0.35">
      <c r="A6046" s="52" t="s">
        <v>674</v>
      </c>
      <c r="B6046" s="52" t="s">
        <v>34</v>
      </c>
      <c r="C6046" s="52" t="s">
        <v>33</v>
      </c>
      <c r="D6046" s="52" t="s">
        <v>33</v>
      </c>
      <c r="E6046" s="52" t="s">
        <v>604</v>
      </c>
      <c r="F6046" s="52" t="s">
        <v>581</v>
      </c>
      <c r="G6046" s="55" t="s">
        <v>276</v>
      </c>
      <c r="H6046" s="55">
        <v>14.63655</v>
      </c>
      <c r="I6046" s="55">
        <v>0.22916529999999999</v>
      </c>
      <c r="J6046" s="55">
        <v>1.6467890000000001</v>
      </c>
      <c r="K6046" s="55">
        <v>2.1012059999999999</v>
      </c>
      <c r="L6046" s="55">
        <v>3.5263620000000002</v>
      </c>
      <c r="M6046" s="55">
        <v>3.97614</v>
      </c>
      <c r="N6046" s="55">
        <v>4.0228549999999998</v>
      </c>
    </row>
    <row r="6047" spans="1:14" hidden="1" x14ac:dyDescent="0.35">
      <c r="A6047" s="52" t="s">
        <v>674</v>
      </c>
      <c r="B6047" s="52" t="s">
        <v>34</v>
      </c>
      <c r="C6047" s="52" t="s">
        <v>33</v>
      </c>
      <c r="D6047" s="52" t="s">
        <v>33</v>
      </c>
      <c r="E6047" s="52" t="s">
        <v>604</v>
      </c>
      <c r="F6047" s="52" t="s">
        <v>581</v>
      </c>
      <c r="G6047" s="55" t="s">
        <v>277</v>
      </c>
      <c r="H6047" s="55">
        <v>21.62622</v>
      </c>
      <c r="I6047" s="55">
        <v>2.0760040000000002</v>
      </c>
      <c r="J6047" s="55">
        <v>0.28917759999999998</v>
      </c>
      <c r="K6047" s="55">
        <v>0.17244809999999999</v>
      </c>
      <c r="L6047" s="55"/>
      <c r="M6047" s="55">
        <v>0</v>
      </c>
      <c r="N6047" s="55">
        <v>0</v>
      </c>
    </row>
    <row r="6048" spans="1:14" hidden="1" x14ac:dyDescent="0.35">
      <c r="A6048" s="52" t="s">
        <v>674</v>
      </c>
      <c r="B6048" s="52" t="s">
        <v>34</v>
      </c>
      <c r="C6048" s="52" t="s">
        <v>33</v>
      </c>
      <c r="D6048" s="52" t="s">
        <v>33</v>
      </c>
      <c r="E6048" s="52" t="s">
        <v>604</v>
      </c>
      <c r="F6048" s="52" t="s">
        <v>581</v>
      </c>
      <c r="G6048" s="55" t="s">
        <v>278</v>
      </c>
      <c r="H6048" s="55">
        <v>5.4337819999999999</v>
      </c>
      <c r="I6048" s="55">
        <v>3.9352260000000001</v>
      </c>
      <c r="J6048" s="55">
        <v>0.84459470000000003</v>
      </c>
      <c r="K6048" s="55">
        <v>0.3987561</v>
      </c>
      <c r="L6048" s="55">
        <v>0.1285713</v>
      </c>
      <c r="M6048" s="55">
        <v>0</v>
      </c>
      <c r="N6048" s="55"/>
    </row>
    <row r="6049" spans="1:14" hidden="1" x14ac:dyDescent="0.35">
      <c r="A6049" s="52" t="s">
        <v>674</v>
      </c>
      <c r="B6049" s="52" t="s">
        <v>34</v>
      </c>
      <c r="C6049" s="52" t="s">
        <v>33</v>
      </c>
      <c r="D6049" s="52" t="s">
        <v>33</v>
      </c>
      <c r="E6049" s="52" t="s">
        <v>604</v>
      </c>
      <c r="F6049" s="52" t="s">
        <v>581</v>
      </c>
      <c r="G6049" s="55" t="s">
        <v>279</v>
      </c>
      <c r="H6049" s="55">
        <v>41.40408</v>
      </c>
      <c r="I6049" s="55">
        <v>51.264670000000002</v>
      </c>
      <c r="J6049" s="55">
        <v>45.880749999999999</v>
      </c>
      <c r="K6049" s="55">
        <v>40.111449999999998</v>
      </c>
      <c r="L6049" s="55">
        <v>35.11298</v>
      </c>
      <c r="M6049" s="55">
        <v>31.43141</v>
      </c>
      <c r="N6049" s="55">
        <v>29.662690000000001</v>
      </c>
    </row>
    <row r="6050" spans="1:14" hidden="1" x14ac:dyDescent="0.35">
      <c r="A6050" s="52" t="s">
        <v>674</v>
      </c>
      <c r="B6050" s="52" t="s">
        <v>34</v>
      </c>
      <c r="C6050" s="52" t="s">
        <v>33</v>
      </c>
      <c r="D6050" s="52" t="s">
        <v>33</v>
      </c>
      <c r="E6050" s="52" t="s">
        <v>604</v>
      </c>
      <c r="F6050" s="52" t="s">
        <v>26</v>
      </c>
      <c r="G6050" s="55" t="s">
        <v>275</v>
      </c>
      <c r="H6050" s="55">
        <v>-153.3989</v>
      </c>
      <c r="I6050" s="55">
        <v>30.357620000000001</v>
      </c>
      <c r="J6050" s="55">
        <v>27.576360000000001</v>
      </c>
      <c r="K6050" s="55">
        <v>16.331579999999999</v>
      </c>
      <c r="L6050" s="55">
        <v>5.6019680000000003</v>
      </c>
      <c r="M6050" s="55">
        <v>5.0404109999999998</v>
      </c>
      <c r="N6050" s="55">
        <v>2.9695969999999998</v>
      </c>
    </row>
    <row r="6051" spans="1:14" hidden="1" x14ac:dyDescent="0.35">
      <c r="A6051" s="52" t="s">
        <v>674</v>
      </c>
      <c r="B6051" s="52" t="s">
        <v>34</v>
      </c>
      <c r="C6051" s="52" t="s">
        <v>33</v>
      </c>
      <c r="D6051" s="52" t="s">
        <v>33</v>
      </c>
      <c r="E6051" s="52" t="s">
        <v>604</v>
      </c>
      <c r="F6051" s="52" t="s">
        <v>26</v>
      </c>
      <c r="G6051" s="55" t="s">
        <v>276</v>
      </c>
      <c r="H6051" s="55">
        <v>-23.03218</v>
      </c>
      <c r="I6051" s="55">
        <v>-22.838940000000001</v>
      </c>
      <c r="J6051" s="55">
        <v>-16.766960000000001</v>
      </c>
      <c r="K6051" s="55">
        <v>-10.68918</v>
      </c>
      <c r="L6051" s="55">
        <v>1.165408</v>
      </c>
      <c r="M6051" s="55">
        <v>1.298135</v>
      </c>
      <c r="N6051" s="55">
        <v>1.0581400000000001</v>
      </c>
    </row>
    <row r="6052" spans="1:14" hidden="1" x14ac:dyDescent="0.35">
      <c r="A6052" s="52" t="s">
        <v>674</v>
      </c>
      <c r="B6052" s="52" t="s">
        <v>34</v>
      </c>
      <c r="C6052" s="52" t="s">
        <v>33</v>
      </c>
      <c r="D6052" s="52" t="s">
        <v>33</v>
      </c>
      <c r="E6052" s="52" t="s">
        <v>604</v>
      </c>
      <c r="F6052" s="52" t="s">
        <v>26</v>
      </c>
      <c r="G6052" s="55" t="s">
        <v>277</v>
      </c>
      <c r="H6052" s="55">
        <v>155.26660000000001</v>
      </c>
      <c r="I6052" s="55">
        <v>4.9563899999999999</v>
      </c>
      <c r="J6052" s="55">
        <v>3.6358480000000002</v>
      </c>
      <c r="K6052" s="55">
        <v>3.4408780000000001</v>
      </c>
      <c r="L6052" s="55">
        <v>3.1629360000000002</v>
      </c>
      <c r="M6052" s="55">
        <v>2.5654050000000002</v>
      </c>
      <c r="N6052" s="55">
        <v>3.0539679999999998</v>
      </c>
    </row>
    <row r="6053" spans="1:14" hidden="1" x14ac:dyDescent="0.35">
      <c r="A6053" s="52" t="s">
        <v>674</v>
      </c>
      <c r="B6053" s="52" t="s">
        <v>34</v>
      </c>
      <c r="C6053" s="52" t="s">
        <v>33</v>
      </c>
      <c r="D6053" s="52" t="s">
        <v>33</v>
      </c>
      <c r="E6053" s="52" t="s">
        <v>604</v>
      </c>
      <c r="F6053" s="52" t="s">
        <v>26</v>
      </c>
      <c r="G6053" s="55" t="s">
        <v>278</v>
      </c>
      <c r="H6053" s="55">
        <v>41.873379999999997</v>
      </c>
      <c r="I6053" s="55">
        <v>13.42305</v>
      </c>
      <c r="J6053" s="55">
        <v>6.5103780000000002</v>
      </c>
      <c r="K6053" s="55">
        <v>7.0428680000000004</v>
      </c>
      <c r="L6053" s="55">
        <v>6.9002290000000004</v>
      </c>
      <c r="M6053" s="55">
        <v>6.0048260000000004</v>
      </c>
      <c r="N6053" s="55">
        <v>6.8072480000000004</v>
      </c>
    </row>
    <row r="6054" spans="1:14" hidden="1" x14ac:dyDescent="0.35">
      <c r="A6054" s="52" t="s">
        <v>674</v>
      </c>
      <c r="B6054" s="52" t="s">
        <v>34</v>
      </c>
      <c r="C6054" s="52" t="s">
        <v>33</v>
      </c>
      <c r="D6054" s="52" t="s">
        <v>33</v>
      </c>
      <c r="E6054" s="52" t="s">
        <v>604</v>
      </c>
      <c r="F6054" s="52" t="s">
        <v>26</v>
      </c>
      <c r="G6054" s="55" t="s">
        <v>279</v>
      </c>
      <c r="H6054" s="55">
        <v>71.986519999999999</v>
      </c>
      <c r="I6054" s="55">
        <v>91.06362</v>
      </c>
      <c r="J6054" s="55">
        <v>82.079220000000007</v>
      </c>
      <c r="K6054" s="55">
        <v>71.596379999999996</v>
      </c>
      <c r="L6054" s="55">
        <v>61.436199999999999</v>
      </c>
      <c r="M6054" s="55">
        <v>57.16225</v>
      </c>
      <c r="N6054" s="55">
        <v>54.222299999999997</v>
      </c>
    </row>
    <row r="6055" spans="1:14" hidden="1" x14ac:dyDescent="0.35">
      <c r="A6055" s="52" t="s">
        <v>674</v>
      </c>
      <c r="B6055" s="52" t="s">
        <v>34</v>
      </c>
      <c r="C6055" s="52" t="s">
        <v>33</v>
      </c>
      <c r="D6055" s="52" t="s">
        <v>33</v>
      </c>
      <c r="E6055" s="52" t="s">
        <v>676</v>
      </c>
      <c r="F6055" s="52" t="s">
        <v>581</v>
      </c>
      <c r="G6055" s="55" t="s">
        <v>275</v>
      </c>
      <c r="H6055" s="55">
        <v>39.016889999999997</v>
      </c>
      <c r="I6055" s="55">
        <v>23.80931</v>
      </c>
      <c r="J6055" s="55">
        <v>23.817219999999999</v>
      </c>
      <c r="K6055" s="55">
        <v>18.689859999999999</v>
      </c>
      <c r="L6055" s="55">
        <v>15.33201</v>
      </c>
      <c r="M6055" s="55">
        <v>15.289440000000001</v>
      </c>
      <c r="N6055" s="55">
        <v>12.84736</v>
      </c>
    </row>
    <row r="6056" spans="1:14" hidden="1" x14ac:dyDescent="0.35">
      <c r="A6056" s="52" t="s">
        <v>674</v>
      </c>
      <c r="B6056" s="52" t="s">
        <v>34</v>
      </c>
      <c r="C6056" s="52" t="s">
        <v>33</v>
      </c>
      <c r="D6056" s="52" t="s">
        <v>33</v>
      </c>
      <c r="E6056" s="52" t="s">
        <v>676</v>
      </c>
      <c r="F6056" s="52" t="s">
        <v>581</v>
      </c>
      <c r="G6056" s="55" t="s">
        <v>276</v>
      </c>
      <c r="H6056" s="55">
        <v>5.6426670000000003</v>
      </c>
      <c r="I6056" s="55">
        <v>-9.6130200000000006</v>
      </c>
      <c r="J6056" s="55">
        <v>-2.7811919999999999</v>
      </c>
      <c r="K6056" s="55">
        <v>0.50391370000000002</v>
      </c>
      <c r="L6056" s="55">
        <v>3.2314419999999999</v>
      </c>
      <c r="M6056" s="55">
        <v>3.3578459999999999</v>
      </c>
      <c r="N6056" s="55">
        <v>3.220977</v>
      </c>
    </row>
    <row r="6057" spans="1:14" hidden="1" x14ac:dyDescent="0.35">
      <c r="A6057" s="52" t="s">
        <v>674</v>
      </c>
      <c r="B6057" s="52" t="s">
        <v>34</v>
      </c>
      <c r="C6057" s="52" t="s">
        <v>33</v>
      </c>
      <c r="D6057" s="52" t="s">
        <v>33</v>
      </c>
      <c r="E6057" s="52" t="s">
        <v>676</v>
      </c>
      <c r="F6057" s="52" t="s">
        <v>581</v>
      </c>
      <c r="G6057" s="55" t="s">
        <v>277</v>
      </c>
      <c r="H6057" s="55">
        <v>47.982010000000002</v>
      </c>
      <c r="I6057" s="55">
        <v>12.11875</v>
      </c>
      <c r="J6057" s="55">
        <v>5.3784729999999996</v>
      </c>
      <c r="K6057" s="55">
        <v>2.0450650000000001</v>
      </c>
      <c r="L6057" s="55">
        <v>2.0969199999999999</v>
      </c>
      <c r="M6057" s="55">
        <v>0</v>
      </c>
      <c r="N6057" s="55">
        <v>0</v>
      </c>
    </row>
    <row r="6058" spans="1:14" hidden="1" x14ac:dyDescent="0.35">
      <c r="A6058" s="52" t="s">
        <v>674</v>
      </c>
      <c r="B6058" s="52" t="s">
        <v>34</v>
      </c>
      <c r="C6058" s="52" t="s">
        <v>33</v>
      </c>
      <c r="D6058" s="52" t="s">
        <v>33</v>
      </c>
      <c r="E6058" s="52" t="s">
        <v>676</v>
      </c>
      <c r="F6058" s="52" t="s">
        <v>581</v>
      </c>
      <c r="G6058" s="55" t="s">
        <v>278</v>
      </c>
      <c r="H6058" s="55">
        <v>8.6079880000000006</v>
      </c>
      <c r="I6058" s="55">
        <v>4.8253729999999999</v>
      </c>
      <c r="J6058" s="55">
        <v>2.5570059999999999</v>
      </c>
      <c r="K6058" s="55">
        <v>2.4409969999999999</v>
      </c>
      <c r="L6058" s="55">
        <v>1.673373</v>
      </c>
      <c r="M6058" s="55">
        <v>0</v>
      </c>
      <c r="N6058" s="55">
        <v>0</v>
      </c>
    </row>
    <row r="6059" spans="1:14" hidden="1" x14ac:dyDescent="0.35">
      <c r="A6059" s="52" t="s">
        <v>674</v>
      </c>
      <c r="B6059" s="52" t="s">
        <v>34</v>
      </c>
      <c r="C6059" s="52" t="s">
        <v>33</v>
      </c>
      <c r="D6059" s="52" t="s">
        <v>33</v>
      </c>
      <c r="E6059" s="52" t="s">
        <v>676</v>
      </c>
      <c r="F6059" s="52" t="s">
        <v>581</v>
      </c>
      <c r="G6059" s="55" t="s">
        <v>279</v>
      </c>
      <c r="H6059" s="55">
        <v>41.624189999999999</v>
      </c>
      <c r="I6059" s="55">
        <v>36.192050000000002</v>
      </c>
      <c r="J6059" s="55">
        <v>30.14021</v>
      </c>
      <c r="K6059" s="55">
        <v>26.009679999999999</v>
      </c>
      <c r="L6059" s="55">
        <v>21.996670000000002</v>
      </c>
      <c r="M6059" s="55">
        <v>18.854600000000001</v>
      </c>
      <c r="N6059" s="55">
        <v>16.192589999999999</v>
      </c>
    </row>
    <row r="6060" spans="1:14" hidden="1" x14ac:dyDescent="0.35">
      <c r="A6060" s="52" t="s">
        <v>674</v>
      </c>
      <c r="B6060" s="52" t="s">
        <v>34</v>
      </c>
      <c r="C6060" s="52" t="s">
        <v>33</v>
      </c>
      <c r="D6060" s="52" t="s">
        <v>33</v>
      </c>
      <c r="E6060" s="52" t="s">
        <v>676</v>
      </c>
      <c r="F6060" s="52" t="s">
        <v>26</v>
      </c>
      <c r="G6060" s="55" t="s">
        <v>275</v>
      </c>
      <c r="H6060" s="55">
        <v>-4.6402619999999999</v>
      </c>
      <c r="I6060" s="55">
        <v>-4.3674109999999997</v>
      </c>
      <c r="J6060" s="55">
        <v>-3.89758</v>
      </c>
      <c r="K6060" s="55">
        <v>-3.5455969999999999</v>
      </c>
      <c r="L6060" s="55">
        <v>-2.58487</v>
      </c>
      <c r="M6060" s="55">
        <v>-2.6185179999999999</v>
      </c>
      <c r="N6060" s="55">
        <v>-2.3334199999999998</v>
      </c>
    </row>
    <row r="6061" spans="1:14" hidden="1" x14ac:dyDescent="0.35">
      <c r="A6061" s="52" t="s">
        <v>674</v>
      </c>
      <c r="B6061" s="52" t="s">
        <v>34</v>
      </c>
      <c r="C6061" s="52" t="s">
        <v>33</v>
      </c>
      <c r="D6061" s="52" t="s">
        <v>33</v>
      </c>
      <c r="E6061" s="52" t="s">
        <v>676</v>
      </c>
      <c r="F6061" s="52" t="s">
        <v>26</v>
      </c>
      <c r="G6061" s="55" t="s">
        <v>276</v>
      </c>
      <c r="H6061" s="55">
        <v>-1.6730210000000001</v>
      </c>
      <c r="I6061" s="55">
        <v>-1.455805</v>
      </c>
      <c r="J6061" s="55">
        <v>-1.230817</v>
      </c>
      <c r="K6061" s="55">
        <v>-1.059075</v>
      </c>
      <c r="L6061" s="55">
        <v>-0.7721034</v>
      </c>
      <c r="M6061" s="55">
        <v>-0.7821555</v>
      </c>
      <c r="N6061" s="55">
        <v>-0.69699630000000001</v>
      </c>
    </row>
    <row r="6062" spans="1:14" hidden="1" x14ac:dyDescent="0.35">
      <c r="A6062" s="52" t="s">
        <v>674</v>
      </c>
      <c r="B6062" s="52" t="s">
        <v>34</v>
      </c>
      <c r="C6062" s="52" t="s">
        <v>33</v>
      </c>
      <c r="D6062" s="52" t="s">
        <v>33</v>
      </c>
      <c r="E6062" s="52" t="s">
        <v>676</v>
      </c>
      <c r="F6062" s="52" t="s">
        <v>26</v>
      </c>
      <c r="G6062" s="55" t="s">
        <v>279</v>
      </c>
      <c r="H6062" s="55">
        <v>23.415620000000001</v>
      </c>
      <c r="I6062" s="55">
        <v>20.291989999999998</v>
      </c>
      <c r="J6062" s="55">
        <v>16.76369</v>
      </c>
      <c r="K6062" s="55">
        <v>14.350160000000001</v>
      </c>
      <c r="L6062" s="55">
        <v>11.86322</v>
      </c>
      <c r="M6062" s="55">
        <v>10.46175</v>
      </c>
      <c r="N6062" s="55">
        <v>8.9844170000000005</v>
      </c>
    </row>
    <row r="6063" spans="1:14" hidden="1" x14ac:dyDescent="0.35">
      <c r="A6063" s="52" t="s">
        <v>674</v>
      </c>
      <c r="B6063" s="52" t="s">
        <v>34</v>
      </c>
      <c r="C6063" s="52" t="s">
        <v>33</v>
      </c>
      <c r="D6063" s="52" t="s">
        <v>33</v>
      </c>
      <c r="E6063" s="52" t="s">
        <v>584</v>
      </c>
      <c r="F6063" s="52" t="s">
        <v>581</v>
      </c>
      <c r="G6063" s="55" t="s">
        <v>275</v>
      </c>
      <c r="H6063" s="55">
        <v>9.6587759999999996</v>
      </c>
      <c r="I6063" s="55">
        <v>-0.21790409999999999</v>
      </c>
      <c r="J6063" s="55">
        <v>0.3851638</v>
      </c>
      <c r="K6063" s="55">
        <v>-5.6297180000000004</v>
      </c>
      <c r="L6063" s="55">
        <v>-2.1206140000000002</v>
      </c>
      <c r="M6063" s="55">
        <v>1.0438350000000001</v>
      </c>
      <c r="N6063" s="55">
        <v>1.038392</v>
      </c>
    </row>
    <row r="6064" spans="1:14" hidden="1" x14ac:dyDescent="0.35">
      <c r="A6064" s="52" t="s">
        <v>674</v>
      </c>
      <c r="B6064" s="52" t="s">
        <v>34</v>
      </c>
      <c r="C6064" s="52" t="s">
        <v>33</v>
      </c>
      <c r="D6064" s="52" t="s">
        <v>33</v>
      </c>
      <c r="E6064" s="52" t="s">
        <v>584</v>
      </c>
      <c r="F6064" s="52" t="s">
        <v>581</v>
      </c>
      <c r="G6064" s="55" t="s">
        <v>276</v>
      </c>
      <c r="H6064" s="55">
        <v>2.805053</v>
      </c>
      <c r="I6064" s="55">
        <v>-0.5919025</v>
      </c>
      <c r="J6064" s="55">
        <v>-0.17935690000000001</v>
      </c>
      <c r="K6064" s="55">
        <v>-1.7633749999999999</v>
      </c>
      <c r="L6064" s="55">
        <v>-0.72467800000000004</v>
      </c>
      <c r="M6064" s="55">
        <v>0.2277516</v>
      </c>
      <c r="N6064" s="55">
        <v>0.23406759999999999</v>
      </c>
    </row>
    <row r="6065" spans="1:14" hidden="1" x14ac:dyDescent="0.35">
      <c r="A6065" s="52" t="s">
        <v>674</v>
      </c>
      <c r="B6065" s="52" t="s">
        <v>34</v>
      </c>
      <c r="C6065" s="52" t="s">
        <v>33</v>
      </c>
      <c r="D6065" s="52" t="s">
        <v>33</v>
      </c>
      <c r="E6065" s="52" t="s">
        <v>584</v>
      </c>
      <c r="F6065" s="52" t="s">
        <v>581</v>
      </c>
      <c r="G6065" s="55" t="s">
        <v>277</v>
      </c>
      <c r="H6065" s="55">
        <v>3.4620500000000001</v>
      </c>
      <c r="I6065" s="55">
        <v>3.2216019999999999</v>
      </c>
      <c r="J6065" s="55">
        <v>3.0141559999999998</v>
      </c>
      <c r="K6065" s="55">
        <v>2.828408</v>
      </c>
      <c r="L6065" s="55">
        <v>2.617146</v>
      </c>
      <c r="M6065" s="55">
        <v>2.4470329999999998</v>
      </c>
      <c r="N6065" s="55">
        <v>2.2928899999999999</v>
      </c>
    </row>
    <row r="6066" spans="1:14" hidden="1" x14ac:dyDescent="0.35">
      <c r="A6066" s="52" t="s">
        <v>674</v>
      </c>
      <c r="B6066" s="52" t="s">
        <v>34</v>
      </c>
      <c r="C6066" s="52" t="s">
        <v>33</v>
      </c>
      <c r="D6066" s="52" t="s">
        <v>33</v>
      </c>
      <c r="E6066" s="52" t="s">
        <v>584</v>
      </c>
      <c r="F6066" s="52" t="s">
        <v>581</v>
      </c>
      <c r="G6066" s="55" t="s">
        <v>279</v>
      </c>
      <c r="H6066" s="55">
        <v>7.5583879999999999</v>
      </c>
      <c r="I6066" s="55">
        <v>7.6485339999999997</v>
      </c>
      <c r="J6066" s="55">
        <v>5.8074029999999999</v>
      </c>
      <c r="K6066" s="55">
        <v>12.07443</v>
      </c>
      <c r="L6066" s="55">
        <v>7.1437470000000003</v>
      </c>
      <c r="M6066" s="55">
        <v>2.8312909999999998</v>
      </c>
      <c r="N6066" s="55">
        <v>2.6932260000000001</v>
      </c>
    </row>
    <row r="6067" spans="1:14" hidden="1" x14ac:dyDescent="0.35">
      <c r="A6067" s="52" t="s">
        <v>674</v>
      </c>
      <c r="B6067" s="52" t="s">
        <v>34</v>
      </c>
      <c r="C6067" s="52" t="s">
        <v>33</v>
      </c>
      <c r="D6067" s="52" t="s">
        <v>33</v>
      </c>
      <c r="E6067" s="52" t="s">
        <v>584</v>
      </c>
      <c r="F6067" s="52" t="s">
        <v>26</v>
      </c>
      <c r="G6067" s="55" t="s">
        <v>275</v>
      </c>
      <c r="H6067" s="55">
        <v>11.422599999999999</v>
      </c>
      <c r="I6067" s="55">
        <v>-10.77481</v>
      </c>
      <c r="J6067" s="55">
        <v>-6.0216310000000002</v>
      </c>
      <c r="K6067" s="55">
        <v>-12.20133</v>
      </c>
      <c r="L6067" s="55">
        <v>-14.45369</v>
      </c>
      <c r="M6067" s="55">
        <v>-3.9405679999999998</v>
      </c>
      <c r="N6067" s="55">
        <v>-4.4490129999999999</v>
      </c>
    </row>
    <row r="6068" spans="1:14" hidden="1" x14ac:dyDescent="0.35">
      <c r="A6068" s="52" t="s">
        <v>674</v>
      </c>
      <c r="B6068" s="52" t="s">
        <v>34</v>
      </c>
      <c r="C6068" s="52" t="s">
        <v>33</v>
      </c>
      <c r="D6068" s="52" t="s">
        <v>33</v>
      </c>
      <c r="E6068" s="52" t="s">
        <v>584</v>
      </c>
      <c r="F6068" s="52" t="s">
        <v>26</v>
      </c>
      <c r="G6068" s="55" t="s">
        <v>276</v>
      </c>
      <c r="H6068" s="55">
        <v>-8.1763379999999994</v>
      </c>
      <c r="I6068" s="55">
        <v>-7.3037409999999996</v>
      </c>
      <c r="J6068" s="55">
        <v>-2.8766940000000001</v>
      </c>
      <c r="K6068" s="55">
        <v>-3.404576</v>
      </c>
      <c r="L6068" s="55">
        <v>-4.6396269999999999</v>
      </c>
      <c r="M6068" s="55">
        <v>-0.8282486</v>
      </c>
      <c r="N6068" s="55">
        <v>-0.91238859999999999</v>
      </c>
    </row>
    <row r="6069" spans="1:14" hidden="1" x14ac:dyDescent="0.35">
      <c r="A6069" s="52" t="s">
        <v>674</v>
      </c>
      <c r="B6069" s="52" t="s">
        <v>34</v>
      </c>
      <c r="C6069" s="52" t="s">
        <v>33</v>
      </c>
      <c r="D6069" s="52" t="s">
        <v>33</v>
      </c>
      <c r="E6069" s="52" t="s">
        <v>584</v>
      </c>
      <c r="F6069" s="52" t="s">
        <v>26</v>
      </c>
      <c r="G6069" s="55" t="s">
        <v>277</v>
      </c>
      <c r="H6069" s="55">
        <v>2.636225</v>
      </c>
      <c r="I6069" s="55">
        <v>14.60712</v>
      </c>
      <c r="J6069" s="55">
        <v>13.581340000000001</v>
      </c>
      <c r="K6069" s="55">
        <v>10.46903</v>
      </c>
      <c r="L6069" s="55">
        <v>11.448880000000001</v>
      </c>
      <c r="M6069" s="55">
        <v>13.39118</v>
      </c>
      <c r="N6069" s="55">
        <v>13.63003</v>
      </c>
    </row>
    <row r="6070" spans="1:14" hidden="1" x14ac:dyDescent="0.35">
      <c r="A6070" s="52" t="s">
        <v>674</v>
      </c>
      <c r="B6070" s="52" t="s">
        <v>34</v>
      </c>
      <c r="C6070" s="52" t="s">
        <v>33</v>
      </c>
      <c r="D6070" s="52" t="s">
        <v>33</v>
      </c>
      <c r="E6070" s="52" t="s">
        <v>584</v>
      </c>
      <c r="F6070" s="52" t="s">
        <v>26</v>
      </c>
      <c r="G6070" s="55" t="s">
        <v>279</v>
      </c>
      <c r="H6070" s="55">
        <v>31.794699999999999</v>
      </c>
      <c r="I6070" s="55">
        <v>36.8688</v>
      </c>
      <c r="J6070" s="55">
        <v>26.305679999999999</v>
      </c>
      <c r="K6070" s="55">
        <v>30.999780000000001</v>
      </c>
      <c r="L6070" s="55">
        <v>32.150750000000002</v>
      </c>
      <c r="M6070" s="55">
        <v>14.97251</v>
      </c>
      <c r="N6070" s="55">
        <v>14.549759999999999</v>
      </c>
    </row>
    <row r="6071" spans="1:14" hidden="1" x14ac:dyDescent="0.35">
      <c r="A6071" s="52" t="s">
        <v>674</v>
      </c>
      <c r="B6071" s="52" t="s">
        <v>34</v>
      </c>
      <c r="C6071" s="52" t="s">
        <v>33</v>
      </c>
      <c r="D6071" s="52" t="s">
        <v>33</v>
      </c>
      <c r="E6071" s="52" t="s">
        <v>677</v>
      </c>
      <c r="F6071" s="52" t="s">
        <v>581</v>
      </c>
      <c r="G6071" s="55" t="s">
        <v>275</v>
      </c>
      <c r="H6071" s="55">
        <v>3.4643700000000002</v>
      </c>
      <c r="I6071" s="55">
        <v>1.164793</v>
      </c>
      <c r="J6071" s="55">
        <v>1.113075</v>
      </c>
      <c r="K6071" s="55">
        <v>0.86524900000000005</v>
      </c>
      <c r="L6071" s="55">
        <v>0.74200949999999999</v>
      </c>
      <c r="M6071" s="55">
        <v>0.58949879999999999</v>
      </c>
      <c r="N6071" s="55">
        <v>0.49178050000000001</v>
      </c>
    </row>
    <row r="6072" spans="1:14" hidden="1" x14ac:dyDescent="0.35">
      <c r="A6072" s="52" t="s">
        <v>674</v>
      </c>
      <c r="B6072" s="52" t="s">
        <v>34</v>
      </c>
      <c r="C6072" s="52" t="s">
        <v>33</v>
      </c>
      <c r="D6072" s="52" t="s">
        <v>33</v>
      </c>
      <c r="E6072" s="52" t="s">
        <v>677</v>
      </c>
      <c r="F6072" s="52" t="s">
        <v>581</v>
      </c>
      <c r="G6072" s="55" t="s">
        <v>276</v>
      </c>
      <c r="H6072" s="55">
        <v>1.249058</v>
      </c>
      <c r="I6072" s="55">
        <v>0.3882642</v>
      </c>
      <c r="J6072" s="55">
        <v>0.3514987</v>
      </c>
      <c r="K6072" s="55">
        <v>0.25845079999999998</v>
      </c>
      <c r="L6072" s="55">
        <v>0.2216378</v>
      </c>
      <c r="M6072" s="55">
        <v>0.1760845</v>
      </c>
      <c r="N6072" s="55">
        <v>0.14689350000000001</v>
      </c>
    </row>
    <row r="6073" spans="1:14" hidden="1" x14ac:dyDescent="0.35">
      <c r="A6073" s="52" t="s">
        <v>674</v>
      </c>
      <c r="B6073" s="52" t="s">
        <v>34</v>
      </c>
      <c r="C6073" s="52" t="s">
        <v>33</v>
      </c>
      <c r="D6073" s="52" t="s">
        <v>33</v>
      </c>
      <c r="E6073" s="52" t="s">
        <v>677</v>
      </c>
      <c r="F6073" s="52" t="s">
        <v>581</v>
      </c>
      <c r="G6073" s="55" t="s">
        <v>279</v>
      </c>
      <c r="H6073" s="55">
        <v>1.979508</v>
      </c>
      <c r="I6073" s="55">
        <v>2.3851840000000002</v>
      </c>
      <c r="J6073" s="55">
        <v>2.108187</v>
      </c>
      <c r="K6073" s="55">
        <v>1.7347950000000001</v>
      </c>
      <c r="L6073" s="55">
        <v>1.4345019999999999</v>
      </c>
      <c r="M6073" s="55">
        <v>1.0443929999999999</v>
      </c>
      <c r="N6073" s="55">
        <v>0.8649635</v>
      </c>
    </row>
    <row r="6074" spans="1:14" hidden="1" x14ac:dyDescent="0.35">
      <c r="A6074" s="52" t="s">
        <v>674</v>
      </c>
      <c r="B6074" s="52" t="s">
        <v>34</v>
      </c>
      <c r="C6074" s="52" t="s">
        <v>33</v>
      </c>
      <c r="D6074" s="52" t="s">
        <v>33</v>
      </c>
      <c r="E6074" s="52" t="s">
        <v>677</v>
      </c>
      <c r="F6074" s="52" t="s">
        <v>26</v>
      </c>
      <c r="G6074" s="55" t="s">
        <v>275</v>
      </c>
      <c r="H6074" s="55">
        <v>-11.85547</v>
      </c>
      <c r="I6074" s="55">
        <v>-0.85938999999999999</v>
      </c>
      <c r="J6074" s="55">
        <v>3.6114760000000001</v>
      </c>
      <c r="K6074" s="55">
        <v>1.968988</v>
      </c>
      <c r="L6074" s="55">
        <v>1.628199</v>
      </c>
      <c r="M6074" s="55">
        <v>1.6552439999999999</v>
      </c>
      <c r="N6074" s="55">
        <v>1.2172339999999999</v>
      </c>
    </row>
    <row r="6075" spans="1:14" hidden="1" x14ac:dyDescent="0.35">
      <c r="A6075" s="52" t="s">
        <v>674</v>
      </c>
      <c r="B6075" s="52" t="s">
        <v>34</v>
      </c>
      <c r="C6075" s="52" t="s">
        <v>33</v>
      </c>
      <c r="D6075" s="52" t="s">
        <v>33</v>
      </c>
      <c r="E6075" s="52" t="s">
        <v>677</v>
      </c>
      <c r="F6075" s="52" t="s">
        <v>26</v>
      </c>
      <c r="G6075" s="55" t="s">
        <v>276</v>
      </c>
      <c r="H6075" s="55">
        <v>-1.8229249999999999</v>
      </c>
      <c r="I6075" s="55">
        <v>-1.9245410000000001</v>
      </c>
      <c r="J6075" s="55">
        <v>-2.0937229999999998</v>
      </c>
      <c r="K6075" s="55">
        <v>-1.0929580000000001</v>
      </c>
      <c r="L6075" s="55">
        <v>-0.20307539999999999</v>
      </c>
      <c r="M6075" s="55">
        <v>8.8507009999999997E-2</v>
      </c>
      <c r="N6075" s="55">
        <v>0.14044570000000001</v>
      </c>
    </row>
    <row r="6076" spans="1:14" hidden="1" x14ac:dyDescent="0.35">
      <c r="A6076" s="52" t="s">
        <v>674</v>
      </c>
      <c r="B6076" s="52" t="s">
        <v>34</v>
      </c>
      <c r="C6076" s="52" t="s">
        <v>33</v>
      </c>
      <c r="D6076" s="52" t="s">
        <v>33</v>
      </c>
      <c r="E6076" s="52" t="s">
        <v>677</v>
      </c>
      <c r="F6076" s="52" t="s">
        <v>26</v>
      </c>
      <c r="G6076" s="55" t="s">
        <v>277</v>
      </c>
      <c r="H6076" s="55">
        <v>11.36171</v>
      </c>
      <c r="I6076" s="55">
        <v>3.9058470000000001</v>
      </c>
      <c r="J6076" s="55">
        <v>0.73075310000000004</v>
      </c>
      <c r="K6076" s="55">
        <v>0.71143800000000001</v>
      </c>
      <c r="L6076" s="55">
        <v>0.37167830000000002</v>
      </c>
      <c r="M6076" s="55">
        <v>0</v>
      </c>
      <c r="N6076" s="55">
        <v>0</v>
      </c>
    </row>
    <row r="6077" spans="1:14" hidden="1" x14ac:dyDescent="0.35">
      <c r="A6077" s="52" t="s">
        <v>674</v>
      </c>
      <c r="B6077" s="52" t="s">
        <v>34</v>
      </c>
      <c r="C6077" s="52" t="s">
        <v>33</v>
      </c>
      <c r="D6077" s="52" t="s">
        <v>33</v>
      </c>
      <c r="E6077" s="52" t="s">
        <v>677</v>
      </c>
      <c r="F6077" s="52" t="s">
        <v>26</v>
      </c>
      <c r="G6077" s="55" t="s">
        <v>278</v>
      </c>
      <c r="H6077" s="55">
        <v>6.7682900000000004</v>
      </c>
      <c r="I6077" s="55">
        <v>3.949255</v>
      </c>
      <c r="J6077" s="55">
        <v>1.7168129999999999</v>
      </c>
      <c r="K6077" s="55">
        <v>1.262092</v>
      </c>
      <c r="L6077" s="55">
        <v>0.64297490000000002</v>
      </c>
      <c r="M6077" s="55">
        <v>0</v>
      </c>
      <c r="N6077" s="55">
        <v>0</v>
      </c>
    </row>
    <row r="6078" spans="1:14" hidden="1" x14ac:dyDescent="0.35">
      <c r="A6078" s="52" t="s">
        <v>674</v>
      </c>
      <c r="B6078" s="52" t="s">
        <v>34</v>
      </c>
      <c r="C6078" s="52" t="s">
        <v>33</v>
      </c>
      <c r="D6078" s="52" t="s">
        <v>33</v>
      </c>
      <c r="E6078" s="52" t="s">
        <v>677</v>
      </c>
      <c r="F6078" s="52" t="s">
        <v>26</v>
      </c>
      <c r="G6078" s="55" t="s">
        <v>279</v>
      </c>
      <c r="H6078" s="55">
        <v>8.2943449999999999</v>
      </c>
      <c r="I6078" s="55">
        <v>9.9516980000000004</v>
      </c>
      <c r="J6078" s="55">
        <v>8.7089169999999996</v>
      </c>
      <c r="K6078" s="55">
        <v>7.0973189999999997</v>
      </c>
      <c r="L6078" s="55">
        <v>5.7215699999999998</v>
      </c>
      <c r="M6078" s="55">
        <v>4.301812</v>
      </c>
      <c r="N6078" s="55">
        <v>3.562624</v>
      </c>
    </row>
    <row r="6079" spans="1:14" hidden="1" x14ac:dyDescent="0.35">
      <c r="A6079" s="52" t="s">
        <v>674</v>
      </c>
      <c r="B6079" s="52" t="s">
        <v>34</v>
      </c>
      <c r="C6079" s="52" t="s">
        <v>230</v>
      </c>
      <c r="D6079" s="52" t="s">
        <v>230</v>
      </c>
      <c r="E6079" s="52" t="s">
        <v>584</v>
      </c>
      <c r="F6079" s="52" t="s">
        <v>581</v>
      </c>
      <c r="G6079" s="55" t="s">
        <v>275</v>
      </c>
      <c r="H6079" s="55">
        <v>1.319259</v>
      </c>
      <c r="I6079" s="55">
        <v>0.132941</v>
      </c>
      <c r="J6079" s="55">
        <v>0.13285269999999999</v>
      </c>
      <c r="K6079" s="55">
        <v>8.1921900000000006E-2</v>
      </c>
      <c r="L6079" s="55">
        <v>9.8685990000000001E-2</v>
      </c>
      <c r="M6079" s="55">
        <v>0.1166213</v>
      </c>
      <c r="N6079" s="55">
        <v>0.12600700000000001</v>
      </c>
    </row>
    <row r="6080" spans="1:14" hidden="1" x14ac:dyDescent="0.35">
      <c r="A6080" s="52" t="s">
        <v>674</v>
      </c>
      <c r="B6080" s="52" t="s">
        <v>34</v>
      </c>
      <c r="C6080" s="52" t="s">
        <v>230</v>
      </c>
      <c r="D6080" s="52" t="s">
        <v>230</v>
      </c>
      <c r="E6080" s="52" t="s">
        <v>584</v>
      </c>
      <c r="F6080" s="52" t="s">
        <v>581</v>
      </c>
      <c r="G6080" s="55" t="s">
        <v>276</v>
      </c>
      <c r="H6080" s="55">
        <v>0.31439600000000001</v>
      </c>
      <c r="I6080" s="55">
        <v>8.19212E-2</v>
      </c>
      <c r="J6080" s="55">
        <v>8.3347900000000003E-2</v>
      </c>
      <c r="K6080" s="55">
        <v>7.7050510000000003E-2</v>
      </c>
      <c r="L6080" s="55">
        <v>3.3448400000000003E-2</v>
      </c>
      <c r="M6080" s="55">
        <v>3.2715300000000003E-2</v>
      </c>
      <c r="N6080" s="55">
        <v>3.06623E-2</v>
      </c>
    </row>
    <row r="6081" spans="1:14" hidden="1" x14ac:dyDescent="0.35">
      <c r="A6081" s="52" t="s">
        <v>674</v>
      </c>
      <c r="B6081" s="52" t="s">
        <v>34</v>
      </c>
      <c r="C6081" s="52" t="s">
        <v>230</v>
      </c>
      <c r="D6081" s="52" t="s">
        <v>230</v>
      </c>
      <c r="E6081" s="52" t="s">
        <v>584</v>
      </c>
      <c r="F6081" s="52" t="s">
        <v>581</v>
      </c>
      <c r="G6081" s="55" t="s">
        <v>277</v>
      </c>
      <c r="H6081" s="55">
        <v>0</v>
      </c>
      <c r="I6081" s="55">
        <v>0.54597700000000005</v>
      </c>
      <c r="J6081" s="55">
        <v>0.52375099999999997</v>
      </c>
      <c r="K6081" s="55">
        <v>0.52510889999999999</v>
      </c>
      <c r="L6081" s="55">
        <v>0.52061199999999996</v>
      </c>
      <c r="M6081" s="55">
        <v>0.48559989999999997</v>
      </c>
      <c r="N6081" s="55">
        <v>0.45296189999999997</v>
      </c>
    </row>
    <row r="6082" spans="1:14" hidden="1" x14ac:dyDescent="0.35">
      <c r="A6082" s="52" t="s">
        <v>674</v>
      </c>
      <c r="B6082" s="52" t="s">
        <v>34</v>
      </c>
      <c r="C6082" s="52" t="s">
        <v>230</v>
      </c>
      <c r="D6082" s="52" t="s">
        <v>230</v>
      </c>
      <c r="E6082" s="52" t="s">
        <v>584</v>
      </c>
      <c r="F6082" s="52" t="s">
        <v>581</v>
      </c>
      <c r="G6082" s="55" t="s">
        <v>279</v>
      </c>
      <c r="H6082" s="55">
        <v>8.8319999999999996E-2</v>
      </c>
      <c r="I6082" s="55">
        <v>8.1132999999999997E-2</v>
      </c>
      <c r="J6082" s="55">
        <v>7.4778010000000006E-2</v>
      </c>
      <c r="K6082" s="55">
        <v>7.5313000000000005E-2</v>
      </c>
      <c r="L6082" s="55">
        <v>7.6322000000000001E-2</v>
      </c>
      <c r="M6082" s="55">
        <v>6.4942E-2</v>
      </c>
      <c r="N6082" s="55">
        <v>6.2093000000000002E-2</v>
      </c>
    </row>
    <row r="6083" spans="1:14" hidden="1" x14ac:dyDescent="0.35">
      <c r="A6083" s="52" t="s">
        <v>731</v>
      </c>
      <c r="B6083" s="52" t="s">
        <v>307</v>
      </c>
      <c r="C6083" s="52" t="s">
        <v>306</v>
      </c>
      <c r="D6083" s="52" t="s">
        <v>306</v>
      </c>
      <c r="E6083" s="52" t="s">
        <v>584</v>
      </c>
      <c r="F6083" s="52" t="s">
        <v>581</v>
      </c>
      <c r="G6083" s="55" t="s">
        <v>275</v>
      </c>
      <c r="H6083" s="55">
        <v>219.67599999999999</v>
      </c>
      <c r="I6083" s="55">
        <v>31.451029999999999</v>
      </c>
      <c r="J6083" s="55">
        <v>73.066649999999996</v>
      </c>
      <c r="K6083" s="55">
        <v>56.349299999999999</v>
      </c>
      <c r="L6083" s="55">
        <v>36.065869999999997</v>
      </c>
      <c r="M6083" s="55">
        <v>59.198740000000001</v>
      </c>
      <c r="N6083" s="55">
        <v>66.403419999999997</v>
      </c>
    </row>
    <row r="6084" spans="1:14" hidden="1" x14ac:dyDescent="0.35">
      <c r="A6084" s="52" t="s">
        <v>731</v>
      </c>
      <c r="B6084" s="52" t="s">
        <v>307</v>
      </c>
      <c r="C6084" s="52" t="s">
        <v>306</v>
      </c>
      <c r="D6084" s="52" t="s">
        <v>306</v>
      </c>
      <c r="E6084" s="52" t="s">
        <v>584</v>
      </c>
      <c r="F6084" s="52" t="s">
        <v>581</v>
      </c>
      <c r="G6084" s="55" t="s">
        <v>276</v>
      </c>
      <c r="H6084" s="55">
        <v>144.42339999999999</v>
      </c>
      <c r="I6084" s="55">
        <v>16.7608</v>
      </c>
      <c r="J6084" s="55">
        <v>32.124459999999999</v>
      </c>
      <c r="K6084" s="55">
        <v>30.25318</v>
      </c>
      <c r="L6084" s="55">
        <v>27.946480000000001</v>
      </c>
      <c r="M6084" s="55">
        <v>36.216430000000003</v>
      </c>
      <c r="N6084" s="55">
        <v>37.565689999999996</v>
      </c>
    </row>
    <row r="6085" spans="1:14" hidden="1" x14ac:dyDescent="0.35">
      <c r="A6085" s="52" t="s">
        <v>731</v>
      </c>
      <c r="B6085" s="52" t="s">
        <v>307</v>
      </c>
      <c r="C6085" s="52" t="s">
        <v>306</v>
      </c>
      <c r="D6085" s="52" t="s">
        <v>306</v>
      </c>
      <c r="E6085" s="52" t="s">
        <v>584</v>
      </c>
      <c r="F6085" s="52" t="s">
        <v>581</v>
      </c>
      <c r="G6085" s="55" t="s">
        <v>277</v>
      </c>
      <c r="H6085" s="55">
        <v>122.27849999999999</v>
      </c>
      <c r="I6085" s="55">
        <v>95.756330000000005</v>
      </c>
      <c r="J6085" s="55">
        <v>40.414490000000001</v>
      </c>
      <c r="K6085" s="55">
        <v>58.230029999999999</v>
      </c>
      <c r="L6085" s="55">
        <v>67.921570000000003</v>
      </c>
      <c r="M6085" s="55">
        <v>42.736759999999997</v>
      </c>
      <c r="N6085" s="55">
        <v>24.65578</v>
      </c>
    </row>
    <row r="6086" spans="1:14" hidden="1" x14ac:dyDescent="0.35">
      <c r="A6086" s="52" t="s">
        <v>731</v>
      </c>
      <c r="B6086" s="52" t="s">
        <v>307</v>
      </c>
      <c r="C6086" s="52" t="s">
        <v>306</v>
      </c>
      <c r="D6086" s="52" t="s">
        <v>306</v>
      </c>
      <c r="E6086" s="52" t="s">
        <v>584</v>
      </c>
      <c r="F6086" s="52" t="s">
        <v>581</v>
      </c>
      <c r="G6086" s="55" t="s">
        <v>278</v>
      </c>
      <c r="H6086" s="55">
        <v>0.35319390000000001</v>
      </c>
      <c r="I6086" s="55">
        <v>0.35319390000000001</v>
      </c>
      <c r="J6086" s="55">
        <v>9.6439629999999998E-2</v>
      </c>
      <c r="K6086" s="55">
        <v>9.6439629999999998E-2</v>
      </c>
      <c r="L6086" s="55">
        <v>9.6439629999999998E-2</v>
      </c>
      <c r="M6086" s="55">
        <v>9.6439629999999998E-2</v>
      </c>
      <c r="N6086" s="55">
        <v>9.6439629999999998E-2</v>
      </c>
    </row>
    <row r="6087" spans="1:14" hidden="1" x14ac:dyDescent="0.35">
      <c r="A6087" s="52" t="s">
        <v>731</v>
      </c>
      <c r="B6087" s="52" t="s">
        <v>307</v>
      </c>
      <c r="C6087" s="52" t="s">
        <v>306</v>
      </c>
      <c r="D6087" s="52" t="s">
        <v>306</v>
      </c>
      <c r="E6087" s="52" t="s">
        <v>584</v>
      </c>
      <c r="F6087" s="52" t="s">
        <v>581</v>
      </c>
      <c r="G6087" s="55" t="s">
        <v>279</v>
      </c>
      <c r="H6087" s="55">
        <v>208.26939999999999</v>
      </c>
      <c r="I6087" s="55">
        <v>181.63159999999999</v>
      </c>
      <c r="J6087" s="55">
        <v>187.48769999999999</v>
      </c>
      <c r="K6087" s="55">
        <v>207.7208</v>
      </c>
      <c r="L6087" s="55">
        <v>199.0831</v>
      </c>
      <c r="M6087" s="55">
        <v>198.39189999999999</v>
      </c>
      <c r="N6087" s="55">
        <v>187.60740000000001</v>
      </c>
    </row>
    <row r="6088" spans="1:14" hidden="1" x14ac:dyDescent="0.35">
      <c r="A6088" s="52" t="s">
        <v>731</v>
      </c>
      <c r="B6088" s="52" t="s">
        <v>307</v>
      </c>
      <c r="C6088" s="52" t="s">
        <v>306</v>
      </c>
      <c r="D6088" s="52" t="s">
        <v>306</v>
      </c>
      <c r="E6088" s="52" t="s">
        <v>584</v>
      </c>
      <c r="F6088" s="52" t="s">
        <v>26</v>
      </c>
      <c r="G6088" s="55" t="s">
        <v>275</v>
      </c>
      <c r="H6088" s="55">
        <v>1.592886</v>
      </c>
      <c r="I6088" s="55">
        <v>1.4335469999999999</v>
      </c>
      <c r="J6088" s="55">
        <v>3.0150190000000001</v>
      </c>
      <c r="K6088" s="55">
        <v>2.979473</v>
      </c>
      <c r="L6088" s="55">
        <v>3.842641</v>
      </c>
      <c r="M6088" s="55">
        <v>3.5442089999999999</v>
      </c>
      <c r="N6088" s="55">
        <v>3.1740889999999999</v>
      </c>
    </row>
    <row r="6089" spans="1:14" hidden="1" x14ac:dyDescent="0.35">
      <c r="A6089" s="52" t="s">
        <v>731</v>
      </c>
      <c r="B6089" s="52" t="s">
        <v>307</v>
      </c>
      <c r="C6089" s="52" t="s">
        <v>306</v>
      </c>
      <c r="D6089" s="52" t="s">
        <v>306</v>
      </c>
      <c r="E6089" s="52" t="s">
        <v>584</v>
      </c>
      <c r="F6089" s="52" t="s">
        <v>26</v>
      </c>
      <c r="G6089" s="55" t="s">
        <v>276</v>
      </c>
      <c r="H6089" s="55">
        <v>0.20711789999999999</v>
      </c>
      <c r="I6089" s="55">
        <v>1.0027219999999999</v>
      </c>
      <c r="J6089" s="55">
        <v>1.793282</v>
      </c>
      <c r="K6089" s="55">
        <v>1.7333890000000001</v>
      </c>
      <c r="L6089" s="55">
        <v>2.336983</v>
      </c>
      <c r="M6089" s="55">
        <v>2.2425999999999999</v>
      </c>
      <c r="N6089" s="55">
        <v>2.098652</v>
      </c>
    </row>
    <row r="6090" spans="1:14" hidden="1" x14ac:dyDescent="0.35">
      <c r="A6090" s="52" t="s">
        <v>731</v>
      </c>
      <c r="B6090" s="52" t="s">
        <v>307</v>
      </c>
      <c r="C6090" s="52" t="s">
        <v>306</v>
      </c>
      <c r="D6090" s="52" t="s">
        <v>306</v>
      </c>
      <c r="E6090" s="52" t="s">
        <v>584</v>
      </c>
      <c r="F6090" s="52" t="s">
        <v>26</v>
      </c>
      <c r="G6090" s="55" t="s">
        <v>277</v>
      </c>
      <c r="H6090" s="55">
        <v>0</v>
      </c>
      <c r="I6090" s="55"/>
      <c r="J6090" s="55"/>
      <c r="K6090" s="55"/>
      <c r="L6090" s="55"/>
      <c r="M6090" s="55"/>
      <c r="N6090" s="55"/>
    </row>
    <row r="6091" spans="1:14" hidden="1" x14ac:dyDescent="0.35">
      <c r="A6091" s="52" t="s">
        <v>731</v>
      </c>
      <c r="B6091" s="52" t="s">
        <v>307</v>
      </c>
      <c r="C6091" s="52" t="s">
        <v>306</v>
      </c>
      <c r="D6091" s="52" t="s">
        <v>306</v>
      </c>
      <c r="E6091" s="52" t="s">
        <v>584</v>
      </c>
      <c r="F6091" s="52" t="s">
        <v>26</v>
      </c>
      <c r="G6091" s="55" t="s">
        <v>279</v>
      </c>
      <c r="H6091" s="55">
        <v>7.9223290000000004</v>
      </c>
      <c r="I6091" s="55">
        <v>7.1506939999999997</v>
      </c>
      <c r="J6091" s="55">
        <v>15.318</v>
      </c>
      <c r="K6091" s="55">
        <v>20.4132</v>
      </c>
      <c r="L6091" s="55">
        <v>26.81006</v>
      </c>
      <c r="M6091" s="55">
        <v>25.119949999999999</v>
      </c>
      <c r="N6091" s="55">
        <v>22.886659999999999</v>
      </c>
    </row>
    <row r="6092" spans="1:14" hidden="1" x14ac:dyDescent="0.35">
      <c r="A6092" s="52" t="s">
        <v>731</v>
      </c>
      <c r="B6092" s="52" t="s">
        <v>37</v>
      </c>
      <c r="C6092" s="52" t="s">
        <v>61</v>
      </c>
      <c r="D6092" s="52" t="s">
        <v>62</v>
      </c>
      <c r="E6092" s="52" t="s">
        <v>584</v>
      </c>
      <c r="F6092" s="52" t="s">
        <v>581</v>
      </c>
      <c r="G6092" s="55" t="s">
        <v>275</v>
      </c>
      <c r="H6092" s="55">
        <v>111.625</v>
      </c>
      <c r="I6092" s="55">
        <v>143.7885</v>
      </c>
      <c r="J6092" s="55">
        <v>96.77328</v>
      </c>
      <c r="K6092" s="55">
        <v>107.3638</v>
      </c>
      <c r="L6092" s="55">
        <v>66.220470000000006</v>
      </c>
      <c r="M6092" s="55">
        <v>44.275869999999998</v>
      </c>
      <c r="N6092" s="55">
        <v>27.547170000000001</v>
      </c>
    </row>
    <row r="6093" spans="1:14" hidden="1" x14ac:dyDescent="0.35">
      <c r="A6093" s="52" t="s">
        <v>731</v>
      </c>
      <c r="B6093" s="52" t="s">
        <v>37</v>
      </c>
      <c r="C6093" s="52" t="s">
        <v>61</v>
      </c>
      <c r="D6093" s="52" t="s">
        <v>62</v>
      </c>
      <c r="E6093" s="52" t="s">
        <v>584</v>
      </c>
      <c r="F6093" s="52" t="s">
        <v>581</v>
      </c>
      <c r="G6093" s="55" t="s">
        <v>276</v>
      </c>
      <c r="H6093" s="55">
        <v>23.33137</v>
      </c>
      <c r="I6093" s="55">
        <v>-52.285220000000002</v>
      </c>
      <c r="J6093" s="55">
        <v>-246.3999</v>
      </c>
      <c r="K6093" s="55">
        <v>-79.709630000000004</v>
      </c>
      <c r="L6093" s="55">
        <v>-81.727609999999999</v>
      </c>
      <c r="M6093" s="55">
        <v>-48.403239999999997</v>
      </c>
      <c r="N6093" s="55">
        <v>-44.324959999999997</v>
      </c>
    </row>
    <row r="6094" spans="1:14" hidden="1" x14ac:dyDescent="0.35">
      <c r="A6094" s="52" t="s">
        <v>731</v>
      </c>
      <c r="B6094" s="52" t="s">
        <v>37</v>
      </c>
      <c r="C6094" s="52" t="s">
        <v>61</v>
      </c>
      <c r="D6094" s="52" t="s">
        <v>62</v>
      </c>
      <c r="E6094" s="52" t="s">
        <v>584</v>
      </c>
      <c r="F6094" s="52" t="s">
        <v>581</v>
      </c>
      <c r="G6094" s="55" t="s">
        <v>277</v>
      </c>
      <c r="H6094" s="55">
        <v>73.869500000000002</v>
      </c>
      <c r="I6094" s="55">
        <v>46.828580000000002</v>
      </c>
      <c r="J6094" s="55">
        <v>37.43647</v>
      </c>
      <c r="K6094" s="55">
        <v>18.520759999999999</v>
      </c>
      <c r="L6094" s="55">
        <v>19.005030000000001</v>
      </c>
      <c r="M6094" s="55">
        <v>17.638819999999999</v>
      </c>
      <c r="N6094" s="55">
        <v>15.267860000000001</v>
      </c>
    </row>
    <row r="6095" spans="1:14" hidden="1" x14ac:dyDescent="0.35">
      <c r="A6095" s="52" t="s">
        <v>731</v>
      </c>
      <c r="B6095" s="52" t="s">
        <v>37</v>
      </c>
      <c r="C6095" s="52" t="s">
        <v>61</v>
      </c>
      <c r="D6095" s="52" t="s">
        <v>62</v>
      </c>
      <c r="E6095" s="52" t="s">
        <v>584</v>
      </c>
      <c r="F6095" s="52" t="s">
        <v>581</v>
      </c>
      <c r="G6095" s="55" t="s">
        <v>278</v>
      </c>
      <c r="H6095" s="55">
        <v>158.13630000000001</v>
      </c>
      <c r="I6095" s="55">
        <v>4.4293480000000001</v>
      </c>
      <c r="J6095" s="55">
        <v>241.03299999999999</v>
      </c>
      <c r="K6095" s="55">
        <v>60.887880000000003</v>
      </c>
      <c r="L6095" s="55">
        <v>83.673680000000004</v>
      </c>
      <c r="M6095" s="55">
        <v>53.453040000000001</v>
      </c>
      <c r="N6095" s="55">
        <v>46.42315</v>
      </c>
    </row>
    <row r="6096" spans="1:14" hidden="1" x14ac:dyDescent="0.35">
      <c r="A6096" s="52" t="s">
        <v>731</v>
      </c>
      <c r="B6096" s="52" t="s">
        <v>37</v>
      </c>
      <c r="C6096" s="52" t="s">
        <v>61</v>
      </c>
      <c r="D6096" s="52" t="s">
        <v>62</v>
      </c>
      <c r="E6096" s="52" t="s">
        <v>584</v>
      </c>
      <c r="F6096" s="52" t="s">
        <v>581</v>
      </c>
      <c r="G6096" s="55" t="s">
        <v>279</v>
      </c>
      <c r="H6096" s="55">
        <v>134.71950000000001</v>
      </c>
      <c r="I6096" s="55">
        <v>126.47029999999999</v>
      </c>
      <c r="J6096" s="55">
        <v>122.5136</v>
      </c>
      <c r="K6096" s="55">
        <v>120.7509</v>
      </c>
      <c r="L6096" s="55">
        <v>107.2107</v>
      </c>
      <c r="M6096" s="55">
        <v>94.242199999999997</v>
      </c>
      <c r="N6096" s="55">
        <v>89.243009999999998</v>
      </c>
    </row>
    <row r="6097" spans="1:14" hidden="1" x14ac:dyDescent="0.35">
      <c r="A6097" s="52" t="s">
        <v>731</v>
      </c>
      <c r="B6097" s="52" t="s">
        <v>37</v>
      </c>
      <c r="C6097" s="52" t="s">
        <v>61</v>
      </c>
      <c r="D6097" s="52" t="s">
        <v>62</v>
      </c>
      <c r="E6097" s="52" t="s">
        <v>584</v>
      </c>
      <c r="F6097" s="52" t="s">
        <v>26</v>
      </c>
      <c r="G6097" s="55" t="s">
        <v>275</v>
      </c>
      <c r="H6097" s="55">
        <v>-5.6837850000000003</v>
      </c>
      <c r="I6097" s="55">
        <v>1.0744629999999999</v>
      </c>
      <c r="J6097" s="55">
        <v>-0.30031190000000002</v>
      </c>
      <c r="K6097" s="55">
        <v>-1.0967009999999999</v>
      </c>
      <c r="L6097" s="55">
        <v>-0.60655890000000001</v>
      </c>
      <c r="M6097" s="55">
        <v>-0.81005870000000002</v>
      </c>
      <c r="N6097" s="55">
        <v>-13.457100000000001</v>
      </c>
    </row>
    <row r="6098" spans="1:14" hidden="1" x14ac:dyDescent="0.35">
      <c r="A6098" s="52" t="s">
        <v>731</v>
      </c>
      <c r="B6098" s="52" t="s">
        <v>37</v>
      </c>
      <c r="C6098" s="52" t="s">
        <v>61</v>
      </c>
      <c r="D6098" s="52" t="s">
        <v>62</v>
      </c>
      <c r="E6098" s="52" t="s">
        <v>584</v>
      </c>
      <c r="F6098" s="52" t="s">
        <v>26</v>
      </c>
      <c r="G6098" s="55" t="s">
        <v>276</v>
      </c>
      <c r="H6098" s="55">
        <v>-1.772761</v>
      </c>
      <c r="I6098" s="55">
        <v>-2.8617319999999999</v>
      </c>
      <c r="J6098" s="55">
        <v>-0.67361839999999995</v>
      </c>
      <c r="K6098" s="55">
        <v>-0.63617440000000003</v>
      </c>
      <c r="L6098" s="55">
        <v>-0.96605399999999997</v>
      </c>
      <c r="M6098" s="55">
        <v>-0.25775870000000001</v>
      </c>
      <c r="N6098" s="55">
        <v>-3.5772029999999999</v>
      </c>
    </row>
    <row r="6099" spans="1:14" hidden="1" x14ac:dyDescent="0.35">
      <c r="A6099" s="52" t="s">
        <v>731</v>
      </c>
      <c r="B6099" s="52" t="s">
        <v>37</v>
      </c>
      <c r="C6099" s="52" t="s">
        <v>61</v>
      </c>
      <c r="D6099" s="52" t="s">
        <v>62</v>
      </c>
      <c r="E6099" s="52" t="s">
        <v>584</v>
      </c>
      <c r="F6099" s="52" t="s">
        <v>26</v>
      </c>
      <c r="G6099" s="55" t="s">
        <v>277</v>
      </c>
      <c r="H6099" s="55">
        <v>7.2942999999999998</v>
      </c>
      <c r="I6099" s="55">
        <v>0.38965899999999998</v>
      </c>
      <c r="J6099" s="55">
        <v>0</v>
      </c>
      <c r="K6099" s="55"/>
      <c r="L6099" s="55"/>
      <c r="M6099" s="55">
        <v>0</v>
      </c>
      <c r="N6099" s="55">
        <v>0</v>
      </c>
    </row>
    <row r="6100" spans="1:14" hidden="1" x14ac:dyDescent="0.35">
      <c r="A6100" s="52" t="s">
        <v>731</v>
      </c>
      <c r="B6100" s="52" t="s">
        <v>37</v>
      </c>
      <c r="C6100" s="52" t="s">
        <v>61</v>
      </c>
      <c r="D6100" s="52" t="s">
        <v>62</v>
      </c>
      <c r="E6100" s="52" t="s">
        <v>584</v>
      </c>
      <c r="F6100" s="52" t="s">
        <v>26</v>
      </c>
      <c r="G6100" s="55" t="s">
        <v>278</v>
      </c>
      <c r="H6100" s="55"/>
      <c r="I6100" s="55"/>
      <c r="J6100" s="55">
        <v>0</v>
      </c>
      <c r="K6100" s="55">
        <v>0</v>
      </c>
      <c r="L6100" s="55">
        <v>0</v>
      </c>
      <c r="M6100" s="55">
        <v>0</v>
      </c>
      <c r="N6100" s="55">
        <v>0</v>
      </c>
    </row>
    <row r="6101" spans="1:14" hidden="1" x14ac:dyDescent="0.35">
      <c r="A6101" s="52" t="s">
        <v>731</v>
      </c>
      <c r="B6101" s="52" t="s">
        <v>37</v>
      </c>
      <c r="C6101" s="52" t="s">
        <v>61</v>
      </c>
      <c r="D6101" s="52" t="s">
        <v>62</v>
      </c>
      <c r="E6101" s="52" t="s">
        <v>584</v>
      </c>
      <c r="F6101" s="52" t="s">
        <v>26</v>
      </c>
      <c r="G6101" s="55" t="s">
        <v>279</v>
      </c>
      <c r="H6101" s="55">
        <v>21.24898</v>
      </c>
      <c r="I6101" s="55">
        <v>19.06287</v>
      </c>
      <c r="J6101" s="55">
        <v>16.186669999999999</v>
      </c>
      <c r="K6101" s="55">
        <v>14.18295</v>
      </c>
      <c r="L6101" s="55">
        <v>11.467790000000001</v>
      </c>
      <c r="M6101" s="55">
        <v>8.2454300000000007</v>
      </c>
      <c r="N6101" s="55">
        <v>22.57066</v>
      </c>
    </row>
    <row r="6102" spans="1:14" hidden="1" x14ac:dyDescent="0.35">
      <c r="A6102" s="52" t="s">
        <v>731</v>
      </c>
      <c r="B6102" s="52" t="s">
        <v>37</v>
      </c>
      <c r="C6102" s="52" t="s">
        <v>109</v>
      </c>
      <c r="D6102" s="52" t="s">
        <v>109</v>
      </c>
      <c r="E6102" s="52" t="s">
        <v>584</v>
      </c>
      <c r="F6102" s="52" t="s">
        <v>581</v>
      </c>
      <c r="G6102" s="55" t="s">
        <v>275</v>
      </c>
      <c r="H6102" s="55">
        <v>1.8550799999999999E-2</v>
      </c>
      <c r="I6102" s="55">
        <v>6.8823599999999997E-3</v>
      </c>
      <c r="J6102" s="55">
        <v>6.3365399999999999E-3</v>
      </c>
      <c r="K6102" s="55">
        <v>5.8283700000000003E-3</v>
      </c>
      <c r="L6102" s="55">
        <v>5.4704990000000002E-3</v>
      </c>
      <c r="M6102" s="55">
        <v>5.1337500000000003E-3</v>
      </c>
      <c r="N6102" s="55">
        <v>4.81614E-3</v>
      </c>
    </row>
    <row r="6103" spans="1:14" hidden="1" x14ac:dyDescent="0.35">
      <c r="A6103" s="52" t="s">
        <v>731</v>
      </c>
      <c r="B6103" s="52" t="s">
        <v>37</v>
      </c>
      <c r="C6103" s="52" t="s">
        <v>109</v>
      </c>
      <c r="D6103" s="52" t="s">
        <v>109</v>
      </c>
      <c r="E6103" s="52" t="s">
        <v>584</v>
      </c>
      <c r="F6103" s="52" t="s">
        <v>581</v>
      </c>
      <c r="G6103" s="55" t="s">
        <v>276</v>
      </c>
      <c r="H6103" s="55">
        <v>4.9310999999999999E-3</v>
      </c>
      <c r="I6103" s="55">
        <v>1.82949E-3</v>
      </c>
      <c r="J6103" s="55">
        <v>1.6842599999999999E-3</v>
      </c>
      <c r="K6103" s="55">
        <v>1.5491999999999999E-3</v>
      </c>
      <c r="L6103" s="55">
        <v>1.45404E-3</v>
      </c>
      <c r="M6103" s="55">
        <v>1.36476E-3</v>
      </c>
      <c r="N6103" s="55">
        <v>1.28016E-3</v>
      </c>
    </row>
    <row r="6104" spans="1:14" hidden="1" x14ac:dyDescent="0.35">
      <c r="A6104" s="52" t="s">
        <v>731</v>
      </c>
      <c r="B6104" s="52" t="s">
        <v>37</v>
      </c>
      <c r="C6104" s="52" t="s">
        <v>109</v>
      </c>
      <c r="D6104" s="52" t="s">
        <v>109</v>
      </c>
      <c r="E6104" s="52" t="s">
        <v>584</v>
      </c>
      <c r="F6104" s="52" t="s">
        <v>581</v>
      </c>
      <c r="G6104" s="55" t="s">
        <v>279</v>
      </c>
      <c r="H6104" s="55">
        <v>5.8979999999999996E-3</v>
      </c>
      <c r="I6104" s="55">
        <v>5.1957000000000001E-3</v>
      </c>
      <c r="J6104" s="55">
        <v>4.8203999999999999E-3</v>
      </c>
      <c r="K6104" s="55">
        <v>4.5909000000000002E-3</v>
      </c>
      <c r="L6104" s="55">
        <v>4.2291000000000004E-3</v>
      </c>
      <c r="M6104" s="55">
        <v>3.8966999999999999E-3</v>
      </c>
      <c r="N6104" s="55">
        <v>3.5904000000000001E-3</v>
      </c>
    </row>
    <row r="6105" spans="1:14" hidden="1" x14ac:dyDescent="0.35">
      <c r="A6105" s="52" t="s">
        <v>731</v>
      </c>
      <c r="B6105" s="52" t="s">
        <v>37</v>
      </c>
      <c r="C6105" s="52" t="s">
        <v>109</v>
      </c>
      <c r="D6105" s="52" t="s">
        <v>109</v>
      </c>
      <c r="E6105" s="52" t="s">
        <v>584</v>
      </c>
      <c r="F6105" s="52" t="s">
        <v>26</v>
      </c>
      <c r="G6105" s="55" t="s">
        <v>275</v>
      </c>
      <c r="H6105" s="55">
        <v>-6.7650000000000002E-4</v>
      </c>
      <c r="I6105" s="55">
        <v>-1.8715800000000001E-3</v>
      </c>
      <c r="J6105" s="55">
        <v>-1.3938900000000001E-3</v>
      </c>
      <c r="K6105" s="55">
        <v>-1.6134000000000001E-3</v>
      </c>
      <c r="L6105" s="55">
        <v>-1.42008E-3</v>
      </c>
      <c r="M6105" s="55">
        <v>-1.2538499999999999E-3</v>
      </c>
      <c r="N6105" s="55">
        <v>-1.10454E-3</v>
      </c>
    </row>
    <row r="6106" spans="1:14" hidden="1" x14ac:dyDescent="0.35">
      <c r="A6106" s="52" t="s">
        <v>731</v>
      </c>
      <c r="B6106" s="52" t="s">
        <v>37</v>
      </c>
      <c r="C6106" s="52" t="s">
        <v>109</v>
      </c>
      <c r="D6106" s="52" t="s">
        <v>109</v>
      </c>
      <c r="E6106" s="52" t="s">
        <v>584</v>
      </c>
      <c r="F6106" s="52" t="s">
        <v>26</v>
      </c>
      <c r="G6106" s="55" t="s">
        <v>276</v>
      </c>
      <c r="H6106" s="55">
        <v>-1.8000000000000001E-4</v>
      </c>
      <c r="I6106" s="55">
        <v>-4.9742999999999999E-4</v>
      </c>
      <c r="J6106" s="55">
        <v>-3.7038000000000001E-4</v>
      </c>
      <c r="K6106" s="55">
        <v>-4.2891000000000001E-4</v>
      </c>
      <c r="L6106" s="55">
        <v>-3.7736999999999997E-4</v>
      </c>
      <c r="M6106" s="55">
        <v>-3.3326999999999999E-4</v>
      </c>
      <c r="N6106" s="55">
        <v>-2.9376000000000001E-4</v>
      </c>
    </row>
    <row r="6107" spans="1:14" hidden="1" x14ac:dyDescent="0.35">
      <c r="A6107" s="52" t="s">
        <v>731</v>
      </c>
      <c r="B6107" s="52" t="s">
        <v>37</v>
      </c>
      <c r="C6107" s="52" t="s">
        <v>109</v>
      </c>
      <c r="D6107" s="52" t="s">
        <v>109</v>
      </c>
      <c r="E6107" s="52" t="s">
        <v>584</v>
      </c>
      <c r="F6107" s="52" t="s">
        <v>26</v>
      </c>
      <c r="G6107" s="55" t="s">
        <v>279</v>
      </c>
      <c r="H6107" s="55">
        <v>1.6719000000000001E-2</v>
      </c>
      <c r="I6107" s="55">
        <v>1.49085E-2</v>
      </c>
      <c r="J6107" s="55">
        <v>1.4149800000000001E-2</v>
      </c>
      <c r="K6107" s="55">
        <v>1.37793E-2</v>
      </c>
      <c r="L6107" s="55">
        <v>1.2926099999999999E-2</v>
      </c>
      <c r="M6107" s="55">
        <v>1.2163800000000001E-2</v>
      </c>
      <c r="N6107" s="55">
        <v>1.1415E-2</v>
      </c>
    </row>
    <row r="6108" spans="1:14" hidden="1" x14ac:dyDescent="0.35">
      <c r="A6108" s="52" t="s">
        <v>731</v>
      </c>
      <c r="B6108" s="52" t="s">
        <v>43</v>
      </c>
      <c r="C6108" s="52" t="s">
        <v>229</v>
      </c>
      <c r="D6108" s="52" t="s">
        <v>229</v>
      </c>
      <c r="E6108" s="52" t="s">
        <v>584</v>
      </c>
      <c r="F6108" s="52" t="s">
        <v>581</v>
      </c>
      <c r="G6108" s="55" t="s">
        <v>275</v>
      </c>
      <c r="H6108" s="55">
        <v>29.692019999999999</v>
      </c>
      <c r="I6108" s="55">
        <v>-66.851600000000005</v>
      </c>
      <c r="J6108" s="55">
        <v>-55.053040000000003</v>
      </c>
      <c r="K6108" s="55">
        <v>-16.864979999999999</v>
      </c>
      <c r="L6108" s="55">
        <v>-1.9278519999999999</v>
      </c>
      <c r="M6108" s="55">
        <v>4.1151879999999998</v>
      </c>
      <c r="N6108" s="55">
        <v>-10.835699999999999</v>
      </c>
    </row>
    <row r="6109" spans="1:14" hidden="1" x14ac:dyDescent="0.35">
      <c r="A6109" s="52" t="s">
        <v>731</v>
      </c>
      <c r="B6109" s="52" t="s">
        <v>43</v>
      </c>
      <c r="C6109" s="52" t="s">
        <v>229</v>
      </c>
      <c r="D6109" s="52" t="s">
        <v>229</v>
      </c>
      <c r="E6109" s="52" t="s">
        <v>584</v>
      </c>
      <c r="F6109" s="52" t="s">
        <v>581</v>
      </c>
      <c r="G6109" s="55" t="s">
        <v>276</v>
      </c>
      <c r="H6109" s="55">
        <v>29.090209999999999</v>
      </c>
      <c r="I6109" s="55">
        <v>8.2526360000000007</v>
      </c>
      <c r="J6109" s="55">
        <v>7.1054139999999997</v>
      </c>
      <c r="K6109" s="55">
        <v>6.9322710000000001</v>
      </c>
      <c r="L6109" s="55">
        <v>7.0011479999999997</v>
      </c>
      <c r="M6109" s="55">
        <v>5.4299819999999999</v>
      </c>
      <c r="N6109" s="55">
        <v>5.0811060000000001</v>
      </c>
    </row>
    <row r="6110" spans="1:14" hidden="1" x14ac:dyDescent="0.35">
      <c r="A6110" s="52" t="s">
        <v>731</v>
      </c>
      <c r="B6110" s="52" t="s">
        <v>43</v>
      </c>
      <c r="C6110" s="52" t="s">
        <v>229</v>
      </c>
      <c r="D6110" s="52" t="s">
        <v>229</v>
      </c>
      <c r="E6110" s="52" t="s">
        <v>584</v>
      </c>
      <c r="F6110" s="52" t="s">
        <v>581</v>
      </c>
      <c r="G6110" s="55" t="s">
        <v>277</v>
      </c>
      <c r="H6110" s="55">
        <v>59.310870000000001</v>
      </c>
      <c r="I6110" s="55">
        <v>30.836269999999999</v>
      </c>
      <c r="J6110" s="55">
        <v>70.404420000000002</v>
      </c>
      <c r="K6110" s="55">
        <v>26.123180000000001</v>
      </c>
      <c r="L6110" s="55">
        <v>11.22911</v>
      </c>
      <c r="M6110" s="55">
        <v>0.65226260000000003</v>
      </c>
      <c r="N6110" s="55">
        <v>0.11426559999999999</v>
      </c>
    </row>
    <row r="6111" spans="1:14" hidden="1" x14ac:dyDescent="0.35">
      <c r="A6111" s="52" t="s">
        <v>731</v>
      </c>
      <c r="B6111" s="52" t="s">
        <v>43</v>
      </c>
      <c r="C6111" s="52" t="s">
        <v>229</v>
      </c>
      <c r="D6111" s="52" t="s">
        <v>229</v>
      </c>
      <c r="E6111" s="52" t="s">
        <v>584</v>
      </c>
      <c r="F6111" s="52" t="s">
        <v>581</v>
      </c>
      <c r="G6111" s="55" t="s">
        <v>278</v>
      </c>
      <c r="H6111" s="55">
        <v>47.262830000000001</v>
      </c>
      <c r="I6111" s="55">
        <v>58.677950000000003</v>
      </c>
      <c r="J6111" s="55">
        <v>0</v>
      </c>
      <c r="K6111" s="55">
        <v>0</v>
      </c>
      <c r="L6111" s="55">
        <v>0</v>
      </c>
      <c r="M6111" s="55">
        <v>0</v>
      </c>
      <c r="N6111" s="55">
        <v>0</v>
      </c>
    </row>
    <row r="6112" spans="1:14" hidden="1" x14ac:dyDescent="0.35">
      <c r="A6112" s="52" t="s">
        <v>731</v>
      </c>
      <c r="B6112" s="52" t="s">
        <v>43</v>
      </c>
      <c r="C6112" s="52" t="s">
        <v>229</v>
      </c>
      <c r="D6112" s="52" t="s">
        <v>229</v>
      </c>
      <c r="E6112" s="52" t="s">
        <v>584</v>
      </c>
      <c r="F6112" s="52" t="s">
        <v>581</v>
      </c>
      <c r="G6112" s="55" t="s">
        <v>279</v>
      </c>
      <c r="H6112" s="55">
        <v>91.703739999999996</v>
      </c>
      <c r="I6112" s="55">
        <v>84.589510000000004</v>
      </c>
      <c r="J6112" s="55">
        <v>78.702259999999995</v>
      </c>
      <c r="K6112" s="55">
        <v>82.801190000000005</v>
      </c>
      <c r="L6112" s="55">
        <v>84.056179999999998</v>
      </c>
      <c r="M6112" s="55">
        <v>74.394450000000006</v>
      </c>
      <c r="N6112" s="55">
        <v>84.943749999999994</v>
      </c>
    </row>
    <row r="6113" spans="1:14" hidden="1" x14ac:dyDescent="0.35">
      <c r="A6113" s="52" t="s">
        <v>731</v>
      </c>
      <c r="B6113" s="52" t="s">
        <v>43</v>
      </c>
      <c r="C6113" s="52" t="s">
        <v>229</v>
      </c>
      <c r="D6113" s="52" t="s">
        <v>229</v>
      </c>
      <c r="E6113" s="52" t="s">
        <v>584</v>
      </c>
      <c r="F6113" s="52" t="s">
        <v>26</v>
      </c>
      <c r="G6113" s="55" t="s">
        <v>275</v>
      </c>
      <c r="H6113" s="55">
        <v>-7.4393339999999997</v>
      </c>
      <c r="I6113" s="55">
        <v>-7.4393339999999997</v>
      </c>
      <c r="J6113" s="55">
        <v>0</v>
      </c>
      <c r="K6113" s="55">
        <v>0</v>
      </c>
      <c r="L6113" s="55">
        <v>0</v>
      </c>
      <c r="M6113" s="55">
        <v>0</v>
      </c>
      <c r="N6113" s="55">
        <v>0</v>
      </c>
    </row>
    <row r="6114" spans="1:14" hidden="1" x14ac:dyDescent="0.35">
      <c r="A6114" s="52" t="s">
        <v>731</v>
      </c>
      <c r="B6114" s="52" t="s">
        <v>43</v>
      </c>
      <c r="C6114" s="52" t="s">
        <v>229</v>
      </c>
      <c r="D6114" s="52" t="s">
        <v>229</v>
      </c>
      <c r="E6114" s="52" t="s">
        <v>584</v>
      </c>
      <c r="F6114" s="52" t="s">
        <v>26</v>
      </c>
      <c r="G6114" s="55" t="s">
        <v>276</v>
      </c>
      <c r="H6114" s="55"/>
      <c r="I6114" s="55"/>
      <c r="J6114" s="55">
        <v>-15.458299999999999</v>
      </c>
      <c r="K6114" s="55">
        <v>-16.013159999999999</v>
      </c>
      <c r="L6114" s="55">
        <v>-55.65757</v>
      </c>
      <c r="M6114" s="55">
        <v>-0.42873800000000001</v>
      </c>
      <c r="N6114" s="55">
        <v>-0.43480999999999997</v>
      </c>
    </row>
    <row r="6115" spans="1:14" hidden="1" x14ac:dyDescent="0.35">
      <c r="A6115" s="52" t="s">
        <v>731</v>
      </c>
      <c r="B6115" s="52" t="s">
        <v>43</v>
      </c>
      <c r="C6115" s="52" t="s">
        <v>229</v>
      </c>
      <c r="D6115" s="52" t="s">
        <v>229</v>
      </c>
      <c r="E6115" s="52" t="s">
        <v>584</v>
      </c>
      <c r="F6115" s="52" t="s">
        <v>26</v>
      </c>
      <c r="G6115" s="55" t="s">
        <v>277</v>
      </c>
      <c r="H6115" s="55"/>
      <c r="I6115" s="55"/>
      <c r="J6115" s="55"/>
      <c r="K6115" s="55"/>
      <c r="L6115" s="55"/>
      <c r="M6115" s="55">
        <v>0</v>
      </c>
      <c r="N6115" s="55">
        <v>6.0720000000000001E-3</v>
      </c>
    </row>
    <row r="6116" spans="1:14" hidden="1" x14ac:dyDescent="0.35">
      <c r="A6116" s="52" t="s">
        <v>731</v>
      </c>
      <c r="B6116" s="52" t="s">
        <v>43</v>
      </c>
      <c r="C6116" s="52" t="s">
        <v>229</v>
      </c>
      <c r="D6116" s="52" t="s">
        <v>229</v>
      </c>
      <c r="E6116" s="52" t="s">
        <v>584</v>
      </c>
      <c r="F6116" s="52" t="s">
        <v>26</v>
      </c>
      <c r="G6116" s="55" t="s">
        <v>278</v>
      </c>
      <c r="H6116" s="55">
        <v>7.4393330000000004</v>
      </c>
      <c r="I6116" s="55">
        <v>7.4393339999999997</v>
      </c>
      <c r="J6116" s="55">
        <v>15.45829</v>
      </c>
      <c r="K6116" s="55">
        <v>16.013159999999999</v>
      </c>
      <c r="L6116" s="55">
        <v>55.65757</v>
      </c>
      <c r="M6116" s="55">
        <v>0.42873800000000001</v>
      </c>
      <c r="N6116" s="55">
        <v>0.42873800000000001</v>
      </c>
    </row>
    <row r="6117" spans="1:14" hidden="1" x14ac:dyDescent="0.35">
      <c r="A6117" s="52" t="s">
        <v>731</v>
      </c>
      <c r="B6117" s="52" t="s">
        <v>312</v>
      </c>
      <c r="C6117" s="52" t="s">
        <v>319</v>
      </c>
      <c r="D6117" s="52" t="s">
        <v>319</v>
      </c>
      <c r="E6117" s="52" t="s">
        <v>584</v>
      </c>
      <c r="F6117" s="52" t="s">
        <v>581</v>
      </c>
      <c r="G6117" s="55" t="s">
        <v>275</v>
      </c>
      <c r="H6117" s="55">
        <v>-16.968509999999998</v>
      </c>
      <c r="I6117" s="55">
        <v>-11.519959999999999</v>
      </c>
      <c r="J6117" s="55">
        <v>-17.11739</v>
      </c>
      <c r="K6117" s="55">
        <v>-11.15442</v>
      </c>
      <c r="L6117" s="55">
        <v>2.3583099999999999</v>
      </c>
      <c r="M6117" s="55">
        <v>16.639610000000001</v>
      </c>
      <c r="N6117" s="55">
        <v>25.117329999999999</v>
      </c>
    </row>
    <row r="6118" spans="1:14" hidden="1" x14ac:dyDescent="0.35">
      <c r="A6118" s="52" t="s">
        <v>731</v>
      </c>
      <c r="B6118" s="52" t="s">
        <v>312</v>
      </c>
      <c r="C6118" s="52" t="s">
        <v>319</v>
      </c>
      <c r="D6118" s="52" t="s">
        <v>319</v>
      </c>
      <c r="E6118" s="52" t="s">
        <v>584</v>
      </c>
      <c r="F6118" s="52" t="s">
        <v>581</v>
      </c>
      <c r="G6118" s="55" t="s">
        <v>276</v>
      </c>
      <c r="H6118" s="55"/>
      <c r="I6118" s="55"/>
      <c r="J6118" s="55"/>
      <c r="K6118" s="55">
        <v>0</v>
      </c>
      <c r="L6118" s="55">
        <v>0.8310149</v>
      </c>
      <c r="M6118" s="55">
        <v>4.1358199999999998</v>
      </c>
      <c r="N6118" s="55">
        <v>7.2118440000000001</v>
      </c>
    </row>
    <row r="6119" spans="1:14" hidden="1" x14ac:dyDescent="0.35">
      <c r="A6119" s="52" t="s">
        <v>731</v>
      </c>
      <c r="B6119" s="52" t="s">
        <v>312</v>
      </c>
      <c r="C6119" s="52" t="s">
        <v>319</v>
      </c>
      <c r="D6119" s="52" t="s">
        <v>319</v>
      </c>
      <c r="E6119" s="52" t="s">
        <v>584</v>
      </c>
      <c r="F6119" s="52" t="s">
        <v>581</v>
      </c>
      <c r="G6119" s="55" t="s">
        <v>277</v>
      </c>
      <c r="H6119" s="55">
        <v>16.75816</v>
      </c>
      <c r="I6119" s="55">
        <v>11.309609999999999</v>
      </c>
      <c r="J6119" s="55">
        <v>16.907050000000002</v>
      </c>
      <c r="K6119" s="55">
        <v>10.94407</v>
      </c>
      <c r="L6119" s="55">
        <v>0</v>
      </c>
      <c r="M6119" s="55">
        <v>0</v>
      </c>
      <c r="N6119" s="55">
        <v>0</v>
      </c>
    </row>
    <row r="6120" spans="1:14" hidden="1" x14ac:dyDescent="0.35">
      <c r="A6120" s="52" t="s">
        <v>731</v>
      </c>
      <c r="B6120" s="52" t="s">
        <v>312</v>
      </c>
      <c r="C6120" s="52" t="s">
        <v>319</v>
      </c>
      <c r="D6120" s="52" t="s">
        <v>319</v>
      </c>
      <c r="E6120" s="52" t="s">
        <v>584</v>
      </c>
      <c r="F6120" s="52" t="s">
        <v>581</v>
      </c>
      <c r="G6120" s="55" t="s">
        <v>279</v>
      </c>
      <c r="H6120" s="55">
        <v>0.21034990000000001</v>
      </c>
      <c r="I6120" s="55">
        <v>0.21034990000000001</v>
      </c>
      <c r="J6120" s="55">
        <v>0.21034990000000001</v>
      </c>
      <c r="K6120" s="55">
        <v>0.21034990000000001</v>
      </c>
      <c r="L6120" s="55">
        <v>0.85409009999999996</v>
      </c>
      <c r="M6120" s="55">
        <v>4.1323169999999996</v>
      </c>
      <c r="N6120" s="55">
        <v>6.3712859999999996</v>
      </c>
    </row>
    <row r="6121" spans="1:14" hidden="1" x14ac:dyDescent="0.35">
      <c r="A6121" s="52" t="s">
        <v>731</v>
      </c>
      <c r="B6121" s="52" t="s">
        <v>312</v>
      </c>
      <c r="C6121" s="52" t="s">
        <v>319</v>
      </c>
      <c r="D6121" s="52" t="s">
        <v>319</v>
      </c>
      <c r="E6121" s="52" t="s">
        <v>584</v>
      </c>
      <c r="F6121" s="52" t="s">
        <v>26</v>
      </c>
      <c r="G6121" s="55" t="s">
        <v>275</v>
      </c>
      <c r="H6121" s="55">
        <v>-254.08029999999999</v>
      </c>
      <c r="I6121" s="55">
        <v>-150.29409999999999</v>
      </c>
      <c r="J6121" s="55">
        <v>-304.24680000000001</v>
      </c>
      <c r="K6121" s="55">
        <v>-203.65870000000001</v>
      </c>
      <c r="L6121" s="55">
        <v>-52.239260000000002</v>
      </c>
      <c r="M6121" s="55">
        <v>-12.12984</v>
      </c>
      <c r="N6121" s="55">
        <v>29.080819999999999</v>
      </c>
    </row>
    <row r="6122" spans="1:14" hidden="1" x14ac:dyDescent="0.35">
      <c r="A6122" s="52" t="s">
        <v>731</v>
      </c>
      <c r="B6122" s="52" t="s">
        <v>312</v>
      </c>
      <c r="C6122" s="52" t="s">
        <v>319</v>
      </c>
      <c r="D6122" s="52" t="s">
        <v>319</v>
      </c>
      <c r="E6122" s="52" t="s">
        <v>584</v>
      </c>
      <c r="F6122" s="52" t="s">
        <v>26</v>
      </c>
      <c r="G6122" s="55" t="s">
        <v>276</v>
      </c>
      <c r="H6122" s="55">
        <v>-0.65681529999999999</v>
      </c>
      <c r="I6122" s="55">
        <v>-0.34596300000000002</v>
      </c>
      <c r="J6122" s="55">
        <v>-0.42965579999999998</v>
      </c>
      <c r="K6122" s="55">
        <v>-0.13790649999999999</v>
      </c>
      <c r="L6122" s="55">
        <v>-9.1064889999999998</v>
      </c>
      <c r="M6122" s="55">
        <v>-1.9089689999999999</v>
      </c>
      <c r="N6122" s="55">
        <v>4.1228740000000004</v>
      </c>
    </row>
    <row r="6123" spans="1:14" hidden="1" x14ac:dyDescent="0.35">
      <c r="A6123" s="52" t="s">
        <v>731</v>
      </c>
      <c r="B6123" s="52" t="s">
        <v>312</v>
      </c>
      <c r="C6123" s="52" t="s">
        <v>319</v>
      </c>
      <c r="D6123" s="52" t="s">
        <v>319</v>
      </c>
      <c r="E6123" s="52" t="s">
        <v>584</v>
      </c>
      <c r="F6123" s="52" t="s">
        <v>26</v>
      </c>
      <c r="G6123" s="55" t="s">
        <v>277</v>
      </c>
      <c r="H6123" s="55">
        <v>220.67140000000001</v>
      </c>
      <c r="I6123" s="55">
        <v>149.32560000000001</v>
      </c>
      <c r="J6123" s="55">
        <v>303.59410000000003</v>
      </c>
      <c r="K6123" s="55">
        <v>202.71270000000001</v>
      </c>
      <c r="L6123" s="55">
        <v>26.464929999999999</v>
      </c>
      <c r="M6123" s="55">
        <v>36.211599999999997</v>
      </c>
      <c r="N6123" s="55">
        <v>43.886409999999998</v>
      </c>
    </row>
    <row r="6124" spans="1:14" hidden="1" x14ac:dyDescent="0.35">
      <c r="A6124" s="52" t="s">
        <v>731</v>
      </c>
      <c r="B6124" s="52" t="s">
        <v>312</v>
      </c>
      <c r="C6124" s="52" t="s">
        <v>319</v>
      </c>
      <c r="D6124" s="52" t="s">
        <v>319</v>
      </c>
      <c r="E6124" s="52" t="s">
        <v>584</v>
      </c>
      <c r="F6124" s="52" t="s">
        <v>26</v>
      </c>
      <c r="G6124" s="55" t="s">
        <v>278</v>
      </c>
      <c r="H6124" s="55">
        <v>33.130740000000003</v>
      </c>
      <c r="I6124" s="55">
        <v>0.37960270000000002</v>
      </c>
      <c r="J6124" s="55">
        <v>0.1521893</v>
      </c>
      <c r="K6124" s="55">
        <v>0.1521893</v>
      </c>
      <c r="L6124" s="55">
        <v>0.1521893</v>
      </c>
      <c r="M6124" s="55">
        <v>0.1388337</v>
      </c>
      <c r="N6124" s="55">
        <v>0.1388337</v>
      </c>
    </row>
    <row r="6125" spans="1:14" hidden="1" x14ac:dyDescent="0.35">
      <c r="A6125" s="52" t="s">
        <v>731</v>
      </c>
      <c r="B6125" s="52" t="s">
        <v>312</v>
      </c>
      <c r="C6125" s="52" t="s">
        <v>319</v>
      </c>
      <c r="D6125" s="52" t="s">
        <v>319</v>
      </c>
      <c r="E6125" s="52" t="s">
        <v>584</v>
      </c>
      <c r="F6125" s="52" t="s">
        <v>26</v>
      </c>
      <c r="G6125" s="55" t="s">
        <v>279</v>
      </c>
      <c r="H6125" s="55">
        <v>0.93488850000000001</v>
      </c>
      <c r="I6125" s="55">
        <v>0.93488850000000001</v>
      </c>
      <c r="J6125" s="55">
        <v>0.93488850000000001</v>
      </c>
      <c r="K6125" s="55">
        <v>0.93488850000000001</v>
      </c>
      <c r="L6125" s="55">
        <v>51.069809999999997</v>
      </c>
      <c r="M6125" s="55">
        <v>87.514920000000004</v>
      </c>
      <c r="N6125" s="55">
        <v>117.3946</v>
      </c>
    </row>
    <row r="6126" spans="1:14" hidden="1" x14ac:dyDescent="0.35">
      <c r="A6126" s="52" t="s">
        <v>731</v>
      </c>
      <c r="B6126" s="52" t="s">
        <v>312</v>
      </c>
      <c r="C6126" s="52" t="s">
        <v>311</v>
      </c>
      <c r="D6126" s="52" t="s">
        <v>311</v>
      </c>
      <c r="E6126" s="52" t="s">
        <v>584</v>
      </c>
      <c r="F6126" s="52" t="s">
        <v>581</v>
      </c>
      <c r="G6126" s="55" t="s">
        <v>275</v>
      </c>
      <c r="H6126" s="55"/>
      <c r="I6126" s="55"/>
      <c r="J6126" s="55"/>
      <c r="K6126" s="55"/>
      <c r="L6126" s="55">
        <v>0</v>
      </c>
      <c r="M6126" s="55">
        <v>0</v>
      </c>
      <c r="N6126" s="55">
        <v>0</v>
      </c>
    </row>
    <row r="6127" spans="1:14" hidden="1" x14ac:dyDescent="0.35">
      <c r="A6127" s="52" t="s">
        <v>731</v>
      </c>
      <c r="B6127" s="52" t="s">
        <v>312</v>
      </c>
      <c r="C6127" s="52" t="s">
        <v>311</v>
      </c>
      <c r="D6127" s="52" t="s">
        <v>311</v>
      </c>
      <c r="E6127" s="52" t="s">
        <v>584</v>
      </c>
      <c r="F6127" s="52" t="s">
        <v>581</v>
      </c>
      <c r="G6127" s="55" t="s">
        <v>276</v>
      </c>
      <c r="H6127" s="55"/>
      <c r="I6127" s="55"/>
      <c r="J6127" s="55"/>
      <c r="K6127" s="55"/>
      <c r="L6127" s="55">
        <v>0</v>
      </c>
      <c r="M6127" s="55">
        <v>-1.04608E-3</v>
      </c>
      <c r="N6127" s="55">
        <v>-1.0463600000000001E-3</v>
      </c>
    </row>
    <row r="6128" spans="1:14" hidden="1" x14ac:dyDescent="0.35">
      <c r="A6128" s="52" t="s">
        <v>731</v>
      </c>
      <c r="B6128" s="52" t="s">
        <v>312</v>
      </c>
      <c r="C6128" s="52" t="s">
        <v>311</v>
      </c>
      <c r="D6128" s="52" t="s">
        <v>311</v>
      </c>
      <c r="E6128" s="52" t="s">
        <v>584</v>
      </c>
      <c r="F6128" s="52" t="s">
        <v>581</v>
      </c>
      <c r="G6128" s="55" t="s">
        <v>279</v>
      </c>
      <c r="H6128" s="55"/>
      <c r="I6128" s="55"/>
      <c r="J6128" s="55"/>
      <c r="K6128" s="55"/>
      <c r="L6128" s="55">
        <v>0</v>
      </c>
      <c r="M6128" s="55">
        <v>1.04608E-3</v>
      </c>
      <c r="N6128" s="55">
        <v>1.04608E-3</v>
      </c>
    </row>
    <row r="6129" spans="1:14" hidden="1" x14ac:dyDescent="0.35">
      <c r="A6129" s="52" t="s">
        <v>731</v>
      </c>
      <c r="B6129" s="52" t="s">
        <v>312</v>
      </c>
      <c r="C6129" s="52" t="s">
        <v>311</v>
      </c>
      <c r="D6129" s="52" t="s">
        <v>311</v>
      </c>
      <c r="E6129" s="52" t="s">
        <v>584</v>
      </c>
      <c r="F6129" s="52" t="s">
        <v>26</v>
      </c>
      <c r="G6129" s="55" t="s">
        <v>275</v>
      </c>
      <c r="H6129" s="55">
        <v>-22.8004</v>
      </c>
      <c r="I6129" s="55">
        <v>-0.18974079999999999</v>
      </c>
      <c r="J6129" s="55">
        <v>-5.3120359999999998E-2</v>
      </c>
      <c r="K6129" s="55">
        <v>-5.3120359999999998E-2</v>
      </c>
      <c r="L6129" s="55">
        <v>-5.3120359999999998E-2</v>
      </c>
      <c r="M6129" s="55">
        <v>-5.3120359999999998E-2</v>
      </c>
      <c r="N6129" s="55">
        <v>-0.45378679999999999</v>
      </c>
    </row>
    <row r="6130" spans="1:14" hidden="1" x14ac:dyDescent="0.35">
      <c r="A6130" s="52" t="s">
        <v>731</v>
      </c>
      <c r="B6130" s="52" t="s">
        <v>312</v>
      </c>
      <c r="C6130" s="52" t="s">
        <v>311</v>
      </c>
      <c r="D6130" s="52" t="s">
        <v>311</v>
      </c>
      <c r="E6130" s="52" t="s">
        <v>584</v>
      </c>
      <c r="F6130" s="52" t="s">
        <v>26</v>
      </c>
      <c r="G6130" s="55" t="s">
        <v>276</v>
      </c>
      <c r="H6130" s="55"/>
      <c r="I6130" s="55"/>
      <c r="J6130" s="55">
        <v>-0.1366204</v>
      </c>
      <c r="K6130" s="55">
        <v>-9.7375559999999997</v>
      </c>
      <c r="L6130" s="55">
        <v>-2.7026479999999999</v>
      </c>
      <c r="M6130" s="55">
        <v>-0.14207449999999999</v>
      </c>
      <c r="N6130" s="55">
        <v>-0.14207449999999999</v>
      </c>
    </row>
    <row r="6131" spans="1:14" hidden="1" x14ac:dyDescent="0.35">
      <c r="A6131" s="52" t="s">
        <v>731</v>
      </c>
      <c r="B6131" s="52" t="s">
        <v>312</v>
      </c>
      <c r="C6131" s="52" t="s">
        <v>311</v>
      </c>
      <c r="D6131" s="52" t="s">
        <v>311</v>
      </c>
      <c r="E6131" s="52" t="s">
        <v>584</v>
      </c>
      <c r="F6131" s="52" t="s">
        <v>26</v>
      </c>
      <c r="G6131" s="55" t="s">
        <v>277</v>
      </c>
      <c r="H6131" s="55"/>
      <c r="I6131" s="55"/>
      <c r="J6131" s="55">
        <v>0</v>
      </c>
      <c r="K6131" s="55">
        <v>1.345008E-2</v>
      </c>
      <c r="L6131" s="55">
        <v>0.14795030000000001</v>
      </c>
      <c r="M6131" s="55">
        <v>0</v>
      </c>
      <c r="N6131" s="55">
        <v>0.40066649999999998</v>
      </c>
    </row>
    <row r="6132" spans="1:14" hidden="1" x14ac:dyDescent="0.35">
      <c r="A6132" s="52" t="s">
        <v>731</v>
      </c>
      <c r="B6132" s="52" t="s">
        <v>312</v>
      </c>
      <c r="C6132" s="52" t="s">
        <v>311</v>
      </c>
      <c r="D6132" s="52" t="s">
        <v>311</v>
      </c>
      <c r="E6132" s="52" t="s">
        <v>584</v>
      </c>
      <c r="F6132" s="52" t="s">
        <v>26</v>
      </c>
      <c r="G6132" s="55" t="s">
        <v>278</v>
      </c>
      <c r="H6132" s="55">
        <v>22.8004</v>
      </c>
      <c r="I6132" s="55">
        <v>0.18974079999999999</v>
      </c>
      <c r="J6132" s="55">
        <v>0.18974079999999999</v>
      </c>
      <c r="K6132" s="55">
        <v>9.7772249999999996</v>
      </c>
      <c r="L6132" s="55">
        <v>2.6078169999999998</v>
      </c>
      <c r="M6132" s="55">
        <v>0.18974079999999999</v>
      </c>
      <c r="N6132" s="55">
        <v>0.18974079999999999</v>
      </c>
    </row>
    <row r="6133" spans="1:14" hidden="1" x14ac:dyDescent="0.35">
      <c r="A6133" s="52" t="s">
        <v>731</v>
      </c>
      <c r="B6133" s="52" t="s">
        <v>312</v>
      </c>
      <c r="C6133" s="52" t="s">
        <v>311</v>
      </c>
      <c r="D6133" s="52" t="s">
        <v>311</v>
      </c>
      <c r="E6133" s="52" t="s">
        <v>584</v>
      </c>
      <c r="F6133" s="52" t="s">
        <v>26</v>
      </c>
      <c r="G6133" s="55" t="s">
        <v>279</v>
      </c>
      <c r="H6133" s="55"/>
      <c r="I6133" s="55"/>
      <c r="J6133" s="55"/>
      <c r="K6133" s="55"/>
      <c r="L6133" s="55">
        <v>0</v>
      </c>
      <c r="M6133" s="55">
        <v>5.4541199999999998E-3</v>
      </c>
      <c r="N6133" s="55">
        <v>5.4541199999999998E-3</v>
      </c>
    </row>
    <row r="6134" spans="1:14" hidden="1" x14ac:dyDescent="0.35">
      <c r="A6134" s="52" t="s">
        <v>731</v>
      </c>
      <c r="B6134" s="52" t="s">
        <v>320</v>
      </c>
      <c r="C6134" s="52" t="s">
        <v>319</v>
      </c>
      <c r="D6134" s="52" t="s">
        <v>319</v>
      </c>
      <c r="E6134" s="52" t="s">
        <v>584</v>
      </c>
      <c r="F6134" s="52" t="s">
        <v>581</v>
      </c>
      <c r="G6134" s="55" t="s">
        <v>275</v>
      </c>
      <c r="H6134" s="55"/>
      <c r="I6134" s="55"/>
      <c r="J6134" s="55"/>
      <c r="K6134" s="55"/>
      <c r="L6134" s="55"/>
      <c r="M6134" s="55"/>
      <c r="N6134" s="55">
        <v>0</v>
      </c>
    </row>
    <row r="6135" spans="1:14" hidden="1" x14ac:dyDescent="0.35">
      <c r="A6135" s="52" t="s">
        <v>731</v>
      </c>
      <c r="B6135" s="52" t="s">
        <v>320</v>
      </c>
      <c r="C6135" s="52" t="s">
        <v>319</v>
      </c>
      <c r="D6135" s="52" t="s">
        <v>319</v>
      </c>
      <c r="E6135" s="52" t="s">
        <v>584</v>
      </c>
      <c r="F6135" s="52" t="s">
        <v>581</v>
      </c>
      <c r="G6135" s="55" t="s">
        <v>276</v>
      </c>
      <c r="H6135" s="55"/>
      <c r="I6135" s="55"/>
      <c r="J6135" s="55"/>
      <c r="K6135" s="55"/>
      <c r="L6135" s="55"/>
      <c r="M6135" s="55"/>
      <c r="N6135" s="55">
        <v>0</v>
      </c>
    </row>
    <row r="6136" spans="1:14" hidden="1" x14ac:dyDescent="0.35">
      <c r="A6136" s="52" t="s">
        <v>731</v>
      </c>
      <c r="B6136" s="52" t="s">
        <v>320</v>
      </c>
      <c r="C6136" s="52" t="s">
        <v>319</v>
      </c>
      <c r="D6136" s="52" t="s">
        <v>319</v>
      </c>
      <c r="E6136" s="52" t="s">
        <v>584</v>
      </c>
      <c r="F6136" s="52" t="s">
        <v>581</v>
      </c>
      <c r="G6136" s="55" t="s">
        <v>279</v>
      </c>
      <c r="H6136" s="55"/>
      <c r="I6136" s="55"/>
      <c r="J6136" s="55"/>
      <c r="K6136" s="55"/>
      <c r="L6136" s="55"/>
      <c r="M6136" s="55"/>
      <c r="N6136" s="55">
        <v>0</v>
      </c>
    </row>
    <row r="6137" spans="1:14" hidden="1" x14ac:dyDescent="0.35">
      <c r="A6137" s="52" t="s">
        <v>731</v>
      </c>
      <c r="B6137" s="52" t="s">
        <v>320</v>
      </c>
      <c r="C6137" s="52" t="s">
        <v>319</v>
      </c>
      <c r="D6137" s="52" t="s">
        <v>319</v>
      </c>
      <c r="E6137" s="52" t="s">
        <v>584</v>
      </c>
      <c r="F6137" s="52" t="s">
        <v>26</v>
      </c>
      <c r="G6137" s="55" t="s">
        <v>275</v>
      </c>
      <c r="H6137" s="55">
        <v>-1.8916059999999999</v>
      </c>
      <c r="I6137" s="55">
        <v>-1.8916059999999999</v>
      </c>
      <c r="J6137" s="55">
        <v>-3.9895800000000002E-2</v>
      </c>
      <c r="K6137" s="55">
        <v>-4.2286499999999998E-2</v>
      </c>
      <c r="L6137" s="55">
        <v>-0.3247929</v>
      </c>
      <c r="M6137" s="55">
        <v>-0.32718390000000003</v>
      </c>
      <c r="N6137" s="55">
        <v>-4.7067900000000003E-2</v>
      </c>
    </row>
    <row r="6138" spans="1:14" hidden="1" x14ac:dyDescent="0.35">
      <c r="A6138" s="52" t="s">
        <v>731</v>
      </c>
      <c r="B6138" s="52" t="s">
        <v>320</v>
      </c>
      <c r="C6138" s="52" t="s">
        <v>319</v>
      </c>
      <c r="D6138" s="52" t="s">
        <v>319</v>
      </c>
      <c r="E6138" s="52" t="s">
        <v>584</v>
      </c>
      <c r="F6138" s="52" t="s">
        <v>26</v>
      </c>
      <c r="G6138" s="55" t="s">
        <v>276</v>
      </c>
      <c r="H6138" s="55">
        <v>-0.250668</v>
      </c>
      <c r="I6138" s="55">
        <v>-0.25066769999999999</v>
      </c>
      <c r="J6138" s="55">
        <v>-2.055361</v>
      </c>
      <c r="K6138" s="55">
        <v>-9.7320650000000004</v>
      </c>
      <c r="L6138" s="55">
        <v>-6.8317569999999996</v>
      </c>
      <c r="M6138" s="55">
        <v>-0.15917300000000001</v>
      </c>
      <c r="N6138" s="55">
        <v>-0.43423919999999999</v>
      </c>
    </row>
    <row r="6139" spans="1:14" hidden="1" x14ac:dyDescent="0.35">
      <c r="A6139" s="52" t="s">
        <v>731</v>
      </c>
      <c r="B6139" s="52" t="s">
        <v>320</v>
      </c>
      <c r="C6139" s="52" t="s">
        <v>319</v>
      </c>
      <c r="D6139" s="52" t="s">
        <v>319</v>
      </c>
      <c r="E6139" s="52" t="s">
        <v>584</v>
      </c>
      <c r="F6139" s="52" t="s">
        <v>26</v>
      </c>
      <c r="G6139" s="55" t="s">
        <v>277</v>
      </c>
      <c r="H6139" s="55"/>
      <c r="I6139" s="55"/>
      <c r="J6139" s="55"/>
      <c r="K6139" s="55">
        <v>0</v>
      </c>
      <c r="L6139" s="55">
        <v>0.2979289</v>
      </c>
      <c r="M6139" s="55">
        <v>0.30940390000000001</v>
      </c>
      <c r="N6139" s="55">
        <v>0.30435420000000002</v>
      </c>
    </row>
    <row r="6140" spans="1:14" hidden="1" x14ac:dyDescent="0.35">
      <c r="A6140" s="52" t="s">
        <v>731</v>
      </c>
      <c r="B6140" s="52" t="s">
        <v>320</v>
      </c>
      <c r="C6140" s="52" t="s">
        <v>319</v>
      </c>
      <c r="D6140" s="52" t="s">
        <v>319</v>
      </c>
      <c r="E6140" s="52" t="s">
        <v>584</v>
      </c>
      <c r="F6140" s="52" t="s">
        <v>26</v>
      </c>
      <c r="G6140" s="55" t="s">
        <v>278</v>
      </c>
      <c r="H6140" s="55">
        <v>2.1422750000000002</v>
      </c>
      <c r="I6140" s="55">
        <v>2.142274</v>
      </c>
      <c r="J6140" s="55">
        <v>2.1024289999999999</v>
      </c>
      <c r="K6140" s="55">
        <v>9.7791329999999999</v>
      </c>
      <c r="L6140" s="55">
        <v>6.8610110000000004</v>
      </c>
      <c r="M6140" s="55">
        <v>0.1769529</v>
      </c>
      <c r="N6140" s="55">
        <v>0.1769529</v>
      </c>
    </row>
    <row r="6141" spans="1:14" hidden="1" x14ac:dyDescent="0.35">
      <c r="A6141" s="52" t="s">
        <v>731</v>
      </c>
      <c r="B6141" s="52" t="s">
        <v>320</v>
      </c>
      <c r="C6141" s="52" t="s">
        <v>319</v>
      </c>
      <c r="D6141" s="52" t="s">
        <v>319</v>
      </c>
      <c r="E6141" s="52" t="s">
        <v>584</v>
      </c>
      <c r="F6141" s="52" t="s">
        <v>26</v>
      </c>
      <c r="G6141" s="55" t="s">
        <v>279</v>
      </c>
      <c r="H6141" s="55"/>
      <c r="I6141" s="55"/>
      <c r="J6141" s="55"/>
      <c r="K6141" s="55"/>
      <c r="L6141" s="55"/>
      <c r="M6141" s="55"/>
      <c r="N6141" s="55">
        <v>0</v>
      </c>
    </row>
    <row r="6142" spans="1:14" hidden="1" x14ac:dyDescent="0.35">
      <c r="A6142" s="52" t="s">
        <v>731</v>
      </c>
      <c r="B6142" s="52" t="s">
        <v>320</v>
      </c>
      <c r="C6142" s="52" t="s">
        <v>311</v>
      </c>
      <c r="D6142" s="52" t="s">
        <v>311</v>
      </c>
      <c r="E6142" s="52" t="s">
        <v>584</v>
      </c>
      <c r="F6142" s="52" t="s">
        <v>26</v>
      </c>
      <c r="G6142" s="55" t="s">
        <v>275</v>
      </c>
      <c r="H6142" s="55">
        <v>-5.64816E-2</v>
      </c>
      <c r="I6142" s="55">
        <v>-5.64816E-2</v>
      </c>
      <c r="J6142" s="55">
        <v>0</v>
      </c>
      <c r="K6142" s="55">
        <v>0</v>
      </c>
      <c r="L6142" s="55">
        <v>0</v>
      </c>
      <c r="M6142" s="55">
        <v>0</v>
      </c>
      <c r="N6142" s="55">
        <v>0</v>
      </c>
    </row>
    <row r="6143" spans="1:14" hidden="1" x14ac:dyDescent="0.35">
      <c r="A6143" s="52" t="s">
        <v>731</v>
      </c>
      <c r="B6143" s="52" t="s">
        <v>320</v>
      </c>
      <c r="C6143" s="52" t="s">
        <v>311</v>
      </c>
      <c r="D6143" s="52" t="s">
        <v>311</v>
      </c>
      <c r="E6143" s="52" t="s">
        <v>584</v>
      </c>
      <c r="F6143" s="52" t="s">
        <v>26</v>
      </c>
      <c r="G6143" s="55" t="s">
        <v>276</v>
      </c>
      <c r="H6143" s="55"/>
      <c r="I6143" s="55"/>
      <c r="J6143" s="55"/>
      <c r="K6143" s="55"/>
      <c r="L6143" s="55"/>
      <c r="M6143" s="55">
        <v>0</v>
      </c>
      <c r="N6143" s="55">
        <v>0</v>
      </c>
    </row>
    <row r="6144" spans="1:14" hidden="1" x14ac:dyDescent="0.35">
      <c r="A6144" s="52" t="s">
        <v>731</v>
      </c>
      <c r="B6144" s="52" t="s">
        <v>320</v>
      </c>
      <c r="C6144" s="52" t="s">
        <v>311</v>
      </c>
      <c r="D6144" s="52" t="s">
        <v>311</v>
      </c>
      <c r="E6144" s="52" t="s">
        <v>584</v>
      </c>
      <c r="F6144" s="52" t="s">
        <v>26</v>
      </c>
      <c r="G6144" s="55" t="s">
        <v>277</v>
      </c>
      <c r="H6144" s="55">
        <v>0</v>
      </c>
      <c r="I6144" s="55">
        <v>0</v>
      </c>
      <c r="J6144" s="55">
        <v>0</v>
      </c>
      <c r="K6144" s="55">
        <v>0</v>
      </c>
      <c r="L6144" s="55">
        <v>0</v>
      </c>
      <c r="M6144" s="55">
        <v>0</v>
      </c>
      <c r="N6144" s="55">
        <v>0</v>
      </c>
    </row>
    <row r="6145" spans="1:14" hidden="1" x14ac:dyDescent="0.35">
      <c r="A6145" s="52" t="s">
        <v>731</v>
      </c>
      <c r="B6145" s="52" t="s">
        <v>320</v>
      </c>
      <c r="C6145" s="52" t="s">
        <v>311</v>
      </c>
      <c r="D6145" s="52" t="s">
        <v>311</v>
      </c>
      <c r="E6145" s="52" t="s">
        <v>584</v>
      </c>
      <c r="F6145" s="52" t="s">
        <v>26</v>
      </c>
      <c r="G6145" s="55" t="s">
        <v>278</v>
      </c>
      <c r="H6145" s="55">
        <v>5.64816E-2</v>
      </c>
      <c r="I6145" s="55">
        <v>5.64816E-2</v>
      </c>
      <c r="J6145" s="55">
        <v>0</v>
      </c>
      <c r="K6145" s="55">
        <v>0</v>
      </c>
      <c r="L6145" s="55">
        <v>0</v>
      </c>
      <c r="M6145" s="55">
        <v>0</v>
      </c>
      <c r="N6145" s="55">
        <v>0</v>
      </c>
    </row>
    <row r="6146" spans="1:14" hidden="1" x14ac:dyDescent="0.35">
      <c r="A6146" s="52" t="s">
        <v>731</v>
      </c>
      <c r="B6146" s="52" t="s">
        <v>320</v>
      </c>
      <c r="C6146" s="52" t="s">
        <v>311</v>
      </c>
      <c r="D6146" s="52" t="s">
        <v>311</v>
      </c>
      <c r="E6146" s="52" t="s">
        <v>584</v>
      </c>
      <c r="F6146" s="52" t="s">
        <v>26</v>
      </c>
      <c r="G6146" s="55" t="s">
        <v>279</v>
      </c>
      <c r="H6146" s="55"/>
      <c r="I6146" s="55"/>
      <c r="J6146" s="55"/>
      <c r="K6146" s="55"/>
      <c r="L6146" s="55"/>
      <c r="M6146" s="55">
        <v>0</v>
      </c>
      <c r="N6146" s="55">
        <v>0</v>
      </c>
    </row>
    <row r="6147" spans="1:14" hidden="1" x14ac:dyDescent="0.35">
      <c r="A6147" s="52" t="s">
        <v>731</v>
      </c>
      <c r="B6147" s="52" t="s">
        <v>264</v>
      </c>
      <c r="C6147" s="52" t="s">
        <v>264</v>
      </c>
      <c r="D6147" s="52" t="s">
        <v>264</v>
      </c>
      <c r="E6147" s="52" t="s">
        <v>584</v>
      </c>
      <c r="F6147" s="52" t="s">
        <v>581</v>
      </c>
      <c r="G6147" s="55" t="s">
        <v>275</v>
      </c>
      <c r="H6147" s="55">
        <v>-0.51428560000000001</v>
      </c>
      <c r="I6147" s="55">
        <v>-0.51428560000000001</v>
      </c>
      <c r="J6147" s="55">
        <v>0</v>
      </c>
      <c r="K6147" s="55">
        <v>0</v>
      </c>
      <c r="L6147" s="55">
        <v>0</v>
      </c>
      <c r="M6147" s="55">
        <v>0</v>
      </c>
      <c r="N6147" s="55">
        <v>0</v>
      </c>
    </row>
    <row r="6148" spans="1:14" hidden="1" x14ac:dyDescent="0.35">
      <c r="A6148" s="52" t="s">
        <v>731</v>
      </c>
      <c r="B6148" s="52" t="s">
        <v>264</v>
      </c>
      <c r="C6148" s="52" t="s">
        <v>264</v>
      </c>
      <c r="D6148" s="52" t="s">
        <v>264</v>
      </c>
      <c r="E6148" s="52" t="s">
        <v>584</v>
      </c>
      <c r="F6148" s="52" t="s">
        <v>581</v>
      </c>
      <c r="G6148" s="55" t="s">
        <v>276</v>
      </c>
      <c r="H6148" s="55"/>
      <c r="I6148" s="55"/>
      <c r="J6148" s="55">
        <v>-0.51428560000000001</v>
      </c>
      <c r="K6148" s="55">
        <v>-0.51428560000000001</v>
      </c>
      <c r="L6148" s="55">
        <v>-52.664540000000002</v>
      </c>
      <c r="M6148" s="55">
        <v>-137.92490000000001</v>
      </c>
      <c r="N6148" s="55">
        <v>-30.397880000000001</v>
      </c>
    </row>
    <row r="6149" spans="1:14" hidden="1" x14ac:dyDescent="0.35">
      <c r="A6149" s="52" t="s">
        <v>731</v>
      </c>
      <c r="B6149" s="52" t="s">
        <v>264</v>
      </c>
      <c r="C6149" s="52" t="s">
        <v>264</v>
      </c>
      <c r="D6149" s="52" t="s">
        <v>264</v>
      </c>
      <c r="E6149" s="52" t="s">
        <v>584</v>
      </c>
      <c r="F6149" s="52" t="s">
        <v>581</v>
      </c>
      <c r="G6149" s="55" t="s">
        <v>277</v>
      </c>
      <c r="H6149" s="55"/>
      <c r="I6149" s="55"/>
      <c r="J6149" s="55"/>
      <c r="K6149" s="55"/>
      <c r="L6149" s="55"/>
      <c r="M6149" s="55"/>
      <c r="N6149" s="55">
        <v>0</v>
      </c>
    </row>
    <row r="6150" spans="1:14" hidden="1" x14ac:dyDescent="0.35">
      <c r="A6150" s="52" t="s">
        <v>731</v>
      </c>
      <c r="B6150" s="52" t="s">
        <v>264</v>
      </c>
      <c r="C6150" s="52" t="s">
        <v>264</v>
      </c>
      <c r="D6150" s="52" t="s">
        <v>264</v>
      </c>
      <c r="E6150" s="52" t="s">
        <v>584</v>
      </c>
      <c r="F6150" s="52" t="s">
        <v>581</v>
      </c>
      <c r="G6150" s="55" t="s">
        <v>278</v>
      </c>
      <c r="H6150" s="55">
        <v>0.51428560000000001</v>
      </c>
      <c r="I6150" s="55">
        <v>0.51428560000000001</v>
      </c>
      <c r="J6150" s="55">
        <v>0.51428560000000001</v>
      </c>
      <c r="K6150" s="55">
        <v>0.51428560000000001</v>
      </c>
      <c r="L6150" s="55">
        <v>52.664529999999999</v>
      </c>
      <c r="M6150" s="55">
        <v>137.92490000000001</v>
      </c>
      <c r="N6150" s="55">
        <v>30.397880000000001</v>
      </c>
    </row>
    <row r="6151" spans="1:14" hidden="1" x14ac:dyDescent="0.35">
      <c r="A6151" s="52" t="s">
        <v>731</v>
      </c>
      <c r="B6151" s="52" t="s">
        <v>291</v>
      </c>
      <c r="C6151" s="52" t="s">
        <v>102</v>
      </c>
      <c r="D6151" s="52" t="s">
        <v>102</v>
      </c>
      <c r="E6151" s="52" t="s">
        <v>584</v>
      </c>
      <c r="F6151" s="52" t="s">
        <v>581</v>
      </c>
      <c r="G6151" s="55" t="s">
        <v>275</v>
      </c>
      <c r="H6151" s="55">
        <v>-22.14723</v>
      </c>
      <c r="I6151" s="55">
        <v>-0.17580799999999999</v>
      </c>
      <c r="J6151" s="55">
        <v>0</v>
      </c>
      <c r="K6151" s="55">
        <v>0</v>
      </c>
      <c r="L6151" s="55">
        <v>0</v>
      </c>
      <c r="M6151" s="55">
        <v>0</v>
      </c>
      <c r="N6151" s="55">
        <v>0</v>
      </c>
    </row>
    <row r="6152" spans="1:14" hidden="1" x14ac:dyDescent="0.35">
      <c r="A6152" s="52" t="s">
        <v>731</v>
      </c>
      <c r="B6152" s="52" t="s">
        <v>291</v>
      </c>
      <c r="C6152" s="52" t="s">
        <v>102</v>
      </c>
      <c r="D6152" s="52" t="s">
        <v>102</v>
      </c>
      <c r="E6152" s="52" t="s">
        <v>584</v>
      </c>
      <c r="F6152" s="52" t="s">
        <v>581</v>
      </c>
      <c r="G6152" s="55" t="s">
        <v>276</v>
      </c>
      <c r="H6152" s="55"/>
      <c r="I6152" s="55"/>
      <c r="J6152" s="55">
        <v>-78.361109999999996</v>
      </c>
      <c r="K6152" s="55">
        <v>-0.17580799999999999</v>
      </c>
      <c r="L6152" s="55">
        <v>-0.182058</v>
      </c>
      <c r="M6152" s="55">
        <v>-0.182058</v>
      </c>
      <c r="N6152" s="55">
        <v>-0.19247300000000001</v>
      </c>
    </row>
    <row r="6153" spans="1:14" hidden="1" x14ac:dyDescent="0.35">
      <c r="A6153" s="52" t="s">
        <v>731</v>
      </c>
      <c r="B6153" s="52" t="s">
        <v>291</v>
      </c>
      <c r="C6153" s="52" t="s">
        <v>102</v>
      </c>
      <c r="D6153" s="52" t="s">
        <v>102</v>
      </c>
      <c r="E6153" s="52" t="s">
        <v>584</v>
      </c>
      <c r="F6153" s="52" t="s">
        <v>581</v>
      </c>
      <c r="G6153" s="55" t="s">
        <v>277</v>
      </c>
      <c r="H6153" s="55"/>
      <c r="I6153" s="55"/>
      <c r="J6153" s="55"/>
      <c r="K6153" s="55">
        <v>0</v>
      </c>
      <c r="L6153" s="55">
        <v>6.2500000000000003E-3</v>
      </c>
      <c r="M6153" s="55">
        <v>6.2500000000000003E-3</v>
      </c>
      <c r="N6153" s="55">
        <v>1.6664999999999999E-2</v>
      </c>
    </row>
    <row r="6154" spans="1:14" hidden="1" x14ac:dyDescent="0.35">
      <c r="A6154" s="52" t="s">
        <v>731</v>
      </c>
      <c r="B6154" s="52" t="s">
        <v>291</v>
      </c>
      <c r="C6154" s="52" t="s">
        <v>102</v>
      </c>
      <c r="D6154" s="52" t="s">
        <v>102</v>
      </c>
      <c r="E6154" s="52" t="s">
        <v>584</v>
      </c>
      <c r="F6154" s="52" t="s">
        <v>581</v>
      </c>
      <c r="G6154" s="55" t="s">
        <v>278</v>
      </c>
      <c r="H6154" s="55">
        <v>22.14723</v>
      </c>
      <c r="I6154" s="55">
        <v>0.17580799999999999</v>
      </c>
      <c r="J6154" s="55">
        <v>78.361109999999996</v>
      </c>
      <c r="K6154" s="55">
        <v>0.17580799999999999</v>
      </c>
      <c r="L6154" s="55">
        <v>0.17580799999999999</v>
      </c>
      <c r="M6154" s="55">
        <v>0.17580799999999999</v>
      </c>
      <c r="N6154" s="55">
        <v>0.17580799999999999</v>
      </c>
    </row>
    <row r="6155" spans="1:14" hidden="1" x14ac:dyDescent="0.35">
      <c r="A6155" s="52" t="s">
        <v>731</v>
      </c>
      <c r="B6155" s="52" t="s">
        <v>282</v>
      </c>
      <c r="C6155" s="52" t="s">
        <v>365</v>
      </c>
      <c r="D6155" s="52" t="s">
        <v>365</v>
      </c>
      <c r="E6155" s="52" t="s">
        <v>584</v>
      </c>
      <c r="F6155" s="52" t="s">
        <v>581</v>
      </c>
      <c r="G6155" s="55" t="s">
        <v>275</v>
      </c>
      <c r="H6155" s="55"/>
      <c r="I6155" s="55"/>
      <c r="J6155" s="55"/>
      <c r="K6155" s="55"/>
      <c r="L6155" s="55"/>
      <c r="M6155" s="55">
        <v>0</v>
      </c>
      <c r="N6155" s="55">
        <v>0</v>
      </c>
    </row>
    <row r="6156" spans="1:14" hidden="1" x14ac:dyDescent="0.35">
      <c r="A6156" s="52" t="s">
        <v>731</v>
      </c>
      <c r="B6156" s="52" t="s">
        <v>282</v>
      </c>
      <c r="C6156" s="52" t="s">
        <v>365</v>
      </c>
      <c r="D6156" s="52" t="s">
        <v>365</v>
      </c>
      <c r="E6156" s="52" t="s">
        <v>584</v>
      </c>
      <c r="F6156" s="52" t="s">
        <v>581</v>
      </c>
      <c r="G6156" s="55" t="s">
        <v>276</v>
      </c>
      <c r="H6156" s="55"/>
      <c r="I6156" s="55"/>
      <c r="J6156" s="55"/>
      <c r="K6156" s="55"/>
      <c r="L6156" s="55"/>
      <c r="M6156" s="55">
        <v>0</v>
      </c>
      <c r="N6156" s="55">
        <v>-7.6725000000000003E-4</v>
      </c>
    </row>
    <row r="6157" spans="1:14" hidden="1" x14ac:dyDescent="0.35">
      <c r="A6157" s="52" t="s">
        <v>731</v>
      </c>
      <c r="B6157" s="52" t="s">
        <v>282</v>
      </c>
      <c r="C6157" s="52" t="s">
        <v>365</v>
      </c>
      <c r="D6157" s="52" t="s">
        <v>365</v>
      </c>
      <c r="E6157" s="52" t="s">
        <v>584</v>
      </c>
      <c r="F6157" s="52" t="s">
        <v>581</v>
      </c>
      <c r="G6157" s="55" t="s">
        <v>279</v>
      </c>
      <c r="H6157" s="55"/>
      <c r="I6157" s="55"/>
      <c r="J6157" s="55"/>
      <c r="K6157" s="55"/>
      <c r="L6157" s="55"/>
      <c r="M6157" s="55">
        <v>0</v>
      </c>
      <c r="N6157" s="55">
        <v>7.6769990000000003E-4</v>
      </c>
    </row>
    <row r="6158" spans="1:14" hidden="1" x14ac:dyDescent="0.35">
      <c r="A6158" s="52" t="s">
        <v>731</v>
      </c>
      <c r="B6158" s="52" t="s">
        <v>282</v>
      </c>
      <c r="C6158" s="52" t="s">
        <v>365</v>
      </c>
      <c r="D6158" s="52" t="s">
        <v>365</v>
      </c>
      <c r="E6158" s="52" t="s">
        <v>584</v>
      </c>
      <c r="F6158" s="52" t="s">
        <v>26</v>
      </c>
      <c r="G6158" s="55" t="s">
        <v>275</v>
      </c>
      <c r="H6158" s="55">
        <v>-0.19578870000000001</v>
      </c>
      <c r="I6158" s="55">
        <v>-0.19578870000000001</v>
      </c>
      <c r="J6158" s="55">
        <v>0</v>
      </c>
      <c r="K6158" s="55">
        <v>0</v>
      </c>
      <c r="L6158" s="55">
        <v>0</v>
      </c>
      <c r="M6158" s="55">
        <v>0</v>
      </c>
      <c r="N6158" s="55">
        <v>0</v>
      </c>
    </row>
    <row r="6159" spans="1:14" hidden="1" x14ac:dyDescent="0.35">
      <c r="A6159" s="52" t="s">
        <v>731</v>
      </c>
      <c r="B6159" s="52" t="s">
        <v>282</v>
      </c>
      <c r="C6159" s="52" t="s">
        <v>365</v>
      </c>
      <c r="D6159" s="52" t="s">
        <v>365</v>
      </c>
      <c r="E6159" s="52" t="s">
        <v>584</v>
      </c>
      <c r="F6159" s="52" t="s">
        <v>26</v>
      </c>
      <c r="G6159" s="55" t="s">
        <v>276</v>
      </c>
      <c r="H6159" s="55"/>
      <c r="I6159" s="55"/>
      <c r="J6159" s="55">
        <v>-36.473129999999998</v>
      </c>
      <c r="K6159" s="55">
        <v>-0.19578870000000001</v>
      </c>
      <c r="L6159" s="55">
        <v>-0.19578870000000001</v>
      </c>
      <c r="M6159" s="55">
        <v>-0.64177329999999999</v>
      </c>
      <c r="N6159" s="55">
        <v>-0.23939869999999999</v>
      </c>
    </row>
    <row r="6160" spans="1:14" hidden="1" x14ac:dyDescent="0.35">
      <c r="A6160" s="52" t="s">
        <v>731</v>
      </c>
      <c r="B6160" s="52" t="s">
        <v>282</v>
      </c>
      <c r="C6160" s="52" t="s">
        <v>365</v>
      </c>
      <c r="D6160" s="52" t="s">
        <v>365</v>
      </c>
      <c r="E6160" s="52" t="s">
        <v>584</v>
      </c>
      <c r="F6160" s="52" t="s">
        <v>26</v>
      </c>
      <c r="G6160" s="55" t="s">
        <v>277</v>
      </c>
      <c r="H6160" s="55"/>
      <c r="I6160" s="55"/>
      <c r="J6160" s="55"/>
      <c r="K6160" s="55"/>
      <c r="L6160" s="55">
        <v>0</v>
      </c>
      <c r="M6160" s="55">
        <v>4.6980000000000001E-2</v>
      </c>
      <c r="N6160" s="55">
        <v>4.0500000000000001E-2</v>
      </c>
    </row>
    <row r="6161" spans="1:14" hidden="1" x14ac:dyDescent="0.35">
      <c r="A6161" s="52" t="s">
        <v>731</v>
      </c>
      <c r="B6161" s="52" t="s">
        <v>282</v>
      </c>
      <c r="C6161" s="52" t="s">
        <v>365</v>
      </c>
      <c r="D6161" s="52" t="s">
        <v>365</v>
      </c>
      <c r="E6161" s="52" t="s">
        <v>584</v>
      </c>
      <c r="F6161" s="52" t="s">
        <v>26</v>
      </c>
      <c r="G6161" s="55" t="s">
        <v>278</v>
      </c>
      <c r="H6161" s="55">
        <v>0.19578870000000001</v>
      </c>
      <c r="I6161" s="55">
        <v>0.19578870000000001</v>
      </c>
      <c r="J6161" s="55">
        <v>36.473129999999998</v>
      </c>
      <c r="K6161" s="55">
        <v>0.19578870000000001</v>
      </c>
      <c r="L6161" s="55">
        <v>0.19578870000000001</v>
      </c>
      <c r="M6161" s="55">
        <v>0.5947924</v>
      </c>
      <c r="N6161" s="55">
        <v>0.19578870000000001</v>
      </c>
    </row>
    <row r="6162" spans="1:14" hidden="1" x14ac:dyDescent="0.35">
      <c r="A6162" s="52" t="s">
        <v>731</v>
      </c>
      <c r="B6162" s="52" t="s">
        <v>282</v>
      </c>
      <c r="C6162" s="52" t="s">
        <v>365</v>
      </c>
      <c r="D6162" s="52" t="s">
        <v>365</v>
      </c>
      <c r="E6162" s="52" t="s">
        <v>584</v>
      </c>
      <c r="F6162" s="52" t="s">
        <v>26</v>
      </c>
      <c r="G6162" s="55" t="s">
        <v>279</v>
      </c>
      <c r="H6162" s="55"/>
      <c r="I6162" s="55"/>
      <c r="J6162" s="55"/>
      <c r="K6162" s="55"/>
      <c r="L6162" s="55"/>
      <c r="M6162" s="55">
        <v>0</v>
      </c>
      <c r="N6162" s="55">
        <v>3.1099500000000002E-3</v>
      </c>
    </row>
    <row r="6163" spans="1:14" hidden="1" x14ac:dyDescent="0.35">
      <c r="A6163" s="52" t="s">
        <v>731</v>
      </c>
      <c r="B6163" s="52" t="s">
        <v>337</v>
      </c>
      <c r="C6163" s="52" t="s">
        <v>265</v>
      </c>
      <c r="D6163" s="52" t="s">
        <v>265</v>
      </c>
      <c r="E6163" s="52" t="s">
        <v>584</v>
      </c>
      <c r="F6163" s="52" t="s">
        <v>581</v>
      </c>
      <c r="G6163" s="55" t="s">
        <v>275</v>
      </c>
      <c r="H6163" s="55">
        <v>-0.1117385</v>
      </c>
      <c r="I6163" s="55">
        <v>-0.1117385</v>
      </c>
      <c r="J6163" s="55">
        <v>0</v>
      </c>
      <c r="K6163" s="55">
        <v>0</v>
      </c>
      <c r="L6163" s="55">
        <v>0</v>
      </c>
      <c r="M6163" s="55">
        <v>0</v>
      </c>
      <c r="N6163" s="55">
        <v>0</v>
      </c>
    </row>
    <row r="6164" spans="1:14" hidden="1" x14ac:dyDescent="0.35">
      <c r="A6164" s="52" t="s">
        <v>731</v>
      </c>
      <c r="B6164" s="52" t="s">
        <v>337</v>
      </c>
      <c r="C6164" s="52" t="s">
        <v>265</v>
      </c>
      <c r="D6164" s="52" t="s">
        <v>265</v>
      </c>
      <c r="E6164" s="52" t="s">
        <v>584</v>
      </c>
      <c r="F6164" s="52" t="s">
        <v>581</v>
      </c>
      <c r="G6164" s="55" t="s">
        <v>276</v>
      </c>
      <c r="H6164" s="55"/>
      <c r="I6164" s="55"/>
      <c r="J6164" s="55">
        <v>-13.1287</v>
      </c>
      <c r="K6164" s="55">
        <v>-0.1117385</v>
      </c>
      <c r="L6164" s="55">
        <v>-0.1336135</v>
      </c>
      <c r="M6164" s="55">
        <v>-0.1336135</v>
      </c>
      <c r="N6164" s="55">
        <v>-0.1117385</v>
      </c>
    </row>
    <row r="6165" spans="1:14" hidden="1" x14ac:dyDescent="0.35">
      <c r="A6165" s="52" t="s">
        <v>731</v>
      </c>
      <c r="B6165" s="52" t="s">
        <v>337</v>
      </c>
      <c r="C6165" s="52" t="s">
        <v>265</v>
      </c>
      <c r="D6165" s="52" t="s">
        <v>265</v>
      </c>
      <c r="E6165" s="52" t="s">
        <v>584</v>
      </c>
      <c r="F6165" s="52" t="s">
        <v>581</v>
      </c>
      <c r="G6165" s="55" t="s">
        <v>277</v>
      </c>
      <c r="H6165" s="55"/>
      <c r="I6165" s="55"/>
      <c r="J6165" s="55"/>
      <c r="K6165" s="55">
        <v>0</v>
      </c>
      <c r="L6165" s="55">
        <v>2.1874999999999999E-2</v>
      </c>
      <c r="M6165" s="55">
        <v>2.1874999999999999E-2</v>
      </c>
      <c r="N6165" s="55">
        <v>0</v>
      </c>
    </row>
    <row r="6166" spans="1:14" hidden="1" x14ac:dyDescent="0.35">
      <c r="A6166" s="52" t="s">
        <v>731</v>
      </c>
      <c r="B6166" s="52" t="s">
        <v>337</v>
      </c>
      <c r="C6166" s="52" t="s">
        <v>265</v>
      </c>
      <c r="D6166" s="52" t="s">
        <v>265</v>
      </c>
      <c r="E6166" s="52" t="s">
        <v>584</v>
      </c>
      <c r="F6166" s="52" t="s">
        <v>581</v>
      </c>
      <c r="G6166" s="55" t="s">
        <v>278</v>
      </c>
      <c r="H6166" s="55">
        <v>0.1117385</v>
      </c>
      <c r="I6166" s="55">
        <v>0.1117385</v>
      </c>
      <c r="J6166" s="55">
        <v>13.1287</v>
      </c>
      <c r="K6166" s="55">
        <v>0.1117385</v>
      </c>
      <c r="L6166" s="55">
        <v>0.1117385</v>
      </c>
      <c r="M6166" s="55">
        <v>0.1117385</v>
      </c>
      <c r="N6166" s="55">
        <v>0.1117385</v>
      </c>
    </row>
    <row r="6167" spans="1:14" hidden="1" x14ac:dyDescent="0.35">
      <c r="A6167" s="52" t="s">
        <v>731</v>
      </c>
      <c r="B6167" s="52" t="s">
        <v>337</v>
      </c>
      <c r="C6167" s="52" t="s">
        <v>229</v>
      </c>
      <c r="D6167" s="52" t="s">
        <v>229</v>
      </c>
      <c r="E6167" s="52" t="s">
        <v>584</v>
      </c>
      <c r="F6167" s="52" t="s">
        <v>581</v>
      </c>
      <c r="G6167" s="55" t="s">
        <v>275</v>
      </c>
      <c r="H6167" s="55">
        <v>-0.66335480000000002</v>
      </c>
      <c r="I6167" s="55">
        <v>-0.66335469999999996</v>
      </c>
      <c r="J6167" s="55">
        <v>0</v>
      </c>
      <c r="K6167" s="55">
        <v>0</v>
      </c>
      <c r="L6167" s="55">
        <v>0</v>
      </c>
      <c r="M6167" s="55">
        <v>0</v>
      </c>
      <c r="N6167" s="55">
        <v>0</v>
      </c>
    </row>
    <row r="6168" spans="1:14" hidden="1" x14ac:dyDescent="0.35">
      <c r="A6168" s="52" t="s">
        <v>731</v>
      </c>
      <c r="B6168" s="52" t="s">
        <v>337</v>
      </c>
      <c r="C6168" s="52" t="s">
        <v>229</v>
      </c>
      <c r="D6168" s="52" t="s">
        <v>229</v>
      </c>
      <c r="E6168" s="52" t="s">
        <v>584</v>
      </c>
      <c r="F6168" s="52" t="s">
        <v>581</v>
      </c>
      <c r="G6168" s="55" t="s">
        <v>276</v>
      </c>
      <c r="H6168" s="55"/>
      <c r="I6168" s="55"/>
      <c r="J6168" s="55">
        <v>-63.086399999999998</v>
      </c>
      <c r="K6168" s="55">
        <v>-20.053190000000001</v>
      </c>
      <c r="L6168" s="55">
        <v>-4.454097</v>
      </c>
      <c r="M6168" s="55">
        <v>-0.6800271</v>
      </c>
      <c r="N6168" s="55">
        <v>-0.6362776</v>
      </c>
    </row>
    <row r="6169" spans="1:14" hidden="1" x14ac:dyDescent="0.35">
      <c r="A6169" s="52" t="s">
        <v>731</v>
      </c>
      <c r="B6169" s="52" t="s">
        <v>337</v>
      </c>
      <c r="C6169" s="52" t="s">
        <v>229</v>
      </c>
      <c r="D6169" s="52" t="s">
        <v>229</v>
      </c>
      <c r="E6169" s="52" t="s">
        <v>584</v>
      </c>
      <c r="F6169" s="52" t="s">
        <v>581</v>
      </c>
      <c r="G6169" s="55" t="s">
        <v>277</v>
      </c>
      <c r="H6169" s="55"/>
      <c r="I6169" s="55">
        <v>0</v>
      </c>
      <c r="J6169" s="55">
        <v>0.67500000000000004</v>
      </c>
      <c r="K6169" s="55">
        <v>0</v>
      </c>
      <c r="L6169" s="55">
        <v>4.3749999999999997E-2</v>
      </c>
      <c r="M6169" s="55">
        <v>0.125</v>
      </c>
      <c r="N6169" s="55">
        <v>8.1250000000000003E-2</v>
      </c>
    </row>
    <row r="6170" spans="1:14" hidden="1" x14ac:dyDescent="0.35">
      <c r="A6170" s="52" t="s">
        <v>731</v>
      </c>
      <c r="B6170" s="52" t="s">
        <v>337</v>
      </c>
      <c r="C6170" s="52" t="s">
        <v>229</v>
      </c>
      <c r="D6170" s="52" t="s">
        <v>229</v>
      </c>
      <c r="E6170" s="52" t="s">
        <v>584</v>
      </c>
      <c r="F6170" s="52" t="s">
        <v>581</v>
      </c>
      <c r="G6170" s="55" t="s">
        <v>278</v>
      </c>
      <c r="H6170" s="55">
        <v>0.66335480000000002</v>
      </c>
      <c r="I6170" s="55">
        <v>0.66335469999999996</v>
      </c>
      <c r="J6170" s="55">
        <v>62.4114</v>
      </c>
      <c r="K6170" s="55">
        <v>19.953330000000001</v>
      </c>
      <c r="L6170" s="55">
        <v>4.3104899999999997</v>
      </c>
      <c r="M6170" s="55">
        <v>0.45517079999999999</v>
      </c>
      <c r="N6170" s="55">
        <v>0.45517079999999999</v>
      </c>
    </row>
    <row r="6171" spans="1:14" hidden="1" x14ac:dyDescent="0.35">
      <c r="A6171" s="52" t="s">
        <v>731</v>
      </c>
      <c r="B6171" s="52" t="s">
        <v>337</v>
      </c>
      <c r="C6171" s="52" t="s">
        <v>229</v>
      </c>
      <c r="D6171" s="52" t="s">
        <v>229</v>
      </c>
      <c r="E6171" s="52" t="s">
        <v>584</v>
      </c>
      <c r="F6171" s="52" t="s">
        <v>581</v>
      </c>
      <c r="G6171" s="55" t="s">
        <v>279</v>
      </c>
      <c r="H6171" s="55"/>
      <c r="I6171" s="55"/>
      <c r="J6171" s="55">
        <v>0</v>
      </c>
      <c r="K6171" s="55">
        <v>9.9856799999999996E-2</v>
      </c>
      <c r="L6171" s="55">
        <v>9.9857260000000003E-2</v>
      </c>
      <c r="M6171" s="55">
        <v>9.9856790000000001E-2</v>
      </c>
      <c r="N6171" s="55">
        <v>9.9856799999999996E-2</v>
      </c>
    </row>
    <row r="6172" spans="1:14" hidden="1" x14ac:dyDescent="0.35">
      <c r="A6172" s="52" t="s">
        <v>731</v>
      </c>
      <c r="B6172" s="52" t="s">
        <v>337</v>
      </c>
      <c r="C6172" s="52" t="s">
        <v>229</v>
      </c>
      <c r="D6172" s="52" t="s">
        <v>229</v>
      </c>
      <c r="E6172" s="52" t="s">
        <v>584</v>
      </c>
      <c r="F6172" s="52" t="s">
        <v>26</v>
      </c>
      <c r="G6172" s="55" t="s">
        <v>275</v>
      </c>
      <c r="H6172" s="55"/>
      <c r="I6172" s="55"/>
      <c r="J6172" s="55">
        <v>0</v>
      </c>
      <c r="K6172" s="55">
        <v>0</v>
      </c>
      <c r="L6172" s="55">
        <v>0</v>
      </c>
      <c r="M6172" s="55">
        <v>0</v>
      </c>
      <c r="N6172" s="55">
        <v>0</v>
      </c>
    </row>
    <row r="6173" spans="1:14" hidden="1" x14ac:dyDescent="0.35">
      <c r="A6173" s="52" t="s">
        <v>731</v>
      </c>
      <c r="B6173" s="52" t="s">
        <v>337</v>
      </c>
      <c r="C6173" s="52" t="s">
        <v>229</v>
      </c>
      <c r="D6173" s="52" t="s">
        <v>229</v>
      </c>
      <c r="E6173" s="52" t="s">
        <v>584</v>
      </c>
      <c r="F6173" s="52" t="s">
        <v>26</v>
      </c>
      <c r="G6173" s="55" t="s">
        <v>276</v>
      </c>
      <c r="H6173" s="55"/>
      <c r="I6173" s="55"/>
      <c r="J6173" s="55">
        <v>0</v>
      </c>
      <c r="K6173" s="55">
        <v>-3.7451249999999998E-2</v>
      </c>
      <c r="L6173" s="55">
        <v>-3.7451249999999998E-2</v>
      </c>
      <c r="M6173" s="55">
        <v>-3.7451249999999998E-2</v>
      </c>
      <c r="N6173" s="55">
        <v>-3.7451249999999998E-2</v>
      </c>
    </row>
    <row r="6174" spans="1:14" hidden="1" x14ac:dyDescent="0.35">
      <c r="A6174" s="52" t="s">
        <v>731</v>
      </c>
      <c r="B6174" s="52" t="s">
        <v>337</v>
      </c>
      <c r="C6174" s="52" t="s">
        <v>229</v>
      </c>
      <c r="D6174" s="52" t="s">
        <v>229</v>
      </c>
      <c r="E6174" s="52" t="s">
        <v>584</v>
      </c>
      <c r="F6174" s="52" t="s">
        <v>26</v>
      </c>
      <c r="G6174" s="55" t="s">
        <v>279</v>
      </c>
      <c r="H6174" s="55"/>
      <c r="I6174" s="55"/>
      <c r="J6174" s="55">
        <v>0</v>
      </c>
      <c r="K6174" s="55">
        <v>3.7451249999999998E-2</v>
      </c>
      <c r="L6174" s="55">
        <v>3.7451249999999998E-2</v>
      </c>
      <c r="M6174" s="55">
        <v>3.7451249999999998E-2</v>
      </c>
      <c r="N6174" s="55">
        <v>3.7451249999999998E-2</v>
      </c>
    </row>
    <row r="6175" spans="1:14" hidden="1" x14ac:dyDescent="0.35">
      <c r="A6175" s="52" t="s">
        <v>694</v>
      </c>
      <c r="B6175" s="52" t="s">
        <v>37</v>
      </c>
      <c r="C6175" s="52" t="s">
        <v>51</v>
      </c>
      <c r="D6175" s="52" t="s">
        <v>51</v>
      </c>
      <c r="E6175" s="52" t="s">
        <v>602</v>
      </c>
      <c r="F6175" s="52" t="s">
        <v>581</v>
      </c>
      <c r="G6175" s="55" t="s">
        <v>275</v>
      </c>
      <c r="H6175" s="55">
        <v>237.05</v>
      </c>
      <c r="I6175" s="55">
        <v>35.417650000000002</v>
      </c>
      <c r="J6175" s="55">
        <v>217.4171</v>
      </c>
      <c r="K6175" s="55">
        <v>240.63900000000001</v>
      </c>
      <c r="L6175" s="55">
        <v>246.78110000000001</v>
      </c>
      <c r="M6175" s="55">
        <v>153.28200000000001</v>
      </c>
      <c r="N6175" s="55">
        <v>121.04949999999999</v>
      </c>
    </row>
    <row r="6176" spans="1:14" hidden="1" x14ac:dyDescent="0.35">
      <c r="A6176" s="52" t="s">
        <v>694</v>
      </c>
      <c r="B6176" s="52" t="s">
        <v>37</v>
      </c>
      <c r="C6176" s="52" t="s">
        <v>51</v>
      </c>
      <c r="D6176" s="52" t="s">
        <v>51</v>
      </c>
      <c r="E6176" s="52" t="s">
        <v>602</v>
      </c>
      <c r="F6176" s="52" t="s">
        <v>581</v>
      </c>
      <c r="G6176" s="55" t="s">
        <v>276</v>
      </c>
      <c r="H6176" s="55">
        <v>15.64968</v>
      </c>
      <c r="I6176" s="55">
        <v>-47.146630000000002</v>
      </c>
      <c r="J6176" s="55">
        <v>-34.956519999999998</v>
      </c>
      <c r="K6176" s="55">
        <v>-38.262479999999996</v>
      </c>
      <c r="L6176" s="55">
        <v>-28.486149999999999</v>
      </c>
      <c r="M6176" s="55">
        <v>8.5031750000000006</v>
      </c>
      <c r="N6176" s="55">
        <v>17.378910000000001</v>
      </c>
    </row>
    <row r="6177" spans="1:14" hidden="1" x14ac:dyDescent="0.35">
      <c r="A6177" s="52" t="s">
        <v>694</v>
      </c>
      <c r="B6177" s="52" t="s">
        <v>37</v>
      </c>
      <c r="C6177" s="52" t="s">
        <v>51</v>
      </c>
      <c r="D6177" s="52" t="s">
        <v>51</v>
      </c>
      <c r="E6177" s="52" t="s">
        <v>602</v>
      </c>
      <c r="F6177" s="52" t="s">
        <v>581</v>
      </c>
      <c r="G6177" s="55" t="s">
        <v>277</v>
      </c>
      <c r="H6177" s="55">
        <v>763.47739999999999</v>
      </c>
      <c r="I6177" s="55">
        <v>221.9692</v>
      </c>
      <c r="J6177" s="55">
        <v>108.79170000000001</v>
      </c>
      <c r="K6177" s="55">
        <v>45.616500000000002</v>
      </c>
      <c r="L6177" s="55">
        <v>22.0716</v>
      </c>
      <c r="M6177" s="55">
        <v>13.838419999999999</v>
      </c>
      <c r="N6177" s="55">
        <v>16.761590000000002</v>
      </c>
    </row>
    <row r="6178" spans="1:14" hidden="1" x14ac:dyDescent="0.35">
      <c r="A6178" s="52" t="s">
        <v>694</v>
      </c>
      <c r="B6178" s="52" t="s">
        <v>37</v>
      </c>
      <c r="C6178" s="52" t="s">
        <v>51</v>
      </c>
      <c r="D6178" s="52" t="s">
        <v>51</v>
      </c>
      <c r="E6178" s="52" t="s">
        <v>602</v>
      </c>
      <c r="F6178" s="52" t="s">
        <v>581</v>
      </c>
      <c r="G6178" s="55" t="s">
        <v>278</v>
      </c>
      <c r="H6178" s="55">
        <v>36.822569999999999</v>
      </c>
      <c r="I6178" s="55">
        <v>37.765929999999997</v>
      </c>
      <c r="J6178" s="55">
        <v>28.371970000000001</v>
      </c>
      <c r="K6178" s="55">
        <v>31.808260000000001</v>
      </c>
      <c r="L6178" s="55">
        <v>15.93019</v>
      </c>
      <c r="M6178" s="55">
        <v>5.0738459999999996</v>
      </c>
      <c r="N6178" s="55">
        <v>3.6497480000000002</v>
      </c>
    </row>
    <row r="6179" spans="1:14" hidden="1" x14ac:dyDescent="0.35">
      <c r="A6179" s="52" t="s">
        <v>694</v>
      </c>
      <c r="B6179" s="52" t="s">
        <v>37</v>
      </c>
      <c r="C6179" s="52" t="s">
        <v>51</v>
      </c>
      <c r="D6179" s="52" t="s">
        <v>51</v>
      </c>
      <c r="E6179" s="52" t="s">
        <v>602</v>
      </c>
      <c r="F6179" s="52" t="s">
        <v>581</v>
      </c>
      <c r="G6179" s="55" t="s">
        <v>279</v>
      </c>
      <c r="H6179" s="55">
        <v>489.17610000000002</v>
      </c>
      <c r="I6179" s="55">
        <v>305.8954</v>
      </c>
      <c r="J6179" s="55">
        <v>345.62790000000001</v>
      </c>
      <c r="K6179" s="55">
        <v>315.0059</v>
      </c>
      <c r="L6179" s="55">
        <v>252.2004</v>
      </c>
      <c r="M6179" s="55">
        <v>237.48419999999999</v>
      </c>
      <c r="N6179" s="55">
        <v>202.4443</v>
      </c>
    </row>
    <row r="6180" spans="1:14" hidden="1" x14ac:dyDescent="0.35">
      <c r="A6180" s="52" t="s">
        <v>694</v>
      </c>
      <c r="B6180" s="52" t="s">
        <v>37</v>
      </c>
      <c r="C6180" s="52" t="s">
        <v>51</v>
      </c>
      <c r="D6180" s="52" t="s">
        <v>51</v>
      </c>
      <c r="E6180" s="52" t="s">
        <v>602</v>
      </c>
      <c r="F6180" s="52" t="s">
        <v>26</v>
      </c>
      <c r="G6180" s="55" t="s">
        <v>275</v>
      </c>
      <c r="H6180" s="55">
        <v>-16.182089999999999</v>
      </c>
      <c r="I6180" s="55">
        <v>-13.47043</v>
      </c>
      <c r="J6180" s="55">
        <v>-10.28626</v>
      </c>
      <c r="K6180" s="55">
        <v>-10.419119999999999</v>
      </c>
      <c r="L6180" s="55">
        <v>-6.2843400000000003</v>
      </c>
      <c r="M6180" s="55">
        <v>-10.29041</v>
      </c>
      <c r="N6180" s="55">
        <v>-8.6507909999999999</v>
      </c>
    </row>
    <row r="6181" spans="1:14" hidden="1" x14ac:dyDescent="0.35">
      <c r="A6181" s="52" t="s">
        <v>694</v>
      </c>
      <c r="B6181" s="52" t="s">
        <v>37</v>
      </c>
      <c r="C6181" s="52" t="s">
        <v>51</v>
      </c>
      <c r="D6181" s="52" t="s">
        <v>51</v>
      </c>
      <c r="E6181" s="52" t="s">
        <v>602</v>
      </c>
      <c r="F6181" s="52" t="s">
        <v>26</v>
      </c>
      <c r="G6181" s="55" t="s">
        <v>276</v>
      </c>
      <c r="H6181" s="55">
        <v>-4.3015660000000002</v>
      </c>
      <c r="I6181" s="55">
        <v>-3.5807470000000001</v>
      </c>
      <c r="J6181" s="55">
        <v>-2.7343190000000002</v>
      </c>
      <c r="K6181" s="55">
        <v>-2.7696390000000002</v>
      </c>
      <c r="L6181" s="55">
        <v>-1.670517</v>
      </c>
      <c r="M6181" s="55">
        <v>-2.7354219999999998</v>
      </c>
      <c r="N6181" s="55">
        <v>-2.2995739999999998</v>
      </c>
    </row>
    <row r="6182" spans="1:14" hidden="1" x14ac:dyDescent="0.35">
      <c r="A6182" s="52" t="s">
        <v>694</v>
      </c>
      <c r="B6182" s="52" t="s">
        <v>37</v>
      </c>
      <c r="C6182" s="52" t="s">
        <v>51</v>
      </c>
      <c r="D6182" s="52" t="s">
        <v>51</v>
      </c>
      <c r="E6182" s="52" t="s">
        <v>602</v>
      </c>
      <c r="F6182" s="52" t="s">
        <v>26</v>
      </c>
      <c r="G6182" s="55" t="s">
        <v>279</v>
      </c>
      <c r="H6182" s="55">
        <v>78.245909999999995</v>
      </c>
      <c r="I6182" s="55">
        <v>59.796120000000002</v>
      </c>
      <c r="J6182" s="55">
        <v>62.931600000000003</v>
      </c>
      <c r="K6182" s="55">
        <v>57.166530000000002</v>
      </c>
      <c r="L6182" s="55">
        <v>45.128070000000001</v>
      </c>
      <c r="M6182" s="55">
        <v>43.213549999999998</v>
      </c>
      <c r="N6182" s="55">
        <v>36.676780000000001</v>
      </c>
    </row>
    <row r="6183" spans="1:14" hidden="1" x14ac:dyDescent="0.35">
      <c r="A6183" s="52" t="s">
        <v>694</v>
      </c>
      <c r="B6183" s="52" t="s">
        <v>37</v>
      </c>
      <c r="C6183" s="52" t="s">
        <v>51</v>
      </c>
      <c r="D6183" s="52" t="s">
        <v>51</v>
      </c>
      <c r="E6183" s="52" t="s">
        <v>584</v>
      </c>
      <c r="F6183" s="52" t="s">
        <v>581</v>
      </c>
      <c r="G6183" s="55" t="s">
        <v>275</v>
      </c>
      <c r="H6183" s="55">
        <v>0.97187809999999997</v>
      </c>
      <c r="I6183" s="55">
        <v>0.32749220000000001</v>
      </c>
      <c r="J6183" s="55">
        <v>0.30192629999999998</v>
      </c>
      <c r="K6183" s="55">
        <v>0.27882220000000002</v>
      </c>
      <c r="L6183" s="55">
        <v>0.2632197</v>
      </c>
      <c r="M6183" s="55">
        <v>0.2349233</v>
      </c>
      <c r="N6183" s="55">
        <v>0.2180318</v>
      </c>
    </row>
    <row r="6184" spans="1:14" hidden="1" x14ac:dyDescent="0.35">
      <c r="A6184" s="52" t="s">
        <v>694</v>
      </c>
      <c r="B6184" s="52" t="s">
        <v>37</v>
      </c>
      <c r="C6184" s="52" t="s">
        <v>51</v>
      </c>
      <c r="D6184" s="52" t="s">
        <v>51</v>
      </c>
      <c r="E6184" s="52" t="s">
        <v>584</v>
      </c>
      <c r="F6184" s="52" t="s">
        <v>581</v>
      </c>
      <c r="G6184" s="55" t="s">
        <v>276</v>
      </c>
      <c r="H6184" s="55">
        <v>0.18592</v>
      </c>
      <c r="I6184" s="55">
        <v>8.7055209999999994E-2</v>
      </c>
      <c r="J6184" s="55">
        <v>8.0258700000000002E-2</v>
      </c>
      <c r="K6184" s="55">
        <v>7.4116399999999999E-2</v>
      </c>
      <c r="L6184" s="55">
        <v>6.9969100000000006E-2</v>
      </c>
      <c r="M6184" s="55">
        <v>6.2447900000000001E-2</v>
      </c>
      <c r="N6184" s="55">
        <v>5.7957300000000003E-2</v>
      </c>
    </row>
    <row r="6185" spans="1:14" hidden="1" x14ac:dyDescent="0.35">
      <c r="A6185" s="52" t="s">
        <v>694</v>
      </c>
      <c r="B6185" s="52" t="s">
        <v>37</v>
      </c>
      <c r="C6185" s="52" t="s">
        <v>51</v>
      </c>
      <c r="D6185" s="52" t="s">
        <v>51</v>
      </c>
      <c r="E6185" s="52" t="s">
        <v>584</v>
      </c>
      <c r="F6185" s="52" t="s">
        <v>581</v>
      </c>
      <c r="G6185" s="55" t="s">
        <v>279</v>
      </c>
      <c r="H6185" s="55">
        <v>0.252882</v>
      </c>
      <c r="I6185" s="55">
        <v>0.160553</v>
      </c>
      <c r="J6185" s="55">
        <v>0.1419956</v>
      </c>
      <c r="K6185" s="55">
        <v>0.134297</v>
      </c>
      <c r="L6185" s="55">
        <v>0.1195739</v>
      </c>
      <c r="M6185" s="55">
        <v>0.12437239999999999</v>
      </c>
      <c r="N6185" s="55">
        <v>0.1146028</v>
      </c>
    </row>
    <row r="6186" spans="1:14" hidden="1" x14ac:dyDescent="0.35">
      <c r="A6186" s="52" t="s">
        <v>694</v>
      </c>
      <c r="B6186" s="52" t="s">
        <v>37</v>
      </c>
      <c r="C6186" s="52" t="s">
        <v>51</v>
      </c>
      <c r="D6186" s="52" t="s">
        <v>51</v>
      </c>
      <c r="E6186" s="52" t="s">
        <v>584</v>
      </c>
      <c r="F6186" s="52" t="s">
        <v>26</v>
      </c>
      <c r="G6186" s="55" t="s">
        <v>275</v>
      </c>
      <c r="H6186" s="55">
        <v>4.0039990000000003E-3</v>
      </c>
      <c r="I6186" s="55">
        <v>2.8695999999999999E-3</v>
      </c>
      <c r="J6186" s="55">
        <v>3.2249000000000002E-3</v>
      </c>
      <c r="K6186" s="55">
        <v>2.8065E-3</v>
      </c>
      <c r="L6186" s="55">
        <v>2.7496999999999999E-3</v>
      </c>
      <c r="M6186" s="55">
        <v>1.9799000000000001E-3</v>
      </c>
      <c r="N6186" s="55">
        <v>1.818E-3</v>
      </c>
    </row>
    <row r="6187" spans="1:14" hidden="1" x14ac:dyDescent="0.35">
      <c r="A6187" s="52" t="s">
        <v>694</v>
      </c>
      <c r="B6187" s="52" t="s">
        <v>37</v>
      </c>
      <c r="C6187" s="52" t="s">
        <v>51</v>
      </c>
      <c r="D6187" s="52" t="s">
        <v>51</v>
      </c>
      <c r="E6187" s="52" t="s">
        <v>584</v>
      </c>
      <c r="F6187" s="52" t="s">
        <v>26</v>
      </c>
      <c r="G6187" s="55" t="s">
        <v>276</v>
      </c>
      <c r="H6187" s="55">
        <v>1.0640000000000001E-3</v>
      </c>
      <c r="I6187" s="55">
        <v>7.628E-4</v>
      </c>
      <c r="J6187" s="55">
        <v>8.5719989999999999E-4</v>
      </c>
      <c r="K6187" s="55">
        <v>7.4609999999999998E-4</v>
      </c>
      <c r="L6187" s="55">
        <v>7.3119999999999999E-4</v>
      </c>
      <c r="M6187" s="55">
        <v>5.2630000000000005E-4</v>
      </c>
      <c r="N6187" s="55">
        <v>4.8299999999999998E-4</v>
      </c>
    </row>
    <row r="6188" spans="1:14" hidden="1" x14ac:dyDescent="0.35">
      <c r="A6188" s="52" t="s">
        <v>694</v>
      </c>
      <c r="B6188" s="52" t="s">
        <v>37</v>
      </c>
      <c r="C6188" s="52" t="s">
        <v>51</v>
      </c>
      <c r="D6188" s="52" t="s">
        <v>51</v>
      </c>
      <c r="E6188" s="52" t="s">
        <v>584</v>
      </c>
      <c r="F6188" s="52" t="s">
        <v>26</v>
      </c>
      <c r="G6188" s="55" t="s">
        <v>279</v>
      </c>
      <c r="H6188" s="55">
        <v>9.554E-3</v>
      </c>
      <c r="I6188" s="55">
        <v>7.6505999999999996E-3</v>
      </c>
      <c r="J6188" s="55">
        <v>6.7378000000000004E-3</v>
      </c>
      <c r="K6188" s="55">
        <v>6.4294E-3</v>
      </c>
      <c r="L6188" s="55">
        <v>5.7343000000000003E-3</v>
      </c>
      <c r="M6188" s="55">
        <v>6.0182999999999999E-3</v>
      </c>
      <c r="N6188" s="55">
        <v>5.5348999999999997E-3</v>
      </c>
    </row>
    <row r="6189" spans="1:14" hidden="1" x14ac:dyDescent="0.35">
      <c r="A6189" s="52" t="s">
        <v>694</v>
      </c>
      <c r="B6189" s="52" t="s">
        <v>37</v>
      </c>
      <c r="C6189" s="52" t="s">
        <v>218</v>
      </c>
      <c r="D6189" s="52" t="s">
        <v>218</v>
      </c>
      <c r="E6189" s="52" t="s">
        <v>594</v>
      </c>
      <c r="F6189" s="52" t="s">
        <v>581</v>
      </c>
      <c r="G6189" s="55" t="s">
        <v>275</v>
      </c>
      <c r="H6189" s="55">
        <v>164.1884</v>
      </c>
      <c r="I6189" s="55">
        <v>39.564300000000003</v>
      </c>
      <c r="J6189" s="55">
        <v>28.647030000000001</v>
      </c>
      <c r="K6189" s="55">
        <v>34.31391</v>
      </c>
      <c r="L6189" s="55">
        <v>11.22842</v>
      </c>
      <c r="M6189" s="55">
        <v>7.5159599999999998</v>
      </c>
      <c r="N6189" s="55">
        <v>16.36478</v>
      </c>
    </row>
    <row r="6190" spans="1:14" hidden="1" x14ac:dyDescent="0.35">
      <c r="A6190" s="52" t="s">
        <v>694</v>
      </c>
      <c r="B6190" s="52" t="s">
        <v>37</v>
      </c>
      <c r="C6190" s="52" t="s">
        <v>218</v>
      </c>
      <c r="D6190" s="52" t="s">
        <v>218</v>
      </c>
      <c r="E6190" s="52" t="s">
        <v>594</v>
      </c>
      <c r="F6190" s="52" t="s">
        <v>581</v>
      </c>
      <c r="G6190" s="55" t="s">
        <v>276</v>
      </c>
      <c r="H6190" s="55">
        <v>-22.16497</v>
      </c>
      <c r="I6190" s="55">
        <v>-14.224019999999999</v>
      </c>
      <c r="J6190" s="55">
        <v>-18.409269999999999</v>
      </c>
      <c r="K6190" s="55">
        <v>2.533712</v>
      </c>
      <c r="L6190" s="55">
        <v>7.9998180000000003</v>
      </c>
      <c r="M6190" s="55">
        <v>5.5580299999999996</v>
      </c>
      <c r="N6190" s="55">
        <v>5.016642</v>
      </c>
    </row>
    <row r="6191" spans="1:14" hidden="1" x14ac:dyDescent="0.35">
      <c r="A6191" s="52" t="s">
        <v>694</v>
      </c>
      <c r="B6191" s="52" t="s">
        <v>37</v>
      </c>
      <c r="C6191" s="52" t="s">
        <v>218</v>
      </c>
      <c r="D6191" s="52" t="s">
        <v>218</v>
      </c>
      <c r="E6191" s="52" t="s">
        <v>594</v>
      </c>
      <c r="F6191" s="52" t="s">
        <v>581</v>
      </c>
      <c r="G6191" s="55" t="s">
        <v>277</v>
      </c>
      <c r="H6191" s="55">
        <v>0</v>
      </c>
      <c r="I6191" s="55">
        <v>23.996110000000002</v>
      </c>
      <c r="J6191" s="55">
        <v>30.93918</v>
      </c>
      <c r="K6191" s="55">
        <v>11.305300000000001</v>
      </c>
      <c r="L6191" s="55">
        <v>20.307110000000002</v>
      </c>
      <c r="M6191" s="55">
        <v>24.21696</v>
      </c>
      <c r="N6191" s="55">
        <v>26.87988</v>
      </c>
    </row>
    <row r="6192" spans="1:14" hidden="1" x14ac:dyDescent="0.35">
      <c r="A6192" s="52" t="s">
        <v>694</v>
      </c>
      <c r="B6192" s="52" t="s">
        <v>37</v>
      </c>
      <c r="C6192" s="52" t="s">
        <v>218</v>
      </c>
      <c r="D6192" s="52" t="s">
        <v>218</v>
      </c>
      <c r="E6192" s="52" t="s">
        <v>594</v>
      </c>
      <c r="F6192" s="52" t="s">
        <v>581</v>
      </c>
      <c r="G6192" s="55" t="s">
        <v>278</v>
      </c>
      <c r="H6192" s="55"/>
      <c r="I6192" s="55">
        <v>0</v>
      </c>
      <c r="J6192" s="55">
        <v>12.034739999999999</v>
      </c>
      <c r="K6192" s="55">
        <v>12.64697</v>
      </c>
      <c r="L6192" s="55">
        <v>18.013349999999999</v>
      </c>
      <c r="M6192" s="55">
        <v>21.807169999999999</v>
      </c>
      <c r="N6192" s="55">
        <v>16.658930000000002</v>
      </c>
    </row>
    <row r="6193" spans="1:14" hidden="1" x14ac:dyDescent="0.35">
      <c r="A6193" s="52" t="s">
        <v>694</v>
      </c>
      <c r="B6193" s="52" t="s">
        <v>37</v>
      </c>
      <c r="C6193" s="52" t="s">
        <v>218</v>
      </c>
      <c r="D6193" s="52" t="s">
        <v>218</v>
      </c>
      <c r="E6193" s="52" t="s">
        <v>594</v>
      </c>
      <c r="F6193" s="52" t="s">
        <v>581</v>
      </c>
      <c r="G6193" s="55" t="s">
        <v>279</v>
      </c>
      <c r="H6193" s="55">
        <v>40.935049999999997</v>
      </c>
      <c r="I6193" s="55">
        <v>26.15305</v>
      </c>
      <c r="J6193" s="55">
        <v>28.61448</v>
      </c>
      <c r="K6193" s="55">
        <v>33.381</v>
      </c>
      <c r="L6193" s="55">
        <v>29.042169999999999</v>
      </c>
      <c r="M6193" s="55">
        <v>34.844740000000002</v>
      </c>
      <c r="N6193" s="55">
        <v>37.253039999999999</v>
      </c>
    </row>
    <row r="6194" spans="1:14" hidden="1" x14ac:dyDescent="0.35">
      <c r="A6194" s="52" t="s">
        <v>694</v>
      </c>
      <c r="B6194" s="52" t="s">
        <v>37</v>
      </c>
      <c r="C6194" s="52" t="s">
        <v>218</v>
      </c>
      <c r="D6194" s="52" t="s">
        <v>218</v>
      </c>
      <c r="E6194" s="52" t="s">
        <v>594</v>
      </c>
      <c r="F6194" s="52" t="s">
        <v>26</v>
      </c>
      <c r="G6194" s="55" t="s">
        <v>275</v>
      </c>
      <c r="H6194" s="55">
        <v>1.61595</v>
      </c>
      <c r="I6194" s="55">
        <v>0.8563885</v>
      </c>
      <c r="J6194" s="55">
        <v>1.327259</v>
      </c>
      <c r="K6194" s="55">
        <v>1.348652</v>
      </c>
      <c r="L6194" s="55">
        <v>1.4986550000000001</v>
      </c>
      <c r="M6194" s="55">
        <v>0.83444229999999997</v>
      </c>
      <c r="N6194" s="55">
        <v>0.93921520000000003</v>
      </c>
    </row>
    <row r="6195" spans="1:14" hidden="1" x14ac:dyDescent="0.35">
      <c r="A6195" s="52" t="s">
        <v>694</v>
      </c>
      <c r="B6195" s="52" t="s">
        <v>37</v>
      </c>
      <c r="C6195" s="52" t="s">
        <v>218</v>
      </c>
      <c r="D6195" s="52" t="s">
        <v>218</v>
      </c>
      <c r="E6195" s="52" t="s">
        <v>594</v>
      </c>
      <c r="F6195" s="52" t="s">
        <v>26</v>
      </c>
      <c r="G6195" s="55" t="s">
        <v>276</v>
      </c>
      <c r="H6195" s="55">
        <v>0.42956299999999997</v>
      </c>
      <c r="I6195" s="55">
        <v>0.22764529999999999</v>
      </c>
      <c r="J6195" s="55">
        <v>0.35281869999999999</v>
      </c>
      <c r="K6195" s="55">
        <v>0.35850290000000001</v>
      </c>
      <c r="L6195" s="55">
        <v>0.39837929999999999</v>
      </c>
      <c r="M6195" s="55">
        <v>0.22181139999999999</v>
      </c>
      <c r="N6195" s="55">
        <v>0.2496671</v>
      </c>
    </row>
    <row r="6196" spans="1:14" hidden="1" x14ac:dyDescent="0.35">
      <c r="A6196" s="52" t="s">
        <v>694</v>
      </c>
      <c r="B6196" s="52" t="s">
        <v>37</v>
      </c>
      <c r="C6196" s="52" t="s">
        <v>218</v>
      </c>
      <c r="D6196" s="52" t="s">
        <v>218</v>
      </c>
      <c r="E6196" s="52" t="s">
        <v>594</v>
      </c>
      <c r="F6196" s="52" t="s">
        <v>26</v>
      </c>
      <c r="G6196" s="55" t="s">
        <v>279</v>
      </c>
      <c r="H6196" s="55">
        <v>9.0590899999999994</v>
      </c>
      <c r="I6196" s="55">
        <v>5.9979290000000001</v>
      </c>
      <c r="J6196" s="55">
        <v>6.4515140000000004</v>
      </c>
      <c r="K6196" s="55">
        <v>7.573537</v>
      </c>
      <c r="L6196" s="55">
        <v>6.5716999999999999</v>
      </c>
      <c r="M6196" s="55">
        <v>8.0431039999999996</v>
      </c>
      <c r="N6196" s="55">
        <v>8.6242560000000008</v>
      </c>
    </row>
    <row r="6197" spans="1:14" hidden="1" x14ac:dyDescent="0.35">
      <c r="A6197" s="52" t="s">
        <v>694</v>
      </c>
      <c r="B6197" s="52" t="s">
        <v>37</v>
      </c>
      <c r="C6197" s="52" t="s">
        <v>105</v>
      </c>
      <c r="D6197" s="52" t="s">
        <v>105</v>
      </c>
      <c r="E6197" s="52" t="s">
        <v>584</v>
      </c>
      <c r="F6197" s="52" t="s">
        <v>581</v>
      </c>
      <c r="G6197" s="55" t="s">
        <v>275</v>
      </c>
      <c r="H6197" s="55">
        <v>6.3444669999999999</v>
      </c>
      <c r="I6197" s="55">
        <v>2.2738619999999998</v>
      </c>
      <c r="J6197" s="55">
        <v>2.0808840000000002</v>
      </c>
      <c r="K6197" s="55">
        <v>1.9163619999999999</v>
      </c>
      <c r="L6197" s="55">
        <v>1.8040449999999999</v>
      </c>
      <c r="M6197" s="55">
        <v>1.6060509999999999</v>
      </c>
      <c r="N6197" s="55">
        <v>1.486618</v>
      </c>
    </row>
    <row r="6198" spans="1:14" hidden="1" x14ac:dyDescent="0.35">
      <c r="A6198" s="52" t="s">
        <v>694</v>
      </c>
      <c r="B6198" s="52" t="s">
        <v>37</v>
      </c>
      <c r="C6198" s="52" t="s">
        <v>105</v>
      </c>
      <c r="D6198" s="52" t="s">
        <v>105</v>
      </c>
      <c r="E6198" s="52" t="s">
        <v>584</v>
      </c>
      <c r="F6198" s="52" t="s">
        <v>581</v>
      </c>
      <c r="G6198" s="55" t="s">
        <v>276</v>
      </c>
      <c r="H6198" s="55">
        <v>1.5636350000000001</v>
      </c>
      <c r="I6198" s="55">
        <v>0.78816629999999999</v>
      </c>
      <c r="J6198" s="55">
        <v>0.72127640000000004</v>
      </c>
      <c r="K6198" s="55">
        <v>0.66424989999999995</v>
      </c>
      <c r="L6198" s="55">
        <v>0.62531899999999996</v>
      </c>
      <c r="M6198" s="55">
        <v>0.55668930000000005</v>
      </c>
      <c r="N6198" s="55">
        <v>0.51529100000000005</v>
      </c>
    </row>
    <row r="6199" spans="1:14" hidden="1" x14ac:dyDescent="0.35">
      <c r="A6199" s="52" t="s">
        <v>694</v>
      </c>
      <c r="B6199" s="52" t="s">
        <v>37</v>
      </c>
      <c r="C6199" s="52" t="s">
        <v>105</v>
      </c>
      <c r="D6199" s="52" t="s">
        <v>105</v>
      </c>
      <c r="E6199" s="52" t="s">
        <v>584</v>
      </c>
      <c r="F6199" s="52" t="s">
        <v>581</v>
      </c>
      <c r="G6199" s="55" t="s">
        <v>279</v>
      </c>
      <c r="H6199" s="55">
        <v>1.701757</v>
      </c>
      <c r="I6199" s="55">
        <v>1.1332439999999999</v>
      </c>
      <c r="J6199" s="55">
        <v>0.99469640000000004</v>
      </c>
      <c r="K6199" s="55">
        <v>0.9406409</v>
      </c>
      <c r="L6199" s="55">
        <v>0.83564280000000002</v>
      </c>
      <c r="M6199" s="55">
        <v>0.87220450000000005</v>
      </c>
      <c r="N6199" s="55">
        <v>0.8031625</v>
      </c>
    </row>
    <row r="6200" spans="1:14" hidden="1" x14ac:dyDescent="0.35">
      <c r="A6200" s="52" t="s">
        <v>694</v>
      </c>
      <c r="B6200" s="52" t="s">
        <v>37</v>
      </c>
      <c r="C6200" s="52" t="s">
        <v>105</v>
      </c>
      <c r="D6200" s="52" t="s">
        <v>105</v>
      </c>
      <c r="E6200" s="52" t="s">
        <v>584</v>
      </c>
      <c r="F6200" s="52" t="s">
        <v>26</v>
      </c>
      <c r="G6200" s="55" t="s">
        <v>275</v>
      </c>
      <c r="H6200" s="55">
        <v>2.9862E-2</v>
      </c>
      <c r="I6200" s="55">
        <v>2.0789800000000001E-2</v>
      </c>
      <c r="J6200" s="55">
        <v>2.4808400000000001E-2</v>
      </c>
      <c r="K6200" s="55">
        <v>2.1166399999999998E-2</v>
      </c>
      <c r="L6200" s="55">
        <v>2.12047E-2</v>
      </c>
      <c r="M6200" s="55">
        <v>1.37853E-2</v>
      </c>
      <c r="N6200" s="55">
        <v>1.26531E-2</v>
      </c>
    </row>
    <row r="6201" spans="1:14" hidden="1" x14ac:dyDescent="0.35">
      <c r="A6201" s="52" t="s">
        <v>694</v>
      </c>
      <c r="B6201" s="52" t="s">
        <v>37</v>
      </c>
      <c r="C6201" s="52" t="s">
        <v>105</v>
      </c>
      <c r="D6201" s="52" t="s">
        <v>105</v>
      </c>
      <c r="E6201" s="52" t="s">
        <v>584</v>
      </c>
      <c r="F6201" s="52" t="s">
        <v>26</v>
      </c>
      <c r="G6201" s="55" t="s">
        <v>276</v>
      </c>
      <c r="H6201" s="55">
        <v>1.0351000000000001E-2</v>
      </c>
      <c r="I6201" s="55">
        <v>7.2062999999999997E-3</v>
      </c>
      <c r="J6201" s="55">
        <v>8.5990000000000007E-3</v>
      </c>
      <c r="K6201" s="55">
        <v>7.3358E-3</v>
      </c>
      <c r="L6201" s="55">
        <v>7.3498000000000001E-3</v>
      </c>
      <c r="M6201" s="55">
        <v>4.7786E-3</v>
      </c>
      <c r="N6201" s="55">
        <v>4.3855999999999999E-3</v>
      </c>
    </row>
    <row r="6202" spans="1:14" hidden="1" x14ac:dyDescent="0.35">
      <c r="A6202" s="52" t="s">
        <v>694</v>
      </c>
      <c r="B6202" s="52" t="s">
        <v>37</v>
      </c>
      <c r="C6202" s="52" t="s">
        <v>105</v>
      </c>
      <c r="D6202" s="52" t="s">
        <v>105</v>
      </c>
      <c r="E6202" s="52" t="s">
        <v>584</v>
      </c>
      <c r="F6202" s="52" t="s">
        <v>26</v>
      </c>
      <c r="G6202" s="55" t="s">
        <v>279</v>
      </c>
      <c r="H6202" s="55">
        <v>0.104575</v>
      </c>
      <c r="I6202" s="55">
        <v>8.3731899999999998E-2</v>
      </c>
      <c r="J6202" s="55">
        <v>7.3726509999999995E-2</v>
      </c>
      <c r="K6202" s="55">
        <v>7.0341200000000006E-2</v>
      </c>
      <c r="L6202" s="55">
        <v>6.26945E-2</v>
      </c>
      <c r="M6202" s="55">
        <v>6.5840800000000005E-2</v>
      </c>
      <c r="N6202" s="55">
        <v>6.0563400000000003E-2</v>
      </c>
    </row>
    <row r="6203" spans="1:14" hidden="1" x14ac:dyDescent="0.35">
      <c r="A6203" s="52" t="s">
        <v>694</v>
      </c>
      <c r="B6203" s="52" t="s">
        <v>37</v>
      </c>
      <c r="C6203" s="52" t="s">
        <v>205</v>
      </c>
      <c r="D6203" s="52" t="s">
        <v>205</v>
      </c>
      <c r="E6203" s="52" t="s">
        <v>654</v>
      </c>
      <c r="F6203" s="52" t="s">
        <v>26</v>
      </c>
      <c r="G6203" s="55" t="s">
        <v>275</v>
      </c>
      <c r="H6203" s="55">
        <v>6.0476000000000002E-2</v>
      </c>
      <c r="I6203" s="55">
        <v>-0.31634430000000002</v>
      </c>
      <c r="J6203" s="55">
        <v>-0.25443110000000002</v>
      </c>
      <c r="K6203" s="55">
        <v>-0.27075060000000001</v>
      </c>
      <c r="L6203" s="55">
        <v>-0.19989860000000001</v>
      </c>
      <c r="M6203" s="55">
        <v>-0.3365457</v>
      </c>
      <c r="N6203" s="55">
        <v>-0.3098901</v>
      </c>
    </row>
    <row r="6204" spans="1:14" hidden="1" x14ac:dyDescent="0.35">
      <c r="A6204" s="52" t="s">
        <v>694</v>
      </c>
      <c r="B6204" s="52" t="s">
        <v>37</v>
      </c>
      <c r="C6204" s="52" t="s">
        <v>205</v>
      </c>
      <c r="D6204" s="52" t="s">
        <v>205</v>
      </c>
      <c r="E6204" s="52" t="s">
        <v>654</v>
      </c>
      <c r="F6204" s="52" t="s">
        <v>26</v>
      </c>
      <c r="G6204" s="55" t="s">
        <v>276</v>
      </c>
      <c r="H6204" s="55">
        <v>-0.15823699999999999</v>
      </c>
      <c r="I6204" s="55">
        <v>-0.19442799999999999</v>
      </c>
      <c r="J6204" s="55">
        <v>-7.7851799999999999E-2</v>
      </c>
      <c r="K6204" s="55">
        <v>-8.2844799999999996E-2</v>
      </c>
      <c r="L6204" s="55">
        <v>-6.11651E-2</v>
      </c>
      <c r="M6204" s="55">
        <v>-0.1029767</v>
      </c>
      <c r="N6204" s="55">
        <v>-9.4820890000000005E-2</v>
      </c>
    </row>
    <row r="6205" spans="1:14" hidden="1" x14ac:dyDescent="0.35">
      <c r="A6205" s="52" t="s">
        <v>694</v>
      </c>
      <c r="B6205" s="52" t="s">
        <v>37</v>
      </c>
      <c r="C6205" s="52" t="s">
        <v>205</v>
      </c>
      <c r="D6205" s="52" t="s">
        <v>205</v>
      </c>
      <c r="E6205" s="52" t="s">
        <v>654</v>
      </c>
      <c r="F6205" s="52" t="s">
        <v>26</v>
      </c>
      <c r="G6205" s="55" t="s">
        <v>279</v>
      </c>
      <c r="H6205" s="55">
        <v>0.39379700000000001</v>
      </c>
      <c r="I6205" s="55">
        <v>1.8473280000000001</v>
      </c>
      <c r="J6205" s="55">
        <v>1.6138859999999999</v>
      </c>
      <c r="K6205" s="55">
        <v>1.536033</v>
      </c>
      <c r="L6205" s="55">
        <v>1.352668</v>
      </c>
      <c r="M6205" s="55">
        <v>1.4492449999999999</v>
      </c>
      <c r="N6205" s="55">
        <v>1.333035</v>
      </c>
    </row>
    <row r="6206" spans="1:14" hidden="1" x14ac:dyDescent="0.35">
      <c r="A6206" s="52" t="s">
        <v>694</v>
      </c>
      <c r="B6206" s="52" t="s">
        <v>37</v>
      </c>
      <c r="C6206" s="52" t="s">
        <v>205</v>
      </c>
      <c r="D6206" s="52" t="s">
        <v>205</v>
      </c>
      <c r="E6206" s="52" t="s">
        <v>584</v>
      </c>
      <c r="F6206" s="52" t="s">
        <v>581</v>
      </c>
      <c r="G6206" s="55" t="s">
        <v>275</v>
      </c>
      <c r="H6206" s="55">
        <v>1.3336300000000001</v>
      </c>
      <c r="I6206" s="55">
        <v>0.46414919999999998</v>
      </c>
      <c r="J6206" s="55">
        <v>0.42464410000000002</v>
      </c>
      <c r="K6206" s="55">
        <v>0.39111469999999998</v>
      </c>
      <c r="L6206" s="55">
        <v>0.36805149999999998</v>
      </c>
      <c r="M6206" s="55">
        <v>0.3279859</v>
      </c>
      <c r="N6206" s="55">
        <v>0.30358839999999998</v>
      </c>
    </row>
    <row r="6207" spans="1:14" hidden="1" x14ac:dyDescent="0.35">
      <c r="A6207" s="52" t="s">
        <v>694</v>
      </c>
      <c r="B6207" s="52" t="s">
        <v>37</v>
      </c>
      <c r="C6207" s="52" t="s">
        <v>205</v>
      </c>
      <c r="D6207" s="52" t="s">
        <v>205</v>
      </c>
      <c r="E6207" s="52" t="s">
        <v>584</v>
      </c>
      <c r="F6207" s="52" t="s">
        <v>581</v>
      </c>
      <c r="G6207" s="55" t="s">
        <v>276</v>
      </c>
      <c r="H6207" s="55">
        <v>0.181201</v>
      </c>
      <c r="I6207" s="55">
        <v>0.1233814</v>
      </c>
      <c r="J6207" s="55">
        <v>0.11288040000000001</v>
      </c>
      <c r="K6207" s="55">
        <v>0.10396759999999999</v>
      </c>
      <c r="L6207" s="55">
        <v>9.7836599999999996E-2</v>
      </c>
      <c r="M6207" s="55">
        <v>8.7186399999999997E-2</v>
      </c>
      <c r="N6207" s="55">
        <v>8.07007E-2</v>
      </c>
    </row>
    <row r="6208" spans="1:14" hidden="1" x14ac:dyDescent="0.35">
      <c r="A6208" s="52" t="s">
        <v>694</v>
      </c>
      <c r="B6208" s="52" t="s">
        <v>37</v>
      </c>
      <c r="C6208" s="52" t="s">
        <v>205</v>
      </c>
      <c r="D6208" s="52" t="s">
        <v>205</v>
      </c>
      <c r="E6208" s="52" t="s">
        <v>584</v>
      </c>
      <c r="F6208" s="52" t="s">
        <v>581</v>
      </c>
      <c r="G6208" s="55" t="s">
        <v>279</v>
      </c>
      <c r="H6208" s="55">
        <v>0.33925899999999998</v>
      </c>
      <c r="I6208" s="55">
        <v>0.22138160000000001</v>
      </c>
      <c r="J6208" s="55">
        <v>0.19455610000000001</v>
      </c>
      <c r="K6208" s="55">
        <v>0.18386250000000001</v>
      </c>
      <c r="L6208" s="55">
        <v>0.16365170000000001</v>
      </c>
      <c r="M6208" s="55">
        <v>0.1700111</v>
      </c>
      <c r="N6208" s="55">
        <v>0.1565754</v>
      </c>
    </row>
    <row r="6209" spans="1:14" hidden="1" x14ac:dyDescent="0.35">
      <c r="A6209" s="52" t="s">
        <v>694</v>
      </c>
      <c r="B6209" s="52" t="s">
        <v>37</v>
      </c>
      <c r="C6209" s="52" t="s">
        <v>205</v>
      </c>
      <c r="D6209" s="52" t="s">
        <v>205</v>
      </c>
      <c r="E6209" s="52" t="s">
        <v>584</v>
      </c>
      <c r="F6209" s="52" t="s">
        <v>26</v>
      </c>
      <c r="G6209" s="55" t="s">
        <v>275</v>
      </c>
      <c r="H6209" s="55">
        <v>1.7153999999999999E-2</v>
      </c>
      <c r="I6209" s="55">
        <v>1.20708E-2</v>
      </c>
      <c r="J6209" s="55">
        <v>1.40768E-2</v>
      </c>
      <c r="K6209" s="55">
        <v>1.20935E-2</v>
      </c>
      <c r="L6209" s="55">
        <v>1.20065E-2</v>
      </c>
      <c r="M6209" s="55">
        <v>8.1237989999999993E-3</v>
      </c>
      <c r="N6209" s="55">
        <v>7.4576E-3</v>
      </c>
    </row>
    <row r="6210" spans="1:14" hidden="1" x14ac:dyDescent="0.35">
      <c r="A6210" s="52" t="s">
        <v>694</v>
      </c>
      <c r="B6210" s="52" t="s">
        <v>37</v>
      </c>
      <c r="C6210" s="52" t="s">
        <v>205</v>
      </c>
      <c r="D6210" s="52" t="s">
        <v>205</v>
      </c>
      <c r="E6210" s="52" t="s">
        <v>584</v>
      </c>
      <c r="F6210" s="52" t="s">
        <v>26</v>
      </c>
      <c r="G6210" s="55" t="s">
        <v>276</v>
      </c>
      <c r="H6210" s="55">
        <v>4.5599999999999998E-3</v>
      </c>
      <c r="I6210" s="55">
        <v>3.2087999999999999E-3</v>
      </c>
      <c r="J6210" s="55">
        <v>3.7415999999999999E-3</v>
      </c>
      <c r="K6210" s="55">
        <v>3.2147999999999999E-3</v>
      </c>
      <c r="L6210" s="55">
        <v>3.1916000000000002E-3</v>
      </c>
      <c r="M6210" s="55">
        <v>2.1597000000000001E-3</v>
      </c>
      <c r="N6210" s="55">
        <v>1.9826000000000002E-3</v>
      </c>
    </row>
    <row r="6211" spans="1:14" hidden="1" x14ac:dyDescent="0.35">
      <c r="A6211" s="52" t="s">
        <v>694</v>
      </c>
      <c r="B6211" s="52" t="s">
        <v>37</v>
      </c>
      <c r="C6211" s="52" t="s">
        <v>205</v>
      </c>
      <c r="D6211" s="52" t="s">
        <v>205</v>
      </c>
      <c r="E6211" s="52" t="s">
        <v>584</v>
      </c>
      <c r="F6211" s="52" t="s">
        <v>26</v>
      </c>
      <c r="G6211" s="55" t="s">
        <v>279</v>
      </c>
      <c r="H6211" s="55">
        <v>5.0193000000000002E-2</v>
      </c>
      <c r="I6211" s="55">
        <v>4.0188099999999997E-2</v>
      </c>
      <c r="J6211" s="55">
        <v>3.5367700000000002E-2</v>
      </c>
      <c r="K6211" s="55">
        <v>3.37644E-2</v>
      </c>
      <c r="L6211" s="55">
        <v>3.0105E-2</v>
      </c>
      <c r="M6211" s="55">
        <v>3.1619800000000003E-2</v>
      </c>
      <c r="N6211" s="55">
        <v>2.9085E-2</v>
      </c>
    </row>
    <row r="6212" spans="1:14" hidden="1" x14ac:dyDescent="0.35">
      <c r="A6212" s="52" t="s">
        <v>694</v>
      </c>
      <c r="B6212" s="52" t="s">
        <v>37</v>
      </c>
      <c r="C6212" s="52" t="s">
        <v>46</v>
      </c>
      <c r="D6212" s="52" t="s">
        <v>46</v>
      </c>
      <c r="E6212" s="52" t="s">
        <v>584</v>
      </c>
      <c r="F6212" s="52" t="s">
        <v>581</v>
      </c>
      <c r="G6212" s="55" t="s">
        <v>275</v>
      </c>
      <c r="H6212" s="55">
        <v>2.2911440000000001</v>
      </c>
      <c r="I6212" s="55">
        <v>0.86431230000000003</v>
      </c>
      <c r="J6212" s="55">
        <v>1.0737639999999999</v>
      </c>
      <c r="K6212" s="55">
        <v>0.63228989999999996</v>
      </c>
      <c r="L6212" s="55">
        <v>0.59759700000000004</v>
      </c>
      <c r="M6212" s="55">
        <v>0.52617760000000002</v>
      </c>
      <c r="N6212" s="55">
        <v>0.48723499999999997</v>
      </c>
    </row>
    <row r="6213" spans="1:14" hidden="1" x14ac:dyDescent="0.35">
      <c r="A6213" s="52" t="s">
        <v>694</v>
      </c>
      <c r="B6213" s="52" t="s">
        <v>37</v>
      </c>
      <c r="C6213" s="52" t="s">
        <v>46</v>
      </c>
      <c r="D6213" s="52" t="s">
        <v>46</v>
      </c>
      <c r="E6213" s="52" t="s">
        <v>584</v>
      </c>
      <c r="F6213" s="52" t="s">
        <v>581</v>
      </c>
      <c r="G6213" s="55" t="s">
        <v>276</v>
      </c>
      <c r="H6213" s="55">
        <v>0.22956799999999999</v>
      </c>
      <c r="I6213" s="55">
        <v>8.4217E-2</v>
      </c>
      <c r="J6213" s="55">
        <v>-0.2033239</v>
      </c>
      <c r="K6213" s="55">
        <v>0.16807749999999999</v>
      </c>
      <c r="L6213" s="55">
        <v>0.15885489999999999</v>
      </c>
      <c r="M6213" s="55">
        <v>0.1398703</v>
      </c>
      <c r="N6213" s="55">
        <v>0.12951799999999999</v>
      </c>
    </row>
    <row r="6214" spans="1:14" hidden="1" x14ac:dyDescent="0.35">
      <c r="A6214" s="52" t="s">
        <v>694</v>
      </c>
      <c r="B6214" s="52" t="s">
        <v>37</v>
      </c>
      <c r="C6214" s="52" t="s">
        <v>46</v>
      </c>
      <c r="D6214" s="52" t="s">
        <v>46</v>
      </c>
      <c r="E6214" s="52" t="s">
        <v>584</v>
      </c>
      <c r="F6214" s="52" t="s">
        <v>581</v>
      </c>
      <c r="G6214" s="55" t="s">
        <v>279</v>
      </c>
      <c r="H6214" s="55">
        <v>0.64929899999999996</v>
      </c>
      <c r="I6214" s="55">
        <v>0.43386360000000002</v>
      </c>
      <c r="J6214" s="55">
        <v>0.38061610000000001</v>
      </c>
      <c r="K6214" s="55">
        <v>0.35988579999999998</v>
      </c>
      <c r="L6214" s="55">
        <v>0.31937110000000002</v>
      </c>
      <c r="M6214" s="55">
        <v>0.33397559999999998</v>
      </c>
      <c r="N6214" s="55">
        <v>0.30752950000000001</v>
      </c>
    </row>
    <row r="6215" spans="1:14" hidden="1" x14ac:dyDescent="0.35">
      <c r="A6215" s="52" t="s">
        <v>694</v>
      </c>
      <c r="B6215" s="52" t="s">
        <v>37</v>
      </c>
      <c r="C6215" s="52" t="s">
        <v>46</v>
      </c>
      <c r="D6215" s="52" t="s">
        <v>46</v>
      </c>
      <c r="E6215" s="52" t="s">
        <v>584</v>
      </c>
      <c r="F6215" s="52" t="s">
        <v>26</v>
      </c>
      <c r="G6215" s="55" t="s">
        <v>275</v>
      </c>
      <c r="H6215" s="55">
        <v>1.3773000000000001E-2</v>
      </c>
      <c r="I6215" s="55">
        <v>8.7828000000000003E-3</v>
      </c>
      <c r="J6215" s="55">
        <v>1.24373E-2</v>
      </c>
      <c r="K6215" s="55">
        <v>1.0117299999999999E-2</v>
      </c>
      <c r="L6215" s="55">
        <v>1.07942E-2</v>
      </c>
      <c r="M6215" s="55">
        <v>5.1123990000000001E-3</v>
      </c>
      <c r="N6215" s="55">
        <v>4.6839000000000004E-3</v>
      </c>
    </row>
    <row r="6216" spans="1:14" hidden="1" x14ac:dyDescent="0.35">
      <c r="A6216" s="52" t="s">
        <v>694</v>
      </c>
      <c r="B6216" s="52" t="s">
        <v>37</v>
      </c>
      <c r="C6216" s="52" t="s">
        <v>46</v>
      </c>
      <c r="D6216" s="52" t="s">
        <v>46</v>
      </c>
      <c r="E6216" s="52" t="s">
        <v>584</v>
      </c>
      <c r="F6216" s="52" t="s">
        <v>26</v>
      </c>
      <c r="G6216" s="55" t="s">
        <v>276</v>
      </c>
      <c r="H6216" s="55">
        <v>3.6610000000000002E-3</v>
      </c>
      <c r="I6216" s="55">
        <v>2.3348000000000002E-3</v>
      </c>
      <c r="J6216" s="55">
        <v>3.3062999999999999E-3</v>
      </c>
      <c r="K6216" s="55">
        <v>2.6897000000000002E-3</v>
      </c>
      <c r="L6216" s="55">
        <v>2.8693E-3</v>
      </c>
      <c r="M6216" s="55">
        <v>1.359E-3</v>
      </c>
      <c r="N6216" s="55">
        <v>1.2451999999999999E-3</v>
      </c>
    </row>
    <row r="6217" spans="1:14" hidden="1" x14ac:dyDescent="0.35">
      <c r="A6217" s="52" t="s">
        <v>694</v>
      </c>
      <c r="B6217" s="52" t="s">
        <v>37</v>
      </c>
      <c r="C6217" s="52" t="s">
        <v>46</v>
      </c>
      <c r="D6217" s="52" t="s">
        <v>46</v>
      </c>
      <c r="E6217" s="52" t="s">
        <v>584</v>
      </c>
      <c r="F6217" s="52" t="s">
        <v>26</v>
      </c>
      <c r="G6217" s="55" t="s">
        <v>279</v>
      </c>
      <c r="H6217" s="55">
        <v>7.8607999999999997E-2</v>
      </c>
      <c r="I6217" s="55">
        <v>6.2907199999999996E-2</v>
      </c>
      <c r="J6217" s="55">
        <v>5.5233699999999997E-2</v>
      </c>
      <c r="K6217" s="55">
        <v>5.2678799999999998E-2</v>
      </c>
      <c r="L6217" s="55">
        <v>4.6790900000000003E-2</v>
      </c>
      <c r="M6217" s="55">
        <v>4.9448499999999999E-2</v>
      </c>
      <c r="N6217" s="55">
        <v>4.5483799999999998E-2</v>
      </c>
    </row>
    <row r="6218" spans="1:14" hidden="1" x14ac:dyDescent="0.35">
      <c r="A6218" s="52" t="s">
        <v>694</v>
      </c>
      <c r="B6218" s="52" t="s">
        <v>37</v>
      </c>
      <c r="C6218" s="52" t="s">
        <v>95</v>
      </c>
      <c r="D6218" s="52" t="s">
        <v>95</v>
      </c>
      <c r="E6218" s="52" t="s">
        <v>584</v>
      </c>
      <c r="F6218" s="52" t="s">
        <v>581</v>
      </c>
      <c r="G6218" s="55" t="s">
        <v>275</v>
      </c>
      <c r="H6218" s="55">
        <v>1.9056999999999999</v>
      </c>
      <c r="I6218" s="55">
        <v>0.68967000000000001</v>
      </c>
      <c r="J6218" s="55">
        <v>0.63093010000000005</v>
      </c>
      <c r="K6218" s="55">
        <v>0.58116310000000004</v>
      </c>
      <c r="L6218" s="55">
        <v>0.54684790000000005</v>
      </c>
      <c r="M6218" s="55">
        <v>0.48747479999999999</v>
      </c>
      <c r="N6218" s="55">
        <v>0.4512061</v>
      </c>
    </row>
    <row r="6219" spans="1:14" hidden="1" x14ac:dyDescent="0.35">
      <c r="A6219" s="52" t="s">
        <v>694</v>
      </c>
      <c r="B6219" s="52" t="s">
        <v>37</v>
      </c>
      <c r="C6219" s="52" t="s">
        <v>95</v>
      </c>
      <c r="D6219" s="52" t="s">
        <v>95</v>
      </c>
      <c r="E6219" s="52" t="s">
        <v>584</v>
      </c>
      <c r="F6219" s="52" t="s">
        <v>581</v>
      </c>
      <c r="G6219" s="55" t="s">
        <v>276</v>
      </c>
      <c r="H6219" s="55">
        <v>0.34207599999999999</v>
      </c>
      <c r="I6219" s="55">
        <v>0.1833304</v>
      </c>
      <c r="J6219" s="55">
        <v>0.16771530000000001</v>
      </c>
      <c r="K6219" s="55">
        <v>0.15448609999999999</v>
      </c>
      <c r="L6219" s="55">
        <v>0.14536479999999999</v>
      </c>
      <c r="M6219" s="55">
        <v>0.1295818</v>
      </c>
      <c r="N6219" s="55">
        <v>0.1199408</v>
      </c>
    </row>
    <row r="6220" spans="1:14" hidden="1" x14ac:dyDescent="0.35">
      <c r="A6220" s="52" t="s">
        <v>694</v>
      </c>
      <c r="B6220" s="52" t="s">
        <v>37</v>
      </c>
      <c r="C6220" s="52" t="s">
        <v>95</v>
      </c>
      <c r="D6220" s="52" t="s">
        <v>95</v>
      </c>
      <c r="E6220" s="52" t="s">
        <v>584</v>
      </c>
      <c r="F6220" s="52" t="s">
        <v>581</v>
      </c>
      <c r="G6220" s="55" t="s">
        <v>279</v>
      </c>
      <c r="H6220" s="55">
        <v>0.50081200000000003</v>
      </c>
      <c r="I6220" s="55">
        <v>0.32659739999999998</v>
      </c>
      <c r="J6220" s="55">
        <v>0.28703309999999999</v>
      </c>
      <c r="K6220" s="55">
        <v>0.27122560000000001</v>
      </c>
      <c r="L6220" s="55">
        <v>0.24139659999999999</v>
      </c>
      <c r="M6220" s="55">
        <v>0.25077110000000002</v>
      </c>
      <c r="N6220" s="55">
        <v>0.23095289999999999</v>
      </c>
    </row>
    <row r="6221" spans="1:14" hidden="1" x14ac:dyDescent="0.35">
      <c r="A6221" s="52" t="s">
        <v>694</v>
      </c>
      <c r="B6221" s="52" t="s">
        <v>37</v>
      </c>
      <c r="C6221" s="52" t="s">
        <v>95</v>
      </c>
      <c r="D6221" s="52" t="s">
        <v>95</v>
      </c>
      <c r="E6221" s="52" t="s">
        <v>584</v>
      </c>
      <c r="F6221" s="52" t="s">
        <v>26</v>
      </c>
      <c r="G6221" s="55" t="s">
        <v>275</v>
      </c>
      <c r="H6221" s="55">
        <v>7.391E-3</v>
      </c>
      <c r="I6221" s="55">
        <v>5.2665000000000003E-3</v>
      </c>
      <c r="J6221" s="55">
        <v>5.9957999999999999E-3</v>
      </c>
      <c r="K6221" s="55">
        <v>5.1958999999999998E-3</v>
      </c>
      <c r="L6221" s="55">
        <v>5.1187999999999997E-3</v>
      </c>
      <c r="M6221" s="55">
        <v>3.6043999999999998E-3</v>
      </c>
      <c r="N6221" s="55">
        <v>3.3105999999999999E-3</v>
      </c>
    </row>
    <row r="6222" spans="1:14" hidden="1" x14ac:dyDescent="0.35">
      <c r="A6222" s="52" t="s">
        <v>694</v>
      </c>
      <c r="B6222" s="52" t="s">
        <v>37</v>
      </c>
      <c r="C6222" s="52" t="s">
        <v>95</v>
      </c>
      <c r="D6222" s="52" t="s">
        <v>95</v>
      </c>
      <c r="E6222" s="52" t="s">
        <v>584</v>
      </c>
      <c r="F6222" s="52" t="s">
        <v>26</v>
      </c>
      <c r="G6222" s="55" t="s">
        <v>276</v>
      </c>
      <c r="H6222" s="55">
        <v>1.9650000000000002E-3</v>
      </c>
      <c r="I6222" s="55">
        <v>1.3996E-3</v>
      </c>
      <c r="J6222" s="55">
        <v>1.5935000000000001E-3</v>
      </c>
      <c r="K6222" s="55">
        <v>1.3809E-3</v>
      </c>
      <c r="L6222" s="55">
        <v>1.3606E-3</v>
      </c>
      <c r="M6222" s="55">
        <v>9.5830000000000004E-4</v>
      </c>
      <c r="N6222" s="55">
        <v>8.7969990000000004E-4</v>
      </c>
    </row>
    <row r="6223" spans="1:14" hidden="1" x14ac:dyDescent="0.35">
      <c r="A6223" s="52" t="s">
        <v>694</v>
      </c>
      <c r="B6223" s="52" t="s">
        <v>37</v>
      </c>
      <c r="C6223" s="52" t="s">
        <v>95</v>
      </c>
      <c r="D6223" s="52" t="s">
        <v>95</v>
      </c>
      <c r="E6223" s="52" t="s">
        <v>584</v>
      </c>
      <c r="F6223" s="52" t="s">
        <v>26</v>
      </c>
      <c r="G6223" s="55" t="s">
        <v>279</v>
      </c>
      <c r="H6223" s="55">
        <v>1.9005999999999999E-2</v>
      </c>
      <c r="I6223" s="55">
        <v>1.5220600000000001E-2</v>
      </c>
      <c r="J6223" s="55">
        <v>1.33977E-2</v>
      </c>
      <c r="K6223" s="55">
        <v>1.2786199999999999E-2</v>
      </c>
      <c r="L6223" s="55">
        <v>1.13954E-2</v>
      </c>
      <c r="M6223" s="55">
        <v>1.1972099999999999E-2</v>
      </c>
      <c r="N6223" s="55">
        <v>1.10119E-2</v>
      </c>
    </row>
    <row r="6224" spans="1:14" hidden="1" x14ac:dyDescent="0.35">
      <c r="A6224" s="52" t="s">
        <v>694</v>
      </c>
      <c r="B6224" s="52" t="s">
        <v>37</v>
      </c>
      <c r="C6224" s="52" t="s">
        <v>251</v>
      </c>
      <c r="D6224" s="52" t="s">
        <v>251</v>
      </c>
      <c r="E6224" s="52" t="s">
        <v>584</v>
      </c>
      <c r="F6224" s="52" t="s">
        <v>581</v>
      </c>
      <c r="G6224" s="55" t="s">
        <v>275</v>
      </c>
      <c r="H6224" s="55">
        <v>1.103264</v>
      </c>
      <c r="I6224" s="55">
        <v>0.3732781</v>
      </c>
      <c r="J6224" s="55">
        <v>0.5151694</v>
      </c>
      <c r="K6224" s="55">
        <v>0.24937809999999999</v>
      </c>
      <c r="L6224" s="55">
        <v>0.2389338</v>
      </c>
      <c r="M6224" s="55">
        <v>0.20253570000000001</v>
      </c>
      <c r="N6224" s="55">
        <v>0.18779709999999999</v>
      </c>
    </row>
    <row r="6225" spans="1:14" hidden="1" x14ac:dyDescent="0.35">
      <c r="A6225" s="52" t="s">
        <v>694</v>
      </c>
      <c r="B6225" s="52" t="s">
        <v>37</v>
      </c>
      <c r="C6225" s="52" t="s">
        <v>251</v>
      </c>
      <c r="D6225" s="52" t="s">
        <v>251</v>
      </c>
      <c r="E6225" s="52" t="s">
        <v>584</v>
      </c>
      <c r="F6225" s="52" t="s">
        <v>581</v>
      </c>
      <c r="G6225" s="55" t="s">
        <v>276</v>
      </c>
      <c r="H6225" s="55">
        <v>-2.4327999999999999E-2</v>
      </c>
      <c r="I6225" s="55">
        <v>-8.848994E-4</v>
      </c>
      <c r="J6225" s="55">
        <v>-0.17010620000000001</v>
      </c>
      <c r="K6225" s="55">
        <v>6.6290799999999997E-2</v>
      </c>
      <c r="L6225" s="55">
        <v>6.3514899999999999E-2</v>
      </c>
      <c r="M6225" s="55">
        <v>5.3838400000000002E-2</v>
      </c>
      <c r="N6225" s="55">
        <v>4.9920300000000001E-2</v>
      </c>
    </row>
    <row r="6226" spans="1:14" hidden="1" x14ac:dyDescent="0.35">
      <c r="A6226" s="52" t="s">
        <v>694</v>
      </c>
      <c r="B6226" s="52" t="s">
        <v>37</v>
      </c>
      <c r="C6226" s="52" t="s">
        <v>251</v>
      </c>
      <c r="D6226" s="52" t="s">
        <v>251</v>
      </c>
      <c r="E6226" s="52" t="s">
        <v>584</v>
      </c>
      <c r="F6226" s="52" t="s">
        <v>581</v>
      </c>
      <c r="G6226" s="55" t="s">
        <v>279</v>
      </c>
      <c r="H6226" s="55">
        <v>0.50129199999999996</v>
      </c>
      <c r="I6226" s="55">
        <v>0.31773289999999998</v>
      </c>
      <c r="J6226" s="55">
        <v>0.27953050000000002</v>
      </c>
      <c r="K6226" s="55">
        <v>0.26359729999999998</v>
      </c>
      <c r="L6226" s="55">
        <v>0.2346734</v>
      </c>
      <c r="M6226" s="55">
        <v>0.24290880000000001</v>
      </c>
      <c r="N6226" s="55">
        <v>0.2237566</v>
      </c>
    </row>
    <row r="6227" spans="1:14" hidden="1" x14ac:dyDescent="0.35">
      <c r="A6227" s="52" t="s">
        <v>694</v>
      </c>
      <c r="B6227" s="52" t="s">
        <v>37</v>
      </c>
      <c r="C6227" s="52" t="s">
        <v>251</v>
      </c>
      <c r="D6227" s="52" t="s">
        <v>251</v>
      </c>
      <c r="E6227" s="52" t="s">
        <v>584</v>
      </c>
      <c r="F6227" s="52" t="s">
        <v>26</v>
      </c>
      <c r="G6227" s="55" t="s">
        <v>275</v>
      </c>
      <c r="H6227" s="55">
        <v>-2.395E-3</v>
      </c>
      <c r="I6227" s="55">
        <v>-2.7407999999999998E-3</v>
      </c>
      <c r="J6227" s="55">
        <v>-6.2509990000000004E-4</v>
      </c>
      <c r="K6227" s="55">
        <v>-1.2007999999999999E-3</v>
      </c>
      <c r="L6227" s="55">
        <v>-3.129998E-4</v>
      </c>
      <c r="M6227" s="55">
        <v>-2.7782000000000002E-3</v>
      </c>
      <c r="N6227" s="55">
        <v>-2.5622000000000002E-3</v>
      </c>
    </row>
    <row r="6228" spans="1:14" hidden="1" x14ac:dyDescent="0.35">
      <c r="A6228" s="52" t="s">
        <v>694</v>
      </c>
      <c r="B6228" s="52" t="s">
        <v>37</v>
      </c>
      <c r="C6228" s="52" t="s">
        <v>251</v>
      </c>
      <c r="D6228" s="52" t="s">
        <v>251</v>
      </c>
      <c r="E6228" s="52" t="s">
        <v>584</v>
      </c>
      <c r="F6228" s="52" t="s">
        <v>26</v>
      </c>
      <c r="G6228" s="55" t="s">
        <v>276</v>
      </c>
      <c r="H6228" s="55">
        <v>-6.3699999999999998E-4</v>
      </c>
      <c r="I6228" s="55">
        <v>-7.2860000000000004E-4</v>
      </c>
      <c r="J6228" s="55">
        <v>-1.661E-4</v>
      </c>
      <c r="K6228" s="55">
        <v>-3.1950000000000001E-4</v>
      </c>
      <c r="L6228" s="55">
        <v>-8.3299940000000001E-5</v>
      </c>
      <c r="M6228" s="55">
        <v>-7.3850000000000001E-4</v>
      </c>
      <c r="N6228" s="55">
        <v>-6.8129989999999999E-4</v>
      </c>
    </row>
    <row r="6229" spans="1:14" hidden="1" x14ac:dyDescent="0.35">
      <c r="A6229" s="52" t="s">
        <v>694</v>
      </c>
      <c r="B6229" s="52" t="s">
        <v>37</v>
      </c>
      <c r="C6229" s="52" t="s">
        <v>251</v>
      </c>
      <c r="D6229" s="52" t="s">
        <v>251</v>
      </c>
      <c r="E6229" s="52" t="s">
        <v>584</v>
      </c>
      <c r="F6229" s="52" t="s">
        <v>26</v>
      </c>
      <c r="G6229" s="55" t="s">
        <v>279</v>
      </c>
      <c r="H6229" s="55">
        <v>4.1355000000000003E-2</v>
      </c>
      <c r="I6229" s="55">
        <v>3.3035599999999998E-2</v>
      </c>
      <c r="J6229" s="55">
        <v>2.91452E-2</v>
      </c>
      <c r="K6229" s="55">
        <v>2.7678899999999999E-2</v>
      </c>
      <c r="L6229" s="55">
        <v>2.4546499999999999E-2</v>
      </c>
      <c r="M6229" s="55">
        <v>2.5855199999999998E-2</v>
      </c>
      <c r="N6229" s="55">
        <v>2.3779700000000001E-2</v>
      </c>
    </row>
    <row r="6230" spans="1:14" hidden="1" x14ac:dyDescent="0.35">
      <c r="A6230" s="52" t="s">
        <v>694</v>
      </c>
      <c r="B6230" s="52" t="s">
        <v>37</v>
      </c>
      <c r="C6230" s="52" t="s">
        <v>99</v>
      </c>
      <c r="D6230" s="52" t="s">
        <v>100</v>
      </c>
      <c r="E6230" s="52" t="s">
        <v>584</v>
      </c>
      <c r="F6230" s="52" t="s">
        <v>581</v>
      </c>
      <c r="G6230" s="55" t="s">
        <v>275</v>
      </c>
      <c r="H6230" s="55">
        <v>0.512934</v>
      </c>
      <c r="I6230" s="55">
        <v>0.2175504</v>
      </c>
      <c r="J6230" s="55">
        <v>0.37028030000000001</v>
      </c>
      <c r="K6230" s="55">
        <v>0.1163812</v>
      </c>
      <c r="L6230" s="55">
        <v>0.10949730000000001</v>
      </c>
      <c r="M6230" s="55">
        <v>9.7625000000000003E-2</v>
      </c>
      <c r="N6230" s="55">
        <v>9.0361300000000006E-2</v>
      </c>
    </row>
    <row r="6231" spans="1:14" hidden="1" x14ac:dyDescent="0.35">
      <c r="A6231" s="52" t="s">
        <v>694</v>
      </c>
      <c r="B6231" s="52" t="s">
        <v>37</v>
      </c>
      <c r="C6231" s="52" t="s">
        <v>99</v>
      </c>
      <c r="D6231" s="52" t="s">
        <v>100</v>
      </c>
      <c r="E6231" s="52" t="s">
        <v>584</v>
      </c>
      <c r="F6231" s="52" t="s">
        <v>581</v>
      </c>
      <c r="G6231" s="55" t="s">
        <v>276</v>
      </c>
      <c r="H6231" s="55">
        <v>-6.7512000000000003E-2</v>
      </c>
      <c r="I6231" s="55">
        <v>-4.2711399999999997E-2</v>
      </c>
      <c r="J6231" s="55">
        <v>-0.2103409</v>
      </c>
      <c r="K6231" s="55">
        <v>3.09368E-2</v>
      </c>
      <c r="L6231" s="55">
        <v>2.9106699999999999E-2</v>
      </c>
      <c r="M6231" s="55">
        <v>2.5951599999999998E-2</v>
      </c>
      <c r="N6231" s="55">
        <v>2.4019700000000001E-2</v>
      </c>
    </row>
    <row r="6232" spans="1:14" hidden="1" x14ac:dyDescent="0.35">
      <c r="A6232" s="52" t="s">
        <v>694</v>
      </c>
      <c r="B6232" s="52" t="s">
        <v>37</v>
      </c>
      <c r="C6232" s="52" t="s">
        <v>99</v>
      </c>
      <c r="D6232" s="52" t="s">
        <v>100</v>
      </c>
      <c r="E6232" s="52" t="s">
        <v>584</v>
      </c>
      <c r="F6232" s="52" t="s">
        <v>581</v>
      </c>
      <c r="G6232" s="55" t="s">
        <v>279</v>
      </c>
      <c r="H6232" s="55">
        <v>9.886499E-2</v>
      </c>
      <c r="I6232" s="55">
        <v>6.4891900000000002E-2</v>
      </c>
      <c r="J6232" s="55">
        <v>5.7023600000000001E-2</v>
      </c>
      <c r="K6232" s="55">
        <v>5.3895699999999998E-2</v>
      </c>
      <c r="L6232" s="55">
        <v>4.7969900000000003E-2</v>
      </c>
      <c r="M6232" s="55">
        <v>4.9852899999999999E-2</v>
      </c>
      <c r="N6232" s="55">
        <v>4.5912399999999999E-2</v>
      </c>
    </row>
    <row r="6233" spans="1:14" hidden="1" x14ac:dyDescent="0.35">
      <c r="A6233" s="52" t="s">
        <v>694</v>
      </c>
      <c r="B6233" s="52" t="s">
        <v>37</v>
      </c>
      <c r="C6233" s="52" t="s">
        <v>99</v>
      </c>
      <c r="D6233" s="52" t="s">
        <v>100</v>
      </c>
      <c r="E6233" s="52" t="s">
        <v>584</v>
      </c>
      <c r="F6233" s="52" t="s">
        <v>26</v>
      </c>
      <c r="G6233" s="55" t="s">
        <v>275</v>
      </c>
      <c r="H6233" s="55">
        <v>4.9813000000000003E-2</v>
      </c>
      <c r="I6233" s="55">
        <v>3.58179E-2</v>
      </c>
      <c r="J6233" s="55">
        <v>3.99809E-2</v>
      </c>
      <c r="K6233" s="55">
        <v>3.4858699999999999E-2</v>
      </c>
      <c r="L6233" s="55">
        <v>3.40559E-2</v>
      </c>
      <c r="M6233" s="55">
        <v>2.48039E-2</v>
      </c>
      <c r="N6233" s="55">
        <v>2.27797E-2</v>
      </c>
    </row>
    <row r="6234" spans="1:14" hidden="1" x14ac:dyDescent="0.35">
      <c r="A6234" s="52" t="s">
        <v>694</v>
      </c>
      <c r="B6234" s="52" t="s">
        <v>37</v>
      </c>
      <c r="C6234" s="52" t="s">
        <v>99</v>
      </c>
      <c r="D6234" s="52" t="s">
        <v>100</v>
      </c>
      <c r="E6234" s="52" t="s">
        <v>584</v>
      </c>
      <c r="F6234" s="52" t="s">
        <v>26</v>
      </c>
      <c r="G6234" s="55" t="s">
        <v>276</v>
      </c>
      <c r="H6234" s="55">
        <v>1.3240999999999999E-2</v>
      </c>
      <c r="I6234" s="55">
        <v>9.5211989999999993E-3</v>
      </c>
      <c r="J6234" s="55">
        <v>1.06278E-2</v>
      </c>
      <c r="K6234" s="55">
        <v>9.2665999999999998E-3</v>
      </c>
      <c r="L6234" s="55">
        <v>9.0525999999999992E-3</v>
      </c>
      <c r="M6234" s="55">
        <v>6.5931990000000001E-3</v>
      </c>
      <c r="N6234" s="55">
        <v>6.0549000000000002E-3</v>
      </c>
    </row>
    <row r="6235" spans="1:14" hidden="1" x14ac:dyDescent="0.35">
      <c r="A6235" s="52" t="s">
        <v>694</v>
      </c>
      <c r="B6235" s="52" t="s">
        <v>37</v>
      </c>
      <c r="C6235" s="52" t="s">
        <v>99</v>
      </c>
      <c r="D6235" s="52" t="s">
        <v>100</v>
      </c>
      <c r="E6235" s="52" t="s">
        <v>584</v>
      </c>
      <c r="F6235" s="52" t="s">
        <v>26</v>
      </c>
      <c r="G6235" s="55" t="s">
        <v>279</v>
      </c>
      <c r="H6235" s="55">
        <v>0.114054</v>
      </c>
      <c r="I6235" s="55">
        <v>9.1327500000000006E-2</v>
      </c>
      <c r="J6235" s="55">
        <v>8.0442410000000006E-2</v>
      </c>
      <c r="K6235" s="55">
        <v>7.67843E-2</v>
      </c>
      <c r="L6235" s="55">
        <v>6.8512500000000004E-2</v>
      </c>
      <c r="M6235" s="55">
        <v>7.1849410000000002E-2</v>
      </c>
      <c r="N6235" s="55">
        <v>6.6089389999999998E-2</v>
      </c>
    </row>
    <row r="6236" spans="1:14" hidden="1" x14ac:dyDescent="0.35">
      <c r="A6236" s="52" t="s">
        <v>694</v>
      </c>
      <c r="B6236" s="52" t="s">
        <v>37</v>
      </c>
      <c r="C6236" s="52" t="s">
        <v>99</v>
      </c>
      <c r="D6236" s="52" t="s">
        <v>101</v>
      </c>
      <c r="E6236" s="52" t="s">
        <v>584</v>
      </c>
      <c r="F6236" s="52" t="s">
        <v>581</v>
      </c>
      <c r="G6236" s="55" t="s">
        <v>275</v>
      </c>
      <c r="H6236" s="55">
        <v>3.3177999999999999E-2</v>
      </c>
      <c r="I6236" s="55">
        <v>5.8193999999999997E-3</v>
      </c>
      <c r="J6236" s="55">
        <v>6.1744E-3</v>
      </c>
      <c r="K6236" s="55">
        <v>5.2445E-3</v>
      </c>
      <c r="L6236" s="55">
        <v>5.9716999999999999E-3</v>
      </c>
      <c r="M6236" s="55">
        <v>2.7504999999999999E-3</v>
      </c>
      <c r="N6236" s="55">
        <v>2.6273999999999998E-3</v>
      </c>
    </row>
    <row r="6237" spans="1:14" hidden="1" x14ac:dyDescent="0.35">
      <c r="A6237" s="52" t="s">
        <v>694</v>
      </c>
      <c r="B6237" s="52" t="s">
        <v>37</v>
      </c>
      <c r="C6237" s="52" t="s">
        <v>99</v>
      </c>
      <c r="D6237" s="52" t="s">
        <v>101</v>
      </c>
      <c r="E6237" s="52" t="s">
        <v>584</v>
      </c>
      <c r="F6237" s="52" t="s">
        <v>581</v>
      </c>
      <c r="G6237" s="55" t="s">
        <v>276</v>
      </c>
      <c r="H6237" s="55">
        <v>8.8190000000000004E-3</v>
      </c>
      <c r="I6237" s="55">
        <v>1.5467E-3</v>
      </c>
      <c r="J6237" s="55">
        <v>1.6416E-3</v>
      </c>
      <c r="K6237" s="55">
        <v>1.3948999999999999E-3</v>
      </c>
      <c r="L6237" s="55">
        <v>1.5870000000000001E-3</v>
      </c>
      <c r="M6237" s="55">
        <v>7.3150000000000005E-4</v>
      </c>
      <c r="N6237" s="55">
        <v>6.9840009999999999E-4</v>
      </c>
    </row>
    <row r="6238" spans="1:14" hidden="1" x14ac:dyDescent="0.35">
      <c r="A6238" s="52" t="s">
        <v>694</v>
      </c>
      <c r="B6238" s="52" t="s">
        <v>37</v>
      </c>
      <c r="C6238" s="52" t="s">
        <v>99</v>
      </c>
      <c r="D6238" s="52" t="s">
        <v>101</v>
      </c>
      <c r="E6238" s="52" t="s">
        <v>584</v>
      </c>
      <c r="F6238" s="52" t="s">
        <v>581</v>
      </c>
      <c r="G6238" s="55" t="s">
        <v>279</v>
      </c>
      <c r="H6238" s="55">
        <v>4.3866000000000002E-2</v>
      </c>
      <c r="I6238" s="55">
        <v>3.3405299999999999E-2</v>
      </c>
      <c r="J6238" s="55">
        <v>2.9083299999999999E-2</v>
      </c>
      <c r="K6238" s="55">
        <v>2.75818E-2</v>
      </c>
      <c r="L6238" s="55">
        <v>2.4171000000000002E-2</v>
      </c>
      <c r="M6238" s="55">
        <v>2.6015E-2</v>
      </c>
      <c r="N6238" s="55">
        <v>2.3935999999999999E-2</v>
      </c>
    </row>
    <row r="6239" spans="1:14" hidden="1" x14ac:dyDescent="0.35">
      <c r="A6239" s="52" t="s">
        <v>694</v>
      </c>
      <c r="B6239" s="52" t="s">
        <v>37</v>
      </c>
      <c r="C6239" s="52" t="s">
        <v>99</v>
      </c>
      <c r="D6239" s="52" t="s">
        <v>101</v>
      </c>
      <c r="E6239" s="52" t="s">
        <v>584</v>
      </c>
      <c r="F6239" s="52" t="s">
        <v>26</v>
      </c>
      <c r="G6239" s="55" t="s">
        <v>275</v>
      </c>
      <c r="H6239" s="55">
        <v>9.7999999999999997E-4</v>
      </c>
      <c r="I6239" s="55">
        <v>-3.9330900000000002E-2</v>
      </c>
      <c r="J6239" s="55">
        <v>-2.4710699999999999E-2</v>
      </c>
      <c r="K6239" s="55">
        <v>-2.6701599999999999E-2</v>
      </c>
      <c r="L6239" s="55">
        <v>-1.9281199999999998E-2</v>
      </c>
      <c r="M6239" s="55">
        <v>-3.4163800000000001E-2</v>
      </c>
      <c r="N6239" s="55">
        <v>-3.1460399999999999E-2</v>
      </c>
    </row>
    <row r="6240" spans="1:14" hidden="1" x14ac:dyDescent="0.35">
      <c r="A6240" s="52" t="s">
        <v>694</v>
      </c>
      <c r="B6240" s="52" t="s">
        <v>37</v>
      </c>
      <c r="C6240" s="52" t="s">
        <v>99</v>
      </c>
      <c r="D6240" s="52" t="s">
        <v>101</v>
      </c>
      <c r="E6240" s="52" t="s">
        <v>584</v>
      </c>
      <c r="F6240" s="52" t="s">
        <v>26</v>
      </c>
      <c r="G6240" s="55" t="s">
        <v>276</v>
      </c>
      <c r="H6240" s="55">
        <v>-5.6085999999999997E-2</v>
      </c>
      <c r="I6240" s="55">
        <v>-1.04551E-2</v>
      </c>
      <c r="J6240" s="55">
        <v>-6.5691999999999999E-3</v>
      </c>
      <c r="K6240" s="55">
        <v>-7.0980990000000001E-3</v>
      </c>
      <c r="L6240" s="55">
        <v>-5.1254990000000004E-3</v>
      </c>
      <c r="M6240" s="55">
        <v>-9.0814999999999993E-3</v>
      </c>
      <c r="N6240" s="55">
        <v>-8.3628999999999995E-3</v>
      </c>
    </row>
    <row r="6241" spans="1:14" hidden="1" x14ac:dyDescent="0.35">
      <c r="A6241" s="52" t="s">
        <v>694</v>
      </c>
      <c r="B6241" s="52" t="s">
        <v>37</v>
      </c>
      <c r="C6241" s="52" t="s">
        <v>99</v>
      </c>
      <c r="D6241" s="52" t="s">
        <v>101</v>
      </c>
      <c r="E6241" s="52" t="s">
        <v>584</v>
      </c>
      <c r="F6241" s="52" t="s">
        <v>26</v>
      </c>
      <c r="G6241" s="55" t="s">
        <v>279</v>
      </c>
      <c r="H6241" s="55">
        <v>0.241344</v>
      </c>
      <c r="I6241" s="55">
        <v>0.19349740000000001</v>
      </c>
      <c r="J6241" s="55">
        <v>0.16908400000000001</v>
      </c>
      <c r="K6241" s="55">
        <v>0.16094159999999999</v>
      </c>
      <c r="L6241" s="55">
        <v>0.1417822</v>
      </c>
      <c r="M6241" s="55">
        <v>0.15181520000000001</v>
      </c>
      <c r="N6241" s="55">
        <v>0.13964119999999999</v>
      </c>
    </row>
    <row r="6242" spans="1:14" hidden="1" x14ac:dyDescent="0.35">
      <c r="A6242" s="52" t="s">
        <v>694</v>
      </c>
      <c r="B6242" s="52" t="s">
        <v>37</v>
      </c>
      <c r="C6242" s="52" t="s">
        <v>79</v>
      </c>
      <c r="D6242" s="52" t="s">
        <v>79</v>
      </c>
      <c r="E6242" s="52" t="s">
        <v>584</v>
      </c>
      <c r="F6242" s="52" t="s">
        <v>581</v>
      </c>
      <c r="G6242" s="55" t="s">
        <v>275</v>
      </c>
      <c r="H6242" s="55">
        <v>0.499027</v>
      </c>
      <c r="I6242" s="55">
        <v>0.22636999999999999</v>
      </c>
      <c r="J6242" s="55">
        <v>0.45459450000000001</v>
      </c>
      <c r="K6242" s="55">
        <v>0.10421610000000001</v>
      </c>
      <c r="L6242" s="55">
        <v>9.8423510000000006E-2</v>
      </c>
      <c r="M6242" s="55">
        <v>8.5410589999999995E-2</v>
      </c>
      <c r="N6242" s="55">
        <v>7.8787189999999993E-2</v>
      </c>
    </row>
    <row r="6243" spans="1:14" hidden="1" x14ac:dyDescent="0.35">
      <c r="A6243" s="52" t="s">
        <v>694</v>
      </c>
      <c r="B6243" s="52" t="s">
        <v>37</v>
      </c>
      <c r="C6243" s="52" t="s">
        <v>79</v>
      </c>
      <c r="D6243" s="52" t="s">
        <v>79</v>
      </c>
      <c r="E6243" s="52" t="s">
        <v>584</v>
      </c>
      <c r="F6243" s="52" t="s">
        <v>581</v>
      </c>
      <c r="G6243" s="55" t="s">
        <v>276</v>
      </c>
      <c r="H6243" s="55">
        <v>-9.4264990000000007E-2</v>
      </c>
      <c r="I6243" s="55">
        <v>-7.0950600000000003E-2</v>
      </c>
      <c r="J6243" s="55">
        <v>-0.31026160000000003</v>
      </c>
      <c r="K6243" s="55">
        <v>2.7702399999999999E-2</v>
      </c>
      <c r="L6243" s="55">
        <v>2.6163100000000002E-2</v>
      </c>
      <c r="M6243" s="55">
        <v>2.2704599999999998E-2</v>
      </c>
      <c r="N6243" s="55">
        <v>2.0942700000000002E-2</v>
      </c>
    </row>
    <row r="6244" spans="1:14" hidden="1" x14ac:dyDescent="0.35">
      <c r="A6244" s="52" t="s">
        <v>694</v>
      </c>
      <c r="B6244" s="52" t="s">
        <v>37</v>
      </c>
      <c r="C6244" s="52" t="s">
        <v>79</v>
      </c>
      <c r="D6244" s="52" t="s">
        <v>79</v>
      </c>
      <c r="E6244" s="52" t="s">
        <v>584</v>
      </c>
      <c r="F6244" s="52" t="s">
        <v>581</v>
      </c>
      <c r="G6244" s="55" t="s">
        <v>279</v>
      </c>
      <c r="H6244" s="55">
        <v>0.125807</v>
      </c>
      <c r="I6244" s="55">
        <v>8.5020299999999993E-2</v>
      </c>
      <c r="J6244" s="55">
        <v>7.46917E-2</v>
      </c>
      <c r="K6244" s="55">
        <v>7.0555000000000007E-2</v>
      </c>
      <c r="L6244" s="55">
        <v>6.2584799999999996E-2</v>
      </c>
      <c r="M6244" s="55">
        <v>6.5355499999999997E-2</v>
      </c>
      <c r="N6244" s="55">
        <v>6.0143099999999998E-2</v>
      </c>
    </row>
    <row r="6245" spans="1:14" hidden="1" x14ac:dyDescent="0.35">
      <c r="A6245" s="52" t="s">
        <v>694</v>
      </c>
      <c r="B6245" s="52" t="s">
        <v>37</v>
      </c>
      <c r="C6245" s="52" t="s">
        <v>79</v>
      </c>
      <c r="D6245" s="52" t="s">
        <v>79</v>
      </c>
      <c r="E6245" s="52" t="s">
        <v>584</v>
      </c>
      <c r="F6245" s="52" t="s">
        <v>26</v>
      </c>
      <c r="G6245" s="55" t="s">
        <v>275</v>
      </c>
      <c r="H6245" s="55">
        <v>2.5526E-2</v>
      </c>
      <c r="I6245" s="55">
        <v>1.46319E-2</v>
      </c>
      <c r="J6245" s="55">
        <v>2.5026300000000001E-2</v>
      </c>
      <c r="K6245" s="55">
        <v>1.932E-2</v>
      </c>
      <c r="L6245" s="55">
        <v>2.17556E-2</v>
      </c>
      <c r="M6245" s="55">
        <v>6.8322000000000001E-3</v>
      </c>
      <c r="N6245" s="55">
        <v>6.2334000000000001E-3</v>
      </c>
    </row>
    <row r="6246" spans="1:14" hidden="1" x14ac:dyDescent="0.35">
      <c r="A6246" s="52" t="s">
        <v>694</v>
      </c>
      <c r="B6246" s="52" t="s">
        <v>37</v>
      </c>
      <c r="C6246" s="52" t="s">
        <v>79</v>
      </c>
      <c r="D6246" s="52" t="s">
        <v>79</v>
      </c>
      <c r="E6246" s="52" t="s">
        <v>584</v>
      </c>
      <c r="F6246" s="52" t="s">
        <v>26</v>
      </c>
      <c r="G6246" s="55" t="s">
        <v>276</v>
      </c>
      <c r="H6246" s="55">
        <v>6.7850009999999997E-3</v>
      </c>
      <c r="I6246" s="55">
        <v>3.8898000000000001E-3</v>
      </c>
      <c r="J6246" s="55">
        <v>6.6518000000000002E-3</v>
      </c>
      <c r="K6246" s="55">
        <v>5.1361000000000002E-3</v>
      </c>
      <c r="L6246" s="55">
        <v>5.7831000000000002E-3</v>
      </c>
      <c r="M6246" s="55">
        <v>1.8159999999999999E-3</v>
      </c>
      <c r="N6246" s="55">
        <v>1.6567000000000001E-3</v>
      </c>
    </row>
    <row r="6247" spans="1:14" hidden="1" x14ac:dyDescent="0.35">
      <c r="A6247" s="52" t="s">
        <v>694</v>
      </c>
      <c r="B6247" s="52" t="s">
        <v>37</v>
      </c>
      <c r="C6247" s="52" t="s">
        <v>79</v>
      </c>
      <c r="D6247" s="52" t="s">
        <v>79</v>
      </c>
      <c r="E6247" s="52" t="s">
        <v>584</v>
      </c>
      <c r="F6247" s="52" t="s">
        <v>26</v>
      </c>
      <c r="G6247" s="55" t="s">
        <v>279</v>
      </c>
      <c r="H6247" s="55">
        <v>0.230013</v>
      </c>
      <c r="I6247" s="55">
        <v>0.1836718</v>
      </c>
      <c r="J6247" s="55">
        <v>0.16210579999999999</v>
      </c>
      <c r="K6247" s="55">
        <v>0.15431590000000001</v>
      </c>
      <c r="L6247" s="55">
        <v>0.13749900000000001</v>
      </c>
      <c r="M6247" s="55">
        <v>0.1440111</v>
      </c>
      <c r="N6247" s="55">
        <v>0.13246160000000001</v>
      </c>
    </row>
    <row r="6248" spans="1:14" hidden="1" x14ac:dyDescent="0.35">
      <c r="A6248" s="52" t="s">
        <v>694</v>
      </c>
      <c r="B6248" s="52" t="s">
        <v>37</v>
      </c>
      <c r="C6248" s="52" t="s">
        <v>54</v>
      </c>
      <c r="D6248" s="52" t="s">
        <v>54</v>
      </c>
      <c r="E6248" s="52" t="s">
        <v>584</v>
      </c>
      <c r="F6248" s="52" t="s">
        <v>581</v>
      </c>
      <c r="G6248" s="55" t="s">
        <v>275</v>
      </c>
      <c r="H6248" s="55">
        <v>0.25329000000000002</v>
      </c>
      <c r="I6248" s="55">
        <v>9.3561800000000001E-2</v>
      </c>
      <c r="J6248" s="55">
        <v>8.5727499999999998E-2</v>
      </c>
      <c r="K6248" s="55">
        <v>7.8894699999999998E-2</v>
      </c>
      <c r="L6248" s="55">
        <v>7.4398699999999998E-2</v>
      </c>
      <c r="M6248" s="55">
        <v>6.5915000000000001E-2</v>
      </c>
      <c r="N6248" s="55">
        <v>6.1024000000000002E-2</v>
      </c>
    </row>
    <row r="6249" spans="1:14" hidden="1" x14ac:dyDescent="0.35">
      <c r="A6249" s="52" t="s">
        <v>694</v>
      </c>
      <c r="B6249" s="52" t="s">
        <v>37</v>
      </c>
      <c r="C6249" s="52" t="s">
        <v>54</v>
      </c>
      <c r="D6249" s="52" t="s">
        <v>54</v>
      </c>
      <c r="E6249" s="52" t="s">
        <v>584</v>
      </c>
      <c r="F6249" s="52" t="s">
        <v>581</v>
      </c>
      <c r="G6249" s="55" t="s">
        <v>276</v>
      </c>
      <c r="H6249" s="55">
        <v>5.2984000000000003E-2</v>
      </c>
      <c r="I6249" s="55">
        <v>2.4870900000000001E-2</v>
      </c>
      <c r="J6249" s="55">
        <v>2.2788300000000001E-2</v>
      </c>
      <c r="K6249" s="55">
        <v>2.0971400000000001E-2</v>
      </c>
      <c r="L6249" s="55">
        <v>1.9776200000000001E-2</v>
      </c>
      <c r="M6249" s="55">
        <v>1.7521499999999999E-2</v>
      </c>
      <c r="N6249" s="55">
        <v>1.6221699999999999E-2</v>
      </c>
    </row>
    <row r="6250" spans="1:14" hidden="1" x14ac:dyDescent="0.35">
      <c r="A6250" s="52" t="s">
        <v>694</v>
      </c>
      <c r="B6250" s="52" t="s">
        <v>37</v>
      </c>
      <c r="C6250" s="52" t="s">
        <v>54</v>
      </c>
      <c r="D6250" s="52" t="s">
        <v>54</v>
      </c>
      <c r="E6250" s="52" t="s">
        <v>584</v>
      </c>
      <c r="F6250" s="52" t="s">
        <v>581</v>
      </c>
      <c r="G6250" s="55" t="s">
        <v>279</v>
      </c>
      <c r="H6250" s="55">
        <v>8.5472000000000006E-2</v>
      </c>
      <c r="I6250" s="55">
        <v>5.4299500000000001E-2</v>
      </c>
      <c r="J6250" s="55">
        <v>4.7810999999999999E-2</v>
      </c>
      <c r="K6250" s="55">
        <v>4.5115299999999997E-2</v>
      </c>
      <c r="L6250" s="55">
        <v>4.0253900000000002E-2</v>
      </c>
      <c r="M6250" s="55">
        <v>4.1519300000000002E-2</v>
      </c>
      <c r="N6250" s="55">
        <v>3.8245899999999999E-2</v>
      </c>
    </row>
    <row r="6251" spans="1:14" hidden="1" x14ac:dyDescent="0.35">
      <c r="A6251" s="52" t="s">
        <v>694</v>
      </c>
      <c r="B6251" s="52" t="s">
        <v>37</v>
      </c>
      <c r="C6251" s="52" t="s">
        <v>54</v>
      </c>
      <c r="D6251" s="52" t="s">
        <v>54</v>
      </c>
      <c r="E6251" s="52" t="s">
        <v>584</v>
      </c>
      <c r="F6251" s="52" t="s">
        <v>26</v>
      </c>
      <c r="G6251" s="55" t="s">
        <v>275</v>
      </c>
      <c r="H6251" s="55">
        <v>8.3975999999999995E-2</v>
      </c>
      <c r="I6251" s="55">
        <v>6.9546399999999994E-2</v>
      </c>
      <c r="J6251" s="55">
        <v>0.13604540000000001</v>
      </c>
      <c r="K6251" s="55">
        <v>2.4805899999999999E-2</v>
      </c>
      <c r="L6251" s="55">
        <v>2.4868899999999999E-2</v>
      </c>
      <c r="M6251" s="55">
        <v>1.6169099999999999E-2</v>
      </c>
      <c r="N6251" s="55">
        <v>1.48418E-2</v>
      </c>
    </row>
    <row r="6252" spans="1:14" hidden="1" x14ac:dyDescent="0.35">
      <c r="A6252" s="52" t="s">
        <v>694</v>
      </c>
      <c r="B6252" s="52" t="s">
        <v>37</v>
      </c>
      <c r="C6252" s="52" t="s">
        <v>54</v>
      </c>
      <c r="D6252" s="52" t="s">
        <v>54</v>
      </c>
      <c r="E6252" s="52" t="s">
        <v>584</v>
      </c>
      <c r="F6252" s="52" t="s">
        <v>26</v>
      </c>
      <c r="G6252" s="55" t="s">
        <v>276</v>
      </c>
      <c r="H6252" s="55">
        <v>-3.9710000000000002E-2</v>
      </c>
      <c r="I6252" s="55">
        <v>-3.8719299999999998E-2</v>
      </c>
      <c r="J6252" s="55">
        <v>-9.92696E-2</v>
      </c>
      <c r="K6252" s="55">
        <v>6.5945999999999999E-3</v>
      </c>
      <c r="L6252" s="55">
        <v>6.6116999999999999E-3</v>
      </c>
      <c r="M6252" s="55">
        <v>4.2991000000000001E-3</v>
      </c>
      <c r="N6252" s="55">
        <v>3.9458999999999996E-3</v>
      </c>
    </row>
    <row r="6253" spans="1:14" hidden="1" x14ac:dyDescent="0.35">
      <c r="A6253" s="52" t="s">
        <v>694</v>
      </c>
      <c r="B6253" s="52" t="s">
        <v>37</v>
      </c>
      <c r="C6253" s="52" t="s">
        <v>54</v>
      </c>
      <c r="D6253" s="52" t="s">
        <v>54</v>
      </c>
      <c r="E6253" s="52" t="s">
        <v>584</v>
      </c>
      <c r="F6253" s="52" t="s">
        <v>26</v>
      </c>
      <c r="G6253" s="55" t="s">
        <v>279</v>
      </c>
      <c r="H6253" s="55">
        <v>0.124891</v>
      </c>
      <c r="I6253" s="55">
        <v>9.9699399999999994E-2</v>
      </c>
      <c r="J6253" s="55">
        <v>8.8383900000000001E-2</v>
      </c>
      <c r="K6253" s="55">
        <v>8.4075200000000003E-2</v>
      </c>
      <c r="L6253" s="55">
        <v>7.5125499999999998E-2</v>
      </c>
      <c r="M6253" s="55">
        <v>7.8140399999999999E-2</v>
      </c>
      <c r="N6253" s="55">
        <v>7.1873690000000004E-2</v>
      </c>
    </row>
    <row r="6254" spans="1:14" hidden="1" x14ac:dyDescent="0.35">
      <c r="A6254" s="52" t="s">
        <v>694</v>
      </c>
      <c r="B6254" s="52" t="s">
        <v>37</v>
      </c>
      <c r="C6254" s="52" t="s">
        <v>118</v>
      </c>
      <c r="D6254" s="52" t="s">
        <v>118</v>
      </c>
      <c r="E6254" s="52" t="s">
        <v>584</v>
      </c>
      <c r="F6254" s="52" t="s">
        <v>581</v>
      </c>
      <c r="G6254" s="55" t="s">
        <v>275</v>
      </c>
      <c r="H6254" s="55">
        <v>0.23377999999999999</v>
      </c>
      <c r="I6254" s="55">
        <v>0.1034463</v>
      </c>
      <c r="J6254" s="55">
        <v>0.1788469</v>
      </c>
      <c r="K6254" s="55">
        <v>4.4093300000000002E-2</v>
      </c>
      <c r="L6254" s="55">
        <v>4.1628600000000002E-2</v>
      </c>
      <c r="M6254" s="55">
        <v>3.67585E-2</v>
      </c>
      <c r="N6254" s="55">
        <v>3.4035299999999998E-2</v>
      </c>
    </row>
    <row r="6255" spans="1:14" hidden="1" x14ac:dyDescent="0.35">
      <c r="A6255" s="52" t="s">
        <v>694</v>
      </c>
      <c r="B6255" s="52" t="s">
        <v>37</v>
      </c>
      <c r="C6255" s="52" t="s">
        <v>118</v>
      </c>
      <c r="D6255" s="52" t="s">
        <v>118</v>
      </c>
      <c r="E6255" s="52" t="s">
        <v>584</v>
      </c>
      <c r="F6255" s="52" t="s">
        <v>581</v>
      </c>
      <c r="G6255" s="55" t="s">
        <v>276</v>
      </c>
      <c r="H6255" s="55">
        <v>-6.1078E-2</v>
      </c>
      <c r="I6255" s="55">
        <v>-3.7277299999999999E-2</v>
      </c>
      <c r="J6255" s="55">
        <v>-0.1181657</v>
      </c>
      <c r="K6255" s="55">
        <v>1.17205E-2</v>
      </c>
      <c r="L6255" s="55">
        <v>1.10662E-2</v>
      </c>
      <c r="M6255" s="55">
        <v>9.7710999999999996E-3</v>
      </c>
      <c r="N6255" s="55">
        <v>9.0471000000000006E-3</v>
      </c>
    </row>
    <row r="6256" spans="1:14" hidden="1" x14ac:dyDescent="0.35">
      <c r="A6256" s="52" t="s">
        <v>694</v>
      </c>
      <c r="B6256" s="52" t="s">
        <v>37</v>
      </c>
      <c r="C6256" s="52" t="s">
        <v>118</v>
      </c>
      <c r="D6256" s="52" t="s">
        <v>118</v>
      </c>
      <c r="E6256" s="52" t="s">
        <v>584</v>
      </c>
      <c r="F6256" s="52" t="s">
        <v>581</v>
      </c>
      <c r="G6256" s="55" t="s">
        <v>279</v>
      </c>
      <c r="H6256" s="55">
        <v>6.1636990000000003E-2</v>
      </c>
      <c r="I6256" s="55">
        <v>3.7057199999999998E-2</v>
      </c>
      <c r="J6256" s="55">
        <v>3.2744299999999997E-2</v>
      </c>
      <c r="K6256" s="55">
        <v>3.0831299999999999E-2</v>
      </c>
      <c r="L6256" s="55">
        <v>2.7647999999999999E-2</v>
      </c>
      <c r="M6256" s="55">
        <v>2.8152900000000002E-2</v>
      </c>
      <c r="N6256" s="55">
        <v>2.5941100000000002E-2</v>
      </c>
    </row>
    <row r="6257" spans="1:14" hidden="1" x14ac:dyDescent="0.35">
      <c r="A6257" s="52" t="s">
        <v>694</v>
      </c>
      <c r="B6257" s="52" t="s">
        <v>37</v>
      </c>
      <c r="C6257" s="52" t="s">
        <v>118</v>
      </c>
      <c r="D6257" s="52" t="s">
        <v>118</v>
      </c>
      <c r="E6257" s="52" t="s">
        <v>584</v>
      </c>
      <c r="F6257" s="52" t="s">
        <v>26</v>
      </c>
      <c r="G6257" s="55" t="s">
        <v>275</v>
      </c>
      <c r="H6257" s="55">
        <v>1.2906000000000001E-2</v>
      </c>
      <c r="I6257" s="55">
        <v>8.9406999999999993E-3</v>
      </c>
      <c r="J6257" s="55">
        <v>1.07799E-2</v>
      </c>
      <c r="K6257" s="55">
        <v>9.1716000000000002E-3</v>
      </c>
      <c r="L6257" s="55">
        <v>9.2277999999999995E-3</v>
      </c>
      <c r="M6257" s="55">
        <v>5.8916990000000002E-3</v>
      </c>
      <c r="N6257" s="55">
        <v>5.4060000000000002E-3</v>
      </c>
    </row>
    <row r="6258" spans="1:14" hidden="1" x14ac:dyDescent="0.35">
      <c r="A6258" s="52" t="s">
        <v>694</v>
      </c>
      <c r="B6258" s="52" t="s">
        <v>37</v>
      </c>
      <c r="C6258" s="52" t="s">
        <v>118</v>
      </c>
      <c r="D6258" s="52" t="s">
        <v>118</v>
      </c>
      <c r="E6258" s="52" t="s">
        <v>584</v>
      </c>
      <c r="F6258" s="52" t="s">
        <v>26</v>
      </c>
      <c r="G6258" s="55" t="s">
        <v>276</v>
      </c>
      <c r="H6258" s="55">
        <v>3.431E-3</v>
      </c>
      <c r="I6258" s="55">
        <v>2.3765000000000001E-3</v>
      </c>
      <c r="J6258" s="55">
        <v>2.8658999999999998E-3</v>
      </c>
      <c r="K6258" s="55">
        <v>2.4382000000000002E-3</v>
      </c>
      <c r="L6258" s="55">
        <v>2.4532E-3</v>
      </c>
      <c r="M6258" s="55">
        <v>1.5656000000000001E-3</v>
      </c>
      <c r="N6258" s="55">
        <v>1.4372E-3</v>
      </c>
    </row>
    <row r="6259" spans="1:14" hidden="1" x14ac:dyDescent="0.35">
      <c r="A6259" s="52" t="s">
        <v>694</v>
      </c>
      <c r="B6259" s="52" t="s">
        <v>37</v>
      </c>
      <c r="C6259" s="52" t="s">
        <v>118</v>
      </c>
      <c r="D6259" s="52" t="s">
        <v>118</v>
      </c>
      <c r="E6259" s="52" t="s">
        <v>584</v>
      </c>
      <c r="F6259" s="52" t="s">
        <v>26</v>
      </c>
      <c r="G6259" s="55" t="s">
        <v>279</v>
      </c>
      <c r="H6259" s="55">
        <v>5.0071999999999998E-2</v>
      </c>
      <c r="I6259" s="55">
        <v>3.9927600000000001E-2</v>
      </c>
      <c r="J6259" s="55">
        <v>3.5493200000000003E-2</v>
      </c>
      <c r="K6259" s="55">
        <v>3.3727E-2</v>
      </c>
      <c r="L6259" s="55">
        <v>3.0173999999999999E-2</v>
      </c>
      <c r="M6259" s="55">
        <v>3.1257500000000001E-2</v>
      </c>
      <c r="N6259" s="55">
        <v>2.87496E-2</v>
      </c>
    </row>
    <row r="6260" spans="1:14" hidden="1" x14ac:dyDescent="0.35">
      <c r="A6260" s="52" t="s">
        <v>694</v>
      </c>
      <c r="B6260" s="52" t="s">
        <v>37</v>
      </c>
      <c r="C6260" s="52" t="s">
        <v>118</v>
      </c>
      <c r="D6260" s="52" t="s">
        <v>118</v>
      </c>
      <c r="E6260" s="52" t="s">
        <v>695</v>
      </c>
      <c r="F6260" s="52" t="s">
        <v>581</v>
      </c>
      <c r="G6260" s="55" t="s">
        <v>275</v>
      </c>
      <c r="H6260" s="55">
        <v>-4.3010000000000001E-3</v>
      </c>
      <c r="I6260" s="55">
        <v>-4.9218999999999999E-3</v>
      </c>
      <c r="J6260" s="55">
        <v>-4.3743999999999996E-3</v>
      </c>
      <c r="K6260" s="55">
        <v>-3.9833999999999998E-3</v>
      </c>
      <c r="L6260" s="55">
        <v>-3.0860000000000002E-3</v>
      </c>
      <c r="M6260" s="55">
        <v>-1.4316000000000001E-3</v>
      </c>
      <c r="N6260" s="55">
        <v>-5.1809999999999996E-4</v>
      </c>
    </row>
    <row r="6261" spans="1:14" hidden="1" x14ac:dyDescent="0.35">
      <c r="A6261" s="52" t="s">
        <v>694</v>
      </c>
      <c r="B6261" s="52" t="s">
        <v>37</v>
      </c>
      <c r="C6261" s="52" t="s">
        <v>118</v>
      </c>
      <c r="D6261" s="52" t="s">
        <v>118</v>
      </c>
      <c r="E6261" s="52" t="s">
        <v>695</v>
      </c>
      <c r="F6261" s="52" t="s">
        <v>581</v>
      </c>
      <c r="G6261" s="55" t="s">
        <v>276</v>
      </c>
      <c r="H6261" s="55">
        <v>-1.1429999999999999E-3</v>
      </c>
      <c r="I6261" s="55">
        <v>-1.3086E-3</v>
      </c>
      <c r="J6261" s="55">
        <v>-1.1631E-3</v>
      </c>
      <c r="K6261" s="55">
        <v>-1.0591000000000001E-3</v>
      </c>
      <c r="L6261" s="55">
        <v>-8.2070000000000005E-4</v>
      </c>
      <c r="M6261" s="55">
        <v>-3.814E-4</v>
      </c>
      <c r="N6261" s="55">
        <v>-1.3789999999999999E-4</v>
      </c>
    </row>
    <row r="6262" spans="1:14" hidden="1" x14ac:dyDescent="0.35">
      <c r="A6262" s="52" t="s">
        <v>694</v>
      </c>
      <c r="B6262" s="52" t="s">
        <v>37</v>
      </c>
      <c r="C6262" s="52" t="s">
        <v>118</v>
      </c>
      <c r="D6262" s="52" t="s">
        <v>118</v>
      </c>
      <c r="E6262" s="52" t="s">
        <v>695</v>
      </c>
      <c r="F6262" s="52" t="s">
        <v>581</v>
      </c>
      <c r="G6262" s="55" t="s">
        <v>279</v>
      </c>
      <c r="H6262" s="55">
        <v>7.5709999999999996E-3</v>
      </c>
      <c r="I6262" s="55">
        <v>7.6314E-3</v>
      </c>
      <c r="J6262" s="55">
        <v>8.1732999999999997E-3</v>
      </c>
      <c r="K6262" s="55">
        <v>8.6657999999999995E-3</v>
      </c>
      <c r="L6262" s="55">
        <v>9.331499E-3</v>
      </c>
      <c r="M6262" s="55">
        <v>6.5049000000000001E-3</v>
      </c>
      <c r="N6262" s="55">
        <v>4.2157999999999996E-3</v>
      </c>
    </row>
    <row r="6263" spans="1:14" hidden="1" x14ac:dyDescent="0.35">
      <c r="A6263" s="52" t="s">
        <v>694</v>
      </c>
      <c r="B6263" s="52" t="s">
        <v>37</v>
      </c>
      <c r="C6263" s="52" t="s">
        <v>118</v>
      </c>
      <c r="D6263" s="52" t="s">
        <v>118</v>
      </c>
      <c r="E6263" s="52" t="s">
        <v>695</v>
      </c>
      <c r="F6263" s="52" t="s">
        <v>26</v>
      </c>
      <c r="G6263" s="55" t="s">
        <v>275</v>
      </c>
      <c r="H6263" s="55">
        <v>-0.26122800000000002</v>
      </c>
      <c r="I6263" s="55">
        <v>-0.37737480000000001</v>
      </c>
      <c r="J6263" s="55">
        <v>-7.4289110000000005E-2</v>
      </c>
      <c r="K6263" s="55">
        <v>-0.32807209999999998</v>
      </c>
      <c r="L6263" s="55">
        <v>-0.54339280000000001</v>
      </c>
      <c r="M6263" s="55">
        <v>6.3391890000000006E-2</v>
      </c>
      <c r="N6263" s="55">
        <v>3.7167499999999999E-2</v>
      </c>
    </row>
    <row r="6264" spans="1:14" hidden="1" x14ac:dyDescent="0.35">
      <c r="A6264" s="52" t="s">
        <v>694</v>
      </c>
      <c r="B6264" s="52" t="s">
        <v>37</v>
      </c>
      <c r="C6264" s="52" t="s">
        <v>118</v>
      </c>
      <c r="D6264" s="52" t="s">
        <v>118</v>
      </c>
      <c r="E6264" s="52" t="s">
        <v>695</v>
      </c>
      <c r="F6264" s="52" t="s">
        <v>26</v>
      </c>
      <c r="G6264" s="55" t="s">
        <v>276</v>
      </c>
      <c r="H6264" s="55">
        <v>-4.3621E-2</v>
      </c>
      <c r="I6264" s="55">
        <v>-5.2720499999999997E-2</v>
      </c>
      <c r="J6264" s="55">
        <v>-4.4575099999999999E-2</v>
      </c>
      <c r="K6264" s="55">
        <v>-9.3757699999999999E-2</v>
      </c>
      <c r="L6264" s="55">
        <v>-7.20938E-2</v>
      </c>
      <c r="M6264" s="55">
        <v>-6.3879190000000002E-2</v>
      </c>
      <c r="N6264" s="55">
        <v>-2.9218399999999999E-2</v>
      </c>
    </row>
    <row r="6265" spans="1:14" hidden="1" x14ac:dyDescent="0.35">
      <c r="A6265" s="52" t="s">
        <v>694</v>
      </c>
      <c r="B6265" s="52" t="s">
        <v>37</v>
      </c>
      <c r="C6265" s="52" t="s">
        <v>118</v>
      </c>
      <c r="D6265" s="52" t="s">
        <v>118</v>
      </c>
      <c r="E6265" s="52" t="s">
        <v>695</v>
      </c>
      <c r="F6265" s="52" t="s">
        <v>26</v>
      </c>
      <c r="G6265" s="55" t="s">
        <v>277</v>
      </c>
      <c r="H6265" s="55">
        <v>0.19387599999999999</v>
      </c>
      <c r="I6265" s="55">
        <v>0.31309300000000001</v>
      </c>
      <c r="J6265" s="55">
        <v>7.4202000000000004E-2</v>
      </c>
      <c r="K6265" s="55">
        <v>0.26389289999999999</v>
      </c>
      <c r="L6265" s="55">
        <v>0.46492719999999998</v>
      </c>
      <c r="M6265" s="55">
        <v>1.4132000000000001E-3</v>
      </c>
      <c r="N6265" s="55">
        <v>9.8299990000000003E-5</v>
      </c>
    </row>
    <row r="6266" spans="1:14" hidden="1" x14ac:dyDescent="0.35">
      <c r="A6266" s="52" t="s">
        <v>694</v>
      </c>
      <c r="B6266" s="52" t="s">
        <v>37</v>
      </c>
      <c r="C6266" s="52" t="s">
        <v>118</v>
      </c>
      <c r="D6266" s="52" t="s">
        <v>118</v>
      </c>
      <c r="E6266" s="52" t="s">
        <v>695</v>
      </c>
      <c r="F6266" s="52" t="s">
        <v>26</v>
      </c>
      <c r="G6266" s="55" t="s">
        <v>278</v>
      </c>
      <c r="H6266" s="55">
        <v>4.9431999999999997E-2</v>
      </c>
      <c r="I6266" s="55">
        <v>5.6903000000000002E-2</v>
      </c>
      <c r="J6266" s="55">
        <v>0</v>
      </c>
      <c r="K6266" s="55">
        <v>0.122561</v>
      </c>
      <c r="L6266" s="55">
        <v>0.1363953</v>
      </c>
      <c r="M6266" s="55">
        <v>0</v>
      </c>
      <c r="N6266" s="55"/>
    </row>
    <row r="6267" spans="1:14" hidden="1" x14ac:dyDescent="0.35">
      <c r="A6267" s="52" t="s">
        <v>694</v>
      </c>
      <c r="B6267" s="52" t="s">
        <v>37</v>
      </c>
      <c r="C6267" s="52" t="s">
        <v>118</v>
      </c>
      <c r="D6267" s="52" t="s">
        <v>118</v>
      </c>
      <c r="E6267" s="52" t="s">
        <v>695</v>
      </c>
      <c r="F6267" s="52" t="s">
        <v>26</v>
      </c>
      <c r="G6267" s="55" t="s">
        <v>279</v>
      </c>
      <c r="H6267" s="55">
        <v>8.5054000000000005E-2</v>
      </c>
      <c r="I6267" s="55">
        <v>8.7423210000000001E-2</v>
      </c>
      <c r="J6267" s="55">
        <v>9.9130200000000002E-2</v>
      </c>
      <c r="K6267" s="55">
        <v>0.1096148</v>
      </c>
      <c r="L6267" s="55">
        <v>0.1243519</v>
      </c>
      <c r="M6267" s="55">
        <v>9.3988500000000003E-2</v>
      </c>
      <c r="N6267" s="55">
        <v>6.3638100000000003E-2</v>
      </c>
    </row>
    <row r="6268" spans="1:14" hidden="1" x14ac:dyDescent="0.35">
      <c r="A6268" s="52" t="s">
        <v>694</v>
      </c>
      <c r="B6268" s="52" t="s">
        <v>37</v>
      </c>
      <c r="C6268" s="52" t="s">
        <v>35</v>
      </c>
      <c r="D6268" s="52" t="s">
        <v>38</v>
      </c>
      <c r="E6268" s="52" t="s">
        <v>584</v>
      </c>
      <c r="F6268" s="52" t="s">
        <v>581</v>
      </c>
      <c r="G6268" s="55" t="s">
        <v>275</v>
      </c>
      <c r="H6268" s="55">
        <v>0.14152600000000001</v>
      </c>
      <c r="I6268" s="55">
        <v>6.2499199999999998E-2</v>
      </c>
      <c r="J6268" s="55">
        <v>9.7751599999999994E-2</v>
      </c>
      <c r="K6268" s="55">
        <v>4.2221599999999998E-2</v>
      </c>
      <c r="L6268" s="55">
        <v>3.9604199999999999E-2</v>
      </c>
      <c r="M6268" s="55">
        <v>3.55346E-2</v>
      </c>
      <c r="N6268" s="55">
        <v>3.2863700000000003E-2</v>
      </c>
    </row>
    <row r="6269" spans="1:14" hidden="1" x14ac:dyDescent="0.35">
      <c r="A6269" s="52" t="s">
        <v>694</v>
      </c>
      <c r="B6269" s="52" t="s">
        <v>37</v>
      </c>
      <c r="C6269" s="52" t="s">
        <v>35</v>
      </c>
      <c r="D6269" s="52" t="s">
        <v>38</v>
      </c>
      <c r="E6269" s="52" t="s">
        <v>584</v>
      </c>
      <c r="F6269" s="52" t="s">
        <v>581</v>
      </c>
      <c r="G6269" s="55" t="s">
        <v>276</v>
      </c>
      <c r="H6269" s="55">
        <v>1.3617000000000001E-2</v>
      </c>
      <c r="I6269" s="55">
        <v>1.7880009999999999E-4</v>
      </c>
      <c r="J6269" s="55">
        <v>-3.9755600000000002E-2</v>
      </c>
      <c r="K6269" s="55">
        <v>1.1223E-2</v>
      </c>
      <c r="L6269" s="55">
        <v>1.0527999999999999E-2</v>
      </c>
      <c r="M6269" s="55">
        <v>9.4459000000000001E-3</v>
      </c>
      <c r="N6269" s="55">
        <v>8.7361999999999995E-3</v>
      </c>
    </row>
    <row r="6270" spans="1:14" hidden="1" x14ac:dyDescent="0.35">
      <c r="A6270" s="52" t="s">
        <v>694</v>
      </c>
      <c r="B6270" s="52" t="s">
        <v>37</v>
      </c>
      <c r="C6270" s="52" t="s">
        <v>35</v>
      </c>
      <c r="D6270" s="52" t="s">
        <v>38</v>
      </c>
      <c r="E6270" s="52" t="s">
        <v>584</v>
      </c>
      <c r="F6270" s="52" t="s">
        <v>581</v>
      </c>
      <c r="G6270" s="55" t="s">
        <v>279</v>
      </c>
      <c r="H6270" s="55">
        <v>3.1844999999999998E-2</v>
      </c>
      <c r="I6270" s="55">
        <v>2.0571699999999998E-2</v>
      </c>
      <c r="J6270" s="55">
        <v>1.8162299999999999E-2</v>
      </c>
      <c r="K6270" s="55">
        <v>1.71504E-2</v>
      </c>
      <c r="L6270" s="55">
        <v>1.5296799999999999E-2</v>
      </c>
      <c r="M6270" s="55">
        <v>1.5808900000000001E-2</v>
      </c>
      <c r="N6270" s="55">
        <v>1.4559799999999999E-2</v>
      </c>
    </row>
    <row r="6271" spans="1:14" hidden="1" x14ac:dyDescent="0.35">
      <c r="A6271" s="52" t="s">
        <v>694</v>
      </c>
      <c r="B6271" s="52" t="s">
        <v>37</v>
      </c>
      <c r="C6271" s="52" t="s">
        <v>35</v>
      </c>
      <c r="D6271" s="52" t="s">
        <v>38</v>
      </c>
      <c r="E6271" s="52" t="s">
        <v>584</v>
      </c>
      <c r="F6271" s="52" t="s">
        <v>26</v>
      </c>
      <c r="G6271" s="55" t="s">
        <v>275</v>
      </c>
      <c r="H6271" s="55">
        <v>2.996E-3</v>
      </c>
      <c r="I6271" s="55">
        <v>2.1578000000000001E-3</v>
      </c>
      <c r="J6271" s="55">
        <v>2.3995000000000002E-3</v>
      </c>
      <c r="K6271" s="55">
        <v>2.0937999999999998E-3</v>
      </c>
      <c r="L6271" s="55">
        <v>2.0414000000000001E-3</v>
      </c>
      <c r="M6271" s="55">
        <v>1.4969E-3</v>
      </c>
      <c r="N6271" s="55">
        <v>1.3743E-3</v>
      </c>
    </row>
    <row r="6272" spans="1:14" hidden="1" x14ac:dyDescent="0.35">
      <c r="A6272" s="52" t="s">
        <v>694</v>
      </c>
      <c r="B6272" s="52" t="s">
        <v>37</v>
      </c>
      <c r="C6272" s="52" t="s">
        <v>35</v>
      </c>
      <c r="D6272" s="52" t="s">
        <v>38</v>
      </c>
      <c r="E6272" s="52" t="s">
        <v>584</v>
      </c>
      <c r="F6272" s="52" t="s">
        <v>26</v>
      </c>
      <c r="G6272" s="55" t="s">
        <v>276</v>
      </c>
      <c r="H6272" s="55">
        <v>7.9599990000000002E-4</v>
      </c>
      <c r="I6272" s="55">
        <v>5.7379999999999996E-4</v>
      </c>
      <c r="J6272" s="55">
        <v>6.3829999999999996E-4</v>
      </c>
      <c r="K6272" s="55">
        <v>5.5650000000000003E-4</v>
      </c>
      <c r="L6272" s="55">
        <v>5.4269989999999998E-4</v>
      </c>
      <c r="M6272" s="55">
        <v>3.9790000000000002E-4</v>
      </c>
      <c r="N6272" s="55">
        <v>3.6620000000000001E-4</v>
      </c>
    </row>
    <row r="6273" spans="1:14" hidden="1" x14ac:dyDescent="0.35">
      <c r="A6273" s="52" t="s">
        <v>694</v>
      </c>
      <c r="B6273" s="52" t="s">
        <v>37</v>
      </c>
      <c r="C6273" s="52" t="s">
        <v>35</v>
      </c>
      <c r="D6273" s="52" t="s">
        <v>38</v>
      </c>
      <c r="E6273" s="52" t="s">
        <v>584</v>
      </c>
      <c r="F6273" s="52" t="s">
        <v>26</v>
      </c>
      <c r="G6273" s="55" t="s">
        <v>279</v>
      </c>
      <c r="H6273" s="55">
        <v>6.7029999999999998E-3</v>
      </c>
      <c r="I6273" s="55">
        <v>5.3673999999999996E-3</v>
      </c>
      <c r="J6273" s="55">
        <v>4.7291E-3</v>
      </c>
      <c r="K6273" s="55">
        <v>4.5163E-3</v>
      </c>
      <c r="L6273" s="55">
        <v>4.0293999999999998E-3</v>
      </c>
      <c r="M6273" s="55">
        <v>4.2234000000000004E-3</v>
      </c>
      <c r="N6273" s="55">
        <v>3.8855999999999999E-3</v>
      </c>
    </row>
    <row r="6274" spans="1:14" hidden="1" x14ac:dyDescent="0.35">
      <c r="A6274" s="52" t="s">
        <v>694</v>
      </c>
      <c r="B6274" s="52" t="s">
        <v>37</v>
      </c>
      <c r="C6274" s="52" t="s">
        <v>115</v>
      </c>
      <c r="D6274" s="52" t="s">
        <v>115</v>
      </c>
      <c r="E6274" s="52" t="s">
        <v>584</v>
      </c>
      <c r="F6274" s="52" t="s">
        <v>581</v>
      </c>
      <c r="G6274" s="55" t="s">
        <v>275</v>
      </c>
      <c r="H6274" s="55">
        <v>0.123016</v>
      </c>
      <c r="I6274" s="55">
        <v>6.0138299999999999E-2</v>
      </c>
      <c r="J6274" s="55">
        <v>6.4663300000000007E-2</v>
      </c>
      <c r="K6274" s="55">
        <v>2.8239799999999999E-2</v>
      </c>
      <c r="L6274" s="55">
        <v>2.7186399999999999E-2</v>
      </c>
      <c r="M6274" s="55">
        <v>2.2738499999999998E-2</v>
      </c>
      <c r="N6274" s="55">
        <v>2.10942E-2</v>
      </c>
    </row>
    <row r="6275" spans="1:14" hidden="1" x14ac:dyDescent="0.35">
      <c r="A6275" s="52" t="s">
        <v>694</v>
      </c>
      <c r="B6275" s="52" t="s">
        <v>37</v>
      </c>
      <c r="C6275" s="52" t="s">
        <v>115</v>
      </c>
      <c r="D6275" s="52" t="s">
        <v>115</v>
      </c>
      <c r="E6275" s="52" t="s">
        <v>584</v>
      </c>
      <c r="F6275" s="52" t="s">
        <v>581</v>
      </c>
      <c r="G6275" s="55" t="s">
        <v>276</v>
      </c>
      <c r="H6275" s="55">
        <v>2.4910000000000002E-3</v>
      </c>
      <c r="I6275" s="55">
        <v>-1.8040899999999999E-2</v>
      </c>
      <c r="J6275" s="55">
        <v>-2.5524399999999999E-2</v>
      </c>
      <c r="K6275" s="55">
        <v>7.5056999999999997E-3</v>
      </c>
      <c r="L6275" s="55">
        <v>7.2274000000000001E-3</v>
      </c>
      <c r="M6275" s="55">
        <v>6.0448999999999998E-3</v>
      </c>
      <c r="N6275" s="55">
        <v>5.6075999999999999E-3</v>
      </c>
    </row>
    <row r="6276" spans="1:14" hidden="1" x14ac:dyDescent="0.35">
      <c r="A6276" s="52" t="s">
        <v>694</v>
      </c>
      <c r="B6276" s="52" t="s">
        <v>37</v>
      </c>
      <c r="C6276" s="52" t="s">
        <v>115</v>
      </c>
      <c r="D6276" s="52" t="s">
        <v>115</v>
      </c>
      <c r="E6276" s="52" t="s">
        <v>584</v>
      </c>
      <c r="F6276" s="52" t="s">
        <v>581</v>
      </c>
      <c r="G6276" s="55" t="s">
        <v>279</v>
      </c>
      <c r="H6276" s="55">
        <v>6.223799E-2</v>
      </c>
      <c r="I6276" s="55">
        <v>3.9902800000000002E-2</v>
      </c>
      <c r="J6276" s="55">
        <v>3.5073899999999998E-2</v>
      </c>
      <c r="K6276" s="55">
        <v>3.30827E-2</v>
      </c>
      <c r="L6276" s="55">
        <v>2.9406100000000001E-2</v>
      </c>
      <c r="M6276" s="55">
        <v>3.05413E-2</v>
      </c>
      <c r="N6276" s="55">
        <v>2.81303E-2</v>
      </c>
    </row>
    <row r="6277" spans="1:14" hidden="1" x14ac:dyDescent="0.35">
      <c r="A6277" s="52" t="s">
        <v>694</v>
      </c>
      <c r="B6277" s="52" t="s">
        <v>37</v>
      </c>
      <c r="C6277" s="52" t="s">
        <v>115</v>
      </c>
      <c r="D6277" s="52" t="s">
        <v>115</v>
      </c>
      <c r="E6277" s="52" t="s">
        <v>584</v>
      </c>
      <c r="F6277" s="52" t="s">
        <v>26</v>
      </c>
      <c r="G6277" s="55" t="s">
        <v>275</v>
      </c>
      <c r="H6277" s="55">
        <v>-9.7300000000000002E-4</v>
      </c>
      <c r="I6277" s="55">
        <v>-9.0099989999999997E-4</v>
      </c>
      <c r="J6277" s="55">
        <v>-5.2539990000000005E-4</v>
      </c>
      <c r="K6277" s="55">
        <v>-5.8739999999999997E-4</v>
      </c>
      <c r="L6277" s="55">
        <v>-4.0329999999999999E-4</v>
      </c>
      <c r="M6277" s="55">
        <v>-7.9750000000000003E-4</v>
      </c>
      <c r="N6277" s="55">
        <v>-7.3499999999999998E-4</v>
      </c>
    </row>
    <row r="6278" spans="1:14" hidden="1" x14ac:dyDescent="0.35">
      <c r="A6278" s="52" t="s">
        <v>694</v>
      </c>
      <c r="B6278" s="52" t="s">
        <v>37</v>
      </c>
      <c r="C6278" s="52" t="s">
        <v>115</v>
      </c>
      <c r="D6278" s="52" t="s">
        <v>115</v>
      </c>
      <c r="E6278" s="52" t="s">
        <v>584</v>
      </c>
      <c r="F6278" s="52" t="s">
        <v>26</v>
      </c>
      <c r="G6278" s="55" t="s">
        <v>276</v>
      </c>
      <c r="H6278" s="55">
        <v>-2.5900000000000001E-4</v>
      </c>
      <c r="I6278" s="55">
        <v>-2.397E-4</v>
      </c>
      <c r="J6278" s="55">
        <v>-1.3960000000000001E-4</v>
      </c>
      <c r="K6278" s="55">
        <v>-1.563E-4</v>
      </c>
      <c r="L6278" s="55">
        <v>-1.0670000000000001E-4</v>
      </c>
      <c r="M6278" s="55">
        <v>-2.119E-4</v>
      </c>
      <c r="N6278" s="55">
        <v>-1.951E-4</v>
      </c>
    </row>
    <row r="6279" spans="1:14" hidden="1" x14ac:dyDescent="0.35">
      <c r="A6279" s="52" t="s">
        <v>694</v>
      </c>
      <c r="B6279" s="52" t="s">
        <v>37</v>
      </c>
      <c r="C6279" s="52" t="s">
        <v>115</v>
      </c>
      <c r="D6279" s="52" t="s">
        <v>115</v>
      </c>
      <c r="E6279" s="52" t="s">
        <v>584</v>
      </c>
      <c r="F6279" s="52" t="s">
        <v>26</v>
      </c>
      <c r="G6279" s="55" t="s">
        <v>279</v>
      </c>
      <c r="H6279" s="55">
        <v>6.8219999999999999E-3</v>
      </c>
      <c r="I6279" s="55">
        <v>5.4530000000000004E-3</v>
      </c>
      <c r="J6279" s="55">
        <v>4.8012000000000003E-3</v>
      </c>
      <c r="K6279" s="55">
        <v>4.5601000000000001E-3</v>
      </c>
      <c r="L6279" s="55">
        <v>4.0331999999999998E-3</v>
      </c>
      <c r="M6279" s="55">
        <v>4.2683E-3</v>
      </c>
      <c r="N6279" s="55">
        <v>3.9258000000000001E-3</v>
      </c>
    </row>
    <row r="6280" spans="1:14" hidden="1" x14ac:dyDescent="0.35">
      <c r="A6280" s="52" t="s">
        <v>694</v>
      </c>
      <c r="B6280" s="52" t="s">
        <v>37</v>
      </c>
      <c r="C6280" s="52" t="s">
        <v>252</v>
      </c>
      <c r="D6280" s="52" t="s">
        <v>252</v>
      </c>
      <c r="E6280" s="52" t="s">
        <v>584</v>
      </c>
      <c r="F6280" s="52" t="s">
        <v>26</v>
      </c>
      <c r="G6280" s="55" t="s">
        <v>275</v>
      </c>
      <c r="H6280" s="55">
        <v>2.4799999999999999E-2</v>
      </c>
      <c r="I6280" s="55">
        <v>1.03065E-2</v>
      </c>
      <c r="J6280" s="55">
        <v>1.1502399999999999E-2</v>
      </c>
      <c r="K6280" s="55">
        <v>1.0016000000000001E-2</v>
      </c>
      <c r="L6280" s="55">
        <v>9.7666999999999997E-3</v>
      </c>
      <c r="M6280" s="55">
        <v>7.1246E-3</v>
      </c>
      <c r="N6280" s="55">
        <v>6.5427000000000003E-3</v>
      </c>
    </row>
    <row r="6281" spans="1:14" hidden="1" x14ac:dyDescent="0.35">
      <c r="A6281" s="52" t="s">
        <v>694</v>
      </c>
      <c r="B6281" s="52" t="s">
        <v>37</v>
      </c>
      <c r="C6281" s="52" t="s">
        <v>252</v>
      </c>
      <c r="D6281" s="52" t="s">
        <v>252</v>
      </c>
      <c r="E6281" s="52" t="s">
        <v>584</v>
      </c>
      <c r="F6281" s="52" t="s">
        <v>26</v>
      </c>
      <c r="G6281" s="55" t="s">
        <v>276</v>
      </c>
      <c r="H6281" s="55">
        <v>-6.6490000000000004E-3</v>
      </c>
      <c r="I6281" s="55">
        <v>2.7395000000000002E-3</v>
      </c>
      <c r="J6281" s="55">
        <v>3.0582000000000001E-3</v>
      </c>
      <c r="K6281" s="55">
        <v>2.6621000000000001E-3</v>
      </c>
      <c r="L6281" s="55">
        <v>2.5961000000000001E-3</v>
      </c>
      <c r="M6281" s="55">
        <v>1.8936999999999999E-3</v>
      </c>
      <c r="N6281" s="55">
        <v>1.7394000000000001E-3</v>
      </c>
    </row>
    <row r="6282" spans="1:14" hidden="1" x14ac:dyDescent="0.35">
      <c r="A6282" s="52" t="s">
        <v>694</v>
      </c>
      <c r="B6282" s="52" t="s">
        <v>37</v>
      </c>
      <c r="C6282" s="52" t="s">
        <v>252</v>
      </c>
      <c r="D6282" s="52" t="s">
        <v>252</v>
      </c>
      <c r="E6282" s="52" t="s">
        <v>584</v>
      </c>
      <c r="F6282" s="52" t="s">
        <v>26</v>
      </c>
      <c r="G6282" s="55" t="s">
        <v>279</v>
      </c>
      <c r="H6282" s="55">
        <v>3.2960999999999997E-2</v>
      </c>
      <c r="I6282" s="55">
        <v>2.6394899999999999E-2</v>
      </c>
      <c r="J6282" s="55">
        <v>2.3258899999999999E-2</v>
      </c>
      <c r="K6282" s="55">
        <v>2.2214600000000001E-2</v>
      </c>
      <c r="L6282" s="55">
        <v>1.9849200000000001E-2</v>
      </c>
      <c r="M6282" s="55">
        <v>2.07777E-2</v>
      </c>
      <c r="N6282" s="55">
        <v>1.9114200000000001E-2</v>
      </c>
    </row>
    <row r="6283" spans="1:14" hidden="1" x14ac:dyDescent="0.35">
      <c r="A6283" s="52" t="s">
        <v>694</v>
      </c>
      <c r="B6283" s="52" t="s">
        <v>37</v>
      </c>
      <c r="C6283" s="52" t="s">
        <v>109</v>
      </c>
      <c r="D6283" s="52" t="s">
        <v>109</v>
      </c>
      <c r="E6283" s="52" t="s">
        <v>584</v>
      </c>
      <c r="F6283" s="52" t="s">
        <v>581</v>
      </c>
      <c r="G6283" s="55" t="s">
        <v>275</v>
      </c>
      <c r="H6283" s="55">
        <v>0</v>
      </c>
      <c r="I6283" s="55">
        <v>0</v>
      </c>
      <c r="J6283" s="55">
        <v>-0.16316929999999999</v>
      </c>
      <c r="K6283" s="55">
        <v>0</v>
      </c>
      <c r="L6283" s="55"/>
      <c r="M6283" s="55"/>
      <c r="N6283" s="55"/>
    </row>
    <row r="6284" spans="1:14" hidden="1" x14ac:dyDescent="0.35">
      <c r="A6284" s="52" t="s">
        <v>694</v>
      </c>
      <c r="B6284" s="52" t="s">
        <v>37</v>
      </c>
      <c r="C6284" s="52" t="s">
        <v>109</v>
      </c>
      <c r="D6284" s="52" t="s">
        <v>109</v>
      </c>
      <c r="E6284" s="52" t="s">
        <v>584</v>
      </c>
      <c r="F6284" s="52" t="s">
        <v>581</v>
      </c>
      <c r="G6284" s="55" t="s">
        <v>276</v>
      </c>
      <c r="H6284" s="55">
        <v>0</v>
      </c>
      <c r="I6284" s="55">
        <v>0</v>
      </c>
      <c r="J6284" s="55">
        <v>-4.3374129999999997E-2</v>
      </c>
      <c r="K6284" s="55">
        <v>0</v>
      </c>
      <c r="L6284" s="55"/>
      <c r="M6284" s="55"/>
      <c r="N6284" s="55"/>
    </row>
    <row r="6285" spans="1:14" hidden="1" x14ac:dyDescent="0.35">
      <c r="A6285" s="52" t="s">
        <v>694</v>
      </c>
      <c r="B6285" s="52" t="s">
        <v>37</v>
      </c>
      <c r="C6285" s="52" t="s">
        <v>109</v>
      </c>
      <c r="D6285" s="52" t="s">
        <v>109</v>
      </c>
      <c r="E6285" s="52" t="s">
        <v>584</v>
      </c>
      <c r="F6285" s="52" t="s">
        <v>581</v>
      </c>
      <c r="G6285" s="55" t="s">
        <v>279</v>
      </c>
      <c r="H6285" s="55">
        <v>0</v>
      </c>
      <c r="I6285" s="55">
        <v>0</v>
      </c>
      <c r="J6285" s="55">
        <v>0.20654349999999999</v>
      </c>
      <c r="K6285" s="55">
        <v>0</v>
      </c>
      <c r="L6285" s="55"/>
      <c r="M6285" s="55"/>
      <c r="N6285" s="55"/>
    </row>
    <row r="6286" spans="1:14" hidden="1" x14ac:dyDescent="0.35">
      <c r="A6286" s="52" t="s">
        <v>694</v>
      </c>
      <c r="B6286" s="52" t="s">
        <v>37</v>
      </c>
      <c r="C6286" s="52" t="s">
        <v>109</v>
      </c>
      <c r="D6286" s="52" t="s">
        <v>109</v>
      </c>
      <c r="E6286" s="52" t="s">
        <v>584</v>
      </c>
      <c r="F6286" s="52" t="s">
        <v>26</v>
      </c>
      <c r="G6286" s="55" t="s">
        <v>275</v>
      </c>
      <c r="H6286" s="55">
        <v>1.1582299999999999E-3</v>
      </c>
      <c r="I6286" s="55">
        <v>9.5818460000000004E-4</v>
      </c>
      <c r="J6286" s="55">
        <v>-4.419443E-2</v>
      </c>
      <c r="K6286" s="55">
        <v>0</v>
      </c>
      <c r="L6286" s="55"/>
      <c r="M6286" s="55"/>
      <c r="N6286" s="55"/>
    </row>
    <row r="6287" spans="1:14" hidden="1" x14ac:dyDescent="0.35">
      <c r="A6287" s="52" t="s">
        <v>694</v>
      </c>
      <c r="B6287" s="52" t="s">
        <v>37</v>
      </c>
      <c r="C6287" s="52" t="s">
        <v>109</v>
      </c>
      <c r="D6287" s="52" t="s">
        <v>109</v>
      </c>
      <c r="E6287" s="52" t="s">
        <v>584</v>
      </c>
      <c r="F6287" s="52" t="s">
        <v>26</v>
      </c>
      <c r="G6287" s="55" t="s">
        <v>276</v>
      </c>
      <c r="H6287" s="55">
        <v>-1.1582299999999999E-3</v>
      </c>
      <c r="I6287" s="55">
        <v>-9.5818460000000004E-4</v>
      </c>
      <c r="J6287" s="55">
        <v>-1.2678190000000001E-2</v>
      </c>
      <c r="K6287" s="55">
        <v>0</v>
      </c>
      <c r="L6287" s="55"/>
      <c r="M6287" s="55"/>
      <c r="N6287" s="55"/>
    </row>
    <row r="6288" spans="1:14" hidden="1" x14ac:dyDescent="0.35">
      <c r="A6288" s="52" t="s">
        <v>694</v>
      </c>
      <c r="B6288" s="52" t="s">
        <v>37</v>
      </c>
      <c r="C6288" s="52" t="s">
        <v>109</v>
      </c>
      <c r="D6288" s="52" t="s">
        <v>109</v>
      </c>
      <c r="E6288" s="52" t="s">
        <v>584</v>
      </c>
      <c r="F6288" s="52" t="s">
        <v>26</v>
      </c>
      <c r="G6288" s="55" t="s">
        <v>277</v>
      </c>
      <c r="H6288" s="55">
        <v>0</v>
      </c>
      <c r="I6288" s="55"/>
      <c r="J6288" s="55"/>
      <c r="K6288" s="55"/>
      <c r="L6288" s="55"/>
      <c r="M6288" s="55"/>
      <c r="N6288" s="55"/>
    </row>
    <row r="6289" spans="1:14" hidden="1" x14ac:dyDescent="0.35">
      <c r="A6289" s="52" t="s">
        <v>694</v>
      </c>
      <c r="B6289" s="52" t="s">
        <v>37</v>
      </c>
      <c r="C6289" s="52" t="s">
        <v>109</v>
      </c>
      <c r="D6289" s="52" t="s">
        <v>109</v>
      </c>
      <c r="E6289" s="52" t="s">
        <v>584</v>
      </c>
      <c r="F6289" s="52" t="s">
        <v>26</v>
      </c>
      <c r="G6289" s="55" t="s">
        <v>279</v>
      </c>
      <c r="H6289" s="55">
        <v>0</v>
      </c>
      <c r="I6289" s="55">
        <v>0</v>
      </c>
      <c r="J6289" s="55">
        <v>5.6872689999999997E-2</v>
      </c>
      <c r="K6289" s="55">
        <v>0</v>
      </c>
      <c r="L6289" s="55"/>
      <c r="M6289" s="55"/>
      <c r="N6289" s="55"/>
    </row>
    <row r="6290" spans="1:14" hidden="1" x14ac:dyDescent="0.35">
      <c r="A6290" s="52" t="s">
        <v>694</v>
      </c>
      <c r="B6290" s="52" t="s">
        <v>37</v>
      </c>
      <c r="C6290" s="52" t="s">
        <v>318</v>
      </c>
      <c r="D6290" s="52" t="s">
        <v>318</v>
      </c>
      <c r="E6290" s="52" t="s">
        <v>584</v>
      </c>
      <c r="F6290" s="52" t="s">
        <v>581</v>
      </c>
      <c r="G6290" s="55" t="s">
        <v>275</v>
      </c>
      <c r="H6290" s="55">
        <v>2.5122999999999999E-2</v>
      </c>
      <c r="I6290" s="55">
        <v>0</v>
      </c>
      <c r="J6290" s="55"/>
      <c r="K6290" s="55"/>
      <c r="L6290" s="55"/>
      <c r="M6290" s="55"/>
      <c r="N6290" s="55"/>
    </row>
    <row r="6291" spans="1:14" hidden="1" x14ac:dyDescent="0.35">
      <c r="A6291" s="52" t="s">
        <v>694</v>
      </c>
      <c r="B6291" s="52" t="s">
        <v>37</v>
      </c>
      <c r="C6291" s="52" t="s">
        <v>108</v>
      </c>
      <c r="D6291" s="52" t="s">
        <v>108</v>
      </c>
      <c r="E6291" s="52" t="s">
        <v>584</v>
      </c>
      <c r="F6291" s="52" t="s">
        <v>581</v>
      </c>
      <c r="G6291" s="55" t="s">
        <v>275</v>
      </c>
      <c r="H6291" s="55">
        <v>0</v>
      </c>
      <c r="I6291" s="55"/>
      <c r="J6291" s="55"/>
      <c r="K6291" s="55"/>
      <c r="L6291" s="55"/>
      <c r="M6291" s="55"/>
      <c r="N6291" s="55"/>
    </row>
    <row r="6292" spans="1:14" hidden="1" x14ac:dyDescent="0.35">
      <c r="A6292" s="52" t="s">
        <v>694</v>
      </c>
      <c r="B6292" s="52" t="s">
        <v>37</v>
      </c>
      <c r="C6292" s="52" t="s">
        <v>318</v>
      </c>
      <c r="D6292" s="52" t="s">
        <v>318</v>
      </c>
      <c r="E6292" s="52" t="s">
        <v>584</v>
      </c>
      <c r="F6292" s="52" t="s">
        <v>581</v>
      </c>
      <c r="G6292" s="55" t="s">
        <v>276</v>
      </c>
      <c r="H6292" s="55">
        <v>-2.5122999999999999E-2</v>
      </c>
      <c r="I6292" s="55">
        <v>0</v>
      </c>
      <c r="J6292" s="55"/>
      <c r="K6292" s="55"/>
      <c r="L6292" s="55"/>
      <c r="M6292" s="55"/>
      <c r="N6292" s="55"/>
    </row>
    <row r="6293" spans="1:14" hidden="1" x14ac:dyDescent="0.35">
      <c r="A6293" s="52" t="s">
        <v>694</v>
      </c>
      <c r="B6293" s="52" t="s">
        <v>37</v>
      </c>
      <c r="C6293" s="52" t="s">
        <v>318</v>
      </c>
      <c r="D6293" s="52" t="s">
        <v>318</v>
      </c>
      <c r="E6293" s="52" t="s">
        <v>584</v>
      </c>
      <c r="F6293" s="52" t="s">
        <v>581</v>
      </c>
      <c r="G6293" s="55" t="s">
        <v>278</v>
      </c>
      <c r="H6293" s="55">
        <v>0</v>
      </c>
      <c r="I6293" s="55"/>
      <c r="J6293" s="55"/>
      <c r="K6293" s="55"/>
      <c r="L6293" s="55"/>
      <c r="M6293" s="55"/>
      <c r="N6293" s="55"/>
    </row>
    <row r="6294" spans="1:14" hidden="1" x14ac:dyDescent="0.35">
      <c r="A6294" s="52" t="s">
        <v>694</v>
      </c>
      <c r="B6294" s="52" t="s">
        <v>37</v>
      </c>
      <c r="C6294" s="52" t="s">
        <v>108</v>
      </c>
      <c r="D6294" s="52" t="s">
        <v>108</v>
      </c>
      <c r="E6294" s="52" t="s">
        <v>584</v>
      </c>
      <c r="F6294" s="52" t="s">
        <v>26</v>
      </c>
      <c r="G6294" s="55" t="s">
        <v>275</v>
      </c>
      <c r="H6294" s="55"/>
      <c r="I6294" s="55"/>
      <c r="J6294" s="55"/>
      <c r="K6294" s="55">
        <v>0</v>
      </c>
      <c r="L6294" s="55"/>
      <c r="M6294" s="55"/>
      <c r="N6294" s="55">
        <v>0</v>
      </c>
    </row>
    <row r="6295" spans="1:14" hidden="1" x14ac:dyDescent="0.35">
      <c r="A6295" s="52" t="s">
        <v>694</v>
      </c>
      <c r="B6295" s="52" t="s">
        <v>37</v>
      </c>
      <c r="C6295" s="52" t="s">
        <v>318</v>
      </c>
      <c r="D6295" s="52" t="s">
        <v>318</v>
      </c>
      <c r="E6295" s="52" t="s">
        <v>584</v>
      </c>
      <c r="F6295" s="52" t="s">
        <v>26</v>
      </c>
      <c r="G6295" s="55" t="s">
        <v>275</v>
      </c>
      <c r="H6295" s="55">
        <v>1.6749E-2</v>
      </c>
      <c r="I6295" s="55">
        <v>0</v>
      </c>
      <c r="J6295" s="55"/>
      <c r="K6295" s="55"/>
      <c r="L6295" s="55"/>
      <c r="M6295" s="55"/>
      <c r="N6295" s="55"/>
    </row>
    <row r="6296" spans="1:14" hidden="1" x14ac:dyDescent="0.35">
      <c r="A6296" s="52" t="s">
        <v>694</v>
      </c>
      <c r="B6296" s="52" t="s">
        <v>37</v>
      </c>
      <c r="C6296" s="52" t="s">
        <v>318</v>
      </c>
      <c r="D6296" s="52" t="s">
        <v>318</v>
      </c>
      <c r="E6296" s="52" t="s">
        <v>584</v>
      </c>
      <c r="F6296" s="52" t="s">
        <v>26</v>
      </c>
      <c r="G6296" s="55" t="s">
        <v>276</v>
      </c>
      <c r="H6296" s="55">
        <v>-1.6749E-2</v>
      </c>
      <c r="I6296" s="55">
        <v>0</v>
      </c>
      <c r="J6296" s="55"/>
      <c r="K6296" s="55"/>
      <c r="L6296" s="55"/>
      <c r="M6296" s="55"/>
      <c r="N6296" s="55"/>
    </row>
    <row r="6297" spans="1:14" hidden="1" x14ac:dyDescent="0.35">
      <c r="A6297" s="52" t="s">
        <v>694</v>
      </c>
      <c r="B6297" s="52" t="s">
        <v>37</v>
      </c>
      <c r="C6297" s="52" t="s">
        <v>318</v>
      </c>
      <c r="D6297" s="52" t="s">
        <v>318</v>
      </c>
      <c r="E6297" s="52" t="s">
        <v>584</v>
      </c>
      <c r="F6297" s="52" t="s">
        <v>26</v>
      </c>
      <c r="G6297" s="55" t="s">
        <v>278</v>
      </c>
      <c r="H6297" s="55">
        <v>0</v>
      </c>
      <c r="I6297" s="55"/>
      <c r="J6297" s="55"/>
      <c r="K6297" s="55"/>
      <c r="L6297" s="55"/>
      <c r="M6297" s="55"/>
      <c r="N6297" s="55"/>
    </row>
    <row r="6298" spans="1:14" hidden="1" x14ac:dyDescent="0.35">
      <c r="A6298" s="52" t="s">
        <v>679</v>
      </c>
      <c r="B6298" s="52" t="s">
        <v>37</v>
      </c>
      <c r="C6298" s="52" t="s">
        <v>63</v>
      </c>
      <c r="D6298" s="52" t="s">
        <v>63</v>
      </c>
      <c r="E6298" s="52" t="s">
        <v>609</v>
      </c>
      <c r="F6298" s="52" t="s">
        <v>26</v>
      </c>
      <c r="G6298" s="55" t="s">
        <v>275</v>
      </c>
      <c r="H6298" s="55">
        <v>-53.499929999999999</v>
      </c>
      <c r="I6298" s="55">
        <v>194.93049999999999</v>
      </c>
      <c r="J6298" s="55">
        <v>241.04580000000001</v>
      </c>
      <c r="K6298" s="55">
        <v>198.6798</v>
      </c>
      <c r="L6298" s="55">
        <v>143.88419999999999</v>
      </c>
      <c r="M6298" s="55">
        <v>113.8488</v>
      </c>
      <c r="N6298" s="55">
        <v>95.653080000000003</v>
      </c>
    </row>
    <row r="6299" spans="1:14" hidden="1" x14ac:dyDescent="0.35">
      <c r="A6299" s="52" t="s">
        <v>679</v>
      </c>
      <c r="B6299" s="52" t="s">
        <v>37</v>
      </c>
      <c r="C6299" s="52" t="s">
        <v>63</v>
      </c>
      <c r="D6299" s="52" t="s">
        <v>63</v>
      </c>
      <c r="E6299" s="52" t="s">
        <v>609</v>
      </c>
      <c r="F6299" s="52" t="s">
        <v>26</v>
      </c>
      <c r="G6299" s="55" t="s">
        <v>276</v>
      </c>
      <c r="H6299" s="55">
        <v>8.1315910000000002</v>
      </c>
      <c r="I6299" s="55">
        <v>0</v>
      </c>
      <c r="J6299" s="55"/>
      <c r="K6299" s="55">
        <v>0.49697849999999999</v>
      </c>
      <c r="L6299" s="55"/>
      <c r="M6299" s="55">
        <v>8.2467590000000008</v>
      </c>
      <c r="N6299" s="55">
        <v>15.64953</v>
      </c>
    </row>
    <row r="6300" spans="1:14" hidden="1" x14ac:dyDescent="0.35">
      <c r="A6300" s="52" t="s">
        <v>679</v>
      </c>
      <c r="B6300" s="52" t="s">
        <v>37</v>
      </c>
      <c r="C6300" s="52" t="s">
        <v>63</v>
      </c>
      <c r="D6300" s="52" t="s">
        <v>63</v>
      </c>
      <c r="E6300" s="52" t="s">
        <v>609</v>
      </c>
      <c r="F6300" s="52" t="s">
        <v>26</v>
      </c>
      <c r="G6300" s="55" t="s">
        <v>277</v>
      </c>
      <c r="H6300" s="55">
        <v>388.23559999999998</v>
      </c>
      <c r="I6300" s="55">
        <v>92.314549999999997</v>
      </c>
      <c r="J6300" s="55">
        <v>54.296790000000001</v>
      </c>
      <c r="K6300" s="55">
        <v>41.968870000000003</v>
      </c>
      <c r="L6300" s="55">
        <v>56.09693</v>
      </c>
      <c r="M6300" s="55">
        <v>68.6066</v>
      </c>
      <c r="N6300" s="55">
        <v>78.886750000000006</v>
      </c>
    </row>
    <row r="6301" spans="1:14" hidden="1" x14ac:dyDescent="0.35">
      <c r="A6301" s="52" t="s">
        <v>679</v>
      </c>
      <c r="B6301" s="52" t="s">
        <v>37</v>
      </c>
      <c r="C6301" s="52" t="s">
        <v>63</v>
      </c>
      <c r="D6301" s="52" t="s">
        <v>63</v>
      </c>
      <c r="E6301" s="52" t="s">
        <v>609</v>
      </c>
      <c r="F6301" s="52" t="s">
        <v>26</v>
      </c>
      <c r="G6301" s="55" t="s">
        <v>278</v>
      </c>
      <c r="H6301" s="55">
        <v>51.117559999999997</v>
      </c>
      <c r="I6301" s="55">
        <v>15.827</v>
      </c>
      <c r="J6301" s="55">
        <v>13.395</v>
      </c>
      <c r="K6301" s="55">
        <v>15.35061</v>
      </c>
      <c r="L6301" s="55">
        <v>17.344539999999999</v>
      </c>
      <c r="M6301" s="55">
        <v>18.255120000000002</v>
      </c>
      <c r="N6301" s="55">
        <v>17.003579999999999</v>
      </c>
    </row>
    <row r="6302" spans="1:14" hidden="1" x14ac:dyDescent="0.35">
      <c r="A6302" s="52" t="s">
        <v>679</v>
      </c>
      <c r="B6302" s="52" t="s">
        <v>37</v>
      </c>
      <c r="C6302" s="52" t="s">
        <v>63</v>
      </c>
      <c r="D6302" s="52" t="s">
        <v>63</v>
      </c>
      <c r="E6302" s="52" t="s">
        <v>609</v>
      </c>
      <c r="F6302" s="52" t="s">
        <v>26</v>
      </c>
      <c r="G6302" s="55" t="s">
        <v>279</v>
      </c>
      <c r="H6302" s="55">
        <v>289.86669999999998</v>
      </c>
      <c r="I6302" s="55">
        <v>241.16589999999999</v>
      </c>
      <c r="J6302" s="55">
        <v>218.381</v>
      </c>
      <c r="K6302" s="55">
        <v>204.5274</v>
      </c>
      <c r="L6302" s="55">
        <v>184.68799999999999</v>
      </c>
      <c r="M6302" s="55">
        <v>191.07310000000001</v>
      </c>
      <c r="N6302" s="55">
        <v>189.37649999999999</v>
      </c>
    </row>
    <row r="6303" spans="1:14" hidden="1" x14ac:dyDescent="0.35">
      <c r="A6303" s="52" t="s">
        <v>679</v>
      </c>
      <c r="B6303" s="52" t="s">
        <v>37</v>
      </c>
      <c r="C6303" s="52" t="s">
        <v>63</v>
      </c>
      <c r="D6303" s="52" t="s">
        <v>63</v>
      </c>
      <c r="E6303" s="52" t="s">
        <v>612</v>
      </c>
      <c r="F6303" s="52" t="s">
        <v>581</v>
      </c>
      <c r="G6303" s="55" t="s">
        <v>275</v>
      </c>
      <c r="H6303" s="55">
        <v>35.29439</v>
      </c>
      <c r="I6303" s="55">
        <v>23.125219999999999</v>
      </c>
      <c r="J6303" s="55">
        <v>22.583670000000001</v>
      </c>
      <c r="K6303" s="55">
        <v>28.189050000000002</v>
      </c>
      <c r="L6303" s="55">
        <v>25.835270000000001</v>
      </c>
      <c r="M6303" s="55">
        <v>22.31212</v>
      </c>
      <c r="N6303" s="55">
        <v>17.719519999999999</v>
      </c>
    </row>
    <row r="6304" spans="1:14" hidden="1" x14ac:dyDescent="0.35">
      <c r="A6304" s="52" t="s">
        <v>679</v>
      </c>
      <c r="B6304" s="52" t="s">
        <v>37</v>
      </c>
      <c r="C6304" s="52" t="s">
        <v>63</v>
      </c>
      <c r="D6304" s="52" t="s">
        <v>63</v>
      </c>
      <c r="E6304" s="52" t="s">
        <v>612</v>
      </c>
      <c r="F6304" s="52" t="s">
        <v>581</v>
      </c>
      <c r="G6304" s="55" t="s">
        <v>276</v>
      </c>
      <c r="H6304" s="55">
        <v>-0.97202</v>
      </c>
      <c r="I6304" s="55">
        <v>-0.77279260000000005</v>
      </c>
      <c r="J6304" s="55">
        <v>2.4114520000000002</v>
      </c>
      <c r="K6304" s="55">
        <v>6.9415360000000002</v>
      </c>
      <c r="L6304" s="55">
        <v>6.3509760000000002</v>
      </c>
      <c r="M6304" s="55">
        <v>6.3034540000000003</v>
      </c>
      <c r="N6304" s="55">
        <v>6.4011760000000004</v>
      </c>
    </row>
    <row r="6305" spans="1:14" hidden="1" x14ac:dyDescent="0.35">
      <c r="A6305" s="52" t="s">
        <v>679</v>
      </c>
      <c r="B6305" s="52" t="s">
        <v>37</v>
      </c>
      <c r="C6305" s="52" t="s">
        <v>63</v>
      </c>
      <c r="D6305" s="52" t="s">
        <v>63</v>
      </c>
      <c r="E6305" s="52" t="s">
        <v>612</v>
      </c>
      <c r="F6305" s="52" t="s">
        <v>581</v>
      </c>
      <c r="G6305" s="55" t="s">
        <v>277</v>
      </c>
      <c r="H6305" s="55">
        <v>7.3782629999999996</v>
      </c>
      <c r="I6305" s="55">
        <v>6.2756429999999996</v>
      </c>
      <c r="J6305" s="55">
        <v>7.837154</v>
      </c>
      <c r="K6305" s="55">
        <v>1.342571</v>
      </c>
      <c r="L6305" s="55">
        <v>3.1621990000000002</v>
      </c>
      <c r="M6305" s="55">
        <v>5.4051669999999996</v>
      </c>
      <c r="N6305" s="55">
        <v>10.69717</v>
      </c>
    </row>
    <row r="6306" spans="1:14" hidden="1" x14ac:dyDescent="0.35">
      <c r="A6306" s="52" t="s">
        <v>679</v>
      </c>
      <c r="B6306" s="52" t="s">
        <v>37</v>
      </c>
      <c r="C6306" s="52" t="s">
        <v>63</v>
      </c>
      <c r="D6306" s="52" t="s">
        <v>63</v>
      </c>
      <c r="E6306" s="52" t="s">
        <v>612</v>
      </c>
      <c r="F6306" s="52" t="s">
        <v>581</v>
      </c>
      <c r="G6306" s="55" t="s">
        <v>278</v>
      </c>
      <c r="H6306" s="55">
        <v>0.79012099999999996</v>
      </c>
      <c r="I6306" s="55">
        <v>0.22231600000000001</v>
      </c>
      <c r="J6306" s="55">
        <v>1.885046</v>
      </c>
      <c r="K6306" s="55">
        <v>2.3005930000000001</v>
      </c>
      <c r="L6306" s="55">
        <v>1.2423200000000001</v>
      </c>
      <c r="M6306" s="55">
        <v>2.4685679999999999</v>
      </c>
      <c r="N6306" s="55">
        <v>3.442418</v>
      </c>
    </row>
    <row r="6307" spans="1:14" hidden="1" x14ac:dyDescent="0.35">
      <c r="A6307" s="52" t="s">
        <v>679</v>
      </c>
      <c r="B6307" s="52" t="s">
        <v>37</v>
      </c>
      <c r="C6307" s="52" t="s">
        <v>63</v>
      </c>
      <c r="D6307" s="52" t="s">
        <v>63</v>
      </c>
      <c r="E6307" s="52" t="s">
        <v>612</v>
      </c>
      <c r="F6307" s="52" t="s">
        <v>581</v>
      </c>
      <c r="G6307" s="55" t="s">
        <v>279</v>
      </c>
      <c r="H6307" s="55">
        <v>5.3847779999999998</v>
      </c>
      <c r="I6307" s="55">
        <v>7.4840159999999996</v>
      </c>
      <c r="J6307" s="55">
        <v>8.6628889999999998</v>
      </c>
      <c r="K6307" s="55">
        <v>10.494859999999999</v>
      </c>
      <c r="L6307" s="55">
        <v>9.7338749999999994</v>
      </c>
      <c r="M6307" s="55">
        <v>10.84891</v>
      </c>
      <c r="N6307" s="55">
        <v>11.27007</v>
      </c>
    </row>
    <row r="6308" spans="1:14" hidden="1" x14ac:dyDescent="0.35">
      <c r="A6308" s="52" t="s">
        <v>679</v>
      </c>
      <c r="B6308" s="52" t="s">
        <v>37</v>
      </c>
      <c r="C6308" s="52" t="s">
        <v>63</v>
      </c>
      <c r="D6308" s="52" t="s">
        <v>63</v>
      </c>
      <c r="E6308" s="52" t="s">
        <v>612</v>
      </c>
      <c r="F6308" s="52" t="s">
        <v>26</v>
      </c>
      <c r="G6308" s="55" t="s">
        <v>275</v>
      </c>
      <c r="H6308" s="55">
        <v>49.281260000000003</v>
      </c>
      <c r="I6308" s="55">
        <v>26.129840000000002</v>
      </c>
      <c r="J6308" s="55">
        <v>24.961839999999999</v>
      </c>
      <c r="K6308" s="55">
        <v>34.911090000000002</v>
      </c>
      <c r="L6308" s="55">
        <v>30.183430000000001</v>
      </c>
      <c r="M6308" s="55">
        <v>22.71508</v>
      </c>
      <c r="N6308" s="55">
        <v>17.038599999999999</v>
      </c>
    </row>
    <row r="6309" spans="1:14" hidden="1" x14ac:dyDescent="0.35">
      <c r="A6309" s="52" t="s">
        <v>679</v>
      </c>
      <c r="B6309" s="52" t="s">
        <v>37</v>
      </c>
      <c r="C6309" s="52" t="s">
        <v>63</v>
      </c>
      <c r="D6309" s="52" t="s">
        <v>63</v>
      </c>
      <c r="E6309" s="52" t="s">
        <v>612</v>
      </c>
      <c r="F6309" s="52" t="s">
        <v>26</v>
      </c>
      <c r="G6309" s="55" t="s">
        <v>276</v>
      </c>
      <c r="H6309" s="55">
        <v>0.97202</v>
      </c>
      <c r="I6309" s="55">
        <v>0.77279260000000005</v>
      </c>
      <c r="J6309" s="55">
        <v>1.093397</v>
      </c>
      <c r="K6309" s="55">
        <v>1.596241</v>
      </c>
      <c r="L6309" s="55">
        <v>3.032286</v>
      </c>
      <c r="M6309" s="55">
        <v>5.3404160000000003</v>
      </c>
      <c r="N6309" s="55">
        <v>6.9194589999999998</v>
      </c>
    </row>
    <row r="6310" spans="1:14" hidden="1" x14ac:dyDescent="0.35">
      <c r="A6310" s="52" t="s">
        <v>679</v>
      </c>
      <c r="B6310" s="52" t="s">
        <v>37</v>
      </c>
      <c r="C6310" s="52" t="s">
        <v>63</v>
      </c>
      <c r="D6310" s="52" t="s">
        <v>63</v>
      </c>
      <c r="E6310" s="52" t="s">
        <v>612</v>
      </c>
      <c r="F6310" s="52" t="s">
        <v>26</v>
      </c>
      <c r="G6310" s="55" t="s">
        <v>277</v>
      </c>
      <c r="H6310" s="55">
        <v>0</v>
      </c>
      <c r="I6310" s="55">
        <v>6.6641919999999999</v>
      </c>
      <c r="J6310" s="55">
        <v>15.67066</v>
      </c>
      <c r="K6310" s="55">
        <v>10.087669999999999</v>
      </c>
      <c r="L6310" s="55">
        <v>8.8337190000000003</v>
      </c>
      <c r="M6310" s="55">
        <v>13.49512</v>
      </c>
      <c r="N6310" s="55">
        <v>21.59319</v>
      </c>
    </row>
    <row r="6311" spans="1:14" hidden="1" x14ac:dyDescent="0.35">
      <c r="A6311" s="52" t="s">
        <v>679</v>
      </c>
      <c r="B6311" s="52" t="s">
        <v>37</v>
      </c>
      <c r="C6311" s="52" t="s">
        <v>63</v>
      </c>
      <c r="D6311" s="52" t="s">
        <v>63</v>
      </c>
      <c r="E6311" s="52" t="s">
        <v>612</v>
      </c>
      <c r="F6311" s="52" t="s">
        <v>26</v>
      </c>
      <c r="G6311" s="55" t="s">
        <v>278</v>
      </c>
      <c r="H6311" s="55">
        <v>0</v>
      </c>
      <c r="I6311" s="55">
        <v>0.44167000000000001</v>
      </c>
      <c r="J6311" s="55">
        <v>2.648466</v>
      </c>
      <c r="K6311" s="55">
        <v>2.9259529999999998</v>
      </c>
      <c r="L6311" s="55">
        <v>3.1670790000000002</v>
      </c>
      <c r="M6311" s="55">
        <v>2.682356</v>
      </c>
      <c r="N6311" s="55">
        <v>0</v>
      </c>
    </row>
    <row r="6312" spans="1:14" hidden="1" x14ac:dyDescent="0.35">
      <c r="A6312" s="52" t="s">
        <v>679</v>
      </c>
      <c r="B6312" s="52" t="s">
        <v>37</v>
      </c>
      <c r="C6312" s="52" t="s">
        <v>63</v>
      </c>
      <c r="D6312" s="52" t="s">
        <v>63</v>
      </c>
      <c r="E6312" s="52" t="s">
        <v>612</v>
      </c>
      <c r="F6312" s="52" t="s">
        <v>26</v>
      </c>
      <c r="G6312" s="55" t="s">
        <v>279</v>
      </c>
      <c r="H6312" s="55">
        <v>36.97289</v>
      </c>
      <c r="I6312" s="55">
        <v>27.049189999999999</v>
      </c>
      <c r="J6312" s="55">
        <v>31.333950000000002</v>
      </c>
      <c r="K6312" s="55">
        <v>39.469630000000002</v>
      </c>
      <c r="L6312" s="55">
        <v>37.954749999999997</v>
      </c>
      <c r="M6312" s="55">
        <v>40.428620000000002</v>
      </c>
      <c r="N6312" s="55">
        <v>41.721589999999999</v>
      </c>
    </row>
    <row r="6313" spans="1:14" hidden="1" x14ac:dyDescent="0.35">
      <c r="A6313" s="52" t="s">
        <v>679</v>
      </c>
      <c r="B6313" s="52" t="s">
        <v>37</v>
      </c>
      <c r="C6313" s="52" t="s">
        <v>105</v>
      </c>
      <c r="D6313" s="52" t="s">
        <v>105</v>
      </c>
      <c r="E6313" s="52" t="s">
        <v>619</v>
      </c>
      <c r="F6313" s="52" t="s">
        <v>581</v>
      </c>
      <c r="G6313" s="55" t="s">
        <v>275</v>
      </c>
      <c r="H6313" s="55">
        <v>89.998350000000002</v>
      </c>
      <c r="I6313" s="55">
        <v>34.47701</v>
      </c>
      <c r="J6313" s="55">
        <v>31.40982</v>
      </c>
      <c r="K6313" s="55">
        <v>29.612559999999998</v>
      </c>
      <c r="L6313" s="55">
        <v>30.27816</v>
      </c>
      <c r="M6313" s="55">
        <v>34.396189999999997</v>
      </c>
      <c r="N6313" s="55">
        <v>37.567819999999998</v>
      </c>
    </row>
    <row r="6314" spans="1:14" hidden="1" x14ac:dyDescent="0.35">
      <c r="A6314" s="52" t="s">
        <v>679</v>
      </c>
      <c r="B6314" s="52" t="s">
        <v>37</v>
      </c>
      <c r="C6314" s="52" t="s">
        <v>105</v>
      </c>
      <c r="D6314" s="52" t="s">
        <v>105</v>
      </c>
      <c r="E6314" s="52" t="s">
        <v>619</v>
      </c>
      <c r="F6314" s="52" t="s">
        <v>581</v>
      </c>
      <c r="G6314" s="55" t="s">
        <v>276</v>
      </c>
      <c r="H6314" s="55">
        <v>31.195239999999998</v>
      </c>
      <c r="I6314" s="55">
        <v>11.950419999999999</v>
      </c>
      <c r="J6314" s="55">
        <v>10.887269999999999</v>
      </c>
      <c r="K6314" s="55">
        <v>10.26431</v>
      </c>
      <c r="L6314" s="55">
        <v>10.495010000000001</v>
      </c>
      <c r="M6314" s="55">
        <v>11.922409999999999</v>
      </c>
      <c r="N6314" s="55">
        <v>13.02176</v>
      </c>
    </row>
    <row r="6315" spans="1:14" hidden="1" x14ac:dyDescent="0.35">
      <c r="A6315" s="52" t="s">
        <v>679</v>
      </c>
      <c r="B6315" s="52" t="s">
        <v>37</v>
      </c>
      <c r="C6315" s="52" t="s">
        <v>105</v>
      </c>
      <c r="D6315" s="52" t="s">
        <v>105</v>
      </c>
      <c r="E6315" s="52" t="s">
        <v>619</v>
      </c>
      <c r="F6315" s="52" t="s">
        <v>581</v>
      </c>
      <c r="G6315" s="55" t="s">
        <v>279</v>
      </c>
      <c r="H6315" s="55">
        <v>24.654710000000001</v>
      </c>
      <c r="I6315" s="55">
        <v>16.844110000000001</v>
      </c>
      <c r="J6315" s="55">
        <v>14.861750000000001</v>
      </c>
      <c r="K6315" s="55">
        <v>14.644310000000001</v>
      </c>
      <c r="L6315" s="55">
        <v>14.70992</v>
      </c>
      <c r="M6315" s="55">
        <v>18.34947</v>
      </c>
      <c r="N6315" s="55">
        <v>19.893129999999999</v>
      </c>
    </row>
    <row r="6316" spans="1:14" hidden="1" x14ac:dyDescent="0.35">
      <c r="A6316" s="52" t="s">
        <v>679</v>
      </c>
      <c r="B6316" s="52" t="s">
        <v>37</v>
      </c>
      <c r="C6316" s="52" t="s">
        <v>105</v>
      </c>
      <c r="D6316" s="52" t="s">
        <v>105</v>
      </c>
      <c r="E6316" s="52" t="s">
        <v>619</v>
      </c>
      <c r="F6316" s="52" t="s">
        <v>26</v>
      </c>
      <c r="G6316" s="55" t="s">
        <v>275</v>
      </c>
      <c r="H6316" s="55">
        <v>-40.320749999999997</v>
      </c>
      <c r="I6316" s="55">
        <v>27.1218</v>
      </c>
      <c r="J6316" s="55">
        <v>39.419690000000003</v>
      </c>
      <c r="K6316" s="55">
        <v>26.548690000000001</v>
      </c>
      <c r="L6316" s="55">
        <v>5.5443429999999996</v>
      </c>
      <c r="M6316" s="55">
        <v>-18.95927</v>
      </c>
      <c r="N6316" s="55">
        <v>-20.066610000000001</v>
      </c>
    </row>
    <row r="6317" spans="1:14" hidden="1" x14ac:dyDescent="0.35">
      <c r="A6317" s="52" t="s">
        <v>679</v>
      </c>
      <c r="B6317" s="52" t="s">
        <v>37</v>
      </c>
      <c r="C6317" s="52" t="s">
        <v>105</v>
      </c>
      <c r="D6317" s="52" t="s">
        <v>105</v>
      </c>
      <c r="E6317" s="52" t="s">
        <v>619</v>
      </c>
      <c r="F6317" s="52" t="s">
        <v>26</v>
      </c>
      <c r="G6317" s="55" t="s">
        <v>276</v>
      </c>
      <c r="H6317" s="55">
        <v>-33.660780000000003</v>
      </c>
      <c r="I6317" s="55">
        <v>-24.57245</v>
      </c>
      <c r="J6317" s="55">
        <v>-23.97485</v>
      </c>
      <c r="K6317" s="55">
        <v>-12.45087</v>
      </c>
      <c r="L6317" s="55">
        <v>-9.7615599999999993</v>
      </c>
      <c r="M6317" s="55">
        <v>-3.8560570000000002E-2</v>
      </c>
      <c r="N6317" s="55">
        <v>0.76218850000000005</v>
      </c>
    </row>
    <row r="6318" spans="1:14" hidden="1" x14ac:dyDescent="0.35">
      <c r="A6318" s="52" t="s">
        <v>679</v>
      </c>
      <c r="B6318" s="52" t="s">
        <v>37</v>
      </c>
      <c r="C6318" s="52" t="s">
        <v>105</v>
      </c>
      <c r="D6318" s="52" t="s">
        <v>105</v>
      </c>
      <c r="E6318" s="52" t="s">
        <v>619</v>
      </c>
      <c r="F6318" s="52" t="s">
        <v>26</v>
      </c>
      <c r="G6318" s="55" t="s">
        <v>277</v>
      </c>
      <c r="H6318" s="55">
        <v>115.5728</v>
      </c>
      <c r="I6318" s="55">
        <v>33.04927</v>
      </c>
      <c r="J6318" s="55">
        <v>20.370480000000001</v>
      </c>
      <c r="K6318" s="55">
        <v>11.05735</v>
      </c>
      <c r="L6318" s="55">
        <v>20.91141</v>
      </c>
      <c r="M6318" s="55">
        <v>32.866950000000003</v>
      </c>
      <c r="N6318" s="55">
        <v>35.442990000000002</v>
      </c>
    </row>
    <row r="6319" spans="1:14" hidden="1" x14ac:dyDescent="0.35">
      <c r="A6319" s="52" t="s">
        <v>679</v>
      </c>
      <c r="B6319" s="52" t="s">
        <v>37</v>
      </c>
      <c r="C6319" s="52" t="s">
        <v>105</v>
      </c>
      <c r="D6319" s="52" t="s">
        <v>105</v>
      </c>
      <c r="E6319" s="52" t="s">
        <v>619</v>
      </c>
      <c r="F6319" s="52" t="s">
        <v>26</v>
      </c>
      <c r="G6319" s="55" t="s">
        <v>278</v>
      </c>
      <c r="H6319" s="55">
        <v>24.979669999999999</v>
      </c>
      <c r="I6319" s="55">
        <v>12.335800000000001</v>
      </c>
      <c r="J6319" s="55">
        <v>13.137729999999999</v>
      </c>
      <c r="K6319" s="55">
        <v>18.073789999999999</v>
      </c>
      <c r="L6319" s="55">
        <v>25.915179999999999</v>
      </c>
      <c r="M6319" s="55">
        <v>32.24559</v>
      </c>
      <c r="N6319" s="55">
        <v>33.788670000000003</v>
      </c>
    </row>
    <row r="6320" spans="1:14" hidden="1" x14ac:dyDescent="0.35">
      <c r="A6320" s="52" t="s">
        <v>679</v>
      </c>
      <c r="B6320" s="52" t="s">
        <v>37</v>
      </c>
      <c r="C6320" s="52" t="s">
        <v>105</v>
      </c>
      <c r="D6320" s="52" t="s">
        <v>105</v>
      </c>
      <c r="E6320" s="52" t="s">
        <v>619</v>
      </c>
      <c r="F6320" s="52" t="s">
        <v>26</v>
      </c>
      <c r="G6320" s="55" t="s">
        <v>279</v>
      </c>
      <c r="H6320" s="55">
        <v>78.686220000000006</v>
      </c>
      <c r="I6320" s="55">
        <v>61.751080000000002</v>
      </c>
      <c r="J6320" s="55">
        <v>54.970100000000002</v>
      </c>
      <c r="K6320" s="55">
        <v>55.117109999999997</v>
      </c>
      <c r="L6320" s="55">
        <v>57.043399999999998</v>
      </c>
      <c r="M6320" s="55">
        <v>68.874399999999994</v>
      </c>
      <c r="N6320" s="55">
        <v>74.553449999999998</v>
      </c>
    </row>
    <row r="6321" spans="1:14" hidden="1" x14ac:dyDescent="0.35">
      <c r="A6321" s="52" t="s">
        <v>679</v>
      </c>
      <c r="B6321" s="52" t="s">
        <v>37</v>
      </c>
      <c r="C6321" s="52" t="s">
        <v>105</v>
      </c>
      <c r="D6321" s="52" t="s">
        <v>105</v>
      </c>
      <c r="E6321" s="52" t="s">
        <v>656</v>
      </c>
      <c r="F6321" s="52" t="s">
        <v>581</v>
      </c>
      <c r="G6321" s="55" t="s">
        <v>275</v>
      </c>
      <c r="H6321" s="55">
        <v>0.44562499999999999</v>
      </c>
      <c r="I6321" s="55">
        <v>-4.1870029999999998</v>
      </c>
      <c r="J6321" s="55">
        <v>0.83442769999999999</v>
      </c>
      <c r="K6321" s="55">
        <v>-7.2862629999999999</v>
      </c>
      <c r="L6321" s="55">
        <v>-8.605416</v>
      </c>
      <c r="M6321" s="55">
        <v>7.0809340000000001</v>
      </c>
      <c r="N6321" s="55">
        <v>5.5012090000000002</v>
      </c>
    </row>
    <row r="6322" spans="1:14" hidden="1" x14ac:dyDescent="0.35">
      <c r="A6322" s="52" t="s">
        <v>679</v>
      </c>
      <c r="B6322" s="52" t="s">
        <v>37</v>
      </c>
      <c r="C6322" s="52" t="s">
        <v>105</v>
      </c>
      <c r="D6322" s="52" t="s">
        <v>105</v>
      </c>
      <c r="E6322" s="52" t="s">
        <v>656</v>
      </c>
      <c r="F6322" s="52" t="s">
        <v>581</v>
      </c>
      <c r="G6322" s="55" t="s">
        <v>276</v>
      </c>
      <c r="H6322" s="55">
        <v>-4.2895469999999998</v>
      </c>
      <c r="I6322" s="55">
        <v>-4.6959099999999996</v>
      </c>
      <c r="J6322" s="55">
        <v>-7.7065780000000004</v>
      </c>
      <c r="K6322" s="55">
        <v>-5.5482420000000001</v>
      </c>
      <c r="L6322" s="55">
        <v>-1.659656</v>
      </c>
      <c r="M6322" s="55">
        <v>-1.2911870000000001</v>
      </c>
      <c r="N6322" s="55">
        <v>-0.97836029999999996</v>
      </c>
    </row>
    <row r="6323" spans="1:14" hidden="1" x14ac:dyDescent="0.35">
      <c r="A6323" s="52" t="s">
        <v>679</v>
      </c>
      <c r="B6323" s="52" t="s">
        <v>37</v>
      </c>
      <c r="C6323" s="52" t="s">
        <v>105</v>
      </c>
      <c r="D6323" s="52" t="s">
        <v>105</v>
      </c>
      <c r="E6323" s="52" t="s">
        <v>656</v>
      </c>
      <c r="F6323" s="52" t="s">
        <v>581</v>
      </c>
      <c r="G6323" s="55" t="s">
        <v>277</v>
      </c>
      <c r="H6323" s="55">
        <v>9.4552750000000003</v>
      </c>
      <c r="I6323" s="55">
        <v>9.1784250000000007</v>
      </c>
      <c r="J6323" s="55">
        <v>7.4515019999999996</v>
      </c>
      <c r="K6323" s="55">
        <v>9.2005859999999995</v>
      </c>
      <c r="L6323" s="55">
        <v>13.58318</v>
      </c>
      <c r="M6323" s="55">
        <v>0</v>
      </c>
      <c r="N6323" s="55">
        <v>0</v>
      </c>
    </row>
    <row r="6324" spans="1:14" hidden="1" x14ac:dyDescent="0.35">
      <c r="A6324" s="52" t="s">
        <v>679</v>
      </c>
      <c r="B6324" s="52" t="s">
        <v>37</v>
      </c>
      <c r="C6324" s="52" t="s">
        <v>105</v>
      </c>
      <c r="D6324" s="52" t="s">
        <v>105</v>
      </c>
      <c r="E6324" s="52" t="s">
        <v>656</v>
      </c>
      <c r="F6324" s="52" t="s">
        <v>581</v>
      </c>
      <c r="G6324" s="55" t="s">
        <v>278</v>
      </c>
      <c r="H6324" s="55">
        <v>1.1491279999999999</v>
      </c>
      <c r="I6324" s="55">
        <v>2.4690120000000002</v>
      </c>
      <c r="J6324" s="55">
        <v>3.2162579999999998</v>
      </c>
      <c r="K6324" s="55">
        <v>8.293374</v>
      </c>
      <c r="L6324" s="55">
        <v>3.3144010000000002</v>
      </c>
      <c r="M6324" s="55">
        <v>0</v>
      </c>
      <c r="N6324" s="55"/>
    </row>
    <row r="6325" spans="1:14" hidden="1" x14ac:dyDescent="0.35">
      <c r="A6325" s="52" t="s">
        <v>679</v>
      </c>
      <c r="B6325" s="52" t="s">
        <v>37</v>
      </c>
      <c r="C6325" s="52" t="s">
        <v>105</v>
      </c>
      <c r="D6325" s="52" t="s">
        <v>105</v>
      </c>
      <c r="E6325" s="52" t="s">
        <v>656</v>
      </c>
      <c r="F6325" s="52" t="s">
        <v>581</v>
      </c>
      <c r="G6325" s="55" t="s">
        <v>279</v>
      </c>
      <c r="H6325" s="55">
        <v>1.5043569999999999</v>
      </c>
      <c r="I6325" s="55">
        <v>1.1375839999999999</v>
      </c>
      <c r="J6325" s="55">
        <v>1.5053749999999999</v>
      </c>
      <c r="K6325" s="55">
        <v>1.911154</v>
      </c>
      <c r="L6325" s="55">
        <v>2.5364770000000001</v>
      </c>
      <c r="M6325" s="55">
        <v>2.5980940000000001</v>
      </c>
      <c r="N6325" s="55">
        <v>2.0206279999999999</v>
      </c>
    </row>
    <row r="6326" spans="1:14" hidden="1" x14ac:dyDescent="0.35">
      <c r="A6326" s="52" t="s">
        <v>679</v>
      </c>
      <c r="B6326" s="52" t="s">
        <v>37</v>
      </c>
      <c r="C6326" s="52" t="s">
        <v>105</v>
      </c>
      <c r="D6326" s="52" t="s">
        <v>105</v>
      </c>
      <c r="E6326" s="52" t="s">
        <v>656</v>
      </c>
      <c r="F6326" s="52" t="s">
        <v>26</v>
      </c>
      <c r="G6326" s="55" t="s">
        <v>275</v>
      </c>
      <c r="H6326" s="55">
        <v>0.39932299999999998</v>
      </c>
      <c r="I6326" s="55">
        <v>0.34520679999999998</v>
      </c>
      <c r="J6326" s="55">
        <v>0.58056739999999996</v>
      </c>
      <c r="K6326" s="55">
        <v>0.63797579999999998</v>
      </c>
      <c r="L6326" s="55">
        <v>0.90107579999999998</v>
      </c>
      <c r="M6326" s="55">
        <v>0.65701779999999999</v>
      </c>
      <c r="N6326" s="55">
        <v>0.50911010000000001</v>
      </c>
    </row>
    <row r="6327" spans="1:14" hidden="1" x14ac:dyDescent="0.35">
      <c r="A6327" s="52" t="s">
        <v>679</v>
      </c>
      <c r="B6327" s="52" t="s">
        <v>37</v>
      </c>
      <c r="C6327" s="52" t="s">
        <v>105</v>
      </c>
      <c r="D6327" s="52" t="s">
        <v>105</v>
      </c>
      <c r="E6327" s="52" t="s">
        <v>656</v>
      </c>
      <c r="F6327" s="52" t="s">
        <v>26</v>
      </c>
      <c r="G6327" s="55" t="s">
        <v>276</v>
      </c>
      <c r="H6327" s="55">
        <v>0.13841400000000001</v>
      </c>
      <c r="I6327" s="55">
        <v>0.11965580000000001</v>
      </c>
      <c r="J6327" s="55">
        <v>0.20123540000000001</v>
      </c>
      <c r="K6327" s="55">
        <v>0.22113459999999999</v>
      </c>
      <c r="L6327" s="55">
        <v>0.3123319</v>
      </c>
      <c r="M6327" s="55">
        <v>0.2277351</v>
      </c>
      <c r="N6327" s="55">
        <v>0.17646829999999999</v>
      </c>
    </row>
    <row r="6328" spans="1:14" hidden="1" x14ac:dyDescent="0.35">
      <c r="A6328" s="52" t="s">
        <v>679</v>
      </c>
      <c r="B6328" s="52" t="s">
        <v>37</v>
      </c>
      <c r="C6328" s="52" t="s">
        <v>105</v>
      </c>
      <c r="D6328" s="52" t="s">
        <v>105</v>
      </c>
      <c r="E6328" s="52" t="s">
        <v>656</v>
      </c>
      <c r="F6328" s="52" t="s">
        <v>26</v>
      </c>
      <c r="G6328" s="55" t="s">
        <v>279</v>
      </c>
      <c r="H6328" s="55">
        <v>1.1895009999999999</v>
      </c>
      <c r="I6328" s="55">
        <v>1.168876</v>
      </c>
      <c r="J6328" s="55">
        <v>1.564395</v>
      </c>
      <c r="K6328" s="55">
        <v>2.018208</v>
      </c>
      <c r="L6328" s="55">
        <v>2.7597770000000001</v>
      </c>
      <c r="M6328" s="55">
        <v>2.7409430000000001</v>
      </c>
      <c r="N6328" s="55">
        <v>2.1299929999999998</v>
      </c>
    </row>
    <row r="6329" spans="1:14" hidden="1" x14ac:dyDescent="0.35">
      <c r="A6329" s="52" t="s">
        <v>679</v>
      </c>
      <c r="B6329" s="52" t="s">
        <v>37</v>
      </c>
      <c r="C6329" s="52" t="s">
        <v>79</v>
      </c>
      <c r="D6329" s="52" t="s">
        <v>79</v>
      </c>
      <c r="E6329" s="52" t="s">
        <v>584</v>
      </c>
      <c r="F6329" s="52" t="s">
        <v>581</v>
      </c>
      <c r="G6329" s="55" t="s">
        <v>275</v>
      </c>
      <c r="H6329" s="55">
        <v>-2.3673709999999999</v>
      </c>
      <c r="I6329" s="55">
        <v>-5.902075</v>
      </c>
      <c r="J6329" s="55">
        <v>-4.1043310000000002</v>
      </c>
      <c r="K6329" s="55">
        <v>-7.4261489999999997</v>
      </c>
      <c r="L6329" s="55">
        <v>-7.7620779999999998</v>
      </c>
      <c r="M6329" s="55">
        <v>1.741943</v>
      </c>
      <c r="N6329" s="55">
        <v>1.5192209999999999</v>
      </c>
    </row>
    <row r="6330" spans="1:14" hidden="1" x14ac:dyDescent="0.35">
      <c r="A6330" s="52" t="s">
        <v>679</v>
      </c>
      <c r="B6330" s="52" t="s">
        <v>37</v>
      </c>
      <c r="C6330" s="52" t="s">
        <v>79</v>
      </c>
      <c r="D6330" s="52" t="s">
        <v>79</v>
      </c>
      <c r="E6330" s="52" t="s">
        <v>584</v>
      </c>
      <c r="F6330" s="52" t="s">
        <v>581</v>
      </c>
      <c r="G6330" s="55" t="s">
        <v>276</v>
      </c>
      <c r="H6330" s="55">
        <v>-4.3489950000000004</v>
      </c>
      <c r="I6330" s="55">
        <v>-3.4328270000000001</v>
      </c>
      <c r="J6330" s="55">
        <v>-5.101146</v>
      </c>
      <c r="K6330" s="55">
        <v>-2.92936</v>
      </c>
      <c r="L6330" s="55">
        <v>-2.568219</v>
      </c>
      <c r="M6330" s="55">
        <v>0.19976949999999999</v>
      </c>
      <c r="N6330" s="55">
        <v>0.27039859999999999</v>
      </c>
    </row>
    <row r="6331" spans="1:14" hidden="1" x14ac:dyDescent="0.35">
      <c r="A6331" s="52" t="s">
        <v>679</v>
      </c>
      <c r="B6331" s="52" t="s">
        <v>37</v>
      </c>
      <c r="C6331" s="52" t="s">
        <v>79</v>
      </c>
      <c r="D6331" s="52" t="s">
        <v>79</v>
      </c>
      <c r="E6331" s="52" t="s">
        <v>584</v>
      </c>
      <c r="F6331" s="52" t="s">
        <v>581</v>
      </c>
      <c r="G6331" s="55" t="s">
        <v>277</v>
      </c>
      <c r="H6331" s="55">
        <v>3.5782250000000002</v>
      </c>
      <c r="I6331" s="55">
        <v>1.963773</v>
      </c>
      <c r="J6331" s="55">
        <v>1.0777410000000001</v>
      </c>
      <c r="K6331" s="55">
        <v>0.59147700000000003</v>
      </c>
      <c r="L6331" s="55">
        <v>0</v>
      </c>
      <c r="M6331" s="55"/>
      <c r="N6331" s="55"/>
    </row>
    <row r="6332" spans="1:14" hidden="1" x14ac:dyDescent="0.35">
      <c r="A6332" s="52" t="s">
        <v>679</v>
      </c>
      <c r="B6332" s="52" t="s">
        <v>37</v>
      </c>
      <c r="C6332" s="52" t="s">
        <v>79</v>
      </c>
      <c r="D6332" s="52" t="s">
        <v>79</v>
      </c>
      <c r="E6332" s="52" t="s">
        <v>584</v>
      </c>
      <c r="F6332" s="52" t="s">
        <v>581</v>
      </c>
      <c r="G6332" s="55" t="s">
        <v>279</v>
      </c>
      <c r="H6332" s="55">
        <v>17.888570000000001</v>
      </c>
      <c r="I6332" s="55">
        <v>16.6694</v>
      </c>
      <c r="J6332" s="55">
        <v>17.06926</v>
      </c>
      <c r="K6332" s="55">
        <v>18.46489</v>
      </c>
      <c r="L6332" s="55">
        <v>18.769950000000001</v>
      </c>
      <c r="M6332" s="55">
        <v>0.82139609999999996</v>
      </c>
      <c r="N6332" s="55">
        <v>0.75584720000000005</v>
      </c>
    </row>
    <row r="6333" spans="1:14" hidden="1" x14ac:dyDescent="0.35">
      <c r="A6333" s="52" t="s">
        <v>679</v>
      </c>
      <c r="B6333" s="52" t="s">
        <v>37</v>
      </c>
      <c r="C6333" s="52" t="s">
        <v>79</v>
      </c>
      <c r="D6333" s="52" t="s">
        <v>79</v>
      </c>
      <c r="E6333" s="52" t="s">
        <v>584</v>
      </c>
      <c r="F6333" s="52" t="s">
        <v>26</v>
      </c>
      <c r="G6333" s="55" t="s">
        <v>275</v>
      </c>
      <c r="H6333" s="55">
        <v>0</v>
      </c>
      <c r="I6333" s="55">
        <v>4.4210000000000001E-4</v>
      </c>
      <c r="J6333" s="55">
        <v>4.526E-4</v>
      </c>
      <c r="K6333" s="55">
        <v>3.992E-4</v>
      </c>
      <c r="L6333" s="55">
        <v>3.6759999999999999E-4</v>
      </c>
      <c r="M6333" s="55">
        <v>3.1480000000000001E-4</v>
      </c>
      <c r="N6333" s="55">
        <v>2.8929999999999998E-4</v>
      </c>
    </row>
    <row r="6334" spans="1:14" hidden="1" x14ac:dyDescent="0.35">
      <c r="A6334" s="52" t="s">
        <v>679</v>
      </c>
      <c r="B6334" s="52" t="s">
        <v>37</v>
      </c>
      <c r="C6334" s="52" t="s">
        <v>79</v>
      </c>
      <c r="D6334" s="52" t="s">
        <v>79</v>
      </c>
      <c r="E6334" s="52" t="s">
        <v>584</v>
      </c>
      <c r="F6334" s="52" t="s">
        <v>26</v>
      </c>
      <c r="G6334" s="55" t="s">
        <v>276</v>
      </c>
      <c r="H6334" s="55">
        <v>0</v>
      </c>
      <c r="I6334" s="55">
        <v>1.1739999999999999E-4</v>
      </c>
      <c r="J6334" s="55">
        <v>1.199E-4</v>
      </c>
      <c r="K6334" s="55">
        <v>1.0569999999999999E-4</v>
      </c>
      <c r="L6334" s="55">
        <v>9.7899999999999994E-5</v>
      </c>
      <c r="M6334" s="55">
        <v>8.3399989999999994E-5</v>
      </c>
      <c r="N6334" s="55">
        <v>7.6799999999999997E-5</v>
      </c>
    </row>
    <row r="6335" spans="1:14" hidden="1" x14ac:dyDescent="0.35">
      <c r="A6335" s="52" t="s">
        <v>679</v>
      </c>
      <c r="B6335" s="52" t="s">
        <v>37</v>
      </c>
      <c r="C6335" s="52" t="s">
        <v>79</v>
      </c>
      <c r="D6335" s="52" t="s">
        <v>79</v>
      </c>
      <c r="E6335" s="52" t="s">
        <v>584</v>
      </c>
      <c r="F6335" s="52" t="s">
        <v>26</v>
      </c>
      <c r="G6335" s="55" t="s">
        <v>279</v>
      </c>
      <c r="H6335" s="55">
        <v>0</v>
      </c>
      <c r="I6335" s="55">
        <v>5.5480000000000004E-4</v>
      </c>
      <c r="J6335" s="55">
        <v>4.9709999999999999E-4</v>
      </c>
      <c r="K6335" s="55">
        <v>4.8069999999999997E-4</v>
      </c>
      <c r="L6335" s="55">
        <v>4.4509999999999998E-4</v>
      </c>
      <c r="M6335" s="55">
        <v>4.4180000000000001E-4</v>
      </c>
      <c r="N6335" s="55">
        <v>4.0779999999999999E-4</v>
      </c>
    </row>
    <row r="6336" spans="1:14" hidden="1" x14ac:dyDescent="0.35">
      <c r="A6336" s="52" t="s">
        <v>679</v>
      </c>
      <c r="B6336" s="52" t="s">
        <v>37</v>
      </c>
      <c r="C6336" s="52" t="s">
        <v>99</v>
      </c>
      <c r="D6336" s="52" t="s">
        <v>100</v>
      </c>
      <c r="E6336" s="52" t="s">
        <v>634</v>
      </c>
      <c r="F6336" s="52" t="s">
        <v>581</v>
      </c>
      <c r="G6336" s="55" t="s">
        <v>275</v>
      </c>
      <c r="H6336" s="55">
        <v>-1.0260830000000001</v>
      </c>
      <c r="I6336" s="55">
        <v>-1.197468</v>
      </c>
      <c r="J6336" s="55">
        <v>0.73418700000000003</v>
      </c>
      <c r="K6336" s="55">
        <v>0.3568424</v>
      </c>
      <c r="L6336" s="55">
        <v>0.45146639999999999</v>
      </c>
      <c r="M6336" s="55">
        <v>1.0706020000000001</v>
      </c>
      <c r="N6336" s="55">
        <v>0.77608319999999997</v>
      </c>
    </row>
    <row r="6337" spans="1:14" hidden="1" x14ac:dyDescent="0.35">
      <c r="A6337" s="52" t="s">
        <v>679</v>
      </c>
      <c r="B6337" s="52" t="s">
        <v>37</v>
      </c>
      <c r="C6337" s="52" t="s">
        <v>99</v>
      </c>
      <c r="D6337" s="52" t="s">
        <v>100</v>
      </c>
      <c r="E6337" s="52" t="s">
        <v>634</v>
      </c>
      <c r="F6337" s="52" t="s">
        <v>581</v>
      </c>
      <c r="G6337" s="55" t="s">
        <v>276</v>
      </c>
      <c r="H6337" s="55">
        <v>-0.26983499999999999</v>
      </c>
      <c r="I6337" s="55">
        <v>-1.5734499999999998E-2</v>
      </c>
      <c r="J6337" s="55">
        <v>0.124365</v>
      </c>
      <c r="K6337" s="55">
        <v>0.1046945</v>
      </c>
      <c r="L6337" s="55">
        <v>-1.7214199999999999E-2</v>
      </c>
      <c r="M6337" s="55">
        <v>-2.8406109999999998E-2</v>
      </c>
      <c r="N6337" s="55">
        <v>0.1141814</v>
      </c>
    </row>
    <row r="6338" spans="1:14" hidden="1" x14ac:dyDescent="0.35">
      <c r="A6338" s="52" t="s">
        <v>679</v>
      </c>
      <c r="B6338" s="52" t="s">
        <v>37</v>
      </c>
      <c r="C6338" s="52" t="s">
        <v>99</v>
      </c>
      <c r="D6338" s="52" t="s">
        <v>100</v>
      </c>
      <c r="E6338" s="52" t="s">
        <v>634</v>
      </c>
      <c r="F6338" s="52" t="s">
        <v>581</v>
      </c>
      <c r="G6338" s="55" t="s">
        <v>277</v>
      </c>
      <c r="H6338" s="55">
        <v>1.7713140000000001</v>
      </c>
      <c r="I6338" s="55">
        <v>2.0824069999999999</v>
      </c>
      <c r="J6338" s="55">
        <v>0.41218579999999999</v>
      </c>
      <c r="K6338" s="55">
        <v>0.62500880000000003</v>
      </c>
      <c r="L6338" s="55">
        <v>0.76252750000000002</v>
      </c>
      <c r="M6338" s="55">
        <v>0</v>
      </c>
      <c r="N6338" s="55">
        <v>0</v>
      </c>
    </row>
    <row r="6339" spans="1:14" hidden="1" x14ac:dyDescent="0.35">
      <c r="A6339" s="52" t="s">
        <v>679</v>
      </c>
      <c r="B6339" s="52" t="s">
        <v>37</v>
      </c>
      <c r="C6339" s="52" t="s">
        <v>99</v>
      </c>
      <c r="D6339" s="52" t="s">
        <v>100</v>
      </c>
      <c r="E6339" s="52" t="s">
        <v>634</v>
      </c>
      <c r="F6339" s="52" t="s">
        <v>581</v>
      </c>
      <c r="G6339" s="55" t="s">
        <v>278</v>
      </c>
      <c r="H6339" s="55">
        <v>9.8993999999999999E-2</v>
      </c>
      <c r="I6339" s="55">
        <v>0.14688300000000001</v>
      </c>
      <c r="J6339" s="55">
        <v>0</v>
      </c>
      <c r="K6339" s="55">
        <v>9.9776000000000004E-2</v>
      </c>
      <c r="L6339" s="55">
        <v>4.6040299999999999E-2</v>
      </c>
      <c r="M6339" s="55">
        <v>0</v>
      </c>
      <c r="N6339" s="55"/>
    </row>
    <row r="6340" spans="1:14" hidden="1" x14ac:dyDescent="0.35">
      <c r="A6340" s="52" t="s">
        <v>679</v>
      </c>
      <c r="B6340" s="52" t="s">
        <v>37</v>
      </c>
      <c r="C6340" s="52" t="s">
        <v>99</v>
      </c>
      <c r="D6340" s="52" t="s">
        <v>100</v>
      </c>
      <c r="E6340" s="52" t="s">
        <v>634</v>
      </c>
      <c r="F6340" s="52" t="s">
        <v>581</v>
      </c>
      <c r="G6340" s="55" t="s">
        <v>279</v>
      </c>
      <c r="H6340" s="55">
        <v>0.141629</v>
      </c>
      <c r="I6340" s="55">
        <v>0.43708429999999998</v>
      </c>
      <c r="J6340" s="55">
        <v>0.52549469999999998</v>
      </c>
      <c r="K6340" s="55">
        <v>0.50868310000000005</v>
      </c>
      <c r="L6340" s="55">
        <v>0.50358760000000002</v>
      </c>
      <c r="M6340" s="55">
        <v>0.49065419999999998</v>
      </c>
      <c r="N6340" s="55">
        <v>0.41750090000000001</v>
      </c>
    </row>
    <row r="6341" spans="1:14" hidden="1" x14ac:dyDescent="0.35">
      <c r="A6341" s="52" t="s">
        <v>679</v>
      </c>
      <c r="B6341" s="52" t="s">
        <v>34</v>
      </c>
      <c r="C6341" s="52" t="s">
        <v>33</v>
      </c>
      <c r="D6341" s="52" t="s">
        <v>33</v>
      </c>
      <c r="E6341" s="52" t="s">
        <v>584</v>
      </c>
      <c r="F6341" s="52" t="s">
        <v>581</v>
      </c>
      <c r="G6341" s="55" t="s">
        <v>275</v>
      </c>
      <c r="H6341" s="55">
        <v>0</v>
      </c>
      <c r="I6341" s="55"/>
      <c r="J6341" s="55"/>
      <c r="K6341" s="55"/>
      <c r="L6341" s="55"/>
      <c r="M6341" s="55"/>
      <c r="N6341" s="55"/>
    </row>
    <row r="6342" spans="1:14" hidden="1" x14ac:dyDescent="0.35">
      <c r="A6342" s="52" t="s">
        <v>679</v>
      </c>
      <c r="B6342" s="52" t="s">
        <v>34</v>
      </c>
      <c r="C6342" s="52" t="s">
        <v>33</v>
      </c>
      <c r="D6342" s="52" t="s">
        <v>33</v>
      </c>
      <c r="E6342" s="52" t="s">
        <v>584</v>
      </c>
      <c r="F6342" s="52" t="s">
        <v>581</v>
      </c>
      <c r="G6342" s="55" t="s">
        <v>276</v>
      </c>
      <c r="H6342" s="55">
        <v>0</v>
      </c>
      <c r="I6342" s="55"/>
      <c r="J6342" s="55"/>
      <c r="K6342" s="55"/>
      <c r="L6342" s="55"/>
      <c r="M6342" s="55"/>
      <c r="N6342" s="55"/>
    </row>
    <row r="6343" spans="1:14" hidden="1" x14ac:dyDescent="0.35">
      <c r="A6343" s="52" t="s">
        <v>679</v>
      </c>
      <c r="B6343" s="52" t="s">
        <v>34</v>
      </c>
      <c r="C6343" s="52" t="s">
        <v>33</v>
      </c>
      <c r="D6343" s="52" t="s">
        <v>33</v>
      </c>
      <c r="E6343" s="52" t="s">
        <v>584</v>
      </c>
      <c r="F6343" s="52" t="s">
        <v>581</v>
      </c>
      <c r="G6343" s="55" t="s">
        <v>279</v>
      </c>
      <c r="H6343" s="55">
        <v>0</v>
      </c>
      <c r="I6343" s="55"/>
      <c r="J6343" s="55"/>
      <c r="K6343" s="55"/>
      <c r="L6343" s="55"/>
      <c r="M6343" s="55"/>
      <c r="N6343" s="55"/>
    </row>
    <row r="6344" spans="1:14" hidden="1" x14ac:dyDescent="0.35">
      <c r="A6344" s="52" t="s">
        <v>708</v>
      </c>
      <c r="B6344" s="52" t="s">
        <v>37</v>
      </c>
      <c r="C6344" s="52" t="s">
        <v>35</v>
      </c>
      <c r="D6344" s="52" t="s">
        <v>267</v>
      </c>
      <c r="E6344" s="52" t="s">
        <v>588</v>
      </c>
      <c r="F6344" s="52" t="s">
        <v>581</v>
      </c>
      <c r="G6344" s="55" t="s">
        <v>275</v>
      </c>
      <c r="H6344" s="55">
        <v>-111.1189</v>
      </c>
      <c r="I6344" s="55">
        <v>-95.012919999999994</v>
      </c>
      <c r="J6344" s="55">
        <v>196.55969999999999</v>
      </c>
      <c r="K6344" s="55">
        <v>201.06</v>
      </c>
      <c r="L6344" s="55">
        <v>140.27379999999999</v>
      </c>
      <c r="M6344" s="55">
        <v>110.0021</v>
      </c>
      <c r="N6344" s="55">
        <v>12.927239999999999</v>
      </c>
    </row>
    <row r="6345" spans="1:14" hidden="1" x14ac:dyDescent="0.35">
      <c r="A6345" s="52" t="s">
        <v>708</v>
      </c>
      <c r="B6345" s="52" t="s">
        <v>37</v>
      </c>
      <c r="C6345" s="52" t="s">
        <v>35</v>
      </c>
      <c r="D6345" s="52" t="s">
        <v>267</v>
      </c>
      <c r="E6345" s="52" t="s">
        <v>588</v>
      </c>
      <c r="F6345" s="52" t="s">
        <v>581</v>
      </c>
      <c r="G6345" s="55" t="s">
        <v>276</v>
      </c>
      <c r="H6345" s="55">
        <v>65.725359999999995</v>
      </c>
      <c r="I6345" s="55">
        <v>-32.616599999999998</v>
      </c>
      <c r="J6345" s="55">
        <v>-36.818210000000001</v>
      </c>
      <c r="K6345" s="55">
        <v>-76.850160000000002</v>
      </c>
      <c r="L6345" s="55">
        <v>-41.376159999999999</v>
      </c>
      <c r="M6345" s="55">
        <v>-5.1269330000000002</v>
      </c>
      <c r="N6345" s="55">
        <v>11.78261</v>
      </c>
    </row>
    <row r="6346" spans="1:14" hidden="1" x14ac:dyDescent="0.35">
      <c r="A6346" s="52" t="s">
        <v>708</v>
      </c>
      <c r="B6346" s="52" t="s">
        <v>37</v>
      </c>
      <c r="C6346" s="52" t="s">
        <v>35</v>
      </c>
      <c r="D6346" s="52" t="s">
        <v>267</v>
      </c>
      <c r="E6346" s="52" t="s">
        <v>588</v>
      </c>
      <c r="F6346" s="52" t="s">
        <v>581</v>
      </c>
      <c r="G6346" s="55" t="s">
        <v>277</v>
      </c>
      <c r="H6346" s="55">
        <v>677.57180000000005</v>
      </c>
      <c r="I6346" s="55">
        <v>307.97210000000001</v>
      </c>
      <c r="J6346" s="55">
        <v>121.7146</v>
      </c>
      <c r="K6346" s="55">
        <v>62.656999999999996</v>
      </c>
      <c r="L6346" s="55">
        <v>94.515590000000003</v>
      </c>
      <c r="M6346" s="55">
        <v>84.067170000000004</v>
      </c>
      <c r="N6346" s="55">
        <v>167.87469999999999</v>
      </c>
    </row>
    <row r="6347" spans="1:14" hidden="1" x14ac:dyDescent="0.35">
      <c r="A6347" s="52" t="s">
        <v>708</v>
      </c>
      <c r="B6347" s="52" t="s">
        <v>37</v>
      </c>
      <c r="C6347" s="52" t="s">
        <v>35</v>
      </c>
      <c r="D6347" s="52" t="s">
        <v>267</v>
      </c>
      <c r="E6347" s="52" t="s">
        <v>588</v>
      </c>
      <c r="F6347" s="52" t="s">
        <v>581</v>
      </c>
      <c r="G6347" s="55" t="s">
        <v>278</v>
      </c>
      <c r="H6347" s="55">
        <v>105.4282</v>
      </c>
      <c r="I6347" s="55">
        <v>62.94641</v>
      </c>
      <c r="J6347" s="55">
        <v>28.452259999999999</v>
      </c>
      <c r="K6347" s="55">
        <v>48.259569999999997</v>
      </c>
      <c r="L6347" s="55">
        <v>30.159230000000001</v>
      </c>
      <c r="M6347" s="55">
        <v>6.1346679999999996</v>
      </c>
      <c r="N6347" s="55">
        <v>0.44365949999999998</v>
      </c>
    </row>
    <row r="6348" spans="1:14" hidden="1" x14ac:dyDescent="0.35">
      <c r="A6348" s="52" t="s">
        <v>708</v>
      </c>
      <c r="B6348" s="52" t="s">
        <v>37</v>
      </c>
      <c r="C6348" s="52" t="s">
        <v>35</v>
      </c>
      <c r="D6348" s="52" t="s">
        <v>267</v>
      </c>
      <c r="E6348" s="52" t="s">
        <v>588</v>
      </c>
      <c r="F6348" s="52" t="s">
        <v>581</v>
      </c>
      <c r="G6348" s="55" t="s">
        <v>279</v>
      </c>
      <c r="H6348" s="55">
        <v>254.18790000000001</v>
      </c>
      <c r="I6348" s="55">
        <v>163.56360000000001</v>
      </c>
      <c r="J6348" s="55">
        <v>191.3237</v>
      </c>
      <c r="K6348" s="55">
        <v>148.9109</v>
      </c>
      <c r="L6348" s="55">
        <v>124.44880000000001</v>
      </c>
      <c r="M6348" s="55">
        <v>134.27099999999999</v>
      </c>
      <c r="N6348" s="55">
        <v>126.376</v>
      </c>
    </row>
    <row r="6349" spans="1:14" hidden="1" x14ac:dyDescent="0.35">
      <c r="A6349" s="52" t="s">
        <v>708</v>
      </c>
      <c r="B6349" s="52" t="s">
        <v>37</v>
      </c>
      <c r="C6349" s="52" t="s">
        <v>35</v>
      </c>
      <c r="D6349" s="52" t="s">
        <v>267</v>
      </c>
      <c r="E6349" s="52" t="s">
        <v>588</v>
      </c>
      <c r="F6349" s="52" t="s">
        <v>26</v>
      </c>
      <c r="G6349" s="55" t="s">
        <v>275</v>
      </c>
      <c r="H6349" s="55">
        <v>24.49973</v>
      </c>
      <c r="I6349" s="55">
        <v>13.31222</v>
      </c>
      <c r="J6349" s="55">
        <v>19.599740000000001</v>
      </c>
      <c r="K6349" s="55">
        <v>14.416639999999999</v>
      </c>
      <c r="L6349" s="55">
        <v>14.46149</v>
      </c>
      <c r="M6349" s="55">
        <v>10.42083</v>
      </c>
      <c r="N6349" s="55">
        <v>9.9840900000000001</v>
      </c>
    </row>
    <row r="6350" spans="1:14" hidden="1" x14ac:dyDescent="0.35">
      <c r="A6350" s="52" t="s">
        <v>708</v>
      </c>
      <c r="B6350" s="52" t="s">
        <v>37</v>
      </c>
      <c r="C6350" s="52" t="s">
        <v>35</v>
      </c>
      <c r="D6350" s="52" t="s">
        <v>267</v>
      </c>
      <c r="E6350" s="52" t="s">
        <v>588</v>
      </c>
      <c r="F6350" s="52" t="s">
        <v>26</v>
      </c>
      <c r="G6350" s="55" t="s">
        <v>276</v>
      </c>
      <c r="H6350" s="55">
        <v>6.5126039999999996</v>
      </c>
      <c r="I6350" s="55">
        <v>3.5387059999999999</v>
      </c>
      <c r="J6350" s="55">
        <v>5.2100559999999998</v>
      </c>
      <c r="K6350" s="55">
        <v>3.8322790000000002</v>
      </c>
      <c r="L6350" s="55">
        <v>3.8442020000000001</v>
      </c>
      <c r="M6350" s="55">
        <v>2.770095</v>
      </c>
      <c r="N6350" s="55">
        <v>2.6539969999999999</v>
      </c>
    </row>
    <row r="6351" spans="1:14" hidden="1" x14ac:dyDescent="0.35">
      <c r="A6351" s="52" t="s">
        <v>708</v>
      </c>
      <c r="B6351" s="52" t="s">
        <v>37</v>
      </c>
      <c r="C6351" s="52" t="s">
        <v>35</v>
      </c>
      <c r="D6351" s="52" t="s">
        <v>267</v>
      </c>
      <c r="E6351" s="52" t="s">
        <v>588</v>
      </c>
      <c r="F6351" s="52" t="s">
        <v>26</v>
      </c>
      <c r="G6351" s="55" t="s">
        <v>279</v>
      </c>
      <c r="H6351" s="55">
        <v>46.978549999999998</v>
      </c>
      <c r="I6351" s="55">
        <v>27.987639999999999</v>
      </c>
      <c r="J6351" s="55">
        <v>32.6629</v>
      </c>
      <c r="K6351" s="55">
        <v>25.448149999999998</v>
      </c>
      <c r="L6351" s="55">
        <v>21.047699999999999</v>
      </c>
      <c r="M6351" s="55">
        <v>22.999289999999998</v>
      </c>
      <c r="N6351" s="55">
        <v>21.517880000000002</v>
      </c>
    </row>
    <row r="6352" spans="1:14" hidden="1" x14ac:dyDescent="0.35">
      <c r="A6352" s="52" t="s">
        <v>708</v>
      </c>
      <c r="B6352" s="52" t="s">
        <v>37</v>
      </c>
      <c r="C6352" s="52" t="s">
        <v>35</v>
      </c>
      <c r="D6352" s="52" t="s">
        <v>267</v>
      </c>
      <c r="E6352" s="52" t="s">
        <v>587</v>
      </c>
      <c r="F6352" s="52" t="s">
        <v>581</v>
      </c>
      <c r="G6352" s="55" t="s">
        <v>275</v>
      </c>
      <c r="H6352" s="55">
        <v>8.2912920000000003</v>
      </c>
      <c r="I6352" s="55">
        <v>-6.1458249999999999E-2</v>
      </c>
      <c r="J6352" s="55">
        <v>0.77672079999999999</v>
      </c>
      <c r="K6352" s="55">
        <v>0.47620760000000001</v>
      </c>
      <c r="L6352" s="55">
        <v>1.404234</v>
      </c>
      <c r="M6352" s="55">
        <v>1.7459009999999999</v>
      </c>
      <c r="N6352" s="55">
        <v>1.442134</v>
      </c>
    </row>
    <row r="6353" spans="1:14" hidden="1" x14ac:dyDescent="0.35">
      <c r="A6353" s="52" t="s">
        <v>708</v>
      </c>
      <c r="B6353" s="52" t="s">
        <v>37</v>
      </c>
      <c r="C6353" s="52" t="s">
        <v>35</v>
      </c>
      <c r="D6353" s="52" t="s">
        <v>267</v>
      </c>
      <c r="E6353" s="52" t="s">
        <v>587</v>
      </c>
      <c r="F6353" s="52" t="s">
        <v>581</v>
      </c>
      <c r="G6353" s="55" t="s">
        <v>276</v>
      </c>
      <c r="H6353" s="55">
        <v>-6.9558999999999996E-2</v>
      </c>
      <c r="I6353" s="55">
        <v>1.337811E-2</v>
      </c>
      <c r="J6353" s="55">
        <v>0.39529910000000001</v>
      </c>
      <c r="K6353" s="55">
        <v>0.31927220000000001</v>
      </c>
      <c r="L6353" s="55">
        <v>0.32833479999999998</v>
      </c>
      <c r="M6353" s="55">
        <v>4.1470989999999999E-2</v>
      </c>
      <c r="N6353" s="55">
        <v>0.15558060000000001</v>
      </c>
    </row>
    <row r="6354" spans="1:14" hidden="1" x14ac:dyDescent="0.35">
      <c r="A6354" s="52" t="s">
        <v>708</v>
      </c>
      <c r="B6354" s="52" t="s">
        <v>37</v>
      </c>
      <c r="C6354" s="52" t="s">
        <v>35</v>
      </c>
      <c r="D6354" s="52" t="s">
        <v>267</v>
      </c>
      <c r="E6354" s="52" t="s">
        <v>587</v>
      </c>
      <c r="F6354" s="52" t="s">
        <v>581</v>
      </c>
      <c r="G6354" s="55" t="s">
        <v>277</v>
      </c>
      <c r="H6354" s="55">
        <v>0</v>
      </c>
      <c r="I6354" s="55">
        <v>2.7138420000000001</v>
      </c>
      <c r="J6354" s="55">
        <v>1.4471830000000001</v>
      </c>
      <c r="K6354" s="55">
        <v>1.6955990000000001</v>
      </c>
      <c r="L6354" s="55">
        <v>0.70670949999999999</v>
      </c>
      <c r="M6354" s="55">
        <v>0</v>
      </c>
      <c r="N6354" s="55">
        <v>0</v>
      </c>
    </row>
    <row r="6355" spans="1:14" hidden="1" x14ac:dyDescent="0.35">
      <c r="A6355" s="52" t="s">
        <v>708</v>
      </c>
      <c r="B6355" s="52" t="s">
        <v>37</v>
      </c>
      <c r="C6355" s="52" t="s">
        <v>35</v>
      </c>
      <c r="D6355" s="52" t="s">
        <v>267</v>
      </c>
      <c r="E6355" s="52" t="s">
        <v>587</v>
      </c>
      <c r="F6355" s="52" t="s">
        <v>581</v>
      </c>
      <c r="G6355" s="55" t="s">
        <v>279</v>
      </c>
      <c r="H6355" s="55">
        <v>3.4519449999999998</v>
      </c>
      <c r="I6355" s="55">
        <v>3.3877980000000001</v>
      </c>
      <c r="J6355" s="55">
        <v>3.017846</v>
      </c>
      <c r="K6355" s="55">
        <v>2.985941</v>
      </c>
      <c r="L6355" s="55">
        <v>2.6069969999999998</v>
      </c>
      <c r="M6355" s="55">
        <v>2.6114380000000001</v>
      </c>
      <c r="N6355" s="55">
        <v>2.3134350000000001</v>
      </c>
    </row>
    <row r="6356" spans="1:14" hidden="1" x14ac:dyDescent="0.35">
      <c r="A6356" s="52" t="s">
        <v>708</v>
      </c>
      <c r="B6356" s="52" t="s">
        <v>37</v>
      </c>
      <c r="C6356" s="52" t="s">
        <v>35</v>
      </c>
      <c r="D6356" s="52" t="s">
        <v>267</v>
      </c>
      <c r="E6356" s="52" t="s">
        <v>587</v>
      </c>
      <c r="F6356" s="52" t="s">
        <v>26</v>
      </c>
      <c r="G6356" s="55" t="s">
        <v>275</v>
      </c>
      <c r="H6356" s="55">
        <v>0.22379299999999999</v>
      </c>
      <c r="I6356" s="55">
        <v>0.1208415</v>
      </c>
      <c r="J6356" s="55">
        <v>0.17934820000000001</v>
      </c>
      <c r="K6356" s="55">
        <v>0.1544904</v>
      </c>
      <c r="L6356" s="55">
        <v>0.170597</v>
      </c>
      <c r="M6356" s="55">
        <v>7.0780709999999997E-2</v>
      </c>
      <c r="N6356" s="55">
        <v>6.2397800000000003E-2</v>
      </c>
    </row>
    <row r="6357" spans="1:14" hidden="1" x14ac:dyDescent="0.35">
      <c r="A6357" s="52" t="s">
        <v>708</v>
      </c>
      <c r="B6357" s="52" t="s">
        <v>37</v>
      </c>
      <c r="C6357" s="52" t="s">
        <v>35</v>
      </c>
      <c r="D6357" s="52" t="s">
        <v>267</v>
      </c>
      <c r="E6357" s="52" t="s">
        <v>587</v>
      </c>
      <c r="F6357" s="52" t="s">
        <v>26</v>
      </c>
      <c r="G6357" s="55" t="s">
        <v>276</v>
      </c>
      <c r="H6357" s="55">
        <v>5.9487999999999999E-2</v>
      </c>
      <c r="I6357" s="55">
        <v>3.2121999999999998E-2</v>
      </c>
      <c r="J6357" s="55">
        <v>4.7674800000000003E-2</v>
      </c>
      <c r="K6357" s="55">
        <v>4.1067399999999997E-2</v>
      </c>
      <c r="L6357" s="55">
        <v>4.5348699999999999E-2</v>
      </c>
      <c r="M6357" s="55">
        <v>1.8815399999999999E-2</v>
      </c>
      <c r="N6357" s="55">
        <v>1.6585099999999998E-2</v>
      </c>
    </row>
    <row r="6358" spans="1:14" hidden="1" x14ac:dyDescent="0.35">
      <c r="A6358" s="52" t="s">
        <v>708</v>
      </c>
      <c r="B6358" s="52" t="s">
        <v>37</v>
      </c>
      <c r="C6358" s="52" t="s">
        <v>35</v>
      </c>
      <c r="D6358" s="52" t="s">
        <v>267</v>
      </c>
      <c r="E6358" s="52" t="s">
        <v>587</v>
      </c>
      <c r="F6358" s="52" t="s">
        <v>26</v>
      </c>
      <c r="G6358" s="55" t="s">
        <v>279</v>
      </c>
      <c r="H6358" s="55">
        <v>1.441926</v>
      </c>
      <c r="I6358" s="55">
        <v>0.98167130000000002</v>
      </c>
      <c r="J6358" s="55">
        <v>0.88103500000000001</v>
      </c>
      <c r="K6358" s="55">
        <v>0.87347260000000004</v>
      </c>
      <c r="L6358" s="55">
        <v>0.76637080000000002</v>
      </c>
      <c r="M6358" s="55">
        <v>0.76309439999999995</v>
      </c>
      <c r="N6358" s="55">
        <v>0.67557080000000003</v>
      </c>
    </row>
    <row r="6359" spans="1:14" hidden="1" x14ac:dyDescent="0.35">
      <c r="A6359" s="52" t="s">
        <v>708</v>
      </c>
      <c r="B6359" s="52" t="s">
        <v>37</v>
      </c>
      <c r="C6359" s="52" t="s">
        <v>35</v>
      </c>
      <c r="D6359" s="52" t="s">
        <v>36</v>
      </c>
      <c r="E6359" s="52" t="s">
        <v>589</v>
      </c>
      <c r="F6359" s="52" t="s">
        <v>581</v>
      </c>
      <c r="G6359" s="55" t="s">
        <v>275</v>
      </c>
      <c r="H6359" s="55">
        <v>5.3843269999999999</v>
      </c>
      <c r="I6359" s="55">
        <v>21.837769999999999</v>
      </c>
      <c r="J6359" s="55">
        <v>41.376750000000001</v>
      </c>
      <c r="K6359" s="55">
        <v>22.602260000000001</v>
      </c>
      <c r="L6359" s="55">
        <v>22.178149999999999</v>
      </c>
      <c r="M6359" s="55">
        <v>20.928159999999998</v>
      </c>
      <c r="N6359" s="55">
        <v>15.85549</v>
      </c>
    </row>
    <row r="6360" spans="1:14" hidden="1" x14ac:dyDescent="0.35">
      <c r="A6360" s="52" t="s">
        <v>708</v>
      </c>
      <c r="B6360" s="52" t="s">
        <v>37</v>
      </c>
      <c r="C6360" s="52" t="s">
        <v>35</v>
      </c>
      <c r="D6360" s="52" t="s">
        <v>36</v>
      </c>
      <c r="E6360" s="52" t="s">
        <v>589</v>
      </c>
      <c r="F6360" s="52" t="s">
        <v>581</v>
      </c>
      <c r="G6360" s="55" t="s">
        <v>276</v>
      </c>
      <c r="H6360" s="55">
        <v>-9.3207240000000002</v>
      </c>
      <c r="I6360" s="55">
        <v>-21.83381</v>
      </c>
      <c r="J6360" s="55">
        <v>-25.736799999999999</v>
      </c>
      <c r="K6360" s="55">
        <v>-10.288169999999999</v>
      </c>
      <c r="L6360" s="55">
        <v>-3.0344509999999998</v>
      </c>
      <c r="M6360" s="55">
        <v>0.87664410000000004</v>
      </c>
      <c r="N6360" s="55">
        <v>1.2467729999999999</v>
      </c>
    </row>
    <row r="6361" spans="1:14" hidden="1" x14ac:dyDescent="0.35">
      <c r="A6361" s="52" t="s">
        <v>708</v>
      </c>
      <c r="B6361" s="52" t="s">
        <v>37</v>
      </c>
      <c r="C6361" s="52" t="s">
        <v>35</v>
      </c>
      <c r="D6361" s="52" t="s">
        <v>36</v>
      </c>
      <c r="E6361" s="52" t="s">
        <v>589</v>
      </c>
      <c r="F6361" s="52" t="s">
        <v>581</v>
      </c>
      <c r="G6361" s="55" t="s">
        <v>277</v>
      </c>
      <c r="H6361" s="55">
        <v>80.868690000000001</v>
      </c>
      <c r="I6361" s="55">
        <v>25.499829999999999</v>
      </c>
      <c r="J6361" s="55">
        <v>17.332039999999999</v>
      </c>
      <c r="K6361" s="55">
        <v>22.05124</v>
      </c>
      <c r="L6361" s="55">
        <v>12.528930000000001</v>
      </c>
      <c r="M6361" s="55">
        <v>0</v>
      </c>
      <c r="N6361" s="55">
        <v>0</v>
      </c>
    </row>
    <row r="6362" spans="1:14" hidden="1" x14ac:dyDescent="0.35">
      <c r="A6362" s="52" t="s">
        <v>708</v>
      </c>
      <c r="B6362" s="52" t="s">
        <v>37</v>
      </c>
      <c r="C6362" s="52" t="s">
        <v>35</v>
      </c>
      <c r="D6362" s="52" t="s">
        <v>36</v>
      </c>
      <c r="E6362" s="52" t="s">
        <v>589</v>
      </c>
      <c r="F6362" s="52" t="s">
        <v>581</v>
      </c>
      <c r="G6362" s="55" t="s">
        <v>278</v>
      </c>
      <c r="H6362" s="55">
        <v>4.7313039999999997</v>
      </c>
      <c r="I6362" s="55">
        <v>1.3000750000000001</v>
      </c>
      <c r="J6362" s="55">
        <v>0.49875039999999998</v>
      </c>
      <c r="K6362" s="55">
        <v>0</v>
      </c>
      <c r="L6362" s="55"/>
      <c r="M6362" s="55"/>
      <c r="N6362" s="55"/>
    </row>
    <row r="6363" spans="1:14" hidden="1" x14ac:dyDescent="0.35">
      <c r="A6363" s="52" t="s">
        <v>708</v>
      </c>
      <c r="B6363" s="52" t="s">
        <v>37</v>
      </c>
      <c r="C6363" s="52" t="s">
        <v>35</v>
      </c>
      <c r="D6363" s="52" t="s">
        <v>36</v>
      </c>
      <c r="E6363" s="52" t="s">
        <v>589</v>
      </c>
      <c r="F6363" s="52" t="s">
        <v>581</v>
      </c>
      <c r="G6363" s="55" t="s">
        <v>279</v>
      </c>
      <c r="H6363" s="55">
        <v>28.320620000000002</v>
      </c>
      <c r="I6363" s="55">
        <v>17.736920000000001</v>
      </c>
      <c r="J6363" s="55">
        <v>20.46142</v>
      </c>
      <c r="K6363" s="55">
        <v>21.633620000000001</v>
      </c>
      <c r="L6363" s="55">
        <v>17.807009999999998</v>
      </c>
      <c r="M6363" s="55">
        <v>15.568339999999999</v>
      </c>
      <c r="N6363" s="55">
        <v>12.19045</v>
      </c>
    </row>
    <row r="6364" spans="1:14" hidden="1" x14ac:dyDescent="0.35">
      <c r="A6364" s="52" t="s">
        <v>708</v>
      </c>
      <c r="B6364" s="52" t="s">
        <v>37</v>
      </c>
      <c r="C6364" s="52" t="s">
        <v>35</v>
      </c>
      <c r="D6364" s="52" t="s">
        <v>36</v>
      </c>
      <c r="E6364" s="52" t="s">
        <v>589</v>
      </c>
      <c r="F6364" s="52" t="s">
        <v>26</v>
      </c>
      <c r="G6364" s="55" t="s">
        <v>275</v>
      </c>
      <c r="H6364" s="55">
        <v>3.4345110000000001</v>
      </c>
      <c r="I6364" s="55">
        <v>1.7729710000000001</v>
      </c>
      <c r="J6364" s="55">
        <v>2.800538</v>
      </c>
      <c r="K6364" s="55">
        <v>2.7417449999999999</v>
      </c>
      <c r="L6364" s="55">
        <v>2.7951100000000002</v>
      </c>
      <c r="M6364" s="55">
        <v>1.402153</v>
      </c>
      <c r="N6364" s="55">
        <v>1.092176</v>
      </c>
    </row>
    <row r="6365" spans="1:14" hidden="1" x14ac:dyDescent="0.35">
      <c r="A6365" s="52" t="s">
        <v>708</v>
      </c>
      <c r="B6365" s="52" t="s">
        <v>37</v>
      </c>
      <c r="C6365" s="52" t="s">
        <v>35</v>
      </c>
      <c r="D6365" s="52" t="s">
        <v>36</v>
      </c>
      <c r="E6365" s="52" t="s">
        <v>589</v>
      </c>
      <c r="F6365" s="52" t="s">
        <v>26</v>
      </c>
      <c r="G6365" s="55" t="s">
        <v>276</v>
      </c>
      <c r="H6365" s="55">
        <v>0.91297099999999998</v>
      </c>
      <c r="I6365" s="55">
        <v>0.47129599999999999</v>
      </c>
      <c r="J6365" s="55">
        <v>0.74444549999999998</v>
      </c>
      <c r="K6365" s="55">
        <v>0.72882040000000003</v>
      </c>
      <c r="L6365" s="55">
        <v>0.74300299999999997</v>
      </c>
      <c r="M6365" s="55">
        <v>0.37272509999999998</v>
      </c>
      <c r="N6365" s="55">
        <v>0.29032609999999998</v>
      </c>
    </row>
    <row r="6366" spans="1:14" hidden="1" x14ac:dyDescent="0.35">
      <c r="A6366" s="52" t="s">
        <v>708</v>
      </c>
      <c r="B6366" s="52" t="s">
        <v>37</v>
      </c>
      <c r="C6366" s="52" t="s">
        <v>35</v>
      </c>
      <c r="D6366" s="52" t="s">
        <v>36</v>
      </c>
      <c r="E6366" s="52" t="s">
        <v>589</v>
      </c>
      <c r="F6366" s="52" t="s">
        <v>26</v>
      </c>
      <c r="G6366" s="55" t="s">
        <v>279</v>
      </c>
      <c r="H6366" s="55">
        <v>11.51845</v>
      </c>
      <c r="I6366" s="55">
        <v>6.7563209999999998</v>
      </c>
      <c r="J6366" s="55">
        <v>7.8185099999999998</v>
      </c>
      <c r="K6366" s="55">
        <v>8.2700809999999993</v>
      </c>
      <c r="L6366" s="55">
        <v>6.765072</v>
      </c>
      <c r="M6366" s="55">
        <v>5.9709349999999999</v>
      </c>
      <c r="N6366" s="55">
        <v>4.6734049999999998</v>
      </c>
    </row>
    <row r="6367" spans="1:14" hidden="1" x14ac:dyDescent="0.35">
      <c r="A6367" s="52" t="s">
        <v>708</v>
      </c>
      <c r="B6367" s="52" t="s">
        <v>37</v>
      </c>
      <c r="C6367" s="52" t="s">
        <v>35</v>
      </c>
      <c r="D6367" s="52" t="s">
        <v>38</v>
      </c>
      <c r="E6367" s="52" t="s">
        <v>584</v>
      </c>
      <c r="F6367" s="52" t="s">
        <v>581</v>
      </c>
      <c r="G6367" s="55" t="s">
        <v>275</v>
      </c>
      <c r="H6367" s="55">
        <v>7.7977080000000001</v>
      </c>
      <c r="I6367" s="55">
        <v>2.2272289999999999</v>
      </c>
      <c r="J6367" s="55">
        <v>1.3000860000000001</v>
      </c>
      <c r="K6367" s="55">
        <v>1.1838439999999999</v>
      </c>
      <c r="L6367" s="55">
        <v>1.1448560000000001</v>
      </c>
      <c r="M6367" s="55">
        <v>0.94199200000000005</v>
      </c>
      <c r="N6367" s="55">
        <v>0.87355970000000005</v>
      </c>
    </row>
    <row r="6368" spans="1:14" hidden="1" x14ac:dyDescent="0.35">
      <c r="A6368" s="52" t="s">
        <v>708</v>
      </c>
      <c r="B6368" s="52" t="s">
        <v>37</v>
      </c>
      <c r="C6368" s="52" t="s">
        <v>35</v>
      </c>
      <c r="D6368" s="52" t="s">
        <v>38</v>
      </c>
      <c r="E6368" s="52" t="s">
        <v>584</v>
      </c>
      <c r="F6368" s="52" t="s">
        <v>581</v>
      </c>
      <c r="G6368" s="55" t="s">
        <v>276</v>
      </c>
      <c r="H6368" s="55">
        <v>-2.5546350000000002</v>
      </c>
      <c r="I6368" s="55">
        <v>-0.49676160000000003</v>
      </c>
      <c r="J6368" s="55">
        <v>0.34559269999999997</v>
      </c>
      <c r="K6368" s="55">
        <v>0.31469259999999999</v>
      </c>
      <c r="L6368" s="55">
        <v>0.30432890000000001</v>
      </c>
      <c r="M6368" s="55">
        <v>0.25040269999999998</v>
      </c>
      <c r="N6368" s="55">
        <v>0.2322121</v>
      </c>
    </row>
    <row r="6369" spans="1:14" hidden="1" x14ac:dyDescent="0.35">
      <c r="A6369" s="52" t="s">
        <v>708</v>
      </c>
      <c r="B6369" s="52" t="s">
        <v>37</v>
      </c>
      <c r="C6369" s="52" t="s">
        <v>35</v>
      </c>
      <c r="D6369" s="52" t="s">
        <v>38</v>
      </c>
      <c r="E6369" s="52" t="s">
        <v>584</v>
      </c>
      <c r="F6369" s="52" t="s">
        <v>581</v>
      </c>
      <c r="G6369" s="55" t="s">
        <v>279</v>
      </c>
      <c r="H6369" s="55">
        <v>2.2276609999999999</v>
      </c>
      <c r="I6369" s="55">
        <v>1.582975</v>
      </c>
      <c r="J6369" s="55">
        <v>1.384611</v>
      </c>
      <c r="K6369" s="55">
        <v>1.3103370000000001</v>
      </c>
      <c r="L6369" s="55">
        <v>1.153985</v>
      </c>
      <c r="M6369" s="55">
        <v>1.22618</v>
      </c>
      <c r="N6369" s="55">
        <v>1.128574</v>
      </c>
    </row>
    <row r="6370" spans="1:14" hidden="1" x14ac:dyDescent="0.35">
      <c r="A6370" s="52" t="s">
        <v>708</v>
      </c>
      <c r="B6370" s="52" t="s">
        <v>37</v>
      </c>
      <c r="C6370" s="52" t="s">
        <v>35</v>
      </c>
      <c r="D6370" s="52" t="s">
        <v>38</v>
      </c>
      <c r="E6370" s="52" t="s">
        <v>584</v>
      </c>
      <c r="F6370" s="52" t="s">
        <v>26</v>
      </c>
      <c r="G6370" s="55" t="s">
        <v>275</v>
      </c>
      <c r="H6370" s="55">
        <v>0.49178500000000003</v>
      </c>
      <c r="I6370" s="55">
        <v>0.2844931</v>
      </c>
      <c r="J6370" s="55">
        <v>0.31920549999999998</v>
      </c>
      <c r="K6370" s="55">
        <v>0.28079280000000001</v>
      </c>
      <c r="L6370" s="55">
        <v>0.27878219999999998</v>
      </c>
      <c r="M6370" s="55">
        <v>0.1991405</v>
      </c>
      <c r="N6370" s="55">
        <v>0.18290609999999999</v>
      </c>
    </row>
    <row r="6371" spans="1:14" hidden="1" x14ac:dyDescent="0.35">
      <c r="A6371" s="52" t="s">
        <v>708</v>
      </c>
      <c r="B6371" s="52" t="s">
        <v>37</v>
      </c>
      <c r="C6371" s="52" t="s">
        <v>35</v>
      </c>
      <c r="D6371" s="52" t="s">
        <v>38</v>
      </c>
      <c r="E6371" s="52" t="s">
        <v>584</v>
      </c>
      <c r="F6371" s="52" t="s">
        <v>26</v>
      </c>
      <c r="G6371" s="55" t="s">
        <v>276</v>
      </c>
      <c r="H6371" s="55">
        <v>0.13072700000000001</v>
      </c>
      <c r="I6371" s="55">
        <v>7.5624700000000003E-2</v>
      </c>
      <c r="J6371" s="55">
        <v>8.4852399999999994E-2</v>
      </c>
      <c r="K6371" s="55">
        <v>7.46415E-2</v>
      </c>
      <c r="L6371" s="55">
        <v>7.41068E-2</v>
      </c>
      <c r="M6371" s="55">
        <v>5.29361E-2</v>
      </c>
      <c r="N6371" s="55">
        <v>4.8620999999999998E-2</v>
      </c>
    </row>
    <row r="6372" spans="1:14" hidden="1" x14ac:dyDescent="0.35">
      <c r="A6372" s="52" t="s">
        <v>708</v>
      </c>
      <c r="B6372" s="52" t="s">
        <v>37</v>
      </c>
      <c r="C6372" s="52" t="s">
        <v>35</v>
      </c>
      <c r="D6372" s="52" t="s">
        <v>38</v>
      </c>
      <c r="E6372" s="52" t="s">
        <v>584</v>
      </c>
      <c r="F6372" s="52" t="s">
        <v>26</v>
      </c>
      <c r="G6372" s="55" t="s">
        <v>279</v>
      </c>
      <c r="H6372" s="55">
        <v>1.1259969999999999</v>
      </c>
      <c r="I6372" s="55">
        <v>0.72406649999999995</v>
      </c>
      <c r="J6372" s="55">
        <v>0.63504640000000001</v>
      </c>
      <c r="K6372" s="55">
        <v>0.60327240000000004</v>
      </c>
      <c r="L6372" s="55">
        <v>0.53216699999999995</v>
      </c>
      <c r="M6372" s="55">
        <v>0.56658920000000002</v>
      </c>
      <c r="N6372" s="55">
        <v>0.52114329999999998</v>
      </c>
    </row>
    <row r="6373" spans="1:14" hidden="1" x14ac:dyDescent="0.35">
      <c r="A6373" s="52" t="s">
        <v>708</v>
      </c>
      <c r="B6373" s="52" t="s">
        <v>37</v>
      </c>
      <c r="C6373" s="52" t="s">
        <v>79</v>
      </c>
      <c r="D6373" s="52" t="s">
        <v>79</v>
      </c>
      <c r="E6373" s="52" t="s">
        <v>617</v>
      </c>
      <c r="F6373" s="52" t="s">
        <v>581</v>
      </c>
      <c r="G6373" s="55" t="s">
        <v>275</v>
      </c>
      <c r="H6373" s="55">
        <v>106.77379999999999</v>
      </c>
      <c r="I6373" s="55">
        <v>21.780940000000001</v>
      </c>
      <c r="J6373" s="55">
        <v>20.672070000000001</v>
      </c>
      <c r="K6373" s="55">
        <v>18.1401</v>
      </c>
      <c r="L6373" s="55">
        <v>18.785119999999999</v>
      </c>
      <c r="M6373" s="55">
        <v>12.22564</v>
      </c>
      <c r="N6373" s="55">
        <v>10.761620000000001</v>
      </c>
    </row>
    <row r="6374" spans="1:14" hidden="1" x14ac:dyDescent="0.35">
      <c r="A6374" s="52" t="s">
        <v>708</v>
      </c>
      <c r="B6374" s="52" t="s">
        <v>37</v>
      </c>
      <c r="C6374" s="52" t="s">
        <v>79</v>
      </c>
      <c r="D6374" s="52" t="s">
        <v>79</v>
      </c>
      <c r="E6374" s="52" t="s">
        <v>617</v>
      </c>
      <c r="F6374" s="52" t="s">
        <v>581</v>
      </c>
      <c r="G6374" s="55" t="s">
        <v>276</v>
      </c>
      <c r="H6374" s="55">
        <v>30.95261</v>
      </c>
      <c r="I6374" s="55">
        <v>6.3140679999999998</v>
      </c>
      <c r="J6374" s="55">
        <v>5.9926320000000004</v>
      </c>
      <c r="K6374" s="55">
        <v>5.2586310000000003</v>
      </c>
      <c r="L6374" s="55">
        <v>5.4456129999999998</v>
      </c>
      <c r="M6374" s="55">
        <v>3.544092</v>
      </c>
      <c r="N6374" s="55">
        <v>3.1196839999999999</v>
      </c>
    </row>
    <row r="6375" spans="1:14" hidden="1" x14ac:dyDescent="0.35">
      <c r="A6375" s="52" t="s">
        <v>708</v>
      </c>
      <c r="B6375" s="52" t="s">
        <v>37</v>
      </c>
      <c r="C6375" s="52" t="s">
        <v>79</v>
      </c>
      <c r="D6375" s="52" t="s">
        <v>79</v>
      </c>
      <c r="E6375" s="52" t="s">
        <v>617</v>
      </c>
      <c r="F6375" s="52" t="s">
        <v>581</v>
      </c>
      <c r="G6375" s="55" t="s">
        <v>279</v>
      </c>
      <c r="H6375" s="55">
        <v>97.455179999999999</v>
      </c>
      <c r="I6375" s="55">
        <v>53.512230000000002</v>
      </c>
      <c r="J6375" s="55">
        <v>45.874569999999999</v>
      </c>
      <c r="K6375" s="55">
        <v>43.137949999999996</v>
      </c>
      <c r="L6375" s="55">
        <v>39.246749999999999</v>
      </c>
      <c r="M6375" s="55">
        <v>37.28293</v>
      </c>
      <c r="N6375" s="55">
        <v>32.587719999999997</v>
      </c>
    </row>
    <row r="6376" spans="1:14" hidden="1" x14ac:dyDescent="0.35">
      <c r="A6376" s="52" t="s">
        <v>708</v>
      </c>
      <c r="B6376" s="52" t="s">
        <v>37</v>
      </c>
      <c r="C6376" s="52" t="s">
        <v>79</v>
      </c>
      <c r="D6376" s="52" t="s">
        <v>79</v>
      </c>
      <c r="E6376" s="52" t="s">
        <v>617</v>
      </c>
      <c r="F6376" s="52" t="s">
        <v>26</v>
      </c>
      <c r="G6376" s="55" t="s">
        <v>275</v>
      </c>
      <c r="H6376" s="55">
        <v>-33.237310000000001</v>
      </c>
      <c r="I6376" s="55">
        <v>3.2677930000000002</v>
      </c>
      <c r="J6376" s="55">
        <v>24.316700000000001</v>
      </c>
      <c r="K6376" s="55">
        <v>18.35669</v>
      </c>
      <c r="L6376" s="55">
        <v>19.96256</v>
      </c>
      <c r="M6376" s="55">
        <v>26.72231</v>
      </c>
      <c r="N6376" s="55">
        <v>20.98002</v>
      </c>
    </row>
    <row r="6377" spans="1:14" hidden="1" x14ac:dyDescent="0.35">
      <c r="A6377" s="52" t="s">
        <v>708</v>
      </c>
      <c r="B6377" s="52" t="s">
        <v>37</v>
      </c>
      <c r="C6377" s="52" t="s">
        <v>79</v>
      </c>
      <c r="D6377" s="52" t="s">
        <v>79</v>
      </c>
      <c r="E6377" s="52" t="s">
        <v>617</v>
      </c>
      <c r="F6377" s="52" t="s">
        <v>26</v>
      </c>
      <c r="G6377" s="55" t="s">
        <v>276</v>
      </c>
      <c r="H6377" s="55">
        <v>-59.886760000000002</v>
      </c>
      <c r="I6377" s="55">
        <v>-24.28511</v>
      </c>
      <c r="J6377" s="55">
        <v>-18.546980000000001</v>
      </c>
      <c r="K6377" s="55">
        <v>-16.121939999999999</v>
      </c>
      <c r="L6377" s="55">
        <v>-11.62551</v>
      </c>
      <c r="M6377" s="55">
        <v>-3.003978</v>
      </c>
      <c r="N6377" s="55">
        <v>-0.31415500000000002</v>
      </c>
    </row>
    <row r="6378" spans="1:14" hidden="1" x14ac:dyDescent="0.35">
      <c r="A6378" s="52" t="s">
        <v>708</v>
      </c>
      <c r="B6378" s="52" t="s">
        <v>37</v>
      </c>
      <c r="C6378" s="52" t="s">
        <v>79</v>
      </c>
      <c r="D6378" s="52" t="s">
        <v>79</v>
      </c>
      <c r="E6378" s="52" t="s">
        <v>617</v>
      </c>
      <c r="F6378" s="52" t="s">
        <v>26</v>
      </c>
      <c r="G6378" s="55" t="s">
        <v>277</v>
      </c>
      <c r="H6378" s="55">
        <v>156.10249999999999</v>
      </c>
      <c r="I6378" s="55">
        <v>59.967190000000002</v>
      </c>
      <c r="J6378" s="55">
        <v>36.761319999999998</v>
      </c>
      <c r="K6378" s="55">
        <v>33.880429999999997</v>
      </c>
      <c r="L6378" s="55">
        <v>27.632290000000001</v>
      </c>
      <c r="M6378" s="55">
        <v>0</v>
      </c>
      <c r="N6378" s="55">
        <v>0</v>
      </c>
    </row>
    <row r="6379" spans="1:14" hidden="1" x14ac:dyDescent="0.35">
      <c r="A6379" s="52" t="s">
        <v>708</v>
      </c>
      <c r="B6379" s="52" t="s">
        <v>37</v>
      </c>
      <c r="C6379" s="52" t="s">
        <v>79</v>
      </c>
      <c r="D6379" s="52" t="s">
        <v>79</v>
      </c>
      <c r="E6379" s="52" t="s">
        <v>617</v>
      </c>
      <c r="F6379" s="52" t="s">
        <v>26</v>
      </c>
      <c r="G6379" s="55" t="s">
        <v>278</v>
      </c>
      <c r="H6379" s="55">
        <v>4.7975050000000001</v>
      </c>
      <c r="I6379" s="55">
        <v>0</v>
      </c>
      <c r="J6379" s="55"/>
      <c r="K6379" s="55"/>
      <c r="L6379" s="55"/>
      <c r="M6379" s="55"/>
      <c r="N6379" s="55"/>
    </row>
    <row r="6380" spans="1:14" hidden="1" x14ac:dyDescent="0.35">
      <c r="A6380" s="52" t="s">
        <v>708</v>
      </c>
      <c r="B6380" s="52" t="s">
        <v>37</v>
      </c>
      <c r="C6380" s="52" t="s">
        <v>79</v>
      </c>
      <c r="D6380" s="52" t="s">
        <v>79</v>
      </c>
      <c r="E6380" s="52" t="s">
        <v>617</v>
      </c>
      <c r="F6380" s="52" t="s">
        <v>26</v>
      </c>
      <c r="G6380" s="55" t="s">
        <v>279</v>
      </c>
      <c r="H6380" s="55">
        <v>144.53469999999999</v>
      </c>
      <c r="I6380" s="55">
        <v>92.707759999999993</v>
      </c>
      <c r="J6380" s="55">
        <v>80.834440000000001</v>
      </c>
      <c r="K6380" s="55">
        <v>76.517669999999995</v>
      </c>
      <c r="L6380" s="55">
        <v>71.072940000000003</v>
      </c>
      <c r="M6380" s="55">
        <v>65.548649999999995</v>
      </c>
      <c r="N6380" s="55">
        <v>57.265219999999999</v>
      </c>
    </row>
    <row r="6381" spans="1:14" hidden="1" x14ac:dyDescent="0.35">
      <c r="A6381" s="52" t="s">
        <v>708</v>
      </c>
      <c r="B6381" s="52" t="s">
        <v>37</v>
      </c>
      <c r="C6381" s="52" t="s">
        <v>61</v>
      </c>
      <c r="D6381" s="52" t="s">
        <v>62</v>
      </c>
      <c r="E6381" s="52" t="s">
        <v>584</v>
      </c>
      <c r="F6381" s="52" t="s">
        <v>581</v>
      </c>
      <c r="G6381" s="55" t="s">
        <v>275</v>
      </c>
      <c r="H6381" s="55">
        <v>0.80575280000000005</v>
      </c>
      <c r="I6381" s="55">
        <v>0.106517</v>
      </c>
      <c r="J6381" s="55">
        <v>-8.3385680000000004E-2</v>
      </c>
      <c r="K6381" s="55">
        <v>-0.28011979999999997</v>
      </c>
      <c r="L6381" s="55">
        <v>-0.38613609999999998</v>
      </c>
      <c r="M6381" s="55">
        <v>-2.599405</v>
      </c>
      <c r="N6381" s="55"/>
    </row>
    <row r="6382" spans="1:14" hidden="1" x14ac:dyDescent="0.35">
      <c r="A6382" s="52" t="s">
        <v>708</v>
      </c>
      <c r="B6382" s="52" t="s">
        <v>37</v>
      </c>
      <c r="C6382" s="52" t="s">
        <v>61</v>
      </c>
      <c r="D6382" s="52" t="s">
        <v>62</v>
      </c>
      <c r="E6382" s="52" t="s">
        <v>584</v>
      </c>
      <c r="F6382" s="52" t="s">
        <v>581</v>
      </c>
      <c r="G6382" s="55" t="s">
        <v>276</v>
      </c>
      <c r="H6382" s="55">
        <v>0.19006980000000001</v>
      </c>
      <c r="I6382" s="55">
        <v>-9.0550190000000003E-2</v>
      </c>
      <c r="J6382" s="55">
        <v>-0.1182454</v>
      </c>
      <c r="K6382" s="55">
        <v>-0.13901759999999999</v>
      </c>
      <c r="L6382" s="55">
        <v>-0.15461069999999999</v>
      </c>
      <c r="M6382" s="55">
        <v>-0.69098099999999996</v>
      </c>
      <c r="N6382" s="55"/>
    </row>
    <row r="6383" spans="1:14" hidden="1" x14ac:dyDescent="0.35">
      <c r="A6383" s="52" t="s">
        <v>708</v>
      </c>
      <c r="B6383" s="52" t="s">
        <v>37</v>
      </c>
      <c r="C6383" s="52" t="s">
        <v>61</v>
      </c>
      <c r="D6383" s="52" t="s">
        <v>62</v>
      </c>
      <c r="E6383" s="52" t="s">
        <v>584</v>
      </c>
      <c r="F6383" s="52" t="s">
        <v>581</v>
      </c>
      <c r="G6383" s="55" t="s">
        <v>277</v>
      </c>
      <c r="H6383" s="55">
        <v>0.47728130000000002</v>
      </c>
      <c r="I6383" s="55"/>
      <c r="J6383" s="55"/>
      <c r="K6383" s="55"/>
      <c r="L6383" s="55"/>
      <c r="M6383" s="55"/>
      <c r="N6383" s="55">
        <v>0</v>
      </c>
    </row>
    <row r="6384" spans="1:14" hidden="1" x14ac:dyDescent="0.35">
      <c r="A6384" s="52" t="s">
        <v>708</v>
      </c>
      <c r="B6384" s="52" t="s">
        <v>37</v>
      </c>
      <c r="C6384" s="52" t="s">
        <v>61</v>
      </c>
      <c r="D6384" s="52" t="s">
        <v>62</v>
      </c>
      <c r="E6384" s="52" t="s">
        <v>584</v>
      </c>
      <c r="F6384" s="52" t="s">
        <v>581</v>
      </c>
      <c r="G6384" s="55" t="s">
        <v>279</v>
      </c>
      <c r="H6384" s="55">
        <v>1.1848430000000001</v>
      </c>
      <c r="I6384" s="55">
        <v>1.0124979999999999</v>
      </c>
      <c r="J6384" s="55">
        <v>0.9814619</v>
      </c>
      <c r="K6384" s="55">
        <v>1.0144500000000001</v>
      </c>
      <c r="L6384" s="55">
        <v>0.99522820000000001</v>
      </c>
      <c r="M6384" s="55">
        <v>3.2903850000000001</v>
      </c>
      <c r="N6384" s="55"/>
    </row>
    <row r="6385" spans="1:14" hidden="1" x14ac:dyDescent="0.35">
      <c r="A6385" s="52" t="s">
        <v>708</v>
      </c>
      <c r="B6385" s="52" t="s">
        <v>37</v>
      </c>
      <c r="C6385" s="52" t="s">
        <v>61</v>
      </c>
      <c r="D6385" s="52" t="s">
        <v>62</v>
      </c>
      <c r="E6385" s="52" t="s">
        <v>584</v>
      </c>
      <c r="F6385" s="52" t="s">
        <v>26</v>
      </c>
      <c r="G6385" s="55" t="s">
        <v>275</v>
      </c>
      <c r="H6385" s="55">
        <v>3.9594450000000003E-2</v>
      </c>
      <c r="I6385" s="55">
        <v>1.9932660000000001E-2</v>
      </c>
      <c r="J6385" s="55">
        <v>1.4900740000000001E-2</v>
      </c>
      <c r="K6385" s="55">
        <v>9.1769850000000004E-3</v>
      </c>
      <c r="L6385" s="55">
        <v>6.3187499999999997E-3</v>
      </c>
      <c r="M6385" s="55">
        <v>-0.40113490000000002</v>
      </c>
      <c r="N6385" s="55"/>
    </row>
    <row r="6386" spans="1:14" hidden="1" x14ac:dyDescent="0.35">
      <c r="A6386" s="52" t="s">
        <v>708</v>
      </c>
      <c r="B6386" s="52" t="s">
        <v>37</v>
      </c>
      <c r="C6386" s="52" t="s">
        <v>61</v>
      </c>
      <c r="D6386" s="52" t="s">
        <v>62</v>
      </c>
      <c r="E6386" s="52" t="s">
        <v>584</v>
      </c>
      <c r="F6386" s="52" t="s">
        <v>26</v>
      </c>
      <c r="G6386" s="55" t="s">
        <v>276</v>
      </c>
      <c r="H6386" s="55">
        <v>1.05252E-2</v>
      </c>
      <c r="I6386" s="55">
        <v>5.29854E-3</v>
      </c>
      <c r="J6386" s="55">
        <v>3.9609600000000003E-3</v>
      </c>
      <c r="K6386" s="55">
        <v>2.4393449999999999E-3</v>
      </c>
      <c r="L6386" s="55">
        <v>1.67964E-3</v>
      </c>
      <c r="M6386" s="55">
        <v>-0.1066308</v>
      </c>
      <c r="N6386" s="55"/>
    </row>
    <row r="6387" spans="1:14" hidden="1" x14ac:dyDescent="0.35">
      <c r="A6387" s="52" t="s">
        <v>708</v>
      </c>
      <c r="B6387" s="52" t="s">
        <v>37</v>
      </c>
      <c r="C6387" s="52" t="s">
        <v>61</v>
      </c>
      <c r="D6387" s="52" t="s">
        <v>62</v>
      </c>
      <c r="E6387" s="52" t="s">
        <v>584</v>
      </c>
      <c r="F6387" s="52" t="s">
        <v>26</v>
      </c>
      <c r="G6387" s="55" t="s">
        <v>279</v>
      </c>
      <c r="H6387" s="55">
        <v>6.7516049999999994E-2</v>
      </c>
      <c r="I6387" s="55">
        <v>4.2196200000000003E-2</v>
      </c>
      <c r="J6387" s="55">
        <v>2.943345E-2</v>
      </c>
      <c r="K6387" s="55">
        <v>2.157135E-2</v>
      </c>
      <c r="L6387" s="55">
        <v>1.4821050000000001E-2</v>
      </c>
      <c r="M6387" s="55">
        <v>0.50776560000000004</v>
      </c>
      <c r="N6387" s="55"/>
    </row>
    <row r="6388" spans="1:14" hidden="1" x14ac:dyDescent="0.35">
      <c r="A6388" s="52" t="s">
        <v>708</v>
      </c>
      <c r="B6388" s="52" t="s">
        <v>37</v>
      </c>
      <c r="C6388" s="52" t="s">
        <v>318</v>
      </c>
      <c r="D6388" s="52" t="s">
        <v>318</v>
      </c>
      <c r="E6388" s="52" t="s">
        <v>584</v>
      </c>
      <c r="F6388" s="52" t="s">
        <v>581</v>
      </c>
      <c r="G6388" s="55" t="s">
        <v>275</v>
      </c>
      <c r="H6388" s="55">
        <v>1.9999999999999999E-6</v>
      </c>
      <c r="I6388" s="55">
        <v>0</v>
      </c>
      <c r="J6388" s="55"/>
      <c r="K6388" s="55"/>
      <c r="L6388" s="55"/>
      <c r="M6388" s="55"/>
      <c r="N6388" s="55"/>
    </row>
    <row r="6389" spans="1:14" hidden="1" x14ac:dyDescent="0.35">
      <c r="A6389" s="52" t="s">
        <v>708</v>
      </c>
      <c r="B6389" s="52" t="s">
        <v>37</v>
      </c>
      <c r="C6389" s="52" t="s">
        <v>318</v>
      </c>
      <c r="D6389" s="52" t="s">
        <v>318</v>
      </c>
      <c r="E6389" s="52" t="s">
        <v>584</v>
      </c>
      <c r="F6389" s="52" t="s">
        <v>581</v>
      </c>
      <c r="G6389" s="55" t="s">
        <v>278</v>
      </c>
      <c r="H6389" s="55">
        <v>-1.9999999999999999E-6</v>
      </c>
      <c r="I6389" s="55">
        <v>0</v>
      </c>
      <c r="J6389" s="55"/>
      <c r="K6389" s="55"/>
      <c r="L6389" s="55"/>
      <c r="M6389" s="55"/>
      <c r="N6389" s="55"/>
    </row>
    <row r="6390" spans="1:14" hidden="1" x14ac:dyDescent="0.35">
      <c r="A6390" s="52" t="s">
        <v>708</v>
      </c>
      <c r="B6390" s="52" t="s">
        <v>37</v>
      </c>
      <c r="C6390" s="52" t="s">
        <v>318</v>
      </c>
      <c r="D6390" s="52" t="s">
        <v>318</v>
      </c>
      <c r="E6390" s="52" t="s">
        <v>584</v>
      </c>
      <c r="F6390" s="52" t="s">
        <v>26</v>
      </c>
      <c r="G6390" s="55" t="s">
        <v>275</v>
      </c>
      <c r="H6390" s="55">
        <v>1.9999999999999999E-6</v>
      </c>
      <c r="I6390" s="55">
        <v>0</v>
      </c>
      <c r="J6390" s="55"/>
      <c r="K6390" s="55"/>
      <c r="L6390" s="55"/>
      <c r="M6390" s="55"/>
      <c r="N6390" s="55"/>
    </row>
    <row r="6391" spans="1:14" hidden="1" x14ac:dyDescent="0.35">
      <c r="A6391" s="52" t="s">
        <v>708</v>
      </c>
      <c r="B6391" s="52" t="s">
        <v>37</v>
      </c>
      <c r="C6391" s="52" t="s">
        <v>318</v>
      </c>
      <c r="D6391" s="52" t="s">
        <v>318</v>
      </c>
      <c r="E6391" s="52" t="s">
        <v>584</v>
      </c>
      <c r="F6391" s="52" t="s">
        <v>26</v>
      </c>
      <c r="G6391" s="55" t="s">
        <v>278</v>
      </c>
      <c r="H6391" s="55">
        <v>-1.9999999999999999E-6</v>
      </c>
      <c r="I6391" s="55">
        <v>0</v>
      </c>
      <c r="J6391" s="55"/>
      <c r="K6391" s="55"/>
      <c r="L6391" s="55"/>
      <c r="M6391" s="55"/>
      <c r="N6391" s="55"/>
    </row>
    <row r="6392" spans="1:14" hidden="1" x14ac:dyDescent="0.35">
      <c r="A6392" s="52" t="s">
        <v>719</v>
      </c>
      <c r="B6392" s="52" t="s">
        <v>37</v>
      </c>
      <c r="C6392" s="52" t="s">
        <v>35</v>
      </c>
      <c r="D6392" s="52" t="s">
        <v>163</v>
      </c>
      <c r="E6392" s="52" t="s">
        <v>580</v>
      </c>
      <c r="F6392" s="52" t="s">
        <v>581</v>
      </c>
      <c r="G6392" s="55" t="s">
        <v>275</v>
      </c>
      <c r="H6392" s="55">
        <v>12.105589999999999</v>
      </c>
      <c r="I6392" s="55">
        <v>0.89563230000000005</v>
      </c>
      <c r="J6392" s="55">
        <v>60.012949999999996</v>
      </c>
      <c r="K6392" s="55">
        <v>64.489869999999996</v>
      </c>
      <c r="L6392" s="55">
        <v>47.425350000000002</v>
      </c>
      <c r="M6392" s="55">
        <v>34.182729999999999</v>
      </c>
      <c r="N6392" s="55">
        <v>27.680409999999998</v>
      </c>
    </row>
    <row r="6393" spans="1:14" hidden="1" x14ac:dyDescent="0.35">
      <c r="A6393" s="52" t="s">
        <v>719</v>
      </c>
      <c r="B6393" s="52" t="s">
        <v>37</v>
      </c>
      <c r="C6393" s="52" t="s">
        <v>35</v>
      </c>
      <c r="D6393" s="52" t="s">
        <v>163</v>
      </c>
      <c r="E6393" s="52" t="s">
        <v>580</v>
      </c>
      <c r="F6393" s="52" t="s">
        <v>581</v>
      </c>
      <c r="G6393" s="55" t="s">
        <v>276</v>
      </c>
      <c r="H6393" s="55">
        <v>26.299289999999999</v>
      </c>
      <c r="I6393" s="55">
        <v>-9.4197240000000004</v>
      </c>
      <c r="J6393" s="55">
        <v>-11.95031</v>
      </c>
      <c r="K6393" s="55">
        <v>-22.482600000000001</v>
      </c>
      <c r="L6393" s="55">
        <v>-9.1108180000000001</v>
      </c>
      <c r="M6393" s="55">
        <v>0.14163890000000001</v>
      </c>
      <c r="N6393" s="55">
        <v>5.6162260000000002</v>
      </c>
    </row>
    <row r="6394" spans="1:14" hidden="1" x14ac:dyDescent="0.35">
      <c r="A6394" s="52" t="s">
        <v>719</v>
      </c>
      <c r="B6394" s="52" t="s">
        <v>37</v>
      </c>
      <c r="C6394" s="52" t="s">
        <v>35</v>
      </c>
      <c r="D6394" s="52" t="s">
        <v>163</v>
      </c>
      <c r="E6394" s="52" t="s">
        <v>580</v>
      </c>
      <c r="F6394" s="52" t="s">
        <v>581</v>
      </c>
      <c r="G6394" s="55" t="s">
        <v>277</v>
      </c>
      <c r="H6394" s="55">
        <v>168.4974</v>
      </c>
      <c r="I6394" s="55">
        <v>71.538300000000007</v>
      </c>
      <c r="J6394" s="55">
        <v>13.2103</v>
      </c>
      <c r="K6394" s="55">
        <v>8.2435690000000008</v>
      </c>
      <c r="L6394" s="55">
        <v>11.40695</v>
      </c>
      <c r="M6394" s="55">
        <v>15.20599</v>
      </c>
      <c r="N6394" s="55">
        <v>13.83028</v>
      </c>
    </row>
    <row r="6395" spans="1:14" hidden="1" x14ac:dyDescent="0.35">
      <c r="A6395" s="52" t="s">
        <v>719</v>
      </c>
      <c r="B6395" s="52" t="s">
        <v>37</v>
      </c>
      <c r="C6395" s="52" t="s">
        <v>35</v>
      </c>
      <c r="D6395" s="52" t="s">
        <v>163</v>
      </c>
      <c r="E6395" s="52" t="s">
        <v>580</v>
      </c>
      <c r="F6395" s="52" t="s">
        <v>581</v>
      </c>
      <c r="G6395" s="55" t="s">
        <v>278</v>
      </c>
      <c r="H6395" s="55">
        <v>45.532730000000001</v>
      </c>
      <c r="I6395" s="55">
        <v>29.22315</v>
      </c>
      <c r="J6395" s="55">
        <v>21.86458</v>
      </c>
      <c r="K6395" s="55">
        <v>20.390940000000001</v>
      </c>
      <c r="L6395" s="55">
        <v>20.288630000000001</v>
      </c>
      <c r="M6395" s="55">
        <v>9.7317260000000001</v>
      </c>
      <c r="N6395" s="55">
        <v>9.6612369999999999</v>
      </c>
    </row>
    <row r="6396" spans="1:14" hidden="1" x14ac:dyDescent="0.35">
      <c r="A6396" s="52" t="s">
        <v>719</v>
      </c>
      <c r="B6396" s="52" t="s">
        <v>37</v>
      </c>
      <c r="C6396" s="52" t="s">
        <v>35</v>
      </c>
      <c r="D6396" s="52" t="s">
        <v>163</v>
      </c>
      <c r="E6396" s="52" t="s">
        <v>580</v>
      </c>
      <c r="F6396" s="52" t="s">
        <v>581</v>
      </c>
      <c r="G6396" s="55" t="s">
        <v>279</v>
      </c>
      <c r="H6396" s="55">
        <v>95.145049999999998</v>
      </c>
      <c r="I6396" s="55">
        <v>89.974069999999998</v>
      </c>
      <c r="J6396" s="55">
        <v>74.353819999999999</v>
      </c>
      <c r="K6396" s="55">
        <v>65.518910000000005</v>
      </c>
      <c r="L6396" s="55">
        <v>56.781280000000002</v>
      </c>
      <c r="M6396" s="55">
        <v>60.49221</v>
      </c>
      <c r="N6396" s="55">
        <v>55.452550000000002</v>
      </c>
    </row>
    <row r="6397" spans="1:14" hidden="1" x14ac:dyDescent="0.35">
      <c r="A6397" s="52" t="s">
        <v>719</v>
      </c>
      <c r="B6397" s="52" t="s">
        <v>37</v>
      </c>
      <c r="C6397" s="52" t="s">
        <v>35</v>
      </c>
      <c r="D6397" s="52" t="s">
        <v>163</v>
      </c>
      <c r="E6397" s="52" t="s">
        <v>580</v>
      </c>
      <c r="F6397" s="52" t="s">
        <v>26</v>
      </c>
      <c r="G6397" s="55" t="s">
        <v>275</v>
      </c>
      <c r="H6397" s="55">
        <v>-15.04036</v>
      </c>
      <c r="I6397" s="55">
        <v>-10.03744</v>
      </c>
      <c r="J6397" s="55">
        <v>-7.7291129999999999</v>
      </c>
      <c r="K6397" s="55">
        <v>-7.1700189999999999</v>
      </c>
      <c r="L6397" s="55">
        <v>-6.0854619999999997</v>
      </c>
      <c r="M6397" s="55">
        <v>-7.0539259999999997</v>
      </c>
      <c r="N6397" s="55">
        <v>-6.4082210000000002</v>
      </c>
    </row>
    <row r="6398" spans="1:14" hidden="1" x14ac:dyDescent="0.35">
      <c r="A6398" s="52" t="s">
        <v>719</v>
      </c>
      <c r="B6398" s="52" t="s">
        <v>37</v>
      </c>
      <c r="C6398" s="52" t="s">
        <v>35</v>
      </c>
      <c r="D6398" s="52" t="s">
        <v>163</v>
      </c>
      <c r="E6398" s="52" t="s">
        <v>580</v>
      </c>
      <c r="F6398" s="52" t="s">
        <v>26</v>
      </c>
      <c r="G6398" s="55" t="s">
        <v>276</v>
      </c>
      <c r="H6398" s="55">
        <v>-3.9980699999999998</v>
      </c>
      <c r="I6398" s="55">
        <v>-2.6681759999999999</v>
      </c>
      <c r="J6398" s="55">
        <v>-2.0545719999999998</v>
      </c>
      <c r="K6398" s="55">
        <v>-1.905958</v>
      </c>
      <c r="L6398" s="55">
        <v>-1.617653</v>
      </c>
      <c r="M6398" s="55">
        <v>-1.8750929999999999</v>
      </c>
      <c r="N6398" s="55">
        <v>-1.703452</v>
      </c>
    </row>
    <row r="6399" spans="1:14" hidden="1" x14ac:dyDescent="0.35">
      <c r="A6399" s="52" t="s">
        <v>719</v>
      </c>
      <c r="B6399" s="52" t="s">
        <v>37</v>
      </c>
      <c r="C6399" s="52" t="s">
        <v>35</v>
      </c>
      <c r="D6399" s="52" t="s">
        <v>163</v>
      </c>
      <c r="E6399" s="52" t="s">
        <v>580</v>
      </c>
      <c r="F6399" s="52" t="s">
        <v>26</v>
      </c>
      <c r="G6399" s="55" t="s">
        <v>279</v>
      </c>
      <c r="H6399" s="55">
        <v>36.071359999999999</v>
      </c>
      <c r="I6399" s="55">
        <v>23.277200000000001</v>
      </c>
      <c r="J6399" s="55">
        <v>19.333469999999998</v>
      </c>
      <c r="K6399" s="55">
        <v>17.244420000000002</v>
      </c>
      <c r="L6399" s="55">
        <v>15.25192</v>
      </c>
      <c r="M6399" s="55">
        <v>15.88203</v>
      </c>
      <c r="N6399" s="55">
        <v>14.498189999999999</v>
      </c>
    </row>
    <row r="6400" spans="1:14" hidden="1" x14ac:dyDescent="0.35">
      <c r="A6400" s="52" t="s">
        <v>719</v>
      </c>
      <c r="B6400" s="52" t="s">
        <v>37</v>
      </c>
      <c r="C6400" s="52" t="s">
        <v>35</v>
      </c>
      <c r="D6400" s="52" t="s">
        <v>129</v>
      </c>
      <c r="E6400" s="52" t="s">
        <v>580</v>
      </c>
      <c r="F6400" s="52" t="s">
        <v>581</v>
      </c>
      <c r="G6400" s="55" t="s">
        <v>275</v>
      </c>
      <c r="H6400" s="55">
        <v>81.030910000000006</v>
      </c>
      <c r="I6400" s="55">
        <v>-16.237369999999999</v>
      </c>
      <c r="J6400" s="55">
        <v>48.145069999999997</v>
      </c>
      <c r="K6400" s="55">
        <v>60.895989999999998</v>
      </c>
      <c r="L6400" s="55">
        <v>44.383270000000003</v>
      </c>
      <c r="M6400" s="55">
        <v>35.514620000000001</v>
      </c>
      <c r="N6400" s="55">
        <v>28.01397</v>
      </c>
    </row>
    <row r="6401" spans="1:14" hidden="1" x14ac:dyDescent="0.35">
      <c r="A6401" s="52" t="s">
        <v>719</v>
      </c>
      <c r="B6401" s="52" t="s">
        <v>37</v>
      </c>
      <c r="C6401" s="52" t="s">
        <v>35</v>
      </c>
      <c r="D6401" s="52" t="s">
        <v>129</v>
      </c>
      <c r="E6401" s="52" t="s">
        <v>580</v>
      </c>
      <c r="F6401" s="52" t="s">
        <v>581</v>
      </c>
      <c r="G6401" s="55" t="s">
        <v>276</v>
      </c>
      <c r="H6401" s="55">
        <v>27.609729999999999</v>
      </c>
      <c r="I6401" s="55">
        <v>-1.9163939999999999</v>
      </c>
      <c r="J6401" s="55">
        <v>1.276392</v>
      </c>
      <c r="K6401" s="55">
        <v>-11.63002</v>
      </c>
      <c r="L6401" s="55">
        <v>0.78480360000000005</v>
      </c>
      <c r="M6401" s="55">
        <v>-0.86925790000000003</v>
      </c>
      <c r="N6401" s="55">
        <v>5.217943</v>
      </c>
    </row>
    <row r="6402" spans="1:14" hidden="1" x14ac:dyDescent="0.35">
      <c r="A6402" s="52" t="s">
        <v>719</v>
      </c>
      <c r="B6402" s="52" t="s">
        <v>37</v>
      </c>
      <c r="C6402" s="52" t="s">
        <v>35</v>
      </c>
      <c r="D6402" s="52" t="s">
        <v>129</v>
      </c>
      <c r="E6402" s="52" t="s">
        <v>580</v>
      </c>
      <c r="F6402" s="52" t="s">
        <v>581</v>
      </c>
      <c r="G6402" s="55" t="s">
        <v>277</v>
      </c>
      <c r="H6402" s="55">
        <v>90.274069999999995</v>
      </c>
      <c r="I6402" s="55">
        <v>95.028930000000003</v>
      </c>
      <c r="J6402" s="55">
        <v>30.488589999999999</v>
      </c>
      <c r="K6402" s="55">
        <v>12.347939999999999</v>
      </c>
      <c r="L6402" s="55">
        <v>16.46199</v>
      </c>
      <c r="M6402" s="55">
        <v>19.04175</v>
      </c>
      <c r="N6402" s="55">
        <v>21.117360000000001</v>
      </c>
    </row>
    <row r="6403" spans="1:14" hidden="1" x14ac:dyDescent="0.35">
      <c r="A6403" s="52" t="s">
        <v>719</v>
      </c>
      <c r="B6403" s="52" t="s">
        <v>37</v>
      </c>
      <c r="C6403" s="52" t="s">
        <v>35</v>
      </c>
      <c r="D6403" s="52" t="s">
        <v>129</v>
      </c>
      <c r="E6403" s="52" t="s">
        <v>580</v>
      </c>
      <c r="F6403" s="52" t="s">
        <v>581</v>
      </c>
      <c r="G6403" s="55" t="s">
        <v>278</v>
      </c>
      <c r="H6403" s="55">
        <v>10.330249999999999</v>
      </c>
      <c r="I6403" s="55">
        <v>15.90375</v>
      </c>
      <c r="J6403" s="55">
        <v>12.271739999999999</v>
      </c>
      <c r="K6403" s="55">
        <v>15.18445</v>
      </c>
      <c r="L6403" s="55">
        <v>9.8063070000000003</v>
      </c>
      <c r="M6403" s="55">
        <v>4.4070910000000003</v>
      </c>
      <c r="N6403" s="55">
        <v>2.7120630000000001</v>
      </c>
    </row>
    <row r="6404" spans="1:14" hidden="1" x14ac:dyDescent="0.35">
      <c r="A6404" s="52" t="s">
        <v>719</v>
      </c>
      <c r="B6404" s="52" t="s">
        <v>37</v>
      </c>
      <c r="C6404" s="52" t="s">
        <v>35</v>
      </c>
      <c r="D6404" s="52" t="s">
        <v>129</v>
      </c>
      <c r="E6404" s="52" t="s">
        <v>580</v>
      </c>
      <c r="F6404" s="52" t="s">
        <v>581</v>
      </c>
      <c r="G6404" s="55" t="s">
        <v>279</v>
      </c>
      <c r="H6404" s="55">
        <v>75.13946</v>
      </c>
      <c r="I6404" s="55">
        <v>79.275589999999994</v>
      </c>
      <c r="J6404" s="55">
        <v>72.477429999999998</v>
      </c>
      <c r="K6404" s="55">
        <v>62.872039999999998</v>
      </c>
      <c r="L6404" s="55">
        <v>51.436700000000002</v>
      </c>
      <c r="M6404" s="55">
        <v>52.492919999999998</v>
      </c>
      <c r="N6404" s="55">
        <v>49.590670000000003</v>
      </c>
    </row>
    <row r="6405" spans="1:14" hidden="1" x14ac:dyDescent="0.35">
      <c r="A6405" s="52" t="s">
        <v>719</v>
      </c>
      <c r="B6405" s="52" t="s">
        <v>37</v>
      </c>
      <c r="C6405" s="52" t="s">
        <v>35</v>
      </c>
      <c r="D6405" s="52" t="s">
        <v>129</v>
      </c>
      <c r="E6405" s="52" t="s">
        <v>580</v>
      </c>
      <c r="F6405" s="52" t="s">
        <v>26</v>
      </c>
      <c r="G6405" s="55" t="s">
        <v>275</v>
      </c>
      <c r="H6405" s="55">
        <v>-3.9726149999999998</v>
      </c>
      <c r="I6405" s="55">
        <v>-3.335629</v>
      </c>
      <c r="J6405" s="55">
        <v>-2.5801910000000001</v>
      </c>
      <c r="K6405" s="55">
        <v>-2.4826709999999999</v>
      </c>
      <c r="L6405" s="55">
        <v>-1.8762220000000001</v>
      </c>
      <c r="M6405" s="55">
        <v>-2.3916189999999999</v>
      </c>
      <c r="N6405" s="55">
        <v>-2.2290489999999998</v>
      </c>
    </row>
    <row r="6406" spans="1:14" hidden="1" x14ac:dyDescent="0.35">
      <c r="A6406" s="52" t="s">
        <v>719</v>
      </c>
      <c r="B6406" s="52" t="s">
        <v>37</v>
      </c>
      <c r="C6406" s="52" t="s">
        <v>35</v>
      </c>
      <c r="D6406" s="52" t="s">
        <v>129</v>
      </c>
      <c r="E6406" s="52" t="s">
        <v>580</v>
      </c>
      <c r="F6406" s="52" t="s">
        <v>26</v>
      </c>
      <c r="G6406" s="55" t="s">
        <v>276</v>
      </c>
      <c r="H6406" s="55">
        <v>-1.0560050000000001</v>
      </c>
      <c r="I6406" s="55">
        <v>-0.88668599999999997</v>
      </c>
      <c r="J6406" s="55">
        <v>-0.68587450000000005</v>
      </c>
      <c r="K6406" s="55">
        <v>-0.65994969999999997</v>
      </c>
      <c r="L6406" s="55">
        <v>-0.49874289999999999</v>
      </c>
      <c r="M6406" s="55">
        <v>-0.63574359999999996</v>
      </c>
      <c r="N6406" s="55">
        <v>-0.59253310000000003</v>
      </c>
    </row>
    <row r="6407" spans="1:14" hidden="1" x14ac:dyDescent="0.35">
      <c r="A6407" s="52" t="s">
        <v>719</v>
      </c>
      <c r="B6407" s="52" t="s">
        <v>37</v>
      </c>
      <c r="C6407" s="52" t="s">
        <v>35</v>
      </c>
      <c r="D6407" s="52" t="s">
        <v>129</v>
      </c>
      <c r="E6407" s="52" t="s">
        <v>580</v>
      </c>
      <c r="F6407" s="52" t="s">
        <v>26</v>
      </c>
      <c r="G6407" s="55" t="s">
        <v>279</v>
      </c>
      <c r="H6407" s="55">
        <v>15.31894</v>
      </c>
      <c r="I6407" s="55">
        <v>11.95778</v>
      </c>
      <c r="J6407" s="55">
        <v>10.986940000000001</v>
      </c>
      <c r="K6407" s="55">
        <v>9.6447599999999998</v>
      </c>
      <c r="L6407" s="55">
        <v>8.0417679999999994</v>
      </c>
      <c r="M6407" s="55">
        <v>8.0311819999999994</v>
      </c>
      <c r="N6407" s="55">
        <v>7.5558630000000004</v>
      </c>
    </row>
    <row r="6408" spans="1:14" hidden="1" x14ac:dyDescent="0.35">
      <c r="A6408" s="52" t="s">
        <v>719</v>
      </c>
      <c r="B6408" s="52" t="s">
        <v>37</v>
      </c>
      <c r="C6408" s="52" t="s">
        <v>35</v>
      </c>
      <c r="D6408" s="52" t="s">
        <v>36</v>
      </c>
      <c r="E6408" s="52" t="s">
        <v>589</v>
      </c>
      <c r="F6408" s="52" t="s">
        <v>581</v>
      </c>
      <c r="G6408" s="55" t="s">
        <v>275</v>
      </c>
      <c r="H6408" s="55">
        <v>-75.398449999999997</v>
      </c>
      <c r="I6408" s="55">
        <v>7.8686720000000001</v>
      </c>
      <c r="J6408" s="55">
        <v>37.897979999999997</v>
      </c>
      <c r="K6408" s="55">
        <v>29.92323</v>
      </c>
      <c r="L6408" s="55">
        <v>31.33342</v>
      </c>
      <c r="M6408" s="55">
        <v>16.265090000000001</v>
      </c>
      <c r="N6408" s="55">
        <v>12.60108</v>
      </c>
    </row>
    <row r="6409" spans="1:14" hidden="1" x14ac:dyDescent="0.35">
      <c r="A6409" s="52" t="s">
        <v>719</v>
      </c>
      <c r="B6409" s="52" t="s">
        <v>37</v>
      </c>
      <c r="C6409" s="52" t="s">
        <v>35</v>
      </c>
      <c r="D6409" s="52" t="s">
        <v>36</v>
      </c>
      <c r="E6409" s="52" t="s">
        <v>589</v>
      </c>
      <c r="F6409" s="52" t="s">
        <v>581</v>
      </c>
      <c r="G6409" s="55" t="s">
        <v>276</v>
      </c>
      <c r="H6409" s="55">
        <v>0.61611000000000005</v>
      </c>
      <c r="I6409" s="55">
        <v>-17.64864</v>
      </c>
      <c r="J6409" s="55">
        <v>-19.061199999999999</v>
      </c>
      <c r="K6409" s="55">
        <v>-12.35805</v>
      </c>
      <c r="L6409" s="55">
        <v>-11.082000000000001</v>
      </c>
      <c r="M6409" s="55">
        <v>0.26627329999999999</v>
      </c>
      <c r="N6409" s="55">
        <v>2.5703589999999998</v>
      </c>
    </row>
    <row r="6410" spans="1:14" hidden="1" x14ac:dyDescent="0.35">
      <c r="A6410" s="52" t="s">
        <v>719</v>
      </c>
      <c r="B6410" s="52" t="s">
        <v>37</v>
      </c>
      <c r="C6410" s="52" t="s">
        <v>35</v>
      </c>
      <c r="D6410" s="52" t="s">
        <v>36</v>
      </c>
      <c r="E6410" s="52" t="s">
        <v>589</v>
      </c>
      <c r="F6410" s="52" t="s">
        <v>581</v>
      </c>
      <c r="G6410" s="55" t="s">
        <v>277</v>
      </c>
      <c r="H6410" s="55">
        <v>180.63640000000001</v>
      </c>
      <c r="I6410" s="55">
        <v>33.945079999999997</v>
      </c>
      <c r="J6410" s="55">
        <v>9.7777010000000004</v>
      </c>
      <c r="K6410" s="55">
        <v>5.5559620000000001</v>
      </c>
      <c r="L6410" s="55">
        <v>5.8827759999999998</v>
      </c>
      <c r="M6410" s="55">
        <v>6.3461350000000003</v>
      </c>
      <c r="N6410" s="55">
        <v>8.3922840000000001</v>
      </c>
    </row>
    <row r="6411" spans="1:14" hidden="1" x14ac:dyDescent="0.35">
      <c r="A6411" s="52" t="s">
        <v>719</v>
      </c>
      <c r="B6411" s="52" t="s">
        <v>37</v>
      </c>
      <c r="C6411" s="52" t="s">
        <v>35</v>
      </c>
      <c r="D6411" s="52" t="s">
        <v>36</v>
      </c>
      <c r="E6411" s="52" t="s">
        <v>589</v>
      </c>
      <c r="F6411" s="52" t="s">
        <v>581</v>
      </c>
      <c r="G6411" s="55" t="s">
        <v>278</v>
      </c>
      <c r="H6411" s="55">
        <v>0</v>
      </c>
      <c r="I6411" s="55">
        <v>9.2853689999999993</v>
      </c>
      <c r="J6411" s="55">
        <v>7.244688</v>
      </c>
      <c r="K6411" s="55">
        <v>9.1705170000000003</v>
      </c>
      <c r="L6411" s="55">
        <v>6.5268860000000002</v>
      </c>
      <c r="M6411" s="55">
        <v>3.7256369999999999</v>
      </c>
      <c r="N6411" s="55">
        <v>2.543536</v>
      </c>
    </row>
    <row r="6412" spans="1:14" hidden="1" x14ac:dyDescent="0.35">
      <c r="A6412" s="52" t="s">
        <v>719</v>
      </c>
      <c r="B6412" s="52" t="s">
        <v>37</v>
      </c>
      <c r="C6412" s="52" t="s">
        <v>35</v>
      </c>
      <c r="D6412" s="52" t="s">
        <v>36</v>
      </c>
      <c r="E6412" s="52" t="s">
        <v>589</v>
      </c>
      <c r="F6412" s="52" t="s">
        <v>581</v>
      </c>
      <c r="G6412" s="55" t="s">
        <v>279</v>
      </c>
      <c r="H6412" s="55">
        <v>40.987990000000003</v>
      </c>
      <c r="I6412" s="55">
        <v>32.703049999999998</v>
      </c>
      <c r="J6412" s="55">
        <v>31.825849999999999</v>
      </c>
      <c r="K6412" s="55">
        <v>29.929120000000001</v>
      </c>
      <c r="L6412" s="55">
        <v>26.388179999999998</v>
      </c>
      <c r="M6412" s="55">
        <v>27.30029</v>
      </c>
      <c r="N6412" s="55">
        <v>25.639990000000001</v>
      </c>
    </row>
    <row r="6413" spans="1:14" hidden="1" x14ac:dyDescent="0.35">
      <c r="A6413" s="52" t="s">
        <v>719</v>
      </c>
      <c r="B6413" s="52" t="s">
        <v>37</v>
      </c>
      <c r="C6413" s="52" t="s">
        <v>35</v>
      </c>
      <c r="D6413" s="52" t="s">
        <v>36</v>
      </c>
      <c r="E6413" s="52" t="s">
        <v>589</v>
      </c>
      <c r="F6413" s="52" t="s">
        <v>26</v>
      </c>
      <c r="G6413" s="55" t="s">
        <v>275</v>
      </c>
      <c r="H6413" s="55">
        <v>-2.2351390000000002</v>
      </c>
      <c r="I6413" s="55">
        <v>-1.3974789999999999</v>
      </c>
      <c r="J6413" s="55">
        <v>-1.1469039999999999</v>
      </c>
      <c r="K6413" s="55">
        <v>-1.1964109999999999</v>
      </c>
      <c r="L6413" s="55">
        <v>-0.97362020000000005</v>
      </c>
      <c r="M6413" s="55">
        <v>-1.2565029999999999</v>
      </c>
      <c r="N6413" s="55">
        <v>-1.16351</v>
      </c>
    </row>
    <row r="6414" spans="1:14" hidden="1" x14ac:dyDescent="0.35">
      <c r="A6414" s="52" t="s">
        <v>719</v>
      </c>
      <c r="B6414" s="52" t="s">
        <v>37</v>
      </c>
      <c r="C6414" s="52" t="s">
        <v>35</v>
      </c>
      <c r="D6414" s="52" t="s">
        <v>36</v>
      </c>
      <c r="E6414" s="52" t="s">
        <v>589</v>
      </c>
      <c r="F6414" s="52" t="s">
        <v>26</v>
      </c>
      <c r="G6414" s="55" t="s">
        <v>276</v>
      </c>
      <c r="H6414" s="55">
        <v>-0.59414999999999996</v>
      </c>
      <c r="I6414" s="55">
        <v>-0.3714826</v>
      </c>
      <c r="J6414" s="55">
        <v>-0.30487710000000001</v>
      </c>
      <c r="K6414" s="55">
        <v>-0.31803300000000001</v>
      </c>
      <c r="L6414" s="55">
        <v>-0.25880740000000002</v>
      </c>
      <c r="M6414" s="55">
        <v>-0.33400809999999997</v>
      </c>
      <c r="N6414" s="55">
        <v>-0.30928939999999999</v>
      </c>
    </row>
    <row r="6415" spans="1:14" hidden="1" x14ac:dyDescent="0.35">
      <c r="A6415" s="52" t="s">
        <v>719</v>
      </c>
      <c r="B6415" s="52" t="s">
        <v>37</v>
      </c>
      <c r="C6415" s="52" t="s">
        <v>35</v>
      </c>
      <c r="D6415" s="52" t="s">
        <v>36</v>
      </c>
      <c r="E6415" s="52" t="s">
        <v>589</v>
      </c>
      <c r="F6415" s="52" t="s">
        <v>26</v>
      </c>
      <c r="G6415" s="55" t="s">
        <v>279</v>
      </c>
      <c r="H6415" s="55">
        <v>8.6190119999999997</v>
      </c>
      <c r="I6415" s="55">
        <v>5.007072</v>
      </c>
      <c r="J6415" s="55">
        <v>4.8945780000000001</v>
      </c>
      <c r="K6415" s="55">
        <v>4.6562210000000004</v>
      </c>
      <c r="L6415" s="55">
        <v>4.1911440000000004</v>
      </c>
      <c r="M6415" s="55">
        <v>4.2312570000000003</v>
      </c>
      <c r="N6415" s="55">
        <v>3.9578989999999998</v>
      </c>
    </row>
    <row r="6416" spans="1:14" hidden="1" x14ac:dyDescent="0.35">
      <c r="A6416" s="52" t="s">
        <v>719</v>
      </c>
      <c r="B6416" s="52" t="s">
        <v>37</v>
      </c>
      <c r="C6416" s="52" t="s">
        <v>35</v>
      </c>
      <c r="D6416" s="52" t="s">
        <v>36</v>
      </c>
      <c r="E6416" s="52" t="s">
        <v>587</v>
      </c>
      <c r="F6416" s="52" t="s">
        <v>581</v>
      </c>
      <c r="G6416" s="55" t="s">
        <v>275</v>
      </c>
      <c r="H6416" s="55">
        <v>9.1532</v>
      </c>
      <c r="I6416" s="55">
        <v>2.9616090000000002</v>
      </c>
      <c r="J6416" s="55">
        <v>2.7869039999999998</v>
      </c>
      <c r="K6416" s="55">
        <v>2.5171860000000001</v>
      </c>
      <c r="L6416" s="55">
        <v>2.3034059999999998</v>
      </c>
      <c r="M6416" s="55">
        <v>1.872816</v>
      </c>
      <c r="N6416" s="55">
        <v>1.692175</v>
      </c>
    </row>
    <row r="6417" spans="1:14" hidden="1" x14ac:dyDescent="0.35">
      <c r="A6417" s="52" t="s">
        <v>719</v>
      </c>
      <c r="B6417" s="52" t="s">
        <v>37</v>
      </c>
      <c r="C6417" s="52" t="s">
        <v>35</v>
      </c>
      <c r="D6417" s="52" t="s">
        <v>36</v>
      </c>
      <c r="E6417" s="52" t="s">
        <v>587</v>
      </c>
      <c r="F6417" s="52" t="s">
        <v>581</v>
      </c>
      <c r="G6417" s="55" t="s">
        <v>276</v>
      </c>
      <c r="H6417" s="55">
        <v>1.997606</v>
      </c>
      <c r="I6417" s="55">
        <v>0.70015879999999997</v>
      </c>
      <c r="J6417" s="55">
        <v>0.74082289999999995</v>
      </c>
      <c r="K6417" s="55">
        <v>0.66912530000000003</v>
      </c>
      <c r="L6417" s="55">
        <v>0.61229849999999997</v>
      </c>
      <c r="M6417" s="55">
        <v>0.49783739999999999</v>
      </c>
      <c r="N6417" s="55">
        <v>0.44981890000000002</v>
      </c>
    </row>
    <row r="6418" spans="1:14" hidden="1" x14ac:dyDescent="0.35">
      <c r="A6418" s="52" t="s">
        <v>719</v>
      </c>
      <c r="B6418" s="52" t="s">
        <v>37</v>
      </c>
      <c r="C6418" s="52" t="s">
        <v>35</v>
      </c>
      <c r="D6418" s="52" t="s">
        <v>36</v>
      </c>
      <c r="E6418" s="52" t="s">
        <v>587</v>
      </c>
      <c r="F6418" s="52" t="s">
        <v>581</v>
      </c>
      <c r="G6418" s="55" t="s">
        <v>277</v>
      </c>
      <c r="H6418" s="55">
        <v>0</v>
      </c>
      <c r="I6418" s="55"/>
      <c r="J6418" s="55"/>
      <c r="K6418" s="55">
        <v>0</v>
      </c>
      <c r="L6418" s="55"/>
      <c r="M6418" s="55"/>
      <c r="N6418" s="55">
        <v>0</v>
      </c>
    </row>
    <row r="6419" spans="1:14" hidden="1" x14ac:dyDescent="0.35">
      <c r="A6419" s="52" t="s">
        <v>719</v>
      </c>
      <c r="B6419" s="52" t="s">
        <v>37</v>
      </c>
      <c r="C6419" s="52" t="s">
        <v>35</v>
      </c>
      <c r="D6419" s="52" t="s">
        <v>36</v>
      </c>
      <c r="E6419" s="52" t="s">
        <v>587</v>
      </c>
      <c r="F6419" s="52" t="s">
        <v>581</v>
      </c>
      <c r="G6419" s="55" t="s">
        <v>279</v>
      </c>
      <c r="H6419" s="55">
        <v>4.4491740000000002</v>
      </c>
      <c r="I6419" s="55">
        <v>3.1334279999999999</v>
      </c>
      <c r="J6419" s="55">
        <v>2.8074479999999999</v>
      </c>
      <c r="K6419" s="55">
        <v>2.6515919999999999</v>
      </c>
      <c r="L6419" s="55">
        <v>2.2619729999999998</v>
      </c>
      <c r="M6419" s="55">
        <v>2.284894</v>
      </c>
      <c r="N6419" s="55">
        <v>2.0498240000000001</v>
      </c>
    </row>
    <row r="6420" spans="1:14" hidden="1" x14ac:dyDescent="0.35">
      <c r="A6420" s="52" t="s">
        <v>719</v>
      </c>
      <c r="B6420" s="52" t="s">
        <v>37</v>
      </c>
      <c r="C6420" s="52" t="s">
        <v>35</v>
      </c>
      <c r="D6420" s="52" t="s">
        <v>36</v>
      </c>
      <c r="E6420" s="52" t="s">
        <v>587</v>
      </c>
      <c r="F6420" s="52" t="s">
        <v>26</v>
      </c>
      <c r="G6420" s="55" t="s">
        <v>275</v>
      </c>
      <c r="H6420" s="55">
        <v>-1.0689420000000001</v>
      </c>
      <c r="I6420" s="55">
        <v>-0.63168659999999999</v>
      </c>
      <c r="J6420" s="55">
        <v>-0.50081249999999999</v>
      </c>
      <c r="K6420" s="55">
        <v>-0.51268599999999998</v>
      </c>
      <c r="L6420" s="55">
        <v>-0.43117939999999999</v>
      </c>
      <c r="M6420" s="55">
        <v>-0.50074249999999998</v>
      </c>
      <c r="N6420" s="55">
        <v>-0.44912419999999997</v>
      </c>
    </row>
    <row r="6421" spans="1:14" hidden="1" x14ac:dyDescent="0.35">
      <c r="A6421" s="52" t="s">
        <v>719</v>
      </c>
      <c r="B6421" s="52" t="s">
        <v>37</v>
      </c>
      <c r="C6421" s="52" t="s">
        <v>35</v>
      </c>
      <c r="D6421" s="52" t="s">
        <v>36</v>
      </c>
      <c r="E6421" s="52" t="s">
        <v>587</v>
      </c>
      <c r="F6421" s="52" t="s">
        <v>26</v>
      </c>
      <c r="G6421" s="55" t="s">
        <v>276</v>
      </c>
      <c r="H6421" s="55">
        <v>-0.28414899999999998</v>
      </c>
      <c r="I6421" s="55">
        <v>-0.16791690000000001</v>
      </c>
      <c r="J6421" s="55">
        <v>-0.1331272</v>
      </c>
      <c r="K6421" s="55">
        <v>-0.13628290000000001</v>
      </c>
      <c r="L6421" s="55">
        <v>-0.1146175</v>
      </c>
      <c r="M6421" s="55">
        <v>-0.13310900000000001</v>
      </c>
      <c r="N6421" s="55">
        <v>-0.1193871</v>
      </c>
    </row>
    <row r="6422" spans="1:14" hidden="1" x14ac:dyDescent="0.35">
      <c r="A6422" s="52" t="s">
        <v>719</v>
      </c>
      <c r="B6422" s="52" t="s">
        <v>37</v>
      </c>
      <c r="C6422" s="52" t="s">
        <v>35</v>
      </c>
      <c r="D6422" s="52" t="s">
        <v>36</v>
      </c>
      <c r="E6422" s="52" t="s">
        <v>587</v>
      </c>
      <c r="F6422" s="52" t="s">
        <v>26</v>
      </c>
      <c r="G6422" s="55" t="s">
        <v>279</v>
      </c>
      <c r="H6422" s="55">
        <v>3.4417330000000002</v>
      </c>
      <c r="I6422" s="55">
        <v>1.921357</v>
      </c>
      <c r="J6422" s="55">
        <v>1.7302090000000001</v>
      </c>
      <c r="K6422" s="55">
        <v>1.654488</v>
      </c>
      <c r="L6422" s="55">
        <v>1.4341379999999999</v>
      </c>
      <c r="M6422" s="55">
        <v>1.429082</v>
      </c>
      <c r="N6422" s="55">
        <v>1.281083</v>
      </c>
    </row>
    <row r="6423" spans="1:14" hidden="1" x14ac:dyDescent="0.35">
      <c r="A6423" s="52" t="s">
        <v>719</v>
      </c>
      <c r="B6423" s="52" t="s">
        <v>37</v>
      </c>
      <c r="C6423" s="52" t="s">
        <v>35</v>
      </c>
      <c r="D6423" s="52" t="s">
        <v>267</v>
      </c>
      <c r="E6423" s="52" t="s">
        <v>589</v>
      </c>
      <c r="F6423" s="52" t="s">
        <v>581</v>
      </c>
      <c r="G6423" s="55" t="s">
        <v>275</v>
      </c>
      <c r="H6423" s="55">
        <v>-102.0363</v>
      </c>
      <c r="I6423" s="55">
        <v>14.83426</v>
      </c>
      <c r="J6423" s="55">
        <v>41.374369999999999</v>
      </c>
      <c r="K6423" s="55">
        <v>31.740670000000001</v>
      </c>
      <c r="L6423" s="55">
        <v>36.070309999999999</v>
      </c>
      <c r="M6423" s="55">
        <v>22.128879999999999</v>
      </c>
      <c r="N6423" s="55">
        <v>17.64855</v>
      </c>
    </row>
    <row r="6424" spans="1:14" hidden="1" x14ac:dyDescent="0.35">
      <c r="A6424" s="52" t="s">
        <v>719</v>
      </c>
      <c r="B6424" s="52" t="s">
        <v>37</v>
      </c>
      <c r="C6424" s="52" t="s">
        <v>35</v>
      </c>
      <c r="D6424" s="52" t="s">
        <v>267</v>
      </c>
      <c r="E6424" s="52" t="s">
        <v>589</v>
      </c>
      <c r="F6424" s="52" t="s">
        <v>581</v>
      </c>
      <c r="G6424" s="55" t="s">
        <v>276</v>
      </c>
      <c r="H6424" s="55">
        <v>-3.0364249999999999</v>
      </c>
      <c r="I6424" s="55">
        <v>-12.46391</v>
      </c>
      <c r="J6424" s="55">
        <v>-26.123809999999999</v>
      </c>
      <c r="K6424" s="55">
        <v>-16.085429999999999</v>
      </c>
      <c r="L6424" s="55">
        <v>-13.05569</v>
      </c>
      <c r="M6424" s="55">
        <v>0.59747280000000003</v>
      </c>
      <c r="N6424" s="55">
        <v>1.533382</v>
      </c>
    </row>
    <row r="6425" spans="1:14" hidden="1" x14ac:dyDescent="0.35">
      <c r="A6425" s="52" t="s">
        <v>719</v>
      </c>
      <c r="B6425" s="52" t="s">
        <v>37</v>
      </c>
      <c r="C6425" s="52" t="s">
        <v>35</v>
      </c>
      <c r="D6425" s="52" t="s">
        <v>267</v>
      </c>
      <c r="E6425" s="52" t="s">
        <v>589</v>
      </c>
      <c r="F6425" s="52" t="s">
        <v>581</v>
      </c>
      <c r="G6425" s="55" t="s">
        <v>277</v>
      </c>
      <c r="H6425" s="55">
        <v>172.94120000000001</v>
      </c>
      <c r="I6425" s="55">
        <v>23.29515</v>
      </c>
      <c r="J6425" s="55">
        <v>13.398569999999999</v>
      </c>
      <c r="K6425" s="55">
        <v>6.8506799999999997</v>
      </c>
      <c r="L6425" s="55">
        <v>3.700825</v>
      </c>
      <c r="M6425" s="55">
        <v>0</v>
      </c>
      <c r="N6425" s="55">
        <v>0</v>
      </c>
    </row>
    <row r="6426" spans="1:14" hidden="1" x14ac:dyDescent="0.35">
      <c r="A6426" s="52" t="s">
        <v>719</v>
      </c>
      <c r="B6426" s="52" t="s">
        <v>37</v>
      </c>
      <c r="C6426" s="52" t="s">
        <v>35</v>
      </c>
      <c r="D6426" s="52" t="s">
        <v>267</v>
      </c>
      <c r="E6426" s="52" t="s">
        <v>589</v>
      </c>
      <c r="F6426" s="52" t="s">
        <v>581</v>
      </c>
      <c r="G6426" s="55" t="s">
        <v>278</v>
      </c>
      <c r="H6426" s="55">
        <v>32.264969999999998</v>
      </c>
      <c r="I6426" s="55">
        <v>10.41722</v>
      </c>
      <c r="J6426" s="55">
        <v>8.0308250000000001</v>
      </c>
      <c r="K6426" s="55">
        <v>11.05991</v>
      </c>
      <c r="L6426" s="55">
        <v>6.2100080000000002</v>
      </c>
      <c r="M6426" s="55">
        <v>0</v>
      </c>
      <c r="N6426" s="55">
        <v>0</v>
      </c>
    </row>
    <row r="6427" spans="1:14" hidden="1" x14ac:dyDescent="0.35">
      <c r="A6427" s="52" t="s">
        <v>719</v>
      </c>
      <c r="B6427" s="52" t="s">
        <v>37</v>
      </c>
      <c r="C6427" s="52" t="s">
        <v>35</v>
      </c>
      <c r="D6427" s="52" t="s">
        <v>267</v>
      </c>
      <c r="E6427" s="52" t="s">
        <v>589</v>
      </c>
      <c r="F6427" s="52" t="s">
        <v>581</v>
      </c>
      <c r="G6427" s="55" t="s">
        <v>279</v>
      </c>
      <c r="H6427" s="55">
        <v>39.62961</v>
      </c>
      <c r="I6427" s="55">
        <v>39.881680000000003</v>
      </c>
      <c r="J6427" s="55">
        <v>36.699779999999997</v>
      </c>
      <c r="K6427" s="55">
        <v>34.970680000000002</v>
      </c>
      <c r="L6427" s="55">
        <v>30.24399</v>
      </c>
      <c r="M6427" s="55">
        <v>28.043379999999999</v>
      </c>
      <c r="N6427" s="55">
        <v>23.564679999999999</v>
      </c>
    </row>
    <row r="6428" spans="1:14" hidden="1" x14ac:dyDescent="0.35">
      <c r="A6428" s="52" t="s">
        <v>719</v>
      </c>
      <c r="B6428" s="52" t="s">
        <v>37</v>
      </c>
      <c r="C6428" s="52" t="s">
        <v>35</v>
      </c>
      <c r="D6428" s="52" t="s">
        <v>267</v>
      </c>
      <c r="E6428" s="52" t="s">
        <v>589</v>
      </c>
      <c r="F6428" s="52" t="s">
        <v>26</v>
      </c>
      <c r="G6428" s="55" t="s">
        <v>275</v>
      </c>
      <c r="H6428" s="55">
        <v>-2.5785580000000001</v>
      </c>
      <c r="I6428" s="55">
        <v>-1.8865769999999999</v>
      </c>
      <c r="J6428" s="55">
        <v>-1.467954</v>
      </c>
      <c r="K6428" s="55">
        <v>-1.5471170000000001</v>
      </c>
      <c r="L6428" s="55">
        <v>-1.2556510000000001</v>
      </c>
      <c r="M6428" s="55">
        <v>-1.4550879999999999</v>
      </c>
      <c r="N6428" s="55">
        <v>-1.2239770000000001</v>
      </c>
    </row>
    <row r="6429" spans="1:14" hidden="1" x14ac:dyDescent="0.35">
      <c r="A6429" s="52" t="s">
        <v>719</v>
      </c>
      <c r="B6429" s="52" t="s">
        <v>37</v>
      </c>
      <c r="C6429" s="52" t="s">
        <v>35</v>
      </c>
      <c r="D6429" s="52" t="s">
        <v>267</v>
      </c>
      <c r="E6429" s="52" t="s">
        <v>589</v>
      </c>
      <c r="F6429" s="52" t="s">
        <v>26</v>
      </c>
      <c r="G6429" s="55" t="s">
        <v>276</v>
      </c>
      <c r="H6429" s="55">
        <v>-0.68543600000000005</v>
      </c>
      <c r="I6429" s="55">
        <v>-0.50149200000000005</v>
      </c>
      <c r="J6429" s="55">
        <v>-0.3902138</v>
      </c>
      <c r="K6429" s="55">
        <v>-0.41126010000000002</v>
      </c>
      <c r="L6429" s="55">
        <v>-0.33378170000000001</v>
      </c>
      <c r="M6429" s="55">
        <v>-0.38679520000000001</v>
      </c>
      <c r="N6429" s="55">
        <v>-0.32536179999999998</v>
      </c>
    </row>
    <row r="6430" spans="1:14" hidden="1" x14ac:dyDescent="0.35">
      <c r="A6430" s="52" t="s">
        <v>719</v>
      </c>
      <c r="B6430" s="52" t="s">
        <v>37</v>
      </c>
      <c r="C6430" s="52" t="s">
        <v>35</v>
      </c>
      <c r="D6430" s="52" t="s">
        <v>267</v>
      </c>
      <c r="E6430" s="52" t="s">
        <v>589</v>
      </c>
      <c r="F6430" s="52" t="s">
        <v>26</v>
      </c>
      <c r="G6430" s="55" t="s">
        <v>279</v>
      </c>
      <c r="H6430" s="55">
        <v>9.9432849999999995</v>
      </c>
      <c r="I6430" s="55">
        <v>6.7578550000000002</v>
      </c>
      <c r="J6430" s="55">
        <v>6.2542039999999997</v>
      </c>
      <c r="K6430" s="55">
        <v>6.0239419999999999</v>
      </c>
      <c r="L6430" s="55">
        <v>5.3225699999999998</v>
      </c>
      <c r="M6430" s="55">
        <v>4.8315830000000002</v>
      </c>
      <c r="N6430" s="55">
        <v>4.0582589999999996</v>
      </c>
    </row>
    <row r="6431" spans="1:14" hidden="1" x14ac:dyDescent="0.35">
      <c r="A6431" s="52" t="s">
        <v>719</v>
      </c>
      <c r="B6431" s="52" t="s">
        <v>37</v>
      </c>
      <c r="C6431" s="52" t="s">
        <v>79</v>
      </c>
      <c r="D6431" s="52" t="s">
        <v>79</v>
      </c>
      <c r="E6431" s="52" t="s">
        <v>615</v>
      </c>
      <c r="F6431" s="52" t="s">
        <v>581</v>
      </c>
      <c r="G6431" s="55" t="s">
        <v>275</v>
      </c>
      <c r="H6431" s="55">
        <v>216.22020000000001</v>
      </c>
      <c r="I6431" s="55">
        <v>59.246769999999998</v>
      </c>
      <c r="J6431" s="55">
        <v>113.336</v>
      </c>
      <c r="K6431" s="55">
        <v>119.7449</v>
      </c>
      <c r="L6431" s="55">
        <v>84.466139999999996</v>
      </c>
      <c r="M6431" s="55">
        <v>62.857239999999997</v>
      </c>
      <c r="N6431" s="55">
        <v>44.926049999999996</v>
      </c>
    </row>
    <row r="6432" spans="1:14" hidden="1" x14ac:dyDescent="0.35">
      <c r="A6432" s="52" t="s">
        <v>719</v>
      </c>
      <c r="B6432" s="52" t="s">
        <v>37</v>
      </c>
      <c r="C6432" s="52" t="s">
        <v>79</v>
      </c>
      <c r="D6432" s="52" t="s">
        <v>79</v>
      </c>
      <c r="E6432" s="52" t="s">
        <v>615</v>
      </c>
      <c r="F6432" s="52" t="s">
        <v>581</v>
      </c>
      <c r="G6432" s="55" t="s">
        <v>276</v>
      </c>
      <c r="H6432" s="55">
        <v>22.64817</v>
      </c>
      <c r="I6432" s="55">
        <v>-24.027850000000001</v>
      </c>
      <c r="J6432" s="55">
        <v>-25.41065</v>
      </c>
      <c r="K6432" s="55">
        <v>-32.206800000000001</v>
      </c>
      <c r="L6432" s="55">
        <v>-0.22102260000000001</v>
      </c>
      <c r="M6432" s="55">
        <v>0.56951790000000002</v>
      </c>
      <c r="N6432" s="55">
        <v>4.9639259999999998</v>
      </c>
    </row>
    <row r="6433" spans="1:14" hidden="1" x14ac:dyDescent="0.35">
      <c r="A6433" s="52" t="s">
        <v>719</v>
      </c>
      <c r="B6433" s="52" t="s">
        <v>37</v>
      </c>
      <c r="C6433" s="52" t="s">
        <v>79</v>
      </c>
      <c r="D6433" s="52" t="s">
        <v>79</v>
      </c>
      <c r="E6433" s="52" t="s">
        <v>615</v>
      </c>
      <c r="F6433" s="52" t="s">
        <v>581</v>
      </c>
      <c r="G6433" s="55" t="s">
        <v>277</v>
      </c>
      <c r="H6433" s="55">
        <v>165.20740000000001</v>
      </c>
      <c r="I6433" s="55">
        <v>113.6324</v>
      </c>
      <c r="J6433" s="55">
        <v>50.659799999999997</v>
      </c>
      <c r="K6433" s="55">
        <v>26.04805</v>
      </c>
      <c r="L6433" s="55">
        <v>14.892189999999999</v>
      </c>
      <c r="M6433" s="55">
        <v>2.7424849999999998</v>
      </c>
      <c r="N6433" s="55">
        <v>2.6858</v>
      </c>
    </row>
    <row r="6434" spans="1:14" hidden="1" x14ac:dyDescent="0.35">
      <c r="A6434" s="52" t="s">
        <v>719</v>
      </c>
      <c r="B6434" s="52" t="s">
        <v>37</v>
      </c>
      <c r="C6434" s="52" t="s">
        <v>79</v>
      </c>
      <c r="D6434" s="52" t="s">
        <v>79</v>
      </c>
      <c r="E6434" s="52" t="s">
        <v>615</v>
      </c>
      <c r="F6434" s="52" t="s">
        <v>581</v>
      </c>
      <c r="G6434" s="55" t="s">
        <v>278</v>
      </c>
      <c r="H6434" s="55">
        <v>13.1233</v>
      </c>
      <c r="I6434" s="55">
        <v>9.3587039999999995</v>
      </c>
      <c r="J6434" s="55">
        <v>8.3759209999999999</v>
      </c>
      <c r="K6434" s="55">
        <v>5.645187</v>
      </c>
      <c r="L6434" s="55">
        <v>1.404652</v>
      </c>
      <c r="M6434" s="55">
        <v>0</v>
      </c>
      <c r="N6434" s="55">
        <v>0</v>
      </c>
    </row>
    <row r="6435" spans="1:14" hidden="1" x14ac:dyDescent="0.35">
      <c r="A6435" s="52" t="s">
        <v>719</v>
      </c>
      <c r="B6435" s="52" t="s">
        <v>37</v>
      </c>
      <c r="C6435" s="52" t="s">
        <v>79</v>
      </c>
      <c r="D6435" s="52" t="s">
        <v>79</v>
      </c>
      <c r="E6435" s="52" t="s">
        <v>615</v>
      </c>
      <c r="F6435" s="52" t="s">
        <v>581</v>
      </c>
      <c r="G6435" s="55" t="s">
        <v>279</v>
      </c>
      <c r="H6435" s="55">
        <v>184.6781</v>
      </c>
      <c r="I6435" s="55">
        <v>159.9923</v>
      </c>
      <c r="J6435" s="55">
        <v>137.46969999999999</v>
      </c>
      <c r="K6435" s="55">
        <v>117.084</v>
      </c>
      <c r="L6435" s="55">
        <v>88.518979999999999</v>
      </c>
      <c r="M6435" s="55">
        <v>76.043109999999999</v>
      </c>
      <c r="N6435" s="55">
        <v>60.130429999999997</v>
      </c>
    </row>
    <row r="6436" spans="1:14" hidden="1" x14ac:dyDescent="0.35">
      <c r="A6436" s="52" t="s">
        <v>719</v>
      </c>
      <c r="B6436" s="52" t="s">
        <v>37</v>
      </c>
      <c r="C6436" s="52" t="s">
        <v>79</v>
      </c>
      <c r="D6436" s="52" t="s">
        <v>79</v>
      </c>
      <c r="E6436" s="52" t="s">
        <v>615</v>
      </c>
      <c r="F6436" s="52" t="s">
        <v>26</v>
      </c>
      <c r="G6436" s="55" t="s">
        <v>275</v>
      </c>
      <c r="H6436" s="55">
        <v>-8.7064120000000003</v>
      </c>
      <c r="I6436" s="55">
        <v>-19.576750000000001</v>
      </c>
      <c r="J6436" s="55">
        <v>-15.81448</v>
      </c>
      <c r="K6436" s="55">
        <v>-14.152430000000001</v>
      </c>
      <c r="L6436" s="55">
        <v>-10.63128</v>
      </c>
      <c r="M6436" s="55">
        <v>-9.8417089999999998</v>
      </c>
      <c r="N6436" s="55">
        <v>-7.7900400000000003</v>
      </c>
    </row>
    <row r="6437" spans="1:14" hidden="1" x14ac:dyDescent="0.35">
      <c r="A6437" s="52" t="s">
        <v>719</v>
      </c>
      <c r="B6437" s="52" t="s">
        <v>37</v>
      </c>
      <c r="C6437" s="52" t="s">
        <v>79</v>
      </c>
      <c r="D6437" s="52" t="s">
        <v>79</v>
      </c>
      <c r="E6437" s="52" t="s">
        <v>615</v>
      </c>
      <c r="F6437" s="52" t="s">
        <v>26</v>
      </c>
      <c r="G6437" s="55" t="s">
        <v>276</v>
      </c>
      <c r="H6437" s="55">
        <v>-2.5239129999999999</v>
      </c>
      <c r="I6437" s="55">
        <v>-5.6750920000000002</v>
      </c>
      <c r="J6437" s="55">
        <v>-4.5844550000000002</v>
      </c>
      <c r="K6437" s="55">
        <v>-4.1026420000000003</v>
      </c>
      <c r="L6437" s="55">
        <v>-3.0818979999999998</v>
      </c>
      <c r="M6437" s="55">
        <v>-2.8530139999999999</v>
      </c>
      <c r="N6437" s="55">
        <v>-2.258257</v>
      </c>
    </row>
    <row r="6438" spans="1:14" hidden="1" x14ac:dyDescent="0.35">
      <c r="A6438" s="52" t="s">
        <v>719</v>
      </c>
      <c r="B6438" s="52" t="s">
        <v>37</v>
      </c>
      <c r="C6438" s="52" t="s">
        <v>79</v>
      </c>
      <c r="D6438" s="52" t="s">
        <v>79</v>
      </c>
      <c r="E6438" s="52" t="s">
        <v>615</v>
      </c>
      <c r="F6438" s="52" t="s">
        <v>26</v>
      </c>
      <c r="G6438" s="55" t="s">
        <v>279</v>
      </c>
      <c r="H6438" s="55">
        <v>20.159379999999999</v>
      </c>
      <c r="I6438" s="55">
        <v>43.977629999999998</v>
      </c>
      <c r="J6438" s="55">
        <v>37.964660000000002</v>
      </c>
      <c r="K6438" s="55">
        <v>32.785130000000002</v>
      </c>
      <c r="L6438" s="55">
        <v>25.29439</v>
      </c>
      <c r="M6438" s="55">
        <v>21.336040000000001</v>
      </c>
      <c r="N6438" s="55">
        <v>16.85436</v>
      </c>
    </row>
    <row r="6439" spans="1:14" hidden="1" x14ac:dyDescent="0.35">
      <c r="A6439" s="52" t="s">
        <v>719</v>
      </c>
      <c r="B6439" s="52" t="s">
        <v>37</v>
      </c>
      <c r="C6439" s="52" t="s">
        <v>79</v>
      </c>
      <c r="D6439" s="52" t="s">
        <v>79</v>
      </c>
      <c r="E6439" s="52" t="s">
        <v>584</v>
      </c>
      <c r="F6439" s="52" t="s">
        <v>581</v>
      </c>
      <c r="G6439" s="55" t="s">
        <v>275</v>
      </c>
      <c r="H6439" s="55">
        <v>2.9629980000000001E-3</v>
      </c>
      <c r="I6439" s="55">
        <v>-4.1115199999999998E-2</v>
      </c>
      <c r="J6439" s="55">
        <v>-2.9854560000000001</v>
      </c>
      <c r="K6439" s="55">
        <v>3.186E-3</v>
      </c>
      <c r="L6439" s="55">
        <v>1.1176000000000001E-3</v>
      </c>
      <c r="M6439" s="55">
        <v>1.0474E-3</v>
      </c>
      <c r="N6439" s="55">
        <v>1.0709999999999999E-3</v>
      </c>
    </row>
    <row r="6440" spans="1:14" hidden="1" x14ac:dyDescent="0.35">
      <c r="A6440" s="52" t="s">
        <v>719</v>
      </c>
      <c r="B6440" s="52" t="s">
        <v>37</v>
      </c>
      <c r="C6440" s="52" t="s">
        <v>79</v>
      </c>
      <c r="D6440" s="52" t="s">
        <v>79</v>
      </c>
      <c r="E6440" s="52" t="s">
        <v>584</v>
      </c>
      <c r="F6440" s="52" t="s">
        <v>581</v>
      </c>
      <c r="G6440" s="55" t="s">
        <v>276</v>
      </c>
      <c r="H6440" s="55">
        <v>-2.3289999999999999E-3</v>
      </c>
      <c r="I6440" s="55">
        <v>-1.39816E-2</v>
      </c>
      <c r="J6440" s="55">
        <v>-0.79709240000000003</v>
      </c>
      <c r="K6440" s="55">
        <v>-2.8835000000000002E-3</v>
      </c>
      <c r="L6440" s="55">
        <v>-9.4410000000000002E-4</v>
      </c>
      <c r="M6440" s="55">
        <v>-5.5650000000000003E-4</v>
      </c>
      <c r="N6440" s="55">
        <v>-2.8430000000000003E-4</v>
      </c>
    </row>
    <row r="6441" spans="1:14" hidden="1" x14ac:dyDescent="0.35">
      <c r="A6441" s="52" t="s">
        <v>719</v>
      </c>
      <c r="B6441" s="52" t="s">
        <v>37</v>
      </c>
      <c r="C6441" s="52" t="s">
        <v>79</v>
      </c>
      <c r="D6441" s="52" t="s">
        <v>79</v>
      </c>
      <c r="E6441" s="52" t="s">
        <v>584</v>
      </c>
      <c r="F6441" s="52" t="s">
        <v>581</v>
      </c>
      <c r="G6441" s="55" t="s">
        <v>277</v>
      </c>
      <c r="H6441" s="55">
        <v>1.5866999999999999E-2</v>
      </c>
      <c r="I6441" s="55">
        <v>1.3143999999999999E-2</v>
      </c>
      <c r="J6441" s="55">
        <v>1.12268E-2</v>
      </c>
      <c r="K6441" s="55">
        <v>7.4790000000000004E-3</v>
      </c>
      <c r="L6441" s="55">
        <v>7.2589999999999998E-3</v>
      </c>
      <c r="M6441" s="55">
        <v>6.8927989999999998E-3</v>
      </c>
      <c r="N6441" s="55">
        <v>6.5718E-3</v>
      </c>
    </row>
    <row r="6442" spans="1:14" hidden="1" x14ac:dyDescent="0.35">
      <c r="A6442" s="52" t="s">
        <v>719</v>
      </c>
      <c r="B6442" s="52" t="s">
        <v>37</v>
      </c>
      <c r="C6442" s="52" t="s">
        <v>79</v>
      </c>
      <c r="D6442" s="52" t="s">
        <v>79</v>
      </c>
      <c r="E6442" s="52" t="s">
        <v>584</v>
      </c>
      <c r="F6442" s="52" t="s">
        <v>581</v>
      </c>
      <c r="G6442" s="55" t="s">
        <v>278</v>
      </c>
      <c r="H6442" s="55">
        <v>0</v>
      </c>
      <c r="I6442" s="55"/>
      <c r="J6442" s="55"/>
      <c r="K6442" s="55"/>
      <c r="L6442" s="55"/>
      <c r="M6442" s="55"/>
      <c r="N6442" s="55"/>
    </row>
    <row r="6443" spans="1:14" hidden="1" x14ac:dyDescent="0.35">
      <c r="A6443" s="52" t="s">
        <v>719</v>
      </c>
      <c r="B6443" s="52" t="s">
        <v>37</v>
      </c>
      <c r="C6443" s="52" t="s">
        <v>79</v>
      </c>
      <c r="D6443" s="52" t="s">
        <v>79</v>
      </c>
      <c r="E6443" s="52" t="s">
        <v>584</v>
      </c>
      <c r="F6443" s="52" t="s">
        <v>581</v>
      </c>
      <c r="G6443" s="55" t="s">
        <v>279</v>
      </c>
      <c r="H6443" s="55">
        <v>0.13411200000000001</v>
      </c>
      <c r="I6443" s="55">
        <v>0.1088713</v>
      </c>
      <c r="J6443" s="55">
        <v>3.8027310000000001</v>
      </c>
      <c r="K6443" s="55">
        <v>1.33534E-2</v>
      </c>
      <c r="L6443" s="55">
        <v>1.36407E-2</v>
      </c>
      <c r="M6443" s="55">
        <v>1.3169200000000001E-2</v>
      </c>
      <c r="N6443" s="55">
        <v>1.27688E-2</v>
      </c>
    </row>
    <row r="6444" spans="1:14" hidden="1" x14ac:dyDescent="0.35">
      <c r="A6444" s="52" t="s">
        <v>719</v>
      </c>
      <c r="B6444" s="52" t="s">
        <v>37</v>
      </c>
      <c r="C6444" s="52" t="s">
        <v>79</v>
      </c>
      <c r="D6444" s="52" t="s">
        <v>79</v>
      </c>
      <c r="E6444" s="52" t="s">
        <v>584</v>
      </c>
      <c r="F6444" s="52" t="s">
        <v>26</v>
      </c>
      <c r="G6444" s="55" t="s">
        <v>275</v>
      </c>
      <c r="H6444" s="55"/>
      <c r="I6444" s="55">
        <v>0</v>
      </c>
      <c r="J6444" s="55">
        <v>-6.2610140000000003</v>
      </c>
      <c r="K6444" s="55">
        <v>0</v>
      </c>
      <c r="L6444" s="55"/>
      <c r="M6444" s="55">
        <v>0</v>
      </c>
      <c r="N6444" s="55"/>
    </row>
    <row r="6445" spans="1:14" hidden="1" x14ac:dyDescent="0.35">
      <c r="A6445" s="52" t="s">
        <v>719</v>
      </c>
      <c r="B6445" s="52" t="s">
        <v>37</v>
      </c>
      <c r="C6445" s="52" t="s">
        <v>79</v>
      </c>
      <c r="D6445" s="52" t="s">
        <v>79</v>
      </c>
      <c r="E6445" s="52" t="s">
        <v>584</v>
      </c>
      <c r="F6445" s="52" t="s">
        <v>26</v>
      </c>
      <c r="G6445" s="55" t="s">
        <v>276</v>
      </c>
      <c r="H6445" s="55"/>
      <c r="I6445" s="55">
        <v>0</v>
      </c>
      <c r="J6445" s="55">
        <v>-1.66432</v>
      </c>
      <c r="K6445" s="55">
        <v>0</v>
      </c>
      <c r="L6445" s="55"/>
      <c r="M6445" s="55">
        <v>0</v>
      </c>
      <c r="N6445" s="55"/>
    </row>
    <row r="6446" spans="1:14" hidden="1" x14ac:dyDescent="0.35">
      <c r="A6446" s="52" t="s">
        <v>719</v>
      </c>
      <c r="B6446" s="52" t="s">
        <v>37</v>
      </c>
      <c r="C6446" s="52" t="s">
        <v>79</v>
      </c>
      <c r="D6446" s="52" t="s">
        <v>79</v>
      </c>
      <c r="E6446" s="52" t="s">
        <v>584</v>
      </c>
      <c r="F6446" s="52" t="s">
        <v>26</v>
      </c>
      <c r="G6446" s="55" t="s">
        <v>279</v>
      </c>
      <c r="H6446" s="55"/>
      <c r="I6446" s="55">
        <v>0</v>
      </c>
      <c r="J6446" s="55">
        <v>7.9253340000000003</v>
      </c>
      <c r="K6446" s="55">
        <v>0</v>
      </c>
      <c r="L6446" s="55"/>
      <c r="M6446" s="55">
        <v>0</v>
      </c>
      <c r="N6446" s="55"/>
    </row>
    <row r="6447" spans="1:14" hidden="1" x14ac:dyDescent="0.35">
      <c r="A6447" s="52" t="s">
        <v>719</v>
      </c>
      <c r="B6447" s="52" t="s">
        <v>37</v>
      </c>
      <c r="C6447" s="52" t="s">
        <v>204</v>
      </c>
      <c r="D6447" s="52" t="s">
        <v>204</v>
      </c>
      <c r="E6447" s="52" t="s">
        <v>720</v>
      </c>
      <c r="F6447" s="52" t="s">
        <v>581</v>
      </c>
      <c r="G6447" s="55" t="s">
        <v>275</v>
      </c>
      <c r="H6447" s="55"/>
      <c r="I6447" s="55"/>
      <c r="J6447" s="55"/>
      <c r="K6447" s="55"/>
      <c r="L6447" s="55">
        <v>0</v>
      </c>
      <c r="M6447" s="55">
        <v>0</v>
      </c>
      <c r="N6447" s="55">
        <v>0</v>
      </c>
    </row>
    <row r="6448" spans="1:14" hidden="1" x14ac:dyDescent="0.35">
      <c r="A6448" s="52" t="s">
        <v>719</v>
      </c>
      <c r="B6448" s="52" t="s">
        <v>37</v>
      </c>
      <c r="C6448" s="52" t="s">
        <v>109</v>
      </c>
      <c r="D6448" s="52" t="s">
        <v>109</v>
      </c>
      <c r="E6448" s="52" t="s">
        <v>584</v>
      </c>
      <c r="F6448" s="52" t="s">
        <v>581</v>
      </c>
      <c r="G6448" s="55" t="s">
        <v>275</v>
      </c>
      <c r="H6448" s="55">
        <v>0</v>
      </c>
      <c r="I6448" s="55"/>
      <c r="J6448" s="55"/>
      <c r="K6448" s="55"/>
      <c r="L6448" s="55"/>
      <c r="M6448" s="55"/>
      <c r="N6448" s="55"/>
    </row>
    <row r="6449" spans="1:14" hidden="1" x14ac:dyDescent="0.35">
      <c r="A6449" s="52" t="s">
        <v>719</v>
      </c>
      <c r="B6449" s="52" t="s">
        <v>37</v>
      </c>
      <c r="C6449" s="52" t="s">
        <v>204</v>
      </c>
      <c r="D6449" s="52" t="s">
        <v>204</v>
      </c>
      <c r="E6449" s="52" t="s">
        <v>720</v>
      </c>
      <c r="F6449" s="52" t="s">
        <v>581</v>
      </c>
      <c r="G6449" s="55" t="s">
        <v>276</v>
      </c>
      <c r="H6449" s="55"/>
      <c r="I6449" s="55"/>
      <c r="J6449" s="55"/>
      <c r="K6449" s="55"/>
      <c r="L6449" s="55">
        <v>0</v>
      </c>
      <c r="M6449" s="55">
        <v>0</v>
      </c>
      <c r="N6449" s="55">
        <v>0</v>
      </c>
    </row>
    <row r="6450" spans="1:14" hidden="1" x14ac:dyDescent="0.35">
      <c r="A6450" s="52" t="s">
        <v>719</v>
      </c>
      <c r="B6450" s="52" t="s">
        <v>37</v>
      </c>
      <c r="C6450" s="52" t="s">
        <v>109</v>
      </c>
      <c r="D6450" s="52" t="s">
        <v>109</v>
      </c>
      <c r="E6450" s="52" t="s">
        <v>584</v>
      </c>
      <c r="F6450" s="52" t="s">
        <v>581</v>
      </c>
      <c r="G6450" s="55" t="s">
        <v>276</v>
      </c>
      <c r="H6450" s="55">
        <v>0</v>
      </c>
      <c r="I6450" s="55"/>
      <c r="J6450" s="55"/>
      <c r="K6450" s="55"/>
      <c r="L6450" s="55"/>
      <c r="M6450" s="55"/>
      <c r="N6450" s="55"/>
    </row>
    <row r="6451" spans="1:14" hidden="1" x14ac:dyDescent="0.35">
      <c r="A6451" s="52" t="s">
        <v>719</v>
      </c>
      <c r="B6451" s="52" t="s">
        <v>37</v>
      </c>
      <c r="C6451" s="52" t="s">
        <v>109</v>
      </c>
      <c r="D6451" s="52" t="s">
        <v>109</v>
      </c>
      <c r="E6451" s="52" t="s">
        <v>584</v>
      </c>
      <c r="F6451" s="52" t="s">
        <v>581</v>
      </c>
      <c r="G6451" s="55" t="s">
        <v>279</v>
      </c>
      <c r="H6451" s="55">
        <v>0</v>
      </c>
      <c r="I6451" s="55"/>
      <c r="J6451" s="55"/>
      <c r="K6451" s="55"/>
      <c r="L6451" s="55"/>
      <c r="M6451" s="55"/>
      <c r="N6451" s="55"/>
    </row>
    <row r="6452" spans="1:14" hidden="1" x14ac:dyDescent="0.35">
      <c r="A6452" s="52" t="s">
        <v>719</v>
      </c>
      <c r="B6452" s="52" t="s">
        <v>37</v>
      </c>
      <c r="C6452" s="52" t="s">
        <v>204</v>
      </c>
      <c r="D6452" s="52" t="s">
        <v>204</v>
      </c>
      <c r="E6452" s="52" t="s">
        <v>720</v>
      </c>
      <c r="F6452" s="52" t="s">
        <v>581</v>
      </c>
      <c r="G6452" s="55" t="s">
        <v>279</v>
      </c>
      <c r="H6452" s="55"/>
      <c r="I6452" s="55"/>
      <c r="J6452" s="55"/>
      <c r="K6452" s="55"/>
      <c r="L6452" s="55">
        <v>0</v>
      </c>
      <c r="M6452" s="55">
        <v>0</v>
      </c>
      <c r="N6452" s="55">
        <v>0</v>
      </c>
    </row>
    <row r="6453" spans="1:14" hidden="1" x14ac:dyDescent="0.35">
      <c r="A6453" s="52" t="s">
        <v>719</v>
      </c>
      <c r="B6453" s="52" t="s">
        <v>37</v>
      </c>
      <c r="C6453" s="52" t="s">
        <v>95</v>
      </c>
      <c r="D6453" s="52" t="s">
        <v>95</v>
      </c>
      <c r="E6453" s="52" t="s">
        <v>721</v>
      </c>
      <c r="F6453" s="52" t="s">
        <v>26</v>
      </c>
      <c r="G6453" s="55" t="s">
        <v>275</v>
      </c>
      <c r="H6453" s="55"/>
      <c r="I6453" s="55"/>
      <c r="J6453" s="55"/>
      <c r="K6453" s="55"/>
      <c r="L6453" s="55">
        <v>0</v>
      </c>
      <c r="M6453" s="55">
        <v>0</v>
      </c>
      <c r="N6453" s="55">
        <v>0</v>
      </c>
    </row>
    <row r="6454" spans="1:14" hidden="1" x14ac:dyDescent="0.35">
      <c r="A6454" s="52" t="s">
        <v>719</v>
      </c>
      <c r="B6454" s="52" t="s">
        <v>37</v>
      </c>
      <c r="C6454" s="52" t="s">
        <v>109</v>
      </c>
      <c r="D6454" s="52" t="s">
        <v>109</v>
      </c>
      <c r="E6454" s="52" t="s">
        <v>584</v>
      </c>
      <c r="F6454" s="52" t="s">
        <v>26</v>
      </c>
      <c r="G6454" s="55" t="s">
        <v>275</v>
      </c>
      <c r="H6454" s="55">
        <v>0</v>
      </c>
      <c r="I6454" s="55"/>
      <c r="J6454" s="55"/>
      <c r="K6454" s="55"/>
      <c r="L6454" s="55"/>
      <c r="M6454" s="55"/>
      <c r="N6454" s="55"/>
    </row>
    <row r="6455" spans="1:14" hidden="1" x14ac:dyDescent="0.35">
      <c r="A6455" s="52" t="s">
        <v>719</v>
      </c>
      <c r="B6455" s="52" t="s">
        <v>37</v>
      </c>
      <c r="C6455" s="52" t="s">
        <v>204</v>
      </c>
      <c r="D6455" s="52" t="s">
        <v>204</v>
      </c>
      <c r="E6455" s="52" t="s">
        <v>720</v>
      </c>
      <c r="F6455" s="52" t="s">
        <v>26</v>
      </c>
      <c r="G6455" s="55" t="s">
        <v>275</v>
      </c>
      <c r="H6455" s="55"/>
      <c r="I6455" s="55"/>
      <c r="J6455" s="55"/>
      <c r="K6455" s="55"/>
      <c r="L6455" s="55">
        <v>0</v>
      </c>
      <c r="M6455" s="55">
        <v>0</v>
      </c>
      <c r="N6455" s="55">
        <v>0</v>
      </c>
    </row>
    <row r="6456" spans="1:14" hidden="1" x14ac:dyDescent="0.35">
      <c r="A6456" s="52" t="s">
        <v>719</v>
      </c>
      <c r="B6456" s="52" t="s">
        <v>37</v>
      </c>
      <c r="C6456" s="52" t="s">
        <v>95</v>
      </c>
      <c r="D6456" s="52" t="s">
        <v>95</v>
      </c>
      <c r="E6456" s="52" t="s">
        <v>721</v>
      </c>
      <c r="F6456" s="52" t="s">
        <v>26</v>
      </c>
      <c r="G6456" s="55" t="s">
        <v>276</v>
      </c>
      <c r="H6456" s="55"/>
      <c r="I6456" s="55"/>
      <c r="J6456" s="55"/>
      <c r="K6456" s="55"/>
      <c r="L6456" s="55">
        <v>0</v>
      </c>
      <c r="M6456" s="55">
        <v>0</v>
      </c>
      <c r="N6456" s="55">
        <v>0</v>
      </c>
    </row>
    <row r="6457" spans="1:14" hidden="1" x14ac:dyDescent="0.35">
      <c r="A6457" s="52" t="s">
        <v>719</v>
      </c>
      <c r="B6457" s="52" t="s">
        <v>37</v>
      </c>
      <c r="C6457" s="52" t="s">
        <v>204</v>
      </c>
      <c r="D6457" s="52" t="s">
        <v>204</v>
      </c>
      <c r="E6457" s="52" t="s">
        <v>720</v>
      </c>
      <c r="F6457" s="52" t="s">
        <v>26</v>
      </c>
      <c r="G6457" s="55" t="s">
        <v>276</v>
      </c>
      <c r="H6457" s="55"/>
      <c r="I6457" s="55"/>
      <c r="J6457" s="55"/>
      <c r="K6457" s="55"/>
      <c r="L6457" s="55">
        <v>0</v>
      </c>
      <c r="M6457" s="55">
        <v>0</v>
      </c>
      <c r="N6457" s="55">
        <v>0</v>
      </c>
    </row>
    <row r="6458" spans="1:14" hidden="1" x14ac:dyDescent="0.35">
      <c r="A6458" s="52" t="s">
        <v>719</v>
      </c>
      <c r="B6458" s="52" t="s">
        <v>37</v>
      </c>
      <c r="C6458" s="52" t="s">
        <v>109</v>
      </c>
      <c r="D6458" s="52" t="s">
        <v>109</v>
      </c>
      <c r="E6458" s="52" t="s">
        <v>584</v>
      </c>
      <c r="F6458" s="52" t="s">
        <v>26</v>
      </c>
      <c r="G6458" s="55" t="s">
        <v>276</v>
      </c>
      <c r="H6458" s="55">
        <v>0</v>
      </c>
      <c r="I6458" s="55"/>
      <c r="J6458" s="55"/>
      <c r="K6458" s="55"/>
      <c r="L6458" s="55"/>
      <c r="M6458" s="55"/>
      <c r="N6458" s="55"/>
    </row>
    <row r="6459" spans="1:14" hidden="1" x14ac:dyDescent="0.35">
      <c r="A6459" s="52" t="s">
        <v>719</v>
      </c>
      <c r="B6459" s="52" t="s">
        <v>37</v>
      </c>
      <c r="C6459" s="52" t="s">
        <v>95</v>
      </c>
      <c r="D6459" s="52" t="s">
        <v>95</v>
      </c>
      <c r="E6459" s="52" t="s">
        <v>721</v>
      </c>
      <c r="F6459" s="52" t="s">
        <v>26</v>
      </c>
      <c r="G6459" s="55" t="s">
        <v>277</v>
      </c>
      <c r="H6459" s="55"/>
      <c r="I6459" s="55"/>
      <c r="J6459" s="55"/>
      <c r="K6459" s="55"/>
      <c r="L6459" s="55">
        <v>0</v>
      </c>
      <c r="M6459" s="55">
        <v>0</v>
      </c>
      <c r="N6459" s="55">
        <v>0</v>
      </c>
    </row>
    <row r="6460" spans="1:14" hidden="1" x14ac:dyDescent="0.35">
      <c r="A6460" s="52" t="s">
        <v>719</v>
      </c>
      <c r="B6460" s="52" t="s">
        <v>37</v>
      </c>
      <c r="C6460" s="52" t="s">
        <v>204</v>
      </c>
      <c r="D6460" s="52" t="s">
        <v>204</v>
      </c>
      <c r="E6460" s="52" t="s">
        <v>720</v>
      </c>
      <c r="F6460" s="52" t="s">
        <v>26</v>
      </c>
      <c r="G6460" s="55" t="s">
        <v>277</v>
      </c>
      <c r="H6460" s="55"/>
      <c r="I6460" s="55"/>
      <c r="J6460" s="55"/>
      <c r="K6460" s="55"/>
      <c r="L6460" s="55">
        <v>0</v>
      </c>
      <c r="M6460" s="55">
        <v>0</v>
      </c>
      <c r="N6460" s="55">
        <v>0</v>
      </c>
    </row>
    <row r="6461" spans="1:14" hidden="1" x14ac:dyDescent="0.35">
      <c r="A6461" s="52" t="s">
        <v>719</v>
      </c>
      <c r="B6461" s="52" t="s">
        <v>37</v>
      </c>
      <c r="C6461" s="52" t="s">
        <v>204</v>
      </c>
      <c r="D6461" s="52" t="s">
        <v>204</v>
      </c>
      <c r="E6461" s="52" t="s">
        <v>720</v>
      </c>
      <c r="F6461" s="52" t="s">
        <v>26</v>
      </c>
      <c r="G6461" s="55" t="s">
        <v>279</v>
      </c>
      <c r="H6461" s="55"/>
      <c r="I6461" s="55"/>
      <c r="J6461" s="55"/>
      <c r="K6461" s="55"/>
      <c r="L6461" s="55">
        <v>0</v>
      </c>
      <c r="M6461" s="55">
        <v>0</v>
      </c>
      <c r="N6461" s="55">
        <v>0</v>
      </c>
    </row>
    <row r="6462" spans="1:14" hidden="1" x14ac:dyDescent="0.35">
      <c r="A6462" s="52" t="s">
        <v>719</v>
      </c>
      <c r="B6462" s="52" t="s">
        <v>37</v>
      </c>
      <c r="C6462" s="52" t="s">
        <v>109</v>
      </c>
      <c r="D6462" s="52" t="s">
        <v>109</v>
      </c>
      <c r="E6462" s="52" t="s">
        <v>584</v>
      </c>
      <c r="F6462" s="52" t="s">
        <v>26</v>
      </c>
      <c r="G6462" s="55" t="s">
        <v>279</v>
      </c>
      <c r="H6462" s="55">
        <v>0</v>
      </c>
      <c r="I6462" s="55"/>
      <c r="J6462" s="55"/>
      <c r="K6462" s="55"/>
      <c r="L6462" s="55"/>
      <c r="M6462" s="55"/>
      <c r="N6462" s="55"/>
    </row>
    <row r="6463" spans="1:14" hidden="1" x14ac:dyDescent="0.35">
      <c r="A6463" s="52" t="s">
        <v>719</v>
      </c>
      <c r="B6463" s="52" t="s">
        <v>37</v>
      </c>
      <c r="C6463" s="52" t="s">
        <v>95</v>
      </c>
      <c r="D6463" s="52" t="s">
        <v>95</v>
      </c>
      <c r="E6463" s="52" t="s">
        <v>721</v>
      </c>
      <c r="F6463" s="52" t="s">
        <v>26</v>
      </c>
      <c r="G6463" s="55" t="s">
        <v>279</v>
      </c>
      <c r="H6463" s="55"/>
      <c r="I6463" s="55"/>
      <c r="J6463" s="55"/>
      <c r="K6463" s="55"/>
      <c r="L6463" s="55">
        <v>0</v>
      </c>
      <c r="M6463" s="55">
        <v>0</v>
      </c>
      <c r="N6463" s="55">
        <v>0</v>
      </c>
    </row>
    <row r="6464" spans="1:14" hidden="1" x14ac:dyDescent="0.35">
      <c r="A6464" s="52" t="s">
        <v>712</v>
      </c>
      <c r="B6464" s="52" t="s">
        <v>34</v>
      </c>
      <c r="C6464" s="52" t="s">
        <v>230</v>
      </c>
      <c r="D6464" s="52" t="s">
        <v>230</v>
      </c>
      <c r="E6464" s="52" t="s">
        <v>584</v>
      </c>
      <c r="F6464" s="52" t="s">
        <v>581</v>
      </c>
      <c r="G6464" s="55" t="s">
        <v>275</v>
      </c>
      <c r="H6464" s="55">
        <v>86.704300000000003</v>
      </c>
      <c r="I6464" s="55">
        <v>35.77393</v>
      </c>
      <c r="J6464" s="55">
        <v>54.425269999999998</v>
      </c>
      <c r="K6464" s="55">
        <v>44.563800000000001</v>
      </c>
      <c r="L6464" s="55">
        <v>37.081249999999997</v>
      </c>
      <c r="M6464" s="55">
        <v>33.289110000000001</v>
      </c>
      <c r="N6464" s="55">
        <v>29.919689999999999</v>
      </c>
    </row>
    <row r="6465" spans="1:14" hidden="1" x14ac:dyDescent="0.35">
      <c r="A6465" s="52" t="s">
        <v>712</v>
      </c>
      <c r="B6465" s="52" t="s">
        <v>34</v>
      </c>
      <c r="C6465" s="52" t="s">
        <v>230</v>
      </c>
      <c r="D6465" s="52" t="s">
        <v>230</v>
      </c>
      <c r="E6465" s="52" t="s">
        <v>584</v>
      </c>
      <c r="F6465" s="52" t="s">
        <v>581</v>
      </c>
      <c r="G6465" s="55" t="s">
        <v>276</v>
      </c>
      <c r="H6465" s="55">
        <v>33.792949999999998</v>
      </c>
      <c r="I6465" s="55">
        <v>7.4420380000000002</v>
      </c>
      <c r="J6465" s="55">
        <v>13.854340000000001</v>
      </c>
      <c r="K6465" s="55">
        <v>16.736660000000001</v>
      </c>
      <c r="L6465" s="55">
        <v>17.206060000000001</v>
      </c>
      <c r="M6465" s="55">
        <v>18.123860000000001</v>
      </c>
      <c r="N6465" s="55">
        <v>14.81667</v>
      </c>
    </row>
    <row r="6466" spans="1:14" hidden="1" x14ac:dyDescent="0.35">
      <c r="A6466" s="52" t="s">
        <v>712</v>
      </c>
      <c r="B6466" s="52" t="s">
        <v>34</v>
      </c>
      <c r="C6466" s="52" t="s">
        <v>230</v>
      </c>
      <c r="D6466" s="52" t="s">
        <v>230</v>
      </c>
      <c r="E6466" s="52" t="s">
        <v>584</v>
      </c>
      <c r="F6466" s="52" t="s">
        <v>581</v>
      </c>
      <c r="G6466" s="55" t="s">
        <v>277</v>
      </c>
      <c r="H6466" s="55">
        <v>70.278390000000002</v>
      </c>
      <c r="I6466" s="55">
        <v>49.84563</v>
      </c>
      <c r="J6466" s="55">
        <v>48.551319999999997</v>
      </c>
      <c r="K6466" s="55">
        <v>57.141350000000003</v>
      </c>
      <c r="L6466" s="55">
        <v>64.431209999999993</v>
      </c>
      <c r="M6466" s="55">
        <v>77.657870000000003</v>
      </c>
      <c r="N6466" s="55">
        <v>79.930409999999995</v>
      </c>
    </row>
    <row r="6467" spans="1:14" hidden="1" x14ac:dyDescent="0.35">
      <c r="A6467" s="52" t="s">
        <v>712</v>
      </c>
      <c r="B6467" s="52" t="s">
        <v>34</v>
      </c>
      <c r="C6467" s="52" t="s">
        <v>230</v>
      </c>
      <c r="D6467" s="52" t="s">
        <v>230</v>
      </c>
      <c r="E6467" s="52" t="s">
        <v>584</v>
      </c>
      <c r="F6467" s="52" t="s">
        <v>581</v>
      </c>
      <c r="G6467" s="55" t="s">
        <v>278</v>
      </c>
      <c r="H6467" s="55">
        <v>0</v>
      </c>
      <c r="I6467" s="55"/>
      <c r="J6467" s="55"/>
      <c r="K6467" s="55"/>
      <c r="L6467" s="55"/>
      <c r="M6467" s="55"/>
      <c r="N6467" s="55"/>
    </row>
    <row r="6468" spans="1:14" hidden="1" x14ac:dyDescent="0.35">
      <c r="A6468" s="52" t="s">
        <v>712</v>
      </c>
      <c r="B6468" s="52" t="s">
        <v>34</v>
      </c>
      <c r="C6468" s="52" t="s">
        <v>230</v>
      </c>
      <c r="D6468" s="52" t="s">
        <v>230</v>
      </c>
      <c r="E6468" s="52" t="s">
        <v>584</v>
      </c>
      <c r="F6468" s="52" t="s">
        <v>581</v>
      </c>
      <c r="G6468" s="55" t="s">
        <v>279</v>
      </c>
      <c r="H6468" s="55">
        <v>44.664110000000001</v>
      </c>
      <c r="I6468" s="55">
        <v>47.165230000000001</v>
      </c>
      <c r="J6468" s="55">
        <v>52.238430000000001</v>
      </c>
      <c r="K6468" s="55">
        <v>57.859119999999997</v>
      </c>
      <c r="L6468" s="55">
        <v>62.16771</v>
      </c>
      <c r="M6468" s="55">
        <v>56.25414</v>
      </c>
      <c r="N6468" s="55">
        <v>54.361229999999999</v>
      </c>
    </row>
    <row r="6469" spans="1:14" hidden="1" x14ac:dyDescent="0.35">
      <c r="A6469" s="52" t="s">
        <v>712</v>
      </c>
      <c r="B6469" s="52" t="s">
        <v>34</v>
      </c>
      <c r="C6469" s="52" t="s">
        <v>230</v>
      </c>
      <c r="D6469" s="52" t="s">
        <v>230</v>
      </c>
      <c r="E6469" s="52" t="s">
        <v>584</v>
      </c>
      <c r="F6469" s="52" t="s">
        <v>26</v>
      </c>
      <c r="G6469" s="55" t="s">
        <v>275</v>
      </c>
      <c r="H6469" s="55">
        <v>-0.76818200000000003</v>
      </c>
      <c r="I6469" s="55">
        <v>-0.82478260000000003</v>
      </c>
      <c r="J6469" s="55">
        <v>-0.5125284</v>
      </c>
      <c r="K6469" s="55">
        <v>-0.4609626</v>
      </c>
      <c r="L6469" s="55">
        <v>-0.41376970000000002</v>
      </c>
      <c r="M6469" s="55">
        <v>-0.26130920000000002</v>
      </c>
      <c r="N6469" s="55">
        <v>-0.17714550000000001</v>
      </c>
    </row>
    <row r="6470" spans="1:14" hidden="1" x14ac:dyDescent="0.35">
      <c r="A6470" s="52" t="s">
        <v>712</v>
      </c>
      <c r="B6470" s="52" t="s">
        <v>34</v>
      </c>
      <c r="C6470" s="52" t="s">
        <v>230</v>
      </c>
      <c r="D6470" s="52" t="s">
        <v>230</v>
      </c>
      <c r="E6470" s="52" t="s">
        <v>584</v>
      </c>
      <c r="F6470" s="52" t="s">
        <v>26</v>
      </c>
      <c r="G6470" s="55" t="s">
        <v>276</v>
      </c>
      <c r="H6470" s="55">
        <v>-0.28412100000000001</v>
      </c>
      <c r="I6470" s="55">
        <v>-0.30505700000000002</v>
      </c>
      <c r="J6470" s="55">
        <v>-0.1895655</v>
      </c>
      <c r="K6470" s="55">
        <v>-0.1704938</v>
      </c>
      <c r="L6470" s="55">
        <v>-0.15303839999999999</v>
      </c>
      <c r="M6470" s="55">
        <v>-9.6648999999999999E-2</v>
      </c>
      <c r="N6470" s="55">
        <v>-6.5519300000000003E-2</v>
      </c>
    </row>
    <row r="6471" spans="1:14" hidden="1" x14ac:dyDescent="0.35">
      <c r="A6471" s="52" t="s">
        <v>712</v>
      </c>
      <c r="B6471" s="52" t="s">
        <v>34</v>
      </c>
      <c r="C6471" s="52" t="s">
        <v>230</v>
      </c>
      <c r="D6471" s="52" t="s">
        <v>230</v>
      </c>
      <c r="E6471" s="52" t="s">
        <v>584</v>
      </c>
      <c r="F6471" s="52" t="s">
        <v>26</v>
      </c>
      <c r="G6471" s="55" t="s">
        <v>279</v>
      </c>
      <c r="H6471" s="55">
        <v>5.1151929999999997</v>
      </c>
      <c r="I6471" s="55">
        <v>3.4588960000000002</v>
      </c>
      <c r="J6471" s="55">
        <v>2.3711090000000001</v>
      </c>
      <c r="K6471" s="55">
        <v>1.779954</v>
      </c>
      <c r="L6471" s="55">
        <v>1.356508</v>
      </c>
      <c r="M6471" s="55">
        <v>0.90060770000000001</v>
      </c>
      <c r="N6471" s="55">
        <v>0.61532699999999996</v>
      </c>
    </row>
    <row r="6472" spans="1:14" hidden="1" x14ac:dyDescent="0.35">
      <c r="A6472" s="52" t="s">
        <v>712</v>
      </c>
      <c r="B6472" s="52" t="s">
        <v>34</v>
      </c>
      <c r="C6472" s="52" t="s">
        <v>230</v>
      </c>
      <c r="D6472" s="52" t="s">
        <v>230</v>
      </c>
      <c r="E6472" s="52" t="s">
        <v>697</v>
      </c>
      <c r="F6472" s="52" t="s">
        <v>581</v>
      </c>
      <c r="G6472" s="55" t="s">
        <v>275</v>
      </c>
      <c r="H6472" s="55">
        <v>10.300039999999999</v>
      </c>
      <c r="I6472" s="55">
        <v>11.602220000000001</v>
      </c>
      <c r="J6472" s="55">
        <v>28.75018</v>
      </c>
      <c r="K6472" s="55">
        <v>28.840050000000002</v>
      </c>
      <c r="L6472" s="55">
        <v>17.588940000000001</v>
      </c>
      <c r="M6472" s="55">
        <v>17.496919999999999</v>
      </c>
      <c r="N6472" s="55">
        <v>15.90626</v>
      </c>
    </row>
    <row r="6473" spans="1:14" hidden="1" x14ac:dyDescent="0.35">
      <c r="A6473" s="52" t="s">
        <v>712</v>
      </c>
      <c r="B6473" s="52" t="s">
        <v>34</v>
      </c>
      <c r="C6473" s="52" t="s">
        <v>230</v>
      </c>
      <c r="D6473" s="52" t="s">
        <v>230</v>
      </c>
      <c r="E6473" s="52" t="s">
        <v>697</v>
      </c>
      <c r="F6473" s="52" t="s">
        <v>581</v>
      </c>
      <c r="G6473" s="55" t="s">
        <v>276</v>
      </c>
      <c r="H6473" s="55">
        <v>13.657970000000001</v>
      </c>
      <c r="I6473" s="55">
        <v>-2.8299970000000001</v>
      </c>
      <c r="J6473" s="55">
        <v>-1.0106170000000001</v>
      </c>
      <c r="K6473" s="55">
        <v>0.77292209999999995</v>
      </c>
      <c r="L6473" s="55">
        <v>4.5841010000000004</v>
      </c>
      <c r="M6473" s="55">
        <v>6.8297790000000003</v>
      </c>
      <c r="N6473" s="55">
        <v>7.372757</v>
      </c>
    </row>
    <row r="6474" spans="1:14" hidden="1" x14ac:dyDescent="0.35">
      <c r="A6474" s="52" t="s">
        <v>712</v>
      </c>
      <c r="B6474" s="52" t="s">
        <v>34</v>
      </c>
      <c r="C6474" s="52" t="s">
        <v>230</v>
      </c>
      <c r="D6474" s="52" t="s">
        <v>230</v>
      </c>
      <c r="E6474" s="52" t="s">
        <v>697</v>
      </c>
      <c r="F6474" s="52" t="s">
        <v>581</v>
      </c>
      <c r="G6474" s="55" t="s">
        <v>277</v>
      </c>
      <c r="H6474" s="55">
        <v>67.414820000000006</v>
      </c>
      <c r="I6474" s="55">
        <v>36.563699999999997</v>
      </c>
      <c r="J6474" s="55">
        <v>13.225820000000001</v>
      </c>
      <c r="K6474" s="55">
        <v>7.3455149999999998</v>
      </c>
      <c r="L6474" s="55">
        <v>11.3309</v>
      </c>
      <c r="M6474" s="55">
        <v>11.888400000000001</v>
      </c>
      <c r="N6474" s="55">
        <v>15.65185</v>
      </c>
    </row>
    <row r="6475" spans="1:14" hidden="1" x14ac:dyDescent="0.35">
      <c r="A6475" s="52" t="s">
        <v>712</v>
      </c>
      <c r="B6475" s="52" t="s">
        <v>34</v>
      </c>
      <c r="C6475" s="52" t="s">
        <v>230</v>
      </c>
      <c r="D6475" s="52" t="s">
        <v>230</v>
      </c>
      <c r="E6475" s="52" t="s">
        <v>697</v>
      </c>
      <c r="F6475" s="52" t="s">
        <v>581</v>
      </c>
      <c r="G6475" s="55" t="s">
        <v>278</v>
      </c>
      <c r="H6475" s="55">
        <v>18.23357</v>
      </c>
      <c r="I6475" s="55">
        <v>7.624422</v>
      </c>
      <c r="J6475" s="55">
        <v>9.3433379999999993</v>
      </c>
      <c r="K6475" s="55">
        <v>7.7893030000000003</v>
      </c>
      <c r="L6475" s="55">
        <v>9.0399460000000005</v>
      </c>
      <c r="M6475" s="55">
        <v>8.7615879999999997</v>
      </c>
      <c r="N6475" s="55">
        <v>8.436693</v>
      </c>
    </row>
    <row r="6476" spans="1:14" hidden="1" x14ac:dyDescent="0.35">
      <c r="A6476" s="52" t="s">
        <v>712</v>
      </c>
      <c r="B6476" s="52" t="s">
        <v>34</v>
      </c>
      <c r="C6476" s="52" t="s">
        <v>230</v>
      </c>
      <c r="D6476" s="52" t="s">
        <v>230</v>
      </c>
      <c r="E6476" s="52" t="s">
        <v>697</v>
      </c>
      <c r="F6476" s="52" t="s">
        <v>581</v>
      </c>
      <c r="G6476" s="55" t="s">
        <v>279</v>
      </c>
      <c r="H6476" s="55">
        <v>20.87687</v>
      </c>
      <c r="I6476" s="55">
        <v>21.97466</v>
      </c>
      <c r="J6476" s="55">
        <v>19.847570000000001</v>
      </c>
      <c r="K6476" s="55">
        <v>18.720949999999998</v>
      </c>
      <c r="L6476" s="55">
        <v>17.642669999999999</v>
      </c>
      <c r="M6476" s="55">
        <v>16.668880000000001</v>
      </c>
      <c r="N6476" s="55">
        <v>16.786269999999998</v>
      </c>
    </row>
    <row r="6477" spans="1:14" hidden="1" x14ac:dyDescent="0.35">
      <c r="A6477" s="52" t="s">
        <v>712</v>
      </c>
      <c r="B6477" s="52" t="s">
        <v>34</v>
      </c>
      <c r="C6477" s="52" t="s">
        <v>230</v>
      </c>
      <c r="D6477" s="52" t="s">
        <v>230</v>
      </c>
      <c r="E6477" s="52" t="s">
        <v>697</v>
      </c>
      <c r="F6477" s="52" t="s">
        <v>26</v>
      </c>
      <c r="G6477" s="55" t="s">
        <v>275</v>
      </c>
      <c r="H6477" s="55">
        <v>0.22792399999999999</v>
      </c>
      <c r="I6477" s="55">
        <v>2.8954000000000001E-2</v>
      </c>
      <c r="J6477" s="55">
        <v>9.0497300000000003E-2</v>
      </c>
      <c r="K6477" s="55">
        <v>7.2450200000000006E-2</v>
      </c>
      <c r="L6477" s="55">
        <v>9.3484990000000004E-2</v>
      </c>
      <c r="M6477" s="55">
        <v>8.2570900000000003E-2</v>
      </c>
      <c r="N6477" s="55">
        <v>7.9841499999999996E-2</v>
      </c>
    </row>
    <row r="6478" spans="1:14" hidden="1" x14ac:dyDescent="0.35">
      <c r="A6478" s="52" t="s">
        <v>712</v>
      </c>
      <c r="B6478" s="52" t="s">
        <v>34</v>
      </c>
      <c r="C6478" s="52" t="s">
        <v>230</v>
      </c>
      <c r="D6478" s="52" t="s">
        <v>230</v>
      </c>
      <c r="E6478" s="52" t="s">
        <v>697</v>
      </c>
      <c r="F6478" s="52" t="s">
        <v>26</v>
      </c>
      <c r="G6478" s="55" t="s">
        <v>276</v>
      </c>
      <c r="H6478" s="55">
        <v>8.43E-2</v>
      </c>
      <c r="I6478" s="55">
        <v>1.07089E-2</v>
      </c>
      <c r="J6478" s="55">
        <v>3.3471000000000001E-2</v>
      </c>
      <c r="K6478" s="55">
        <v>2.6796E-2</v>
      </c>
      <c r="L6478" s="55">
        <v>3.4576200000000001E-2</v>
      </c>
      <c r="M6478" s="55">
        <v>3.0539699999999999E-2</v>
      </c>
      <c r="N6478" s="55">
        <v>2.9530000000000001E-2</v>
      </c>
    </row>
    <row r="6479" spans="1:14" hidden="1" x14ac:dyDescent="0.35">
      <c r="A6479" s="52" t="s">
        <v>712</v>
      </c>
      <c r="B6479" s="52" t="s">
        <v>34</v>
      </c>
      <c r="C6479" s="52" t="s">
        <v>230</v>
      </c>
      <c r="D6479" s="52" t="s">
        <v>230</v>
      </c>
      <c r="E6479" s="52" t="s">
        <v>697</v>
      </c>
      <c r="F6479" s="52" t="s">
        <v>26</v>
      </c>
      <c r="G6479" s="55" t="s">
        <v>279</v>
      </c>
      <c r="H6479" s="55">
        <v>1.392957</v>
      </c>
      <c r="I6479" s="55">
        <v>1.1036889999999999</v>
      </c>
      <c r="J6479" s="55">
        <v>0.98178430000000005</v>
      </c>
      <c r="K6479" s="55">
        <v>0.91065790000000002</v>
      </c>
      <c r="L6479" s="55">
        <v>0.80591999999999997</v>
      </c>
      <c r="M6479" s="55">
        <v>0.76512630000000004</v>
      </c>
      <c r="N6479" s="55">
        <v>0.70189369999999995</v>
      </c>
    </row>
    <row r="6480" spans="1:14" hidden="1" x14ac:dyDescent="0.35">
      <c r="A6480" s="52" t="s">
        <v>712</v>
      </c>
      <c r="B6480" s="52" t="s">
        <v>34</v>
      </c>
      <c r="C6480" s="52" t="s">
        <v>33</v>
      </c>
      <c r="D6480" s="52" t="s">
        <v>33</v>
      </c>
      <c r="E6480" s="52" t="s">
        <v>713</v>
      </c>
      <c r="F6480" s="52" t="s">
        <v>581</v>
      </c>
      <c r="G6480" s="55" t="s">
        <v>275</v>
      </c>
      <c r="H6480" s="55">
        <v>-15.06596</v>
      </c>
      <c r="I6480" s="55">
        <v>-22.090540000000001</v>
      </c>
      <c r="J6480" s="55">
        <v>6.0958519999999998</v>
      </c>
      <c r="K6480" s="55">
        <v>6.1911170000000002</v>
      </c>
      <c r="L6480" s="55">
        <v>2.8472080000000002</v>
      </c>
      <c r="M6480" s="55">
        <v>1.875597</v>
      </c>
      <c r="N6480" s="55">
        <v>1.6221099999999999</v>
      </c>
    </row>
    <row r="6481" spans="1:14" hidden="1" x14ac:dyDescent="0.35">
      <c r="A6481" s="52" t="s">
        <v>712</v>
      </c>
      <c r="B6481" s="52" t="s">
        <v>34</v>
      </c>
      <c r="C6481" s="52" t="s">
        <v>33</v>
      </c>
      <c r="D6481" s="52" t="s">
        <v>33</v>
      </c>
      <c r="E6481" s="52" t="s">
        <v>713</v>
      </c>
      <c r="F6481" s="52" t="s">
        <v>581</v>
      </c>
      <c r="G6481" s="55" t="s">
        <v>276</v>
      </c>
      <c r="H6481" s="55">
        <v>-2.5617830000000001</v>
      </c>
      <c r="I6481" s="55">
        <v>-8.9309200000000004</v>
      </c>
      <c r="J6481" s="55">
        <v>-6.0614030000000003</v>
      </c>
      <c r="K6481" s="55">
        <v>-3.9360379999999999</v>
      </c>
      <c r="L6481" s="55">
        <v>-1.4439599999999999</v>
      </c>
      <c r="M6481" s="55">
        <v>0.24556559999999999</v>
      </c>
      <c r="N6481" s="55">
        <v>0.36375489999999999</v>
      </c>
    </row>
    <row r="6482" spans="1:14" hidden="1" x14ac:dyDescent="0.35">
      <c r="A6482" s="52" t="s">
        <v>712</v>
      </c>
      <c r="B6482" s="52" t="s">
        <v>34</v>
      </c>
      <c r="C6482" s="52" t="s">
        <v>33</v>
      </c>
      <c r="D6482" s="52" t="s">
        <v>33</v>
      </c>
      <c r="E6482" s="52" t="s">
        <v>713</v>
      </c>
      <c r="F6482" s="52" t="s">
        <v>581</v>
      </c>
      <c r="G6482" s="55" t="s">
        <v>277</v>
      </c>
      <c r="H6482" s="55">
        <v>34.90343</v>
      </c>
      <c r="I6482" s="55">
        <v>27.430260000000001</v>
      </c>
      <c r="J6482" s="55">
        <v>0.3359142</v>
      </c>
      <c r="K6482" s="55">
        <v>0</v>
      </c>
      <c r="L6482" s="55">
        <v>0.65132279999999998</v>
      </c>
      <c r="M6482" s="55">
        <v>0</v>
      </c>
      <c r="N6482" s="55">
        <v>0</v>
      </c>
    </row>
    <row r="6483" spans="1:14" hidden="1" x14ac:dyDescent="0.35">
      <c r="A6483" s="52" t="s">
        <v>712</v>
      </c>
      <c r="B6483" s="52" t="s">
        <v>34</v>
      </c>
      <c r="C6483" s="52" t="s">
        <v>33</v>
      </c>
      <c r="D6483" s="52" t="s">
        <v>33</v>
      </c>
      <c r="E6483" s="52" t="s">
        <v>713</v>
      </c>
      <c r="F6483" s="52" t="s">
        <v>581</v>
      </c>
      <c r="G6483" s="55" t="s">
        <v>278</v>
      </c>
      <c r="H6483" s="55">
        <v>6.9738230000000003</v>
      </c>
      <c r="I6483" s="55">
        <v>5.5502529999999997</v>
      </c>
      <c r="J6483" s="55">
        <v>2.2607490000000001</v>
      </c>
      <c r="K6483" s="55">
        <v>0</v>
      </c>
      <c r="L6483" s="55">
        <v>0.96595589999999998</v>
      </c>
      <c r="M6483" s="55">
        <v>0</v>
      </c>
      <c r="N6483" s="55">
        <v>0</v>
      </c>
    </row>
    <row r="6484" spans="1:14" hidden="1" x14ac:dyDescent="0.35">
      <c r="A6484" s="52" t="s">
        <v>712</v>
      </c>
      <c r="B6484" s="52" t="s">
        <v>34</v>
      </c>
      <c r="C6484" s="52" t="s">
        <v>33</v>
      </c>
      <c r="D6484" s="52" t="s">
        <v>33</v>
      </c>
      <c r="E6484" s="52" t="s">
        <v>713</v>
      </c>
      <c r="F6484" s="52" t="s">
        <v>581</v>
      </c>
      <c r="G6484" s="55" t="s">
        <v>279</v>
      </c>
      <c r="H6484" s="55">
        <v>20.190270000000002</v>
      </c>
      <c r="I6484" s="55">
        <v>18.039210000000001</v>
      </c>
      <c r="J6484" s="55">
        <v>16.21622</v>
      </c>
      <c r="K6484" s="55">
        <v>13.96485</v>
      </c>
      <c r="L6484" s="55">
        <v>11.656510000000001</v>
      </c>
      <c r="M6484" s="55">
        <v>11.06887</v>
      </c>
      <c r="N6484" s="55">
        <v>9.9153649999999995</v>
      </c>
    </row>
    <row r="6485" spans="1:14" hidden="1" x14ac:dyDescent="0.35">
      <c r="A6485" s="52" t="s">
        <v>712</v>
      </c>
      <c r="B6485" s="52" t="s">
        <v>34</v>
      </c>
      <c r="C6485" s="52" t="s">
        <v>33</v>
      </c>
      <c r="D6485" s="52" t="s">
        <v>33</v>
      </c>
      <c r="E6485" s="52" t="s">
        <v>713</v>
      </c>
      <c r="F6485" s="52" t="s">
        <v>26</v>
      </c>
      <c r="G6485" s="55" t="s">
        <v>275</v>
      </c>
      <c r="H6485" s="55">
        <v>-10.9328</v>
      </c>
      <c r="I6485" s="55">
        <v>-9.8947070000000004</v>
      </c>
      <c r="J6485" s="55">
        <v>-6.4102690000000004</v>
      </c>
      <c r="K6485" s="55">
        <v>-5.7551290000000002</v>
      </c>
      <c r="L6485" s="55">
        <v>-3.9604349999999999</v>
      </c>
      <c r="M6485" s="55">
        <v>-4.3702769999999997</v>
      </c>
      <c r="N6485" s="55">
        <v>-3.9189940000000001</v>
      </c>
    </row>
    <row r="6486" spans="1:14" hidden="1" x14ac:dyDescent="0.35">
      <c r="A6486" s="52" t="s">
        <v>712</v>
      </c>
      <c r="B6486" s="52" t="s">
        <v>34</v>
      </c>
      <c r="C6486" s="52" t="s">
        <v>33</v>
      </c>
      <c r="D6486" s="52" t="s">
        <v>33</v>
      </c>
      <c r="E6486" s="52" t="s">
        <v>713</v>
      </c>
      <c r="F6486" s="52" t="s">
        <v>26</v>
      </c>
      <c r="G6486" s="55" t="s">
        <v>276</v>
      </c>
      <c r="H6486" s="55">
        <v>-3.9417599999999999</v>
      </c>
      <c r="I6486" s="55">
        <v>-3.2982360000000002</v>
      </c>
      <c r="J6486" s="55">
        <v>-2.024295</v>
      </c>
      <c r="K6486" s="55">
        <v>-1.7190639999999999</v>
      </c>
      <c r="L6486" s="55">
        <v>-1.182987</v>
      </c>
      <c r="M6486" s="55">
        <v>-1.3054079999999999</v>
      </c>
      <c r="N6486" s="55">
        <v>-1.1706080000000001</v>
      </c>
    </row>
    <row r="6487" spans="1:14" hidden="1" x14ac:dyDescent="0.35">
      <c r="A6487" s="52" t="s">
        <v>712</v>
      </c>
      <c r="B6487" s="52" t="s">
        <v>34</v>
      </c>
      <c r="C6487" s="52" t="s">
        <v>33</v>
      </c>
      <c r="D6487" s="52" t="s">
        <v>33</v>
      </c>
      <c r="E6487" s="52" t="s">
        <v>713</v>
      </c>
      <c r="F6487" s="52" t="s">
        <v>26</v>
      </c>
      <c r="G6487" s="55" t="s">
        <v>279</v>
      </c>
      <c r="H6487" s="55">
        <v>50.437399999999997</v>
      </c>
      <c r="I6487" s="55">
        <v>47.146210000000004</v>
      </c>
      <c r="J6487" s="55">
        <v>31.71716</v>
      </c>
      <c r="K6487" s="55">
        <v>27.383870000000002</v>
      </c>
      <c r="L6487" s="55">
        <v>23.026009999999999</v>
      </c>
      <c r="M6487" s="55">
        <v>21.652149999999999</v>
      </c>
      <c r="N6487" s="55">
        <v>19.412379999999999</v>
      </c>
    </row>
    <row r="6488" spans="1:14" hidden="1" x14ac:dyDescent="0.35">
      <c r="A6488" s="52" t="s">
        <v>712</v>
      </c>
      <c r="B6488" s="52" t="s">
        <v>34</v>
      </c>
      <c r="C6488" s="52" t="s">
        <v>33</v>
      </c>
      <c r="D6488" s="52" t="s">
        <v>33</v>
      </c>
      <c r="E6488" s="52" t="s">
        <v>714</v>
      </c>
      <c r="F6488" s="52" t="s">
        <v>581</v>
      </c>
      <c r="G6488" s="55" t="s">
        <v>275</v>
      </c>
      <c r="H6488" s="55">
        <v>34.539709999999999</v>
      </c>
      <c r="I6488" s="55">
        <v>13.94882</v>
      </c>
      <c r="J6488" s="55">
        <v>15.18984</v>
      </c>
      <c r="K6488" s="55">
        <v>13.68943</v>
      </c>
      <c r="L6488" s="55">
        <v>11.780099999999999</v>
      </c>
      <c r="M6488" s="55">
        <v>10.7653</v>
      </c>
      <c r="N6488" s="55">
        <v>5.1316940000000004</v>
      </c>
    </row>
    <row r="6489" spans="1:14" hidden="1" x14ac:dyDescent="0.35">
      <c r="A6489" s="52" t="s">
        <v>712</v>
      </c>
      <c r="B6489" s="52" t="s">
        <v>34</v>
      </c>
      <c r="C6489" s="52" t="s">
        <v>33</v>
      </c>
      <c r="D6489" s="52" t="s">
        <v>33</v>
      </c>
      <c r="E6489" s="52" t="s">
        <v>714</v>
      </c>
      <c r="F6489" s="52" t="s">
        <v>581</v>
      </c>
      <c r="G6489" s="55" t="s">
        <v>276</v>
      </c>
      <c r="H6489" s="55">
        <v>9.656822</v>
      </c>
      <c r="I6489" s="55">
        <v>3.701044</v>
      </c>
      <c r="J6489" s="55">
        <v>4.1271100000000001</v>
      </c>
      <c r="K6489" s="55">
        <v>3.8303539999999998</v>
      </c>
      <c r="L6489" s="55">
        <v>3.5423390000000001</v>
      </c>
      <c r="M6489" s="55">
        <v>3.5950160000000002</v>
      </c>
      <c r="N6489" s="55">
        <v>3.4252799999999999</v>
      </c>
    </row>
    <row r="6490" spans="1:14" hidden="1" x14ac:dyDescent="0.35">
      <c r="A6490" s="52" t="s">
        <v>712</v>
      </c>
      <c r="B6490" s="52" t="s">
        <v>34</v>
      </c>
      <c r="C6490" s="52" t="s">
        <v>33</v>
      </c>
      <c r="D6490" s="52" t="s">
        <v>33</v>
      </c>
      <c r="E6490" s="52" t="s">
        <v>714</v>
      </c>
      <c r="F6490" s="52" t="s">
        <v>581</v>
      </c>
      <c r="G6490" s="55" t="s">
        <v>277</v>
      </c>
      <c r="H6490" s="55">
        <v>0</v>
      </c>
      <c r="I6490" s="55">
        <v>4.4800000000000004</v>
      </c>
      <c r="J6490" s="55">
        <v>0.34724470000000002</v>
      </c>
      <c r="K6490" s="55">
        <v>0.2840124</v>
      </c>
      <c r="L6490" s="55">
        <v>1.2078629999999999</v>
      </c>
      <c r="M6490" s="55">
        <v>1.5545420000000001</v>
      </c>
      <c r="N6490" s="55">
        <v>8.0428960000000007</v>
      </c>
    </row>
    <row r="6491" spans="1:14" hidden="1" x14ac:dyDescent="0.35">
      <c r="A6491" s="52" t="s">
        <v>712</v>
      </c>
      <c r="B6491" s="52" t="s">
        <v>34</v>
      </c>
      <c r="C6491" s="52" t="s">
        <v>33</v>
      </c>
      <c r="D6491" s="52" t="s">
        <v>33</v>
      </c>
      <c r="E6491" s="52" t="s">
        <v>714</v>
      </c>
      <c r="F6491" s="52" t="s">
        <v>581</v>
      </c>
      <c r="G6491" s="55" t="s">
        <v>278</v>
      </c>
      <c r="H6491" s="55">
        <v>0</v>
      </c>
      <c r="I6491" s="55">
        <v>0.4</v>
      </c>
      <c r="J6491" s="55">
        <v>0.4266605</v>
      </c>
      <c r="K6491" s="55">
        <v>0.4458647</v>
      </c>
      <c r="L6491" s="55">
        <v>1.0254369999999999</v>
      </c>
      <c r="M6491" s="55">
        <v>1.3847290000000001</v>
      </c>
      <c r="N6491" s="55">
        <v>2.3719760000000001</v>
      </c>
    </row>
    <row r="6492" spans="1:14" hidden="1" x14ac:dyDescent="0.35">
      <c r="A6492" s="52" t="s">
        <v>712</v>
      </c>
      <c r="B6492" s="52" t="s">
        <v>34</v>
      </c>
      <c r="C6492" s="52" t="s">
        <v>33</v>
      </c>
      <c r="D6492" s="52" t="s">
        <v>33</v>
      </c>
      <c r="E6492" s="52" t="s">
        <v>714</v>
      </c>
      <c r="F6492" s="52" t="s">
        <v>581</v>
      </c>
      <c r="G6492" s="55" t="s">
        <v>279</v>
      </c>
      <c r="H6492" s="55">
        <v>8.207592</v>
      </c>
      <c r="I6492" s="55">
        <v>9.935314</v>
      </c>
      <c r="J6492" s="55">
        <v>8.4218030000000006</v>
      </c>
      <c r="K6492" s="55">
        <v>7.6684210000000004</v>
      </c>
      <c r="L6492" s="55">
        <v>6.8437429999999999</v>
      </c>
      <c r="M6492" s="55">
        <v>6.9299689999999998</v>
      </c>
      <c r="N6492" s="55">
        <v>7.5249740000000003</v>
      </c>
    </row>
    <row r="6493" spans="1:14" hidden="1" x14ac:dyDescent="0.35">
      <c r="A6493" s="52" t="s">
        <v>712</v>
      </c>
      <c r="B6493" s="52" t="s">
        <v>34</v>
      </c>
      <c r="C6493" s="52" t="s">
        <v>33</v>
      </c>
      <c r="D6493" s="52" t="s">
        <v>33</v>
      </c>
      <c r="E6493" s="52" t="s">
        <v>714</v>
      </c>
      <c r="F6493" s="52" t="s">
        <v>26</v>
      </c>
      <c r="G6493" s="55" t="s">
        <v>275</v>
      </c>
      <c r="H6493" s="55">
        <v>-0.47105799999999998</v>
      </c>
      <c r="I6493" s="55">
        <v>-0.36799779999999999</v>
      </c>
      <c r="J6493" s="55">
        <v>-0.32046780000000002</v>
      </c>
      <c r="K6493" s="55">
        <v>-0.33093529999999999</v>
      </c>
      <c r="L6493" s="55">
        <v>-0.2840184</v>
      </c>
      <c r="M6493" s="55">
        <v>-0.26683869999999998</v>
      </c>
      <c r="N6493" s="55">
        <v>-0.28620800000000002</v>
      </c>
    </row>
    <row r="6494" spans="1:14" hidden="1" x14ac:dyDescent="0.35">
      <c r="A6494" s="52" t="s">
        <v>712</v>
      </c>
      <c r="B6494" s="52" t="s">
        <v>34</v>
      </c>
      <c r="C6494" s="52" t="s">
        <v>33</v>
      </c>
      <c r="D6494" s="52" t="s">
        <v>33</v>
      </c>
      <c r="E6494" s="52" t="s">
        <v>714</v>
      </c>
      <c r="F6494" s="52" t="s">
        <v>26</v>
      </c>
      <c r="G6494" s="55" t="s">
        <v>276</v>
      </c>
      <c r="H6494" s="55">
        <v>-0.16983599999999999</v>
      </c>
      <c r="I6494" s="55">
        <v>-0.12266639999999999</v>
      </c>
      <c r="J6494" s="55">
        <v>-0.10119980000000001</v>
      </c>
      <c r="K6494" s="55">
        <v>-9.88512E-2</v>
      </c>
      <c r="L6494" s="55">
        <v>-8.4836010000000003E-2</v>
      </c>
      <c r="M6494" s="55">
        <v>-7.9705890000000001E-2</v>
      </c>
      <c r="N6494" s="55">
        <v>-8.5490999999999998E-2</v>
      </c>
    </row>
    <row r="6495" spans="1:14" hidden="1" x14ac:dyDescent="0.35">
      <c r="A6495" s="52" t="s">
        <v>712</v>
      </c>
      <c r="B6495" s="52" t="s">
        <v>34</v>
      </c>
      <c r="C6495" s="52" t="s">
        <v>33</v>
      </c>
      <c r="D6495" s="52" t="s">
        <v>33</v>
      </c>
      <c r="E6495" s="52" t="s">
        <v>714</v>
      </c>
      <c r="F6495" s="52" t="s">
        <v>26</v>
      </c>
      <c r="G6495" s="55" t="s">
        <v>279</v>
      </c>
      <c r="H6495" s="55">
        <v>3.2329210000000002</v>
      </c>
      <c r="I6495" s="55">
        <v>2.7036519999999999</v>
      </c>
      <c r="J6495" s="55">
        <v>2.3298670000000001</v>
      </c>
      <c r="K6495" s="55">
        <v>2.1533910000000001</v>
      </c>
      <c r="L6495" s="55">
        <v>1.9801770000000001</v>
      </c>
      <c r="M6495" s="55">
        <v>1.9330050000000001</v>
      </c>
      <c r="N6495" s="55">
        <v>2.0945480000000001</v>
      </c>
    </row>
    <row r="6496" spans="1:14" hidden="1" x14ac:dyDescent="0.35">
      <c r="A6496" s="52" t="s">
        <v>712</v>
      </c>
      <c r="B6496" s="52" t="s">
        <v>34</v>
      </c>
      <c r="C6496" s="52" t="s">
        <v>33</v>
      </c>
      <c r="D6496" s="52" t="s">
        <v>33</v>
      </c>
      <c r="E6496" s="52" t="s">
        <v>675</v>
      </c>
      <c r="F6496" s="52" t="s">
        <v>581</v>
      </c>
      <c r="G6496" s="55" t="s">
        <v>275</v>
      </c>
      <c r="H6496" s="55">
        <v>6.4189860000000003</v>
      </c>
      <c r="I6496" s="55">
        <v>1.5632600000000001</v>
      </c>
      <c r="J6496" s="55">
        <v>1.4231419999999999</v>
      </c>
      <c r="K6496" s="55">
        <v>1.169259</v>
      </c>
      <c r="L6496" s="55">
        <v>1.1780569999999999</v>
      </c>
      <c r="M6496" s="55">
        <v>1.0059229999999999</v>
      </c>
      <c r="N6496" s="55">
        <v>0.90770669999999998</v>
      </c>
    </row>
    <row r="6497" spans="1:14" hidden="1" x14ac:dyDescent="0.35">
      <c r="A6497" s="52" t="s">
        <v>712</v>
      </c>
      <c r="B6497" s="52" t="s">
        <v>34</v>
      </c>
      <c r="C6497" s="52" t="s">
        <v>33</v>
      </c>
      <c r="D6497" s="52" t="s">
        <v>33</v>
      </c>
      <c r="E6497" s="52" t="s">
        <v>675</v>
      </c>
      <c r="F6497" s="52" t="s">
        <v>581</v>
      </c>
      <c r="G6497" s="55" t="s">
        <v>276</v>
      </c>
      <c r="H6497" s="55">
        <v>2.3143280000000002</v>
      </c>
      <c r="I6497" s="55">
        <v>0.52108449999999995</v>
      </c>
      <c r="J6497" s="55">
        <v>0.44941439999999999</v>
      </c>
      <c r="K6497" s="55">
        <v>0.34925859999999997</v>
      </c>
      <c r="L6497" s="55">
        <v>0.35188730000000001</v>
      </c>
      <c r="M6497" s="55">
        <v>0.30047059999999998</v>
      </c>
      <c r="N6497" s="55">
        <v>0.27113300000000001</v>
      </c>
    </row>
    <row r="6498" spans="1:14" hidden="1" x14ac:dyDescent="0.35">
      <c r="A6498" s="52" t="s">
        <v>712</v>
      </c>
      <c r="B6498" s="52" t="s">
        <v>34</v>
      </c>
      <c r="C6498" s="52" t="s">
        <v>33</v>
      </c>
      <c r="D6498" s="52" t="s">
        <v>33</v>
      </c>
      <c r="E6498" s="52" t="s">
        <v>675</v>
      </c>
      <c r="F6498" s="52" t="s">
        <v>581</v>
      </c>
      <c r="G6498" s="55" t="s">
        <v>279</v>
      </c>
      <c r="H6498" s="55">
        <v>3.509776</v>
      </c>
      <c r="I6498" s="55">
        <v>2.928388</v>
      </c>
      <c r="J6498" s="55">
        <v>2.4117060000000001</v>
      </c>
      <c r="K6498" s="55">
        <v>2.032654</v>
      </c>
      <c r="L6498" s="55">
        <v>1.634088</v>
      </c>
      <c r="M6498" s="55">
        <v>1.5210900000000001</v>
      </c>
      <c r="N6498" s="55">
        <v>1.3616649999999999</v>
      </c>
    </row>
    <row r="6499" spans="1:14" hidden="1" x14ac:dyDescent="0.35">
      <c r="A6499" s="52" t="s">
        <v>712</v>
      </c>
      <c r="B6499" s="52" t="s">
        <v>34</v>
      </c>
      <c r="C6499" s="52" t="s">
        <v>33</v>
      </c>
      <c r="D6499" s="52" t="s">
        <v>33</v>
      </c>
      <c r="E6499" s="52" t="s">
        <v>675</v>
      </c>
      <c r="F6499" s="52" t="s">
        <v>26</v>
      </c>
      <c r="G6499" s="55" t="s">
        <v>275</v>
      </c>
      <c r="H6499" s="55">
        <v>-5.6720660000000001</v>
      </c>
      <c r="I6499" s="55">
        <v>-5.2533960000000004</v>
      </c>
      <c r="J6499" s="55">
        <v>0.80335310000000004</v>
      </c>
      <c r="K6499" s="55">
        <v>-0.1878841</v>
      </c>
      <c r="L6499" s="55">
        <v>-0.3703243</v>
      </c>
      <c r="M6499" s="55">
        <v>-0.24813640000000001</v>
      </c>
      <c r="N6499" s="55">
        <v>-0.28906880000000001</v>
      </c>
    </row>
    <row r="6500" spans="1:14" hidden="1" x14ac:dyDescent="0.35">
      <c r="A6500" s="52" t="s">
        <v>712</v>
      </c>
      <c r="B6500" s="52" t="s">
        <v>34</v>
      </c>
      <c r="C6500" s="52" t="s">
        <v>33</v>
      </c>
      <c r="D6500" s="52" t="s">
        <v>33</v>
      </c>
      <c r="E6500" s="52" t="s">
        <v>675</v>
      </c>
      <c r="F6500" s="52" t="s">
        <v>26</v>
      </c>
      <c r="G6500" s="55" t="s">
        <v>276</v>
      </c>
      <c r="H6500" s="55">
        <v>-3.1194459999999999</v>
      </c>
      <c r="I6500" s="55">
        <v>-3.0594990000000002</v>
      </c>
      <c r="J6500" s="55">
        <v>-2.3572950000000001</v>
      </c>
      <c r="K6500" s="55">
        <v>-1.0737730000000001</v>
      </c>
      <c r="L6500" s="55">
        <v>-0.62297800000000003</v>
      </c>
      <c r="M6500" s="55">
        <v>-0.21631210000000001</v>
      </c>
      <c r="N6500" s="55">
        <v>-0.16322449999999999</v>
      </c>
    </row>
    <row r="6501" spans="1:14" hidden="1" x14ac:dyDescent="0.35">
      <c r="A6501" s="52" t="s">
        <v>712</v>
      </c>
      <c r="B6501" s="52" t="s">
        <v>34</v>
      </c>
      <c r="C6501" s="52" t="s">
        <v>33</v>
      </c>
      <c r="D6501" s="52" t="s">
        <v>33</v>
      </c>
      <c r="E6501" s="52" t="s">
        <v>675</v>
      </c>
      <c r="F6501" s="52" t="s">
        <v>26</v>
      </c>
      <c r="G6501" s="55" t="s">
        <v>277</v>
      </c>
      <c r="H6501" s="55">
        <v>4.3283860000000001</v>
      </c>
      <c r="I6501" s="55">
        <v>5.1544629999999998</v>
      </c>
      <c r="J6501" s="55">
        <v>0.4240254</v>
      </c>
      <c r="K6501" s="55">
        <v>0.14244689999999999</v>
      </c>
      <c r="L6501" s="55"/>
      <c r="M6501" s="55">
        <v>0</v>
      </c>
      <c r="N6501" s="55">
        <v>0</v>
      </c>
    </row>
    <row r="6502" spans="1:14" hidden="1" x14ac:dyDescent="0.35">
      <c r="A6502" s="52" t="s">
        <v>712</v>
      </c>
      <c r="B6502" s="52" t="s">
        <v>34</v>
      </c>
      <c r="C6502" s="52" t="s">
        <v>33</v>
      </c>
      <c r="D6502" s="52" t="s">
        <v>33</v>
      </c>
      <c r="E6502" s="52" t="s">
        <v>675</v>
      </c>
      <c r="F6502" s="52" t="s">
        <v>26</v>
      </c>
      <c r="G6502" s="55" t="s">
        <v>278</v>
      </c>
      <c r="H6502" s="55">
        <v>2.7887409999999999</v>
      </c>
      <c r="I6502" s="55">
        <v>1.955438</v>
      </c>
      <c r="J6502" s="55">
        <v>0.4505943</v>
      </c>
      <c r="K6502" s="55">
        <v>0.3488697</v>
      </c>
      <c r="L6502" s="55"/>
      <c r="M6502" s="55">
        <v>0</v>
      </c>
      <c r="N6502" s="55">
        <v>0</v>
      </c>
    </row>
    <row r="6503" spans="1:14" hidden="1" x14ac:dyDescent="0.35">
      <c r="A6503" s="52" t="s">
        <v>712</v>
      </c>
      <c r="B6503" s="52" t="s">
        <v>34</v>
      </c>
      <c r="C6503" s="52" t="s">
        <v>33</v>
      </c>
      <c r="D6503" s="52" t="s">
        <v>33</v>
      </c>
      <c r="E6503" s="52" t="s">
        <v>675</v>
      </c>
      <c r="F6503" s="52" t="s">
        <v>26</v>
      </c>
      <c r="G6503" s="55" t="s">
        <v>279</v>
      </c>
      <c r="H6503" s="55">
        <v>20.64124</v>
      </c>
      <c r="I6503" s="55">
        <v>17.371220000000001</v>
      </c>
      <c r="J6503" s="55">
        <v>9.3282880000000006</v>
      </c>
      <c r="K6503" s="55">
        <v>7.8879460000000003</v>
      </c>
      <c r="L6503" s="55">
        <v>6.7472029999999998</v>
      </c>
      <c r="M6503" s="55">
        <v>6.0561020000000001</v>
      </c>
      <c r="N6503" s="55">
        <v>5.4493470000000004</v>
      </c>
    </row>
    <row r="6504" spans="1:14" hidden="1" x14ac:dyDescent="0.35">
      <c r="A6504" s="52" t="s">
        <v>712</v>
      </c>
      <c r="B6504" s="52" t="s">
        <v>34</v>
      </c>
      <c r="C6504" s="52" t="s">
        <v>33</v>
      </c>
      <c r="D6504" s="52" t="s">
        <v>33</v>
      </c>
      <c r="E6504" s="52" t="s">
        <v>699</v>
      </c>
      <c r="F6504" s="52" t="s">
        <v>581</v>
      </c>
      <c r="G6504" s="55" t="s">
        <v>275</v>
      </c>
      <c r="H6504" s="55">
        <v>14.68599</v>
      </c>
      <c r="I6504" s="55">
        <v>7.0653009999999998</v>
      </c>
      <c r="J6504" s="55">
        <v>1.434796</v>
      </c>
      <c r="K6504" s="55">
        <v>1.6685000000000001</v>
      </c>
      <c r="L6504" s="55">
        <v>2.0861149999999999</v>
      </c>
      <c r="M6504" s="55">
        <v>3.6309610000000001</v>
      </c>
      <c r="N6504" s="55">
        <v>2.815315</v>
      </c>
    </row>
    <row r="6505" spans="1:14" hidden="1" x14ac:dyDescent="0.35">
      <c r="A6505" s="52" t="s">
        <v>712</v>
      </c>
      <c r="B6505" s="52" t="s">
        <v>34</v>
      </c>
      <c r="C6505" s="52" t="s">
        <v>33</v>
      </c>
      <c r="D6505" s="52" t="s">
        <v>33</v>
      </c>
      <c r="E6505" s="52" t="s">
        <v>699</v>
      </c>
      <c r="F6505" s="52" t="s">
        <v>581</v>
      </c>
      <c r="G6505" s="55" t="s">
        <v>276</v>
      </c>
      <c r="H6505" s="55">
        <v>2.5243540000000002</v>
      </c>
      <c r="I6505" s="55">
        <v>-0.54685159999999999</v>
      </c>
      <c r="J6505" s="55">
        <v>0.16885339999999999</v>
      </c>
      <c r="K6505" s="55">
        <v>0.8053131</v>
      </c>
      <c r="L6505" s="55">
        <v>0.73976730000000002</v>
      </c>
      <c r="M6505" s="55">
        <v>0.56639439999999996</v>
      </c>
      <c r="N6505" s="55">
        <v>0.59767360000000003</v>
      </c>
    </row>
    <row r="6506" spans="1:14" hidden="1" x14ac:dyDescent="0.35">
      <c r="A6506" s="52" t="s">
        <v>712</v>
      </c>
      <c r="B6506" s="52" t="s">
        <v>34</v>
      </c>
      <c r="C6506" s="52" t="s">
        <v>33</v>
      </c>
      <c r="D6506" s="52" t="s">
        <v>33</v>
      </c>
      <c r="E6506" s="52" t="s">
        <v>699</v>
      </c>
      <c r="F6506" s="52" t="s">
        <v>581</v>
      </c>
      <c r="G6506" s="55" t="s">
        <v>277</v>
      </c>
      <c r="H6506" s="55">
        <v>1.715638</v>
      </c>
      <c r="I6506" s="55">
        <v>0</v>
      </c>
      <c r="J6506" s="55">
        <v>3.6008589999999998</v>
      </c>
      <c r="K6506" s="55">
        <v>2.7839369999999999</v>
      </c>
      <c r="L6506" s="55">
        <v>2.0135960000000002</v>
      </c>
      <c r="M6506" s="55">
        <v>0</v>
      </c>
      <c r="N6506" s="55">
        <v>0</v>
      </c>
    </row>
    <row r="6507" spans="1:14" hidden="1" x14ac:dyDescent="0.35">
      <c r="A6507" s="52" t="s">
        <v>712</v>
      </c>
      <c r="B6507" s="52" t="s">
        <v>34</v>
      </c>
      <c r="C6507" s="52" t="s">
        <v>33</v>
      </c>
      <c r="D6507" s="52" t="s">
        <v>33</v>
      </c>
      <c r="E6507" s="52" t="s">
        <v>699</v>
      </c>
      <c r="F6507" s="52" t="s">
        <v>581</v>
      </c>
      <c r="G6507" s="55" t="s">
        <v>278</v>
      </c>
      <c r="H6507" s="55">
        <v>1</v>
      </c>
      <c r="I6507" s="55">
        <v>0</v>
      </c>
      <c r="J6507" s="55"/>
      <c r="K6507" s="55"/>
      <c r="L6507" s="55"/>
      <c r="M6507" s="55"/>
      <c r="N6507" s="55"/>
    </row>
    <row r="6508" spans="1:14" hidden="1" x14ac:dyDescent="0.35">
      <c r="A6508" s="52" t="s">
        <v>712</v>
      </c>
      <c r="B6508" s="52" t="s">
        <v>34</v>
      </c>
      <c r="C6508" s="52" t="s">
        <v>33</v>
      </c>
      <c r="D6508" s="52" t="s">
        <v>33</v>
      </c>
      <c r="E6508" s="52" t="s">
        <v>699</v>
      </c>
      <c r="F6508" s="52" t="s">
        <v>581</v>
      </c>
      <c r="G6508" s="55" t="s">
        <v>279</v>
      </c>
      <c r="H6508" s="55">
        <v>3.0289640000000002</v>
      </c>
      <c r="I6508" s="55">
        <v>2.4257469999999999</v>
      </c>
      <c r="J6508" s="55">
        <v>2.0163989999999998</v>
      </c>
      <c r="K6508" s="55">
        <v>2.150512</v>
      </c>
      <c r="L6508" s="55">
        <v>2.1285560000000001</v>
      </c>
      <c r="M6508" s="55">
        <v>1.5452349999999999</v>
      </c>
      <c r="N6508" s="55">
        <v>1.211641</v>
      </c>
    </row>
    <row r="6509" spans="1:14" hidden="1" x14ac:dyDescent="0.35">
      <c r="A6509" s="52" t="s">
        <v>712</v>
      </c>
      <c r="B6509" s="52" t="s">
        <v>34</v>
      </c>
      <c r="C6509" s="52" t="s">
        <v>33</v>
      </c>
      <c r="D6509" s="52" t="s">
        <v>33</v>
      </c>
      <c r="E6509" s="52" t="s">
        <v>584</v>
      </c>
      <c r="F6509" s="52" t="s">
        <v>581</v>
      </c>
      <c r="G6509" s="55" t="s">
        <v>275</v>
      </c>
      <c r="H6509" s="55">
        <v>4.8784219999999996</v>
      </c>
      <c r="I6509" s="55">
        <v>1.125426</v>
      </c>
      <c r="J6509" s="55">
        <v>0.73226500000000005</v>
      </c>
      <c r="K6509" s="55">
        <v>0.52108699999999997</v>
      </c>
      <c r="L6509" s="55">
        <v>-0.63502230000000004</v>
      </c>
      <c r="M6509" s="55">
        <v>0.29224509999999998</v>
      </c>
      <c r="N6509" s="55">
        <v>-50.210769999999997</v>
      </c>
    </row>
    <row r="6510" spans="1:14" hidden="1" x14ac:dyDescent="0.35">
      <c r="A6510" s="52" t="s">
        <v>712</v>
      </c>
      <c r="B6510" s="52" t="s">
        <v>34</v>
      </c>
      <c r="C6510" s="52" t="s">
        <v>33</v>
      </c>
      <c r="D6510" s="52" t="s">
        <v>33</v>
      </c>
      <c r="E6510" s="52" t="s">
        <v>584</v>
      </c>
      <c r="F6510" s="52" t="s">
        <v>581</v>
      </c>
      <c r="G6510" s="55" t="s">
        <v>276</v>
      </c>
      <c r="H6510" s="55">
        <v>0.60214599999999996</v>
      </c>
      <c r="I6510" s="55">
        <v>0.21485489999999999</v>
      </c>
      <c r="J6510" s="55">
        <v>0.21933279999999999</v>
      </c>
      <c r="K6510" s="55">
        <v>0.1400883</v>
      </c>
      <c r="L6510" s="55">
        <v>-0.20420769999999999</v>
      </c>
      <c r="M6510" s="55">
        <v>7.7150899999999994E-2</v>
      </c>
      <c r="N6510" s="55">
        <v>-15.005229999999999</v>
      </c>
    </row>
    <row r="6511" spans="1:14" hidden="1" x14ac:dyDescent="0.35">
      <c r="A6511" s="52" t="s">
        <v>712</v>
      </c>
      <c r="B6511" s="52" t="s">
        <v>34</v>
      </c>
      <c r="C6511" s="52" t="s">
        <v>33</v>
      </c>
      <c r="D6511" s="52" t="s">
        <v>33</v>
      </c>
      <c r="E6511" s="52" t="s">
        <v>584</v>
      </c>
      <c r="F6511" s="52" t="s">
        <v>581</v>
      </c>
      <c r="G6511" s="55" t="s">
        <v>277</v>
      </c>
      <c r="H6511" s="55">
        <v>0.91217890000000001</v>
      </c>
      <c r="I6511" s="55">
        <v>0.22253390000000001</v>
      </c>
      <c r="J6511" s="55">
        <v>0.1713211</v>
      </c>
      <c r="K6511" s="55">
        <v>0.13633239999999999</v>
      </c>
      <c r="L6511" s="55">
        <v>0.1118932</v>
      </c>
      <c r="M6511" s="55">
        <v>9.4575900000000004E-2</v>
      </c>
      <c r="N6511" s="55">
        <v>8.2079200000000005E-2</v>
      </c>
    </row>
    <row r="6512" spans="1:14" hidden="1" x14ac:dyDescent="0.35">
      <c r="A6512" s="52" t="s">
        <v>712</v>
      </c>
      <c r="B6512" s="52" t="s">
        <v>34</v>
      </c>
      <c r="C6512" s="52" t="s">
        <v>33</v>
      </c>
      <c r="D6512" s="52" t="s">
        <v>33</v>
      </c>
      <c r="E6512" s="52" t="s">
        <v>584</v>
      </c>
      <c r="F6512" s="52" t="s">
        <v>581</v>
      </c>
      <c r="G6512" s="55" t="s">
        <v>279</v>
      </c>
      <c r="H6512" s="55">
        <v>2.1998440000000001</v>
      </c>
      <c r="I6512" s="55">
        <v>1.4799709999999999</v>
      </c>
      <c r="J6512" s="55">
        <v>1.20418</v>
      </c>
      <c r="K6512" s="55">
        <v>1.0724739999999999</v>
      </c>
      <c r="L6512" s="55">
        <v>2.0788009999999999</v>
      </c>
      <c r="M6512" s="55">
        <v>0.64620710000000003</v>
      </c>
      <c r="N6512" s="55">
        <v>65.756069999999994</v>
      </c>
    </row>
    <row r="6513" spans="1:14" hidden="1" x14ac:dyDescent="0.35">
      <c r="A6513" s="52" t="s">
        <v>712</v>
      </c>
      <c r="B6513" s="52" t="s">
        <v>34</v>
      </c>
      <c r="C6513" s="52" t="s">
        <v>33</v>
      </c>
      <c r="D6513" s="52" t="s">
        <v>33</v>
      </c>
      <c r="E6513" s="52" t="s">
        <v>584</v>
      </c>
      <c r="F6513" s="52" t="s">
        <v>26</v>
      </c>
      <c r="G6513" s="55" t="s">
        <v>275</v>
      </c>
      <c r="H6513" s="55">
        <v>-2.8522919999999998</v>
      </c>
      <c r="I6513" s="55">
        <v>-0.93109580000000003</v>
      </c>
      <c r="J6513" s="55">
        <v>-0.97520910000000005</v>
      </c>
      <c r="K6513" s="55">
        <v>-1.2068700000000001</v>
      </c>
      <c r="L6513" s="55">
        <v>-3.2427959999999998</v>
      </c>
      <c r="M6513" s="55">
        <v>-0.76585230000000004</v>
      </c>
      <c r="N6513" s="55">
        <v>-17.142009999999999</v>
      </c>
    </row>
    <row r="6514" spans="1:14" hidden="1" x14ac:dyDescent="0.35">
      <c r="A6514" s="52" t="s">
        <v>712</v>
      </c>
      <c r="B6514" s="52" t="s">
        <v>34</v>
      </c>
      <c r="C6514" s="52" t="s">
        <v>33</v>
      </c>
      <c r="D6514" s="52" t="s">
        <v>33</v>
      </c>
      <c r="E6514" s="52" t="s">
        <v>584</v>
      </c>
      <c r="F6514" s="52" t="s">
        <v>26</v>
      </c>
      <c r="G6514" s="55" t="s">
        <v>276</v>
      </c>
      <c r="H6514" s="55">
        <v>-1.115769</v>
      </c>
      <c r="I6514" s="55">
        <v>-0.82386429999999999</v>
      </c>
      <c r="J6514" s="55">
        <v>-0.44464510000000002</v>
      </c>
      <c r="K6514" s="55">
        <v>-0.43214570000000002</v>
      </c>
      <c r="L6514" s="55">
        <v>-1.0067390000000001</v>
      </c>
      <c r="M6514" s="55">
        <v>-0.24917700000000001</v>
      </c>
      <c r="N6514" s="55">
        <v>-5.1393120000000003</v>
      </c>
    </row>
    <row r="6515" spans="1:14" hidden="1" x14ac:dyDescent="0.35">
      <c r="A6515" s="52" t="s">
        <v>712</v>
      </c>
      <c r="B6515" s="52" t="s">
        <v>34</v>
      </c>
      <c r="C6515" s="52" t="s">
        <v>33</v>
      </c>
      <c r="D6515" s="52" t="s">
        <v>33</v>
      </c>
      <c r="E6515" s="52" t="s">
        <v>584</v>
      </c>
      <c r="F6515" s="52" t="s">
        <v>26</v>
      </c>
      <c r="G6515" s="55" t="s">
        <v>277</v>
      </c>
      <c r="H6515" s="55">
        <v>1.8120099999999999</v>
      </c>
      <c r="I6515" s="55">
        <v>0.71443679999999998</v>
      </c>
      <c r="J6515" s="55">
        <v>0.42946109999999998</v>
      </c>
      <c r="K6515" s="55"/>
      <c r="L6515" s="55"/>
      <c r="M6515" s="55"/>
      <c r="N6515" s="55"/>
    </row>
    <row r="6516" spans="1:14" hidden="1" x14ac:dyDescent="0.35">
      <c r="A6516" s="52" t="s">
        <v>712</v>
      </c>
      <c r="B6516" s="52" t="s">
        <v>34</v>
      </c>
      <c r="C6516" s="52" t="s">
        <v>33</v>
      </c>
      <c r="D6516" s="52" t="s">
        <v>33</v>
      </c>
      <c r="E6516" s="52" t="s">
        <v>584</v>
      </c>
      <c r="F6516" s="52" t="s">
        <v>26</v>
      </c>
      <c r="G6516" s="55" t="s">
        <v>279</v>
      </c>
      <c r="H6516" s="55">
        <v>10.9335</v>
      </c>
      <c r="I6516" s="55">
        <v>7.7400989999999998</v>
      </c>
      <c r="J6516" s="55">
        <v>6.8796480000000004</v>
      </c>
      <c r="K6516" s="55">
        <v>6.6039700000000003</v>
      </c>
      <c r="L6516" s="55">
        <v>8.6637450000000005</v>
      </c>
      <c r="M6516" s="55">
        <v>4.8767509999999996</v>
      </c>
      <c r="N6516" s="55">
        <v>23.328309999999998</v>
      </c>
    </row>
    <row r="6517" spans="1:14" hidden="1" x14ac:dyDescent="0.35">
      <c r="A6517" s="52" t="s">
        <v>712</v>
      </c>
      <c r="B6517" s="52" t="s">
        <v>34</v>
      </c>
      <c r="C6517" s="52" t="s">
        <v>33</v>
      </c>
      <c r="D6517" s="52" t="s">
        <v>33</v>
      </c>
      <c r="E6517" s="52" t="s">
        <v>638</v>
      </c>
      <c r="F6517" s="52" t="s">
        <v>581</v>
      </c>
      <c r="G6517" s="55" t="s">
        <v>275</v>
      </c>
      <c r="H6517" s="55">
        <v>0.61231100000000005</v>
      </c>
      <c r="I6517" s="55">
        <v>1.6819600000000001E-2</v>
      </c>
      <c r="J6517" s="55">
        <v>-3.4751990000000003E-2</v>
      </c>
      <c r="K6517" s="55">
        <v>-1.094827</v>
      </c>
      <c r="L6517" s="55">
        <v>-2.7565170000000001</v>
      </c>
      <c r="M6517" s="55">
        <v>0.67701900000000004</v>
      </c>
      <c r="N6517" s="55">
        <v>0.63009910000000002</v>
      </c>
    </row>
    <row r="6518" spans="1:14" hidden="1" x14ac:dyDescent="0.35">
      <c r="A6518" s="52" t="s">
        <v>712</v>
      </c>
      <c r="B6518" s="52" t="s">
        <v>34</v>
      </c>
      <c r="C6518" s="52" t="s">
        <v>33</v>
      </c>
      <c r="D6518" s="52" t="s">
        <v>33</v>
      </c>
      <c r="E6518" s="52" t="s">
        <v>638</v>
      </c>
      <c r="F6518" s="52" t="s">
        <v>581</v>
      </c>
      <c r="G6518" s="55" t="s">
        <v>276</v>
      </c>
      <c r="H6518" s="55">
        <v>0.22076599999999999</v>
      </c>
      <c r="I6518" s="55">
        <v>5.607E-3</v>
      </c>
      <c r="J6518" s="55">
        <v>-1.09744E-2</v>
      </c>
      <c r="K6518" s="55">
        <v>-1.9104090000000001E-2</v>
      </c>
      <c r="L6518" s="55">
        <v>-0.15906890000000001</v>
      </c>
      <c r="M6518" s="55">
        <v>-0.1560638</v>
      </c>
      <c r="N6518" s="55">
        <v>-0.17007900000000001</v>
      </c>
    </row>
    <row r="6519" spans="1:14" hidden="1" x14ac:dyDescent="0.35">
      <c r="A6519" s="52" t="s">
        <v>712</v>
      </c>
      <c r="B6519" s="52" t="s">
        <v>34</v>
      </c>
      <c r="C6519" s="52" t="s">
        <v>33</v>
      </c>
      <c r="D6519" s="52" t="s">
        <v>33</v>
      </c>
      <c r="E6519" s="52" t="s">
        <v>638</v>
      </c>
      <c r="F6519" s="52" t="s">
        <v>581</v>
      </c>
      <c r="G6519" s="55" t="s">
        <v>277</v>
      </c>
      <c r="H6519" s="55"/>
      <c r="I6519" s="55"/>
      <c r="J6519" s="55">
        <v>0</v>
      </c>
      <c r="K6519" s="55">
        <v>0.248199</v>
      </c>
      <c r="L6519" s="55">
        <v>2.6866989999999999</v>
      </c>
      <c r="M6519" s="55">
        <v>0</v>
      </c>
      <c r="N6519" s="55">
        <v>0</v>
      </c>
    </row>
    <row r="6520" spans="1:14" hidden="1" x14ac:dyDescent="0.35">
      <c r="A6520" s="52" t="s">
        <v>712</v>
      </c>
      <c r="B6520" s="52" t="s">
        <v>34</v>
      </c>
      <c r="C6520" s="52" t="s">
        <v>33</v>
      </c>
      <c r="D6520" s="52" t="s">
        <v>33</v>
      </c>
      <c r="E6520" s="52" t="s">
        <v>638</v>
      </c>
      <c r="F6520" s="52" t="s">
        <v>581</v>
      </c>
      <c r="G6520" s="55" t="s">
        <v>278</v>
      </c>
      <c r="H6520" s="55"/>
      <c r="I6520" s="55"/>
      <c r="J6520" s="55">
        <v>0</v>
      </c>
      <c r="K6520" s="55">
        <v>1.1263000000000001</v>
      </c>
      <c r="L6520" s="55">
        <v>0.73677559999999997</v>
      </c>
      <c r="M6520" s="55">
        <v>0</v>
      </c>
      <c r="N6520" s="55"/>
    </row>
    <row r="6521" spans="1:14" hidden="1" x14ac:dyDescent="0.35">
      <c r="A6521" s="52" t="s">
        <v>712</v>
      </c>
      <c r="B6521" s="52" t="s">
        <v>34</v>
      </c>
      <c r="C6521" s="52" t="s">
        <v>33</v>
      </c>
      <c r="D6521" s="52" t="s">
        <v>33</v>
      </c>
      <c r="E6521" s="52" t="s">
        <v>638</v>
      </c>
      <c r="F6521" s="52" t="s">
        <v>581</v>
      </c>
      <c r="G6521" s="55" t="s">
        <v>279</v>
      </c>
      <c r="H6521" s="55">
        <v>0.624282</v>
      </c>
      <c r="I6521" s="55">
        <v>0.48957000000000001</v>
      </c>
      <c r="J6521" s="55">
        <v>0.47153</v>
      </c>
      <c r="K6521" s="55">
        <v>0.3243357</v>
      </c>
      <c r="L6521" s="55">
        <v>0.48221530000000001</v>
      </c>
      <c r="M6521" s="55">
        <v>0.216775</v>
      </c>
      <c r="N6521" s="55">
        <v>0.1205594</v>
      </c>
    </row>
    <row r="6522" spans="1:14" hidden="1" x14ac:dyDescent="0.35">
      <c r="A6522" s="52" t="s">
        <v>712</v>
      </c>
      <c r="B6522" s="52" t="s">
        <v>34</v>
      </c>
      <c r="C6522" s="52" t="s">
        <v>33</v>
      </c>
      <c r="D6522" s="52" t="s">
        <v>33</v>
      </c>
      <c r="E6522" s="52" t="s">
        <v>638</v>
      </c>
      <c r="F6522" s="52" t="s">
        <v>26</v>
      </c>
      <c r="G6522" s="55" t="s">
        <v>275</v>
      </c>
      <c r="H6522" s="55">
        <v>5.8049999999999997E-2</v>
      </c>
      <c r="I6522" s="55">
        <v>4.4769799999999998E-2</v>
      </c>
      <c r="J6522" s="55">
        <v>3.4246800000000001E-2</v>
      </c>
      <c r="K6522" s="55">
        <v>4.0583599999999997E-2</v>
      </c>
      <c r="L6522" s="55">
        <v>5.3589199999999997E-2</v>
      </c>
      <c r="M6522" s="55">
        <v>6.1186200000000003E-2</v>
      </c>
      <c r="N6522" s="55">
        <v>4.7683099999999999E-2</v>
      </c>
    </row>
    <row r="6523" spans="1:14" hidden="1" x14ac:dyDescent="0.35">
      <c r="A6523" s="52" t="s">
        <v>712</v>
      </c>
      <c r="B6523" s="52" t="s">
        <v>34</v>
      </c>
      <c r="C6523" s="52" t="s">
        <v>33</v>
      </c>
      <c r="D6523" s="52" t="s">
        <v>33</v>
      </c>
      <c r="E6523" s="52" t="s">
        <v>638</v>
      </c>
      <c r="F6523" s="52" t="s">
        <v>26</v>
      </c>
      <c r="G6523" s="55" t="s">
        <v>276</v>
      </c>
      <c r="H6523" s="55">
        <v>2.0929E-2</v>
      </c>
      <c r="I6523" s="55">
        <v>1.4922599999999999E-2</v>
      </c>
      <c r="J6523" s="55">
        <v>1.0815200000000001E-2</v>
      </c>
      <c r="K6523" s="55">
        <v>1.2122600000000001E-2</v>
      </c>
      <c r="L6523" s="55">
        <v>1.60076E-2</v>
      </c>
      <c r="M6523" s="55">
        <v>1.8275799999999998E-2</v>
      </c>
      <c r="N6523" s="55">
        <v>1.4242599999999999E-2</v>
      </c>
    </row>
    <row r="6524" spans="1:14" hidden="1" x14ac:dyDescent="0.35">
      <c r="A6524" s="52" t="s">
        <v>712</v>
      </c>
      <c r="B6524" s="52" t="s">
        <v>34</v>
      </c>
      <c r="C6524" s="52" t="s">
        <v>33</v>
      </c>
      <c r="D6524" s="52" t="s">
        <v>33</v>
      </c>
      <c r="E6524" s="52" t="s">
        <v>638</v>
      </c>
      <c r="F6524" s="52" t="s">
        <v>26</v>
      </c>
      <c r="G6524" s="55" t="s">
        <v>279</v>
      </c>
      <c r="H6524" s="55">
        <v>0.22140399999999999</v>
      </c>
      <c r="I6524" s="55">
        <v>0.16128700000000001</v>
      </c>
      <c r="J6524" s="55">
        <v>0.13547200000000001</v>
      </c>
      <c r="K6524" s="55">
        <v>0.19232959999999999</v>
      </c>
      <c r="L6524" s="55">
        <v>0.34370610000000001</v>
      </c>
      <c r="M6524" s="55">
        <v>0.22653789999999999</v>
      </c>
      <c r="N6524" s="55">
        <v>0.17723800000000001</v>
      </c>
    </row>
    <row r="6525" spans="1:14" hidden="1" x14ac:dyDescent="0.35">
      <c r="A6525" s="52" t="s">
        <v>712</v>
      </c>
      <c r="B6525" s="52" t="s">
        <v>225</v>
      </c>
      <c r="C6525" s="52" t="s">
        <v>224</v>
      </c>
      <c r="D6525" s="52" t="s">
        <v>224</v>
      </c>
      <c r="E6525" s="52" t="s">
        <v>584</v>
      </c>
      <c r="F6525" s="52" t="s">
        <v>581</v>
      </c>
      <c r="G6525" s="55" t="s">
        <v>275</v>
      </c>
      <c r="H6525" s="55">
        <v>38.593710000000002</v>
      </c>
      <c r="I6525" s="55">
        <v>12.70692</v>
      </c>
      <c r="J6525" s="55">
        <v>20.205079999999999</v>
      </c>
      <c r="K6525" s="55">
        <v>12.17146</v>
      </c>
      <c r="L6525" s="55">
        <v>7.5363709999999999</v>
      </c>
      <c r="M6525" s="55">
        <v>7.5354039999999998</v>
      </c>
      <c r="N6525" s="55">
        <v>3.6652779999999998</v>
      </c>
    </row>
    <row r="6526" spans="1:14" hidden="1" x14ac:dyDescent="0.35">
      <c r="A6526" s="52" t="s">
        <v>712</v>
      </c>
      <c r="B6526" s="52" t="s">
        <v>225</v>
      </c>
      <c r="C6526" s="52" t="s">
        <v>224</v>
      </c>
      <c r="D6526" s="52" t="s">
        <v>224</v>
      </c>
      <c r="E6526" s="52" t="s">
        <v>584</v>
      </c>
      <c r="F6526" s="52" t="s">
        <v>581</v>
      </c>
      <c r="G6526" s="55" t="s">
        <v>276</v>
      </c>
      <c r="H6526" s="55">
        <v>11.8874</v>
      </c>
      <c r="I6526" s="55">
        <v>-5.2452509999999997</v>
      </c>
      <c r="J6526" s="55">
        <v>-1.617305</v>
      </c>
      <c r="K6526" s="55">
        <v>-17.930769999999999</v>
      </c>
      <c r="L6526" s="55">
        <v>-1.163983</v>
      </c>
      <c r="M6526" s="55">
        <v>0.53335319999999997</v>
      </c>
      <c r="N6526" s="55">
        <v>-0.112182</v>
      </c>
    </row>
    <row r="6527" spans="1:14" hidden="1" x14ac:dyDescent="0.35">
      <c r="A6527" s="52" t="s">
        <v>712</v>
      </c>
      <c r="B6527" s="52" t="s">
        <v>225</v>
      </c>
      <c r="C6527" s="52" t="s">
        <v>224</v>
      </c>
      <c r="D6527" s="52" t="s">
        <v>224</v>
      </c>
      <c r="E6527" s="52" t="s">
        <v>584</v>
      </c>
      <c r="F6527" s="52" t="s">
        <v>581</v>
      </c>
      <c r="G6527" s="55" t="s">
        <v>277</v>
      </c>
      <c r="H6527" s="55">
        <v>41.323369999999997</v>
      </c>
      <c r="I6527" s="55">
        <v>23.308720000000001</v>
      </c>
      <c r="J6527" s="55">
        <v>11.204190000000001</v>
      </c>
      <c r="K6527" s="55">
        <v>14.359859999999999</v>
      </c>
      <c r="L6527" s="55">
        <v>13.75414</v>
      </c>
      <c r="M6527" s="55">
        <v>12.86495</v>
      </c>
      <c r="N6527" s="55">
        <v>12.39837</v>
      </c>
    </row>
    <row r="6528" spans="1:14" hidden="1" x14ac:dyDescent="0.35">
      <c r="A6528" s="52" t="s">
        <v>712</v>
      </c>
      <c r="B6528" s="52" t="s">
        <v>225</v>
      </c>
      <c r="C6528" s="52" t="s">
        <v>224</v>
      </c>
      <c r="D6528" s="52" t="s">
        <v>224</v>
      </c>
      <c r="E6528" s="52" t="s">
        <v>584</v>
      </c>
      <c r="F6528" s="52" t="s">
        <v>581</v>
      </c>
      <c r="G6528" s="55" t="s">
        <v>278</v>
      </c>
      <c r="H6528" s="55">
        <v>0.258212</v>
      </c>
      <c r="I6528" s="55">
        <v>0.258212</v>
      </c>
      <c r="J6528" s="55">
        <v>0.258212</v>
      </c>
      <c r="K6528" s="55">
        <v>17.251390000000001</v>
      </c>
      <c r="L6528" s="55">
        <v>0.258212</v>
      </c>
      <c r="M6528" s="55">
        <v>0.258212</v>
      </c>
      <c r="N6528" s="55">
        <v>0.258212</v>
      </c>
    </row>
    <row r="6529" spans="1:14" hidden="1" x14ac:dyDescent="0.35">
      <c r="A6529" s="52" t="s">
        <v>712</v>
      </c>
      <c r="B6529" s="52" t="s">
        <v>225</v>
      </c>
      <c r="C6529" s="52" t="s">
        <v>224</v>
      </c>
      <c r="D6529" s="52" t="s">
        <v>224</v>
      </c>
      <c r="E6529" s="52" t="s">
        <v>584</v>
      </c>
      <c r="F6529" s="52" t="s">
        <v>581</v>
      </c>
      <c r="G6529" s="55" t="s">
        <v>279</v>
      </c>
      <c r="H6529" s="55">
        <v>57.444369999999999</v>
      </c>
      <c r="I6529" s="55">
        <v>42.13008</v>
      </c>
      <c r="J6529" s="55">
        <v>41.594349999999999</v>
      </c>
      <c r="K6529" s="55">
        <v>40.503129999999999</v>
      </c>
      <c r="L6529" s="55">
        <v>40.642980000000001</v>
      </c>
      <c r="M6529" s="55">
        <v>33.940359999999998</v>
      </c>
      <c r="N6529" s="55">
        <v>32.635770000000001</v>
      </c>
    </row>
    <row r="6530" spans="1:14" hidden="1" x14ac:dyDescent="0.35">
      <c r="A6530" s="52" t="s">
        <v>712</v>
      </c>
      <c r="B6530" s="52" t="s">
        <v>225</v>
      </c>
      <c r="C6530" s="52" t="s">
        <v>224</v>
      </c>
      <c r="D6530" s="52" t="s">
        <v>224</v>
      </c>
      <c r="E6530" s="52" t="s">
        <v>661</v>
      </c>
      <c r="F6530" s="52" t="s">
        <v>581</v>
      </c>
      <c r="G6530" s="55" t="s">
        <v>275</v>
      </c>
      <c r="H6530" s="55"/>
      <c r="I6530" s="55"/>
      <c r="J6530" s="55">
        <v>0</v>
      </c>
      <c r="K6530" s="55">
        <v>-1.466618</v>
      </c>
      <c r="L6530" s="55">
        <v>-0.60229900000000003</v>
      </c>
      <c r="M6530" s="55">
        <v>0.11705400000000001</v>
      </c>
      <c r="N6530" s="55">
        <v>0.11705400000000001</v>
      </c>
    </row>
    <row r="6531" spans="1:14" hidden="1" x14ac:dyDescent="0.35">
      <c r="A6531" s="52" t="s">
        <v>712</v>
      </c>
      <c r="B6531" s="52" t="s">
        <v>225</v>
      </c>
      <c r="C6531" s="52" t="s">
        <v>224</v>
      </c>
      <c r="D6531" s="52" t="s">
        <v>224</v>
      </c>
      <c r="E6531" s="52" t="s">
        <v>661</v>
      </c>
      <c r="F6531" s="52" t="s">
        <v>581</v>
      </c>
      <c r="G6531" s="55" t="s">
        <v>276</v>
      </c>
      <c r="H6531" s="55"/>
      <c r="I6531" s="55"/>
      <c r="J6531" s="55">
        <v>0</v>
      </c>
      <c r="K6531" s="55">
        <v>-7.9893000000000006E-2</v>
      </c>
      <c r="L6531" s="55">
        <v>-0.11705400000000001</v>
      </c>
      <c r="M6531" s="55">
        <v>-0.11705400000000001</v>
      </c>
      <c r="N6531" s="55">
        <v>-0.11705400000000001</v>
      </c>
    </row>
    <row r="6532" spans="1:14" hidden="1" x14ac:dyDescent="0.35">
      <c r="A6532" s="52" t="s">
        <v>712</v>
      </c>
      <c r="B6532" s="52" t="s">
        <v>225</v>
      </c>
      <c r="C6532" s="52" t="s">
        <v>224</v>
      </c>
      <c r="D6532" s="52" t="s">
        <v>224</v>
      </c>
      <c r="E6532" s="52" t="s">
        <v>661</v>
      </c>
      <c r="F6532" s="52" t="s">
        <v>581</v>
      </c>
      <c r="G6532" s="55" t="s">
        <v>277</v>
      </c>
      <c r="H6532" s="55"/>
      <c r="I6532" s="55"/>
      <c r="J6532" s="55">
        <v>0</v>
      </c>
      <c r="K6532" s="55">
        <v>1.546511</v>
      </c>
      <c r="L6532" s="55">
        <v>0.71935309999999997</v>
      </c>
      <c r="M6532" s="55">
        <v>0</v>
      </c>
      <c r="N6532" s="55">
        <v>0</v>
      </c>
    </row>
    <row r="6533" spans="1:14" hidden="1" x14ac:dyDescent="0.35">
      <c r="A6533" s="52" t="s">
        <v>712</v>
      </c>
      <c r="B6533" s="52" t="s">
        <v>225</v>
      </c>
      <c r="C6533" s="52" t="s">
        <v>224</v>
      </c>
      <c r="D6533" s="52" t="s">
        <v>224</v>
      </c>
      <c r="E6533" s="52" t="s">
        <v>661</v>
      </c>
      <c r="F6533" s="52" t="s">
        <v>581</v>
      </c>
      <c r="G6533" s="55" t="s">
        <v>278</v>
      </c>
      <c r="H6533" s="55"/>
      <c r="I6533" s="55"/>
      <c r="J6533" s="55"/>
      <c r="K6533" s="55"/>
      <c r="L6533" s="55"/>
      <c r="M6533" s="55">
        <v>0</v>
      </c>
      <c r="N6533" s="55">
        <v>0</v>
      </c>
    </row>
    <row r="6534" spans="1:14" hidden="1" x14ac:dyDescent="0.35">
      <c r="A6534" s="52" t="s">
        <v>712</v>
      </c>
      <c r="B6534" s="52" t="s">
        <v>225</v>
      </c>
      <c r="C6534" s="52" t="s">
        <v>224</v>
      </c>
      <c r="D6534" s="52" t="s">
        <v>224</v>
      </c>
      <c r="E6534" s="52" t="s">
        <v>661</v>
      </c>
      <c r="F6534" s="52" t="s">
        <v>581</v>
      </c>
      <c r="G6534" s="55" t="s">
        <v>279</v>
      </c>
      <c r="H6534" s="55"/>
      <c r="I6534" s="55"/>
      <c r="J6534" s="55"/>
      <c r="K6534" s="55"/>
      <c r="L6534" s="55"/>
      <c r="M6534" s="55">
        <v>0</v>
      </c>
      <c r="N6534" s="55">
        <v>0</v>
      </c>
    </row>
    <row r="6535" spans="1:14" hidden="1" x14ac:dyDescent="0.35">
      <c r="A6535" s="52" t="s">
        <v>712</v>
      </c>
      <c r="B6535" s="52" t="s">
        <v>225</v>
      </c>
      <c r="C6535" s="52" t="s">
        <v>224</v>
      </c>
      <c r="D6535" s="52" t="s">
        <v>224</v>
      </c>
      <c r="E6535" s="52" t="s">
        <v>661</v>
      </c>
      <c r="F6535" s="52" t="s">
        <v>26</v>
      </c>
      <c r="G6535" s="55" t="s">
        <v>275</v>
      </c>
      <c r="H6535" s="55"/>
      <c r="I6535" s="55"/>
      <c r="J6535" s="55"/>
      <c r="K6535" s="55"/>
      <c r="L6535" s="55"/>
      <c r="M6535" s="55">
        <v>0</v>
      </c>
      <c r="N6535" s="55">
        <v>0</v>
      </c>
    </row>
    <row r="6536" spans="1:14" hidden="1" x14ac:dyDescent="0.35">
      <c r="A6536" s="52" t="s">
        <v>712</v>
      </c>
      <c r="B6536" s="52" t="s">
        <v>225</v>
      </c>
      <c r="C6536" s="52" t="s">
        <v>224</v>
      </c>
      <c r="D6536" s="52" t="s">
        <v>224</v>
      </c>
      <c r="E6536" s="52" t="s">
        <v>661</v>
      </c>
      <c r="F6536" s="52" t="s">
        <v>26</v>
      </c>
      <c r="G6536" s="55" t="s">
        <v>276</v>
      </c>
      <c r="H6536" s="55"/>
      <c r="I6536" s="55"/>
      <c r="J6536" s="55"/>
      <c r="K6536" s="55"/>
      <c r="L6536" s="55"/>
      <c r="M6536" s="55">
        <v>0</v>
      </c>
      <c r="N6536" s="55">
        <v>0</v>
      </c>
    </row>
    <row r="6537" spans="1:14" hidden="1" x14ac:dyDescent="0.35">
      <c r="A6537" s="52" t="s">
        <v>712</v>
      </c>
      <c r="B6537" s="52" t="s">
        <v>225</v>
      </c>
      <c r="C6537" s="52" t="s">
        <v>224</v>
      </c>
      <c r="D6537" s="52" t="s">
        <v>224</v>
      </c>
      <c r="E6537" s="52" t="s">
        <v>661</v>
      </c>
      <c r="F6537" s="52" t="s">
        <v>26</v>
      </c>
      <c r="G6537" s="55" t="s">
        <v>279</v>
      </c>
      <c r="H6537" s="55"/>
      <c r="I6537" s="55"/>
      <c r="J6537" s="55"/>
      <c r="K6537" s="55"/>
      <c r="L6537" s="55"/>
      <c r="M6537" s="55">
        <v>0</v>
      </c>
      <c r="N6537" s="55">
        <v>0</v>
      </c>
    </row>
    <row r="6538" spans="1:14" hidden="1" x14ac:dyDescent="0.35">
      <c r="A6538" s="52" t="s">
        <v>712</v>
      </c>
      <c r="B6538" s="52" t="s">
        <v>225</v>
      </c>
      <c r="C6538" s="52" t="s">
        <v>715</v>
      </c>
      <c r="D6538" s="52" t="s">
        <v>715</v>
      </c>
      <c r="E6538" s="52" t="s">
        <v>584</v>
      </c>
      <c r="F6538" s="52" t="s">
        <v>581</v>
      </c>
      <c r="G6538" s="55" t="s">
        <v>275</v>
      </c>
      <c r="H6538" s="55">
        <v>33.317360000000001</v>
      </c>
      <c r="I6538" s="55">
        <v>3.3269880000000001</v>
      </c>
      <c r="J6538" s="55">
        <v>9.3050789999999992</v>
      </c>
      <c r="K6538" s="55">
        <v>5.8408720000000001</v>
      </c>
      <c r="L6538" s="55">
        <v>7.1824370000000002</v>
      </c>
      <c r="M6538" s="55">
        <v>-6.5491710000000003</v>
      </c>
      <c r="N6538" s="55">
        <v>-1.1962699999999999</v>
      </c>
    </row>
    <row r="6539" spans="1:14" hidden="1" x14ac:dyDescent="0.35">
      <c r="A6539" s="52" t="s">
        <v>712</v>
      </c>
      <c r="B6539" s="52" t="s">
        <v>225</v>
      </c>
      <c r="C6539" s="52" t="s">
        <v>715</v>
      </c>
      <c r="D6539" s="52" t="s">
        <v>715</v>
      </c>
      <c r="E6539" s="52" t="s">
        <v>584</v>
      </c>
      <c r="F6539" s="52" t="s">
        <v>581</v>
      </c>
      <c r="G6539" s="55" t="s">
        <v>276</v>
      </c>
      <c r="H6539" s="55">
        <v>8.2546280000000003</v>
      </c>
      <c r="I6539" s="55">
        <v>-3.0413169999999998</v>
      </c>
      <c r="J6539" s="55">
        <v>-2.7068699999999999</v>
      </c>
      <c r="K6539" s="55">
        <v>-2.7294710000000002</v>
      </c>
      <c r="L6539" s="55">
        <v>-3.5414159999999999</v>
      </c>
      <c r="M6539" s="55">
        <v>-6.4994290000000001</v>
      </c>
      <c r="N6539" s="55">
        <v>-1.500605</v>
      </c>
    </row>
    <row r="6540" spans="1:14" hidden="1" x14ac:dyDescent="0.35">
      <c r="A6540" s="52" t="s">
        <v>712</v>
      </c>
      <c r="B6540" s="52" t="s">
        <v>225</v>
      </c>
      <c r="C6540" s="52" t="s">
        <v>715</v>
      </c>
      <c r="D6540" s="52" t="s">
        <v>715</v>
      </c>
      <c r="E6540" s="52" t="s">
        <v>584</v>
      </c>
      <c r="F6540" s="52" t="s">
        <v>581</v>
      </c>
      <c r="G6540" s="55" t="s">
        <v>277</v>
      </c>
      <c r="H6540" s="55">
        <v>17.57939</v>
      </c>
      <c r="I6540" s="55">
        <v>16.224150000000002</v>
      </c>
      <c r="J6540" s="55">
        <v>8.7688590000000008</v>
      </c>
      <c r="K6540" s="55">
        <v>7.5722490000000002</v>
      </c>
      <c r="L6540" s="55">
        <v>6.8058949999999996</v>
      </c>
      <c r="M6540" s="55">
        <v>6.1732230000000001</v>
      </c>
      <c r="N6540" s="55">
        <v>5.6402539999999997</v>
      </c>
    </row>
    <row r="6541" spans="1:14" hidden="1" x14ac:dyDescent="0.35">
      <c r="A6541" s="52" t="s">
        <v>712</v>
      </c>
      <c r="B6541" s="52" t="s">
        <v>225</v>
      </c>
      <c r="C6541" s="52" t="s">
        <v>715</v>
      </c>
      <c r="D6541" s="52" t="s">
        <v>715</v>
      </c>
      <c r="E6541" s="52" t="s">
        <v>584</v>
      </c>
      <c r="F6541" s="52" t="s">
        <v>581</v>
      </c>
      <c r="G6541" s="55" t="s">
        <v>278</v>
      </c>
      <c r="H6541" s="55">
        <v>0.15285099999999999</v>
      </c>
      <c r="I6541" s="55">
        <v>0.15285099999999999</v>
      </c>
      <c r="J6541" s="55">
        <v>0.15285099999999999</v>
      </c>
      <c r="K6541" s="55">
        <v>0.15285099999999999</v>
      </c>
      <c r="L6541" s="55">
        <v>2.3239320000000001</v>
      </c>
      <c r="M6541" s="55">
        <v>0.15285099999999999</v>
      </c>
      <c r="N6541" s="55">
        <v>0.15285099999999999</v>
      </c>
    </row>
    <row r="6542" spans="1:14" hidden="1" x14ac:dyDescent="0.35">
      <c r="A6542" s="52" t="s">
        <v>712</v>
      </c>
      <c r="B6542" s="52" t="s">
        <v>225</v>
      </c>
      <c r="C6542" s="52" t="s">
        <v>715</v>
      </c>
      <c r="D6542" s="52" t="s">
        <v>715</v>
      </c>
      <c r="E6542" s="52" t="s">
        <v>584</v>
      </c>
      <c r="F6542" s="52" t="s">
        <v>581</v>
      </c>
      <c r="G6542" s="55" t="s">
        <v>279</v>
      </c>
      <c r="H6542" s="55">
        <v>46.165599999999998</v>
      </c>
      <c r="I6542" s="55">
        <v>34.609650000000002</v>
      </c>
      <c r="J6542" s="55">
        <v>33.324109999999997</v>
      </c>
      <c r="K6542" s="55">
        <v>35.757179999999998</v>
      </c>
      <c r="L6542" s="55">
        <v>31.848929999999999</v>
      </c>
      <c r="M6542" s="55">
        <v>48.638979999999997</v>
      </c>
      <c r="N6542" s="55">
        <v>32.815179999999998</v>
      </c>
    </row>
    <row r="6543" spans="1:14" hidden="1" x14ac:dyDescent="0.35">
      <c r="A6543" s="52" t="s">
        <v>712</v>
      </c>
      <c r="B6543" s="52" t="s">
        <v>225</v>
      </c>
      <c r="C6543" s="52" t="s">
        <v>715</v>
      </c>
      <c r="D6543" s="52" t="s">
        <v>715</v>
      </c>
      <c r="E6543" s="52" t="s">
        <v>584</v>
      </c>
      <c r="F6543" s="52" t="s">
        <v>26</v>
      </c>
      <c r="G6543" s="55" t="s">
        <v>275</v>
      </c>
      <c r="H6543" s="55">
        <v>9.0846990000000002E-2</v>
      </c>
      <c r="I6543" s="55">
        <v>7.1898900000000002E-2</v>
      </c>
      <c r="J6543" s="55">
        <v>-0.44117079999999997</v>
      </c>
      <c r="K6543" s="55">
        <v>-0.4030202</v>
      </c>
      <c r="L6543" s="55">
        <v>-0.56182779999999999</v>
      </c>
      <c r="M6543" s="55">
        <v>-0.485259</v>
      </c>
      <c r="N6543" s="55">
        <v>-0.41702230000000001</v>
      </c>
    </row>
    <row r="6544" spans="1:14" hidden="1" x14ac:dyDescent="0.35">
      <c r="A6544" s="52" t="s">
        <v>712</v>
      </c>
      <c r="B6544" s="52" t="s">
        <v>225</v>
      </c>
      <c r="C6544" s="52" t="s">
        <v>715</v>
      </c>
      <c r="D6544" s="52" t="s">
        <v>715</v>
      </c>
      <c r="E6544" s="52" t="s">
        <v>584</v>
      </c>
      <c r="F6544" s="52" t="s">
        <v>26</v>
      </c>
      <c r="G6544" s="55" t="s">
        <v>276</v>
      </c>
      <c r="H6544" s="55">
        <v>4.2790000000000002E-2</v>
      </c>
      <c r="I6544" s="55">
        <v>2.7094400000000001E-2</v>
      </c>
      <c r="J6544" s="55">
        <v>2.1322299999999999E-2</v>
      </c>
      <c r="K6544" s="55">
        <v>4.1710030000000004E-3</v>
      </c>
      <c r="L6544" s="55">
        <v>-1.31585E-2</v>
      </c>
      <c r="M6544" s="55">
        <v>-2.8925699999999999E-2</v>
      </c>
      <c r="N6544" s="55">
        <v>-4.3423799999999999E-2</v>
      </c>
    </row>
    <row r="6545" spans="1:14" hidden="1" x14ac:dyDescent="0.35">
      <c r="A6545" s="52" t="s">
        <v>712</v>
      </c>
      <c r="B6545" s="52" t="s">
        <v>225</v>
      </c>
      <c r="C6545" s="52" t="s">
        <v>715</v>
      </c>
      <c r="D6545" s="52" t="s">
        <v>715</v>
      </c>
      <c r="E6545" s="52" t="s">
        <v>584</v>
      </c>
      <c r="F6545" s="52" t="s">
        <v>26</v>
      </c>
      <c r="G6545" s="55" t="s">
        <v>277</v>
      </c>
      <c r="H6545" s="55">
        <v>0</v>
      </c>
      <c r="I6545" s="55"/>
      <c r="J6545" s="55">
        <v>0.55305870000000001</v>
      </c>
      <c r="K6545" s="55"/>
      <c r="L6545" s="55">
        <v>0.70178280000000004</v>
      </c>
      <c r="M6545" s="55">
        <v>0.64437560000000005</v>
      </c>
      <c r="N6545" s="55">
        <v>0.59389910000000001</v>
      </c>
    </row>
    <row r="6546" spans="1:14" hidden="1" x14ac:dyDescent="0.35">
      <c r="A6546" s="52" t="s">
        <v>712</v>
      </c>
      <c r="B6546" s="52" t="s">
        <v>225</v>
      </c>
      <c r="C6546" s="52" t="s">
        <v>715</v>
      </c>
      <c r="D6546" s="52" t="s">
        <v>715</v>
      </c>
      <c r="E6546" s="52" t="s">
        <v>584</v>
      </c>
      <c r="F6546" s="52" t="s">
        <v>26</v>
      </c>
      <c r="G6546" s="55" t="s">
        <v>279</v>
      </c>
      <c r="H6546" s="55">
        <v>0.25336199999999998</v>
      </c>
      <c r="I6546" s="55">
        <v>0.22835859999999999</v>
      </c>
      <c r="J6546" s="55">
        <v>0.24039679999999999</v>
      </c>
      <c r="K6546" s="55">
        <v>0.25918540000000001</v>
      </c>
      <c r="L6546" s="55">
        <v>0.26560279999999997</v>
      </c>
      <c r="M6546" s="55">
        <v>0.27221709999999999</v>
      </c>
      <c r="N6546" s="55">
        <v>0.27896369999999998</v>
      </c>
    </row>
    <row r="6547" spans="1:14" hidden="1" x14ac:dyDescent="0.35">
      <c r="A6547" s="52" t="s">
        <v>712</v>
      </c>
      <c r="B6547" s="52" t="s">
        <v>48</v>
      </c>
      <c r="C6547" s="52" t="s">
        <v>47</v>
      </c>
      <c r="D6547" s="52" t="s">
        <v>47</v>
      </c>
      <c r="E6547" s="52" t="s">
        <v>584</v>
      </c>
      <c r="F6547" s="52" t="s">
        <v>581</v>
      </c>
      <c r="G6547" s="55" t="s">
        <v>275</v>
      </c>
      <c r="H6547" s="55">
        <v>0.72900679999999995</v>
      </c>
      <c r="I6547" s="55">
        <v>0.20019129999999999</v>
      </c>
      <c r="J6547" s="55">
        <v>0.1856546</v>
      </c>
      <c r="K6547" s="55">
        <v>0.16372500000000001</v>
      </c>
      <c r="L6547" s="55">
        <v>0.1096506</v>
      </c>
      <c r="M6547" s="55">
        <v>0.12157610000000001</v>
      </c>
      <c r="N6547" s="55">
        <v>0.25582840000000001</v>
      </c>
    </row>
    <row r="6548" spans="1:14" hidden="1" x14ac:dyDescent="0.35">
      <c r="A6548" s="52" t="s">
        <v>712</v>
      </c>
      <c r="B6548" s="52" t="s">
        <v>48</v>
      </c>
      <c r="C6548" s="52" t="s">
        <v>47</v>
      </c>
      <c r="D6548" s="52" t="s">
        <v>47</v>
      </c>
      <c r="E6548" s="52" t="s">
        <v>584</v>
      </c>
      <c r="F6548" s="52" t="s">
        <v>581</v>
      </c>
      <c r="G6548" s="55" t="s">
        <v>276</v>
      </c>
      <c r="H6548" s="55">
        <v>1.1531389999999999</v>
      </c>
      <c r="I6548" s="55">
        <v>0.3333836</v>
      </c>
      <c r="J6548" s="55">
        <v>0.30915490000000001</v>
      </c>
      <c r="K6548" s="55">
        <v>0.27334049999999999</v>
      </c>
      <c r="L6548" s="55">
        <v>0.24595800000000001</v>
      </c>
      <c r="M6548" s="55">
        <v>0.230214</v>
      </c>
      <c r="N6548" s="55">
        <v>0.41614489999999998</v>
      </c>
    </row>
    <row r="6549" spans="1:14" hidden="1" x14ac:dyDescent="0.35">
      <c r="A6549" s="52" t="s">
        <v>712</v>
      </c>
      <c r="B6549" s="52" t="s">
        <v>48</v>
      </c>
      <c r="C6549" s="52" t="s">
        <v>47</v>
      </c>
      <c r="D6549" s="52" t="s">
        <v>47</v>
      </c>
      <c r="E6549" s="52" t="s">
        <v>584</v>
      </c>
      <c r="F6549" s="52" t="s">
        <v>581</v>
      </c>
      <c r="G6549" s="55" t="s">
        <v>277</v>
      </c>
      <c r="H6549" s="55">
        <v>1.134924E-4</v>
      </c>
      <c r="I6549" s="55">
        <v>0</v>
      </c>
      <c r="J6549" s="55">
        <v>0</v>
      </c>
      <c r="K6549" s="55">
        <v>5.9910499999999995E-4</v>
      </c>
      <c r="L6549" s="55">
        <v>5.1442750000000002E-2</v>
      </c>
      <c r="M6549" s="55">
        <v>3.6429219999999998E-2</v>
      </c>
      <c r="N6549" s="55">
        <v>1.5612640000000001E-2</v>
      </c>
    </row>
    <row r="6550" spans="1:14" hidden="1" x14ac:dyDescent="0.35">
      <c r="A6550" s="52" t="s">
        <v>712</v>
      </c>
      <c r="B6550" s="52" t="s">
        <v>48</v>
      </c>
      <c r="C6550" s="52" t="s">
        <v>47</v>
      </c>
      <c r="D6550" s="52" t="s">
        <v>47</v>
      </c>
      <c r="E6550" s="52" t="s">
        <v>584</v>
      </c>
      <c r="F6550" s="52" t="s">
        <v>581</v>
      </c>
      <c r="G6550" s="55" t="s">
        <v>279</v>
      </c>
      <c r="H6550" s="55">
        <v>0.63433130000000004</v>
      </c>
      <c r="I6550" s="55">
        <v>0.47767759999999998</v>
      </c>
      <c r="J6550" s="55">
        <v>0.46650000000000003</v>
      </c>
      <c r="K6550" s="55">
        <v>0.46621509999999999</v>
      </c>
      <c r="L6550" s="55">
        <v>0.43839660000000003</v>
      </c>
      <c r="M6550" s="55">
        <v>0.41787180000000002</v>
      </c>
      <c r="N6550" s="55">
        <v>0.47342869999999998</v>
      </c>
    </row>
    <row r="6551" spans="1:14" hidden="1" x14ac:dyDescent="0.35">
      <c r="A6551" s="52" t="s">
        <v>712</v>
      </c>
      <c r="B6551" s="52" t="s">
        <v>48</v>
      </c>
      <c r="C6551" s="52" t="s">
        <v>47</v>
      </c>
      <c r="D6551" s="52" t="s">
        <v>47</v>
      </c>
      <c r="E6551" s="52" t="s">
        <v>584</v>
      </c>
      <c r="F6551" s="52" t="s">
        <v>26</v>
      </c>
      <c r="G6551" s="55" t="s">
        <v>275</v>
      </c>
      <c r="H6551" s="55">
        <v>11.636100000000001</v>
      </c>
      <c r="I6551" s="55">
        <v>15.66276</v>
      </c>
      <c r="J6551" s="55">
        <v>20.091709999999999</v>
      </c>
      <c r="K6551" s="55">
        <v>14.601139999999999</v>
      </c>
      <c r="L6551" s="55">
        <v>10.15185</v>
      </c>
      <c r="M6551" s="55">
        <v>11.0504</v>
      </c>
      <c r="N6551" s="55">
        <v>14.22175</v>
      </c>
    </row>
    <row r="6552" spans="1:14" hidden="1" x14ac:dyDescent="0.35">
      <c r="A6552" s="52" t="s">
        <v>712</v>
      </c>
      <c r="B6552" s="52" t="s">
        <v>48</v>
      </c>
      <c r="C6552" s="52" t="s">
        <v>47</v>
      </c>
      <c r="D6552" s="52" t="s">
        <v>47</v>
      </c>
      <c r="E6552" s="52" t="s">
        <v>584</v>
      </c>
      <c r="F6552" s="52" t="s">
        <v>26</v>
      </c>
      <c r="G6552" s="55" t="s">
        <v>276</v>
      </c>
      <c r="H6552" s="55">
        <v>11.119009999999999</v>
      </c>
      <c r="I6552" s="55">
        <v>10.96175</v>
      </c>
      <c r="J6552" s="55">
        <v>18.156410000000001</v>
      </c>
      <c r="K6552" s="55">
        <v>19.90428</v>
      </c>
      <c r="L6552" s="55">
        <v>8.3310680000000001</v>
      </c>
      <c r="M6552" s="55">
        <v>15.958629999999999</v>
      </c>
      <c r="N6552" s="55">
        <v>20.142800000000001</v>
      </c>
    </row>
    <row r="6553" spans="1:14" hidden="1" x14ac:dyDescent="0.35">
      <c r="A6553" s="52" t="s">
        <v>712</v>
      </c>
      <c r="B6553" s="52" t="s">
        <v>48</v>
      </c>
      <c r="C6553" s="52" t="s">
        <v>47</v>
      </c>
      <c r="D6553" s="52" t="s">
        <v>47</v>
      </c>
      <c r="E6553" s="52" t="s">
        <v>584</v>
      </c>
      <c r="F6553" s="52" t="s">
        <v>26</v>
      </c>
      <c r="G6553" s="55" t="s">
        <v>277</v>
      </c>
      <c r="H6553" s="55">
        <v>18.33287</v>
      </c>
      <c r="I6553" s="55">
        <v>5.0170060000000003</v>
      </c>
      <c r="J6553" s="55">
        <v>4.0160580000000001</v>
      </c>
      <c r="K6553" s="55">
        <v>7.450113</v>
      </c>
      <c r="L6553" s="55">
        <v>8.6945969999999999</v>
      </c>
      <c r="M6553" s="55">
        <v>5.1100779999999997</v>
      </c>
      <c r="N6553" s="55">
        <v>4.2283619999999997</v>
      </c>
    </row>
    <row r="6554" spans="1:14" hidden="1" x14ac:dyDescent="0.35">
      <c r="A6554" s="52" t="s">
        <v>712</v>
      </c>
      <c r="B6554" s="52" t="s">
        <v>48</v>
      </c>
      <c r="C6554" s="52" t="s">
        <v>47</v>
      </c>
      <c r="D6554" s="52" t="s">
        <v>47</v>
      </c>
      <c r="E6554" s="52" t="s">
        <v>584</v>
      </c>
      <c r="F6554" s="52" t="s">
        <v>26</v>
      </c>
      <c r="G6554" s="55" t="s">
        <v>278</v>
      </c>
      <c r="H6554" s="55">
        <v>0.68433319999999997</v>
      </c>
      <c r="I6554" s="55">
        <v>3.7730869999999999</v>
      </c>
      <c r="J6554" s="55">
        <v>3.1672470000000001</v>
      </c>
      <c r="K6554" s="55">
        <v>0.65585479999999996</v>
      </c>
      <c r="L6554" s="55">
        <v>7.8255980000000003</v>
      </c>
      <c r="M6554" s="55">
        <v>0.44069000000000003</v>
      </c>
      <c r="N6554" s="55">
        <v>0.42568119999999998</v>
      </c>
    </row>
    <row r="6555" spans="1:14" hidden="1" x14ac:dyDescent="0.35">
      <c r="A6555" s="52" t="s">
        <v>712</v>
      </c>
      <c r="B6555" s="52" t="s">
        <v>48</v>
      </c>
      <c r="C6555" s="52" t="s">
        <v>47</v>
      </c>
      <c r="D6555" s="52" t="s">
        <v>47</v>
      </c>
      <c r="E6555" s="52" t="s">
        <v>584</v>
      </c>
      <c r="F6555" s="52" t="s">
        <v>26</v>
      </c>
      <c r="G6555" s="55" t="s">
        <v>279</v>
      </c>
      <c r="H6555" s="55">
        <v>48.835610000000003</v>
      </c>
      <c r="I6555" s="55">
        <v>52.08849</v>
      </c>
      <c r="J6555" s="55">
        <v>51.905540000000002</v>
      </c>
      <c r="K6555" s="55">
        <v>51.547649999999997</v>
      </c>
      <c r="L6555" s="55">
        <v>46.846179999999997</v>
      </c>
      <c r="M6555" s="55">
        <v>44.921619999999997</v>
      </c>
      <c r="N6555" s="55">
        <v>51.978540000000002</v>
      </c>
    </row>
    <row r="6556" spans="1:14" hidden="1" x14ac:dyDescent="0.35">
      <c r="A6556" s="52" t="s">
        <v>712</v>
      </c>
      <c r="B6556" s="52" t="s">
        <v>48</v>
      </c>
      <c r="C6556" s="52" t="s">
        <v>47</v>
      </c>
      <c r="D6556" s="52" t="s">
        <v>50</v>
      </c>
      <c r="E6556" s="52" t="s">
        <v>584</v>
      </c>
      <c r="F6556" s="52" t="s">
        <v>581</v>
      </c>
      <c r="G6556" s="55" t="s">
        <v>275</v>
      </c>
      <c r="H6556" s="55">
        <v>1.12239E-2</v>
      </c>
      <c r="I6556" s="55">
        <v>4.0684500000000003E-4</v>
      </c>
      <c r="J6556" s="55">
        <v>3.5658E-4</v>
      </c>
      <c r="K6556" s="55">
        <v>-1.9858500000000001E-4</v>
      </c>
      <c r="L6556" s="55">
        <v>-9.7105499999999997E-4</v>
      </c>
      <c r="M6556" s="55">
        <v>-9.3267000000000003E-4</v>
      </c>
      <c r="N6556" s="55">
        <v>3.6837000000000003E-4</v>
      </c>
    </row>
    <row r="6557" spans="1:14" hidden="1" x14ac:dyDescent="0.35">
      <c r="A6557" s="52" t="s">
        <v>712</v>
      </c>
      <c r="B6557" s="52" t="s">
        <v>48</v>
      </c>
      <c r="C6557" s="52" t="s">
        <v>47</v>
      </c>
      <c r="D6557" s="52" t="s">
        <v>50</v>
      </c>
      <c r="E6557" s="52" t="s">
        <v>584</v>
      </c>
      <c r="F6557" s="52" t="s">
        <v>581</v>
      </c>
      <c r="G6557" s="55" t="s">
        <v>276</v>
      </c>
      <c r="H6557" s="55">
        <v>1.8706500000000001E-2</v>
      </c>
      <c r="I6557" s="55">
        <v>6.7855509999999999E-4</v>
      </c>
      <c r="J6557" s="55">
        <v>5.9458489999999998E-4</v>
      </c>
      <c r="K6557" s="55">
        <v>-3.30255E-4</v>
      </c>
      <c r="L6557" s="55">
        <v>-1.6184249999999999E-3</v>
      </c>
      <c r="M6557" s="55">
        <v>-1.55448E-3</v>
      </c>
      <c r="N6557" s="55">
        <v>6.1402500000000003E-4</v>
      </c>
    </row>
    <row r="6558" spans="1:14" hidden="1" x14ac:dyDescent="0.35">
      <c r="A6558" s="52" t="s">
        <v>712</v>
      </c>
      <c r="B6558" s="52" t="s">
        <v>48</v>
      </c>
      <c r="C6558" s="52" t="s">
        <v>47</v>
      </c>
      <c r="D6558" s="52" t="s">
        <v>50</v>
      </c>
      <c r="E6558" s="52" t="s">
        <v>584</v>
      </c>
      <c r="F6558" s="52" t="s">
        <v>581</v>
      </c>
      <c r="G6558" s="55" t="s">
        <v>279</v>
      </c>
      <c r="H6558" s="55">
        <v>3.3994799999999999E-2</v>
      </c>
      <c r="I6558" s="55">
        <v>3.34746E-2</v>
      </c>
      <c r="J6558" s="55">
        <v>2.8706849999999999E-2</v>
      </c>
      <c r="K6558" s="55">
        <v>2.6177849999999999E-2</v>
      </c>
      <c r="L6558" s="55">
        <v>1.292301E-2</v>
      </c>
      <c r="M6558" s="55">
        <v>1.1140880000000001E-2</v>
      </c>
      <c r="N6558" s="55">
        <v>9.9490949999999998E-3</v>
      </c>
    </row>
    <row r="6559" spans="1:14" hidden="1" x14ac:dyDescent="0.35">
      <c r="A6559" s="52" t="s">
        <v>712</v>
      </c>
      <c r="B6559" s="52" t="s">
        <v>48</v>
      </c>
      <c r="C6559" s="52" t="s">
        <v>47</v>
      </c>
      <c r="D6559" s="52" t="s">
        <v>50</v>
      </c>
      <c r="E6559" s="52" t="s">
        <v>584</v>
      </c>
      <c r="F6559" s="52" t="s">
        <v>26</v>
      </c>
      <c r="G6559" s="55" t="s">
        <v>275</v>
      </c>
      <c r="H6559" s="55">
        <v>-8.5683590000000004E-2</v>
      </c>
      <c r="I6559" s="55">
        <v>-8.4358890000000006E-2</v>
      </c>
      <c r="J6559" s="55">
        <v>-2.9610129999999998E-2</v>
      </c>
      <c r="K6559" s="55">
        <v>-5.4875019999999997E-2</v>
      </c>
      <c r="L6559" s="55">
        <v>-6.3508319999999993E-2</v>
      </c>
      <c r="M6559" s="55">
        <v>-7.0676509999999998E-2</v>
      </c>
      <c r="N6559" s="55"/>
    </row>
    <row r="6560" spans="1:14" hidden="1" x14ac:dyDescent="0.35">
      <c r="A6560" s="52" t="s">
        <v>712</v>
      </c>
      <c r="B6560" s="52" t="s">
        <v>48</v>
      </c>
      <c r="C6560" s="52" t="s">
        <v>47</v>
      </c>
      <c r="D6560" s="52" t="s">
        <v>50</v>
      </c>
      <c r="E6560" s="52" t="s">
        <v>584</v>
      </c>
      <c r="F6560" s="52" t="s">
        <v>26</v>
      </c>
      <c r="G6560" s="55" t="s">
        <v>276</v>
      </c>
      <c r="H6560" s="55">
        <v>-0.1698462</v>
      </c>
      <c r="I6560" s="55">
        <v>-0.24546000000000001</v>
      </c>
      <c r="J6560" s="55">
        <v>-0.1296581</v>
      </c>
      <c r="K6560" s="55">
        <v>-0.1430419</v>
      </c>
      <c r="L6560" s="55">
        <v>-0.12987309999999999</v>
      </c>
      <c r="M6560" s="55">
        <v>-0.121823</v>
      </c>
      <c r="N6560" s="55"/>
    </row>
    <row r="6561" spans="1:14" hidden="1" x14ac:dyDescent="0.35">
      <c r="A6561" s="52" t="s">
        <v>712</v>
      </c>
      <c r="B6561" s="52" t="s">
        <v>48</v>
      </c>
      <c r="C6561" s="52" t="s">
        <v>47</v>
      </c>
      <c r="D6561" s="52" t="s">
        <v>50</v>
      </c>
      <c r="E6561" s="52" t="s">
        <v>584</v>
      </c>
      <c r="F6561" s="52" t="s">
        <v>26</v>
      </c>
      <c r="G6561" s="55" t="s">
        <v>277</v>
      </c>
      <c r="H6561" s="55">
        <v>7.7438699999999999E-2</v>
      </c>
      <c r="I6561" s="55"/>
      <c r="J6561" s="55"/>
      <c r="K6561" s="55"/>
      <c r="L6561" s="55"/>
      <c r="M6561" s="55"/>
      <c r="N6561" s="55">
        <v>1.2094519999999999E-2</v>
      </c>
    </row>
    <row r="6562" spans="1:14" hidden="1" x14ac:dyDescent="0.35">
      <c r="A6562" s="52" t="s">
        <v>712</v>
      </c>
      <c r="B6562" s="52" t="s">
        <v>48</v>
      </c>
      <c r="C6562" s="52" t="s">
        <v>47</v>
      </c>
      <c r="D6562" s="52" t="s">
        <v>50</v>
      </c>
      <c r="E6562" s="52" t="s">
        <v>584</v>
      </c>
      <c r="F6562" s="52" t="s">
        <v>26</v>
      </c>
      <c r="G6562" s="55" t="s">
        <v>279</v>
      </c>
      <c r="H6562" s="55">
        <v>1.4873769999999999</v>
      </c>
      <c r="I6562" s="55">
        <v>1.47618</v>
      </c>
      <c r="J6562" s="55">
        <v>1.261314</v>
      </c>
      <c r="K6562" s="55">
        <v>1.147124</v>
      </c>
      <c r="L6562" s="55">
        <v>0.42647469999999998</v>
      </c>
      <c r="M6562" s="55">
        <v>0.41565960000000002</v>
      </c>
      <c r="N6562" s="55">
        <v>0.40444600000000003</v>
      </c>
    </row>
    <row r="6563" spans="1:14" hidden="1" x14ac:dyDescent="0.35">
      <c r="A6563" s="52" t="s">
        <v>712</v>
      </c>
      <c r="B6563" s="52" t="s">
        <v>48</v>
      </c>
      <c r="C6563" s="52" t="s">
        <v>96</v>
      </c>
      <c r="D6563" s="52" t="s">
        <v>96</v>
      </c>
      <c r="E6563" s="52" t="s">
        <v>584</v>
      </c>
      <c r="F6563" s="52" t="s">
        <v>581</v>
      </c>
      <c r="G6563" s="55" t="s">
        <v>275</v>
      </c>
      <c r="H6563" s="55">
        <v>3.4265780000000003E-2</v>
      </c>
      <c r="I6563" s="55">
        <v>7.1917720000000004E-2</v>
      </c>
      <c r="J6563" s="55">
        <v>1.9448750000000001E-2</v>
      </c>
      <c r="K6563" s="55">
        <v>7.5369829999999997E-3</v>
      </c>
      <c r="L6563" s="55">
        <v>4.8347340000000003E-3</v>
      </c>
      <c r="M6563" s="55">
        <v>3.3710390000000002E-3</v>
      </c>
      <c r="N6563" s="55">
        <v>2.313238E-3</v>
      </c>
    </row>
    <row r="6564" spans="1:14" hidden="1" x14ac:dyDescent="0.35">
      <c r="A6564" s="52" t="s">
        <v>712</v>
      </c>
      <c r="B6564" s="52" t="s">
        <v>48</v>
      </c>
      <c r="C6564" s="52" t="s">
        <v>96</v>
      </c>
      <c r="D6564" s="52" t="s">
        <v>96</v>
      </c>
      <c r="E6564" s="52" t="s">
        <v>584</v>
      </c>
      <c r="F6564" s="52" t="s">
        <v>581</v>
      </c>
      <c r="G6564" s="55" t="s">
        <v>276</v>
      </c>
      <c r="H6564" s="55">
        <v>5.7109710000000001E-2</v>
      </c>
      <c r="I6564" s="55">
        <v>0.1198626</v>
      </c>
      <c r="J6564" s="55">
        <v>3.2414659999999998E-2</v>
      </c>
      <c r="K6564" s="55">
        <v>1.2561370000000001E-2</v>
      </c>
      <c r="L6564" s="55">
        <v>8.0577349999999999E-3</v>
      </c>
      <c r="M6564" s="55">
        <v>5.6183600000000002E-3</v>
      </c>
      <c r="N6564" s="55">
        <v>3.8552949999999999E-3</v>
      </c>
    </row>
    <row r="6565" spans="1:14" hidden="1" x14ac:dyDescent="0.35">
      <c r="A6565" s="52" t="s">
        <v>712</v>
      </c>
      <c r="B6565" s="52" t="s">
        <v>48</v>
      </c>
      <c r="C6565" s="52" t="s">
        <v>96</v>
      </c>
      <c r="D6565" s="52" t="s">
        <v>96</v>
      </c>
      <c r="E6565" s="52" t="s">
        <v>584</v>
      </c>
      <c r="F6565" s="52" t="s">
        <v>581</v>
      </c>
      <c r="G6565" s="55" t="s">
        <v>277</v>
      </c>
      <c r="H6565" s="55"/>
      <c r="I6565" s="55"/>
      <c r="J6565" s="55"/>
      <c r="K6565" s="55">
        <v>0</v>
      </c>
      <c r="L6565" s="55"/>
      <c r="M6565" s="55">
        <v>0</v>
      </c>
      <c r="N6565" s="55">
        <v>0</v>
      </c>
    </row>
    <row r="6566" spans="1:14" hidden="1" x14ac:dyDescent="0.35">
      <c r="A6566" s="52" t="s">
        <v>712</v>
      </c>
      <c r="B6566" s="52" t="s">
        <v>48</v>
      </c>
      <c r="C6566" s="52" t="s">
        <v>96</v>
      </c>
      <c r="D6566" s="52" t="s">
        <v>96</v>
      </c>
      <c r="E6566" s="52" t="s">
        <v>584</v>
      </c>
      <c r="F6566" s="52" t="s">
        <v>581</v>
      </c>
      <c r="G6566" s="55" t="s">
        <v>279</v>
      </c>
      <c r="H6566" s="55">
        <v>1.413038E-2</v>
      </c>
      <c r="I6566" s="55">
        <v>7.3427500000000007E-2</v>
      </c>
      <c r="J6566" s="55">
        <v>1.423906E-2</v>
      </c>
      <c r="K6566" s="55">
        <v>5.9955800000000004E-3</v>
      </c>
      <c r="L6566" s="55">
        <v>3.8455109999999998E-3</v>
      </c>
      <c r="M6566" s="55">
        <v>2.6810470000000002E-3</v>
      </c>
      <c r="N6566" s="55">
        <v>1.840214E-3</v>
      </c>
    </row>
    <row r="6567" spans="1:14" hidden="1" x14ac:dyDescent="0.35">
      <c r="A6567" s="52" t="s">
        <v>712</v>
      </c>
      <c r="B6567" s="52" t="s">
        <v>48</v>
      </c>
      <c r="C6567" s="52" t="s">
        <v>96</v>
      </c>
      <c r="D6567" s="52" t="s">
        <v>96</v>
      </c>
      <c r="E6567" s="52" t="s">
        <v>584</v>
      </c>
      <c r="F6567" s="52" t="s">
        <v>26</v>
      </c>
      <c r="G6567" s="55" t="s">
        <v>275</v>
      </c>
      <c r="H6567" s="55">
        <v>1.469007</v>
      </c>
      <c r="I6567" s="55">
        <v>0.58448029999999995</v>
      </c>
      <c r="J6567" s="55">
        <v>0.87510160000000003</v>
      </c>
      <c r="K6567" s="55">
        <v>0.82329629999999998</v>
      </c>
      <c r="L6567" s="55">
        <v>0.7380042</v>
      </c>
      <c r="M6567" s="55">
        <v>0.4444939</v>
      </c>
      <c r="N6567" s="55">
        <v>0.35620669999999999</v>
      </c>
    </row>
    <row r="6568" spans="1:14" hidden="1" x14ac:dyDescent="0.35">
      <c r="A6568" s="52" t="s">
        <v>712</v>
      </c>
      <c r="B6568" s="52" t="s">
        <v>48</v>
      </c>
      <c r="C6568" s="52" t="s">
        <v>96</v>
      </c>
      <c r="D6568" s="52" t="s">
        <v>96</v>
      </c>
      <c r="E6568" s="52" t="s">
        <v>584</v>
      </c>
      <c r="F6568" s="52" t="s">
        <v>26</v>
      </c>
      <c r="G6568" s="55" t="s">
        <v>276</v>
      </c>
      <c r="H6568" s="55">
        <v>-1.427594</v>
      </c>
      <c r="I6568" s="55">
        <v>-1.468343</v>
      </c>
      <c r="J6568" s="55">
        <v>-0.67052069999999997</v>
      </c>
      <c r="K6568" s="55">
        <v>0.1991686</v>
      </c>
      <c r="L6568" s="55">
        <v>0.15162490000000001</v>
      </c>
      <c r="M6568" s="55">
        <v>0.38643739999999999</v>
      </c>
      <c r="N6568" s="55">
        <v>0.32452019999999998</v>
      </c>
    </row>
    <row r="6569" spans="1:14" hidden="1" x14ac:dyDescent="0.35">
      <c r="A6569" s="52" t="s">
        <v>712</v>
      </c>
      <c r="B6569" s="52" t="s">
        <v>48</v>
      </c>
      <c r="C6569" s="52" t="s">
        <v>96</v>
      </c>
      <c r="D6569" s="52" t="s">
        <v>96</v>
      </c>
      <c r="E6569" s="52" t="s">
        <v>584</v>
      </c>
      <c r="F6569" s="52" t="s">
        <v>26</v>
      </c>
      <c r="G6569" s="55" t="s">
        <v>277</v>
      </c>
      <c r="H6569" s="55">
        <v>2.07348</v>
      </c>
      <c r="I6569" s="55">
        <v>0.2246504</v>
      </c>
      <c r="J6569" s="55">
        <v>0.19334950000000001</v>
      </c>
      <c r="K6569" s="55">
        <v>0</v>
      </c>
      <c r="L6569" s="55"/>
      <c r="M6569" s="55">
        <v>0</v>
      </c>
      <c r="N6569" s="55">
        <v>0</v>
      </c>
    </row>
    <row r="6570" spans="1:14" hidden="1" x14ac:dyDescent="0.35">
      <c r="A6570" s="52" t="s">
        <v>712</v>
      </c>
      <c r="B6570" s="52" t="s">
        <v>48</v>
      </c>
      <c r="C6570" s="52" t="s">
        <v>96</v>
      </c>
      <c r="D6570" s="52" t="s">
        <v>96</v>
      </c>
      <c r="E6570" s="52" t="s">
        <v>584</v>
      </c>
      <c r="F6570" s="52" t="s">
        <v>26</v>
      </c>
      <c r="G6570" s="55" t="s">
        <v>278</v>
      </c>
      <c r="H6570" s="55">
        <v>0.28570230000000002</v>
      </c>
      <c r="I6570" s="55">
        <v>3.388331</v>
      </c>
      <c r="J6570" s="55">
        <v>1.661324</v>
      </c>
      <c r="K6570" s="55">
        <v>0.27339989999999997</v>
      </c>
      <c r="L6570" s="55">
        <v>0.27339989999999997</v>
      </c>
      <c r="M6570" s="55">
        <v>0.22841649999999999</v>
      </c>
      <c r="N6570" s="55">
        <v>0.2142463</v>
      </c>
    </row>
    <row r="6571" spans="1:14" hidden="1" x14ac:dyDescent="0.35">
      <c r="A6571" s="52" t="s">
        <v>712</v>
      </c>
      <c r="B6571" s="52" t="s">
        <v>48</v>
      </c>
      <c r="C6571" s="52" t="s">
        <v>96</v>
      </c>
      <c r="D6571" s="52" t="s">
        <v>96</v>
      </c>
      <c r="E6571" s="52" t="s">
        <v>584</v>
      </c>
      <c r="F6571" s="52" t="s">
        <v>26</v>
      </c>
      <c r="G6571" s="55" t="s">
        <v>279</v>
      </c>
      <c r="H6571" s="55">
        <v>1.1274660000000001</v>
      </c>
      <c r="I6571" s="55">
        <v>1.5971960000000001</v>
      </c>
      <c r="J6571" s="55">
        <v>0.84756189999999998</v>
      </c>
      <c r="K6571" s="55">
        <v>0.69535950000000002</v>
      </c>
      <c r="L6571" s="55">
        <v>0.66232190000000002</v>
      </c>
      <c r="M6571" s="55">
        <v>0.62332750000000003</v>
      </c>
      <c r="N6571" s="55">
        <v>0.53693809999999997</v>
      </c>
    </row>
    <row r="6572" spans="1:14" hidden="1" x14ac:dyDescent="0.35">
      <c r="A6572" s="52" t="s">
        <v>712</v>
      </c>
      <c r="B6572" s="52" t="s">
        <v>53</v>
      </c>
      <c r="C6572" s="52" t="s">
        <v>52</v>
      </c>
      <c r="D6572" s="52" t="s">
        <v>52</v>
      </c>
      <c r="E6572" s="52" t="s">
        <v>584</v>
      </c>
      <c r="F6572" s="52" t="s">
        <v>581</v>
      </c>
      <c r="G6572" s="55" t="s">
        <v>275</v>
      </c>
      <c r="H6572" s="55">
        <v>26.644739999999999</v>
      </c>
      <c r="I6572" s="55">
        <v>9.0154169999999993</v>
      </c>
      <c r="J6572" s="55">
        <v>-30.799189999999999</v>
      </c>
      <c r="K6572" s="55">
        <v>9.8373659999999994</v>
      </c>
      <c r="L6572" s="55">
        <v>-83.507059999999996</v>
      </c>
      <c r="M6572" s="55">
        <v>11.71374</v>
      </c>
      <c r="N6572" s="55">
        <v>8.5226799999999994</v>
      </c>
    </row>
    <row r="6573" spans="1:14" hidden="1" x14ac:dyDescent="0.35">
      <c r="A6573" s="52" t="s">
        <v>712</v>
      </c>
      <c r="B6573" s="52" t="s">
        <v>53</v>
      </c>
      <c r="C6573" s="52" t="s">
        <v>52</v>
      </c>
      <c r="D6573" s="52" t="s">
        <v>52</v>
      </c>
      <c r="E6573" s="52" t="s">
        <v>584</v>
      </c>
      <c r="F6573" s="52" t="s">
        <v>581</v>
      </c>
      <c r="G6573" s="55" t="s">
        <v>276</v>
      </c>
      <c r="H6573" s="55">
        <v>40.326999999999998</v>
      </c>
      <c r="I6573" s="55">
        <v>-5.089359</v>
      </c>
      <c r="J6573" s="55">
        <v>-7.8637860000000002</v>
      </c>
      <c r="K6573" s="55">
        <v>-10.82368</v>
      </c>
      <c r="L6573" s="55">
        <v>-18.204640000000001</v>
      </c>
      <c r="M6573" s="55">
        <v>-18.95675</v>
      </c>
      <c r="N6573" s="55">
        <v>-20.879249999999999</v>
      </c>
    </row>
    <row r="6574" spans="1:14" hidden="1" x14ac:dyDescent="0.35">
      <c r="A6574" s="52" t="s">
        <v>712</v>
      </c>
      <c r="B6574" s="52" t="s">
        <v>53</v>
      </c>
      <c r="C6574" s="52" t="s">
        <v>52</v>
      </c>
      <c r="D6574" s="52" t="s">
        <v>52</v>
      </c>
      <c r="E6574" s="52" t="s">
        <v>584</v>
      </c>
      <c r="F6574" s="52" t="s">
        <v>581</v>
      </c>
      <c r="G6574" s="55" t="s">
        <v>277</v>
      </c>
      <c r="H6574" s="55">
        <v>19.760000000000002</v>
      </c>
      <c r="I6574" s="55">
        <v>14.88</v>
      </c>
      <c r="J6574" s="55">
        <v>50.76</v>
      </c>
      <c r="K6574" s="55">
        <v>4.880001</v>
      </c>
      <c r="L6574" s="55">
        <v>100.2223</v>
      </c>
      <c r="M6574" s="55">
        <v>0</v>
      </c>
      <c r="N6574" s="55"/>
    </row>
    <row r="6575" spans="1:14" hidden="1" x14ac:dyDescent="0.35">
      <c r="A6575" s="52" t="s">
        <v>712</v>
      </c>
      <c r="B6575" s="52" t="s">
        <v>53</v>
      </c>
      <c r="C6575" s="52" t="s">
        <v>52</v>
      </c>
      <c r="D6575" s="52" t="s">
        <v>52</v>
      </c>
      <c r="E6575" s="52" t="s">
        <v>584</v>
      </c>
      <c r="F6575" s="52" t="s">
        <v>581</v>
      </c>
      <c r="G6575" s="55" t="s">
        <v>279</v>
      </c>
      <c r="H6575" s="55">
        <v>47.192010000000003</v>
      </c>
      <c r="I6575" s="55">
        <v>42.583779999999997</v>
      </c>
      <c r="J6575" s="55">
        <v>42.990090000000002</v>
      </c>
      <c r="K6575" s="55">
        <v>45.920119999999997</v>
      </c>
      <c r="L6575" s="55">
        <v>46.002160000000003</v>
      </c>
      <c r="M6575" s="55">
        <v>46.041609999999999</v>
      </c>
      <c r="N6575" s="55">
        <v>46.235289999999999</v>
      </c>
    </row>
    <row r="6576" spans="1:14" hidden="1" x14ac:dyDescent="0.35">
      <c r="A6576" s="52" t="s">
        <v>712</v>
      </c>
      <c r="B6576" s="52" t="s">
        <v>53</v>
      </c>
      <c r="C6576" s="52" t="s">
        <v>52</v>
      </c>
      <c r="D6576" s="52" t="s">
        <v>52</v>
      </c>
      <c r="E6576" s="52" t="s">
        <v>584</v>
      </c>
      <c r="F6576" s="52" t="s">
        <v>26</v>
      </c>
      <c r="G6576" s="55" t="s">
        <v>275</v>
      </c>
      <c r="H6576" s="55">
        <v>-4.3846000000000003E-2</v>
      </c>
      <c r="I6576" s="55">
        <v>-4.3846000000000003E-2</v>
      </c>
      <c r="J6576" s="55">
        <v>0</v>
      </c>
      <c r="K6576" s="55">
        <v>0</v>
      </c>
      <c r="L6576" s="55">
        <v>0</v>
      </c>
      <c r="M6576" s="55">
        <v>0</v>
      </c>
      <c r="N6576" s="55">
        <v>0</v>
      </c>
    </row>
    <row r="6577" spans="1:14" hidden="1" x14ac:dyDescent="0.35">
      <c r="A6577" s="52" t="s">
        <v>712</v>
      </c>
      <c r="B6577" s="52" t="s">
        <v>53</v>
      </c>
      <c r="C6577" s="52" t="s">
        <v>52</v>
      </c>
      <c r="D6577" s="52" t="s">
        <v>52</v>
      </c>
      <c r="E6577" s="52" t="s">
        <v>584</v>
      </c>
      <c r="F6577" s="52" t="s">
        <v>26</v>
      </c>
      <c r="G6577" s="55" t="s">
        <v>276</v>
      </c>
      <c r="H6577" s="55">
        <v>-1.8790999999999999E-2</v>
      </c>
      <c r="I6577" s="55">
        <v>-1.8790999999999999E-2</v>
      </c>
      <c r="J6577" s="55">
        <v>-6.2635999999999997E-2</v>
      </c>
      <c r="K6577" s="55">
        <v>-6.2636999999999998E-2</v>
      </c>
      <c r="L6577" s="55">
        <v>-0.15461</v>
      </c>
      <c r="M6577" s="55">
        <v>-6.2637999999999999E-2</v>
      </c>
      <c r="N6577" s="55">
        <v>-6.2636999999999998E-2</v>
      </c>
    </row>
    <row r="6578" spans="1:14" hidden="1" x14ac:dyDescent="0.35">
      <c r="A6578" s="52" t="s">
        <v>712</v>
      </c>
      <c r="B6578" s="52" t="s">
        <v>53</v>
      </c>
      <c r="C6578" s="52" t="s">
        <v>52</v>
      </c>
      <c r="D6578" s="52" t="s">
        <v>52</v>
      </c>
      <c r="E6578" s="52" t="s">
        <v>584</v>
      </c>
      <c r="F6578" s="52" t="s">
        <v>26</v>
      </c>
      <c r="G6578" s="55" t="s">
        <v>278</v>
      </c>
      <c r="H6578" s="55">
        <v>6.2636999999999998E-2</v>
      </c>
      <c r="I6578" s="55">
        <v>6.2636999999999998E-2</v>
      </c>
      <c r="J6578" s="55">
        <v>6.2636999999999998E-2</v>
      </c>
      <c r="K6578" s="55">
        <v>6.2636999999999998E-2</v>
      </c>
      <c r="L6578" s="55">
        <v>0.15461</v>
      </c>
      <c r="M6578" s="55">
        <v>6.2636999999999998E-2</v>
      </c>
      <c r="N6578" s="55">
        <v>6.2636999999999998E-2</v>
      </c>
    </row>
    <row r="6579" spans="1:14" hidden="1" x14ac:dyDescent="0.35">
      <c r="A6579" s="52" t="s">
        <v>712</v>
      </c>
      <c r="B6579" s="52" t="s">
        <v>280</v>
      </c>
      <c r="C6579" s="52" t="s">
        <v>716</v>
      </c>
      <c r="D6579" s="52" t="s">
        <v>716</v>
      </c>
      <c r="E6579" s="52" t="s">
        <v>584</v>
      </c>
      <c r="F6579" s="52" t="s">
        <v>581</v>
      </c>
      <c r="G6579" s="55" t="s">
        <v>275</v>
      </c>
      <c r="H6579" s="55"/>
      <c r="I6579" s="55"/>
      <c r="J6579" s="55"/>
      <c r="K6579" s="55"/>
      <c r="L6579" s="55"/>
      <c r="M6579" s="55">
        <v>0</v>
      </c>
      <c r="N6579" s="55">
        <v>0</v>
      </c>
    </row>
    <row r="6580" spans="1:14" hidden="1" x14ac:dyDescent="0.35">
      <c r="A6580" s="52" t="s">
        <v>712</v>
      </c>
      <c r="B6580" s="52" t="s">
        <v>280</v>
      </c>
      <c r="C6580" s="52" t="s">
        <v>716</v>
      </c>
      <c r="D6580" s="52" t="s">
        <v>716</v>
      </c>
      <c r="E6580" s="52" t="s">
        <v>584</v>
      </c>
      <c r="F6580" s="52" t="s">
        <v>581</v>
      </c>
      <c r="G6580" s="55" t="s">
        <v>276</v>
      </c>
      <c r="H6580" s="55"/>
      <c r="I6580" s="55"/>
      <c r="J6580" s="55"/>
      <c r="K6580" s="55"/>
      <c r="L6580" s="55"/>
      <c r="M6580" s="55">
        <v>0</v>
      </c>
      <c r="N6580" s="55">
        <v>-1.6429999999999999E-3</v>
      </c>
    </row>
    <row r="6581" spans="1:14" hidden="1" x14ac:dyDescent="0.35">
      <c r="A6581" s="52" t="s">
        <v>712</v>
      </c>
      <c r="B6581" s="52" t="s">
        <v>280</v>
      </c>
      <c r="C6581" s="52" t="s">
        <v>716</v>
      </c>
      <c r="D6581" s="52" t="s">
        <v>716</v>
      </c>
      <c r="E6581" s="52" t="s">
        <v>584</v>
      </c>
      <c r="F6581" s="52" t="s">
        <v>581</v>
      </c>
      <c r="G6581" s="55" t="s">
        <v>279</v>
      </c>
      <c r="H6581" s="55"/>
      <c r="I6581" s="55"/>
      <c r="J6581" s="55"/>
      <c r="K6581" s="55"/>
      <c r="L6581" s="55"/>
      <c r="M6581" s="55">
        <v>0</v>
      </c>
      <c r="N6581" s="55">
        <v>1.6432E-3</v>
      </c>
    </row>
    <row r="6582" spans="1:14" hidden="1" x14ac:dyDescent="0.35">
      <c r="A6582" s="52" t="s">
        <v>712</v>
      </c>
      <c r="B6582" s="52" t="s">
        <v>280</v>
      </c>
      <c r="C6582" s="52" t="s">
        <v>716</v>
      </c>
      <c r="D6582" s="52" t="s">
        <v>716</v>
      </c>
      <c r="E6582" s="52" t="s">
        <v>584</v>
      </c>
      <c r="F6582" s="52" t="s">
        <v>26</v>
      </c>
      <c r="G6582" s="55" t="s">
        <v>275</v>
      </c>
      <c r="H6582" s="55">
        <v>60.655299999999997</v>
      </c>
      <c r="I6582" s="55">
        <v>45.999180000000003</v>
      </c>
      <c r="J6582" s="55">
        <v>34.041969999999999</v>
      </c>
      <c r="K6582" s="55">
        <v>22.874179999999999</v>
      </c>
      <c r="L6582" s="55">
        <v>18.30536</v>
      </c>
      <c r="M6582" s="55">
        <v>14.13278</v>
      </c>
      <c r="N6582" s="55">
        <v>10.23298</v>
      </c>
    </row>
    <row r="6583" spans="1:14" hidden="1" x14ac:dyDescent="0.35">
      <c r="A6583" s="52" t="s">
        <v>712</v>
      </c>
      <c r="B6583" s="52" t="s">
        <v>280</v>
      </c>
      <c r="C6583" s="52" t="s">
        <v>716</v>
      </c>
      <c r="D6583" s="52" t="s">
        <v>716</v>
      </c>
      <c r="E6583" s="52" t="s">
        <v>584</v>
      </c>
      <c r="F6583" s="52" t="s">
        <v>26</v>
      </c>
      <c r="G6583" s="55" t="s">
        <v>276</v>
      </c>
      <c r="H6583" s="55"/>
      <c r="I6583" s="55">
        <v>0</v>
      </c>
      <c r="J6583" s="55">
        <v>11.00278</v>
      </c>
      <c r="K6583" s="55">
        <v>9.3606230000000004</v>
      </c>
      <c r="L6583" s="55">
        <v>6.8438020000000002</v>
      </c>
      <c r="M6583" s="55">
        <v>5.597175</v>
      </c>
      <c r="N6583" s="55">
        <v>4.0668199999999999</v>
      </c>
    </row>
    <row r="6584" spans="1:14" hidden="1" x14ac:dyDescent="0.35">
      <c r="A6584" s="52" t="s">
        <v>712</v>
      </c>
      <c r="B6584" s="52" t="s">
        <v>280</v>
      </c>
      <c r="C6584" s="52" t="s">
        <v>716</v>
      </c>
      <c r="D6584" s="52" t="s">
        <v>716</v>
      </c>
      <c r="E6584" s="52" t="s">
        <v>584</v>
      </c>
      <c r="F6584" s="52" t="s">
        <v>26</v>
      </c>
      <c r="G6584" s="55" t="s">
        <v>277</v>
      </c>
      <c r="H6584" s="55">
        <v>0.4999999</v>
      </c>
      <c r="I6584" s="55">
        <v>0.99999990000000005</v>
      </c>
      <c r="J6584" s="55">
        <v>1.5</v>
      </c>
      <c r="K6584" s="55">
        <v>7.389526</v>
      </c>
      <c r="L6584" s="55">
        <v>7.9753769999999999</v>
      </c>
      <c r="M6584" s="55">
        <v>8.2495689999999993</v>
      </c>
      <c r="N6584" s="55">
        <v>8.7898130000000005</v>
      </c>
    </row>
    <row r="6585" spans="1:14" hidden="1" x14ac:dyDescent="0.35">
      <c r="A6585" s="52" t="s">
        <v>712</v>
      </c>
      <c r="B6585" s="52" t="s">
        <v>280</v>
      </c>
      <c r="C6585" s="52" t="s">
        <v>716</v>
      </c>
      <c r="D6585" s="52" t="s">
        <v>716</v>
      </c>
      <c r="E6585" s="52" t="s">
        <v>584</v>
      </c>
      <c r="F6585" s="52" t="s">
        <v>26</v>
      </c>
      <c r="G6585" s="55" t="s">
        <v>278</v>
      </c>
      <c r="H6585" s="55">
        <v>1.8644000000000001E-2</v>
      </c>
      <c r="I6585" s="55">
        <v>1.8644000000000001E-2</v>
      </c>
      <c r="J6585" s="55">
        <v>1.8644000000000001E-2</v>
      </c>
      <c r="K6585" s="55">
        <v>1.8644000000000001E-2</v>
      </c>
      <c r="L6585" s="55">
        <v>0.68261579999999999</v>
      </c>
      <c r="M6585" s="55">
        <v>1.8644000000000001E-2</v>
      </c>
      <c r="N6585" s="55">
        <v>1.8644000000000001E-2</v>
      </c>
    </row>
    <row r="6586" spans="1:14" hidden="1" x14ac:dyDescent="0.35">
      <c r="A6586" s="52" t="s">
        <v>712</v>
      </c>
      <c r="B6586" s="52" t="s">
        <v>280</v>
      </c>
      <c r="C6586" s="52" t="s">
        <v>716</v>
      </c>
      <c r="D6586" s="52" t="s">
        <v>716</v>
      </c>
      <c r="E6586" s="52" t="s">
        <v>584</v>
      </c>
      <c r="F6586" s="52" t="s">
        <v>26</v>
      </c>
      <c r="G6586" s="55" t="s">
        <v>279</v>
      </c>
      <c r="H6586" s="55">
        <v>15.650119999999999</v>
      </c>
      <c r="I6586" s="55">
        <v>12.88761</v>
      </c>
      <c r="J6586" s="55">
        <v>11.78918</v>
      </c>
      <c r="K6586" s="55">
        <v>11.313179999999999</v>
      </c>
      <c r="L6586" s="55">
        <v>10.116720000000001</v>
      </c>
      <c r="M6586" s="55">
        <v>8.9233480000000007</v>
      </c>
      <c r="N6586" s="55">
        <v>7.9383869999999996</v>
      </c>
    </row>
    <row r="6587" spans="1:14" hidden="1" x14ac:dyDescent="0.35">
      <c r="A6587" s="52" t="s">
        <v>712</v>
      </c>
      <c r="B6587" s="52" t="s">
        <v>49</v>
      </c>
      <c r="C6587" s="52" t="s">
        <v>47</v>
      </c>
      <c r="D6587" s="52" t="s">
        <v>50</v>
      </c>
      <c r="E6587" s="52" t="s">
        <v>584</v>
      </c>
      <c r="F6587" s="52" t="s">
        <v>581</v>
      </c>
      <c r="G6587" s="55" t="s">
        <v>275</v>
      </c>
      <c r="H6587" s="55">
        <v>4.2547300000000003</v>
      </c>
      <c r="I6587" s="55">
        <v>3.1371709999999999</v>
      </c>
      <c r="J6587" s="55">
        <v>2.3336079999999999</v>
      </c>
      <c r="K6587" s="55">
        <v>0.64144670000000004</v>
      </c>
      <c r="L6587" s="55">
        <v>0.61804899999999996</v>
      </c>
      <c r="M6587" s="55">
        <v>0.44713580000000003</v>
      </c>
      <c r="N6587" s="55">
        <v>0.46418359999999997</v>
      </c>
    </row>
    <row r="6588" spans="1:14" hidden="1" x14ac:dyDescent="0.35">
      <c r="A6588" s="52" t="s">
        <v>712</v>
      </c>
      <c r="B6588" s="52" t="s">
        <v>49</v>
      </c>
      <c r="C6588" s="52" t="s">
        <v>47</v>
      </c>
      <c r="D6588" s="52" t="s">
        <v>50</v>
      </c>
      <c r="E6588" s="52" t="s">
        <v>584</v>
      </c>
      <c r="F6588" s="52" t="s">
        <v>581</v>
      </c>
      <c r="G6588" s="55" t="s">
        <v>276</v>
      </c>
      <c r="H6588" s="55">
        <v>0.67058810000000002</v>
      </c>
      <c r="I6588" s="55">
        <v>-1.1659980000000001</v>
      </c>
      <c r="J6588" s="55">
        <v>-0.37314120000000001</v>
      </c>
      <c r="K6588" s="55">
        <v>9.0507630000000006E-2</v>
      </c>
      <c r="L6588" s="55">
        <v>6.1484799999999999E-2</v>
      </c>
      <c r="M6588" s="55">
        <v>0.20007749999999999</v>
      </c>
      <c r="N6588" s="55">
        <v>0.13317970000000001</v>
      </c>
    </row>
    <row r="6589" spans="1:14" hidden="1" x14ac:dyDescent="0.35">
      <c r="A6589" s="52" t="s">
        <v>712</v>
      </c>
      <c r="B6589" s="52" t="s">
        <v>49</v>
      </c>
      <c r="C6589" s="52" t="s">
        <v>47</v>
      </c>
      <c r="D6589" s="52" t="s">
        <v>50</v>
      </c>
      <c r="E6589" s="52" t="s">
        <v>584</v>
      </c>
      <c r="F6589" s="52" t="s">
        <v>581</v>
      </c>
      <c r="G6589" s="55" t="s">
        <v>277</v>
      </c>
      <c r="H6589" s="55">
        <v>6.802962</v>
      </c>
      <c r="I6589" s="55">
        <v>3.0464959999999999</v>
      </c>
      <c r="J6589" s="55">
        <v>2.7179329999999999</v>
      </c>
      <c r="K6589" s="55">
        <v>3.6427990000000001</v>
      </c>
      <c r="L6589" s="55">
        <v>3.4610370000000001</v>
      </c>
      <c r="M6589" s="55">
        <v>3.2473030000000001</v>
      </c>
      <c r="N6589" s="55">
        <v>3.0792030000000001</v>
      </c>
    </row>
    <row r="6590" spans="1:14" hidden="1" x14ac:dyDescent="0.35">
      <c r="A6590" s="52" t="s">
        <v>712</v>
      </c>
      <c r="B6590" s="52" t="s">
        <v>49</v>
      </c>
      <c r="C6590" s="52" t="s">
        <v>47</v>
      </c>
      <c r="D6590" s="52" t="s">
        <v>50</v>
      </c>
      <c r="E6590" s="52" t="s">
        <v>584</v>
      </c>
      <c r="F6590" s="52" t="s">
        <v>581</v>
      </c>
      <c r="G6590" s="55" t="s">
        <v>279</v>
      </c>
      <c r="H6590" s="55">
        <v>1.4541010000000001</v>
      </c>
      <c r="I6590" s="55">
        <v>1.2848010000000001</v>
      </c>
      <c r="J6590" s="55">
        <v>1.238116</v>
      </c>
      <c r="K6590" s="55">
        <v>1.242669</v>
      </c>
      <c r="L6590" s="55">
        <v>1.194007</v>
      </c>
      <c r="M6590" s="55">
        <v>1.1435120000000001</v>
      </c>
      <c r="N6590" s="55">
        <v>1.098282</v>
      </c>
    </row>
    <row r="6591" spans="1:14" hidden="1" x14ac:dyDescent="0.35">
      <c r="A6591" s="52" t="s">
        <v>712</v>
      </c>
      <c r="B6591" s="52" t="s">
        <v>49</v>
      </c>
      <c r="C6591" s="52" t="s">
        <v>47</v>
      </c>
      <c r="D6591" s="52" t="s">
        <v>50</v>
      </c>
      <c r="E6591" s="52" t="s">
        <v>584</v>
      </c>
      <c r="F6591" s="52" t="s">
        <v>26</v>
      </c>
      <c r="G6591" s="55" t="s">
        <v>275</v>
      </c>
      <c r="H6591" s="55">
        <v>-5.0947930000000001</v>
      </c>
      <c r="I6591" s="55">
        <v>-1.668868</v>
      </c>
      <c r="J6591" s="55">
        <v>-0.37049789999999999</v>
      </c>
      <c r="K6591" s="55">
        <v>-0.44223119999999999</v>
      </c>
      <c r="L6591" s="55">
        <v>-3.7627630000000001</v>
      </c>
      <c r="M6591" s="55">
        <v>-6.3098510000000001</v>
      </c>
      <c r="N6591" s="55">
        <v>-0.69564130000000002</v>
      </c>
    </row>
    <row r="6592" spans="1:14" hidden="1" x14ac:dyDescent="0.35">
      <c r="A6592" s="52" t="s">
        <v>712</v>
      </c>
      <c r="B6592" s="52" t="s">
        <v>49</v>
      </c>
      <c r="C6592" s="52" t="s">
        <v>47</v>
      </c>
      <c r="D6592" s="52" t="s">
        <v>50</v>
      </c>
      <c r="E6592" s="52" t="s">
        <v>584</v>
      </c>
      <c r="F6592" s="52" t="s">
        <v>26</v>
      </c>
      <c r="G6592" s="55" t="s">
        <v>276</v>
      </c>
      <c r="H6592" s="55">
        <v>-1.749072</v>
      </c>
      <c r="I6592" s="55">
        <v>-2.2061899999999999</v>
      </c>
      <c r="J6592" s="55">
        <v>-1.67839</v>
      </c>
      <c r="K6592" s="55">
        <v>-1.6628179999999999</v>
      </c>
      <c r="L6592" s="55">
        <v>-2.2437010000000002</v>
      </c>
      <c r="M6592" s="55">
        <v>-2.9270040000000002</v>
      </c>
      <c r="N6592" s="55">
        <v>-0.51971630000000002</v>
      </c>
    </row>
    <row r="6593" spans="1:14" hidden="1" x14ac:dyDescent="0.35">
      <c r="A6593" s="52" t="s">
        <v>712</v>
      </c>
      <c r="B6593" s="52" t="s">
        <v>49</v>
      </c>
      <c r="C6593" s="52" t="s">
        <v>47</v>
      </c>
      <c r="D6593" s="52" t="s">
        <v>50</v>
      </c>
      <c r="E6593" s="52" t="s">
        <v>584</v>
      </c>
      <c r="F6593" s="52" t="s">
        <v>26</v>
      </c>
      <c r="G6593" s="55" t="s">
        <v>277</v>
      </c>
      <c r="H6593" s="55">
        <v>4.9212360000000004</v>
      </c>
      <c r="I6593" s="55">
        <v>0.28324569999999999</v>
      </c>
      <c r="J6593" s="55">
        <v>0.155448</v>
      </c>
      <c r="K6593" s="55">
        <v>8.5311819999999997E-2</v>
      </c>
      <c r="L6593" s="55">
        <v>4.6820170000000001E-2</v>
      </c>
      <c r="M6593" s="55"/>
      <c r="N6593" s="55"/>
    </row>
    <row r="6594" spans="1:14" hidden="1" x14ac:dyDescent="0.35">
      <c r="A6594" s="52" t="s">
        <v>712</v>
      </c>
      <c r="B6594" s="52" t="s">
        <v>49</v>
      </c>
      <c r="C6594" s="52" t="s">
        <v>47</v>
      </c>
      <c r="D6594" s="52" t="s">
        <v>50</v>
      </c>
      <c r="E6594" s="52" t="s">
        <v>584</v>
      </c>
      <c r="F6594" s="52" t="s">
        <v>26</v>
      </c>
      <c r="G6594" s="55" t="s">
        <v>278</v>
      </c>
      <c r="H6594" s="55">
        <v>0.2</v>
      </c>
      <c r="I6594" s="55">
        <v>0.2</v>
      </c>
      <c r="J6594" s="55">
        <v>0.2</v>
      </c>
      <c r="K6594" s="55">
        <v>0.2</v>
      </c>
      <c r="L6594" s="55">
        <v>0.2</v>
      </c>
      <c r="M6594" s="55">
        <v>0.2</v>
      </c>
      <c r="N6594" s="55">
        <v>0.2</v>
      </c>
    </row>
    <row r="6595" spans="1:14" hidden="1" x14ac:dyDescent="0.35">
      <c r="A6595" s="52" t="s">
        <v>712</v>
      </c>
      <c r="B6595" s="52" t="s">
        <v>49</v>
      </c>
      <c r="C6595" s="52" t="s">
        <v>47</v>
      </c>
      <c r="D6595" s="52" t="s">
        <v>50</v>
      </c>
      <c r="E6595" s="52" t="s">
        <v>584</v>
      </c>
      <c r="F6595" s="52" t="s">
        <v>26</v>
      </c>
      <c r="G6595" s="55" t="s">
        <v>279</v>
      </c>
      <c r="H6595" s="55">
        <v>11.56114</v>
      </c>
      <c r="I6595" s="55">
        <v>14.22425</v>
      </c>
      <c r="J6595" s="55">
        <v>10.52665</v>
      </c>
      <c r="K6595" s="55">
        <v>8.4178809999999995</v>
      </c>
      <c r="L6595" s="55">
        <v>10.404629999999999</v>
      </c>
      <c r="M6595" s="55">
        <v>10.755129999999999</v>
      </c>
      <c r="N6595" s="55">
        <v>1.5220800000000001</v>
      </c>
    </row>
    <row r="6596" spans="1:14" hidden="1" x14ac:dyDescent="0.35">
      <c r="A6596" s="52" t="s">
        <v>712</v>
      </c>
      <c r="B6596" s="52" t="s">
        <v>49</v>
      </c>
      <c r="C6596" s="52" t="s">
        <v>47</v>
      </c>
      <c r="D6596" s="52" t="s">
        <v>50</v>
      </c>
      <c r="E6596" s="52" t="s">
        <v>862</v>
      </c>
      <c r="F6596" s="52" t="s">
        <v>26</v>
      </c>
      <c r="G6596" s="55" t="s">
        <v>275</v>
      </c>
      <c r="H6596" s="55">
        <v>-1.362825E-2</v>
      </c>
      <c r="I6596" s="55">
        <v>-1.36285E-2</v>
      </c>
      <c r="J6596" s="55">
        <v>0</v>
      </c>
      <c r="K6596" s="55">
        <v>0</v>
      </c>
      <c r="L6596" s="55">
        <v>0</v>
      </c>
      <c r="M6596" s="55">
        <v>0</v>
      </c>
      <c r="N6596" s="55">
        <v>0</v>
      </c>
    </row>
    <row r="6597" spans="1:14" hidden="1" x14ac:dyDescent="0.35">
      <c r="A6597" s="52" t="s">
        <v>712</v>
      </c>
      <c r="B6597" s="52" t="s">
        <v>49</v>
      </c>
      <c r="C6597" s="52" t="s">
        <v>47</v>
      </c>
      <c r="D6597" s="52" t="s">
        <v>50</v>
      </c>
      <c r="E6597" s="52" t="s">
        <v>862</v>
      </c>
      <c r="F6597" s="52" t="s">
        <v>26</v>
      </c>
      <c r="G6597" s="55" t="s">
        <v>276</v>
      </c>
      <c r="H6597" s="55">
        <v>-5.7852499999999996E-3</v>
      </c>
      <c r="I6597" s="55">
        <v>-5.7852499999999996E-3</v>
      </c>
      <c r="J6597" s="55">
        <v>-1.94135E-2</v>
      </c>
      <c r="K6597" s="55">
        <v>-1.941375E-2</v>
      </c>
      <c r="L6597" s="55">
        <v>-1.941375E-2</v>
      </c>
      <c r="M6597" s="55">
        <v>-1.941375E-2</v>
      </c>
      <c r="N6597" s="55">
        <v>-1.94135E-2</v>
      </c>
    </row>
    <row r="6598" spans="1:14" hidden="1" x14ac:dyDescent="0.35">
      <c r="A6598" s="52" t="s">
        <v>712</v>
      </c>
      <c r="B6598" s="52" t="s">
        <v>49</v>
      </c>
      <c r="C6598" s="52" t="s">
        <v>47</v>
      </c>
      <c r="D6598" s="52" t="s">
        <v>50</v>
      </c>
      <c r="E6598" s="52" t="s">
        <v>862</v>
      </c>
      <c r="F6598" s="52" t="s">
        <v>26</v>
      </c>
      <c r="G6598" s="55" t="s">
        <v>278</v>
      </c>
      <c r="H6598" s="55">
        <v>1.94135E-2</v>
      </c>
      <c r="I6598" s="55">
        <v>1.941325E-2</v>
      </c>
      <c r="J6598" s="55">
        <v>1.94135E-2</v>
      </c>
      <c r="K6598" s="55">
        <v>1.94135E-2</v>
      </c>
      <c r="L6598" s="55">
        <v>1.94135E-2</v>
      </c>
      <c r="M6598" s="55">
        <v>1.94135E-2</v>
      </c>
      <c r="N6598" s="55">
        <v>1.941325E-2</v>
      </c>
    </row>
    <row r="6599" spans="1:14" hidden="1" x14ac:dyDescent="0.35">
      <c r="A6599" s="52" t="s">
        <v>712</v>
      </c>
      <c r="B6599" s="52" t="s">
        <v>49</v>
      </c>
      <c r="C6599" s="52" t="s">
        <v>47</v>
      </c>
      <c r="D6599" s="52" t="s">
        <v>47</v>
      </c>
      <c r="E6599" s="52" t="s">
        <v>584</v>
      </c>
      <c r="F6599" s="52" t="s">
        <v>581</v>
      </c>
      <c r="G6599" s="55" t="s">
        <v>275</v>
      </c>
      <c r="H6599" s="55">
        <v>2.7941280000000002</v>
      </c>
      <c r="I6599" s="55">
        <v>1.0694859999999999</v>
      </c>
      <c r="J6599" s="55">
        <v>0.87271840000000001</v>
      </c>
      <c r="K6599" s="55">
        <v>0.74177230000000005</v>
      </c>
      <c r="L6599" s="55">
        <v>0.63888730000000005</v>
      </c>
      <c r="M6599" s="55">
        <v>0.5325491</v>
      </c>
      <c r="N6599" s="55">
        <v>0.44967309999999999</v>
      </c>
    </row>
    <row r="6600" spans="1:14" hidden="1" x14ac:dyDescent="0.35">
      <c r="A6600" s="52" t="s">
        <v>712</v>
      </c>
      <c r="B6600" s="52" t="s">
        <v>49</v>
      </c>
      <c r="C6600" s="52" t="s">
        <v>47</v>
      </c>
      <c r="D6600" s="52" t="s">
        <v>47</v>
      </c>
      <c r="E6600" s="52" t="s">
        <v>584</v>
      </c>
      <c r="F6600" s="52" t="s">
        <v>581</v>
      </c>
      <c r="G6600" s="55" t="s">
        <v>276</v>
      </c>
      <c r="H6600" s="55">
        <v>0.78531039999999996</v>
      </c>
      <c r="I6600" s="55">
        <v>0.34019149999999998</v>
      </c>
      <c r="J6600" s="55">
        <v>0.34975460000000003</v>
      </c>
      <c r="K6600" s="55">
        <v>0.31488319999999997</v>
      </c>
      <c r="L6600" s="55">
        <v>0.27120889999999997</v>
      </c>
      <c r="M6600" s="55">
        <v>0.2260675</v>
      </c>
      <c r="N6600" s="55">
        <v>0.1908868</v>
      </c>
    </row>
    <row r="6601" spans="1:14" hidden="1" x14ac:dyDescent="0.35">
      <c r="A6601" s="52" t="s">
        <v>712</v>
      </c>
      <c r="B6601" s="52" t="s">
        <v>49</v>
      </c>
      <c r="C6601" s="52" t="s">
        <v>47</v>
      </c>
      <c r="D6601" s="52" t="s">
        <v>47</v>
      </c>
      <c r="E6601" s="52" t="s">
        <v>584</v>
      </c>
      <c r="F6601" s="52" t="s">
        <v>581</v>
      </c>
      <c r="G6601" s="55" t="s">
        <v>277</v>
      </c>
      <c r="H6601" s="55"/>
      <c r="I6601" s="55"/>
      <c r="J6601" s="55"/>
      <c r="K6601" s="55"/>
      <c r="L6601" s="55"/>
      <c r="M6601" s="55"/>
      <c r="N6601" s="55"/>
    </row>
    <row r="6602" spans="1:14" hidden="1" x14ac:dyDescent="0.35">
      <c r="A6602" s="52" t="s">
        <v>712</v>
      </c>
      <c r="B6602" s="52" t="s">
        <v>49</v>
      </c>
      <c r="C6602" s="52" t="s">
        <v>47</v>
      </c>
      <c r="D6602" s="52" t="s">
        <v>47</v>
      </c>
      <c r="E6602" s="52" t="s">
        <v>584</v>
      </c>
      <c r="F6602" s="52" t="s">
        <v>581</v>
      </c>
      <c r="G6602" s="55" t="s">
        <v>279</v>
      </c>
      <c r="H6602" s="55">
        <v>0.46682449999999998</v>
      </c>
      <c r="I6602" s="55">
        <v>0.39493200000000001</v>
      </c>
      <c r="J6602" s="55">
        <v>0.36783559999999998</v>
      </c>
      <c r="K6602" s="55">
        <v>0.35543150000000001</v>
      </c>
      <c r="L6602" s="55">
        <v>0.32824989999999998</v>
      </c>
      <c r="M6602" s="55">
        <v>0.30019030000000002</v>
      </c>
      <c r="N6602" s="55">
        <v>0.26595619999999998</v>
      </c>
    </row>
    <row r="6603" spans="1:14" hidden="1" x14ac:dyDescent="0.35">
      <c r="A6603" s="52" t="s">
        <v>712</v>
      </c>
      <c r="B6603" s="52" t="s">
        <v>49</v>
      </c>
      <c r="C6603" s="52" t="s">
        <v>47</v>
      </c>
      <c r="D6603" s="52" t="s">
        <v>47</v>
      </c>
      <c r="E6603" s="52" t="s">
        <v>584</v>
      </c>
      <c r="F6603" s="52" t="s">
        <v>26</v>
      </c>
      <c r="G6603" s="55" t="s">
        <v>275</v>
      </c>
      <c r="H6603" s="55">
        <v>3.4229919999999998</v>
      </c>
      <c r="I6603" s="55">
        <v>2.1502289999999999</v>
      </c>
      <c r="J6603" s="55">
        <v>2.7638340000000001</v>
      </c>
      <c r="K6603" s="55">
        <v>1.9194960000000001</v>
      </c>
      <c r="L6603" s="55">
        <v>1.744861</v>
      </c>
      <c r="M6603" s="55">
        <v>1.5530949999999999</v>
      </c>
      <c r="N6603" s="55">
        <v>1.3805369999999999</v>
      </c>
    </row>
    <row r="6604" spans="1:14" hidden="1" x14ac:dyDescent="0.35">
      <c r="A6604" s="52" t="s">
        <v>712</v>
      </c>
      <c r="B6604" s="52" t="s">
        <v>49</v>
      </c>
      <c r="C6604" s="52" t="s">
        <v>47</v>
      </c>
      <c r="D6604" s="52" t="s">
        <v>47</v>
      </c>
      <c r="E6604" s="52" t="s">
        <v>584</v>
      </c>
      <c r="F6604" s="52" t="s">
        <v>26</v>
      </c>
      <c r="G6604" s="55" t="s">
        <v>276</v>
      </c>
      <c r="H6604" s="55">
        <v>0.4741245</v>
      </c>
      <c r="I6604" s="55">
        <v>0.47228680000000001</v>
      </c>
      <c r="J6604" s="55">
        <v>0.24391370000000001</v>
      </c>
      <c r="K6604" s="55">
        <v>0.43715609999999999</v>
      </c>
      <c r="L6604" s="55">
        <v>0.30968849999999998</v>
      </c>
      <c r="M6604" s="55">
        <v>0.2180001</v>
      </c>
      <c r="N6604" s="55">
        <v>0.12713450000000001</v>
      </c>
    </row>
    <row r="6605" spans="1:14" hidden="1" x14ac:dyDescent="0.35">
      <c r="A6605" s="52" t="s">
        <v>712</v>
      </c>
      <c r="B6605" s="52" t="s">
        <v>49</v>
      </c>
      <c r="C6605" s="52" t="s">
        <v>47</v>
      </c>
      <c r="D6605" s="52" t="s">
        <v>47</v>
      </c>
      <c r="E6605" s="52" t="s">
        <v>584</v>
      </c>
      <c r="F6605" s="52" t="s">
        <v>26</v>
      </c>
      <c r="G6605" s="55" t="s">
        <v>277</v>
      </c>
      <c r="H6605" s="55">
        <v>0.71814549999999999</v>
      </c>
      <c r="I6605" s="55">
        <v>0.56062749999999995</v>
      </c>
      <c r="J6605" s="55">
        <v>0.4847475</v>
      </c>
      <c r="K6605" s="55">
        <v>0.73722140000000003</v>
      </c>
      <c r="L6605" s="55">
        <v>0.74803379999999997</v>
      </c>
      <c r="M6605" s="55">
        <v>0.7252267</v>
      </c>
      <c r="N6605" s="55">
        <v>0.71450610000000003</v>
      </c>
    </row>
    <row r="6606" spans="1:14" hidden="1" x14ac:dyDescent="0.35">
      <c r="A6606" s="52" t="s">
        <v>712</v>
      </c>
      <c r="B6606" s="52" t="s">
        <v>49</v>
      </c>
      <c r="C6606" s="52" t="s">
        <v>47</v>
      </c>
      <c r="D6606" s="52" t="s">
        <v>47</v>
      </c>
      <c r="E6606" s="52" t="s">
        <v>584</v>
      </c>
      <c r="F6606" s="52" t="s">
        <v>26</v>
      </c>
      <c r="G6606" s="55" t="s">
        <v>278</v>
      </c>
      <c r="H6606" s="55">
        <v>0.47272700000000001</v>
      </c>
      <c r="I6606" s="55">
        <v>0.47272700000000001</v>
      </c>
      <c r="J6606" s="55">
        <v>0.47272690000000001</v>
      </c>
      <c r="K6606" s="55">
        <v>0.47272700000000001</v>
      </c>
      <c r="L6606" s="55">
        <v>0.47272700000000001</v>
      </c>
      <c r="M6606" s="55">
        <v>0.47272700000000001</v>
      </c>
      <c r="N6606" s="55">
        <v>0.47272700000000001</v>
      </c>
    </row>
    <row r="6607" spans="1:14" hidden="1" x14ac:dyDescent="0.35">
      <c r="A6607" s="52" t="s">
        <v>712</v>
      </c>
      <c r="B6607" s="52" t="s">
        <v>49</v>
      </c>
      <c r="C6607" s="52" t="s">
        <v>47</v>
      </c>
      <c r="D6607" s="52" t="s">
        <v>47</v>
      </c>
      <c r="E6607" s="52" t="s">
        <v>584</v>
      </c>
      <c r="F6607" s="52" t="s">
        <v>26</v>
      </c>
      <c r="G6607" s="55" t="s">
        <v>279</v>
      </c>
      <c r="H6607" s="55">
        <v>2.4827720000000002</v>
      </c>
      <c r="I6607" s="55">
        <v>2.1599970000000002</v>
      </c>
      <c r="J6607" s="55">
        <v>2.0720260000000001</v>
      </c>
      <c r="K6607" s="55">
        <v>2.0634519999999998</v>
      </c>
      <c r="L6607" s="55">
        <v>1.949627</v>
      </c>
      <c r="M6607" s="55">
        <v>1.828824</v>
      </c>
      <c r="N6607" s="55">
        <v>1.721781</v>
      </c>
    </row>
    <row r="6608" spans="1:14" hidden="1" x14ac:dyDescent="0.35">
      <c r="A6608" s="52" t="s">
        <v>712</v>
      </c>
      <c r="B6608" s="52" t="s">
        <v>49</v>
      </c>
      <c r="C6608" s="52" t="s">
        <v>120</v>
      </c>
      <c r="D6608" s="52" t="s">
        <v>120</v>
      </c>
      <c r="E6608" s="52" t="s">
        <v>584</v>
      </c>
      <c r="F6608" s="52" t="s">
        <v>581</v>
      </c>
      <c r="G6608" s="55" t="s">
        <v>275</v>
      </c>
      <c r="H6608" s="55">
        <v>3.4279259999999998</v>
      </c>
      <c r="I6608" s="55">
        <v>1.552905</v>
      </c>
      <c r="J6608" s="55">
        <v>0.96847879999999997</v>
      </c>
      <c r="K6608" s="55">
        <v>0.66885340000000004</v>
      </c>
      <c r="L6608" s="55">
        <v>0.70589469999999999</v>
      </c>
      <c r="M6608" s="55">
        <v>0.7004939</v>
      </c>
      <c r="N6608" s="55">
        <v>0.65403880000000003</v>
      </c>
    </row>
    <row r="6609" spans="1:14" hidden="1" x14ac:dyDescent="0.35">
      <c r="A6609" s="52" t="s">
        <v>712</v>
      </c>
      <c r="B6609" s="52" t="s">
        <v>49</v>
      </c>
      <c r="C6609" s="52" t="s">
        <v>120</v>
      </c>
      <c r="D6609" s="52" t="s">
        <v>120</v>
      </c>
      <c r="E6609" s="52" t="s">
        <v>584</v>
      </c>
      <c r="F6609" s="52" t="s">
        <v>581</v>
      </c>
      <c r="G6609" s="55" t="s">
        <v>276</v>
      </c>
      <c r="H6609" s="55">
        <v>0.78970600000000002</v>
      </c>
      <c r="I6609" s="55">
        <v>6.3574640000000002E-2</v>
      </c>
      <c r="J6609" s="55">
        <v>0.39419409999999999</v>
      </c>
      <c r="K6609" s="55">
        <v>0.34162890000000001</v>
      </c>
      <c r="L6609" s="55">
        <v>0.30296139999999999</v>
      </c>
      <c r="M6609" s="55">
        <v>0.27713949999999998</v>
      </c>
      <c r="N6609" s="55">
        <v>0.25775690000000001</v>
      </c>
    </row>
    <row r="6610" spans="1:14" hidden="1" x14ac:dyDescent="0.35">
      <c r="A6610" s="52" t="s">
        <v>712</v>
      </c>
      <c r="B6610" s="52" t="s">
        <v>49</v>
      </c>
      <c r="C6610" s="52" t="s">
        <v>120</v>
      </c>
      <c r="D6610" s="52" t="s">
        <v>120</v>
      </c>
      <c r="E6610" s="52" t="s">
        <v>584</v>
      </c>
      <c r="F6610" s="52" t="s">
        <v>581</v>
      </c>
      <c r="G6610" s="55" t="s">
        <v>277</v>
      </c>
      <c r="H6610" s="55">
        <v>5.1590000000000004E-3</v>
      </c>
      <c r="I6610" s="55">
        <v>3.9845000000000002E-3</v>
      </c>
      <c r="J6610" s="55">
        <v>3.4294999999999998E-3</v>
      </c>
      <c r="K6610" s="55">
        <v>0.17430480000000001</v>
      </c>
      <c r="L6610" s="55"/>
      <c r="M6610" s="55"/>
      <c r="N6610" s="55"/>
    </row>
    <row r="6611" spans="1:14" hidden="1" x14ac:dyDescent="0.35">
      <c r="A6611" s="52" t="s">
        <v>712</v>
      </c>
      <c r="B6611" s="52" t="s">
        <v>49</v>
      </c>
      <c r="C6611" s="52" t="s">
        <v>120</v>
      </c>
      <c r="D6611" s="52" t="s">
        <v>120</v>
      </c>
      <c r="E6611" s="52" t="s">
        <v>584</v>
      </c>
      <c r="F6611" s="52" t="s">
        <v>581</v>
      </c>
      <c r="G6611" s="55" t="s">
        <v>279</v>
      </c>
      <c r="H6611" s="55">
        <v>0.44483450000000002</v>
      </c>
      <c r="I6611" s="55">
        <v>0.351159</v>
      </c>
      <c r="J6611" s="55">
        <v>0.31458599999999998</v>
      </c>
      <c r="K6611" s="55">
        <v>0.30117250000000001</v>
      </c>
      <c r="L6611" s="55">
        <v>0.2800125</v>
      </c>
      <c r="M6611" s="55">
        <v>0.26446350000000002</v>
      </c>
      <c r="N6611" s="55">
        <v>0.25279099999999999</v>
      </c>
    </row>
    <row r="6612" spans="1:14" hidden="1" x14ac:dyDescent="0.35">
      <c r="A6612" s="52" t="s">
        <v>712</v>
      </c>
      <c r="B6612" s="52" t="s">
        <v>49</v>
      </c>
      <c r="C6612" s="52" t="s">
        <v>120</v>
      </c>
      <c r="D6612" s="52" t="s">
        <v>120</v>
      </c>
      <c r="E6612" s="52" t="s">
        <v>584</v>
      </c>
      <c r="F6612" s="52" t="s">
        <v>26</v>
      </c>
      <c r="G6612" s="55" t="s">
        <v>275</v>
      </c>
      <c r="H6612" s="55">
        <v>4.9725000000000004E-3</v>
      </c>
      <c r="I6612" s="55">
        <v>3.3031499999999999E-3</v>
      </c>
      <c r="J6612" s="55">
        <v>3.3806499999999998E-3</v>
      </c>
      <c r="K6612" s="55">
        <v>0</v>
      </c>
      <c r="L6612" s="55"/>
      <c r="M6612" s="55"/>
      <c r="N6612" s="55"/>
    </row>
    <row r="6613" spans="1:14" hidden="1" x14ac:dyDescent="0.35">
      <c r="A6613" s="52" t="s">
        <v>712</v>
      </c>
      <c r="B6613" s="52" t="s">
        <v>49</v>
      </c>
      <c r="C6613" s="52" t="s">
        <v>120</v>
      </c>
      <c r="D6613" s="52" t="s">
        <v>120</v>
      </c>
      <c r="E6613" s="52" t="s">
        <v>584</v>
      </c>
      <c r="F6613" s="52" t="s">
        <v>26</v>
      </c>
      <c r="G6613" s="55" t="s">
        <v>276</v>
      </c>
      <c r="H6613" s="55">
        <v>2.1105E-3</v>
      </c>
      <c r="I6613" s="55">
        <v>1.4018500000000001E-3</v>
      </c>
      <c r="J6613" s="55">
        <v>1.4346000000000001E-3</v>
      </c>
      <c r="K6613" s="55">
        <v>0</v>
      </c>
      <c r="L6613" s="55"/>
      <c r="M6613" s="55"/>
      <c r="N6613" s="55"/>
    </row>
    <row r="6614" spans="1:14" hidden="1" x14ac:dyDescent="0.35">
      <c r="A6614" s="52" t="s">
        <v>712</v>
      </c>
      <c r="B6614" s="52" t="s">
        <v>49</v>
      </c>
      <c r="C6614" s="52" t="s">
        <v>120</v>
      </c>
      <c r="D6614" s="52" t="s">
        <v>120</v>
      </c>
      <c r="E6614" s="52" t="s">
        <v>584</v>
      </c>
      <c r="F6614" s="52" t="s">
        <v>26</v>
      </c>
      <c r="G6614" s="55" t="s">
        <v>279</v>
      </c>
      <c r="H6614" s="55">
        <v>4.3994999999999998E-3</v>
      </c>
      <c r="I6614" s="55">
        <v>3.5669999999999999E-3</v>
      </c>
      <c r="J6614" s="55">
        <v>3.2130000000000001E-3</v>
      </c>
      <c r="K6614" s="55">
        <v>0</v>
      </c>
      <c r="L6614" s="55"/>
      <c r="M6614" s="55"/>
      <c r="N6614" s="55"/>
    </row>
    <row r="6615" spans="1:14" hidden="1" x14ac:dyDescent="0.35">
      <c r="A6615" s="52" t="s">
        <v>712</v>
      </c>
      <c r="B6615" s="52" t="s">
        <v>37</v>
      </c>
      <c r="C6615" s="52" t="s">
        <v>115</v>
      </c>
      <c r="D6615" s="52" t="s">
        <v>115</v>
      </c>
      <c r="E6615" s="52" t="s">
        <v>595</v>
      </c>
      <c r="F6615" s="52" t="s">
        <v>581</v>
      </c>
      <c r="G6615" s="55" t="s">
        <v>275</v>
      </c>
      <c r="H6615" s="55">
        <v>-28.266870000000001</v>
      </c>
      <c r="I6615" s="55">
        <v>-37.537849999999999</v>
      </c>
      <c r="J6615" s="55">
        <v>1.475147</v>
      </c>
      <c r="K6615" s="55">
        <v>2.3622740000000002</v>
      </c>
      <c r="L6615" s="55">
        <v>6.9418629999999997</v>
      </c>
      <c r="M6615" s="55">
        <v>9.1353190000000009</v>
      </c>
      <c r="N6615" s="55">
        <v>4.508337</v>
      </c>
    </row>
    <row r="6616" spans="1:14" hidden="1" x14ac:dyDescent="0.35">
      <c r="A6616" s="52" t="s">
        <v>712</v>
      </c>
      <c r="B6616" s="52" t="s">
        <v>37</v>
      </c>
      <c r="C6616" s="52" t="s">
        <v>115</v>
      </c>
      <c r="D6616" s="52" t="s">
        <v>115</v>
      </c>
      <c r="E6616" s="52" t="s">
        <v>595</v>
      </c>
      <c r="F6616" s="52" t="s">
        <v>581</v>
      </c>
      <c r="G6616" s="55" t="s">
        <v>276</v>
      </c>
      <c r="H6616" s="55">
        <v>1.3961710000000001</v>
      </c>
      <c r="I6616" s="55">
        <v>-3.6470020000000001</v>
      </c>
      <c r="J6616" s="55">
        <v>-4.7750199999999996</v>
      </c>
      <c r="K6616" s="55">
        <v>-1.8301769999999999</v>
      </c>
      <c r="L6616" s="55">
        <v>-4.5840940000000003</v>
      </c>
      <c r="M6616" s="55">
        <v>-3.9764529999999998</v>
      </c>
      <c r="N6616" s="55">
        <v>-0.80258560000000001</v>
      </c>
    </row>
    <row r="6617" spans="1:14" hidden="1" x14ac:dyDescent="0.35">
      <c r="A6617" s="52" t="s">
        <v>712</v>
      </c>
      <c r="B6617" s="52" t="s">
        <v>37</v>
      </c>
      <c r="C6617" s="52" t="s">
        <v>115</v>
      </c>
      <c r="D6617" s="52" t="s">
        <v>115</v>
      </c>
      <c r="E6617" s="52" t="s">
        <v>595</v>
      </c>
      <c r="F6617" s="52" t="s">
        <v>581</v>
      </c>
      <c r="G6617" s="55" t="s">
        <v>277</v>
      </c>
      <c r="H6617" s="55">
        <v>42.00911</v>
      </c>
      <c r="I6617" s="55">
        <v>44.896729999999998</v>
      </c>
      <c r="J6617" s="55">
        <v>11.230409999999999</v>
      </c>
      <c r="K6617" s="55">
        <v>7.6429739999999997</v>
      </c>
      <c r="L6617" s="55">
        <v>5.8896620000000004</v>
      </c>
      <c r="M6617" s="55">
        <v>0</v>
      </c>
      <c r="N6617" s="55">
        <v>0</v>
      </c>
    </row>
    <row r="6618" spans="1:14" hidden="1" x14ac:dyDescent="0.35">
      <c r="A6618" s="52" t="s">
        <v>712</v>
      </c>
      <c r="B6618" s="52" t="s">
        <v>37</v>
      </c>
      <c r="C6618" s="52" t="s">
        <v>115</v>
      </c>
      <c r="D6618" s="52" t="s">
        <v>115</v>
      </c>
      <c r="E6618" s="52" t="s">
        <v>595</v>
      </c>
      <c r="F6618" s="52" t="s">
        <v>581</v>
      </c>
      <c r="G6618" s="55" t="s">
        <v>278</v>
      </c>
      <c r="H6618" s="55">
        <v>8.3143989999999999</v>
      </c>
      <c r="I6618" s="55">
        <v>5.3403539999999996</v>
      </c>
      <c r="J6618" s="55">
        <v>3.1549339999999999</v>
      </c>
      <c r="K6618" s="55">
        <v>0.86904099999999995</v>
      </c>
      <c r="L6618" s="55">
        <v>7.6895599999999995E-2</v>
      </c>
      <c r="M6618" s="55">
        <v>0</v>
      </c>
      <c r="N6618" s="55"/>
    </row>
    <row r="6619" spans="1:14" hidden="1" x14ac:dyDescent="0.35">
      <c r="A6619" s="52" t="s">
        <v>712</v>
      </c>
      <c r="B6619" s="52" t="s">
        <v>37</v>
      </c>
      <c r="C6619" s="52" t="s">
        <v>115</v>
      </c>
      <c r="D6619" s="52" t="s">
        <v>115</v>
      </c>
      <c r="E6619" s="52" t="s">
        <v>595</v>
      </c>
      <c r="F6619" s="52" t="s">
        <v>581</v>
      </c>
      <c r="G6619" s="55" t="s">
        <v>279</v>
      </c>
      <c r="H6619" s="55">
        <v>9.7123570000000008</v>
      </c>
      <c r="I6619" s="55">
        <v>7.9779239999999998</v>
      </c>
      <c r="J6619" s="55">
        <v>8.8744160000000001</v>
      </c>
      <c r="K6619" s="55">
        <v>7.5921969999999996</v>
      </c>
      <c r="L6619" s="55">
        <v>6.1566380000000001</v>
      </c>
      <c r="M6619" s="55">
        <v>5.0837779999999997</v>
      </c>
      <c r="N6619" s="55">
        <v>3.6436769999999998</v>
      </c>
    </row>
    <row r="6620" spans="1:14" hidden="1" x14ac:dyDescent="0.35">
      <c r="A6620" s="52" t="s">
        <v>712</v>
      </c>
      <c r="B6620" s="52" t="s">
        <v>37</v>
      </c>
      <c r="C6620" s="52" t="s">
        <v>115</v>
      </c>
      <c r="D6620" s="52" t="s">
        <v>115</v>
      </c>
      <c r="E6620" s="52" t="s">
        <v>595</v>
      </c>
      <c r="F6620" s="52" t="s">
        <v>26</v>
      </c>
      <c r="G6620" s="55" t="s">
        <v>275</v>
      </c>
      <c r="H6620" s="55">
        <v>-0.14763100000000001</v>
      </c>
      <c r="I6620" s="55">
        <v>-0.13461029999999999</v>
      </c>
      <c r="J6620" s="55">
        <v>-3.9648299999999997E-2</v>
      </c>
      <c r="K6620" s="55">
        <v>-8.6142399999999994E-2</v>
      </c>
      <c r="L6620" s="55">
        <v>-4.3612789999999999E-2</v>
      </c>
      <c r="M6620" s="55">
        <v>-0.1209855</v>
      </c>
      <c r="N6620" s="55">
        <v>-8.9868690000000001E-2</v>
      </c>
    </row>
    <row r="6621" spans="1:14" hidden="1" x14ac:dyDescent="0.35">
      <c r="A6621" s="52" t="s">
        <v>712</v>
      </c>
      <c r="B6621" s="52" t="s">
        <v>37</v>
      </c>
      <c r="C6621" s="52" t="s">
        <v>115</v>
      </c>
      <c r="D6621" s="52" t="s">
        <v>115</v>
      </c>
      <c r="E6621" s="52" t="s">
        <v>595</v>
      </c>
      <c r="F6621" s="52" t="s">
        <v>26</v>
      </c>
      <c r="G6621" s="55" t="s">
        <v>276</v>
      </c>
      <c r="H6621" s="55">
        <v>-3.9245000000000002E-2</v>
      </c>
      <c r="I6621" s="55">
        <v>-3.5781800000000002E-2</v>
      </c>
      <c r="J6621" s="55">
        <v>-1.0539E-2</v>
      </c>
      <c r="K6621" s="55">
        <v>-2.28977E-2</v>
      </c>
      <c r="L6621" s="55">
        <v>-1.15934E-2</v>
      </c>
      <c r="M6621" s="55">
        <v>-3.2161099999999998E-2</v>
      </c>
      <c r="N6621" s="55">
        <v>-2.3890399999999999E-2</v>
      </c>
    </row>
    <row r="6622" spans="1:14" hidden="1" x14ac:dyDescent="0.35">
      <c r="A6622" s="52" t="s">
        <v>712</v>
      </c>
      <c r="B6622" s="52" t="s">
        <v>37</v>
      </c>
      <c r="C6622" s="52" t="s">
        <v>115</v>
      </c>
      <c r="D6622" s="52" t="s">
        <v>115</v>
      </c>
      <c r="E6622" s="52" t="s">
        <v>595</v>
      </c>
      <c r="F6622" s="52" t="s">
        <v>26</v>
      </c>
      <c r="G6622" s="55" t="s">
        <v>279</v>
      </c>
      <c r="H6622" s="55">
        <v>6.5761560000000001</v>
      </c>
      <c r="I6622" s="55">
        <v>1.414039</v>
      </c>
      <c r="J6622" s="55">
        <v>1.569431</v>
      </c>
      <c r="K6622" s="55">
        <v>1.3654710000000001</v>
      </c>
      <c r="L6622" s="55">
        <v>1.1445749999999999</v>
      </c>
      <c r="M6622" s="55">
        <v>0.92268609999999995</v>
      </c>
      <c r="N6622" s="55">
        <v>0.66343759999999996</v>
      </c>
    </row>
    <row r="6623" spans="1:14" hidden="1" x14ac:dyDescent="0.35">
      <c r="A6623" s="52" t="s">
        <v>712</v>
      </c>
      <c r="B6623" s="52" t="s">
        <v>717</v>
      </c>
      <c r="C6623" s="52" t="s">
        <v>718</v>
      </c>
      <c r="D6623" s="52" t="s">
        <v>718</v>
      </c>
      <c r="E6623" s="52" t="s">
        <v>584</v>
      </c>
      <c r="F6623" s="52" t="s">
        <v>581</v>
      </c>
      <c r="G6623" s="55" t="s">
        <v>275</v>
      </c>
      <c r="H6623" s="55">
        <v>-0.51459299999999997</v>
      </c>
      <c r="I6623" s="55"/>
      <c r="J6623" s="55"/>
      <c r="K6623" s="55"/>
      <c r="L6623" s="55"/>
      <c r="M6623" s="55">
        <v>0</v>
      </c>
      <c r="N6623" s="55">
        <v>0</v>
      </c>
    </row>
    <row r="6624" spans="1:14" hidden="1" x14ac:dyDescent="0.35">
      <c r="A6624" s="52" t="s">
        <v>712</v>
      </c>
      <c r="B6624" s="52" t="s">
        <v>717</v>
      </c>
      <c r="C6624" s="52" t="s">
        <v>718</v>
      </c>
      <c r="D6624" s="52" t="s">
        <v>718</v>
      </c>
      <c r="E6624" s="52" t="s">
        <v>584</v>
      </c>
      <c r="F6624" s="52" t="s">
        <v>581</v>
      </c>
      <c r="G6624" s="55" t="s">
        <v>276</v>
      </c>
      <c r="H6624" s="55">
        <v>-0.167159</v>
      </c>
      <c r="I6624" s="55"/>
      <c r="J6624" s="55"/>
      <c r="K6624" s="55"/>
      <c r="L6624" s="55"/>
      <c r="M6624" s="55">
        <v>-0.1111074</v>
      </c>
      <c r="N6624" s="55">
        <v>-0.1111071</v>
      </c>
    </row>
    <row r="6625" spans="1:14" hidden="1" x14ac:dyDescent="0.35">
      <c r="A6625" s="52" t="s">
        <v>712</v>
      </c>
      <c r="B6625" s="52" t="s">
        <v>717</v>
      </c>
      <c r="C6625" s="52" t="s">
        <v>718</v>
      </c>
      <c r="D6625" s="52" t="s">
        <v>718</v>
      </c>
      <c r="E6625" s="52" t="s">
        <v>584</v>
      </c>
      <c r="F6625" s="52" t="s">
        <v>581</v>
      </c>
      <c r="G6625" s="55" t="s">
        <v>278</v>
      </c>
      <c r="H6625" s="55">
        <v>0.68175200000000002</v>
      </c>
      <c r="I6625" s="55">
        <v>0.1111074</v>
      </c>
      <c r="J6625" s="55">
        <v>3.9976639999999999</v>
      </c>
      <c r="K6625" s="55">
        <v>3.1648610000000001</v>
      </c>
      <c r="L6625" s="55">
        <v>0.81189239999999996</v>
      </c>
      <c r="M6625" s="55">
        <v>0.1111074</v>
      </c>
      <c r="N6625" s="55"/>
    </row>
    <row r="6626" spans="1:14" hidden="1" x14ac:dyDescent="0.35">
      <c r="A6626" s="52" t="s">
        <v>712</v>
      </c>
      <c r="B6626" s="52" t="s">
        <v>717</v>
      </c>
      <c r="C6626" s="52" t="s">
        <v>718</v>
      </c>
      <c r="D6626" s="52" t="s">
        <v>718</v>
      </c>
      <c r="E6626" s="52" t="s">
        <v>584</v>
      </c>
      <c r="F6626" s="52" t="s">
        <v>581</v>
      </c>
      <c r="G6626" s="55" t="s">
        <v>279</v>
      </c>
      <c r="H6626" s="55"/>
      <c r="I6626" s="55"/>
      <c r="J6626" s="55"/>
      <c r="K6626" s="55"/>
      <c r="L6626" s="55"/>
      <c r="M6626" s="55"/>
      <c r="N6626" s="55">
        <v>0</v>
      </c>
    </row>
    <row r="6627" spans="1:14" hidden="1" x14ac:dyDescent="0.35">
      <c r="A6627" s="52" t="s">
        <v>712</v>
      </c>
      <c r="B6627" s="52" t="s">
        <v>717</v>
      </c>
      <c r="C6627" s="52" t="s">
        <v>718</v>
      </c>
      <c r="D6627" s="52" t="s">
        <v>718</v>
      </c>
      <c r="E6627" s="52" t="s">
        <v>584</v>
      </c>
      <c r="F6627" s="52" t="s">
        <v>26</v>
      </c>
      <c r="G6627" s="55" t="s">
        <v>275</v>
      </c>
      <c r="H6627" s="55">
        <v>1.41825</v>
      </c>
      <c r="I6627" s="55">
        <v>0.69211500000000004</v>
      </c>
      <c r="J6627" s="55">
        <v>1.3170999999999999</v>
      </c>
      <c r="K6627" s="55">
        <v>1.144336</v>
      </c>
      <c r="L6627" s="55">
        <v>0.1002595</v>
      </c>
      <c r="M6627" s="55">
        <v>2.33276E-2</v>
      </c>
      <c r="N6627" s="55">
        <v>1.7030199999999999E-2</v>
      </c>
    </row>
    <row r="6628" spans="1:14" hidden="1" x14ac:dyDescent="0.35">
      <c r="A6628" s="52" t="s">
        <v>712</v>
      </c>
      <c r="B6628" s="52" t="s">
        <v>717</v>
      </c>
      <c r="C6628" s="52" t="s">
        <v>718</v>
      </c>
      <c r="D6628" s="52" t="s">
        <v>718</v>
      </c>
      <c r="E6628" s="52" t="s">
        <v>584</v>
      </c>
      <c r="F6628" s="52" t="s">
        <v>26</v>
      </c>
      <c r="G6628" s="55" t="s">
        <v>276</v>
      </c>
      <c r="H6628" s="55">
        <v>-0.58981399999999995</v>
      </c>
      <c r="I6628" s="55">
        <v>-0.95166530000000005</v>
      </c>
      <c r="J6628" s="55">
        <v>-26.81861</v>
      </c>
      <c r="K6628" s="55">
        <v>-12.582979999999999</v>
      </c>
      <c r="L6628" s="55">
        <v>-2.2151320000000001</v>
      </c>
      <c r="M6628" s="55">
        <v>-0.58273470000000005</v>
      </c>
      <c r="N6628" s="55">
        <v>-0.58046529999999996</v>
      </c>
    </row>
    <row r="6629" spans="1:14" hidden="1" x14ac:dyDescent="0.35">
      <c r="A6629" s="52" t="s">
        <v>712</v>
      </c>
      <c r="B6629" s="52" t="s">
        <v>717</v>
      </c>
      <c r="C6629" s="52" t="s">
        <v>718</v>
      </c>
      <c r="D6629" s="52" t="s">
        <v>718</v>
      </c>
      <c r="E6629" s="52" t="s">
        <v>584</v>
      </c>
      <c r="F6629" s="52" t="s">
        <v>26</v>
      </c>
      <c r="G6629" s="55" t="s">
        <v>277</v>
      </c>
      <c r="H6629" s="55">
        <v>0.45636500000000002</v>
      </c>
      <c r="I6629" s="55">
        <v>0.34487699999999999</v>
      </c>
      <c r="J6629" s="55">
        <v>0.135712</v>
      </c>
      <c r="K6629" s="55">
        <v>0.1729821</v>
      </c>
      <c r="L6629" s="55">
        <v>0.1825272</v>
      </c>
      <c r="M6629" s="55">
        <v>0.17338010000000001</v>
      </c>
      <c r="N6629" s="55">
        <v>0.116221</v>
      </c>
    </row>
    <row r="6630" spans="1:14" hidden="1" x14ac:dyDescent="0.35">
      <c r="A6630" s="52" t="s">
        <v>712</v>
      </c>
      <c r="B6630" s="52" t="s">
        <v>717</v>
      </c>
      <c r="C6630" s="52" t="s">
        <v>718</v>
      </c>
      <c r="D6630" s="52" t="s">
        <v>718</v>
      </c>
      <c r="E6630" s="52" t="s">
        <v>584</v>
      </c>
      <c r="F6630" s="52" t="s">
        <v>26</v>
      </c>
      <c r="G6630" s="55" t="s">
        <v>278</v>
      </c>
      <c r="H6630" s="55">
        <v>0.11511200000000001</v>
      </c>
      <c r="I6630" s="55">
        <v>0.68575660000000005</v>
      </c>
      <c r="J6630" s="55">
        <v>25.967369999999999</v>
      </c>
      <c r="K6630" s="55">
        <v>11.668710000000001</v>
      </c>
      <c r="L6630" s="55">
        <v>2.2058089999999999</v>
      </c>
      <c r="M6630" s="55">
        <v>0.57064459999999995</v>
      </c>
      <c r="N6630" s="55">
        <v>0.57064459999999995</v>
      </c>
    </row>
    <row r="6631" spans="1:14" hidden="1" x14ac:dyDescent="0.35">
      <c r="A6631" s="52" t="s">
        <v>712</v>
      </c>
      <c r="B6631" s="52" t="s">
        <v>717</v>
      </c>
      <c r="C6631" s="52" t="s">
        <v>718</v>
      </c>
      <c r="D6631" s="52" t="s">
        <v>718</v>
      </c>
      <c r="E6631" s="52" t="s">
        <v>584</v>
      </c>
      <c r="F6631" s="52" t="s">
        <v>26</v>
      </c>
      <c r="G6631" s="55" t="s">
        <v>279</v>
      </c>
      <c r="H6631" s="55">
        <v>0.35482599999999997</v>
      </c>
      <c r="I6631" s="55">
        <v>0.223859</v>
      </c>
      <c r="J6631" s="55">
        <v>0.159604</v>
      </c>
      <c r="K6631" s="55">
        <v>0.11987</v>
      </c>
      <c r="L6631" s="55">
        <v>8.5753990000000002E-2</v>
      </c>
      <c r="M6631" s="55">
        <v>6.2314990000000001E-2</v>
      </c>
      <c r="N6631" s="55">
        <v>4.6210000000000001E-2</v>
      </c>
    </row>
    <row r="6632" spans="1:14" hidden="1" x14ac:dyDescent="0.35">
      <c r="A6632" s="52" t="s">
        <v>712</v>
      </c>
      <c r="B6632" s="52" t="s">
        <v>864</v>
      </c>
      <c r="C6632" s="52" t="s">
        <v>718</v>
      </c>
      <c r="D6632" s="52" t="s">
        <v>718</v>
      </c>
      <c r="E6632" s="52" t="s">
        <v>584</v>
      </c>
      <c r="F6632" s="52" t="s">
        <v>581</v>
      </c>
      <c r="G6632" s="55" t="s">
        <v>275</v>
      </c>
      <c r="H6632" s="55"/>
      <c r="I6632" s="55"/>
      <c r="J6632" s="55"/>
      <c r="K6632" s="55"/>
      <c r="L6632" s="55"/>
      <c r="M6632" s="55">
        <v>0</v>
      </c>
      <c r="N6632" s="55">
        <v>0</v>
      </c>
    </row>
    <row r="6633" spans="1:14" hidden="1" x14ac:dyDescent="0.35">
      <c r="A6633" s="52" t="s">
        <v>712</v>
      </c>
      <c r="B6633" s="52" t="s">
        <v>864</v>
      </c>
      <c r="C6633" s="52" t="s">
        <v>718</v>
      </c>
      <c r="D6633" s="52" t="s">
        <v>718</v>
      </c>
      <c r="E6633" s="52" t="s">
        <v>584</v>
      </c>
      <c r="F6633" s="52" t="s">
        <v>581</v>
      </c>
      <c r="G6633" s="55" t="s">
        <v>276</v>
      </c>
      <c r="H6633" s="55"/>
      <c r="I6633" s="55"/>
      <c r="J6633" s="55"/>
      <c r="K6633" s="55"/>
      <c r="L6633" s="55"/>
      <c r="M6633" s="55">
        <v>0</v>
      </c>
      <c r="N6633" s="55">
        <v>-8.8289990000000006E-3</v>
      </c>
    </row>
    <row r="6634" spans="1:14" hidden="1" x14ac:dyDescent="0.35">
      <c r="A6634" s="52" t="s">
        <v>712</v>
      </c>
      <c r="B6634" s="52" t="s">
        <v>864</v>
      </c>
      <c r="C6634" s="52" t="s">
        <v>718</v>
      </c>
      <c r="D6634" s="52" t="s">
        <v>718</v>
      </c>
      <c r="E6634" s="52" t="s">
        <v>584</v>
      </c>
      <c r="F6634" s="52" t="s">
        <v>581</v>
      </c>
      <c r="G6634" s="55" t="s">
        <v>279</v>
      </c>
      <c r="H6634" s="55"/>
      <c r="I6634" s="55"/>
      <c r="J6634" s="55"/>
      <c r="K6634" s="55"/>
      <c r="L6634" s="55"/>
      <c r="M6634" s="55">
        <v>0</v>
      </c>
      <c r="N6634" s="55">
        <v>8.829E-3</v>
      </c>
    </row>
    <row r="6635" spans="1:14" hidden="1" x14ac:dyDescent="0.35">
      <c r="A6635" s="52" t="s">
        <v>712</v>
      </c>
      <c r="B6635" s="52" t="s">
        <v>864</v>
      </c>
      <c r="C6635" s="52" t="s">
        <v>718</v>
      </c>
      <c r="D6635" s="52" t="s">
        <v>718</v>
      </c>
      <c r="E6635" s="52" t="s">
        <v>584</v>
      </c>
      <c r="F6635" s="52" t="s">
        <v>26</v>
      </c>
      <c r="G6635" s="55" t="s">
        <v>275</v>
      </c>
      <c r="H6635" s="55">
        <v>-29.406559999999999</v>
      </c>
      <c r="I6635" s="55">
        <v>-16.870509999999999</v>
      </c>
      <c r="J6635" s="55">
        <v>0</v>
      </c>
      <c r="K6635" s="55">
        <v>0</v>
      </c>
      <c r="L6635" s="55">
        <v>0</v>
      </c>
      <c r="M6635" s="55">
        <v>0</v>
      </c>
      <c r="N6635" s="55">
        <v>0</v>
      </c>
    </row>
    <row r="6636" spans="1:14" hidden="1" x14ac:dyDescent="0.35">
      <c r="A6636" s="52" t="s">
        <v>712</v>
      </c>
      <c r="B6636" s="52" t="s">
        <v>864</v>
      </c>
      <c r="C6636" s="52" t="s">
        <v>718</v>
      </c>
      <c r="D6636" s="52" t="s">
        <v>718</v>
      </c>
      <c r="E6636" s="52" t="s">
        <v>584</v>
      </c>
      <c r="F6636" s="52" t="s">
        <v>26</v>
      </c>
      <c r="G6636" s="55" t="s">
        <v>276</v>
      </c>
      <c r="H6636" s="55"/>
      <c r="I6636" s="55"/>
      <c r="J6636" s="55">
        <v>-6.4009219999999996</v>
      </c>
      <c r="K6636" s="55">
        <v>-2.3710010000000001</v>
      </c>
      <c r="L6636" s="55">
        <v>-1.2496080000000001</v>
      </c>
      <c r="M6636" s="55">
        <v>-1.2496080000000001</v>
      </c>
      <c r="N6636" s="55">
        <v>-1.2553399999999999</v>
      </c>
    </row>
    <row r="6637" spans="1:14" hidden="1" x14ac:dyDescent="0.35">
      <c r="A6637" s="52" t="s">
        <v>712</v>
      </c>
      <c r="B6637" s="52" t="s">
        <v>864</v>
      </c>
      <c r="C6637" s="52" t="s">
        <v>718</v>
      </c>
      <c r="D6637" s="52" t="s">
        <v>718</v>
      </c>
      <c r="E6637" s="52" t="s">
        <v>584</v>
      </c>
      <c r="F6637" s="52" t="s">
        <v>26</v>
      </c>
      <c r="G6637" s="55" t="s">
        <v>277</v>
      </c>
      <c r="H6637" s="55"/>
      <c r="I6637" s="55"/>
      <c r="J6637" s="55"/>
      <c r="K6637" s="55"/>
      <c r="L6637" s="55">
        <v>0</v>
      </c>
      <c r="M6637" s="55">
        <v>0</v>
      </c>
      <c r="N6637" s="55">
        <v>0</v>
      </c>
    </row>
    <row r="6638" spans="1:14" hidden="1" x14ac:dyDescent="0.35">
      <c r="A6638" s="52" t="s">
        <v>712</v>
      </c>
      <c r="B6638" s="52" t="s">
        <v>864</v>
      </c>
      <c r="C6638" s="52" t="s">
        <v>718</v>
      </c>
      <c r="D6638" s="52" t="s">
        <v>718</v>
      </c>
      <c r="E6638" s="52" t="s">
        <v>584</v>
      </c>
      <c r="F6638" s="52" t="s">
        <v>26</v>
      </c>
      <c r="G6638" s="55" t="s">
        <v>278</v>
      </c>
      <c r="H6638" s="55">
        <v>29.406559999999999</v>
      </c>
      <c r="I6638" s="55">
        <v>16.870509999999999</v>
      </c>
      <c r="J6638" s="55">
        <v>6.4009229999999997</v>
      </c>
      <c r="K6638" s="55">
        <v>2.3710010000000001</v>
      </c>
      <c r="L6638" s="55">
        <v>1.2496080000000001</v>
      </c>
      <c r="M6638" s="55">
        <v>1.2496080000000001</v>
      </c>
      <c r="N6638" s="55">
        <v>1.2496080000000001</v>
      </c>
    </row>
    <row r="6639" spans="1:14" hidden="1" x14ac:dyDescent="0.35">
      <c r="A6639" s="52" t="s">
        <v>712</v>
      </c>
      <c r="B6639" s="52" t="s">
        <v>864</v>
      </c>
      <c r="C6639" s="52" t="s">
        <v>718</v>
      </c>
      <c r="D6639" s="52" t="s">
        <v>718</v>
      </c>
      <c r="E6639" s="52" t="s">
        <v>584</v>
      </c>
      <c r="F6639" s="52" t="s">
        <v>26</v>
      </c>
      <c r="G6639" s="55" t="s">
        <v>279</v>
      </c>
      <c r="H6639" s="55"/>
      <c r="I6639" s="55"/>
      <c r="J6639" s="55"/>
      <c r="K6639" s="55"/>
      <c r="L6639" s="55">
        <v>0</v>
      </c>
      <c r="M6639" s="55">
        <v>0</v>
      </c>
      <c r="N6639" s="55">
        <v>5.7320000000000001E-3</v>
      </c>
    </row>
    <row r="6640" spans="1:14" hidden="1" x14ac:dyDescent="0.35">
      <c r="A6640" s="52" t="s">
        <v>712</v>
      </c>
      <c r="B6640" s="52" t="s">
        <v>371</v>
      </c>
      <c r="C6640" s="52" t="s">
        <v>863</v>
      </c>
      <c r="D6640" s="52" t="s">
        <v>863</v>
      </c>
      <c r="E6640" s="52" t="s">
        <v>584</v>
      </c>
      <c r="F6640" s="52" t="s">
        <v>26</v>
      </c>
      <c r="G6640" s="55" t="s">
        <v>275</v>
      </c>
      <c r="H6640" s="55">
        <v>-0.26808700000000002</v>
      </c>
      <c r="I6640" s="55">
        <v>-0.25807550000000001</v>
      </c>
      <c r="J6640" s="55">
        <v>0</v>
      </c>
      <c r="K6640" s="55">
        <v>0</v>
      </c>
      <c r="L6640" s="55">
        <v>0</v>
      </c>
      <c r="M6640" s="55">
        <v>0</v>
      </c>
      <c r="N6640" s="55">
        <v>0</v>
      </c>
    </row>
    <row r="6641" spans="1:14" hidden="1" x14ac:dyDescent="0.35">
      <c r="A6641" s="52" t="s">
        <v>712</v>
      </c>
      <c r="B6641" s="52" t="s">
        <v>371</v>
      </c>
      <c r="C6641" s="52" t="s">
        <v>863</v>
      </c>
      <c r="D6641" s="52" t="s">
        <v>863</v>
      </c>
      <c r="E6641" s="52" t="s">
        <v>584</v>
      </c>
      <c r="F6641" s="52" t="s">
        <v>26</v>
      </c>
      <c r="G6641" s="55" t="s">
        <v>276</v>
      </c>
      <c r="H6641" s="55">
        <v>-1.00115E-2</v>
      </c>
      <c r="I6641" s="55">
        <v>-2.0022999999999999E-2</v>
      </c>
      <c r="J6641" s="55">
        <v>-0.27809800000000001</v>
      </c>
      <c r="K6641" s="55">
        <v>-3.6336689999999998</v>
      </c>
      <c r="L6641" s="55">
        <v>-6.2435489999999998</v>
      </c>
      <c r="M6641" s="55">
        <v>-2.7534890000000001</v>
      </c>
      <c r="N6641" s="55">
        <v>-0.27809800000000001</v>
      </c>
    </row>
    <row r="6642" spans="1:14" hidden="1" x14ac:dyDescent="0.35">
      <c r="A6642" s="52" t="s">
        <v>712</v>
      </c>
      <c r="B6642" s="52" t="s">
        <v>371</v>
      </c>
      <c r="C6642" s="52" t="s">
        <v>863</v>
      </c>
      <c r="D6642" s="52" t="s">
        <v>863</v>
      </c>
      <c r="E6642" s="52" t="s">
        <v>584</v>
      </c>
      <c r="F6642" s="52" t="s">
        <v>26</v>
      </c>
      <c r="G6642" s="55" t="s">
        <v>278</v>
      </c>
      <c r="H6642" s="55">
        <v>0.27809850000000003</v>
      </c>
      <c r="I6642" s="55">
        <v>0.27809850000000003</v>
      </c>
      <c r="J6642" s="55">
        <v>0.27809850000000003</v>
      </c>
      <c r="K6642" s="55">
        <v>3.6336689999999998</v>
      </c>
      <c r="L6642" s="55">
        <v>6.2435489999999998</v>
      </c>
      <c r="M6642" s="55">
        <v>2.7534890000000001</v>
      </c>
      <c r="N6642" s="55">
        <v>0.27809850000000003</v>
      </c>
    </row>
    <row r="6643" spans="1:14" hidden="1" x14ac:dyDescent="0.35">
      <c r="A6643" s="52" t="s">
        <v>712</v>
      </c>
      <c r="B6643" s="52" t="s">
        <v>865</v>
      </c>
      <c r="C6643" s="52" t="s">
        <v>718</v>
      </c>
      <c r="D6643" s="52" t="s">
        <v>718</v>
      </c>
      <c r="E6643" s="52" t="s">
        <v>584</v>
      </c>
      <c r="F6643" s="52" t="s">
        <v>26</v>
      </c>
      <c r="G6643" s="55" t="s">
        <v>275</v>
      </c>
      <c r="H6643" s="55">
        <v>-8.0489500000000005E-2</v>
      </c>
      <c r="I6643" s="55">
        <v>-1.5521670000000001</v>
      </c>
      <c r="J6643" s="55">
        <v>0</v>
      </c>
      <c r="K6643" s="55">
        <v>0</v>
      </c>
      <c r="L6643" s="55">
        <v>0</v>
      </c>
      <c r="M6643" s="55">
        <v>0</v>
      </c>
      <c r="N6643" s="55">
        <v>0</v>
      </c>
    </row>
    <row r="6644" spans="1:14" hidden="1" x14ac:dyDescent="0.35">
      <c r="A6644" s="52" t="s">
        <v>712</v>
      </c>
      <c r="B6644" s="52" t="s">
        <v>865</v>
      </c>
      <c r="C6644" s="52" t="s">
        <v>718</v>
      </c>
      <c r="D6644" s="52" t="s">
        <v>718</v>
      </c>
      <c r="E6644" s="52" t="s">
        <v>584</v>
      </c>
      <c r="F6644" s="52" t="s">
        <v>26</v>
      </c>
      <c r="G6644" s="55" t="s">
        <v>276</v>
      </c>
      <c r="H6644" s="55"/>
      <c r="I6644" s="55"/>
      <c r="J6644" s="55">
        <v>-8.0489500000000005E-2</v>
      </c>
      <c r="K6644" s="55">
        <v>-8.0489500000000005E-2</v>
      </c>
      <c r="L6644" s="55">
        <v>-8.0489500000000005E-2</v>
      </c>
      <c r="M6644" s="55">
        <v>-8.0489500000000005E-2</v>
      </c>
      <c r="N6644" s="55">
        <v>-8.0489500000000005E-2</v>
      </c>
    </row>
    <row r="6645" spans="1:14" hidden="1" x14ac:dyDescent="0.35">
      <c r="A6645" s="52" t="s">
        <v>712</v>
      </c>
      <c r="B6645" s="52" t="s">
        <v>865</v>
      </c>
      <c r="C6645" s="52" t="s">
        <v>718</v>
      </c>
      <c r="D6645" s="52" t="s">
        <v>718</v>
      </c>
      <c r="E6645" s="52" t="s">
        <v>584</v>
      </c>
      <c r="F6645" s="52" t="s">
        <v>26</v>
      </c>
      <c r="G6645" s="55" t="s">
        <v>278</v>
      </c>
      <c r="H6645" s="55">
        <v>8.0489500000000005E-2</v>
      </c>
      <c r="I6645" s="55">
        <v>1.5521670000000001</v>
      </c>
      <c r="J6645" s="55">
        <v>8.0489500000000005E-2</v>
      </c>
      <c r="K6645" s="55">
        <v>8.0489500000000005E-2</v>
      </c>
      <c r="L6645" s="55">
        <v>8.0489500000000005E-2</v>
      </c>
      <c r="M6645" s="55">
        <v>8.0489500000000005E-2</v>
      </c>
      <c r="N6645" s="55">
        <v>8.0489500000000005E-2</v>
      </c>
    </row>
    <row r="6646" spans="1:14" hidden="1" x14ac:dyDescent="0.35">
      <c r="A6646" s="52" t="s">
        <v>725</v>
      </c>
      <c r="B6646" s="52" t="s">
        <v>37</v>
      </c>
      <c r="C6646" s="52" t="s">
        <v>51</v>
      </c>
      <c r="D6646" s="52" t="s">
        <v>51</v>
      </c>
      <c r="E6646" s="52" t="s">
        <v>602</v>
      </c>
      <c r="F6646" s="52" t="s">
        <v>581</v>
      </c>
      <c r="G6646" s="55" t="s">
        <v>275</v>
      </c>
      <c r="H6646" s="55">
        <v>285.28809999999999</v>
      </c>
      <c r="I6646" s="55">
        <v>67.903599999999997</v>
      </c>
      <c r="J6646" s="55">
        <v>127.5187</v>
      </c>
      <c r="K6646" s="55">
        <v>181.18879999999999</v>
      </c>
      <c r="L6646" s="55">
        <v>133.85400000000001</v>
      </c>
      <c r="M6646" s="55">
        <v>92.892129999999995</v>
      </c>
      <c r="N6646" s="55">
        <v>75.360320000000002</v>
      </c>
    </row>
    <row r="6647" spans="1:14" hidden="1" x14ac:dyDescent="0.35">
      <c r="A6647" s="52" t="s">
        <v>725</v>
      </c>
      <c r="B6647" s="52" t="s">
        <v>37</v>
      </c>
      <c r="C6647" s="52" t="s">
        <v>51</v>
      </c>
      <c r="D6647" s="52" t="s">
        <v>51</v>
      </c>
      <c r="E6647" s="52" t="s">
        <v>602</v>
      </c>
      <c r="F6647" s="52" t="s">
        <v>581</v>
      </c>
      <c r="G6647" s="55" t="s">
        <v>276</v>
      </c>
      <c r="H6647" s="55">
        <v>60.2667</v>
      </c>
      <c r="I6647" s="55">
        <v>-33.798349999999999</v>
      </c>
      <c r="J6647" s="55">
        <v>-42.917670000000001</v>
      </c>
      <c r="K6647" s="55">
        <v>-56.56512</v>
      </c>
      <c r="L6647" s="55">
        <v>-13.93141</v>
      </c>
      <c r="M6647" s="55">
        <v>3.230696</v>
      </c>
      <c r="N6647" s="55">
        <v>6.3210889999999997</v>
      </c>
    </row>
    <row r="6648" spans="1:14" hidden="1" x14ac:dyDescent="0.35">
      <c r="A6648" s="52" t="s">
        <v>725</v>
      </c>
      <c r="B6648" s="52" t="s">
        <v>37</v>
      </c>
      <c r="C6648" s="52" t="s">
        <v>51</v>
      </c>
      <c r="D6648" s="52" t="s">
        <v>51</v>
      </c>
      <c r="E6648" s="52" t="s">
        <v>602</v>
      </c>
      <c r="F6648" s="52" t="s">
        <v>581</v>
      </c>
      <c r="G6648" s="55" t="s">
        <v>277</v>
      </c>
      <c r="H6648" s="55">
        <v>359.25209999999998</v>
      </c>
      <c r="I6648" s="55">
        <v>125.9053</v>
      </c>
      <c r="J6648" s="55">
        <v>81.761319999999998</v>
      </c>
      <c r="K6648" s="55">
        <v>19.864640000000001</v>
      </c>
      <c r="L6648" s="55">
        <v>14.78528</v>
      </c>
      <c r="M6648" s="55">
        <v>0</v>
      </c>
      <c r="N6648" s="55">
        <v>0</v>
      </c>
    </row>
    <row r="6649" spans="1:14" hidden="1" x14ac:dyDescent="0.35">
      <c r="A6649" s="52" t="s">
        <v>725</v>
      </c>
      <c r="B6649" s="52" t="s">
        <v>37</v>
      </c>
      <c r="C6649" s="52" t="s">
        <v>51</v>
      </c>
      <c r="D6649" s="52" t="s">
        <v>51</v>
      </c>
      <c r="E6649" s="52" t="s">
        <v>602</v>
      </c>
      <c r="F6649" s="52" t="s">
        <v>581</v>
      </c>
      <c r="G6649" s="55" t="s">
        <v>278</v>
      </c>
      <c r="H6649" s="55">
        <v>67.47</v>
      </c>
      <c r="I6649" s="55">
        <v>20.56841</v>
      </c>
      <c r="J6649" s="55">
        <v>25.009550000000001</v>
      </c>
      <c r="K6649" s="55">
        <v>19.959779999999999</v>
      </c>
      <c r="L6649" s="55">
        <v>14.665039999999999</v>
      </c>
      <c r="M6649" s="55">
        <v>0</v>
      </c>
      <c r="N6649" s="55">
        <v>0</v>
      </c>
    </row>
    <row r="6650" spans="1:14" hidden="1" x14ac:dyDescent="0.35">
      <c r="A6650" s="52" t="s">
        <v>725</v>
      </c>
      <c r="B6650" s="52" t="s">
        <v>37</v>
      </c>
      <c r="C6650" s="52" t="s">
        <v>51</v>
      </c>
      <c r="D6650" s="52" t="s">
        <v>51</v>
      </c>
      <c r="E6650" s="52" t="s">
        <v>602</v>
      </c>
      <c r="F6650" s="52" t="s">
        <v>581</v>
      </c>
      <c r="G6650" s="55" t="s">
        <v>279</v>
      </c>
      <c r="H6650" s="55">
        <v>437.9812</v>
      </c>
      <c r="I6650" s="55">
        <v>321.84199999999998</v>
      </c>
      <c r="J6650" s="55">
        <v>308.79000000000002</v>
      </c>
      <c r="K6650" s="55">
        <v>285.70679999999999</v>
      </c>
      <c r="L6650" s="55">
        <v>225.51089999999999</v>
      </c>
      <c r="M6650" s="55">
        <v>207.1337</v>
      </c>
      <c r="N6650" s="55">
        <v>173.7062</v>
      </c>
    </row>
    <row r="6651" spans="1:14" hidden="1" x14ac:dyDescent="0.35">
      <c r="A6651" s="52" t="s">
        <v>725</v>
      </c>
      <c r="B6651" s="52" t="s">
        <v>37</v>
      </c>
      <c r="C6651" s="52" t="s">
        <v>51</v>
      </c>
      <c r="D6651" s="52" t="s">
        <v>51</v>
      </c>
      <c r="E6651" s="52" t="s">
        <v>602</v>
      </c>
      <c r="F6651" s="52" t="s">
        <v>26</v>
      </c>
      <c r="G6651" s="55" t="s">
        <v>275</v>
      </c>
      <c r="H6651" s="55">
        <v>-25.96012</v>
      </c>
      <c r="I6651" s="55">
        <v>-24.524609999999999</v>
      </c>
      <c r="J6651" s="55">
        <v>-18.991409999999998</v>
      </c>
      <c r="K6651" s="55">
        <v>-20.32995</v>
      </c>
      <c r="L6651" s="55">
        <v>-15.222490000000001</v>
      </c>
      <c r="M6651" s="55">
        <v>-17.866669999999999</v>
      </c>
      <c r="N6651" s="55">
        <v>-14.99663</v>
      </c>
    </row>
    <row r="6652" spans="1:14" hidden="1" x14ac:dyDescent="0.35">
      <c r="A6652" s="52" t="s">
        <v>725</v>
      </c>
      <c r="B6652" s="52" t="s">
        <v>37</v>
      </c>
      <c r="C6652" s="52" t="s">
        <v>51</v>
      </c>
      <c r="D6652" s="52" t="s">
        <v>51</v>
      </c>
      <c r="E6652" s="52" t="s">
        <v>602</v>
      </c>
      <c r="F6652" s="52" t="s">
        <v>26</v>
      </c>
      <c r="G6652" s="55" t="s">
        <v>276</v>
      </c>
      <c r="H6652" s="55">
        <v>-6.9007990000000001</v>
      </c>
      <c r="I6652" s="55">
        <v>-6.5191990000000004</v>
      </c>
      <c r="J6652" s="55">
        <v>-5.0483510000000003</v>
      </c>
      <c r="K6652" s="55">
        <v>-5.4041790000000001</v>
      </c>
      <c r="L6652" s="55">
        <v>-4.0464770000000003</v>
      </c>
      <c r="M6652" s="55">
        <v>-4.7493670000000003</v>
      </c>
      <c r="N6652" s="55">
        <v>-3.9864459999999999</v>
      </c>
    </row>
    <row r="6653" spans="1:14" hidden="1" x14ac:dyDescent="0.35">
      <c r="A6653" s="52" t="s">
        <v>725</v>
      </c>
      <c r="B6653" s="52" t="s">
        <v>37</v>
      </c>
      <c r="C6653" s="52" t="s">
        <v>51</v>
      </c>
      <c r="D6653" s="52" t="s">
        <v>51</v>
      </c>
      <c r="E6653" s="52" t="s">
        <v>602</v>
      </c>
      <c r="F6653" s="52" t="s">
        <v>26</v>
      </c>
      <c r="G6653" s="55" t="s">
        <v>279</v>
      </c>
      <c r="H6653" s="55">
        <v>120.6709</v>
      </c>
      <c r="I6653" s="55">
        <v>103.2127</v>
      </c>
      <c r="J6653" s="55">
        <v>99.859740000000002</v>
      </c>
      <c r="K6653" s="55">
        <v>93.319609999999997</v>
      </c>
      <c r="L6653" s="55">
        <v>74.936109999999999</v>
      </c>
      <c r="M6653" s="55">
        <v>67.368359999999996</v>
      </c>
      <c r="N6653" s="55">
        <v>56.433770000000003</v>
      </c>
    </row>
    <row r="6654" spans="1:14" hidden="1" x14ac:dyDescent="0.35">
      <c r="A6654" s="52" t="s">
        <v>725</v>
      </c>
      <c r="B6654" s="52" t="s">
        <v>37</v>
      </c>
      <c r="C6654" s="52" t="s">
        <v>35</v>
      </c>
      <c r="D6654" s="52" t="s">
        <v>129</v>
      </c>
      <c r="E6654" s="52" t="s">
        <v>580</v>
      </c>
      <c r="F6654" s="52" t="s">
        <v>581</v>
      </c>
      <c r="G6654" s="55" t="s">
        <v>275</v>
      </c>
      <c r="H6654" s="55">
        <v>-92.787430000000001</v>
      </c>
      <c r="I6654" s="55">
        <v>1.072546</v>
      </c>
      <c r="J6654" s="55">
        <v>36.838090000000001</v>
      </c>
      <c r="K6654" s="55">
        <v>44.354880000000001</v>
      </c>
      <c r="L6654" s="55">
        <v>40.706110000000002</v>
      </c>
      <c r="M6654" s="55">
        <v>25.324539999999999</v>
      </c>
      <c r="N6654" s="55">
        <v>15.658770000000001</v>
      </c>
    </row>
    <row r="6655" spans="1:14" hidden="1" x14ac:dyDescent="0.35">
      <c r="A6655" s="52" t="s">
        <v>725</v>
      </c>
      <c r="B6655" s="52" t="s">
        <v>37</v>
      </c>
      <c r="C6655" s="52" t="s">
        <v>35</v>
      </c>
      <c r="D6655" s="52" t="s">
        <v>129</v>
      </c>
      <c r="E6655" s="52" t="s">
        <v>580</v>
      </c>
      <c r="F6655" s="52" t="s">
        <v>581</v>
      </c>
      <c r="G6655" s="55" t="s">
        <v>276</v>
      </c>
      <c r="H6655" s="55">
        <v>6.1657780000000004</v>
      </c>
      <c r="I6655" s="55">
        <v>-4.8178359999999998</v>
      </c>
      <c r="J6655" s="55">
        <v>-4.2161770000000001</v>
      </c>
      <c r="K6655" s="55">
        <v>-8.1266099999999994</v>
      </c>
      <c r="L6655" s="55">
        <v>-9.3984579999999998</v>
      </c>
      <c r="M6655" s="55">
        <v>1.503976</v>
      </c>
      <c r="N6655" s="55">
        <v>4.3026520000000001</v>
      </c>
    </row>
    <row r="6656" spans="1:14" hidden="1" x14ac:dyDescent="0.35">
      <c r="A6656" s="52" t="s">
        <v>725</v>
      </c>
      <c r="B6656" s="52" t="s">
        <v>37</v>
      </c>
      <c r="C6656" s="52" t="s">
        <v>35</v>
      </c>
      <c r="D6656" s="52" t="s">
        <v>129</v>
      </c>
      <c r="E6656" s="52" t="s">
        <v>580</v>
      </c>
      <c r="F6656" s="52" t="s">
        <v>581</v>
      </c>
      <c r="G6656" s="55" t="s">
        <v>277</v>
      </c>
      <c r="H6656" s="55">
        <v>72.136679999999998</v>
      </c>
      <c r="I6656" s="55">
        <v>5.5011789999999996</v>
      </c>
      <c r="J6656" s="55">
        <v>3.5861260000000001</v>
      </c>
      <c r="K6656" s="55">
        <v>1.7166969999999999</v>
      </c>
      <c r="L6656" s="55">
        <v>2.16046</v>
      </c>
      <c r="M6656" s="55">
        <v>2.4551280000000002</v>
      </c>
      <c r="N6656" s="55">
        <v>8.1301229999999993</v>
      </c>
    </row>
    <row r="6657" spans="1:14" hidden="1" x14ac:dyDescent="0.35">
      <c r="A6657" s="52" t="s">
        <v>725</v>
      </c>
      <c r="B6657" s="52" t="s">
        <v>37</v>
      </c>
      <c r="C6657" s="52" t="s">
        <v>35</v>
      </c>
      <c r="D6657" s="52" t="s">
        <v>129</v>
      </c>
      <c r="E6657" s="52" t="s">
        <v>580</v>
      </c>
      <c r="F6657" s="52" t="s">
        <v>581</v>
      </c>
      <c r="G6657" s="55" t="s">
        <v>278</v>
      </c>
      <c r="H6657" s="55">
        <v>110.74420000000001</v>
      </c>
      <c r="I6657" s="55">
        <v>46.973379999999999</v>
      </c>
      <c r="J6657" s="55">
        <v>14.42869</v>
      </c>
      <c r="K6657" s="55">
        <v>7.6169200000000004</v>
      </c>
      <c r="L6657" s="55">
        <v>7.862628</v>
      </c>
      <c r="M6657" s="55">
        <v>5.6323340000000002</v>
      </c>
      <c r="N6657" s="55">
        <v>6.1685949999999998</v>
      </c>
    </row>
    <row r="6658" spans="1:14" hidden="1" x14ac:dyDescent="0.35">
      <c r="A6658" s="52" t="s">
        <v>725</v>
      </c>
      <c r="B6658" s="52" t="s">
        <v>37</v>
      </c>
      <c r="C6658" s="52" t="s">
        <v>35</v>
      </c>
      <c r="D6658" s="52" t="s">
        <v>129</v>
      </c>
      <c r="E6658" s="52" t="s">
        <v>580</v>
      </c>
      <c r="F6658" s="52" t="s">
        <v>581</v>
      </c>
      <c r="G6658" s="55" t="s">
        <v>279</v>
      </c>
      <c r="H6658" s="55">
        <v>36.983440000000002</v>
      </c>
      <c r="I6658" s="55">
        <v>37.529649999999997</v>
      </c>
      <c r="J6658" s="55">
        <v>36.423079999999999</v>
      </c>
      <c r="K6658" s="55">
        <v>34.271320000000003</v>
      </c>
      <c r="L6658" s="55">
        <v>28.89312</v>
      </c>
      <c r="M6658" s="55">
        <v>29.309909999999999</v>
      </c>
      <c r="N6658" s="55">
        <v>27.789239999999999</v>
      </c>
    </row>
    <row r="6659" spans="1:14" hidden="1" x14ac:dyDescent="0.35">
      <c r="A6659" s="52" t="s">
        <v>725</v>
      </c>
      <c r="B6659" s="52" t="s">
        <v>37</v>
      </c>
      <c r="C6659" s="52" t="s">
        <v>35</v>
      </c>
      <c r="D6659" s="52" t="s">
        <v>129</v>
      </c>
      <c r="E6659" s="52" t="s">
        <v>580</v>
      </c>
      <c r="F6659" s="52" t="s">
        <v>26</v>
      </c>
      <c r="G6659" s="55" t="s">
        <v>275</v>
      </c>
      <c r="H6659" s="55">
        <v>-0.51021300000000003</v>
      </c>
      <c r="I6659" s="55">
        <v>-0.85022059999999999</v>
      </c>
      <c r="J6659" s="55">
        <v>-0.39713120000000002</v>
      </c>
      <c r="K6659" s="55">
        <v>-0.65023200000000003</v>
      </c>
      <c r="L6659" s="55">
        <v>-0.51328969999999996</v>
      </c>
      <c r="M6659" s="55">
        <v>-0.89839979999999997</v>
      </c>
      <c r="N6659" s="55">
        <v>-0.82896170000000002</v>
      </c>
    </row>
    <row r="6660" spans="1:14" hidden="1" x14ac:dyDescent="0.35">
      <c r="A6660" s="52" t="s">
        <v>725</v>
      </c>
      <c r="B6660" s="52" t="s">
        <v>37</v>
      </c>
      <c r="C6660" s="52" t="s">
        <v>35</v>
      </c>
      <c r="D6660" s="52" t="s">
        <v>129</v>
      </c>
      <c r="E6660" s="52" t="s">
        <v>580</v>
      </c>
      <c r="F6660" s="52" t="s">
        <v>26</v>
      </c>
      <c r="G6660" s="55" t="s">
        <v>276</v>
      </c>
      <c r="H6660" s="55">
        <v>-0.13562399999999999</v>
      </c>
      <c r="I6660" s="55">
        <v>-0.2260065</v>
      </c>
      <c r="J6660" s="55">
        <v>-0.10556400000000001</v>
      </c>
      <c r="K6660" s="55">
        <v>-0.172847</v>
      </c>
      <c r="L6660" s="55">
        <v>-0.13644529999999999</v>
      </c>
      <c r="M6660" s="55">
        <v>-0.2388141</v>
      </c>
      <c r="N6660" s="55">
        <v>-0.22035750000000001</v>
      </c>
    </row>
    <row r="6661" spans="1:14" hidden="1" x14ac:dyDescent="0.35">
      <c r="A6661" s="52" t="s">
        <v>725</v>
      </c>
      <c r="B6661" s="52" t="s">
        <v>37</v>
      </c>
      <c r="C6661" s="52" t="s">
        <v>35</v>
      </c>
      <c r="D6661" s="52" t="s">
        <v>129</v>
      </c>
      <c r="E6661" s="52" t="s">
        <v>580</v>
      </c>
      <c r="F6661" s="52" t="s">
        <v>26</v>
      </c>
      <c r="G6661" s="55" t="s">
        <v>279</v>
      </c>
      <c r="H6661" s="55">
        <v>6.9098360000000003</v>
      </c>
      <c r="I6661" s="55">
        <v>8.4528470000000002</v>
      </c>
      <c r="J6661" s="55">
        <v>8.2819020000000005</v>
      </c>
      <c r="K6661" s="55">
        <v>7.9039130000000002</v>
      </c>
      <c r="L6661" s="55">
        <v>6.8453270000000002</v>
      </c>
      <c r="M6661" s="55">
        <v>6.7297909999999996</v>
      </c>
      <c r="N6661" s="55">
        <v>6.3566159999999998</v>
      </c>
    </row>
    <row r="6662" spans="1:14" hidden="1" x14ac:dyDescent="0.35">
      <c r="A6662" s="52" t="s">
        <v>693</v>
      </c>
      <c r="B6662" s="52" t="s">
        <v>37</v>
      </c>
      <c r="C6662" s="52" t="s">
        <v>63</v>
      </c>
      <c r="D6662" s="52" t="s">
        <v>63</v>
      </c>
      <c r="E6662" s="52" t="s">
        <v>609</v>
      </c>
      <c r="F6662" s="52" t="s">
        <v>581</v>
      </c>
      <c r="G6662" s="55" t="s">
        <v>275</v>
      </c>
      <c r="H6662" s="55">
        <v>0.20441300000000001</v>
      </c>
      <c r="I6662" s="55">
        <v>3.1897500000000002E-2</v>
      </c>
      <c r="J6662" s="55">
        <v>2.6551499999999999E-2</v>
      </c>
      <c r="K6662" s="55">
        <v>2.50002E-2</v>
      </c>
      <c r="L6662" s="55">
        <v>2.9639200000000001E-2</v>
      </c>
      <c r="M6662" s="55">
        <v>2.7272399999999999E-2</v>
      </c>
      <c r="N6662" s="55">
        <v>2.03839E-2</v>
      </c>
    </row>
    <row r="6663" spans="1:14" hidden="1" x14ac:dyDescent="0.35">
      <c r="A6663" s="52" t="s">
        <v>693</v>
      </c>
      <c r="B6663" s="52" t="s">
        <v>37</v>
      </c>
      <c r="C6663" s="52" t="s">
        <v>63</v>
      </c>
      <c r="D6663" s="52" t="s">
        <v>63</v>
      </c>
      <c r="E6663" s="52" t="s">
        <v>609</v>
      </c>
      <c r="F6663" s="52" t="s">
        <v>581</v>
      </c>
      <c r="G6663" s="55" t="s">
        <v>276</v>
      </c>
      <c r="H6663" s="55">
        <v>8.2768999999999995E-2</v>
      </c>
      <c r="I6663" s="55">
        <v>3.5049E-3</v>
      </c>
      <c r="J6663" s="55">
        <v>2.9177999999999999E-3</v>
      </c>
      <c r="K6663" s="55">
        <v>2.7469999999999999E-3</v>
      </c>
      <c r="L6663" s="55">
        <v>1.0148000000000001E-2</v>
      </c>
      <c r="M6663" s="55">
        <v>2.9970999999999999E-3</v>
      </c>
      <c r="N6663" s="55">
        <v>2.2407999999999998E-3</v>
      </c>
    </row>
    <row r="6664" spans="1:14" hidden="1" x14ac:dyDescent="0.35">
      <c r="A6664" s="52" t="s">
        <v>693</v>
      </c>
      <c r="B6664" s="52" t="s">
        <v>37</v>
      </c>
      <c r="C6664" s="52" t="s">
        <v>63</v>
      </c>
      <c r="D6664" s="52" t="s">
        <v>63</v>
      </c>
      <c r="E6664" s="52" t="s">
        <v>609</v>
      </c>
      <c r="F6664" s="52" t="s">
        <v>581</v>
      </c>
      <c r="G6664" s="55" t="s">
        <v>279</v>
      </c>
      <c r="H6664" s="55">
        <v>0.27377699999999999</v>
      </c>
      <c r="I6664" s="55">
        <v>0.1098701</v>
      </c>
      <c r="J6664" s="55">
        <v>8.5058789999999995E-2</v>
      </c>
      <c r="K6664" s="55">
        <v>9.4968200000000003E-2</v>
      </c>
      <c r="L6664" s="55">
        <v>0.13414570000000001</v>
      </c>
      <c r="M6664" s="55">
        <v>0.151172</v>
      </c>
      <c r="N6664" s="55">
        <v>0.10963630000000001</v>
      </c>
    </row>
    <row r="6665" spans="1:14" hidden="1" x14ac:dyDescent="0.35">
      <c r="A6665" s="52" t="s">
        <v>693</v>
      </c>
      <c r="B6665" s="52" t="s">
        <v>37</v>
      </c>
      <c r="C6665" s="52" t="s">
        <v>63</v>
      </c>
      <c r="D6665" s="52" t="s">
        <v>63</v>
      </c>
      <c r="E6665" s="52" t="s">
        <v>609</v>
      </c>
      <c r="F6665" s="52" t="s">
        <v>26</v>
      </c>
      <c r="G6665" s="55" t="s">
        <v>275</v>
      </c>
      <c r="H6665" s="55">
        <v>-100.5552</v>
      </c>
      <c r="I6665" s="55">
        <v>-52.451970000000003</v>
      </c>
      <c r="J6665" s="55">
        <v>48.428359999999998</v>
      </c>
      <c r="K6665" s="55">
        <v>55.518300000000004</v>
      </c>
      <c r="L6665" s="55">
        <v>50.213239999999999</v>
      </c>
      <c r="M6665" s="55">
        <v>46.812069999999999</v>
      </c>
      <c r="N6665" s="55">
        <v>36.506300000000003</v>
      </c>
    </row>
    <row r="6666" spans="1:14" hidden="1" x14ac:dyDescent="0.35">
      <c r="A6666" s="52" t="s">
        <v>693</v>
      </c>
      <c r="B6666" s="52" t="s">
        <v>37</v>
      </c>
      <c r="C6666" s="52" t="s">
        <v>63</v>
      </c>
      <c r="D6666" s="52" t="s">
        <v>63</v>
      </c>
      <c r="E6666" s="52" t="s">
        <v>609</v>
      </c>
      <c r="F6666" s="52" t="s">
        <v>26</v>
      </c>
      <c r="G6666" s="55" t="s">
        <v>276</v>
      </c>
      <c r="H6666" s="55">
        <v>0.125165</v>
      </c>
      <c r="I6666" s="55">
        <v>-0.2120737</v>
      </c>
      <c r="J6666" s="55">
        <v>0.32089709999999999</v>
      </c>
      <c r="K6666" s="55">
        <v>1.388973</v>
      </c>
      <c r="L6666" s="55">
        <v>2.8726959999999999</v>
      </c>
      <c r="M6666" s="55">
        <v>-0.1278977</v>
      </c>
      <c r="N6666" s="55">
        <v>-1.6958589999999999E-2</v>
      </c>
    </row>
    <row r="6667" spans="1:14" hidden="1" x14ac:dyDescent="0.35">
      <c r="A6667" s="52" t="s">
        <v>693</v>
      </c>
      <c r="B6667" s="52" t="s">
        <v>37</v>
      </c>
      <c r="C6667" s="52" t="s">
        <v>63</v>
      </c>
      <c r="D6667" s="52" t="s">
        <v>63</v>
      </c>
      <c r="E6667" s="52" t="s">
        <v>609</v>
      </c>
      <c r="F6667" s="52" t="s">
        <v>26</v>
      </c>
      <c r="G6667" s="55" t="s">
        <v>277</v>
      </c>
      <c r="H6667" s="55">
        <v>164.57089999999999</v>
      </c>
      <c r="I6667" s="55">
        <v>105.1917</v>
      </c>
      <c r="J6667" s="55">
        <v>47.657499999999999</v>
      </c>
      <c r="K6667" s="55">
        <v>31.062529999999999</v>
      </c>
      <c r="L6667" s="55">
        <v>19.52458</v>
      </c>
      <c r="M6667" s="55">
        <v>0</v>
      </c>
      <c r="N6667" s="55">
        <v>0</v>
      </c>
    </row>
    <row r="6668" spans="1:14" hidden="1" x14ac:dyDescent="0.35">
      <c r="A6668" s="52" t="s">
        <v>693</v>
      </c>
      <c r="B6668" s="52" t="s">
        <v>37</v>
      </c>
      <c r="C6668" s="52" t="s">
        <v>63</v>
      </c>
      <c r="D6668" s="52" t="s">
        <v>63</v>
      </c>
      <c r="E6668" s="52" t="s">
        <v>609</v>
      </c>
      <c r="F6668" s="52" t="s">
        <v>26</v>
      </c>
      <c r="G6668" s="55" t="s">
        <v>278</v>
      </c>
      <c r="H6668" s="55">
        <v>4.0972840000000001</v>
      </c>
      <c r="I6668" s="55">
        <v>10.80827</v>
      </c>
      <c r="J6668" s="55">
        <v>7.5582000000000003</v>
      </c>
      <c r="K6668" s="55">
        <v>7.0426169999999999</v>
      </c>
      <c r="L6668" s="55">
        <v>1.706661</v>
      </c>
      <c r="M6668" s="55">
        <v>0</v>
      </c>
      <c r="N6668" s="55"/>
    </row>
    <row r="6669" spans="1:14" hidden="1" x14ac:dyDescent="0.35">
      <c r="A6669" s="52" t="s">
        <v>693</v>
      </c>
      <c r="B6669" s="52" t="s">
        <v>37</v>
      </c>
      <c r="C6669" s="52" t="s">
        <v>63</v>
      </c>
      <c r="D6669" s="52" t="s">
        <v>63</v>
      </c>
      <c r="E6669" s="52" t="s">
        <v>609</v>
      </c>
      <c r="F6669" s="52" t="s">
        <v>26</v>
      </c>
      <c r="G6669" s="55" t="s">
        <v>279</v>
      </c>
      <c r="H6669" s="55">
        <v>190.5856</v>
      </c>
      <c r="I6669" s="55">
        <v>207.3236</v>
      </c>
      <c r="J6669" s="55">
        <v>257.31900000000002</v>
      </c>
      <c r="K6669" s="55">
        <v>300.52050000000003</v>
      </c>
      <c r="L6669" s="55">
        <v>258.38810000000001</v>
      </c>
      <c r="M6669" s="55">
        <v>216.29220000000001</v>
      </c>
      <c r="N6669" s="55">
        <v>169.5701</v>
      </c>
    </row>
    <row r="6670" spans="1:14" hidden="1" x14ac:dyDescent="0.35">
      <c r="A6670" s="52" t="s">
        <v>693</v>
      </c>
      <c r="B6670" s="52" t="s">
        <v>37</v>
      </c>
      <c r="C6670" s="52" t="s">
        <v>63</v>
      </c>
      <c r="D6670" s="52" t="s">
        <v>63</v>
      </c>
      <c r="E6670" s="52" t="s">
        <v>612</v>
      </c>
      <c r="F6670" s="52" t="s">
        <v>581</v>
      </c>
      <c r="G6670" s="55" t="s">
        <v>275</v>
      </c>
      <c r="H6670" s="55">
        <v>60.985320000000002</v>
      </c>
      <c r="I6670" s="55">
        <v>-26.71482</v>
      </c>
      <c r="J6670" s="55">
        <v>-19.068269999999998</v>
      </c>
      <c r="K6670" s="55">
        <v>-7.570036</v>
      </c>
      <c r="L6670" s="55">
        <v>5.350225</v>
      </c>
      <c r="M6670" s="55">
        <v>6.8401940000000003</v>
      </c>
      <c r="N6670" s="55">
        <v>39.00479</v>
      </c>
    </row>
    <row r="6671" spans="1:14" hidden="1" x14ac:dyDescent="0.35">
      <c r="A6671" s="52" t="s">
        <v>693</v>
      </c>
      <c r="B6671" s="52" t="s">
        <v>37</v>
      </c>
      <c r="C6671" s="52" t="s">
        <v>63</v>
      </c>
      <c r="D6671" s="52" t="s">
        <v>63</v>
      </c>
      <c r="E6671" s="52" t="s">
        <v>612</v>
      </c>
      <c r="F6671" s="52" t="s">
        <v>581</v>
      </c>
      <c r="G6671" s="55" t="s">
        <v>276</v>
      </c>
      <c r="H6671" s="55">
        <v>3.5007470000000001</v>
      </c>
      <c r="I6671" s="55">
        <v>-3.2624209999999998</v>
      </c>
      <c r="J6671" s="55">
        <v>-2.3731450000000001</v>
      </c>
      <c r="K6671" s="55">
        <v>1.0789530000000001</v>
      </c>
      <c r="L6671" s="55">
        <v>2.0624950000000002</v>
      </c>
      <c r="M6671" s="55">
        <v>3.6401080000000001</v>
      </c>
      <c r="N6671" s="55">
        <v>7.0982669999999999</v>
      </c>
    </row>
    <row r="6672" spans="1:14" hidden="1" x14ac:dyDescent="0.35">
      <c r="A6672" s="52" t="s">
        <v>693</v>
      </c>
      <c r="B6672" s="52" t="s">
        <v>37</v>
      </c>
      <c r="C6672" s="52" t="s">
        <v>63</v>
      </c>
      <c r="D6672" s="52" t="s">
        <v>63</v>
      </c>
      <c r="E6672" s="52" t="s">
        <v>612</v>
      </c>
      <c r="F6672" s="52" t="s">
        <v>581</v>
      </c>
      <c r="G6672" s="55" t="s">
        <v>277</v>
      </c>
      <c r="H6672" s="55">
        <v>88.594239999999999</v>
      </c>
      <c r="I6672" s="55">
        <v>98.87482</v>
      </c>
      <c r="J6672" s="55">
        <v>107.8383</v>
      </c>
      <c r="K6672" s="55">
        <v>111.70820000000001</v>
      </c>
      <c r="L6672" s="55">
        <v>115.5615</v>
      </c>
      <c r="M6672" s="55">
        <v>117.9278</v>
      </c>
      <c r="N6672" s="55">
        <v>88.368089999999995</v>
      </c>
    </row>
    <row r="6673" spans="1:14" hidden="1" x14ac:dyDescent="0.35">
      <c r="A6673" s="52" t="s">
        <v>693</v>
      </c>
      <c r="B6673" s="52" t="s">
        <v>37</v>
      </c>
      <c r="C6673" s="52" t="s">
        <v>63</v>
      </c>
      <c r="D6673" s="52" t="s">
        <v>63</v>
      </c>
      <c r="E6673" s="52" t="s">
        <v>612</v>
      </c>
      <c r="F6673" s="52" t="s">
        <v>581</v>
      </c>
      <c r="G6673" s="55" t="s">
        <v>278</v>
      </c>
      <c r="H6673" s="55">
        <v>2.3529740000000001</v>
      </c>
      <c r="I6673" s="55">
        <v>0</v>
      </c>
      <c r="J6673" s="55">
        <v>0</v>
      </c>
      <c r="K6673" s="55">
        <v>1.8023169999999999</v>
      </c>
      <c r="L6673" s="55">
        <v>4.1104789999999998</v>
      </c>
      <c r="M6673" s="55">
        <v>6.0418070000000004</v>
      </c>
      <c r="N6673" s="55">
        <v>6.4152449999999996</v>
      </c>
    </row>
    <row r="6674" spans="1:14" hidden="1" x14ac:dyDescent="0.35">
      <c r="A6674" s="52" t="s">
        <v>693</v>
      </c>
      <c r="B6674" s="52" t="s">
        <v>37</v>
      </c>
      <c r="C6674" s="52" t="s">
        <v>63</v>
      </c>
      <c r="D6674" s="52" t="s">
        <v>63</v>
      </c>
      <c r="E6674" s="52" t="s">
        <v>612</v>
      </c>
      <c r="F6674" s="52" t="s">
        <v>581</v>
      </c>
      <c r="G6674" s="55" t="s">
        <v>279</v>
      </c>
      <c r="H6674" s="55">
        <v>45.309849999999997</v>
      </c>
      <c r="I6674" s="55">
        <v>38.991439999999997</v>
      </c>
      <c r="J6674" s="55">
        <v>47.383029999999998</v>
      </c>
      <c r="K6674" s="55">
        <v>63.633740000000003</v>
      </c>
      <c r="L6674" s="55">
        <v>75.880200000000002</v>
      </c>
      <c r="M6674" s="55">
        <v>90.420509999999993</v>
      </c>
      <c r="N6674" s="55">
        <v>94.014399999999995</v>
      </c>
    </row>
    <row r="6675" spans="1:14" hidden="1" x14ac:dyDescent="0.35">
      <c r="A6675" s="52" t="s">
        <v>693</v>
      </c>
      <c r="B6675" s="52" t="s">
        <v>37</v>
      </c>
      <c r="C6675" s="52" t="s">
        <v>63</v>
      </c>
      <c r="D6675" s="52" t="s">
        <v>63</v>
      </c>
      <c r="E6675" s="52" t="s">
        <v>612</v>
      </c>
      <c r="F6675" s="52" t="s">
        <v>26</v>
      </c>
      <c r="G6675" s="55" t="s">
        <v>275</v>
      </c>
      <c r="H6675" s="55">
        <v>14.801080000000001</v>
      </c>
      <c r="I6675" s="55">
        <v>12.27291</v>
      </c>
      <c r="J6675" s="55">
        <v>19.63297</v>
      </c>
      <c r="K6675" s="55">
        <v>20.750889999999998</v>
      </c>
      <c r="L6675" s="55">
        <v>22.44894</v>
      </c>
      <c r="M6675" s="55">
        <v>20.19576</v>
      </c>
      <c r="N6675" s="55">
        <v>20.92248</v>
      </c>
    </row>
    <row r="6676" spans="1:14" hidden="1" x14ac:dyDescent="0.35">
      <c r="A6676" s="52" t="s">
        <v>693</v>
      </c>
      <c r="B6676" s="52" t="s">
        <v>37</v>
      </c>
      <c r="C6676" s="52" t="s">
        <v>63</v>
      </c>
      <c r="D6676" s="52" t="s">
        <v>63</v>
      </c>
      <c r="E6676" s="52" t="s">
        <v>612</v>
      </c>
      <c r="F6676" s="52" t="s">
        <v>26</v>
      </c>
      <c r="G6676" s="55" t="s">
        <v>276</v>
      </c>
      <c r="H6676" s="55">
        <v>3.934466</v>
      </c>
      <c r="I6676" s="55">
        <v>3.2624209999999998</v>
      </c>
      <c r="J6676" s="55">
        <v>5.2188910000000002</v>
      </c>
      <c r="K6676" s="55">
        <v>5.5160590000000003</v>
      </c>
      <c r="L6676" s="55">
        <v>5.9674399999999999</v>
      </c>
      <c r="M6676" s="55">
        <v>5.368493</v>
      </c>
      <c r="N6676" s="55">
        <v>5.5616700000000003</v>
      </c>
    </row>
    <row r="6677" spans="1:14" hidden="1" x14ac:dyDescent="0.35">
      <c r="A6677" s="52" t="s">
        <v>693</v>
      </c>
      <c r="B6677" s="52" t="s">
        <v>37</v>
      </c>
      <c r="C6677" s="52" t="s">
        <v>63</v>
      </c>
      <c r="D6677" s="52" t="s">
        <v>63</v>
      </c>
      <c r="E6677" s="52" t="s">
        <v>612</v>
      </c>
      <c r="F6677" s="52" t="s">
        <v>26</v>
      </c>
      <c r="G6677" s="55" t="s">
        <v>279</v>
      </c>
      <c r="H6677" s="55">
        <v>50.58822</v>
      </c>
      <c r="I6677" s="55">
        <v>49.916110000000003</v>
      </c>
      <c r="J6677" s="55">
        <v>61.122109999999999</v>
      </c>
      <c r="K6677" s="55">
        <v>82.837590000000006</v>
      </c>
      <c r="L6677" s="55">
        <v>100.7787</v>
      </c>
      <c r="M6677" s="55">
        <v>116.874</v>
      </c>
      <c r="N6677" s="55">
        <v>121.52290000000001</v>
      </c>
    </row>
    <row r="6678" spans="1:14" hidden="1" x14ac:dyDescent="0.35">
      <c r="A6678" s="52" t="s">
        <v>693</v>
      </c>
      <c r="B6678" s="52" t="s">
        <v>37</v>
      </c>
      <c r="C6678" s="52" t="s">
        <v>63</v>
      </c>
      <c r="D6678" s="52" t="s">
        <v>63</v>
      </c>
      <c r="E6678" s="52" t="s">
        <v>610</v>
      </c>
      <c r="F6678" s="52" t="s">
        <v>581</v>
      </c>
      <c r="G6678" s="55" t="s">
        <v>275</v>
      </c>
      <c r="H6678" s="55">
        <v>23.843430000000001</v>
      </c>
      <c r="I6678" s="55">
        <v>14.522309999999999</v>
      </c>
      <c r="J6678" s="55">
        <v>16.05508</v>
      </c>
      <c r="K6678" s="55">
        <v>16.288550000000001</v>
      </c>
      <c r="L6678" s="55">
        <v>15.3729</v>
      </c>
      <c r="M6678" s="55">
        <v>11.66146</v>
      </c>
      <c r="N6678" s="55">
        <v>9.6298320000000004</v>
      </c>
    </row>
    <row r="6679" spans="1:14" hidden="1" x14ac:dyDescent="0.35">
      <c r="A6679" s="52" t="s">
        <v>693</v>
      </c>
      <c r="B6679" s="52" t="s">
        <v>37</v>
      </c>
      <c r="C6679" s="52" t="s">
        <v>63</v>
      </c>
      <c r="D6679" s="52" t="s">
        <v>63</v>
      </c>
      <c r="E6679" s="52" t="s">
        <v>610</v>
      </c>
      <c r="F6679" s="52" t="s">
        <v>581</v>
      </c>
      <c r="G6679" s="55" t="s">
        <v>276</v>
      </c>
      <c r="H6679" s="55">
        <v>0.70325890000000002</v>
      </c>
      <c r="I6679" s="55">
        <v>0.31885570000000002</v>
      </c>
      <c r="J6679" s="55">
        <v>0.31607550000000001</v>
      </c>
      <c r="K6679" s="55">
        <v>0.26804719999999999</v>
      </c>
      <c r="L6679" s="55">
        <v>0.24510580000000001</v>
      </c>
      <c r="M6679" s="55">
        <v>0.20489370000000001</v>
      </c>
      <c r="N6679" s="55">
        <v>0.40615699999999999</v>
      </c>
    </row>
    <row r="6680" spans="1:14" hidden="1" x14ac:dyDescent="0.35">
      <c r="A6680" s="52" t="s">
        <v>693</v>
      </c>
      <c r="B6680" s="52" t="s">
        <v>37</v>
      </c>
      <c r="C6680" s="52" t="s">
        <v>63</v>
      </c>
      <c r="D6680" s="52" t="s">
        <v>63</v>
      </c>
      <c r="E6680" s="52" t="s">
        <v>610</v>
      </c>
      <c r="F6680" s="52" t="s">
        <v>581</v>
      </c>
      <c r="G6680" s="55" t="s">
        <v>279</v>
      </c>
      <c r="H6680" s="55">
        <v>8.5104950000000006</v>
      </c>
      <c r="I6680" s="55">
        <v>13.746560000000001</v>
      </c>
      <c r="J6680" s="55">
        <v>14.85107</v>
      </c>
      <c r="K6680" s="55">
        <v>16.480989999999998</v>
      </c>
      <c r="L6680" s="55">
        <v>14.971959999999999</v>
      </c>
      <c r="M6680" s="55">
        <v>13.588340000000001</v>
      </c>
      <c r="N6680" s="55">
        <v>11.46105</v>
      </c>
    </row>
    <row r="6681" spans="1:14" hidden="1" x14ac:dyDescent="0.35">
      <c r="A6681" s="52" t="s">
        <v>693</v>
      </c>
      <c r="B6681" s="52" t="s">
        <v>37</v>
      </c>
      <c r="C6681" s="52" t="s">
        <v>63</v>
      </c>
      <c r="D6681" s="52" t="s">
        <v>63</v>
      </c>
      <c r="E6681" s="52" t="s">
        <v>610</v>
      </c>
      <c r="F6681" s="52" t="s">
        <v>26</v>
      </c>
      <c r="G6681" s="55" t="s">
        <v>275</v>
      </c>
      <c r="H6681" s="55">
        <v>-101.8802</v>
      </c>
      <c r="I6681" s="55">
        <v>-34.67015</v>
      </c>
      <c r="J6681" s="55">
        <v>-10.546110000000001</v>
      </c>
      <c r="K6681" s="55">
        <v>-9.0191199999999991</v>
      </c>
      <c r="L6681" s="55">
        <v>-4.1096820000000003</v>
      </c>
      <c r="M6681" s="55">
        <v>-1.184809</v>
      </c>
      <c r="N6681" s="55">
        <v>-1.4822439999999999</v>
      </c>
    </row>
    <row r="6682" spans="1:14" hidden="1" x14ac:dyDescent="0.35">
      <c r="A6682" s="52" t="s">
        <v>693</v>
      </c>
      <c r="B6682" s="52" t="s">
        <v>37</v>
      </c>
      <c r="C6682" s="52" t="s">
        <v>63</v>
      </c>
      <c r="D6682" s="52" t="s">
        <v>63</v>
      </c>
      <c r="E6682" s="52" t="s">
        <v>610</v>
      </c>
      <c r="F6682" s="52" t="s">
        <v>26</v>
      </c>
      <c r="G6682" s="55" t="s">
        <v>276</v>
      </c>
      <c r="H6682" s="55">
        <v>-3.713495</v>
      </c>
      <c r="I6682" s="55">
        <v>-2.7744620000000002</v>
      </c>
      <c r="J6682" s="55">
        <v>-0.7788448</v>
      </c>
      <c r="K6682" s="55">
        <v>-0.73549739999999997</v>
      </c>
      <c r="L6682" s="55">
        <v>-0.78540019999999999</v>
      </c>
      <c r="M6682" s="55">
        <v>-0.82373269999999998</v>
      </c>
      <c r="N6682" s="55">
        <v>-3.2877900000000002E-2</v>
      </c>
    </row>
    <row r="6683" spans="1:14" hidden="1" x14ac:dyDescent="0.35">
      <c r="A6683" s="52" t="s">
        <v>693</v>
      </c>
      <c r="B6683" s="52" t="s">
        <v>37</v>
      </c>
      <c r="C6683" s="52" t="s">
        <v>63</v>
      </c>
      <c r="D6683" s="52" t="s">
        <v>63</v>
      </c>
      <c r="E6683" s="52" t="s">
        <v>610</v>
      </c>
      <c r="F6683" s="52" t="s">
        <v>26</v>
      </c>
      <c r="G6683" s="55" t="s">
        <v>277</v>
      </c>
      <c r="H6683" s="55">
        <v>104.0385</v>
      </c>
      <c r="I6683" s="55">
        <v>32.351030000000002</v>
      </c>
      <c r="J6683" s="55">
        <v>10.667920000000001</v>
      </c>
      <c r="K6683" s="55">
        <v>5.8991049999999996</v>
      </c>
      <c r="L6683" s="55">
        <v>2.9428930000000002</v>
      </c>
      <c r="M6683" s="55">
        <v>0</v>
      </c>
      <c r="N6683" s="55">
        <v>0</v>
      </c>
    </row>
    <row r="6684" spans="1:14" hidden="1" x14ac:dyDescent="0.35">
      <c r="A6684" s="52" t="s">
        <v>693</v>
      </c>
      <c r="B6684" s="52" t="s">
        <v>37</v>
      </c>
      <c r="C6684" s="52" t="s">
        <v>63</v>
      </c>
      <c r="D6684" s="52" t="s">
        <v>63</v>
      </c>
      <c r="E6684" s="52" t="s">
        <v>610</v>
      </c>
      <c r="F6684" s="52" t="s">
        <v>26</v>
      </c>
      <c r="G6684" s="55" t="s">
        <v>278</v>
      </c>
      <c r="H6684" s="55">
        <v>4.6917410000000004</v>
      </c>
      <c r="I6684" s="55">
        <v>6.6489700000000003</v>
      </c>
      <c r="J6684" s="55">
        <v>5.7603530000000003</v>
      </c>
      <c r="K6684" s="55">
        <v>5.5300770000000004</v>
      </c>
      <c r="L6684" s="55">
        <v>2.1537440000000001</v>
      </c>
      <c r="M6684" s="55">
        <v>0.24480469999999999</v>
      </c>
      <c r="N6684" s="55">
        <v>0</v>
      </c>
    </row>
    <row r="6685" spans="1:14" hidden="1" x14ac:dyDescent="0.35">
      <c r="A6685" s="52" t="s">
        <v>693</v>
      </c>
      <c r="B6685" s="52" t="s">
        <v>37</v>
      </c>
      <c r="C6685" s="52" t="s">
        <v>63</v>
      </c>
      <c r="D6685" s="52" t="s">
        <v>63</v>
      </c>
      <c r="E6685" s="52" t="s">
        <v>610</v>
      </c>
      <c r="F6685" s="52" t="s">
        <v>26</v>
      </c>
      <c r="G6685" s="55" t="s">
        <v>279</v>
      </c>
      <c r="H6685" s="55">
        <v>36.294260000000001</v>
      </c>
      <c r="I6685" s="55">
        <v>44.293709999999997</v>
      </c>
      <c r="J6685" s="55">
        <v>48.82479</v>
      </c>
      <c r="K6685" s="55">
        <v>54.408929999999998</v>
      </c>
      <c r="L6685" s="55">
        <v>51.197719999999997</v>
      </c>
      <c r="M6685" s="55">
        <v>44.620010000000001</v>
      </c>
      <c r="N6685" s="55">
        <v>37.775500000000001</v>
      </c>
    </row>
    <row r="6686" spans="1:14" hidden="1" x14ac:dyDescent="0.35">
      <c r="A6686" s="52" t="s">
        <v>693</v>
      </c>
      <c r="B6686" s="52" t="s">
        <v>37</v>
      </c>
      <c r="C6686" s="52" t="s">
        <v>63</v>
      </c>
      <c r="D6686" s="52" t="s">
        <v>63</v>
      </c>
      <c r="E6686" s="52" t="s">
        <v>655</v>
      </c>
      <c r="F6686" s="52" t="s">
        <v>581</v>
      </c>
      <c r="G6686" s="55" t="s">
        <v>275</v>
      </c>
      <c r="H6686" s="55"/>
      <c r="I6686" s="55"/>
      <c r="J6686" s="55">
        <v>0</v>
      </c>
      <c r="K6686" s="55">
        <v>-2.6655519999999999</v>
      </c>
      <c r="L6686" s="55">
        <v>-3.0711379999999999</v>
      </c>
      <c r="M6686" s="55">
        <v>0.1147661</v>
      </c>
      <c r="N6686" s="55">
        <v>0.14033309999999999</v>
      </c>
    </row>
    <row r="6687" spans="1:14" hidden="1" x14ac:dyDescent="0.35">
      <c r="A6687" s="52" t="s">
        <v>693</v>
      </c>
      <c r="B6687" s="52" t="s">
        <v>37</v>
      </c>
      <c r="C6687" s="52" t="s">
        <v>63</v>
      </c>
      <c r="D6687" s="52" t="s">
        <v>63</v>
      </c>
      <c r="E6687" s="52" t="s">
        <v>655</v>
      </c>
      <c r="F6687" s="52" t="s">
        <v>581</v>
      </c>
      <c r="G6687" s="55" t="s">
        <v>276</v>
      </c>
      <c r="H6687" s="55"/>
      <c r="I6687" s="55"/>
      <c r="J6687" s="55"/>
      <c r="K6687" s="55">
        <v>0</v>
      </c>
      <c r="L6687" s="55"/>
      <c r="M6687" s="55">
        <v>0</v>
      </c>
      <c r="N6687" s="55">
        <v>-2.8889999999999997E-4</v>
      </c>
    </row>
    <row r="6688" spans="1:14" hidden="1" x14ac:dyDescent="0.35">
      <c r="A6688" s="52" t="s">
        <v>693</v>
      </c>
      <c r="B6688" s="52" t="s">
        <v>37</v>
      </c>
      <c r="C6688" s="52" t="s">
        <v>63</v>
      </c>
      <c r="D6688" s="52" t="s">
        <v>63</v>
      </c>
      <c r="E6688" s="52" t="s">
        <v>655</v>
      </c>
      <c r="F6688" s="52" t="s">
        <v>581</v>
      </c>
      <c r="G6688" s="55" t="s">
        <v>277</v>
      </c>
      <c r="H6688" s="55"/>
      <c r="I6688" s="55"/>
      <c r="J6688" s="55">
        <v>0</v>
      </c>
      <c r="K6688" s="55">
        <v>0.114382</v>
      </c>
      <c r="L6688" s="55">
        <v>0.37986189999999997</v>
      </c>
      <c r="M6688" s="55">
        <v>0</v>
      </c>
      <c r="N6688" s="55">
        <v>0</v>
      </c>
    </row>
    <row r="6689" spans="1:14" hidden="1" x14ac:dyDescent="0.35">
      <c r="A6689" s="52" t="s">
        <v>693</v>
      </c>
      <c r="B6689" s="52" t="s">
        <v>37</v>
      </c>
      <c r="C6689" s="52" t="s">
        <v>63</v>
      </c>
      <c r="D6689" s="52" t="s">
        <v>63</v>
      </c>
      <c r="E6689" s="52" t="s">
        <v>655</v>
      </c>
      <c r="F6689" s="52" t="s">
        <v>581</v>
      </c>
      <c r="G6689" s="55" t="s">
        <v>278</v>
      </c>
      <c r="H6689" s="55"/>
      <c r="I6689" s="55"/>
      <c r="J6689" s="55">
        <v>0</v>
      </c>
      <c r="K6689" s="55">
        <v>1.0001040000000001</v>
      </c>
      <c r="L6689" s="55">
        <v>2.1311450000000001</v>
      </c>
      <c r="M6689" s="55">
        <v>0</v>
      </c>
      <c r="N6689" s="55"/>
    </row>
    <row r="6690" spans="1:14" hidden="1" x14ac:dyDescent="0.35">
      <c r="A6690" s="52" t="s">
        <v>693</v>
      </c>
      <c r="B6690" s="52" t="s">
        <v>37</v>
      </c>
      <c r="C6690" s="52" t="s">
        <v>63</v>
      </c>
      <c r="D6690" s="52" t="s">
        <v>63</v>
      </c>
      <c r="E6690" s="52" t="s">
        <v>655</v>
      </c>
      <c r="F6690" s="52" t="s">
        <v>581</v>
      </c>
      <c r="G6690" s="55" t="s">
        <v>279</v>
      </c>
      <c r="H6690" s="55"/>
      <c r="I6690" s="55"/>
      <c r="J6690" s="55">
        <v>0</v>
      </c>
      <c r="K6690" s="55">
        <v>1.6225849999999999</v>
      </c>
      <c r="L6690" s="55">
        <v>1.793193</v>
      </c>
      <c r="M6690" s="55">
        <v>0.83493130000000004</v>
      </c>
      <c r="N6690" s="55">
        <v>0.47829949999999999</v>
      </c>
    </row>
    <row r="6691" spans="1:14" hidden="1" x14ac:dyDescent="0.35">
      <c r="A6691" s="52" t="s">
        <v>693</v>
      </c>
      <c r="B6691" s="52" t="s">
        <v>37</v>
      </c>
      <c r="C6691" s="52" t="s">
        <v>63</v>
      </c>
      <c r="D6691" s="52" t="s">
        <v>63</v>
      </c>
      <c r="E6691" s="52" t="s">
        <v>655</v>
      </c>
      <c r="F6691" s="52" t="s">
        <v>26</v>
      </c>
      <c r="G6691" s="55" t="s">
        <v>275</v>
      </c>
      <c r="H6691" s="55"/>
      <c r="I6691" s="55"/>
      <c r="J6691" s="55">
        <v>0</v>
      </c>
      <c r="K6691" s="55">
        <v>-0.21307870000000001</v>
      </c>
      <c r="L6691" s="55">
        <v>-0.15597220000000001</v>
      </c>
      <c r="M6691" s="55">
        <v>-4.7545200000000003E-2</v>
      </c>
      <c r="N6691" s="55">
        <v>-2.21587E-2</v>
      </c>
    </row>
    <row r="6692" spans="1:14" hidden="1" x14ac:dyDescent="0.35">
      <c r="A6692" s="52" t="s">
        <v>693</v>
      </c>
      <c r="B6692" s="52" t="s">
        <v>37</v>
      </c>
      <c r="C6692" s="52" t="s">
        <v>63</v>
      </c>
      <c r="D6692" s="52" t="s">
        <v>63</v>
      </c>
      <c r="E6692" s="52" t="s">
        <v>655</v>
      </c>
      <c r="F6692" s="52" t="s">
        <v>26</v>
      </c>
      <c r="G6692" s="55" t="s">
        <v>276</v>
      </c>
      <c r="H6692" s="55"/>
      <c r="I6692" s="55"/>
      <c r="J6692" s="55"/>
      <c r="K6692" s="55">
        <v>0</v>
      </c>
      <c r="L6692" s="55"/>
      <c r="M6692" s="55">
        <v>0</v>
      </c>
      <c r="N6692" s="55"/>
    </row>
    <row r="6693" spans="1:14" hidden="1" x14ac:dyDescent="0.35">
      <c r="A6693" s="52" t="s">
        <v>693</v>
      </c>
      <c r="B6693" s="52" t="s">
        <v>37</v>
      </c>
      <c r="C6693" s="52" t="s">
        <v>63</v>
      </c>
      <c r="D6693" s="52" t="s">
        <v>63</v>
      </c>
      <c r="E6693" s="52" t="s">
        <v>655</v>
      </c>
      <c r="F6693" s="52" t="s">
        <v>26</v>
      </c>
      <c r="G6693" s="55" t="s">
        <v>279</v>
      </c>
      <c r="H6693" s="55"/>
      <c r="I6693" s="55"/>
      <c r="J6693" s="55">
        <v>0</v>
      </c>
      <c r="K6693" s="55">
        <v>0.2198058</v>
      </c>
      <c r="L6693" s="55">
        <v>0.27141320000000002</v>
      </c>
      <c r="M6693" s="55">
        <v>0.13603219999999999</v>
      </c>
      <c r="N6693" s="55">
        <v>7.9718600000000001E-2</v>
      </c>
    </row>
    <row r="6694" spans="1:14" hidden="1" x14ac:dyDescent="0.35">
      <c r="A6694" s="52" t="s">
        <v>693</v>
      </c>
      <c r="B6694" s="52" t="s">
        <v>37</v>
      </c>
      <c r="C6694" s="52" t="s">
        <v>109</v>
      </c>
      <c r="D6694" s="52" t="s">
        <v>109</v>
      </c>
      <c r="E6694" s="52" t="s">
        <v>584</v>
      </c>
      <c r="F6694" s="52" t="s">
        <v>581</v>
      </c>
      <c r="G6694" s="55" t="s">
        <v>275</v>
      </c>
      <c r="H6694" s="55">
        <v>-0.39129589999999997</v>
      </c>
      <c r="I6694" s="55">
        <v>-0.46496530000000003</v>
      </c>
      <c r="J6694" s="55">
        <v>-0.48995640000000001</v>
      </c>
      <c r="K6694" s="55">
        <v>-0.54130270000000003</v>
      </c>
      <c r="L6694" s="55">
        <v>-0.55376340000000002</v>
      </c>
      <c r="M6694" s="55">
        <v>-2.3941779999999999E-2</v>
      </c>
      <c r="N6694" s="55">
        <v>1.5040400000000001E-3</v>
      </c>
    </row>
    <row r="6695" spans="1:14" hidden="1" x14ac:dyDescent="0.35">
      <c r="A6695" s="52" t="s">
        <v>693</v>
      </c>
      <c r="B6695" s="52" t="s">
        <v>37</v>
      </c>
      <c r="C6695" s="52" t="s">
        <v>109</v>
      </c>
      <c r="D6695" s="52" t="s">
        <v>109</v>
      </c>
      <c r="E6695" s="52" t="s">
        <v>584</v>
      </c>
      <c r="F6695" s="52" t="s">
        <v>581</v>
      </c>
      <c r="G6695" s="55" t="s">
        <v>276</v>
      </c>
      <c r="H6695" s="55">
        <v>-0.1111581</v>
      </c>
      <c r="I6695" s="55">
        <v>-0.14938870000000001</v>
      </c>
      <c r="J6695" s="55">
        <v>-0.13504289999999999</v>
      </c>
      <c r="K6695" s="55">
        <v>-0.1493352</v>
      </c>
      <c r="L6695" s="55">
        <v>-0.14996329999999999</v>
      </c>
      <c r="M6695" s="55">
        <v>-7.6962819999999996E-3</v>
      </c>
      <c r="N6695" s="55">
        <v>3.9988000000000003E-4</v>
      </c>
    </row>
    <row r="6696" spans="1:14" hidden="1" x14ac:dyDescent="0.35">
      <c r="A6696" s="52" t="s">
        <v>693</v>
      </c>
      <c r="B6696" s="52" t="s">
        <v>37</v>
      </c>
      <c r="C6696" s="52" t="s">
        <v>109</v>
      </c>
      <c r="D6696" s="52" t="s">
        <v>109</v>
      </c>
      <c r="E6696" s="52" t="s">
        <v>584</v>
      </c>
      <c r="F6696" s="52" t="s">
        <v>581</v>
      </c>
      <c r="G6696" s="55" t="s">
        <v>277</v>
      </c>
      <c r="H6696" s="55">
        <v>2.2289110000000001E-2</v>
      </c>
      <c r="I6696" s="55">
        <v>1.223281E-2</v>
      </c>
      <c r="J6696" s="55">
        <v>0</v>
      </c>
      <c r="K6696" s="55"/>
      <c r="L6696" s="55"/>
      <c r="M6696" s="55"/>
      <c r="N6696" s="55"/>
    </row>
    <row r="6697" spans="1:14" hidden="1" x14ac:dyDescent="0.35">
      <c r="A6697" s="52" t="s">
        <v>693</v>
      </c>
      <c r="B6697" s="52" t="s">
        <v>37</v>
      </c>
      <c r="C6697" s="52" t="s">
        <v>109</v>
      </c>
      <c r="D6697" s="52" t="s">
        <v>109</v>
      </c>
      <c r="E6697" s="52" t="s">
        <v>584</v>
      </c>
      <c r="F6697" s="52" t="s">
        <v>581</v>
      </c>
      <c r="G6697" s="55" t="s">
        <v>279</v>
      </c>
      <c r="H6697" s="55">
        <v>0.86066679999999995</v>
      </c>
      <c r="I6697" s="55">
        <v>0.78174100000000002</v>
      </c>
      <c r="J6697" s="55">
        <v>0.79327769999999997</v>
      </c>
      <c r="K6697" s="55">
        <v>0.85024080000000002</v>
      </c>
      <c r="L6697" s="55">
        <v>0.85523819999999995</v>
      </c>
      <c r="M6697" s="55">
        <v>4.9182150000000001E-2</v>
      </c>
      <c r="N6697" s="55">
        <v>2.7372E-3</v>
      </c>
    </row>
    <row r="6698" spans="1:14" hidden="1" x14ac:dyDescent="0.35">
      <c r="A6698" s="52" t="s">
        <v>693</v>
      </c>
      <c r="B6698" s="52" t="s">
        <v>37</v>
      </c>
      <c r="C6698" s="52" t="s">
        <v>109</v>
      </c>
      <c r="D6698" s="52" t="s">
        <v>109</v>
      </c>
      <c r="E6698" s="52" t="s">
        <v>584</v>
      </c>
      <c r="F6698" s="52" t="s">
        <v>26</v>
      </c>
      <c r="G6698" s="55" t="s">
        <v>275</v>
      </c>
      <c r="H6698" s="55">
        <v>-0.5590889</v>
      </c>
      <c r="I6698" s="55">
        <v>-0.46395730000000002</v>
      </c>
      <c r="J6698" s="55">
        <v>-0.37708570000000002</v>
      </c>
      <c r="K6698" s="55">
        <v>-0.3648421</v>
      </c>
      <c r="L6698" s="55">
        <v>-0.31309880000000001</v>
      </c>
      <c r="M6698" s="55">
        <v>-0.1051812</v>
      </c>
      <c r="N6698" s="55">
        <v>5.2542559999999997E-3</v>
      </c>
    </row>
    <row r="6699" spans="1:14" hidden="1" x14ac:dyDescent="0.35">
      <c r="A6699" s="52" t="s">
        <v>693</v>
      </c>
      <c r="B6699" s="52" t="s">
        <v>37</v>
      </c>
      <c r="C6699" s="52" t="s">
        <v>109</v>
      </c>
      <c r="D6699" s="52" t="s">
        <v>109</v>
      </c>
      <c r="E6699" s="52" t="s">
        <v>584</v>
      </c>
      <c r="F6699" s="52" t="s">
        <v>26</v>
      </c>
      <c r="G6699" s="55" t="s">
        <v>276</v>
      </c>
      <c r="H6699" s="55">
        <v>-0.14317550000000001</v>
      </c>
      <c r="I6699" s="55">
        <v>-0.124403</v>
      </c>
      <c r="J6699" s="55">
        <v>-0.10672810000000001</v>
      </c>
      <c r="K6699" s="55">
        <v>-9.9029179999999994E-2</v>
      </c>
      <c r="L6699" s="55">
        <v>-9.4006339999999994E-2</v>
      </c>
      <c r="M6699" s="55">
        <v>-3.7374560000000001E-2</v>
      </c>
      <c r="N6699" s="55">
        <v>-2.9198560000000002E-3</v>
      </c>
    </row>
    <row r="6700" spans="1:14" hidden="1" x14ac:dyDescent="0.35">
      <c r="A6700" s="52" t="s">
        <v>693</v>
      </c>
      <c r="B6700" s="52" t="s">
        <v>37</v>
      </c>
      <c r="C6700" s="52" t="s">
        <v>109</v>
      </c>
      <c r="D6700" s="52" t="s">
        <v>109</v>
      </c>
      <c r="E6700" s="52" t="s">
        <v>584</v>
      </c>
      <c r="F6700" s="52" t="s">
        <v>26</v>
      </c>
      <c r="G6700" s="55" t="s">
        <v>277</v>
      </c>
      <c r="H6700" s="55">
        <v>0.1035814</v>
      </c>
      <c r="I6700" s="55">
        <v>8.3808930000000004E-2</v>
      </c>
      <c r="J6700" s="55">
        <v>5.0804830000000002E-2</v>
      </c>
      <c r="K6700" s="55">
        <v>3.5913569999999999E-2</v>
      </c>
      <c r="L6700" s="55">
        <v>2.8393160000000001E-2</v>
      </c>
      <c r="M6700" s="55">
        <v>1.6564800000000001E-2</v>
      </c>
      <c r="N6700" s="55">
        <v>1.816736E-2</v>
      </c>
    </row>
    <row r="6701" spans="1:14" hidden="1" x14ac:dyDescent="0.35">
      <c r="A6701" s="52" t="s">
        <v>693</v>
      </c>
      <c r="B6701" s="52" t="s">
        <v>37</v>
      </c>
      <c r="C6701" s="52" t="s">
        <v>109</v>
      </c>
      <c r="D6701" s="52" t="s">
        <v>109</v>
      </c>
      <c r="E6701" s="52" t="s">
        <v>584</v>
      </c>
      <c r="F6701" s="52" t="s">
        <v>26</v>
      </c>
      <c r="G6701" s="55" t="s">
        <v>279</v>
      </c>
      <c r="H6701" s="55">
        <v>1.164409</v>
      </c>
      <c r="I6701" s="55">
        <v>0.9181724</v>
      </c>
      <c r="J6701" s="55">
        <v>0.81294630000000001</v>
      </c>
      <c r="K6701" s="55">
        <v>0.76473279999999999</v>
      </c>
      <c r="L6701" s="55">
        <v>0.67921430000000005</v>
      </c>
      <c r="M6701" s="55">
        <v>0.26120090000000001</v>
      </c>
      <c r="N6701" s="55">
        <v>2.3138800000000001E-2</v>
      </c>
    </row>
    <row r="6702" spans="1:14" hidden="1" x14ac:dyDescent="0.35">
      <c r="A6702" s="52" t="s">
        <v>748</v>
      </c>
      <c r="B6702" s="52" t="s">
        <v>74</v>
      </c>
      <c r="C6702" s="52" t="s">
        <v>71</v>
      </c>
      <c r="D6702" s="52" t="s">
        <v>77</v>
      </c>
      <c r="E6702" s="52" t="s">
        <v>584</v>
      </c>
      <c r="F6702" s="52" t="s">
        <v>581</v>
      </c>
      <c r="G6702" s="55" t="s">
        <v>275</v>
      </c>
      <c r="H6702" s="55">
        <v>70.433139999999995</v>
      </c>
      <c r="I6702" s="55">
        <v>-12.8942</v>
      </c>
      <c r="J6702" s="55">
        <v>-1.172293</v>
      </c>
      <c r="K6702" s="55">
        <v>-13.179069999999999</v>
      </c>
      <c r="L6702" s="55">
        <v>-17.615819999999999</v>
      </c>
      <c r="M6702" s="55">
        <v>3.258772</v>
      </c>
      <c r="N6702" s="55">
        <v>-40.255549999999999</v>
      </c>
    </row>
    <row r="6703" spans="1:14" hidden="1" x14ac:dyDescent="0.35">
      <c r="A6703" s="52" t="s">
        <v>748</v>
      </c>
      <c r="B6703" s="52" t="s">
        <v>74</v>
      </c>
      <c r="C6703" s="52" t="s">
        <v>71</v>
      </c>
      <c r="D6703" s="52" t="s">
        <v>77</v>
      </c>
      <c r="E6703" s="52" t="s">
        <v>584</v>
      </c>
      <c r="F6703" s="52" t="s">
        <v>581</v>
      </c>
      <c r="G6703" s="55" t="s">
        <v>276</v>
      </c>
      <c r="H6703" s="55">
        <v>37.94753</v>
      </c>
      <c r="I6703" s="55">
        <v>-12.450889999999999</v>
      </c>
      <c r="J6703" s="55">
        <v>-3.8309039999999999</v>
      </c>
      <c r="K6703" s="55">
        <v>-12.581</v>
      </c>
      <c r="L6703" s="55">
        <v>-15.51258</v>
      </c>
      <c r="M6703" s="55">
        <v>2.0879370000000002</v>
      </c>
      <c r="N6703" s="55">
        <v>-26.903849999999998</v>
      </c>
    </row>
    <row r="6704" spans="1:14" hidden="1" x14ac:dyDescent="0.35">
      <c r="A6704" s="52" t="s">
        <v>748</v>
      </c>
      <c r="B6704" s="52" t="s">
        <v>74</v>
      </c>
      <c r="C6704" s="52" t="s">
        <v>71</v>
      </c>
      <c r="D6704" s="52" t="s">
        <v>77</v>
      </c>
      <c r="E6704" s="52" t="s">
        <v>584</v>
      </c>
      <c r="F6704" s="52" t="s">
        <v>581</v>
      </c>
      <c r="G6704" s="55" t="s">
        <v>277</v>
      </c>
      <c r="H6704" s="55">
        <v>86.475909999999999</v>
      </c>
      <c r="I6704" s="55">
        <v>37.305540000000001</v>
      </c>
      <c r="J6704" s="55">
        <v>28.632470000000001</v>
      </c>
      <c r="K6704" s="55">
        <v>35.79007</v>
      </c>
      <c r="L6704" s="55">
        <v>35.537909999999997</v>
      </c>
      <c r="M6704" s="55">
        <v>0</v>
      </c>
      <c r="N6704" s="55">
        <v>0</v>
      </c>
    </row>
    <row r="6705" spans="1:14" hidden="1" x14ac:dyDescent="0.35">
      <c r="A6705" s="52" t="s">
        <v>748</v>
      </c>
      <c r="B6705" s="52" t="s">
        <v>74</v>
      </c>
      <c r="C6705" s="52" t="s">
        <v>71</v>
      </c>
      <c r="D6705" s="52" t="s">
        <v>77</v>
      </c>
      <c r="E6705" s="52" t="s">
        <v>584</v>
      </c>
      <c r="F6705" s="52" t="s">
        <v>581</v>
      </c>
      <c r="G6705" s="55" t="s">
        <v>278</v>
      </c>
      <c r="H6705" s="55">
        <v>7.9223290000000002E-2</v>
      </c>
      <c r="I6705" s="55">
        <v>0.10817880000000001</v>
      </c>
      <c r="J6705" s="55">
        <v>6.6824770000000006E-2</v>
      </c>
      <c r="K6705" s="55">
        <v>6.6824770000000006E-2</v>
      </c>
      <c r="L6705" s="55">
        <v>6.6824770000000006E-2</v>
      </c>
      <c r="M6705" s="55">
        <v>6.6824770000000006E-2</v>
      </c>
      <c r="N6705" s="55">
        <v>6.6824770000000006E-2</v>
      </c>
    </row>
    <row r="6706" spans="1:14" hidden="1" x14ac:dyDescent="0.35">
      <c r="A6706" s="52" t="s">
        <v>748</v>
      </c>
      <c r="B6706" s="52" t="s">
        <v>74</v>
      </c>
      <c r="C6706" s="52" t="s">
        <v>71</v>
      </c>
      <c r="D6706" s="52" t="s">
        <v>77</v>
      </c>
      <c r="E6706" s="52" t="s">
        <v>584</v>
      </c>
      <c r="F6706" s="52" t="s">
        <v>581</v>
      </c>
      <c r="G6706" s="55" t="s">
        <v>279</v>
      </c>
      <c r="H6706" s="55">
        <v>373.87220000000002</v>
      </c>
      <c r="I6706" s="55">
        <v>176.5446</v>
      </c>
      <c r="J6706" s="55">
        <v>169.428</v>
      </c>
      <c r="K6706" s="55">
        <v>191.0241</v>
      </c>
      <c r="L6706" s="55">
        <v>212.40299999999999</v>
      </c>
      <c r="M6706" s="55">
        <v>201.06379999999999</v>
      </c>
      <c r="N6706" s="55">
        <v>248.04429999999999</v>
      </c>
    </row>
    <row r="6707" spans="1:14" hidden="1" x14ac:dyDescent="0.35">
      <c r="A6707" s="52" t="s">
        <v>748</v>
      </c>
      <c r="B6707" s="52" t="s">
        <v>74</v>
      </c>
      <c r="C6707" s="52" t="s">
        <v>71</v>
      </c>
      <c r="D6707" s="52" t="s">
        <v>77</v>
      </c>
      <c r="E6707" s="52" t="s">
        <v>584</v>
      </c>
      <c r="F6707" s="52" t="s">
        <v>26</v>
      </c>
      <c r="G6707" s="55" t="s">
        <v>275</v>
      </c>
      <c r="H6707" s="55">
        <v>18.783169999999998</v>
      </c>
      <c r="I6707" s="55">
        <v>16.200679999999998</v>
      </c>
      <c r="J6707" s="55">
        <v>20.486239999999999</v>
      </c>
      <c r="K6707" s="55">
        <v>21.21698</v>
      </c>
      <c r="L6707" s="55">
        <v>23.202919999999999</v>
      </c>
      <c r="M6707" s="55">
        <v>21.065860000000001</v>
      </c>
      <c r="N6707" s="55">
        <v>17.530349999999999</v>
      </c>
    </row>
    <row r="6708" spans="1:14" hidden="1" x14ac:dyDescent="0.35">
      <c r="A6708" s="52" t="s">
        <v>748</v>
      </c>
      <c r="B6708" s="52" t="s">
        <v>74</v>
      </c>
      <c r="C6708" s="52" t="s">
        <v>71</v>
      </c>
      <c r="D6708" s="52" t="s">
        <v>77</v>
      </c>
      <c r="E6708" s="52" t="s">
        <v>584</v>
      </c>
      <c r="F6708" s="52" t="s">
        <v>26</v>
      </c>
      <c r="G6708" s="55" t="s">
        <v>276</v>
      </c>
      <c r="H6708" s="55">
        <v>12.5221</v>
      </c>
      <c r="I6708" s="55">
        <v>10.800459999999999</v>
      </c>
      <c r="J6708" s="55">
        <v>13.657500000000001</v>
      </c>
      <c r="K6708" s="55">
        <v>14.14466</v>
      </c>
      <c r="L6708" s="55">
        <v>15.468629999999999</v>
      </c>
      <c r="M6708" s="55">
        <v>14.04392</v>
      </c>
      <c r="N6708" s="55">
        <v>11.6869</v>
      </c>
    </row>
    <row r="6709" spans="1:14" hidden="1" x14ac:dyDescent="0.35">
      <c r="A6709" s="52" t="s">
        <v>748</v>
      </c>
      <c r="B6709" s="52" t="s">
        <v>74</v>
      </c>
      <c r="C6709" s="52" t="s">
        <v>71</v>
      </c>
      <c r="D6709" s="52" t="s">
        <v>77</v>
      </c>
      <c r="E6709" s="52" t="s">
        <v>584</v>
      </c>
      <c r="F6709" s="52" t="s">
        <v>26</v>
      </c>
      <c r="G6709" s="55" t="s">
        <v>277</v>
      </c>
      <c r="H6709" s="55"/>
      <c r="I6709" s="55"/>
      <c r="J6709" s="55"/>
      <c r="K6709" s="55">
        <v>0</v>
      </c>
      <c r="L6709" s="55">
        <v>0</v>
      </c>
      <c r="M6709" s="55">
        <v>0</v>
      </c>
      <c r="N6709" s="55">
        <v>0</v>
      </c>
    </row>
    <row r="6710" spans="1:14" hidden="1" x14ac:dyDescent="0.35">
      <c r="A6710" s="52" t="s">
        <v>748</v>
      </c>
      <c r="B6710" s="52" t="s">
        <v>74</v>
      </c>
      <c r="C6710" s="52" t="s">
        <v>71</v>
      </c>
      <c r="D6710" s="52" t="s">
        <v>77</v>
      </c>
      <c r="E6710" s="52" t="s">
        <v>584</v>
      </c>
      <c r="F6710" s="52" t="s">
        <v>26</v>
      </c>
      <c r="G6710" s="55" t="s">
        <v>279</v>
      </c>
      <c r="H6710" s="55">
        <v>16.470549999999999</v>
      </c>
      <c r="I6710" s="55">
        <v>14.367330000000001</v>
      </c>
      <c r="J6710" s="55">
        <v>15.896420000000001</v>
      </c>
      <c r="K6710" s="55">
        <v>18.127289999999999</v>
      </c>
      <c r="L6710" s="55">
        <v>19.829260000000001</v>
      </c>
      <c r="M6710" s="55">
        <v>17.9895</v>
      </c>
      <c r="N6710" s="55">
        <v>14.938750000000001</v>
      </c>
    </row>
    <row r="6711" spans="1:14" hidden="1" x14ac:dyDescent="0.35">
      <c r="A6711" s="52" t="s">
        <v>748</v>
      </c>
      <c r="B6711" s="52" t="s">
        <v>74</v>
      </c>
      <c r="C6711" s="52" t="s">
        <v>71</v>
      </c>
      <c r="D6711" s="52" t="s">
        <v>76</v>
      </c>
      <c r="E6711" s="52" t="s">
        <v>584</v>
      </c>
      <c r="F6711" s="52" t="s">
        <v>581</v>
      </c>
      <c r="G6711" s="55" t="s">
        <v>275</v>
      </c>
      <c r="H6711" s="55">
        <v>0.2829296</v>
      </c>
      <c r="I6711" s="55">
        <v>-2.3287339999999999</v>
      </c>
      <c r="J6711" s="55">
        <v>-9.3193310000000001E-2</v>
      </c>
      <c r="K6711" s="55">
        <v>-0.20263349999999999</v>
      </c>
      <c r="L6711" s="55">
        <v>0</v>
      </c>
      <c r="M6711" s="55">
        <v>0</v>
      </c>
      <c r="N6711" s="55">
        <v>0</v>
      </c>
    </row>
    <row r="6712" spans="1:14" hidden="1" x14ac:dyDescent="0.35">
      <c r="A6712" s="52" t="s">
        <v>748</v>
      </c>
      <c r="B6712" s="52" t="s">
        <v>74</v>
      </c>
      <c r="C6712" s="52" t="s">
        <v>71</v>
      </c>
      <c r="D6712" s="52" t="s">
        <v>76</v>
      </c>
      <c r="E6712" s="52" t="s">
        <v>584</v>
      </c>
      <c r="F6712" s="52" t="s">
        <v>581</v>
      </c>
      <c r="G6712" s="55" t="s">
        <v>276</v>
      </c>
      <c r="H6712" s="55">
        <v>0.17064989999999999</v>
      </c>
      <c r="I6712" s="55">
        <v>-1.5524880000000001</v>
      </c>
      <c r="J6712" s="55">
        <v>-0.14027700000000001</v>
      </c>
      <c r="K6712" s="55">
        <v>-0.21323600000000001</v>
      </c>
      <c r="L6712" s="55">
        <v>-7.8147019999999998E-2</v>
      </c>
      <c r="M6712" s="55">
        <v>-7.8146030000000005E-2</v>
      </c>
      <c r="N6712" s="55">
        <v>-1.026518</v>
      </c>
    </row>
    <row r="6713" spans="1:14" hidden="1" x14ac:dyDescent="0.35">
      <c r="A6713" s="52" t="s">
        <v>748</v>
      </c>
      <c r="B6713" s="52" t="s">
        <v>74</v>
      </c>
      <c r="C6713" s="52" t="s">
        <v>71</v>
      </c>
      <c r="D6713" s="52" t="s">
        <v>76</v>
      </c>
      <c r="E6713" s="52" t="s">
        <v>584</v>
      </c>
      <c r="F6713" s="52" t="s">
        <v>581</v>
      </c>
      <c r="G6713" s="55" t="s">
        <v>277</v>
      </c>
      <c r="H6713" s="55">
        <v>0.17251920000000001</v>
      </c>
      <c r="I6713" s="55"/>
      <c r="J6713" s="55"/>
      <c r="K6713" s="55"/>
      <c r="L6713" s="55"/>
      <c r="M6713" s="55">
        <v>0</v>
      </c>
      <c r="N6713" s="55"/>
    </row>
    <row r="6714" spans="1:14" hidden="1" x14ac:dyDescent="0.35">
      <c r="A6714" s="52" t="s">
        <v>748</v>
      </c>
      <c r="B6714" s="52" t="s">
        <v>74</v>
      </c>
      <c r="C6714" s="52" t="s">
        <v>71</v>
      </c>
      <c r="D6714" s="52" t="s">
        <v>76</v>
      </c>
      <c r="E6714" s="52" t="s">
        <v>584</v>
      </c>
      <c r="F6714" s="52" t="s">
        <v>581</v>
      </c>
      <c r="G6714" s="55" t="s">
        <v>278</v>
      </c>
      <c r="H6714" s="55">
        <v>5.7228370000000001E-2</v>
      </c>
      <c r="I6714" s="55">
        <v>3.725409</v>
      </c>
      <c r="J6714" s="55">
        <v>7.814662E-2</v>
      </c>
      <c r="K6714" s="55">
        <v>7.814662E-2</v>
      </c>
      <c r="L6714" s="55">
        <v>7.814662E-2</v>
      </c>
      <c r="M6714" s="55">
        <v>7.814662E-2</v>
      </c>
      <c r="N6714" s="55">
        <v>1.026519</v>
      </c>
    </row>
    <row r="6715" spans="1:14" hidden="1" x14ac:dyDescent="0.35">
      <c r="A6715" s="52" t="s">
        <v>748</v>
      </c>
      <c r="B6715" s="52" t="s">
        <v>74</v>
      </c>
      <c r="C6715" s="52" t="s">
        <v>71</v>
      </c>
      <c r="D6715" s="52" t="s">
        <v>76</v>
      </c>
      <c r="E6715" s="52" t="s">
        <v>584</v>
      </c>
      <c r="F6715" s="52" t="s">
        <v>581</v>
      </c>
      <c r="G6715" s="55" t="s">
        <v>279</v>
      </c>
      <c r="H6715" s="55">
        <v>1.1855450000000001</v>
      </c>
      <c r="I6715" s="55">
        <v>1.0033240000000001</v>
      </c>
      <c r="J6715" s="55">
        <v>1.016642</v>
      </c>
      <c r="K6715" s="55">
        <v>0.95970480000000002</v>
      </c>
      <c r="L6715" s="55"/>
      <c r="M6715" s="55"/>
      <c r="N6715" s="55">
        <v>0</v>
      </c>
    </row>
    <row r="6716" spans="1:14" hidden="1" x14ac:dyDescent="0.35">
      <c r="A6716" s="52" t="s">
        <v>748</v>
      </c>
      <c r="B6716" s="52" t="s">
        <v>74</v>
      </c>
      <c r="C6716" s="52" t="s">
        <v>71</v>
      </c>
      <c r="D6716" s="52" t="s">
        <v>140</v>
      </c>
      <c r="E6716" s="52" t="s">
        <v>584</v>
      </c>
      <c r="F6716" s="52" t="s">
        <v>581</v>
      </c>
      <c r="G6716" s="55" t="s">
        <v>275</v>
      </c>
      <c r="H6716" s="55">
        <v>-6.7496589999999999E-3</v>
      </c>
      <c r="I6716" s="55">
        <v>-9.2167440000000007E-3</v>
      </c>
      <c r="J6716" s="55">
        <v>0</v>
      </c>
      <c r="K6716" s="55">
        <v>0</v>
      </c>
      <c r="L6716" s="55">
        <v>0</v>
      </c>
      <c r="M6716" s="55">
        <v>0</v>
      </c>
      <c r="N6716" s="55">
        <v>0</v>
      </c>
    </row>
    <row r="6717" spans="1:14" hidden="1" x14ac:dyDescent="0.35">
      <c r="A6717" s="52" t="s">
        <v>748</v>
      </c>
      <c r="B6717" s="52" t="s">
        <v>74</v>
      </c>
      <c r="C6717" s="52" t="s">
        <v>71</v>
      </c>
      <c r="D6717" s="52" t="s">
        <v>140</v>
      </c>
      <c r="E6717" s="52" t="s">
        <v>584</v>
      </c>
      <c r="F6717" s="52" t="s">
        <v>581</v>
      </c>
      <c r="G6717" s="55" t="s">
        <v>276</v>
      </c>
      <c r="H6717" s="55">
        <v>-4.4995499999999997E-3</v>
      </c>
      <c r="I6717" s="55">
        <v>-6.1447189999999999E-3</v>
      </c>
      <c r="J6717" s="55">
        <v>-1.5361130000000001E-2</v>
      </c>
      <c r="K6717" s="55">
        <v>-1.5360800000000001E-2</v>
      </c>
      <c r="L6717" s="55">
        <v>-1.536146E-2</v>
      </c>
      <c r="M6717" s="55">
        <v>-1.5360459999999999E-2</v>
      </c>
      <c r="N6717" s="55">
        <v>-5.9672040000000003E-2</v>
      </c>
    </row>
    <row r="6718" spans="1:14" hidden="1" x14ac:dyDescent="0.35">
      <c r="A6718" s="52" t="s">
        <v>748</v>
      </c>
      <c r="B6718" s="52" t="s">
        <v>74</v>
      </c>
      <c r="C6718" s="52" t="s">
        <v>71</v>
      </c>
      <c r="D6718" s="52" t="s">
        <v>140</v>
      </c>
      <c r="E6718" s="52" t="s">
        <v>584</v>
      </c>
      <c r="F6718" s="52" t="s">
        <v>581</v>
      </c>
      <c r="G6718" s="55" t="s">
        <v>277</v>
      </c>
      <c r="H6718" s="55"/>
      <c r="I6718" s="55"/>
      <c r="J6718" s="55"/>
      <c r="K6718" s="55"/>
      <c r="L6718" s="55"/>
      <c r="M6718" s="55">
        <v>0</v>
      </c>
      <c r="N6718" s="55">
        <v>3.6193049999999997E-2</v>
      </c>
    </row>
    <row r="6719" spans="1:14" hidden="1" x14ac:dyDescent="0.35">
      <c r="A6719" s="52" t="s">
        <v>748</v>
      </c>
      <c r="B6719" s="52" t="s">
        <v>74</v>
      </c>
      <c r="C6719" s="52" t="s">
        <v>71</v>
      </c>
      <c r="D6719" s="52" t="s">
        <v>140</v>
      </c>
      <c r="E6719" s="52" t="s">
        <v>584</v>
      </c>
      <c r="F6719" s="52" t="s">
        <v>581</v>
      </c>
      <c r="G6719" s="55" t="s">
        <v>278</v>
      </c>
      <c r="H6719" s="55">
        <v>1.1249210000000001E-2</v>
      </c>
      <c r="I6719" s="55">
        <v>1.5361130000000001E-2</v>
      </c>
      <c r="J6719" s="55">
        <v>1.5361130000000001E-2</v>
      </c>
      <c r="K6719" s="55">
        <v>1.5361130000000001E-2</v>
      </c>
      <c r="L6719" s="55">
        <v>1.5361130000000001E-2</v>
      </c>
      <c r="M6719" s="55">
        <v>1.5361130000000001E-2</v>
      </c>
      <c r="N6719" s="55">
        <v>2.3478990000000002E-2</v>
      </c>
    </row>
    <row r="6720" spans="1:14" hidden="1" x14ac:dyDescent="0.35">
      <c r="A6720" s="52" t="s">
        <v>748</v>
      </c>
      <c r="B6720" s="52" t="s">
        <v>74</v>
      </c>
      <c r="C6720" s="52" t="s">
        <v>71</v>
      </c>
      <c r="D6720" s="52" t="s">
        <v>293</v>
      </c>
      <c r="E6720" s="52" t="s">
        <v>584</v>
      </c>
      <c r="F6720" s="52" t="s">
        <v>581</v>
      </c>
      <c r="G6720" s="55" t="s">
        <v>275</v>
      </c>
      <c r="H6720" s="55">
        <v>-1.5039E-2</v>
      </c>
      <c r="I6720" s="55">
        <v>-2.0535000000000001E-2</v>
      </c>
      <c r="J6720" s="55">
        <v>0</v>
      </c>
      <c r="K6720" s="55">
        <v>-0.09</v>
      </c>
      <c r="L6720" s="55">
        <v>-0.09</v>
      </c>
      <c r="M6720" s="55">
        <v>0</v>
      </c>
      <c r="N6720" s="55">
        <v>-0.9</v>
      </c>
    </row>
    <row r="6721" spans="1:14" hidden="1" x14ac:dyDescent="0.35">
      <c r="A6721" s="52" t="s">
        <v>748</v>
      </c>
      <c r="B6721" s="52" t="s">
        <v>74</v>
      </c>
      <c r="C6721" s="52" t="s">
        <v>71</v>
      </c>
      <c r="D6721" s="52" t="s">
        <v>293</v>
      </c>
      <c r="E6721" s="52" t="s">
        <v>584</v>
      </c>
      <c r="F6721" s="52" t="s">
        <v>581</v>
      </c>
      <c r="G6721" s="55" t="s">
        <v>276</v>
      </c>
      <c r="H6721" s="55">
        <v>-1.0024999999999999E-2</v>
      </c>
      <c r="I6721" s="55">
        <v>-1.3689E-2</v>
      </c>
      <c r="J6721" s="55">
        <v>0</v>
      </c>
      <c r="K6721" s="55">
        <v>-0.06</v>
      </c>
      <c r="L6721" s="55">
        <v>-0.06</v>
      </c>
      <c r="M6721" s="55">
        <v>0</v>
      </c>
      <c r="N6721" s="55">
        <v>-0.6</v>
      </c>
    </row>
    <row r="6722" spans="1:14" hidden="1" x14ac:dyDescent="0.35">
      <c r="A6722" s="52" t="s">
        <v>748</v>
      </c>
      <c r="B6722" s="52" t="s">
        <v>74</v>
      </c>
      <c r="C6722" s="52" t="s">
        <v>71</v>
      </c>
      <c r="D6722" s="52" t="s">
        <v>293</v>
      </c>
      <c r="E6722" s="52" t="s">
        <v>584</v>
      </c>
      <c r="F6722" s="52" t="s">
        <v>581</v>
      </c>
      <c r="G6722" s="55" t="s">
        <v>277</v>
      </c>
      <c r="H6722" s="55"/>
      <c r="I6722" s="55"/>
      <c r="J6722" s="55">
        <v>0</v>
      </c>
      <c r="K6722" s="55">
        <v>0.15</v>
      </c>
      <c r="L6722" s="55">
        <v>0.15</v>
      </c>
      <c r="M6722" s="55">
        <v>0</v>
      </c>
      <c r="N6722" s="55">
        <v>1.5</v>
      </c>
    </row>
    <row r="6723" spans="1:14" hidden="1" x14ac:dyDescent="0.35">
      <c r="A6723" s="52" t="s">
        <v>748</v>
      </c>
      <c r="B6723" s="52" t="s">
        <v>74</v>
      </c>
      <c r="C6723" s="52" t="s">
        <v>71</v>
      </c>
      <c r="D6723" s="52" t="s">
        <v>293</v>
      </c>
      <c r="E6723" s="52" t="s">
        <v>584</v>
      </c>
      <c r="F6723" s="52" t="s">
        <v>581</v>
      </c>
      <c r="G6723" s="55" t="s">
        <v>278</v>
      </c>
      <c r="H6723" s="55">
        <v>2.5063999999999999E-2</v>
      </c>
      <c r="I6723" s="55">
        <v>3.4223999999999997E-2</v>
      </c>
      <c r="J6723" s="55">
        <v>0</v>
      </c>
      <c r="K6723" s="55">
        <v>0</v>
      </c>
      <c r="L6723" s="55">
        <v>0</v>
      </c>
      <c r="M6723" s="55">
        <v>0</v>
      </c>
      <c r="N6723" s="55">
        <v>0</v>
      </c>
    </row>
    <row r="6724" spans="1:14" hidden="1" x14ac:dyDescent="0.35">
      <c r="A6724" s="52" t="s">
        <v>748</v>
      </c>
      <c r="B6724" s="52" t="s">
        <v>74</v>
      </c>
      <c r="C6724" s="52" t="s">
        <v>71</v>
      </c>
      <c r="D6724" s="52" t="s">
        <v>293</v>
      </c>
      <c r="E6724" s="52" t="s">
        <v>584</v>
      </c>
      <c r="F6724" s="52" t="s">
        <v>26</v>
      </c>
      <c r="G6724" s="55" t="s">
        <v>275</v>
      </c>
      <c r="H6724" s="55"/>
      <c r="I6724" s="55"/>
      <c r="J6724" s="55"/>
      <c r="K6724" s="55"/>
      <c r="L6724" s="55"/>
      <c r="M6724" s="55"/>
      <c r="N6724" s="55">
        <v>0</v>
      </c>
    </row>
    <row r="6725" spans="1:14" hidden="1" x14ac:dyDescent="0.35">
      <c r="A6725" s="52" t="s">
        <v>748</v>
      </c>
      <c r="B6725" s="52" t="s">
        <v>74</v>
      </c>
      <c r="C6725" s="52" t="s">
        <v>71</v>
      </c>
      <c r="D6725" s="52" t="s">
        <v>293</v>
      </c>
      <c r="E6725" s="52" t="s">
        <v>584</v>
      </c>
      <c r="F6725" s="52" t="s">
        <v>26</v>
      </c>
      <c r="G6725" s="55" t="s">
        <v>276</v>
      </c>
      <c r="H6725" s="55"/>
      <c r="I6725" s="55"/>
      <c r="J6725" s="55"/>
      <c r="K6725" s="55"/>
      <c r="L6725" s="55"/>
      <c r="M6725" s="55"/>
      <c r="N6725" s="55">
        <v>0</v>
      </c>
    </row>
    <row r="6726" spans="1:14" hidden="1" x14ac:dyDescent="0.35">
      <c r="A6726" s="52" t="s">
        <v>748</v>
      </c>
      <c r="B6726" s="52" t="s">
        <v>74</v>
      </c>
      <c r="C6726" s="52" t="s">
        <v>71</v>
      </c>
      <c r="D6726" s="52" t="s">
        <v>293</v>
      </c>
      <c r="E6726" s="52" t="s">
        <v>584</v>
      </c>
      <c r="F6726" s="52" t="s">
        <v>26</v>
      </c>
      <c r="G6726" s="55" t="s">
        <v>277</v>
      </c>
      <c r="H6726" s="55"/>
      <c r="I6726" s="55"/>
      <c r="J6726" s="55"/>
      <c r="K6726" s="55"/>
      <c r="L6726" s="55"/>
      <c r="M6726" s="55"/>
      <c r="N6726" s="55">
        <v>0</v>
      </c>
    </row>
    <row r="6727" spans="1:14" hidden="1" x14ac:dyDescent="0.35">
      <c r="A6727" s="52" t="s">
        <v>748</v>
      </c>
      <c r="B6727" s="52" t="s">
        <v>74</v>
      </c>
      <c r="C6727" s="52" t="s">
        <v>227</v>
      </c>
      <c r="D6727" s="52" t="s">
        <v>227</v>
      </c>
      <c r="E6727" s="52" t="s">
        <v>584</v>
      </c>
      <c r="F6727" s="52" t="s">
        <v>581</v>
      </c>
      <c r="G6727" s="55" t="s">
        <v>275</v>
      </c>
      <c r="H6727" s="55">
        <v>173.27770000000001</v>
      </c>
      <c r="I6727" s="55">
        <v>23.899640000000002</v>
      </c>
      <c r="J6727" s="55">
        <v>29.123249999999999</v>
      </c>
      <c r="K6727" s="55">
        <v>9.0458560000000006</v>
      </c>
      <c r="L6727" s="55">
        <v>-1.0911660000000001</v>
      </c>
      <c r="M6727" s="55">
        <v>-8.3190629999999999</v>
      </c>
      <c r="N6727" s="55">
        <v>-18.58127</v>
      </c>
    </row>
    <row r="6728" spans="1:14" hidden="1" x14ac:dyDescent="0.35">
      <c r="A6728" s="52" t="s">
        <v>748</v>
      </c>
      <c r="B6728" s="52" t="s">
        <v>74</v>
      </c>
      <c r="C6728" s="52" t="s">
        <v>227</v>
      </c>
      <c r="D6728" s="52" t="s">
        <v>227</v>
      </c>
      <c r="E6728" s="52" t="s">
        <v>584</v>
      </c>
      <c r="F6728" s="52" t="s">
        <v>581</v>
      </c>
      <c r="G6728" s="55" t="s">
        <v>276</v>
      </c>
      <c r="H6728" s="55">
        <v>107.95440000000001</v>
      </c>
      <c r="I6728" s="55">
        <v>8.4506910000000008</v>
      </c>
      <c r="J6728" s="55">
        <v>17.14303</v>
      </c>
      <c r="K6728" s="55">
        <v>3.2462260000000001</v>
      </c>
      <c r="L6728" s="55">
        <v>-4.0674510000000001</v>
      </c>
      <c r="M6728" s="55">
        <v>-9.0370910000000002</v>
      </c>
      <c r="N6728" s="55">
        <v>-17.094550000000002</v>
      </c>
    </row>
    <row r="6729" spans="1:14" hidden="1" x14ac:dyDescent="0.35">
      <c r="A6729" s="52" t="s">
        <v>748</v>
      </c>
      <c r="B6729" s="52" t="s">
        <v>74</v>
      </c>
      <c r="C6729" s="52" t="s">
        <v>227</v>
      </c>
      <c r="D6729" s="52" t="s">
        <v>227</v>
      </c>
      <c r="E6729" s="52" t="s">
        <v>584</v>
      </c>
      <c r="F6729" s="52" t="s">
        <v>581</v>
      </c>
      <c r="G6729" s="55" t="s">
        <v>277</v>
      </c>
      <c r="H6729" s="55">
        <v>72.614999999999995</v>
      </c>
      <c r="I6729" s="55">
        <v>71.831040000000002</v>
      </c>
      <c r="J6729" s="55">
        <v>21.446629999999999</v>
      </c>
      <c r="K6729" s="55">
        <v>26.360579999999999</v>
      </c>
      <c r="L6729" s="55">
        <v>31.694929999999999</v>
      </c>
      <c r="M6729" s="55">
        <v>33.145099999999999</v>
      </c>
      <c r="N6729" s="55">
        <v>44.818449999999999</v>
      </c>
    </row>
    <row r="6730" spans="1:14" hidden="1" x14ac:dyDescent="0.35">
      <c r="A6730" s="52" t="s">
        <v>748</v>
      </c>
      <c r="B6730" s="52" t="s">
        <v>74</v>
      </c>
      <c r="C6730" s="52" t="s">
        <v>227</v>
      </c>
      <c r="D6730" s="52" t="s">
        <v>227</v>
      </c>
      <c r="E6730" s="52" t="s">
        <v>584</v>
      </c>
      <c r="F6730" s="52" t="s">
        <v>581</v>
      </c>
      <c r="G6730" s="55" t="s">
        <v>278</v>
      </c>
      <c r="H6730" s="55">
        <v>4.82502E-2</v>
      </c>
      <c r="I6730" s="55">
        <v>6.5885769999999996E-2</v>
      </c>
      <c r="J6730" s="55">
        <v>3.8445760000000002E-2</v>
      </c>
      <c r="K6730" s="55">
        <v>3.8445760000000002E-2</v>
      </c>
      <c r="L6730" s="55">
        <v>3.8445760000000002E-2</v>
      </c>
      <c r="M6730" s="55">
        <v>3.8445760000000002E-2</v>
      </c>
      <c r="N6730" s="55">
        <v>3.8445760000000002E-2</v>
      </c>
    </row>
    <row r="6731" spans="1:14" hidden="1" x14ac:dyDescent="0.35">
      <c r="A6731" s="52" t="s">
        <v>748</v>
      </c>
      <c r="B6731" s="52" t="s">
        <v>74</v>
      </c>
      <c r="C6731" s="52" t="s">
        <v>227</v>
      </c>
      <c r="D6731" s="52" t="s">
        <v>227</v>
      </c>
      <c r="E6731" s="52" t="s">
        <v>584</v>
      </c>
      <c r="F6731" s="52" t="s">
        <v>581</v>
      </c>
      <c r="G6731" s="55" t="s">
        <v>279</v>
      </c>
      <c r="H6731" s="55">
        <v>157.14590000000001</v>
      </c>
      <c r="I6731" s="55">
        <v>150.87700000000001</v>
      </c>
      <c r="J6731" s="55">
        <v>151.45169999999999</v>
      </c>
      <c r="K6731" s="55">
        <v>147.0549</v>
      </c>
      <c r="L6731" s="55">
        <v>143.44579999999999</v>
      </c>
      <c r="M6731" s="55">
        <v>140.3544</v>
      </c>
      <c r="N6731" s="55">
        <v>138.5419</v>
      </c>
    </row>
    <row r="6732" spans="1:14" hidden="1" x14ac:dyDescent="0.35">
      <c r="A6732" s="52" t="s">
        <v>748</v>
      </c>
      <c r="B6732" s="52" t="s">
        <v>74</v>
      </c>
      <c r="C6732" s="52" t="s">
        <v>227</v>
      </c>
      <c r="D6732" s="52" t="s">
        <v>227</v>
      </c>
      <c r="E6732" s="52" t="s">
        <v>584</v>
      </c>
      <c r="F6732" s="52" t="s">
        <v>26</v>
      </c>
      <c r="G6732" s="55" t="s">
        <v>275</v>
      </c>
      <c r="H6732" s="55">
        <v>2.236723</v>
      </c>
      <c r="I6732" s="55">
        <v>1.9289959999999999</v>
      </c>
      <c r="J6732" s="55">
        <v>1.9293260000000001</v>
      </c>
      <c r="K6732" s="55">
        <v>1.593702</v>
      </c>
      <c r="L6732" s="55">
        <v>1.66472</v>
      </c>
      <c r="M6732" s="55">
        <v>1.6985300000000001</v>
      </c>
      <c r="N6732" s="55">
        <v>1.851588</v>
      </c>
    </row>
    <row r="6733" spans="1:14" hidden="1" x14ac:dyDescent="0.35">
      <c r="A6733" s="52" t="s">
        <v>748</v>
      </c>
      <c r="B6733" s="52" t="s">
        <v>74</v>
      </c>
      <c r="C6733" s="52" t="s">
        <v>227</v>
      </c>
      <c r="D6733" s="52" t="s">
        <v>227</v>
      </c>
      <c r="E6733" s="52" t="s">
        <v>584</v>
      </c>
      <c r="F6733" s="52" t="s">
        <v>26</v>
      </c>
      <c r="G6733" s="55" t="s">
        <v>276</v>
      </c>
      <c r="H6733" s="55">
        <v>1.4911449999999999</v>
      </c>
      <c r="I6733" s="55">
        <v>1.2859989999999999</v>
      </c>
      <c r="J6733" s="55">
        <v>1.286219</v>
      </c>
      <c r="K6733" s="55">
        <v>1.06247</v>
      </c>
      <c r="L6733" s="55">
        <v>1.10981</v>
      </c>
      <c r="M6733" s="55">
        <v>1.132352</v>
      </c>
      <c r="N6733" s="55">
        <v>1.2343869999999999</v>
      </c>
    </row>
    <row r="6734" spans="1:14" hidden="1" x14ac:dyDescent="0.35">
      <c r="A6734" s="52" t="s">
        <v>748</v>
      </c>
      <c r="B6734" s="52" t="s">
        <v>74</v>
      </c>
      <c r="C6734" s="52" t="s">
        <v>227</v>
      </c>
      <c r="D6734" s="52" t="s">
        <v>227</v>
      </c>
      <c r="E6734" s="52" t="s">
        <v>584</v>
      </c>
      <c r="F6734" s="52" t="s">
        <v>26</v>
      </c>
      <c r="G6734" s="55" t="s">
        <v>279</v>
      </c>
      <c r="H6734" s="55">
        <v>1.5236670000000001</v>
      </c>
      <c r="I6734" s="55">
        <v>1.360989</v>
      </c>
      <c r="J6734" s="55">
        <v>1.201371</v>
      </c>
      <c r="K6734" s="55">
        <v>1.08579</v>
      </c>
      <c r="L6734" s="55">
        <v>1.124182</v>
      </c>
      <c r="M6734" s="55">
        <v>1.1436409999999999</v>
      </c>
      <c r="N6734" s="55">
        <v>1.2545710000000001</v>
      </c>
    </row>
    <row r="6735" spans="1:14" hidden="1" x14ac:dyDescent="0.35">
      <c r="A6735" s="52" t="s">
        <v>748</v>
      </c>
      <c r="B6735" s="52" t="s">
        <v>74</v>
      </c>
      <c r="C6735" s="52" t="s">
        <v>87</v>
      </c>
      <c r="D6735" s="52" t="s">
        <v>87</v>
      </c>
      <c r="E6735" s="52" t="s">
        <v>584</v>
      </c>
      <c r="F6735" s="52" t="s">
        <v>581</v>
      </c>
      <c r="G6735" s="55" t="s">
        <v>275</v>
      </c>
      <c r="H6735" s="55">
        <v>35.653790000000001</v>
      </c>
      <c r="I6735" s="55">
        <v>9.6778700000000004</v>
      </c>
      <c r="J6735" s="55">
        <v>-5.1534440000000004</v>
      </c>
      <c r="K6735" s="55">
        <v>-4.3784049999999999</v>
      </c>
      <c r="L6735" s="55">
        <v>-8.9560669999999991</v>
      </c>
      <c r="M6735" s="55">
        <v>2.6390400000000001</v>
      </c>
      <c r="N6735" s="55">
        <v>-33.917450000000002</v>
      </c>
    </row>
    <row r="6736" spans="1:14" hidden="1" x14ac:dyDescent="0.35">
      <c r="A6736" s="52" t="s">
        <v>748</v>
      </c>
      <c r="B6736" s="52" t="s">
        <v>74</v>
      </c>
      <c r="C6736" s="52" t="s">
        <v>87</v>
      </c>
      <c r="D6736" s="52" t="s">
        <v>87</v>
      </c>
      <c r="E6736" s="52" t="s">
        <v>584</v>
      </c>
      <c r="F6736" s="52" t="s">
        <v>581</v>
      </c>
      <c r="G6736" s="55" t="s">
        <v>276</v>
      </c>
      <c r="H6736" s="55">
        <v>21.602119999999999</v>
      </c>
      <c r="I6736" s="55">
        <v>6.2914320000000004</v>
      </c>
      <c r="J6736" s="55">
        <v>-6.4709700000000003</v>
      </c>
      <c r="K6736" s="55">
        <v>-3.161483</v>
      </c>
      <c r="L6736" s="55">
        <v>-22.78284</v>
      </c>
      <c r="M6736" s="55">
        <v>-2.490253</v>
      </c>
      <c r="N6736" s="55">
        <v>-22.931570000000001</v>
      </c>
    </row>
    <row r="6737" spans="1:14" hidden="1" x14ac:dyDescent="0.35">
      <c r="A6737" s="52" t="s">
        <v>748</v>
      </c>
      <c r="B6737" s="52" t="s">
        <v>74</v>
      </c>
      <c r="C6737" s="52" t="s">
        <v>87</v>
      </c>
      <c r="D6737" s="52" t="s">
        <v>87</v>
      </c>
      <c r="E6737" s="52" t="s">
        <v>584</v>
      </c>
      <c r="F6737" s="52" t="s">
        <v>581</v>
      </c>
      <c r="G6737" s="55" t="s">
        <v>277</v>
      </c>
      <c r="H6737" s="55">
        <v>20.803940000000001</v>
      </c>
      <c r="I6737" s="55">
        <v>2.040616</v>
      </c>
      <c r="J6737" s="55">
        <v>6.3855440000000003</v>
      </c>
      <c r="K6737" s="55">
        <v>12.3209</v>
      </c>
      <c r="L6737" s="55">
        <v>38.088610000000003</v>
      </c>
      <c r="M6737" s="55">
        <v>1.509441</v>
      </c>
      <c r="N6737" s="55">
        <v>1.6530689999999999</v>
      </c>
    </row>
    <row r="6738" spans="1:14" hidden="1" x14ac:dyDescent="0.35">
      <c r="A6738" s="52" t="s">
        <v>748</v>
      </c>
      <c r="B6738" s="52" t="s">
        <v>74</v>
      </c>
      <c r="C6738" s="52" t="s">
        <v>87</v>
      </c>
      <c r="D6738" s="52" t="s">
        <v>87</v>
      </c>
      <c r="E6738" s="52" t="s">
        <v>584</v>
      </c>
      <c r="F6738" s="52" t="s">
        <v>581</v>
      </c>
      <c r="G6738" s="55" t="s">
        <v>278</v>
      </c>
      <c r="H6738" s="55">
        <v>0.1366917</v>
      </c>
      <c r="I6738" s="55">
        <v>0.18665309999999999</v>
      </c>
      <c r="J6738" s="55">
        <v>2.982021</v>
      </c>
      <c r="K6738" s="55">
        <v>0.18665300000000001</v>
      </c>
      <c r="L6738" s="55">
        <v>0.1477311</v>
      </c>
      <c r="M6738" s="55">
        <v>4.0923780000000001</v>
      </c>
      <c r="N6738" s="55">
        <v>0.1477311</v>
      </c>
    </row>
    <row r="6739" spans="1:14" hidden="1" x14ac:dyDescent="0.35">
      <c r="A6739" s="52" t="s">
        <v>748</v>
      </c>
      <c r="B6739" s="52" t="s">
        <v>74</v>
      </c>
      <c r="C6739" s="52" t="s">
        <v>87</v>
      </c>
      <c r="D6739" s="52" t="s">
        <v>87</v>
      </c>
      <c r="E6739" s="52" t="s">
        <v>584</v>
      </c>
      <c r="F6739" s="52" t="s">
        <v>581</v>
      </c>
      <c r="G6739" s="55" t="s">
        <v>279</v>
      </c>
      <c r="H6739" s="55">
        <v>40.243389999999998</v>
      </c>
      <c r="I6739" s="55">
        <v>28.923580000000001</v>
      </c>
      <c r="J6739" s="55">
        <v>32.810670000000002</v>
      </c>
      <c r="K6739" s="55">
        <v>20.87377</v>
      </c>
      <c r="L6739" s="55">
        <v>19.301739999999999</v>
      </c>
      <c r="M6739" s="55">
        <v>73.177729999999997</v>
      </c>
      <c r="N6739" s="55">
        <v>103.5898</v>
      </c>
    </row>
    <row r="6740" spans="1:14" hidden="1" x14ac:dyDescent="0.35">
      <c r="A6740" s="52" t="s">
        <v>748</v>
      </c>
      <c r="B6740" s="52" t="s">
        <v>74</v>
      </c>
      <c r="C6740" s="52" t="s">
        <v>87</v>
      </c>
      <c r="D6740" s="52" t="s">
        <v>87</v>
      </c>
      <c r="E6740" s="52" t="s">
        <v>584</v>
      </c>
      <c r="F6740" s="52" t="s">
        <v>26</v>
      </c>
      <c r="G6740" s="55" t="s">
        <v>275</v>
      </c>
      <c r="H6740" s="55">
        <v>0.244195</v>
      </c>
      <c r="I6740" s="55">
        <v>0.1938744</v>
      </c>
      <c r="J6740" s="55">
        <v>0.51753450000000001</v>
      </c>
      <c r="K6740" s="55">
        <v>0.26403650000000001</v>
      </c>
      <c r="L6740" s="55">
        <v>-0.10718320000000001</v>
      </c>
      <c r="M6740" s="55">
        <v>1.6704680000000001</v>
      </c>
      <c r="N6740" s="55">
        <v>0.50546210000000003</v>
      </c>
    </row>
    <row r="6741" spans="1:14" hidden="1" x14ac:dyDescent="0.35">
      <c r="A6741" s="52" t="s">
        <v>748</v>
      </c>
      <c r="B6741" s="52" t="s">
        <v>74</v>
      </c>
      <c r="C6741" s="52" t="s">
        <v>87</v>
      </c>
      <c r="D6741" s="52" t="s">
        <v>87</v>
      </c>
      <c r="E6741" s="52" t="s">
        <v>584</v>
      </c>
      <c r="F6741" s="52" t="s">
        <v>26</v>
      </c>
      <c r="G6741" s="55" t="s">
        <v>276</v>
      </c>
      <c r="H6741" s="55">
        <v>0.16279299999999999</v>
      </c>
      <c r="I6741" s="55">
        <v>0.12924959999999999</v>
      </c>
      <c r="J6741" s="55">
        <v>0.34502329999999998</v>
      </c>
      <c r="K6741" s="55">
        <v>0.1760236</v>
      </c>
      <c r="L6741" s="55">
        <v>-0.21734719999999999</v>
      </c>
      <c r="M6741" s="55">
        <v>1.1136470000000001</v>
      </c>
      <c r="N6741" s="55">
        <v>0.33697549999999998</v>
      </c>
    </row>
    <row r="6742" spans="1:14" hidden="1" x14ac:dyDescent="0.35">
      <c r="A6742" s="52" t="s">
        <v>748</v>
      </c>
      <c r="B6742" s="52" t="s">
        <v>74</v>
      </c>
      <c r="C6742" s="52" t="s">
        <v>87</v>
      </c>
      <c r="D6742" s="52" t="s">
        <v>87</v>
      </c>
      <c r="E6742" s="52" t="s">
        <v>584</v>
      </c>
      <c r="F6742" s="52" t="s">
        <v>26</v>
      </c>
      <c r="G6742" s="55" t="s">
        <v>277</v>
      </c>
      <c r="H6742" s="55"/>
      <c r="I6742" s="55"/>
      <c r="J6742" s="55">
        <v>0</v>
      </c>
      <c r="K6742" s="55">
        <v>0.30217850000000002</v>
      </c>
      <c r="L6742" s="55">
        <v>1.098395</v>
      </c>
      <c r="M6742" s="55">
        <v>0</v>
      </c>
      <c r="N6742" s="55"/>
    </row>
    <row r="6743" spans="1:14" hidden="1" x14ac:dyDescent="0.35">
      <c r="A6743" s="52" t="s">
        <v>748</v>
      </c>
      <c r="B6743" s="52" t="s">
        <v>74</v>
      </c>
      <c r="C6743" s="52" t="s">
        <v>87</v>
      </c>
      <c r="D6743" s="52" t="s">
        <v>87</v>
      </c>
      <c r="E6743" s="52" t="s">
        <v>584</v>
      </c>
      <c r="F6743" s="52" t="s">
        <v>26</v>
      </c>
      <c r="G6743" s="55" t="s">
        <v>279</v>
      </c>
      <c r="H6743" s="55">
        <v>0.40484999999999999</v>
      </c>
      <c r="I6743" s="55">
        <v>0.38887450000000001</v>
      </c>
      <c r="J6743" s="55">
        <v>0.463113</v>
      </c>
      <c r="K6743" s="55">
        <v>0.42324699999999998</v>
      </c>
      <c r="L6743" s="55">
        <v>0.44100650000000002</v>
      </c>
      <c r="M6743" s="55">
        <v>1.542969</v>
      </c>
      <c r="N6743" s="55">
        <v>0.817832</v>
      </c>
    </row>
    <row r="6744" spans="1:14" hidden="1" x14ac:dyDescent="0.35">
      <c r="A6744" s="52" t="s">
        <v>748</v>
      </c>
      <c r="B6744" s="52" t="s">
        <v>74</v>
      </c>
      <c r="C6744" s="52" t="s">
        <v>87</v>
      </c>
      <c r="D6744" s="52" t="s">
        <v>89</v>
      </c>
      <c r="E6744" s="52" t="s">
        <v>584</v>
      </c>
      <c r="F6744" s="52" t="s">
        <v>581</v>
      </c>
      <c r="G6744" s="55" t="s">
        <v>275</v>
      </c>
      <c r="H6744" s="55">
        <v>3.599507</v>
      </c>
      <c r="I6744" s="55">
        <v>-3.6050039999999998E-2</v>
      </c>
      <c r="J6744" s="55">
        <v>-0.63695840000000004</v>
      </c>
      <c r="K6744" s="55">
        <v>-1.428874</v>
      </c>
      <c r="L6744" s="55">
        <v>-1.581083</v>
      </c>
      <c r="M6744" s="55">
        <v>6.1644690000000004</v>
      </c>
      <c r="N6744" s="55">
        <v>5.0050970000000001</v>
      </c>
    </row>
    <row r="6745" spans="1:14" hidden="1" x14ac:dyDescent="0.35">
      <c r="A6745" s="52" t="s">
        <v>748</v>
      </c>
      <c r="B6745" s="52" t="s">
        <v>74</v>
      </c>
      <c r="C6745" s="52" t="s">
        <v>87</v>
      </c>
      <c r="D6745" s="52" t="s">
        <v>89</v>
      </c>
      <c r="E6745" s="52" t="s">
        <v>584</v>
      </c>
      <c r="F6745" s="52" t="s">
        <v>581</v>
      </c>
      <c r="G6745" s="55" t="s">
        <v>276</v>
      </c>
      <c r="H6745" s="55">
        <v>2.3269009999999999</v>
      </c>
      <c r="I6745" s="55">
        <v>-8.0888360000000006E-2</v>
      </c>
      <c r="J6745" s="55">
        <v>-0.47110740000000001</v>
      </c>
      <c r="K6745" s="55">
        <v>-0.97111230000000004</v>
      </c>
      <c r="L6745" s="55">
        <v>-1.0759529999999999</v>
      </c>
      <c r="M6745" s="55">
        <v>4.0888109999999998</v>
      </c>
      <c r="N6745" s="55">
        <v>3.3144420000000001</v>
      </c>
    </row>
    <row r="6746" spans="1:14" hidden="1" x14ac:dyDescent="0.35">
      <c r="A6746" s="52" t="s">
        <v>748</v>
      </c>
      <c r="B6746" s="52" t="s">
        <v>74</v>
      </c>
      <c r="C6746" s="52" t="s">
        <v>87</v>
      </c>
      <c r="D6746" s="52" t="s">
        <v>89</v>
      </c>
      <c r="E6746" s="52" t="s">
        <v>584</v>
      </c>
      <c r="F6746" s="52" t="s">
        <v>581</v>
      </c>
      <c r="G6746" s="55" t="s">
        <v>277</v>
      </c>
      <c r="H6746" s="55">
        <v>0.69860650000000002</v>
      </c>
      <c r="I6746" s="55">
        <v>0.54580499999999998</v>
      </c>
      <c r="J6746" s="55">
        <v>0.44609900000000002</v>
      </c>
      <c r="K6746" s="55">
        <v>0.1778815</v>
      </c>
      <c r="L6746" s="55">
        <v>0.21021609999999999</v>
      </c>
      <c r="M6746" s="55"/>
      <c r="N6746" s="55"/>
    </row>
    <row r="6747" spans="1:14" hidden="1" x14ac:dyDescent="0.35">
      <c r="A6747" s="52" t="s">
        <v>748</v>
      </c>
      <c r="B6747" s="52" t="s">
        <v>74</v>
      </c>
      <c r="C6747" s="52" t="s">
        <v>87</v>
      </c>
      <c r="D6747" s="52" t="s">
        <v>89</v>
      </c>
      <c r="E6747" s="52" t="s">
        <v>584</v>
      </c>
      <c r="F6747" s="52" t="s">
        <v>581</v>
      </c>
      <c r="G6747" s="55" t="s">
        <v>279</v>
      </c>
      <c r="H6747" s="55">
        <v>8.1120870000000007</v>
      </c>
      <c r="I6747" s="55">
        <v>7.3676640000000004</v>
      </c>
      <c r="J6747" s="55">
        <v>6.8363100000000001</v>
      </c>
      <c r="K6747" s="55">
        <v>7.8510220000000004</v>
      </c>
      <c r="L6747" s="55">
        <v>7.9574809999999996</v>
      </c>
      <c r="M6747" s="55">
        <v>13.239129999999999</v>
      </c>
      <c r="N6747" s="55">
        <v>12.77553</v>
      </c>
    </row>
    <row r="6748" spans="1:14" hidden="1" x14ac:dyDescent="0.35">
      <c r="A6748" s="52" t="s">
        <v>748</v>
      </c>
      <c r="B6748" s="52" t="s">
        <v>74</v>
      </c>
      <c r="C6748" s="52" t="s">
        <v>87</v>
      </c>
      <c r="D6748" s="52" t="s">
        <v>89</v>
      </c>
      <c r="E6748" s="52" t="s">
        <v>584</v>
      </c>
      <c r="F6748" s="52" t="s">
        <v>26</v>
      </c>
      <c r="G6748" s="55" t="s">
        <v>275</v>
      </c>
      <c r="H6748" s="55">
        <v>0.28082649999999998</v>
      </c>
      <c r="I6748" s="55">
        <v>0.25693670000000002</v>
      </c>
      <c r="J6748" s="55">
        <v>0.23585120000000001</v>
      </c>
      <c r="K6748" s="55">
        <v>0.21020169999999999</v>
      </c>
      <c r="L6748" s="55">
        <v>0.20547290000000001</v>
      </c>
      <c r="M6748" s="55">
        <v>0.8740888</v>
      </c>
      <c r="N6748" s="55">
        <v>0.78563799999999995</v>
      </c>
    </row>
    <row r="6749" spans="1:14" hidden="1" x14ac:dyDescent="0.35">
      <c r="A6749" s="52" t="s">
        <v>748</v>
      </c>
      <c r="B6749" s="52" t="s">
        <v>74</v>
      </c>
      <c r="C6749" s="52" t="s">
        <v>87</v>
      </c>
      <c r="D6749" s="52" t="s">
        <v>89</v>
      </c>
      <c r="E6749" s="52" t="s">
        <v>584</v>
      </c>
      <c r="F6749" s="52" t="s">
        <v>26</v>
      </c>
      <c r="G6749" s="55" t="s">
        <v>276</v>
      </c>
      <c r="H6749" s="55">
        <v>0.187218</v>
      </c>
      <c r="I6749" s="55">
        <v>0.17129069999999999</v>
      </c>
      <c r="J6749" s="55">
        <v>0.15723380000000001</v>
      </c>
      <c r="K6749" s="55">
        <v>0.14013490000000001</v>
      </c>
      <c r="L6749" s="55">
        <v>0.13698179999999999</v>
      </c>
      <c r="M6749" s="55">
        <v>0.58272579999999996</v>
      </c>
      <c r="N6749" s="55">
        <v>0.52375910000000003</v>
      </c>
    </row>
    <row r="6750" spans="1:14" hidden="1" x14ac:dyDescent="0.35">
      <c r="A6750" s="52" t="s">
        <v>748</v>
      </c>
      <c r="B6750" s="52" t="s">
        <v>74</v>
      </c>
      <c r="C6750" s="52" t="s">
        <v>87</v>
      </c>
      <c r="D6750" s="52" t="s">
        <v>89</v>
      </c>
      <c r="E6750" s="52" t="s">
        <v>584</v>
      </c>
      <c r="F6750" s="52" t="s">
        <v>26</v>
      </c>
      <c r="G6750" s="55" t="s">
        <v>279</v>
      </c>
      <c r="H6750" s="55">
        <v>0.16940050000000001</v>
      </c>
      <c r="I6750" s="55">
        <v>0.16034799999999999</v>
      </c>
      <c r="J6750" s="55">
        <v>0.13055649999999999</v>
      </c>
      <c r="K6750" s="55">
        <v>0.12695000000000001</v>
      </c>
      <c r="L6750" s="55">
        <v>0.1226849</v>
      </c>
      <c r="M6750" s="55">
        <v>0.52824660000000001</v>
      </c>
      <c r="N6750" s="55">
        <v>0.47842580000000001</v>
      </c>
    </row>
    <row r="6751" spans="1:14" hidden="1" x14ac:dyDescent="0.35">
      <c r="A6751" s="52" t="s">
        <v>748</v>
      </c>
      <c r="B6751" s="52" t="s">
        <v>74</v>
      </c>
      <c r="C6751" s="52" t="s">
        <v>146</v>
      </c>
      <c r="D6751" s="52" t="s">
        <v>197</v>
      </c>
      <c r="E6751" s="52" t="s">
        <v>584</v>
      </c>
      <c r="F6751" s="52" t="s">
        <v>581</v>
      </c>
      <c r="G6751" s="55" t="s">
        <v>275</v>
      </c>
      <c r="H6751" s="55">
        <v>3.767865</v>
      </c>
      <c r="I6751" s="55">
        <v>12.69533</v>
      </c>
      <c r="J6751" s="55">
        <v>6.0537479999999997</v>
      </c>
      <c r="K6751" s="55">
        <v>3.5025849999999998</v>
      </c>
      <c r="L6751" s="55">
        <v>2.681203</v>
      </c>
      <c r="M6751" s="55">
        <v>1.6117870000000001</v>
      </c>
      <c r="N6751" s="55">
        <v>0.97801530000000003</v>
      </c>
    </row>
    <row r="6752" spans="1:14" hidden="1" x14ac:dyDescent="0.35">
      <c r="A6752" s="52" t="s">
        <v>748</v>
      </c>
      <c r="B6752" s="52" t="s">
        <v>74</v>
      </c>
      <c r="C6752" s="52" t="s">
        <v>146</v>
      </c>
      <c r="D6752" s="52" t="s">
        <v>197</v>
      </c>
      <c r="E6752" s="52" t="s">
        <v>584</v>
      </c>
      <c r="F6752" s="52" t="s">
        <v>581</v>
      </c>
      <c r="G6752" s="55" t="s">
        <v>276</v>
      </c>
      <c r="H6752" s="55">
        <v>1.470243</v>
      </c>
      <c r="I6752" s="55">
        <v>8.4497870000000006</v>
      </c>
      <c r="J6752" s="55">
        <v>4.0066740000000003</v>
      </c>
      <c r="K6752" s="55">
        <v>2.3036279999999998</v>
      </c>
      <c r="L6752" s="55">
        <v>1.753479</v>
      </c>
      <c r="M6752" s="55">
        <v>0.95311999999999997</v>
      </c>
      <c r="N6752" s="55">
        <v>0.61773400000000001</v>
      </c>
    </row>
    <row r="6753" spans="1:14" hidden="1" x14ac:dyDescent="0.35">
      <c r="A6753" s="52" t="s">
        <v>748</v>
      </c>
      <c r="B6753" s="52" t="s">
        <v>74</v>
      </c>
      <c r="C6753" s="52" t="s">
        <v>146</v>
      </c>
      <c r="D6753" s="52" t="s">
        <v>197</v>
      </c>
      <c r="E6753" s="52" t="s">
        <v>584</v>
      </c>
      <c r="F6753" s="52" t="s">
        <v>581</v>
      </c>
      <c r="G6753" s="55" t="s">
        <v>277</v>
      </c>
      <c r="H6753" s="55">
        <v>10</v>
      </c>
      <c r="I6753" s="55">
        <v>0.13213349999999999</v>
      </c>
      <c r="J6753" s="55">
        <v>0.1196485</v>
      </c>
      <c r="K6753" s="55">
        <v>0.14144499999999999</v>
      </c>
      <c r="L6753" s="55">
        <v>0.1660432</v>
      </c>
      <c r="M6753" s="55">
        <v>0.15772220000000001</v>
      </c>
      <c r="N6753" s="55">
        <v>0.16879089999999999</v>
      </c>
    </row>
    <row r="6754" spans="1:14" hidden="1" x14ac:dyDescent="0.35">
      <c r="A6754" s="52" t="s">
        <v>748</v>
      </c>
      <c r="B6754" s="52" t="s">
        <v>74</v>
      </c>
      <c r="C6754" s="52" t="s">
        <v>146</v>
      </c>
      <c r="D6754" s="52" t="s">
        <v>197</v>
      </c>
      <c r="E6754" s="52" t="s">
        <v>584</v>
      </c>
      <c r="F6754" s="52" t="s">
        <v>581</v>
      </c>
      <c r="G6754" s="55" t="s">
        <v>278</v>
      </c>
      <c r="H6754" s="55">
        <v>1.2226000000000001E-2</v>
      </c>
      <c r="I6754" s="55">
        <v>1.6694500000000001E-2</v>
      </c>
      <c r="J6754" s="55">
        <v>1.6694500000000001E-2</v>
      </c>
      <c r="K6754" s="55">
        <v>1.6694500000000001E-2</v>
      </c>
      <c r="L6754" s="55">
        <v>1.6694500000000001E-2</v>
      </c>
      <c r="M6754" s="55">
        <v>0.104975</v>
      </c>
      <c r="N6754" s="55">
        <v>1.6694500000000001E-2</v>
      </c>
    </row>
    <row r="6755" spans="1:14" hidden="1" x14ac:dyDescent="0.35">
      <c r="A6755" s="52" t="s">
        <v>748</v>
      </c>
      <c r="B6755" s="52" t="s">
        <v>74</v>
      </c>
      <c r="C6755" s="52" t="s">
        <v>146</v>
      </c>
      <c r="D6755" s="52" t="s">
        <v>197</v>
      </c>
      <c r="E6755" s="52" t="s">
        <v>584</v>
      </c>
      <c r="F6755" s="52" t="s">
        <v>581</v>
      </c>
      <c r="G6755" s="55" t="s">
        <v>279</v>
      </c>
      <c r="H6755" s="55">
        <v>2.2867769999999998</v>
      </c>
      <c r="I6755" s="55">
        <v>4.5853460000000004</v>
      </c>
      <c r="J6755" s="55">
        <v>2.6790289999999999</v>
      </c>
      <c r="K6755" s="55">
        <v>2.1853440000000002</v>
      </c>
      <c r="L6755" s="55">
        <v>1.956345</v>
      </c>
      <c r="M6755" s="55">
        <v>1.6364609999999999</v>
      </c>
      <c r="N6755" s="55">
        <v>1.461004</v>
      </c>
    </row>
    <row r="6756" spans="1:14" hidden="1" x14ac:dyDescent="0.35">
      <c r="A6756" s="52" t="s">
        <v>748</v>
      </c>
      <c r="B6756" s="52" t="s">
        <v>74</v>
      </c>
      <c r="C6756" s="52" t="s">
        <v>146</v>
      </c>
      <c r="D6756" s="52" t="s">
        <v>197</v>
      </c>
      <c r="E6756" s="52" t="s">
        <v>584</v>
      </c>
      <c r="F6756" s="52" t="s">
        <v>26</v>
      </c>
      <c r="G6756" s="55" t="s">
        <v>275</v>
      </c>
      <c r="H6756" s="55">
        <v>0</v>
      </c>
      <c r="I6756" s="55">
        <v>0</v>
      </c>
      <c r="J6756" s="55"/>
      <c r="K6756" s="55">
        <v>0.1363045</v>
      </c>
      <c r="L6756" s="55">
        <v>0.57331350000000003</v>
      </c>
      <c r="M6756" s="55">
        <v>0.4429305</v>
      </c>
      <c r="N6756" s="55">
        <v>0.32164930000000003</v>
      </c>
    </row>
    <row r="6757" spans="1:14" hidden="1" x14ac:dyDescent="0.35">
      <c r="A6757" s="52" t="s">
        <v>748</v>
      </c>
      <c r="B6757" s="52" t="s">
        <v>74</v>
      </c>
      <c r="C6757" s="52" t="s">
        <v>146</v>
      </c>
      <c r="D6757" s="52" t="s">
        <v>197</v>
      </c>
      <c r="E6757" s="52" t="s">
        <v>584</v>
      </c>
      <c r="F6757" s="52" t="s">
        <v>26</v>
      </c>
      <c r="G6757" s="55" t="s">
        <v>276</v>
      </c>
      <c r="H6757" s="55">
        <v>0</v>
      </c>
      <c r="I6757" s="55">
        <v>0</v>
      </c>
      <c r="J6757" s="55"/>
      <c r="K6757" s="55">
        <v>9.0869800000000001E-2</v>
      </c>
      <c r="L6757" s="55">
        <v>0.38220929999999997</v>
      </c>
      <c r="M6757" s="55">
        <v>0.29528690000000002</v>
      </c>
      <c r="N6757" s="55">
        <v>0.2144327</v>
      </c>
    </row>
    <row r="6758" spans="1:14" hidden="1" x14ac:dyDescent="0.35">
      <c r="A6758" s="52" t="s">
        <v>748</v>
      </c>
      <c r="B6758" s="52" t="s">
        <v>74</v>
      </c>
      <c r="C6758" s="52" t="s">
        <v>146</v>
      </c>
      <c r="D6758" s="52" t="s">
        <v>197</v>
      </c>
      <c r="E6758" s="52" t="s">
        <v>584</v>
      </c>
      <c r="F6758" s="52" t="s">
        <v>26</v>
      </c>
      <c r="G6758" s="55" t="s">
        <v>279</v>
      </c>
      <c r="H6758" s="55">
        <v>0</v>
      </c>
      <c r="I6758" s="55">
        <v>0</v>
      </c>
      <c r="J6758" s="55"/>
      <c r="K6758" s="55">
        <v>6.3303349999999994E-2</v>
      </c>
      <c r="L6758" s="55">
        <v>0.27981430000000002</v>
      </c>
      <c r="M6758" s="55">
        <v>0.21609829999999999</v>
      </c>
      <c r="N6758" s="55">
        <v>0.15698039999999999</v>
      </c>
    </row>
    <row r="6759" spans="1:14" hidden="1" x14ac:dyDescent="0.35">
      <c r="A6759" s="52" t="s">
        <v>748</v>
      </c>
      <c r="B6759" s="52" t="s">
        <v>74</v>
      </c>
      <c r="C6759" s="52" t="s">
        <v>146</v>
      </c>
      <c r="D6759" s="52" t="s">
        <v>147</v>
      </c>
      <c r="E6759" s="52" t="s">
        <v>584</v>
      </c>
      <c r="F6759" s="52" t="s">
        <v>581</v>
      </c>
      <c r="G6759" s="55" t="s">
        <v>275</v>
      </c>
      <c r="H6759" s="55">
        <v>2.378784</v>
      </c>
      <c r="I6759" s="55">
        <v>-2.4914909999999999</v>
      </c>
      <c r="J6759" s="55">
        <v>-0.4580922</v>
      </c>
      <c r="K6759" s="55">
        <v>-0.13244829999999999</v>
      </c>
      <c r="L6759" s="55">
        <v>-5.2239639999999997E-2</v>
      </c>
      <c r="M6759" s="55">
        <v>0.16773199999999999</v>
      </c>
      <c r="N6759" s="55">
        <v>0.19603119999999999</v>
      </c>
    </row>
    <row r="6760" spans="1:14" hidden="1" x14ac:dyDescent="0.35">
      <c r="A6760" s="52" t="s">
        <v>748</v>
      </c>
      <c r="B6760" s="52" t="s">
        <v>74</v>
      </c>
      <c r="C6760" s="52" t="s">
        <v>146</v>
      </c>
      <c r="D6760" s="52" t="s">
        <v>147</v>
      </c>
      <c r="E6760" s="52" t="s">
        <v>584</v>
      </c>
      <c r="F6760" s="52" t="s">
        <v>581</v>
      </c>
      <c r="G6760" s="55" t="s">
        <v>276</v>
      </c>
      <c r="H6760" s="55">
        <v>1.248828</v>
      </c>
      <c r="I6760" s="55">
        <v>-2.1421730000000001</v>
      </c>
      <c r="J6760" s="55">
        <v>-0.61998830000000005</v>
      </c>
      <c r="K6760" s="55">
        <v>-0.26261370000000001</v>
      </c>
      <c r="L6760" s="55">
        <v>-0.108625</v>
      </c>
      <c r="M6760" s="55">
        <v>8.7299310000000005E-2</v>
      </c>
      <c r="N6760" s="55">
        <v>0.1270019</v>
      </c>
    </row>
    <row r="6761" spans="1:14" hidden="1" x14ac:dyDescent="0.35">
      <c r="A6761" s="52" t="s">
        <v>748</v>
      </c>
      <c r="B6761" s="52" t="s">
        <v>74</v>
      </c>
      <c r="C6761" s="52" t="s">
        <v>146</v>
      </c>
      <c r="D6761" s="52" t="s">
        <v>147</v>
      </c>
      <c r="E6761" s="52" t="s">
        <v>584</v>
      </c>
      <c r="F6761" s="52" t="s">
        <v>581</v>
      </c>
      <c r="G6761" s="55" t="s">
        <v>277</v>
      </c>
      <c r="H6761" s="55">
        <v>3.2354699999999998</v>
      </c>
      <c r="I6761" s="55">
        <v>4.6193179999999998</v>
      </c>
      <c r="J6761" s="55">
        <v>2.9847190000000001</v>
      </c>
      <c r="K6761" s="55">
        <v>1.6380490000000001</v>
      </c>
      <c r="L6761" s="55">
        <v>0.67308650000000003</v>
      </c>
      <c r="M6761" s="55"/>
      <c r="N6761" s="55">
        <v>0</v>
      </c>
    </row>
    <row r="6762" spans="1:14" hidden="1" x14ac:dyDescent="0.35">
      <c r="A6762" s="52" t="s">
        <v>748</v>
      </c>
      <c r="B6762" s="52" t="s">
        <v>74</v>
      </c>
      <c r="C6762" s="52" t="s">
        <v>146</v>
      </c>
      <c r="D6762" s="52" t="s">
        <v>147</v>
      </c>
      <c r="E6762" s="52" t="s">
        <v>584</v>
      </c>
      <c r="F6762" s="52" t="s">
        <v>581</v>
      </c>
      <c r="G6762" s="55" t="s">
        <v>278</v>
      </c>
      <c r="H6762" s="55">
        <v>2.6988799999999999E-3</v>
      </c>
      <c r="I6762" s="55">
        <v>3.68528E-3</v>
      </c>
      <c r="J6762" s="55">
        <v>3.68528E-3</v>
      </c>
      <c r="K6762" s="55">
        <v>3.68528E-3</v>
      </c>
      <c r="L6762" s="55">
        <v>3.68528E-3</v>
      </c>
      <c r="M6762" s="55">
        <v>3.68528E-3</v>
      </c>
      <c r="N6762" s="55">
        <v>3.68528E-3</v>
      </c>
    </row>
    <row r="6763" spans="1:14" hidden="1" x14ac:dyDescent="0.35">
      <c r="A6763" s="52" t="s">
        <v>748</v>
      </c>
      <c r="B6763" s="52" t="s">
        <v>74</v>
      </c>
      <c r="C6763" s="52" t="s">
        <v>146</v>
      </c>
      <c r="D6763" s="52" t="s">
        <v>147</v>
      </c>
      <c r="E6763" s="52" t="s">
        <v>584</v>
      </c>
      <c r="F6763" s="52" t="s">
        <v>581</v>
      </c>
      <c r="G6763" s="55" t="s">
        <v>279</v>
      </c>
      <c r="H6763" s="55">
        <v>10.70041</v>
      </c>
      <c r="I6763" s="55">
        <v>9.9443780000000004</v>
      </c>
      <c r="J6763" s="55">
        <v>10.890090000000001</v>
      </c>
      <c r="K6763" s="55">
        <v>9.363766</v>
      </c>
      <c r="L6763" s="55">
        <v>7.8642630000000002</v>
      </c>
      <c r="M6763" s="55">
        <v>6.5986840000000004</v>
      </c>
      <c r="N6763" s="55">
        <v>5.4988489999999999</v>
      </c>
    </row>
    <row r="6764" spans="1:14" hidden="1" x14ac:dyDescent="0.35">
      <c r="A6764" s="52" t="s">
        <v>748</v>
      </c>
      <c r="B6764" s="52" t="s">
        <v>74</v>
      </c>
      <c r="C6764" s="52" t="s">
        <v>146</v>
      </c>
      <c r="D6764" s="52" t="s">
        <v>147</v>
      </c>
      <c r="E6764" s="52" t="s">
        <v>584</v>
      </c>
      <c r="F6764" s="52" t="s">
        <v>26</v>
      </c>
      <c r="G6764" s="55" t="s">
        <v>275</v>
      </c>
      <c r="H6764" s="55">
        <v>0.2070507</v>
      </c>
      <c r="I6764" s="55">
        <v>0.20796690000000001</v>
      </c>
      <c r="J6764" s="55">
        <v>0.3154497</v>
      </c>
      <c r="K6764" s="55">
        <v>0.33054410000000001</v>
      </c>
      <c r="L6764" s="55">
        <v>0.32327410000000001</v>
      </c>
      <c r="M6764" s="55">
        <v>0.32799420000000001</v>
      </c>
      <c r="N6764" s="55">
        <v>0.27424880000000001</v>
      </c>
    </row>
    <row r="6765" spans="1:14" hidden="1" x14ac:dyDescent="0.35">
      <c r="A6765" s="52" t="s">
        <v>748</v>
      </c>
      <c r="B6765" s="52" t="s">
        <v>74</v>
      </c>
      <c r="C6765" s="52" t="s">
        <v>146</v>
      </c>
      <c r="D6765" s="52" t="s">
        <v>147</v>
      </c>
      <c r="E6765" s="52" t="s">
        <v>584</v>
      </c>
      <c r="F6765" s="52" t="s">
        <v>26</v>
      </c>
      <c r="G6765" s="55" t="s">
        <v>276</v>
      </c>
      <c r="H6765" s="55">
        <v>0.13803380000000001</v>
      </c>
      <c r="I6765" s="55">
        <v>0.1386452</v>
      </c>
      <c r="J6765" s="55">
        <v>0.21029909999999999</v>
      </c>
      <c r="K6765" s="55">
        <v>0.22036339999999999</v>
      </c>
      <c r="L6765" s="55">
        <v>0.2155157</v>
      </c>
      <c r="M6765" s="55">
        <v>0.2186632</v>
      </c>
      <c r="N6765" s="55">
        <v>0.18283269999999999</v>
      </c>
    </row>
    <row r="6766" spans="1:14" hidden="1" x14ac:dyDescent="0.35">
      <c r="A6766" s="52" t="s">
        <v>748</v>
      </c>
      <c r="B6766" s="52" t="s">
        <v>74</v>
      </c>
      <c r="C6766" s="52" t="s">
        <v>146</v>
      </c>
      <c r="D6766" s="52" t="s">
        <v>147</v>
      </c>
      <c r="E6766" s="52" t="s">
        <v>584</v>
      </c>
      <c r="F6766" s="52" t="s">
        <v>26</v>
      </c>
      <c r="G6766" s="55" t="s">
        <v>279</v>
      </c>
      <c r="H6766" s="55">
        <v>0.18327080000000001</v>
      </c>
      <c r="I6766" s="55">
        <v>0.19122500000000001</v>
      </c>
      <c r="J6766" s="55">
        <v>0.25282339999999998</v>
      </c>
      <c r="K6766" s="55">
        <v>0.24623</v>
      </c>
      <c r="L6766" s="55">
        <v>0.21710930000000001</v>
      </c>
      <c r="M6766" s="55">
        <v>0.1987199</v>
      </c>
      <c r="N6766" s="55">
        <v>0.15521460000000001</v>
      </c>
    </row>
    <row r="6767" spans="1:14" hidden="1" x14ac:dyDescent="0.35">
      <c r="A6767" s="52" t="s">
        <v>748</v>
      </c>
      <c r="B6767" s="52" t="s">
        <v>74</v>
      </c>
      <c r="C6767" s="52" t="s">
        <v>318</v>
      </c>
      <c r="D6767" s="52" t="s">
        <v>318</v>
      </c>
      <c r="E6767" s="52" t="s">
        <v>584</v>
      </c>
      <c r="F6767" s="52" t="s">
        <v>581</v>
      </c>
      <c r="G6767" s="55" t="s">
        <v>275</v>
      </c>
      <c r="H6767" s="55">
        <v>0.201546</v>
      </c>
      <c r="I6767" s="55">
        <v>0</v>
      </c>
      <c r="J6767" s="55"/>
      <c r="K6767" s="55"/>
      <c r="L6767" s="55"/>
      <c r="M6767" s="55"/>
      <c r="N6767" s="55"/>
    </row>
    <row r="6768" spans="1:14" hidden="1" x14ac:dyDescent="0.35">
      <c r="A6768" s="52" t="s">
        <v>748</v>
      </c>
      <c r="B6768" s="52" t="s">
        <v>74</v>
      </c>
      <c r="C6768" s="52" t="s">
        <v>318</v>
      </c>
      <c r="D6768" s="52" t="s">
        <v>318</v>
      </c>
      <c r="E6768" s="52" t="s">
        <v>584</v>
      </c>
      <c r="F6768" s="52" t="s">
        <v>581</v>
      </c>
      <c r="G6768" s="55" t="s">
        <v>278</v>
      </c>
      <c r="H6768" s="55">
        <v>-0.201546</v>
      </c>
      <c r="I6768" s="55">
        <v>0</v>
      </c>
      <c r="J6768" s="55"/>
      <c r="K6768" s="55"/>
      <c r="L6768" s="55"/>
      <c r="M6768" s="55"/>
      <c r="N6768" s="55"/>
    </row>
    <row r="6769" spans="1:14" hidden="1" x14ac:dyDescent="0.35">
      <c r="A6769" s="52" t="s">
        <v>748</v>
      </c>
      <c r="B6769" s="52" t="s">
        <v>74</v>
      </c>
      <c r="C6769" s="52" t="s">
        <v>318</v>
      </c>
      <c r="D6769" s="52" t="s">
        <v>318</v>
      </c>
      <c r="E6769" s="52" t="s">
        <v>584</v>
      </c>
      <c r="F6769" s="52" t="s">
        <v>26</v>
      </c>
      <c r="G6769" s="55" t="s">
        <v>275</v>
      </c>
      <c r="H6769" s="55">
        <v>0.13436799999999999</v>
      </c>
      <c r="I6769" s="55">
        <v>0</v>
      </c>
      <c r="J6769" s="55"/>
      <c r="K6769" s="55"/>
      <c r="L6769" s="55"/>
      <c r="M6769" s="55"/>
      <c r="N6769" s="55"/>
    </row>
    <row r="6770" spans="1:14" hidden="1" x14ac:dyDescent="0.35">
      <c r="A6770" s="52" t="s">
        <v>748</v>
      </c>
      <c r="B6770" s="52" t="s">
        <v>74</v>
      </c>
      <c r="C6770" s="52" t="s">
        <v>318</v>
      </c>
      <c r="D6770" s="52" t="s">
        <v>318</v>
      </c>
      <c r="E6770" s="52" t="s">
        <v>584</v>
      </c>
      <c r="F6770" s="52" t="s">
        <v>26</v>
      </c>
      <c r="G6770" s="55" t="s">
        <v>278</v>
      </c>
      <c r="H6770" s="55">
        <v>-0.13436799999999999</v>
      </c>
      <c r="I6770" s="55">
        <v>0</v>
      </c>
      <c r="J6770" s="55"/>
      <c r="K6770" s="55"/>
      <c r="L6770" s="55"/>
      <c r="M6770" s="55"/>
      <c r="N6770" s="55"/>
    </row>
    <row r="6771" spans="1:14" hidden="1" x14ac:dyDescent="0.35">
      <c r="A6771" s="52" t="s">
        <v>748</v>
      </c>
      <c r="B6771" s="52" t="s">
        <v>59</v>
      </c>
      <c r="C6771" s="52" t="s">
        <v>58</v>
      </c>
      <c r="D6771" s="52" t="s">
        <v>58</v>
      </c>
      <c r="E6771" s="52" t="s">
        <v>584</v>
      </c>
      <c r="F6771" s="52" t="s">
        <v>581</v>
      </c>
      <c r="G6771" s="55" t="s">
        <v>275</v>
      </c>
      <c r="H6771" s="55">
        <v>1.3836970000000001E-2</v>
      </c>
      <c r="I6771" s="55">
        <v>-24.596820000000001</v>
      </c>
      <c r="J6771" s="55">
        <v>-22.767209999999999</v>
      </c>
      <c r="K6771" s="55">
        <v>-0.28038610000000003</v>
      </c>
      <c r="L6771" s="55">
        <v>-4.7255839999999996</v>
      </c>
      <c r="M6771" s="55">
        <v>-15.039960000000001</v>
      </c>
      <c r="N6771" s="55">
        <v>-1.41472</v>
      </c>
    </row>
    <row r="6772" spans="1:14" hidden="1" x14ac:dyDescent="0.35">
      <c r="A6772" s="52" t="s">
        <v>748</v>
      </c>
      <c r="B6772" s="52" t="s">
        <v>59</v>
      </c>
      <c r="C6772" s="52" t="s">
        <v>58</v>
      </c>
      <c r="D6772" s="52" t="s">
        <v>58</v>
      </c>
      <c r="E6772" s="52" t="s">
        <v>584</v>
      </c>
      <c r="F6772" s="52" t="s">
        <v>581</v>
      </c>
      <c r="G6772" s="55" t="s">
        <v>276</v>
      </c>
      <c r="H6772" s="55">
        <v>11.10299</v>
      </c>
      <c r="I6772" s="55">
        <v>5.0454689999999998</v>
      </c>
      <c r="J6772" s="55">
        <v>4.0727719999999996</v>
      </c>
      <c r="K6772" s="55"/>
      <c r="L6772" s="55"/>
      <c r="M6772" s="55"/>
      <c r="N6772" s="55">
        <v>0</v>
      </c>
    </row>
    <row r="6773" spans="1:14" hidden="1" x14ac:dyDescent="0.35">
      <c r="A6773" s="52" t="s">
        <v>748</v>
      </c>
      <c r="B6773" s="52" t="s">
        <v>59</v>
      </c>
      <c r="C6773" s="52" t="s">
        <v>58</v>
      </c>
      <c r="D6773" s="52" t="s">
        <v>58</v>
      </c>
      <c r="E6773" s="52" t="s">
        <v>584</v>
      </c>
      <c r="F6773" s="52" t="s">
        <v>581</v>
      </c>
      <c r="G6773" s="55" t="s">
        <v>277</v>
      </c>
      <c r="H6773" s="55">
        <v>13.223050000000001</v>
      </c>
      <c r="I6773" s="55">
        <v>2.5321500000000001</v>
      </c>
      <c r="J6773" s="55">
        <v>0</v>
      </c>
      <c r="K6773" s="55">
        <v>0</v>
      </c>
      <c r="L6773" s="55">
        <v>0</v>
      </c>
      <c r="M6773" s="55">
        <v>0</v>
      </c>
      <c r="N6773" s="55">
        <v>0</v>
      </c>
    </row>
    <row r="6774" spans="1:14" hidden="1" x14ac:dyDescent="0.35">
      <c r="A6774" s="52" t="s">
        <v>748</v>
      </c>
      <c r="B6774" s="52" t="s">
        <v>59</v>
      </c>
      <c r="C6774" s="52" t="s">
        <v>58</v>
      </c>
      <c r="D6774" s="52" t="s">
        <v>58</v>
      </c>
      <c r="E6774" s="52" t="s">
        <v>584</v>
      </c>
      <c r="F6774" s="52" t="s">
        <v>581</v>
      </c>
      <c r="G6774" s="55" t="s">
        <v>278</v>
      </c>
      <c r="H6774" s="55">
        <v>8.5068500000000005E-2</v>
      </c>
      <c r="I6774" s="55">
        <v>8.5068489999999997E-2</v>
      </c>
      <c r="J6774" s="55">
        <v>0</v>
      </c>
      <c r="K6774" s="55">
        <v>0</v>
      </c>
      <c r="L6774" s="55">
        <v>0</v>
      </c>
      <c r="M6774" s="55">
        <v>0</v>
      </c>
      <c r="N6774" s="55">
        <v>0</v>
      </c>
    </row>
    <row r="6775" spans="1:14" hidden="1" x14ac:dyDescent="0.35">
      <c r="A6775" s="52" t="s">
        <v>748</v>
      </c>
      <c r="B6775" s="52" t="s">
        <v>59</v>
      </c>
      <c r="C6775" s="52" t="s">
        <v>58</v>
      </c>
      <c r="D6775" s="52" t="s">
        <v>58</v>
      </c>
      <c r="E6775" s="52" t="s">
        <v>584</v>
      </c>
      <c r="F6775" s="52" t="s">
        <v>581</v>
      </c>
      <c r="G6775" s="55" t="s">
        <v>279</v>
      </c>
      <c r="H6775" s="55">
        <v>70.601479999999995</v>
      </c>
      <c r="I6775" s="55">
        <v>57.577350000000003</v>
      </c>
      <c r="J6775" s="55">
        <v>52.197330000000001</v>
      </c>
      <c r="K6775" s="55">
        <v>1.574311</v>
      </c>
      <c r="L6775" s="55">
        <v>5.9922969999999998</v>
      </c>
      <c r="M6775" s="55">
        <v>16.122219999999999</v>
      </c>
      <c r="N6775" s="55">
        <v>1.4147190000000001</v>
      </c>
    </row>
    <row r="6776" spans="1:14" hidden="1" x14ac:dyDescent="0.35">
      <c r="A6776" s="52" t="s">
        <v>748</v>
      </c>
      <c r="B6776" s="52" t="s">
        <v>59</v>
      </c>
      <c r="C6776" s="52" t="s">
        <v>58</v>
      </c>
      <c r="D6776" s="52" t="s">
        <v>58</v>
      </c>
      <c r="E6776" s="52" t="s">
        <v>584</v>
      </c>
      <c r="F6776" s="52" t="s">
        <v>26</v>
      </c>
      <c r="G6776" s="55" t="s">
        <v>275</v>
      </c>
      <c r="H6776" s="55">
        <v>-1.7651600000000001</v>
      </c>
      <c r="I6776" s="55">
        <v>0</v>
      </c>
      <c r="J6776" s="55">
        <v>0</v>
      </c>
      <c r="K6776" s="55">
        <v>0</v>
      </c>
      <c r="L6776" s="55">
        <v>0</v>
      </c>
      <c r="M6776" s="55">
        <v>0</v>
      </c>
      <c r="N6776" s="55">
        <v>0</v>
      </c>
    </row>
    <row r="6777" spans="1:14" hidden="1" x14ac:dyDescent="0.35">
      <c r="A6777" s="52" t="s">
        <v>748</v>
      </c>
      <c r="B6777" s="52" t="s">
        <v>59</v>
      </c>
      <c r="C6777" s="52" t="s">
        <v>58</v>
      </c>
      <c r="D6777" s="52" t="s">
        <v>58</v>
      </c>
      <c r="E6777" s="52" t="s">
        <v>584</v>
      </c>
      <c r="F6777" s="52" t="s">
        <v>26</v>
      </c>
      <c r="G6777" s="55" t="s">
        <v>276</v>
      </c>
      <c r="H6777" s="55">
        <v>0.45230399999999998</v>
      </c>
      <c r="I6777" s="55">
        <v>0</v>
      </c>
      <c r="J6777" s="55"/>
      <c r="K6777" s="55"/>
      <c r="L6777" s="55"/>
      <c r="M6777" s="55"/>
      <c r="N6777" s="55"/>
    </row>
    <row r="6778" spans="1:14" hidden="1" x14ac:dyDescent="0.35">
      <c r="A6778" s="52" t="s">
        <v>748</v>
      </c>
      <c r="B6778" s="52" t="s">
        <v>59</v>
      </c>
      <c r="C6778" s="52" t="s">
        <v>58</v>
      </c>
      <c r="D6778" s="52" t="s">
        <v>58</v>
      </c>
      <c r="E6778" s="52" t="s">
        <v>584</v>
      </c>
      <c r="F6778" s="52" t="s">
        <v>26</v>
      </c>
      <c r="G6778" s="55" t="s">
        <v>277</v>
      </c>
      <c r="H6778" s="55"/>
      <c r="I6778" s="55"/>
      <c r="J6778" s="55"/>
      <c r="K6778" s="55"/>
      <c r="L6778" s="55"/>
      <c r="M6778" s="55"/>
      <c r="N6778" s="55">
        <v>0</v>
      </c>
    </row>
    <row r="6779" spans="1:14" hidden="1" x14ac:dyDescent="0.35">
      <c r="A6779" s="52" t="s">
        <v>748</v>
      </c>
      <c r="B6779" s="52" t="s">
        <v>59</v>
      </c>
      <c r="C6779" s="52" t="s">
        <v>58</v>
      </c>
      <c r="D6779" s="52" t="s">
        <v>58</v>
      </c>
      <c r="E6779" s="52" t="s">
        <v>584</v>
      </c>
      <c r="F6779" s="52" t="s">
        <v>26</v>
      </c>
      <c r="G6779" s="55" t="s">
        <v>278</v>
      </c>
      <c r="H6779" s="55"/>
      <c r="I6779" s="55"/>
      <c r="J6779" s="55">
        <v>0</v>
      </c>
      <c r="K6779" s="55">
        <v>0</v>
      </c>
      <c r="L6779" s="55">
        <v>0</v>
      </c>
      <c r="M6779" s="55">
        <v>0</v>
      </c>
      <c r="N6779" s="55">
        <v>0</v>
      </c>
    </row>
    <row r="6780" spans="1:14" hidden="1" x14ac:dyDescent="0.35">
      <c r="A6780" s="52" t="s">
        <v>748</v>
      </c>
      <c r="B6780" s="52" t="s">
        <v>59</v>
      </c>
      <c r="C6780" s="52" t="s">
        <v>58</v>
      </c>
      <c r="D6780" s="52" t="s">
        <v>58</v>
      </c>
      <c r="E6780" s="52" t="s">
        <v>584</v>
      </c>
      <c r="F6780" s="52" t="s">
        <v>26</v>
      </c>
      <c r="G6780" s="55" t="s">
        <v>279</v>
      </c>
      <c r="H6780" s="55">
        <v>2.5031310000000002</v>
      </c>
      <c r="I6780" s="55">
        <v>0</v>
      </c>
      <c r="J6780" s="55"/>
      <c r="K6780" s="55"/>
      <c r="L6780" s="55"/>
      <c r="M6780" s="55"/>
      <c r="N6780" s="55"/>
    </row>
    <row r="6781" spans="1:14" hidden="1" x14ac:dyDescent="0.35">
      <c r="A6781" s="52" t="s">
        <v>748</v>
      </c>
      <c r="B6781" s="52" t="s">
        <v>59</v>
      </c>
      <c r="C6781" s="52" t="s">
        <v>161</v>
      </c>
      <c r="D6781" s="52" t="s">
        <v>161</v>
      </c>
      <c r="E6781" s="52" t="s">
        <v>584</v>
      </c>
      <c r="F6781" s="52" t="s">
        <v>581</v>
      </c>
      <c r="G6781" s="55" t="s">
        <v>275</v>
      </c>
      <c r="H6781" s="55">
        <v>11.13143</v>
      </c>
      <c r="I6781" s="55">
        <v>-0.39762330000000001</v>
      </c>
      <c r="J6781" s="55">
        <v>-0.88833499999999999</v>
      </c>
      <c r="K6781" s="55">
        <v>-1.477565</v>
      </c>
      <c r="L6781" s="55">
        <v>-0.44197750000000002</v>
      </c>
      <c r="M6781" s="55">
        <v>0</v>
      </c>
      <c r="N6781" s="55"/>
    </row>
    <row r="6782" spans="1:14" hidden="1" x14ac:dyDescent="0.35">
      <c r="A6782" s="52" t="s">
        <v>748</v>
      </c>
      <c r="B6782" s="52" t="s">
        <v>59</v>
      </c>
      <c r="C6782" s="52" t="s">
        <v>161</v>
      </c>
      <c r="D6782" s="52" t="s">
        <v>161</v>
      </c>
      <c r="E6782" s="52" t="s">
        <v>584</v>
      </c>
      <c r="F6782" s="52" t="s">
        <v>581</v>
      </c>
      <c r="G6782" s="55" t="s">
        <v>276</v>
      </c>
      <c r="H6782" s="55">
        <v>0.7355334</v>
      </c>
      <c r="I6782" s="55">
        <v>0</v>
      </c>
      <c r="J6782" s="55"/>
      <c r="K6782" s="55"/>
      <c r="L6782" s="55"/>
      <c r="M6782" s="55"/>
      <c r="N6782" s="55"/>
    </row>
    <row r="6783" spans="1:14" hidden="1" x14ac:dyDescent="0.35">
      <c r="A6783" s="52" t="s">
        <v>748</v>
      </c>
      <c r="B6783" s="52" t="s">
        <v>59</v>
      </c>
      <c r="C6783" s="52" t="s">
        <v>161</v>
      </c>
      <c r="D6783" s="52" t="s">
        <v>161</v>
      </c>
      <c r="E6783" s="52" t="s">
        <v>584</v>
      </c>
      <c r="F6783" s="52" t="s">
        <v>581</v>
      </c>
      <c r="G6783" s="55" t="s">
        <v>277</v>
      </c>
      <c r="H6783" s="55">
        <v>0.47516350000000002</v>
      </c>
      <c r="I6783" s="55">
        <v>0.34910750000000002</v>
      </c>
      <c r="J6783" s="55">
        <v>0.25166189999999999</v>
      </c>
      <c r="K6783" s="55">
        <v>0.17489450000000001</v>
      </c>
      <c r="L6783" s="55"/>
      <c r="M6783" s="55"/>
      <c r="N6783" s="55"/>
    </row>
    <row r="6784" spans="1:14" hidden="1" x14ac:dyDescent="0.35">
      <c r="A6784" s="52" t="s">
        <v>748</v>
      </c>
      <c r="B6784" s="52" t="s">
        <v>59</v>
      </c>
      <c r="C6784" s="52" t="s">
        <v>161</v>
      </c>
      <c r="D6784" s="52" t="s">
        <v>161</v>
      </c>
      <c r="E6784" s="52" t="s">
        <v>584</v>
      </c>
      <c r="F6784" s="52" t="s">
        <v>581</v>
      </c>
      <c r="G6784" s="55" t="s">
        <v>279</v>
      </c>
      <c r="H6784" s="55">
        <v>11.63786</v>
      </c>
      <c r="I6784" s="55">
        <v>6.3397629999999996</v>
      </c>
      <c r="J6784" s="55">
        <v>5.2440319999999998</v>
      </c>
      <c r="K6784" s="55">
        <v>4.5848500000000003</v>
      </c>
      <c r="L6784" s="55">
        <v>0.94713349999999996</v>
      </c>
      <c r="M6784" s="55"/>
      <c r="N6784" s="55"/>
    </row>
    <row r="6785" spans="1:14" hidden="1" x14ac:dyDescent="0.35">
      <c r="A6785" s="52" t="s">
        <v>748</v>
      </c>
      <c r="B6785" s="52" t="s">
        <v>59</v>
      </c>
      <c r="C6785" s="52" t="s">
        <v>161</v>
      </c>
      <c r="D6785" s="52" t="s">
        <v>161</v>
      </c>
      <c r="E6785" s="52" t="s">
        <v>584</v>
      </c>
      <c r="F6785" s="52" t="s">
        <v>26</v>
      </c>
      <c r="G6785" s="55" t="s">
        <v>275</v>
      </c>
      <c r="H6785" s="55">
        <v>-1.765641</v>
      </c>
      <c r="I6785" s="55">
        <v>-0.56653540000000002</v>
      </c>
      <c r="J6785" s="55">
        <v>0.27531630000000001</v>
      </c>
      <c r="K6785" s="55">
        <v>6.9077189999999997E-2</v>
      </c>
      <c r="L6785" s="55">
        <v>-2.95687E-2</v>
      </c>
      <c r="M6785" s="55">
        <v>0</v>
      </c>
      <c r="N6785" s="55"/>
    </row>
    <row r="6786" spans="1:14" hidden="1" x14ac:dyDescent="0.35">
      <c r="A6786" s="52" t="s">
        <v>748</v>
      </c>
      <c r="B6786" s="52" t="s">
        <v>59</v>
      </c>
      <c r="C6786" s="52" t="s">
        <v>161</v>
      </c>
      <c r="D6786" s="52" t="s">
        <v>161</v>
      </c>
      <c r="E6786" s="52" t="s">
        <v>584</v>
      </c>
      <c r="F6786" s="52" t="s">
        <v>26</v>
      </c>
      <c r="G6786" s="55" t="s">
        <v>276</v>
      </c>
      <c r="H6786" s="55">
        <v>1.7905690000000001</v>
      </c>
      <c r="I6786" s="55">
        <v>0.98362499999999997</v>
      </c>
      <c r="J6786" s="55"/>
      <c r="K6786" s="55"/>
      <c r="L6786" s="55">
        <v>0</v>
      </c>
      <c r="M6786" s="55"/>
      <c r="N6786" s="55"/>
    </row>
    <row r="6787" spans="1:14" hidden="1" x14ac:dyDescent="0.35">
      <c r="A6787" s="52" t="s">
        <v>748</v>
      </c>
      <c r="B6787" s="52" t="s">
        <v>59</v>
      </c>
      <c r="C6787" s="52" t="s">
        <v>161</v>
      </c>
      <c r="D6787" s="52" t="s">
        <v>161</v>
      </c>
      <c r="E6787" s="52" t="s">
        <v>584</v>
      </c>
      <c r="F6787" s="52" t="s">
        <v>26</v>
      </c>
      <c r="G6787" s="55" t="s">
        <v>279</v>
      </c>
      <c r="H6787" s="55">
        <v>2.0816249999999998</v>
      </c>
      <c r="I6787" s="55">
        <v>3.4493589999999998</v>
      </c>
      <c r="J6787" s="55">
        <v>2.5815869999999999</v>
      </c>
      <c r="K6787" s="55">
        <v>1.9659850000000001</v>
      </c>
      <c r="L6787" s="55">
        <v>0.3427732</v>
      </c>
      <c r="M6787" s="55"/>
      <c r="N6787" s="55"/>
    </row>
    <row r="6788" spans="1:14" hidden="1" x14ac:dyDescent="0.35">
      <c r="A6788" s="52" t="s">
        <v>748</v>
      </c>
      <c r="B6788" s="52" t="s">
        <v>59</v>
      </c>
      <c r="C6788" s="52" t="s">
        <v>318</v>
      </c>
      <c r="D6788" s="52" t="s">
        <v>318</v>
      </c>
      <c r="E6788" s="52" t="s">
        <v>584</v>
      </c>
      <c r="F6788" s="52" t="s">
        <v>581</v>
      </c>
      <c r="G6788" s="55" t="s">
        <v>275</v>
      </c>
      <c r="H6788" s="55">
        <v>4.2941989999999999E-2</v>
      </c>
      <c r="I6788" s="55">
        <v>0</v>
      </c>
      <c r="J6788" s="55"/>
      <c r="K6788" s="55"/>
      <c r="L6788" s="55"/>
      <c r="M6788" s="55"/>
      <c r="N6788" s="55"/>
    </row>
    <row r="6789" spans="1:14" hidden="1" x14ac:dyDescent="0.35">
      <c r="A6789" s="52" t="s">
        <v>748</v>
      </c>
      <c r="B6789" s="52" t="s">
        <v>59</v>
      </c>
      <c r="C6789" s="52" t="s">
        <v>318</v>
      </c>
      <c r="D6789" s="52" t="s">
        <v>318</v>
      </c>
      <c r="E6789" s="52" t="s">
        <v>584</v>
      </c>
      <c r="F6789" s="52" t="s">
        <v>581</v>
      </c>
      <c r="G6789" s="55" t="s">
        <v>278</v>
      </c>
      <c r="H6789" s="55">
        <v>-4.2941989999999999E-2</v>
      </c>
      <c r="I6789" s="55">
        <v>0</v>
      </c>
      <c r="J6789" s="55"/>
      <c r="K6789" s="55"/>
      <c r="L6789" s="55"/>
      <c r="M6789" s="55"/>
      <c r="N6789" s="55"/>
    </row>
    <row r="6790" spans="1:14" hidden="1" x14ac:dyDescent="0.35">
      <c r="A6790" s="52" t="s">
        <v>748</v>
      </c>
      <c r="B6790" s="52" t="s">
        <v>59</v>
      </c>
      <c r="C6790" s="52" t="s">
        <v>318</v>
      </c>
      <c r="D6790" s="52" t="s">
        <v>318</v>
      </c>
      <c r="E6790" s="52" t="s">
        <v>584</v>
      </c>
      <c r="F6790" s="52" t="s">
        <v>26</v>
      </c>
      <c r="G6790" s="55" t="s">
        <v>275</v>
      </c>
      <c r="H6790" s="55">
        <v>2.8628000000000001E-2</v>
      </c>
      <c r="I6790" s="55">
        <v>0</v>
      </c>
      <c r="J6790" s="55"/>
      <c r="K6790" s="55"/>
      <c r="L6790" s="55"/>
      <c r="M6790" s="55"/>
      <c r="N6790" s="55"/>
    </row>
    <row r="6791" spans="1:14" hidden="1" x14ac:dyDescent="0.35">
      <c r="A6791" s="52" t="s">
        <v>748</v>
      </c>
      <c r="B6791" s="52" t="s">
        <v>59</v>
      </c>
      <c r="C6791" s="52" t="s">
        <v>318</v>
      </c>
      <c r="D6791" s="52" t="s">
        <v>318</v>
      </c>
      <c r="E6791" s="52" t="s">
        <v>584</v>
      </c>
      <c r="F6791" s="52" t="s">
        <v>26</v>
      </c>
      <c r="G6791" s="55" t="s">
        <v>278</v>
      </c>
      <c r="H6791" s="55">
        <v>-2.8628000000000001E-2</v>
      </c>
      <c r="I6791" s="55">
        <v>0</v>
      </c>
      <c r="J6791" s="55"/>
      <c r="K6791" s="55"/>
      <c r="L6791" s="55"/>
      <c r="M6791" s="55"/>
      <c r="N6791" s="55"/>
    </row>
    <row r="6792" spans="1:14" hidden="1" x14ac:dyDescent="0.35">
      <c r="A6792" s="52" t="s">
        <v>751</v>
      </c>
      <c r="B6792" s="52" t="s">
        <v>245</v>
      </c>
      <c r="C6792" s="52" t="s">
        <v>244</v>
      </c>
      <c r="D6792" s="52" t="s">
        <v>244</v>
      </c>
      <c r="E6792" s="52" t="s">
        <v>584</v>
      </c>
      <c r="F6792" s="52" t="s">
        <v>581</v>
      </c>
      <c r="G6792" s="55" t="s">
        <v>275</v>
      </c>
      <c r="H6792" s="55">
        <v>5.487628</v>
      </c>
      <c r="I6792" s="55">
        <v>2.414965</v>
      </c>
      <c r="J6792" s="55">
        <v>1.3083340000000001</v>
      </c>
      <c r="K6792" s="55">
        <v>1.7398579999999999</v>
      </c>
      <c r="L6792" s="55">
        <v>2.3453499999999998</v>
      </c>
      <c r="M6792" s="55">
        <v>2.5120339999999999</v>
      </c>
      <c r="N6792" s="55">
        <v>1.745871</v>
      </c>
    </row>
    <row r="6793" spans="1:14" hidden="1" x14ac:dyDescent="0.35">
      <c r="A6793" s="52" t="s">
        <v>751</v>
      </c>
      <c r="B6793" s="52" t="s">
        <v>245</v>
      </c>
      <c r="C6793" s="52" t="s">
        <v>244</v>
      </c>
      <c r="D6793" s="52" t="s">
        <v>244</v>
      </c>
      <c r="E6793" s="52" t="s">
        <v>584</v>
      </c>
      <c r="F6793" s="52" t="s">
        <v>581</v>
      </c>
      <c r="G6793" s="55" t="s">
        <v>276</v>
      </c>
      <c r="H6793" s="55">
        <v>1.6406130000000001</v>
      </c>
      <c r="I6793" s="55">
        <v>0.73207390000000006</v>
      </c>
      <c r="J6793" s="55">
        <v>1.777919</v>
      </c>
      <c r="K6793" s="55">
        <v>1.8679140000000001</v>
      </c>
      <c r="L6793" s="55">
        <v>1.9947280000000001</v>
      </c>
      <c r="M6793" s="55">
        <v>1.9766170000000001</v>
      </c>
      <c r="N6793" s="55">
        <v>1.7203870000000001</v>
      </c>
    </row>
    <row r="6794" spans="1:14" hidden="1" x14ac:dyDescent="0.35">
      <c r="A6794" s="52" t="s">
        <v>751</v>
      </c>
      <c r="B6794" s="52" t="s">
        <v>245</v>
      </c>
      <c r="C6794" s="52" t="s">
        <v>244</v>
      </c>
      <c r="D6794" s="52" t="s">
        <v>244</v>
      </c>
      <c r="E6794" s="52" t="s">
        <v>584</v>
      </c>
      <c r="F6794" s="52" t="s">
        <v>581</v>
      </c>
      <c r="G6794" s="55" t="s">
        <v>277</v>
      </c>
      <c r="H6794" s="55">
        <v>4.8340249999999996E-3</v>
      </c>
      <c r="I6794" s="55">
        <v>3.5905729999999997E-2</v>
      </c>
      <c r="J6794" s="55">
        <v>1.018518E-2</v>
      </c>
      <c r="K6794" s="55">
        <v>2.3831450000000001E-2</v>
      </c>
      <c r="L6794" s="55">
        <v>6.6420839999999995E-2</v>
      </c>
      <c r="M6794" s="55">
        <v>0.14417199999999999</v>
      </c>
      <c r="N6794" s="55">
        <v>0.26427630000000002</v>
      </c>
    </row>
    <row r="6795" spans="1:14" hidden="1" x14ac:dyDescent="0.35">
      <c r="A6795" s="52" t="s">
        <v>751</v>
      </c>
      <c r="B6795" s="52" t="s">
        <v>245</v>
      </c>
      <c r="C6795" s="52" t="s">
        <v>244</v>
      </c>
      <c r="D6795" s="52" t="s">
        <v>244</v>
      </c>
      <c r="E6795" s="52" t="s">
        <v>584</v>
      </c>
      <c r="F6795" s="52" t="s">
        <v>581</v>
      </c>
      <c r="G6795" s="55" t="s">
        <v>279</v>
      </c>
      <c r="H6795" s="55">
        <v>0.72721800000000003</v>
      </c>
      <c r="I6795" s="55">
        <v>0.63719919999999997</v>
      </c>
      <c r="J6795" s="55">
        <v>0.64650160000000001</v>
      </c>
      <c r="K6795" s="55">
        <v>0.91962080000000002</v>
      </c>
      <c r="L6795" s="55">
        <v>1.162695</v>
      </c>
      <c r="M6795" s="55">
        <v>1.245036</v>
      </c>
      <c r="N6795" s="55">
        <v>1.0560929999999999</v>
      </c>
    </row>
    <row r="6796" spans="1:14" hidden="1" x14ac:dyDescent="0.35">
      <c r="A6796" s="52" t="s">
        <v>751</v>
      </c>
      <c r="B6796" s="52" t="s">
        <v>245</v>
      </c>
      <c r="C6796" s="52" t="s">
        <v>244</v>
      </c>
      <c r="D6796" s="52" t="s">
        <v>244</v>
      </c>
      <c r="E6796" s="52" t="s">
        <v>584</v>
      </c>
      <c r="F6796" s="52" t="s">
        <v>26</v>
      </c>
      <c r="G6796" s="55" t="s">
        <v>275</v>
      </c>
      <c r="H6796" s="55">
        <v>331.3956</v>
      </c>
      <c r="I6796" s="55">
        <v>334.69389999999999</v>
      </c>
      <c r="J6796" s="55">
        <v>187.45740000000001</v>
      </c>
      <c r="K6796" s="55">
        <v>191.01310000000001</v>
      </c>
      <c r="L6796" s="55">
        <v>192.7159</v>
      </c>
      <c r="M6796" s="55">
        <v>180.3218</v>
      </c>
      <c r="N6796" s="55">
        <v>162.5462</v>
      </c>
    </row>
    <row r="6797" spans="1:14" hidden="1" x14ac:dyDescent="0.35">
      <c r="A6797" s="52" t="s">
        <v>751</v>
      </c>
      <c r="B6797" s="52" t="s">
        <v>245</v>
      </c>
      <c r="C6797" s="52" t="s">
        <v>244</v>
      </c>
      <c r="D6797" s="52" t="s">
        <v>244</v>
      </c>
      <c r="E6797" s="52" t="s">
        <v>584</v>
      </c>
      <c r="F6797" s="52" t="s">
        <v>26</v>
      </c>
      <c r="G6797" s="55" t="s">
        <v>276</v>
      </c>
      <c r="H6797" s="55">
        <v>89.035160000000005</v>
      </c>
      <c r="I6797" s="55">
        <v>99.55283</v>
      </c>
      <c r="J6797" s="55">
        <v>262.42360000000002</v>
      </c>
      <c r="K6797" s="55">
        <v>274.55470000000003</v>
      </c>
      <c r="L6797" s="55">
        <v>285.85989999999998</v>
      </c>
      <c r="M6797" s="55">
        <v>294.8689</v>
      </c>
      <c r="N6797" s="55">
        <v>302.47890000000001</v>
      </c>
    </row>
    <row r="6798" spans="1:14" hidden="1" x14ac:dyDescent="0.35">
      <c r="A6798" s="52" t="s">
        <v>751</v>
      </c>
      <c r="B6798" s="52" t="s">
        <v>245</v>
      </c>
      <c r="C6798" s="52" t="s">
        <v>244</v>
      </c>
      <c r="D6798" s="52" t="s">
        <v>244</v>
      </c>
      <c r="E6798" s="52" t="s">
        <v>584</v>
      </c>
      <c r="F6798" s="52" t="s">
        <v>26</v>
      </c>
      <c r="G6798" s="55" t="s">
        <v>277</v>
      </c>
      <c r="H6798" s="55">
        <v>21.326540000000001</v>
      </c>
      <c r="I6798" s="55">
        <v>25.780419999999999</v>
      </c>
      <c r="J6798" s="55">
        <v>22.1493</v>
      </c>
      <c r="K6798" s="55">
        <v>23.717870000000001</v>
      </c>
      <c r="L6798" s="55">
        <v>38.54636</v>
      </c>
      <c r="M6798" s="55">
        <v>62.198329999999999</v>
      </c>
      <c r="N6798" s="55">
        <v>85.649190000000004</v>
      </c>
    </row>
    <row r="6799" spans="1:14" hidden="1" x14ac:dyDescent="0.35">
      <c r="A6799" s="52" t="s">
        <v>751</v>
      </c>
      <c r="B6799" s="52" t="s">
        <v>245</v>
      </c>
      <c r="C6799" s="52" t="s">
        <v>244</v>
      </c>
      <c r="D6799" s="52" t="s">
        <v>244</v>
      </c>
      <c r="E6799" s="52" t="s">
        <v>584</v>
      </c>
      <c r="F6799" s="52" t="s">
        <v>26</v>
      </c>
      <c r="G6799" s="55" t="s">
        <v>278</v>
      </c>
      <c r="H6799" s="55">
        <v>0.18635940000000001</v>
      </c>
      <c r="I6799" s="55">
        <v>0.1482446</v>
      </c>
      <c r="J6799" s="55">
        <v>6.2462249999999997E-2</v>
      </c>
      <c r="K6799" s="55">
        <v>6.2462249999999997E-2</v>
      </c>
      <c r="L6799" s="55">
        <v>2.9318960000000002E-2</v>
      </c>
      <c r="M6799" s="55">
        <v>2.9318960000000002E-2</v>
      </c>
      <c r="N6799" s="55">
        <v>2.9318960000000002E-2</v>
      </c>
    </row>
    <row r="6800" spans="1:14" hidden="1" x14ac:dyDescent="0.35">
      <c r="A6800" s="52" t="s">
        <v>751</v>
      </c>
      <c r="B6800" s="52" t="s">
        <v>245</v>
      </c>
      <c r="C6800" s="52" t="s">
        <v>244</v>
      </c>
      <c r="D6800" s="52" t="s">
        <v>244</v>
      </c>
      <c r="E6800" s="52" t="s">
        <v>584</v>
      </c>
      <c r="F6800" s="52" t="s">
        <v>26</v>
      </c>
      <c r="G6800" s="55" t="s">
        <v>279</v>
      </c>
      <c r="H6800" s="55">
        <v>76.916439999999994</v>
      </c>
      <c r="I6800" s="55">
        <v>71.656270000000006</v>
      </c>
      <c r="J6800" s="55">
        <v>74.824020000000004</v>
      </c>
      <c r="K6800" s="55">
        <v>86.990780000000001</v>
      </c>
      <c r="L6800" s="55">
        <v>92.869960000000006</v>
      </c>
      <c r="M6800" s="55">
        <v>96.902410000000003</v>
      </c>
      <c r="N6800" s="55">
        <v>99.475089999999994</v>
      </c>
    </row>
    <row r="6801" spans="1:14" hidden="1" x14ac:dyDescent="0.35">
      <c r="A6801" s="52" t="s">
        <v>751</v>
      </c>
      <c r="B6801" s="52" t="s">
        <v>245</v>
      </c>
      <c r="C6801" s="52" t="s">
        <v>247</v>
      </c>
      <c r="D6801" s="52" t="s">
        <v>247</v>
      </c>
      <c r="E6801" s="52" t="s">
        <v>584</v>
      </c>
      <c r="F6801" s="52" t="s">
        <v>26</v>
      </c>
      <c r="G6801" s="55" t="s">
        <v>275</v>
      </c>
      <c r="H6801" s="55">
        <v>-8.4144370000000003E-3</v>
      </c>
      <c r="I6801" s="55">
        <v>-8.4144370000000003E-3</v>
      </c>
      <c r="J6801" s="55">
        <v>0</v>
      </c>
      <c r="K6801" s="55">
        <v>0</v>
      </c>
      <c r="L6801" s="55">
        <v>0</v>
      </c>
      <c r="M6801" s="55">
        <v>0</v>
      </c>
      <c r="N6801" s="55">
        <v>0</v>
      </c>
    </row>
    <row r="6802" spans="1:14" hidden="1" x14ac:dyDescent="0.35">
      <c r="A6802" s="52" t="s">
        <v>751</v>
      </c>
      <c r="B6802" s="52" t="s">
        <v>245</v>
      </c>
      <c r="C6802" s="52" t="s">
        <v>247</v>
      </c>
      <c r="D6802" s="52" t="s">
        <v>247</v>
      </c>
      <c r="E6802" s="52" t="s">
        <v>584</v>
      </c>
      <c r="F6802" s="52" t="s">
        <v>26</v>
      </c>
      <c r="G6802" s="55" t="s">
        <v>277</v>
      </c>
      <c r="H6802" s="55"/>
      <c r="I6802" s="55"/>
      <c r="J6802" s="55"/>
      <c r="K6802" s="55"/>
      <c r="L6802" s="55"/>
      <c r="M6802" s="55">
        <v>0</v>
      </c>
      <c r="N6802" s="55">
        <v>0</v>
      </c>
    </row>
    <row r="6803" spans="1:14" hidden="1" x14ac:dyDescent="0.35">
      <c r="A6803" s="52" t="s">
        <v>751</v>
      </c>
      <c r="B6803" s="52" t="s">
        <v>245</v>
      </c>
      <c r="C6803" s="52" t="s">
        <v>247</v>
      </c>
      <c r="D6803" s="52" t="s">
        <v>247</v>
      </c>
      <c r="E6803" s="52" t="s">
        <v>584</v>
      </c>
      <c r="F6803" s="52" t="s">
        <v>26</v>
      </c>
      <c r="G6803" s="55" t="s">
        <v>278</v>
      </c>
      <c r="H6803" s="55">
        <v>8.4144370000000003E-3</v>
      </c>
      <c r="I6803" s="55">
        <v>8.4144370000000003E-3</v>
      </c>
      <c r="J6803" s="55">
        <v>0</v>
      </c>
      <c r="K6803" s="55">
        <v>0</v>
      </c>
      <c r="L6803" s="55">
        <v>0</v>
      </c>
      <c r="M6803" s="55">
        <v>0</v>
      </c>
      <c r="N6803" s="55"/>
    </row>
    <row r="6804" spans="1:14" hidden="1" x14ac:dyDescent="0.35">
      <c r="A6804" s="52" t="s">
        <v>729</v>
      </c>
      <c r="B6804" s="52" t="s">
        <v>37</v>
      </c>
      <c r="C6804" s="52" t="s">
        <v>218</v>
      </c>
      <c r="D6804" s="52" t="s">
        <v>218</v>
      </c>
      <c r="E6804" s="52" t="s">
        <v>593</v>
      </c>
      <c r="F6804" s="52" t="s">
        <v>581</v>
      </c>
      <c r="G6804" s="55" t="s">
        <v>275</v>
      </c>
      <c r="H6804" s="55">
        <v>96.722499999999997</v>
      </c>
      <c r="I6804" s="55">
        <v>128.7259</v>
      </c>
      <c r="J6804" s="55">
        <v>234.5565</v>
      </c>
      <c r="K6804" s="55">
        <v>182.7653</v>
      </c>
      <c r="L6804" s="55">
        <v>112.9819</v>
      </c>
      <c r="M6804" s="55">
        <v>13.283239999999999</v>
      </c>
      <c r="N6804" s="55">
        <v>15.46044</v>
      </c>
    </row>
    <row r="6805" spans="1:14" hidden="1" x14ac:dyDescent="0.35">
      <c r="A6805" s="52" t="s">
        <v>729</v>
      </c>
      <c r="B6805" s="52" t="s">
        <v>37</v>
      </c>
      <c r="C6805" s="52" t="s">
        <v>218</v>
      </c>
      <c r="D6805" s="52" t="s">
        <v>218</v>
      </c>
      <c r="E6805" s="52" t="s">
        <v>593</v>
      </c>
      <c r="F6805" s="52" t="s">
        <v>581</v>
      </c>
      <c r="G6805" s="55" t="s">
        <v>276</v>
      </c>
      <c r="H6805" s="55">
        <v>13.06366</v>
      </c>
      <c r="I6805" s="55">
        <v>-38.947870000000002</v>
      </c>
      <c r="J6805" s="55">
        <v>-65.922330000000002</v>
      </c>
      <c r="K6805" s="55">
        <v>-41.567900000000002</v>
      </c>
      <c r="L6805" s="55">
        <v>-15.84196</v>
      </c>
      <c r="M6805" s="55">
        <v>16.59723</v>
      </c>
      <c r="N6805" s="55">
        <v>28.614380000000001</v>
      </c>
    </row>
    <row r="6806" spans="1:14" hidden="1" x14ac:dyDescent="0.35">
      <c r="A6806" s="52" t="s">
        <v>729</v>
      </c>
      <c r="B6806" s="52" t="s">
        <v>37</v>
      </c>
      <c r="C6806" s="52" t="s">
        <v>218</v>
      </c>
      <c r="D6806" s="52" t="s">
        <v>218</v>
      </c>
      <c r="E6806" s="52" t="s">
        <v>593</v>
      </c>
      <c r="F6806" s="52" t="s">
        <v>581</v>
      </c>
      <c r="G6806" s="55" t="s">
        <v>277</v>
      </c>
      <c r="H6806" s="55">
        <v>561.70960000000002</v>
      </c>
      <c r="I6806" s="55">
        <v>173.68620000000001</v>
      </c>
      <c r="J6806" s="55">
        <v>63.012419999999999</v>
      </c>
      <c r="K6806" s="55">
        <v>46.307810000000003</v>
      </c>
      <c r="L6806" s="55">
        <v>79.326549999999997</v>
      </c>
      <c r="M6806" s="55">
        <v>136.38919999999999</v>
      </c>
      <c r="N6806" s="55">
        <v>173.29390000000001</v>
      </c>
    </row>
    <row r="6807" spans="1:14" hidden="1" x14ac:dyDescent="0.35">
      <c r="A6807" s="52" t="s">
        <v>729</v>
      </c>
      <c r="B6807" s="52" t="s">
        <v>37</v>
      </c>
      <c r="C6807" s="52" t="s">
        <v>218</v>
      </c>
      <c r="D6807" s="52" t="s">
        <v>218</v>
      </c>
      <c r="E6807" s="52" t="s">
        <v>593</v>
      </c>
      <c r="F6807" s="52" t="s">
        <v>581</v>
      </c>
      <c r="G6807" s="55" t="s">
        <v>278</v>
      </c>
      <c r="H6807" s="55">
        <v>3.3404120000000002</v>
      </c>
      <c r="I6807" s="55">
        <v>2.373964</v>
      </c>
      <c r="J6807" s="55">
        <v>22.795259999999999</v>
      </c>
      <c r="K6807" s="55">
        <v>34.992739999999998</v>
      </c>
      <c r="L6807" s="55">
        <v>46.781680000000001</v>
      </c>
      <c r="M6807" s="55">
        <v>64.409180000000006</v>
      </c>
      <c r="N6807" s="55">
        <v>56.613250000000001</v>
      </c>
    </row>
    <row r="6808" spans="1:14" hidden="1" x14ac:dyDescent="0.35">
      <c r="A6808" s="52" t="s">
        <v>729</v>
      </c>
      <c r="B6808" s="52" t="s">
        <v>37</v>
      </c>
      <c r="C6808" s="52" t="s">
        <v>218</v>
      </c>
      <c r="D6808" s="52" t="s">
        <v>218</v>
      </c>
      <c r="E6808" s="52" t="s">
        <v>593</v>
      </c>
      <c r="F6808" s="52" t="s">
        <v>581</v>
      </c>
      <c r="G6808" s="55" t="s">
        <v>279</v>
      </c>
      <c r="H6808" s="55">
        <v>204.4385</v>
      </c>
      <c r="I6808" s="55">
        <v>156.7962</v>
      </c>
      <c r="J6808" s="55">
        <v>142.51320000000001</v>
      </c>
      <c r="K6808" s="55">
        <v>129.0746</v>
      </c>
      <c r="L6808" s="55">
        <v>118.8348</v>
      </c>
      <c r="M6808" s="55">
        <v>148.3691</v>
      </c>
      <c r="N6808" s="55">
        <v>173.6491</v>
      </c>
    </row>
    <row r="6809" spans="1:14" hidden="1" x14ac:dyDescent="0.35">
      <c r="A6809" s="52" t="s">
        <v>729</v>
      </c>
      <c r="B6809" s="52" t="s">
        <v>37</v>
      </c>
      <c r="C6809" s="52" t="s">
        <v>218</v>
      </c>
      <c r="D6809" s="52" t="s">
        <v>218</v>
      </c>
      <c r="E6809" s="52" t="s">
        <v>593</v>
      </c>
      <c r="F6809" s="52" t="s">
        <v>26</v>
      </c>
      <c r="G6809" s="55" t="s">
        <v>275</v>
      </c>
      <c r="H6809" s="55">
        <v>19.691230000000001</v>
      </c>
      <c r="I6809" s="55">
        <v>12.26667</v>
      </c>
      <c r="J6809" s="55">
        <v>16.42803</v>
      </c>
      <c r="K6809" s="55">
        <v>12.410489999999999</v>
      </c>
      <c r="L6809" s="55">
        <v>13.30381</v>
      </c>
      <c r="M6809" s="55">
        <v>8.9688890000000008</v>
      </c>
      <c r="N6809" s="55">
        <v>10.612920000000001</v>
      </c>
    </row>
    <row r="6810" spans="1:14" hidden="1" x14ac:dyDescent="0.35">
      <c r="A6810" s="52" t="s">
        <v>729</v>
      </c>
      <c r="B6810" s="52" t="s">
        <v>37</v>
      </c>
      <c r="C6810" s="52" t="s">
        <v>218</v>
      </c>
      <c r="D6810" s="52" t="s">
        <v>218</v>
      </c>
      <c r="E6810" s="52" t="s">
        <v>593</v>
      </c>
      <c r="F6810" s="52" t="s">
        <v>26</v>
      </c>
      <c r="G6810" s="55" t="s">
        <v>276</v>
      </c>
      <c r="H6810" s="55">
        <v>5.2343599999999997</v>
      </c>
      <c r="I6810" s="55">
        <v>3.2607680000000001</v>
      </c>
      <c r="J6810" s="55">
        <v>4.3669380000000002</v>
      </c>
      <c r="K6810" s="55">
        <v>3.298997</v>
      </c>
      <c r="L6810" s="55">
        <v>3.536451</v>
      </c>
      <c r="M6810" s="55">
        <v>2.3841380000000001</v>
      </c>
      <c r="N6810" s="55">
        <v>2.8211590000000002</v>
      </c>
    </row>
    <row r="6811" spans="1:14" hidden="1" x14ac:dyDescent="0.35">
      <c r="A6811" s="52" t="s">
        <v>729</v>
      </c>
      <c r="B6811" s="52" t="s">
        <v>37</v>
      </c>
      <c r="C6811" s="52" t="s">
        <v>218</v>
      </c>
      <c r="D6811" s="52" t="s">
        <v>218</v>
      </c>
      <c r="E6811" s="52" t="s">
        <v>593</v>
      </c>
      <c r="F6811" s="52" t="s">
        <v>26</v>
      </c>
      <c r="G6811" s="55" t="s">
        <v>279</v>
      </c>
      <c r="H6811" s="55">
        <v>93.724950000000007</v>
      </c>
      <c r="I6811" s="55">
        <v>70.998260000000002</v>
      </c>
      <c r="J6811" s="55">
        <v>64.977170000000001</v>
      </c>
      <c r="K6811" s="55">
        <v>59.591090000000001</v>
      </c>
      <c r="L6811" s="55">
        <v>55.915869999999998</v>
      </c>
      <c r="M6811" s="55">
        <v>68.588229999999996</v>
      </c>
      <c r="N6811" s="55">
        <v>80.138570000000001</v>
      </c>
    </row>
    <row r="6812" spans="1:14" hidden="1" x14ac:dyDescent="0.35">
      <c r="A6812" s="52" t="s">
        <v>729</v>
      </c>
      <c r="B6812" s="52" t="s">
        <v>37</v>
      </c>
      <c r="C6812" s="52" t="s">
        <v>218</v>
      </c>
      <c r="D6812" s="52" t="s">
        <v>218</v>
      </c>
      <c r="E6812" s="52" t="s">
        <v>730</v>
      </c>
      <c r="F6812" s="52" t="s">
        <v>581</v>
      </c>
      <c r="G6812" s="55" t="s">
        <v>275</v>
      </c>
      <c r="H6812" s="55">
        <v>-6.6074630000000001</v>
      </c>
      <c r="I6812" s="55">
        <v>-5.1212229999999996</v>
      </c>
      <c r="J6812" s="55">
        <v>-3.1061450000000002</v>
      </c>
      <c r="K6812" s="55">
        <v>3.1859519999999999</v>
      </c>
      <c r="L6812" s="55">
        <v>3.7030289999999999</v>
      </c>
      <c r="M6812" s="55">
        <v>4.1245710000000004</v>
      </c>
      <c r="N6812" s="55">
        <v>3.1932659999999999</v>
      </c>
    </row>
    <row r="6813" spans="1:14" hidden="1" x14ac:dyDescent="0.35">
      <c r="A6813" s="52" t="s">
        <v>729</v>
      </c>
      <c r="B6813" s="52" t="s">
        <v>37</v>
      </c>
      <c r="C6813" s="52" t="s">
        <v>218</v>
      </c>
      <c r="D6813" s="52" t="s">
        <v>218</v>
      </c>
      <c r="E6813" s="52" t="s">
        <v>730</v>
      </c>
      <c r="F6813" s="52" t="s">
        <v>581</v>
      </c>
      <c r="G6813" s="55" t="s">
        <v>276</v>
      </c>
      <c r="H6813" s="55">
        <v>0.68959599999999999</v>
      </c>
      <c r="I6813" s="55">
        <v>-0.46806799999999998</v>
      </c>
      <c r="J6813" s="55">
        <v>-0.72231330000000005</v>
      </c>
      <c r="K6813" s="55">
        <v>-0.95483200000000001</v>
      </c>
      <c r="L6813" s="55">
        <v>-0.97606119999999996</v>
      </c>
      <c r="M6813" s="55">
        <v>-0.5983927</v>
      </c>
      <c r="N6813" s="55">
        <v>-0.47995840000000001</v>
      </c>
    </row>
    <row r="6814" spans="1:14" hidden="1" x14ac:dyDescent="0.35">
      <c r="A6814" s="52" t="s">
        <v>729</v>
      </c>
      <c r="B6814" s="52" t="s">
        <v>37</v>
      </c>
      <c r="C6814" s="52" t="s">
        <v>218</v>
      </c>
      <c r="D6814" s="52" t="s">
        <v>218</v>
      </c>
      <c r="E6814" s="52" t="s">
        <v>730</v>
      </c>
      <c r="F6814" s="52" t="s">
        <v>581</v>
      </c>
      <c r="G6814" s="55" t="s">
        <v>277</v>
      </c>
      <c r="H6814" s="55">
        <v>15.361370000000001</v>
      </c>
      <c r="I6814" s="55">
        <v>10.32282</v>
      </c>
      <c r="J6814" s="55">
        <v>7.582001</v>
      </c>
      <c r="K6814" s="55">
        <v>3.2629009999999998</v>
      </c>
      <c r="L6814" s="55">
        <v>2.5621170000000002</v>
      </c>
      <c r="M6814" s="55">
        <v>0</v>
      </c>
      <c r="N6814" s="55">
        <v>0</v>
      </c>
    </row>
    <row r="6815" spans="1:14" hidden="1" x14ac:dyDescent="0.35">
      <c r="A6815" s="52" t="s">
        <v>729</v>
      </c>
      <c r="B6815" s="52" t="s">
        <v>37</v>
      </c>
      <c r="C6815" s="52" t="s">
        <v>218</v>
      </c>
      <c r="D6815" s="52" t="s">
        <v>218</v>
      </c>
      <c r="E6815" s="52" t="s">
        <v>730</v>
      </c>
      <c r="F6815" s="52" t="s">
        <v>581</v>
      </c>
      <c r="G6815" s="55" t="s">
        <v>278</v>
      </c>
      <c r="H6815" s="55">
        <v>0.118629</v>
      </c>
      <c r="I6815" s="55">
        <v>0.15601100000000001</v>
      </c>
      <c r="J6815" s="55">
        <v>2.5864319999999998</v>
      </c>
      <c r="K6815" s="55">
        <v>1.575996</v>
      </c>
      <c r="L6815" s="55">
        <v>8.1063899999999994E-2</v>
      </c>
      <c r="M6815" s="55">
        <v>0</v>
      </c>
      <c r="N6815" s="55"/>
    </row>
    <row r="6816" spans="1:14" hidden="1" x14ac:dyDescent="0.35">
      <c r="A6816" s="52" t="s">
        <v>729</v>
      </c>
      <c r="B6816" s="52" t="s">
        <v>37</v>
      </c>
      <c r="C6816" s="52" t="s">
        <v>218</v>
      </c>
      <c r="D6816" s="52" t="s">
        <v>218</v>
      </c>
      <c r="E6816" s="52" t="s">
        <v>730</v>
      </c>
      <c r="F6816" s="52" t="s">
        <v>581</v>
      </c>
      <c r="G6816" s="55" t="s">
        <v>279</v>
      </c>
      <c r="H6816" s="55">
        <v>3.4259499999999998</v>
      </c>
      <c r="I6816" s="55">
        <v>3.6357270000000002</v>
      </c>
      <c r="J6816" s="55">
        <v>4.3343499999999997</v>
      </c>
      <c r="K6816" s="55">
        <v>4.9945019999999998</v>
      </c>
      <c r="L6816" s="55">
        <v>3.395861</v>
      </c>
      <c r="M6816" s="55">
        <v>2.88489</v>
      </c>
      <c r="N6816" s="55">
        <v>2.2051419999999999</v>
      </c>
    </row>
    <row r="6817" spans="1:14" hidden="1" x14ac:dyDescent="0.35">
      <c r="A6817" s="52" t="s">
        <v>729</v>
      </c>
      <c r="B6817" s="52" t="s">
        <v>37</v>
      </c>
      <c r="C6817" s="52" t="s">
        <v>218</v>
      </c>
      <c r="D6817" s="52" t="s">
        <v>218</v>
      </c>
      <c r="E6817" s="52" t="s">
        <v>730</v>
      </c>
      <c r="F6817" s="52" t="s">
        <v>26</v>
      </c>
      <c r="G6817" s="55" t="s">
        <v>275</v>
      </c>
      <c r="H6817" s="55">
        <v>0.175569</v>
      </c>
      <c r="I6817" s="55">
        <v>0.14243900000000001</v>
      </c>
      <c r="J6817" s="55">
        <v>0.25481310000000001</v>
      </c>
      <c r="K6817" s="55">
        <v>0.24371870000000001</v>
      </c>
      <c r="L6817" s="55">
        <v>0.19500590000000001</v>
      </c>
      <c r="M6817" s="55">
        <v>8.5119100000000003E-2</v>
      </c>
      <c r="N6817" s="55">
        <v>6.47596E-2</v>
      </c>
    </row>
    <row r="6818" spans="1:14" hidden="1" x14ac:dyDescent="0.35">
      <c r="A6818" s="52" t="s">
        <v>729</v>
      </c>
      <c r="B6818" s="52" t="s">
        <v>37</v>
      </c>
      <c r="C6818" s="52" t="s">
        <v>218</v>
      </c>
      <c r="D6818" s="52" t="s">
        <v>218</v>
      </c>
      <c r="E6818" s="52" t="s">
        <v>730</v>
      </c>
      <c r="F6818" s="52" t="s">
        <v>26</v>
      </c>
      <c r="G6818" s="55" t="s">
        <v>276</v>
      </c>
      <c r="H6818" s="55">
        <v>4.6670999999999997E-2</v>
      </c>
      <c r="I6818" s="55">
        <v>3.7863000000000001E-2</v>
      </c>
      <c r="J6818" s="55">
        <v>6.7735299999999998E-2</v>
      </c>
      <c r="K6818" s="55">
        <v>6.4785410000000002E-2</v>
      </c>
      <c r="L6818" s="55">
        <v>5.1836899999999998E-2</v>
      </c>
      <c r="M6818" s="55">
        <v>2.2626500000000001E-2</v>
      </c>
      <c r="N6818" s="55">
        <v>1.7214900000000002E-2</v>
      </c>
    </row>
    <row r="6819" spans="1:14" hidden="1" x14ac:dyDescent="0.35">
      <c r="A6819" s="52" t="s">
        <v>729</v>
      </c>
      <c r="B6819" s="52" t="s">
        <v>37</v>
      </c>
      <c r="C6819" s="52" t="s">
        <v>218</v>
      </c>
      <c r="D6819" s="52" t="s">
        <v>218</v>
      </c>
      <c r="E6819" s="52" t="s">
        <v>730</v>
      </c>
      <c r="F6819" s="52" t="s">
        <v>26</v>
      </c>
      <c r="G6819" s="55" t="s">
        <v>279</v>
      </c>
      <c r="H6819" s="55">
        <v>0.84263999999999994</v>
      </c>
      <c r="I6819" s="55">
        <v>0.83738729999999995</v>
      </c>
      <c r="J6819" s="55">
        <v>1.007584</v>
      </c>
      <c r="K6819" s="55">
        <v>1.1805730000000001</v>
      </c>
      <c r="L6819" s="55">
        <v>0.83459470000000002</v>
      </c>
      <c r="M6819" s="55">
        <v>0.68045540000000004</v>
      </c>
      <c r="N6819" s="55">
        <v>0.51978349999999995</v>
      </c>
    </row>
    <row r="6820" spans="1:14" hidden="1" x14ac:dyDescent="0.35">
      <c r="A6820" s="52" t="s">
        <v>729</v>
      </c>
      <c r="B6820" s="52" t="s">
        <v>37</v>
      </c>
      <c r="C6820" s="52" t="s">
        <v>218</v>
      </c>
      <c r="D6820" s="52" t="s">
        <v>218</v>
      </c>
      <c r="E6820" s="52" t="s">
        <v>594</v>
      </c>
      <c r="F6820" s="52" t="s">
        <v>581</v>
      </c>
      <c r="G6820" s="55" t="s">
        <v>275</v>
      </c>
      <c r="H6820" s="55">
        <v>-7.7347910000000004</v>
      </c>
      <c r="I6820" s="55">
        <v>-4.853097</v>
      </c>
      <c r="J6820" s="55">
        <v>-3.7451729999999999</v>
      </c>
      <c r="K6820" s="55">
        <v>-2.7576849999999999</v>
      </c>
      <c r="L6820" s="55">
        <v>-2.6435629999999999</v>
      </c>
      <c r="M6820" s="55">
        <v>2.9507370000000002</v>
      </c>
      <c r="N6820" s="55">
        <v>2.3370890000000002</v>
      </c>
    </row>
    <row r="6821" spans="1:14" hidden="1" x14ac:dyDescent="0.35">
      <c r="A6821" s="52" t="s">
        <v>729</v>
      </c>
      <c r="B6821" s="52" t="s">
        <v>37</v>
      </c>
      <c r="C6821" s="52" t="s">
        <v>218</v>
      </c>
      <c r="D6821" s="52" t="s">
        <v>218</v>
      </c>
      <c r="E6821" s="52" t="s">
        <v>594</v>
      </c>
      <c r="F6821" s="52" t="s">
        <v>581</v>
      </c>
      <c r="G6821" s="55" t="s">
        <v>276</v>
      </c>
      <c r="H6821" s="55">
        <v>-0.29242000000000001</v>
      </c>
      <c r="I6821" s="55">
        <v>-0.87825520000000001</v>
      </c>
      <c r="J6821" s="55">
        <v>-1.2297210000000001</v>
      </c>
      <c r="K6821" s="55">
        <v>-1.6162449999999999</v>
      </c>
      <c r="L6821" s="55">
        <v>-1.2055370000000001</v>
      </c>
      <c r="M6821" s="55">
        <v>-0.75393770000000004</v>
      </c>
      <c r="N6821" s="55">
        <v>-0.60446829999999996</v>
      </c>
    </row>
    <row r="6822" spans="1:14" hidden="1" x14ac:dyDescent="0.35">
      <c r="A6822" s="52" t="s">
        <v>729</v>
      </c>
      <c r="B6822" s="52" t="s">
        <v>37</v>
      </c>
      <c r="C6822" s="52" t="s">
        <v>218</v>
      </c>
      <c r="D6822" s="52" t="s">
        <v>218</v>
      </c>
      <c r="E6822" s="52" t="s">
        <v>594</v>
      </c>
      <c r="F6822" s="52" t="s">
        <v>581</v>
      </c>
      <c r="G6822" s="55" t="s">
        <v>277</v>
      </c>
      <c r="H6822" s="55">
        <v>11.900040000000001</v>
      </c>
      <c r="I6822" s="55">
        <v>7.1649799999999999</v>
      </c>
      <c r="J6822" s="55">
        <v>4.5170500000000002</v>
      </c>
      <c r="K6822" s="55">
        <v>3.158112</v>
      </c>
      <c r="L6822" s="55">
        <v>5.9166889999999999</v>
      </c>
      <c r="M6822" s="55">
        <v>0</v>
      </c>
      <c r="N6822" s="55">
        <v>0</v>
      </c>
    </row>
    <row r="6823" spans="1:14" hidden="1" x14ac:dyDescent="0.35">
      <c r="A6823" s="52" t="s">
        <v>729</v>
      </c>
      <c r="B6823" s="52" t="s">
        <v>37</v>
      </c>
      <c r="C6823" s="52" t="s">
        <v>218</v>
      </c>
      <c r="D6823" s="52" t="s">
        <v>218</v>
      </c>
      <c r="E6823" s="52" t="s">
        <v>594</v>
      </c>
      <c r="F6823" s="52" t="s">
        <v>581</v>
      </c>
      <c r="G6823" s="55" t="s">
        <v>278</v>
      </c>
      <c r="H6823" s="55">
        <v>0.109959</v>
      </c>
      <c r="I6823" s="55">
        <v>0.14677470000000001</v>
      </c>
      <c r="J6823" s="55">
        <v>2.7381180000000001</v>
      </c>
      <c r="K6823" s="55">
        <v>3.767706</v>
      </c>
      <c r="L6823" s="55">
        <v>1.34988</v>
      </c>
      <c r="M6823" s="55">
        <v>0</v>
      </c>
      <c r="N6823" s="55"/>
    </row>
    <row r="6824" spans="1:14" hidden="1" x14ac:dyDescent="0.35">
      <c r="A6824" s="52" t="s">
        <v>729</v>
      </c>
      <c r="B6824" s="52" t="s">
        <v>37</v>
      </c>
      <c r="C6824" s="52" t="s">
        <v>218</v>
      </c>
      <c r="D6824" s="52" t="s">
        <v>218</v>
      </c>
      <c r="E6824" s="52" t="s">
        <v>594</v>
      </c>
      <c r="F6824" s="52" t="s">
        <v>581</v>
      </c>
      <c r="G6824" s="55" t="s">
        <v>279</v>
      </c>
      <c r="H6824" s="55">
        <v>2.0700409999999998</v>
      </c>
      <c r="I6824" s="55">
        <v>2.0444529999999999</v>
      </c>
      <c r="J6824" s="55">
        <v>2.6389719999999999</v>
      </c>
      <c r="K6824" s="55">
        <v>3.050729</v>
      </c>
      <c r="L6824" s="55">
        <v>3.2467009999999998</v>
      </c>
      <c r="M6824" s="55">
        <v>3.109035</v>
      </c>
      <c r="N6824" s="55">
        <v>2.4465880000000002</v>
      </c>
    </row>
    <row r="6825" spans="1:14" hidden="1" x14ac:dyDescent="0.35">
      <c r="A6825" s="52" t="s">
        <v>729</v>
      </c>
      <c r="B6825" s="52" t="s">
        <v>37</v>
      </c>
      <c r="C6825" s="52" t="s">
        <v>218</v>
      </c>
      <c r="D6825" s="52" t="s">
        <v>218</v>
      </c>
      <c r="E6825" s="52" t="s">
        <v>594</v>
      </c>
      <c r="F6825" s="52" t="s">
        <v>26</v>
      </c>
      <c r="G6825" s="55" t="s">
        <v>275</v>
      </c>
      <c r="H6825" s="55">
        <v>-3.1601999999999998E-2</v>
      </c>
      <c r="I6825" s="55">
        <v>-3.8475799999999998E-2</v>
      </c>
      <c r="J6825" s="55">
        <v>-3.1126399999999999E-2</v>
      </c>
      <c r="K6825" s="55">
        <v>-4.4642000000000001E-2</v>
      </c>
      <c r="L6825" s="55">
        <v>-2.4539600000000002E-2</v>
      </c>
      <c r="M6825" s="55">
        <v>-6.65433E-2</v>
      </c>
      <c r="N6825" s="55">
        <v>-5.2585800000000002E-2</v>
      </c>
    </row>
    <row r="6826" spans="1:14" hidden="1" x14ac:dyDescent="0.35">
      <c r="A6826" s="52" t="s">
        <v>729</v>
      </c>
      <c r="B6826" s="52" t="s">
        <v>37</v>
      </c>
      <c r="C6826" s="52" t="s">
        <v>218</v>
      </c>
      <c r="D6826" s="52" t="s">
        <v>218</v>
      </c>
      <c r="E6826" s="52" t="s">
        <v>594</v>
      </c>
      <c r="F6826" s="52" t="s">
        <v>26</v>
      </c>
      <c r="G6826" s="55" t="s">
        <v>276</v>
      </c>
      <c r="H6826" s="55">
        <v>-8.399999E-3</v>
      </c>
      <c r="I6826" s="55">
        <v>-1.02278E-2</v>
      </c>
      <c r="J6826" s="55">
        <v>-8.2740999999999995E-3</v>
      </c>
      <c r="K6826" s="55">
        <v>-1.18666E-2</v>
      </c>
      <c r="L6826" s="55">
        <v>-6.5234009999999999E-3</v>
      </c>
      <c r="M6826" s="55">
        <v>-1.7688800000000001E-2</v>
      </c>
      <c r="N6826" s="55">
        <v>-1.3978900000000001E-2</v>
      </c>
    </row>
    <row r="6827" spans="1:14" hidden="1" x14ac:dyDescent="0.35">
      <c r="A6827" s="52" t="s">
        <v>729</v>
      </c>
      <c r="B6827" s="52" t="s">
        <v>37</v>
      </c>
      <c r="C6827" s="52" t="s">
        <v>218</v>
      </c>
      <c r="D6827" s="52" t="s">
        <v>218</v>
      </c>
      <c r="E6827" s="52" t="s">
        <v>594</v>
      </c>
      <c r="F6827" s="52" t="s">
        <v>26</v>
      </c>
      <c r="G6827" s="55" t="s">
        <v>279</v>
      </c>
      <c r="H6827" s="55">
        <v>0.228487</v>
      </c>
      <c r="I6827" s="55">
        <v>0.23614840000000001</v>
      </c>
      <c r="J6827" s="55">
        <v>0.30551919999999999</v>
      </c>
      <c r="K6827" s="55">
        <v>0.3557302</v>
      </c>
      <c r="L6827" s="55">
        <v>0.38328679999999998</v>
      </c>
      <c r="M6827" s="55">
        <v>0.3630041</v>
      </c>
      <c r="N6827" s="55">
        <v>0.2856167</v>
      </c>
    </row>
    <row r="6828" spans="1:14" hidden="1" x14ac:dyDescent="0.35">
      <c r="A6828" s="52" t="s">
        <v>733</v>
      </c>
      <c r="B6828" s="52" t="s">
        <v>37</v>
      </c>
      <c r="C6828" s="52" t="s">
        <v>35</v>
      </c>
      <c r="D6828" s="52" t="s">
        <v>36</v>
      </c>
      <c r="E6828" s="52" t="s">
        <v>588</v>
      </c>
      <c r="F6828" s="52" t="s">
        <v>581</v>
      </c>
      <c r="G6828" s="55" t="s">
        <v>275</v>
      </c>
      <c r="H6828" s="55">
        <v>-80.81635</v>
      </c>
      <c r="I6828" s="55">
        <v>-8.3202839999999991</v>
      </c>
      <c r="J6828" s="55">
        <v>60.636279999999999</v>
      </c>
      <c r="K6828" s="55">
        <v>70.141440000000003</v>
      </c>
      <c r="L6828" s="55">
        <v>56.187759999999997</v>
      </c>
      <c r="M6828" s="55">
        <v>38.958489999999998</v>
      </c>
      <c r="N6828" s="55">
        <v>28.77994</v>
      </c>
    </row>
    <row r="6829" spans="1:14" hidden="1" x14ac:dyDescent="0.35">
      <c r="A6829" s="52" t="s">
        <v>733</v>
      </c>
      <c r="B6829" s="52" t="s">
        <v>37</v>
      </c>
      <c r="C6829" s="52" t="s">
        <v>35</v>
      </c>
      <c r="D6829" s="52" t="s">
        <v>36</v>
      </c>
      <c r="E6829" s="52" t="s">
        <v>588</v>
      </c>
      <c r="F6829" s="52" t="s">
        <v>581</v>
      </c>
      <c r="G6829" s="55" t="s">
        <v>276</v>
      </c>
      <c r="H6829" s="55">
        <v>-5.3261539999999998</v>
      </c>
      <c r="I6829" s="55">
        <v>-20.5627</v>
      </c>
      <c r="J6829" s="55">
        <v>-35.894869999999997</v>
      </c>
      <c r="K6829" s="55">
        <v>-38.999000000000002</v>
      </c>
      <c r="L6829" s="55">
        <v>-17.390429999999999</v>
      </c>
      <c r="M6829" s="55">
        <v>-2.7236600000000002</v>
      </c>
      <c r="N6829" s="55">
        <v>1.4178090000000001</v>
      </c>
    </row>
    <row r="6830" spans="1:14" hidden="1" x14ac:dyDescent="0.35">
      <c r="A6830" s="52" t="s">
        <v>733</v>
      </c>
      <c r="B6830" s="52" t="s">
        <v>37</v>
      </c>
      <c r="C6830" s="52" t="s">
        <v>35</v>
      </c>
      <c r="D6830" s="52" t="s">
        <v>36</v>
      </c>
      <c r="E6830" s="52" t="s">
        <v>588</v>
      </c>
      <c r="F6830" s="52" t="s">
        <v>581</v>
      </c>
      <c r="G6830" s="55" t="s">
        <v>277</v>
      </c>
      <c r="H6830" s="55">
        <v>282.5256</v>
      </c>
      <c r="I6830" s="55">
        <v>77.488259999999997</v>
      </c>
      <c r="J6830" s="55">
        <v>29.148250000000001</v>
      </c>
      <c r="K6830" s="55">
        <v>13.00944</v>
      </c>
      <c r="L6830" s="55">
        <v>9.8624229999999997</v>
      </c>
      <c r="M6830" s="55">
        <v>0</v>
      </c>
      <c r="N6830" s="55">
        <v>0</v>
      </c>
    </row>
    <row r="6831" spans="1:14" hidden="1" x14ac:dyDescent="0.35">
      <c r="A6831" s="52" t="s">
        <v>733</v>
      </c>
      <c r="B6831" s="52" t="s">
        <v>37</v>
      </c>
      <c r="C6831" s="52" t="s">
        <v>35</v>
      </c>
      <c r="D6831" s="52" t="s">
        <v>36</v>
      </c>
      <c r="E6831" s="52" t="s">
        <v>588</v>
      </c>
      <c r="F6831" s="52" t="s">
        <v>581</v>
      </c>
      <c r="G6831" s="55" t="s">
        <v>278</v>
      </c>
      <c r="H6831" s="55">
        <v>3.0804000000000002E-2</v>
      </c>
      <c r="I6831" s="55">
        <v>16.260120000000001</v>
      </c>
      <c r="J6831" s="55">
        <v>16.024010000000001</v>
      </c>
      <c r="K6831" s="55">
        <v>13.72827</v>
      </c>
      <c r="L6831" s="55">
        <v>7.3702180000000004</v>
      </c>
      <c r="M6831" s="55">
        <v>0</v>
      </c>
      <c r="N6831" s="55">
        <v>0</v>
      </c>
    </row>
    <row r="6832" spans="1:14" hidden="1" x14ac:dyDescent="0.35">
      <c r="A6832" s="52" t="s">
        <v>733</v>
      </c>
      <c r="B6832" s="52" t="s">
        <v>37</v>
      </c>
      <c r="C6832" s="52" t="s">
        <v>35</v>
      </c>
      <c r="D6832" s="52" t="s">
        <v>36</v>
      </c>
      <c r="E6832" s="52" t="s">
        <v>588</v>
      </c>
      <c r="F6832" s="52" t="s">
        <v>581</v>
      </c>
      <c r="G6832" s="55" t="s">
        <v>279</v>
      </c>
      <c r="H6832" s="55">
        <v>114.4652</v>
      </c>
      <c r="I6832" s="55">
        <v>104.7149</v>
      </c>
      <c r="J6832" s="55">
        <v>100.7723</v>
      </c>
      <c r="K6832" s="55">
        <v>88.693280000000001</v>
      </c>
      <c r="L6832" s="55">
        <v>73.626589999999993</v>
      </c>
      <c r="M6832" s="55">
        <v>68.046440000000004</v>
      </c>
      <c r="N6832" s="55">
        <v>56.407350000000001</v>
      </c>
    </row>
    <row r="6833" spans="1:14" hidden="1" x14ac:dyDescent="0.35">
      <c r="A6833" s="52" t="s">
        <v>733</v>
      </c>
      <c r="B6833" s="52" t="s">
        <v>37</v>
      </c>
      <c r="C6833" s="52" t="s">
        <v>35</v>
      </c>
      <c r="D6833" s="52" t="s">
        <v>36</v>
      </c>
      <c r="E6833" s="52" t="s">
        <v>588</v>
      </c>
      <c r="F6833" s="52" t="s">
        <v>26</v>
      </c>
      <c r="G6833" s="55" t="s">
        <v>275</v>
      </c>
      <c r="H6833" s="55">
        <v>-9.9907859999999999</v>
      </c>
      <c r="I6833" s="55">
        <v>-11.49653</v>
      </c>
      <c r="J6833" s="55">
        <v>-10.62384</v>
      </c>
      <c r="K6833" s="55">
        <v>-9.7487510000000004</v>
      </c>
      <c r="L6833" s="55">
        <v>-8.1823499999999996</v>
      </c>
      <c r="M6833" s="55">
        <v>-7.8151640000000002</v>
      </c>
      <c r="N6833" s="55">
        <v>-6.480842</v>
      </c>
    </row>
    <row r="6834" spans="1:14" hidden="1" x14ac:dyDescent="0.35">
      <c r="A6834" s="52" t="s">
        <v>733</v>
      </c>
      <c r="B6834" s="52" t="s">
        <v>37</v>
      </c>
      <c r="C6834" s="52" t="s">
        <v>35</v>
      </c>
      <c r="D6834" s="52" t="s">
        <v>36</v>
      </c>
      <c r="E6834" s="52" t="s">
        <v>588</v>
      </c>
      <c r="F6834" s="52" t="s">
        <v>26</v>
      </c>
      <c r="G6834" s="55" t="s">
        <v>276</v>
      </c>
      <c r="H6834" s="55">
        <v>-2.6557810000000002</v>
      </c>
      <c r="I6834" s="55">
        <v>-3.0560390000000002</v>
      </c>
      <c r="J6834" s="55">
        <v>-2.8240639999999999</v>
      </c>
      <c r="K6834" s="55">
        <v>-2.5914389999999998</v>
      </c>
      <c r="L6834" s="55">
        <v>-2.1750509999999998</v>
      </c>
      <c r="M6834" s="55">
        <v>-2.0774469999999998</v>
      </c>
      <c r="N6834" s="55">
        <v>-1.722756</v>
      </c>
    </row>
    <row r="6835" spans="1:14" hidden="1" x14ac:dyDescent="0.35">
      <c r="A6835" s="52" t="s">
        <v>733</v>
      </c>
      <c r="B6835" s="52" t="s">
        <v>37</v>
      </c>
      <c r="C6835" s="52" t="s">
        <v>35</v>
      </c>
      <c r="D6835" s="52" t="s">
        <v>36</v>
      </c>
      <c r="E6835" s="52" t="s">
        <v>588</v>
      </c>
      <c r="F6835" s="52" t="s">
        <v>26</v>
      </c>
      <c r="G6835" s="55" t="s">
        <v>279</v>
      </c>
      <c r="H6835" s="55">
        <v>19.844290000000001</v>
      </c>
      <c r="I6835" s="55">
        <v>22.338049999999999</v>
      </c>
      <c r="J6835" s="55">
        <v>21.627780000000001</v>
      </c>
      <c r="K6835" s="55">
        <v>19.306180000000001</v>
      </c>
      <c r="L6835" s="55">
        <v>16.472660000000001</v>
      </c>
      <c r="M6835" s="55">
        <v>14.792770000000001</v>
      </c>
      <c r="N6835" s="55">
        <v>12.260120000000001</v>
      </c>
    </row>
    <row r="6836" spans="1:14" hidden="1" x14ac:dyDescent="0.35">
      <c r="A6836" s="52" t="s">
        <v>733</v>
      </c>
      <c r="B6836" s="52" t="s">
        <v>37</v>
      </c>
      <c r="C6836" s="52" t="s">
        <v>35</v>
      </c>
      <c r="D6836" s="52" t="s">
        <v>36</v>
      </c>
      <c r="E6836" s="52" t="s">
        <v>587</v>
      </c>
      <c r="F6836" s="52" t="s">
        <v>581</v>
      </c>
      <c r="G6836" s="55" t="s">
        <v>275</v>
      </c>
      <c r="H6836" s="55">
        <v>60.722020000000001</v>
      </c>
      <c r="I6836" s="55">
        <v>19.000530000000001</v>
      </c>
      <c r="J6836" s="55">
        <v>21.673909999999999</v>
      </c>
      <c r="K6836" s="55">
        <v>16.914269999999998</v>
      </c>
      <c r="L6836" s="55">
        <v>15.84422</v>
      </c>
      <c r="M6836" s="55">
        <v>13.425879999999999</v>
      </c>
      <c r="N6836" s="55">
        <v>11.94547</v>
      </c>
    </row>
    <row r="6837" spans="1:14" hidden="1" x14ac:dyDescent="0.35">
      <c r="A6837" s="52" t="s">
        <v>733</v>
      </c>
      <c r="B6837" s="52" t="s">
        <v>37</v>
      </c>
      <c r="C6837" s="52" t="s">
        <v>35</v>
      </c>
      <c r="D6837" s="52" t="s">
        <v>36</v>
      </c>
      <c r="E6837" s="52" t="s">
        <v>587</v>
      </c>
      <c r="F6837" s="52" t="s">
        <v>581</v>
      </c>
      <c r="G6837" s="55" t="s">
        <v>276</v>
      </c>
      <c r="H6837" s="55">
        <v>13.111800000000001</v>
      </c>
      <c r="I6837" s="55">
        <v>4.0038099999999996</v>
      </c>
      <c r="J6837" s="55">
        <v>2.1106509999999998</v>
      </c>
      <c r="K6837" s="55">
        <v>4.2088020000000004</v>
      </c>
      <c r="L6837" s="55">
        <v>3.2972429999999999</v>
      </c>
      <c r="M6837" s="55">
        <v>3.10893</v>
      </c>
      <c r="N6837" s="55">
        <v>3.0234559999999999</v>
      </c>
    </row>
    <row r="6838" spans="1:14" hidden="1" x14ac:dyDescent="0.35">
      <c r="A6838" s="52" t="s">
        <v>733</v>
      </c>
      <c r="B6838" s="52" t="s">
        <v>37</v>
      </c>
      <c r="C6838" s="52" t="s">
        <v>35</v>
      </c>
      <c r="D6838" s="52" t="s">
        <v>36</v>
      </c>
      <c r="E6838" s="52" t="s">
        <v>587</v>
      </c>
      <c r="F6838" s="52" t="s">
        <v>581</v>
      </c>
      <c r="G6838" s="55" t="s">
        <v>277</v>
      </c>
      <c r="H6838" s="55">
        <v>9.2741539999999993</v>
      </c>
      <c r="I6838" s="55">
        <v>3.4596119999999999</v>
      </c>
      <c r="J6838" s="55">
        <v>0.88047299999999995</v>
      </c>
      <c r="K6838" s="55">
        <v>0.56527059999999996</v>
      </c>
      <c r="L6838" s="55">
        <v>1.144746</v>
      </c>
      <c r="M6838" s="55">
        <v>4.0449899999999997E-2</v>
      </c>
      <c r="N6838" s="55">
        <v>0</v>
      </c>
    </row>
    <row r="6839" spans="1:14" hidden="1" x14ac:dyDescent="0.35">
      <c r="A6839" s="52" t="s">
        <v>733</v>
      </c>
      <c r="B6839" s="52" t="s">
        <v>37</v>
      </c>
      <c r="C6839" s="52" t="s">
        <v>35</v>
      </c>
      <c r="D6839" s="52" t="s">
        <v>36</v>
      </c>
      <c r="E6839" s="52" t="s">
        <v>587</v>
      </c>
      <c r="F6839" s="52" t="s">
        <v>581</v>
      </c>
      <c r="G6839" s="55" t="s">
        <v>279</v>
      </c>
      <c r="H6839" s="55">
        <v>39.534520000000001</v>
      </c>
      <c r="I6839" s="55">
        <v>26.303519999999999</v>
      </c>
      <c r="J6839" s="55">
        <v>22.746320000000001</v>
      </c>
      <c r="K6839" s="55">
        <v>21.133430000000001</v>
      </c>
      <c r="L6839" s="55">
        <v>18.566579999999998</v>
      </c>
      <c r="M6839" s="55">
        <v>18.895869999999999</v>
      </c>
      <c r="N6839" s="55">
        <v>16.935770000000002</v>
      </c>
    </row>
    <row r="6840" spans="1:14" hidden="1" x14ac:dyDescent="0.35">
      <c r="A6840" s="52" t="s">
        <v>733</v>
      </c>
      <c r="B6840" s="52" t="s">
        <v>37</v>
      </c>
      <c r="C6840" s="52" t="s">
        <v>35</v>
      </c>
      <c r="D6840" s="52" t="s">
        <v>36</v>
      </c>
      <c r="E6840" s="52" t="s">
        <v>587</v>
      </c>
      <c r="F6840" s="52" t="s">
        <v>26</v>
      </c>
      <c r="G6840" s="55" t="s">
        <v>275</v>
      </c>
      <c r="H6840" s="55">
        <v>-3.3505479999999999</v>
      </c>
      <c r="I6840" s="55">
        <v>-1.744051</v>
      </c>
      <c r="J6840" s="55">
        <v>-1.4455880000000001</v>
      </c>
      <c r="K6840" s="55">
        <v>-1.407413</v>
      </c>
      <c r="L6840" s="55">
        <v>-1.2608459999999999</v>
      </c>
      <c r="M6840" s="55">
        <v>-1.3223640000000001</v>
      </c>
      <c r="N6840" s="55">
        <v>-1.1849289999999999</v>
      </c>
    </row>
    <row r="6841" spans="1:14" hidden="1" x14ac:dyDescent="0.35">
      <c r="A6841" s="52" t="s">
        <v>733</v>
      </c>
      <c r="B6841" s="52" t="s">
        <v>37</v>
      </c>
      <c r="C6841" s="52" t="s">
        <v>35</v>
      </c>
      <c r="D6841" s="52" t="s">
        <v>36</v>
      </c>
      <c r="E6841" s="52" t="s">
        <v>587</v>
      </c>
      <c r="F6841" s="52" t="s">
        <v>26</v>
      </c>
      <c r="G6841" s="55" t="s">
        <v>276</v>
      </c>
      <c r="H6841" s="55">
        <v>-0.89065300000000003</v>
      </c>
      <c r="I6841" s="55">
        <v>-0.4636072</v>
      </c>
      <c r="J6841" s="55">
        <v>-0.38427060000000002</v>
      </c>
      <c r="K6841" s="55">
        <v>-0.37412279999999998</v>
      </c>
      <c r="L6841" s="55">
        <v>-0.33516220000000002</v>
      </c>
      <c r="M6841" s="55">
        <v>-0.35151529999999998</v>
      </c>
      <c r="N6841" s="55">
        <v>-0.3149826</v>
      </c>
    </row>
    <row r="6842" spans="1:14" hidden="1" x14ac:dyDescent="0.35">
      <c r="A6842" s="52" t="s">
        <v>733</v>
      </c>
      <c r="B6842" s="52" t="s">
        <v>37</v>
      </c>
      <c r="C6842" s="52" t="s">
        <v>35</v>
      </c>
      <c r="D6842" s="52" t="s">
        <v>36</v>
      </c>
      <c r="E6842" s="52" t="s">
        <v>587</v>
      </c>
      <c r="F6842" s="52" t="s">
        <v>26</v>
      </c>
      <c r="G6842" s="55" t="s">
        <v>279</v>
      </c>
      <c r="H6842" s="55">
        <v>6.8237389999999998</v>
      </c>
      <c r="I6842" s="55">
        <v>3.4678949999999999</v>
      </c>
      <c r="J6842" s="55">
        <v>3.0164119999999999</v>
      </c>
      <c r="K6842" s="55">
        <v>2.8483800000000001</v>
      </c>
      <c r="L6842" s="55">
        <v>2.5603959999999999</v>
      </c>
      <c r="M6842" s="55">
        <v>2.550227</v>
      </c>
      <c r="N6842" s="55">
        <v>2.2843939999999998</v>
      </c>
    </row>
    <row r="6843" spans="1:14" hidden="1" x14ac:dyDescent="0.35">
      <c r="A6843" s="52" t="s">
        <v>733</v>
      </c>
      <c r="B6843" s="52" t="s">
        <v>37</v>
      </c>
      <c r="C6843" s="52" t="s">
        <v>35</v>
      </c>
      <c r="D6843" s="52" t="s">
        <v>36</v>
      </c>
      <c r="E6843" s="52" t="s">
        <v>584</v>
      </c>
      <c r="F6843" s="52" t="s">
        <v>581</v>
      </c>
      <c r="G6843" s="55" t="s">
        <v>275</v>
      </c>
      <c r="H6843" s="55">
        <v>-7.6431100000000001</v>
      </c>
      <c r="I6843" s="55">
        <v>-1.4031899999999999</v>
      </c>
      <c r="J6843" s="55">
        <v>-6.3344330000000004E-2</v>
      </c>
      <c r="K6843" s="55">
        <v>0.95065409999999995</v>
      </c>
      <c r="L6843" s="55">
        <v>0.67771879999999995</v>
      </c>
      <c r="M6843" s="55">
        <v>0.96216950000000001</v>
      </c>
      <c r="N6843" s="55">
        <v>0.67023920000000003</v>
      </c>
    </row>
    <row r="6844" spans="1:14" hidden="1" x14ac:dyDescent="0.35">
      <c r="A6844" s="52" t="s">
        <v>733</v>
      </c>
      <c r="B6844" s="52" t="s">
        <v>37</v>
      </c>
      <c r="C6844" s="52" t="s">
        <v>35</v>
      </c>
      <c r="D6844" s="52" t="s">
        <v>36</v>
      </c>
      <c r="E6844" s="52" t="s">
        <v>584</v>
      </c>
      <c r="F6844" s="52" t="s">
        <v>581</v>
      </c>
      <c r="G6844" s="55" t="s">
        <v>276</v>
      </c>
      <c r="H6844" s="55">
        <v>-2.3890180000000001</v>
      </c>
      <c r="I6844" s="55">
        <v>-2.6531440000000002</v>
      </c>
      <c r="J6844" s="55">
        <v>-2.0520369999999999</v>
      </c>
      <c r="K6844" s="55">
        <v>-1.5938330000000001</v>
      </c>
      <c r="L6844" s="55">
        <v>-1.1969879999999999</v>
      </c>
      <c r="M6844" s="55">
        <v>-0.44321369999999999</v>
      </c>
      <c r="N6844" s="55">
        <v>-0.241284</v>
      </c>
    </row>
    <row r="6845" spans="1:14" hidden="1" x14ac:dyDescent="0.35">
      <c r="A6845" s="52" t="s">
        <v>733</v>
      </c>
      <c r="B6845" s="52" t="s">
        <v>37</v>
      </c>
      <c r="C6845" s="52" t="s">
        <v>35</v>
      </c>
      <c r="D6845" s="52" t="s">
        <v>36</v>
      </c>
      <c r="E6845" s="52" t="s">
        <v>584</v>
      </c>
      <c r="F6845" s="52" t="s">
        <v>581</v>
      </c>
      <c r="G6845" s="55" t="s">
        <v>277</v>
      </c>
      <c r="H6845" s="55">
        <v>12.30373</v>
      </c>
      <c r="I6845" s="55">
        <v>4.6931529999999997</v>
      </c>
      <c r="J6845" s="55">
        <v>3.0889329999999999</v>
      </c>
      <c r="K6845" s="55">
        <v>1.5243610000000001</v>
      </c>
      <c r="L6845" s="55">
        <v>1.22349</v>
      </c>
      <c r="M6845" s="55">
        <v>0</v>
      </c>
      <c r="N6845" s="55">
        <v>0</v>
      </c>
    </row>
    <row r="6846" spans="1:14" hidden="1" x14ac:dyDescent="0.35">
      <c r="A6846" s="52" t="s">
        <v>733</v>
      </c>
      <c r="B6846" s="52" t="s">
        <v>37</v>
      </c>
      <c r="C6846" s="52" t="s">
        <v>35</v>
      </c>
      <c r="D6846" s="52" t="s">
        <v>36</v>
      </c>
      <c r="E6846" s="52" t="s">
        <v>584</v>
      </c>
      <c r="F6846" s="52" t="s">
        <v>581</v>
      </c>
      <c r="G6846" s="55" t="s">
        <v>279</v>
      </c>
      <c r="H6846" s="55">
        <v>0.80598289999999995</v>
      </c>
      <c r="I6846" s="55">
        <v>0.41398580000000001</v>
      </c>
      <c r="J6846" s="55">
        <v>0.59469050000000001</v>
      </c>
      <c r="K6846" s="55">
        <v>0.56485960000000002</v>
      </c>
      <c r="L6846" s="55">
        <v>0.4265988</v>
      </c>
      <c r="M6846" s="55">
        <v>0.37412879999999998</v>
      </c>
      <c r="N6846" s="55">
        <v>0.30761179999999999</v>
      </c>
    </row>
    <row r="6847" spans="1:14" hidden="1" x14ac:dyDescent="0.35">
      <c r="A6847" s="52" t="s">
        <v>733</v>
      </c>
      <c r="B6847" s="52" t="s">
        <v>37</v>
      </c>
      <c r="C6847" s="52" t="s">
        <v>35</v>
      </c>
      <c r="D6847" s="52" t="s">
        <v>36</v>
      </c>
      <c r="E6847" s="52" t="s">
        <v>584</v>
      </c>
      <c r="F6847" s="52" t="s">
        <v>26</v>
      </c>
      <c r="G6847" s="55" t="s">
        <v>275</v>
      </c>
      <c r="H6847" s="55">
        <v>-7.9785999999999996E-2</v>
      </c>
      <c r="I6847" s="55">
        <v>-3.35354E-2</v>
      </c>
      <c r="J6847" s="55">
        <v>-4.5328800000000002E-2</v>
      </c>
      <c r="K6847" s="55">
        <v>-4.6052099999999999E-2</v>
      </c>
      <c r="L6847" s="55">
        <v>-3.5694799999999999E-2</v>
      </c>
      <c r="M6847" s="55">
        <v>-3.26112E-2</v>
      </c>
      <c r="N6847" s="55">
        <v>-2.6809900000000001E-2</v>
      </c>
    </row>
    <row r="6848" spans="1:14" hidden="1" x14ac:dyDescent="0.35">
      <c r="A6848" s="52" t="s">
        <v>733</v>
      </c>
      <c r="B6848" s="52" t="s">
        <v>37</v>
      </c>
      <c r="C6848" s="52" t="s">
        <v>35</v>
      </c>
      <c r="D6848" s="52" t="s">
        <v>36</v>
      </c>
      <c r="E6848" s="52" t="s">
        <v>584</v>
      </c>
      <c r="F6848" s="52" t="s">
        <v>26</v>
      </c>
      <c r="G6848" s="55" t="s">
        <v>276</v>
      </c>
      <c r="H6848" s="55">
        <v>-2.1208999999999999E-2</v>
      </c>
      <c r="I6848" s="55">
        <v>-8.9143E-3</v>
      </c>
      <c r="J6848" s="55">
        <v>-1.2049600000000001E-2</v>
      </c>
      <c r="K6848" s="55">
        <v>-1.2241500000000001E-2</v>
      </c>
      <c r="L6848" s="55">
        <v>-9.4883999999999993E-3</v>
      </c>
      <c r="M6848" s="55">
        <v>-8.6688000000000008E-3</v>
      </c>
      <c r="N6848" s="55">
        <v>-7.1256999999999996E-3</v>
      </c>
    </row>
    <row r="6849" spans="1:14" hidden="1" x14ac:dyDescent="0.35">
      <c r="A6849" s="52" t="s">
        <v>733</v>
      </c>
      <c r="B6849" s="52" t="s">
        <v>37</v>
      </c>
      <c r="C6849" s="52" t="s">
        <v>35</v>
      </c>
      <c r="D6849" s="52" t="s">
        <v>36</v>
      </c>
      <c r="E6849" s="52" t="s">
        <v>584</v>
      </c>
      <c r="F6849" s="52" t="s">
        <v>26</v>
      </c>
      <c r="G6849" s="55" t="s">
        <v>279</v>
      </c>
      <c r="H6849" s="55">
        <v>0.18936900000000001</v>
      </c>
      <c r="I6849" s="55">
        <v>7.6900800000000005E-2</v>
      </c>
      <c r="J6849" s="55">
        <v>0.1110404</v>
      </c>
      <c r="K6849" s="55">
        <v>0.1075414</v>
      </c>
      <c r="L6849" s="55">
        <v>8.3472589999999999E-2</v>
      </c>
      <c r="M6849" s="55">
        <v>7.1446099999999998E-2</v>
      </c>
      <c r="N6849" s="55">
        <v>5.8704399999999997E-2</v>
      </c>
    </row>
    <row r="6850" spans="1:14" hidden="1" x14ac:dyDescent="0.35">
      <c r="A6850" s="52" t="s">
        <v>733</v>
      </c>
      <c r="B6850" s="52" t="s">
        <v>37</v>
      </c>
      <c r="C6850" s="52" t="s">
        <v>35</v>
      </c>
      <c r="D6850" s="52" t="s">
        <v>189</v>
      </c>
      <c r="E6850" s="52" t="s">
        <v>589</v>
      </c>
      <c r="F6850" s="52" t="s">
        <v>581</v>
      </c>
      <c r="G6850" s="55" t="s">
        <v>275</v>
      </c>
      <c r="H6850" s="55">
        <v>21.125350000000001</v>
      </c>
      <c r="I6850" s="55">
        <v>19.336400000000001</v>
      </c>
      <c r="J6850" s="55">
        <v>49.616190000000003</v>
      </c>
      <c r="K6850" s="55">
        <v>42.493879999999997</v>
      </c>
      <c r="L6850" s="55">
        <v>33.990679999999998</v>
      </c>
      <c r="M6850" s="55">
        <v>24.935449999999999</v>
      </c>
      <c r="N6850" s="55">
        <v>19.226209999999998</v>
      </c>
    </row>
    <row r="6851" spans="1:14" hidden="1" x14ac:dyDescent="0.35">
      <c r="A6851" s="52" t="s">
        <v>733</v>
      </c>
      <c r="B6851" s="52" t="s">
        <v>37</v>
      </c>
      <c r="C6851" s="52" t="s">
        <v>35</v>
      </c>
      <c r="D6851" s="52" t="s">
        <v>189</v>
      </c>
      <c r="E6851" s="52" t="s">
        <v>589</v>
      </c>
      <c r="F6851" s="52" t="s">
        <v>581</v>
      </c>
      <c r="G6851" s="55" t="s">
        <v>276</v>
      </c>
      <c r="H6851" s="55">
        <v>2.473392</v>
      </c>
      <c r="I6851" s="55">
        <v>-18.835239999999999</v>
      </c>
      <c r="J6851" s="55">
        <v>-33.626309999999997</v>
      </c>
      <c r="K6851" s="55">
        <v>-25.311579999999999</v>
      </c>
      <c r="L6851" s="55">
        <v>-10.24633</v>
      </c>
      <c r="M6851" s="55">
        <v>-0.34497879999999997</v>
      </c>
      <c r="N6851" s="55">
        <v>1.1941010000000001</v>
      </c>
    </row>
    <row r="6852" spans="1:14" hidden="1" x14ac:dyDescent="0.35">
      <c r="A6852" s="52" t="s">
        <v>733</v>
      </c>
      <c r="B6852" s="52" t="s">
        <v>37</v>
      </c>
      <c r="C6852" s="52" t="s">
        <v>35</v>
      </c>
      <c r="D6852" s="52" t="s">
        <v>189</v>
      </c>
      <c r="E6852" s="52" t="s">
        <v>589</v>
      </c>
      <c r="F6852" s="52" t="s">
        <v>581</v>
      </c>
      <c r="G6852" s="55" t="s">
        <v>277</v>
      </c>
      <c r="H6852" s="55">
        <v>175.84790000000001</v>
      </c>
      <c r="I6852" s="55">
        <v>36.105060000000002</v>
      </c>
      <c r="J6852" s="55">
        <v>17.026520000000001</v>
      </c>
      <c r="K6852" s="55">
        <v>8.0601120000000002</v>
      </c>
      <c r="L6852" s="55">
        <v>6.0254310000000002</v>
      </c>
      <c r="M6852" s="55">
        <v>0</v>
      </c>
      <c r="N6852" s="55">
        <v>0</v>
      </c>
    </row>
    <row r="6853" spans="1:14" hidden="1" x14ac:dyDescent="0.35">
      <c r="A6853" s="52" t="s">
        <v>733</v>
      </c>
      <c r="B6853" s="52" t="s">
        <v>37</v>
      </c>
      <c r="C6853" s="52" t="s">
        <v>35</v>
      </c>
      <c r="D6853" s="52" t="s">
        <v>189</v>
      </c>
      <c r="E6853" s="52" t="s">
        <v>589</v>
      </c>
      <c r="F6853" s="52" t="s">
        <v>581</v>
      </c>
      <c r="G6853" s="55" t="s">
        <v>278</v>
      </c>
      <c r="H6853" s="55">
        <v>1.7762E-2</v>
      </c>
      <c r="I6853" s="55">
        <v>9.7482340000000001</v>
      </c>
      <c r="J6853" s="55">
        <v>9.7457259999999994</v>
      </c>
      <c r="K6853" s="55">
        <v>11.85341</v>
      </c>
      <c r="L6853" s="55">
        <v>7.48278</v>
      </c>
      <c r="M6853" s="55">
        <v>0</v>
      </c>
      <c r="N6853" s="55">
        <v>0</v>
      </c>
    </row>
    <row r="6854" spans="1:14" hidden="1" x14ac:dyDescent="0.35">
      <c r="A6854" s="52" t="s">
        <v>733</v>
      </c>
      <c r="B6854" s="52" t="s">
        <v>37</v>
      </c>
      <c r="C6854" s="52" t="s">
        <v>35</v>
      </c>
      <c r="D6854" s="52" t="s">
        <v>189</v>
      </c>
      <c r="E6854" s="52" t="s">
        <v>589</v>
      </c>
      <c r="F6854" s="52" t="s">
        <v>581</v>
      </c>
      <c r="G6854" s="55" t="s">
        <v>279</v>
      </c>
      <c r="H6854" s="55">
        <v>105.6439</v>
      </c>
      <c r="I6854" s="55">
        <v>62.170389999999998</v>
      </c>
      <c r="J6854" s="55">
        <v>51.48048</v>
      </c>
      <c r="K6854" s="55">
        <v>46.673929999999999</v>
      </c>
      <c r="L6854" s="55">
        <v>40.432540000000003</v>
      </c>
      <c r="M6854" s="55">
        <v>37.008659999999999</v>
      </c>
      <c r="N6854" s="55">
        <v>30.542190000000002</v>
      </c>
    </row>
    <row r="6855" spans="1:14" hidden="1" x14ac:dyDescent="0.35">
      <c r="A6855" s="52" t="s">
        <v>733</v>
      </c>
      <c r="B6855" s="52" t="s">
        <v>37</v>
      </c>
      <c r="C6855" s="52" t="s">
        <v>35</v>
      </c>
      <c r="D6855" s="52" t="s">
        <v>189</v>
      </c>
      <c r="E6855" s="52" t="s">
        <v>589</v>
      </c>
      <c r="F6855" s="52" t="s">
        <v>26</v>
      </c>
      <c r="G6855" s="55" t="s">
        <v>275</v>
      </c>
      <c r="H6855" s="55">
        <v>-10.297470000000001</v>
      </c>
      <c r="I6855" s="55">
        <v>-7.790044</v>
      </c>
      <c r="J6855" s="55">
        <v>-6.1703849999999996</v>
      </c>
      <c r="K6855" s="55">
        <v>-5.8062290000000001</v>
      </c>
      <c r="L6855" s="55">
        <v>-5.0582339999999997</v>
      </c>
      <c r="M6855" s="55">
        <v>-4.8010339999999996</v>
      </c>
      <c r="N6855" s="55">
        <v>-3.9616289999999998</v>
      </c>
    </row>
    <row r="6856" spans="1:14" hidden="1" x14ac:dyDescent="0.35">
      <c r="A6856" s="52" t="s">
        <v>733</v>
      </c>
      <c r="B6856" s="52" t="s">
        <v>37</v>
      </c>
      <c r="C6856" s="52" t="s">
        <v>35</v>
      </c>
      <c r="D6856" s="52" t="s">
        <v>189</v>
      </c>
      <c r="E6856" s="52" t="s">
        <v>589</v>
      </c>
      <c r="F6856" s="52" t="s">
        <v>26</v>
      </c>
      <c r="G6856" s="55" t="s">
        <v>276</v>
      </c>
      <c r="H6856" s="55">
        <v>-2.737304</v>
      </c>
      <c r="I6856" s="55">
        <v>-2.070773</v>
      </c>
      <c r="J6856" s="55">
        <v>-1.6402270000000001</v>
      </c>
      <c r="K6856" s="55">
        <v>-1.5434319999999999</v>
      </c>
      <c r="L6856" s="55">
        <v>-1.3445910000000001</v>
      </c>
      <c r="M6856" s="55">
        <v>-1.276224</v>
      </c>
      <c r="N6856" s="55">
        <v>-1.0530919999999999</v>
      </c>
    </row>
    <row r="6857" spans="1:14" hidden="1" x14ac:dyDescent="0.35">
      <c r="A6857" s="52" t="s">
        <v>733</v>
      </c>
      <c r="B6857" s="52" t="s">
        <v>37</v>
      </c>
      <c r="C6857" s="52" t="s">
        <v>35</v>
      </c>
      <c r="D6857" s="52" t="s">
        <v>189</v>
      </c>
      <c r="E6857" s="52" t="s">
        <v>589</v>
      </c>
      <c r="F6857" s="52" t="s">
        <v>26</v>
      </c>
      <c r="G6857" s="55" t="s">
        <v>279</v>
      </c>
      <c r="H6857" s="55">
        <v>20.453420000000001</v>
      </c>
      <c r="I6857" s="55">
        <v>15.138529999999999</v>
      </c>
      <c r="J6857" s="55">
        <v>12.56643</v>
      </c>
      <c r="K6857" s="55">
        <v>11.506449999999999</v>
      </c>
      <c r="L6857" s="55">
        <v>10.210279999999999</v>
      </c>
      <c r="M6857" s="55">
        <v>9.0885719999999992</v>
      </c>
      <c r="N6857" s="55">
        <v>7.4957630000000002</v>
      </c>
    </row>
    <row r="6858" spans="1:14" hidden="1" x14ac:dyDescent="0.35">
      <c r="A6858" s="52" t="s">
        <v>733</v>
      </c>
      <c r="B6858" s="52" t="s">
        <v>37</v>
      </c>
      <c r="C6858" s="52" t="s">
        <v>51</v>
      </c>
      <c r="D6858" s="52" t="s">
        <v>51</v>
      </c>
      <c r="E6858" s="52" t="s">
        <v>602</v>
      </c>
      <c r="F6858" s="52" t="s">
        <v>581</v>
      </c>
      <c r="G6858" s="55" t="s">
        <v>275</v>
      </c>
      <c r="H6858" s="55">
        <v>224.50729999999999</v>
      </c>
      <c r="I6858" s="55">
        <v>73.523309999999995</v>
      </c>
      <c r="J6858" s="55">
        <v>72.506320000000002</v>
      </c>
      <c r="K6858" s="55">
        <v>55.209040000000002</v>
      </c>
      <c r="L6858" s="55">
        <v>42.37744</v>
      </c>
      <c r="M6858" s="55">
        <v>31.763470000000002</v>
      </c>
      <c r="N6858" s="55">
        <v>25.76238</v>
      </c>
    </row>
    <row r="6859" spans="1:14" hidden="1" x14ac:dyDescent="0.35">
      <c r="A6859" s="52" t="s">
        <v>733</v>
      </c>
      <c r="B6859" s="52" t="s">
        <v>37</v>
      </c>
      <c r="C6859" s="52" t="s">
        <v>51</v>
      </c>
      <c r="D6859" s="52" t="s">
        <v>51</v>
      </c>
      <c r="E6859" s="52" t="s">
        <v>602</v>
      </c>
      <c r="F6859" s="52" t="s">
        <v>581</v>
      </c>
      <c r="G6859" s="55" t="s">
        <v>276</v>
      </c>
      <c r="H6859" s="55">
        <v>-7.5346770000000003</v>
      </c>
      <c r="I6859" s="55">
        <v>-21.628160000000001</v>
      </c>
      <c r="J6859" s="55">
        <v>-18.724959999999999</v>
      </c>
      <c r="K6859" s="55">
        <v>-10.13917</v>
      </c>
      <c r="L6859" s="55">
        <v>3.5639270000000001</v>
      </c>
      <c r="M6859" s="55">
        <v>5.4542549999999999</v>
      </c>
      <c r="N6859" s="55">
        <v>5.4876579999999997</v>
      </c>
    </row>
    <row r="6860" spans="1:14" hidden="1" x14ac:dyDescent="0.35">
      <c r="A6860" s="52" t="s">
        <v>733</v>
      </c>
      <c r="B6860" s="52" t="s">
        <v>37</v>
      </c>
      <c r="C6860" s="52" t="s">
        <v>51</v>
      </c>
      <c r="D6860" s="52" t="s">
        <v>51</v>
      </c>
      <c r="E6860" s="52" t="s">
        <v>602</v>
      </c>
      <c r="F6860" s="52" t="s">
        <v>581</v>
      </c>
      <c r="G6860" s="55" t="s">
        <v>277</v>
      </c>
      <c r="H6860" s="55">
        <v>76.197130000000001</v>
      </c>
      <c r="I6860" s="55">
        <v>14.78214</v>
      </c>
      <c r="J6860" s="55">
        <v>9.0513359999999992</v>
      </c>
      <c r="K6860" s="55">
        <v>9.8623779999999996</v>
      </c>
      <c r="L6860" s="55">
        <v>8.1713950000000004</v>
      </c>
      <c r="M6860" s="55">
        <v>0</v>
      </c>
      <c r="N6860" s="55">
        <v>1.2950470000000001</v>
      </c>
    </row>
    <row r="6861" spans="1:14" hidden="1" x14ac:dyDescent="0.35">
      <c r="A6861" s="52" t="s">
        <v>733</v>
      </c>
      <c r="B6861" s="52" t="s">
        <v>37</v>
      </c>
      <c r="C6861" s="52" t="s">
        <v>51</v>
      </c>
      <c r="D6861" s="52" t="s">
        <v>51</v>
      </c>
      <c r="E6861" s="52" t="s">
        <v>602</v>
      </c>
      <c r="F6861" s="52" t="s">
        <v>581</v>
      </c>
      <c r="G6861" s="55" t="s">
        <v>278</v>
      </c>
      <c r="H6861" s="55">
        <v>2.8660000000000001E-3</v>
      </c>
      <c r="I6861" s="55">
        <v>3.4616660000000001</v>
      </c>
      <c r="J6861" s="55">
        <v>0.76638600000000001</v>
      </c>
      <c r="K6861" s="55">
        <v>0.72423300000000002</v>
      </c>
      <c r="L6861" s="55">
        <v>0.65351550000000003</v>
      </c>
      <c r="M6861" s="55">
        <v>0</v>
      </c>
      <c r="N6861" s="55">
        <v>0.10077029999999999</v>
      </c>
    </row>
    <row r="6862" spans="1:14" hidden="1" x14ac:dyDescent="0.35">
      <c r="A6862" s="52" t="s">
        <v>733</v>
      </c>
      <c r="B6862" s="52" t="s">
        <v>37</v>
      </c>
      <c r="C6862" s="52" t="s">
        <v>51</v>
      </c>
      <c r="D6862" s="52" t="s">
        <v>51</v>
      </c>
      <c r="E6862" s="52" t="s">
        <v>602</v>
      </c>
      <c r="F6862" s="52" t="s">
        <v>581</v>
      </c>
      <c r="G6862" s="55" t="s">
        <v>279</v>
      </c>
      <c r="H6862" s="55">
        <v>171.79859999999999</v>
      </c>
      <c r="I6862" s="55">
        <v>122.7333</v>
      </c>
      <c r="J6862" s="55">
        <v>102.74979999999999</v>
      </c>
      <c r="K6862" s="55">
        <v>96.723399999999998</v>
      </c>
      <c r="L6862" s="55">
        <v>83.822850000000003</v>
      </c>
      <c r="M6862" s="55">
        <v>81.465999999999994</v>
      </c>
      <c r="N6862" s="55">
        <v>69.973439999999997</v>
      </c>
    </row>
    <row r="6863" spans="1:14" hidden="1" x14ac:dyDescent="0.35">
      <c r="A6863" s="52" t="s">
        <v>733</v>
      </c>
      <c r="B6863" s="52" t="s">
        <v>37</v>
      </c>
      <c r="C6863" s="52" t="s">
        <v>51</v>
      </c>
      <c r="D6863" s="52" t="s">
        <v>51</v>
      </c>
      <c r="E6863" s="52" t="s">
        <v>602</v>
      </c>
      <c r="F6863" s="52" t="s">
        <v>26</v>
      </c>
      <c r="G6863" s="55" t="s">
        <v>275</v>
      </c>
      <c r="H6863" s="55">
        <v>-5.2558910000000001</v>
      </c>
      <c r="I6863" s="55">
        <v>-4.9539809999999997</v>
      </c>
      <c r="J6863" s="55">
        <v>-2.8190750000000002</v>
      </c>
      <c r="K6863" s="55">
        <v>-3.5427140000000001</v>
      </c>
      <c r="L6863" s="55">
        <v>-2.840284</v>
      </c>
      <c r="M6863" s="55">
        <v>-4.1349320000000001</v>
      </c>
      <c r="N6863" s="55">
        <v>-3.5356879999999999</v>
      </c>
    </row>
    <row r="6864" spans="1:14" hidden="1" x14ac:dyDescent="0.35">
      <c r="A6864" s="52" t="s">
        <v>733</v>
      </c>
      <c r="B6864" s="52" t="s">
        <v>37</v>
      </c>
      <c r="C6864" s="52" t="s">
        <v>51</v>
      </c>
      <c r="D6864" s="52" t="s">
        <v>51</v>
      </c>
      <c r="E6864" s="52" t="s">
        <v>602</v>
      </c>
      <c r="F6864" s="52" t="s">
        <v>26</v>
      </c>
      <c r="G6864" s="55" t="s">
        <v>276</v>
      </c>
      <c r="H6864" s="55">
        <v>-1.397141</v>
      </c>
      <c r="I6864" s="55">
        <v>-1.316883</v>
      </c>
      <c r="J6864" s="55">
        <v>-0.74937739999999997</v>
      </c>
      <c r="K6864" s="55">
        <v>-0.94173200000000001</v>
      </c>
      <c r="L6864" s="55">
        <v>-0.75500710000000004</v>
      </c>
      <c r="M6864" s="55">
        <v>-1.099159</v>
      </c>
      <c r="N6864" s="55">
        <v>-0.93986650000000005</v>
      </c>
    </row>
    <row r="6865" spans="1:14" hidden="1" x14ac:dyDescent="0.35">
      <c r="A6865" s="52" t="s">
        <v>733</v>
      </c>
      <c r="B6865" s="52" t="s">
        <v>37</v>
      </c>
      <c r="C6865" s="52" t="s">
        <v>51</v>
      </c>
      <c r="D6865" s="52" t="s">
        <v>51</v>
      </c>
      <c r="E6865" s="52" t="s">
        <v>602</v>
      </c>
      <c r="F6865" s="52" t="s">
        <v>26</v>
      </c>
      <c r="G6865" s="55" t="s">
        <v>279</v>
      </c>
      <c r="H6865" s="55">
        <v>39.679960000000001</v>
      </c>
      <c r="I6865" s="55">
        <v>32.075360000000003</v>
      </c>
      <c r="J6865" s="55">
        <v>26.698399999999999</v>
      </c>
      <c r="K6865" s="55">
        <v>25.587859999999999</v>
      </c>
      <c r="L6865" s="55">
        <v>22.497440000000001</v>
      </c>
      <c r="M6865" s="55">
        <v>21.289349999999999</v>
      </c>
      <c r="N6865" s="55">
        <v>18.260860000000001</v>
      </c>
    </row>
    <row r="6866" spans="1:14" hidden="1" x14ac:dyDescent="0.35">
      <c r="A6866" s="52" t="s">
        <v>735</v>
      </c>
      <c r="B6866" s="52" t="s">
        <v>37</v>
      </c>
      <c r="C6866" s="52" t="s">
        <v>35</v>
      </c>
      <c r="D6866" s="52" t="s">
        <v>39</v>
      </c>
      <c r="E6866" s="52" t="s">
        <v>580</v>
      </c>
      <c r="F6866" s="52" t="s">
        <v>581</v>
      </c>
      <c r="G6866" s="55" t="s">
        <v>275</v>
      </c>
      <c r="H6866" s="55">
        <v>-8.6242070000000002</v>
      </c>
      <c r="I6866" s="55">
        <v>-25.830089999999998</v>
      </c>
      <c r="J6866" s="55">
        <v>33.268999999999998</v>
      </c>
      <c r="K6866" s="55">
        <v>85.794709999999995</v>
      </c>
      <c r="L6866" s="55">
        <v>69.052059999999997</v>
      </c>
      <c r="M6866" s="55">
        <v>50.627780000000001</v>
      </c>
      <c r="N6866" s="55">
        <v>39.975830000000002</v>
      </c>
    </row>
    <row r="6867" spans="1:14" hidden="1" x14ac:dyDescent="0.35">
      <c r="A6867" s="52" t="s">
        <v>735</v>
      </c>
      <c r="B6867" s="52" t="s">
        <v>37</v>
      </c>
      <c r="C6867" s="52" t="s">
        <v>35</v>
      </c>
      <c r="D6867" s="52" t="s">
        <v>39</v>
      </c>
      <c r="E6867" s="52" t="s">
        <v>580</v>
      </c>
      <c r="F6867" s="52" t="s">
        <v>581</v>
      </c>
      <c r="G6867" s="55" t="s">
        <v>276</v>
      </c>
      <c r="H6867" s="55">
        <v>14.49128</v>
      </c>
      <c r="I6867" s="55">
        <v>-18.518059999999998</v>
      </c>
      <c r="J6867" s="55">
        <v>-17.502759999999999</v>
      </c>
      <c r="K6867" s="55">
        <v>-22.99821</v>
      </c>
      <c r="L6867" s="55">
        <v>-6.5620019999999997</v>
      </c>
      <c r="M6867" s="55">
        <v>-0.43236210000000003</v>
      </c>
      <c r="N6867" s="55">
        <v>2.6570529999999999</v>
      </c>
    </row>
    <row r="6868" spans="1:14" hidden="1" x14ac:dyDescent="0.35">
      <c r="A6868" s="52" t="s">
        <v>735</v>
      </c>
      <c r="B6868" s="52" t="s">
        <v>37</v>
      </c>
      <c r="C6868" s="52" t="s">
        <v>35</v>
      </c>
      <c r="D6868" s="52" t="s">
        <v>39</v>
      </c>
      <c r="E6868" s="52" t="s">
        <v>580</v>
      </c>
      <c r="F6868" s="52" t="s">
        <v>581</v>
      </c>
      <c r="G6868" s="55" t="s">
        <v>277</v>
      </c>
      <c r="H6868" s="55">
        <v>178.44749999999999</v>
      </c>
      <c r="I6868" s="55">
        <v>71.861949999999993</v>
      </c>
      <c r="J6868" s="55">
        <v>68.434449999999998</v>
      </c>
      <c r="K6868" s="55">
        <v>18.92211</v>
      </c>
      <c r="L6868" s="55">
        <v>14.018689999999999</v>
      </c>
      <c r="M6868" s="55">
        <v>16.037890000000001</v>
      </c>
      <c r="N6868" s="55">
        <v>20.529489999999999</v>
      </c>
    </row>
    <row r="6869" spans="1:14" hidden="1" x14ac:dyDescent="0.35">
      <c r="A6869" s="52" t="s">
        <v>735</v>
      </c>
      <c r="B6869" s="52" t="s">
        <v>37</v>
      </c>
      <c r="C6869" s="52" t="s">
        <v>35</v>
      </c>
      <c r="D6869" s="52" t="s">
        <v>39</v>
      </c>
      <c r="E6869" s="52" t="s">
        <v>580</v>
      </c>
      <c r="F6869" s="52" t="s">
        <v>581</v>
      </c>
      <c r="G6869" s="55" t="s">
        <v>278</v>
      </c>
      <c r="H6869" s="55">
        <v>34.830030000000001</v>
      </c>
      <c r="I6869" s="55">
        <v>52.013120000000001</v>
      </c>
      <c r="J6869" s="55">
        <v>26.910520000000002</v>
      </c>
      <c r="K6869" s="55">
        <v>22.662420000000001</v>
      </c>
      <c r="L6869" s="55">
        <v>17.435390000000002</v>
      </c>
      <c r="M6869" s="55">
        <v>7.2168029999999996</v>
      </c>
      <c r="N6869" s="55">
        <v>5.8182390000000002</v>
      </c>
    </row>
    <row r="6870" spans="1:14" hidden="1" x14ac:dyDescent="0.35">
      <c r="A6870" s="52" t="s">
        <v>735</v>
      </c>
      <c r="B6870" s="52" t="s">
        <v>37</v>
      </c>
      <c r="C6870" s="52" t="s">
        <v>35</v>
      </c>
      <c r="D6870" s="52" t="s">
        <v>39</v>
      </c>
      <c r="E6870" s="52" t="s">
        <v>580</v>
      </c>
      <c r="F6870" s="52" t="s">
        <v>581</v>
      </c>
      <c r="G6870" s="55" t="s">
        <v>279</v>
      </c>
      <c r="H6870" s="55">
        <v>86.991349999999997</v>
      </c>
      <c r="I6870" s="55">
        <v>68.906580000000005</v>
      </c>
      <c r="J6870" s="55">
        <v>87.898880000000005</v>
      </c>
      <c r="K6870" s="55">
        <v>85.762240000000006</v>
      </c>
      <c r="L6870" s="55">
        <v>67.818029999999993</v>
      </c>
      <c r="M6870" s="55">
        <v>67.633319999999998</v>
      </c>
      <c r="N6870" s="55">
        <v>61.237549999999999</v>
      </c>
    </row>
    <row r="6871" spans="1:14" hidden="1" x14ac:dyDescent="0.35">
      <c r="A6871" s="52" t="s">
        <v>735</v>
      </c>
      <c r="B6871" s="52" t="s">
        <v>37</v>
      </c>
      <c r="C6871" s="52" t="s">
        <v>35</v>
      </c>
      <c r="D6871" s="52" t="s">
        <v>39</v>
      </c>
      <c r="E6871" s="52" t="s">
        <v>580</v>
      </c>
      <c r="F6871" s="52" t="s">
        <v>26</v>
      </c>
      <c r="G6871" s="55" t="s">
        <v>275</v>
      </c>
      <c r="H6871" s="55">
        <v>5.8106629999999999</v>
      </c>
      <c r="I6871" s="55">
        <v>4.9287580000000002</v>
      </c>
      <c r="J6871" s="55">
        <v>8.9227170000000005</v>
      </c>
      <c r="K6871" s="55">
        <v>7.8669450000000003</v>
      </c>
      <c r="L6871" s="55">
        <v>7.8937439999999999</v>
      </c>
      <c r="M6871" s="55">
        <v>4.2976640000000002</v>
      </c>
      <c r="N6871" s="55">
        <v>3.9684469999999998</v>
      </c>
    </row>
    <row r="6872" spans="1:14" hidden="1" x14ac:dyDescent="0.35">
      <c r="A6872" s="52" t="s">
        <v>735</v>
      </c>
      <c r="B6872" s="52" t="s">
        <v>37</v>
      </c>
      <c r="C6872" s="52" t="s">
        <v>35</v>
      </c>
      <c r="D6872" s="52" t="s">
        <v>39</v>
      </c>
      <c r="E6872" s="52" t="s">
        <v>580</v>
      </c>
      <c r="F6872" s="52" t="s">
        <v>26</v>
      </c>
      <c r="G6872" s="55" t="s">
        <v>276</v>
      </c>
      <c r="H6872" s="55">
        <v>1.5446029999999999</v>
      </c>
      <c r="I6872" s="55">
        <v>1.310173</v>
      </c>
      <c r="J6872" s="55">
        <v>2.3718590000000002</v>
      </c>
      <c r="K6872" s="55">
        <v>2.091215</v>
      </c>
      <c r="L6872" s="55">
        <v>2.098338</v>
      </c>
      <c r="M6872" s="55">
        <v>1.1424160000000001</v>
      </c>
      <c r="N6872" s="55">
        <v>1.0549040000000001</v>
      </c>
    </row>
    <row r="6873" spans="1:14" hidden="1" x14ac:dyDescent="0.35">
      <c r="A6873" s="52" t="s">
        <v>735</v>
      </c>
      <c r="B6873" s="52" t="s">
        <v>37</v>
      </c>
      <c r="C6873" s="52" t="s">
        <v>35</v>
      </c>
      <c r="D6873" s="52" t="s">
        <v>39</v>
      </c>
      <c r="E6873" s="52" t="s">
        <v>580</v>
      </c>
      <c r="F6873" s="52" t="s">
        <v>26</v>
      </c>
      <c r="G6873" s="55" t="s">
        <v>279</v>
      </c>
      <c r="H6873" s="55">
        <v>21.230930000000001</v>
      </c>
      <c r="I6873" s="55">
        <v>20.9392</v>
      </c>
      <c r="J6873" s="55">
        <v>26.666899999999998</v>
      </c>
      <c r="K6873" s="55">
        <v>26.05705</v>
      </c>
      <c r="L6873" s="55">
        <v>20.44125</v>
      </c>
      <c r="M6873" s="55">
        <v>20.62857</v>
      </c>
      <c r="N6873" s="55">
        <v>18.61965</v>
      </c>
    </row>
    <row r="6874" spans="1:14" hidden="1" x14ac:dyDescent="0.35">
      <c r="A6874" s="52" t="s">
        <v>735</v>
      </c>
      <c r="B6874" s="52" t="s">
        <v>37</v>
      </c>
      <c r="C6874" s="52" t="s">
        <v>35</v>
      </c>
      <c r="D6874" s="52" t="s">
        <v>39</v>
      </c>
      <c r="E6874" s="52" t="s">
        <v>582</v>
      </c>
      <c r="F6874" s="52" t="s">
        <v>581</v>
      </c>
      <c r="G6874" s="55" t="s">
        <v>275</v>
      </c>
      <c r="H6874" s="55">
        <v>-15.7722</v>
      </c>
      <c r="I6874" s="55">
        <v>-17.334910000000001</v>
      </c>
      <c r="J6874" s="55">
        <v>1.401003</v>
      </c>
      <c r="K6874" s="55">
        <v>7.9619540000000004</v>
      </c>
      <c r="L6874" s="55">
        <v>8.9081399999999995</v>
      </c>
      <c r="M6874" s="55">
        <v>6.3628049999999998</v>
      </c>
      <c r="N6874" s="55">
        <v>6.1238679999999999</v>
      </c>
    </row>
    <row r="6875" spans="1:14" hidden="1" x14ac:dyDescent="0.35">
      <c r="A6875" s="52" t="s">
        <v>735</v>
      </c>
      <c r="B6875" s="52" t="s">
        <v>37</v>
      </c>
      <c r="C6875" s="52" t="s">
        <v>35</v>
      </c>
      <c r="D6875" s="52" t="s">
        <v>39</v>
      </c>
      <c r="E6875" s="52" t="s">
        <v>582</v>
      </c>
      <c r="F6875" s="52" t="s">
        <v>581</v>
      </c>
      <c r="G6875" s="55" t="s">
        <v>276</v>
      </c>
      <c r="H6875" s="55">
        <v>1.0657559999999999</v>
      </c>
      <c r="I6875" s="55">
        <v>-2.0614620000000001</v>
      </c>
      <c r="J6875" s="55">
        <v>-1.0477050000000001</v>
      </c>
      <c r="K6875" s="55">
        <v>-1.410002</v>
      </c>
      <c r="L6875" s="55">
        <v>-1.6494340000000001</v>
      </c>
      <c r="M6875" s="55">
        <v>-1.0734429999999999</v>
      </c>
      <c r="N6875" s="55">
        <v>0.53481749999999995</v>
      </c>
    </row>
    <row r="6876" spans="1:14" hidden="1" x14ac:dyDescent="0.35">
      <c r="A6876" s="52" t="s">
        <v>735</v>
      </c>
      <c r="B6876" s="52" t="s">
        <v>37</v>
      </c>
      <c r="C6876" s="52" t="s">
        <v>35</v>
      </c>
      <c r="D6876" s="52" t="s">
        <v>39</v>
      </c>
      <c r="E6876" s="52" t="s">
        <v>582</v>
      </c>
      <c r="F6876" s="52" t="s">
        <v>581</v>
      </c>
      <c r="G6876" s="55" t="s">
        <v>277</v>
      </c>
      <c r="H6876" s="55">
        <v>30.90185</v>
      </c>
      <c r="I6876" s="55">
        <v>4.2993030000000001</v>
      </c>
      <c r="J6876" s="55">
        <v>7.6761239999999997</v>
      </c>
      <c r="K6876" s="55">
        <v>4.5210730000000003</v>
      </c>
      <c r="L6876" s="55">
        <v>3.8486180000000001</v>
      </c>
      <c r="M6876" s="55">
        <v>6.3860330000000003</v>
      </c>
      <c r="N6876" s="55">
        <v>8.6163019999999992</v>
      </c>
    </row>
    <row r="6877" spans="1:14" hidden="1" x14ac:dyDescent="0.35">
      <c r="A6877" s="52" t="s">
        <v>735</v>
      </c>
      <c r="B6877" s="52" t="s">
        <v>37</v>
      </c>
      <c r="C6877" s="52" t="s">
        <v>35</v>
      </c>
      <c r="D6877" s="52" t="s">
        <v>39</v>
      </c>
      <c r="E6877" s="52" t="s">
        <v>582</v>
      </c>
      <c r="F6877" s="52" t="s">
        <v>581</v>
      </c>
      <c r="G6877" s="55" t="s">
        <v>278</v>
      </c>
      <c r="H6877" s="55">
        <v>9.6621380000000006</v>
      </c>
      <c r="I6877" s="55">
        <v>30.583860000000001</v>
      </c>
      <c r="J6877" s="55">
        <v>13.324870000000001</v>
      </c>
      <c r="K6877" s="55">
        <v>9.7581640000000007</v>
      </c>
      <c r="L6877" s="55">
        <v>8.7097639999999998</v>
      </c>
      <c r="M6877" s="55">
        <v>5.9573749999999999</v>
      </c>
      <c r="N6877" s="55">
        <v>3.302044</v>
      </c>
    </row>
    <row r="6878" spans="1:14" hidden="1" x14ac:dyDescent="0.35">
      <c r="A6878" s="52" t="s">
        <v>735</v>
      </c>
      <c r="B6878" s="52" t="s">
        <v>37</v>
      </c>
      <c r="C6878" s="52" t="s">
        <v>35</v>
      </c>
      <c r="D6878" s="52" t="s">
        <v>39</v>
      </c>
      <c r="E6878" s="52" t="s">
        <v>582</v>
      </c>
      <c r="F6878" s="52" t="s">
        <v>581</v>
      </c>
      <c r="G6878" s="55" t="s">
        <v>279</v>
      </c>
      <c r="H6878" s="55">
        <v>9.4858039999999999</v>
      </c>
      <c r="I6878" s="55">
        <v>11.62388</v>
      </c>
      <c r="J6878" s="55">
        <v>14.66986</v>
      </c>
      <c r="K6878" s="55">
        <v>14.780099999999999</v>
      </c>
      <c r="L6878" s="55">
        <v>12.3064</v>
      </c>
      <c r="M6878" s="55">
        <v>13.431340000000001</v>
      </c>
      <c r="N6878" s="55">
        <v>13.43566</v>
      </c>
    </row>
    <row r="6879" spans="1:14" hidden="1" x14ac:dyDescent="0.35">
      <c r="A6879" s="52" t="s">
        <v>735</v>
      </c>
      <c r="B6879" s="52" t="s">
        <v>37</v>
      </c>
      <c r="C6879" s="52" t="s">
        <v>35</v>
      </c>
      <c r="D6879" s="52" t="s">
        <v>39</v>
      </c>
      <c r="E6879" s="52" t="s">
        <v>582</v>
      </c>
      <c r="F6879" s="52" t="s">
        <v>26</v>
      </c>
      <c r="G6879" s="55" t="s">
        <v>275</v>
      </c>
      <c r="H6879" s="55">
        <v>0.119445</v>
      </c>
      <c r="I6879" s="55">
        <v>0.115982</v>
      </c>
      <c r="J6879" s="55">
        <v>0.35837599999999997</v>
      </c>
      <c r="K6879" s="55">
        <v>0.26497470000000001</v>
      </c>
      <c r="L6879" s="55">
        <v>0.34664679999999998</v>
      </c>
      <c r="M6879" s="55">
        <v>7.3277999999999996E-2</v>
      </c>
      <c r="N6879" s="55">
        <v>9.1717099999999996E-2</v>
      </c>
    </row>
    <row r="6880" spans="1:14" hidden="1" x14ac:dyDescent="0.35">
      <c r="A6880" s="52" t="s">
        <v>735</v>
      </c>
      <c r="B6880" s="52" t="s">
        <v>37</v>
      </c>
      <c r="C6880" s="52" t="s">
        <v>35</v>
      </c>
      <c r="D6880" s="52" t="s">
        <v>39</v>
      </c>
      <c r="E6880" s="52" t="s">
        <v>582</v>
      </c>
      <c r="F6880" s="52" t="s">
        <v>26</v>
      </c>
      <c r="G6880" s="55" t="s">
        <v>276</v>
      </c>
      <c r="H6880" s="55">
        <v>3.1752000000000002E-2</v>
      </c>
      <c r="I6880" s="55">
        <v>3.0830699999999999E-2</v>
      </c>
      <c r="J6880" s="55">
        <v>9.5264210000000002E-2</v>
      </c>
      <c r="K6880" s="55">
        <v>7.0436600000000002E-2</v>
      </c>
      <c r="L6880" s="55">
        <v>9.2145699999999997E-2</v>
      </c>
      <c r="M6880" s="55">
        <v>1.9478599999999999E-2</v>
      </c>
      <c r="N6880" s="55">
        <v>2.4380700000000002E-2</v>
      </c>
    </row>
    <row r="6881" spans="1:14" hidden="1" x14ac:dyDescent="0.35">
      <c r="A6881" s="52" t="s">
        <v>735</v>
      </c>
      <c r="B6881" s="52" t="s">
        <v>37</v>
      </c>
      <c r="C6881" s="52" t="s">
        <v>35</v>
      </c>
      <c r="D6881" s="52" t="s">
        <v>39</v>
      </c>
      <c r="E6881" s="52" t="s">
        <v>582</v>
      </c>
      <c r="F6881" s="52" t="s">
        <v>26</v>
      </c>
      <c r="G6881" s="55" t="s">
        <v>279</v>
      </c>
      <c r="H6881" s="55">
        <v>1.388147</v>
      </c>
      <c r="I6881" s="55">
        <v>2.1897769999999999</v>
      </c>
      <c r="J6881" s="55">
        <v>2.7692079999999999</v>
      </c>
      <c r="K6881" s="55">
        <v>2.8186390000000001</v>
      </c>
      <c r="L6881" s="55">
        <v>2.3853900000000001</v>
      </c>
      <c r="M6881" s="55">
        <v>2.5522339999999999</v>
      </c>
      <c r="N6881" s="55">
        <v>2.5384449999999998</v>
      </c>
    </row>
    <row r="6882" spans="1:14" hidden="1" x14ac:dyDescent="0.35">
      <c r="A6882" s="52" t="s">
        <v>735</v>
      </c>
      <c r="B6882" s="52" t="s">
        <v>37</v>
      </c>
      <c r="C6882" s="52" t="s">
        <v>35</v>
      </c>
      <c r="D6882" s="52" t="s">
        <v>207</v>
      </c>
      <c r="E6882" s="52" t="s">
        <v>580</v>
      </c>
      <c r="F6882" s="52" t="s">
        <v>581</v>
      </c>
      <c r="G6882" s="55" t="s">
        <v>275</v>
      </c>
      <c r="H6882" s="55">
        <v>-81.474869999999996</v>
      </c>
      <c r="I6882" s="55">
        <v>1.803569</v>
      </c>
      <c r="J6882" s="55">
        <v>19.50207</v>
      </c>
      <c r="K6882" s="55">
        <v>36.057459999999999</v>
      </c>
      <c r="L6882" s="55">
        <v>34.740110000000001</v>
      </c>
      <c r="M6882" s="55">
        <v>17.347919999999998</v>
      </c>
      <c r="N6882" s="55">
        <v>16.239730000000002</v>
      </c>
    </row>
    <row r="6883" spans="1:14" hidden="1" x14ac:dyDescent="0.35">
      <c r="A6883" s="52" t="s">
        <v>735</v>
      </c>
      <c r="B6883" s="52" t="s">
        <v>37</v>
      </c>
      <c r="C6883" s="52" t="s">
        <v>35</v>
      </c>
      <c r="D6883" s="52" t="s">
        <v>207</v>
      </c>
      <c r="E6883" s="52" t="s">
        <v>580</v>
      </c>
      <c r="F6883" s="52" t="s">
        <v>581</v>
      </c>
      <c r="G6883" s="55" t="s">
        <v>276</v>
      </c>
      <c r="H6883" s="55">
        <v>15.407719999999999</v>
      </c>
      <c r="I6883" s="55">
        <v>-2.1586430000000001</v>
      </c>
      <c r="J6883" s="55">
        <v>-1.4390700000000001</v>
      </c>
      <c r="K6883" s="55">
        <v>-10.714219999999999</v>
      </c>
      <c r="L6883" s="55">
        <v>-11.758710000000001</v>
      </c>
      <c r="M6883" s="55">
        <v>0.80707870000000004</v>
      </c>
      <c r="N6883" s="55">
        <v>2.7643239999999998</v>
      </c>
    </row>
    <row r="6884" spans="1:14" hidden="1" x14ac:dyDescent="0.35">
      <c r="A6884" s="52" t="s">
        <v>735</v>
      </c>
      <c r="B6884" s="52" t="s">
        <v>37</v>
      </c>
      <c r="C6884" s="52" t="s">
        <v>35</v>
      </c>
      <c r="D6884" s="52" t="s">
        <v>207</v>
      </c>
      <c r="E6884" s="52" t="s">
        <v>580</v>
      </c>
      <c r="F6884" s="52" t="s">
        <v>581</v>
      </c>
      <c r="G6884" s="55" t="s">
        <v>277</v>
      </c>
      <c r="H6884" s="55">
        <v>156.16390000000001</v>
      </c>
      <c r="I6884" s="55">
        <v>20.193719999999999</v>
      </c>
      <c r="J6884" s="55">
        <v>25.984649999999998</v>
      </c>
      <c r="K6884" s="55">
        <v>10.718870000000001</v>
      </c>
      <c r="L6884" s="55">
        <v>11.16325</v>
      </c>
      <c r="M6884" s="55">
        <v>14.30166</v>
      </c>
      <c r="N6884" s="55">
        <v>16.54082</v>
      </c>
    </row>
    <row r="6885" spans="1:14" hidden="1" x14ac:dyDescent="0.35">
      <c r="A6885" s="52" t="s">
        <v>735</v>
      </c>
      <c r="B6885" s="52" t="s">
        <v>37</v>
      </c>
      <c r="C6885" s="52" t="s">
        <v>35</v>
      </c>
      <c r="D6885" s="52" t="s">
        <v>207</v>
      </c>
      <c r="E6885" s="52" t="s">
        <v>580</v>
      </c>
      <c r="F6885" s="52" t="s">
        <v>581</v>
      </c>
      <c r="G6885" s="55" t="s">
        <v>278</v>
      </c>
      <c r="H6885" s="55">
        <v>49.64846</v>
      </c>
      <c r="I6885" s="55">
        <v>33.776179999999997</v>
      </c>
      <c r="J6885" s="55">
        <v>10.307499999999999</v>
      </c>
      <c r="K6885" s="55">
        <v>13.20237</v>
      </c>
      <c r="L6885" s="55">
        <v>12.99273</v>
      </c>
      <c r="M6885" s="55">
        <v>8.7452369999999995</v>
      </c>
      <c r="N6885" s="55">
        <v>6.2762339999999996</v>
      </c>
    </row>
    <row r="6886" spans="1:14" hidden="1" x14ac:dyDescent="0.35">
      <c r="A6886" s="52" t="s">
        <v>735</v>
      </c>
      <c r="B6886" s="52" t="s">
        <v>37</v>
      </c>
      <c r="C6886" s="52" t="s">
        <v>35</v>
      </c>
      <c r="D6886" s="52" t="s">
        <v>207</v>
      </c>
      <c r="E6886" s="52" t="s">
        <v>580</v>
      </c>
      <c r="F6886" s="52" t="s">
        <v>581</v>
      </c>
      <c r="G6886" s="55" t="s">
        <v>279</v>
      </c>
      <c r="H6886" s="55">
        <v>54.202350000000003</v>
      </c>
      <c r="I6886" s="55">
        <v>44.517380000000003</v>
      </c>
      <c r="J6886" s="55">
        <v>41.152079999999998</v>
      </c>
      <c r="K6886" s="55">
        <v>38.609929999999999</v>
      </c>
      <c r="L6886" s="55">
        <v>32.466349999999998</v>
      </c>
      <c r="M6886" s="55">
        <v>35.798319999999997</v>
      </c>
      <c r="N6886" s="55">
        <v>34.887070000000001</v>
      </c>
    </row>
    <row r="6887" spans="1:14" hidden="1" x14ac:dyDescent="0.35">
      <c r="A6887" s="52" t="s">
        <v>735</v>
      </c>
      <c r="B6887" s="52" t="s">
        <v>37</v>
      </c>
      <c r="C6887" s="52" t="s">
        <v>35</v>
      </c>
      <c r="D6887" s="52" t="s">
        <v>207</v>
      </c>
      <c r="E6887" s="52" t="s">
        <v>580</v>
      </c>
      <c r="F6887" s="52" t="s">
        <v>26</v>
      </c>
      <c r="G6887" s="55" t="s">
        <v>275</v>
      </c>
      <c r="H6887" s="55">
        <v>2.0360520000000002</v>
      </c>
      <c r="I6887" s="55">
        <v>1.8099959999999999</v>
      </c>
      <c r="J6887" s="55">
        <v>2.3803879999999999</v>
      </c>
      <c r="K6887" s="55">
        <v>2.025623</v>
      </c>
      <c r="L6887" s="55">
        <v>2.1837490000000002</v>
      </c>
      <c r="M6887" s="55">
        <v>1.3173239999999999</v>
      </c>
      <c r="N6887" s="55">
        <v>1.317367</v>
      </c>
    </row>
    <row r="6888" spans="1:14" hidden="1" x14ac:dyDescent="0.35">
      <c r="A6888" s="52" t="s">
        <v>735</v>
      </c>
      <c r="B6888" s="52" t="s">
        <v>37</v>
      </c>
      <c r="C6888" s="52" t="s">
        <v>35</v>
      </c>
      <c r="D6888" s="52" t="s">
        <v>207</v>
      </c>
      <c r="E6888" s="52" t="s">
        <v>580</v>
      </c>
      <c r="F6888" s="52" t="s">
        <v>26</v>
      </c>
      <c r="G6888" s="55" t="s">
        <v>276</v>
      </c>
      <c r="H6888" s="55">
        <v>0.54122890000000001</v>
      </c>
      <c r="I6888" s="55">
        <v>0.4811376</v>
      </c>
      <c r="J6888" s="55">
        <v>0.63276149999999998</v>
      </c>
      <c r="K6888" s="55">
        <v>0.53845790000000004</v>
      </c>
      <c r="L6888" s="55">
        <v>0.58049010000000001</v>
      </c>
      <c r="M6888" s="55">
        <v>0.35017520000000002</v>
      </c>
      <c r="N6888" s="55">
        <v>0.35018569999999999</v>
      </c>
    </row>
    <row r="6889" spans="1:14" hidden="1" x14ac:dyDescent="0.35">
      <c r="A6889" s="52" t="s">
        <v>735</v>
      </c>
      <c r="B6889" s="52" t="s">
        <v>37</v>
      </c>
      <c r="C6889" s="52" t="s">
        <v>35</v>
      </c>
      <c r="D6889" s="52" t="s">
        <v>207</v>
      </c>
      <c r="E6889" s="52" t="s">
        <v>580</v>
      </c>
      <c r="F6889" s="52" t="s">
        <v>26</v>
      </c>
      <c r="G6889" s="55" t="s">
        <v>279</v>
      </c>
      <c r="H6889" s="55">
        <v>7.4392870000000002</v>
      </c>
      <c r="I6889" s="55">
        <v>7.6905720000000004</v>
      </c>
      <c r="J6889" s="55">
        <v>7.1012230000000001</v>
      </c>
      <c r="K6889" s="55">
        <v>6.6873769999999997</v>
      </c>
      <c r="L6889" s="55">
        <v>5.5837269999999997</v>
      </c>
      <c r="M6889" s="55">
        <v>6.2512299999999996</v>
      </c>
      <c r="N6889" s="55">
        <v>6.0822659999999997</v>
      </c>
    </row>
    <row r="6890" spans="1:14" hidden="1" x14ac:dyDescent="0.35">
      <c r="A6890" s="52" t="s">
        <v>735</v>
      </c>
      <c r="B6890" s="52" t="s">
        <v>37</v>
      </c>
      <c r="C6890" s="52" t="s">
        <v>35</v>
      </c>
      <c r="D6890" s="52" t="s">
        <v>207</v>
      </c>
      <c r="E6890" s="52" t="s">
        <v>582</v>
      </c>
      <c r="F6890" s="52" t="s">
        <v>581</v>
      </c>
      <c r="G6890" s="55" t="s">
        <v>275</v>
      </c>
      <c r="H6890" s="55">
        <v>-7.8268490000000002</v>
      </c>
      <c r="I6890" s="55">
        <v>-9.4088499999999993</v>
      </c>
      <c r="J6890" s="55">
        <v>15.37593</v>
      </c>
      <c r="K6890" s="55">
        <v>15.946160000000001</v>
      </c>
      <c r="L6890" s="55">
        <v>13.394439999999999</v>
      </c>
      <c r="M6890" s="55">
        <v>8.1766129999999997</v>
      </c>
      <c r="N6890" s="55">
        <v>1.6572020000000001</v>
      </c>
    </row>
    <row r="6891" spans="1:14" hidden="1" x14ac:dyDescent="0.35">
      <c r="A6891" s="52" t="s">
        <v>735</v>
      </c>
      <c r="B6891" s="52" t="s">
        <v>37</v>
      </c>
      <c r="C6891" s="52" t="s">
        <v>35</v>
      </c>
      <c r="D6891" s="52" t="s">
        <v>207</v>
      </c>
      <c r="E6891" s="52" t="s">
        <v>582</v>
      </c>
      <c r="F6891" s="52" t="s">
        <v>581</v>
      </c>
      <c r="G6891" s="55" t="s">
        <v>276</v>
      </c>
      <c r="H6891" s="55">
        <v>-0.59745789999999999</v>
      </c>
      <c r="I6891" s="55">
        <v>-5.1765869999999996</v>
      </c>
      <c r="J6891" s="55">
        <v>-4.469786</v>
      </c>
      <c r="K6891" s="55">
        <v>-2.0445799999999998</v>
      </c>
      <c r="L6891" s="55">
        <v>-1.5441389999999999</v>
      </c>
      <c r="M6891" s="55">
        <v>8.4225709999999995E-2</v>
      </c>
      <c r="N6891" s="55">
        <v>2.092692</v>
      </c>
    </row>
    <row r="6892" spans="1:14" hidden="1" x14ac:dyDescent="0.35">
      <c r="A6892" s="52" t="s">
        <v>735</v>
      </c>
      <c r="B6892" s="52" t="s">
        <v>37</v>
      </c>
      <c r="C6892" s="52" t="s">
        <v>35</v>
      </c>
      <c r="D6892" s="52" t="s">
        <v>207</v>
      </c>
      <c r="E6892" s="52" t="s">
        <v>582</v>
      </c>
      <c r="F6892" s="52" t="s">
        <v>581</v>
      </c>
      <c r="G6892" s="55" t="s">
        <v>277</v>
      </c>
      <c r="H6892" s="55">
        <v>37.244340000000001</v>
      </c>
      <c r="I6892" s="55">
        <v>24.332650000000001</v>
      </c>
      <c r="J6892" s="55">
        <v>4.936687</v>
      </c>
      <c r="K6892" s="55">
        <v>1.6433150000000001</v>
      </c>
      <c r="L6892" s="55">
        <v>2.7490519999999998</v>
      </c>
      <c r="M6892" s="55">
        <v>3.7429540000000001</v>
      </c>
      <c r="N6892" s="55">
        <v>10.863989999999999</v>
      </c>
    </row>
    <row r="6893" spans="1:14" hidden="1" x14ac:dyDescent="0.35">
      <c r="A6893" s="52" t="s">
        <v>735</v>
      </c>
      <c r="B6893" s="52" t="s">
        <v>37</v>
      </c>
      <c r="C6893" s="52" t="s">
        <v>35</v>
      </c>
      <c r="D6893" s="52" t="s">
        <v>207</v>
      </c>
      <c r="E6893" s="52" t="s">
        <v>582</v>
      </c>
      <c r="F6893" s="52" t="s">
        <v>581</v>
      </c>
      <c r="G6893" s="55" t="s">
        <v>278</v>
      </c>
      <c r="H6893" s="55">
        <v>9.3017120000000002</v>
      </c>
      <c r="I6893" s="55">
        <v>5.6673460000000002</v>
      </c>
      <c r="J6893" s="55">
        <v>4.4743870000000001</v>
      </c>
      <c r="K6893" s="55">
        <v>3.3787120000000002</v>
      </c>
      <c r="L6893" s="55">
        <v>3.4285299999999999</v>
      </c>
      <c r="M6893" s="55">
        <v>5.0359949999999998</v>
      </c>
      <c r="N6893" s="55">
        <v>5.110633</v>
      </c>
    </row>
    <row r="6894" spans="1:14" hidden="1" x14ac:dyDescent="0.35">
      <c r="A6894" s="52" t="s">
        <v>735</v>
      </c>
      <c r="B6894" s="52" t="s">
        <v>37</v>
      </c>
      <c r="C6894" s="52" t="s">
        <v>35</v>
      </c>
      <c r="D6894" s="52" t="s">
        <v>207</v>
      </c>
      <c r="E6894" s="52" t="s">
        <v>582</v>
      </c>
      <c r="F6894" s="52" t="s">
        <v>581</v>
      </c>
      <c r="G6894" s="55" t="s">
        <v>279</v>
      </c>
      <c r="H6894" s="55">
        <v>13.66456</v>
      </c>
      <c r="I6894" s="55">
        <v>11.18422</v>
      </c>
      <c r="J6894" s="55">
        <v>13.653169999999999</v>
      </c>
      <c r="K6894" s="55">
        <v>13.11877</v>
      </c>
      <c r="L6894" s="55">
        <v>11.28458</v>
      </c>
      <c r="M6894" s="55">
        <v>13.412459999999999</v>
      </c>
      <c r="N6894" s="55">
        <v>15.35539</v>
      </c>
    </row>
    <row r="6895" spans="1:14" hidden="1" x14ac:dyDescent="0.35">
      <c r="A6895" s="52" t="s">
        <v>735</v>
      </c>
      <c r="B6895" s="52" t="s">
        <v>37</v>
      </c>
      <c r="C6895" s="52" t="s">
        <v>35</v>
      </c>
      <c r="D6895" s="52" t="s">
        <v>207</v>
      </c>
      <c r="E6895" s="52" t="s">
        <v>582</v>
      </c>
      <c r="F6895" s="52" t="s">
        <v>26</v>
      </c>
      <c r="G6895" s="55" t="s">
        <v>275</v>
      </c>
      <c r="H6895" s="55">
        <v>0.28645900000000002</v>
      </c>
      <c r="I6895" s="55">
        <v>0.26045679999999999</v>
      </c>
      <c r="J6895" s="55">
        <v>0.44910800000000001</v>
      </c>
      <c r="K6895" s="55">
        <v>0.39090180000000002</v>
      </c>
      <c r="L6895" s="55">
        <v>0.41437659999999998</v>
      </c>
      <c r="M6895" s="55">
        <v>0.2717985</v>
      </c>
      <c r="N6895" s="55">
        <v>0.31153330000000001</v>
      </c>
    </row>
    <row r="6896" spans="1:14" hidden="1" x14ac:dyDescent="0.35">
      <c r="A6896" s="52" t="s">
        <v>735</v>
      </c>
      <c r="B6896" s="52" t="s">
        <v>37</v>
      </c>
      <c r="C6896" s="52" t="s">
        <v>35</v>
      </c>
      <c r="D6896" s="52" t="s">
        <v>207</v>
      </c>
      <c r="E6896" s="52" t="s">
        <v>582</v>
      </c>
      <c r="F6896" s="52" t="s">
        <v>26</v>
      </c>
      <c r="G6896" s="55" t="s">
        <v>276</v>
      </c>
      <c r="H6896" s="55">
        <v>7.6147999999999993E-2</v>
      </c>
      <c r="I6896" s="55">
        <v>6.9234900000000002E-2</v>
      </c>
      <c r="J6896" s="55">
        <v>0.1193835</v>
      </c>
      <c r="K6896" s="55">
        <v>0.10391110000000001</v>
      </c>
      <c r="L6896" s="55">
        <v>0.1101519</v>
      </c>
      <c r="M6896" s="55">
        <v>7.2249590000000002E-2</v>
      </c>
      <c r="N6896" s="55">
        <v>8.2811800000000005E-2</v>
      </c>
    </row>
    <row r="6897" spans="1:14" hidden="1" x14ac:dyDescent="0.35">
      <c r="A6897" s="52" t="s">
        <v>735</v>
      </c>
      <c r="B6897" s="52" t="s">
        <v>37</v>
      </c>
      <c r="C6897" s="52" t="s">
        <v>35</v>
      </c>
      <c r="D6897" s="52" t="s">
        <v>207</v>
      </c>
      <c r="E6897" s="52" t="s">
        <v>582</v>
      </c>
      <c r="F6897" s="52" t="s">
        <v>26</v>
      </c>
      <c r="G6897" s="55" t="s">
        <v>279</v>
      </c>
      <c r="H6897" s="55">
        <v>1.0466530000000001</v>
      </c>
      <c r="I6897" s="55">
        <v>1.1073850000000001</v>
      </c>
      <c r="J6897" s="55">
        <v>1.3490230000000001</v>
      </c>
      <c r="K6897" s="55">
        <v>1.2982629999999999</v>
      </c>
      <c r="L6897" s="55">
        <v>1.107561</v>
      </c>
      <c r="M6897" s="55">
        <v>1.3374790000000001</v>
      </c>
      <c r="N6897" s="55">
        <v>1.5293559999999999</v>
      </c>
    </row>
    <row r="6898" spans="1:14" hidden="1" x14ac:dyDescent="0.35">
      <c r="A6898" s="52" t="s">
        <v>735</v>
      </c>
      <c r="B6898" s="52" t="s">
        <v>37</v>
      </c>
      <c r="C6898" s="52" t="s">
        <v>35</v>
      </c>
      <c r="D6898" s="52" t="s">
        <v>207</v>
      </c>
      <c r="E6898" s="52" t="s">
        <v>584</v>
      </c>
      <c r="F6898" s="52" t="s">
        <v>581</v>
      </c>
      <c r="G6898" s="55" t="s">
        <v>275</v>
      </c>
      <c r="H6898" s="55">
        <v>2.3907999999999999E-2</v>
      </c>
      <c r="I6898" s="55">
        <v>7.8755000000000006E-3</v>
      </c>
      <c r="J6898" s="55">
        <v>7.9203989999999998E-3</v>
      </c>
      <c r="K6898" s="55">
        <v>7.3877989999999996E-3</v>
      </c>
      <c r="L6898" s="55">
        <v>6.9555989999999998E-3</v>
      </c>
      <c r="M6898" s="55">
        <v>7.0670000000000004E-3</v>
      </c>
      <c r="N6898" s="55">
        <v>7.1768999999999999E-3</v>
      </c>
    </row>
    <row r="6899" spans="1:14" hidden="1" x14ac:dyDescent="0.35">
      <c r="A6899" s="52" t="s">
        <v>735</v>
      </c>
      <c r="B6899" s="52" t="s">
        <v>37</v>
      </c>
      <c r="C6899" s="52" t="s">
        <v>35</v>
      </c>
      <c r="D6899" s="52" t="s">
        <v>207</v>
      </c>
      <c r="E6899" s="52" t="s">
        <v>584</v>
      </c>
      <c r="F6899" s="52" t="s">
        <v>581</v>
      </c>
      <c r="G6899" s="55" t="s">
        <v>276</v>
      </c>
      <c r="H6899" s="55">
        <v>6.3550000000000004E-3</v>
      </c>
      <c r="I6899" s="55">
        <v>2.0931000000000001E-3</v>
      </c>
      <c r="J6899" s="55">
        <v>2.1050999999999999E-3</v>
      </c>
      <c r="K6899" s="55">
        <v>1.9639000000000002E-3</v>
      </c>
      <c r="L6899" s="55">
        <v>1.8492999999999999E-3</v>
      </c>
      <c r="M6899" s="55">
        <v>1.8783999999999999E-3</v>
      </c>
      <c r="N6899" s="55">
        <v>1.9074999999999999E-3</v>
      </c>
    </row>
    <row r="6900" spans="1:14" hidden="1" x14ac:dyDescent="0.35">
      <c r="A6900" s="52" t="s">
        <v>735</v>
      </c>
      <c r="B6900" s="52" t="s">
        <v>37</v>
      </c>
      <c r="C6900" s="52" t="s">
        <v>35</v>
      </c>
      <c r="D6900" s="52" t="s">
        <v>207</v>
      </c>
      <c r="E6900" s="52" t="s">
        <v>584</v>
      </c>
      <c r="F6900" s="52" t="s">
        <v>581</v>
      </c>
      <c r="G6900" s="55" t="s">
        <v>279</v>
      </c>
      <c r="H6900" s="55">
        <v>1.3905000000000001E-2</v>
      </c>
      <c r="I6900" s="55">
        <v>1.09555E-2</v>
      </c>
      <c r="J6900" s="55">
        <v>1.0669400000000001E-2</v>
      </c>
      <c r="K6900" s="55">
        <v>1.1553000000000001E-2</v>
      </c>
      <c r="L6900" s="55">
        <v>1.2304900000000001E-2</v>
      </c>
      <c r="M6900" s="55">
        <v>1.23705E-2</v>
      </c>
      <c r="N6900" s="55">
        <v>1.24358E-2</v>
      </c>
    </row>
    <row r="6901" spans="1:14" hidden="1" x14ac:dyDescent="0.35">
      <c r="A6901" s="52" t="s">
        <v>735</v>
      </c>
      <c r="B6901" s="52" t="s">
        <v>37</v>
      </c>
      <c r="C6901" s="52" t="s">
        <v>35</v>
      </c>
      <c r="D6901" s="52" t="s">
        <v>207</v>
      </c>
      <c r="E6901" s="52" t="s">
        <v>584</v>
      </c>
      <c r="F6901" s="52" t="s">
        <v>26</v>
      </c>
      <c r="G6901" s="55" t="s">
        <v>275</v>
      </c>
      <c r="H6901" s="55">
        <v>-1.6045860000000001</v>
      </c>
      <c r="I6901" s="55">
        <v>-0.90609490000000004</v>
      </c>
      <c r="J6901" s="55">
        <v>-0.85887809999999998</v>
      </c>
      <c r="K6901" s="55">
        <v>-0.82010740000000004</v>
      </c>
      <c r="L6901" s="55">
        <v>-0.80962420000000002</v>
      </c>
      <c r="M6901" s="55">
        <v>-0.80826509999999996</v>
      </c>
      <c r="N6901" s="55">
        <v>-0.75775190000000003</v>
      </c>
    </row>
    <row r="6902" spans="1:14" hidden="1" x14ac:dyDescent="0.35">
      <c r="A6902" s="52" t="s">
        <v>735</v>
      </c>
      <c r="B6902" s="52" t="s">
        <v>37</v>
      </c>
      <c r="C6902" s="52" t="s">
        <v>35</v>
      </c>
      <c r="D6902" s="52" t="s">
        <v>207</v>
      </c>
      <c r="E6902" s="52" t="s">
        <v>584</v>
      </c>
      <c r="F6902" s="52" t="s">
        <v>26</v>
      </c>
      <c r="G6902" s="55" t="s">
        <v>276</v>
      </c>
      <c r="H6902" s="55">
        <v>-0.46499990000000002</v>
      </c>
      <c r="I6902" s="55">
        <v>-0.4948148</v>
      </c>
      <c r="J6902" s="55">
        <v>-0.37536320000000001</v>
      </c>
      <c r="K6902" s="55">
        <v>-0.3788723</v>
      </c>
      <c r="L6902" s="55">
        <v>-0.34765980000000002</v>
      </c>
      <c r="M6902" s="55">
        <v>-0.2733022</v>
      </c>
      <c r="N6902" s="55">
        <v>-0.25345509999999999</v>
      </c>
    </row>
    <row r="6903" spans="1:14" hidden="1" x14ac:dyDescent="0.35">
      <c r="A6903" s="52" t="s">
        <v>735</v>
      </c>
      <c r="B6903" s="52" t="s">
        <v>37</v>
      </c>
      <c r="C6903" s="52" t="s">
        <v>35</v>
      </c>
      <c r="D6903" s="52" t="s">
        <v>207</v>
      </c>
      <c r="E6903" s="52" t="s">
        <v>584</v>
      </c>
      <c r="F6903" s="52" t="s">
        <v>26</v>
      </c>
      <c r="G6903" s="55" t="s">
        <v>277</v>
      </c>
      <c r="H6903" s="55">
        <v>2.349097</v>
      </c>
      <c r="I6903" s="55">
        <v>1.6048340000000001</v>
      </c>
      <c r="J6903" s="55">
        <v>1.479101</v>
      </c>
      <c r="K6903" s="55">
        <v>1.3862300000000001</v>
      </c>
      <c r="L6903" s="55">
        <v>1.2992570000000001</v>
      </c>
      <c r="M6903" s="55">
        <v>1.217808</v>
      </c>
      <c r="N6903" s="55">
        <v>1.141527</v>
      </c>
    </row>
    <row r="6904" spans="1:14" hidden="1" x14ac:dyDescent="0.35">
      <c r="A6904" s="52" t="s">
        <v>735</v>
      </c>
      <c r="B6904" s="52" t="s">
        <v>37</v>
      </c>
      <c r="C6904" s="52" t="s">
        <v>35</v>
      </c>
      <c r="D6904" s="52" t="s">
        <v>207</v>
      </c>
      <c r="E6904" s="52" t="s">
        <v>584</v>
      </c>
      <c r="F6904" s="52" t="s">
        <v>26</v>
      </c>
      <c r="G6904" s="55" t="s">
        <v>279</v>
      </c>
      <c r="H6904" s="55">
        <v>0.80456209999999995</v>
      </c>
      <c r="I6904" s="55">
        <v>0.66398330000000005</v>
      </c>
      <c r="J6904" s="55">
        <v>0.62331820000000004</v>
      </c>
      <c r="K6904" s="55">
        <v>0.64595159999999996</v>
      </c>
      <c r="L6904" s="55">
        <v>0.65813500000000003</v>
      </c>
      <c r="M6904" s="55">
        <v>0.63160819999999995</v>
      </c>
      <c r="N6904" s="55">
        <v>0.60612319999999997</v>
      </c>
    </row>
    <row r="6905" spans="1:14" hidden="1" x14ac:dyDescent="0.35">
      <c r="A6905" s="52" t="s">
        <v>735</v>
      </c>
      <c r="B6905" s="52" t="s">
        <v>37</v>
      </c>
      <c r="C6905" s="52" t="s">
        <v>35</v>
      </c>
      <c r="D6905" s="52" t="s">
        <v>129</v>
      </c>
      <c r="E6905" s="52" t="s">
        <v>580</v>
      </c>
      <c r="F6905" s="52" t="s">
        <v>581</v>
      </c>
      <c r="G6905" s="55" t="s">
        <v>275</v>
      </c>
      <c r="H6905" s="55">
        <v>23.323550000000001</v>
      </c>
      <c r="I6905" s="55">
        <v>1.311191</v>
      </c>
      <c r="J6905" s="55">
        <v>43.070529999999998</v>
      </c>
      <c r="K6905" s="55">
        <v>24.705020000000001</v>
      </c>
      <c r="L6905" s="55">
        <v>30.603480000000001</v>
      </c>
      <c r="M6905" s="55">
        <v>20.70354</v>
      </c>
      <c r="N6905" s="55">
        <v>17.48199</v>
      </c>
    </row>
    <row r="6906" spans="1:14" hidden="1" x14ac:dyDescent="0.35">
      <c r="A6906" s="52" t="s">
        <v>735</v>
      </c>
      <c r="B6906" s="52" t="s">
        <v>37</v>
      </c>
      <c r="C6906" s="52" t="s">
        <v>35</v>
      </c>
      <c r="D6906" s="52" t="s">
        <v>129</v>
      </c>
      <c r="E6906" s="52" t="s">
        <v>580</v>
      </c>
      <c r="F6906" s="52" t="s">
        <v>581</v>
      </c>
      <c r="G6906" s="55" t="s">
        <v>276</v>
      </c>
      <c r="H6906" s="55">
        <v>3.6613150000000001</v>
      </c>
      <c r="I6906" s="55">
        <v>-9.3157940000000004</v>
      </c>
      <c r="J6906" s="55">
        <v>-6.4495699999999996</v>
      </c>
      <c r="K6906" s="55">
        <v>-1.728998</v>
      </c>
      <c r="L6906" s="55">
        <v>-1.1701969999999999</v>
      </c>
      <c r="M6906" s="55">
        <v>2.4406639999999999</v>
      </c>
      <c r="N6906" s="55">
        <v>6.445487</v>
      </c>
    </row>
    <row r="6907" spans="1:14" hidden="1" x14ac:dyDescent="0.35">
      <c r="A6907" s="52" t="s">
        <v>735</v>
      </c>
      <c r="B6907" s="52" t="s">
        <v>37</v>
      </c>
      <c r="C6907" s="52" t="s">
        <v>35</v>
      </c>
      <c r="D6907" s="52" t="s">
        <v>129</v>
      </c>
      <c r="E6907" s="52" t="s">
        <v>580</v>
      </c>
      <c r="F6907" s="52" t="s">
        <v>581</v>
      </c>
      <c r="G6907" s="55" t="s">
        <v>277</v>
      </c>
      <c r="H6907" s="55">
        <v>86.862899999999996</v>
      </c>
      <c r="I6907" s="55">
        <v>50</v>
      </c>
      <c r="J6907" s="55">
        <v>1.534491</v>
      </c>
      <c r="K6907" s="55">
        <v>13.944319999999999</v>
      </c>
      <c r="L6907" s="55">
        <v>7.0186299999999999</v>
      </c>
      <c r="M6907" s="55">
        <v>10.58013</v>
      </c>
      <c r="N6907" s="55">
        <v>12.79105</v>
      </c>
    </row>
    <row r="6908" spans="1:14" hidden="1" x14ac:dyDescent="0.35">
      <c r="A6908" s="52" t="s">
        <v>735</v>
      </c>
      <c r="B6908" s="52" t="s">
        <v>37</v>
      </c>
      <c r="C6908" s="52" t="s">
        <v>35</v>
      </c>
      <c r="D6908" s="52" t="s">
        <v>129</v>
      </c>
      <c r="E6908" s="52" t="s">
        <v>580</v>
      </c>
      <c r="F6908" s="52" t="s">
        <v>581</v>
      </c>
      <c r="G6908" s="55" t="s">
        <v>278</v>
      </c>
      <c r="H6908" s="55">
        <v>5.8467419999999999</v>
      </c>
      <c r="I6908" s="55">
        <v>0</v>
      </c>
      <c r="J6908" s="55">
        <v>0</v>
      </c>
      <c r="K6908" s="55">
        <v>5.8874469999999999</v>
      </c>
      <c r="L6908" s="55">
        <v>7.3035240000000003</v>
      </c>
      <c r="M6908" s="55">
        <v>6.8513080000000004</v>
      </c>
      <c r="N6908" s="55">
        <v>4.7675429999999999</v>
      </c>
    </row>
    <row r="6909" spans="1:14" hidden="1" x14ac:dyDescent="0.35">
      <c r="A6909" s="52" t="s">
        <v>735</v>
      </c>
      <c r="B6909" s="52" t="s">
        <v>37</v>
      </c>
      <c r="C6909" s="52" t="s">
        <v>35</v>
      </c>
      <c r="D6909" s="52" t="s">
        <v>129</v>
      </c>
      <c r="E6909" s="52" t="s">
        <v>580</v>
      </c>
      <c r="F6909" s="52" t="s">
        <v>581</v>
      </c>
      <c r="G6909" s="55" t="s">
        <v>279</v>
      </c>
      <c r="H6909" s="55">
        <v>41.754330000000003</v>
      </c>
      <c r="I6909" s="55">
        <v>29.020009999999999</v>
      </c>
      <c r="J6909" s="55">
        <v>24.602429999999998</v>
      </c>
      <c r="K6909" s="55">
        <v>28.642900000000001</v>
      </c>
      <c r="L6909" s="55">
        <v>26.901289999999999</v>
      </c>
      <c r="M6909" s="55">
        <v>30.492039999999999</v>
      </c>
      <c r="N6909" s="55">
        <v>30.7865</v>
      </c>
    </row>
    <row r="6910" spans="1:14" hidden="1" x14ac:dyDescent="0.35">
      <c r="A6910" s="52" t="s">
        <v>735</v>
      </c>
      <c r="B6910" s="52" t="s">
        <v>37</v>
      </c>
      <c r="C6910" s="52" t="s">
        <v>35</v>
      </c>
      <c r="D6910" s="52" t="s">
        <v>129</v>
      </c>
      <c r="E6910" s="52" t="s">
        <v>580</v>
      </c>
      <c r="F6910" s="52" t="s">
        <v>26</v>
      </c>
      <c r="G6910" s="55" t="s">
        <v>275</v>
      </c>
      <c r="H6910" s="55">
        <v>1.1138980000000001</v>
      </c>
      <c r="I6910" s="55">
        <v>0.78887839999999998</v>
      </c>
      <c r="J6910" s="55">
        <v>1.123275</v>
      </c>
      <c r="K6910" s="55">
        <v>1.1295580000000001</v>
      </c>
      <c r="L6910" s="55">
        <v>1.3649629999999999</v>
      </c>
      <c r="M6910" s="55">
        <v>0.64070709999999997</v>
      </c>
      <c r="N6910" s="55">
        <v>0.65095429999999999</v>
      </c>
    </row>
    <row r="6911" spans="1:14" hidden="1" x14ac:dyDescent="0.35">
      <c r="A6911" s="52" t="s">
        <v>735</v>
      </c>
      <c r="B6911" s="52" t="s">
        <v>37</v>
      </c>
      <c r="C6911" s="52" t="s">
        <v>35</v>
      </c>
      <c r="D6911" s="52" t="s">
        <v>129</v>
      </c>
      <c r="E6911" s="52" t="s">
        <v>580</v>
      </c>
      <c r="F6911" s="52" t="s">
        <v>26</v>
      </c>
      <c r="G6911" s="55" t="s">
        <v>276</v>
      </c>
      <c r="H6911" s="55">
        <v>0.296101</v>
      </c>
      <c r="I6911" s="55">
        <v>0.20970320000000001</v>
      </c>
      <c r="J6911" s="55">
        <v>0.29859210000000003</v>
      </c>
      <c r="K6911" s="55">
        <v>0.300261</v>
      </c>
      <c r="L6911" s="55">
        <v>0.36283860000000001</v>
      </c>
      <c r="M6911" s="55">
        <v>0.17031360000000001</v>
      </c>
      <c r="N6911" s="55">
        <v>0.17303740000000001</v>
      </c>
    </row>
    <row r="6912" spans="1:14" hidden="1" x14ac:dyDescent="0.35">
      <c r="A6912" s="52" t="s">
        <v>735</v>
      </c>
      <c r="B6912" s="52" t="s">
        <v>37</v>
      </c>
      <c r="C6912" s="52" t="s">
        <v>35</v>
      </c>
      <c r="D6912" s="52" t="s">
        <v>129</v>
      </c>
      <c r="E6912" s="52" t="s">
        <v>580</v>
      </c>
      <c r="F6912" s="52" t="s">
        <v>26</v>
      </c>
      <c r="G6912" s="55" t="s">
        <v>279</v>
      </c>
      <c r="H6912" s="55">
        <v>7.3541610000000004</v>
      </c>
      <c r="I6912" s="55">
        <v>6.6056800000000004</v>
      </c>
      <c r="J6912" s="55">
        <v>5.6125040000000004</v>
      </c>
      <c r="K6912" s="55">
        <v>6.5441609999999999</v>
      </c>
      <c r="L6912" s="55">
        <v>6.1102679999999996</v>
      </c>
      <c r="M6912" s="55">
        <v>6.9957000000000003</v>
      </c>
      <c r="N6912" s="55">
        <v>7.0515059999999998</v>
      </c>
    </row>
    <row r="6913" spans="1:14" hidden="1" x14ac:dyDescent="0.35">
      <c r="A6913" s="52" t="s">
        <v>735</v>
      </c>
      <c r="B6913" s="52" t="s">
        <v>37</v>
      </c>
      <c r="C6913" s="52" t="s">
        <v>79</v>
      </c>
      <c r="D6913" s="52" t="s">
        <v>79</v>
      </c>
      <c r="E6913" s="52" t="s">
        <v>615</v>
      </c>
      <c r="F6913" s="52" t="s">
        <v>581</v>
      </c>
      <c r="G6913" s="55" t="s">
        <v>275</v>
      </c>
      <c r="H6913" s="55">
        <v>-6.340357</v>
      </c>
      <c r="I6913" s="55">
        <v>9.8550740000000001</v>
      </c>
      <c r="J6913" s="55">
        <v>-8.3271060000000006</v>
      </c>
      <c r="K6913" s="55">
        <v>-4.3648949999999997</v>
      </c>
      <c r="L6913" s="55">
        <v>5.4349429999999996</v>
      </c>
      <c r="M6913" s="55">
        <v>16.47541</v>
      </c>
      <c r="N6913" s="55">
        <v>13.99142</v>
      </c>
    </row>
    <row r="6914" spans="1:14" hidden="1" x14ac:dyDescent="0.35">
      <c r="A6914" s="52" t="s">
        <v>735</v>
      </c>
      <c r="B6914" s="52" t="s">
        <v>37</v>
      </c>
      <c r="C6914" s="52" t="s">
        <v>79</v>
      </c>
      <c r="D6914" s="52" t="s">
        <v>79</v>
      </c>
      <c r="E6914" s="52" t="s">
        <v>615</v>
      </c>
      <c r="F6914" s="52" t="s">
        <v>581</v>
      </c>
      <c r="G6914" s="55" t="s">
        <v>276</v>
      </c>
      <c r="H6914" s="55">
        <v>-0.37338490000000002</v>
      </c>
      <c r="I6914" s="55">
        <v>-1.2147239999999999</v>
      </c>
      <c r="J6914" s="55">
        <v>-2.49864</v>
      </c>
      <c r="K6914" s="55">
        <v>-0.56276760000000003</v>
      </c>
      <c r="L6914" s="55">
        <v>-2.5461879999999999</v>
      </c>
      <c r="M6914" s="55">
        <v>1.309536</v>
      </c>
      <c r="N6914" s="55">
        <v>-1.2932509999999999</v>
      </c>
    </row>
    <row r="6915" spans="1:14" hidden="1" x14ac:dyDescent="0.35">
      <c r="A6915" s="52" t="s">
        <v>735</v>
      </c>
      <c r="B6915" s="52" t="s">
        <v>37</v>
      </c>
      <c r="C6915" s="52" t="s">
        <v>79</v>
      </c>
      <c r="D6915" s="52" t="s">
        <v>79</v>
      </c>
      <c r="E6915" s="52" t="s">
        <v>615</v>
      </c>
      <c r="F6915" s="52" t="s">
        <v>581</v>
      </c>
      <c r="G6915" s="55" t="s">
        <v>277</v>
      </c>
      <c r="H6915" s="55">
        <v>57.110770000000002</v>
      </c>
      <c r="I6915" s="55">
        <v>5.3791739999999999</v>
      </c>
      <c r="J6915" s="55">
        <v>30.665489999999998</v>
      </c>
      <c r="K6915" s="55">
        <v>28.0304</v>
      </c>
      <c r="L6915" s="55">
        <v>22.66901</v>
      </c>
      <c r="M6915" s="55">
        <v>0.75041619999999998</v>
      </c>
      <c r="N6915" s="55">
        <v>0</v>
      </c>
    </row>
    <row r="6916" spans="1:14" hidden="1" x14ac:dyDescent="0.35">
      <c r="A6916" s="52" t="s">
        <v>735</v>
      </c>
      <c r="B6916" s="52" t="s">
        <v>37</v>
      </c>
      <c r="C6916" s="52" t="s">
        <v>79</v>
      </c>
      <c r="D6916" s="52" t="s">
        <v>79</v>
      </c>
      <c r="E6916" s="52" t="s">
        <v>615</v>
      </c>
      <c r="F6916" s="52" t="s">
        <v>581</v>
      </c>
      <c r="G6916" s="55" t="s">
        <v>278</v>
      </c>
      <c r="H6916" s="55">
        <v>0</v>
      </c>
      <c r="I6916" s="55"/>
      <c r="J6916" s="55"/>
      <c r="K6916" s="55"/>
      <c r="L6916" s="55"/>
      <c r="M6916" s="55"/>
      <c r="N6916" s="55"/>
    </row>
    <row r="6917" spans="1:14" hidden="1" x14ac:dyDescent="0.35">
      <c r="A6917" s="52" t="s">
        <v>735</v>
      </c>
      <c r="B6917" s="52" t="s">
        <v>37</v>
      </c>
      <c r="C6917" s="52" t="s">
        <v>79</v>
      </c>
      <c r="D6917" s="52" t="s">
        <v>79</v>
      </c>
      <c r="E6917" s="52" t="s">
        <v>615</v>
      </c>
      <c r="F6917" s="52" t="s">
        <v>581</v>
      </c>
      <c r="G6917" s="55" t="s">
        <v>279</v>
      </c>
      <c r="H6917" s="55">
        <v>17.934830000000002</v>
      </c>
      <c r="I6917" s="55">
        <v>9.5484419999999997</v>
      </c>
      <c r="J6917" s="55">
        <v>12.72597</v>
      </c>
      <c r="K6917" s="55">
        <v>15.448689999999999</v>
      </c>
      <c r="L6917" s="55">
        <v>16.132149999999999</v>
      </c>
      <c r="M6917" s="55">
        <v>14.2904</v>
      </c>
      <c r="N6917" s="55">
        <v>9.7780509999999996</v>
      </c>
    </row>
    <row r="6918" spans="1:14" hidden="1" x14ac:dyDescent="0.35">
      <c r="A6918" s="52" t="s">
        <v>735</v>
      </c>
      <c r="B6918" s="52" t="s">
        <v>37</v>
      </c>
      <c r="C6918" s="52" t="s">
        <v>79</v>
      </c>
      <c r="D6918" s="52" t="s">
        <v>79</v>
      </c>
      <c r="E6918" s="52" t="s">
        <v>615</v>
      </c>
      <c r="F6918" s="52" t="s">
        <v>26</v>
      </c>
      <c r="G6918" s="55" t="s">
        <v>275</v>
      </c>
      <c r="H6918" s="55">
        <v>1.2564040000000001</v>
      </c>
      <c r="I6918" s="55">
        <v>1.034154</v>
      </c>
      <c r="J6918" s="55">
        <v>1.804257</v>
      </c>
      <c r="K6918" s="55">
        <v>1.9541679999999999</v>
      </c>
      <c r="L6918" s="55">
        <v>2.2082090000000001</v>
      </c>
      <c r="M6918" s="55">
        <v>1.310932</v>
      </c>
      <c r="N6918" s="55">
        <v>0.89422170000000001</v>
      </c>
    </row>
    <row r="6919" spans="1:14" hidden="1" x14ac:dyDescent="0.35">
      <c r="A6919" s="52" t="s">
        <v>735</v>
      </c>
      <c r="B6919" s="52" t="s">
        <v>37</v>
      </c>
      <c r="C6919" s="52" t="s">
        <v>79</v>
      </c>
      <c r="D6919" s="52" t="s">
        <v>79</v>
      </c>
      <c r="E6919" s="52" t="s">
        <v>615</v>
      </c>
      <c r="F6919" s="52" t="s">
        <v>26</v>
      </c>
      <c r="G6919" s="55" t="s">
        <v>276</v>
      </c>
      <c r="H6919" s="55">
        <v>0.36421799999999999</v>
      </c>
      <c r="I6919" s="55">
        <v>0.29979080000000002</v>
      </c>
      <c r="J6919" s="55">
        <v>0.52303520000000003</v>
      </c>
      <c r="K6919" s="55">
        <v>0.56649179999999999</v>
      </c>
      <c r="L6919" s="55">
        <v>0.64013609999999999</v>
      </c>
      <c r="M6919" s="55">
        <v>0.3800248</v>
      </c>
      <c r="N6919" s="55">
        <v>0.25922590000000001</v>
      </c>
    </row>
    <row r="6920" spans="1:14" hidden="1" x14ac:dyDescent="0.35">
      <c r="A6920" s="52" t="s">
        <v>735</v>
      </c>
      <c r="B6920" s="52" t="s">
        <v>37</v>
      </c>
      <c r="C6920" s="52" t="s">
        <v>79</v>
      </c>
      <c r="D6920" s="52" t="s">
        <v>79</v>
      </c>
      <c r="E6920" s="52" t="s">
        <v>615</v>
      </c>
      <c r="F6920" s="52" t="s">
        <v>26</v>
      </c>
      <c r="G6920" s="55" t="s">
        <v>279</v>
      </c>
      <c r="H6920" s="55">
        <v>4.1702029999999999</v>
      </c>
      <c r="I6920" s="55">
        <v>3.900795</v>
      </c>
      <c r="J6920" s="55">
        <v>5.2531569999999999</v>
      </c>
      <c r="K6920" s="55">
        <v>6.4350639999999997</v>
      </c>
      <c r="L6920" s="55">
        <v>6.8336519999999998</v>
      </c>
      <c r="M6920" s="55">
        <v>5.9428349999999996</v>
      </c>
      <c r="N6920" s="55">
        <v>4.0653079999999999</v>
      </c>
    </row>
    <row r="6921" spans="1:14" hidden="1" x14ac:dyDescent="0.35">
      <c r="A6921" s="52" t="s">
        <v>735</v>
      </c>
      <c r="B6921" s="52" t="s">
        <v>37</v>
      </c>
      <c r="C6921" s="52" t="s">
        <v>46</v>
      </c>
      <c r="D6921" s="52" t="s">
        <v>46</v>
      </c>
      <c r="E6921" s="52" t="s">
        <v>641</v>
      </c>
      <c r="F6921" s="52" t="s">
        <v>26</v>
      </c>
      <c r="G6921" s="55" t="s">
        <v>275</v>
      </c>
      <c r="H6921" s="55">
        <v>-9.4000430000000001</v>
      </c>
      <c r="I6921" s="55">
        <v>2.9687079999999999</v>
      </c>
      <c r="J6921" s="55">
        <v>4.4897080000000003</v>
      </c>
      <c r="K6921" s="55">
        <v>7.5142470000000003E-2</v>
      </c>
      <c r="L6921" s="55">
        <v>2.278286</v>
      </c>
      <c r="M6921" s="55">
        <v>3.3308949999999999</v>
      </c>
      <c r="N6921" s="55">
        <v>2.5078819999999999</v>
      </c>
    </row>
    <row r="6922" spans="1:14" hidden="1" x14ac:dyDescent="0.35">
      <c r="A6922" s="52" t="s">
        <v>735</v>
      </c>
      <c r="B6922" s="52" t="s">
        <v>37</v>
      </c>
      <c r="C6922" s="52" t="s">
        <v>46</v>
      </c>
      <c r="D6922" s="52" t="s">
        <v>46</v>
      </c>
      <c r="E6922" s="52" t="s">
        <v>641</v>
      </c>
      <c r="F6922" s="52" t="s">
        <v>26</v>
      </c>
      <c r="G6922" s="55" t="s">
        <v>276</v>
      </c>
      <c r="H6922" s="55">
        <v>-0.36619499999999999</v>
      </c>
      <c r="I6922" s="55">
        <v>-0.38244060000000002</v>
      </c>
      <c r="J6922" s="55">
        <v>-0.54460459999999999</v>
      </c>
      <c r="K6922" s="55">
        <v>0.15396360000000001</v>
      </c>
      <c r="L6922" s="55">
        <v>-1.041579</v>
      </c>
      <c r="M6922" s="55">
        <v>0.35722700000000002</v>
      </c>
      <c r="N6922" s="55">
        <v>0.347939</v>
      </c>
    </row>
    <row r="6923" spans="1:14" hidden="1" x14ac:dyDescent="0.35">
      <c r="A6923" s="52" t="s">
        <v>735</v>
      </c>
      <c r="B6923" s="52" t="s">
        <v>37</v>
      </c>
      <c r="C6923" s="52" t="s">
        <v>46</v>
      </c>
      <c r="D6923" s="52" t="s">
        <v>46</v>
      </c>
      <c r="E6923" s="52" t="s">
        <v>641</v>
      </c>
      <c r="F6923" s="52" t="s">
        <v>26</v>
      </c>
      <c r="G6923" s="55" t="s">
        <v>277</v>
      </c>
      <c r="H6923" s="55">
        <v>19.53792</v>
      </c>
      <c r="I6923" s="55">
        <v>2.0131190000000001</v>
      </c>
      <c r="J6923" s="55">
        <v>0.88015189999999999</v>
      </c>
      <c r="K6923" s="55">
        <v>4.2598760000000002</v>
      </c>
      <c r="L6923" s="55">
        <v>3.9915129999999999</v>
      </c>
      <c r="M6923" s="55">
        <v>0</v>
      </c>
      <c r="N6923" s="55">
        <v>0</v>
      </c>
    </row>
    <row r="6924" spans="1:14" hidden="1" x14ac:dyDescent="0.35">
      <c r="A6924" s="52" t="s">
        <v>735</v>
      </c>
      <c r="B6924" s="52" t="s">
        <v>37</v>
      </c>
      <c r="C6924" s="52" t="s">
        <v>46</v>
      </c>
      <c r="D6924" s="52" t="s">
        <v>46</v>
      </c>
      <c r="E6924" s="52" t="s">
        <v>641</v>
      </c>
      <c r="F6924" s="52" t="s">
        <v>26</v>
      </c>
      <c r="G6924" s="55" t="s">
        <v>278</v>
      </c>
      <c r="H6924" s="55">
        <v>0.14991599999999999</v>
      </c>
      <c r="I6924" s="55">
        <v>0</v>
      </c>
      <c r="J6924" s="55"/>
      <c r="K6924" s="55"/>
      <c r="L6924" s="55"/>
      <c r="M6924" s="55"/>
      <c r="N6924" s="55"/>
    </row>
    <row r="6925" spans="1:14" hidden="1" x14ac:dyDescent="0.35">
      <c r="A6925" s="52" t="s">
        <v>735</v>
      </c>
      <c r="B6925" s="52" t="s">
        <v>37</v>
      </c>
      <c r="C6925" s="52" t="s">
        <v>46</v>
      </c>
      <c r="D6925" s="52" t="s">
        <v>46</v>
      </c>
      <c r="E6925" s="52" t="s">
        <v>641</v>
      </c>
      <c r="F6925" s="52" t="s">
        <v>26</v>
      </c>
      <c r="G6925" s="55" t="s">
        <v>279</v>
      </c>
      <c r="H6925" s="55">
        <v>20.103490000000001</v>
      </c>
      <c r="I6925" s="55">
        <v>10.367749999999999</v>
      </c>
      <c r="J6925" s="55">
        <v>8.8002070000000003</v>
      </c>
      <c r="K6925" s="55">
        <v>9.1229309999999995</v>
      </c>
      <c r="L6925" s="55">
        <v>10.00177</v>
      </c>
      <c r="M6925" s="55">
        <v>9.6021149999999995</v>
      </c>
      <c r="N6925" s="55">
        <v>7.4553940000000001</v>
      </c>
    </row>
    <row r="6926" spans="1:14" hidden="1" x14ac:dyDescent="0.35">
      <c r="A6926" s="52" t="s">
        <v>735</v>
      </c>
      <c r="B6926" s="52" t="s">
        <v>37</v>
      </c>
      <c r="C6926" s="52" t="s">
        <v>46</v>
      </c>
      <c r="D6926" s="52" t="s">
        <v>46</v>
      </c>
      <c r="E6926" s="52" t="s">
        <v>584</v>
      </c>
      <c r="F6926" s="52" t="s">
        <v>581</v>
      </c>
      <c r="G6926" s="55" t="s">
        <v>275</v>
      </c>
      <c r="H6926" s="55">
        <v>0.159223</v>
      </c>
      <c r="I6926" s="55">
        <v>4.3841900000000003E-2</v>
      </c>
      <c r="J6926" s="55">
        <v>3.0313099999999999E-2</v>
      </c>
      <c r="K6926" s="55">
        <v>2.00877E-2</v>
      </c>
      <c r="L6926" s="55">
        <v>1.33344E-2</v>
      </c>
      <c r="M6926" s="55">
        <v>9.1838000000000006E-3</v>
      </c>
      <c r="N6926" s="55">
        <v>6.3245999999999997E-3</v>
      </c>
    </row>
    <row r="6927" spans="1:14" hidden="1" x14ac:dyDescent="0.35">
      <c r="A6927" s="52" t="s">
        <v>735</v>
      </c>
      <c r="B6927" s="52" t="s">
        <v>37</v>
      </c>
      <c r="C6927" s="52" t="s">
        <v>46</v>
      </c>
      <c r="D6927" s="52" t="s">
        <v>46</v>
      </c>
      <c r="E6927" s="52" t="s">
        <v>584</v>
      </c>
      <c r="F6927" s="52" t="s">
        <v>581</v>
      </c>
      <c r="G6927" s="55" t="s">
        <v>276</v>
      </c>
      <c r="H6927" s="55">
        <v>4.2325000000000002E-2</v>
      </c>
      <c r="I6927" s="55">
        <v>1.1654299999999999E-2</v>
      </c>
      <c r="J6927" s="55">
        <v>8.0579999999999992E-3</v>
      </c>
      <c r="K6927" s="55">
        <v>5.3400000000000001E-3</v>
      </c>
      <c r="L6927" s="55">
        <v>3.5442999999999998E-3</v>
      </c>
      <c r="M6927" s="55">
        <v>2.4413E-3</v>
      </c>
      <c r="N6927" s="55">
        <v>1.6816999999999999E-3</v>
      </c>
    </row>
    <row r="6928" spans="1:14" hidden="1" x14ac:dyDescent="0.35">
      <c r="A6928" s="52" t="s">
        <v>735</v>
      </c>
      <c r="B6928" s="52" t="s">
        <v>37</v>
      </c>
      <c r="C6928" s="52" t="s">
        <v>46</v>
      </c>
      <c r="D6928" s="52" t="s">
        <v>46</v>
      </c>
      <c r="E6928" s="52" t="s">
        <v>584</v>
      </c>
      <c r="F6928" s="52" t="s">
        <v>581</v>
      </c>
      <c r="G6928" s="55" t="s">
        <v>279</v>
      </c>
      <c r="H6928" s="55">
        <v>6.7551E-2</v>
      </c>
      <c r="I6928" s="55">
        <v>3.4549299999999998E-2</v>
      </c>
      <c r="J6928" s="55">
        <v>2.3010900000000001E-2</v>
      </c>
      <c r="K6928" s="55">
        <v>1.6982899999999999E-2</v>
      </c>
      <c r="L6928" s="55">
        <v>1.23029E-2</v>
      </c>
      <c r="M6928" s="55">
        <v>8.4559000000000006E-3</v>
      </c>
      <c r="N6928" s="55">
        <v>5.8119000000000001E-3</v>
      </c>
    </row>
    <row r="6929" spans="1:14" hidden="1" x14ac:dyDescent="0.35">
      <c r="A6929" s="52" t="s">
        <v>735</v>
      </c>
      <c r="B6929" s="52" t="s">
        <v>37</v>
      </c>
      <c r="C6929" s="52" t="s">
        <v>46</v>
      </c>
      <c r="D6929" s="52" t="s">
        <v>46</v>
      </c>
      <c r="E6929" s="52" t="s">
        <v>584</v>
      </c>
      <c r="F6929" s="52" t="s">
        <v>26</v>
      </c>
      <c r="G6929" s="55" t="s">
        <v>275</v>
      </c>
      <c r="H6929" s="55">
        <v>-9.4705990000000004E-2</v>
      </c>
      <c r="I6929" s="55">
        <v>-0.1347594</v>
      </c>
      <c r="J6929" s="55">
        <v>0.71777709999999995</v>
      </c>
      <c r="K6929" s="55">
        <v>-4.0469900000000003E-2</v>
      </c>
      <c r="L6929" s="55">
        <v>9.5317600000000002E-2</v>
      </c>
      <c r="M6929" s="55">
        <v>5.44112E-2</v>
      </c>
      <c r="N6929" s="55">
        <v>7.2438799999999998E-2</v>
      </c>
    </row>
    <row r="6930" spans="1:14" hidden="1" x14ac:dyDescent="0.35">
      <c r="A6930" s="52" t="s">
        <v>735</v>
      </c>
      <c r="B6930" s="52" t="s">
        <v>37</v>
      </c>
      <c r="C6930" s="52" t="s">
        <v>46</v>
      </c>
      <c r="D6930" s="52" t="s">
        <v>46</v>
      </c>
      <c r="E6930" s="52" t="s">
        <v>584</v>
      </c>
      <c r="F6930" s="52" t="s">
        <v>26</v>
      </c>
      <c r="G6930" s="55" t="s">
        <v>276</v>
      </c>
      <c r="H6930" s="55">
        <v>-1.48475</v>
      </c>
      <c r="I6930" s="55">
        <v>-0.94765869999999996</v>
      </c>
      <c r="J6930" s="55">
        <v>-1.413448</v>
      </c>
      <c r="K6930" s="55">
        <v>-9.4207089999999993E-2</v>
      </c>
      <c r="L6930" s="55">
        <v>-0.19762669999999999</v>
      </c>
      <c r="M6930" s="55">
        <v>-0.1230029</v>
      </c>
      <c r="N6930" s="55">
        <v>-7.2974600000000001E-2</v>
      </c>
    </row>
    <row r="6931" spans="1:14" hidden="1" x14ac:dyDescent="0.35">
      <c r="A6931" s="52" t="s">
        <v>735</v>
      </c>
      <c r="B6931" s="52" t="s">
        <v>37</v>
      </c>
      <c r="C6931" s="52" t="s">
        <v>46</v>
      </c>
      <c r="D6931" s="52" t="s">
        <v>46</v>
      </c>
      <c r="E6931" s="52" t="s">
        <v>584</v>
      </c>
      <c r="F6931" s="52" t="s">
        <v>26</v>
      </c>
      <c r="G6931" s="55" t="s">
        <v>277</v>
      </c>
      <c r="H6931" s="55">
        <v>1.671694</v>
      </c>
      <c r="I6931" s="55">
        <v>1.1205700000000001</v>
      </c>
      <c r="J6931" s="55">
        <v>0.75114199999999998</v>
      </c>
      <c r="K6931" s="55"/>
      <c r="L6931" s="55"/>
      <c r="M6931" s="55"/>
      <c r="N6931" s="55">
        <v>0</v>
      </c>
    </row>
    <row r="6932" spans="1:14" hidden="1" x14ac:dyDescent="0.35">
      <c r="A6932" s="52" t="s">
        <v>735</v>
      </c>
      <c r="B6932" s="52" t="s">
        <v>37</v>
      </c>
      <c r="C6932" s="52" t="s">
        <v>46</v>
      </c>
      <c r="D6932" s="52" t="s">
        <v>46</v>
      </c>
      <c r="E6932" s="52" t="s">
        <v>584</v>
      </c>
      <c r="F6932" s="52" t="s">
        <v>26</v>
      </c>
      <c r="G6932" s="55" t="s">
        <v>279</v>
      </c>
      <c r="H6932" s="55">
        <v>0.99232699999999996</v>
      </c>
      <c r="I6932" s="55">
        <v>0.5835764</v>
      </c>
      <c r="J6932" s="55">
        <v>0.38984479999999999</v>
      </c>
      <c r="K6932" s="55">
        <v>0.28960330000000001</v>
      </c>
      <c r="L6932" s="55">
        <v>0.21144589999999999</v>
      </c>
      <c r="M6932" s="55">
        <v>0.1452899</v>
      </c>
      <c r="N6932" s="55">
        <v>9.9830000000000002E-2</v>
      </c>
    </row>
    <row r="6933" spans="1:14" hidden="1" x14ac:dyDescent="0.35">
      <c r="A6933" s="52" t="s">
        <v>735</v>
      </c>
      <c r="B6933" s="52" t="s">
        <v>37</v>
      </c>
      <c r="C6933" s="52" t="s">
        <v>318</v>
      </c>
      <c r="D6933" s="52" t="s">
        <v>318</v>
      </c>
      <c r="E6933" s="52" t="s">
        <v>584</v>
      </c>
      <c r="F6933" s="52" t="s">
        <v>581</v>
      </c>
      <c r="G6933" s="55" t="s">
        <v>275</v>
      </c>
      <c r="H6933" s="55">
        <v>-9.9999999999999995E-7</v>
      </c>
      <c r="I6933" s="55">
        <v>0</v>
      </c>
      <c r="J6933" s="55"/>
      <c r="K6933" s="55"/>
      <c r="L6933" s="55"/>
      <c r="M6933" s="55"/>
      <c r="N6933" s="55"/>
    </row>
    <row r="6934" spans="1:14" hidden="1" x14ac:dyDescent="0.35">
      <c r="A6934" s="52" t="s">
        <v>735</v>
      </c>
      <c r="B6934" s="52" t="s">
        <v>37</v>
      </c>
      <c r="C6934" s="52" t="s">
        <v>318</v>
      </c>
      <c r="D6934" s="52" t="s">
        <v>318</v>
      </c>
      <c r="E6934" s="52" t="s">
        <v>584</v>
      </c>
      <c r="F6934" s="52" t="s">
        <v>581</v>
      </c>
      <c r="G6934" s="55" t="s">
        <v>278</v>
      </c>
      <c r="H6934" s="55">
        <v>9.9999999999999995E-7</v>
      </c>
      <c r="I6934" s="55">
        <v>0</v>
      </c>
      <c r="J6934" s="55"/>
      <c r="K6934" s="55"/>
      <c r="L6934" s="55"/>
      <c r="M6934" s="55"/>
      <c r="N6934" s="55"/>
    </row>
    <row r="6935" spans="1:14" hidden="1" x14ac:dyDescent="0.35">
      <c r="A6935" s="52" t="s">
        <v>735</v>
      </c>
      <c r="B6935" s="52" t="s">
        <v>37</v>
      </c>
      <c r="C6935" s="52" t="s">
        <v>318</v>
      </c>
      <c r="D6935" s="52" t="s">
        <v>318</v>
      </c>
      <c r="E6935" s="52" t="s">
        <v>584</v>
      </c>
      <c r="F6935" s="52" t="s">
        <v>26</v>
      </c>
      <c r="G6935" s="55" t="s">
        <v>275</v>
      </c>
      <c r="H6935" s="55">
        <v>-9.9999999999999995E-7</v>
      </c>
      <c r="I6935" s="55">
        <v>0</v>
      </c>
      <c r="J6935" s="55"/>
      <c r="K6935" s="55"/>
      <c r="L6935" s="55"/>
      <c r="M6935" s="55"/>
      <c r="N6935" s="55"/>
    </row>
    <row r="6936" spans="1:14" hidden="1" x14ac:dyDescent="0.35">
      <c r="A6936" s="52" t="s">
        <v>735</v>
      </c>
      <c r="B6936" s="52" t="s">
        <v>37</v>
      </c>
      <c r="C6936" s="52" t="s">
        <v>318</v>
      </c>
      <c r="D6936" s="52" t="s">
        <v>318</v>
      </c>
      <c r="E6936" s="52" t="s">
        <v>584</v>
      </c>
      <c r="F6936" s="52" t="s">
        <v>26</v>
      </c>
      <c r="G6936" s="55" t="s">
        <v>278</v>
      </c>
      <c r="H6936" s="55">
        <v>9.9999999999999995E-7</v>
      </c>
      <c r="I6936" s="55">
        <v>0</v>
      </c>
      <c r="J6936" s="55"/>
      <c r="K6936" s="55"/>
      <c r="L6936" s="55"/>
      <c r="M6936" s="55"/>
      <c r="N6936" s="55"/>
    </row>
    <row r="6937" spans="1:14" hidden="1" x14ac:dyDescent="0.35">
      <c r="A6937" s="52" t="s">
        <v>737</v>
      </c>
      <c r="B6937" s="52" t="s">
        <v>34</v>
      </c>
      <c r="C6937" s="52" t="s">
        <v>33</v>
      </c>
      <c r="D6937" s="52" t="s">
        <v>33</v>
      </c>
      <c r="E6937" s="52" t="s">
        <v>584</v>
      </c>
      <c r="F6937" s="52" t="s">
        <v>581</v>
      </c>
      <c r="G6937" s="55" t="s">
        <v>275</v>
      </c>
      <c r="H6937" s="55">
        <v>73.821960000000004</v>
      </c>
      <c r="I6937" s="55">
        <v>-27.85493</v>
      </c>
      <c r="J6937" s="55">
        <v>-33.31044</v>
      </c>
      <c r="K6937" s="55">
        <v>-28.834980000000002</v>
      </c>
      <c r="L6937" s="55">
        <v>-26.10257</v>
      </c>
      <c r="M6937" s="55">
        <v>-205.26089999999999</v>
      </c>
      <c r="N6937" s="55">
        <v>-1.3871599999999999</v>
      </c>
    </row>
    <row r="6938" spans="1:14" hidden="1" x14ac:dyDescent="0.35">
      <c r="A6938" s="52" t="s">
        <v>737</v>
      </c>
      <c r="B6938" s="52" t="s">
        <v>34</v>
      </c>
      <c r="C6938" s="52" t="s">
        <v>33</v>
      </c>
      <c r="D6938" s="52" t="s">
        <v>33</v>
      </c>
      <c r="E6938" s="52" t="s">
        <v>584</v>
      </c>
      <c r="F6938" s="52" t="s">
        <v>581</v>
      </c>
      <c r="G6938" s="55" t="s">
        <v>276</v>
      </c>
      <c r="H6938" s="55">
        <v>16.778559999999999</v>
      </c>
      <c r="I6938" s="55">
        <v>-28.20439</v>
      </c>
      <c r="J6938" s="55">
        <v>-19.100149999999999</v>
      </c>
      <c r="K6938" s="55">
        <v>-10.918710000000001</v>
      </c>
      <c r="L6938" s="55">
        <v>-8.010059</v>
      </c>
      <c r="M6938" s="55">
        <v>-61.176870000000001</v>
      </c>
      <c r="N6938" s="55">
        <v>1.033099</v>
      </c>
    </row>
    <row r="6939" spans="1:14" hidden="1" x14ac:dyDescent="0.35">
      <c r="A6939" s="52" t="s">
        <v>737</v>
      </c>
      <c r="B6939" s="52" t="s">
        <v>34</v>
      </c>
      <c r="C6939" s="52" t="s">
        <v>33</v>
      </c>
      <c r="D6939" s="52" t="s">
        <v>33</v>
      </c>
      <c r="E6939" s="52" t="s">
        <v>584</v>
      </c>
      <c r="F6939" s="52" t="s">
        <v>581</v>
      </c>
      <c r="G6939" s="55" t="s">
        <v>277</v>
      </c>
      <c r="H6939" s="55">
        <v>85.250020000000006</v>
      </c>
      <c r="I6939" s="55">
        <v>46.66742</v>
      </c>
      <c r="J6939" s="55">
        <v>60.238410000000002</v>
      </c>
      <c r="K6939" s="55">
        <v>51.660469999999997</v>
      </c>
      <c r="L6939" s="55">
        <v>41.512810000000002</v>
      </c>
      <c r="M6939" s="55">
        <v>39.71857</v>
      </c>
      <c r="N6939" s="55">
        <v>38.155639999999998</v>
      </c>
    </row>
    <row r="6940" spans="1:14" hidden="1" x14ac:dyDescent="0.35">
      <c r="A6940" s="52" t="s">
        <v>737</v>
      </c>
      <c r="B6940" s="52" t="s">
        <v>34</v>
      </c>
      <c r="C6940" s="52" t="s">
        <v>33</v>
      </c>
      <c r="D6940" s="52" t="s">
        <v>33</v>
      </c>
      <c r="E6940" s="52" t="s">
        <v>584</v>
      </c>
      <c r="F6940" s="52" t="s">
        <v>581</v>
      </c>
      <c r="G6940" s="55" t="s">
        <v>279</v>
      </c>
      <c r="H6940" s="55">
        <v>144.1027</v>
      </c>
      <c r="I6940" s="55">
        <v>132.5094</v>
      </c>
      <c r="J6940" s="55">
        <v>122.49590000000001</v>
      </c>
      <c r="K6940" s="55">
        <v>124.1819</v>
      </c>
      <c r="L6940" s="55">
        <v>125.86499999999999</v>
      </c>
      <c r="M6940" s="55">
        <v>300.7251</v>
      </c>
      <c r="N6940" s="55">
        <v>34.926250000000003</v>
      </c>
    </row>
    <row r="6941" spans="1:14" hidden="1" x14ac:dyDescent="0.35">
      <c r="A6941" s="52" t="s">
        <v>737</v>
      </c>
      <c r="B6941" s="52" t="s">
        <v>34</v>
      </c>
      <c r="C6941" s="52" t="s">
        <v>33</v>
      </c>
      <c r="D6941" s="52" t="s">
        <v>33</v>
      </c>
      <c r="E6941" s="52" t="s">
        <v>584</v>
      </c>
      <c r="F6941" s="52" t="s">
        <v>26</v>
      </c>
      <c r="G6941" s="55" t="s">
        <v>275</v>
      </c>
      <c r="H6941" s="55">
        <v>-13.535030000000001</v>
      </c>
      <c r="I6941" s="55">
        <v>-8.9319100000000002</v>
      </c>
      <c r="J6941" s="55">
        <v>-9.3489819999999995</v>
      </c>
      <c r="K6941" s="55">
        <v>-5.2481460000000002</v>
      </c>
      <c r="L6941" s="55">
        <v>-4.5281669999999998</v>
      </c>
      <c r="M6941" s="55">
        <v>-7.1815889999999998</v>
      </c>
      <c r="N6941" s="55">
        <v>-1.960628</v>
      </c>
    </row>
    <row r="6942" spans="1:14" hidden="1" x14ac:dyDescent="0.35">
      <c r="A6942" s="52" t="s">
        <v>737</v>
      </c>
      <c r="B6942" s="52" t="s">
        <v>34</v>
      </c>
      <c r="C6942" s="52" t="s">
        <v>33</v>
      </c>
      <c r="D6942" s="52" t="s">
        <v>33</v>
      </c>
      <c r="E6942" s="52" t="s">
        <v>584</v>
      </c>
      <c r="F6942" s="52" t="s">
        <v>26</v>
      </c>
      <c r="G6942" s="55" t="s">
        <v>276</v>
      </c>
      <c r="H6942" s="55">
        <v>-4.209517</v>
      </c>
      <c r="I6942" s="55">
        <v>-3.378952</v>
      </c>
      <c r="J6942" s="55">
        <v>-4.2259500000000001</v>
      </c>
      <c r="K6942" s="55">
        <v>-2.4219040000000001</v>
      </c>
      <c r="L6942" s="55">
        <v>-1.940447</v>
      </c>
      <c r="M6942" s="55">
        <v>-2.5710410000000001</v>
      </c>
      <c r="N6942" s="55">
        <v>-1.015747</v>
      </c>
    </row>
    <row r="6943" spans="1:14" hidden="1" x14ac:dyDescent="0.35">
      <c r="A6943" s="52" t="s">
        <v>737</v>
      </c>
      <c r="B6943" s="52" t="s">
        <v>34</v>
      </c>
      <c r="C6943" s="52" t="s">
        <v>33</v>
      </c>
      <c r="D6943" s="52" t="s">
        <v>33</v>
      </c>
      <c r="E6943" s="52" t="s">
        <v>584</v>
      </c>
      <c r="F6943" s="52" t="s">
        <v>26</v>
      </c>
      <c r="G6943" s="55" t="s">
        <v>277</v>
      </c>
      <c r="H6943" s="55">
        <v>12.791650000000001</v>
      </c>
      <c r="I6943" s="55">
        <v>9.5851150000000001</v>
      </c>
      <c r="J6943" s="55">
        <v>7.5349789999999999</v>
      </c>
      <c r="K6943" s="55">
        <v>6.2498209999999998</v>
      </c>
      <c r="L6943" s="55">
        <v>5.2513459999999998</v>
      </c>
      <c r="M6943" s="55">
        <v>4.5234709999999998</v>
      </c>
      <c r="N6943" s="55">
        <v>3.4968759999999999</v>
      </c>
    </row>
    <row r="6944" spans="1:14" hidden="1" x14ac:dyDescent="0.35">
      <c r="A6944" s="52" t="s">
        <v>737</v>
      </c>
      <c r="B6944" s="52" t="s">
        <v>34</v>
      </c>
      <c r="C6944" s="52" t="s">
        <v>33</v>
      </c>
      <c r="D6944" s="52" t="s">
        <v>33</v>
      </c>
      <c r="E6944" s="52" t="s">
        <v>584</v>
      </c>
      <c r="F6944" s="52" t="s">
        <v>26</v>
      </c>
      <c r="G6944" s="55" t="s">
        <v>279</v>
      </c>
      <c r="H6944" s="55">
        <v>20.77317</v>
      </c>
      <c r="I6944" s="55">
        <v>14.049239999999999</v>
      </c>
      <c r="J6944" s="55">
        <v>14.032209999999999</v>
      </c>
      <c r="K6944" s="55">
        <v>7.3842610000000004</v>
      </c>
      <c r="L6944" s="55">
        <v>5.7796459999999996</v>
      </c>
      <c r="M6944" s="55">
        <v>8.220459</v>
      </c>
      <c r="N6944" s="55">
        <v>1.989384</v>
      </c>
    </row>
    <row r="6945" spans="1:14" hidden="1" x14ac:dyDescent="0.35">
      <c r="A6945" s="52" t="s">
        <v>737</v>
      </c>
      <c r="B6945" s="52" t="s">
        <v>34</v>
      </c>
      <c r="C6945" s="52" t="s">
        <v>33</v>
      </c>
      <c r="D6945" s="52" t="s">
        <v>33</v>
      </c>
      <c r="E6945" s="52" t="s">
        <v>699</v>
      </c>
      <c r="F6945" s="52" t="s">
        <v>581</v>
      </c>
      <c r="G6945" s="55" t="s">
        <v>275</v>
      </c>
      <c r="H6945" s="55">
        <v>66.298820000000006</v>
      </c>
      <c r="I6945" s="55">
        <v>34.963830000000002</v>
      </c>
      <c r="J6945" s="55">
        <v>37.243540000000003</v>
      </c>
      <c r="K6945" s="55">
        <v>30.168790000000001</v>
      </c>
      <c r="L6945" s="55">
        <v>22.84694</v>
      </c>
      <c r="M6945" s="55">
        <v>21.620930000000001</v>
      </c>
      <c r="N6945" s="55">
        <v>19.213699999999999</v>
      </c>
    </row>
    <row r="6946" spans="1:14" hidden="1" x14ac:dyDescent="0.35">
      <c r="A6946" s="52" t="s">
        <v>737</v>
      </c>
      <c r="B6946" s="52" t="s">
        <v>34</v>
      </c>
      <c r="C6946" s="52" t="s">
        <v>33</v>
      </c>
      <c r="D6946" s="52" t="s">
        <v>33</v>
      </c>
      <c r="E6946" s="52" t="s">
        <v>699</v>
      </c>
      <c r="F6946" s="52" t="s">
        <v>581</v>
      </c>
      <c r="G6946" s="55" t="s">
        <v>276</v>
      </c>
      <c r="H6946" s="55">
        <v>15.219889999999999</v>
      </c>
      <c r="I6946" s="55">
        <v>-15.822889999999999</v>
      </c>
      <c r="J6946" s="55">
        <v>-4.4355979999999997</v>
      </c>
      <c r="K6946" s="55">
        <v>1.1544289999999999</v>
      </c>
      <c r="L6946" s="55">
        <v>6.6168199999999997</v>
      </c>
      <c r="M6946" s="55">
        <v>6.4850029999999999</v>
      </c>
      <c r="N6946" s="55">
        <v>6.5203259999999998</v>
      </c>
    </row>
    <row r="6947" spans="1:14" hidden="1" x14ac:dyDescent="0.35">
      <c r="A6947" s="52" t="s">
        <v>737</v>
      </c>
      <c r="B6947" s="52" t="s">
        <v>34</v>
      </c>
      <c r="C6947" s="52" t="s">
        <v>33</v>
      </c>
      <c r="D6947" s="52" t="s">
        <v>33</v>
      </c>
      <c r="E6947" s="52" t="s">
        <v>699</v>
      </c>
      <c r="F6947" s="52" t="s">
        <v>581</v>
      </c>
      <c r="G6947" s="55" t="s">
        <v>277</v>
      </c>
      <c r="H6947" s="55">
        <v>84.355930000000001</v>
      </c>
      <c r="I6947" s="55">
        <v>19.039739999999998</v>
      </c>
      <c r="J6947" s="55">
        <v>12.073880000000001</v>
      </c>
      <c r="K6947" s="55">
        <v>8.6545129999999997</v>
      </c>
      <c r="L6947" s="55">
        <v>8.4637989999999999</v>
      </c>
      <c r="M6947" s="55">
        <v>5.1821900000000003</v>
      </c>
      <c r="N6947" s="55">
        <v>5.4690690000000002</v>
      </c>
    </row>
    <row r="6948" spans="1:14" hidden="1" x14ac:dyDescent="0.35">
      <c r="A6948" s="52" t="s">
        <v>737</v>
      </c>
      <c r="B6948" s="52" t="s">
        <v>34</v>
      </c>
      <c r="C6948" s="52" t="s">
        <v>33</v>
      </c>
      <c r="D6948" s="52" t="s">
        <v>33</v>
      </c>
      <c r="E6948" s="52" t="s">
        <v>699</v>
      </c>
      <c r="F6948" s="52" t="s">
        <v>581</v>
      </c>
      <c r="G6948" s="55" t="s">
        <v>278</v>
      </c>
      <c r="H6948" s="55">
        <v>14.133330000000001</v>
      </c>
      <c r="I6948" s="55">
        <v>5.7186630000000003</v>
      </c>
      <c r="J6948" s="55">
        <v>3.1481669999999999</v>
      </c>
      <c r="K6948" s="55">
        <v>1.438628</v>
      </c>
      <c r="L6948" s="55">
        <v>1.6180319999999999</v>
      </c>
      <c r="M6948" s="55">
        <v>1.166952</v>
      </c>
      <c r="N6948" s="55">
        <v>1.2594030000000001</v>
      </c>
    </row>
    <row r="6949" spans="1:14" hidden="1" x14ac:dyDescent="0.35">
      <c r="A6949" s="52" t="s">
        <v>737</v>
      </c>
      <c r="B6949" s="52" t="s">
        <v>34</v>
      </c>
      <c r="C6949" s="52" t="s">
        <v>33</v>
      </c>
      <c r="D6949" s="52" t="s">
        <v>33</v>
      </c>
      <c r="E6949" s="52" t="s">
        <v>699</v>
      </c>
      <c r="F6949" s="52" t="s">
        <v>581</v>
      </c>
      <c r="G6949" s="55" t="s">
        <v>279</v>
      </c>
      <c r="H6949" s="55">
        <v>63.06673</v>
      </c>
      <c r="I6949" s="55">
        <v>48.264110000000002</v>
      </c>
      <c r="J6949" s="55">
        <v>46.758679999999998</v>
      </c>
      <c r="K6949" s="55">
        <v>41.007170000000002</v>
      </c>
      <c r="L6949" s="55">
        <v>33.193629999999999</v>
      </c>
      <c r="M6949" s="55">
        <v>31.332820000000002</v>
      </c>
      <c r="N6949" s="55">
        <v>28.6526</v>
      </c>
    </row>
    <row r="6950" spans="1:14" hidden="1" x14ac:dyDescent="0.35">
      <c r="A6950" s="52" t="s">
        <v>737</v>
      </c>
      <c r="B6950" s="52" t="s">
        <v>34</v>
      </c>
      <c r="C6950" s="52" t="s">
        <v>33</v>
      </c>
      <c r="D6950" s="52" t="s">
        <v>33</v>
      </c>
      <c r="E6950" s="52" t="s">
        <v>699</v>
      </c>
      <c r="F6950" s="52" t="s">
        <v>26</v>
      </c>
      <c r="G6950" s="55" t="s">
        <v>275</v>
      </c>
      <c r="H6950" s="55">
        <v>-2.1832250000000002</v>
      </c>
      <c r="I6950" s="55">
        <v>-2.105521</v>
      </c>
      <c r="J6950" s="55">
        <v>-2.0003510000000002</v>
      </c>
      <c r="K6950" s="55">
        <v>-1.750945</v>
      </c>
      <c r="L6950" s="55">
        <v>-1.3570990000000001</v>
      </c>
      <c r="M6950" s="55">
        <v>-1.252402</v>
      </c>
      <c r="N6950" s="55">
        <v>-1.122136</v>
      </c>
    </row>
    <row r="6951" spans="1:14" hidden="1" x14ac:dyDescent="0.35">
      <c r="A6951" s="52" t="s">
        <v>737</v>
      </c>
      <c r="B6951" s="52" t="s">
        <v>34</v>
      </c>
      <c r="C6951" s="52" t="s">
        <v>33</v>
      </c>
      <c r="D6951" s="52" t="s">
        <v>33</v>
      </c>
      <c r="E6951" s="52" t="s">
        <v>699</v>
      </c>
      <c r="F6951" s="52" t="s">
        <v>26</v>
      </c>
      <c r="G6951" s="55" t="s">
        <v>276</v>
      </c>
      <c r="H6951" s="55">
        <v>-0.80749400000000005</v>
      </c>
      <c r="I6951" s="55">
        <v>-0.77875689999999997</v>
      </c>
      <c r="J6951" s="55">
        <v>-0.73985780000000001</v>
      </c>
      <c r="K6951" s="55">
        <v>-0.64761089999999999</v>
      </c>
      <c r="L6951" s="55">
        <v>-0.50193940000000004</v>
      </c>
      <c r="M6951" s="55">
        <v>-0.46321689999999999</v>
      </c>
      <c r="N6951" s="55">
        <v>-0.41503790000000002</v>
      </c>
    </row>
    <row r="6952" spans="1:14" hidden="1" x14ac:dyDescent="0.35">
      <c r="A6952" s="52" t="s">
        <v>737</v>
      </c>
      <c r="B6952" s="52" t="s">
        <v>34</v>
      </c>
      <c r="C6952" s="52" t="s">
        <v>33</v>
      </c>
      <c r="D6952" s="52" t="s">
        <v>33</v>
      </c>
      <c r="E6952" s="52" t="s">
        <v>699</v>
      </c>
      <c r="F6952" s="52" t="s">
        <v>26</v>
      </c>
      <c r="G6952" s="55" t="s">
        <v>279</v>
      </c>
      <c r="H6952" s="55">
        <v>4.9754930000000002</v>
      </c>
      <c r="I6952" s="55">
        <v>4.8751790000000002</v>
      </c>
      <c r="J6952" s="55">
        <v>4.7569679999999996</v>
      </c>
      <c r="K6952" s="55">
        <v>4.2019469999999997</v>
      </c>
      <c r="L6952" s="55">
        <v>3.4731010000000002</v>
      </c>
      <c r="M6952" s="55">
        <v>3.1936930000000001</v>
      </c>
      <c r="N6952" s="55">
        <v>2.9253089999999999</v>
      </c>
    </row>
    <row r="6953" spans="1:14" hidden="1" x14ac:dyDescent="0.35">
      <c r="A6953" s="52" t="s">
        <v>737</v>
      </c>
      <c r="B6953" s="52" t="s">
        <v>34</v>
      </c>
      <c r="C6953" s="52" t="s">
        <v>33</v>
      </c>
      <c r="D6953" s="52" t="s">
        <v>33</v>
      </c>
      <c r="E6953" s="52" t="s">
        <v>702</v>
      </c>
      <c r="F6953" s="52" t="s">
        <v>581</v>
      </c>
      <c r="G6953" s="55" t="s">
        <v>275</v>
      </c>
      <c r="H6953" s="55">
        <v>-0.44957609999999998</v>
      </c>
      <c r="I6953" s="55">
        <v>0.78412040000000005</v>
      </c>
      <c r="J6953" s="55">
        <v>1.190296</v>
      </c>
      <c r="K6953" s="55">
        <v>2.852303</v>
      </c>
      <c r="L6953" s="55">
        <v>1.9460660000000001</v>
      </c>
      <c r="M6953" s="55">
        <v>1.724451</v>
      </c>
      <c r="N6953" s="55">
        <v>-3.6605539999999999</v>
      </c>
    </row>
    <row r="6954" spans="1:14" hidden="1" x14ac:dyDescent="0.35">
      <c r="A6954" s="52" t="s">
        <v>737</v>
      </c>
      <c r="B6954" s="52" t="s">
        <v>34</v>
      </c>
      <c r="C6954" s="52" t="s">
        <v>33</v>
      </c>
      <c r="D6954" s="52" t="s">
        <v>33</v>
      </c>
      <c r="E6954" s="52" t="s">
        <v>702</v>
      </c>
      <c r="F6954" s="52" t="s">
        <v>581</v>
      </c>
      <c r="G6954" s="55" t="s">
        <v>276</v>
      </c>
      <c r="H6954" s="55">
        <v>1.430151</v>
      </c>
      <c r="I6954" s="55">
        <v>-1.834886</v>
      </c>
      <c r="J6954" s="55">
        <v>-1.0766370000000001</v>
      </c>
      <c r="K6954" s="55">
        <v>-0.54075779999999996</v>
      </c>
      <c r="L6954" s="55">
        <v>0.1027976</v>
      </c>
      <c r="M6954" s="55">
        <v>0.2562622</v>
      </c>
      <c r="N6954" s="55">
        <v>0.34724329999999998</v>
      </c>
    </row>
    <row r="6955" spans="1:14" hidden="1" x14ac:dyDescent="0.35">
      <c r="A6955" s="52" t="s">
        <v>737</v>
      </c>
      <c r="B6955" s="52" t="s">
        <v>34</v>
      </c>
      <c r="C6955" s="52" t="s">
        <v>33</v>
      </c>
      <c r="D6955" s="52" t="s">
        <v>33</v>
      </c>
      <c r="E6955" s="52" t="s">
        <v>702</v>
      </c>
      <c r="F6955" s="52" t="s">
        <v>581</v>
      </c>
      <c r="G6955" s="55" t="s">
        <v>277</v>
      </c>
      <c r="H6955" s="55">
        <v>9.0213870000000007</v>
      </c>
      <c r="I6955" s="55">
        <v>3.3311000000000002</v>
      </c>
      <c r="J6955" s="55">
        <v>1.097243</v>
      </c>
      <c r="K6955" s="55">
        <v>0.73541310000000004</v>
      </c>
      <c r="L6955" s="55">
        <v>0.86693710000000002</v>
      </c>
      <c r="M6955" s="55">
        <v>0.79764060000000003</v>
      </c>
      <c r="N6955" s="55">
        <v>2.1251910000000001</v>
      </c>
    </row>
    <row r="6956" spans="1:14" hidden="1" x14ac:dyDescent="0.35">
      <c r="A6956" s="52" t="s">
        <v>737</v>
      </c>
      <c r="B6956" s="52" t="s">
        <v>34</v>
      </c>
      <c r="C6956" s="52" t="s">
        <v>33</v>
      </c>
      <c r="D6956" s="52" t="s">
        <v>33</v>
      </c>
      <c r="E6956" s="52" t="s">
        <v>702</v>
      </c>
      <c r="F6956" s="52" t="s">
        <v>581</v>
      </c>
      <c r="G6956" s="55" t="s">
        <v>278</v>
      </c>
      <c r="H6956" s="55">
        <v>7.3386139999999997</v>
      </c>
      <c r="I6956" s="55">
        <v>4.2088999999999999</v>
      </c>
      <c r="J6956" s="55">
        <v>6.2749309999999996</v>
      </c>
      <c r="K6956" s="55">
        <v>3.471759</v>
      </c>
      <c r="L6956" s="55">
        <v>3.370285</v>
      </c>
      <c r="M6956" s="55">
        <v>3.3191799999999998</v>
      </c>
      <c r="N6956" s="55">
        <v>8.4926370000000002</v>
      </c>
    </row>
    <row r="6957" spans="1:14" hidden="1" x14ac:dyDescent="0.35">
      <c r="A6957" s="52" t="s">
        <v>737</v>
      </c>
      <c r="B6957" s="52" t="s">
        <v>34</v>
      </c>
      <c r="C6957" s="52" t="s">
        <v>33</v>
      </c>
      <c r="D6957" s="52" t="s">
        <v>33</v>
      </c>
      <c r="E6957" s="52" t="s">
        <v>702</v>
      </c>
      <c r="F6957" s="52" t="s">
        <v>581</v>
      </c>
      <c r="G6957" s="55" t="s">
        <v>279</v>
      </c>
      <c r="H6957" s="55">
        <v>3.1828660000000002</v>
      </c>
      <c r="I6957" s="55">
        <v>2.681889</v>
      </c>
      <c r="J6957" s="55">
        <v>2.9103349999999999</v>
      </c>
      <c r="K6957" s="55">
        <v>2.5124080000000002</v>
      </c>
      <c r="L6957" s="55">
        <v>2.1496230000000001</v>
      </c>
      <c r="M6957" s="55">
        <v>2.1133549999999999</v>
      </c>
      <c r="N6957" s="55">
        <v>2.3704299999999998</v>
      </c>
    </row>
    <row r="6958" spans="1:14" hidden="1" x14ac:dyDescent="0.35">
      <c r="A6958" s="52" t="s">
        <v>737</v>
      </c>
      <c r="B6958" s="52" t="s">
        <v>34</v>
      </c>
      <c r="C6958" s="52" t="s">
        <v>33</v>
      </c>
      <c r="D6958" s="52" t="s">
        <v>33</v>
      </c>
      <c r="E6958" s="52" t="s">
        <v>702</v>
      </c>
      <c r="F6958" s="52" t="s">
        <v>26</v>
      </c>
      <c r="G6958" s="55" t="s">
        <v>275</v>
      </c>
      <c r="H6958" s="55">
        <v>-3.8365000000000003E-2</v>
      </c>
      <c r="I6958" s="55">
        <v>-2.29573E-2</v>
      </c>
      <c r="J6958" s="55">
        <v>-2.0610799999999999E-2</v>
      </c>
      <c r="K6958" s="55">
        <v>-2.6458499999999999E-2</v>
      </c>
      <c r="L6958" s="55">
        <v>-6.0065980000000001E-3</v>
      </c>
      <c r="M6958" s="55">
        <v>9.5900149999999997E-5</v>
      </c>
      <c r="N6958" s="55">
        <v>1.1480199999999999E-2</v>
      </c>
    </row>
    <row r="6959" spans="1:14" hidden="1" x14ac:dyDescent="0.35">
      <c r="A6959" s="52" t="s">
        <v>737</v>
      </c>
      <c r="B6959" s="52" t="s">
        <v>34</v>
      </c>
      <c r="C6959" s="52" t="s">
        <v>33</v>
      </c>
      <c r="D6959" s="52" t="s">
        <v>33</v>
      </c>
      <c r="E6959" s="52" t="s">
        <v>702</v>
      </c>
      <c r="F6959" s="52" t="s">
        <v>26</v>
      </c>
      <c r="G6959" s="55" t="s">
        <v>276</v>
      </c>
      <c r="H6959" s="55">
        <v>-1.3832000000000001E-2</v>
      </c>
      <c r="I6959" s="55">
        <v>-7.6518000000000003E-3</v>
      </c>
      <c r="J6959" s="55">
        <v>-6.509E-3</v>
      </c>
      <c r="K6959" s="55">
        <v>-7.9028999999999992E-3</v>
      </c>
      <c r="L6959" s="55">
        <v>-1.794098E-3</v>
      </c>
      <c r="M6959" s="55">
        <v>2.8101259999999999E-5</v>
      </c>
      <c r="N6959" s="55">
        <v>3.4293000000000001E-3</v>
      </c>
    </row>
    <row r="6960" spans="1:14" hidden="1" x14ac:dyDescent="0.35">
      <c r="A6960" s="52" t="s">
        <v>737</v>
      </c>
      <c r="B6960" s="52" t="s">
        <v>34</v>
      </c>
      <c r="C6960" s="52" t="s">
        <v>33</v>
      </c>
      <c r="D6960" s="52" t="s">
        <v>33</v>
      </c>
      <c r="E6960" s="52" t="s">
        <v>702</v>
      </c>
      <c r="F6960" s="52" t="s">
        <v>26</v>
      </c>
      <c r="G6960" s="55" t="s">
        <v>279</v>
      </c>
      <c r="H6960" s="55">
        <v>0.79737999999999998</v>
      </c>
      <c r="I6960" s="55">
        <v>0.68038310000000002</v>
      </c>
      <c r="J6960" s="55">
        <v>0.74849840000000001</v>
      </c>
      <c r="K6960" s="55">
        <v>0.65505239999999998</v>
      </c>
      <c r="L6960" s="55">
        <v>0.58216179999999995</v>
      </c>
      <c r="M6960" s="55">
        <v>0.54571230000000004</v>
      </c>
      <c r="N6960" s="55">
        <v>0.61203289999999999</v>
      </c>
    </row>
    <row r="6961" spans="1:14" hidden="1" x14ac:dyDescent="0.35">
      <c r="A6961" s="52" t="s">
        <v>737</v>
      </c>
      <c r="B6961" s="52" t="s">
        <v>34</v>
      </c>
      <c r="C6961" s="52" t="s">
        <v>33</v>
      </c>
      <c r="D6961" s="52" t="s">
        <v>33</v>
      </c>
      <c r="E6961" s="52" t="s">
        <v>738</v>
      </c>
      <c r="F6961" s="52" t="s">
        <v>581</v>
      </c>
      <c r="G6961" s="55" t="s">
        <v>275</v>
      </c>
      <c r="H6961" s="55">
        <v>8.2107209999999995</v>
      </c>
      <c r="I6961" s="55">
        <v>4.4881140000000004</v>
      </c>
      <c r="J6961" s="55">
        <v>4.7024179999999998</v>
      </c>
      <c r="K6961" s="55">
        <v>1.1616340000000001</v>
      </c>
      <c r="L6961" s="55">
        <v>1.0591969999999999</v>
      </c>
      <c r="M6961" s="55">
        <v>1.116555</v>
      </c>
      <c r="N6961" s="55">
        <v>0.9124293</v>
      </c>
    </row>
    <row r="6962" spans="1:14" hidden="1" x14ac:dyDescent="0.35">
      <c r="A6962" s="52" t="s">
        <v>737</v>
      </c>
      <c r="B6962" s="52" t="s">
        <v>34</v>
      </c>
      <c r="C6962" s="52" t="s">
        <v>33</v>
      </c>
      <c r="D6962" s="52" t="s">
        <v>33</v>
      </c>
      <c r="E6962" s="52" t="s">
        <v>738</v>
      </c>
      <c r="F6962" s="52" t="s">
        <v>581</v>
      </c>
      <c r="G6962" s="55" t="s">
        <v>276</v>
      </c>
      <c r="H6962" s="55">
        <v>-4.227862</v>
      </c>
      <c r="I6962" s="55">
        <v>-5.3816509999999997</v>
      </c>
      <c r="J6962" s="55">
        <v>-3.9245320000000001</v>
      </c>
      <c r="K6962" s="55">
        <v>-0.24755479999999999</v>
      </c>
      <c r="L6962" s="55">
        <v>9.6889299999999998E-2</v>
      </c>
      <c r="M6962" s="55">
        <v>0.1419542</v>
      </c>
      <c r="N6962" s="55">
        <v>0.16777220000000001</v>
      </c>
    </row>
    <row r="6963" spans="1:14" hidden="1" x14ac:dyDescent="0.35">
      <c r="A6963" s="52" t="s">
        <v>737</v>
      </c>
      <c r="B6963" s="52" t="s">
        <v>34</v>
      </c>
      <c r="C6963" s="52" t="s">
        <v>33</v>
      </c>
      <c r="D6963" s="52" t="s">
        <v>33</v>
      </c>
      <c r="E6963" s="52" t="s">
        <v>738</v>
      </c>
      <c r="F6963" s="52" t="s">
        <v>581</v>
      </c>
      <c r="G6963" s="55" t="s">
        <v>277</v>
      </c>
      <c r="H6963" s="55">
        <v>5.443918</v>
      </c>
      <c r="I6963" s="55">
        <v>2.2086899999999998</v>
      </c>
      <c r="J6963" s="55">
        <v>0.90986389999999995</v>
      </c>
      <c r="K6963" s="55">
        <v>0.65599879999999999</v>
      </c>
      <c r="L6963" s="55"/>
      <c r="M6963" s="55">
        <v>0</v>
      </c>
      <c r="N6963" s="55">
        <v>0</v>
      </c>
    </row>
    <row r="6964" spans="1:14" hidden="1" x14ac:dyDescent="0.35">
      <c r="A6964" s="52" t="s">
        <v>737</v>
      </c>
      <c r="B6964" s="52" t="s">
        <v>34</v>
      </c>
      <c r="C6964" s="52" t="s">
        <v>33</v>
      </c>
      <c r="D6964" s="52" t="s">
        <v>33</v>
      </c>
      <c r="E6964" s="52" t="s">
        <v>738</v>
      </c>
      <c r="F6964" s="52" t="s">
        <v>581</v>
      </c>
      <c r="G6964" s="55" t="s">
        <v>278</v>
      </c>
      <c r="H6964" s="55">
        <v>1.253017</v>
      </c>
      <c r="I6964" s="55">
        <v>0.56005640000000001</v>
      </c>
      <c r="J6964" s="55">
        <v>0.25241239999999998</v>
      </c>
      <c r="K6964" s="55">
        <v>0.1483324</v>
      </c>
      <c r="L6964" s="55">
        <v>0.11188380000000001</v>
      </c>
      <c r="M6964" s="55">
        <v>0</v>
      </c>
      <c r="N6964" s="55">
        <v>0</v>
      </c>
    </row>
    <row r="6965" spans="1:14" hidden="1" x14ac:dyDescent="0.35">
      <c r="A6965" s="52" t="s">
        <v>737</v>
      </c>
      <c r="B6965" s="52" t="s">
        <v>34</v>
      </c>
      <c r="C6965" s="52" t="s">
        <v>33</v>
      </c>
      <c r="D6965" s="52" t="s">
        <v>33</v>
      </c>
      <c r="E6965" s="52" t="s">
        <v>738</v>
      </c>
      <c r="F6965" s="52" t="s">
        <v>581</v>
      </c>
      <c r="G6965" s="55" t="s">
        <v>279</v>
      </c>
      <c r="H6965" s="55">
        <v>5.2201969999999998</v>
      </c>
      <c r="I6965" s="55">
        <v>3.9049369999999999</v>
      </c>
      <c r="J6965" s="55">
        <v>3.399994</v>
      </c>
      <c r="K6965" s="55">
        <v>2.930142</v>
      </c>
      <c r="L6965" s="55">
        <v>2.2098469999999999</v>
      </c>
      <c r="M6965" s="55">
        <v>1.9986550000000001</v>
      </c>
      <c r="N6965" s="55">
        <v>1.7211939999999999</v>
      </c>
    </row>
    <row r="6966" spans="1:14" hidden="1" x14ac:dyDescent="0.35">
      <c r="A6966" s="52" t="s">
        <v>737</v>
      </c>
      <c r="B6966" s="52" t="s">
        <v>34</v>
      </c>
      <c r="C6966" s="52" t="s">
        <v>33</v>
      </c>
      <c r="D6966" s="52" t="s">
        <v>33</v>
      </c>
      <c r="E6966" s="52" t="s">
        <v>738</v>
      </c>
      <c r="F6966" s="52" t="s">
        <v>26</v>
      </c>
      <c r="G6966" s="55" t="s">
        <v>275</v>
      </c>
      <c r="H6966" s="55">
        <v>-1.2065969999999999</v>
      </c>
      <c r="I6966" s="55">
        <v>-1.0460179999999999</v>
      </c>
      <c r="J6966" s="55">
        <v>-0.91296770000000005</v>
      </c>
      <c r="K6966" s="55">
        <v>-0.80843019999999999</v>
      </c>
      <c r="L6966" s="55">
        <v>-0.58317470000000005</v>
      </c>
      <c r="M6966" s="55">
        <v>-0.53927860000000005</v>
      </c>
      <c r="N6966" s="55">
        <v>-0.46646939999999998</v>
      </c>
    </row>
    <row r="6967" spans="1:14" hidden="1" x14ac:dyDescent="0.35">
      <c r="A6967" s="52" t="s">
        <v>737</v>
      </c>
      <c r="B6967" s="52" t="s">
        <v>34</v>
      </c>
      <c r="C6967" s="52" t="s">
        <v>33</v>
      </c>
      <c r="D6967" s="52" t="s">
        <v>33</v>
      </c>
      <c r="E6967" s="52" t="s">
        <v>738</v>
      </c>
      <c r="F6967" s="52" t="s">
        <v>26</v>
      </c>
      <c r="G6967" s="55" t="s">
        <v>276</v>
      </c>
      <c r="H6967" s="55">
        <v>-0.435031</v>
      </c>
      <c r="I6967" s="55">
        <v>-0.34867209999999998</v>
      </c>
      <c r="J6967" s="55">
        <v>-0.2883057</v>
      </c>
      <c r="K6967" s="55">
        <v>-0.24148</v>
      </c>
      <c r="L6967" s="55">
        <v>-0.17419609999999999</v>
      </c>
      <c r="M6967" s="55">
        <v>-0.16108249999999999</v>
      </c>
      <c r="N6967" s="55">
        <v>-0.13933419999999999</v>
      </c>
    </row>
    <row r="6968" spans="1:14" hidden="1" x14ac:dyDescent="0.35">
      <c r="A6968" s="52" t="s">
        <v>737</v>
      </c>
      <c r="B6968" s="52" t="s">
        <v>34</v>
      </c>
      <c r="C6968" s="52" t="s">
        <v>33</v>
      </c>
      <c r="D6968" s="52" t="s">
        <v>33</v>
      </c>
      <c r="E6968" s="52" t="s">
        <v>738</v>
      </c>
      <c r="F6968" s="52" t="s">
        <v>26</v>
      </c>
      <c r="G6968" s="55" t="s">
        <v>279</v>
      </c>
      <c r="H6968" s="55">
        <v>2.8216190000000001</v>
      </c>
      <c r="I6968" s="55">
        <v>2.436725</v>
      </c>
      <c r="J6968" s="55">
        <v>2.1388609999999999</v>
      </c>
      <c r="K6968" s="55">
        <v>1.858412</v>
      </c>
      <c r="L6968" s="55">
        <v>1.4409350000000001</v>
      </c>
      <c r="M6968" s="55">
        <v>1.260408</v>
      </c>
      <c r="N6968" s="55">
        <v>1.085494</v>
      </c>
    </row>
    <row r="6969" spans="1:14" hidden="1" x14ac:dyDescent="0.35">
      <c r="A6969" s="52" t="s">
        <v>737</v>
      </c>
      <c r="B6969" s="52" t="s">
        <v>34</v>
      </c>
      <c r="C6969" s="52" t="s">
        <v>33</v>
      </c>
      <c r="D6969" s="52" t="s">
        <v>33</v>
      </c>
      <c r="E6969" s="52" t="s">
        <v>714</v>
      </c>
      <c r="F6969" s="52" t="s">
        <v>581</v>
      </c>
      <c r="G6969" s="55" t="s">
        <v>275</v>
      </c>
      <c r="H6969" s="55">
        <v>0.66358589999999995</v>
      </c>
      <c r="I6969" s="55">
        <v>0.104299</v>
      </c>
      <c r="J6969" s="55">
        <v>0.45730850000000001</v>
      </c>
      <c r="K6969" s="55">
        <v>8.9193389999999997E-2</v>
      </c>
      <c r="L6969" s="55">
        <v>0.2762539</v>
      </c>
      <c r="M6969" s="55">
        <v>0.280281</v>
      </c>
      <c r="N6969" s="55">
        <v>0.66715329999999995</v>
      </c>
    </row>
    <row r="6970" spans="1:14" hidden="1" x14ac:dyDescent="0.35">
      <c r="A6970" s="52" t="s">
        <v>737</v>
      </c>
      <c r="B6970" s="52" t="s">
        <v>34</v>
      </c>
      <c r="C6970" s="52" t="s">
        <v>33</v>
      </c>
      <c r="D6970" s="52" t="s">
        <v>33</v>
      </c>
      <c r="E6970" s="52" t="s">
        <v>714</v>
      </c>
      <c r="F6970" s="52" t="s">
        <v>581</v>
      </c>
      <c r="G6970" s="55" t="s">
        <v>276</v>
      </c>
      <c r="H6970" s="55">
        <v>-0.17186499999999999</v>
      </c>
      <c r="I6970" s="55">
        <v>-0.30636360000000001</v>
      </c>
      <c r="J6970" s="55">
        <v>2.5742589999999999E-2</v>
      </c>
      <c r="K6970" s="55">
        <v>4.4133899999999997E-2</v>
      </c>
      <c r="L6970" s="55">
        <v>5.6233699999999998E-2</v>
      </c>
      <c r="M6970" s="55">
        <v>8.6831000000000005E-2</v>
      </c>
      <c r="N6970" s="55">
        <v>6.7870600000000003E-2</v>
      </c>
    </row>
    <row r="6971" spans="1:14" hidden="1" x14ac:dyDescent="0.35">
      <c r="A6971" s="52" t="s">
        <v>737</v>
      </c>
      <c r="B6971" s="52" t="s">
        <v>34</v>
      </c>
      <c r="C6971" s="52" t="s">
        <v>33</v>
      </c>
      <c r="D6971" s="52" t="s">
        <v>33</v>
      </c>
      <c r="E6971" s="52" t="s">
        <v>714</v>
      </c>
      <c r="F6971" s="52" t="s">
        <v>581</v>
      </c>
      <c r="G6971" s="55" t="s">
        <v>277</v>
      </c>
      <c r="H6971" s="55">
        <v>0.224964</v>
      </c>
      <c r="I6971" s="55">
        <v>0.96943270000000004</v>
      </c>
      <c r="J6971" s="55">
        <v>0.2893752</v>
      </c>
      <c r="K6971" s="55">
        <v>0.70107969999999997</v>
      </c>
      <c r="L6971" s="55">
        <v>0.53597189999999995</v>
      </c>
      <c r="M6971" s="55">
        <v>0.52269089999999996</v>
      </c>
      <c r="N6971" s="55">
        <v>0</v>
      </c>
    </row>
    <row r="6972" spans="1:14" hidden="1" x14ac:dyDescent="0.35">
      <c r="A6972" s="52" t="s">
        <v>737</v>
      </c>
      <c r="B6972" s="52" t="s">
        <v>34</v>
      </c>
      <c r="C6972" s="52" t="s">
        <v>33</v>
      </c>
      <c r="D6972" s="52" t="s">
        <v>33</v>
      </c>
      <c r="E6972" s="52" t="s">
        <v>714</v>
      </c>
      <c r="F6972" s="52" t="s">
        <v>581</v>
      </c>
      <c r="G6972" s="55" t="s">
        <v>278</v>
      </c>
      <c r="H6972" s="55">
        <v>0.38523499999999999</v>
      </c>
      <c r="I6972" s="55">
        <v>0</v>
      </c>
      <c r="J6972" s="55"/>
      <c r="K6972" s="55"/>
      <c r="L6972" s="55"/>
      <c r="M6972" s="55"/>
      <c r="N6972" s="55"/>
    </row>
    <row r="6973" spans="1:14" hidden="1" x14ac:dyDescent="0.35">
      <c r="A6973" s="52" t="s">
        <v>737</v>
      </c>
      <c r="B6973" s="52" t="s">
        <v>34</v>
      </c>
      <c r="C6973" s="52" t="s">
        <v>33</v>
      </c>
      <c r="D6973" s="52" t="s">
        <v>33</v>
      </c>
      <c r="E6973" s="52" t="s">
        <v>714</v>
      </c>
      <c r="F6973" s="52" t="s">
        <v>581</v>
      </c>
      <c r="G6973" s="55" t="s">
        <v>279</v>
      </c>
      <c r="H6973" s="55">
        <v>9.4187000000000007E-2</v>
      </c>
      <c r="I6973" s="55">
        <v>0.13064609999999999</v>
      </c>
      <c r="J6973" s="55">
        <v>0.12564349999999999</v>
      </c>
      <c r="K6973" s="55">
        <v>0.13536629999999999</v>
      </c>
      <c r="L6973" s="55">
        <v>0.13082450000000001</v>
      </c>
      <c r="M6973" s="55">
        <v>0.1387533</v>
      </c>
      <c r="N6973" s="55">
        <v>0.11409950000000001</v>
      </c>
    </row>
    <row r="6974" spans="1:14" hidden="1" x14ac:dyDescent="0.35">
      <c r="A6974" s="52" t="s">
        <v>737</v>
      </c>
      <c r="B6974" s="52" t="s">
        <v>34</v>
      </c>
      <c r="C6974" s="52" t="s">
        <v>33</v>
      </c>
      <c r="D6974" s="52" t="s">
        <v>33</v>
      </c>
      <c r="E6974" s="52" t="s">
        <v>714</v>
      </c>
      <c r="F6974" s="52" t="s">
        <v>26</v>
      </c>
      <c r="G6974" s="55" t="s">
        <v>275</v>
      </c>
      <c r="H6974" s="55">
        <v>4.1283E-2</v>
      </c>
      <c r="I6974" s="55">
        <v>3.9087299999999998E-2</v>
      </c>
      <c r="J6974" s="55">
        <v>3.9248100000000001E-2</v>
      </c>
      <c r="K6974" s="55">
        <v>4.1838100000000003E-2</v>
      </c>
      <c r="L6974" s="55">
        <v>4.4047799999999998E-2</v>
      </c>
      <c r="M6974" s="55">
        <v>4.5092399999999998E-2</v>
      </c>
      <c r="N6974" s="55">
        <v>3.6873299999999998E-2</v>
      </c>
    </row>
    <row r="6975" spans="1:14" hidden="1" x14ac:dyDescent="0.35">
      <c r="A6975" s="52" t="s">
        <v>737</v>
      </c>
      <c r="B6975" s="52" t="s">
        <v>34</v>
      </c>
      <c r="C6975" s="52" t="s">
        <v>33</v>
      </c>
      <c r="D6975" s="52" t="s">
        <v>33</v>
      </c>
      <c r="E6975" s="52" t="s">
        <v>714</v>
      </c>
      <c r="F6975" s="52" t="s">
        <v>26</v>
      </c>
      <c r="G6975" s="55" t="s">
        <v>276</v>
      </c>
      <c r="H6975" s="55">
        <v>1.4884E-2</v>
      </c>
      <c r="I6975" s="55">
        <v>1.30297E-2</v>
      </c>
      <c r="J6975" s="55">
        <v>1.2394799999999999E-2</v>
      </c>
      <c r="K6975" s="55">
        <v>1.2496800000000001E-2</v>
      </c>
      <c r="L6975" s="55">
        <v>1.31564E-2</v>
      </c>
      <c r="M6975" s="55">
        <v>1.34699E-2</v>
      </c>
      <c r="N6975" s="55">
        <v>1.1013500000000001E-2</v>
      </c>
    </row>
    <row r="6976" spans="1:14" hidden="1" x14ac:dyDescent="0.35">
      <c r="A6976" s="52" t="s">
        <v>737</v>
      </c>
      <c r="B6976" s="52" t="s">
        <v>34</v>
      </c>
      <c r="C6976" s="52" t="s">
        <v>33</v>
      </c>
      <c r="D6976" s="52" t="s">
        <v>33</v>
      </c>
      <c r="E6976" s="52" t="s">
        <v>714</v>
      </c>
      <c r="F6976" s="52" t="s">
        <v>26</v>
      </c>
      <c r="G6976" s="55" t="s">
        <v>279</v>
      </c>
      <c r="H6976" s="55">
        <v>6.4665E-2</v>
      </c>
      <c r="I6976" s="55">
        <v>5.6361099999999997E-2</v>
      </c>
      <c r="J6976" s="55">
        <v>5.4902199999999998E-2</v>
      </c>
      <c r="K6976" s="55">
        <v>5.9919699999999999E-2</v>
      </c>
      <c r="L6976" s="55">
        <v>5.9654100000000002E-2</v>
      </c>
      <c r="M6976" s="55">
        <v>6.0868899999999997E-2</v>
      </c>
      <c r="N6976" s="55">
        <v>5.00571E-2</v>
      </c>
    </row>
    <row r="6977" spans="1:14" hidden="1" x14ac:dyDescent="0.35">
      <c r="A6977" s="52" t="s">
        <v>737</v>
      </c>
      <c r="B6977" s="52" t="s">
        <v>34</v>
      </c>
      <c r="C6977" s="52" t="s">
        <v>33</v>
      </c>
      <c r="D6977" s="52" t="s">
        <v>33</v>
      </c>
      <c r="E6977" s="52" t="s">
        <v>739</v>
      </c>
      <c r="F6977" s="52" t="s">
        <v>581</v>
      </c>
      <c r="G6977" s="55" t="s">
        <v>275</v>
      </c>
      <c r="H6977" s="55">
        <v>4.2260010000000001E-2</v>
      </c>
      <c r="I6977" s="55">
        <v>-8.8624400000000006E-2</v>
      </c>
      <c r="J6977" s="55">
        <v>0.2004678</v>
      </c>
      <c r="K6977" s="55">
        <v>3.9273410000000002E-2</v>
      </c>
      <c r="L6977" s="55">
        <v>0.1010442</v>
      </c>
      <c r="M6977" s="55">
        <v>8.0931290000000003E-2</v>
      </c>
      <c r="N6977" s="55">
        <v>0.23977860000000001</v>
      </c>
    </row>
    <row r="6978" spans="1:14" hidden="1" x14ac:dyDescent="0.35">
      <c r="A6978" s="52" t="s">
        <v>737</v>
      </c>
      <c r="B6978" s="52" t="s">
        <v>34</v>
      </c>
      <c r="C6978" s="52" t="s">
        <v>33</v>
      </c>
      <c r="D6978" s="52" t="s">
        <v>33</v>
      </c>
      <c r="E6978" s="52" t="s">
        <v>739</v>
      </c>
      <c r="F6978" s="52" t="s">
        <v>581</v>
      </c>
      <c r="G6978" s="55" t="s">
        <v>276</v>
      </c>
      <c r="H6978" s="55">
        <v>2.4232E-2</v>
      </c>
      <c r="I6978" s="55">
        <v>-2.7375500000000001E-2</v>
      </c>
      <c r="J6978" s="55">
        <v>-2.0048300000000002E-2</v>
      </c>
      <c r="K6978" s="55">
        <v>1.00721E-2</v>
      </c>
      <c r="L6978" s="55">
        <v>1.69914E-2</v>
      </c>
      <c r="M6978" s="55">
        <v>2.3414899999999999E-2</v>
      </c>
      <c r="N6978" s="55">
        <v>2.11877E-2</v>
      </c>
    </row>
    <row r="6979" spans="1:14" hidden="1" x14ac:dyDescent="0.35">
      <c r="A6979" s="52" t="s">
        <v>737</v>
      </c>
      <c r="B6979" s="52" t="s">
        <v>34</v>
      </c>
      <c r="C6979" s="52" t="s">
        <v>33</v>
      </c>
      <c r="D6979" s="52" t="s">
        <v>33</v>
      </c>
      <c r="E6979" s="52" t="s">
        <v>739</v>
      </c>
      <c r="F6979" s="52" t="s">
        <v>581</v>
      </c>
      <c r="G6979" s="55" t="s">
        <v>277</v>
      </c>
      <c r="H6979" s="55">
        <v>0.32333699999999999</v>
      </c>
      <c r="I6979" s="55">
        <v>0.4065145</v>
      </c>
      <c r="J6979" s="55">
        <v>0.1147497</v>
      </c>
      <c r="K6979" s="55">
        <v>0.27413159999999998</v>
      </c>
      <c r="L6979" s="55">
        <v>0.2062454</v>
      </c>
      <c r="M6979" s="55">
        <v>0.19498650000000001</v>
      </c>
      <c r="N6979" s="55">
        <v>0</v>
      </c>
    </row>
    <row r="6980" spans="1:14" hidden="1" x14ac:dyDescent="0.35">
      <c r="A6980" s="52" t="s">
        <v>737</v>
      </c>
      <c r="B6980" s="52" t="s">
        <v>34</v>
      </c>
      <c r="C6980" s="52" t="s">
        <v>33</v>
      </c>
      <c r="D6980" s="52" t="s">
        <v>33</v>
      </c>
      <c r="E6980" s="52" t="s">
        <v>739</v>
      </c>
      <c r="F6980" s="52" t="s">
        <v>581</v>
      </c>
      <c r="G6980" s="55" t="s">
        <v>279</v>
      </c>
      <c r="H6980" s="55">
        <v>3.4771000000000003E-2</v>
      </c>
      <c r="I6980" s="55">
        <v>5.2694600000000001E-2</v>
      </c>
      <c r="J6980" s="55">
        <v>5.11355E-2</v>
      </c>
      <c r="K6980" s="55">
        <v>5.5811899999999998E-2</v>
      </c>
      <c r="L6980" s="55">
        <v>5.1737100000000001E-2</v>
      </c>
      <c r="M6980" s="55">
        <v>4.9711400000000003E-2</v>
      </c>
      <c r="N6980" s="55">
        <v>4.3125400000000001E-2</v>
      </c>
    </row>
    <row r="6981" spans="1:14" hidden="1" x14ac:dyDescent="0.35">
      <c r="A6981" s="52" t="s">
        <v>737</v>
      </c>
      <c r="B6981" s="52" t="s">
        <v>34</v>
      </c>
      <c r="C6981" s="52" t="s">
        <v>33</v>
      </c>
      <c r="D6981" s="52" t="s">
        <v>33</v>
      </c>
      <c r="E6981" s="52" t="s">
        <v>739</v>
      </c>
      <c r="F6981" s="52" t="s">
        <v>26</v>
      </c>
      <c r="G6981" s="55" t="s">
        <v>275</v>
      </c>
      <c r="H6981" s="55">
        <v>9.3570000000000007E-3</v>
      </c>
      <c r="I6981" s="55">
        <v>9.7654999999999999E-3</v>
      </c>
      <c r="J6981" s="55">
        <v>9.9299000000000002E-3</v>
      </c>
      <c r="K6981" s="55">
        <v>1.0723399999999999E-2</v>
      </c>
      <c r="L6981" s="55">
        <v>1.09757E-2</v>
      </c>
      <c r="M6981" s="55">
        <v>1.00657E-2</v>
      </c>
      <c r="N6981" s="55">
        <v>8.6820000000000005E-3</v>
      </c>
    </row>
    <row r="6982" spans="1:14" hidden="1" x14ac:dyDescent="0.35">
      <c r="A6982" s="52" t="s">
        <v>737</v>
      </c>
      <c r="B6982" s="52" t="s">
        <v>34</v>
      </c>
      <c r="C6982" s="52" t="s">
        <v>33</v>
      </c>
      <c r="D6982" s="52" t="s">
        <v>33</v>
      </c>
      <c r="E6982" s="52" t="s">
        <v>739</v>
      </c>
      <c r="F6982" s="52" t="s">
        <v>26</v>
      </c>
      <c r="G6982" s="55" t="s">
        <v>276</v>
      </c>
      <c r="H6982" s="55">
        <v>3.3730000000000001E-3</v>
      </c>
      <c r="I6982" s="55">
        <v>3.2561999999999999E-3</v>
      </c>
      <c r="J6982" s="55">
        <v>3.1346999999999998E-3</v>
      </c>
      <c r="K6982" s="55">
        <v>3.2031E-3</v>
      </c>
      <c r="L6982" s="55">
        <v>3.2783999999999999E-3</v>
      </c>
      <c r="M6982" s="55">
        <v>3.0067000000000002E-3</v>
      </c>
      <c r="N6982" s="55">
        <v>2.5945999999999999E-3</v>
      </c>
    </row>
    <row r="6983" spans="1:14" hidden="1" x14ac:dyDescent="0.35">
      <c r="A6983" s="52" t="s">
        <v>737</v>
      </c>
      <c r="B6983" s="52" t="s">
        <v>34</v>
      </c>
      <c r="C6983" s="52" t="s">
        <v>33</v>
      </c>
      <c r="D6983" s="52" t="s">
        <v>33</v>
      </c>
      <c r="E6983" s="52" t="s">
        <v>739</v>
      </c>
      <c r="F6983" s="52" t="s">
        <v>26</v>
      </c>
      <c r="G6983" s="55" t="s">
        <v>279</v>
      </c>
      <c r="H6983" s="55">
        <v>1.7475999999999998E-2</v>
      </c>
      <c r="I6983" s="55">
        <v>1.6637900000000001E-2</v>
      </c>
      <c r="J6983" s="55">
        <v>1.6335700000000002E-2</v>
      </c>
      <c r="K6983" s="55">
        <v>1.8046199999999998E-2</v>
      </c>
      <c r="L6983" s="55">
        <v>1.72041E-2</v>
      </c>
      <c r="M6983" s="55">
        <v>1.59417E-2</v>
      </c>
      <c r="N6983" s="55">
        <v>1.38263E-2</v>
      </c>
    </row>
    <row r="6984" spans="1:14" hidden="1" x14ac:dyDescent="0.35">
      <c r="A6984" s="52" t="s">
        <v>737</v>
      </c>
      <c r="B6984" s="52" t="s">
        <v>34</v>
      </c>
      <c r="C6984" s="52" t="s">
        <v>33</v>
      </c>
      <c r="D6984" s="52" t="s">
        <v>33</v>
      </c>
      <c r="E6984" s="52" t="s">
        <v>866</v>
      </c>
      <c r="F6984" s="52" t="s">
        <v>581</v>
      </c>
      <c r="G6984" s="55" t="s">
        <v>275</v>
      </c>
      <c r="H6984" s="55">
        <v>0</v>
      </c>
      <c r="I6984" s="55"/>
      <c r="J6984" s="55"/>
      <c r="K6984" s="55"/>
      <c r="L6984" s="55"/>
      <c r="M6984" s="55"/>
      <c r="N6984" s="55"/>
    </row>
    <row r="6985" spans="1:14" hidden="1" x14ac:dyDescent="0.35">
      <c r="A6985" s="52" t="s">
        <v>737</v>
      </c>
      <c r="B6985" s="52" t="s">
        <v>34</v>
      </c>
      <c r="C6985" s="52" t="s">
        <v>33</v>
      </c>
      <c r="D6985" s="52" t="s">
        <v>33</v>
      </c>
      <c r="E6985" s="52" t="s">
        <v>866</v>
      </c>
      <c r="F6985" s="52" t="s">
        <v>581</v>
      </c>
      <c r="G6985" s="55" t="s">
        <v>276</v>
      </c>
      <c r="H6985" s="55">
        <v>0</v>
      </c>
      <c r="I6985" s="55"/>
      <c r="J6985" s="55"/>
      <c r="K6985" s="55"/>
      <c r="L6985" s="55"/>
      <c r="M6985" s="55"/>
      <c r="N6985" s="55"/>
    </row>
    <row r="6986" spans="1:14" hidden="1" x14ac:dyDescent="0.35">
      <c r="A6986" s="52" t="s">
        <v>737</v>
      </c>
      <c r="B6986" s="52" t="s">
        <v>34</v>
      </c>
      <c r="C6986" s="52" t="s">
        <v>230</v>
      </c>
      <c r="D6986" s="52" t="s">
        <v>230</v>
      </c>
      <c r="E6986" s="52" t="s">
        <v>699</v>
      </c>
      <c r="F6986" s="52" t="s">
        <v>581</v>
      </c>
      <c r="G6986" s="55" t="s">
        <v>275</v>
      </c>
      <c r="H6986" s="55">
        <v>-6.4001109999999999</v>
      </c>
      <c r="I6986" s="55">
        <v>14.534610000000001</v>
      </c>
      <c r="J6986" s="55">
        <v>17.982430000000001</v>
      </c>
      <c r="K6986" s="55">
        <v>14.340630000000001</v>
      </c>
      <c r="L6986" s="55">
        <v>11.98597</v>
      </c>
      <c r="M6986" s="55">
        <v>11.49966</v>
      </c>
      <c r="N6986" s="55">
        <v>9.5972819999999999</v>
      </c>
    </row>
    <row r="6987" spans="1:14" hidden="1" x14ac:dyDescent="0.35">
      <c r="A6987" s="52" t="s">
        <v>737</v>
      </c>
      <c r="B6987" s="52" t="s">
        <v>34</v>
      </c>
      <c r="C6987" s="52" t="s">
        <v>230</v>
      </c>
      <c r="D6987" s="52" t="s">
        <v>230</v>
      </c>
      <c r="E6987" s="52" t="s">
        <v>699</v>
      </c>
      <c r="F6987" s="52" t="s">
        <v>581</v>
      </c>
      <c r="G6987" s="55" t="s">
        <v>276</v>
      </c>
      <c r="H6987" s="55">
        <v>3.6419700000000002</v>
      </c>
      <c r="I6987" s="55">
        <v>-6.8819239999999997</v>
      </c>
      <c r="J6987" s="55">
        <v>-3.8367770000000001</v>
      </c>
      <c r="K6987" s="55">
        <v>-1.121481</v>
      </c>
      <c r="L6987" s="55">
        <v>3.132933</v>
      </c>
      <c r="M6987" s="55">
        <v>3.1505869999999998</v>
      </c>
      <c r="N6987" s="55">
        <v>2.9719820000000001</v>
      </c>
    </row>
    <row r="6988" spans="1:14" hidden="1" x14ac:dyDescent="0.35">
      <c r="A6988" s="52" t="s">
        <v>737</v>
      </c>
      <c r="B6988" s="52" t="s">
        <v>34</v>
      </c>
      <c r="C6988" s="52" t="s">
        <v>230</v>
      </c>
      <c r="D6988" s="52" t="s">
        <v>230</v>
      </c>
      <c r="E6988" s="52" t="s">
        <v>699</v>
      </c>
      <c r="F6988" s="52" t="s">
        <v>581</v>
      </c>
      <c r="G6988" s="55" t="s">
        <v>277</v>
      </c>
      <c r="H6988" s="55">
        <v>58.74615</v>
      </c>
      <c r="I6988" s="55">
        <v>8.8729220000000009</v>
      </c>
      <c r="J6988" s="55">
        <v>4.7192610000000004</v>
      </c>
      <c r="K6988" s="55">
        <v>3.3223760000000002</v>
      </c>
      <c r="L6988" s="55">
        <v>1.81027</v>
      </c>
      <c r="M6988" s="55">
        <v>0</v>
      </c>
      <c r="N6988" s="55">
        <v>0</v>
      </c>
    </row>
    <row r="6989" spans="1:14" hidden="1" x14ac:dyDescent="0.35">
      <c r="A6989" s="52" t="s">
        <v>737</v>
      </c>
      <c r="B6989" s="52" t="s">
        <v>34</v>
      </c>
      <c r="C6989" s="52" t="s">
        <v>230</v>
      </c>
      <c r="D6989" s="52" t="s">
        <v>230</v>
      </c>
      <c r="E6989" s="52" t="s">
        <v>699</v>
      </c>
      <c r="F6989" s="52" t="s">
        <v>581</v>
      </c>
      <c r="G6989" s="55" t="s">
        <v>278</v>
      </c>
      <c r="H6989" s="55">
        <v>6.4281290000000002</v>
      </c>
      <c r="I6989" s="55">
        <v>1.975177</v>
      </c>
      <c r="J6989" s="55">
        <v>0.9586635</v>
      </c>
      <c r="K6989" s="55">
        <v>0.74734400000000001</v>
      </c>
      <c r="L6989" s="55">
        <v>0.3677107</v>
      </c>
      <c r="M6989" s="55">
        <v>0</v>
      </c>
      <c r="N6989" s="55">
        <v>0</v>
      </c>
    </row>
    <row r="6990" spans="1:14" hidden="1" x14ac:dyDescent="0.35">
      <c r="A6990" s="52" t="s">
        <v>737</v>
      </c>
      <c r="B6990" s="52" t="s">
        <v>34</v>
      </c>
      <c r="C6990" s="52" t="s">
        <v>230</v>
      </c>
      <c r="D6990" s="52" t="s">
        <v>230</v>
      </c>
      <c r="E6990" s="52" t="s">
        <v>699</v>
      </c>
      <c r="F6990" s="52" t="s">
        <v>581</v>
      </c>
      <c r="G6990" s="55" t="s">
        <v>279</v>
      </c>
      <c r="H6990" s="55">
        <v>21.35614</v>
      </c>
      <c r="I6990" s="55">
        <v>19.450030000000002</v>
      </c>
      <c r="J6990" s="55">
        <v>18.572590000000002</v>
      </c>
      <c r="K6990" s="55">
        <v>16.385390000000001</v>
      </c>
      <c r="L6990" s="55">
        <v>14.03979</v>
      </c>
      <c r="M6990" s="55">
        <v>13.08245</v>
      </c>
      <c r="N6990" s="55">
        <v>11.145250000000001</v>
      </c>
    </row>
    <row r="6991" spans="1:14" hidden="1" x14ac:dyDescent="0.35">
      <c r="A6991" s="52" t="s">
        <v>737</v>
      </c>
      <c r="B6991" s="52" t="s">
        <v>34</v>
      </c>
      <c r="C6991" s="52" t="s">
        <v>230</v>
      </c>
      <c r="D6991" s="52" t="s">
        <v>230</v>
      </c>
      <c r="E6991" s="52" t="s">
        <v>699</v>
      </c>
      <c r="F6991" s="52" t="s">
        <v>26</v>
      </c>
      <c r="G6991" s="55" t="s">
        <v>275</v>
      </c>
      <c r="H6991" s="55">
        <v>-0.71595399999999998</v>
      </c>
      <c r="I6991" s="55">
        <v>-0.78756950000000003</v>
      </c>
      <c r="J6991" s="55">
        <v>-0.74850300000000003</v>
      </c>
      <c r="K6991" s="55">
        <v>-0.67229649999999996</v>
      </c>
      <c r="L6991" s="55">
        <v>-0.56342110000000001</v>
      </c>
      <c r="M6991" s="55">
        <v>-0.52215840000000002</v>
      </c>
      <c r="N6991" s="55">
        <v>-0.44602009999999997</v>
      </c>
    </row>
    <row r="6992" spans="1:14" hidden="1" x14ac:dyDescent="0.35">
      <c r="A6992" s="52" t="s">
        <v>737</v>
      </c>
      <c r="B6992" s="52" t="s">
        <v>34</v>
      </c>
      <c r="C6992" s="52" t="s">
        <v>230</v>
      </c>
      <c r="D6992" s="52" t="s">
        <v>230</v>
      </c>
      <c r="E6992" s="52" t="s">
        <v>699</v>
      </c>
      <c r="F6992" s="52" t="s">
        <v>26</v>
      </c>
      <c r="G6992" s="55" t="s">
        <v>276</v>
      </c>
      <c r="H6992" s="55">
        <v>-0.26480700000000001</v>
      </c>
      <c r="I6992" s="55">
        <v>-0.29129300000000002</v>
      </c>
      <c r="J6992" s="55">
        <v>-0.27684579999999998</v>
      </c>
      <c r="K6992" s="55">
        <v>-0.24865719999999999</v>
      </c>
      <c r="L6992" s="55">
        <v>-0.2083884</v>
      </c>
      <c r="M6992" s="55">
        <v>-0.1931272</v>
      </c>
      <c r="N6992" s="55">
        <v>-0.16496620000000001</v>
      </c>
    </row>
    <row r="6993" spans="1:14" hidden="1" x14ac:dyDescent="0.35">
      <c r="A6993" s="52" t="s">
        <v>737</v>
      </c>
      <c r="B6993" s="52" t="s">
        <v>34</v>
      </c>
      <c r="C6993" s="52" t="s">
        <v>230</v>
      </c>
      <c r="D6993" s="52" t="s">
        <v>230</v>
      </c>
      <c r="E6993" s="52" t="s">
        <v>699</v>
      </c>
      <c r="F6993" s="52" t="s">
        <v>26</v>
      </c>
      <c r="G6993" s="55" t="s">
        <v>279</v>
      </c>
      <c r="H6993" s="55">
        <v>1.790883</v>
      </c>
      <c r="I6993" s="55">
        <v>2.004203</v>
      </c>
      <c r="J6993" s="55">
        <v>1.9316819999999999</v>
      </c>
      <c r="K6993" s="55">
        <v>1.7205569999999999</v>
      </c>
      <c r="L6993" s="55">
        <v>1.5101089999999999</v>
      </c>
      <c r="M6993" s="55">
        <v>1.364581</v>
      </c>
      <c r="N6993" s="55">
        <v>1.1625810000000001</v>
      </c>
    </row>
    <row r="6994" spans="1:14" hidden="1" x14ac:dyDescent="0.35">
      <c r="A6994" s="52" t="s">
        <v>737</v>
      </c>
      <c r="B6994" s="52" t="s">
        <v>34</v>
      </c>
      <c r="C6994" s="52" t="s">
        <v>380</v>
      </c>
      <c r="D6994" s="52" t="s">
        <v>380</v>
      </c>
      <c r="E6994" s="52" t="s">
        <v>584</v>
      </c>
      <c r="F6994" s="52" t="s">
        <v>26</v>
      </c>
      <c r="G6994" s="55" t="s">
        <v>275</v>
      </c>
      <c r="H6994" s="55"/>
      <c r="I6994" s="55"/>
      <c r="J6994" s="55">
        <v>0</v>
      </c>
      <c r="K6994" s="55">
        <v>0</v>
      </c>
      <c r="L6994" s="55">
        <v>0</v>
      </c>
      <c r="M6994" s="55">
        <v>0</v>
      </c>
      <c r="N6994" s="55">
        <v>0</v>
      </c>
    </row>
    <row r="6995" spans="1:14" hidden="1" x14ac:dyDescent="0.35">
      <c r="A6995" s="52" t="s">
        <v>737</v>
      </c>
      <c r="B6995" s="52" t="s">
        <v>34</v>
      </c>
      <c r="C6995" s="52" t="s">
        <v>380</v>
      </c>
      <c r="D6995" s="52" t="s">
        <v>380</v>
      </c>
      <c r="E6995" s="52" t="s">
        <v>584</v>
      </c>
      <c r="F6995" s="52" t="s">
        <v>26</v>
      </c>
      <c r="G6995" s="55" t="s">
        <v>277</v>
      </c>
      <c r="H6995" s="55"/>
      <c r="I6995" s="55"/>
      <c r="J6995" s="55"/>
      <c r="K6995" s="55"/>
      <c r="L6995" s="55"/>
      <c r="M6995" s="55"/>
      <c r="N6995" s="55">
        <v>0</v>
      </c>
    </row>
    <row r="6996" spans="1:14" hidden="1" x14ac:dyDescent="0.35">
      <c r="A6996" s="52" t="s">
        <v>737</v>
      </c>
      <c r="B6996" s="52" t="s">
        <v>34</v>
      </c>
      <c r="C6996" s="52" t="s">
        <v>380</v>
      </c>
      <c r="D6996" s="52" t="s">
        <v>380</v>
      </c>
      <c r="E6996" s="52" t="s">
        <v>584</v>
      </c>
      <c r="F6996" s="52" t="s">
        <v>26</v>
      </c>
      <c r="G6996" s="55" t="s">
        <v>278</v>
      </c>
      <c r="H6996" s="55"/>
      <c r="I6996" s="55"/>
      <c r="J6996" s="55">
        <v>0</v>
      </c>
      <c r="K6996" s="55">
        <v>0</v>
      </c>
      <c r="L6996" s="55">
        <v>0</v>
      </c>
      <c r="M6996" s="55">
        <v>0</v>
      </c>
      <c r="N6996" s="55">
        <v>0</v>
      </c>
    </row>
    <row r="6997" spans="1:14" hidden="1" x14ac:dyDescent="0.35">
      <c r="A6997" s="52" t="s">
        <v>737</v>
      </c>
      <c r="B6997" s="52" t="s">
        <v>37</v>
      </c>
      <c r="C6997" s="52" t="s">
        <v>79</v>
      </c>
      <c r="D6997" s="52" t="s">
        <v>79</v>
      </c>
      <c r="E6997" s="52" t="s">
        <v>600</v>
      </c>
      <c r="F6997" s="52" t="s">
        <v>581</v>
      </c>
      <c r="G6997" s="55" t="s">
        <v>275</v>
      </c>
      <c r="H6997" s="55">
        <v>142.74639999999999</v>
      </c>
      <c r="I6997" s="55">
        <v>61.13091</v>
      </c>
      <c r="J6997" s="55">
        <v>86.88373</v>
      </c>
      <c r="K6997" s="55">
        <v>77.040049999999994</v>
      </c>
      <c r="L6997" s="55">
        <v>64.0779</v>
      </c>
      <c r="M6997" s="55">
        <v>43.691139999999997</v>
      </c>
      <c r="N6997" s="55">
        <v>36.679699999999997</v>
      </c>
    </row>
    <row r="6998" spans="1:14" hidden="1" x14ac:dyDescent="0.35">
      <c r="A6998" s="52" t="s">
        <v>737</v>
      </c>
      <c r="B6998" s="52" t="s">
        <v>37</v>
      </c>
      <c r="C6998" s="52" t="s">
        <v>79</v>
      </c>
      <c r="D6998" s="52" t="s">
        <v>79</v>
      </c>
      <c r="E6998" s="52" t="s">
        <v>600</v>
      </c>
      <c r="F6998" s="52" t="s">
        <v>581</v>
      </c>
      <c r="G6998" s="55" t="s">
        <v>276</v>
      </c>
      <c r="H6998" s="55">
        <v>15.86182</v>
      </c>
      <c r="I6998" s="55">
        <v>1.026354</v>
      </c>
      <c r="J6998" s="55">
        <v>-0.968503</v>
      </c>
      <c r="K6998" s="55">
        <v>0.2259709</v>
      </c>
      <c r="L6998" s="55">
        <v>2.5895589999999999</v>
      </c>
      <c r="M6998" s="55">
        <v>8.548349</v>
      </c>
      <c r="N6998" s="55">
        <v>10.27407</v>
      </c>
    </row>
    <row r="6999" spans="1:14" hidden="1" x14ac:dyDescent="0.35">
      <c r="A6999" s="52" t="s">
        <v>737</v>
      </c>
      <c r="B6999" s="52" t="s">
        <v>37</v>
      </c>
      <c r="C6999" s="52" t="s">
        <v>79</v>
      </c>
      <c r="D6999" s="52" t="s">
        <v>79</v>
      </c>
      <c r="E6999" s="52" t="s">
        <v>600</v>
      </c>
      <c r="F6999" s="52" t="s">
        <v>581</v>
      </c>
      <c r="G6999" s="55" t="s">
        <v>277</v>
      </c>
      <c r="H6999" s="55">
        <v>134.07</v>
      </c>
      <c r="I6999" s="55">
        <v>46.851559999999999</v>
      </c>
      <c r="J6999" s="55">
        <v>18.12903</v>
      </c>
      <c r="K6999" s="55">
        <v>8.7587259999999993</v>
      </c>
      <c r="L6999" s="55">
        <v>10.61631</v>
      </c>
      <c r="M6999" s="55">
        <v>12.419420000000001</v>
      </c>
      <c r="N6999" s="55">
        <v>13.91037</v>
      </c>
    </row>
    <row r="7000" spans="1:14" hidden="1" x14ac:dyDescent="0.35">
      <c r="A7000" s="52" t="s">
        <v>737</v>
      </c>
      <c r="B7000" s="52" t="s">
        <v>37</v>
      </c>
      <c r="C7000" s="52" t="s">
        <v>79</v>
      </c>
      <c r="D7000" s="52" t="s">
        <v>79</v>
      </c>
      <c r="E7000" s="52" t="s">
        <v>600</v>
      </c>
      <c r="F7000" s="52" t="s">
        <v>581</v>
      </c>
      <c r="G7000" s="55" t="s">
        <v>278</v>
      </c>
      <c r="H7000" s="55"/>
      <c r="I7000" s="55">
        <v>0</v>
      </c>
      <c r="J7000" s="55">
        <v>1.466874</v>
      </c>
      <c r="K7000" s="55">
        <v>0.77999200000000002</v>
      </c>
      <c r="L7000" s="55">
        <v>0.13640830000000001</v>
      </c>
      <c r="M7000" s="55">
        <v>0</v>
      </c>
      <c r="N7000" s="55"/>
    </row>
    <row r="7001" spans="1:14" hidden="1" x14ac:dyDescent="0.35">
      <c r="A7001" s="52" t="s">
        <v>737</v>
      </c>
      <c r="B7001" s="52" t="s">
        <v>37</v>
      </c>
      <c r="C7001" s="52" t="s">
        <v>79</v>
      </c>
      <c r="D7001" s="52" t="s">
        <v>79</v>
      </c>
      <c r="E7001" s="52" t="s">
        <v>600</v>
      </c>
      <c r="F7001" s="52" t="s">
        <v>581</v>
      </c>
      <c r="G7001" s="55" t="s">
        <v>279</v>
      </c>
      <c r="H7001" s="55">
        <v>111.378</v>
      </c>
      <c r="I7001" s="55">
        <v>81.153919999999999</v>
      </c>
      <c r="J7001" s="55">
        <v>73.554310000000001</v>
      </c>
      <c r="K7001" s="55">
        <v>62.956580000000002</v>
      </c>
      <c r="L7001" s="55">
        <v>51.505240000000001</v>
      </c>
      <c r="M7001" s="55">
        <v>53.797600000000003</v>
      </c>
      <c r="N7001" s="55">
        <v>50.418410000000002</v>
      </c>
    </row>
    <row r="7002" spans="1:14" hidden="1" x14ac:dyDescent="0.35">
      <c r="A7002" s="52" t="s">
        <v>737</v>
      </c>
      <c r="B7002" s="52" t="s">
        <v>37</v>
      </c>
      <c r="C7002" s="52" t="s">
        <v>79</v>
      </c>
      <c r="D7002" s="52" t="s">
        <v>79</v>
      </c>
      <c r="E7002" s="52" t="s">
        <v>600</v>
      </c>
      <c r="F7002" s="52" t="s">
        <v>26</v>
      </c>
      <c r="G7002" s="55" t="s">
        <v>275</v>
      </c>
      <c r="H7002" s="55">
        <v>5.148765</v>
      </c>
      <c r="I7002" s="55">
        <v>3.5350389999999998</v>
      </c>
      <c r="J7002" s="55">
        <v>4.8360960000000004</v>
      </c>
      <c r="K7002" s="55">
        <v>3.5603400000000001</v>
      </c>
      <c r="L7002" s="55">
        <v>3.4822030000000002</v>
      </c>
      <c r="M7002" s="55">
        <v>1.8411900000000001</v>
      </c>
      <c r="N7002" s="55">
        <v>1.723776</v>
      </c>
    </row>
    <row r="7003" spans="1:14" hidden="1" x14ac:dyDescent="0.35">
      <c r="A7003" s="52" t="s">
        <v>737</v>
      </c>
      <c r="B7003" s="52" t="s">
        <v>37</v>
      </c>
      <c r="C7003" s="52" t="s">
        <v>79</v>
      </c>
      <c r="D7003" s="52" t="s">
        <v>79</v>
      </c>
      <c r="E7003" s="52" t="s">
        <v>600</v>
      </c>
      <c r="F7003" s="52" t="s">
        <v>26</v>
      </c>
      <c r="G7003" s="55" t="s">
        <v>276</v>
      </c>
      <c r="H7003" s="55">
        <v>1.492575</v>
      </c>
      <c r="I7003" s="55">
        <v>1.024772</v>
      </c>
      <c r="J7003" s="55">
        <v>1.4019349999999999</v>
      </c>
      <c r="K7003" s="55">
        <v>1.032108</v>
      </c>
      <c r="L7003" s="55">
        <v>1.009455</v>
      </c>
      <c r="M7003" s="55">
        <v>0.53374109999999997</v>
      </c>
      <c r="N7003" s="55">
        <v>0.49970510000000001</v>
      </c>
    </row>
    <row r="7004" spans="1:14" hidden="1" x14ac:dyDescent="0.35">
      <c r="A7004" s="52" t="s">
        <v>737</v>
      </c>
      <c r="B7004" s="52" t="s">
        <v>37</v>
      </c>
      <c r="C7004" s="52" t="s">
        <v>79</v>
      </c>
      <c r="D7004" s="52" t="s">
        <v>79</v>
      </c>
      <c r="E7004" s="52" t="s">
        <v>600</v>
      </c>
      <c r="F7004" s="52" t="s">
        <v>26</v>
      </c>
      <c r="G7004" s="55" t="s">
        <v>279</v>
      </c>
      <c r="H7004" s="55">
        <v>27.91433</v>
      </c>
      <c r="I7004" s="55">
        <v>23.25573</v>
      </c>
      <c r="J7004" s="55">
        <v>21.335339999999999</v>
      </c>
      <c r="K7004" s="55">
        <v>18.40333</v>
      </c>
      <c r="L7004" s="55">
        <v>15.24874</v>
      </c>
      <c r="M7004" s="55">
        <v>15.72106</v>
      </c>
      <c r="N7004" s="55">
        <v>14.724600000000001</v>
      </c>
    </row>
    <row r="7005" spans="1:14" hidden="1" x14ac:dyDescent="0.35">
      <c r="A7005" s="52" t="s">
        <v>737</v>
      </c>
      <c r="B7005" s="52" t="s">
        <v>37</v>
      </c>
      <c r="C7005" s="52" t="s">
        <v>79</v>
      </c>
      <c r="D7005" s="52" t="s">
        <v>79</v>
      </c>
      <c r="E7005" s="52" t="s">
        <v>584</v>
      </c>
      <c r="F7005" s="52" t="s">
        <v>581</v>
      </c>
      <c r="G7005" s="55" t="s">
        <v>275</v>
      </c>
      <c r="H7005" s="55">
        <v>0.32111499999999998</v>
      </c>
      <c r="I7005" s="55">
        <v>9.4913590000000006E-2</v>
      </c>
      <c r="J7005" s="55">
        <v>8.9044300000000007E-2</v>
      </c>
      <c r="K7005" s="55">
        <v>7.5278999999999999E-2</v>
      </c>
      <c r="L7005" s="55">
        <v>6.3260300000000005E-2</v>
      </c>
      <c r="M7005" s="55">
        <v>5.7657600000000003E-2</v>
      </c>
      <c r="N7005" s="55">
        <v>5.3015100000000003E-2</v>
      </c>
    </row>
    <row r="7006" spans="1:14" hidden="1" x14ac:dyDescent="0.35">
      <c r="A7006" s="52" t="s">
        <v>737</v>
      </c>
      <c r="B7006" s="52" t="s">
        <v>37</v>
      </c>
      <c r="C7006" s="52" t="s">
        <v>79</v>
      </c>
      <c r="D7006" s="52" t="s">
        <v>79</v>
      </c>
      <c r="E7006" s="52" t="s">
        <v>584</v>
      </c>
      <c r="F7006" s="52" t="s">
        <v>581</v>
      </c>
      <c r="G7006" s="55" t="s">
        <v>276</v>
      </c>
      <c r="H7006" s="55">
        <v>8.5359000000000004E-2</v>
      </c>
      <c r="I7006" s="55">
        <v>2.5231099999999999E-2</v>
      </c>
      <c r="J7006" s="55">
        <v>2.3670299999999998E-2</v>
      </c>
      <c r="K7006" s="55">
        <v>2.0010799999999999E-2</v>
      </c>
      <c r="L7006" s="55">
        <v>1.6816899999999999E-2</v>
      </c>
      <c r="M7006" s="55">
        <v>1.53274E-2</v>
      </c>
      <c r="N7006" s="55">
        <v>1.40932E-2</v>
      </c>
    </row>
    <row r="7007" spans="1:14" hidden="1" x14ac:dyDescent="0.35">
      <c r="A7007" s="52" t="s">
        <v>737</v>
      </c>
      <c r="B7007" s="52" t="s">
        <v>37</v>
      </c>
      <c r="C7007" s="52" t="s">
        <v>79</v>
      </c>
      <c r="D7007" s="52" t="s">
        <v>79</v>
      </c>
      <c r="E7007" s="52" t="s">
        <v>584</v>
      </c>
      <c r="F7007" s="52" t="s">
        <v>581</v>
      </c>
      <c r="G7007" s="55" t="s">
        <v>279</v>
      </c>
      <c r="H7007" s="55">
        <v>0.22398899999999999</v>
      </c>
      <c r="I7007" s="55">
        <v>0.16260269999999999</v>
      </c>
      <c r="J7007" s="55">
        <v>0.1539112</v>
      </c>
      <c r="K7007" s="55">
        <v>0.16152649999999999</v>
      </c>
      <c r="L7007" s="55">
        <v>0.1657198</v>
      </c>
      <c r="M7007" s="55">
        <v>0.1576813</v>
      </c>
      <c r="N7007" s="55">
        <v>0.15082789999999999</v>
      </c>
    </row>
    <row r="7008" spans="1:14" hidden="1" x14ac:dyDescent="0.35">
      <c r="A7008" s="52" t="s">
        <v>737</v>
      </c>
      <c r="B7008" s="52" t="s">
        <v>37</v>
      </c>
      <c r="C7008" s="52" t="s">
        <v>79</v>
      </c>
      <c r="D7008" s="52" t="s">
        <v>79</v>
      </c>
      <c r="E7008" s="52" t="s">
        <v>584</v>
      </c>
      <c r="F7008" s="52" t="s">
        <v>26</v>
      </c>
      <c r="G7008" s="55" t="s">
        <v>275</v>
      </c>
      <c r="H7008" s="55">
        <v>2.0311400000000002</v>
      </c>
      <c r="I7008" s="55">
        <v>1.596125</v>
      </c>
      <c r="J7008" s="55">
        <v>-0.45300170000000001</v>
      </c>
      <c r="K7008" s="55">
        <v>-0.69946790000000003</v>
      </c>
      <c r="L7008" s="55">
        <v>-1.2718</v>
      </c>
      <c r="M7008" s="55">
        <v>-1.2717989999999999</v>
      </c>
      <c r="N7008" s="55">
        <v>-1.134698</v>
      </c>
    </row>
    <row r="7009" spans="1:14" hidden="1" x14ac:dyDescent="0.35">
      <c r="A7009" s="52" t="s">
        <v>737</v>
      </c>
      <c r="B7009" s="52" t="s">
        <v>37</v>
      </c>
      <c r="C7009" s="52" t="s">
        <v>79</v>
      </c>
      <c r="D7009" s="52" t="s">
        <v>79</v>
      </c>
      <c r="E7009" s="52" t="s">
        <v>584</v>
      </c>
      <c r="F7009" s="52" t="s">
        <v>26</v>
      </c>
      <c r="G7009" s="55" t="s">
        <v>276</v>
      </c>
      <c r="H7009" s="55">
        <v>-0.338918</v>
      </c>
      <c r="I7009" s="55">
        <v>-0.20500380000000001</v>
      </c>
      <c r="J7009" s="55">
        <v>-0.1336397</v>
      </c>
      <c r="K7009" s="55">
        <v>-0.31666709999999998</v>
      </c>
      <c r="L7009" s="55">
        <v>4.16078E-2</v>
      </c>
      <c r="M7009" s="55">
        <v>-2.02805E-2</v>
      </c>
      <c r="N7009" s="55">
        <v>-0.2195117</v>
      </c>
    </row>
    <row r="7010" spans="1:14" hidden="1" x14ac:dyDescent="0.35">
      <c r="A7010" s="52" t="s">
        <v>737</v>
      </c>
      <c r="B7010" s="52" t="s">
        <v>37</v>
      </c>
      <c r="C7010" s="52" t="s">
        <v>79</v>
      </c>
      <c r="D7010" s="52" t="s">
        <v>79</v>
      </c>
      <c r="E7010" s="52" t="s">
        <v>584</v>
      </c>
      <c r="F7010" s="52" t="s">
        <v>26</v>
      </c>
      <c r="G7010" s="55" t="s">
        <v>277</v>
      </c>
      <c r="H7010" s="55">
        <v>0</v>
      </c>
      <c r="I7010" s="55">
        <v>0</v>
      </c>
      <c r="J7010" s="55">
        <v>2.1413139999999999</v>
      </c>
      <c r="K7010" s="55">
        <v>2.4834610000000001</v>
      </c>
      <c r="L7010" s="55">
        <v>2.624708</v>
      </c>
      <c r="M7010" s="55">
        <v>2.6907649999999999</v>
      </c>
      <c r="N7010" s="55">
        <v>2.758483</v>
      </c>
    </row>
    <row r="7011" spans="1:14" hidden="1" x14ac:dyDescent="0.35">
      <c r="A7011" s="52" t="s">
        <v>737</v>
      </c>
      <c r="B7011" s="52" t="s">
        <v>37</v>
      </c>
      <c r="C7011" s="52" t="s">
        <v>79</v>
      </c>
      <c r="D7011" s="52" t="s">
        <v>79</v>
      </c>
      <c r="E7011" s="52" t="s">
        <v>584</v>
      </c>
      <c r="F7011" s="52" t="s">
        <v>26</v>
      </c>
      <c r="G7011" s="55" t="s">
        <v>279</v>
      </c>
      <c r="H7011" s="55">
        <v>1.795099</v>
      </c>
      <c r="I7011" s="55">
        <v>1.5427930000000001</v>
      </c>
      <c r="J7011" s="55">
        <v>1.530859</v>
      </c>
      <c r="K7011" s="55">
        <v>1.6465019999999999</v>
      </c>
      <c r="L7011" s="55">
        <v>1.7415940000000001</v>
      </c>
      <c r="M7011" s="55">
        <v>1.7381599999999999</v>
      </c>
      <c r="N7011" s="55">
        <v>1.73899</v>
      </c>
    </row>
    <row r="7012" spans="1:14" hidden="1" x14ac:dyDescent="0.35">
      <c r="A7012" s="52" t="s">
        <v>690</v>
      </c>
      <c r="B7012" s="52" t="s">
        <v>37</v>
      </c>
      <c r="C7012" s="52" t="s">
        <v>118</v>
      </c>
      <c r="D7012" s="52" t="s">
        <v>118</v>
      </c>
      <c r="E7012" s="52" t="s">
        <v>584</v>
      </c>
      <c r="F7012" s="52" t="s">
        <v>581</v>
      </c>
      <c r="G7012" s="55" t="s">
        <v>275</v>
      </c>
      <c r="H7012" s="55">
        <v>48.241680000000002</v>
      </c>
      <c r="I7012" s="55">
        <v>23.201779999999999</v>
      </c>
      <c r="J7012" s="55">
        <v>23.834589999999999</v>
      </c>
      <c r="K7012" s="55">
        <v>22.944649999999999</v>
      </c>
      <c r="L7012" s="55">
        <v>22.249269999999999</v>
      </c>
      <c r="M7012" s="55">
        <v>22.049029999999998</v>
      </c>
      <c r="N7012" s="55">
        <v>22.337820000000001</v>
      </c>
    </row>
    <row r="7013" spans="1:14" hidden="1" x14ac:dyDescent="0.35">
      <c r="A7013" s="52" t="s">
        <v>690</v>
      </c>
      <c r="B7013" s="52" t="s">
        <v>37</v>
      </c>
      <c r="C7013" s="52" t="s">
        <v>118</v>
      </c>
      <c r="D7013" s="52" t="s">
        <v>118</v>
      </c>
      <c r="E7013" s="52" t="s">
        <v>584</v>
      </c>
      <c r="F7013" s="52" t="s">
        <v>581</v>
      </c>
      <c r="G7013" s="55" t="s">
        <v>276</v>
      </c>
      <c r="H7013" s="55">
        <v>12.82375</v>
      </c>
      <c r="I7013" s="55">
        <v>6.1675789999999999</v>
      </c>
      <c r="J7013" s="55">
        <v>6.3357599999999996</v>
      </c>
      <c r="K7013" s="55">
        <v>6.0992170000000003</v>
      </c>
      <c r="L7013" s="55">
        <v>5.914371</v>
      </c>
      <c r="M7013" s="55">
        <v>5.8611339999999998</v>
      </c>
      <c r="N7013" s="55">
        <v>5.9379030000000004</v>
      </c>
    </row>
    <row r="7014" spans="1:14" hidden="1" x14ac:dyDescent="0.35">
      <c r="A7014" s="52" t="s">
        <v>690</v>
      </c>
      <c r="B7014" s="52" t="s">
        <v>37</v>
      </c>
      <c r="C7014" s="52" t="s">
        <v>118</v>
      </c>
      <c r="D7014" s="52" t="s">
        <v>118</v>
      </c>
      <c r="E7014" s="52" t="s">
        <v>584</v>
      </c>
      <c r="F7014" s="52" t="s">
        <v>581</v>
      </c>
      <c r="G7014" s="55" t="s">
        <v>279</v>
      </c>
      <c r="H7014" s="55">
        <v>17.20215</v>
      </c>
      <c r="I7014" s="55">
        <v>11.38311</v>
      </c>
      <c r="J7014" s="55">
        <v>11.418850000000001</v>
      </c>
      <c r="K7014" s="55">
        <v>11.248010000000001</v>
      </c>
      <c r="L7014" s="55">
        <v>10.71091</v>
      </c>
      <c r="M7014" s="55">
        <v>11.37838</v>
      </c>
      <c r="N7014" s="55">
        <v>11.45792</v>
      </c>
    </row>
    <row r="7015" spans="1:14" hidden="1" x14ac:dyDescent="0.35">
      <c r="A7015" s="52" t="s">
        <v>690</v>
      </c>
      <c r="B7015" s="52" t="s">
        <v>37</v>
      </c>
      <c r="C7015" s="52" t="s">
        <v>118</v>
      </c>
      <c r="D7015" s="52" t="s">
        <v>118</v>
      </c>
      <c r="E7015" s="52" t="s">
        <v>584</v>
      </c>
      <c r="F7015" s="52" t="s">
        <v>26</v>
      </c>
      <c r="G7015" s="55" t="s">
        <v>275</v>
      </c>
      <c r="H7015" s="55">
        <v>57.453620000000001</v>
      </c>
      <c r="I7015" s="55">
        <v>51.612940000000002</v>
      </c>
      <c r="J7015" s="55">
        <v>180.5812</v>
      </c>
      <c r="K7015" s="55">
        <v>176.79859999999999</v>
      </c>
      <c r="L7015" s="55">
        <v>129.6825</v>
      </c>
      <c r="M7015" s="55">
        <v>99.706569999999999</v>
      </c>
      <c r="N7015" s="55">
        <v>80.626360000000005</v>
      </c>
    </row>
    <row r="7016" spans="1:14" hidden="1" x14ac:dyDescent="0.35">
      <c r="A7016" s="52" t="s">
        <v>690</v>
      </c>
      <c r="B7016" s="52" t="s">
        <v>37</v>
      </c>
      <c r="C7016" s="52" t="s">
        <v>118</v>
      </c>
      <c r="D7016" s="52" t="s">
        <v>118</v>
      </c>
      <c r="E7016" s="52" t="s">
        <v>584</v>
      </c>
      <c r="F7016" s="52" t="s">
        <v>26</v>
      </c>
      <c r="G7016" s="55" t="s">
        <v>276</v>
      </c>
      <c r="H7016" s="55">
        <v>-22.326509999999999</v>
      </c>
      <c r="I7016" s="55">
        <v>-15.06575</v>
      </c>
      <c r="J7016" s="55">
        <v>-20.658280000000001</v>
      </c>
      <c r="K7016" s="55">
        <v>-2.0618889999999999</v>
      </c>
      <c r="L7016" s="55">
        <v>15.97777</v>
      </c>
      <c r="M7016" s="55">
        <v>18.534320000000001</v>
      </c>
      <c r="N7016" s="55">
        <v>25.981280000000002</v>
      </c>
    </row>
    <row r="7017" spans="1:14" hidden="1" x14ac:dyDescent="0.35">
      <c r="A7017" s="52" t="s">
        <v>690</v>
      </c>
      <c r="B7017" s="52" t="s">
        <v>37</v>
      </c>
      <c r="C7017" s="52" t="s">
        <v>118</v>
      </c>
      <c r="D7017" s="52" t="s">
        <v>118</v>
      </c>
      <c r="E7017" s="52" t="s">
        <v>584</v>
      </c>
      <c r="F7017" s="52" t="s">
        <v>26</v>
      </c>
      <c r="G7017" s="55" t="s">
        <v>277</v>
      </c>
      <c r="H7017" s="55">
        <v>115.90989999999999</v>
      </c>
      <c r="I7017" s="55">
        <v>73.915859999999995</v>
      </c>
      <c r="J7017" s="55">
        <v>98.305850000000007</v>
      </c>
      <c r="K7017" s="55">
        <v>66.115759999999995</v>
      </c>
      <c r="L7017" s="55">
        <v>86.014309999999995</v>
      </c>
      <c r="M7017" s="55">
        <v>100.9114</v>
      </c>
      <c r="N7017" s="55">
        <v>114.1309</v>
      </c>
    </row>
    <row r="7018" spans="1:14" hidden="1" x14ac:dyDescent="0.35">
      <c r="A7018" s="52" t="s">
        <v>690</v>
      </c>
      <c r="B7018" s="52" t="s">
        <v>37</v>
      </c>
      <c r="C7018" s="52" t="s">
        <v>118</v>
      </c>
      <c r="D7018" s="52" t="s">
        <v>118</v>
      </c>
      <c r="E7018" s="52" t="s">
        <v>584</v>
      </c>
      <c r="F7018" s="52" t="s">
        <v>26</v>
      </c>
      <c r="G7018" s="55" t="s">
        <v>278</v>
      </c>
      <c r="H7018" s="55">
        <v>117.5385</v>
      </c>
      <c r="I7018" s="55">
        <v>117.5385</v>
      </c>
      <c r="J7018" s="55">
        <v>0</v>
      </c>
      <c r="K7018" s="55"/>
      <c r="L7018" s="55"/>
      <c r="M7018" s="55"/>
      <c r="N7018" s="55"/>
    </row>
    <row r="7019" spans="1:14" hidden="1" x14ac:dyDescent="0.35">
      <c r="A7019" s="52" t="s">
        <v>690</v>
      </c>
      <c r="B7019" s="52" t="s">
        <v>37</v>
      </c>
      <c r="C7019" s="52" t="s">
        <v>118</v>
      </c>
      <c r="D7019" s="52" t="s">
        <v>118</v>
      </c>
      <c r="E7019" s="52" t="s">
        <v>584</v>
      </c>
      <c r="F7019" s="52" t="s">
        <v>26</v>
      </c>
      <c r="G7019" s="55" t="s">
        <v>279</v>
      </c>
      <c r="H7019" s="55">
        <v>260.27229999999997</v>
      </c>
      <c r="I7019" s="55">
        <v>231.3683</v>
      </c>
      <c r="J7019" s="55">
        <v>233.29750000000001</v>
      </c>
      <c r="K7019" s="55">
        <v>233.06399999999999</v>
      </c>
      <c r="L7019" s="55">
        <v>223.76390000000001</v>
      </c>
      <c r="M7019" s="55">
        <v>239.02950000000001</v>
      </c>
      <c r="N7019" s="55">
        <v>240.25040000000001</v>
      </c>
    </row>
    <row r="7020" spans="1:14" hidden="1" x14ac:dyDescent="0.35">
      <c r="A7020" s="52" t="s">
        <v>755</v>
      </c>
      <c r="B7020" s="52" t="s">
        <v>37</v>
      </c>
      <c r="C7020" s="52" t="s">
        <v>46</v>
      </c>
      <c r="D7020" s="52" t="s">
        <v>46</v>
      </c>
      <c r="E7020" s="52" t="s">
        <v>584</v>
      </c>
      <c r="F7020" s="52" t="s">
        <v>581</v>
      </c>
      <c r="G7020" s="55" t="s">
        <v>275</v>
      </c>
      <c r="H7020" s="55">
        <v>58.918660000000003</v>
      </c>
      <c r="I7020" s="55">
        <v>-10.85633</v>
      </c>
      <c r="J7020" s="55">
        <v>16.714690000000001</v>
      </c>
      <c r="K7020" s="55">
        <v>0.47539229999999999</v>
      </c>
      <c r="L7020" s="55">
        <v>9.9606340000000007</v>
      </c>
      <c r="M7020" s="55">
        <v>-8.3940219999999997</v>
      </c>
      <c r="N7020" s="55">
        <v>-6.3476800000000004</v>
      </c>
    </row>
    <row r="7021" spans="1:14" hidden="1" x14ac:dyDescent="0.35">
      <c r="A7021" s="52" t="s">
        <v>755</v>
      </c>
      <c r="B7021" s="52" t="s">
        <v>37</v>
      </c>
      <c r="C7021" s="52" t="s">
        <v>46</v>
      </c>
      <c r="D7021" s="52" t="s">
        <v>46</v>
      </c>
      <c r="E7021" s="52" t="s">
        <v>584</v>
      </c>
      <c r="F7021" s="52" t="s">
        <v>581</v>
      </c>
      <c r="G7021" s="55" t="s">
        <v>276</v>
      </c>
      <c r="H7021" s="55">
        <v>22.474080000000001</v>
      </c>
      <c r="I7021" s="55">
        <v>-10.653460000000001</v>
      </c>
      <c r="J7021" s="55">
        <v>-6.9958939999999998</v>
      </c>
      <c r="K7021" s="55">
        <v>1.514459</v>
      </c>
      <c r="L7021" s="55">
        <v>-4.5283620000000004</v>
      </c>
      <c r="M7021" s="55">
        <v>-2.5982020000000001</v>
      </c>
      <c r="N7021" s="55">
        <v>-1.7816810000000001</v>
      </c>
    </row>
    <row r="7022" spans="1:14" hidden="1" x14ac:dyDescent="0.35">
      <c r="A7022" s="52" t="s">
        <v>755</v>
      </c>
      <c r="B7022" s="52" t="s">
        <v>37</v>
      </c>
      <c r="C7022" s="52" t="s">
        <v>46</v>
      </c>
      <c r="D7022" s="52" t="s">
        <v>46</v>
      </c>
      <c r="E7022" s="52" t="s">
        <v>584</v>
      </c>
      <c r="F7022" s="52" t="s">
        <v>581</v>
      </c>
      <c r="G7022" s="55" t="s">
        <v>277</v>
      </c>
      <c r="H7022" s="55">
        <v>100.62690000000001</v>
      </c>
      <c r="I7022" s="55">
        <v>35</v>
      </c>
      <c r="J7022" s="55">
        <v>18.745149999999999</v>
      </c>
      <c r="K7022" s="55">
        <v>28.80003</v>
      </c>
      <c r="L7022" s="55">
        <v>31.082149999999999</v>
      </c>
      <c r="M7022" s="55">
        <v>29.418610000000001</v>
      </c>
      <c r="N7022" s="55">
        <v>23.697240000000001</v>
      </c>
    </row>
    <row r="7023" spans="1:14" hidden="1" x14ac:dyDescent="0.35">
      <c r="A7023" s="52" t="s">
        <v>755</v>
      </c>
      <c r="B7023" s="52" t="s">
        <v>37</v>
      </c>
      <c r="C7023" s="52" t="s">
        <v>46</v>
      </c>
      <c r="D7023" s="52" t="s">
        <v>46</v>
      </c>
      <c r="E7023" s="52" t="s">
        <v>584</v>
      </c>
      <c r="F7023" s="52" t="s">
        <v>581</v>
      </c>
      <c r="G7023" s="55" t="s">
        <v>278</v>
      </c>
      <c r="H7023" s="55">
        <v>0.130494</v>
      </c>
      <c r="I7023" s="55">
        <v>0</v>
      </c>
      <c r="J7023" s="55"/>
      <c r="K7023" s="55"/>
      <c r="L7023" s="55"/>
      <c r="M7023" s="55"/>
      <c r="N7023" s="55"/>
    </row>
    <row r="7024" spans="1:14" hidden="1" x14ac:dyDescent="0.35">
      <c r="A7024" s="52" t="s">
        <v>755</v>
      </c>
      <c r="B7024" s="52" t="s">
        <v>37</v>
      </c>
      <c r="C7024" s="52" t="s">
        <v>46</v>
      </c>
      <c r="D7024" s="52" t="s">
        <v>46</v>
      </c>
      <c r="E7024" s="52" t="s">
        <v>584</v>
      </c>
      <c r="F7024" s="52" t="s">
        <v>581</v>
      </c>
      <c r="G7024" s="55" t="s">
        <v>279</v>
      </c>
      <c r="H7024" s="55">
        <v>230.90100000000001</v>
      </c>
      <c r="I7024" s="55">
        <v>155.38120000000001</v>
      </c>
      <c r="J7024" s="55">
        <v>141.2619</v>
      </c>
      <c r="K7024" s="55">
        <v>139.13509999999999</v>
      </c>
      <c r="L7024" s="55">
        <v>125.3545</v>
      </c>
      <c r="M7024" s="55">
        <v>131.9751</v>
      </c>
      <c r="N7024" s="55">
        <v>120.15560000000001</v>
      </c>
    </row>
    <row r="7025" spans="1:14" hidden="1" x14ac:dyDescent="0.35">
      <c r="A7025" s="52" t="s">
        <v>755</v>
      </c>
      <c r="B7025" s="52" t="s">
        <v>37</v>
      </c>
      <c r="C7025" s="52" t="s">
        <v>46</v>
      </c>
      <c r="D7025" s="52" t="s">
        <v>46</v>
      </c>
      <c r="E7025" s="52" t="s">
        <v>584</v>
      </c>
      <c r="F7025" s="52" t="s">
        <v>26</v>
      </c>
      <c r="G7025" s="55" t="s">
        <v>275</v>
      </c>
      <c r="H7025" s="55">
        <v>-1.4287730000000001</v>
      </c>
      <c r="I7025" s="55">
        <v>-7.6091400000000003E-2</v>
      </c>
      <c r="J7025" s="55">
        <v>-6.3613199999999995E-2</v>
      </c>
      <c r="K7025" s="55">
        <v>-6.1956299999999999E-2</v>
      </c>
      <c r="L7025" s="55">
        <v>-5.3963400000000002E-2</v>
      </c>
      <c r="M7025" s="55">
        <v>-6.1104899999999997E-2</v>
      </c>
      <c r="N7025" s="55">
        <v>-5.6215500000000002E-2</v>
      </c>
    </row>
    <row r="7026" spans="1:14" hidden="1" x14ac:dyDescent="0.35">
      <c r="A7026" s="52" t="s">
        <v>755</v>
      </c>
      <c r="B7026" s="52" t="s">
        <v>37</v>
      </c>
      <c r="C7026" s="52" t="s">
        <v>46</v>
      </c>
      <c r="D7026" s="52" t="s">
        <v>46</v>
      </c>
      <c r="E7026" s="52" t="s">
        <v>584</v>
      </c>
      <c r="F7026" s="52" t="s">
        <v>26</v>
      </c>
      <c r="G7026" s="55" t="s">
        <v>276</v>
      </c>
      <c r="H7026" s="55">
        <v>-0.379801</v>
      </c>
      <c r="I7026" s="55">
        <v>-2.02279E-2</v>
      </c>
      <c r="J7026" s="55">
        <v>-1.6909799999999999E-2</v>
      </c>
      <c r="K7026" s="55">
        <v>-1.6469999999999999E-2</v>
      </c>
      <c r="L7026" s="55">
        <v>-1.4344300000000001E-2</v>
      </c>
      <c r="M7026" s="55">
        <v>-1.6243199999999999E-2</v>
      </c>
      <c r="N7026" s="55">
        <v>-1.49433E-2</v>
      </c>
    </row>
    <row r="7027" spans="1:14" hidden="1" x14ac:dyDescent="0.35">
      <c r="A7027" s="52" t="s">
        <v>755</v>
      </c>
      <c r="B7027" s="52" t="s">
        <v>37</v>
      </c>
      <c r="C7027" s="52" t="s">
        <v>46</v>
      </c>
      <c r="D7027" s="52" t="s">
        <v>46</v>
      </c>
      <c r="E7027" s="52" t="s">
        <v>584</v>
      </c>
      <c r="F7027" s="52" t="s">
        <v>26</v>
      </c>
      <c r="G7027" s="55" t="s">
        <v>279</v>
      </c>
      <c r="H7027" s="55">
        <v>2.9069980000000002</v>
      </c>
      <c r="I7027" s="55">
        <v>0.13977529999999999</v>
      </c>
      <c r="J7027" s="55">
        <v>0.12218710000000001</v>
      </c>
      <c r="K7027" s="55">
        <v>0.11686829999999999</v>
      </c>
      <c r="L7027" s="55">
        <v>0.1037951</v>
      </c>
      <c r="M7027" s="55">
        <v>0.1101722</v>
      </c>
      <c r="N7027" s="55">
        <v>0.10133499999999999</v>
      </c>
    </row>
    <row r="7028" spans="1:14" hidden="1" x14ac:dyDescent="0.35">
      <c r="A7028" s="52" t="s">
        <v>755</v>
      </c>
      <c r="B7028" s="52" t="s">
        <v>37</v>
      </c>
      <c r="C7028" s="52" t="s">
        <v>51</v>
      </c>
      <c r="D7028" s="52" t="s">
        <v>51</v>
      </c>
      <c r="E7028" s="52" t="s">
        <v>584</v>
      </c>
      <c r="F7028" s="52" t="s">
        <v>581</v>
      </c>
      <c r="G7028" s="55" t="s">
        <v>275</v>
      </c>
      <c r="H7028" s="55">
        <v>64.155249999999995</v>
      </c>
      <c r="I7028" s="55">
        <v>-13.421049999999999</v>
      </c>
      <c r="J7028" s="55">
        <v>-63.953299999999999</v>
      </c>
      <c r="K7028" s="55">
        <v>-41.030610000000003</v>
      </c>
      <c r="L7028" s="55">
        <v>-43.268689999999999</v>
      </c>
      <c r="M7028" s="55">
        <v>-69.832040000000006</v>
      </c>
      <c r="N7028" s="55">
        <v>-208.24610000000001</v>
      </c>
    </row>
    <row r="7029" spans="1:14" hidden="1" x14ac:dyDescent="0.35">
      <c r="A7029" s="52" t="s">
        <v>755</v>
      </c>
      <c r="B7029" s="52" t="s">
        <v>37</v>
      </c>
      <c r="C7029" s="52" t="s">
        <v>51</v>
      </c>
      <c r="D7029" s="52" t="s">
        <v>51</v>
      </c>
      <c r="E7029" s="52" t="s">
        <v>584</v>
      </c>
      <c r="F7029" s="52" t="s">
        <v>581</v>
      </c>
      <c r="G7029" s="55" t="s">
        <v>276</v>
      </c>
      <c r="H7029" s="55">
        <v>19.870989999999999</v>
      </c>
      <c r="I7029" s="55">
        <v>-4.4925199999999998</v>
      </c>
      <c r="J7029" s="55">
        <v>-7.7220139999999997</v>
      </c>
      <c r="K7029" s="55">
        <v>-15.57128</v>
      </c>
      <c r="L7029" s="55">
        <v>-13.954829999999999</v>
      </c>
      <c r="M7029" s="55">
        <v>-13.295719999999999</v>
      </c>
      <c r="N7029" s="55">
        <v>-53.467820000000003</v>
      </c>
    </row>
    <row r="7030" spans="1:14" hidden="1" x14ac:dyDescent="0.35">
      <c r="A7030" s="52" t="s">
        <v>755</v>
      </c>
      <c r="B7030" s="52" t="s">
        <v>37</v>
      </c>
      <c r="C7030" s="52" t="s">
        <v>51</v>
      </c>
      <c r="D7030" s="52" t="s">
        <v>51</v>
      </c>
      <c r="E7030" s="52" t="s">
        <v>584</v>
      </c>
      <c r="F7030" s="52" t="s">
        <v>581</v>
      </c>
      <c r="G7030" s="55" t="s">
        <v>277</v>
      </c>
      <c r="H7030" s="55">
        <v>60.962130000000002</v>
      </c>
      <c r="I7030" s="55">
        <v>30</v>
      </c>
      <c r="J7030" s="55">
        <v>84.93253</v>
      </c>
      <c r="K7030" s="55">
        <v>58.651020000000003</v>
      </c>
      <c r="L7030" s="55">
        <v>48.836959999999998</v>
      </c>
      <c r="M7030" s="55">
        <v>70.151449999999997</v>
      </c>
      <c r="N7030" s="55">
        <v>81.71848</v>
      </c>
    </row>
    <row r="7031" spans="1:14" hidden="1" x14ac:dyDescent="0.35">
      <c r="A7031" s="52" t="s">
        <v>755</v>
      </c>
      <c r="B7031" s="52" t="s">
        <v>37</v>
      </c>
      <c r="C7031" s="52" t="s">
        <v>51</v>
      </c>
      <c r="D7031" s="52" t="s">
        <v>51</v>
      </c>
      <c r="E7031" s="52" t="s">
        <v>584</v>
      </c>
      <c r="F7031" s="52" t="s">
        <v>581</v>
      </c>
      <c r="G7031" s="55" t="s">
        <v>279</v>
      </c>
      <c r="H7031" s="55">
        <v>146.9316</v>
      </c>
      <c r="I7031" s="55">
        <v>109.7495</v>
      </c>
      <c r="J7031" s="55">
        <v>99.777079999999998</v>
      </c>
      <c r="K7031" s="55">
        <v>132.54589999999999</v>
      </c>
      <c r="L7031" s="55">
        <v>153.6628</v>
      </c>
      <c r="M7031" s="55">
        <v>178.95599999999999</v>
      </c>
      <c r="N7031" s="55">
        <v>303.42590000000001</v>
      </c>
    </row>
    <row r="7032" spans="1:14" hidden="1" x14ac:dyDescent="0.35">
      <c r="A7032" s="52" t="s">
        <v>755</v>
      </c>
      <c r="B7032" s="52" t="s">
        <v>37</v>
      </c>
      <c r="C7032" s="52" t="s">
        <v>51</v>
      </c>
      <c r="D7032" s="52" t="s">
        <v>51</v>
      </c>
      <c r="E7032" s="52" t="s">
        <v>584</v>
      </c>
      <c r="F7032" s="52" t="s">
        <v>26</v>
      </c>
      <c r="G7032" s="55" t="s">
        <v>275</v>
      </c>
      <c r="H7032" s="55">
        <v>-1.042737</v>
      </c>
      <c r="I7032" s="55">
        <v>-0.626139</v>
      </c>
      <c r="J7032" s="55">
        <v>-0.38531149999999997</v>
      </c>
      <c r="K7032" s="55">
        <v>-0.31201380000000001</v>
      </c>
      <c r="L7032" s="55">
        <v>-0.24114430000000001</v>
      </c>
      <c r="M7032" s="55">
        <v>-0.1656686</v>
      </c>
      <c r="N7032" s="55">
        <v>-2.5794619999999999</v>
      </c>
    </row>
    <row r="7033" spans="1:14" hidden="1" x14ac:dyDescent="0.35">
      <c r="A7033" s="52" t="s">
        <v>755</v>
      </c>
      <c r="B7033" s="52" t="s">
        <v>37</v>
      </c>
      <c r="C7033" s="52" t="s">
        <v>51</v>
      </c>
      <c r="D7033" s="52" t="s">
        <v>51</v>
      </c>
      <c r="E7033" s="52" t="s">
        <v>584</v>
      </c>
      <c r="F7033" s="52" t="s">
        <v>26</v>
      </c>
      <c r="G7033" s="55" t="s">
        <v>276</v>
      </c>
      <c r="H7033" s="55">
        <v>-0.27717999999999998</v>
      </c>
      <c r="I7033" s="55">
        <v>-0.16644100000000001</v>
      </c>
      <c r="J7033" s="55">
        <v>-0.10242469999999999</v>
      </c>
      <c r="K7033" s="55">
        <v>-8.2937899999999995E-2</v>
      </c>
      <c r="L7033" s="55">
        <v>-6.4103400000000005E-2</v>
      </c>
      <c r="M7033" s="55">
        <v>-4.4039200000000001E-2</v>
      </c>
      <c r="N7033" s="55">
        <v>-0.6856778</v>
      </c>
    </row>
    <row r="7034" spans="1:14" hidden="1" x14ac:dyDescent="0.35">
      <c r="A7034" s="52" t="s">
        <v>755</v>
      </c>
      <c r="B7034" s="52" t="s">
        <v>37</v>
      </c>
      <c r="C7034" s="52" t="s">
        <v>51</v>
      </c>
      <c r="D7034" s="52" t="s">
        <v>51</v>
      </c>
      <c r="E7034" s="52" t="s">
        <v>584</v>
      </c>
      <c r="F7034" s="52" t="s">
        <v>26</v>
      </c>
      <c r="G7034" s="55" t="s">
        <v>279</v>
      </c>
      <c r="H7034" s="55">
        <v>2.630598</v>
      </c>
      <c r="I7034" s="55">
        <v>1.5439309999999999</v>
      </c>
      <c r="J7034" s="55">
        <v>1.026157</v>
      </c>
      <c r="K7034" s="55">
        <v>0.76545580000000002</v>
      </c>
      <c r="L7034" s="55">
        <v>0.56000249999999996</v>
      </c>
      <c r="M7034" s="55">
        <v>0.38476680000000002</v>
      </c>
      <c r="N7034" s="55">
        <v>3.3040400000000001</v>
      </c>
    </row>
    <row r="7035" spans="1:14" hidden="1" x14ac:dyDescent="0.35">
      <c r="A7035" s="52" t="s">
        <v>755</v>
      </c>
      <c r="B7035" s="52" t="s">
        <v>37</v>
      </c>
      <c r="C7035" s="52" t="s">
        <v>79</v>
      </c>
      <c r="D7035" s="52" t="s">
        <v>79</v>
      </c>
      <c r="E7035" s="52" t="s">
        <v>584</v>
      </c>
      <c r="F7035" s="52" t="s">
        <v>581</v>
      </c>
      <c r="G7035" s="55" t="s">
        <v>275</v>
      </c>
      <c r="H7035" s="55">
        <v>96.446330000000003</v>
      </c>
      <c r="I7035" s="55">
        <v>-10.868930000000001</v>
      </c>
      <c r="J7035" s="55">
        <v>2.5937239999999999</v>
      </c>
      <c r="K7035" s="55">
        <v>17.400200000000002</v>
      </c>
      <c r="L7035" s="55">
        <v>11.3811</v>
      </c>
      <c r="M7035" s="55">
        <v>6.8851290000000001</v>
      </c>
      <c r="N7035" s="55">
        <v>4.9298450000000003</v>
      </c>
    </row>
    <row r="7036" spans="1:14" hidden="1" x14ac:dyDescent="0.35">
      <c r="A7036" s="52" t="s">
        <v>755</v>
      </c>
      <c r="B7036" s="52" t="s">
        <v>37</v>
      </c>
      <c r="C7036" s="52" t="s">
        <v>79</v>
      </c>
      <c r="D7036" s="52" t="s">
        <v>79</v>
      </c>
      <c r="E7036" s="52" t="s">
        <v>584</v>
      </c>
      <c r="F7036" s="52" t="s">
        <v>581</v>
      </c>
      <c r="G7036" s="55" t="s">
        <v>276</v>
      </c>
      <c r="H7036" s="55">
        <v>9.1684760000000001</v>
      </c>
      <c r="I7036" s="55">
        <v>-7.9716630000000004</v>
      </c>
      <c r="J7036" s="55">
        <v>-7.610671</v>
      </c>
      <c r="K7036" s="55">
        <v>-13.61145</v>
      </c>
      <c r="L7036" s="55">
        <v>-1.41185</v>
      </c>
      <c r="M7036" s="55">
        <v>-2.8419889999999999</v>
      </c>
      <c r="N7036" s="55">
        <v>-1.426172</v>
      </c>
    </row>
    <row r="7037" spans="1:14" hidden="1" x14ac:dyDescent="0.35">
      <c r="A7037" s="52" t="s">
        <v>755</v>
      </c>
      <c r="B7037" s="52" t="s">
        <v>37</v>
      </c>
      <c r="C7037" s="52" t="s">
        <v>79</v>
      </c>
      <c r="D7037" s="52" t="s">
        <v>79</v>
      </c>
      <c r="E7037" s="52" t="s">
        <v>584</v>
      </c>
      <c r="F7037" s="52" t="s">
        <v>581</v>
      </c>
      <c r="G7037" s="55" t="s">
        <v>277</v>
      </c>
      <c r="H7037" s="55">
        <v>30.336980000000001</v>
      </c>
      <c r="I7037" s="55">
        <v>33.648119999999999</v>
      </c>
      <c r="J7037" s="55">
        <v>22.176490000000001</v>
      </c>
      <c r="K7037" s="55">
        <v>9.4633640000000003</v>
      </c>
      <c r="L7037" s="55"/>
      <c r="M7037" s="55">
        <v>1.4212590000000001</v>
      </c>
      <c r="N7037" s="55"/>
    </row>
    <row r="7038" spans="1:14" hidden="1" x14ac:dyDescent="0.35">
      <c r="A7038" s="52" t="s">
        <v>755</v>
      </c>
      <c r="B7038" s="52" t="s">
        <v>37</v>
      </c>
      <c r="C7038" s="52" t="s">
        <v>79</v>
      </c>
      <c r="D7038" s="52" t="s">
        <v>79</v>
      </c>
      <c r="E7038" s="52" t="s">
        <v>584</v>
      </c>
      <c r="F7038" s="52" t="s">
        <v>581</v>
      </c>
      <c r="G7038" s="55" t="s">
        <v>278</v>
      </c>
      <c r="H7038" s="55">
        <v>0.62514800000000004</v>
      </c>
      <c r="I7038" s="55">
        <v>1.3518749999999999</v>
      </c>
      <c r="J7038" s="55">
        <v>0.85901799999999995</v>
      </c>
      <c r="K7038" s="55">
        <v>0</v>
      </c>
      <c r="L7038" s="55"/>
      <c r="M7038" s="55"/>
      <c r="N7038" s="55"/>
    </row>
    <row r="7039" spans="1:14" hidden="1" x14ac:dyDescent="0.35">
      <c r="A7039" s="52" t="s">
        <v>755</v>
      </c>
      <c r="B7039" s="52" t="s">
        <v>37</v>
      </c>
      <c r="C7039" s="52" t="s">
        <v>79</v>
      </c>
      <c r="D7039" s="52" t="s">
        <v>79</v>
      </c>
      <c r="E7039" s="52" t="s">
        <v>584</v>
      </c>
      <c r="F7039" s="52" t="s">
        <v>581</v>
      </c>
      <c r="G7039" s="55" t="s">
        <v>279</v>
      </c>
      <c r="H7039" s="55">
        <v>141.32839999999999</v>
      </c>
      <c r="I7039" s="55">
        <v>93.742739999999998</v>
      </c>
      <c r="J7039" s="55">
        <v>75.342560000000006</v>
      </c>
      <c r="K7039" s="55">
        <v>63.68092</v>
      </c>
      <c r="L7039" s="55">
        <v>49.627209999999998</v>
      </c>
      <c r="M7039" s="55">
        <v>48.653709999999997</v>
      </c>
      <c r="N7039" s="55">
        <v>42.45955</v>
      </c>
    </row>
    <row r="7040" spans="1:14" hidden="1" x14ac:dyDescent="0.35">
      <c r="A7040" s="52" t="s">
        <v>755</v>
      </c>
      <c r="B7040" s="52" t="s">
        <v>37</v>
      </c>
      <c r="C7040" s="52" t="s">
        <v>79</v>
      </c>
      <c r="D7040" s="52" t="s">
        <v>79</v>
      </c>
      <c r="E7040" s="52" t="s">
        <v>584</v>
      </c>
      <c r="F7040" s="52" t="s">
        <v>26</v>
      </c>
      <c r="G7040" s="55" t="s">
        <v>275</v>
      </c>
      <c r="H7040" s="55">
        <v>-0.85390790000000005</v>
      </c>
      <c r="I7040" s="55">
        <v>-0.71737300000000004</v>
      </c>
      <c r="J7040" s="55">
        <v>-0.64338949999999995</v>
      </c>
      <c r="K7040" s="55">
        <v>-0.70789780000000002</v>
      </c>
      <c r="L7040" s="55">
        <v>-0.74589539999999999</v>
      </c>
      <c r="M7040" s="55">
        <v>-0.69771110000000003</v>
      </c>
      <c r="N7040" s="55">
        <v>-0.65510789999999997</v>
      </c>
    </row>
    <row r="7041" spans="1:14" hidden="1" x14ac:dyDescent="0.35">
      <c r="A7041" s="52" t="s">
        <v>755</v>
      </c>
      <c r="B7041" s="52" t="s">
        <v>37</v>
      </c>
      <c r="C7041" s="52" t="s">
        <v>79</v>
      </c>
      <c r="D7041" s="52" t="s">
        <v>79</v>
      </c>
      <c r="E7041" s="52" t="s">
        <v>584</v>
      </c>
      <c r="F7041" s="52" t="s">
        <v>26</v>
      </c>
      <c r="G7041" s="55" t="s">
        <v>276</v>
      </c>
      <c r="H7041" s="55">
        <v>-0.226989</v>
      </c>
      <c r="I7041" s="55">
        <v>-0.19069459999999999</v>
      </c>
      <c r="J7041" s="55">
        <v>-0.17102709999999999</v>
      </c>
      <c r="K7041" s="55">
        <v>-0.18817519999999999</v>
      </c>
      <c r="L7041" s="55">
        <v>-0.19827629999999999</v>
      </c>
      <c r="M7041" s="55">
        <v>-0.1854671</v>
      </c>
      <c r="N7041" s="55">
        <v>-0.17414250000000001</v>
      </c>
    </row>
    <row r="7042" spans="1:14" hidden="1" x14ac:dyDescent="0.35">
      <c r="A7042" s="52" t="s">
        <v>755</v>
      </c>
      <c r="B7042" s="52" t="s">
        <v>37</v>
      </c>
      <c r="C7042" s="52" t="s">
        <v>79</v>
      </c>
      <c r="D7042" s="52" t="s">
        <v>79</v>
      </c>
      <c r="E7042" s="52" t="s">
        <v>584</v>
      </c>
      <c r="F7042" s="52" t="s">
        <v>26</v>
      </c>
      <c r="G7042" s="55" t="s">
        <v>279</v>
      </c>
      <c r="H7042" s="55">
        <v>1.737571</v>
      </c>
      <c r="I7042" s="55">
        <v>1.438628</v>
      </c>
      <c r="J7042" s="55">
        <v>1.3500019999999999</v>
      </c>
      <c r="K7042" s="55">
        <v>1.414272</v>
      </c>
      <c r="L7042" s="55">
        <v>1.4408620000000001</v>
      </c>
      <c r="M7042" s="55">
        <v>1.3480369999999999</v>
      </c>
      <c r="N7042" s="55">
        <v>1.26559</v>
      </c>
    </row>
    <row r="7043" spans="1:14" hidden="1" x14ac:dyDescent="0.35">
      <c r="A7043" s="52" t="s">
        <v>755</v>
      </c>
      <c r="B7043" s="52" t="s">
        <v>37</v>
      </c>
      <c r="C7043" s="52" t="s">
        <v>115</v>
      </c>
      <c r="D7043" s="52" t="s">
        <v>115</v>
      </c>
      <c r="E7043" s="52" t="s">
        <v>584</v>
      </c>
      <c r="F7043" s="52" t="s">
        <v>581</v>
      </c>
      <c r="G7043" s="55" t="s">
        <v>275</v>
      </c>
      <c r="H7043" s="55">
        <v>-40.585949999999997</v>
      </c>
      <c r="I7043" s="55">
        <v>-7.9048670000000003</v>
      </c>
      <c r="J7043" s="55">
        <v>-16.169809999999998</v>
      </c>
      <c r="K7043" s="55">
        <v>-16.899180000000001</v>
      </c>
      <c r="L7043" s="55">
        <v>-16.636869999999998</v>
      </c>
      <c r="M7043" s="55">
        <v>-23.42407</v>
      </c>
      <c r="N7043" s="55">
        <v>-19.989619999999999</v>
      </c>
    </row>
    <row r="7044" spans="1:14" hidden="1" x14ac:dyDescent="0.35">
      <c r="A7044" s="52" t="s">
        <v>755</v>
      </c>
      <c r="B7044" s="52" t="s">
        <v>37</v>
      </c>
      <c r="C7044" s="52" t="s">
        <v>115</v>
      </c>
      <c r="D7044" s="52" t="s">
        <v>115</v>
      </c>
      <c r="E7044" s="52" t="s">
        <v>584</v>
      </c>
      <c r="F7044" s="52" t="s">
        <v>581</v>
      </c>
      <c r="G7044" s="55" t="s">
        <v>276</v>
      </c>
      <c r="H7044" s="55">
        <v>-8.1041880000000006</v>
      </c>
      <c r="I7044" s="55">
        <v>-12.503030000000001</v>
      </c>
      <c r="J7044" s="55">
        <v>-14.59557</v>
      </c>
      <c r="K7044" s="55">
        <v>-12.781269999999999</v>
      </c>
      <c r="L7044" s="55">
        <v>-10.177</v>
      </c>
      <c r="M7044" s="55">
        <v>-5.1895249999999997</v>
      </c>
      <c r="N7044" s="55">
        <v>-5.9598069999999996</v>
      </c>
    </row>
    <row r="7045" spans="1:14" hidden="1" x14ac:dyDescent="0.35">
      <c r="A7045" s="52" t="s">
        <v>755</v>
      </c>
      <c r="B7045" s="52" t="s">
        <v>37</v>
      </c>
      <c r="C7045" s="52" t="s">
        <v>115</v>
      </c>
      <c r="D7045" s="52" t="s">
        <v>115</v>
      </c>
      <c r="E7045" s="52" t="s">
        <v>584</v>
      </c>
      <c r="F7045" s="52" t="s">
        <v>581</v>
      </c>
      <c r="G7045" s="55" t="s">
        <v>277</v>
      </c>
      <c r="H7045" s="55">
        <v>68.422359999999998</v>
      </c>
      <c r="I7045" s="55">
        <v>0</v>
      </c>
      <c r="J7045" s="55">
        <v>14.04092</v>
      </c>
      <c r="K7045" s="55">
        <v>12.81551</v>
      </c>
      <c r="L7045" s="55">
        <v>13.501010000000001</v>
      </c>
      <c r="M7045" s="55">
        <v>11.461539999999999</v>
      </c>
      <c r="N7045" s="55">
        <v>10.39015</v>
      </c>
    </row>
    <row r="7046" spans="1:14" hidden="1" x14ac:dyDescent="0.35">
      <c r="A7046" s="52" t="s">
        <v>755</v>
      </c>
      <c r="B7046" s="52" t="s">
        <v>37</v>
      </c>
      <c r="C7046" s="52" t="s">
        <v>115</v>
      </c>
      <c r="D7046" s="52" t="s">
        <v>115</v>
      </c>
      <c r="E7046" s="52" t="s">
        <v>584</v>
      </c>
      <c r="F7046" s="52" t="s">
        <v>581</v>
      </c>
      <c r="G7046" s="55" t="s">
        <v>278</v>
      </c>
      <c r="H7046" s="55">
        <v>1.3151409999999999</v>
      </c>
      <c r="I7046" s="55">
        <v>0</v>
      </c>
      <c r="J7046" s="55"/>
      <c r="K7046" s="55"/>
      <c r="L7046" s="55">
        <v>0</v>
      </c>
      <c r="M7046" s="55"/>
      <c r="N7046" s="55"/>
    </row>
    <row r="7047" spans="1:14" hidden="1" x14ac:dyDescent="0.35">
      <c r="A7047" s="52" t="s">
        <v>755</v>
      </c>
      <c r="B7047" s="52" t="s">
        <v>37</v>
      </c>
      <c r="C7047" s="52" t="s">
        <v>115</v>
      </c>
      <c r="D7047" s="52" t="s">
        <v>115</v>
      </c>
      <c r="E7047" s="52" t="s">
        <v>584</v>
      </c>
      <c r="F7047" s="52" t="s">
        <v>581</v>
      </c>
      <c r="G7047" s="55" t="s">
        <v>279</v>
      </c>
      <c r="H7047" s="55">
        <v>138.79400000000001</v>
      </c>
      <c r="I7047" s="55">
        <v>63.229109999999999</v>
      </c>
      <c r="J7047" s="55">
        <v>57.063839999999999</v>
      </c>
      <c r="K7047" s="55">
        <v>53.81512</v>
      </c>
      <c r="L7047" s="55">
        <v>46.799100000000003</v>
      </c>
      <c r="M7047" s="55">
        <v>47.565890000000003</v>
      </c>
      <c r="N7047" s="55">
        <v>43.44706</v>
      </c>
    </row>
    <row r="7048" spans="1:14" hidden="1" x14ac:dyDescent="0.35">
      <c r="A7048" s="52" t="s">
        <v>755</v>
      </c>
      <c r="B7048" s="52" t="s">
        <v>37</v>
      </c>
      <c r="C7048" s="52" t="s">
        <v>115</v>
      </c>
      <c r="D7048" s="52" t="s">
        <v>115</v>
      </c>
      <c r="E7048" s="52" t="s">
        <v>584</v>
      </c>
      <c r="F7048" s="52" t="s">
        <v>26</v>
      </c>
      <c r="G7048" s="55" t="s">
        <v>275</v>
      </c>
      <c r="H7048" s="55">
        <v>-0.6002499</v>
      </c>
      <c r="I7048" s="55">
        <v>-5.2544510000000004</v>
      </c>
      <c r="J7048" s="55">
        <v>-4.3293299999999997</v>
      </c>
      <c r="K7048" s="55">
        <v>-5.5076840000000002</v>
      </c>
      <c r="L7048" s="55">
        <v>-5.856827</v>
      </c>
      <c r="M7048" s="55">
        <v>-6.0874249999999996</v>
      </c>
      <c r="N7048" s="55">
        <v>-6.0096449999999999</v>
      </c>
    </row>
    <row r="7049" spans="1:14" hidden="1" x14ac:dyDescent="0.35">
      <c r="A7049" s="52" t="s">
        <v>755</v>
      </c>
      <c r="B7049" s="52" t="s">
        <v>37</v>
      </c>
      <c r="C7049" s="52" t="s">
        <v>115</v>
      </c>
      <c r="D7049" s="52" t="s">
        <v>115</v>
      </c>
      <c r="E7049" s="52" t="s">
        <v>584</v>
      </c>
      <c r="F7049" s="52" t="s">
        <v>26</v>
      </c>
      <c r="G7049" s="55" t="s">
        <v>276</v>
      </c>
      <c r="H7049" s="55">
        <v>-3.3487369999999999</v>
      </c>
      <c r="I7049" s="55">
        <v>-1.790535</v>
      </c>
      <c r="J7049" s="55">
        <v>-2.3871449999999999</v>
      </c>
      <c r="K7049" s="55">
        <v>-1.6636089999999999</v>
      </c>
      <c r="L7049" s="55">
        <v>-1.508721</v>
      </c>
      <c r="M7049" s="55">
        <v>-1.565612</v>
      </c>
      <c r="N7049" s="55">
        <v>-1.5680240000000001</v>
      </c>
    </row>
    <row r="7050" spans="1:14" hidden="1" x14ac:dyDescent="0.35">
      <c r="A7050" s="52" t="s">
        <v>755</v>
      </c>
      <c r="B7050" s="52" t="s">
        <v>37</v>
      </c>
      <c r="C7050" s="52" t="s">
        <v>115</v>
      </c>
      <c r="D7050" s="52" t="s">
        <v>115</v>
      </c>
      <c r="E7050" s="52" t="s">
        <v>584</v>
      </c>
      <c r="F7050" s="52" t="s">
        <v>26</v>
      </c>
      <c r="G7050" s="55" t="s">
        <v>277</v>
      </c>
      <c r="H7050" s="55">
        <v>0</v>
      </c>
      <c r="I7050" s="55">
        <v>0</v>
      </c>
      <c r="J7050" s="55">
        <v>0.22971800000000001</v>
      </c>
      <c r="K7050" s="55">
        <v>0.308114</v>
      </c>
      <c r="L7050" s="55">
        <v>0.36003800000000002</v>
      </c>
      <c r="M7050" s="55">
        <v>0.397893</v>
      </c>
      <c r="N7050" s="55">
        <v>0.43284699999999998</v>
      </c>
    </row>
    <row r="7051" spans="1:14" hidden="1" x14ac:dyDescent="0.35">
      <c r="A7051" s="52" t="s">
        <v>755</v>
      </c>
      <c r="B7051" s="52" t="s">
        <v>37</v>
      </c>
      <c r="C7051" s="52" t="s">
        <v>115</v>
      </c>
      <c r="D7051" s="52" t="s">
        <v>115</v>
      </c>
      <c r="E7051" s="52" t="s">
        <v>584</v>
      </c>
      <c r="F7051" s="52" t="s">
        <v>26</v>
      </c>
      <c r="G7051" s="55" t="s">
        <v>278</v>
      </c>
      <c r="H7051" s="55">
        <v>6.8768999999999997E-2</v>
      </c>
      <c r="I7051" s="55">
        <v>0</v>
      </c>
      <c r="J7051" s="55"/>
      <c r="K7051" s="55"/>
      <c r="L7051" s="55"/>
      <c r="M7051" s="55"/>
      <c r="N7051" s="55"/>
    </row>
    <row r="7052" spans="1:14" hidden="1" x14ac:dyDescent="0.35">
      <c r="A7052" s="52" t="s">
        <v>755</v>
      </c>
      <c r="B7052" s="52" t="s">
        <v>37</v>
      </c>
      <c r="C7052" s="52" t="s">
        <v>115</v>
      </c>
      <c r="D7052" s="52" t="s">
        <v>115</v>
      </c>
      <c r="E7052" s="52" t="s">
        <v>584</v>
      </c>
      <c r="F7052" s="52" t="s">
        <v>26</v>
      </c>
      <c r="G7052" s="55" t="s">
        <v>279</v>
      </c>
      <c r="H7052" s="55">
        <v>4.587383</v>
      </c>
      <c r="I7052" s="55">
        <v>8.2948839999999997</v>
      </c>
      <c r="J7052" s="55">
        <v>7.7641900000000001</v>
      </c>
      <c r="K7052" s="55">
        <v>8.1210489999999993</v>
      </c>
      <c r="L7052" s="55">
        <v>8.2480849999999997</v>
      </c>
      <c r="M7052" s="55">
        <v>8.4852150000000002</v>
      </c>
      <c r="N7052" s="55">
        <v>8.3619369999999993</v>
      </c>
    </row>
    <row r="7053" spans="1:14" hidden="1" x14ac:dyDescent="0.35">
      <c r="A7053" s="52" t="s">
        <v>691</v>
      </c>
      <c r="B7053" s="52" t="s">
        <v>34</v>
      </c>
      <c r="C7053" s="52" t="s">
        <v>33</v>
      </c>
      <c r="D7053" s="52" t="s">
        <v>33</v>
      </c>
      <c r="E7053" s="52" t="s">
        <v>605</v>
      </c>
      <c r="F7053" s="52" t="s">
        <v>581</v>
      </c>
      <c r="G7053" s="55" t="s">
        <v>275</v>
      </c>
      <c r="H7053" s="55">
        <v>5.905189</v>
      </c>
      <c r="I7053" s="55">
        <v>4.4058919999999997</v>
      </c>
      <c r="J7053" s="55">
        <v>19.603400000000001</v>
      </c>
      <c r="K7053" s="55">
        <v>20.841010000000001</v>
      </c>
      <c r="L7053" s="55">
        <v>11.40494</v>
      </c>
      <c r="M7053" s="55">
        <v>8.6959890000000009</v>
      </c>
      <c r="N7053" s="55">
        <v>11.38068</v>
      </c>
    </row>
    <row r="7054" spans="1:14" hidden="1" x14ac:dyDescent="0.35">
      <c r="A7054" s="52" t="s">
        <v>691</v>
      </c>
      <c r="B7054" s="52" t="s">
        <v>34</v>
      </c>
      <c r="C7054" s="52" t="s">
        <v>33</v>
      </c>
      <c r="D7054" s="52" t="s">
        <v>33</v>
      </c>
      <c r="E7054" s="52" t="s">
        <v>605</v>
      </c>
      <c r="F7054" s="52" t="s">
        <v>581</v>
      </c>
      <c r="G7054" s="55" t="s">
        <v>276</v>
      </c>
      <c r="H7054" s="55">
        <v>12.145770000000001</v>
      </c>
      <c r="I7054" s="55">
        <v>-2.1515029999999999</v>
      </c>
      <c r="J7054" s="55">
        <v>-1.2353499999999999</v>
      </c>
      <c r="K7054" s="55">
        <v>-6.9519460000000005E-2</v>
      </c>
      <c r="L7054" s="55">
        <v>3.079056</v>
      </c>
      <c r="M7054" s="55">
        <v>3.677578</v>
      </c>
      <c r="N7054" s="55">
        <v>3.6532990000000001</v>
      </c>
    </row>
    <row r="7055" spans="1:14" hidden="1" x14ac:dyDescent="0.35">
      <c r="A7055" s="52" t="s">
        <v>691</v>
      </c>
      <c r="B7055" s="52" t="s">
        <v>34</v>
      </c>
      <c r="C7055" s="52" t="s">
        <v>33</v>
      </c>
      <c r="D7055" s="52" t="s">
        <v>33</v>
      </c>
      <c r="E7055" s="52" t="s">
        <v>605</v>
      </c>
      <c r="F7055" s="52" t="s">
        <v>581</v>
      </c>
      <c r="G7055" s="55" t="s">
        <v>277</v>
      </c>
      <c r="H7055" s="55">
        <v>37.119169999999997</v>
      </c>
      <c r="I7055" s="55">
        <v>21.61</v>
      </c>
      <c r="J7055" s="55">
        <v>1.821256</v>
      </c>
      <c r="K7055" s="55">
        <v>0.48311530000000003</v>
      </c>
      <c r="L7055" s="55">
        <v>2.1059389999999998</v>
      </c>
      <c r="M7055" s="55">
        <v>1.970788</v>
      </c>
      <c r="N7055" s="55">
        <v>1.1058429999999999</v>
      </c>
    </row>
    <row r="7056" spans="1:14" hidden="1" x14ac:dyDescent="0.35">
      <c r="A7056" s="52" t="s">
        <v>691</v>
      </c>
      <c r="B7056" s="52" t="s">
        <v>34</v>
      </c>
      <c r="C7056" s="52" t="s">
        <v>33</v>
      </c>
      <c r="D7056" s="52" t="s">
        <v>33</v>
      </c>
      <c r="E7056" s="52" t="s">
        <v>605</v>
      </c>
      <c r="F7056" s="52" t="s">
        <v>581</v>
      </c>
      <c r="G7056" s="55" t="s">
        <v>278</v>
      </c>
      <c r="H7056" s="55">
        <v>24.980830000000001</v>
      </c>
      <c r="I7056" s="55">
        <v>1</v>
      </c>
      <c r="J7056" s="55">
        <v>6.7266570000000003</v>
      </c>
      <c r="K7056" s="55">
        <v>2.5367449999999998</v>
      </c>
      <c r="L7056" s="55">
        <v>6.396293</v>
      </c>
      <c r="M7056" s="55">
        <v>7.8348800000000001</v>
      </c>
      <c r="N7056" s="55">
        <v>5.4423649999999997</v>
      </c>
    </row>
    <row r="7057" spans="1:14" hidden="1" x14ac:dyDescent="0.35">
      <c r="A7057" s="52" t="s">
        <v>691</v>
      </c>
      <c r="B7057" s="52" t="s">
        <v>34</v>
      </c>
      <c r="C7057" s="52" t="s">
        <v>33</v>
      </c>
      <c r="D7057" s="52" t="s">
        <v>33</v>
      </c>
      <c r="E7057" s="52" t="s">
        <v>605</v>
      </c>
      <c r="F7057" s="52" t="s">
        <v>581</v>
      </c>
      <c r="G7057" s="55" t="s">
        <v>279</v>
      </c>
      <c r="H7057" s="55">
        <v>23.874649999999999</v>
      </c>
      <c r="I7057" s="55">
        <v>22.722930000000002</v>
      </c>
      <c r="J7057" s="55">
        <v>23.09881</v>
      </c>
      <c r="K7057" s="55">
        <v>20.457850000000001</v>
      </c>
      <c r="L7057" s="55">
        <v>17.283580000000001</v>
      </c>
      <c r="M7057" s="55">
        <v>17.13899</v>
      </c>
      <c r="N7057" s="55">
        <v>16.239139999999999</v>
      </c>
    </row>
    <row r="7058" spans="1:14" hidden="1" x14ac:dyDescent="0.35">
      <c r="A7058" s="52" t="s">
        <v>691</v>
      </c>
      <c r="B7058" s="52" t="s">
        <v>34</v>
      </c>
      <c r="C7058" s="52" t="s">
        <v>33</v>
      </c>
      <c r="D7058" s="52" t="s">
        <v>33</v>
      </c>
      <c r="E7058" s="52" t="s">
        <v>605</v>
      </c>
      <c r="F7058" s="52" t="s">
        <v>26</v>
      </c>
      <c r="G7058" s="55" t="s">
        <v>275</v>
      </c>
      <c r="H7058" s="55">
        <v>-175.25239999999999</v>
      </c>
      <c r="I7058" s="55">
        <v>-8.4273439999999997</v>
      </c>
      <c r="J7058" s="55">
        <v>55.471580000000003</v>
      </c>
      <c r="K7058" s="55">
        <v>34.577919999999999</v>
      </c>
      <c r="L7058" s="55">
        <v>18.700410000000002</v>
      </c>
      <c r="M7058" s="55">
        <v>13.33517</v>
      </c>
      <c r="N7058" s="55">
        <v>10.1319</v>
      </c>
    </row>
    <row r="7059" spans="1:14" hidden="1" x14ac:dyDescent="0.35">
      <c r="A7059" s="52" t="s">
        <v>691</v>
      </c>
      <c r="B7059" s="52" t="s">
        <v>34</v>
      </c>
      <c r="C7059" s="52" t="s">
        <v>33</v>
      </c>
      <c r="D7059" s="52" t="s">
        <v>33</v>
      </c>
      <c r="E7059" s="52" t="s">
        <v>605</v>
      </c>
      <c r="F7059" s="52" t="s">
        <v>26</v>
      </c>
      <c r="G7059" s="55" t="s">
        <v>276</v>
      </c>
      <c r="H7059" s="55">
        <v>-30.167390000000001</v>
      </c>
      <c r="I7059" s="55">
        <v>-39.380310000000001</v>
      </c>
      <c r="J7059" s="55">
        <v>-39.648589999999999</v>
      </c>
      <c r="K7059" s="55">
        <v>-22.5886</v>
      </c>
      <c r="L7059" s="55">
        <v>-3.7618640000000001</v>
      </c>
      <c r="M7059" s="55">
        <v>2.4898099999999999</v>
      </c>
      <c r="N7059" s="55">
        <v>2.3479009999999998</v>
      </c>
    </row>
    <row r="7060" spans="1:14" hidden="1" x14ac:dyDescent="0.35">
      <c r="A7060" s="52" t="s">
        <v>691</v>
      </c>
      <c r="B7060" s="52" t="s">
        <v>34</v>
      </c>
      <c r="C7060" s="52" t="s">
        <v>33</v>
      </c>
      <c r="D7060" s="52" t="s">
        <v>33</v>
      </c>
      <c r="E7060" s="52" t="s">
        <v>605</v>
      </c>
      <c r="F7060" s="52" t="s">
        <v>26</v>
      </c>
      <c r="G7060" s="55" t="s">
        <v>277</v>
      </c>
      <c r="H7060" s="55">
        <v>274.73050000000001</v>
      </c>
      <c r="I7060" s="55">
        <v>94.172089999999997</v>
      </c>
      <c r="J7060" s="55">
        <v>5.1376720000000002</v>
      </c>
      <c r="K7060" s="55">
        <v>3.0010590000000001</v>
      </c>
      <c r="L7060" s="55">
        <v>3.2562790000000001</v>
      </c>
      <c r="M7060" s="55">
        <v>1.5399959999999999</v>
      </c>
      <c r="N7060" s="55">
        <v>1.22933</v>
      </c>
    </row>
    <row r="7061" spans="1:14" hidden="1" x14ac:dyDescent="0.35">
      <c r="A7061" s="52" t="s">
        <v>691</v>
      </c>
      <c r="B7061" s="52" t="s">
        <v>34</v>
      </c>
      <c r="C7061" s="52" t="s">
        <v>33</v>
      </c>
      <c r="D7061" s="52" t="s">
        <v>33</v>
      </c>
      <c r="E7061" s="52" t="s">
        <v>605</v>
      </c>
      <c r="F7061" s="52" t="s">
        <v>26</v>
      </c>
      <c r="G7061" s="55" t="s">
        <v>278</v>
      </c>
      <c r="H7061" s="55">
        <v>29.169519999999999</v>
      </c>
      <c r="I7061" s="55">
        <v>26.727910000000001</v>
      </c>
      <c r="J7061" s="55">
        <v>12.43862</v>
      </c>
      <c r="K7061" s="55">
        <v>7.9994149999999999</v>
      </c>
      <c r="L7061" s="55">
        <v>6.587968</v>
      </c>
      <c r="M7061" s="55">
        <v>3.4460090000000001</v>
      </c>
      <c r="N7061" s="55">
        <v>3.2633169999999998</v>
      </c>
    </row>
    <row r="7062" spans="1:14" hidden="1" x14ac:dyDescent="0.35">
      <c r="A7062" s="52" t="s">
        <v>691</v>
      </c>
      <c r="B7062" s="52" t="s">
        <v>34</v>
      </c>
      <c r="C7062" s="52" t="s">
        <v>33</v>
      </c>
      <c r="D7062" s="52" t="s">
        <v>33</v>
      </c>
      <c r="E7062" s="52" t="s">
        <v>605</v>
      </c>
      <c r="F7062" s="52" t="s">
        <v>26</v>
      </c>
      <c r="G7062" s="55" t="s">
        <v>279</v>
      </c>
      <c r="H7062" s="55">
        <v>217.79150000000001</v>
      </c>
      <c r="I7062" s="55">
        <v>237.8723</v>
      </c>
      <c r="J7062" s="55">
        <v>227.91730000000001</v>
      </c>
      <c r="K7062" s="55">
        <v>208.57169999999999</v>
      </c>
      <c r="L7062" s="55">
        <v>186.44820000000001</v>
      </c>
      <c r="M7062" s="55">
        <v>173.66489999999999</v>
      </c>
      <c r="N7062" s="55">
        <v>160.85480000000001</v>
      </c>
    </row>
    <row r="7063" spans="1:14" hidden="1" x14ac:dyDescent="0.35">
      <c r="A7063" s="52" t="s">
        <v>691</v>
      </c>
      <c r="B7063" s="52" t="s">
        <v>34</v>
      </c>
      <c r="C7063" s="52" t="s">
        <v>33</v>
      </c>
      <c r="D7063" s="52" t="s">
        <v>33</v>
      </c>
      <c r="E7063" s="52" t="s">
        <v>604</v>
      </c>
      <c r="F7063" s="52" t="s">
        <v>581</v>
      </c>
      <c r="G7063" s="55" t="s">
        <v>275</v>
      </c>
      <c r="H7063" s="55">
        <v>29.428629999999998</v>
      </c>
      <c r="I7063" s="55">
        <v>7.6216780000000002</v>
      </c>
      <c r="J7063" s="55">
        <v>54.71902</v>
      </c>
      <c r="K7063" s="55">
        <v>45.535960000000003</v>
      </c>
      <c r="L7063" s="55">
        <v>37.972839999999998</v>
      </c>
      <c r="M7063" s="55">
        <v>31.334900000000001</v>
      </c>
      <c r="N7063" s="55">
        <v>27.993559999999999</v>
      </c>
    </row>
    <row r="7064" spans="1:14" hidden="1" x14ac:dyDescent="0.35">
      <c r="A7064" s="52" t="s">
        <v>691</v>
      </c>
      <c r="B7064" s="52" t="s">
        <v>34</v>
      </c>
      <c r="C7064" s="52" t="s">
        <v>33</v>
      </c>
      <c r="D7064" s="52" t="s">
        <v>33</v>
      </c>
      <c r="E7064" s="52" t="s">
        <v>604</v>
      </c>
      <c r="F7064" s="52" t="s">
        <v>581</v>
      </c>
      <c r="G7064" s="55" t="s">
        <v>276</v>
      </c>
      <c r="H7064" s="55">
        <v>8.1501140000000003</v>
      </c>
      <c r="I7064" s="55">
        <v>-15.48372</v>
      </c>
      <c r="J7064" s="55">
        <v>-4.8901820000000003</v>
      </c>
      <c r="K7064" s="55">
        <v>0.26589420000000002</v>
      </c>
      <c r="L7064" s="55">
        <v>6.5901120000000004</v>
      </c>
      <c r="M7064" s="55">
        <v>9.5777789999999996</v>
      </c>
      <c r="N7064" s="55">
        <v>9.2695190000000007</v>
      </c>
    </row>
    <row r="7065" spans="1:14" hidden="1" x14ac:dyDescent="0.35">
      <c r="A7065" s="52" t="s">
        <v>691</v>
      </c>
      <c r="B7065" s="52" t="s">
        <v>34</v>
      </c>
      <c r="C7065" s="52" t="s">
        <v>33</v>
      </c>
      <c r="D7065" s="52" t="s">
        <v>33</v>
      </c>
      <c r="E7065" s="52" t="s">
        <v>604</v>
      </c>
      <c r="F7065" s="52" t="s">
        <v>581</v>
      </c>
      <c r="G7065" s="55" t="s">
        <v>277</v>
      </c>
      <c r="H7065" s="55">
        <v>110.34099999999999</v>
      </c>
      <c r="I7065" s="55">
        <v>62.976179999999999</v>
      </c>
      <c r="J7065" s="55">
        <v>8.0428660000000001</v>
      </c>
      <c r="K7065" s="55">
        <v>5.0101709999999997</v>
      </c>
      <c r="L7065" s="55">
        <v>5.7750089999999998</v>
      </c>
      <c r="M7065" s="55">
        <v>6.1691719999999997</v>
      </c>
      <c r="N7065" s="55">
        <v>10.140280000000001</v>
      </c>
    </row>
    <row r="7066" spans="1:14" hidden="1" x14ac:dyDescent="0.35">
      <c r="A7066" s="52" t="s">
        <v>691</v>
      </c>
      <c r="B7066" s="52" t="s">
        <v>34</v>
      </c>
      <c r="C7066" s="52" t="s">
        <v>33</v>
      </c>
      <c r="D7066" s="52" t="s">
        <v>33</v>
      </c>
      <c r="E7066" s="52" t="s">
        <v>604</v>
      </c>
      <c r="F7066" s="52" t="s">
        <v>581</v>
      </c>
      <c r="G7066" s="55" t="s">
        <v>278</v>
      </c>
      <c r="H7066" s="55">
        <v>19.73903</v>
      </c>
      <c r="I7066" s="55">
        <v>13.53382</v>
      </c>
      <c r="J7066" s="55">
        <v>8.6147209999999994</v>
      </c>
      <c r="K7066" s="55">
        <v>9.1880380000000006</v>
      </c>
      <c r="L7066" s="55">
        <v>6.9373950000000004</v>
      </c>
      <c r="M7066" s="55">
        <v>6.9740310000000001</v>
      </c>
      <c r="N7066" s="55">
        <v>5.038786</v>
      </c>
    </row>
    <row r="7067" spans="1:14" hidden="1" x14ac:dyDescent="0.35">
      <c r="A7067" s="52" t="s">
        <v>691</v>
      </c>
      <c r="B7067" s="52" t="s">
        <v>34</v>
      </c>
      <c r="C7067" s="52" t="s">
        <v>33</v>
      </c>
      <c r="D7067" s="52" t="s">
        <v>33</v>
      </c>
      <c r="E7067" s="52" t="s">
        <v>604</v>
      </c>
      <c r="F7067" s="52" t="s">
        <v>581</v>
      </c>
      <c r="G7067" s="55" t="s">
        <v>279</v>
      </c>
      <c r="H7067" s="55">
        <v>31.711590000000001</v>
      </c>
      <c r="I7067" s="55">
        <v>29.178850000000001</v>
      </c>
      <c r="J7067" s="55">
        <v>26.993849999999998</v>
      </c>
      <c r="K7067" s="55">
        <v>24.592559999999999</v>
      </c>
      <c r="L7067" s="55">
        <v>21.622450000000001</v>
      </c>
      <c r="M7067" s="55">
        <v>20.850239999999999</v>
      </c>
      <c r="N7067" s="55">
        <v>19.796700000000001</v>
      </c>
    </row>
    <row r="7068" spans="1:14" hidden="1" x14ac:dyDescent="0.35">
      <c r="A7068" s="52" t="s">
        <v>691</v>
      </c>
      <c r="B7068" s="52" t="s">
        <v>34</v>
      </c>
      <c r="C7068" s="52" t="s">
        <v>33</v>
      </c>
      <c r="D7068" s="52" t="s">
        <v>33</v>
      </c>
      <c r="E7068" s="52" t="s">
        <v>604</v>
      </c>
      <c r="F7068" s="52" t="s">
        <v>26</v>
      </c>
      <c r="G7068" s="55" t="s">
        <v>275</v>
      </c>
      <c r="H7068" s="55">
        <v>21.52384</v>
      </c>
      <c r="I7068" s="55">
        <v>12.78124</v>
      </c>
      <c r="J7068" s="55">
        <v>6.1833070000000001</v>
      </c>
      <c r="K7068" s="55">
        <v>4.3256160000000001</v>
      </c>
      <c r="L7068" s="55">
        <v>4.1788689999999997</v>
      </c>
      <c r="M7068" s="55">
        <v>3.8247390000000001</v>
      </c>
      <c r="N7068" s="55">
        <v>3.4005809999999999</v>
      </c>
    </row>
    <row r="7069" spans="1:14" hidden="1" x14ac:dyDescent="0.35">
      <c r="A7069" s="52" t="s">
        <v>691</v>
      </c>
      <c r="B7069" s="52" t="s">
        <v>34</v>
      </c>
      <c r="C7069" s="52" t="s">
        <v>33</v>
      </c>
      <c r="D7069" s="52" t="s">
        <v>33</v>
      </c>
      <c r="E7069" s="52" t="s">
        <v>604</v>
      </c>
      <c r="F7069" s="52" t="s">
        <v>26</v>
      </c>
      <c r="G7069" s="55" t="s">
        <v>276</v>
      </c>
      <c r="H7069" s="55">
        <v>7.3038290000000003</v>
      </c>
      <c r="I7069" s="55">
        <v>4.2604150000000001</v>
      </c>
      <c r="J7069" s="55">
        <v>2.0548760000000001</v>
      </c>
      <c r="K7069" s="55">
        <v>1.4474279999999999</v>
      </c>
      <c r="L7069" s="55">
        <v>1.38575</v>
      </c>
      <c r="M7069" s="55">
        <v>1.276842</v>
      </c>
      <c r="N7069" s="55">
        <v>1.140495</v>
      </c>
    </row>
    <row r="7070" spans="1:14" hidden="1" x14ac:dyDescent="0.35">
      <c r="A7070" s="52" t="s">
        <v>691</v>
      </c>
      <c r="B7070" s="52" t="s">
        <v>34</v>
      </c>
      <c r="C7070" s="52" t="s">
        <v>33</v>
      </c>
      <c r="D7070" s="52" t="s">
        <v>33</v>
      </c>
      <c r="E7070" s="52" t="s">
        <v>604</v>
      </c>
      <c r="F7070" s="52" t="s">
        <v>26</v>
      </c>
      <c r="G7070" s="55" t="s">
        <v>279</v>
      </c>
      <c r="H7070" s="55">
        <v>51.090710000000001</v>
      </c>
      <c r="I7070" s="55">
        <v>45.326000000000001</v>
      </c>
      <c r="J7070" s="55">
        <v>42.2746</v>
      </c>
      <c r="K7070" s="55">
        <v>38.845149999999997</v>
      </c>
      <c r="L7070" s="55">
        <v>35.088970000000003</v>
      </c>
      <c r="M7070" s="55">
        <v>32.682209999999998</v>
      </c>
      <c r="N7070" s="55">
        <v>31.102519999999998</v>
      </c>
    </row>
    <row r="7071" spans="1:14" hidden="1" x14ac:dyDescent="0.35">
      <c r="A7071" s="52" t="s">
        <v>691</v>
      </c>
      <c r="B7071" s="52" t="s">
        <v>34</v>
      </c>
      <c r="C7071" s="52" t="s">
        <v>33</v>
      </c>
      <c r="D7071" s="52" t="s">
        <v>33</v>
      </c>
      <c r="E7071" s="52" t="s">
        <v>692</v>
      </c>
      <c r="F7071" s="52" t="s">
        <v>581</v>
      </c>
      <c r="G7071" s="55" t="s">
        <v>275</v>
      </c>
      <c r="H7071" s="55">
        <v>24.237850000000002</v>
      </c>
      <c r="I7071" s="55">
        <v>12.799200000000001</v>
      </c>
      <c r="J7071" s="55">
        <v>10.559939999999999</v>
      </c>
      <c r="K7071" s="55">
        <v>9.4789239999999992</v>
      </c>
      <c r="L7071" s="55">
        <v>7.7612730000000001</v>
      </c>
      <c r="M7071" s="55">
        <v>6.9756549999999997</v>
      </c>
      <c r="N7071" s="55">
        <v>6.8965420000000002</v>
      </c>
    </row>
    <row r="7072" spans="1:14" hidden="1" x14ac:dyDescent="0.35">
      <c r="A7072" s="52" t="s">
        <v>691</v>
      </c>
      <c r="B7072" s="52" t="s">
        <v>34</v>
      </c>
      <c r="C7072" s="52" t="s">
        <v>33</v>
      </c>
      <c r="D7072" s="52" t="s">
        <v>33</v>
      </c>
      <c r="E7072" s="52" t="s">
        <v>692</v>
      </c>
      <c r="F7072" s="52" t="s">
        <v>581</v>
      </c>
      <c r="G7072" s="55" t="s">
        <v>276</v>
      </c>
      <c r="H7072" s="55">
        <v>7.5009759999999996</v>
      </c>
      <c r="I7072" s="55">
        <v>-1.678855</v>
      </c>
      <c r="J7072" s="55">
        <v>0.25444610000000001</v>
      </c>
      <c r="K7072" s="55">
        <v>1.024961</v>
      </c>
      <c r="L7072" s="55">
        <v>2.1840869999999999</v>
      </c>
      <c r="M7072" s="55">
        <v>2.0331049999999999</v>
      </c>
      <c r="N7072" s="55">
        <v>1.9750479999999999</v>
      </c>
    </row>
    <row r="7073" spans="1:14" hidden="1" x14ac:dyDescent="0.35">
      <c r="A7073" s="52" t="s">
        <v>691</v>
      </c>
      <c r="B7073" s="52" t="s">
        <v>34</v>
      </c>
      <c r="C7073" s="52" t="s">
        <v>33</v>
      </c>
      <c r="D7073" s="52" t="s">
        <v>33</v>
      </c>
      <c r="E7073" s="52" t="s">
        <v>692</v>
      </c>
      <c r="F7073" s="52" t="s">
        <v>581</v>
      </c>
      <c r="G7073" s="55" t="s">
        <v>277</v>
      </c>
      <c r="H7073" s="55">
        <v>23.289339999999999</v>
      </c>
      <c r="I7073" s="55">
        <v>5.53</v>
      </c>
      <c r="J7073" s="55">
        <v>4.0841130000000003</v>
      </c>
      <c r="K7073" s="55">
        <v>3.1043980000000002</v>
      </c>
      <c r="L7073" s="55">
        <v>4.0340309999999997</v>
      </c>
      <c r="M7073" s="55">
        <v>4.0303789999999999</v>
      </c>
      <c r="N7073" s="55">
        <v>3.7763559999999998</v>
      </c>
    </row>
    <row r="7074" spans="1:14" hidden="1" x14ac:dyDescent="0.35">
      <c r="A7074" s="52" t="s">
        <v>691</v>
      </c>
      <c r="B7074" s="52" t="s">
        <v>34</v>
      </c>
      <c r="C7074" s="52" t="s">
        <v>33</v>
      </c>
      <c r="D7074" s="52" t="s">
        <v>33</v>
      </c>
      <c r="E7074" s="52" t="s">
        <v>692</v>
      </c>
      <c r="F7074" s="52" t="s">
        <v>581</v>
      </c>
      <c r="G7074" s="55" t="s">
        <v>278</v>
      </c>
      <c r="H7074" s="55">
        <v>1.710661</v>
      </c>
      <c r="I7074" s="55">
        <v>0.49999929999999998</v>
      </c>
      <c r="J7074" s="55">
        <v>0.84731199999999995</v>
      </c>
      <c r="K7074" s="55">
        <v>0.81936790000000004</v>
      </c>
      <c r="L7074" s="55">
        <v>0.32858720000000002</v>
      </c>
      <c r="M7074" s="55">
        <v>0.15</v>
      </c>
      <c r="N7074" s="55">
        <v>0</v>
      </c>
    </row>
    <row r="7075" spans="1:14" hidden="1" x14ac:dyDescent="0.35">
      <c r="A7075" s="52" t="s">
        <v>691</v>
      </c>
      <c r="B7075" s="52" t="s">
        <v>34</v>
      </c>
      <c r="C7075" s="52" t="s">
        <v>33</v>
      </c>
      <c r="D7075" s="52" t="s">
        <v>33</v>
      </c>
      <c r="E7075" s="52" t="s">
        <v>692</v>
      </c>
      <c r="F7075" s="52" t="s">
        <v>581</v>
      </c>
      <c r="G7075" s="55" t="s">
        <v>279</v>
      </c>
      <c r="H7075" s="55">
        <v>15.41771</v>
      </c>
      <c r="I7075" s="55">
        <v>12.891640000000001</v>
      </c>
      <c r="J7075" s="55">
        <v>10.945029999999999</v>
      </c>
      <c r="K7075" s="55">
        <v>9.9619420000000005</v>
      </c>
      <c r="L7075" s="55">
        <v>8.5820670000000003</v>
      </c>
      <c r="M7075" s="55">
        <v>8.3536300000000008</v>
      </c>
      <c r="N7075" s="55">
        <v>7.8006900000000003</v>
      </c>
    </row>
    <row r="7076" spans="1:14" hidden="1" x14ac:dyDescent="0.35">
      <c r="A7076" s="52" t="s">
        <v>691</v>
      </c>
      <c r="B7076" s="52" t="s">
        <v>34</v>
      </c>
      <c r="C7076" s="52" t="s">
        <v>33</v>
      </c>
      <c r="D7076" s="52" t="s">
        <v>33</v>
      </c>
      <c r="E7076" s="52" t="s">
        <v>692</v>
      </c>
      <c r="F7076" s="52" t="s">
        <v>26</v>
      </c>
      <c r="G7076" s="55" t="s">
        <v>275</v>
      </c>
      <c r="H7076" s="55">
        <v>4.8056000000000001E-2</v>
      </c>
      <c r="I7076" s="55">
        <v>-0.1038936</v>
      </c>
      <c r="J7076" s="55">
        <v>-0.2428101</v>
      </c>
      <c r="K7076" s="55">
        <v>-0.25381730000000002</v>
      </c>
      <c r="L7076" s="55">
        <v>-0.190833</v>
      </c>
      <c r="M7076" s="55">
        <v>-0.2047554</v>
      </c>
      <c r="N7076" s="55">
        <v>-0.1991522</v>
      </c>
    </row>
    <row r="7077" spans="1:14" hidden="1" x14ac:dyDescent="0.35">
      <c r="A7077" s="52" t="s">
        <v>691</v>
      </c>
      <c r="B7077" s="52" t="s">
        <v>34</v>
      </c>
      <c r="C7077" s="52" t="s">
        <v>33</v>
      </c>
      <c r="D7077" s="52" t="s">
        <v>33</v>
      </c>
      <c r="E7077" s="52" t="s">
        <v>692</v>
      </c>
      <c r="F7077" s="52" t="s">
        <v>26</v>
      </c>
      <c r="G7077" s="55" t="s">
        <v>276</v>
      </c>
      <c r="H7077" s="55">
        <v>1.7326000000000001E-2</v>
      </c>
      <c r="I7077" s="55">
        <v>-3.46314E-2</v>
      </c>
      <c r="J7077" s="55">
        <v>-7.6677200000000001E-2</v>
      </c>
      <c r="K7077" s="55">
        <v>-7.5815599999999997E-2</v>
      </c>
      <c r="L7077" s="55">
        <v>-5.7003499999999999E-2</v>
      </c>
      <c r="M7077" s="55">
        <v>-6.1160590000000001E-2</v>
      </c>
      <c r="N7077" s="55">
        <v>-5.9486600000000001E-2</v>
      </c>
    </row>
    <row r="7078" spans="1:14" hidden="1" x14ac:dyDescent="0.35">
      <c r="A7078" s="52" t="s">
        <v>691</v>
      </c>
      <c r="B7078" s="52" t="s">
        <v>34</v>
      </c>
      <c r="C7078" s="52" t="s">
        <v>33</v>
      </c>
      <c r="D7078" s="52" t="s">
        <v>33</v>
      </c>
      <c r="E7078" s="52" t="s">
        <v>692</v>
      </c>
      <c r="F7078" s="52" t="s">
        <v>26</v>
      </c>
      <c r="G7078" s="55" t="s">
        <v>279</v>
      </c>
      <c r="H7078" s="55">
        <v>2.5344289999999998</v>
      </c>
      <c r="I7078" s="55">
        <v>2.1158980000000001</v>
      </c>
      <c r="J7078" s="55">
        <v>1.814378</v>
      </c>
      <c r="K7078" s="55">
        <v>1.6683049999999999</v>
      </c>
      <c r="L7078" s="55">
        <v>1.4746919999999999</v>
      </c>
      <c r="M7078" s="55">
        <v>1.3889929999999999</v>
      </c>
      <c r="N7078" s="55">
        <v>1.2970809999999999</v>
      </c>
    </row>
    <row r="7079" spans="1:14" hidden="1" x14ac:dyDescent="0.35">
      <c r="A7079" s="52" t="s">
        <v>691</v>
      </c>
      <c r="B7079" s="52" t="s">
        <v>34</v>
      </c>
      <c r="C7079" s="52" t="s">
        <v>33</v>
      </c>
      <c r="D7079" s="52" t="s">
        <v>33</v>
      </c>
      <c r="E7079" s="52" t="s">
        <v>584</v>
      </c>
      <c r="F7079" s="52" t="s">
        <v>581</v>
      </c>
      <c r="G7079" s="55" t="s">
        <v>275</v>
      </c>
      <c r="H7079" s="55">
        <v>43.045729999999999</v>
      </c>
      <c r="I7079" s="55">
        <v>29.421309999999998</v>
      </c>
      <c r="J7079" s="55">
        <v>-306.9117</v>
      </c>
      <c r="K7079" s="55">
        <v>4.8363449999999997</v>
      </c>
      <c r="L7079" s="55">
        <v>3.810317</v>
      </c>
      <c r="M7079" s="55">
        <v>4.7976650000000003</v>
      </c>
      <c r="N7079" s="55">
        <v>4.084511</v>
      </c>
    </row>
    <row r="7080" spans="1:14" hidden="1" x14ac:dyDescent="0.35">
      <c r="A7080" s="52" t="s">
        <v>691</v>
      </c>
      <c r="B7080" s="52" t="s">
        <v>34</v>
      </c>
      <c r="C7080" s="52" t="s">
        <v>33</v>
      </c>
      <c r="D7080" s="52" t="s">
        <v>33</v>
      </c>
      <c r="E7080" s="52" t="s">
        <v>584</v>
      </c>
      <c r="F7080" s="52" t="s">
        <v>581</v>
      </c>
      <c r="G7080" s="55" t="s">
        <v>276</v>
      </c>
      <c r="H7080" s="55">
        <v>-18.790120000000002</v>
      </c>
      <c r="I7080" s="55">
        <v>-22.82948</v>
      </c>
      <c r="J7080" s="55">
        <v>-98.063460000000006</v>
      </c>
      <c r="K7080" s="55">
        <v>1.0340579999999999</v>
      </c>
      <c r="L7080" s="55">
        <v>1.1381479999999999</v>
      </c>
      <c r="M7080" s="55">
        <v>1.4330689999999999</v>
      </c>
      <c r="N7080" s="55">
        <v>1.220048</v>
      </c>
    </row>
    <row r="7081" spans="1:14" hidden="1" x14ac:dyDescent="0.35">
      <c r="A7081" s="52" t="s">
        <v>691</v>
      </c>
      <c r="B7081" s="52" t="s">
        <v>34</v>
      </c>
      <c r="C7081" s="52" t="s">
        <v>33</v>
      </c>
      <c r="D7081" s="52" t="s">
        <v>33</v>
      </c>
      <c r="E7081" s="52" t="s">
        <v>584</v>
      </c>
      <c r="F7081" s="52" t="s">
        <v>581</v>
      </c>
      <c r="G7081" s="55" t="s">
        <v>277</v>
      </c>
      <c r="H7081" s="55">
        <v>5.4980010000000004</v>
      </c>
      <c r="I7081" s="55">
        <v>0</v>
      </c>
      <c r="J7081" s="55"/>
      <c r="K7081" s="55">
        <v>0</v>
      </c>
      <c r="L7081" s="55"/>
      <c r="M7081" s="55"/>
      <c r="N7081" s="55"/>
    </row>
    <row r="7082" spans="1:14" hidden="1" x14ac:dyDescent="0.35">
      <c r="A7082" s="52" t="s">
        <v>691</v>
      </c>
      <c r="B7082" s="52" t="s">
        <v>34</v>
      </c>
      <c r="C7082" s="52" t="s">
        <v>33</v>
      </c>
      <c r="D7082" s="52" t="s">
        <v>33</v>
      </c>
      <c r="E7082" s="52" t="s">
        <v>584</v>
      </c>
      <c r="F7082" s="52" t="s">
        <v>581</v>
      </c>
      <c r="G7082" s="55" t="s">
        <v>279</v>
      </c>
      <c r="H7082" s="55">
        <v>17.32377</v>
      </c>
      <c r="I7082" s="55">
        <v>15.968769999999999</v>
      </c>
      <c r="J7082" s="55">
        <v>425.58170000000001</v>
      </c>
      <c r="K7082" s="55">
        <v>14.136670000000001</v>
      </c>
      <c r="L7082" s="55">
        <v>14.31428</v>
      </c>
      <c r="M7082" s="55">
        <v>11.90939</v>
      </c>
      <c r="N7082" s="55">
        <v>11.76826</v>
      </c>
    </row>
    <row r="7083" spans="1:14" hidden="1" x14ac:dyDescent="0.35">
      <c r="A7083" s="52" t="s">
        <v>691</v>
      </c>
      <c r="B7083" s="52" t="s">
        <v>34</v>
      </c>
      <c r="C7083" s="52" t="s">
        <v>33</v>
      </c>
      <c r="D7083" s="52" t="s">
        <v>33</v>
      </c>
      <c r="E7083" s="52" t="s">
        <v>584</v>
      </c>
      <c r="F7083" s="52" t="s">
        <v>26</v>
      </c>
      <c r="G7083" s="55" t="s">
        <v>275</v>
      </c>
      <c r="H7083" s="55">
        <v>-5.9795239999999996</v>
      </c>
      <c r="I7083" s="55">
        <v>0.18503069999999999</v>
      </c>
      <c r="J7083" s="55">
        <v>-13.75996</v>
      </c>
      <c r="K7083" s="55">
        <v>-1.9699199999999999</v>
      </c>
      <c r="L7083" s="55">
        <v>-1.483552</v>
      </c>
      <c r="M7083" s="55">
        <v>-0.47842849999999998</v>
      </c>
      <c r="N7083" s="55">
        <v>-5.0933590000000004</v>
      </c>
    </row>
    <row r="7084" spans="1:14" hidden="1" x14ac:dyDescent="0.35">
      <c r="A7084" s="52" t="s">
        <v>691</v>
      </c>
      <c r="B7084" s="52" t="s">
        <v>34</v>
      </c>
      <c r="C7084" s="52" t="s">
        <v>33</v>
      </c>
      <c r="D7084" s="52" t="s">
        <v>33</v>
      </c>
      <c r="E7084" s="52" t="s">
        <v>584</v>
      </c>
      <c r="F7084" s="52" t="s">
        <v>26</v>
      </c>
      <c r="G7084" s="55" t="s">
        <v>276</v>
      </c>
      <c r="H7084" s="55">
        <v>-1.679986</v>
      </c>
      <c r="I7084" s="55">
        <v>-1.399626</v>
      </c>
      <c r="J7084" s="55">
        <v>-5.471349</v>
      </c>
      <c r="K7084" s="55">
        <v>-1.0604560000000001</v>
      </c>
      <c r="L7084" s="55">
        <v>-0.46331820000000001</v>
      </c>
      <c r="M7084" s="55">
        <v>-0.1630865</v>
      </c>
      <c r="N7084" s="55">
        <v>-1.521393</v>
      </c>
    </row>
    <row r="7085" spans="1:14" hidden="1" x14ac:dyDescent="0.35">
      <c r="A7085" s="52" t="s">
        <v>691</v>
      </c>
      <c r="B7085" s="52" t="s">
        <v>34</v>
      </c>
      <c r="C7085" s="52" t="s">
        <v>33</v>
      </c>
      <c r="D7085" s="52" t="s">
        <v>33</v>
      </c>
      <c r="E7085" s="52" t="s">
        <v>584</v>
      </c>
      <c r="F7085" s="52" t="s">
        <v>26</v>
      </c>
      <c r="G7085" s="55" t="s">
        <v>277</v>
      </c>
      <c r="H7085" s="55">
        <v>6.050999</v>
      </c>
      <c r="I7085" s="55">
        <v>0</v>
      </c>
      <c r="J7085" s="55"/>
      <c r="K7085" s="55">
        <v>0</v>
      </c>
      <c r="L7085" s="55"/>
      <c r="M7085" s="55"/>
      <c r="N7085" s="55"/>
    </row>
    <row r="7086" spans="1:14" hidden="1" x14ac:dyDescent="0.35">
      <c r="A7086" s="52" t="s">
        <v>691</v>
      </c>
      <c r="B7086" s="52" t="s">
        <v>34</v>
      </c>
      <c r="C7086" s="52" t="s">
        <v>33</v>
      </c>
      <c r="D7086" s="52" t="s">
        <v>33</v>
      </c>
      <c r="E7086" s="52" t="s">
        <v>584</v>
      </c>
      <c r="F7086" s="52" t="s">
        <v>26</v>
      </c>
      <c r="G7086" s="55" t="s">
        <v>279</v>
      </c>
      <c r="H7086" s="55">
        <v>7.7618359999999997</v>
      </c>
      <c r="I7086" s="55">
        <v>5.5696450000000004</v>
      </c>
      <c r="J7086" s="55">
        <v>21.929639999999999</v>
      </c>
      <c r="K7086" s="55">
        <v>4.9623010000000001</v>
      </c>
      <c r="L7086" s="55">
        <v>3.235131</v>
      </c>
      <c r="M7086" s="55">
        <v>1.5824549999999999</v>
      </c>
      <c r="N7086" s="55">
        <v>7.0317850000000002</v>
      </c>
    </row>
    <row r="7087" spans="1:14" hidden="1" x14ac:dyDescent="0.35">
      <c r="A7087" s="52" t="s">
        <v>757</v>
      </c>
      <c r="B7087" s="52" t="s">
        <v>168</v>
      </c>
      <c r="C7087" s="52" t="s">
        <v>87</v>
      </c>
      <c r="D7087" s="52" t="s">
        <v>87</v>
      </c>
      <c r="E7087" s="52" t="s">
        <v>584</v>
      </c>
      <c r="F7087" s="52" t="s">
        <v>581</v>
      </c>
      <c r="G7087" s="55" t="s">
        <v>275</v>
      </c>
      <c r="H7087" s="55">
        <v>80.723870000000005</v>
      </c>
      <c r="I7087" s="55">
        <v>33.645949999999999</v>
      </c>
      <c r="J7087" s="55">
        <v>5.7401590000000002</v>
      </c>
      <c r="K7087" s="55">
        <v>30.523150000000001</v>
      </c>
      <c r="L7087" s="55">
        <v>75.319659999999999</v>
      </c>
      <c r="M7087" s="55">
        <v>32.092750000000002</v>
      </c>
      <c r="N7087" s="55">
        <v>4.6854100000000001</v>
      </c>
    </row>
    <row r="7088" spans="1:14" hidden="1" x14ac:dyDescent="0.35">
      <c r="A7088" s="52" t="s">
        <v>757</v>
      </c>
      <c r="B7088" s="52" t="s">
        <v>168</v>
      </c>
      <c r="C7088" s="52" t="s">
        <v>87</v>
      </c>
      <c r="D7088" s="52" t="s">
        <v>87</v>
      </c>
      <c r="E7088" s="52" t="s">
        <v>584</v>
      </c>
      <c r="F7088" s="52" t="s">
        <v>581</v>
      </c>
      <c r="G7088" s="55" t="s">
        <v>276</v>
      </c>
      <c r="H7088" s="55">
        <v>212.63740000000001</v>
      </c>
      <c r="I7088" s="55">
        <v>-50.294159999999998</v>
      </c>
      <c r="J7088" s="55">
        <v>-17.039929999999998</v>
      </c>
      <c r="K7088" s="55">
        <v>37.095120000000001</v>
      </c>
      <c r="L7088" s="55">
        <v>4.4987130000000004</v>
      </c>
      <c r="M7088" s="55">
        <v>-25.94763</v>
      </c>
      <c r="N7088" s="55">
        <v>-51.549309999999998</v>
      </c>
    </row>
    <row r="7089" spans="1:14" hidden="1" x14ac:dyDescent="0.35">
      <c r="A7089" s="52" t="s">
        <v>757</v>
      </c>
      <c r="B7089" s="52" t="s">
        <v>168</v>
      </c>
      <c r="C7089" s="52" t="s">
        <v>87</v>
      </c>
      <c r="D7089" s="52" t="s">
        <v>87</v>
      </c>
      <c r="E7089" s="52" t="s">
        <v>584</v>
      </c>
      <c r="F7089" s="52" t="s">
        <v>581</v>
      </c>
      <c r="G7089" s="55" t="s">
        <v>277</v>
      </c>
      <c r="H7089" s="55">
        <v>136.3708</v>
      </c>
      <c r="I7089" s="55">
        <v>75.794780000000003</v>
      </c>
      <c r="J7089" s="55">
        <v>73.307299999999998</v>
      </c>
      <c r="K7089" s="55">
        <v>85.019130000000004</v>
      </c>
      <c r="L7089" s="55">
        <v>46.243679999999998</v>
      </c>
      <c r="M7089" s="55">
        <v>44.229199999999999</v>
      </c>
      <c r="N7089" s="55">
        <v>46.754429999999999</v>
      </c>
    </row>
    <row r="7090" spans="1:14" hidden="1" x14ac:dyDescent="0.35">
      <c r="A7090" s="52" t="s">
        <v>757</v>
      </c>
      <c r="B7090" s="52" t="s">
        <v>168</v>
      </c>
      <c r="C7090" s="52" t="s">
        <v>87</v>
      </c>
      <c r="D7090" s="52" t="s">
        <v>87</v>
      </c>
      <c r="E7090" s="52" t="s">
        <v>584</v>
      </c>
      <c r="F7090" s="52" t="s">
        <v>581</v>
      </c>
      <c r="G7090" s="55" t="s">
        <v>278</v>
      </c>
      <c r="H7090" s="55">
        <v>0.1192809</v>
      </c>
      <c r="I7090" s="55">
        <v>0.1031014</v>
      </c>
      <c r="J7090" s="55">
        <v>0.63657719999999995</v>
      </c>
      <c r="K7090" s="55">
        <v>0.25341609999999998</v>
      </c>
      <c r="L7090" s="55">
        <v>5.6716009999999997E-2</v>
      </c>
      <c r="M7090" s="55">
        <v>4.3848159999999997E-2</v>
      </c>
      <c r="N7090" s="55">
        <v>4.3848159999999997E-2</v>
      </c>
    </row>
    <row r="7091" spans="1:14" hidden="1" x14ac:dyDescent="0.35">
      <c r="A7091" s="52" t="s">
        <v>757</v>
      </c>
      <c r="B7091" s="52" t="s">
        <v>168</v>
      </c>
      <c r="C7091" s="52" t="s">
        <v>87</v>
      </c>
      <c r="D7091" s="52" t="s">
        <v>87</v>
      </c>
      <c r="E7091" s="52" t="s">
        <v>584</v>
      </c>
      <c r="F7091" s="52" t="s">
        <v>581</v>
      </c>
      <c r="G7091" s="55" t="s">
        <v>279</v>
      </c>
      <c r="H7091" s="55">
        <v>277.41019999999997</v>
      </c>
      <c r="I7091" s="55">
        <v>214.7105</v>
      </c>
      <c r="J7091" s="55">
        <v>205.82159999999999</v>
      </c>
      <c r="K7091" s="55">
        <v>168.1995</v>
      </c>
      <c r="L7091" s="55">
        <v>213.7878</v>
      </c>
      <c r="M7091" s="55">
        <v>236.61660000000001</v>
      </c>
      <c r="N7091" s="55">
        <v>252.03649999999999</v>
      </c>
    </row>
    <row r="7092" spans="1:14" hidden="1" x14ac:dyDescent="0.35">
      <c r="A7092" s="52" t="s">
        <v>757</v>
      </c>
      <c r="B7092" s="52" t="s">
        <v>168</v>
      </c>
      <c r="C7092" s="52" t="s">
        <v>87</v>
      </c>
      <c r="D7092" s="52" t="s">
        <v>87</v>
      </c>
      <c r="E7092" s="52" t="s">
        <v>584</v>
      </c>
      <c r="F7092" s="52" t="s">
        <v>26</v>
      </c>
      <c r="G7092" s="55" t="s">
        <v>275</v>
      </c>
      <c r="H7092" s="55">
        <v>-203.10419999999999</v>
      </c>
      <c r="I7092" s="55">
        <v>-195.61949999999999</v>
      </c>
      <c r="J7092" s="55">
        <v>-171.7045</v>
      </c>
      <c r="K7092" s="55">
        <v>-49.116190000000003</v>
      </c>
      <c r="L7092" s="55">
        <v>140.85130000000001</v>
      </c>
      <c r="M7092" s="55">
        <v>143.90620000000001</v>
      </c>
      <c r="N7092" s="55">
        <v>78.865639999999999</v>
      </c>
    </row>
    <row r="7093" spans="1:14" hidden="1" x14ac:dyDescent="0.35">
      <c r="A7093" s="52" t="s">
        <v>757</v>
      </c>
      <c r="B7093" s="52" t="s">
        <v>168</v>
      </c>
      <c r="C7093" s="52" t="s">
        <v>87</v>
      </c>
      <c r="D7093" s="52" t="s">
        <v>87</v>
      </c>
      <c r="E7093" s="52" t="s">
        <v>584</v>
      </c>
      <c r="F7093" s="52" t="s">
        <v>26</v>
      </c>
      <c r="G7093" s="55" t="s">
        <v>276</v>
      </c>
      <c r="H7093" s="55">
        <v>4.0603889999999998</v>
      </c>
      <c r="I7093" s="55">
        <v>-73.770030000000006</v>
      </c>
      <c r="J7093" s="55">
        <v>-42.975920000000002</v>
      </c>
      <c r="K7093" s="55">
        <v>-207.68010000000001</v>
      </c>
      <c r="L7093" s="55">
        <v>-50.587009999999999</v>
      </c>
      <c r="M7093" s="55">
        <v>-32.25562</v>
      </c>
      <c r="N7093" s="55">
        <v>-10.71837</v>
      </c>
    </row>
    <row r="7094" spans="1:14" hidden="1" x14ac:dyDescent="0.35">
      <c r="A7094" s="52" t="s">
        <v>757</v>
      </c>
      <c r="B7094" s="52" t="s">
        <v>168</v>
      </c>
      <c r="C7094" s="52" t="s">
        <v>87</v>
      </c>
      <c r="D7094" s="52" t="s">
        <v>87</v>
      </c>
      <c r="E7094" s="52" t="s">
        <v>584</v>
      </c>
      <c r="F7094" s="52" t="s">
        <v>26</v>
      </c>
      <c r="G7094" s="55" t="s">
        <v>277</v>
      </c>
      <c r="H7094" s="55">
        <v>233.10120000000001</v>
      </c>
      <c r="I7094" s="55">
        <v>177.38919999999999</v>
      </c>
      <c r="J7094" s="55">
        <v>164.78870000000001</v>
      </c>
      <c r="K7094" s="55">
        <v>212.69290000000001</v>
      </c>
      <c r="L7094" s="55">
        <v>36.799999999999997</v>
      </c>
      <c r="M7094" s="55">
        <v>3.6800009999999999</v>
      </c>
      <c r="N7094" s="55">
        <v>71.906800000000004</v>
      </c>
    </row>
    <row r="7095" spans="1:14" hidden="1" x14ac:dyDescent="0.35">
      <c r="A7095" s="52" t="s">
        <v>757</v>
      </c>
      <c r="B7095" s="52" t="s">
        <v>168</v>
      </c>
      <c r="C7095" s="52" t="s">
        <v>87</v>
      </c>
      <c r="D7095" s="52" t="s">
        <v>87</v>
      </c>
      <c r="E7095" s="52" t="s">
        <v>584</v>
      </c>
      <c r="F7095" s="52" t="s">
        <v>26</v>
      </c>
      <c r="G7095" s="55" t="s">
        <v>278</v>
      </c>
      <c r="H7095" s="55">
        <v>1.5922619999999998E-2</v>
      </c>
      <c r="I7095" s="55">
        <v>3.2102110000000003E-2</v>
      </c>
      <c r="J7095" s="55">
        <v>9.6306350000000002E-3</v>
      </c>
      <c r="K7095" s="55">
        <v>9.6306340000000008E-3</v>
      </c>
      <c r="L7095" s="55">
        <v>9.6306340000000008E-3</v>
      </c>
      <c r="M7095" s="55">
        <v>4.7767870000000002E-3</v>
      </c>
      <c r="N7095" s="55">
        <v>0</v>
      </c>
    </row>
    <row r="7096" spans="1:14" hidden="1" x14ac:dyDescent="0.35">
      <c r="A7096" s="52" t="s">
        <v>757</v>
      </c>
      <c r="B7096" s="52" t="s">
        <v>168</v>
      </c>
      <c r="C7096" s="52" t="s">
        <v>87</v>
      </c>
      <c r="D7096" s="52" t="s">
        <v>87</v>
      </c>
      <c r="E7096" s="52" t="s">
        <v>584</v>
      </c>
      <c r="F7096" s="52" t="s">
        <v>26</v>
      </c>
      <c r="G7096" s="55" t="s">
        <v>279</v>
      </c>
      <c r="H7096" s="55">
        <v>127.9888</v>
      </c>
      <c r="I7096" s="55">
        <v>137.21860000000001</v>
      </c>
      <c r="J7096" s="55">
        <v>87.309939999999997</v>
      </c>
      <c r="K7096" s="55">
        <v>137.79230000000001</v>
      </c>
      <c r="L7096" s="55">
        <v>71.089190000000002</v>
      </c>
      <c r="M7096" s="55">
        <v>65.739990000000006</v>
      </c>
      <c r="N7096" s="55">
        <v>77.205309999999997</v>
      </c>
    </row>
    <row r="7097" spans="1:14" hidden="1" x14ac:dyDescent="0.35">
      <c r="A7097" s="52" t="s">
        <v>757</v>
      </c>
      <c r="B7097" s="52" t="s">
        <v>168</v>
      </c>
      <c r="C7097" s="52" t="s">
        <v>87</v>
      </c>
      <c r="D7097" s="52" t="s">
        <v>169</v>
      </c>
      <c r="E7097" s="52" t="s">
        <v>584</v>
      </c>
      <c r="F7097" s="52" t="s">
        <v>581</v>
      </c>
      <c r="G7097" s="55" t="s">
        <v>275</v>
      </c>
      <c r="H7097" s="55">
        <v>-0.68822629999999996</v>
      </c>
      <c r="I7097" s="55">
        <v>1.702604</v>
      </c>
      <c r="J7097" s="55">
        <v>-1.3535999999999999</v>
      </c>
      <c r="K7097" s="55">
        <v>-2.0187940000000002</v>
      </c>
      <c r="L7097" s="55">
        <v>0.29237920000000001</v>
      </c>
      <c r="M7097" s="55">
        <v>0.1173785</v>
      </c>
      <c r="N7097" s="55">
        <v>3.5719550000000003E-2</v>
      </c>
    </row>
    <row r="7098" spans="1:14" hidden="1" x14ac:dyDescent="0.35">
      <c r="A7098" s="52" t="s">
        <v>757</v>
      </c>
      <c r="B7098" s="52" t="s">
        <v>168</v>
      </c>
      <c r="C7098" s="52" t="s">
        <v>87</v>
      </c>
      <c r="D7098" s="52" t="s">
        <v>169</v>
      </c>
      <c r="E7098" s="52" t="s">
        <v>584</v>
      </c>
      <c r="F7098" s="52" t="s">
        <v>581</v>
      </c>
      <c r="G7098" s="55" t="s">
        <v>276</v>
      </c>
      <c r="H7098" s="55">
        <v>-1.1626510000000001</v>
      </c>
      <c r="I7098" s="55">
        <v>3.0877119999999998</v>
      </c>
      <c r="J7098" s="55">
        <v>-2.4165199999999998</v>
      </c>
      <c r="K7098" s="55">
        <v>-4.3761979999999996</v>
      </c>
      <c r="L7098" s="55">
        <v>0.47500740000000002</v>
      </c>
      <c r="M7098" s="55">
        <v>0.19855110000000001</v>
      </c>
      <c r="N7098" s="55">
        <v>5.3380789999999997E-2</v>
      </c>
    </row>
    <row r="7099" spans="1:14" hidden="1" x14ac:dyDescent="0.35">
      <c r="A7099" s="52" t="s">
        <v>757</v>
      </c>
      <c r="B7099" s="52" t="s">
        <v>168</v>
      </c>
      <c r="C7099" s="52" t="s">
        <v>87</v>
      </c>
      <c r="D7099" s="52" t="s">
        <v>169</v>
      </c>
      <c r="E7099" s="52" t="s">
        <v>584</v>
      </c>
      <c r="F7099" s="52" t="s">
        <v>581</v>
      </c>
      <c r="G7099" s="55" t="s">
        <v>278</v>
      </c>
      <c r="H7099" s="55">
        <v>3.4234670000000002E-2</v>
      </c>
      <c r="I7099" s="55">
        <v>3.4234670000000002E-2</v>
      </c>
      <c r="J7099" s="55">
        <v>3.4234670000000002E-2</v>
      </c>
      <c r="K7099" s="55">
        <v>0.81134539999999999</v>
      </c>
      <c r="L7099" s="55">
        <v>6.8893280000000001E-2</v>
      </c>
      <c r="M7099" s="55">
        <v>3.4234670000000002E-2</v>
      </c>
      <c r="N7099" s="55">
        <v>3.4234670000000002E-2</v>
      </c>
    </row>
    <row r="7100" spans="1:14" hidden="1" x14ac:dyDescent="0.35">
      <c r="A7100" s="52" t="s">
        <v>757</v>
      </c>
      <c r="B7100" s="52" t="s">
        <v>168</v>
      </c>
      <c r="C7100" s="52" t="s">
        <v>87</v>
      </c>
      <c r="D7100" s="52" t="s">
        <v>169</v>
      </c>
      <c r="E7100" s="52" t="s">
        <v>584</v>
      </c>
      <c r="F7100" s="52" t="s">
        <v>581</v>
      </c>
      <c r="G7100" s="55" t="s">
        <v>279</v>
      </c>
      <c r="H7100" s="55">
        <v>5.6827290000000001</v>
      </c>
      <c r="I7100" s="55">
        <v>4.5541879999999999</v>
      </c>
      <c r="J7100" s="55">
        <v>5.2376230000000001</v>
      </c>
      <c r="K7100" s="55">
        <v>5.7205120000000003</v>
      </c>
      <c r="L7100" s="55">
        <v>0.34083829999999998</v>
      </c>
      <c r="M7100" s="55">
        <v>0.25845299999999999</v>
      </c>
      <c r="N7100" s="55">
        <v>3.752838E-2</v>
      </c>
    </row>
    <row r="7101" spans="1:14" hidden="1" x14ac:dyDescent="0.35">
      <c r="A7101" s="52" t="s">
        <v>757</v>
      </c>
      <c r="B7101" s="52" t="s">
        <v>168</v>
      </c>
      <c r="C7101" s="52" t="s">
        <v>87</v>
      </c>
      <c r="D7101" s="52" t="s">
        <v>169</v>
      </c>
      <c r="E7101" s="52" t="s">
        <v>584</v>
      </c>
      <c r="F7101" s="52" t="s">
        <v>26</v>
      </c>
      <c r="G7101" s="55" t="s">
        <v>275</v>
      </c>
      <c r="H7101" s="55">
        <v>-1.270275</v>
      </c>
      <c r="I7101" s="55">
        <v>-3.541776</v>
      </c>
      <c r="J7101" s="55">
        <v>-4.5231919999999999</v>
      </c>
      <c r="K7101" s="55">
        <v>-2.1086939999999998</v>
      </c>
      <c r="L7101" s="55">
        <v>1.9765360000000001</v>
      </c>
      <c r="M7101" s="55">
        <v>-0.57373280000000004</v>
      </c>
      <c r="N7101" s="55">
        <v>-0.2693757</v>
      </c>
    </row>
    <row r="7102" spans="1:14" hidden="1" x14ac:dyDescent="0.35">
      <c r="A7102" s="52" t="s">
        <v>757</v>
      </c>
      <c r="B7102" s="52" t="s">
        <v>168</v>
      </c>
      <c r="C7102" s="52" t="s">
        <v>87</v>
      </c>
      <c r="D7102" s="52" t="s">
        <v>169</v>
      </c>
      <c r="E7102" s="52" t="s">
        <v>584</v>
      </c>
      <c r="F7102" s="52" t="s">
        <v>26</v>
      </c>
      <c r="G7102" s="55" t="s">
        <v>276</v>
      </c>
      <c r="H7102" s="55">
        <v>-2.2582659999999999</v>
      </c>
      <c r="I7102" s="55">
        <v>-6.2964909999999996</v>
      </c>
      <c r="J7102" s="55">
        <v>-8.0412309999999998</v>
      </c>
      <c r="K7102" s="55">
        <v>-3.7487889999999999</v>
      </c>
      <c r="L7102" s="55">
        <v>3.5138419999999999</v>
      </c>
      <c r="M7102" s="55">
        <v>-1.01997</v>
      </c>
      <c r="N7102" s="55">
        <v>-0.47888989999999998</v>
      </c>
    </row>
    <row r="7103" spans="1:14" hidden="1" x14ac:dyDescent="0.35">
      <c r="A7103" s="52" t="s">
        <v>757</v>
      </c>
      <c r="B7103" s="52" t="s">
        <v>168</v>
      </c>
      <c r="C7103" s="52" t="s">
        <v>87</v>
      </c>
      <c r="D7103" s="52" t="s">
        <v>169</v>
      </c>
      <c r="E7103" s="52" t="s">
        <v>584</v>
      </c>
      <c r="F7103" s="52" t="s">
        <v>26</v>
      </c>
      <c r="G7103" s="55" t="s">
        <v>279</v>
      </c>
      <c r="H7103" s="55">
        <v>16.043579999999999</v>
      </c>
      <c r="I7103" s="55">
        <v>14.7193</v>
      </c>
      <c r="J7103" s="55">
        <v>13.442449999999999</v>
      </c>
      <c r="K7103" s="55">
        <v>10.695970000000001</v>
      </c>
      <c r="L7103" s="55">
        <v>12.56002</v>
      </c>
      <c r="M7103" s="55">
        <v>10.930440000000001</v>
      </c>
      <c r="N7103" s="55">
        <v>3.1224750000000001</v>
      </c>
    </row>
    <row r="7104" spans="1:14" hidden="1" x14ac:dyDescent="0.35">
      <c r="A7104" s="52" t="s">
        <v>757</v>
      </c>
      <c r="B7104" s="52" t="s">
        <v>168</v>
      </c>
      <c r="C7104" s="52" t="s">
        <v>87</v>
      </c>
      <c r="D7104" s="52" t="s">
        <v>88</v>
      </c>
      <c r="E7104" s="52" t="s">
        <v>584</v>
      </c>
      <c r="F7104" s="52" t="s">
        <v>581</v>
      </c>
      <c r="G7104" s="55" t="s">
        <v>275</v>
      </c>
      <c r="H7104" s="55">
        <v>-1.6179490000000001E-2</v>
      </c>
      <c r="I7104" s="55">
        <v>-1.6179490000000001E-2</v>
      </c>
      <c r="J7104" s="55">
        <v>-1.6179490000000001E-2</v>
      </c>
      <c r="K7104" s="55">
        <v>-1.6179490000000001E-2</v>
      </c>
      <c r="L7104" s="55">
        <v>-1.6179490000000001E-2</v>
      </c>
      <c r="M7104" s="55">
        <v>0</v>
      </c>
      <c r="N7104" s="55"/>
    </row>
    <row r="7105" spans="1:14" hidden="1" x14ac:dyDescent="0.35">
      <c r="A7105" s="52" t="s">
        <v>757</v>
      </c>
      <c r="B7105" s="52" t="s">
        <v>168</v>
      </c>
      <c r="C7105" s="52" t="s">
        <v>87</v>
      </c>
      <c r="D7105" s="52" t="s">
        <v>88</v>
      </c>
      <c r="E7105" s="52" t="s">
        <v>584</v>
      </c>
      <c r="F7105" s="52" t="s">
        <v>581</v>
      </c>
      <c r="G7105" s="55" t="s">
        <v>278</v>
      </c>
      <c r="H7105" s="55">
        <v>1.6179490000000001E-2</v>
      </c>
      <c r="I7105" s="55">
        <v>1.6179490000000001E-2</v>
      </c>
      <c r="J7105" s="55">
        <v>1.6179490000000001E-2</v>
      </c>
      <c r="K7105" s="55">
        <v>1.6179490000000001E-2</v>
      </c>
      <c r="L7105" s="55">
        <v>1.6179490000000001E-2</v>
      </c>
      <c r="M7105" s="55">
        <v>0</v>
      </c>
      <c r="N7105" s="55"/>
    </row>
    <row r="7106" spans="1:14" hidden="1" x14ac:dyDescent="0.35">
      <c r="A7106" s="52" t="s">
        <v>757</v>
      </c>
      <c r="B7106" s="52" t="s">
        <v>168</v>
      </c>
      <c r="C7106" s="52" t="s">
        <v>262</v>
      </c>
      <c r="D7106" s="52" t="s">
        <v>758</v>
      </c>
      <c r="E7106" s="52" t="s">
        <v>584</v>
      </c>
      <c r="F7106" s="52" t="s">
        <v>581</v>
      </c>
      <c r="G7106" s="55" t="s">
        <v>275</v>
      </c>
      <c r="H7106" s="55">
        <v>-1.8172399999999998E-2</v>
      </c>
      <c r="I7106" s="55">
        <v>-1.8172399999999998E-2</v>
      </c>
      <c r="J7106" s="55">
        <v>0</v>
      </c>
      <c r="K7106" s="55">
        <v>0</v>
      </c>
      <c r="L7106" s="55">
        <v>0</v>
      </c>
      <c r="M7106" s="55">
        <v>0</v>
      </c>
      <c r="N7106" s="55">
        <v>0</v>
      </c>
    </row>
    <row r="7107" spans="1:14" hidden="1" x14ac:dyDescent="0.35">
      <c r="A7107" s="52" t="s">
        <v>757</v>
      </c>
      <c r="B7107" s="52" t="s">
        <v>168</v>
      </c>
      <c r="C7107" s="52" t="s">
        <v>262</v>
      </c>
      <c r="D7107" s="52" t="s">
        <v>758</v>
      </c>
      <c r="E7107" s="52" t="s">
        <v>584</v>
      </c>
      <c r="F7107" s="52" t="s">
        <v>581</v>
      </c>
      <c r="G7107" s="55" t="s">
        <v>276</v>
      </c>
      <c r="H7107" s="55"/>
      <c r="I7107" s="55"/>
      <c r="J7107" s="55"/>
      <c r="K7107" s="55"/>
      <c r="L7107" s="55"/>
      <c r="M7107" s="55">
        <v>0</v>
      </c>
      <c r="N7107" s="55">
        <v>0</v>
      </c>
    </row>
    <row r="7108" spans="1:14" hidden="1" x14ac:dyDescent="0.35">
      <c r="A7108" s="52" t="s">
        <v>757</v>
      </c>
      <c r="B7108" s="52" t="s">
        <v>168</v>
      </c>
      <c r="C7108" s="52" t="s">
        <v>262</v>
      </c>
      <c r="D7108" s="52" t="s">
        <v>758</v>
      </c>
      <c r="E7108" s="52" t="s">
        <v>584</v>
      </c>
      <c r="F7108" s="52" t="s">
        <v>581</v>
      </c>
      <c r="G7108" s="55" t="s">
        <v>277</v>
      </c>
      <c r="H7108" s="55"/>
      <c r="I7108" s="55"/>
      <c r="J7108" s="55"/>
      <c r="K7108" s="55"/>
      <c r="L7108" s="55"/>
      <c r="M7108" s="55">
        <v>0</v>
      </c>
      <c r="N7108" s="55">
        <v>0</v>
      </c>
    </row>
    <row r="7109" spans="1:14" hidden="1" x14ac:dyDescent="0.35">
      <c r="A7109" s="52" t="s">
        <v>757</v>
      </c>
      <c r="B7109" s="52" t="s">
        <v>168</v>
      </c>
      <c r="C7109" s="52" t="s">
        <v>262</v>
      </c>
      <c r="D7109" s="52" t="s">
        <v>758</v>
      </c>
      <c r="E7109" s="52" t="s">
        <v>584</v>
      </c>
      <c r="F7109" s="52" t="s">
        <v>581</v>
      </c>
      <c r="G7109" s="55" t="s">
        <v>278</v>
      </c>
      <c r="H7109" s="55">
        <v>1.8172399999999998E-2</v>
      </c>
      <c r="I7109" s="55">
        <v>1.8172399999999998E-2</v>
      </c>
      <c r="J7109" s="55">
        <v>0</v>
      </c>
      <c r="K7109" s="55">
        <v>0</v>
      </c>
      <c r="L7109" s="55">
        <v>0</v>
      </c>
      <c r="M7109" s="55">
        <v>0</v>
      </c>
      <c r="N7109" s="55">
        <v>0</v>
      </c>
    </row>
    <row r="7110" spans="1:14" hidden="1" x14ac:dyDescent="0.35">
      <c r="A7110" s="52" t="s">
        <v>757</v>
      </c>
      <c r="B7110" s="52" t="s">
        <v>168</v>
      </c>
      <c r="C7110" s="52" t="s">
        <v>262</v>
      </c>
      <c r="D7110" s="52" t="s">
        <v>758</v>
      </c>
      <c r="E7110" s="52" t="s">
        <v>584</v>
      </c>
      <c r="F7110" s="52" t="s">
        <v>581</v>
      </c>
      <c r="G7110" s="55" t="s">
        <v>279</v>
      </c>
      <c r="H7110" s="55"/>
      <c r="I7110" s="55"/>
      <c r="J7110" s="55"/>
      <c r="K7110" s="55"/>
      <c r="L7110" s="55"/>
      <c r="M7110" s="55">
        <v>0</v>
      </c>
      <c r="N7110" s="55">
        <v>0</v>
      </c>
    </row>
    <row r="7111" spans="1:14" hidden="1" x14ac:dyDescent="0.35">
      <c r="A7111" s="52" t="s">
        <v>743</v>
      </c>
      <c r="B7111" s="52" t="s">
        <v>37</v>
      </c>
      <c r="C7111" s="52" t="s">
        <v>35</v>
      </c>
      <c r="D7111" s="52" t="s">
        <v>129</v>
      </c>
      <c r="E7111" s="52" t="s">
        <v>580</v>
      </c>
      <c r="F7111" s="52" t="s">
        <v>581</v>
      </c>
      <c r="G7111" s="55" t="s">
        <v>275</v>
      </c>
      <c r="H7111" s="55">
        <v>-206.10599999999999</v>
      </c>
      <c r="I7111" s="55">
        <v>-29.07281</v>
      </c>
      <c r="J7111" s="55">
        <v>134.6669</v>
      </c>
      <c r="K7111" s="55">
        <v>178.87190000000001</v>
      </c>
      <c r="L7111" s="55">
        <v>150.7818</v>
      </c>
      <c r="M7111" s="55">
        <v>89.846339999999998</v>
      </c>
      <c r="N7111" s="55">
        <v>66.361789999999999</v>
      </c>
    </row>
    <row r="7112" spans="1:14" hidden="1" x14ac:dyDescent="0.35">
      <c r="A7112" s="52" t="s">
        <v>743</v>
      </c>
      <c r="B7112" s="52" t="s">
        <v>37</v>
      </c>
      <c r="C7112" s="52" t="s">
        <v>35</v>
      </c>
      <c r="D7112" s="52" t="s">
        <v>129</v>
      </c>
      <c r="E7112" s="52" t="s">
        <v>580</v>
      </c>
      <c r="F7112" s="52" t="s">
        <v>581</v>
      </c>
      <c r="G7112" s="55" t="s">
        <v>276</v>
      </c>
      <c r="H7112" s="55">
        <v>34.659820000000003</v>
      </c>
      <c r="I7112" s="55">
        <v>-31.869150000000001</v>
      </c>
      <c r="J7112" s="55">
        <v>-54.969259999999998</v>
      </c>
      <c r="K7112" s="55">
        <v>-55.614310000000003</v>
      </c>
      <c r="L7112" s="55">
        <v>-39.377279999999999</v>
      </c>
      <c r="M7112" s="55">
        <v>-0.75138950000000004</v>
      </c>
      <c r="N7112" s="55">
        <v>9.9567379999999996</v>
      </c>
    </row>
    <row r="7113" spans="1:14" hidden="1" x14ac:dyDescent="0.35">
      <c r="A7113" s="52" t="s">
        <v>743</v>
      </c>
      <c r="B7113" s="52" t="s">
        <v>37</v>
      </c>
      <c r="C7113" s="52" t="s">
        <v>35</v>
      </c>
      <c r="D7113" s="52" t="s">
        <v>129</v>
      </c>
      <c r="E7113" s="52" t="s">
        <v>580</v>
      </c>
      <c r="F7113" s="52" t="s">
        <v>581</v>
      </c>
      <c r="G7113" s="55" t="s">
        <v>277</v>
      </c>
      <c r="H7113" s="55">
        <v>581.18370000000004</v>
      </c>
      <c r="I7113" s="55">
        <v>204.00919999999999</v>
      </c>
      <c r="J7113" s="55">
        <v>83.719409999999996</v>
      </c>
      <c r="K7113" s="55">
        <v>12.94035</v>
      </c>
      <c r="L7113" s="55">
        <v>21.95833</v>
      </c>
      <c r="M7113" s="55">
        <v>22.849309999999999</v>
      </c>
      <c r="N7113" s="55">
        <v>27.515339999999998</v>
      </c>
    </row>
    <row r="7114" spans="1:14" hidden="1" x14ac:dyDescent="0.35">
      <c r="A7114" s="52" t="s">
        <v>743</v>
      </c>
      <c r="B7114" s="52" t="s">
        <v>37</v>
      </c>
      <c r="C7114" s="52" t="s">
        <v>35</v>
      </c>
      <c r="D7114" s="52" t="s">
        <v>129</v>
      </c>
      <c r="E7114" s="52" t="s">
        <v>580</v>
      </c>
      <c r="F7114" s="52" t="s">
        <v>581</v>
      </c>
      <c r="G7114" s="55" t="s">
        <v>278</v>
      </c>
      <c r="H7114" s="55">
        <v>122.1639</v>
      </c>
      <c r="I7114" s="55">
        <v>35.990780000000001</v>
      </c>
      <c r="J7114" s="55">
        <v>29.618480000000002</v>
      </c>
      <c r="K7114" s="55">
        <v>39.606090000000002</v>
      </c>
      <c r="L7114" s="55">
        <v>23.87473</v>
      </c>
      <c r="M7114" s="55">
        <v>16.270679999999999</v>
      </c>
      <c r="N7114" s="55">
        <v>16.26502</v>
      </c>
    </row>
    <row r="7115" spans="1:14" hidden="1" x14ac:dyDescent="0.35">
      <c r="A7115" s="52" t="s">
        <v>743</v>
      </c>
      <c r="B7115" s="52" t="s">
        <v>37</v>
      </c>
      <c r="C7115" s="52" t="s">
        <v>35</v>
      </c>
      <c r="D7115" s="52" t="s">
        <v>129</v>
      </c>
      <c r="E7115" s="52" t="s">
        <v>580</v>
      </c>
      <c r="F7115" s="52" t="s">
        <v>581</v>
      </c>
      <c r="G7115" s="55" t="s">
        <v>279</v>
      </c>
      <c r="H7115" s="55">
        <v>223.1962</v>
      </c>
      <c r="I7115" s="55">
        <v>157.48859999999999</v>
      </c>
      <c r="J7115" s="55">
        <v>157.07140000000001</v>
      </c>
      <c r="K7115" s="55">
        <v>150.5993</v>
      </c>
      <c r="L7115" s="55">
        <v>122.67959999999999</v>
      </c>
      <c r="M7115" s="55">
        <v>120.9024</v>
      </c>
      <c r="N7115" s="55">
        <v>109.9435</v>
      </c>
    </row>
    <row r="7116" spans="1:14" hidden="1" x14ac:dyDescent="0.35">
      <c r="A7116" s="52" t="s">
        <v>743</v>
      </c>
      <c r="B7116" s="52" t="s">
        <v>37</v>
      </c>
      <c r="C7116" s="52" t="s">
        <v>35</v>
      </c>
      <c r="D7116" s="52" t="s">
        <v>129</v>
      </c>
      <c r="E7116" s="52" t="s">
        <v>580</v>
      </c>
      <c r="F7116" s="52" t="s">
        <v>26</v>
      </c>
      <c r="G7116" s="55" t="s">
        <v>275</v>
      </c>
      <c r="H7116" s="55">
        <v>-20.506820000000001</v>
      </c>
      <c r="I7116" s="55">
        <v>-15.608650000000001</v>
      </c>
      <c r="J7116" s="55">
        <v>-13.84684</v>
      </c>
      <c r="K7116" s="55">
        <v>-14.2248</v>
      </c>
      <c r="L7116" s="55">
        <v>-10.920669999999999</v>
      </c>
      <c r="M7116" s="55">
        <v>-12.676019999999999</v>
      </c>
      <c r="N7116" s="55">
        <v>-11.44172</v>
      </c>
    </row>
    <row r="7117" spans="1:14" hidden="1" x14ac:dyDescent="0.35">
      <c r="A7117" s="52" t="s">
        <v>743</v>
      </c>
      <c r="B7117" s="52" t="s">
        <v>37</v>
      </c>
      <c r="C7117" s="52" t="s">
        <v>35</v>
      </c>
      <c r="D7117" s="52" t="s">
        <v>129</v>
      </c>
      <c r="E7117" s="52" t="s">
        <v>580</v>
      </c>
      <c r="F7117" s="52" t="s">
        <v>26</v>
      </c>
      <c r="G7117" s="55" t="s">
        <v>276</v>
      </c>
      <c r="H7117" s="55">
        <v>-5.4511950000000002</v>
      </c>
      <c r="I7117" s="55">
        <v>-4.1491369999999996</v>
      </c>
      <c r="J7117" s="55">
        <v>-3.6807989999999999</v>
      </c>
      <c r="K7117" s="55">
        <v>-3.7812790000000001</v>
      </c>
      <c r="L7117" s="55">
        <v>-2.902965</v>
      </c>
      <c r="M7117" s="55">
        <v>-3.369586</v>
      </c>
      <c r="N7117" s="55">
        <v>-3.0414599999999998</v>
      </c>
    </row>
    <row r="7118" spans="1:14" hidden="1" x14ac:dyDescent="0.35">
      <c r="A7118" s="52" t="s">
        <v>743</v>
      </c>
      <c r="B7118" s="52" t="s">
        <v>37</v>
      </c>
      <c r="C7118" s="52" t="s">
        <v>35</v>
      </c>
      <c r="D7118" s="52" t="s">
        <v>129</v>
      </c>
      <c r="E7118" s="52" t="s">
        <v>580</v>
      </c>
      <c r="F7118" s="52" t="s">
        <v>26</v>
      </c>
      <c r="G7118" s="55" t="s">
        <v>279</v>
      </c>
      <c r="H7118" s="55">
        <v>61.699440000000003</v>
      </c>
      <c r="I7118" s="55">
        <v>44.643009999999997</v>
      </c>
      <c r="J7118" s="55">
        <v>44.497920000000001</v>
      </c>
      <c r="K7118" s="55">
        <v>42.95805</v>
      </c>
      <c r="L7118" s="55">
        <v>35.056019999999997</v>
      </c>
      <c r="M7118" s="55">
        <v>34.591320000000003</v>
      </c>
      <c r="N7118" s="55">
        <v>31.359570000000001</v>
      </c>
    </row>
    <row r="7119" spans="1:14" hidden="1" x14ac:dyDescent="0.35">
      <c r="A7119" s="52" t="s">
        <v>743</v>
      </c>
      <c r="B7119" s="52" t="s">
        <v>37</v>
      </c>
      <c r="C7119" s="52" t="s">
        <v>35</v>
      </c>
      <c r="D7119" s="52" t="s">
        <v>39</v>
      </c>
      <c r="E7119" s="52" t="s">
        <v>582</v>
      </c>
      <c r="F7119" s="52" t="s">
        <v>581</v>
      </c>
      <c r="G7119" s="55" t="s">
        <v>275</v>
      </c>
      <c r="H7119" s="55">
        <v>-79.215090000000004</v>
      </c>
      <c r="I7119" s="55">
        <v>3.3044539999999998</v>
      </c>
      <c r="J7119" s="55">
        <v>14.77333</v>
      </c>
      <c r="K7119" s="55">
        <v>28.210789999999999</v>
      </c>
      <c r="L7119" s="55">
        <v>29.308869999999999</v>
      </c>
      <c r="M7119" s="55">
        <v>22.653110000000002</v>
      </c>
      <c r="N7119" s="55">
        <v>17.426770000000001</v>
      </c>
    </row>
    <row r="7120" spans="1:14" hidden="1" x14ac:dyDescent="0.35">
      <c r="A7120" s="52" t="s">
        <v>743</v>
      </c>
      <c r="B7120" s="52" t="s">
        <v>37</v>
      </c>
      <c r="C7120" s="52" t="s">
        <v>35</v>
      </c>
      <c r="D7120" s="52" t="s">
        <v>39</v>
      </c>
      <c r="E7120" s="52" t="s">
        <v>582</v>
      </c>
      <c r="F7120" s="52" t="s">
        <v>581</v>
      </c>
      <c r="G7120" s="55" t="s">
        <v>276</v>
      </c>
      <c r="H7120" s="55">
        <v>4.7757350000000001</v>
      </c>
      <c r="I7120" s="55">
        <v>-8.2360640000000007</v>
      </c>
      <c r="J7120" s="55">
        <v>-8.7864690000000003</v>
      </c>
      <c r="K7120" s="55">
        <v>-16.261980000000001</v>
      </c>
      <c r="L7120" s="55">
        <v>-12.043530000000001</v>
      </c>
      <c r="M7120" s="55">
        <v>-0.46842929999999999</v>
      </c>
      <c r="N7120" s="55">
        <v>0.30948740000000002</v>
      </c>
    </row>
    <row r="7121" spans="1:14" hidden="1" x14ac:dyDescent="0.35">
      <c r="A7121" s="52" t="s">
        <v>743</v>
      </c>
      <c r="B7121" s="52" t="s">
        <v>37</v>
      </c>
      <c r="C7121" s="52" t="s">
        <v>35</v>
      </c>
      <c r="D7121" s="52" t="s">
        <v>39</v>
      </c>
      <c r="E7121" s="52" t="s">
        <v>582</v>
      </c>
      <c r="F7121" s="52" t="s">
        <v>581</v>
      </c>
      <c r="G7121" s="55" t="s">
        <v>277</v>
      </c>
      <c r="H7121" s="55">
        <v>155.0164</v>
      </c>
      <c r="I7121" s="55">
        <v>29.68432</v>
      </c>
      <c r="J7121" s="55">
        <v>19.18957</v>
      </c>
      <c r="K7121" s="55">
        <v>8.3233110000000003</v>
      </c>
      <c r="L7121" s="55">
        <v>5.9020400000000004</v>
      </c>
      <c r="M7121" s="55">
        <v>0</v>
      </c>
      <c r="N7121" s="55">
        <v>0</v>
      </c>
    </row>
    <row r="7122" spans="1:14" hidden="1" x14ac:dyDescent="0.35">
      <c r="A7122" s="52" t="s">
        <v>743</v>
      </c>
      <c r="B7122" s="52" t="s">
        <v>37</v>
      </c>
      <c r="C7122" s="52" t="s">
        <v>35</v>
      </c>
      <c r="D7122" s="52" t="s">
        <v>39</v>
      </c>
      <c r="E7122" s="52" t="s">
        <v>582</v>
      </c>
      <c r="F7122" s="52" t="s">
        <v>581</v>
      </c>
      <c r="G7122" s="55" t="s">
        <v>278</v>
      </c>
      <c r="H7122" s="55">
        <v>28.936039999999998</v>
      </c>
      <c r="I7122" s="55">
        <v>10.09721</v>
      </c>
      <c r="J7122" s="55">
        <v>10.61354</v>
      </c>
      <c r="K7122" s="55">
        <v>12.58276</v>
      </c>
      <c r="L7122" s="55">
        <v>9.0539819999999995</v>
      </c>
      <c r="M7122" s="55">
        <v>0</v>
      </c>
      <c r="N7122" s="55">
        <v>0</v>
      </c>
    </row>
    <row r="7123" spans="1:14" hidden="1" x14ac:dyDescent="0.35">
      <c r="A7123" s="52" t="s">
        <v>743</v>
      </c>
      <c r="B7123" s="52" t="s">
        <v>37</v>
      </c>
      <c r="C7123" s="52" t="s">
        <v>35</v>
      </c>
      <c r="D7123" s="52" t="s">
        <v>39</v>
      </c>
      <c r="E7123" s="52" t="s">
        <v>582</v>
      </c>
      <c r="F7123" s="52" t="s">
        <v>581</v>
      </c>
      <c r="G7123" s="55" t="s">
        <v>279</v>
      </c>
      <c r="H7123" s="55">
        <v>54.855649999999997</v>
      </c>
      <c r="I7123" s="55">
        <v>40.514240000000001</v>
      </c>
      <c r="J7123" s="55">
        <v>37.60754</v>
      </c>
      <c r="K7123" s="55">
        <v>36.31512</v>
      </c>
      <c r="L7123" s="55">
        <v>31.378450000000001</v>
      </c>
      <c r="M7123" s="55">
        <v>28.683119999999999</v>
      </c>
      <c r="N7123" s="55">
        <v>22.88636</v>
      </c>
    </row>
    <row r="7124" spans="1:14" hidden="1" x14ac:dyDescent="0.35">
      <c r="A7124" s="52" t="s">
        <v>743</v>
      </c>
      <c r="B7124" s="52" t="s">
        <v>37</v>
      </c>
      <c r="C7124" s="52" t="s">
        <v>35</v>
      </c>
      <c r="D7124" s="52" t="s">
        <v>39</v>
      </c>
      <c r="E7124" s="52" t="s">
        <v>582</v>
      </c>
      <c r="F7124" s="52" t="s">
        <v>26</v>
      </c>
      <c r="G7124" s="55" t="s">
        <v>275</v>
      </c>
      <c r="H7124" s="55">
        <v>-5.435772</v>
      </c>
      <c r="I7124" s="55">
        <v>-4.2544719999999998</v>
      </c>
      <c r="J7124" s="55">
        <v>-3.5282710000000002</v>
      </c>
      <c r="K7124" s="55">
        <v>-3.623688</v>
      </c>
      <c r="L7124" s="55">
        <v>-2.9185120000000002</v>
      </c>
      <c r="M7124" s="55">
        <v>-3.189133</v>
      </c>
      <c r="N7124" s="55">
        <v>-2.5476459999999999</v>
      </c>
    </row>
    <row r="7125" spans="1:14" hidden="1" x14ac:dyDescent="0.35">
      <c r="A7125" s="52" t="s">
        <v>743</v>
      </c>
      <c r="B7125" s="52" t="s">
        <v>37</v>
      </c>
      <c r="C7125" s="52" t="s">
        <v>35</v>
      </c>
      <c r="D7125" s="52" t="s">
        <v>39</v>
      </c>
      <c r="E7125" s="52" t="s">
        <v>582</v>
      </c>
      <c r="F7125" s="52" t="s">
        <v>26</v>
      </c>
      <c r="G7125" s="55" t="s">
        <v>276</v>
      </c>
      <c r="H7125" s="55">
        <v>-1.444958</v>
      </c>
      <c r="I7125" s="55">
        <v>-1.1309340000000001</v>
      </c>
      <c r="J7125" s="55">
        <v>-0.9378959</v>
      </c>
      <c r="K7125" s="55">
        <v>-0.96325709999999998</v>
      </c>
      <c r="L7125" s="55">
        <v>-0.77580559999999998</v>
      </c>
      <c r="M7125" s="55">
        <v>-0.84774459999999996</v>
      </c>
      <c r="N7125" s="55">
        <v>-0.67722269999999996</v>
      </c>
    </row>
    <row r="7126" spans="1:14" hidden="1" x14ac:dyDescent="0.35">
      <c r="A7126" s="52" t="s">
        <v>743</v>
      </c>
      <c r="B7126" s="52" t="s">
        <v>37</v>
      </c>
      <c r="C7126" s="52" t="s">
        <v>35</v>
      </c>
      <c r="D7126" s="52" t="s">
        <v>39</v>
      </c>
      <c r="E7126" s="52" t="s">
        <v>582</v>
      </c>
      <c r="F7126" s="52" t="s">
        <v>26</v>
      </c>
      <c r="G7126" s="55" t="s">
        <v>279</v>
      </c>
      <c r="H7126" s="55">
        <v>15.760870000000001</v>
      </c>
      <c r="I7126" s="55">
        <v>11.75759</v>
      </c>
      <c r="J7126" s="55">
        <v>10.90583</v>
      </c>
      <c r="K7126" s="55">
        <v>10.58719</v>
      </c>
      <c r="L7126" s="55">
        <v>9.1733410000000006</v>
      </c>
      <c r="M7126" s="55">
        <v>8.4046850000000006</v>
      </c>
      <c r="N7126" s="55">
        <v>6.7046919999999997</v>
      </c>
    </row>
    <row r="7127" spans="1:14" hidden="1" x14ac:dyDescent="0.35">
      <c r="A7127" s="52" t="s">
        <v>744</v>
      </c>
      <c r="B7127" s="52" t="s">
        <v>34</v>
      </c>
      <c r="C7127" s="52" t="s">
        <v>33</v>
      </c>
      <c r="D7127" s="52" t="s">
        <v>33</v>
      </c>
      <c r="E7127" s="52" t="s">
        <v>584</v>
      </c>
      <c r="F7127" s="52" t="s">
        <v>581</v>
      </c>
      <c r="G7127" s="55" t="s">
        <v>275</v>
      </c>
      <c r="H7127" s="55">
        <v>38.532539999999997</v>
      </c>
      <c r="I7127" s="55">
        <v>9.8149719999999991</v>
      </c>
      <c r="J7127" s="55">
        <v>10.187709999999999</v>
      </c>
      <c r="K7127" s="55">
        <v>6.7155180000000003</v>
      </c>
      <c r="L7127" s="55">
        <v>3.230216</v>
      </c>
      <c r="M7127" s="55">
        <v>2.4145569999999998</v>
      </c>
      <c r="N7127" s="55">
        <v>-3.4677979999999998E-3</v>
      </c>
    </row>
    <row r="7128" spans="1:14" hidden="1" x14ac:dyDescent="0.35">
      <c r="A7128" s="52" t="s">
        <v>744</v>
      </c>
      <c r="B7128" s="52" t="s">
        <v>34</v>
      </c>
      <c r="C7128" s="52" t="s">
        <v>33</v>
      </c>
      <c r="D7128" s="52" t="s">
        <v>33</v>
      </c>
      <c r="E7128" s="52" t="s">
        <v>584</v>
      </c>
      <c r="F7128" s="52" t="s">
        <v>581</v>
      </c>
      <c r="G7128" s="55" t="s">
        <v>276</v>
      </c>
      <c r="H7128" s="55">
        <v>2.0446219999999999</v>
      </c>
      <c r="I7128" s="55">
        <v>-5.8290899999999999</v>
      </c>
      <c r="J7128" s="55">
        <v>0.61333499999999996</v>
      </c>
      <c r="K7128" s="55">
        <v>1.237549</v>
      </c>
      <c r="L7128" s="55">
        <v>1.7606930000000001</v>
      </c>
      <c r="M7128" s="55">
        <v>2.0141360000000001</v>
      </c>
      <c r="N7128" s="55">
        <v>0.85691340000000005</v>
      </c>
    </row>
    <row r="7129" spans="1:14" hidden="1" x14ac:dyDescent="0.35">
      <c r="A7129" s="52" t="s">
        <v>744</v>
      </c>
      <c r="B7129" s="52" t="s">
        <v>34</v>
      </c>
      <c r="C7129" s="52" t="s">
        <v>33</v>
      </c>
      <c r="D7129" s="52" t="s">
        <v>33</v>
      </c>
      <c r="E7129" s="52" t="s">
        <v>584</v>
      </c>
      <c r="F7129" s="52" t="s">
        <v>581</v>
      </c>
      <c r="G7129" s="55" t="s">
        <v>277</v>
      </c>
      <c r="H7129" s="55">
        <v>31.649360000000001</v>
      </c>
      <c r="I7129" s="55">
        <v>15.12514</v>
      </c>
      <c r="J7129" s="55">
        <v>14.849</v>
      </c>
      <c r="K7129" s="55">
        <v>17.179079999999999</v>
      </c>
      <c r="L7129" s="55">
        <v>19.33792</v>
      </c>
      <c r="M7129" s="55">
        <v>22.961040000000001</v>
      </c>
      <c r="N7129" s="55">
        <v>23.723510000000001</v>
      </c>
    </row>
    <row r="7130" spans="1:14" hidden="1" x14ac:dyDescent="0.35">
      <c r="A7130" s="52" t="s">
        <v>744</v>
      </c>
      <c r="B7130" s="52" t="s">
        <v>34</v>
      </c>
      <c r="C7130" s="52" t="s">
        <v>33</v>
      </c>
      <c r="D7130" s="52" t="s">
        <v>33</v>
      </c>
      <c r="E7130" s="52" t="s">
        <v>584</v>
      </c>
      <c r="F7130" s="52" t="s">
        <v>581</v>
      </c>
      <c r="G7130" s="55" t="s">
        <v>278</v>
      </c>
      <c r="H7130" s="55">
        <v>1.51904E-2</v>
      </c>
      <c r="I7130" s="55">
        <v>1.51904E-2</v>
      </c>
      <c r="J7130" s="55">
        <v>1.51904E-2</v>
      </c>
      <c r="K7130" s="55">
        <v>1.51904E-2</v>
      </c>
      <c r="L7130" s="55">
        <v>1.51904E-2</v>
      </c>
      <c r="M7130" s="55">
        <v>1.51904E-2</v>
      </c>
      <c r="N7130" s="55">
        <v>1.51904E-2</v>
      </c>
    </row>
    <row r="7131" spans="1:14" hidden="1" x14ac:dyDescent="0.35">
      <c r="A7131" s="52" t="s">
        <v>744</v>
      </c>
      <c r="B7131" s="52" t="s">
        <v>34</v>
      </c>
      <c r="C7131" s="52" t="s">
        <v>33</v>
      </c>
      <c r="D7131" s="52" t="s">
        <v>33</v>
      </c>
      <c r="E7131" s="52" t="s">
        <v>584</v>
      </c>
      <c r="F7131" s="52" t="s">
        <v>581</v>
      </c>
      <c r="G7131" s="55" t="s">
        <v>279</v>
      </c>
      <c r="H7131" s="55">
        <v>25.575780000000002</v>
      </c>
      <c r="I7131" s="55">
        <v>30.682009999999998</v>
      </c>
      <c r="J7131" s="55">
        <v>23.727409999999999</v>
      </c>
      <c r="K7131" s="55">
        <v>24.98706</v>
      </c>
      <c r="L7131" s="55">
        <v>26.49689</v>
      </c>
      <c r="M7131" s="55">
        <v>23.8672</v>
      </c>
      <c r="N7131" s="55">
        <v>25.552679999999999</v>
      </c>
    </row>
    <row r="7132" spans="1:14" hidden="1" x14ac:dyDescent="0.35">
      <c r="A7132" s="52" t="s">
        <v>744</v>
      </c>
      <c r="B7132" s="52" t="s">
        <v>34</v>
      </c>
      <c r="C7132" s="52" t="s">
        <v>33</v>
      </c>
      <c r="D7132" s="52" t="s">
        <v>33</v>
      </c>
      <c r="E7132" s="52" t="s">
        <v>584</v>
      </c>
      <c r="F7132" s="52" t="s">
        <v>26</v>
      </c>
      <c r="G7132" s="55" t="s">
        <v>275</v>
      </c>
      <c r="H7132" s="55">
        <v>-3.9130950000000002</v>
      </c>
      <c r="I7132" s="55">
        <v>-3.8640300000000001</v>
      </c>
      <c r="J7132" s="55">
        <v>-3.0729890000000002</v>
      </c>
      <c r="K7132" s="55">
        <v>-3.2787229999999998</v>
      </c>
      <c r="L7132" s="55">
        <v>-3.4816310000000001</v>
      </c>
      <c r="M7132" s="55">
        <v>-2.3735940000000002</v>
      </c>
      <c r="N7132" s="55">
        <v>-6.1933550000000004</v>
      </c>
    </row>
    <row r="7133" spans="1:14" hidden="1" x14ac:dyDescent="0.35">
      <c r="A7133" s="52" t="s">
        <v>744</v>
      </c>
      <c r="B7133" s="52" t="s">
        <v>34</v>
      </c>
      <c r="C7133" s="52" t="s">
        <v>33</v>
      </c>
      <c r="D7133" s="52" t="s">
        <v>33</v>
      </c>
      <c r="E7133" s="52" t="s">
        <v>584</v>
      </c>
      <c r="F7133" s="52" t="s">
        <v>26</v>
      </c>
      <c r="G7133" s="55" t="s">
        <v>276</v>
      </c>
      <c r="H7133" s="55">
        <v>-1.618074</v>
      </c>
      <c r="I7133" s="55">
        <v>-1.4210100000000001</v>
      </c>
      <c r="J7133" s="55">
        <v>-1.0799099999999999</v>
      </c>
      <c r="K7133" s="55">
        <v>-1.0498460000000001</v>
      </c>
      <c r="L7133" s="55">
        <v>-1.094444</v>
      </c>
      <c r="M7133" s="55">
        <v>-0.74439299999999997</v>
      </c>
      <c r="N7133" s="55">
        <v>-1.86327</v>
      </c>
    </row>
    <row r="7134" spans="1:14" hidden="1" x14ac:dyDescent="0.35">
      <c r="A7134" s="52" t="s">
        <v>744</v>
      </c>
      <c r="B7134" s="52" t="s">
        <v>34</v>
      </c>
      <c r="C7134" s="52" t="s">
        <v>33</v>
      </c>
      <c r="D7134" s="52" t="s">
        <v>33</v>
      </c>
      <c r="E7134" s="52" t="s">
        <v>584</v>
      </c>
      <c r="F7134" s="52" t="s">
        <v>26</v>
      </c>
      <c r="G7134" s="55" t="s">
        <v>277</v>
      </c>
      <c r="H7134" s="55">
        <v>0.734873</v>
      </c>
      <c r="I7134" s="55">
        <v>0.64282300000000003</v>
      </c>
      <c r="J7134" s="55">
        <v>0.38224799999999998</v>
      </c>
      <c r="K7134" s="55">
        <v>0.25202970000000002</v>
      </c>
      <c r="L7134" s="55">
        <v>0.1838013</v>
      </c>
      <c r="M7134" s="55">
        <v>0.110318</v>
      </c>
      <c r="N7134" s="55">
        <v>0.114574</v>
      </c>
    </row>
    <row r="7135" spans="1:14" hidden="1" x14ac:dyDescent="0.35">
      <c r="A7135" s="52" t="s">
        <v>744</v>
      </c>
      <c r="B7135" s="52" t="s">
        <v>34</v>
      </c>
      <c r="C7135" s="52" t="s">
        <v>33</v>
      </c>
      <c r="D7135" s="52" t="s">
        <v>33</v>
      </c>
      <c r="E7135" s="52" t="s">
        <v>584</v>
      </c>
      <c r="F7135" s="52" t="s">
        <v>26</v>
      </c>
      <c r="G7135" s="55" t="s">
        <v>279</v>
      </c>
      <c r="H7135" s="55">
        <v>12.828390000000001</v>
      </c>
      <c r="I7135" s="55">
        <v>12.252560000000001</v>
      </c>
      <c r="J7135" s="55">
        <v>10.83766</v>
      </c>
      <c r="K7135" s="55">
        <v>10.92201</v>
      </c>
      <c r="L7135" s="55">
        <v>11.04006</v>
      </c>
      <c r="M7135" s="55">
        <v>9.4429999999999996</v>
      </c>
      <c r="N7135" s="55">
        <v>12.997540000000001</v>
      </c>
    </row>
    <row r="7136" spans="1:14" hidden="1" x14ac:dyDescent="0.35">
      <c r="A7136" s="52" t="s">
        <v>744</v>
      </c>
      <c r="B7136" s="52" t="s">
        <v>34</v>
      </c>
      <c r="C7136" s="52" t="s">
        <v>33</v>
      </c>
      <c r="D7136" s="52" t="s">
        <v>33</v>
      </c>
      <c r="E7136" s="52" t="s">
        <v>699</v>
      </c>
      <c r="F7136" s="52" t="s">
        <v>581</v>
      </c>
      <c r="G7136" s="55" t="s">
        <v>275</v>
      </c>
      <c r="H7136" s="55">
        <v>21.720389999999998</v>
      </c>
      <c r="I7136" s="55">
        <v>34.737769999999998</v>
      </c>
      <c r="J7136" s="55">
        <v>18.88785</v>
      </c>
      <c r="K7136" s="55">
        <v>12.38871</v>
      </c>
      <c r="L7136" s="55">
        <v>11.100250000000001</v>
      </c>
      <c r="M7136" s="55">
        <v>13.945220000000001</v>
      </c>
      <c r="N7136" s="55">
        <v>9.7050009999999993</v>
      </c>
    </row>
    <row r="7137" spans="1:14" hidden="1" x14ac:dyDescent="0.35">
      <c r="A7137" s="52" t="s">
        <v>744</v>
      </c>
      <c r="B7137" s="52" t="s">
        <v>34</v>
      </c>
      <c r="C7137" s="52" t="s">
        <v>33</v>
      </c>
      <c r="D7137" s="52" t="s">
        <v>33</v>
      </c>
      <c r="E7137" s="52" t="s">
        <v>699</v>
      </c>
      <c r="F7137" s="52" t="s">
        <v>581</v>
      </c>
      <c r="G7137" s="55" t="s">
        <v>276</v>
      </c>
      <c r="H7137" s="55">
        <v>8.0652779999999993</v>
      </c>
      <c r="I7137" s="55">
        <v>-8.6686440000000005</v>
      </c>
      <c r="J7137" s="55">
        <v>-5.0839569999999998</v>
      </c>
      <c r="K7137" s="55">
        <v>-0.75887830000000001</v>
      </c>
      <c r="L7137" s="55">
        <v>3.1223420000000002</v>
      </c>
      <c r="M7137" s="55">
        <v>1.522599</v>
      </c>
      <c r="N7137" s="55">
        <v>1.4554020000000001</v>
      </c>
    </row>
    <row r="7138" spans="1:14" hidden="1" x14ac:dyDescent="0.35">
      <c r="A7138" s="52" t="s">
        <v>744</v>
      </c>
      <c r="B7138" s="52" t="s">
        <v>34</v>
      </c>
      <c r="C7138" s="52" t="s">
        <v>33</v>
      </c>
      <c r="D7138" s="52" t="s">
        <v>33</v>
      </c>
      <c r="E7138" s="52" t="s">
        <v>699</v>
      </c>
      <c r="F7138" s="52" t="s">
        <v>581</v>
      </c>
      <c r="G7138" s="55" t="s">
        <v>277</v>
      </c>
      <c r="H7138" s="55">
        <v>73.005579999999995</v>
      </c>
      <c r="I7138" s="55">
        <v>5.7819799999999999</v>
      </c>
      <c r="J7138" s="55">
        <v>14.72612</v>
      </c>
      <c r="K7138" s="55">
        <v>12.647640000000001</v>
      </c>
      <c r="L7138" s="55">
        <v>7.9172799999999999</v>
      </c>
      <c r="M7138" s="55">
        <v>0</v>
      </c>
      <c r="N7138" s="55">
        <v>0</v>
      </c>
    </row>
    <row r="7139" spans="1:14" hidden="1" x14ac:dyDescent="0.35">
      <c r="A7139" s="52" t="s">
        <v>744</v>
      </c>
      <c r="B7139" s="52" t="s">
        <v>34</v>
      </c>
      <c r="C7139" s="52" t="s">
        <v>33</v>
      </c>
      <c r="D7139" s="52" t="s">
        <v>33</v>
      </c>
      <c r="E7139" s="52" t="s">
        <v>699</v>
      </c>
      <c r="F7139" s="52" t="s">
        <v>581</v>
      </c>
      <c r="G7139" s="55" t="s">
        <v>278</v>
      </c>
      <c r="H7139" s="55">
        <v>4.5347390000000001</v>
      </c>
      <c r="I7139" s="55">
        <v>0.91357339999999998</v>
      </c>
      <c r="J7139" s="55">
        <v>1.5080169999999999</v>
      </c>
      <c r="K7139" s="55">
        <v>1.5883830000000001</v>
      </c>
      <c r="L7139" s="55">
        <v>0.92681930000000001</v>
      </c>
      <c r="M7139" s="55">
        <v>0</v>
      </c>
      <c r="N7139" s="55">
        <v>0</v>
      </c>
    </row>
    <row r="7140" spans="1:14" hidden="1" x14ac:dyDescent="0.35">
      <c r="A7140" s="52" t="s">
        <v>744</v>
      </c>
      <c r="B7140" s="52" t="s">
        <v>34</v>
      </c>
      <c r="C7140" s="52" t="s">
        <v>33</v>
      </c>
      <c r="D7140" s="52" t="s">
        <v>33</v>
      </c>
      <c r="E7140" s="52" t="s">
        <v>699</v>
      </c>
      <c r="F7140" s="52" t="s">
        <v>581</v>
      </c>
      <c r="G7140" s="55" t="s">
        <v>279</v>
      </c>
      <c r="H7140" s="55">
        <v>27.6005</v>
      </c>
      <c r="I7140" s="55">
        <v>20.159269999999999</v>
      </c>
      <c r="J7140" s="55">
        <v>16.380369999999999</v>
      </c>
      <c r="K7140" s="55">
        <v>14.566509999999999</v>
      </c>
      <c r="L7140" s="55">
        <v>11.165570000000001</v>
      </c>
      <c r="M7140" s="55">
        <v>8.2888999999999999</v>
      </c>
      <c r="N7140" s="55">
        <v>5.9721029999999997</v>
      </c>
    </row>
    <row r="7141" spans="1:14" hidden="1" x14ac:dyDescent="0.35">
      <c r="A7141" s="52" t="s">
        <v>744</v>
      </c>
      <c r="B7141" s="52" t="s">
        <v>34</v>
      </c>
      <c r="C7141" s="52" t="s">
        <v>33</v>
      </c>
      <c r="D7141" s="52" t="s">
        <v>33</v>
      </c>
      <c r="E7141" s="52" t="s">
        <v>699</v>
      </c>
      <c r="F7141" s="52" t="s">
        <v>26</v>
      </c>
      <c r="G7141" s="55" t="s">
        <v>275</v>
      </c>
      <c r="H7141" s="55">
        <v>1.1477170000000001</v>
      </c>
      <c r="I7141" s="55">
        <v>0.44760339999999998</v>
      </c>
      <c r="J7141" s="55">
        <v>0.62159450000000005</v>
      </c>
      <c r="K7141" s="55">
        <v>0.54098619999999997</v>
      </c>
      <c r="L7141" s="55">
        <v>0.56816040000000001</v>
      </c>
      <c r="M7141" s="55">
        <v>0.34304600000000002</v>
      </c>
      <c r="N7141" s="55">
        <v>0.2453996</v>
      </c>
    </row>
    <row r="7142" spans="1:14" hidden="1" x14ac:dyDescent="0.35">
      <c r="A7142" s="52" t="s">
        <v>744</v>
      </c>
      <c r="B7142" s="52" t="s">
        <v>34</v>
      </c>
      <c r="C7142" s="52" t="s">
        <v>33</v>
      </c>
      <c r="D7142" s="52" t="s">
        <v>33</v>
      </c>
      <c r="E7142" s="52" t="s">
        <v>699</v>
      </c>
      <c r="F7142" s="52" t="s">
        <v>26</v>
      </c>
      <c r="G7142" s="55" t="s">
        <v>276</v>
      </c>
      <c r="H7142" s="55">
        <v>0.42450399999999999</v>
      </c>
      <c r="I7142" s="55">
        <v>0.16555120000000001</v>
      </c>
      <c r="J7142" s="55">
        <v>0.2299052</v>
      </c>
      <c r="K7142" s="55">
        <v>0.2000912</v>
      </c>
      <c r="L7142" s="55">
        <v>0.21014099999999999</v>
      </c>
      <c r="M7142" s="55">
        <v>0.12687960000000001</v>
      </c>
      <c r="N7142" s="55">
        <v>9.07612E-2</v>
      </c>
    </row>
    <row r="7143" spans="1:14" hidden="1" x14ac:dyDescent="0.35">
      <c r="A7143" s="52" t="s">
        <v>744</v>
      </c>
      <c r="B7143" s="52" t="s">
        <v>34</v>
      </c>
      <c r="C7143" s="52" t="s">
        <v>33</v>
      </c>
      <c r="D7143" s="52" t="s">
        <v>33</v>
      </c>
      <c r="E7143" s="52" t="s">
        <v>699</v>
      </c>
      <c r="F7143" s="52" t="s">
        <v>26</v>
      </c>
      <c r="G7143" s="55" t="s">
        <v>279</v>
      </c>
      <c r="H7143" s="55">
        <v>4.3098609999999997</v>
      </c>
      <c r="I7143" s="55">
        <v>3.7042060000000001</v>
      </c>
      <c r="J7143" s="55">
        <v>3.0304190000000002</v>
      </c>
      <c r="K7143" s="55">
        <v>2.7137540000000002</v>
      </c>
      <c r="L7143" s="55">
        <v>2.1213500000000001</v>
      </c>
      <c r="M7143" s="55">
        <v>1.5365009999999999</v>
      </c>
      <c r="N7143" s="55">
        <v>1.107038</v>
      </c>
    </row>
    <row r="7144" spans="1:14" hidden="1" x14ac:dyDescent="0.35">
      <c r="A7144" s="52" t="s">
        <v>744</v>
      </c>
      <c r="B7144" s="52" t="s">
        <v>34</v>
      </c>
      <c r="C7144" s="52" t="s">
        <v>33</v>
      </c>
      <c r="D7144" s="52" t="s">
        <v>33</v>
      </c>
      <c r="E7144" s="52" t="s">
        <v>692</v>
      </c>
      <c r="F7144" s="52" t="s">
        <v>581</v>
      </c>
      <c r="G7144" s="55" t="s">
        <v>275</v>
      </c>
      <c r="H7144" s="55">
        <v>48.268140000000002</v>
      </c>
      <c r="I7144" s="55">
        <v>28.67521</v>
      </c>
      <c r="J7144" s="55">
        <v>22.921199999999999</v>
      </c>
      <c r="K7144" s="55">
        <v>22.052810000000001</v>
      </c>
      <c r="L7144" s="55">
        <v>18.797889999999999</v>
      </c>
      <c r="M7144" s="55">
        <v>17.42596</v>
      </c>
      <c r="N7144" s="55">
        <v>16.98584</v>
      </c>
    </row>
    <row r="7145" spans="1:14" hidden="1" x14ac:dyDescent="0.35">
      <c r="A7145" s="52" t="s">
        <v>744</v>
      </c>
      <c r="B7145" s="52" t="s">
        <v>34</v>
      </c>
      <c r="C7145" s="52" t="s">
        <v>33</v>
      </c>
      <c r="D7145" s="52" t="s">
        <v>33</v>
      </c>
      <c r="E7145" s="52" t="s">
        <v>692</v>
      </c>
      <c r="F7145" s="52" t="s">
        <v>581</v>
      </c>
      <c r="G7145" s="55" t="s">
        <v>276</v>
      </c>
      <c r="H7145" s="55">
        <v>14.98517</v>
      </c>
      <c r="I7145" s="55">
        <v>2.7100369999999998</v>
      </c>
      <c r="J7145" s="55">
        <v>4.244351</v>
      </c>
      <c r="K7145" s="55">
        <v>5.025366</v>
      </c>
      <c r="L7145" s="55">
        <v>5.7245140000000001</v>
      </c>
      <c r="M7145" s="55">
        <v>5.3992740000000001</v>
      </c>
      <c r="N7145" s="55">
        <v>5.2719680000000002</v>
      </c>
    </row>
    <row r="7146" spans="1:14" hidden="1" x14ac:dyDescent="0.35">
      <c r="A7146" s="52" t="s">
        <v>744</v>
      </c>
      <c r="B7146" s="52" t="s">
        <v>34</v>
      </c>
      <c r="C7146" s="52" t="s">
        <v>33</v>
      </c>
      <c r="D7146" s="52" t="s">
        <v>33</v>
      </c>
      <c r="E7146" s="52" t="s">
        <v>692</v>
      </c>
      <c r="F7146" s="52" t="s">
        <v>581</v>
      </c>
      <c r="G7146" s="55" t="s">
        <v>277</v>
      </c>
      <c r="H7146" s="55">
        <v>20.669339999999998</v>
      </c>
      <c r="I7146" s="55">
        <v>3.3289300000000002</v>
      </c>
      <c r="J7146" s="55">
        <v>3.592686</v>
      </c>
      <c r="K7146" s="55">
        <v>2.8492790000000001</v>
      </c>
      <c r="L7146" s="55">
        <v>3.9347479999999999</v>
      </c>
      <c r="M7146" s="55">
        <v>5.4137740000000001</v>
      </c>
      <c r="N7146" s="55">
        <v>5.6318400000000004</v>
      </c>
    </row>
    <row r="7147" spans="1:14" hidden="1" x14ac:dyDescent="0.35">
      <c r="A7147" s="52" t="s">
        <v>744</v>
      </c>
      <c r="B7147" s="52" t="s">
        <v>34</v>
      </c>
      <c r="C7147" s="52" t="s">
        <v>33</v>
      </c>
      <c r="D7147" s="52" t="s">
        <v>33</v>
      </c>
      <c r="E7147" s="52" t="s">
        <v>692</v>
      </c>
      <c r="F7147" s="52" t="s">
        <v>581</v>
      </c>
      <c r="G7147" s="55" t="s">
        <v>278</v>
      </c>
      <c r="H7147" s="55">
        <v>2.3106499999999999</v>
      </c>
      <c r="I7147" s="55">
        <v>1.301083</v>
      </c>
      <c r="J7147" s="55">
        <v>1.222588</v>
      </c>
      <c r="K7147" s="55">
        <v>1.0425359999999999</v>
      </c>
      <c r="L7147" s="55">
        <v>0.99999959999999999</v>
      </c>
      <c r="M7147" s="55">
        <v>0</v>
      </c>
      <c r="N7147" s="55"/>
    </row>
    <row r="7148" spans="1:14" hidden="1" x14ac:dyDescent="0.35">
      <c r="A7148" s="52" t="s">
        <v>744</v>
      </c>
      <c r="B7148" s="52" t="s">
        <v>34</v>
      </c>
      <c r="C7148" s="52" t="s">
        <v>33</v>
      </c>
      <c r="D7148" s="52" t="s">
        <v>33</v>
      </c>
      <c r="E7148" s="52" t="s">
        <v>692</v>
      </c>
      <c r="F7148" s="52" t="s">
        <v>581</v>
      </c>
      <c r="G7148" s="55" t="s">
        <v>279</v>
      </c>
      <c r="H7148" s="55">
        <v>9.2853709999999996</v>
      </c>
      <c r="I7148" s="55">
        <v>8.5251370000000009</v>
      </c>
      <c r="J7148" s="55">
        <v>7.2619860000000003</v>
      </c>
      <c r="K7148" s="55">
        <v>7.0523129999999998</v>
      </c>
      <c r="L7148" s="55">
        <v>6.2845899999999997</v>
      </c>
      <c r="M7148" s="55">
        <v>6.2030890000000003</v>
      </c>
      <c r="N7148" s="55">
        <v>6.1013469999999996</v>
      </c>
    </row>
    <row r="7149" spans="1:14" hidden="1" x14ac:dyDescent="0.35">
      <c r="A7149" s="52" t="s">
        <v>744</v>
      </c>
      <c r="B7149" s="52" t="s">
        <v>34</v>
      </c>
      <c r="C7149" s="52" t="s">
        <v>33</v>
      </c>
      <c r="D7149" s="52" t="s">
        <v>33</v>
      </c>
      <c r="E7149" s="52" t="s">
        <v>692</v>
      </c>
      <c r="F7149" s="52" t="s">
        <v>26</v>
      </c>
      <c r="G7149" s="55" t="s">
        <v>275</v>
      </c>
      <c r="H7149" s="55">
        <v>0.23840900000000001</v>
      </c>
      <c r="I7149" s="55">
        <v>0.25467879999999998</v>
      </c>
      <c r="J7149" s="55">
        <v>0.22221920000000001</v>
      </c>
      <c r="K7149" s="55">
        <v>0.19982949999999999</v>
      </c>
      <c r="L7149" s="55">
        <v>0.2027101</v>
      </c>
      <c r="M7149" s="55">
        <v>0.19306329999999999</v>
      </c>
      <c r="N7149" s="55">
        <v>0.187332</v>
      </c>
    </row>
    <row r="7150" spans="1:14" hidden="1" x14ac:dyDescent="0.35">
      <c r="A7150" s="52" t="s">
        <v>744</v>
      </c>
      <c r="B7150" s="52" t="s">
        <v>34</v>
      </c>
      <c r="C7150" s="52" t="s">
        <v>33</v>
      </c>
      <c r="D7150" s="52" t="s">
        <v>33</v>
      </c>
      <c r="E7150" s="52" t="s">
        <v>692</v>
      </c>
      <c r="F7150" s="52" t="s">
        <v>26</v>
      </c>
      <c r="G7150" s="55" t="s">
        <v>276</v>
      </c>
      <c r="H7150" s="55">
        <v>8.5958000000000007E-2</v>
      </c>
      <c r="I7150" s="55">
        <v>8.4892410000000001E-2</v>
      </c>
      <c r="J7150" s="55">
        <v>7.0173990000000006E-2</v>
      </c>
      <c r="K7150" s="55">
        <v>5.9688699999999997E-2</v>
      </c>
      <c r="L7150" s="55">
        <v>6.0551099999999997E-2</v>
      </c>
      <c r="M7150" s="55">
        <v>5.7668700000000003E-2</v>
      </c>
      <c r="N7150" s="55">
        <v>5.5955600000000001E-2</v>
      </c>
    </row>
    <row r="7151" spans="1:14" hidden="1" x14ac:dyDescent="0.35">
      <c r="A7151" s="52" t="s">
        <v>744</v>
      </c>
      <c r="B7151" s="52" t="s">
        <v>34</v>
      </c>
      <c r="C7151" s="52" t="s">
        <v>33</v>
      </c>
      <c r="D7151" s="52" t="s">
        <v>33</v>
      </c>
      <c r="E7151" s="52" t="s">
        <v>692</v>
      </c>
      <c r="F7151" s="52" t="s">
        <v>26</v>
      </c>
      <c r="G7151" s="55" t="s">
        <v>279</v>
      </c>
      <c r="H7151" s="55">
        <v>1.4770540000000001</v>
      </c>
      <c r="I7151" s="55">
        <v>1.3646529999999999</v>
      </c>
      <c r="J7151" s="55">
        <v>1.1793670000000001</v>
      </c>
      <c r="K7151" s="55">
        <v>1.1589020000000001</v>
      </c>
      <c r="L7151" s="55">
        <v>1.0611790000000001</v>
      </c>
      <c r="M7151" s="55">
        <v>1.013252</v>
      </c>
      <c r="N7151" s="55">
        <v>0.99597979999999997</v>
      </c>
    </row>
    <row r="7152" spans="1:14" hidden="1" x14ac:dyDescent="0.35">
      <c r="A7152" s="52" t="s">
        <v>744</v>
      </c>
      <c r="B7152" s="52" t="s">
        <v>34</v>
      </c>
      <c r="C7152" s="52" t="s">
        <v>33</v>
      </c>
      <c r="D7152" s="52" t="s">
        <v>33</v>
      </c>
      <c r="E7152" s="52" t="s">
        <v>745</v>
      </c>
      <c r="F7152" s="52" t="s">
        <v>581</v>
      </c>
      <c r="G7152" s="55" t="s">
        <v>275</v>
      </c>
      <c r="H7152" s="55">
        <v>10.18863</v>
      </c>
      <c r="I7152" s="55">
        <v>16.368030000000001</v>
      </c>
      <c r="J7152" s="55">
        <v>17.037870000000002</v>
      </c>
      <c r="K7152" s="55">
        <v>15.50966</v>
      </c>
      <c r="L7152" s="55">
        <v>11.00567</v>
      </c>
      <c r="M7152" s="55">
        <v>9.3940870000000007</v>
      </c>
      <c r="N7152" s="55">
        <v>15.39907</v>
      </c>
    </row>
    <row r="7153" spans="1:14" hidden="1" x14ac:dyDescent="0.35">
      <c r="A7153" s="52" t="s">
        <v>744</v>
      </c>
      <c r="B7153" s="52" t="s">
        <v>34</v>
      </c>
      <c r="C7153" s="52" t="s">
        <v>33</v>
      </c>
      <c r="D7153" s="52" t="s">
        <v>33</v>
      </c>
      <c r="E7153" s="52" t="s">
        <v>745</v>
      </c>
      <c r="F7153" s="52" t="s">
        <v>581</v>
      </c>
      <c r="G7153" s="55" t="s">
        <v>276</v>
      </c>
      <c r="H7153" s="55">
        <v>10.06043</v>
      </c>
      <c r="I7153" s="55">
        <v>1.282724</v>
      </c>
      <c r="J7153" s="55">
        <v>0.4953592</v>
      </c>
      <c r="K7153" s="55">
        <v>1.3958079999999999</v>
      </c>
      <c r="L7153" s="55">
        <v>3.1977690000000001</v>
      </c>
      <c r="M7153" s="55">
        <v>3.4508190000000001</v>
      </c>
      <c r="N7153" s="55">
        <v>3.4083600000000001</v>
      </c>
    </row>
    <row r="7154" spans="1:14" hidden="1" x14ac:dyDescent="0.35">
      <c r="A7154" s="52" t="s">
        <v>744</v>
      </c>
      <c r="B7154" s="52" t="s">
        <v>34</v>
      </c>
      <c r="C7154" s="52" t="s">
        <v>33</v>
      </c>
      <c r="D7154" s="52" t="s">
        <v>33</v>
      </c>
      <c r="E7154" s="52" t="s">
        <v>745</v>
      </c>
      <c r="F7154" s="52" t="s">
        <v>581</v>
      </c>
      <c r="G7154" s="55" t="s">
        <v>277</v>
      </c>
      <c r="H7154" s="55">
        <v>33.416730000000001</v>
      </c>
      <c r="I7154" s="55">
        <v>7.8811070000000001</v>
      </c>
      <c r="J7154" s="55">
        <v>4.006526</v>
      </c>
      <c r="K7154" s="55">
        <v>2.6231149999999999</v>
      </c>
      <c r="L7154" s="55">
        <v>4.2995669999999997</v>
      </c>
      <c r="M7154" s="55">
        <v>7.2361440000000004</v>
      </c>
      <c r="N7154" s="55">
        <v>1.542575</v>
      </c>
    </row>
    <row r="7155" spans="1:14" hidden="1" x14ac:dyDescent="0.35">
      <c r="A7155" s="52" t="s">
        <v>744</v>
      </c>
      <c r="B7155" s="52" t="s">
        <v>34</v>
      </c>
      <c r="C7155" s="52" t="s">
        <v>33</v>
      </c>
      <c r="D7155" s="52" t="s">
        <v>33</v>
      </c>
      <c r="E7155" s="52" t="s">
        <v>745</v>
      </c>
      <c r="F7155" s="52" t="s">
        <v>581</v>
      </c>
      <c r="G7155" s="55" t="s">
        <v>278</v>
      </c>
      <c r="H7155" s="55">
        <v>8.3872319999999991</v>
      </c>
      <c r="I7155" s="55">
        <v>3.1510570000000002</v>
      </c>
      <c r="J7155" s="55">
        <v>3.6038540000000001</v>
      </c>
      <c r="K7155" s="55">
        <v>3.0767259999999998</v>
      </c>
      <c r="L7155" s="55">
        <v>3.4144299999999999</v>
      </c>
      <c r="M7155" s="55">
        <v>2.6501350000000001</v>
      </c>
      <c r="N7155" s="55">
        <v>0.90616969999999997</v>
      </c>
    </row>
    <row r="7156" spans="1:14" hidden="1" x14ac:dyDescent="0.35">
      <c r="A7156" s="52" t="s">
        <v>744</v>
      </c>
      <c r="B7156" s="52" t="s">
        <v>34</v>
      </c>
      <c r="C7156" s="52" t="s">
        <v>33</v>
      </c>
      <c r="D7156" s="52" t="s">
        <v>33</v>
      </c>
      <c r="E7156" s="52" t="s">
        <v>745</v>
      </c>
      <c r="F7156" s="52" t="s">
        <v>581</v>
      </c>
      <c r="G7156" s="55" t="s">
        <v>279</v>
      </c>
      <c r="H7156" s="55">
        <v>7.0472460000000003</v>
      </c>
      <c r="I7156" s="55">
        <v>7.192653</v>
      </c>
      <c r="J7156" s="55">
        <v>6.0170209999999997</v>
      </c>
      <c r="K7156" s="55">
        <v>5.4330740000000004</v>
      </c>
      <c r="L7156" s="55">
        <v>4.8901370000000002</v>
      </c>
      <c r="M7156" s="55">
        <v>5.1901659999999996</v>
      </c>
      <c r="N7156" s="55">
        <v>4.828462</v>
      </c>
    </row>
    <row r="7157" spans="1:14" hidden="1" x14ac:dyDescent="0.35">
      <c r="A7157" s="52" t="s">
        <v>744</v>
      </c>
      <c r="B7157" s="52" t="s">
        <v>34</v>
      </c>
      <c r="C7157" s="52" t="s">
        <v>33</v>
      </c>
      <c r="D7157" s="52" t="s">
        <v>33</v>
      </c>
      <c r="E7157" s="52" t="s">
        <v>745</v>
      </c>
      <c r="F7157" s="52" t="s">
        <v>26</v>
      </c>
      <c r="G7157" s="55" t="s">
        <v>275</v>
      </c>
      <c r="H7157" s="55">
        <v>7.2069999999999995E-2</v>
      </c>
      <c r="I7157" s="55">
        <v>0.1352535</v>
      </c>
      <c r="J7157" s="55">
        <v>0.1184938</v>
      </c>
      <c r="K7157" s="55">
        <v>5.9693299999999998E-2</v>
      </c>
      <c r="L7157" s="55">
        <v>7.9280630000000005E-2</v>
      </c>
      <c r="M7157" s="55">
        <v>0.1231952</v>
      </c>
      <c r="N7157" s="55">
        <v>0.1104386</v>
      </c>
    </row>
    <row r="7158" spans="1:14" hidden="1" x14ac:dyDescent="0.35">
      <c r="A7158" s="52" t="s">
        <v>744</v>
      </c>
      <c r="B7158" s="52" t="s">
        <v>34</v>
      </c>
      <c r="C7158" s="52" t="s">
        <v>33</v>
      </c>
      <c r="D7158" s="52" t="s">
        <v>33</v>
      </c>
      <c r="E7158" s="52" t="s">
        <v>745</v>
      </c>
      <c r="F7158" s="52" t="s">
        <v>26</v>
      </c>
      <c r="G7158" s="55" t="s">
        <v>276</v>
      </c>
      <c r="H7158" s="55">
        <v>2.5985999999999999E-2</v>
      </c>
      <c r="I7158" s="55">
        <v>4.5083499999999999E-2</v>
      </c>
      <c r="J7158" s="55">
        <v>3.7418399999999997E-2</v>
      </c>
      <c r="K7158" s="55">
        <v>1.7830200000000001E-2</v>
      </c>
      <c r="L7158" s="55">
        <v>2.368081E-2</v>
      </c>
      <c r="M7158" s="55">
        <v>3.6797299999999998E-2</v>
      </c>
      <c r="N7158" s="55">
        <v>3.2988200000000002E-2</v>
      </c>
    </row>
    <row r="7159" spans="1:14" hidden="1" x14ac:dyDescent="0.35">
      <c r="A7159" s="52" t="s">
        <v>744</v>
      </c>
      <c r="B7159" s="52" t="s">
        <v>34</v>
      </c>
      <c r="C7159" s="52" t="s">
        <v>33</v>
      </c>
      <c r="D7159" s="52" t="s">
        <v>33</v>
      </c>
      <c r="E7159" s="52" t="s">
        <v>745</v>
      </c>
      <c r="F7159" s="52" t="s">
        <v>26</v>
      </c>
      <c r="G7159" s="55" t="s">
        <v>279</v>
      </c>
      <c r="H7159" s="55">
        <v>2.9237980000000001</v>
      </c>
      <c r="I7159" s="55">
        <v>3.0042710000000001</v>
      </c>
      <c r="J7159" s="55">
        <v>2.5511300000000001</v>
      </c>
      <c r="K7159" s="55">
        <v>2.3385889999999998</v>
      </c>
      <c r="L7159" s="55">
        <v>2.189632</v>
      </c>
      <c r="M7159" s="55">
        <v>2.2086060000000001</v>
      </c>
      <c r="N7159" s="55">
        <v>2.053728</v>
      </c>
    </row>
    <row r="7160" spans="1:14" hidden="1" x14ac:dyDescent="0.35">
      <c r="A7160" s="52" t="s">
        <v>744</v>
      </c>
      <c r="B7160" s="52" t="s">
        <v>34</v>
      </c>
      <c r="C7160" s="52" t="s">
        <v>33</v>
      </c>
      <c r="D7160" s="52" t="s">
        <v>33</v>
      </c>
      <c r="E7160" s="52" t="s">
        <v>746</v>
      </c>
      <c r="F7160" s="52" t="s">
        <v>581</v>
      </c>
      <c r="G7160" s="55" t="s">
        <v>275</v>
      </c>
      <c r="H7160" s="55">
        <v>5.1620100000000004</v>
      </c>
      <c r="I7160" s="55">
        <v>5.7733699999999999</v>
      </c>
      <c r="J7160" s="55">
        <v>7.5446479999999996</v>
      </c>
      <c r="K7160" s="55">
        <v>7.1974390000000001</v>
      </c>
      <c r="L7160" s="55">
        <v>5.9456059999999997</v>
      </c>
      <c r="M7160" s="55">
        <v>5.4858779999999996</v>
      </c>
      <c r="N7160" s="55">
        <v>4.7168599999999996</v>
      </c>
    </row>
    <row r="7161" spans="1:14" hidden="1" x14ac:dyDescent="0.35">
      <c r="A7161" s="52" t="s">
        <v>744</v>
      </c>
      <c r="B7161" s="52" t="s">
        <v>34</v>
      </c>
      <c r="C7161" s="52" t="s">
        <v>33</v>
      </c>
      <c r="D7161" s="52" t="s">
        <v>33</v>
      </c>
      <c r="E7161" s="52" t="s">
        <v>746</v>
      </c>
      <c r="F7161" s="52" t="s">
        <v>581</v>
      </c>
      <c r="G7161" s="55" t="s">
        <v>276</v>
      </c>
      <c r="H7161" s="55">
        <v>3.8016429999999999</v>
      </c>
      <c r="I7161" s="55">
        <v>-1.4588369999999999</v>
      </c>
      <c r="J7161" s="55">
        <v>-0.24058170000000001</v>
      </c>
      <c r="K7161" s="55">
        <v>0.33483020000000002</v>
      </c>
      <c r="L7161" s="55">
        <v>1.5033300000000001</v>
      </c>
      <c r="M7161" s="55">
        <v>1.3337380000000001</v>
      </c>
      <c r="N7161" s="55">
        <v>1.2451639999999999</v>
      </c>
    </row>
    <row r="7162" spans="1:14" hidden="1" x14ac:dyDescent="0.35">
      <c r="A7162" s="52" t="s">
        <v>744</v>
      </c>
      <c r="B7162" s="52" t="s">
        <v>34</v>
      </c>
      <c r="C7162" s="52" t="s">
        <v>33</v>
      </c>
      <c r="D7162" s="52" t="s">
        <v>33</v>
      </c>
      <c r="E7162" s="52" t="s">
        <v>746</v>
      </c>
      <c r="F7162" s="52" t="s">
        <v>581</v>
      </c>
      <c r="G7162" s="55" t="s">
        <v>277</v>
      </c>
      <c r="H7162" s="55">
        <v>21.41215</v>
      </c>
      <c r="I7162" s="55">
        <v>3.8622339999999999</v>
      </c>
      <c r="J7162" s="55">
        <v>1.8899680000000001</v>
      </c>
      <c r="K7162" s="55">
        <v>1.119478</v>
      </c>
      <c r="L7162" s="55">
        <v>1.0736000000000001</v>
      </c>
      <c r="M7162" s="55">
        <v>0</v>
      </c>
      <c r="N7162" s="55">
        <v>0</v>
      </c>
    </row>
    <row r="7163" spans="1:14" hidden="1" x14ac:dyDescent="0.35">
      <c r="A7163" s="52" t="s">
        <v>744</v>
      </c>
      <c r="B7163" s="52" t="s">
        <v>34</v>
      </c>
      <c r="C7163" s="52" t="s">
        <v>33</v>
      </c>
      <c r="D7163" s="52" t="s">
        <v>33</v>
      </c>
      <c r="E7163" s="52" t="s">
        <v>746</v>
      </c>
      <c r="F7163" s="52" t="s">
        <v>581</v>
      </c>
      <c r="G7163" s="55" t="s">
        <v>278</v>
      </c>
      <c r="H7163" s="55">
        <v>0.4999999</v>
      </c>
      <c r="I7163" s="55">
        <v>0</v>
      </c>
      <c r="J7163" s="55"/>
      <c r="K7163" s="55"/>
      <c r="L7163" s="55"/>
      <c r="M7163" s="55"/>
      <c r="N7163" s="55"/>
    </row>
    <row r="7164" spans="1:14" hidden="1" x14ac:dyDescent="0.35">
      <c r="A7164" s="52" t="s">
        <v>744</v>
      </c>
      <c r="B7164" s="52" t="s">
        <v>34</v>
      </c>
      <c r="C7164" s="52" t="s">
        <v>33</v>
      </c>
      <c r="D7164" s="52" t="s">
        <v>33</v>
      </c>
      <c r="E7164" s="52" t="s">
        <v>746</v>
      </c>
      <c r="F7164" s="52" t="s">
        <v>581</v>
      </c>
      <c r="G7164" s="55" t="s">
        <v>279</v>
      </c>
      <c r="H7164" s="55">
        <v>13.1145</v>
      </c>
      <c r="I7164" s="55">
        <v>11.62693</v>
      </c>
      <c r="J7164" s="55">
        <v>11.671670000000001</v>
      </c>
      <c r="K7164" s="55">
        <v>10.83737</v>
      </c>
      <c r="L7164" s="55">
        <v>9.1171930000000003</v>
      </c>
      <c r="M7164" s="55">
        <v>8.2520349999999993</v>
      </c>
      <c r="N7164" s="55">
        <v>7.2063259999999998</v>
      </c>
    </row>
    <row r="7165" spans="1:14" hidden="1" x14ac:dyDescent="0.35">
      <c r="A7165" s="52" t="s">
        <v>744</v>
      </c>
      <c r="B7165" s="52" t="s">
        <v>34</v>
      </c>
      <c r="C7165" s="52" t="s">
        <v>33</v>
      </c>
      <c r="D7165" s="52" t="s">
        <v>33</v>
      </c>
      <c r="E7165" s="52" t="s">
        <v>746</v>
      </c>
      <c r="F7165" s="52" t="s">
        <v>26</v>
      </c>
      <c r="G7165" s="55" t="s">
        <v>275</v>
      </c>
      <c r="H7165" s="55">
        <v>-3.274079</v>
      </c>
      <c r="I7165" s="55">
        <v>-2.8546299999999998</v>
      </c>
      <c r="J7165" s="55">
        <v>-2.8320720000000001</v>
      </c>
      <c r="K7165" s="55">
        <v>-2.6839369999999998</v>
      </c>
      <c r="L7165" s="55">
        <v>-2.1071089999999999</v>
      </c>
      <c r="M7165" s="55">
        <v>-2.0004620000000002</v>
      </c>
      <c r="N7165" s="55">
        <v>-1.755177</v>
      </c>
    </row>
    <row r="7166" spans="1:14" hidden="1" x14ac:dyDescent="0.35">
      <c r="A7166" s="52" t="s">
        <v>744</v>
      </c>
      <c r="B7166" s="52" t="s">
        <v>34</v>
      </c>
      <c r="C7166" s="52" t="s">
        <v>33</v>
      </c>
      <c r="D7166" s="52" t="s">
        <v>33</v>
      </c>
      <c r="E7166" s="52" t="s">
        <v>746</v>
      </c>
      <c r="F7166" s="52" t="s">
        <v>26</v>
      </c>
      <c r="G7166" s="55" t="s">
        <v>276</v>
      </c>
      <c r="H7166" s="55">
        <v>-1.1804490000000001</v>
      </c>
      <c r="I7166" s="55">
        <v>-0.95154179999999999</v>
      </c>
      <c r="J7166" s="55">
        <v>-0.89433750000000001</v>
      </c>
      <c r="K7166" s="55">
        <v>-0.80169610000000002</v>
      </c>
      <c r="L7166" s="55">
        <v>-0.62939599999999996</v>
      </c>
      <c r="M7166" s="55">
        <v>-0.59753990000000001</v>
      </c>
      <c r="N7166" s="55">
        <v>-0.52427409999999997</v>
      </c>
    </row>
    <row r="7167" spans="1:14" hidden="1" x14ac:dyDescent="0.35">
      <c r="A7167" s="52" t="s">
        <v>744</v>
      </c>
      <c r="B7167" s="52" t="s">
        <v>34</v>
      </c>
      <c r="C7167" s="52" t="s">
        <v>33</v>
      </c>
      <c r="D7167" s="52" t="s">
        <v>33</v>
      </c>
      <c r="E7167" s="52" t="s">
        <v>746</v>
      </c>
      <c r="F7167" s="52" t="s">
        <v>26</v>
      </c>
      <c r="G7167" s="55" t="s">
        <v>279</v>
      </c>
      <c r="H7167" s="55">
        <v>9.2202809999999999</v>
      </c>
      <c r="I7167" s="55">
        <v>8.1722699999999993</v>
      </c>
      <c r="J7167" s="55">
        <v>8.2387680000000003</v>
      </c>
      <c r="K7167" s="55">
        <v>7.673038</v>
      </c>
      <c r="L7167" s="55">
        <v>6.4997990000000003</v>
      </c>
      <c r="M7167" s="55">
        <v>5.7944199999999997</v>
      </c>
      <c r="N7167" s="55">
        <v>5.0530090000000003</v>
      </c>
    </row>
    <row r="7168" spans="1:14" hidden="1" x14ac:dyDescent="0.35">
      <c r="A7168" s="52" t="s">
        <v>744</v>
      </c>
      <c r="B7168" s="52" t="s">
        <v>34</v>
      </c>
      <c r="C7168" s="52" t="s">
        <v>33</v>
      </c>
      <c r="D7168" s="52" t="s">
        <v>33</v>
      </c>
      <c r="E7168" s="52" t="s">
        <v>747</v>
      </c>
      <c r="F7168" s="52" t="s">
        <v>581</v>
      </c>
      <c r="G7168" s="55" t="s">
        <v>275</v>
      </c>
      <c r="H7168" s="55">
        <v>15.756869999999999</v>
      </c>
      <c r="I7168" s="55">
        <v>12.7126</v>
      </c>
      <c r="J7168" s="55">
        <v>12.22955</v>
      </c>
      <c r="K7168" s="55">
        <v>11.06813</v>
      </c>
      <c r="L7168" s="55">
        <v>10.034739999999999</v>
      </c>
      <c r="M7168" s="55">
        <v>9.7865280000000006</v>
      </c>
      <c r="N7168" s="55">
        <v>9.3395790000000005</v>
      </c>
    </row>
    <row r="7169" spans="1:14" hidden="1" x14ac:dyDescent="0.35">
      <c r="A7169" s="52" t="s">
        <v>744</v>
      </c>
      <c r="B7169" s="52" t="s">
        <v>34</v>
      </c>
      <c r="C7169" s="52" t="s">
        <v>33</v>
      </c>
      <c r="D7169" s="52" t="s">
        <v>33</v>
      </c>
      <c r="E7169" s="52" t="s">
        <v>747</v>
      </c>
      <c r="F7169" s="52" t="s">
        <v>581</v>
      </c>
      <c r="G7169" s="55" t="s">
        <v>276</v>
      </c>
      <c r="H7169" s="55">
        <v>4.9821759999999999</v>
      </c>
      <c r="I7169" s="55">
        <v>2.7001539999999999</v>
      </c>
      <c r="J7169" s="55">
        <v>2.8866930000000002</v>
      </c>
      <c r="K7169" s="55">
        <v>2.9049550000000002</v>
      </c>
      <c r="L7169" s="55">
        <v>3.0442529999999999</v>
      </c>
      <c r="M7169" s="55">
        <v>3.0654409999999999</v>
      </c>
      <c r="N7169" s="55">
        <v>3.1245989999999999</v>
      </c>
    </row>
    <row r="7170" spans="1:14" hidden="1" x14ac:dyDescent="0.35">
      <c r="A7170" s="52" t="s">
        <v>744</v>
      </c>
      <c r="B7170" s="52" t="s">
        <v>34</v>
      </c>
      <c r="C7170" s="52" t="s">
        <v>33</v>
      </c>
      <c r="D7170" s="52" t="s">
        <v>33</v>
      </c>
      <c r="E7170" s="52" t="s">
        <v>747</v>
      </c>
      <c r="F7170" s="52" t="s">
        <v>581</v>
      </c>
      <c r="G7170" s="55" t="s">
        <v>277</v>
      </c>
      <c r="H7170" s="55">
        <v>3.8107799999999998</v>
      </c>
      <c r="I7170" s="55">
        <v>0.74587780000000004</v>
      </c>
      <c r="J7170" s="55">
        <v>0.31425249999999999</v>
      </c>
      <c r="K7170" s="55">
        <v>0.35615989999999997</v>
      </c>
      <c r="L7170" s="55">
        <v>0.58946589999999999</v>
      </c>
      <c r="M7170" s="55">
        <v>0.77563709999999997</v>
      </c>
      <c r="N7170" s="55">
        <v>1.238502</v>
      </c>
    </row>
    <row r="7171" spans="1:14" hidden="1" x14ac:dyDescent="0.35">
      <c r="A7171" s="52" t="s">
        <v>744</v>
      </c>
      <c r="B7171" s="52" t="s">
        <v>34</v>
      </c>
      <c r="C7171" s="52" t="s">
        <v>33</v>
      </c>
      <c r="D7171" s="52" t="s">
        <v>33</v>
      </c>
      <c r="E7171" s="52" t="s">
        <v>747</v>
      </c>
      <c r="F7171" s="52" t="s">
        <v>581</v>
      </c>
      <c r="G7171" s="55" t="s">
        <v>278</v>
      </c>
      <c r="H7171" s="55">
        <v>1.7481850000000001</v>
      </c>
      <c r="I7171" s="55">
        <v>1.017943</v>
      </c>
      <c r="J7171" s="55">
        <v>0.52077039999999997</v>
      </c>
      <c r="K7171" s="55">
        <v>0.57265219999999994</v>
      </c>
      <c r="L7171" s="55">
        <v>0.7956027</v>
      </c>
      <c r="M7171" s="55">
        <v>0.90870629999999997</v>
      </c>
      <c r="N7171" s="55">
        <v>1.5889409999999999</v>
      </c>
    </row>
    <row r="7172" spans="1:14" hidden="1" x14ac:dyDescent="0.35">
      <c r="A7172" s="52" t="s">
        <v>744</v>
      </c>
      <c r="B7172" s="52" t="s">
        <v>34</v>
      </c>
      <c r="C7172" s="52" t="s">
        <v>33</v>
      </c>
      <c r="D7172" s="52" t="s">
        <v>33</v>
      </c>
      <c r="E7172" s="52" t="s">
        <v>747</v>
      </c>
      <c r="F7172" s="52" t="s">
        <v>581</v>
      </c>
      <c r="G7172" s="55" t="s">
        <v>279</v>
      </c>
      <c r="H7172" s="55">
        <v>4.202852</v>
      </c>
      <c r="I7172" s="55">
        <v>5.5270489999999999</v>
      </c>
      <c r="J7172" s="55">
        <v>5.0399130000000003</v>
      </c>
      <c r="K7172" s="55">
        <v>4.8383159999999998</v>
      </c>
      <c r="L7172" s="55">
        <v>4.6328899999999997</v>
      </c>
      <c r="M7172" s="55">
        <v>4.493582</v>
      </c>
      <c r="N7172" s="55">
        <v>4.6528479999999997</v>
      </c>
    </row>
    <row r="7173" spans="1:14" hidden="1" x14ac:dyDescent="0.35">
      <c r="A7173" s="52" t="s">
        <v>744</v>
      </c>
      <c r="B7173" s="52" t="s">
        <v>34</v>
      </c>
      <c r="C7173" s="52" t="s">
        <v>33</v>
      </c>
      <c r="D7173" s="52" t="s">
        <v>33</v>
      </c>
      <c r="E7173" s="52" t="s">
        <v>747</v>
      </c>
      <c r="F7173" s="52" t="s">
        <v>26</v>
      </c>
      <c r="G7173" s="55" t="s">
        <v>275</v>
      </c>
      <c r="H7173" s="55">
        <v>-4.5594000000000003E-2</v>
      </c>
      <c r="I7173" s="55">
        <v>-2.8060999999999999E-2</v>
      </c>
      <c r="J7173" s="55">
        <v>-4.0305189999999998E-2</v>
      </c>
      <c r="K7173" s="55">
        <v>-8.5737800000000003E-2</v>
      </c>
      <c r="L7173" s="55">
        <v>-0.1018183</v>
      </c>
      <c r="M7173" s="55">
        <v>-3.5740000000000001E-2</v>
      </c>
      <c r="N7173" s="55">
        <v>-3.5341690000000002E-2</v>
      </c>
    </row>
    <row r="7174" spans="1:14" hidden="1" x14ac:dyDescent="0.35">
      <c r="A7174" s="52" t="s">
        <v>744</v>
      </c>
      <c r="B7174" s="52" t="s">
        <v>34</v>
      </c>
      <c r="C7174" s="52" t="s">
        <v>33</v>
      </c>
      <c r="D7174" s="52" t="s">
        <v>33</v>
      </c>
      <c r="E7174" s="52" t="s">
        <v>747</v>
      </c>
      <c r="F7174" s="52" t="s">
        <v>26</v>
      </c>
      <c r="G7174" s="55" t="s">
        <v>276</v>
      </c>
      <c r="H7174" s="55">
        <v>-1.6438999999999999E-2</v>
      </c>
      <c r="I7174" s="55">
        <v>-9.353999E-3</v>
      </c>
      <c r="J7174" s="55">
        <v>-1.2728E-2</v>
      </c>
      <c r="K7174" s="55">
        <v>-2.5609199999999999E-2</v>
      </c>
      <c r="L7174" s="55">
        <v>-3.0412499999999999E-2</v>
      </c>
      <c r="M7174" s="55">
        <v>-1.0675499999999999E-2</v>
      </c>
      <c r="N7174" s="55">
        <v>-1.0557800000000001E-2</v>
      </c>
    </row>
    <row r="7175" spans="1:14" hidden="1" x14ac:dyDescent="0.35">
      <c r="A7175" s="52" t="s">
        <v>744</v>
      </c>
      <c r="B7175" s="52" t="s">
        <v>34</v>
      </c>
      <c r="C7175" s="52" t="s">
        <v>33</v>
      </c>
      <c r="D7175" s="52" t="s">
        <v>33</v>
      </c>
      <c r="E7175" s="52" t="s">
        <v>747</v>
      </c>
      <c r="F7175" s="52" t="s">
        <v>26</v>
      </c>
      <c r="G7175" s="55" t="s">
        <v>279</v>
      </c>
      <c r="H7175" s="55">
        <v>2.0226679999999999</v>
      </c>
      <c r="I7175" s="55">
        <v>2.004181</v>
      </c>
      <c r="J7175" s="55">
        <v>1.83744</v>
      </c>
      <c r="K7175" s="55">
        <v>1.7782009999999999</v>
      </c>
      <c r="L7175" s="55">
        <v>1.735028</v>
      </c>
      <c r="M7175" s="55">
        <v>1.62887</v>
      </c>
      <c r="N7175" s="55">
        <v>1.691516</v>
      </c>
    </row>
    <row r="7176" spans="1:14" hidden="1" x14ac:dyDescent="0.35">
      <c r="A7176" s="52" t="s">
        <v>744</v>
      </c>
      <c r="B7176" s="52" t="s">
        <v>34</v>
      </c>
      <c r="C7176" s="52" t="s">
        <v>33</v>
      </c>
      <c r="D7176" s="52" t="s">
        <v>33</v>
      </c>
      <c r="E7176" s="52" t="s">
        <v>604</v>
      </c>
      <c r="F7176" s="52" t="s">
        <v>581</v>
      </c>
      <c r="G7176" s="55" t="s">
        <v>275</v>
      </c>
      <c r="H7176" s="55">
        <v>1.1412789999999999</v>
      </c>
      <c r="I7176" s="55">
        <v>0.49098999999999998</v>
      </c>
      <c r="J7176" s="55">
        <v>1.5480240000000001</v>
      </c>
      <c r="K7176" s="55">
        <v>1.2501770000000001</v>
      </c>
      <c r="L7176" s="55">
        <v>0.87490630000000003</v>
      </c>
      <c r="M7176" s="55">
        <v>0.86786099999999999</v>
      </c>
      <c r="N7176" s="55">
        <v>0.90854230000000002</v>
      </c>
    </row>
    <row r="7177" spans="1:14" hidden="1" x14ac:dyDescent="0.35">
      <c r="A7177" s="52" t="s">
        <v>744</v>
      </c>
      <c r="B7177" s="52" t="s">
        <v>34</v>
      </c>
      <c r="C7177" s="52" t="s">
        <v>33</v>
      </c>
      <c r="D7177" s="52" t="s">
        <v>33</v>
      </c>
      <c r="E7177" s="52" t="s">
        <v>604</v>
      </c>
      <c r="F7177" s="52" t="s">
        <v>581</v>
      </c>
      <c r="G7177" s="55" t="s">
        <v>276</v>
      </c>
      <c r="H7177" s="55">
        <v>0.32416800000000001</v>
      </c>
      <c r="I7177" s="55">
        <v>-0.15964400000000001</v>
      </c>
      <c r="J7177" s="55">
        <v>-4.8745289999999997E-2</v>
      </c>
      <c r="K7177" s="55">
        <v>0.1177373</v>
      </c>
      <c r="L7177" s="55">
        <v>0.23005220000000001</v>
      </c>
      <c r="M7177" s="55">
        <v>0.2909872</v>
      </c>
      <c r="N7177" s="55">
        <v>0.27730969999999999</v>
      </c>
    </row>
    <row r="7178" spans="1:14" hidden="1" x14ac:dyDescent="0.35">
      <c r="A7178" s="52" t="s">
        <v>744</v>
      </c>
      <c r="B7178" s="52" t="s">
        <v>34</v>
      </c>
      <c r="C7178" s="52" t="s">
        <v>33</v>
      </c>
      <c r="D7178" s="52" t="s">
        <v>33</v>
      </c>
      <c r="E7178" s="52" t="s">
        <v>604</v>
      </c>
      <c r="F7178" s="52" t="s">
        <v>581</v>
      </c>
      <c r="G7178" s="55" t="s">
        <v>277</v>
      </c>
      <c r="H7178" s="55">
        <v>0.96185900000000002</v>
      </c>
      <c r="I7178" s="55">
        <v>0.53520780000000001</v>
      </c>
      <c r="J7178" s="55">
        <v>0.1134066</v>
      </c>
      <c r="K7178" s="55">
        <v>9.8193000000000003E-2</v>
      </c>
      <c r="L7178" s="55">
        <v>0.18280640000000001</v>
      </c>
      <c r="M7178" s="55">
        <v>0.17000989999999999</v>
      </c>
      <c r="N7178" s="55">
        <v>0.23776059999999999</v>
      </c>
    </row>
    <row r="7179" spans="1:14" hidden="1" x14ac:dyDescent="0.35">
      <c r="A7179" s="52" t="s">
        <v>744</v>
      </c>
      <c r="B7179" s="52" t="s">
        <v>34</v>
      </c>
      <c r="C7179" s="52" t="s">
        <v>33</v>
      </c>
      <c r="D7179" s="52" t="s">
        <v>33</v>
      </c>
      <c r="E7179" s="52" t="s">
        <v>604</v>
      </c>
      <c r="F7179" s="52" t="s">
        <v>581</v>
      </c>
      <c r="G7179" s="55" t="s">
        <v>278</v>
      </c>
      <c r="H7179" s="55">
        <v>1.440895</v>
      </c>
      <c r="I7179" s="55">
        <v>1.1647970000000001</v>
      </c>
      <c r="J7179" s="55">
        <v>0.3099826</v>
      </c>
      <c r="K7179" s="55">
        <v>0.26917279999999999</v>
      </c>
      <c r="L7179" s="55">
        <v>0.50781520000000002</v>
      </c>
      <c r="M7179" s="55">
        <v>0.46553660000000002</v>
      </c>
      <c r="N7179" s="55">
        <v>0.35320790000000002</v>
      </c>
    </row>
    <row r="7180" spans="1:14" hidden="1" x14ac:dyDescent="0.35">
      <c r="A7180" s="52" t="s">
        <v>744</v>
      </c>
      <c r="B7180" s="52" t="s">
        <v>34</v>
      </c>
      <c r="C7180" s="52" t="s">
        <v>33</v>
      </c>
      <c r="D7180" s="52" t="s">
        <v>33</v>
      </c>
      <c r="E7180" s="52" t="s">
        <v>604</v>
      </c>
      <c r="F7180" s="52" t="s">
        <v>581</v>
      </c>
      <c r="G7180" s="55" t="s">
        <v>279</v>
      </c>
      <c r="H7180" s="55">
        <v>0.83565699999999998</v>
      </c>
      <c r="I7180" s="55">
        <v>0.88632149999999998</v>
      </c>
      <c r="J7180" s="55">
        <v>0.79590539999999999</v>
      </c>
      <c r="K7180" s="55">
        <v>0.7258867</v>
      </c>
      <c r="L7180" s="55">
        <v>0.69032640000000001</v>
      </c>
      <c r="M7180" s="55">
        <v>0.70644169999999995</v>
      </c>
      <c r="N7180" s="55">
        <v>0.69273660000000004</v>
      </c>
    </row>
    <row r="7181" spans="1:14" hidden="1" x14ac:dyDescent="0.35">
      <c r="A7181" s="52" t="s">
        <v>744</v>
      </c>
      <c r="B7181" s="52" t="s">
        <v>34</v>
      </c>
      <c r="C7181" s="52" t="s">
        <v>33</v>
      </c>
      <c r="D7181" s="52" t="s">
        <v>33</v>
      </c>
      <c r="E7181" s="52" t="s">
        <v>604</v>
      </c>
      <c r="F7181" s="52" t="s">
        <v>26</v>
      </c>
      <c r="G7181" s="55" t="s">
        <v>275</v>
      </c>
      <c r="H7181" s="55">
        <v>7.561E-3</v>
      </c>
      <c r="I7181" s="55">
        <v>3.7375899999999997E-2</v>
      </c>
      <c r="J7181" s="55">
        <v>4.1134110000000002E-2</v>
      </c>
      <c r="K7181" s="55">
        <v>2.16581E-2</v>
      </c>
      <c r="L7181" s="55">
        <v>4.4550300000000001E-2</v>
      </c>
      <c r="M7181" s="55">
        <v>4.5030199999999999E-2</v>
      </c>
      <c r="N7181" s="55">
        <v>4.3713299999999997E-2</v>
      </c>
    </row>
    <row r="7182" spans="1:14" hidden="1" x14ac:dyDescent="0.35">
      <c r="A7182" s="52" t="s">
        <v>744</v>
      </c>
      <c r="B7182" s="52" t="s">
        <v>34</v>
      </c>
      <c r="C7182" s="52" t="s">
        <v>33</v>
      </c>
      <c r="D7182" s="52" t="s">
        <v>33</v>
      </c>
      <c r="E7182" s="52" t="s">
        <v>604</v>
      </c>
      <c r="F7182" s="52" t="s">
        <v>26</v>
      </c>
      <c r="G7182" s="55" t="s">
        <v>276</v>
      </c>
      <c r="H7182" s="55">
        <v>2.7260000000000001E-3</v>
      </c>
      <c r="I7182" s="55">
        <v>1.24577E-2</v>
      </c>
      <c r="J7182" s="55">
        <v>1.2989799999999999E-2</v>
      </c>
      <c r="K7182" s="55">
        <v>6.4694000000000002E-3</v>
      </c>
      <c r="L7182" s="55">
        <v>1.3306500000000001E-2</v>
      </c>
      <c r="M7182" s="55">
        <v>1.34501E-2</v>
      </c>
      <c r="N7182" s="55">
        <v>1.3057600000000001E-2</v>
      </c>
    </row>
    <row r="7183" spans="1:14" hidden="1" x14ac:dyDescent="0.35">
      <c r="A7183" s="52" t="s">
        <v>744</v>
      </c>
      <c r="B7183" s="52" t="s">
        <v>34</v>
      </c>
      <c r="C7183" s="52" t="s">
        <v>33</v>
      </c>
      <c r="D7183" s="52" t="s">
        <v>33</v>
      </c>
      <c r="E7183" s="52" t="s">
        <v>604</v>
      </c>
      <c r="F7183" s="52" t="s">
        <v>26</v>
      </c>
      <c r="G7183" s="55" t="s">
        <v>279</v>
      </c>
      <c r="H7183" s="55">
        <v>1.1360140000000001</v>
      </c>
      <c r="I7183" s="55">
        <v>1.1481889999999999</v>
      </c>
      <c r="J7183" s="55">
        <v>1.0392399999999999</v>
      </c>
      <c r="K7183" s="55">
        <v>0.95509770000000005</v>
      </c>
      <c r="L7183" s="55">
        <v>0.92642119999999994</v>
      </c>
      <c r="M7183" s="55">
        <v>0.92418400000000001</v>
      </c>
      <c r="N7183" s="55">
        <v>0.90635379999999999</v>
      </c>
    </row>
    <row r="7184" spans="1:14" hidden="1" x14ac:dyDescent="0.35">
      <c r="A7184" s="52" t="s">
        <v>744</v>
      </c>
      <c r="B7184" s="52" t="s">
        <v>34</v>
      </c>
      <c r="C7184" s="52" t="s">
        <v>230</v>
      </c>
      <c r="D7184" s="52" t="s">
        <v>230</v>
      </c>
      <c r="E7184" s="52" t="s">
        <v>584</v>
      </c>
      <c r="F7184" s="52" t="s">
        <v>581</v>
      </c>
      <c r="G7184" s="55" t="s">
        <v>275</v>
      </c>
      <c r="H7184" s="55">
        <v>119.9188</v>
      </c>
      <c r="I7184" s="55">
        <v>-30.871870000000001</v>
      </c>
      <c r="J7184" s="55">
        <v>12.654059999999999</v>
      </c>
      <c r="K7184" s="55">
        <v>0.38291120000000001</v>
      </c>
      <c r="L7184" s="55">
        <v>-9.1234800000000007</v>
      </c>
      <c r="M7184" s="55">
        <v>-9.6313569999999995</v>
      </c>
      <c r="N7184" s="55">
        <v>-7.2180109999999997</v>
      </c>
    </row>
    <row r="7185" spans="1:14" hidden="1" x14ac:dyDescent="0.35">
      <c r="A7185" s="52" t="s">
        <v>744</v>
      </c>
      <c r="B7185" s="52" t="s">
        <v>34</v>
      </c>
      <c r="C7185" s="52" t="s">
        <v>230</v>
      </c>
      <c r="D7185" s="52" t="s">
        <v>230</v>
      </c>
      <c r="E7185" s="52" t="s">
        <v>584</v>
      </c>
      <c r="F7185" s="52" t="s">
        <v>581</v>
      </c>
      <c r="G7185" s="55" t="s">
        <v>276</v>
      </c>
      <c r="H7185" s="55">
        <v>41.169469999999997</v>
      </c>
      <c r="I7185" s="55">
        <v>-7.7348970000000001</v>
      </c>
      <c r="J7185" s="55">
        <v>-4.3277210000000004</v>
      </c>
      <c r="K7185" s="55">
        <v>-2.5392480000000002</v>
      </c>
      <c r="L7185" s="55">
        <v>-3.4709539999999999</v>
      </c>
      <c r="M7185" s="55">
        <v>1.459484</v>
      </c>
      <c r="N7185" s="55">
        <v>0.4158616</v>
      </c>
    </row>
    <row r="7186" spans="1:14" hidden="1" x14ac:dyDescent="0.35">
      <c r="A7186" s="52" t="s">
        <v>744</v>
      </c>
      <c r="B7186" s="52" t="s">
        <v>34</v>
      </c>
      <c r="C7186" s="52" t="s">
        <v>230</v>
      </c>
      <c r="D7186" s="52" t="s">
        <v>230</v>
      </c>
      <c r="E7186" s="52" t="s">
        <v>584</v>
      </c>
      <c r="F7186" s="52" t="s">
        <v>581</v>
      </c>
      <c r="G7186" s="55" t="s">
        <v>277</v>
      </c>
      <c r="H7186" s="55">
        <v>80.017790000000005</v>
      </c>
      <c r="I7186" s="55">
        <v>96.654030000000006</v>
      </c>
      <c r="J7186" s="55">
        <v>63.157989999999998</v>
      </c>
      <c r="K7186" s="55">
        <v>70.278880000000001</v>
      </c>
      <c r="L7186" s="55">
        <v>76.349029999999999</v>
      </c>
      <c r="M7186" s="55">
        <v>88.031779999999998</v>
      </c>
      <c r="N7186" s="55">
        <v>89.34308</v>
      </c>
    </row>
    <row r="7187" spans="1:14" hidden="1" x14ac:dyDescent="0.35">
      <c r="A7187" s="52" t="s">
        <v>744</v>
      </c>
      <c r="B7187" s="52" t="s">
        <v>34</v>
      </c>
      <c r="C7187" s="52" t="s">
        <v>230</v>
      </c>
      <c r="D7187" s="52" t="s">
        <v>230</v>
      </c>
      <c r="E7187" s="52" t="s">
        <v>584</v>
      </c>
      <c r="F7187" s="52" t="s">
        <v>581</v>
      </c>
      <c r="G7187" s="55" t="s">
        <v>279</v>
      </c>
      <c r="H7187" s="55">
        <v>115.5423</v>
      </c>
      <c r="I7187" s="55">
        <v>112.6649</v>
      </c>
      <c r="J7187" s="55">
        <v>110.2341</v>
      </c>
      <c r="K7187" s="55">
        <v>117.9372</v>
      </c>
      <c r="L7187" s="55">
        <v>126.9678</v>
      </c>
      <c r="M7187" s="55">
        <v>115.1407</v>
      </c>
      <c r="N7187" s="55">
        <v>117.04389999999999</v>
      </c>
    </row>
    <row r="7188" spans="1:14" hidden="1" x14ac:dyDescent="0.35">
      <c r="A7188" s="52" t="s">
        <v>744</v>
      </c>
      <c r="B7188" s="52" t="s">
        <v>34</v>
      </c>
      <c r="C7188" s="52" t="s">
        <v>230</v>
      </c>
      <c r="D7188" s="52" t="s">
        <v>230</v>
      </c>
      <c r="E7188" s="52" t="s">
        <v>584</v>
      </c>
      <c r="F7188" s="52" t="s">
        <v>26</v>
      </c>
      <c r="G7188" s="55" t="s">
        <v>275</v>
      </c>
      <c r="H7188" s="55">
        <v>-9.0685370000000001E-2</v>
      </c>
      <c r="I7188" s="55">
        <v>-7.1910390000000005E-2</v>
      </c>
      <c r="J7188" s="55">
        <v>-4.9104960000000003E-2</v>
      </c>
      <c r="K7188" s="55">
        <v>-5.4889649999999998E-2</v>
      </c>
      <c r="L7188" s="55">
        <v>-6.1833800000000001E-2</v>
      </c>
      <c r="M7188" s="55">
        <v>-1.8722539999999999E-2</v>
      </c>
      <c r="N7188" s="55">
        <v>-1.358329E-2</v>
      </c>
    </row>
    <row r="7189" spans="1:14" hidden="1" x14ac:dyDescent="0.35">
      <c r="A7189" s="52" t="s">
        <v>744</v>
      </c>
      <c r="B7189" s="52" t="s">
        <v>34</v>
      </c>
      <c r="C7189" s="52" t="s">
        <v>230</v>
      </c>
      <c r="D7189" s="52" t="s">
        <v>230</v>
      </c>
      <c r="E7189" s="52" t="s">
        <v>584</v>
      </c>
      <c r="F7189" s="52" t="s">
        <v>26</v>
      </c>
      <c r="G7189" s="55" t="s">
        <v>276</v>
      </c>
      <c r="H7189" s="55">
        <v>-3.354186E-2</v>
      </c>
      <c r="I7189" s="55">
        <v>-2.6597909999999999E-2</v>
      </c>
      <c r="J7189" s="55">
        <v>-1.8161750000000001E-2</v>
      </c>
      <c r="K7189" s="55">
        <v>-2.030148E-2</v>
      </c>
      <c r="L7189" s="55">
        <v>-2.2870700000000001E-2</v>
      </c>
      <c r="M7189" s="55">
        <v>-6.9225770000000001E-3</v>
      </c>
      <c r="N7189" s="55">
        <v>-5.0235519999999997E-3</v>
      </c>
    </row>
    <row r="7190" spans="1:14" hidden="1" x14ac:dyDescent="0.35">
      <c r="A7190" s="52" t="s">
        <v>744</v>
      </c>
      <c r="B7190" s="52" t="s">
        <v>34</v>
      </c>
      <c r="C7190" s="52" t="s">
        <v>230</v>
      </c>
      <c r="D7190" s="52" t="s">
        <v>230</v>
      </c>
      <c r="E7190" s="52" t="s">
        <v>584</v>
      </c>
      <c r="F7190" s="52" t="s">
        <v>26</v>
      </c>
      <c r="G7190" s="55" t="s">
        <v>279</v>
      </c>
      <c r="H7190" s="55">
        <v>0.72302580000000005</v>
      </c>
      <c r="I7190" s="55">
        <v>0.62523960000000001</v>
      </c>
      <c r="J7190" s="55">
        <v>0.54492070000000004</v>
      </c>
      <c r="K7190" s="55">
        <v>0.5148855</v>
      </c>
      <c r="L7190" s="55">
        <v>0.48497560000000001</v>
      </c>
      <c r="M7190" s="55">
        <v>0.3813703</v>
      </c>
      <c r="N7190" s="55">
        <v>0.33574769999999998</v>
      </c>
    </row>
    <row r="7191" spans="1:14" hidden="1" x14ac:dyDescent="0.35">
      <c r="A7191" s="52" t="s">
        <v>744</v>
      </c>
      <c r="B7191" s="52" t="s">
        <v>34</v>
      </c>
      <c r="C7191" s="52" t="s">
        <v>318</v>
      </c>
      <c r="D7191" s="52" t="s">
        <v>318</v>
      </c>
      <c r="E7191" s="52" t="s">
        <v>584</v>
      </c>
      <c r="F7191" s="52" t="s">
        <v>581</v>
      </c>
      <c r="G7191" s="55" t="s">
        <v>275</v>
      </c>
      <c r="H7191" s="55">
        <v>10.84671</v>
      </c>
      <c r="I7191" s="55">
        <v>0</v>
      </c>
      <c r="J7191" s="55"/>
      <c r="K7191" s="55"/>
      <c r="L7191" s="55"/>
      <c r="M7191" s="55"/>
      <c r="N7191" s="55"/>
    </row>
    <row r="7192" spans="1:14" hidden="1" x14ac:dyDescent="0.35">
      <c r="A7192" s="52" t="s">
        <v>744</v>
      </c>
      <c r="B7192" s="52" t="s">
        <v>34</v>
      </c>
      <c r="C7192" s="52" t="s">
        <v>318</v>
      </c>
      <c r="D7192" s="52" t="s">
        <v>318</v>
      </c>
      <c r="E7192" s="52" t="s">
        <v>584</v>
      </c>
      <c r="F7192" s="52" t="s">
        <v>581</v>
      </c>
      <c r="G7192" s="55" t="s">
        <v>278</v>
      </c>
      <c r="H7192" s="55">
        <v>-10.84671</v>
      </c>
      <c r="I7192" s="55">
        <v>0</v>
      </c>
      <c r="J7192" s="55"/>
      <c r="K7192" s="55"/>
      <c r="L7192" s="55"/>
      <c r="M7192" s="55"/>
      <c r="N7192" s="55"/>
    </row>
    <row r="7193" spans="1:14" hidden="1" x14ac:dyDescent="0.35">
      <c r="A7193" s="52" t="s">
        <v>744</v>
      </c>
      <c r="B7193" s="52" t="s">
        <v>34</v>
      </c>
      <c r="C7193" s="52" t="s">
        <v>318</v>
      </c>
      <c r="D7193" s="52" t="s">
        <v>318</v>
      </c>
      <c r="E7193" s="52" t="s">
        <v>584</v>
      </c>
      <c r="F7193" s="52" t="s">
        <v>26</v>
      </c>
      <c r="G7193" s="55" t="s">
        <v>275</v>
      </c>
      <c r="H7193" s="55">
        <v>7.2311430000000003</v>
      </c>
      <c r="I7193" s="55">
        <v>0</v>
      </c>
      <c r="J7193" s="55"/>
      <c r="K7193" s="55"/>
      <c r="L7193" s="55"/>
      <c r="M7193" s="55"/>
      <c r="N7193" s="55"/>
    </row>
    <row r="7194" spans="1:14" hidden="1" x14ac:dyDescent="0.35">
      <c r="A7194" s="52" t="s">
        <v>744</v>
      </c>
      <c r="B7194" s="52" t="s">
        <v>34</v>
      </c>
      <c r="C7194" s="52" t="s">
        <v>318</v>
      </c>
      <c r="D7194" s="52" t="s">
        <v>318</v>
      </c>
      <c r="E7194" s="52" t="s">
        <v>584</v>
      </c>
      <c r="F7194" s="52" t="s">
        <v>26</v>
      </c>
      <c r="G7194" s="55" t="s">
        <v>278</v>
      </c>
      <c r="H7194" s="55">
        <v>-7.2311430000000003</v>
      </c>
      <c r="I7194" s="55">
        <v>0</v>
      </c>
      <c r="J7194" s="55"/>
      <c r="K7194" s="55"/>
      <c r="L7194" s="55"/>
      <c r="M7194" s="55"/>
      <c r="N7194" s="55"/>
    </row>
    <row r="7195" spans="1:14" hidden="1" x14ac:dyDescent="0.35">
      <c r="A7195" s="52" t="s">
        <v>734</v>
      </c>
      <c r="B7195" s="52" t="s">
        <v>37</v>
      </c>
      <c r="C7195" s="52" t="s">
        <v>51</v>
      </c>
      <c r="D7195" s="52" t="s">
        <v>51</v>
      </c>
      <c r="E7195" s="52" t="s">
        <v>602</v>
      </c>
      <c r="F7195" s="52" t="s">
        <v>581</v>
      </c>
      <c r="G7195" s="55" t="s">
        <v>275</v>
      </c>
      <c r="H7195" s="55">
        <v>-15.39762</v>
      </c>
      <c r="I7195" s="55">
        <v>4.0862800000000004</v>
      </c>
      <c r="J7195" s="55">
        <v>53.00526</v>
      </c>
      <c r="K7195" s="55">
        <v>71.937669999999997</v>
      </c>
      <c r="L7195" s="55">
        <v>68.951669999999993</v>
      </c>
      <c r="M7195" s="55">
        <v>29.56832</v>
      </c>
      <c r="N7195" s="55">
        <v>21.87011</v>
      </c>
    </row>
    <row r="7196" spans="1:14" hidden="1" x14ac:dyDescent="0.35">
      <c r="A7196" s="52" t="s">
        <v>734</v>
      </c>
      <c r="B7196" s="52" t="s">
        <v>37</v>
      </c>
      <c r="C7196" s="52" t="s">
        <v>51</v>
      </c>
      <c r="D7196" s="52" t="s">
        <v>51</v>
      </c>
      <c r="E7196" s="52" t="s">
        <v>602</v>
      </c>
      <c r="F7196" s="52" t="s">
        <v>581</v>
      </c>
      <c r="G7196" s="55" t="s">
        <v>276</v>
      </c>
      <c r="H7196" s="55">
        <v>18.613759999999999</v>
      </c>
      <c r="I7196" s="55">
        <v>-24.8933</v>
      </c>
      <c r="J7196" s="55">
        <v>-26.709879999999998</v>
      </c>
      <c r="K7196" s="55">
        <v>-28.675450000000001</v>
      </c>
      <c r="L7196" s="55">
        <v>-22.590350000000001</v>
      </c>
      <c r="M7196" s="55">
        <v>-3.593909</v>
      </c>
      <c r="N7196" s="55">
        <v>-0.33342769999999999</v>
      </c>
    </row>
    <row r="7197" spans="1:14" hidden="1" x14ac:dyDescent="0.35">
      <c r="A7197" s="52" t="s">
        <v>734</v>
      </c>
      <c r="B7197" s="52" t="s">
        <v>37</v>
      </c>
      <c r="C7197" s="52" t="s">
        <v>51</v>
      </c>
      <c r="D7197" s="52" t="s">
        <v>51</v>
      </c>
      <c r="E7197" s="52" t="s">
        <v>602</v>
      </c>
      <c r="F7197" s="52" t="s">
        <v>581</v>
      </c>
      <c r="G7197" s="55" t="s">
        <v>277</v>
      </c>
      <c r="H7197" s="55">
        <v>346.8426</v>
      </c>
      <c r="I7197" s="55">
        <v>84.900959999999998</v>
      </c>
      <c r="J7197" s="55">
        <v>38.751980000000003</v>
      </c>
      <c r="K7197" s="55">
        <v>6.4156170000000001</v>
      </c>
      <c r="L7197" s="55">
        <v>4.0440870000000002</v>
      </c>
      <c r="M7197" s="55">
        <v>0</v>
      </c>
      <c r="N7197" s="55">
        <v>0</v>
      </c>
    </row>
    <row r="7198" spans="1:14" hidden="1" x14ac:dyDescent="0.35">
      <c r="A7198" s="52" t="s">
        <v>734</v>
      </c>
      <c r="B7198" s="52" t="s">
        <v>37</v>
      </c>
      <c r="C7198" s="52" t="s">
        <v>51</v>
      </c>
      <c r="D7198" s="52" t="s">
        <v>51</v>
      </c>
      <c r="E7198" s="52" t="s">
        <v>602</v>
      </c>
      <c r="F7198" s="52" t="s">
        <v>581</v>
      </c>
      <c r="G7198" s="55" t="s">
        <v>278</v>
      </c>
      <c r="H7198" s="55">
        <v>0.29739300000000002</v>
      </c>
      <c r="I7198" s="55">
        <v>0.224937</v>
      </c>
      <c r="J7198" s="55">
        <v>11.748239999999999</v>
      </c>
      <c r="K7198" s="55">
        <v>8.3496120000000005</v>
      </c>
      <c r="L7198" s="55">
        <v>3.2027670000000001</v>
      </c>
      <c r="M7198" s="55">
        <v>0</v>
      </c>
      <c r="N7198" s="55">
        <v>0</v>
      </c>
    </row>
    <row r="7199" spans="1:14" hidden="1" x14ac:dyDescent="0.35">
      <c r="A7199" s="52" t="s">
        <v>734</v>
      </c>
      <c r="B7199" s="52" t="s">
        <v>37</v>
      </c>
      <c r="C7199" s="52" t="s">
        <v>51</v>
      </c>
      <c r="D7199" s="52" t="s">
        <v>51</v>
      </c>
      <c r="E7199" s="52" t="s">
        <v>602</v>
      </c>
      <c r="F7199" s="52" t="s">
        <v>581</v>
      </c>
      <c r="G7199" s="55" t="s">
        <v>279</v>
      </c>
      <c r="H7199" s="55">
        <v>266.05540000000002</v>
      </c>
      <c r="I7199" s="55">
        <v>220.54939999999999</v>
      </c>
      <c r="J7199" s="55">
        <v>219.12880000000001</v>
      </c>
      <c r="K7199" s="55">
        <v>183.50550000000001</v>
      </c>
      <c r="L7199" s="55">
        <v>131.1755</v>
      </c>
      <c r="M7199" s="55">
        <v>118.3746</v>
      </c>
      <c r="N7199" s="55">
        <v>96.757819999999995</v>
      </c>
    </row>
    <row r="7200" spans="1:14" hidden="1" x14ac:dyDescent="0.35">
      <c r="A7200" s="52" t="s">
        <v>734</v>
      </c>
      <c r="B7200" s="52" t="s">
        <v>37</v>
      </c>
      <c r="C7200" s="52" t="s">
        <v>51</v>
      </c>
      <c r="D7200" s="52" t="s">
        <v>51</v>
      </c>
      <c r="E7200" s="52" t="s">
        <v>602</v>
      </c>
      <c r="F7200" s="52" t="s">
        <v>26</v>
      </c>
      <c r="G7200" s="55" t="s">
        <v>275</v>
      </c>
      <c r="H7200" s="55">
        <v>-8.6376919999999995</v>
      </c>
      <c r="I7200" s="55">
        <v>-8.8067740000000008</v>
      </c>
      <c r="J7200" s="55">
        <v>-7.9730670000000003</v>
      </c>
      <c r="K7200" s="55">
        <v>-6.9657340000000003</v>
      </c>
      <c r="L7200" s="55">
        <v>-4.6700270000000002</v>
      </c>
      <c r="M7200" s="55">
        <v>-4.9086980000000002</v>
      </c>
      <c r="N7200" s="55">
        <v>-4.0153619999999997</v>
      </c>
    </row>
    <row r="7201" spans="1:14" hidden="1" x14ac:dyDescent="0.35">
      <c r="A7201" s="52" t="s">
        <v>734</v>
      </c>
      <c r="B7201" s="52" t="s">
        <v>37</v>
      </c>
      <c r="C7201" s="52" t="s">
        <v>51</v>
      </c>
      <c r="D7201" s="52" t="s">
        <v>51</v>
      </c>
      <c r="E7201" s="52" t="s">
        <v>602</v>
      </c>
      <c r="F7201" s="52" t="s">
        <v>26</v>
      </c>
      <c r="G7201" s="55" t="s">
        <v>276</v>
      </c>
      <c r="H7201" s="55">
        <v>-2.2961070000000001</v>
      </c>
      <c r="I7201" s="55">
        <v>-2.3410359999999999</v>
      </c>
      <c r="J7201" s="55">
        <v>-2.1194229999999998</v>
      </c>
      <c r="K7201" s="55">
        <v>-1.8516459999999999</v>
      </c>
      <c r="L7201" s="55">
        <v>-1.2414000000000001</v>
      </c>
      <c r="M7201" s="55">
        <v>-1.3048420000000001</v>
      </c>
      <c r="N7201" s="55">
        <v>-1.0673729999999999</v>
      </c>
    </row>
    <row r="7202" spans="1:14" hidden="1" x14ac:dyDescent="0.35">
      <c r="A7202" s="52" t="s">
        <v>734</v>
      </c>
      <c r="B7202" s="52" t="s">
        <v>37</v>
      </c>
      <c r="C7202" s="52" t="s">
        <v>51</v>
      </c>
      <c r="D7202" s="52" t="s">
        <v>51</v>
      </c>
      <c r="E7202" s="52" t="s">
        <v>602</v>
      </c>
      <c r="F7202" s="52" t="s">
        <v>26</v>
      </c>
      <c r="G7202" s="55" t="s">
        <v>279</v>
      </c>
      <c r="H7202" s="55">
        <v>21.30809</v>
      </c>
      <c r="I7202" s="55">
        <v>20.964580000000002</v>
      </c>
      <c r="J7202" s="55">
        <v>20.746880000000001</v>
      </c>
      <c r="K7202" s="55">
        <v>17.426279999999998</v>
      </c>
      <c r="L7202" s="55">
        <v>12.439859999999999</v>
      </c>
      <c r="M7202" s="55">
        <v>11.28674</v>
      </c>
      <c r="N7202" s="55">
        <v>9.2224160000000008</v>
      </c>
    </row>
    <row r="7203" spans="1:14" hidden="1" x14ac:dyDescent="0.35">
      <c r="A7203" s="52" t="s">
        <v>734</v>
      </c>
      <c r="B7203" s="52" t="s">
        <v>37</v>
      </c>
      <c r="C7203" s="52" t="s">
        <v>63</v>
      </c>
      <c r="D7203" s="52" t="s">
        <v>63</v>
      </c>
      <c r="E7203" s="52" t="s">
        <v>621</v>
      </c>
      <c r="F7203" s="52" t="s">
        <v>26</v>
      </c>
      <c r="G7203" s="55" t="s">
        <v>275</v>
      </c>
      <c r="H7203" s="55">
        <v>30.638809999999999</v>
      </c>
      <c r="I7203" s="55">
        <v>34.0807</v>
      </c>
      <c r="J7203" s="55">
        <v>35.948239999999998</v>
      </c>
      <c r="K7203" s="55">
        <v>33.348500000000001</v>
      </c>
      <c r="L7203" s="55">
        <v>29.43216</v>
      </c>
      <c r="M7203" s="55">
        <v>23.99324</v>
      </c>
      <c r="N7203" s="55">
        <v>13.85136</v>
      </c>
    </row>
    <row r="7204" spans="1:14" hidden="1" x14ac:dyDescent="0.35">
      <c r="A7204" s="52" t="s">
        <v>734</v>
      </c>
      <c r="B7204" s="52" t="s">
        <v>37</v>
      </c>
      <c r="C7204" s="52" t="s">
        <v>63</v>
      </c>
      <c r="D7204" s="52" t="s">
        <v>63</v>
      </c>
      <c r="E7204" s="52" t="s">
        <v>621</v>
      </c>
      <c r="F7204" s="52" t="s">
        <v>26</v>
      </c>
      <c r="G7204" s="55" t="s">
        <v>276</v>
      </c>
      <c r="H7204" s="55">
        <v>4.3289150000000003</v>
      </c>
      <c r="I7204" s="55">
        <v>0.27054899999999998</v>
      </c>
      <c r="J7204" s="55">
        <v>6.7269969999999999</v>
      </c>
      <c r="K7204" s="55">
        <v>5.8279199999999998</v>
      </c>
      <c r="L7204" s="55">
        <v>4.6315039999999996</v>
      </c>
      <c r="M7204" s="55">
        <v>4.908525</v>
      </c>
      <c r="N7204" s="55">
        <v>6.0813969999999999</v>
      </c>
    </row>
    <row r="7205" spans="1:14" hidden="1" x14ac:dyDescent="0.35">
      <c r="A7205" s="52" t="s">
        <v>734</v>
      </c>
      <c r="B7205" s="52" t="s">
        <v>37</v>
      </c>
      <c r="C7205" s="52" t="s">
        <v>63</v>
      </c>
      <c r="D7205" s="52" t="s">
        <v>63</v>
      </c>
      <c r="E7205" s="52" t="s">
        <v>621</v>
      </c>
      <c r="F7205" s="52" t="s">
        <v>26</v>
      </c>
      <c r="G7205" s="55" t="s">
        <v>277</v>
      </c>
      <c r="H7205" s="55">
        <v>37.126959999999997</v>
      </c>
      <c r="I7205" s="55">
        <v>13.157389999999999</v>
      </c>
      <c r="J7205" s="55">
        <v>8.1050620000000002</v>
      </c>
      <c r="K7205" s="55">
        <v>5.9695790000000004</v>
      </c>
      <c r="L7205" s="55">
        <v>5.6954070000000003</v>
      </c>
      <c r="M7205" s="55">
        <v>6.4462159999999997</v>
      </c>
      <c r="N7205" s="55">
        <v>14.430479999999999</v>
      </c>
    </row>
    <row r="7206" spans="1:14" hidden="1" x14ac:dyDescent="0.35">
      <c r="A7206" s="52" t="s">
        <v>734</v>
      </c>
      <c r="B7206" s="52" t="s">
        <v>37</v>
      </c>
      <c r="C7206" s="52" t="s">
        <v>63</v>
      </c>
      <c r="D7206" s="52" t="s">
        <v>63</v>
      </c>
      <c r="E7206" s="52" t="s">
        <v>621</v>
      </c>
      <c r="F7206" s="52" t="s">
        <v>26</v>
      </c>
      <c r="G7206" s="55" t="s">
        <v>278</v>
      </c>
      <c r="H7206" s="55">
        <v>2.3045E-2</v>
      </c>
      <c r="I7206" s="55">
        <v>2.6383E-2</v>
      </c>
      <c r="J7206" s="55">
        <v>0.97416809999999998</v>
      </c>
      <c r="K7206" s="55">
        <v>0.90537199999999995</v>
      </c>
      <c r="L7206" s="55">
        <v>0.42719099999999999</v>
      </c>
      <c r="M7206" s="55">
        <v>0.268733</v>
      </c>
      <c r="N7206" s="55">
        <v>0.11956700000000001</v>
      </c>
    </row>
    <row r="7207" spans="1:14" hidden="1" x14ac:dyDescent="0.35">
      <c r="A7207" s="52" t="s">
        <v>734</v>
      </c>
      <c r="B7207" s="52" t="s">
        <v>37</v>
      </c>
      <c r="C7207" s="52" t="s">
        <v>63</v>
      </c>
      <c r="D7207" s="52" t="s">
        <v>63</v>
      </c>
      <c r="E7207" s="52" t="s">
        <v>621</v>
      </c>
      <c r="F7207" s="52" t="s">
        <v>26</v>
      </c>
      <c r="G7207" s="55" t="s">
        <v>279</v>
      </c>
      <c r="H7207" s="55">
        <v>83.161590000000004</v>
      </c>
      <c r="I7207" s="55">
        <v>60.488489999999999</v>
      </c>
      <c r="J7207" s="55">
        <v>58.166930000000001</v>
      </c>
      <c r="K7207" s="55">
        <v>59.023429999999998</v>
      </c>
      <c r="L7207" s="55">
        <v>55.392119999999998</v>
      </c>
      <c r="M7207" s="55">
        <v>53.534590000000001</v>
      </c>
      <c r="N7207" s="55">
        <v>52.015920000000001</v>
      </c>
    </row>
    <row r="7208" spans="1:14" hidden="1" x14ac:dyDescent="0.35">
      <c r="A7208" s="52" t="s">
        <v>734</v>
      </c>
      <c r="B7208" s="52" t="s">
        <v>37</v>
      </c>
      <c r="C7208" s="52" t="s">
        <v>248</v>
      </c>
      <c r="D7208" s="52" t="s">
        <v>248</v>
      </c>
      <c r="E7208" s="52" t="s">
        <v>584</v>
      </c>
      <c r="F7208" s="52" t="s">
        <v>581</v>
      </c>
      <c r="G7208" s="55" t="s">
        <v>275</v>
      </c>
      <c r="H7208" s="55">
        <v>19.711169999999999</v>
      </c>
      <c r="I7208" s="55">
        <v>3.8400669999999999</v>
      </c>
      <c r="J7208" s="55">
        <v>3.594347</v>
      </c>
      <c r="K7208" s="55">
        <v>2.414463</v>
      </c>
      <c r="L7208" s="55">
        <v>1.858544</v>
      </c>
      <c r="M7208" s="55">
        <v>1.6728270000000001</v>
      </c>
      <c r="N7208" s="55">
        <v>1.395883</v>
      </c>
    </row>
    <row r="7209" spans="1:14" hidden="1" x14ac:dyDescent="0.35">
      <c r="A7209" s="52" t="s">
        <v>734</v>
      </c>
      <c r="B7209" s="52" t="s">
        <v>37</v>
      </c>
      <c r="C7209" s="52" t="s">
        <v>248</v>
      </c>
      <c r="D7209" s="52" t="s">
        <v>248</v>
      </c>
      <c r="E7209" s="52" t="s">
        <v>584</v>
      </c>
      <c r="F7209" s="52" t="s">
        <v>581</v>
      </c>
      <c r="G7209" s="55" t="s">
        <v>276</v>
      </c>
      <c r="H7209" s="55">
        <v>4.9701610000000001</v>
      </c>
      <c r="I7209" s="55">
        <v>0.98518459999999997</v>
      </c>
      <c r="J7209" s="55">
        <v>0.58597390000000005</v>
      </c>
      <c r="K7209" s="55">
        <v>0.73399130000000001</v>
      </c>
      <c r="L7209" s="55">
        <v>0.54366420000000004</v>
      </c>
      <c r="M7209" s="55">
        <v>0.37598399999999998</v>
      </c>
      <c r="N7209" s="55">
        <v>0.31292639999999999</v>
      </c>
    </row>
    <row r="7210" spans="1:14" hidden="1" x14ac:dyDescent="0.35">
      <c r="A7210" s="52" t="s">
        <v>734</v>
      </c>
      <c r="B7210" s="52" t="s">
        <v>37</v>
      </c>
      <c r="C7210" s="52" t="s">
        <v>248</v>
      </c>
      <c r="D7210" s="52" t="s">
        <v>248</v>
      </c>
      <c r="E7210" s="52" t="s">
        <v>584</v>
      </c>
      <c r="F7210" s="52" t="s">
        <v>581</v>
      </c>
      <c r="G7210" s="55" t="s">
        <v>277</v>
      </c>
      <c r="H7210" s="55">
        <v>0</v>
      </c>
      <c r="I7210" s="55">
        <v>0.93664400000000003</v>
      </c>
      <c r="J7210" s="55">
        <v>0.81582889999999997</v>
      </c>
      <c r="K7210" s="55">
        <v>0.748556</v>
      </c>
      <c r="L7210" s="55">
        <v>0.63347149999999997</v>
      </c>
      <c r="M7210" s="55">
        <v>0.50743609999999995</v>
      </c>
      <c r="N7210" s="55">
        <v>0.44300970000000001</v>
      </c>
    </row>
    <row r="7211" spans="1:14" hidden="1" x14ac:dyDescent="0.35">
      <c r="A7211" s="52" t="s">
        <v>734</v>
      </c>
      <c r="B7211" s="52" t="s">
        <v>37</v>
      </c>
      <c r="C7211" s="52" t="s">
        <v>248</v>
      </c>
      <c r="D7211" s="52" t="s">
        <v>248</v>
      </c>
      <c r="E7211" s="52" t="s">
        <v>584</v>
      </c>
      <c r="F7211" s="52" t="s">
        <v>581</v>
      </c>
      <c r="G7211" s="55" t="s">
        <v>278</v>
      </c>
      <c r="H7211" s="55">
        <v>0</v>
      </c>
      <c r="I7211" s="55"/>
      <c r="J7211" s="55"/>
      <c r="K7211" s="55"/>
      <c r="L7211" s="55"/>
      <c r="M7211" s="55"/>
      <c r="N7211" s="55"/>
    </row>
    <row r="7212" spans="1:14" hidden="1" x14ac:dyDescent="0.35">
      <c r="A7212" s="52" t="s">
        <v>734</v>
      </c>
      <c r="B7212" s="52" t="s">
        <v>37</v>
      </c>
      <c r="C7212" s="52" t="s">
        <v>248</v>
      </c>
      <c r="D7212" s="52" t="s">
        <v>248</v>
      </c>
      <c r="E7212" s="52" t="s">
        <v>584</v>
      </c>
      <c r="F7212" s="52" t="s">
        <v>581</v>
      </c>
      <c r="G7212" s="55" t="s">
        <v>279</v>
      </c>
      <c r="H7212" s="55">
        <v>13.06559</v>
      </c>
      <c r="I7212" s="55">
        <v>8.598312</v>
      </c>
      <c r="J7212" s="55">
        <v>7.1477729999999999</v>
      </c>
      <c r="K7212" s="55">
        <v>6.5971140000000004</v>
      </c>
      <c r="L7212" s="55">
        <v>5.909904</v>
      </c>
      <c r="M7212" s="55">
        <v>4.8704510000000001</v>
      </c>
      <c r="N7212" s="55">
        <v>4.0154909999999999</v>
      </c>
    </row>
    <row r="7213" spans="1:14" hidden="1" x14ac:dyDescent="0.35">
      <c r="A7213" s="52" t="s">
        <v>734</v>
      </c>
      <c r="B7213" s="52" t="s">
        <v>37</v>
      </c>
      <c r="C7213" s="52" t="s">
        <v>248</v>
      </c>
      <c r="D7213" s="52" t="s">
        <v>248</v>
      </c>
      <c r="E7213" s="52" t="s">
        <v>584</v>
      </c>
      <c r="F7213" s="52" t="s">
        <v>26</v>
      </c>
      <c r="G7213" s="55" t="s">
        <v>275</v>
      </c>
      <c r="H7213" s="55">
        <v>-0.35545700000000002</v>
      </c>
      <c r="I7213" s="55">
        <v>-0.25275120000000001</v>
      </c>
      <c r="J7213" s="55">
        <v>-8.4740499999999996E-2</v>
      </c>
      <c r="K7213" s="55">
        <v>-0.1319931</v>
      </c>
      <c r="L7213" s="55">
        <v>-0.1325877</v>
      </c>
      <c r="M7213" s="55">
        <v>-9.1053899999999993E-2</v>
      </c>
      <c r="N7213" s="55">
        <v>-6.2684699999999996E-2</v>
      </c>
    </row>
    <row r="7214" spans="1:14" hidden="1" x14ac:dyDescent="0.35">
      <c r="A7214" s="52" t="s">
        <v>734</v>
      </c>
      <c r="B7214" s="52" t="s">
        <v>37</v>
      </c>
      <c r="C7214" s="52" t="s">
        <v>248</v>
      </c>
      <c r="D7214" s="52" t="s">
        <v>248</v>
      </c>
      <c r="E7214" s="52" t="s">
        <v>584</v>
      </c>
      <c r="F7214" s="52" t="s">
        <v>26</v>
      </c>
      <c r="G7214" s="55" t="s">
        <v>276</v>
      </c>
      <c r="H7214" s="55">
        <v>-9.4488989999999995E-2</v>
      </c>
      <c r="I7214" s="55">
        <v>-6.7187399999999994E-2</v>
      </c>
      <c r="J7214" s="55">
        <v>-2.25256E-2</v>
      </c>
      <c r="K7214" s="55">
        <v>-3.5087E-2</v>
      </c>
      <c r="L7214" s="55">
        <v>-3.5244600000000001E-2</v>
      </c>
      <c r="M7214" s="55">
        <v>-2.4204099999999999E-2</v>
      </c>
      <c r="N7214" s="55">
        <v>-1.6662900000000001E-2</v>
      </c>
    </row>
    <row r="7215" spans="1:14" hidden="1" x14ac:dyDescent="0.35">
      <c r="A7215" s="52" t="s">
        <v>734</v>
      </c>
      <c r="B7215" s="52" t="s">
        <v>37</v>
      </c>
      <c r="C7215" s="52" t="s">
        <v>248</v>
      </c>
      <c r="D7215" s="52" t="s">
        <v>248</v>
      </c>
      <c r="E7215" s="52" t="s">
        <v>584</v>
      </c>
      <c r="F7215" s="52" t="s">
        <v>26</v>
      </c>
      <c r="G7215" s="55" t="s">
        <v>279</v>
      </c>
      <c r="H7215" s="55">
        <v>4.2162569999999997</v>
      </c>
      <c r="I7215" s="55">
        <v>2.4789829999999999</v>
      </c>
      <c r="J7215" s="55">
        <v>1.6544479999999999</v>
      </c>
      <c r="K7215" s="55">
        <v>1.231743</v>
      </c>
      <c r="L7215" s="55">
        <v>0.89988650000000003</v>
      </c>
      <c r="M7215" s="55">
        <v>0.61829529999999999</v>
      </c>
      <c r="N7215" s="55">
        <v>0.42480800000000002</v>
      </c>
    </row>
    <row r="7216" spans="1:14" hidden="1" x14ac:dyDescent="0.35">
      <c r="A7216" s="52" t="s">
        <v>734</v>
      </c>
      <c r="B7216" s="52" t="s">
        <v>37</v>
      </c>
      <c r="C7216" s="52" t="s">
        <v>218</v>
      </c>
      <c r="D7216" s="52" t="s">
        <v>218</v>
      </c>
      <c r="E7216" s="52" t="s">
        <v>593</v>
      </c>
      <c r="F7216" s="52" t="s">
        <v>581</v>
      </c>
      <c r="G7216" s="55" t="s">
        <v>275</v>
      </c>
      <c r="H7216" s="55">
        <v>-41.77948</v>
      </c>
      <c r="I7216" s="55">
        <v>-2.3412760000000001</v>
      </c>
      <c r="J7216" s="55">
        <v>4.5357919999999998</v>
      </c>
      <c r="K7216" s="55">
        <v>4.7581100000000003</v>
      </c>
      <c r="L7216" s="55">
        <v>5.6398039999999998</v>
      </c>
      <c r="M7216" s="55">
        <v>2.4171800000000001</v>
      </c>
      <c r="N7216" s="55">
        <v>1.8695550000000001</v>
      </c>
    </row>
    <row r="7217" spans="1:14" hidden="1" x14ac:dyDescent="0.35">
      <c r="A7217" s="52" t="s">
        <v>734</v>
      </c>
      <c r="B7217" s="52" t="s">
        <v>37</v>
      </c>
      <c r="C7217" s="52" t="s">
        <v>218</v>
      </c>
      <c r="D7217" s="52" t="s">
        <v>218</v>
      </c>
      <c r="E7217" s="52" t="s">
        <v>593</v>
      </c>
      <c r="F7217" s="52" t="s">
        <v>581</v>
      </c>
      <c r="G7217" s="55" t="s">
        <v>276</v>
      </c>
      <c r="H7217" s="55">
        <v>-1.4218649999999999</v>
      </c>
      <c r="I7217" s="55">
        <v>-2.1017510000000001</v>
      </c>
      <c r="J7217" s="55">
        <v>-2.1587000000000001</v>
      </c>
      <c r="K7217" s="55">
        <v>-3.1423619999999999</v>
      </c>
      <c r="L7217" s="55">
        <v>-4.0016699999999998</v>
      </c>
      <c r="M7217" s="55">
        <v>-0.115644</v>
      </c>
      <c r="N7217" s="55">
        <v>0.41319240000000002</v>
      </c>
    </row>
    <row r="7218" spans="1:14" hidden="1" x14ac:dyDescent="0.35">
      <c r="A7218" s="52" t="s">
        <v>734</v>
      </c>
      <c r="B7218" s="52" t="s">
        <v>37</v>
      </c>
      <c r="C7218" s="52" t="s">
        <v>218</v>
      </c>
      <c r="D7218" s="52" t="s">
        <v>218</v>
      </c>
      <c r="E7218" s="52" t="s">
        <v>593</v>
      </c>
      <c r="F7218" s="52" t="s">
        <v>581</v>
      </c>
      <c r="G7218" s="55" t="s">
        <v>277</v>
      </c>
      <c r="H7218" s="55">
        <v>53.368319999999997</v>
      </c>
      <c r="I7218" s="55">
        <v>10.025029999999999</v>
      </c>
      <c r="J7218" s="55">
        <v>1.6477010000000001</v>
      </c>
      <c r="K7218" s="55">
        <v>1.4566269999999999</v>
      </c>
      <c r="L7218" s="55">
        <v>1.8574539999999999</v>
      </c>
      <c r="M7218" s="55">
        <v>2.0733280000000001</v>
      </c>
      <c r="N7218" s="55">
        <v>2.96916</v>
      </c>
    </row>
    <row r="7219" spans="1:14" hidden="1" x14ac:dyDescent="0.35">
      <c r="A7219" s="52" t="s">
        <v>734</v>
      </c>
      <c r="B7219" s="52" t="s">
        <v>37</v>
      </c>
      <c r="C7219" s="52" t="s">
        <v>218</v>
      </c>
      <c r="D7219" s="52" t="s">
        <v>218</v>
      </c>
      <c r="E7219" s="52" t="s">
        <v>593</v>
      </c>
      <c r="F7219" s="52" t="s">
        <v>581</v>
      </c>
      <c r="G7219" s="55" t="s">
        <v>278</v>
      </c>
      <c r="H7219" s="55">
        <v>0.131687</v>
      </c>
      <c r="I7219" s="55">
        <v>8.7773000000000004E-2</v>
      </c>
      <c r="J7219" s="55">
        <v>2.9405230000000002</v>
      </c>
      <c r="K7219" s="55">
        <v>2.8541750000000001</v>
      </c>
      <c r="L7219" s="55">
        <v>2.5581290000000001</v>
      </c>
      <c r="M7219" s="55">
        <v>1.6992910000000001</v>
      </c>
      <c r="N7219" s="55">
        <v>0.99885840000000004</v>
      </c>
    </row>
    <row r="7220" spans="1:14" hidden="1" x14ac:dyDescent="0.35">
      <c r="A7220" s="52" t="s">
        <v>734</v>
      </c>
      <c r="B7220" s="52" t="s">
        <v>37</v>
      </c>
      <c r="C7220" s="52" t="s">
        <v>218</v>
      </c>
      <c r="D7220" s="52" t="s">
        <v>218</v>
      </c>
      <c r="E7220" s="52" t="s">
        <v>593</v>
      </c>
      <c r="F7220" s="52" t="s">
        <v>581</v>
      </c>
      <c r="G7220" s="55" t="s">
        <v>279</v>
      </c>
      <c r="H7220" s="55">
        <v>4.374485</v>
      </c>
      <c r="I7220" s="55">
        <v>4.8328470000000001</v>
      </c>
      <c r="J7220" s="55">
        <v>5.3443440000000004</v>
      </c>
      <c r="K7220" s="55">
        <v>4.9199099999999998</v>
      </c>
      <c r="L7220" s="55">
        <v>4.5313530000000002</v>
      </c>
      <c r="M7220" s="55">
        <v>4.6545110000000003</v>
      </c>
      <c r="N7220" s="55">
        <v>4.3577659999999998</v>
      </c>
    </row>
    <row r="7221" spans="1:14" hidden="1" x14ac:dyDescent="0.35">
      <c r="A7221" s="52" t="s">
        <v>734</v>
      </c>
      <c r="B7221" s="52" t="s">
        <v>34</v>
      </c>
      <c r="C7221" s="52" t="s">
        <v>33</v>
      </c>
      <c r="D7221" s="52" t="s">
        <v>33</v>
      </c>
      <c r="E7221" s="52" t="s">
        <v>584</v>
      </c>
      <c r="F7221" s="52" t="s">
        <v>581</v>
      </c>
      <c r="G7221" s="55" t="s">
        <v>275</v>
      </c>
      <c r="H7221" s="55">
        <v>16.07461</v>
      </c>
      <c r="I7221" s="55">
        <v>0.79779540000000004</v>
      </c>
      <c r="J7221" s="55">
        <v>-0.34177819999999998</v>
      </c>
      <c r="K7221" s="55">
        <v>-0.1483189</v>
      </c>
      <c r="L7221" s="55">
        <v>0.44502000000000003</v>
      </c>
      <c r="M7221" s="55">
        <v>-13.41675</v>
      </c>
      <c r="N7221" s="55">
        <v>0.72217249999999999</v>
      </c>
    </row>
    <row r="7222" spans="1:14" hidden="1" x14ac:dyDescent="0.35">
      <c r="A7222" s="52" t="s">
        <v>734</v>
      </c>
      <c r="B7222" s="52" t="s">
        <v>34</v>
      </c>
      <c r="C7222" s="52" t="s">
        <v>33</v>
      </c>
      <c r="D7222" s="52" t="s">
        <v>33</v>
      </c>
      <c r="E7222" s="52" t="s">
        <v>584</v>
      </c>
      <c r="F7222" s="52" t="s">
        <v>581</v>
      </c>
      <c r="G7222" s="55" t="s">
        <v>276</v>
      </c>
      <c r="H7222" s="55">
        <v>-1.2827280000000001</v>
      </c>
      <c r="I7222" s="55">
        <v>-3.3723999999999998</v>
      </c>
      <c r="J7222" s="55">
        <v>-2.0208179999999998</v>
      </c>
      <c r="K7222" s="55">
        <v>2.1218109999999998E-2</v>
      </c>
      <c r="L7222" s="55">
        <v>1.105599E-2</v>
      </c>
      <c r="M7222" s="55">
        <v>-3.9897119999999999</v>
      </c>
      <c r="N7222" s="55">
        <v>0.2315181</v>
      </c>
    </row>
    <row r="7223" spans="1:14" hidden="1" x14ac:dyDescent="0.35">
      <c r="A7223" s="52" t="s">
        <v>734</v>
      </c>
      <c r="B7223" s="52" t="s">
        <v>34</v>
      </c>
      <c r="C7223" s="52" t="s">
        <v>33</v>
      </c>
      <c r="D7223" s="52" t="s">
        <v>33</v>
      </c>
      <c r="E7223" s="52" t="s">
        <v>584</v>
      </c>
      <c r="F7223" s="52" t="s">
        <v>581</v>
      </c>
      <c r="G7223" s="55" t="s">
        <v>277</v>
      </c>
      <c r="H7223" s="55">
        <v>3.4589989999999999</v>
      </c>
      <c r="I7223" s="55">
        <v>3.0480670000000001</v>
      </c>
      <c r="J7223" s="55">
        <v>2.541385</v>
      </c>
      <c r="K7223" s="55">
        <v>3.3086159999999998</v>
      </c>
      <c r="L7223" s="55">
        <v>2.4220169999999999</v>
      </c>
      <c r="M7223" s="55">
        <v>2.837199</v>
      </c>
      <c r="N7223" s="55">
        <v>2.9264920000000001</v>
      </c>
    </row>
    <row r="7224" spans="1:14" hidden="1" x14ac:dyDescent="0.35">
      <c r="A7224" s="52" t="s">
        <v>734</v>
      </c>
      <c r="B7224" s="52" t="s">
        <v>34</v>
      </c>
      <c r="C7224" s="52" t="s">
        <v>33</v>
      </c>
      <c r="D7224" s="52" t="s">
        <v>33</v>
      </c>
      <c r="E7224" s="52" t="s">
        <v>584</v>
      </c>
      <c r="F7224" s="52" t="s">
        <v>581</v>
      </c>
      <c r="G7224" s="55" t="s">
        <v>278</v>
      </c>
      <c r="H7224" s="55">
        <v>0</v>
      </c>
      <c r="I7224" s="55"/>
      <c r="J7224" s="55"/>
      <c r="K7224" s="55"/>
      <c r="L7224" s="55"/>
      <c r="M7224" s="55"/>
      <c r="N7224" s="55"/>
    </row>
    <row r="7225" spans="1:14" hidden="1" x14ac:dyDescent="0.35">
      <c r="A7225" s="52" t="s">
        <v>734</v>
      </c>
      <c r="B7225" s="52" t="s">
        <v>34</v>
      </c>
      <c r="C7225" s="52" t="s">
        <v>33</v>
      </c>
      <c r="D7225" s="52" t="s">
        <v>33</v>
      </c>
      <c r="E7225" s="52" t="s">
        <v>584</v>
      </c>
      <c r="F7225" s="52" t="s">
        <v>581</v>
      </c>
      <c r="G7225" s="55" t="s">
        <v>279</v>
      </c>
      <c r="H7225" s="55">
        <v>14.992039999999999</v>
      </c>
      <c r="I7225" s="55">
        <v>13.963279999999999</v>
      </c>
      <c r="J7225" s="55">
        <v>14.98765</v>
      </c>
      <c r="K7225" s="55">
        <v>12.61774</v>
      </c>
      <c r="L7225" s="55">
        <v>12.68695</v>
      </c>
      <c r="M7225" s="55">
        <v>23.623280000000001</v>
      </c>
      <c r="N7225" s="55">
        <v>5.30009</v>
      </c>
    </row>
    <row r="7226" spans="1:14" hidden="1" x14ac:dyDescent="0.35">
      <c r="A7226" s="52" t="s">
        <v>734</v>
      </c>
      <c r="B7226" s="52" t="s">
        <v>34</v>
      </c>
      <c r="C7226" s="52" t="s">
        <v>33</v>
      </c>
      <c r="D7226" s="52" t="s">
        <v>33</v>
      </c>
      <c r="E7226" s="52" t="s">
        <v>584</v>
      </c>
      <c r="F7226" s="52" t="s">
        <v>26</v>
      </c>
      <c r="G7226" s="55" t="s">
        <v>275</v>
      </c>
      <c r="H7226" s="55">
        <v>-7.5465330000000002</v>
      </c>
      <c r="I7226" s="55">
        <v>-3.8655710000000001</v>
      </c>
      <c r="J7226" s="55">
        <v>-15.37519</v>
      </c>
      <c r="K7226" s="55">
        <v>-0.73468659999999997</v>
      </c>
      <c r="L7226" s="55">
        <v>-0.8429683</v>
      </c>
      <c r="M7226" s="55">
        <v>-30.011690000000002</v>
      </c>
      <c r="N7226" s="55">
        <v>-2.705616</v>
      </c>
    </row>
    <row r="7227" spans="1:14" hidden="1" x14ac:dyDescent="0.35">
      <c r="A7227" s="52" t="s">
        <v>734</v>
      </c>
      <c r="B7227" s="52" t="s">
        <v>34</v>
      </c>
      <c r="C7227" s="52" t="s">
        <v>33</v>
      </c>
      <c r="D7227" s="52" t="s">
        <v>33</v>
      </c>
      <c r="E7227" s="52" t="s">
        <v>584</v>
      </c>
      <c r="F7227" s="52" t="s">
        <v>26</v>
      </c>
      <c r="G7227" s="55" t="s">
        <v>276</v>
      </c>
      <c r="H7227" s="55">
        <v>-3.4725609999999998</v>
      </c>
      <c r="I7227" s="55">
        <v>-2.7277719999999999</v>
      </c>
      <c r="J7227" s="55">
        <v>-6.2435559999999999</v>
      </c>
      <c r="K7227" s="55">
        <v>-0.88299629999999996</v>
      </c>
      <c r="L7227" s="55">
        <v>-0.55526209999999998</v>
      </c>
      <c r="M7227" s="55">
        <v>-9.0689879999999992</v>
      </c>
      <c r="N7227" s="55">
        <v>-0.80630950000000001</v>
      </c>
    </row>
    <row r="7228" spans="1:14" hidden="1" x14ac:dyDescent="0.35">
      <c r="A7228" s="52" t="s">
        <v>734</v>
      </c>
      <c r="B7228" s="52" t="s">
        <v>34</v>
      </c>
      <c r="C7228" s="52" t="s">
        <v>33</v>
      </c>
      <c r="D7228" s="52" t="s">
        <v>33</v>
      </c>
      <c r="E7228" s="52" t="s">
        <v>584</v>
      </c>
      <c r="F7228" s="52" t="s">
        <v>26</v>
      </c>
      <c r="G7228" s="55" t="s">
        <v>277</v>
      </c>
      <c r="H7228" s="55">
        <v>4.9399980000000001</v>
      </c>
      <c r="I7228" s="55">
        <v>2.709622</v>
      </c>
      <c r="J7228" s="55">
        <v>1.523029</v>
      </c>
      <c r="K7228" s="55">
        <v>9.5650600000000002E-2</v>
      </c>
      <c r="L7228" s="55">
        <v>8.8165099999999996E-2</v>
      </c>
      <c r="M7228" s="55">
        <v>0.1026725</v>
      </c>
      <c r="N7228" s="55">
        <v>0.10380689999999999</v>
      </c>
    </row>
    <row r="7229" spans="1:14" hidden="1" x14ac:dyDescent="0.35">
      <c r="A7229" s="52" t="s">
        <v>734</v>
      </c>
      <c r="B7229" s="52" t="s">
        <v>34</v>
      </c>
      <c r="C7229" s="52" t="s">
        <v>33</v>
      </c>
      <c r="D7229" s="52" t="s">
        <v>33</v>
      </c>
      <c r="E7229" s="52" t="s">
        <v>584</v>
      </c>
      <c r="F7229" s="52" t="s">
        <v>26</v>
      </c>
      <c r="G7229" s="55" t="s">
        <v>279</v>
      </c>
      <c r="H7229" s="55">
        <v>13.662319999999999</v>
      </c>
      <c r="I7229" s="55">
        <v>10.0182</v>
      </c>
      <c r="J7229" s="55">
        <v>24.434719999999999</v>
      </c>
      <c r="K7229" s="55">
        <v>5.3438639999999999</v>
      </c>
      <c r="L7229" s="55">
        <v>4.7823919999999998</v>
      </c>
      <c r="M7229" s="55">
        <v>41.596870000000003</v>
      </c>
      <c r="N7229" s="55">
        <v>5.9383039999999996</v>
      </c>
    </row>
    <row r="7230" spans="1:14" hidden="1" x14ac:dyDescent="0.35">
      <c r="A7230" s="52" t="s">
        <v>734</v>
      </c>
      <c r="B7230" s="52" t="s">
        <v>34</v>
      </c>
      <c r="C7230" s="52" t="s">
        <v>33</v>
      </c>
      <c r="D7230" s="52" t="s">
        <v>33</v>
      </c>
      <c r="E7230" s="52" t="s">
        <v>604</v>
      </c>
      <c r="F7230" s="52" t="s">
        <v>581</v>
      </c>
      <c r="G7230" s="55" t="s">
        <v>275</v>
      </c>
      <c r="H7230" s="55">
        <v>9.2483789999999999</v>
      </c>
      <c r="I7230" s="55">
        <v>4.2250649999999998</v>
      </c>
      <c r="J7230" s="55">
        <v>5.4187989999999999</v>
      </c>
      <c r="K7230" s="55">
        <v>5.7984910000000003</v>
      </c>
      <c r="L7230" s="55">
        <v>5.1514430000000004</v>
      </c>
      <c r="M7230" s="55">
        <v>4.8377160000000003</v>
      </c>
      <c r="N7230" s="55">
        <v>2.829904</v>
      </c>
    </row>
    <row r="7231" spans="1:14" hidden="1" x14ac:dyDescent="0.35">
      <c r="A7231" s="52" t="s">
        <v>734</v>
      </c>
      <c r="B7231" s="52" t="s">
        <v>34</v>
      </c>
      <c r="C7231" s="52" t="s">
        <v>33</v>
      </c>
      <c r="D7231" s="52" t="s">
        <v>33</v>
      </c>
      <c r="E7231" s="52" t="s">
        <v>604</v>
      </c>
      <c r="F7231" s="52" t="s">
        <v>581</v>
      </c>
      <c r="G7231" s="55" t="s">
        <v>276</v>
      </c>
      <c r="H7231" s="55">
        <v>2.7095410000000002</v>
      </c>
      <c r="I7231" s="55">
        <v>1.4513940000000001</v>
      </c>
      <c r="J7231" s="55">
        <v>1.6337109999999999</v>
      </c>
      <c r="K7231" s="55">
        <v>1.4815480000000001</v>
      </c>
      <c r="L7231" s="55">
        <v>1.375983</v>
      </c>
      <c r="M7231" s="55">
        <v>1.3708739999999999</v>
      </c>
      <c r="N7231" s="55">
        <v>1.2899229999999999</v>
      </c>
    </row>
    <row r="7232" spans="1:14" hidden="1" x14ac:dyDescent="0.35">
      <c r="A7232" s="52" t="s">
        <v>734</v>
      </c>
      <c r="B7232" s="52" t="s">
        <v>34</v>
      </c>
      <c r="C7232" s="52" t="s">
        <v>33</v>
      </c>
      <c r="D7232" s="52" t="s">
        <v>33</v>
      </c>
      <c r="E7232" s="52" t="s">
        <v>604</v>
      </c>
      <c r="F7232" s="52" t="s">
        <v>581</v>
      </c>
      <c r="G7232" s="55" t="s">
        <v>277</v>
      </c>
      <c r="H7232" s="55">
        <v>0</v>
      </c>
      <c r="I7232" s="55">
        <v>1.034518</v>
      </c>
      <c r="J7232" s="55">
        <v>0.115452</v>
      </c>
      <c r="K7232" s="55">
        <v>5.1502300000000001E-2</v>
      </c>
      <c r="L7232" s="55">
        <v>0.15575839999999999</v>
      </c>
      <c r="M7232" s="55">
        <v>4.8071099999999999E-2</v>
      </c>
      <c r="N7232" s="55">
        <v>1.0812459999999999</v>
      </c>
    </row>
    <row r="7233" spans="1:14" hidden="1" x14ac:dyDescent="0.35">
      <c r="A7233" s="52" t="s">
        <v>734</v>
      </c>
      <c r="B7233" s="52" t="s">
        <v>34</v>
      </c>
      <c r="C7233" s="52" t="s">
        <v>33</v>
      </c>
      <c r="D7233" s="52" t="s">
        <v>33</v>
      </c>
      <c r="E7233" s="52" t="s">
        <v>604</v>
      </c>
      <c r="F7233" s="52" t="s">
        <v>581</v>
      </c>
      <c r="G7233" s="55" t="s">
        <v>278</v>
      </c>
      <c r="H7233" s="55">
        <v>0.58899999999999997</v>
      </c>
      <c r="I7233" s="55">
        <v>1.3006279999999999</v>
      </c>
      <c r="J7233" s="55">
        <v>0.71540440000000005</v>
      </c>
      <c r="K7233" s="55">
        <v>8.2128699999999999E-2</v>
      </c>
      <c r="L7233" s="55">
        <v>0.2175946</v>
      </c>
      <c r="M7233" s="55">
        <v>6.6850000000000007E-2</v>
      </c>
      <c r="N7233" s="55">
        <v>1.1107629999999999</v>
      </c>
    </row>
    <row r="7234" spans="1:14" hidden="1" x14ac:dyDescent="0.35">
      <c r="A7234" s="52" t="s">
        <v>734</v>
      </c>
      <c r="B7234" s="52" t="s">
        <v>34</v>
      </c>
      <c r="C7234" s="52" t="s">
        <v>33</v>
      </c>
      <c r="D7234" s="52" t="s">
        <v>33</v>
      </c>
      <c r="E7234" s="52" t="s">
        <v>604</v>
      </c>
      <c r="F7234" s="52" t="s">
        <v>581</v>
      </c>
      <c r="G7234" s="55" t="s">
        <v>279</v>
      </c>
      <c r="H7234" s="55">
        <v>2.6114169999999999</v>
      </c>
      <c r="I7234" s="55">
        <v>4.0696789999999998</v>
      </c>
      <c r="J7234" s="55">
        <v>3.7900140000000002</v>
      </c>
      <c r="K7234" s="55">
        <v>3.5816379999999999</v>
      </c>
      <c r="L7234" s="55">
        <v>3.142973</v>
      </c>
      <c r="M7234" s="55">
        <v>2.924096</v>
      </c>
      <c r="N7234" s="55">
        <v>2.8961420000000002</v>
      </c>
    </row>
    <row r="7235" spans="1:14" hidden="1" x14ac:dyDescent="0.35">
      <c r="A7235" s="52" t="s">
        <v>734</v>
      </c>
      <c r="B7235" s="52" t="s">
        <v>34</v>
      </c>
      <c r="C7235" s="52" t="s">
        <v>33</v>
      </c>
      <c r="D7235" s="52" t="s">
        <v>33</v>
      </c>
      <c r="E7235" s="52" t="s">
        <v>604</v>
      </c>
      <c r="F7235" s="52" t="s">
        <v>26</v>
      </c>
      <c r="G7235" s="55" t="s">
        <v>275</v>
      </c>
      <c r="H7235" s="55">
        <v>-8.0520000000000001E-3</v>
      </c>
      <c r="I7235" s="55">
        <v>3.435411E-2</v>
      </c>
      <c r="J7235" s="55">
        <v>5.3777600000000002E-2</v>
      </c>
      <c r="K7235" s="55">
        <v>3.4095399999999998E-2</v>
      </c>
      <c r="L7235" s="55">
        <v>6.4210610000000001E-2</v>
      </c>
      <c r="M7235" s="55">
        <v>5.1459199999999997E-2</v>
      </c>
      <c r="N7235" s="55">
        <v>4.8761699999999998E-2</v>
      </c>
    </row>
    <row r="7236" spans="1:14" hidden="1" x14ac:dyDescent="0.35">
      <c r="A7236" s="52" t="s">
        <v>734</v>
      </c>
      <c r="B7236" s="52" t="s">
        <v>34</v>
      </c>
      <c r="C7236" s="52" t="s">
        <v>33</v>
      </c>
      <c r="D7236" s="52" t="s">
        <v>33</v>
      </c>
      <c r="E7236" s="52" t="s">
        <v>604</v>
      </c>
      <c r="F7236" s="52" t="s">
        <v>26</v>
      </c>
      <c r="G7236" s="55" t="s">
        <v>276</v>
      </c>
      <c r="H7236" s="55">
        <v>-2.9030000000000002E-3</v>
      </c>
      <c r="I7236" s="55">
        <v>1.1452199999999999E-2</v>
      </c>
      <c r="J7236" s="55">
        <v>1.69826E-2</v>
      </c>
      <c r="K7236" s="55">
        <v>1.0184E-2</v>
      </c>
      <c r="L7236" s="55">
        <v>1.9180699999999998E-2</v>
      </c>
      <c r="M7236" s="55">
        <v>1.5369600000000001E-2</v>
      </c>
      <c r="N7236" s="55">
        <v>1.4565699999999999E-2</v>
      </c>
    </row>
    <row r="7237" spans="1:14" hidden="1" x14ac:dyDescent="0.35">
      <c r="A7237" s="52" t="s">
        <v>734</v>
      </c>
      <c r="B7237" s="52" t="s">
        <v>34</v>
      </c>
      <c r="C7237" s="52" t="s">
        <v>33</v>
      </c>
      <c r="D7237" s="52" t="s">
        <v>33</v>
      </c>
      <c r="E7237" s="52" t="s">
        <v>604</v>
      </c>
      <c r="F7237" s="52" t="s">
        <v>26</v>
      </c>
      <c r="G7237" s="55" t="s">
        <v>279</v>
      </c>
      <c r="H7237" s="55">
        <v>1.0175479999999999</v>
      </c>
      <c r="I7237" s="55">
        <v>1.9629989999999999</v>
      </c>
      <c r="J7237" s="55">
        <v>1.8345670000000001</v>
      </c>
      <c r="K7237" s="55">
        <v>1.739924</v>
      </c>
      <c r="L7237" s="55">
        <v>1.538257</v>
      </c>
      <c r="M7237" s="55">
        <v>1.4165559999999999</v>
      </c>
      <c r="N7237" s="55">
        <v>1.402887</v>
      </c>
    </row>
    <row r="7238" spans="1:14" hidden="1" x14ac:dyDescent="0.35">
      <c r="A7238" s="52" t="s">
        <v>734</v>
      </c>
      <c r="B7238" s="52" t="s">
        <v>34</v>
      </c>
      <c r="C7238" s="52" t="s">
        <v>33</v>
      </c>
      <c r="D7238" s="52" t="s">
        <v>33</v>
      </c>
      <c r="E7238" s="52" t="s">
        <v>636</v>
      </c>
      <c r="F7238" s="52" t="s">
        <v>581</v>
      </c>
      <c r="G7238" s="55" t="s">
        <v>275</v>
      </c>
      <c r="H7238" s="55">
        <v>9.5223989999999994E-2</v>
      </c>
      <c r="I7238" s="55">
        <v>3.1309200000000002E-2</v>
      </c>
      <c r="J7238" s="55">
        <v>2.85043E-2</v>
      </c>
      <c r="K7238" s="55">
        <v>2.6404199999999999E-2</v>
      </c>
      <c r="L7238" s="55">
        <v>-1.496963</v>
      </c>
      <c r="M7238" s="55">
        <v>0.1546053</v>
      </c>
      <c r="N7238" s="55">
        <v>0.15815860000000001</v>
      </c>
    </row>
    <row r="7239" spans="1:14" hidden="1" x14ac:dyDescent="0.35">
      <c r="A7239" s="52" t="s">
        <v>734</v>
      </c>
      <c r="B7239" s="52" t="s">
        <v>34</v>
      </c>
      <c r="C7239" s="52" t="s">
        <v>33</v>
      </c>
      <c r="D7239" s="52" t="s">
        <v>33</v>
      </c>
      <c r="E7239" s="52" t="s">
        <v>636</v>
      </c>
      <c r="F7239" s="52" t="s">
        <v>581</v>
      </c>
      <c r="G7239" s="55" t="s">
        <v>276</v>
      </c>
      <c r="H7239" s="55">
        <v>3.4332000000000001E-2</v>
      </c>
      <c r="I7239" s="55">
        <v>1.04364E-2</v>
      </c>
      <c r="J7239" s="55">
        <v>9.0013000000000003E-3</v>
      </c>
      <c r="K7239" s="55">
        <v>7.8867E-3</v>
      </c>
      <c r="L7239" s="55">
        <v>-9.8264599999999994E-2</v>
      </c>
      <c r="M7239" s="55">
        <v>-7.0112999999999995E-2</v>
      </c>
      <c r="N7239" s="55">
        <v>-6.9051299999999996E-2</v>
      </c>
    </row>
    <row r="7240" spans="1:14" hidden="1" x14ac:dyDescent="0.35">
      <c r="A7240" s="52" t="s">
        <v>734</v>
      </c>
      <c r="B7240" s="52" t="s">
        <v>34</v>
      </c>
      <c r="C7240" s="52" t="s">
        <v>33</v>
      </c>
      <c r="D7240" s="52" t="s">
        <v>33</v>
      </c>
      <c r="E7240" s="52" t="s">
        <v>636</v>
      </c>
      <c r="F7240" s="52" t="s">
        <v>581</v>
      </c>
      <c r="G7240" s="55" t="s">
        <v>277</v>
      </c>
      <c r="H7240" s="55"/>
      <c r="I7240" s="55"/>
      <c r="J7240" s="55"/>
      <c r="K7240" s="55">
        <v>0</v>
      </c>
      <c r="L7240" s="55">
        <v>1.557323</v>
      </c>
      <c r="M7240" s="55">
        <v>0</v>
      </c>
      <c r="N7240" s="55">
        <v>0</v>
      </c>
    </row>
    <row r="7241" spans="1:14" hidden="1" x14ac:dyDescent="0.35">
      <c r="A7241" s="52" t="s">
        <v>734</v>
      </c>
      <c r="B7241" s="52" t="s">
        <v>34</v>
      </c>
      <c r="C7241" s="52" t="s">
        <v>33</v>
      </c>
      <c r="D7241" s="52" t="s">
        <v>33</v>
      </c>
      <c r="E7241" s="52" t="s">
        <v>636</v>
      </c>
      <c r="F7241" s="52" t="s">
        <v>581</v>
      </c>
      <c r="G7241" s="55" t="s">
        <v>279</v>
      </c>
      <c r="H7241" s="55">
        <v>7.7367000000000005E-2</v>
      </c>
      <c r="I7241" s="55">
        <v>0.119801</v>
      </c>
      <c r="J7241" s="55">
        <v>0.10616</v>
      </c>
      <c r="K7241" s="55">
        <v>9.8562999999999998E-2</v>
      </c>
      <c r="L7241" s="55">
        <v>0.34135320000000002</v>
      </c>
      <c r="M7241" s="55">
        <v>0.13221040000000001</v>
      </c>
      <c r="N7241" s="55">
        <v>8.3828100000000003E-2</v>
      </c>
    </row>
    <row r="7242" spans="1:14" hidden="1" x14ac:dyDescent="0.35">
      <c r="A7242" s="52" t="s">
        <v>734</v>
      </c>
      <c r="B7242" s="52" t="s">
        <v>34</v>
      </c>
      <c r="C7242" s="52" t="s">
        <v>33</v>
      </c>
      <c r="D7242" s="52" t="s">
        <v>33</v>
      </c>
      <c r="E7242" s="52" t="s">
        <v>636</v>
      </c>
      <c r="F7242" s="52" t="s">
        <v>26</v>
      </c>
      <c r="G7242" s="55" t="s">
        <v>275</v>
      </c>
      <c r="H7242" s="55">
        <v>-1.2236E-2</v>
      </c>
      <c r="I7242" s="55">
        <v>2.1573999999999999E-3</v>
      </c>
      <c r="J7242" s="55">
        <v>-2.3116E-3</v>
      </c>
      <c r="K7242" s="55">
        <v>-7.0937999999999999E-3</v>
      </c>
      <c r="L7242" s="55">
        <v>4.9835000000000001E-3</v>
      </c>
      <c r="M7242" s="55">
        <v>2.1993700000000001E-2</v>
      </c>
      <c r="N7242" s="55">
        <v>1.8821600000000001E-2</v>
      </c>
    </row>
    <row r="7243" spans="1:14" hidden="1" x14ac:dyDescent="0.35">
      <c r="A7243" s="52" t="s">
        <v>734</v>
      </c>
      <c r="B7243" s="52" t="s">
        <v>34</v>
      </c>
      <c r="C7243" s="52" t="s">
        <v>33</v>
      </c>
      <c r="D7243" s="52" t="s">
        <v>33</v>
      </c>
      <c r="E7243" s="52" t="s">
        <v>636</v>
      </c>
      <c r="F7243" s="52" t="s">
        <v>26</v>
      </c>
      <c r="G7243" s="55" t="s">
        <v>276</v>
      </c>
      <c r="H7243" s="55">
        <v>-4.411E-3</v>
      </c>
      <c r="I7243" s="55">
        <v>7.189001E-4</v>
      </c>
      <c r="J7243" s="55">
        <v>-7.2979990000000003E-4</v>
      </c>
      <c r="K7243" s="55">
        <v>-2.1188000000000001E-3</v>
      </c>
      <c r="L7243" s="55">
        <v>1.488E-3</v>
      </c>
      <c r="M7243" s="55">
        <v>6.5691999999999999E-3</v>
      </c>
      <c r="N7243" s="55">
        <v>5.6222989999999999E-3</v>
      </c>
    </row>
    <row r="7244" spans="1:14" hidden="1" x14ac:dyDescent="0.35">
      <c r="A7244" s="52" t="s">
        <v>734</v>
      </c>
      <c r="B7244" s="52" t="s">
        <v>34</v>
      </c>
      <c r="C7244" s="52" t="s">
        <v>33</v>
      </c>
      <c r="D7244" s="52" t="s">
        <v>33</v>
      </c>
      <c r="E7244" s="52" t="s">
        <v>636</v>
      </c>
      <c r="F7244" s="52" t="s">
        <v>26</v>
      </c>
      <c r="G7244" s="55" t="s">
        <v>279</v>
      </c>
      <c r="H7244" s="55">
        <v>6.2269999999999999E-2</v>
      </c>
      <c r="I7244" s="55">
        <v>0.116065</v>
      </c>
      <c r="J7244" s="55">
        <v>0.10695300000000001</v>
      </c>
      <c r="K7244" s="55">
        <v>0.104726</v>
      </c>
      <c r="L7244" s="55">
        <v>0.20749909999999999</v>
      </c>
      <c r="M7244" s="55">
        <v>0.1236515</v>
      </c>
      <c r="N7244" s="55">
        <v>9.6413200000000004E-2</v>
      </c>
    </row>
    <row r="7245" spans="1:14" hidden="1" x14ac:dyDescent="0.35">
      <c r="A7245" s="52" t="s">
        <v>734</v>
      </c>
      <c r="B7245" s="52" t="s">
        <v>34</v>
      </c>
      <c r="C7245" s="52" t="s">
        <v>230</v>
      </c>
      <c r="D7245" s="52" t="s">
        <v>230</v>
      </c>
      <c r="E7245" s="52" t="s">
        <v>697</v>
      </c>
      <c r="F7245" s="52" t="s">
        <v>581</v>
      </c>
      <c r="G7245" s="55" t="s">
        <v>275</v>
      </c>
      <c r="H7245" s="55">
        <v>5.8445369999999999</v>
      </c>
      <c r="I7245" s="55">
        <v>2.570665</v>
      </c>
      <c r="J7245" s="55">
        <v>3.3689830000000001</v>
      </c>
      <c r="K7245" s="55">
        <v>1.975821</v>
      </c>
      <c r="L7245" s="55">
        <v>0.94377599999999995</v>
      </c>
      <c r="M7245" s="55">
        <v>1.1791400000000001</v>
      </c>
      <c r="N7245" s="55">
        <v>1.0416179999999999</v>
      </c>
    </row>
    <row r="7246" spans="1:14" hidden="1" x14ac:dyDescent="0.35">
      <c r="A7246" s="52" t="s">
        <v>734</v>
      </c>
      <c r="B7246" s="52" t="s">
        <v>34</v>
      </c>
      <c r="C7246" s="52" t="s">
        <v>230</v>
      </c>
      <c r="D7246" s="52" t="s">
        <v>230</v>
      </c>
      <c r="E7246" s="52" t="s">
        <v>697</v>
      </c>
      <c r="F7246" s="52" t="s">
        <v>581</v>
      </c>
      <c r="G7246" s="55" t="s">
        <v>276</v>
      </c>
      <c r="H7246" s="55">
        <v>1.9693480000000001</v>
      </c>
      <c r="I7246" s="55">
        <v>-2.7482549999999999</v>
      </c>
      <c r="J7246" s="55">
        <v>-2.0618020000000001</v>
      </c>
      <c r="K7246" s="55">
        <v>-0.79600780000000004</v>
      </c>
      <c r="L7246" s="55">
        <v>0.26341300000000001</v>
      </c>
      <c r="M7246" s="55">
        <v>0.27831929999999999</v>
      </c>
      <c r="N7246" s="55">
        <v>0.27950770000000003</v>
      </c>
    </row>
    <row r="7247" spans="1:14" hidden="1" x14ac:dyDescent="0.35">
      <c r="A7247" s="52" t="s">
        <v>734</v>
      </c>
      <c r="B7247" s="52" t="s">
        <v>34</v>
      </c>
      <c r="C7247" s="52" t="s">
        <v>230</v>
      </c>
      <c r="D7247" s="52" t="s">
        <v>230</v>
      </c>
      <c r="E7247" s="52" t="s">
        <v>697</v>
      </c>
      <c r="F7247" s="52" t="s">
        <v>581</v>
      </c>
      <c r="G7247" s="55" t="s">
        <v>277</v>
      </c>
      <c r="H7247" s="55">
        <v>15.4</v>
      </c>
      <c r="I7247" s="55">
        <v>1.891821</v>
      </c>
      <c r="J7247" s="55">
        <v>0.59929739999999998</v>
      </c>
      <c r="K7247" s="55">
        <v>0.45971630000000002</v>
      </c>
      <c r="L7247" s="55">
        <v>0.67483400000000004</v>
      </c>
      <c r="M7247" s="55">
        <v>9.0887009999999994E-3</v>
      </c>
      <c r="N7247" s="55">
        <v>0</v>
      </c>
    </row>
    <row r="7248" spans="1:14" hidden="1" x14ac:dyDescent="0.35">
      <c r="A7248" s="52" t="s">
        <v>734</v>
      </c>
      <c r="B7248" s="52" t="s">
        <v>34</v>
      </c>
      <c r="C7248" s="52" t="s">
        <v>230</v>
      </c>
      <c r="D7248" s="52" t="s">
        <v>230</v>
      </c>
      <c r="E7248" s="52" t="s">
        <v>697</v>
      </c>
      <c r="F7248" s="52" t="s">
        <v>581</v>
      </c>
      <c r="G7248" s="55" t="s">
        <v>278</v>
      </c>
      <c r="H7248" s="55">
        <v>0</v>
      </c>
      <c r="I7248" s="55"/>
      <c r="J7248" s="55"/>
      <c r="K7248" s="55"/>
      <c r="L7248" s="55"/>
      <c r="M7248" s="55"/>
      <c r="N7248" s="55"/>
    </row>
    <row r="7249" spans="1:14" hidden="1" x14ac:dyDescent="0.35">
      <c r="A7249" s="52" t="s">
        <v>734</v>
      </c>
      <c r="B7249" s="52" t="s">
        <v>34</v>
      </c>
      <c r="C7249" s="52" t="s">
        <v>230</v>
      </c>
      <c r="D7249" s="52" t="s">
        <v>230</v>
      </c>
      <c r="E7249" s="52" t="s">
        <v>697</v>
      </c>
      <c r="F7249" s="52" t="s">
        <v>581</v>
      </c>
      <c r="G7249" s="55" t="s">
        <v>279</v>
      </c>
      <c r="H7249" s="55">
        <v>14.97706</v>
      </c>
      <c r="I7249" s="55">
        <v>6.2351999999999999</v>
      </c>
      <c r="J7249" s="55">
        <v>5.3944089999999996</v>
      </c>
      <c r="K7249" s="55">
        <v>4.8176519999999998</v>
      </c>
      <c r="L7249" s="55">
        <v>4.1177830000000002</v>
      </c>
      <c r="M7249" s="55">
        <v>3.8397250000000001</v>
      </c>
      <c r="N7249" s="55">
        <v>3.4126850000000002</v>
      </c>
    </row>
    <row r="7250" spans="1:14" hidden="1" x14ac:dyDescent="0.35">
      <c r="A7250" s="52" t="s">
        <v>734</v>
      </c>
      <c r="B7250" s="52" t="s">
        <v>34</v>
      </c>
      <c r="C7250" s="52" t="s">
        <v>230</v>
      </c>
      <c r="D7250" s="52" t="s">
        <v>230</v>
      </c>
      <c r="E7250" s="52" t="s">
        <v>584</v>
      </c>
      <c r="F7250" s="52" t="s">
        <v>581</v>
      </c>
      <c r="G7250" s="55" t="s">
        <v>275</v>
      </c>
      <c r="H7250" s="55">
        <v>5.7028930000000004</v>
      </c>
      <c r="I7250" s="55">
        <v>-4.1386250000000002</v>
      </c>
      <c r="J7250" s="55">
        <v>-2.1131120000000001</v>
      </c>
      <c r="K7250" s="55">
        <v>-0.23313610000000001</v>
      </c>
      <c r="L7250" s="55">
        <v>-0.3692955</v>
      </c>
      <c r="M7250" s="55">
        <v>-7.9057199999999994E-2</v>
      </c>
      <c r="N7250" s="55">
        <v>-0.11202719999999999</v>
      </c>
    </row>
    <row r="7251" spans="1:14" hidden="1" x14ac:dyDescent="0.35">
      <c r="A7251" s="52" t="s">
        <v>734</v>
      </c>
      <c r="B7251" s="52" t="s">
        <v>34</v>
      </c>
      <c r="C7251" s="52" t="s">
        <v>230</v>
      </c>
      <c r="D7251" s="52" t="s">
        <v>230</v>
      </c>
      <c r="E7251" s="52" t="s">
        <v>584</v>
      </c>
      <c r="F7251" s="52" t="s">
        <v>581</v>
      </c>
      <c r="G7251" s="55" t="s">
        <v>276</v>
      </c>
      <c r="H7251" s="55">
        <v>1.960982</v>
      </c>
      <c r="I7251" s="55">
        <v>-2.0447829999999998</v>
      </c>
      <c r="J7251" s="55">
        <v>-1.3345689999999999</v>
      </c>
      <c r="K7251" s="55">
        <v>-0.72691830000000002</v>
      </c>
      <c r="L7251" s="55">
        <v>-0.4597774</v>
      </c>
      <c r="M7251" s="55">
        <v>-0.1649661</v>
      </c>
      <c r="N7251" s="55">
        <v>-3.3462489999999998E-2</v>
      </c>
    </row>
    <row r="7252" spans="1:14" hidden="1" x14ac:dyDescent="0.35">
      <c r="A7252" s="52" t="s">
        <v>734</v>
      </c>
      <c r="B7252" s="52" t="s">
        <v>34</v>
      </c>
      <c r="C7252" s="52" t="s">
        <v>230</v>
      </c>
      <c r="D7252" s="52" t="s">
        <v>230</v>
      </c>
      <c r="E7252" s="52" t="s">
        <v>584</v>
      </c>
      <c r="F7252" s="52" t="s">
        <v>581</v>
      </c>
      <c r="G7252" s="55" t="s">
        <v>277</v>
      </c>
      <c r="H7252" s="55">
        <v>4.1219999999999999</v>
      </c>
      <c r="I7252" s="55">
        <v>2.7869579999999998</v>
      </c>
      <c r="J7252" s="55">
        <v>1.892881</v>
      </c>
      <c r="K7252" s="55"/>
      <c r="L7252" s="55"/>
      <c r="M7252" s="55"/>
      <c r="N7252" s="55"/>
    </row>
    <row r="7253" spans="1:14" hidden="1" x14ac:dyDescent="0.35">
      <c r="A7253" s="52" t="s">
        <v>734</v>
      </c>
      <c r="B7253" s="52" t="s">
        <v>34</v>
      </c>
      <c r="C7253" s="52" t="s">
        <v>230</v>
      </c>
      <c r="D7253" s="52" t="s">
        <v>230</v>
      </c>
      <c r="E7253" s="52" t="s">
        <v>584</v>
      </c>
      <c r="F7253" s="52" t="s">
        <v>581</v>
      </c>
      <c r="G7253" s="55" t="s">
        <v>279</v>
      </c>
      <c r="H7253" s="55">
        <v>16.881530000000001</v>
      </c>
      <c r="I7253" s="55">
        <v>11.103960000000001</v>
      </c>
      <c r="J7253" s="55">
        <v>7.331467</v>
      </c>
      <c r="K7253" s="55">
        <v>5.3102349999999996</v>
      </c>
      <c r="L7253" s="55">
        <v>3.867556</v>
      </c>
      <c r="M7253" s="55">
        <v>2.3650479999999998</v>
      </c>
      <c r="N7253" s="55">
        <v>1.6250089999999999</v>
      </c>
    </row>
    <row r="7254" spans="1:14" hidden="1" x14ac:dyDescent="0.35">
      <c r="A7254" s="52" t="s">
        <v>734</v>
      </c>
      <c r="B7254" s="52" t="s">
        <v>34</v>
      </c>
      <c r="C7254" s="52" t="s">
        <v>230</v>
      </c>
      <c r="D7254" s="52" t="s">
        <v>230</v>
      </c>
      <c r="E7254" s="52" t="s">
        <v>584</v>
      </c>
      <c r="F7254" s="52" t="s">
        <v>26</v>
      </c>
      <c r="G7254" s="55" t="s">
        <v>275</v>
      </c>
      <c r="H7254" s="55">
        <v>-0.14385000000000001</v>
      </c>
      <c r="I7254" s="55">
        <v>-0.14070450000000001</v>
      </c>
      <c r="J7254" s="55">
        <v>-0.14007649999999999</v>
      </c>
      <c r="K7254" s="55">
        <v>-1.377982</v>
      </c>
      <c r="L7254" s="55">
        <v>-0.94334110000000004</v>
      </c>
      <c r="M7254" s="55">
        <v>-0.61160079999999994</v>
      </c>
      <c r="N7254" s="55">
        <v>-0.40928920000000002</v>
      </c>
    </row>
    <row r="7255" spans="1:14" hidden="1" x14ac:dyDescent="0.35">
      <c r="A7255" s="52" t="s">
        <v>734</v>
      </c>
      <c r="B7255" s="52" t="s">
        <v>34</v>
      </c>
      <c r="C7255" s="52" t="s">
        <v>230</v>
      </c>
      <c r="D7255" s="52" t="s">
        <v>230</v>
      </c>
      <c r="E7255" s="52" t="s">
        <v>584</v>
      </c>
      <c r="F7255" s="52" t="s">
        <v>26</v>
      </c>
      <c r="G7255" s="55" t="s">
        <v>276</v>
      </c>
      <c r="H7255" s="55">
        <v>-5.1865000000000001E-2</v>
      </c>
      <c r="I7255" s="55">
        <v>-4.6901400000000003E-2</v>
      </c>
      <c r="J7255" s="55">
        <v>-4.4234700000000002E-2</v>
      </c>
      <c r="K7255" s="55">
        <v>-0.1216473</v>
      </c>
      <c r="L7255" s="55">
        <v>-0.17871210000000001</v>
      </c>
      <c r="M7255" s="55">
        <v>-0.20668220000000001</v>
      </c>
      <c r="N7255" s="55">
        <v>-0.233209</v>
      </c>
    </row>
    <row r="7256" spans="1:14" hidden="1" x14ac:dyDescent="0.35">
      <c r="A7256" s="52" t="s">
        <v>734</v>
      </c>
      <c r="B7256" s="52" t="s">
        <v>34</v>
      </c>
      <c r="C7256" s="52" t="s">
        <v>230</v>
      </c>
      <c r="D7256" s="52" t="s">
        <v>230</v>
      </c>
      <c r="E7256" s="52" t="s">
        <v>584</v>
      </c>
      <c r="F7256" s="52" t="s">
        <v>26</v>
      </c>
      <c r="G7256" s="55" t="s">
        <v>277</v>
      </c>
      <c r="H7256" s="55"/>
      <c r="I7256" s="55"/>
      <c r="J7256" s="55">
        <v>0</v>
      </c>
      <c r="K7256" s="55">
        <v>1.2943020000000001</v>
      </c>
      <c r="L7256" s="55">
        <v>0.89149469999999997</v>
      </c>
      <c r="M7256" s="55">
        <v>0.62148219999999998</v>
      </c>
      <c r="N7256" s="55">
        <v>0.44049050000000001</v>
      </c>
    </row>
    <row r="7257" spans="1:14" hidden="1" x14ac:dyDescent="0.35">
      <c r="A7257" s="52" t="s">
        <v>734</v>
      </c>
      <c r="B7257" s="52" t="s">
        <v>34</v>
      </c>
      <c r="C7257" s="52" t="s">
        <v>230</v>
      </c>
      <c r="D7257" s="52" t="s">
        <v>230</v>
      </c>
      <c r="E7257" s="52" t="s">
        <v>584</v>
      </c>
      <c r="F7257" s="52" t="s">
        <v>26</v>
      </c>
      <c r="G7257" s="55" t="s">
        <v>279</v>
      </c>
      <c r="H7257" s="55">
        <v>0.310423</v>
      </c>
      <c r="I7257" s="55">
        <v>0.30494500000000002</v>
      </c>
      <c r="J7257" s="55">
        <v>0.30056100000000002</v>
      </c>
      <c r="K7257" s="55">
        <v>0.324403</v>
      </c>
      <c r="L7257" s="55">
        <v>0.35245900000000002</v>
      </c>
      <c r="M7257" s="55">
        <v>0.321523</v>
      </c>
      <c r="N7257" s="55">
        <v>0.32955600000000002</v>
      </c>
    </row>
    <row r="7258" spans="1:14" hidden="1" x14ac:dyDescent="0.35">
      <c r="A7258" s="52" t="s">
        <v>734</v>
      </c>
      <c r="B7258" s="52" t="s">
        <v>34</v>
      </c>
      <c r="C7258" s="52" t="s">
        <v>318</v>
      </c>
      <c r="D7258" s="52" t="s">
        <v>318</v>
      </c>
      <c r="E7258" s="52" t="s">
        <v>584</v>
      </c>
      <c r="F7258" s="52" t="s">
        <v>581</v>
      </c>
      <c r="G7258" s="55" t="s">
        <v>275</v>
      </c>
      <c r="H7258" s="55">
        <v>0.41915000000000002</v>
      </c>
      <c r="I7258" s="55">
        <v>0</v>
      </c>
      <c r="J7258" s="55"/>
      <c r="K7258" s="55"/>
      <c r="L7258" s="55"/>
      <c r="M7258" s="55"/>
      <c r="N7258" s="55"/>
    </row>
    <row r="7259" spans="1:14" hidden="1" x14ac:dyDescent="0.35">
      <c r="A7259" s="52" t="s">
        <v>734</v>
      </c>
      <c r="B7259" s="52" t="s">
        <v>34</v>
      </c>
      <c r="C7259" s="52" t="s">
        <v>318</v>
      </c>
      <c r="D7259" s="52" t="s">
        <v>318</v>
      </c>
      <c r="E7259" s="52" t="s">
        <v>584</v>
      </c>
      <c r="F7259" s="52" t="s">
        <v>581</v>
      </c>
      <c r="G7259" s="55" t="s">
        <v>278</v>
      </c>
      <c r="H7259" s="55">
        <v>-0.41915000000000002</v>
      </c>
      <c r="I7259" s="55">
        <v>0</v>
      </c>
      <c r="J7259" s="55"/>
      <c r="K7259" s="55"/>
      <c r="L7259" s="55"/>
      <c r="M7259" s="55"/>
      <c r="N7259" s="55"/>
    </row>
    <row r="7260" spans="1:14" hidden="1" x14ac:dyDescent="0.35">
      <c r="A7260" s="52" t="s">
        <v>734</v>
      </c>
      <c r="B7260" s="52" t="s">
        <v>34</v>
      </c>
      <c r="C7260" s="52" t="s">
        <v>318</v>
      </c>
      <c r="D7260" s="52" t="s">
        <v>318</v>
      </c>
      <c r="E7260" s="52" t="s">
        <v>584</v>
      </c>
      <c r="F7260" s="52" t="s">
        <v>26</v>
      </c>
      <c r="G7260" s="55" t="s">
        <v>275</v>
      </c>
      <c r="H7260" s="55">
        <v>0.27943400000000002</v>
      </c>
      <c r="I7260" s="55">
        <v>0</v>
      </c>
      <c r="J7260" s="55"/>
      <c r="K7260" s="55"/>
      <c r="L7260" s="55"/>
      <c r="M7260" s="55"/>
      <c r="N7260" s="55"/>
    </row>
    <row r="7261" spans="1:14" hidden="1" x14ac:dyDescent="0.35">
      <c r="A7261" s="52" t="s">
        <v>734</v>
      </c>
      <c r="B7261" s="52" t="s">
        <v>34</v>
      </c>
      <c r="C7261" s="52" t="s">
        <v>318</v>
      </c>
      <c r="D7261" s="52" t="s">
        <v>318</v>
      </c>
      <c r="E7261" s="52" t="s">
        <v>584</v>
      </c>
      <c r="F7261" s="52" t="s">
        <v>26</v>
      </c>
      <c r="G7261" s="55" t="s">
        <v>278</v>
      </c>
      <c r="H7261" s="55">
        <v>-0.27943400000000002</v>
      </c>
      <c r="I7261" s="55">
        <v>0</v>
      </c>
      <c r="J7261" s="55"/>
      <c r="K7261" s="55"/>
      <c r="L7261" s="55"/>
      <c r="M7261" s="55"/>
      <c r="N7261" s="55"/>
    </row>
    <row r="7262" spans="1:14" hidden="1" x14ac:dyDescent="0.35">
      <c r="A7262" s="52" t="s">
        <v>740</v>
      </c>
      <c r="B7262" s="52" t="s">
        <v>37</v>
      </c>
      <c r="C7262" s="52" t="s">
        <v>79</v>
      </c>
      <c r="D7262" s="52" t="s">
        <v>79</v>
      </c>
      <c r="E7262" s="52" t="s">
        <v>600</v>
      </c>
      <c r="F7262" s="52" t="s">
        <v>581</v>
      </c>
      <c r="G7262" s="55" t="s">
        <v>275</v>
      </c>
      <c r="H7262" s="55">
        <v>-17.393899999999999</v>
      </c>
      <c r="I7262" s="55">
        <v>48.742339999999999</v>
      </c>
      <c r="J7262" s="55">
        <v>77.795940000000002</v>
      </c>
      <c r="K7262" s="55">
        <v>83.270920000000004</v>
      </c>
      <c r="L7262" s="55">
        <v>61.479390000000002</v>
      </c>
      <c r="M7262" s="55">
        <v>27.545729999999999</v>
      </c>
      <c r="N7262" s="55">
        <v>20.599460000000001</v>
      </c>
    </row>
    <row r="7263" spans="1:14" hidden="1" x14ac:dyDescent="0.35">
      <c r="A7263" s="52" t="s">
        <v>740</v>
      </c>
      <c r="B7263" s="52" t="s">
        <v>37</v>
      </c>
      <c r="C7263" s="52" t="s">
        <v>79</v>
      </c>
      <c r="D7263" s="52" t="s">
        <v>79</v>
      </c>
      <c r="E7263" s="52" t="s">
        <v>600</v>
      </c>
      <c r="F7263" s="52" t="s">
        <v>581</v>
      </c>
      <c r="G7263" s="55" t="s">
        <v>276</v>
      </c>
      <c r="H7263" s="55">
        <v>-53.127859999999998</v>
      </c>
      <c r="I7263" s="55">
        <v>-37.935969999999998</v>
      </c>
      <c r="J7263" s="55">
        <v>-32.310940000000002</v>
      </c>
      <c r="K7263" s="55">
        <v>-43.554459999999999</v>
      </c>
      <c r="L7263" s="55">
        <v>-25.986370000000001</v>
      </c>
      <c r="M7263" s="55">
        <v>0.34102470000000001</v>
      </c>
      <c r="N7263" s="55">
        <v>3.3256380000000001</v>
      </c>
    </row>
    <row r="7264" spans="1:14" hidden="1" x14ac:dyDescent="0.35">
      <c r="A7264" s="52" t="s">
        <v>740</v>
      </c>
      <c r="B7264" s="52" t="s">
        <v>37</v>
      </c>
      <c r="C7264" s="52" t="s">
        <v>79</v>
      </c>
      <c r="D7264" s="52" t="s">
        <v>79</v>
      </c>
      <c r="E7264" s="52" t="s">
        <v>600</v>
      </c>
      <c r="F7264" s="52" t="s">
        <v>581</v>
      </c>
      <c r="G7264" s="55" t="s">
        <v>277</v>
      </c>
      <c r="H7264" s="55">
        <v>360</v>
      </c>
      <c r="I7264" s="55">
        <v>53.860860000000002</v>
      </c>
      <c r="J7264" s="55">
        <v>17.337109999999999</v>
      </c>
      <c r="K7264" s="55">
        <v>10.742699999999999</v>
      </c>
      <c r="L7264" s="55">
        <v>7.2346159999999999</v>
      </c>
      <c r="M7264" s="55">
        <v>0</v>
      </c>
      <c r="N7264" s="55">
        <v>0</v>
      </c>
    </row>
    <row r="7265" spans="1:14" hidden="1" x14ac:dyDescent="0.35">
      <c r="A7265" s="52" t="s">
        <v>740</v>
      </c>
      <c r="B7265" s="52" t="s">
        <v>37</v>
      </c>
      <c r="C7265" s="52" t="s">
        <v>79</v>
      </c>
      <c r="D7265" s="52" t="s">
        <v>79</v>
      </c>
      <c r="E7265" s="52" t="s">
        <v>600</v>
      </c>
      <c r="F7265" s="52" t="s">
        <v>581</v>
      </c>
      <c r="G7265" s="55" t="s">
        <v>279</v>
      </c>
      <c r="H7265" s="55">
        <v>185.98099999999999</v>
      </c>
      <c r="I7265" s="55">
        <v>112.83710000000001</v>
      </c>
      <c r="J7265" s="55">
        <v>98.43768</v>
      </c>
      <c r="K7265" s="55">
        <v>85.788759999999996</v>
      </c>
      <c r="L7265" s="55">
        <v>65.496470000000002</v>
      </c>
      <c r="M7265" s="55">
        <v>60.741540000000001</v>
      </c>
      <c r="N7265" s="55">
        <v>51.971690000000002</v>
      </c>
    </row>
    <row r="7266" spans="1:14" hidden="1" x14ac:dyDescent="0.35">
      <c r="A7266" s="52" t="s">
        <v>740</v>
      </c>
      <c r="B7266" s="52" t="s">
        <v>37</v>
      </c>
      <c r="C7266" s="52" t="s">
        <v>79</v>
      </c>
      <c r="D7266" s="52" t="s">
        <v>79</v>
      </c>
      <c r="E7266" s="52" t="s">
        <v>600</v>
      </c>
      <c r="F7266" s="52" t="s">
        <v>26</v>
      </c>
      <c r="G7266" s="55" t="s">
        <v>275</v>
      </c>
      <c r="H7266" s="55">
        <v>-21.089739999999999</v>
      </c>
      <c r="I7266" s="55">
        <v>-12.702220000000001</v>
      </c>
      <c r="J7266" s="55">
        <v>-8.4082469999999994</v>
      </c>
      <c r="K7266" s="55">
        <v>-6.0677159999999999</v>
      </c>
      <c r="L7266" s="55">
        <v>-3.2023030000000001</v>
      </c>
      <c r="M7266" s="55">
        <v>-3.7546529999999998</v>
      </c>
      <c r="N7266" s="55">
        <v>-3.2170320000000001</v>
      </c>
    </row>
    <row r="7267" spans="1:14" hidden="1" x14ac:dyDescent="0.35">
      <c r="A7267" s="52" t="s">
        <v>740</v>
      </c>
      <c r="B7267" s="52" t="s">
        <v>37</v>
      </c>
      <c r="C7267" s="52" t="s">
        <v>79</v>
      </c>
      <c r="D7267" s="52" t="s">
        <v>79</v>
      </c>
      <c r="E7267" s="52" t="s">
        <v>600</v>
      </c>
      <c r="F7267" s="52" t="s">
        <v>26</v>
      </c>
      <c r="G7267" s="55" t="s">
        <v>276</v>
      </c>
      <c r="H7267" s="55">
        <v>-6.1136999999999997</v>
      </c>
      <c r="I7267" s="55">
        <v>-3.6822490000000001</v>
      </c>
      <c r="J7267" s="55">
        <v>-2.4374630000000002</v>
      </c>
      <c r="K7267" s="55">
        <v>-1.7589680000000001</v>
      </c>
      <c r="L7267" s="55">
        <v>-0.92831359999999996</v>
      </c>
      <c r="M7267" s="55">
        <v>-1.088435</v>
      </c>
      <c r="N7267" s="55">
        <v>-0.93258450000000004</v>
      </c>
    </row>
    <row r="7268" spans="1:14" hidden="1" x14ac:dyDescent="0.35">
      <c r="A7268" s="52" t="s">
        <v>740</v>
      </c>
      <c r="B7268" s="52" t="s">
        <v>37</v>
      </c>
      <c r="C7268" s="52" t="s">
        <v>79</v>
      </c>
      <c r="D7268" s="52" t="s">
        <v>79</v>
      </c>
      <c r="E7268" s="52" t="s">
        <v>600</v>
      </c>
      <c r="F7268" s="52" t="s">
        <v>26</v>
      </c>
      <c r="G7268" s="55" t="s">
        <v>279</v>
      </c>
      <c r="H7268" s="55">
        <v>38.875610000000002</v>
      </c>
      <c r="I7268" s="55">
        <v>27.45356</v>
      </c>
      <c r="J7268" s="55">
        <v>24.496680000000001</v>
      </c>
      <c r="K7268" s="55">
        <v>21.96482</v>
      </c>
      <c r="L7268" s="55">
        <v>17.430040000000002</v>
      </c>
      <c r="M7268" s="55">
        <v>15.72878</v>
      </c>
      <c r="N7268" s="55">
        <v>13.455959999999999</v>
      </c>
    </row>
    <row r="7269" spans="1:14" hidden="1" x14ac:dyDescent="0.35">
      <c r="A7269" s="52" t="s">
        <v>740</v>
      </c>
      <c r="B7269" s="52" t="s">
        <v>37</v>
      </c>
      <c r="C7269" s="52" t="s">
        <v>79</v>
      </c>
      <c r="D7269" s="52" t="s">
        <v>79</v>
      </c>
      <c r="E7269" s="52" t="s">
        <v>615</v>
      </c>
      <c r="F7269" s="52" t="s">
        <v>581</v>
      </c>
      <c r="G7269" s="55" t="s">
        <v>275</v>
      </c>
      <c r="H7269" s="55">
        <v>9.0103109999999997</v>
      </c>
      <c r="I7269" s="55">
        <v>3.5640209999999999</v>
      </c>
      <c r="J7269" s="55">
        <v>2.7188949999999998</v>
      </c>
      <c r="K7269" s="55">
        <v>1.2558210000000001</v>
      </c>
      <c r="L7269" s="55">
        <v>0.2505327</v>
      </c>
      <c r="M7269" s="55">
        <v>2.4742630000000001</v>
      </c>
      <c r="N7269" s="55">
        <v>2.1215799999999998</v>
      </c>
    </row>
    <row r="7270" spans="1:14" hidden="1" x14ac:dyDescent="0.35">
      <c r="A7270" s="52" t="s">
        <v>740</v>
      </c>
      <c r="B7270" s="52" t="s">
        <v>37</v>
      </c>
      <c r="C7270" s="52" t="s">
        <v>79</v>
      </c>
      <c r="D7270" s="52" t="s">
        <v>79</v>
      </c>
      <c r="E7270" s="52" t="s">
        <v>615</v>
      </c>
      <c r="F7270" s="52" t="s">
        <v>581</v>
      </c>
      <c r="G7270" s="55" t="s">
        <v>276</v>
      </c>
      <c r="H7270" s="55">
        <v>2.4171969999999998</v>
      </c>
      <c r="I7270" s="55">
        <v>0.2539727</v>
      </c>
      <c r="J7270" s="55">
        <v>0.78818010000000005</v>
      </c>
      <c r="K7270" s="55">
        <v>0.69315400000000005</v>
      </c>
      <c r="L7270" s="55">
        <v>0.71348049999999996</v>
      </c>
      <c r="M7270" s="55">
        <v>0.52327190000000001</v>
      </c>
      <c r="N7270" s="55">
        <v>0.45983170000000001</v>
      </c>
    </row>
    <row r="7271" spans="1:14" hidden="1" x14ac:dyDescent="0.35">
      <c r="A7271" s="52" t="s">
        <v>740</v>
      </c>
      <c r="B7271" s="52" t="s">
        <v>37</v>
      </c>
      <c r="C7271" s="52" t="s">
        <v>79</v>
      </c>
      <c r="D7271" s="52" t="s">
        <v>79</v>
      </c>
      <c r="E7271" s="52" t="s">
        <v>615</v>
      </c>
      <c r="F7271" s="52" t="s">
        <v>581</v>
      </c>
      <c r="G7271" s="55" t="s">
        <v>277</v>
      </c>
      <c r="H7271" s="55"/>
      <c r="I7271" s="55">
        <v>0</v>
      </c>
      <c r="J7271" s="55">
        <v>1.9999999999999999E-6</v>
      </c>
      <c r="K7271" s="55">
        <v>1.4190910000000001</v>
      </c>
      <c r="L7271" s="55">
        <v>3.047167</v>
      </c>
      <c r="M7271" s="55">
        <v>0</v>
      </c>
      <c r="N7271" s="55">
        <v>0</v>
      </c>
    </row>
    <row r="7272" spans="1:14" hidden="1" x14ac:dyDescent="0.35">
      <c r="A7272" s="52" t="s">
        <v>740</v>
      </c>
      <c r="B7272" s="52" t="s">
        <v>37</v>
      </c>
      <c r="C7272" s="52" t="s">
        <v>79</v>
      </c>
      <c r="D7272" s="52" t="s">
        <v>79</v>
      </c>
      <c r="E7272" s="52" t="s">
        <v>615</v>
      </c>
      <c r="F7272" s="52" t="s">
        <v>581</v>
      </c>
      <c r="G7272" s="55" t="s">
        <v>279</v>
      </c>
      <c r="H7272" s="55">
        <v>5.0246320000000004</v>
      </c>
      <c r="I7272" s="55">
        <v>3.5113439999999998</v>
      </c>
      <c r="J7272" s="55">
        <v>3.017595</v>
      </c>
      <c r="K7272" s="55">
        <v>3.0519669999999999</v>
      </c>
      <c r="L7272" s="55">
        <v>3.3324349999999998</v>
      </c>
      <c r="M7272" s="55">
        <v>3.1351599999999999</v>
      </c>
      <c r="N7272" s="55">
        <v>2.7031559999999999</v>
      </c>
    </row>
    <row r="7273" spans="1:14" hidden="1" x14ac:dyDescent="0.35">
      <c r="A7273" s="52" t="s">
        <v>740</v>
      </c>
      <c r="B7273" s="52" t="s">
        <v>37</v>
      </c>
      <c r="C7273" s="52" t="s">
        <v>79</v>
      </c>
      <c r="D7273" s="52" t="s">
        <v>79</v>
      </c>
      <c r="E7273" s="52" t="s">
        <v>615</v>
      </c>
      <c r="F7273" s="52" t="s">
        <v>26</v>
      </c>
      <c r="G7273" s="55" t="s">
        <v>275</v>
      </c>
      <c r="H7273" s="55">
        <v>-0.55872999999999995</v>
      </c>
      <c r="I7273" s="55">
        <v>-0.41321560000000002</v>
      </c>
      <c r="J7273" s="55">
        <v>-0.2708528</v>
      </c>
      <c r="K7273" s="55">
        <v>-0.23672319999999999</v>
      </c>
      <c r="L7273" s="55">
        <v>-0.18649740000000001</v>
      </c>
      <c r="M7273" s="55">
        <v>-0.22410579999999999</v>
      </c>
      <c r="N7273" s="55">
        <v>-0.19372690000000001</v>
      </c>
    </row>
    <row r="7274" spans="1:14" hidden="1" x14ac:dyDescent="0.35">
      <c r="A7274" s="52" t="s">
        <v>740</v>
      </c>
      <c r="B7274" s="52" t="s">
        <v>37</v>
      </c>
      <c r="C7274" s="52" t="s">
        <v>79</v>
      </c>
      <c r="D7274" s="52" t="s">
        <v>79</v>
      </c>
      <c r="E7274" s="52" t="s">
        <v>615</v>
      </c>
      <c r="F7274" s="52" t="s">
        <v>26</v>
      </c>
      <c r="G7274" s="55" t="s">
        <v>276</v>
      </c>
      <c r="H7274" s="55">
        <v>-0.161971</v>
      </c>
      <c r="I7274" s="55">
        <v>-0.1197874</v>
      </c>
      <c r="J7274" s="55">
        <v>-7.8517710000000004E-2</v>
      </c>
      <c r="K7274" s="55">
        <v>-6.8623799999999999E-2</v>
      </c>
      <c r="L7274" s="55">
        <v>-5.4063300000000002E-2</v>
      </c>
      <c r="M7274" s="55">
        <v>-6.4965490000000001E-2</v>
      </c>
      <c r="N7274" s="55">
        <v>-5.61602E-2</v>
      </c>
    </row>
    <row r="7275" spans="1:14" hidden="1" x14ac:dyDescent="0.35">
      <c r="A7275" s="52" t="s">
        <v>740</v>
      </c>
      <c r="B7275" s="52" t="s">
        <v>37</v>
      </c>
      <c r="C7275" s="52" t="s">
        <v>79</v>
      </c>
      <c r="D7275" s="52" t="s">
        <v>79</v>
      </c>
      <c r="E7275" s="52" t="s">
        <v>615</v>
      </c>
      <c r="F7275" s="52" t="s">
        <v>26</v>
      </c>
      <c r="G7275" s="55" t="s">
        <v>279</v>
      </c>
      <c r="H7275" s="55">
        <v>1.1823570000000001</v>
      </c>
      <c r="I7275" s="55">
        <v>0.99869330000000001</v>
      </c>
      <c r="J7275" s="55">
        <v>0.8748591</v>
      </c>
      <c r="K7275" s="55">
        <v>0.90854469999999998</v>
      </c>
      <c r="L7275" s="55">
        <v>1.0243580000000001</v>
      </c>
      <c r="M7275" s="55">
        <v>0.94373209999999996</v>
      </c>
      <c r="N7275" s="55">
        <v>0.8137607</v>
      </c>
    </row>
    <row r="7276" spans="1:14" hidden="1" x14ac:dyDescent="0.35">
      <c r="A7276" s="52" t="s">
        <v>740</v>
      </c>
      <c r="B7276" s="52" t="s">
        <v>37</v>
      </c>
      <c r="C7276" s="52" t="s">
        <v>35</v>
      </c>
      <c r="D7276" s="52" t="s">
        <v>189</v>
      </c>
      <c r="E7276" s="52" t="s">
        <v>590</v>
      </c>
      <c r="F7276" s="52" t="s">
        <v>581</v>
      </c>
      <c r="G7276" s="55" t="s">
        <v>275</v>
      </c>
      <c r="H7276" s="55">
        <v>122.6382</v>
      </c>
      <c r="I7276" s="55">
        <v>56.806429999999999</v>
      </c>
      <c r="J7276" s="55">
        <v>37.757480000000001</v>
      </c>
      <c r="K7276" s="55">
        <v>32.253779999999999</v>
      </c>
      <c r="L7276" s="55">
        <v>39.195180000000001</v>
      </c>
      <c r="M7276" s="55">
        <v>35.447980000000001</v>
      </c>
      <c r="N7276" s="55">
        <v>32.022599999999997</v>
      </c>
    </row>
    <row r="7277" spans="1:14" hidden="1" x14ac:dyDescent="0.35">
      <c r="A7277" s="52" t="s">
        <v>740</v>
      </c>
      <c r="B7277" s="52" t="s">
        <v>37</v>
      </c>
      <c r="C7277" s="52" t="s">
        <v>35</v>
      </c>
      <c r="D7277" s="52" t="s">
        <v>189</v>
      </c>
      <c r="E7277" s="52" t="s">
        <v>590</v>
      </c>
      <c r="F7277" s="52" t="s">
        <v>581</v>
      </c>
      <c r="G7277" s="55" t="s">
        <v>276</v>
      </c>
      <c r="H7277" s="55">
        <v>-12.43891</v>
      </c>
      <c r="I7277" s="55">
        <v>-16.74362</v>
      </c>
      <c r="J7277" s="55">
        <v>-12.233079999999999</v>
      </c>
      <c r="K7277" s="55">
        <v>2.4549840000000001</v>
      </c>
      <c r="L7277" s="55">
        <v>9.4770859999999999</v>
      </c>
      <c r="M7277" s="55">
        <v>6.3856469999999996</v>
      </c>
      <c r="N7277" s="55">
        <v>4.3771740000000001</v>
      </c>
    </row>
    <row r="7278" spans="1:14" hidden="1" x14ac:dyDescent="0.35">
      <c r="A7278" s="52" t="s">
        <v>740</v>
      </c>
      <c r="B7278" s="52" t="s">
        <v>37</v>
      </c>
      <c r="C7278" s="52" t="s">
        <v>35</v>
      </c>
      <c r="D7278" s="52" t="s">
        <v>189</v>
      </c>
      <c r="E7278" s="52" t="s">
        <v>590</v>
      </c>
      <c r="F7278" s="52" t="s">
        <v>581</v>
      </c>
      <c r="G7278" s="55" t="s">
        <v>277</v>
      </c>
      <c r="H7278" s="55">
        <v>0</v>
      </c>
      <c r="I7278" s="55">
        <v>10.67806</v>
      </c>
      <c r="J7278" s="55">
        <v>29.239260000000002</v>
      </c>
      <c r="K7278" s="55">
        <v>22.932390000000002</v>
      </c>
      <c r="L7278" s="55">
        <v>6.3651920000000004</v>
      </c>
      <c r="M7278" s="55">
        <v>0</v>
      </c>
      <c r="N7278" s="55">
        <v>0</v>
      </c>
    </row>
    <row r="7279" spans="1:14" hidden="1" x14ac:dyDescent="0.35">
      <c r="A7279" s="52" t="s">
        <v>740</v>
      </c>
      <c r="B7279" s="52" t="s">
        <v>37</v>
      </c>
      <c r="C7279" s="52" t="s">
        <v>35</v>
      </c>
      <c r="D7279" s="52" t="s">
        <v>189</v>
      </c>
      <c r="E7279" s="52" t="s">
        <v>590</v>
      </c>
      <c r="F7279" s="52" t="s">
        <v>581</v>
      </c>
      <c r="G7279" s="55" t="s">
        <v>278</v>
      </c>
      <c r="H7279" s="55">
        <v>0</v>
      </c>
      <c r="I7279" s="55">
        <v>0</v>
      </c>
      <c r="J7279" s="55">
        <v>1.0172650000000001</v>
      </c>
      <c r="K7279" s="55">
        <v>0</v>
      </c>
      <c r="L7279" s="55"/>
      <c r="M7279" s="55"/>
      <c r="N7279" s="55"/>
    </row>
    <row r="7280" spans="1:14" hidden="1" x14ac:dyDescent="0.35">
      <c r="A7280" s="52" t="s">
        <v>740</v>
      </c>
      <c r="B7280" s="52" t="s">
        <v>37</v>
      </c>
      <c r="C7280" s="52" t="s">
        <v>35</v>
      </c>
      <c r="D7280" s="52" t="s">
        <v>189</v>
      </c>
      <c r="E7280" s="52" t="s">
        <v>590</v>
      </c>
      <c r="F7280" s="52" t="s">
        <v>581</v>
      </c>
      <c r="G7280" s="55" t="s">
        <v>279</v>
      </c>
      <c r="H7280" s="55">
        <v>66.372420000000005</v>
      </c>
      <c r="I7280" s="55">
        <v>53.293140000000001</v>
      </c>
      <c r="J7280" s="55">
        <v>54.436520000000002</v>
      </c>
      <c r="K7280" s="55">
        <v>59.704720000000002</v>
      </c>
      <c r="L7280" s="55">
        <v>53.752130000000001</v>
      </c>
      <c r="M7280" s="55">
        <v>50.768219999999999</v>
      </c>
      <c r="N7280" s="55">
        <v>43.838149999999999</v>
      </c>
    </row>
    <row r="7281" spans="1:14" hidden="1" x14ac:dyDescent="0.35">
      <c r="A7281" s="52" t="s">
        <v>740</v>
      </c>
      <c r="B7281" s="52" t="s">
        <v>37</v>
      </c>
      <c r="C7281" s="52" t="s">
        <v>35</v>
      </c>
      <c r="D7281" s="52" t="s">
        <v>189</v>
      </c>
      <c r="E7281" s="52" t="s">
        <v>590</v>
      </c>
      <c r="F7281" s="52" t="s">
        <v>26</v>
      </c>
      <c r="G7281" s="55" t="s">
        <v>275</v>
      </c>
      <c r="H7281" s="55">
        <v>-18.797689999999999</v>
      </c>
      <c r="I7281" s="55">
        <v>-11.96138</v>
      </c>
      <c r="J7281" s="55">
        <v>-7.4190880000000003</v>
      </c>
      <c r="K7281" s="55">
        <v>-5.6511870000000002</v>
      </c>
      <c r="L7281" s="55">
        <v>-1.6747829999999999</v>
      </c>
      <c r="M7281" s="55">
        <v>-3.6267160000000001</v>
      </c>
      <c r="N7281" s="55">
        <v>-3.142417</v>
      </c>
    </row>
    <row r="7282" spans="1:14" hidden="1" x14ac:dyDescent="0.35">
      <c r="A7282" s="52" t="s">
        <v>740</v>
      </c>
      <c r="B7282" s="52" t="s">
        <v>37</v>
      </c>
      <c r="C7282" s="52" t="s">
        <v>35</v>
      </c>
      <c r="D7282" s="52" t="s">
        <v>189</v>
      </c>
      <c r="E7282" s="52" t="s">
        <v>590</v>
      </c>
      <c r="F7282" s="52" t="s">
        <v>26</v>
      </c>
      <c r="G7282" s="55" t="s">
        <v>276</v>
      </c>
      <c r="H7282" s="55">
        <v>-4.9968570000000003</v>
      </c>
      <c r="I7282" s="55">
        <v>-3.1796090000000001</v>
      </c>
      <c r="J7282" s="55">
        <v>-1.9721630000000001</v>
      </c>
      <c r="K7282" s="55">
        <v>-1.5022120000000001</v>
      </c>
      <c r="L7282" s="55">
        <v>-0.44519520000000001</v>
      </c>
      <c r="M7282" s="55">
        <v>-0.96406230000000004</v>
      </c>
      <c r="N7282" s="55">
        <v>-0.8353237</v>
      </c>
    </row>
    <row r="7283" spans="1:14" hidden="1" x14ac:dyDescent="0.35">
      <c r="A7283" s="52" t="s">
        <v>740</v>
      </c>
      <c r="B7283" s="52" t="s">
        <v>37</v>
      </c>
      <c r="C7283" s="52" t="s">
        <v>35</v>
      </c>
      <c r="D7283" s="52" t="s">
        <v>189</v>
      </c>
      <c r="E7283" s="52" t="s">
        <v>590</v>
      </c>
      <c r="F7283" s="52" t="s">
        <v>26</v>
      </c>
      <c r="G7283" s="55" t="s">
        <v>279</v>
      </c>
      <c r="H7283" s="55">
        <v>45.32976</v>
      </c>
      <c r="I7283" s="55">
        <v>35.865569999999998</v>
      </c>
      <c r="J7283" s="55">
        <v>37.513460000000002</v>
      </c>
      <c r="K7283" s="55">
        <v>42.349490000000003</v>
      </c>
      <c r="L7283" s="55">
        <v>39.620550000000001</v>
      </c>
      <c r="M7283" s="55">
        <v>36.364319999999999</v>
      </c>
      <c r="N7283" s="55">
        <v>31.38054</v>
      </c>
    </row>
    <row r="7284" spans="1:14" hidden="1" x14ac:dyDescent="0.35">
      <c r="A7284" s="52" t="s">
        <v>740</v>
      </c>
      <c r="B7284" s="52" t="s">
        <v>37</v>
      </c>
      <c r="C7284" s="52" t="s">
        <v>35</v>
      </c>
      <c r="D7284" s="52" t="s">
        <v>38</v>
      </c>
      <c r="E7284" s="52" t="s">
        <v>584</v>
      </c>
      <c r="F7284" s="52" t="s">
        <v>581</v>
      </c>
      <c r="G7284" s="55" t="s">
        <v>275</v>
      </c>
      <c r="H7284" s="55">
        <v>0.20960100000000001</v>
      </c>
      <c r="I7284" s="55">
        <v>8.5799100000000003E-2</v>
      </c>
      <c r="J7284" s="55">
        <v>8.0094200000000004E-2</v>
      </c>
      <c r="K7284" s="55">
        <v>7.2903309999999999E-2</v>
      </c>
      <c r="L7284" s="55">
        <v>6.8726490000000001E-2</v>
      </c>
      <c r="M7284" s="55">
        <v>5.9743299999999999E-2</v>
      </c>
      <c r="N7284" s="55">
        <v>5.5334090000000002E-2</v>
      </c>
    </row>
    <row r="7285" spans="1:14" hidden="1" x14ac:dyDescent="0.35">
      <c r="A7285" s="52" t="s">
        <v>740</v>
      </c>
      <c r="B7285" s="52" t="s">
        <v>37</v>
      </c>
      <c r="C7285" s="52" t="s">
        <v>35</v>
      </c>
      <c r="D7285" s="52" t="s">
        <v>38</v>
      </c>
      <c r="E7285" s="52" t="s">
        <v>584</v>
      </c>
      <c r="F7285" s="52" t="s">
        <v>581</v>
      </c>
      <c r="G7285" s="55" t="s">
        <v>276</v>
      </c>
      <c r="H7285" s="55">
        <v>5.5717000000000003E-2</v>
      </c>
      <c r="I7285" s="55">
        <v>2.2807999999999998E-2</v>
      </c>
      <c r="J7285" s="55">
        <v>2.12912E-2</v>
      </c>
      <c r="K7285" s="55">
        <v>1.9378699999999999E-2</v>
      </c>
      <c r="L7285" s="55">
        <v>1.8270000000000002E-2</v>
      </c>
      <c r="M7285" s="55">
        <v>1.58814E-2</v>
      </c>
      <c r="N7285" s="55">
        <v>1.47099E-2</v>
      </c>
    </row>
    <row r="7286" spans="1:14" hidden="1" x14ac:dyDescent="0.35">
      <c r="A7286" s="52" t="s">
        <v>740</v>
      </c>
      <c r="B7286" s="52" t="s">
        <v>37</v>
      </c>
      <c r="C7286" s="52" t="s">
        <v>35</v>
      </c>
      <c r="D7286" s="52" t="s">
        <v>38</v>
      </c>
      <c r="E7286" s="52" t="s">
        <v>584</v>
      </c>
      <c r="F7286" s="52" t="s">
        <v>581</v>
      </c>
      <c r="G7286" s="55" t="s">
        <v>279</v>
      </c>
      <c r="H7286" s="55">
        <v>8.5706000000000004E-2</v>
      </c>
      <c r="I7286" s="55">
        <v>7.0080000000000003E-2</v>
      </c>
      <c r="J7286" s="55">
        <v>6.1754200000000002E-2</v>
      </c>
      <c r="K7286" s="55">
        <v>5.8924700000000003E-2</v>
      </c>
      <c r="L7286" s="55">
        <v>5.3138400000000002E-2</v>
      </c>
      <c r="M7286" s="55">
        <v>5.4573900000000002E-2</v>
      </c>
      <c r="N7286" s="55">
        <v>5.02383E-2</v>
      </c>
    </row>
    <row r="7287" spans="1:14" hidden="1" x14ac:dyDescent="0.35">
      <c r="A7287" s="52" t="s">
        <v>740</v>
      </c>
      <c r="B7287" s="52" t="s">
        <v>37</v>
      </c>
      <c r="C7287" s="52" t="s">
        <v>35</v>
      </c>
      <c r="D7287" s="52" t="s">
        <v>38</v>
      </c>
      <c r="E7287" s="52" t="s">
        <v>584</v>
      </c>
      <c r="F7287" s="52" t="s">
        <v>26</v>
      </c>
      <c r="G7287" s="55" t="s">
        <v>275</v>
      </c>
      <c r="H7287" s="55">
        <v>-1.8582000000000001E-2</v>
      </c>
      <c r="I7287" s="55">
        <v>-1.1071599999999999E-2</v>
      </c>
      <c r="J7287" s="55">
        <v>-4.7829999999999999E-3</v>
      </c>
      <c r="K7287" s="55">
        <v>-2.3073999999999998E-3</v>
      </c>
      <c r="L7287" s="55">
        <v>1.018E-3</v>
      </c>
      <c r="M7287" s="55">
        <v>-1.0135999999999999E-3</v>
      </c>
      <c r="N7287" s="55">
        <v>-9.4379999999999996E-4</v>
      </c>
    </row>
    <row r="7288" spans="1:14" hidden="1" x14ac:dyDescent="0.35">
      <c r="A7288" s="52" t="s">
        <v>740</v>
      </c>
      <c r="B7288" s="52" t="s">
        <v>37</v>
      </c>
      <c r="C7288" s="52" t="s">
        <v>35</v>
      </c>
      <c r="D7288" s="52" t="s">
        <v>38</v>
      </c>
      <c r="E7288" s="52" t="s">
        <v>584</v>
      </c>
      <c r="F7288" s="52" t="s">
        <v>26</v>
      </c>
      <c r="G7288" s="55" t="s">
        <v>276</v>
      </c>
      <c r="H7288" s="55">
        <v>-4.9399999999999999E-3</v>
      </c>
      <c r="I7288" s="55">
        <v>-2.9434000000000001E-3</v>
      </c>
      <c r="J7288" s="55">
        <v>-1.2715000000000001E-3</v>
      </c>
      <c r="K7288" s="55">
        <v>-6.133E-4</v>
      </c>
      <c r="L7288" s="55">
        <v>2.7040000000000001E-4</v>
      </c>
      <c r="M7288" s="55">
        <v>-2.6949999999999999E-4</v>
      </c>
      <c r="N7288" s="55">
        <v>-2.5149999999999999E-4</v>
      </c>
    </row>
    <row r="7289" spans="1:14" hidden="1" x14ac:dyDescent="0.35">
      <c r="A7289" s="52" t="s">
        <v>740</v>
      </c>
      <c r="B7289" s="52" t="s">
        <v>37</v>
      </c>
      <c r="C7289" s="52" t="s">
        <v>35</v>
      </c>
      <c r="D7289" s="52" t="s">
        <v>38</v>
      </c>
      <c r="E7289" s="52" t="s">
        <v>584</v>
      </c>
      <c r="F7289" s="52" t="s">
        <v>26</v>
      </c>
      <c r="G7289" s="55" t="s">
        <v>279</v>
      </c>
      <c r="H7289" s="55">
        <v>4.8777000000000001E-2</v>
      </c>
      <c r="I7289" s="55">
        <v>3.7813300000000001E-2</v>
      </c>
      <c r="J7289" s="55">
        <v>3.3766999999999998E-2</v>
      </c>
      <c r="K7289" s="55">
        <v>3.3044999999999998E-2</v>
      </c>
      <c r="L7289" s="55">
        <v>3.0730299999999999E-2</v>
      </c>
      <c r="M7289" s="55">
        <v>3.0898999999999999E-2</v>
      </c>
      <c r="N7289" s="55">
        <v>2.8423799999999999E-2</v>
      </c>
    </row>
    <row r="7290" spans="1:14" hidden="1" x14ac:dyDescent="0.35">
      <c r="A7290" s="52" t="s">
        <v>740</v>
      </c>
      <c r="B7290" s="52" t="s">
        <v>37</v>
      </c>
      <c r="C7290" s="52" t="s">
        <v>99</v>
      </c>
      <c r="D7290" s="52" t="s">
        <v>101</v>
      </c>
      <c r="E7290" s="52" t="s">
        <v>634</v>
      </c>
      <c r="F7290" s="52" t="s">
        <v>581</v>
      </c>
      <c r="G7290" s="55" t="s">
        <v>275</v>
      </c>
      <c r="H7290" s="55">
        <v>-26.334540000000001</v>
      </c>
      <c r="I7290" s="55">
        <v>16.604019999999998</v>
      </c>
      <c r="J7290" s="55">
        <v>22.700589999999998</v>
      </c>
      <c r="K7290" s="55">
        <v>22.10548</v>
      </c>
      <c r="L7290" s="55">
        <v>34.921550000000003</v>
      </c>
      <c r="M7290" s="55">
        <v>28.299040000000002</v>
      </c>
      <c r="N7290" s="55">
        <v>23.1035</v>
      </c>
    </row>
    <row r="7291" spans="1:14" hidden="1" x14ac:dyDescent="0.35">
      <c r="A7291" s="52" t="s">
        <v>740</v>
      </c>
      <c r="B7291" s="52" t="s">
        <v>37</v>
      </c>
      <c r="C7291" s="52" t="s">
        <v>99</v>
      </c>
      <c r="D7291" s="52" t="s">
        <v>101</v>
      </c>
      <c r="E7291" s="52" t="s">
        <v>634</v>
      </c>
      <c r="F7291" s="52" t="s">
        <v>581</v>
      </c>
      <c r="G7291" s="55" t="s">
        <v>276</v>
      </c>
      <c r="H7291" s="55">
        <v>-2.8375029999999999</v>
      </c>
      <c r="I7291" s="55">
        <v>-14.9748</v>
      </c>
      <c r="J7291" s="55">
        <v>-12.87415</v>
      </c>
      <c r="K7291" s="55">
        <v>-6.3983990000000004</v>
      </c>
      <c r="L7291" s="55">
        <v>-6.6410439999999999</v>
      </c>
      <c r="M7291" s="55">
        <v>0.67698820000000004</v>
      </c>
      <c r="N7291" s="55">
        <v>0.96998090000000003</v>
      </c>
    </row>
    <row r="7292" spans="1:14" hidden="1" x14ac:dyDescent="0.35">
      <c r="A7292" s="52" t="s">
        <v>740</v>
      </c>
      <c r="B7292" s="52" t="s">
        <v>37</v>
      </c>
      <c r="C7292" s="52" t="s">
        <v>99</v>
      </c>
      <c r="D7292" s="52" t="s">
        <v>101</v>
      </c>
      <c r="E7292" s="52" t="s">
        <v>634</v>
      </c>
      <c r="F7292" s="52" t="s">
        <v>581</v>
      </c>
      <c r="G7292" s="55" t="s">
        <v>277</v>
      </c>
      <c r="H7292" s="55">
        <v>111.2266</v>
      </c>
      <c r="I7292" s="55">
        <v>27.955179999999999</v>
      </c>
      <c r="J7292" s="55">
        <v>26.50591</v>
      </c>
      <c r="K7292" s="55">
        <v>14.150309999999999</v>
      </c>
      <c r="L7292" s="55">
        <v>12.209540000000001</v>
      </c>
      <c r="M7292" s="55">
        <v>0</v>
      </c>
      <c r="N7292" s="55">
        <v>0</v>
      </c>
    </row>
    <row r="7293" spans="1:14" hidden="1" x14ac:dyDescent="0.35">
      <c r="A7293" s="52" t="s">
        <v>740</v>
      </c>
      <c r="B7293" s="52" t="s">
        <v>37</v>
      </c>
      <c r="C7293" s="52" t="s">
        <v>99</v>
      </c>
      <c r="D7293" s="52" t="s">
        <v>101</v>
      </c>
      <c r="E7293" s="52" t="s">
        <v>634</v>
      </c>
      <c r="F7293" s="52" t="s">
        <v>581</v>
      </c>
      <c r="G7293" s="55" t="s">
        <v>278</v>
      </c>
      <c r="H7293" s="55">
        <v>31.773399999999999</v>
      </c>
      <c r="I7293" s="55">
        <v>11.172000000000001</v>
      </c>
      <c r="J7293" s="55">
        <v>9.1199999999999992</v>
      </c>
      <c r="K7293" s="55">
        <v>14.79148</v>
      </c>
      <c r="L7293" s="55">
        <v>2.6225849999999999</v>
      </c>
      <c r="M7293" s="55">
        <v>0</v>
      </c>
      <c r="N7293" s="55"/>
    </row>
    <row r="7294" spans="1:14" hidden="1" x14ac:dyDescent="0.35">
      <c r="A7294" s="52" t="s">
        <v>740</v>
      </c>
      <c r="B7294" s="52" t="s">
        <v>37</v>
      </c>
      <c r="C7294" s="52" t="s">
        <v>99</v>
      </c>
      <c r="D7294" s="52" t="s">
        <v>101</v>
      </c>
      <c r="E7294" s="52" t="s">
        <v>634</v>
      </c>
      <c r="F7294" s="52" t="s">
        <v>581</v>
      </c>
      <c r="G7294" s="55" t="s">
        <v>279</v>
      </c>
      <c r="H7294" s="55">
        <v>48.02572</v>
      </c>
      <c r="I7294" s="55">
        <v>37.500799999999998</v>
      </c>
      <c r="J7294" s="55">
        <v>38.517290000000003</v>
      </c>
      <c r="K7294" s="55">
        <v>39.739460000000001</v>
      </c>
      <c r="L7294" s="55">
        <v>35.119149999999998</v>
      </c>
      <c r="M7294" s="55">
        <v>30.3491</v>
      </c>
      <c r="N7294" s="55">
        <v>25.218150000000001</v>
      </c>
    </row>
    <row r="7295" spans="1:14" hidden="1" x14ac:dyDescent="0.35">
      <c r="A7295" s="52" t="s">
        <v>740</v>
      </c>
      <c r="B7295" s="52" t="s">
        <v>37</v>
      </c>
      <c r="C7295" s="52" t="s">
        <v>99</v>
      </c>
      <c r="D7295" s="52" t="s">
        <v>101</v>
      </c>
      <c r="E7295" s="52" t="s">
        <v>634</v>
      </c>
      <c r="F7295" s="52" t="s">
        <v>26</v>
      </c>
      <c r="G7295" s="55" t="s">
        <v>275</v>
      </c>
      <c r="H7295" s="55">
        <v>-8.4141759999999994</v>
      </c>
      <c r="I7295" s="55">
        <v>-5.2818129999999996</v>
      </c>
      <c r="J7295" s="55">
        <v>-2.895143</v>
      </c>
      <c r="K7295" s="55">
        <v>-1.8739980000000001</v>
      </c>
      <c r="L7295" s="55">
        <v>-0.1145154</v>
      </c>
      <c r="M7295" s="55">
        <v>-1.088859</v>
      </c>
      <c r="N7295" s="55">
        <v>-0.93560779999999999</v>
      </c>
    </row>
    <row r="7296" spans="1:14" hidden="1" x14ac:dyDescent="0.35">
      <c r="A7296" s="52" t="s">
        <v>740</v>
      </c>
      <c r="B7296" s="52" t="s">
        <v>37</v>
      </c>
      <c r="C7296" s="52" t="s">
        <v>99</v>
      </c>
      <c r="D7296" s="52" t="s">
        <v>101</v>
      </c>
      <c r="E7296" s="52" t="s">
        <v>634</v>
      </c>
      <c r="F7296" s="52" t="s">
        <v>26</v>
      </c>
      <c r="G7296" s="55" t="s">
        <v>276</v>
      </c>
      <c r="H7296" s="55">
        <v>-2.2366830000000002</v>
      </c>
      <c r="I7296" s="55">
        <v>-1.4040280000000001</v>
      </c>
      <c r="J7296" s="55">
        <v>-0.7695959</v>
      </c>
      <c r="K7296" s="55">
        <v>-0.4981526</v>
      </c>
      <c r="L7296" s="55">
        <v>-3.0440149999999999E-2</v>
      </c>
      <c r="M7296" s="55">
        <v>-0.28944180000000003</v>
      </c>
      <c r="N7296" s="55">
        <v>-0.24870619999999999</v>
      </c>
    </row>
    <row r="7297" spans="1:14" hidden="1" x14ac:dyDescent="0.35">
      <c r="A7297" s="52" t="s">
        <v>740</v>
      </c>
      <c r="B7297" s="52" t="s">
        <v>37</v>
      </c>
      <c r="C7297" s="52" t="s">
        <v>99</v>
      </c>
      <c r="D7297" s="52" t="s">
        <v>101</v>
      </c>
      <c r="E7297" s="52" t="s">
        <v>634</v>
      </c>
      <c r="F7297" s="52" t="s">
        <v>26</v>
      </c>
      <c r="G7297" s="55" t="s">
        <v>279</v>
      </c>
      <c r="H7297" s="55">
        <v>20.420010000000001</v>
      </c>
      <c r="I7297" s="55">
        <v>16.1798</v>
      </c>
      <c r="J7297" s="55">
        <v>15.92604</v>
      </c>
      <c r="K7297" s="55">
        <v>16.479240000000001</v>
      </c>
      <c r="L7297" s="55">
        <v>15.234220000000001</v>
      </c>
      <c r="M7297" s="55">
        <v>13.437939999999999</v>
      </c>
      <c r="N7297" s="55">
        <v>11.449820000000001</v>
      </c>
    </row>
    <row r="7298" spans="1:14" hidden="1" x14ac:dyDescent="0.35">
      <c r="A7298" s="52" t="s">
        <v>740</v>
      </c>
      <c r="B7298" s="52" t="s">
        <v>37</v>
      </c>
      <c r="C7298" s="52" t="s">
        <v>99</v>
      </c>
      <c r="D7298" s="52" t="s">
        <v>101</v>
      </c>
      <c r="E7298" s="52" t="s">
        <v>584</v>
      </c>
      <c r="F7298" s="52" t="s">
        <v>581</v>
      </c>
      <c r="G7298" s="55" t="s">
        <v>275</v>
      </c>
      <c r="H7298" s="55">
        <v>19.632100000000001</v>
      </c>
      <c r="I7298" s="55">
        <v>4.0504030000000002</v>
      </c>
      <c r="J7298" s="55">
        <v>4.2049570000000003</v>
      </c>
      <c r="K7298" s="55">
        <v>3.9877959999999999</v>
      </c>
      <c r="L7298" s="55">
        <v>3.7899720000000001</v>
      </c>
      <c r="M7298" s="55">
        <v>4.0407640000000002</v>
      </c>
      <c r="N7298" s="55">
        <v>4.0266019999999996</v>
      </c>
    </row>
    <row r="7299" spans="1:14" hidden="1" x14ac:dyDescent="0.35">
      <c r="A7299" s="52" t="s">
        <v>740</v>
      </c>
      <c r="B7299" s="52" t="s">
        <v>37</v>
      </c>
      <c r="C7299" s="52" t="s">
        <v>99</v>
      </c>
      <c r="D7299" s="52" t="s">
        <v>101</v>
      </c>
      <c r="E7299" s="52" t="s">
        <v>584</v>
      </c>
      <c r="F7299" s="52" t="s">
        <v>581</v>
      </c>
      <c r="G7299" s="55" t="s">
        <v>276</v>
      </c>
      <c r="H7299" s="55">
        <v>5.2186589999999997</v>
      </c>
      <c r="I7299" s="55">
        <v>1.702968</v>
      </c>
      <c r="J7299" s="55">
        <v>1.5882750000000001</v>
      </c>
      <c r="K7299" s="55">
        <v>1.4069689999999999</v>
      </c>
      <c r="L7299" s="55">
        <v>1.25187</v>
      </c>
      <c r="M7299" s="55">
        <v>0.97066929999999996</v>
      </c>
      <c r="N7299" s="55">
        <v>0.96284539999999996</v>
      </c>
    </row>
    <row r="7300" spans="1:14" hidden="1" x14ac:dyDescent="0.35">
      <c r="A7300" s="52" t="s">
        <v>740</v>
      </c>
      <c r="B7300" s="52" t="s">
        <v>37</v>
      </c>
      <c r="C7300" s="52" t="s">
        <v>99</v>
      </c>
      <c r="D7300" s="52" t="s">
        <v>101</v>
      </c>
      <c r="E7300" s="52" t="s">
        <v>584</v>
      </c>
      <c r="F7300" s="52" t="s">
        <v>581</v>
      </c>
      <c r="G7300" s="55" t="s">
        <v>277</v>
      </c>
      <c r="H7300" s="55">
        <v>0</v>
      </c>
      <c r="I7300" s="55">
        <v>2.9450029999999998</v>
      </c>
      <c r="J7300" s="55">
        <v>2.8014770000000002</v>
      </c>
      <c r="K7300" s="55">
        <v>2.6628539999999998</v>
      </c>
      <c r="L7300" s="55">
        <v>2.5070760000000001</v>
      </c>
      <c r="M7300" s="55">
        <v>2.307404</v>
      </c>
      <c r="N7300" s="55">
        <v>2.1322290000000002</v>
      </c>
    </row>
    <row r="7301" spans="1:14" hidden="1" x14ac:dyDescent="0.35">
      <c r="A7301" s="52" t="s">
        <v>740</v>
      </c>
      <c r="B7301" s="52" t="s">
        <v>37</v>
      </c>
      <c r="C7301" s="52" t="s">
        <v>99</v>
      </c>
      <c r="D7301" s="52" t="s">
        <v>101</v>
      </c>
      <c r="E7301" s="52" t="s">
        <v>584</v>
      </c>
      <c r="F7301" s="52" t="s">
        <v>581</v>
      </c>
      <c r="G7301" s="55" t="s">
        <v>279</v>
      </c>
      <c r="H7301" s="55">
        <v>10.310029999999999</v>
      </c>
      <c r="I7301" s="55">
        <v>7.742794</v>
      </c>
      <c r="J7301" s="55">
        <v>7.4345759999999999</v>
      </c>
      <c r="K7301" s="55">
        <v>7.9036910000000002</v>
      </c>
      <c r="L7301" s="55">
        <v>8.1971480000000003</v>
      </c>
      <c r="M7301" s="55">
        <v>7.8662349999999996</v>
      </c>
      <c r="N7301" s="55">
        <v>7.5794459999999999</v>
      </c>
    </row>
    <row r="7302" spans="1:14" hidden="1" x14ac:dyDescent="0.35">
      <c r="A7302" s="52" t="s">
        <v>740</v>
      </c>
      <c r="B7302" s="52" t="s">
        <v>37</v>
      </c>
      <c r="C7302" s="52" t="s">
        <v>99</v>
      </c>
      <c r="D7302" s="52" t="s">
        <v>101</v>
      </c>
      <c r="E7302" s="52" t="s">
        <v>584</v>
      </c>
      <c r="F7302" s="52" t="s">
        <v>26</v>
      </c>
      <c r="G7302" s="55" t="s">
        <v>275</v>
      </c>
      <c r="H7302" s="55">
        <v>-3.871451</v>
      </c>
      <c r="I7302" s="55">
        <v>-2.5116869999999998</v>
      </c>
      <c r="J7302" s="55">
        <v>-1.294111</v>
      </c>
      <c r="K7302" s="55">
        <v>-0.98758259999999998</v>
      </c>
      <c r="L7302" s="55">
        <v>-0.61571830000000005</v>
      </c>
      <c r="M7302" s="55">
        <v>-0.56792149999999997</v>
      </c>
      <c r="N7302" s="55">
        <v>-0.52832539999999995</v>
      </c>
    </row>
    <row r="7303" spans="1:14" hidden="1" x14ac:dyDescent="0.35">
      <c r="A7303" s="52" t="s">
        <v>740</v>
      </c>
      <c r="B7303" s="52" t="s">
        <v>37</v>
      </c>
      <c r="C7303" s="52" t="s">
        <v>99</v>
      </c>
      <c r="D7303" s="52" t="s">
        <v>101</v>
      </c>
      <c r="E7303" s="52" t="s">
        <v>584</v>
      </c>
      <c r="F7303" s="52" t="s">
        <v>26</v>
      </c>
      <c r="G7303" s="55" t="s">
        <v>276</v>
      </c>
      <c r="H7303" s="55">
        <v>-1.02912</v>
      </c>
      <c r="I7303" s="55">
        <v>-0.66766369999999997</v>
      </c>
      <c r="J7303" s="55">
        <v>-0.34400429999999999</v>
      </c>
      <c r="K7303" s="55">
        <v>-0.26252189999999997</v>
      </c>
      <c r="L7303" s="55">
        <v>-0.16367200000000001</v>
      </c>
      <c r="M7303" s="55">
        <v>-0.1509665</v>
      </c>
      <c r="N7303" s="55">
        <v>-0.14044090000000001</v>
      </c>
    </row>
    <row r="7304" spans="1:14" hidden="1" x14ac:dyDescent="0.35">
      <c r="A7304" s="52" t="s">
        <v>740</v>
      </c>
      <c r="B7304" s="52" t="s">
        <v>37</v>
      </c>
      <c r="C7304" s="52" t="s">
        <v>99</v>
      </c>
      <c r="D7304" s="52" t="s">
        <v>101</v>
      </c>
      <c r="E7304" s="52" t="s">
        <v>584</v>
      </c>
      <c r="F7304" s="52" t="s">
        <v>26</v>
      </c>
      <c r="G7304" s="55" t="s">
        <v>279</v>
      </c>
      <c r="H7304" s="55">
        <v>10.137980000000001</v>
      </c>
      <c r="I7304" s="55">
        <v>8.41296</v>
      </c>
      <c r="J7304" s="55">
        <v>7.909815</v>
      </c>
      <c r="K7304" s="55">
        <v>8.2520900000000008</v>
      </c>
      <c r="L7304" s="55">
        <v>8.3625539999999994</v>
      </c>
      <c r="M7304" s="55">
        <v>7.7321840000000002</v>
      </c>
      <c r="N7304" s="55">
        <v>7.1721380000000003</v>
      </c>
    </row>
    <row r="7305" spans="1:14" hidden="1" x14ac:dyDescent="0.35">
      <c r="A7305" s="52" t="s">
        <v>740</v>
      </c>
      <c r="B7305" s="52" t="s">
        <v>37</v>
      </c>
      <c r="C7305" s="52" t="s">
        <v>109</v>
      </c>
      <c r="D7305" s="52" t="s">
        <v>109</v>
      </c>
      <c r="E7305" s="52" t="s">
        <v>584</v>
      </c>
      <c r="F7305" s="52" t="s">
        <v>581</v>
      </c>
      <c r="G7305" s="55" t="s">
        <v>275</v>
      </c>
      <c r="H7305" s="55">
        <v>0</v>
      </c>
      <c r="I7305" s="55"/>
      <c r="J7305" s="55">
        <v>0</v>
      </c>
      <c r="K7305" s="55">
        <v>0</v>
      </c>
      <c r="L7305" s="55">
        <v>0</v>
      </c>
      <c r="M7305" s="55">
        <v>0</v>
      </c>
      <c r="N7305" s="55">
        <v>0</v>
      </c>
    </row>
    <row r="7306" spans="1:14" hidden="1" x14ac:dyDescent="0.35">
      <c r="A7306" s="52" t="s">
        <v>740</v>
      </c>
      <c r="B7306" s="52" t="s">
        <v>37</v>
      </c>
      <c r="C7306" s="52" t="s">
        <v>61</v>
      </c>
      <c r="D7306" s="52" t="s">
        <v>62</v>
      </c>
      <c r="E7306" s="52" t="s">
        <v>584</v>
      </c>
      <c r="F7306" s="52" t="s">
        <v>581</v>
      </c>
      <c r="G7306" s="55" t="s">
        <v>275</v>
      </c>
      <c r="H7306" s="55">
        <v>0</v>
      </c>
      <c r="I7306" s="55"/>
      <c r="J7306" s="55">
        <v>0</v>
      </c>
      <c r="K7306" s="55">
        <v>0</v>
      </c>
      <c r="L7306" s="55">
        <v>0</v>
      </c>
      <c r="M7306" s="55">
        <v>0</v>
      </c>
      <c r="N7306" s="55">
        <v>0</v>
      </c>
    </row>
    <row r="7307" spans="1:14" hidden="1" x14ac:dyDescent="0.35">
      <c r="A7307" s="52" t="s">
        <v>740</v>
      </c>
      <c r="B7307" s="52" t="s">
        <v>37</v>
      </c>
      <c r="C7307" s="52" t="s">
        <v>61</v>
      </c>
      <c r="D7307" s="52" t="s">
        <v>62</v>
      </c>
      <c r="E7307" s="52" t="s">
        <v>584</v>
      </c>
      <c r="F7307" s="52" t="s">
        <v>581</v>
      </c>
      <c r="G7307" s="55" t="s">
        <v>276</v>
      </c>
      <c r="H7307" s="55"/>
      <c r="I7307" s="55"/>
      <c r="J7307" s="55">
        <v>0</v>
      </c>
      <c r="K7307" s="55">
        <v>0</v>
      </c>
      <c r="L7307" s="55">
        <v>0</v>
      </c>
      <c r="M7307" s="55">
        <v>0</v>
      </c>
      <c r="N7307" s="55">
        <v>0</v>
      </c>
    </row>
    <row r="7308" spans="1:14" hidden="1" x14ac:dyDescent="0.35">
      <c r="A7308" s="52" t="s">
        <v>740</v>
      </c>
      <c r="B7308" s="52" t="s">
        <v>37</v>
      </c>
      <c r="C7308" s="52" t="s">
        <v>109</v>
      </c>
      <c r="D7308" s="52" t="s">
        <v>109</v>
      </c>
      <c r="E7308" s="52" t="s">
        <v>584</v>
      </c>
      <c r="F7308" s="52" t="s">
        <v>581</v>
      </c>
      <c r="G7308" s="55" t="s">
        <v>276</v>
      </c>
      <c r="H7308" s="55"/>
      <c r="I7308" s="55"/>
      <c r="J7308" s="55">
        <v>0</v>
      </c>
      <c r="K7308" s="55">
        <v>0</v>
      </c>
      <c r="L7308" s="55">
        <v>0</v>
      </c>
      <c r="M7308" s="55">
        <v>0</v>
      </c>
      <c r="N7308" s="55">
        <v>0</v>
      </c>
    </row>
    <row r="7309" spans="1:14" hidden="1" x14ac:dyDescent="0.35">
      <c r="A7309" s="52" t="s">
        <v>740</v>
      </c>
      <c r="B7309" s="52" t="s">
        <v>37</v>
      </c>
      <c r="C7309" s="52" t="s">
        <v>109</v>
      </c>
      <c r="D7309" s="52" t="s">
        <v>109</v>
      </c>
      <c r="E7309" s="52" t="s">
        <v>584</v>
      </c>
      <c r="F7309" s="52" t="s">
        <v>581</v>
      </c>
      <c r="G7309" s="55" t="s">
        <v>278</v>
      </c>
      <c r="H7309" s="55"/>
      <c r="I7309" s="55"/>
      <c r="J7309" s="55">
        <v>0</v>
      </c>
      <c r="K7309" s="55">
        <v>0</v>
      </c>
      <c r="L7309" s="55">
        <v>0</v>
      </c>
      <c r="M7309" s="55">
        <v>0</v>
      </c>
      <c r="N7309" s="55">
        <v>0</v>
      </c>
    </row>
    <row r="7310" spans="1:14" hidden="1" x14ac:dyDescent="0.35">
      <c r="A7310" s="52" t="s">
        <v>740</v>
      </c>
      <c r="B7310" s="52" t="s">
        <v>37</v>
      </c>
      <c r="C7310" s="52" t="s">
        <v>61</v>
      </c>
      <c r="D7310" s="52" t="s">
        <v>62</v>
      </c>
      <c r="E7310" s="52" t="s">
        <v>584</v>
      </c>
      <c r="F7310" s="52" t="s">
        <v>581</v>
      </c>
      <c r="G7310" s="55" t="s">
        <v>278</v>
      </c>
      <c r="H7310" s="55"/>
      <c r="I7310" s="55"/>
      <c r="J7310" s="55">
        <v>0</v>
      </c>
      <c r="K7310" s="55">
        <v>0</v>
      </c>
      <c r="L7310" s="55">
        <v>0</v>
      </c>
      <c r="M7310" s="55">
        <v>0</v>
      </c>
      <c r="N7310" s="55">
        <v>0</v>
      </c>
    </row>
    <row r="7311" spans="1:14" hidden="1" x14ac:dyDescent="0.35">
      <c r="A7311" s="52" t="s">
        <v>763</v>
      </c>
      <c r="B7311" s="52" t="s">
        <v>201</v>
      </c>
      <c r="C7311" s="52" t="s">
        <v>220</v>
      </c>
      <c r="D7311" s="52" t="s">
        <v>220</v>
      </c>
      <c r="E7311" s="52" t="s">
        <v>584</v>
      </c>
      <c r="F7311" s="52" t="s">
        <v>581</v>
      </c>
      <c r="G7311" s="55" t="s">
        <v>275</v>
      </c>
      <c r="H7311" s="55">
        <v>84.523570000000007</v>
      </c>
      <c r="I7311" s="55">
        <v>42.648690000000002</v>
      </c>
      <c r="J7311" s="55">
        <v>73.173680000000004</v>
      </c>
      <c r="K7311" s="55">
        <v>72.416290000000004</v>
      </c>
      <c r="L7311" s="55">
        <v>69.084959999999995</v>
      </c>
      <c r="M7311" s="55">
        <v>65.982709999999997</v>
      </c>
      <c r="N7311" s="55">
        <v>61.630540000000003</v>
      </c>
    </row>
    <row r="7312" spans="1:14" hidden="1" x14ac:dyDescent="0.35">
      <c r="A7312" s="52" t="s">
        <v>763</v>
      </c>
      <c r="B7312" s="52" t="s">
        <v>201</v>
      </c>
      <c r="C7312" s="52" t="s">
        <v>220</v>
      </c>
      <c r="D7312" s="52" t="s">
        <v>220</v>
      </c>
      <c r="E7312" s="52" t="s">
        <v>584</v>
      </c>
      <c r="F7312" s="52" t="s">
        <v>581</v>
      </c>
      <c r="G7312" s="55" t="s">
        <v>276</v>
      </c>
      <c r="H7312" s="55">
        <v>1.005787</v>
      </c>
      <c r="I7312" s="55">
        <v>0.2186043</v>
      </c>
      <c r="J7312" s="55">
        <v>-1.350403</v>
      </c>
      <c r="K7312" s="55">
        <v>-1.2987519999999999</v>
      </c>
      <c r="L7312" s="55">
        <v>-1.3036939999999999</v>
      </c>
      <c r="M7312" s="55">
        <v>-14.33859</v>
      </c>
      <c r="N7312" s="55">
        <v>-3.2296140000000002</v>
      </c>
    </row>
    <row r="7313" spans="1:14" hidden="1" x14ac:dyDescent="0.35">
      <c r="A7313" s="52" t="s">
        <v>763</v>
      </c>
      <c r="B7313" s="52" t="s">
        <v>201</v>
      </c>
      <c r="C7313" s="52" t="s">
        <v>220</v>
      </c>
      <c r="D7313" s="52" t="s">
        <v>220</v>
      </c>
      <c r="E7313" s="52" t="s">
        <v>584</v>
      </c>
      <c r="F7313" s="52" t="s">
        <v>581</v>
      </c>
      <c r="G7313" s="55" t="s">
        <v>277</v>
      </c>
      <c r="H7313" s="55">
        <v>119.60680000000001</v>
      </c>
      <c r="I7313" s="55">
        <v>61.931710000000002</v>
      </c>
      <c r="J7313" s="55">
        <v>32.178420000000003</v>
      </c>
      <c r="K7313" s="55">
        <v>33.518680000000003</v>
      </c>
      <c r="L7313" s="55">
        <v>37.587400000000002</v>
      </c>
      <c r="M7313" s="55">
        <v>39.845660000000002</v>
      </c>
      <c r="N7313" s="55">
        <v>41.092379999999999</v>
      </c>
    </row>
    <row r="7314" spans="1:14" hidden="1" x14ac:dyDescent="0.35">
      <c r="A7314" s="52" t="s">
        <v>763</v>
      </c>
      <c r="B7314" s="52" t="s">
        <v>201</v>
      </c>
      <c r="C7314" s="52" t="s">
        <v>220</v>
      </c>
      <c r="D7314" s="52" t="s">
        <v>220</v>
      </c>
      <c r="E7314" s="52" t="s">
        <v>584</v>
      </c>
      <c r="F7314" s="52" t="s">
        <v>581</v>
      </c>
      <c r="G7314" s="55" t="s">
        <v>278</v>
      </c>
      <c r="H7314" s="55">
        <v>21.52196</v>
      </c>
      <c r="I7314" s="55">
        <v>1.6329089999999999</v>
      </c>
      <c r="J7314" s="55">
        <v>1.6329089999999999</v>
      </c>
      <c r="K7314" s="55">
        <v>1.5960319999999999</v>
      </c>
      <c r="L7314" s="55">
        <v>1.5960319999999999</v>
      </c>
      <c r="M7314" s="55">
        <v>14.73761</v>
      </c>
      <c r="N7314" s="55">
        <v>3.5748009999999999</v>
      </c>
    </row>
    <row r="7315" spans="1:14" hidden="1" x14ac:dyDescent="0.35">
      <c r="A7315" s="52" t="s">
        <v>763</v>
      </c>
      <c r="B7315" s="52" t="s">
        <v>201</v>
      </c>
      <c r="C7315" s="52" t="s">
        <v>220</v>
      </c>
      <c r="D7315" s="52" t="s">
        <v>220</v>
      </c>
      <c r="E7315" s="52" t="s">
        <v>584</v>
      </c>
      <c r="F7315" s="52" t="s">
        <v>581</v>
      </c>
      <c r="G7315" s="55" t="s">
        <v>279</v>
      </c>
      <c r="H7315" s="55">
        <v>113.2831</v>
      </c>
      <c r="I7315" s="55">
        <v>101.8762</v>
      </c>
      <c r="J7315" s="55">
        <v>101.7569</v>
      </c>
      <c r="K7315" s="55">
        <v>108.7482</v>
      </c>
      <c r="L7315" s="55">
        <v>109.8214</v>
      </c>
      <c r="M7315" s="55">
        <v>109.8702</v>
      </c>
      <c r="N7315" s="55">
        <v>106.9641</v>
      </c>
    </row>
    <row r="7316" spans="1:14" hidden="1" x14ac:dyDescent="0.35">
      <c r="A7316" s="52" t="s">
        <v>763</v>
      </c>
      <c r="B7316" s="52" t="s">
        <v>201</v>
      </c>
      <c r="C7316" s="52" t="s">
        <v>220</v>
      </c>
      <c r="D7316" s="52" t="s">
        <v>220</v>
      </c>
      <c r="E7316" s="52" t="s">
        <v>606</v>
      </c>
      <c r="F7316" s="52" t="s">
        <v>581</v>
      </c>
      <c r="G7316" s="55" t="s">
        <v>275</v>
      </c>
      <c r="H7316" s="55"/>
      <c r="I7316" s="55"/>
      <c r="J7316" s="55"/>
      <c r="K7316" s="55"/>
      <c r="L7316" s="55"/>
      <c r="M7316" s="55"/>
      <c r="N7316" s="55">
        <v>0</v>
      </c>
    </row>
    <row r="7317" spans="1:14" hidden="1" x14ac:dyDescent="0.35">
      <c r="A7317" s="52" t="s">
        <v>763</v>
      </c>
      <c r="B7317" s="52" t="s">
        <v>201</v>
      </c>
      <c r="C7317" s="52" t="s">
        <v>220</v>
      </c>
      <c r="D7317" s="52" t="s">
        <v>220</v>
      </c>
      <c r="E7317" s="52" t="s">
        <v>606</v>
      </c>
      <c r="F7317" s="52" t="s">
        <v>581</v>
      </c>
      <c r="G7317" s="55" t="s">
        <v>276</v>
      </c>
      <c r="H7317" s="55"/>
      <c r="I7317" s="55"/>
      <c r="J7317" s="55"/>
      <c r="K7317" s="55"/>
      <c r="L7317" s="55"/>
      <c r="M7317" s="55"/>
      <c r="N7317" s="55">
        <v>0</v>
      </c>
    </row>
    <row r="7318" spans="1:14" hidden="1" x14ac:dyDescent="0.35">
      <c r="A7318" s="52" t="s">
        <v>763</v>
      </c>
      <c r="B7318" s="52" t="s">
        <v>201</v>
      </c>
      <c r="C7318" s="52" t="s">
        <v>220</v>
      </c>
      <c r="D7318" s="52" t="s">
        <v>220</v>
      </c>
      <c r="E7318" s="52" t="s">
        <v>606</v>
      </c>
      <c r="F7318" s="52" t="s">
        <v>581</v>
      </c>
      <c r="G7318" s="55" t="s">
        <v>279</v>
      </c>
      <c r="H7318" s="55"/>
      <c r="I7318" s="55"/>
      <c r="J7318" s="55"/>
      <c r="K7318" s="55"/>
      <c r="L7318" s="55"/>
      <c r="M7318" s="55"/>
      <c r="N7318" s="55">
        <v>0</v>
      </c>
    </row>
    <row r="7319" spans="1:14" hidden="1" x14ac:dyDescent="0.35">
      <c r="A7319" s="52" t="s">
        <v>763</v>
      </c>
      <c r="B7319" s="52" t="s">
        <v>201</v>
      </c>
      <c r="C7319" s="52" t="s">
        <v>220</v>
      </c>
      <c r="D7319" s="52" t="s">
        <v>220</v>
      </c>
      <c r="E7319" s="52" t="s">
        <v>606</v>
      </c>
      <c r="F7319" s="52" t="s">
        <v>26</v>
      </c>
      <c r="G7319" s="55" t="s">
        <v>275</v>
      </c>
      <c r="H7319" s="55"/>
      <c r="I7319" s="55"/>
      <c r="J7319" s="55"/>
      <c r="K7319" s="55">
        <v>0</v>
      </c>
      <c r="L7319" s="55">
        <v>0</v>
      </c>
      <c r="M7319" s="55">
        <v>0</v>
      </c>
      <c r="N7319" s="55">
        <v>0</v>
      </c>
    </row>
    <row r="7320" spans="1:14" hidden="1" x14ac:dyDescent="0.35">
      <c r="A7320" s="52" t="s">
        <v>763</v>
      </c>
      <c r="B7320" s="52" t="s">
        <v>201</v>
      </c>
      <c r="C7320" s="52" t="s">
        <v>220</v>
      </c>
      <c r="D7320" s="52" t="s">
        <v>220</v>
      </c>
      <c r="E7320" s="52" t="s">
        <v>606</v>
      </c>
      <c r="F7320" s="52" t="s">
        <v>26</v>
      </c>
      <c r="G7320" s="55" t="s">
        <v>276</v>
      </c>
      <c r="H7320" s="55"/>
      <c r="I7320" s="55"/>
      <c r="J7320" s="55"/>
      <c r="K7320" s="55">
        <v>0</v>
      </c>
      <c r="L7320" s="55">
        <v>-0.17444499999999999</v>
      </c>
      <c r="M7320" s="55">
        <v>-1.659432</v>
      </c>
      <c r="N7320" s="55">
        <v>-1.4218710000000001</v>
      </c>
    </row>
    <row r="7321" spans="1:14" hidden="1" x14ac:dyDescent="0.35">
      <c r="A7321" s="52" t="s">
        <v>763</v>
      </c>
      <c r="B7321" s="52" t="s">
        <v>201</v>
      </c>
      <c r="C7321" s="52" t="s">
        <v>220</v>
      </c>
      <c r="D7321" s="52" t="s">
        <v>220</v>
      </c>
      <c r="E7321" s="52" t="s">
        <v>606</v>
      </c>
      <c r="F7321" s="52" t="s">
        <v>26</v>
      </c>
      <c r="G7321" s="55" t="s">
        <v>277</v>
      </c>
      <c r="H7321" s="55"/>
      <c r="I7321" s="55"/>
      <c r="J7321" s="55"/>
      <c r="K7321" s="55">
        <v>0</v>
      </c>
      <c r="L7321" s="55">
        <v>0.17444499999999999</v>
      </c>
      <c r="M7321" s="55">
        <v>0.42773099999999997</v>
      </c>
      <c r="N7321" s="55">
        <v>0.43722699999999998</v>
      </c>
    </row>
    <row r="7322" spans="1:14" hidden="1" x14ac:dyDescent="0.35">
      <c r="A7322" s="52" t="s">
        <v>763</v>
      </c>
      <c r="B7322" s="52" t="s">
        <v>201</v>
      </c>
      <c r="C7322" s="52" t="s">
        <v>220</v>
      </c>
      <c r="D7322" s="52" t="s">
        <v>220</v>
      </c>
      <c r="E7322" s="52" t="s">
        <v>606</v>
      </c>
      <c r="F7322" s="52" t="s">
        <v>26</v>
      </c>
      <c r="G7322" s="55" t="s">
        <v>278</v>
      </c>
      <c r="H7322" s="55"/>
      <c r="I7322" s="55"/>
      <c r="J7322" s="55"/>
      <c r="K7322" s="55"/>
      <c r="L7322" s="55">
        <v>0</v>
      </c>
      <c r="M7322" s="55">
        <v>1.2317</v>
      </c>
      <c r="N7322" s="55">
        <v>0.98464430000000003</v>
      </c>
    </row>
    <row r="7323" spans="1:14" hidden="1" x14ac:dyDescent="0.35">
      <c r="A7323" s="52" t="s">
        <v>763</v>
      </c>
      <c r="B7323" s="52" t="s">
        <v>201</v>
      </c>
      <c r="C7323" s="52" t="s">
        <v>220</v>
      </c>
      <c r="D7323" s="52" t="s">
        <v>220</v>
      </c>
      <c r="E7323" s="52" t="s">
        <v>606</v>
      </c>
      <c r="F7323" s="52" t="s">
        <v>26</v>
      </c>
      <c r="G7323" s="55" t="s">
        <v>279</v>
      </c>
      <c r="H7323" s="55"/>
      <c r="I7323" s="55"/>
      <c r="J7323" s="55"/>
      <c r="K7323" s="55"/>
      <c r="L7323" s="55"/>
      <c r="M7323" s="55"/>
      <c r="N7323" s="55">
        <v>0</v>
      </c>
    </row>
    <row r="7324" spans="1:14" hidden="1" x14ac:dyDescent="0.35">
      <c r="A7324" s="52" t="s">
        <v>763</v>
      </c>
      <c r="B7324" s="52" t="s">
        <v>201</v>
      </c>
      <c r="C7324" s="52" t="s">
        <v>216</v>
      </c>
      <c r="D7324" s="52" t="s">
        <v>216</v>
      </c>
      <c r="E7324" s="52" t="s">
        <v>584</v>
      </c>
      <c r="F7324" s="52" t="s">
        <v>581</v>
      </c>
      <c r="G7324" s="55" t="s">
        <v>275</v>
      </c>
      <c r="H7324" s="55">
        <v>23.716699999999999</v>
      </c>
      <c r="I7324" s="55">
        <v>25.138280000000002</v>
      </c>
      <c r="J7324" s="55">
        <v>49.197229999999998</v>
      </c>
      <c r="K7324" s="55">
        <v>40.662579999999998</v>
      </c>
      <c r="L7324" s="55">
        <v>35.619169999999997</v>
      </c>
      <c r="M7324" s="55">
        <v>33.571060000000003</v>
      </c>
      <c r="N7324" s="55">
        <v>17.556249999999999</v>
      </c>
    </row>
    <row r="7325" spans="1:14" hidden="1" x14ac:dyDescent="0.35">
      <c r="A7325" s="52" t="s">
        <v>763</v>
      </c>
      <c r="B7325" s="52" t="s">
        <v>201</v>
      </c>
      <c r="C7325" s="52" t="s">
        <v>216</v>
      </c>
      <c r="D7325" s="52" t="s">
        <v>216</v>
      </c>
      <c r="E7325" s="52" t="s">
        <v>584</v>
      </c>
      <c r="F7325" s="52" t="s">
        <v>581</v>
      </c>
      <c r="G7325" s="55" t="s">
        <v>276</v>
      </c>
      <c r="H7325" s="55">
        <v>28.593830000000001</v>
      </c>
      <c r="I7325" s="55">
        <v>3.3708900000000002</v>
      </c>
      <c r="J7325" s="55">
        <v>-4.6838749999999996</v>
      </c>
      <c r="K7325" s="55">
        <v>-13.56817</v>
      </c>
      <c r="L7325" s="55">
        <v>-18.444890000000001</v>
      </c>
      <c r="M7325" s="55">
        <v>0.72258710000000004</v>
      </c>
      <c r="N7325" s="55">
        <v>2.3364889999999998</v>
      </c>
    </row>
    <row r="7326" spans="1:14" hidden="1" x14ac:dyDescent="0.35">
      <c r="A7326" s="52" t="s">
        <v>763</v>
      </c>
      <c r="B7326" s="52" t="s">
        <v>201</v>
      </c>
      <c r="C7326" s="52" t="s">
        <v>216</v>
      </c>
      <c r="D7326" s="52" t="s">
        <v>216</v>
      </c>
      <c r="E7326" s="52" t="s">
        <v>584</v>
      </c>
      <c r="F7326" s="52" t="s">
        <v>581</v>
      </c>
      <c r="G7326" s="55" t="s">
        <v>277</v>
      </c>
      <c r="H7326" s="55">
        <v>81.917540000000002</v>
      </c>
      <c r="I7326" s="55">
        <v>18.84338</v>
      </c>
      <c r="J7326" s="55">
        <v>18.6431</v>
      </c>
      <c r="K7326" s="55">
        <v>19.918040000000001</v>
      </c>
      <c r="L7326" s="55">
        <v>19.498619999999999</v>
      </c>
      <c r="M7326" s="55">
        <v>18.195869999999999</v>
      </c>
      <c r="N7326" s="55">
        <v>14.18439</v>
      </c>
    </row>
    <row r="7327" spans="1:14" hidden="1" x14ac:dyDescent="0.35">
      <c r="A7327" s="52" t="s">
        <v>763</v>
      </c>
      <c r="B7327" s="52" t="s">
        <v>201</v>
      </c>
      <c r="C7327" s="52" t="s">
        <v>216</v>
      </c>
      <c r="D7327" s="52" t="s">
        <v>216</v>
      </c>
      <c r="E7327" s="52" t="s">
        <v>584</v>
      </c>
      <c r="F7327" s="52" t="s">
        <v>581</v>
      </c>
      <c r="G7327" s="55" t="s">
        <v>278</v>
      </c>
      <c r="H7327" s="55">
        <v>48.606279999999998</v>
      </c>
      <c r="I7327" s="55">
        <v>27.198170000000001</v>
      </c>
      <c r="J7327" s="55">
        <v>8.1463970000000003</v>
      </c>
      <c r="K7327" s="55">
        <v>18.377739999999999</v>
      </c>
      <c r="L7327" s="55">
        <v>25.970009999999998</v>
      </c>
      <c r="M7327" s="55">
        <v>7.3384359999999997</v>
      </c>
      <c r="N7327" s="55">
        <v>4.0513579999999996</v>
      </c>
    </row>
    <row r="7328" spans="1:14" hidden="1" x14ac:dyDescent="0.35">
      <c r="A7328" s="52" t="s">
        <v>763</v>
      </c>
      <c r="B7328" s="52" t="s">
        <v>201</v>
      </c>
      <c r="C7328" s="52" t="s">
        <v>216</v>
      </c>
      <c r="D7328" s="52" t="s">
        <v>216</v>
      </c>
      <c r="E7328" s="52" t="s">
        <v>584</v>
      </c>
      <c r="F7328" s="52" t="s">
        <v>581</v>
      </c>
      <c r="G7328" s="55" t="s">
        <v>279</v>
      </c>
      <c r="H7328" s="55">
        <v>114.673</v>
      </c>
      <c r="I7328" s="55">
        <v>105.76479999999999</v>
      </c>
      <c r="J7328" s="55">
        <v>99.78304</v>
      </c>
      <c r="K7328" s="55">
        <v>105.11360000000001</v>
      </c>
      <c r="L7328" s="55">
        <v>98.161730000000006</v>
      </c>
      <c r="M7328" s="55">
        <v>88.517790000000005</v>
      </c>
      <c r="N7328" s="55">
        <v>62.459049999999998</v>
      </c>
    </row>
    <row r="7329" spans="1:14" hidden="1" x14ac:dyDescent="0.35">
      <c r="A7329" s="52" t="s">
        <v>763</v>
      </c>
      <c r="B7329" s="52" t="s">
        <v>201</v>
      </c>
      <c r="C7329" s="52" t="s">
        <v>216</v>
      </c>
      <c r="D7329" s="52" t="s">
        <v>216</v>
      </c>
      <c r="E7329" s="52" t="s">
        <v>584</v>
      </c>
      <c r="F7329" s="52" t="s">
        <v>26</v>
      </c>
      <c r="G7329" s="55" t="s">
        <v>275</v>
      </c>
      <c r="H7329" s="55">
        <v>-5.3828000000000001E-2</v>
      </c>
      <c r="I7329" s="55">
        <v>-0.30517109999999997</v>
      </c>
      <c r="J7329" s="55">
        <v>-0.47952980000000001</v>
      </c>
      <c r="K7329" s="55">
        <v>-0.5249104</v>
      </c>
      <c r="L7329" s="55">
        <v>-0.4094314</v>
      </c>
      <c r="M7329" s="55">
        <v>-0.37620049999999999</v>
      </c>
      <c r="N7329" s="55">
        <v>-0.34501330000000002</v>
      </c>
    </row>
    <row r="7330" spans="1:14" hidden="1" x14ac:dyDescent="0.35">
      <c r="A7330" s="52" t="s">
        <v>763</v>
      </c>
      <c r="B7330" s="52" t="s">
        <v>201</v>
      </c>
      <c r="C7330" s="52" t="s">
        <v>216</v>
      </c>
      <c r="D7330" s="52" t="s">
        <v>216</v>
      </c>
      <c r="E7330" s="52" t="s">
        <v>584</v>
      </c>
      <c r="F7330" s="52" t="s">
        <v>26</v>
      </c>
      <c r="G7330" s="55" t="s">
        <v>276</v>
      </c>
      <c r="H7330" s="55">
        <v>7.1255009999999994E-2</v>
      </c>
      <c r="I7330" s="55">
        <v>4.7867100000000003E-2</v>
      </c>
      <c r="J7330" s="55">
        <v>1.0141950000000001E-3</v>
      </c>
      <c r="K7330" s="55">
        <v>-2.1178E-3</v>
      </c>
      <c r="L7330" s="55">
        <v>-1.139604E-3</v>
      </c>
      <c r="M7330" s="55">
        <v>-5.648974E-4</v>
      </c>
      <c r="N7330" s="55">
        <v>-6.5298749999999995E-5</v>
      </c>
    </row>
    <row r="7331" spans="1:14" hidden="1" x14ac:dyDescent="0.35">
      <c r="A7331" s="52" t="s">
        <v>763</v>
      </c>
      <c r="B7331" s="52" t="s">
        <v>201</v>
      </c>
      <c r="C7331" s="52" t="s">
        <v>216</v>
      </c>
      <c r="D7331" s="52" t="s">
        <v>216</v>
      </c>
      <c r="E7331" s="52" t="s">
        <v>584</v>
      </c>
      <c r="F7331" s="52" t="s">
        <v>26</v>
      </c>
      <c r="G7331" s="55" t="s">
        <v>277</v>
      </c>
      <c r="H7331" s="55"/>
      <c r="I7331" s="55"/>
      <c r="J7331" s="55"/>
      <c r="K7331" s="55"/>
      <c r="L7331" s="55">
        <v>0</v>
      </c>
      <c r="M7331" s="55"/>
      <c r="N7331" s="55"/>
    </row>
    <row r="7332" spans="1:14" hidden="1" x14ac:dyDescent="0.35">
      <c r="A7332" s="52" t="s">
        <v>763</v>
      </c>
      <c r="B7332" s="52" t="s">
        <v>201</v>
      </c>
      <c r="C7332" s="52" t="s">
        <v>216</v>
      </c>
      <c r="D7332" s="52" t="s">
        <v>216</v>
      </c>
      <c r="E7332" s="52" t="s">
        <v>584</v>
      </c>
      <c r="F7332" s="52" t="s">
        <v>26</v>
      </c>
      <c r="G7332" s="55" t="s">
        <v>279</v>
      </c>
      <c r="H7332" s="55">
        <v>1.5100480000000001</v>
      </c>
      <c r="I7332" s="55">
        <v>1.4313499999999999</v>
      </c>
      <c r="J7332" s="55">
        <v>1.1133470000000001</v>
      </c>
      <c r="K7332" s="55">
        <v>1.1412770000000001</v>
      </c>
      <c r="L7332" s="55">
        <v>0.89600360000000001</v>
      </c>
      <c r="M7332" s="55">
        <v>0.82876349999999999</v>
      </c>
      <c r="N7332" s="55">
        <v>0.76520999999999995</v>
      </c>
    </row>
    <row r="7333" spans="1:14" hidden="1" x14ac:dyDescent="0.35">
      <c r="A7333" s="52" t="s">
        <v>763</v>
      </c>
      <c r="B7333" s="52" t="s">
        <v>201</v>
      </c>
      <c r="C7333" s="52" t="s">
        <v>257</v>
      </c>
      <c r="D7333" s="52" t="s">
        <v>257</v>
      </c>
      <c r="E7333" s="52" t="s">
        <v>584</v>
      </c>
      <c r="F7333" s="52" t="s">
        <v>581</v>
      </c>
      <c r="G7333" s="55" t="s">
        <v>275</v>
      </c>
      <c r="H7333" s="55">
        <v>-28.497389999999999</v>
      </c>
      <c r="I7333" s="55">
        <v>-1.181214</v>
      </c>
      <c r="J7333" s="55">
        <v>-0.1032312</v>
      </c>
      <c r="K7333" s="55">
        <v>1.1325499999999999</v>
      </c>
      <c r="L7333" s="55">
        <v>1.547023</v>
      </c>
      <c r="M7333" s="55">
        <v>1.362913</v>
      </c>
      <c r="N7333" s="55">
        <v>1.1047819999999999</v>
      </c>
    </row>
    <row r="7334" spans="1:14" hidden="1" x14ac:dyDescent="0.35">
      <c r="A7334" s="52" t="s">
        <v>763</v>
      </c>
      <c r="B7334" s="52" t="s">
        <v>201</v>
      </c>
      <c r="C7334" s="52" t="s">
        <v>257</v>
      </c>
      <c r="D7334" s="52" t="s">
        <v>257</v>
      </c>
      <c r="E7334" s="52" t="s">
        <v>584</v>
      </c>
      <c r="F7334" s="52" t="s">
        <v>581</v>
      </c>
      <c r="G7334" s="55" t="s">
        <v>276</v>
      </c>
      <c r="H7334" s="55">
        <v>2.0830120000000001</v>
      </c>
      <c r="I7334" s="55">
        <v>0.58888689999999999</v>
      </c>
      <c r="J7334" s="55">
        <v>-14.05979</v>
      </c>
      <c r="K7334" s="55">
        <v>-14.709</v>
      </c>
      <c r="L7334" s="55">
        <v>-19.908149999999999</v>
      </c>
      <c r="M7334" s="55">
        <v>-29.54711</v>
      </c>
      <c r="N7334" s="55">
        <v>-5.3848010000000004</v>
      </c>
    </row>
    <row r="7335" spans="1:14" hidden="1" x14ac:dyDescent="0.35">
      <c r="A7335" s="52" t="s">
        <v>763</v>
      </c>
      <c r="B7335" s="52" t="s">
        <v>201</v>
      </c>
      <c r="C7335" s="52" t="s">
        <v>257</v>
      </c>
      <c r="D7335" s="52" t="s">
        <v>257</v>
      </c>
      <c r="E7335" s="52" t="s">
        <v>584</v>
      </c>
      <c r="F7335" s="52" t="s">
        <v>581</v>
      </c>
      <c r="G7335" s="55" t="s">
        <v>277</v>
      </c>
      <c r="H7335" s="55">
        <v>4.0690460000000002</v>
      </c>
      <c r="I7335" s="55">
        <v>0.19195999999999999</v>
      </c>
      <c r="J7335" s="55">
        <v>2.136282</v>
      </c>
      <c r="K7335" s="55">
        <v>2.737311</v>
      </c>
      <c r="L7335" s="55">
        <v>2.9764430000000002</v>
      </c>
      <c r="M7335" s="55">
        <v>2.9996770000000001</v>
      </c>
      <c r="N7335" s="55">
        <v>3.857497</v>
      </c>
    </row>
    <row r="7336" spans="1:14" hidden="1" x14ac:dyDescent="0.35">
      <c r="A7336" s="52" t="s">
        <v>763</v>
      </c>
      <c r="B7336" s="52" t="s">
        <v>201</v>
      </c>
      <c r="C7336" s="52" t="s">
        <v>257</v>
      </c>
      <c r="D7336" s="52" t="s">
        <v>257</v>
      </c>
      <c r="E7336" s="52" t="s">
        <v>584</v>
      </c>
      <c r="F7336" s="52" t="s">
        <v>581</v>
      </c>
      <c r="G7336" s="55" t="s">
        <v>278</v>
      </c>
      <c r="H7336" s="55">
        <v>38.198419999999999</v>
      </c>
      <c r="I7336" s="55">
        <v>6.3320259999999999</v>
      </c>
      <c r="J7336" s="55">
        <v>14.908989999999999</v>
      </c>
      <c r="K7336" s="55">
        <v>15.74174</v>
      </c>
      <c r="L7336" s="55">
        <v>20.829170000000001</v>
      </c>
      <c r="M7336" s="55">
        <v>30.323779999999999</v>
      </c>
      <c r="N7336" s="55">
        <v>5.2391870000000003</v>
      </c>
    </row>
    <row r="7337" spans="1:14" hidden="1" x14ac:dyDescent="0.35">
      <c r="A7337" s="52" t="s">
        <v>763</v>
      </c>
      <c r="B7337" s="52" t="s">
        <v>201</v>
      </c>
      <c r="C7337" s="52" t="s">
        <v>257</v>
      </c>
      <c r="D7337" s="52" t="s">
        <v>257</v>
      </c>
      <c r="E7337" s="52" t="s">
        <v>584</v>
      </c>
      <c r="F7337" s="52" t="s">
        <v>581</v>
      </c>
      <c r="G7337" s="55" t="s">
        <v>279</v>
      </c>
      <c r="H7337" s="55">
        <v>4.9895079999999998</v>
      </c>
      <c r="I7337" s="55">
        <v>2.7628949999999999</v>
      </c>
      <c r="J7337" s="55">
        <v>4.7039970000000002</v>
      </c>
      <c r="K7337" s="55">
        <v>2.2117049999999998</v>
      </c>
      <c r="L7337" s="55">
        <v>2.0608360000000001</v>
      </c>
      <c r="M7337" s="55">
        <v>1.9119360000000001</v>
      </c>
      <c r="N7337" s="55">
        <v>1.7306239999999999</v>
      </c>
    </row>
    <row r="7338" spans="1:14" hidden="1" x14ac:dyDescent="0.35">
      <c r="A7338" s="52" t="s">
        <v>763</v>
      </c>
      <c r="B7338" s="52" t="s">
        <v>201</v>
      </c>
      <c r="C7338" s="52" t="s">
        <v>257</v>
      </c>
      <c r="D7338" s="52" t="s">
        <v>257</v>
      </c>
      <c r="E7338" s="52" t="s">
        <v>584</v>
      </c>
      <c r="F7338" s="52" t="s">
        <v>26</v>
      </c>
      <c r="G7338" s="55" t="s">
        <v>275</v>
      </c>
      <c r="H7338" s="55">
        <v>0.41488649999999999</v>
      </c>
      <c r="I7338" s="55">
        <v>9.8835530000000005E-2</v>
      </c>
      <c r="J7338" s="55">
        <v>-1.444253E-2</v>
      </c>
      <c r="K7338" s="55">
        <v>-2.744721E-2</v>
      </c>
      <c r="L7338" s="55">
        <v>-2.6833360000000001E-2</v>
      </c>
      <c r="M7338" s="55">
        <v>-2.618446E-2</v>
      </c>
      <c r="N7338" s="55">
        <v>-2.416743E-2</v>
      </c>
    </row>
    <row r="7339" spans="1:14" hidden="1" x14ac:dyDescent="0.35">
      <c r="A7339" s="52" t="s">
        <v>763</v>
      </c>
      <c r="B7339" s="52" t="s">
        <v>201</v>
      </c>
      <c r="C7339" s="52" t="s">
        <v>257</v>
      </c>
      <c r="D7339" s="52" t="s">
        <v>257</v>
      </c>
      <c r="E7339" s="52" t="s">
        <v>584</v>
      </c>
      <c r="F7339" s="52" t="s">
        <v>26</v>
      </c>
      <c r="G7339" s="55" t="s">
        <v>276</v>
      </c>
      <c r="H7339" s="55">
        <v>7.5610350000000007E-2</v>
      </c>
      <c r="I7339" s="55">
        <v>2.819876E-2</v>
      </c>
      <c r="J7339" s="55">
        <v>1.30689E-2</v>
      </c>
      <c r="K7339" s="55">
        <v>8.3357110000000009E-3</v>
      </c>
      <c r="L7339" s="55">
        <v>9.2472289999999992E-3</v>
      </c>
      <c r="M7339" s="55">
        <v>1.022269E-2</v>
      </c>
      <c r="N7339" s="55">
        <v>-7.1719130000000006E-2</v>
      </c>
    </row>
    <row r="7340" spans="1:14" hidden="1" x14ac:dyDescent="0.35">
      <c r="A7340" s="52" t="s">
        <v>763</v>
      </c>
      <c r="B7340" s="52" t="s">
        <v>201</v>
      </c>
      <c r="C7340" s="52" t="s">
        <v>257</v>
      </c>
      <c r="D7340" s="52" t="s">
        <v>257</v>
      </c>
      <c r="E7340" s="52" t="s">
        <v>584</v>
      </c>
      <c r="F7340" s="52" t="s">
        <v>26</v>
      </c>
      <c r="G7340" s="55" t="s">
        <v>277</v>
      </c>
      <c r="H7340" s="55"/>
      <c r="I7340" s="55">
        <v>0</v>
      </c>
      <c r="J7340" s="55"/>
      <c r="K7340" s="55"/>
      <c r="L7340" s="55"/>
      <c r="M7340" s="55">
        <v>0</v>
      </c>
      <c r="N7340" s="55">
        <v>8.2396999999999998E-2</v>
      </c>
    </row>
    <row r="7341" spans="1:14" hidden="1" x14ac:dyDescent="0.35">
      <c r="A7341" s="52" t="s">
        <v>763</v>
      </c>
      <c r="B7341" s="52" t="s">
        <v>201</v>
      </c>
      <c r="C7341" s="52" t="s">
        <v>257</v>
      </c>
      <c r="D7341" s="52" t="s">
        <v>257</v>
      </c>
      <c r="E7341" s="52" t="s">
        <v>584</v>
      </c>
      <c r="F7341" s="52" t="s">
        <v>26</v>
      </c>
      <c r="G7341" s="55" t="s">
        <v>279</v>
      </c>
      <c r="H7341" s="55">
        <v>0.69090969999999996</v>
      </c>
      <c r="I7341" s="55">
        <v>0.31357160000000001</v>
      </c>
      <c r="J7341" s="55">
        <v>0.30696329999999999</v>
      </c>
      <c r="K7341" s="55">
        <v>0.33315529999999999</v>
      </c>
      <c r="L7341" s="55">
        <v>0.34176390000000001</v>
      </c>
      <c r="M7341" s="55">
        <v>0.35103329999999999</v>
      </c>
      <c r="N7341" s="55">
        <v>0.34216279999999999</v>
      </c>
    </row>
    <row r="7342" spans="1:14" hidden="1" x14ac:dyDescent="0.35">
      <c r="A7342" s="52" t="s">
        <v>763</v>
      </c>
      <c r="B7342" s="52" t="s">
        <v>201</v>
      </c>
      <c r="C7342" s="52" t="s">
        <v>867</v>
      </c>
      <c r="D7342" s="52" t="s">
        <v>867</v>
      </c>
      <c r="E7342" s="52" t="s">
        <v>584</v>
      </c>
      <c r="F7342" s="52" t="s">
        <v>581</v>
      </c>
      <c r="G7342" s="55" t="s">
        <v>275</v>
      </c>
      <c r="H7342" s="55"/>
      <c r="I7342" s="55"/>
      <c r="J7342" s="55">
        <v>0</v>
      </c>
      <c r="K7342" s="55">
        <v>0</v>
      </c>
      <c r="L7342" s="55">
        <v>0</v>
      </c>
      <c r="M7342" s="55">
        <v>0</v>
      </c>
      <c r="N7342" s="55">
        <v>0</v>
      </c>
    </row>
    <row r="7343" spans="1:14" hidden="1" x14ac:dyDescent="0.35">
      <c r="A7343" s="52" t="s">
        <v>763</v>
      </c>
      <c r="B7343" s="52" t="s">
        <v>201</v>
      </c>
      <c r="C7343" s="52" t="s">
        <v>367</v>
      </c>
      <c r="D7343" s="52" t="s">
        <v>367</v>
      </c>
      <c r="E7343" s="52" t="s">
        <v>584</v>
      </c>
      <c r="F7343" s="52" t="s">
        <v>581</v>
      </c>
      <c r="G7343" s="55" t="s">
        <v>275</v>
      </c>
      <c r="H7343" s="55">
        <v>-0.53547140000000004</v>
      </c>
      <c r="I7343" s="55">
        <v>-0.53547140000000004</v>
      </c>
      <c r="J7343" s="55">
        <v>0</v>
      </c>
      <c r="K7343" s="55">
        <v>0</v>
      </c>
      <c r="L7343" s="55">
        <v>0</v>
      </c>
      <c r="M7343" s="55">
        <v>0</v>
      </c>
      <c r="N7343" s="55">
        <v>0</v>
      </c>
    </row>
    <row r="7344" spans="1:14" hidden="1" x14ac:dyDescent="0.35">
      <c r="A7344" s="52" t="s">
        <v>763</v>
      </c>
      <c r="B7344" s="52" t="s">
        <v>201</v>
      </c>
      <c r="C7344" s="52" t="s">
        <v>367</v>
      </c>
      <c r="D7344" s="52" t="s">
        <v>367</v>
      </c>
      <c r="E7344" s="52" t="s">
        <v>584</v>
      </c>
      <c r="F7344" s="52" t="s">
        <v>581</v>
      </c>
      <c r="G7344" s="55" t="s">
        <v>276</v>
      </c>
      <c r="H7344" s="55"/>
      <c r="I7344" s="55"/>
      <c r="J7344" s="55">
        <v>-0.53547140000000004</v>
      </c>
      <c r="K7344" s="55">
        <v>-0.53547140000000004</v>
      </c>
      <c r="L7344" s="55">
        <v>-0.53547140000000004</v>
      </c>
      <c r="M7344" s="55">
        <v>-0.53547140000000004</v>
      </c>
      <c r="N7344" s="55">
        <v>-0.53547140000000004</v>
      </c>
    </row>
    <row r="7345" spans="1:14" hidden="1" x14ac:dyDescent="0.35">
      <c r="A7345" s="52" t="s">
        <v>763</v>
      </c>
      <c r="B7345" s="52" t="s">
        <v>201</v>
      </c>
      <c r="C7345" s="52" t="s">
        <v>867</v>
      </c>
      <c r="D7345" s="52" t="s">
        <v>867</v>
      </c>
      <c r="E7345" s="52" t="s">
        <v>584</v>
      </c>
      <c r="F7345" s="52" t="s">
        <v>581</v>
      </c>
      <c r="G7345" s="55" t="s">
        <v>278</v>
      </c>
      <c r="H7345" s="55"/>
      <c r="I7345" s="55"/>
      <c r="J7345" s="55">
        <v>0</v>
      </c>
      <c r="K7345" s="55">
        <v>0</v>
      </c>
      <c r="L7345" s="55">
        <v>0</v>
      </c>
      <c r="M7345" s="55">
        <v>0</v>
      </c>
      <c r="N7345" s="55">
        <v>0</v>
      </c>
    </row>
    <row r="7346" spans="1:14" hidden="1" x14ac:dyDescent="0.35">
      <c r="A7346" s="52" t="s">
        <v>763</v>
      </c>
      <c r="B7346" s="52" t="s">
        <v>201</v>
      </c>
      <c r="C7346" s="52" t="s">
        <v>367</v>
      </c>
      <c r="D7346" s="52" t="s">
        <v>367</v>
      </c>
      <c r="E7346" s="52" t="s">
        <v>584</v>
      </c>
      <c r="F7346" s="52" t="s">
        <v>581</v>
      </c>
      <c r="G7346" s="55" t="s">
        <v>278</v>
      </c>
      <c r="H7346" s="55">
        <v>0.53547140000000004</v>
      </c>
      <c r="I7346" s="55">
        <v>0.53547140000000004</v>
      </c>
      <c r="J7346" s="55">
        <v>0.53547140000000004</v>
      </c>
      <c r="K7346" s="55">
        <v>0.53547140000000004</v>
      </c>
      <c r="L7346" s="55">
        <v>0.53547140000000004</v>
      </c>
      <c r="M7346" s="55">
        <v>0.53547140000000004</v>
      </c>
      <c r="N7346" s="55">
        <v>0.53547140000000004</v>
      </c>
    </row>
    <row r="7347" spans="1:14" hidden="1" x14ac:dyDescent="0.35">
      <c r="A7347" s="52" t="s">
        <v>763</v>
      </c>
      <c r="B7347" s="52" t="s">
        <v>201</v>
      </c>
      <c r="C7347" s="52" t="s">
        <v>868</v>
      </c>
      <c r="D7347" s="52" t="s">
        <v>868</v>
      </c>
      <c r="E7347" s="52" t="s">
        <v>584</v>
      </c>
      <c r="F7347" s="52" t="s">
        <v>26</v>
      </c>
      <c r="G7347" s="55" t="s">
        <v>279</v>
      </c>
      <c r="H7347" s="55">
        <v>0</v>
      </c>
      <c r="I7347" s="55"/>
      <c r="J7347" s="55"/>
      <c r="K7347" s="55"/>
      <c r="L7347" s="55"/>
      <c r="M7347" s="55"/>
      <c r="N7347" s="55"/>
    </row>
    <row r="7348" spans="1:14" hidden="1" x14ac:dyDescent="0.35">
      <c r="A7348" s="52" t="s">
        <v>763</v>
      </c>
      <c r="B7348" s="52" t="s">
        <v>217</v>
      </c>
      <c r="C7348" s="52" t="s">
        <v>216</v>
      </c>
      <c r="D7348" s="52" t="s">
        <v>216</v>
      </c>
      <c r="E7348" s="52" t="s">
        <v>584</v>
      </c>
      <c r="F7348" s="52" t="s">
        <v>581</v>
      </c>
      <c r="G7348" s="55" t="s">
        <v>275</v>
      </c>
      <c r="H7348" s="55">
        <v>-0.70926699999999998</v>
      </c>
      <c r="I7348" s="55">
        <v>-11.86511</v>
      </c>
      <c r="J7348" s="55">
        <v>0</v>
      </c>
      <c r="K7348" s="55">
        <v>0</v>
      </c>
      <c r="L7348" s="55">
        <v>0</v>
      </c>
      <c r="M7348" s="55">
        <v>0</v>
      </c>
      <c r="N7348" s="55">
        <v>0</v>
      </c>
    </row>
    <row r="7349" spans="1:14" hidden="1" x14ac:dyDescent="0.35">
      <c r="A7349" s="52" t="s">
        <v>763</v>
      </c>
      <c r="B7349" s="52" t="s">
        <v>217</v>
      </c>
      <c r="C7349" s="52" t="s">
        <v>216</v>
      </c>
      <c r="D7349" s="52" t="s">
        <v>216</v>
      </c>
      <c r="E7349" s="52" t="s">
        <v>584</v>
      </c>
      <c r="F7349" s="52" t="s">
        <v>581</v>
      </c>
      <c r="G7349" s="55" t="s">
        <v>276</v>
      </c>
      <c r="H7349" s="55"/>
      <c r="I7349" s="55"/>
      <c r="J7349" s="55">
        <v>-23.42661</v>
      </c>
      <c r="K7349" s="55">
        <v>-16.96002</v>
      </c>
      <c r="L7349" s="55">
        <v>-6.1916099999999998</v>
      </c>
      <c r="M7349" s="55">
        <v>-0.70926699999999998</v>
      </c>
      <c r="N7349" s="55">
        <v>-4.3074760000000003</v>
      </c>
    </row>
    <row r="7350" spans="1:14" hidden="1" x14ac:dyDescent="0.35">
      <c r="A7350" s="52" t="s">
        <v>763</v>
      </c>
      <c r="B7350" s="52" t="s">
        <v>217</v>
      </c>
      <c r="C7350" s="52" t="s">
        <v>216</v>
      </c>
      <c r="D7350" s="52" t="s">
        <v>216</v>
      </c>
      <c r="E7350" s="52" t="s">
        <v>584</v>
      </c>
      <c r="F7350" s="52" t="s">
        <v>581</v>
      </c>
      <c r="G7350" s="55" t="s">
        <v>277</v>
      </c>
      <c r="H7350" s="55"/>
      <c r="I7350" s="55"/>
      <c r="J7350" s="55"/>
      <c r="K7350" s="55"/>
      <c r="L7350" s="55"/>
      <c r="M7350" s="55">
        <v>0</v>
      </c>
      <c r="N7350" s="55"/>
    </row>
    <row r="7351" spans="1:14" hidden="1" x14ac:dyDescent="0.35">
      <c r="A7351" s="52" t="s">
        <v>763</v>
      </c>
      <c r="B7351" s="52" t="s">
        <v>217</v>
      </c>
      <c r="C7351" s="52" t="s">
        <v>216</v>
      </c>
      <c r="D7351" s="52" t="s">
        <v>216</v>
      </c>
      <c r="E7351" s="52" t="s">
        <v>584</v>
      </c>
      <c r="F7351" s="52" t="s">
        <v>581</v>
      </c>
      <c r="G7351" s="55" t="s">
        <v>278</v>
      </c>
      <c r="H7351" s="55">
        <v>0.70926699999999998</v>
      </c>
      <c r="I7351" s="55">
        <v>11.8651</v>
      </c>
      <c r="J7351" s="55">
        <v>23.42661</v>
      </c>
      <c r="K7351" s="55">
        <v>16.96002</v>
      </c>
      <c r="L7351" s="55">
        <v>6.191611</v>
      </c>
      <c r="M7351" s="55">
        <v>0.70926699999999998</v>
      </c>
      <c r="N7351" s="55">
        <v>4.3074769999999996</v>
      </c>
    </row>
    <row r="7352" spans="1:14" hidden="1" x14ac:dyDescent="0.35">
      <c r="A7352" s="52" t="s">
        <v>763</v>
      </c>
      <c r="B7352" s="52" t="s">
        <v>217</v>
      </c>
      <c r="C7352" s="52" t="s">
        <v>216</v>
      </c>
      <c r="D7352" s="52" t="s">
        <v>216</v>
      </c>
      <c r="E7352" s="52" t="s">
        <v>584</v>
      </c>
      <c r="F7352" s="52" t="s">
        <v>581</v>
      </c>
      <c r="G7352" s="55" t="s">
        <v>279</v>
      </c>
      <c r="H7352" s="55"/>
      <c r="I7352" s="55"/>
      <c r="J7352" s="55"/>
      <c r="K7352" s="55"/>
      <c r="L7352" s="55"/>
      <c r="M7352" s="55"/>
      <c r="N7352" s="55">
        <v>0</v>
      </c>
    </row>
    <row r="7353" spans="1:14" hidden="1" x14ac:dyDescent="0.35">
      <c r="A7353" s="52" t="s">
        <v>763</v>
      </c>
      <c r="B7353" s="52" t="s">
        <v>217</v>
      </c>
      <c r="C7353" s="52" t="s">
        <v>216</v>
      </c>
      <c r="D7353" s="52" t="s">
        <v>216</v>
      </c>
      <c r="E7353" s="52" t="s">
        <v>584</v>
      </c>
      <c r="F7353" s="52" t="s">
        <v>26</v>
      </c>
      <c r="G7353" s="55" t="s">
        <v>275</v>
      </c>
      <c r="H7353" s="55"/>
      <c r="I7353" s="55"/>
      <c r="J7353" s="55"/>
      <c r="K7353" s="55"/>
      <c r="L7353" s="55"/>
      <c r="M7353" s="55">
        <v>0</v>
      </c>
      <c r="N7353" s="55"/>
    </row>
    <row r="7354" spans="1:14" hidden="1" x14ac:dyDescent="0.35">
      <c r="A7354" s="52" t="s">
        <v>763</v>
      </c>
      <c r="B7354" s="52" t="s">
        <v>217</v>
      </c>
      <c r="C7354" s="52" t="s">
        <v>216</v>
      </c>
      <c r="D7354" s="52" t="s">
        <v>216</v>
      </c>
      <c r="E7354" s="52" t="s">
        <v>584</v>
      </c>
      <c r="F7354" s="52" t="s">
        <v>26</v>
      </c>
      <c r="G7354" s="55" t="s">
        <v>276</v>
      </c>
      <c r="H7354" s="55"/>
      <c r="I7354" s="55"/>
      <c r="J7354" s="55"/>
      <c r="K7354" s="55"/>
      <c r="L7354" s="55"/>
      <c r="M7354" s="55">
        <v>0</v>
      </c>
      <c r="N7354" s="55"/>
    </row>
    <row r="7355" spans="1:14" hidden="1" x14ac:dyDescent="0.35">
      <c r="A7355" s="52" t="s">
        <v>763</v>
      </c>
      <c r="B7355" s="52" t="s">
        <v>217</v>
      </c>
      <c r="C7355" s="52" t="s">
        <v>216</v>
      </c>
      <c r="D7355" s="52" t="s">
        <v>216</v>
      </c>
      <c r="E7355" s="52" t="s">
        <v>584</v>
      </c>
      <c r="F7355" s="52" t="s">
        <v>26</v>
      </c>
      <c r="G7355" s="55" t="s">
        <v>277</v>
      </c>
      <c r="H7355" s="55"/>
      <c r="I7355" s="55"/>
      <c r="J7355" s="55"/>
      <c r="K7355" s="55"/>
      <c r="L7355" s="55"/>
      <c r="M7355" s="55">
        <v>0</v>
      </c>
      <c r="N7355" s="55"/>
    </row>
    <row r="7356" spans="1:14" hidden="1" x14ac:dyDescent="0.35">
      <c r="A7356" s="52" t="s">
        <v>763</v>
      </c>
      <c r="B7356" s="52" t="s">
        <v>217</v>
      </c>
      <c r="C7356" s="52" t="s">
        <v>216</v>
      </c>
      <c r="D7356" s="52" t="s">
        <v>216</v>
      </c>
      <c r="E7356" s="52" t="s">
        <v>584</v>
      </c>
      <c r="F7356" s="52" t="s">
        <v>26</v>
      </c>
      <c r="G7356" s="55" t="s">
        <v>279</v>
      </c>
      <c r="H7356" s="55"/>
      <c r="I7356" s="55"/>
      <c r="J7356" s="55"/>
      <c r="K7356" s="55"/>
      <c r="L7356" s="55"/>
      <c r="M7356" s="55"/>
      <c r="N7356" s="55">
        <v>0</v>
      </c>
    </row>
    <row r="7357" spans="1:14" hidden="1" x14ac:dyDescent="0.35">
      <c r="A7357" s="52" t="s">
        <v>759</v>
      </c>
      <c r="B7357" s="52" t="s">
        <v>37</v>
      </c>
      <c r="C7357" s="52" t="s">
        <v>61</v>
      </c>
      <c r="D7357" s="52" t="s">
        <v>62</v>
      </c>
      <c r="E7357" s="52" t="s">
        <v>584</v>
      </c>
      <c r="F7357" s="52" t="s">
        <v>581</v>
      </c>
      <c r="G7357" s="55" t="s">
        <v>275</v>
      </c>
      <c r="H7357" s="55">
        <v>-168.05709999999999</v>
      </c>
      <c r="I7357" s="55">
        <v>-443.3005</v>
      </c>
      <c r="J7357" s="55">
        <v>93.640820000000005</v>
      </c>
      <c r="K7357" s="55">
        <v>71.60933</v>
      </c>
      <c r="L7357" s="55">
        <v>43.735550000000003</v>
      </c>
      <c r="M7357" s="55">
        <v>29.322649999999999</v>
      </c>
      <c r="N7357" s="55">
        <v>-74.762680000000003</v>
      </c>
    </row>
    <row r="7358" spans="1:14" hidden="1" x14ac:dyDescent="0.35">
      <c r="A7358" s="52" t="s">
        <v>759</v>
      </c>
      <c r="B7358" s="52" t="s">
        <v>37</v>
      </c>
      <c r="C7358" s="52" t="s">
        <v>61</v>
      </c>
      <c r="D7358" s="52" t="s">
        <v>62</v>
      </c>
      <c r="E7358" s="52" t="s">
        <v>584</v>
      </c>
      <c r="F7358" s="52" t="s">
        <v>581</v>
      </c>
      <c r="G7358" s="55" t="s">
        <v>276</v>
      </c>
      <c r="H7358" s="55">
        <v>-0.80206409999999995</v>
      </c>
      <c r="I7358" s="55">
        <v>-95.196079999999995</v>
      </c>
      <c r="J7358" s="55">
        <v>-81.549469999999999</v>
      </c>
      <c r="K7358" s="55">
        <v>-38.839460000000003</v>
      </c>
      <c r="L7358" s="55">
        <v>-60.03152</v>
      </c>
      <c r="M7358" s="55">
        <v>-66.775490000000005</v>
      </c>
      <c r="N7358" s="55">
        <v>-84.835300000000004</v>
      </c>
    </row>
    <row r="7359" spans="1:14" hidden="1" x14ac:dyDescent="0.35">
      <c r="A7359" s="52" t="s">
        <v>759</v>
      </c>
      <c r="B7359" s="52" t="s">
        <v>37</v>
      </c>
      <c r="C7359" s="52" t="s">
        <v>61</v>
      </c>
      <c r="D7359" s="52" t="s">
        <v>62</v>
      </c>
      <c r="E7359" s="52" t="s">
        <v>584</v>
      </c>
      <c r="F7359" s="52" t="s">
        <v>581</v>
      </c>
      <c r="G7359" s="55" t="s">
        <v>277</v>
      </c>
      <c r="H7359" s="55">
        <v>304.5829</v>
      </c>
      <c r="I7359" s="55">
        <v>116.74290000000001</v>
      </c>
      <c r="J7359" s="55">
        <v>27.005559999999999</v>
      </c>
      <c r="K7359" s="55">
        <v>23.34883</v>
      </c>
      <c r="L7359" s="55">
        <v>24.11543</v>
      </c>
      <c r="M7359" s="55">
        <v>22.95562</v>
      </c>
      <c r="N7359" s="55">
        <v>22.543019999999999</v>
      </c>
    </row>
    <row r="7360" spans="1:14" hidden="1" x14ac:dyDescent="0.35">
      <c r="A7360" s="52" t="s">
        <v>759</v>
      </c>
      <c r="B7360" s="52" t="s">
        <v>37</v>
      </c>
      <c r="C7360" s="52" t="s">
        <v>61</v>
      </c>
      <c r="D7360" s="52" t="s">
        <v>62</v>
      </c>
      <c r="E7360" s="52" t="s">
        <v>584</v>
      </c>
      <c r="F7360" s="52" t="s">
        <v>581</v>
      </c>
      <c r="G7360" s="55" t="s">
        <v>278</v>
      </c>
      <c r="H7360" s="55">
        <v>270.06509999999997</v>
      </c>
      <c r="I7360" s="55">
        <v>539.74419999999998</v>
      </c>
      <c r="J7360" s="55">
        <v>84.406710000000004</v>
      </c>
      <c r="K7360" s="55">
        <v>8.2289270000000005</v>
      </c>
      <c r="L7360" s="55">
        <v>18.054849999999998</v>
      </c>
      <c r="M7360" s="55">
        <v>62.141240000000003</v>
      </c>
      <c r="N7360" s="55">
        <v>60.364460000000001</v>
      </c>
    </row>
    <row r="7361" spans="1:14" hidden="1" x14ac:dyDescent="0.35">
      <c r="A7361" s="52" t="s">
        <v>759</v>
      </c>
      <c r="B7361" s="52" t="s">
        <v>37</v>
      </c>
      <c r="C7361" s="52" t="s">
        <v>61</v>
      </c>
      <c r="D7361" s="52" t="s">
        <v>62</v>
      </c>
      <c r="E7361" s="52" t="s">
        <v>584</v>
      </c>
      <c r="F7361" s="52" t="s">
        <v>581</v>
      </c>
      <c r="G7361" s="55" t="s">
        <v>279</v>
      </c>
      <c r="H7361" s="55">
        <v>218.89410000000001</v>
      </c>
      <c r="I7361" s="55">
        <v>202.2731</v>
      </c>
      <c r="J7361" s="55">
        <v>206.86449999999999</v>
      </c>
      <c r="K7361" s="55">
        <v>188.39779999999999</v>
      </c>
      <c r="L7361" s="55">
        <v>186.81399999999999</v>
      </c>
      <c r="M7361" s="55">
        <v>85.586010000000002</v>
      </c>
      <c r="N7361" s="55">
        <v>185.3004</v>
      </c>
    </row>
    <row r="7362" spans="1:14" hidden="1" x14ac:dyDescent="0.35">
      <c r="A7362" s="52" t="s">
        <v>759</v>
      </c>
      <c r="B7362" s="52" t="s">
        <v>37</v>
      </c>
      <c r="C7362" s="52" t="s">
        <v>61</v>
      </c>
      <c r="D7362" s="52" t="s">
        <v>62</v>
      </c>
      <c r="E7362" s="52" t="s">
        <v>584</v>
      </c>
      <c r="F7362" s="52" t="s">
        <v>26</v>
      </c>
      <c r="G7362" s="55" t="s">
        <v>275</v>
      </c>
      <c r="H7362" s="55">
        <v>5.0263629999999999</v>
      </c>
      <c r="I7362" s="55">
        <v>6.8299260000000004</v>
      </c>
      <c r="J7362" s="55">
        <v>0.43308150000000001</v>
      </c>
      <c r="K7362" s="55">
        <v>-3.521728</v>
      </c>
      <c r="L7362" s="55">
        <v>-62.570320000000002</v>
      </c>
      <c r="M7362" s="55">
        <v>-10.34904</v>
      </c>
      <c r="N7362" s="55">
        <v>-38.072710000000001</v>
      </c>
    </row>
    <row r="7363" spans="1:14" hidden="1" x14ac:dyDescent="0.35">
      <c r="A7363" s="52" t="s">
        <v>759</v>
      </c>
      <c r="B7363" s="52" t="s">
        <v>37</v>
      </c>
      <c r="C7363" s="52" t="s">
        <v>61</v>
      </c>
      <c r="D7363" s="52" t="s">
        <v>62</v>
      </c>
      <c r="E7363" s="52" t="s">
        <v>584</v>
      </c>
      <c r="F7363" s="52" t="s">
        <v>26</v>
      </c>
      <c r="G7363" s="55" t="s">
        <v>276</v>
      </c>
      <c r="H7363" s="55">
        <v>-9.8107469999999992</v>
      </c>
      <c r="I7363" s="55">
        <v>-0.91746760000000005</v>
      </c>
      <c r="J7363" s="55">
        <v>-0.54512559999999999</v>
      </c>
      <c r="K7363" s="55">
        <v>-1.0889420000000001</v>
      </c>
      <c r="L7363" s="55">
        <v>-16.963339999999999</v>
      </c>
      <c r="M7363" s="55">
        <v>-2.8606549999999999</v>
      </c>
      <c r="N7363" s="55">
        <v>-10.13392</v>
      </c>
    </row>
    <row r="7364" spans="1:14" hidden="1" x14ac:dyDescent="0.35">
      <c r="A7364" s="52" t="s">
        <v>759</v>
      </c>
      <c r="B7364" s="52" t="s">
        <v>37</v>
      </c>
      <c r="C7364" s="52" t="s">
        <v>61</v>
      </c>
      <c r="D7364" s="52" t="s">
        <v>62</v>
      </c>
      <c r="E7364" s="52" t="s">
        <v>584</v>
      </c>
      <c r="F7364" s="52" t="s">
        <v>26</v>
      </c>
      <c r="G7364" s="55" t="s">
        <v>277</v>
      </c>
      <c r="H7364" s="55">
        <v>2.6677960000000001</v>
      </c>
      <c r="I7364" s="55">
        <v>0.88935710000000001</v>
      </c>
      <c r="J7364" s="55">
        <v>3.5330100000000003E-2</v>
      </c>
      <c r="K7364" s="55">
        <v>0.34824650000000001</v>
      </c>
      <c r="L7364" s="55">
        <v>0</v>
      </c>
      <c r="M7364" s="55">
        <v>0</v>
      </c>
      <c r="N7364" s="55">
        <v>0</v>
      </c>
    </row>
    <row r="7365" spans="1:14" hidden="1" x14ac:dyDescent="0.35">
      <c r="A7365" s="52" t="s">
        <v>759</v>
      </c>
      <c r="B7365" s="52" t="s">
        <v>37</v>
      </c>
      <c r="C7365" s="52" t="s">
        <v>61</v>
      </c>
      <c r="D7365" s="52" t="s">
        <v>62</v>
      </c>
      <c r="E7365" s="52" t="s">
        <v>584</v>
      </c>
      <c r="F7365" s="52" t="s">
        <v>26</v>
      </c>
      <c r="G7365" s="55" t="s">
        <v>278</v>
      </c>
      <c r="H7365" s="55"/>
      <c r="I7365" s="55"/>
      <c r="J7365" s="55">
        <v>0</v>
      </c>
      <c r="K7365" s="55">
        <v>0</v>
      </c>
      <c r="L7365" s="55">
        <v>0</v>
      </c>
      <c r="M7365" s="55">
        <v>0</v>
      </c>
      <c r="N7365" s="55">
        <v>0</v>
      </c>
    </row>
    <row r="7366" spans="1:14" hidden="1" x14ac:dyDescent="0.35">
      <c r="A7366" s="52" t="s">
        <v>759</v>
      </c>
      <c r="B7366" s="52" t="s">
        <v>37</v>
      </c>
      <c r="C7366" s="52" t="s">
        <v>61</v>
      </c>
      <c r="D7366" s="52" t="s">
        <v>62</v>
      </c>
      <c r="E7366" s="52" t="s">
        <v>584</v>
      </c>
      <c r="F7366" s="52" t="s">
        <v>26</v>
      </c>
      <c r="G7366" s="55" t="s">
        <v>279</v>
      </c>
      <c r="H7366" s="55">
        <v>47.876899999999999</v>
      </c>
      <c r="I7366" s="55">
        <v>30.7255</v>
      </c>
      <c r="J7366" s="55">
        <v>34.422490000000003</v>
      </c>
      <c r="K7366" s="55">
        <v>30.869420000000002</v>
      </c>
      <c r="L7366" s="55">
        <v>102.08320000000001</v>
      </c>
      <c r="M7366" s="55">
        <v>23.716149999999999</v>
      </c>
      <c r="N7366" s="55">
        <v>56.326140000000002</v>
      </c>
    </row>
    <row r="7367" spans="1:14" hidden="1" x14ac:dyDescent="0.35">
      <c r="A7367" s="52" t="s">
        <v>759</v>
      </c>
      <c r="B7367" s="52" t="s">
        <v>37</v>
      </c>
      <c r="C7367" s="52" t="s">
        <v>109</v>
      </c>
      <c r="D7367" s="52" t="s">
        <v>109</v>
      </c>
      <c r="E7367" s="52" t="s">
        <v>584</v>
      </c>
      <c r="F7367" s="52" t="s">
        <v>581</v>
      </c>
      <c r="G7367" s="55" t="s">
        <v>275</v>
      </c>
      <c r="H7367" s="55">
        <v>43.311680000000003</v>
      </c>
      <c r="I7367" s="55">
        <v>-141.48400000000001</v>
      </c>
      <c r="J7367" s="55">
        <v>-52.181370000000001</v>
      </c>
      <c r="K7367" s="55">
        <v>-71.624359999999996</v>
      </c>
      <c r="L7367" s="55">
        <v>-27.657509999999998</v>
      </c>
      <c r="M7367" s="55">
        <v>-6.3529580000000001</v>
      </c>
      <c r="N7367" s="55">
        <v>1.044789</v>
      </c>
    </row>
    <row r="7368" spans="1:14" hidden="1" x14ac:dyDescent="0.35">
      <c r="A7368" s="52" t="s">
        <v>759</v>
      </c>
      <c r="B7368" s="52" t="s">
        <v>37</v>
      </c>
      <c r="C7368" s="52" t="s">
        <v>109</v>
      </c>
      <c r="D7368" s="52" t="s">
        <v>109</v>
      </c>
      <c r="E7368" s="52" t="s">
        <v>584</v>
      </c>
      <c r="F7368" s="52" t="s">
        <v>581</v>
      </c>
      <c r="G7368" s="55" t="s">
        <v>276</v>
      </c>
      <c r="H7368" s="55">
        <v>-1.8337909999999999E-2</v>
      </c>
      <c r="I7368" s="55">
        <v>-18.429670000000002</v>
      </c>
      <c r="J7368" s="55">
        <v>-28.12987</v>
      </c>
      <c r="K7368" s="55">
        <v>-54.070320000000002</v>
      </c>
      <c r="L7368" s="55">
        <v>-30.302810000000001</v>
      </c>
      <c r="M7368" s="55">
        <v>-7.1566190000000001</v>
      </c>
      <c r="N7368" s="55">
        <v>-24.883579999999998</v>
      </c>
    </row>
    <row r="7369" spans="1:14" hidden="1" x14ac:dyDescent="0.35">
      <c r="A7369" s="52" t="s">
        <v>759</v>
      </c>
      <c r="B7369" s="52" t="s">
        <v>37</v>
      </c>
      <c r="C7369" s="52" t="s">
        <v>109</v>
      </c>
      <c r="D7369" s="52" t="s">
        <v>109</v>
      </c>
      <c r="E7369" s="52" t="s">
        <v>584</v>
      </c>
      <c r="F7369" s="52" t="s">
        <v>581</v>
      </c>
      <c r="G7369" s="55" t="s">
        <v>277</v>
      </c>
      <c r="H7369" s="55">
        <v>32.753880000000002</v>
      </c>
      <c r="I7369" s="55">
        <v>28.245470000000001</v>
      </c>
      <c r="J7369" s="55">
        <v>22.320540000000001</v>
      </c>
      <c r="K7369" s="55">
        <v>16.946300000000001</v>
      </c>
      <c r="L7369" s="55">
        <v>15.21935</v>
      </c>
      <c r="M7369" s="55">
        <v>13.87547</v>
      </c>
      <c r="N7369" s="55">
        <v>13.11529</v>
      </c>
    </row>
    <row r="7370" spans="1:14" hidden="1" x14ac:dyDescent="0.35">
      <c r="A7370" s="52" t="s">
        <v>759</v>
      </c>
      <c r="B7370" s="52" t="s">
        <v>37</v>
      </c>
      <c r="C7370" s="52" t="s">
        <v>109</v>
      </c>
      <c r="D7370" s="52" t="s">
        <v>109</v>
      </c>
      <c r="E7370" s="52" t="s">
        <v>584</v>
      </c>
      <c r="F7370" s="52" t="s">
        <v>581</v>
      </c>
      <c r="G7370" s="55" t="s">
        <v>278</v>
      </c>
      <c r="H7370" s="55">
        <v>1.5675950000000001</v>
      </c>
      <c r="I7370" s="55">
        <v>129.31469999999999</v>
      </c>
      <c r="J7370" s="55">
        <v>61.457129999999999</v>
      </c>
      <c r="K7370" s="55">
        <v>12.796670000000001</v>
      </c>
      <c r="L7370" s="55">
        <v>14.37978</v>
      </c>
      <c r="M7370" s="55">
        <v>1.1919379999999999</v>
      </c>
      <c r="N7370" s="55">
        <v>16.767330000000001</v>
      </c>
    </row>
    <row r="7371" spans="1:14" hidden="1" x14ac:dyDescent="0.35">
      <c r="A7371" s="52" t="s">
        <v>759</v>
      </c>
      <c r="B7371" s="52" t="s">
        <v>37</v>
      </c>
      <c r="C7371" s="52" t="s">
        <v>109</v>
      </c>
      <c r="D7371" s="52" t="s">
        <v>109</v>
      </c>
      <c r="E7371" s="52" t="s">
        <v>584</v>
      </c>
      <c r="F7371" s="52" t="s">
        <v>581</v>
      </c>
      <c r="G7371" s="55" t="s">
        <v>279</v>
      </c>
      <c r="H7371" s="55">
        <v>95.786249999999995</v>
      </c>
      <c r="I7371" s="55">
        <v>81.306690000000003</v>
      </c>
      <c r="J7371" s="55">
        <v>55.90634</v>
      </c>
      <c r="K7371" s="55">
        <v>152.81489999999999</v>
      </c>
      <c r="L7371" s="55">
        <v>77.54674</v>
      </c>
      <c r="M7371" s="55">
        <v>21.019079999999999</v>
      </c>
      <c r="N7371" s="55">
        <v>8.8858899999999998</v>
      </c>
    </row>
    <row r="7372" spans="1:14" hidden="1" x14ac:dyDescent="0.35">
      <c r="A7372" s="52" t="s">
        <v>759</v>
      </c>
      <c r="B7372" s="52" t="s">
        <v>37</v>
      </c>
      <c r="C7372" s="52" t="s">
        <v>109</v>
      </c>
      <c r="D7372" s="52" t="s">
        <v>109</v>
      </c>
      <c r="E7372" s="52" t="s">
        <v>584</v>
      </c>
      <c r="F7372" s="52" t="s">
        <v>26</v>
      </c>
      <c r="G7372" s="55" t="s">
        <v>275</v>
      </c>
      <c r="H7372" s="55">
        <v>-36.975290000000001</v>
      </c>
      <c r="I7372" s="55">
        <v>-23.81446</v>
      </c>
      <c r="J7372" s="55">
        <v>-14.850429999999999</v>
      </c>
      <c r="K7372" s="55">
        <v>-47.50423</v>
      </c>
      <c r="L7372" s="55">
        <v>-42.910260000000001</v>
      </c>
      <c r="M7372" s="55">
        <v>-16.19312</v>
      </c>
      <c r="N7372" s="55">
        <v>-14.70818</v>
      </c>
    </row>
    <row r="7373" spans="1:14" hidden="1" x14ac:dyDescent="0.35">
      <c r="A7373" s="52" t="s">
        <v>759</v>
      </c>
      <c r="B7373" s="52" t="s">
        <v>37</v>
      </c>
      <c r="C7373" s="52" t="s">
        <v>109</v>
      </c>
      <c r="D7373" s="52" t="s">
        <v>109</v>
      </c>
      <c r="E7373" s="52" t="s">
        <v>584</v>
      </c>
      <c r="F7373" s="52" t="s">
        <v>26</v>
      </c>
      <c r="G7373" s="55" t="s">
        <v>276</v>
      </c>
      <c r="H7373" s="55">
        <v>-11.49335</v>
      </c>
      <c r="I7373" s="55">
        <v>-8.3410980000000006</v>
      </c>
      <c r="J7373" s="55">
        <v>-5.2320880000000001</v>
      </c>
      <c r="K7373" s="55">
        <v>-13.86745</v>
      </c>
      <c r="L7373" s="55">
        <v>-11.409979999999999</v>
      </c>
      <c r="M7373" s="55">
        <v>-4.28993</v>
      </c>
      <c r="N7373" s="55">
        <v>-3.9990290000000002</v>
      </c>
    </row>
    <row r="7374" spans="1:14" hidden="1" x14ac:dyDescent="0.35">
      <c r="A7374" s="52" t="s">
        <v>759</v>
      </c>
      <c r="B7374" s="52" t="s">
        <v>37</v>
      </c>
      <c r="C7374" s="52" t="s">
        <v>109</v>
      </c>
      <c r="D7374" s="52" t="s">
        <v>109</v>
      </c>
      <c r="E7374" s="52" t="s">
        <v>584</v>
      </c>
      <c r="F7374" s="52" t="s">
        <v>26</v>
      </c>
      <c r="G7374" s="55" t="s">
        <v>277</v>
      </c>
      <c r="H7374" s="55">
        <v>13.139200000000001</v>
      </c>
      <c r="I7374" s="55">
        <v>5.0720830000000001</v>
      </c>
      <c r="J7374" s="55">
        <v>4.3283899999999997</v>
      </c>
      <c r="K7374" s="55">
        <v>6.5105250000000003</v>
      </c>
      <c r="L7374" s="55">
        <v>5.8934930000000003</v>
      </c>
      <c r="M7374" s="55">
        <v>5.4398470000000003</v>
      </c>
      <c r="N7374" s="55">
        <v>4.660685</v>
      </c>
    </row>
    <row r="7375" spans="1:14" hidden="1" x14ac:dyDescent="0.35">
      <c r="A7375" s="52" t="s">
        <v>759</v>
      </c>
      <c r="B7375" s="52" t="s">
        <v>37</v>
      </c>
      <c r="C7375" s="52" t="s">
        <v>109</v>
      </c>
      <c r="D7375" s="52" t="s">
        <v>109</v>
      </c>
      <c r="E7375" s="52" t="s">
        <v>584</v>
      </c>
      <c r="F7375" s="52" t="s">
        <v>26</v>
      </c>
      <c r="G7375" s="55" t="s">
        <v>278</v>
      </c>
      <c r="H7375" s="55">
        <v>4.525763E-2</v>
      </c>
      <c r="I7375" s="55">
        <v>4.5257619999999998E-2</v>
      </c>
      <c r="J7375" s="55">
        <v>0</v>
      </c>
      <c r="K7375" s="55">
        <v>0</v>
      </c>
      <c r="L7375" s="55">
        <v>0</v>
      </c>
      <c r="M7375" s="55">
        <v>0</v>
      </c>
      <c r="N7375" s="55">
        <v>0</v>
      </c>
    </row>
    <row r="7376" spans="1:14" hidden="1" x14ac:dyDescent="0.35">
      <c r="A7376" s="52" t="s">
        <v>759</v>
      </c>
      <c r="B7376" s="52" t="s">
        <v>37</v>
      </c>
      <c r="C7376" s="52" t="s">
        <v>109</v>
      </c>
      <c r="D7376" s="52" t="s">
        <v>109</v>
      </c>
      <c r="E7376" s="52" t="s">
        <v>584</v>
      </c>
      <c r="F7376" s="52" t="s">
        <v>26</v>
      </c>
      <c r="G7376" s="55" t="s">
        <v>279</v>
      </c>
      <c r="H7376" s="55">
        <v>56.049579999999999</v>
      </c>
      <c r="I7376" s="55">
        <v>43.002499999999998</v>
      </c>
      <c r="J7376" s="55">
        <v>28.5594</v>
      </c>
      <c r="K7376" s="55">
        <v>76.681690000000003</v>
      </c>
      <c r="L7376" s="55">
        <v>57.620049999999999</v>
      </c>
      <c r="M7376" s="55">
        <v>22.211849999999998</v>
      </c>
      <c r="N7376" s="55">
        <v>18.90193</v>
      </c>
    </row>
    <row r="7377" spans="1:14" hidden="1" x14ac:dyDescent="0.35">
      <c r="A7377" s="52" t="s">
        <v>759</v>
      </c>
      <c r="B7377" s="52" t="s">
        <v>37</v>
      </c>
      <c r="C7377" s="52" t="s">
        <v>266</v>
      </c>
      <c r="D7377" s="52" t="s">
        <v>266</v>
      </c>
      <c r="E7377" s="52" t="s">
        <v>584</v>
      </c>
      <c r="F7377" s="52" t="s">
        <v>581</v>
      </c>
      <c r="G7377" s="55" t="s">
        <v>275</v>
      </c>
      <c r="H7377" s="55">
        <v>4.1966950000000001</v>
      </c>
      <c r="I7377" s="55">
        <v>0.46189380000000002</v>
      </c>
      <c r="J7377" s="55">
        <v>0.53296509999999997</v>
      </c>
      <c r="K7377" s="55">
        <v>1.6446829999999999</v>
      </c>
      <c r="L7377" s="55">
        <v>0.27156530000000001</v>
      </c>
      <c r="M7377" s="55">
        <v>0.1142982</v>
      </c>
      <c r="N7377" s="55">
        <v>0.62174870000000004</v>
      </c>
    </row>
    <row r="7378" spans="1:14" hidden="1" x14ac:dyDescent="0.35">
      <c r="A7378" s="52" t="s">
        <v>759</v>
      </c>
      <c r="B7378" s="52" t="s">
        <v>37</v>
      </c>
      <c r="C7378" s="52" t="s">
        <v>266</v>
      </c>
      <c r="D7378" s="52" t="s">
        <v>266</v>
      </c>
      <c r="E7378" s="52" t="s">
        <v>584</v>
      </c>
      <c r="F7378" s="52" t="s">
        <v>581</v>
      </c>
      <c r="G7378" s="55" t="s">
        <v>276</v>
      </c>
      <c r="H7378" s="55">
        <v>4.6698000000000003E-2</v>
      </c>
      <c r="I7378" s="55">
        <v>-1.668215</v>
      </c>
      <c r="J7378" s="55">
        <v>-1.37706</v>
      </c>
      <c r="K7378" s="55">
        <v>-2.2619539999999998</v>
      </c>
      <c r="L7378" s="55">
        <v>-0.73032090000000005</v>
      </c>
      <c r="M7378" s="55">
        <v>-0.44842349999999997</v>
      </c>
      <c r="N7378" s="55">
        <v>-0.28302329999999998</v>
      </c>
    </row>
    <row r="7379" spans="1:14" hidden="1" x14ac:dyDescent="0.35">
      <c r="A7379" s="52" t="s">
        <v>759</v>
      </c>
      <c r="B7379" s="52" t="s">
        <v>37</v>
      </c>
      <c r="C7379" s="52" t="s">
        <v>266</v>
      </c>
      <c r="D7379" s="52" t="s">
        <v>266</v>
      </c>
      <c r="E7379" s="52" t="s">
        <v>584</v>
      </c>
      <c r="F7379" s="52" t="s">
        <v>581</v>
      </c>
      <c r="G7379" s="55" t="s">
        <v>277</v>
      </c>
      <c r="H7379" s="55">
        <v>7.1938930000000001</v>
      </c>
      <c r="I7379" s="55">
        <v>4.2821020000000001</v>
      </c>
      <c r="J7379" s="55">
        <v>2.8802219999999998</v>
      </c>
      <c r="K7379" s="55">
        <v>1.9388780000000001</v>
      </c>
      <c r="L7379" s="55">
        <v>1.30629</v>
      </c>
      <c r="M7379" s="55">
        <v>0.881054</v>
      </c>
      <c r="N7379" s="55"/>
    </row>
    <row r="7380" spans="1:14" hidden="1" x14ac:dyDescent="0.35">
      <c r="A7380" s="52" t="s">
        <v>759</v>
      </c>
      <c r="B7380" s="52" t="s">
        <v>37</v>
      </c>
      <c r="C7380" s="52" t="s">
        <v>266</v>
      </c>
      <c r="D7380" s="52" t="s">
        <v>266</v>
      </c>
      <c r="E7380" s="52" t="s">
        <v>584</v>
      </c>
      <c r="F7380" s="52" t="s">
        <v>581</v>
      </c>
      <c r="G7380" s="55" t="s">
        <v>279</v>
      </c>
      <c r="H7380" s="55">
        <v>3.2011120000000002</v>
      </c>
      <c r="I7380" s="55">
        <v>1.670353</v>
      </c>
      <c r="J7380" s="55">
        <v>1.1723870000000001</v>
      </c>
      <c r="K7380" s="55">
        <v>0.89467129999999995</v>
      </c>
      <c r="L7380" s="55">
        <v>0.68305990000000005</v>
      </c>
      <c r="M7380" s="55">
        <v>0.51000639999999997</v>
      </c>
      <c r="N7380" s="55">
        <v>0.39096969999999998</v>
      </c>
    </row>
    <row r="7381" spans="1:14" hidden="1" x14ac:dyDescent="0.35">
      <c r="A7381" s="52" t="s">
        <v>759</v>
      </c>
      <c r="B7381" s="52" t="s">
        <v>37</v>
      </c>
      <c r="C7381" s="52" t="s">
        <v>266</v>
      </c>
      <c r="D7381" s="52" t="s">
        <v>266</v>
      </c>
      <c r="E7381" s="52" t="s">
        <v>584</v>
      </c>
      <c r="F7381" s="52" t="s">
        <v>26</v>
      </c>
      <c r="G7381" s="55" t="s">
        <v>275</v>
      </c>
      <c r="H7381" s="55">
        <v>1.1899E-2</v>
      </c>
      <c r="I7381" s="55">
        <v>6.9532999999999999E-3</v>
      </c>
      <c r="J7381" s="55">
        <v>6.8972E-3</v>
      </c>
      <c r="K7381" s="55">
        <v>4.3185000000000003E-3</v>
      </c>
      <c r="L7381" s="55">
        <v>2.5214E-3</v>
      </c>
      <c r="M7381" s="55">
        <v>1.8867999999999999E-3</v>
      </c>
      <c r="N7381" s="55">
        <v>1.3447999999999999E-3</v>
      </c>
    </row>
    <row r="7382" spans="1:14" hidden="1" x14ac:dyDescent="0.35">
      <c r="A7382" s="52" t="s">
        <v>759</v>
      </c>
      <c r="B7382" s="52" t="s">
        <v>37</v>
      </c>
      <c r="C7382" s="52" t="s">
        <v>266</v>
      </c>
      <c r="D7382" s="52" t="s">
        <v>266</v>
      </c>
      <c r="E7382" s="52" t="s">
        <v>584</v>
      </c>
      <c r="F7382" s="52" t="s">
        <v>26</v>
      </c>
      <c r="G7382" s="55" t="s">
        <v>276</v>
      </c>
      <c r="H7382" s="55">
        <v>3.163E-3</v>
      </c>
      <c r="I7382" s="55">
        <v>1.8481999999999999E-3</v>
      </c>
      <c r="J7382" s="55">
        <v>1.8328999999999999E-3</v>
      </c>
      <c r="K7382" s="55">
        <v>1.1485E-3</v>
      </c>
      <c r="L7382" s="55">
        <v>6.6969999999999996E-4</v>
      </c>
      <c r="M7382" s="55">
        <v>5.0120000000000004E-4</v>
      </c>
      <c r="N7382" s="55">
        <v>3.5730000000000001E-4</v>
      </c>
    </row>
    <row r="7383" spans="1:14" hidden="1" x14ac:dyDescent="0.35">
      <c r="A7383" s="52" t="s">
        <v>759</v>
      </c>
      <c r="B7383" s="52" t="s">
        <v>37</v>
      </c>
      <c r="C7383" s="52" t="s">
        <v>266</v>
      </c>
      <c r="D7383" s="52" t="s">
        <v>266</v>
      </c>
      <c r="E7383" s="52" t="s">
        <v>584</v>
      </c>
      <c r="F7383" s="52" t="s">
        <v>26</v>
      </c>
      <c r="G7383" s="55" t="s">
        <v>279</v>
      </c>
      <c r="H7383" s="55">
        <v>4.1153000000000002E-2</v>
      </c>
      <c r="I7383" s="55">
        <v>3.0559599999999999E-2</v>
      </c>
      <c r="J7383" s="55">
        <v>2.57066E-2</v>
      </c>
      <c r="K7383" s="55">
        <v>2.3535199999999999E-2</v>
      </c>
      <c r="L7383" s="55">
        <v>2.1165400000000001E-2</v>
      </c>
      <c r="M7383" s="55">
        <v>1.8056099999999999E-2</v>
      </c>
      <c r="N7383" s="55">
        <v>1.54454E-2</v>
      </c>
    </row>
    <row r="7384" spans="1:14" hidden="1" x14ac:dyDescent="0.35">
      <c r="A7384" s="52" t="s">
        <v>759</v>
      </c>
      <c r="B7384" s="52" t="s">
        <v>37</v>
      </c>
      <c r="C7384" s="52" t="s">
        <v>79</v>
      </c>
      <c r="D7384" s="52" t="s">
        <v>79</v>
      </c>
      <c r="E7384" s="52" t="s">
        <v>600</v>
      </c>
      <c r="F7384" s="52" t="s">
        <v>581</v>
      </c>
      <c r="G7384" s="55" t="s">
        <v>275</v>
      </c>
      <c r="H7384" s="55">
        <v>2.5665800000000001</v>
      </c>
      <c r="I7384" s="55">
        <v>0.2413554</v>
      </c>
      <c r="J7384" s="55">
        <v>0.75877269999999997</v>
      </c>
      <c r="K7384" s="55">
        <v>0.33024189999999998</v>
      </c>
      <c r="L7384" s="55">
        <v>0.22380729999999999</v>
      </c>
      <c r="M7384" s="55">
        <v>0.63198449999999995</v>
      </c>
      <c r="N7384" s="55">
        <v>0.48116710000000001</v>
      </c>
    </row>
    <row r="7385" spans="1:14" hidden="1" x14ac:dyDescent="0.35">
      <c r="A7385" s="52" t="s">
        <v>759</v>
      </c>
      <c r="B7385" s="52" t="s">
        <v>37</v>
      </c>
      <c r="C7385" s="52" t="s">
        <v>79</v>
      </c>
      <c r="D7385" s="52" t="s">
        <v>79</v>
      </c>
      <c r="E7385" s="52" t="s">
        <v>600</v>
      </c>
      <c r="F7385" s="52" t="s">
        <v>581</v>
      </c>
      <c r="G7385" s="55" t="s">
        <v>276</v>
      </c>
      <c r="H7385" s="55">
        <v>-0.50073599999999996</v>
      </c>
      <c r="I7385" s="55">
        <v>-0.33272279999999999</v>
      </c>
      <c r="J7385" s="55">
        <v>-8.9243299999999998E-2</v>
      </c>
      <c r="K7385" s="55">
        <v>5.4027199999999997E-2</v>
      </c>
      <c r="L7385" s="55">
        <v>0.1095911</v>
      </c>
      <c r="M7385" s="55">
        <v>3.1758300000000003E-2</v>
      </c>
      <c r="N7385" s="55">
        <v>8.4086999999999995E-2</v>
      </c>
    </row>
    <row r="7386" spans="1:14" hidden="1" x14ac:dyDescent="0.35">
      <c r="A7386" s="52" t="s">
        <v>759</v>
      </c>
      <c r="B7386" s="52" t="s">
        <v>37</v>
      </c>
      <c r="C7386" s="52" t="s">
        <v>79</v>
      </c>
      <c r="D7386" s="52" t="s">
        <v>79</v>
      </c>
      <c r="E7386" s="52" t="s">
        <v>600</v>
      </c>
      <c r="F7386" s="52" t="s">
        <v>581</v>
      </c>
      <c r="G7386" s="55" t="s">
        <v>277</v>
      </c>
      <c r="H7386" s="55">
        <v>0.152196</v>
      </c>
      <c r="I7386" s="55">
        <v>0.89965280000000003</v>
      </c>
      <c r="J7386" s="55">
        <v>0.1987805</v>
      </c>
      <c r="K7386" s="55">
        <v>0.4361199</v>
      </c>
      <c r="L7386" s="55">
        <v>0.50490179999999996</v>
      </c>
      <c r="M7386" s="55">
        <v>3.7867999999999999E-3</v>
      </c>
      <c r="N7386" s="55">
        <v>2.6350000000000001E-4</v>
      </c>
    </row>
    <row r="7387" spans="1:14" hidden="1" x14ac:dyDescent="0.35">
      <c r="A7387" s="52" t="s">
        <v>759</v>
      </c>
      <c r="B7387" s="52" t="s">
        <v>37</v>
      </c>
      <c r="C7387" s="52" t="s">
        <v>79</v>
      </c>
      <c r="D7387" s="52" t="s">
        <v>79</v>
      </c>
      <c r="E7387" s="52" t="s">
        <v>600</v>
      </c>
      <c r="F7387" s="52" t="s">
        <v>581</v>
      </c>
      <c r="G7387" s="55" t="s">
        <v>279</v>
      </c>
      <c r="H7387" s="55">
        <v>0.75864299999999996</v>
      </c>
      <c r="I7387" s="55">
        <v>0.53112079999999995</v>
      </c>
      <c r="J7387" s="55">
        <v>0.53959250000000003</v>
      </c>
      <c r="K7387" s="55">
        <v>0.53297479999999997</v>
      </c>
      <c r="L7387" s="55">
        <v>0.51173219999999997</v>
      </c>
      <c r="M7387" s="55">
        <v>0.48824420000000002</v>
      </c>
      <c r="N7387" s="55">
        <v>0.41389369999999998</v>
      </c>
    </row>
    <row r="7388" spans="1:14" hidden="1" x14ac:dyDescent="0.35">
      <c r="A7388" s="52" t="s">
        <v>759</v>
      </c>
      <c r="B7388" s="52" t="s">
        <v>37</v>
      </c>
      <c r="C7388" s="52" t="s">
        <v>79</v>
      </c>
      <c r="D7388" s="52" t="s">
        <v>79</v>
      </c>
      <c r="E7388" s="52" t="s">
        <v>600</v>
      </c>
      <c r="F7388" s="52" t="s">
        <v>26</v>
      </c>
      <c r="G7388" s="55" t="s">
        <v>275</v>
      </c>
      <c r="H7388" s="55">
        <v>6.8757990000000005E-2</v>
      </c>
      <c r="I7388" s="55">
        <v>4.5274099999999998E-2</v>
      </c>
      <c r="J7388" s="55">
        <v>7.0307800000000004E-2</v>
      </c>
      <c r="K7388" s="55">
        <v>5.5977399999999997E-2</v>
      </c>
      <c r="L7388" s="55">
        <v>5.9252100000000002E-2</v>
      </c>
      <c r="M7388" s="55">
        <v>2.9566200000000001E-2</v>
      </c>
      <c r="N7388" s="55">
        <v>2.4623300000000001E-2</v>
      </c>
    </row>
    <row r="7389" spans="1:14" hidden="1" x14ac:dyDescent="0.35">
      <c r="A7389" s="52" t="s">
        <v>759</v>
      </c>
      <c r="B7389" s="52" t="s">
        <v>37</v>
      </c>
      <c r="C7389" s="52" t="s">
        <v>79</v>
      </c>
      <c r="D7389" s="52" t="s">
        <v>79</v>
      </c>
      <c r="E7389" s="52" t="s">
        <v>600</v>
      </c>
      <c r="F7389" s="52" t="s">
        <v>26</v>
      </c>
      <c r="G7389" s="55" t="s">
        <v>276</v>
      </c>
      <c r="H7389" s="55">
        <v>1.9932999999999999E-2</v>
      </c>
      <c r="I7389" s="55">
        <v>1.31243E-2</v>
      </c>
      <c r="J7389" s="55">
        <v>2.03816E-2</v>
      </c>
      <c r="K7389" s="55">
        <v>1.62273E-2</v>
      </c>
      <c r="L7389" s="55">
        <v>1.7175800000000001E-2</v>
      </c>
      <c r="M7389" s="55">
        <v>8.5710990000000004E-3</v>
      </c>
      <c r="N7389" s="55">
        <v>7.1371999999999998E-3</v>
      </c>
    </row>
    <row r="7390" spans="1:14" hidden="1" x14ac:dyDescent="0.35">
      <c r="A7390" s="52" t="s">
        <v>759</v>
      </c>
      <c r="B7390" s="52" t="s">
        <v>37</v>
      </c>
      <c r="C7390" s="52" t="s">
        <v>79</v>
      </c>
      <c r="D7390" s="52" t="s">
        <v>79</v>
      </c>
      <c r="E7390" s="52" t="s">
        <v>600</v>
      </c>
      <c r="F7390" s="52" t="s">
        <v>26</v>
      </c>
      <c r="G7390" s="55" t="s">
        <v>279</v>
      </c>
      <c r="H7390" s="55">
        <v>0.40836699999999998</v>
      </c>
      <c r="I7390" s="55">
        <v>0.3443949</v>
      </c>
      <c r="J7390" s="55">
        <v>0.35453770000000001</v>
      </c>
      <c r="K7390" s="55">
        <v>0.35458489999999998</v>
      </c>
      <c r="L7390" s="55">
        <v>0.34771849999999999</v>
      </c>
      <c r="M7390" s="55">
        <v>0.32447809999999999</v>
      </c>
      <c r="N7390" s="55">
        <v>0.27511249999999998</v>
      </c>
    </row>
    <row r="7391" spans="1:14" hidden="1" x14ac:dyDescent="0.35">
      <c r="A7391" s="52" t="s">
        <v>759</v>
      </c>
      <c r="B7391" s="52" t="s">
        <v>37</v>
      </c>
      <c r="C7391" s="52" t="s">
        <v>248</v>
      </c>
      <c r="D7391" s="52" t="s">
        <v>248</v>
      </c>
      <c r="E7391" s="52" t="s">
        <v>635</v>
      </c>
      <c r="F7391" s="52" t="s">
        <v>581</v>
      </c>
      <c r="G7391" s="55" t="s">
        <v>275</v>
      </c>
      <c r="H7391" s="55">
        <v>1.2333339999999999</v>
      </c>
      <c r="I7391" s="55">
        <v>-2.4951460000000001</v>
      </c>
      <c r="J7391" s="55">
        <v>-1.4656100000000001</v>
      </c>
      <c r="K7391" s="55">
        <v>-1.0291790000000001</v>
      </c>
      <c r="L7391" s="55">
        <v>-0.7276437</v>
      </c>
      <c r="M7391" s="55">
        <v>1.124654</v>
      </c>
      <c r="N7391" s="55">
        <v>0.84127280000000004</v>
      </c>
    </row>
    <row r="7392" spans="1:14" hidden="1" x14ac:dyDescent="0.35">
      <c r="A7392" s="52" t="s">
        <v>759</v>
      </c>
      <c r="B7392" s="52" t="s">
        <v>37</v>
      </c>
      <c r="C7392" s="52" t="s">
        <v>248</v>
      </c>
      <c r="D7392" s="52" t="s">
        <v>248</v>
      </c>
      <c r="E7392" s="52" t="s">
        <v>635</v>
      </c>
      <c r="F7392" s="52" t="s">
        <v>581</v>
      </c>
      <c r="G7392" s="55" t="s">
        <v>276</v>
      </c>
      <c r="H7392" s="55">
        <v>-0.232489</v>
      </c>
      <c r="I7392" s="55">
        <v>-0.1085257</v>
      </c>
      <c r="J7392" s="55">
        <v>-2.6273600000000001E-2</v>
      </c>
      <c r="K7392" s="55">
        <v>-2.6721399999999999E-2</v>
      </c>
      <c r="L7392" s="55">
        <v>-1.9359390000000001E-2</v>
      </c>
      <c r="M7392" s="55">
        <v>-0.26289180000000001</v>
      </c>
      <c r="N7392" s="55">
        <v>-0.15696389999999999</v>
      </c>
    </row>
    <row r="7393" spans="1:14" hidden="1" x14ac:dyDescent="0.35">
      <c r="A7393" s="52" t="s">
        <v>759</v>
      </c>
      <c r="B7393" s="52" t="s">
        <v>37</v>
      </c>
      <c r="C7393" s="52" t="s">
        <v>248</v>
      </c>
      <c r="D7393" s="52" t="s">
        <v>248</v>
      </c>
      <c r="E7393" s="52" t="s">
        <v>635</v>
      </c>
      <c r="F7393" s="52" t="s">
        <v>581</v>
      </c>
      <c r="G7393" s="55" t="s">
        <v>277</v>
      </c>
      <c r="H7393" s="55">
        <v>0</v>
      </c>
      <c r="I7393" s="55">
        <v>3.1241490000000001</v>
      </c>
      <c r="J7393" s="55">
        <v>1.76474</v>
      </c>
      <c r="K7393" s="55">
        <v>1.4982279999999999</v>
      </c>
      <c r="L7393" s="55">
        <v>1.8441730000000001</v>
      </c>
      <c r="M7393" s="55">
        <v>0</v>
      </c>
      <c r="N7393" s="55">
        <v>0</v>
      </c>
    </row>
    <row r="7394" spans="1:14" hidden="1" x14ac:dyDescent="0.35">
      <c r="A7394" s="52" t="s">
        <v>759</v>
      </c>
      <c r="B7394" s="52" t="s">
        <v>37</v>
      </c>
      <c r="C7394" s="52" t="s">
        <v>248</v>
      </c>
      <c r="D7394" s="52" t="s">
        <v>248</v>
      </c>
      <c r="E7394" s="52" t="s">
        <v>635</v>
      </c>
      <c r="F7394" s="52" t="s">
        <v>581</v>
      </c>
      <c r="G7394" s="55" t="s">
        <v>278</v>
      </c>
      <c r="H7394" s="55"/>
      <c r="I7394" s="55">
        <v>0</v>
      </c>
      <c r="J7394" s="55">
        <v>0.56855100000000003</v>
      </c>
      <c r="K7394" s="55">
        <v>0.62911090000000003</v>
      </c>
      <c r="L7394" s="55">
        <v>0.1730294</v>
      </c>
      <c r="M7394" s="55">
        <v>0</v>
      </c>
      <c r="N7394" s="55"/>
    </row>
    <row r="7395" spans="1:14" hidden="1" x14ac:dyDescent="0.35">
      <c r="A7395" s="52" t="s">
        <v>759</v>
      </c>
      <c r="B7395" s="52" t="s">
        <v>37</v>
      </c>
      <c r="C7395" s="52" t="s">
        <v>248</v>
      </c>
      <c r="D7395" s="52" t="s">
        <v>248</v>
      </c>
      <c r="E7395" s="52" t="s">
        <v>635</v>
      </c>
      <c r="F7395" s="52" t="s">
        <v>581</v>
      </c>
      <c r="G7395" s="55" t="s">
        <v>279</v>
      </c>
      <c r="H7395" s="55">
        <v>0.459397</v>
      </c>
      <c r="I7395" s="55">
        <v>0.61812639999999996</v>
      </c>
      <c r="J7395" s="55">
        <v>0.86788690000000002</v>
      </c>
      <c r="K7395" s="55">
        <v>1.1468339999999999</v>
      </c>
      <c r="L7395" s="55">
        <v>1.0569440000000001</v>
      </c>
      <c r="M7395" s="55">
        <v>1.0326169999999999</v>
      </c>
      <c r="N7395" s="55">
        <v>0.80745549999999999</v>
      </c>
    </row>
    <row r="7396" spans="1:14" hidden="1" x14ac:dyDescent="0.35">
      <c r="A7396" s="52" t="s">
        <v>759</v>
      </c>
      <c r="B7396" s="52" t="s">
        <v>37</v>
      </c>
      <c r="C7396" s="52" t="s">
        <v>248</v>
      </c>
      <c r="D7396" s="52" t="s">
        <v>248</v>
      </c>
      <c r="E7396" s="52" t="s">
        <v>635</v>
      </c>
      <c r="F7396" s="52" t="s">
        <v>26</v>
      </c>
      <c r="G7396" s="55" t="s">
        <v>275</v>
      </c>
      <c r="H7396" s="55">
        <v>-1.712E-3</v>
      </c>
      <c r="I7396" s="55">
        <v>-3.0788E-3</v>
      </c>
      <c r="J7396" s="55">
        <v>-3.0634E-3</v>
      </c>
      <c r="K7396" s="55">
        <v>-3.7311000000000002E-3</v>
      </c>
      <c r="L7396" s="55">
        <v>-2.4394999999999998E-3</v>
      </c>
      <c r="M7396" s="55">
        <v>-2.9593000000000002E-3</v>
      </c>
      <c r="N7396" s="55">
        <v>-1.4617E-3</v>
      </c>
    </row>
    <row r="7397" spans="1:14" hidden="1" x14ac:dyDescent="0.35">
      <c r="A7397" s="52" t="s">
        <v>759</v>
      </c>
      <c r="B7397" s="52" t="s">
        <v>37</v>
      </c>
      <c r="C7397" s="52" t="s">
        <v>248</v>
      </c>
      <c r="D7397" s="52" t="s">
        <v>248</v>
      </c>
      <c r="E7397" s="52" t="s">
        <v>635</v>
      </c>
      <c r="F7397" s="52" t="s">
        <v>26</v>
      </c>
      <c r="G7397" s="55" t="s">
        <v>276</v>
      </c>
      <c r="H7397" s="55">
        <v>-4.55E-4</v>
      </c>
      <c r="I7397" s="55">
        <v>-8.1809989999999996E-4</v>
      </c>
      <c r="J7397" s="55">
        <v>-8.1490000000000002E-4</v>
      </c>
      <c r="K7397" s="55">
        <v>-9.9040010000000004E-4</v>
      </c>
      <c r="L7397" s="55">
        <v>-6.4899990000000002E-4</v>
      </c>
      <c r="M7397" s="55">
        <v>-7.8669989999999995E-4</v>
      </c>
      <c r="N7397" s="55">
        <v>-3.8949999999999998E-4</v>
      </c>
    </row>
    <row r="7398" spans="1:14" hidden="1" x14ac:dyDescent="0.35">
      <c r="A7398" s="52" t="s">
        <v>759</v>
      </c>
      <c r="B7398" s="52" t="s">
        <v>37</v>
      </c>
      <c r="C7398" s="52" t="s">
        <v>248</v>
      </c>
      <c r="D7398" s="52" t="s">
        <v>248</v>
      </c>
      <c r="E7398" s="52" t="s">
        <v>635</v>
      </c>
      <c r="F7398" s="52" t="s">
        <v>26</v>
      </c>
      <c r="G7398" s="55" t="s">
        <v>279</v>
      </c>
      <c r="H7398" s="55">
        <v>6.3579999999999999E-3</v>
      </c>
      <c r="I7398" s="55">
        <v>1.0052699999999999E-2</v>
      </c>
      <c r="J7398" s="55">
        <v>1.34059E-2</v>
      </c>
      <c r="K7398" s="55">
        <v>1.6985E-2</v>
      </c>
      <c r="L7398" s="55">
        <v>1.56823E-2</v>
      </c>
      <c r="M7398" s="55">
        <v>1.39381E-2</v>
      </c>
      <c r="N7398" s="55">
        <v>9.8527000000000007E-3</v>
      </c>
    </row>
    <row r="7399" spans="1:14" hidden="1" x14ac:dyDescent="0.35">
      <c r="A7399" s="52" t="s">
        <v>759</v>
      </c>
      <c r="B7399" s="52" t="s">
        <v>37</v>
      </c>
      <c r="C7399" s="52" t="s">
        <v>46</v>
      </c>
      <c r="D7399" s="52" t="s">
        <v>46</v>
      </c>
      <c r="E7399" s="52" t="s">
        <v>584</v>
      </c>
      <c r="F7399" s="52" t="s">
        <v>581</v>
      </c>
      <c r="G7399" s="55" t="s">
        <v>275</v>
      </c>
      <c r="H7399" s="55">
        <v>0.53782799999999997</v>
      </c>
      <c r="I7399" s="55">
        <v>0.18856390000000001</v>
      </c>
      <c r="J7399" s="55">
        <v>0.18631449999999999</v>
      </c>
      <c r="K7399" s="55">
        <v>0.17993899999999999</v>
      </c>
      <c r="L7399" s="55">
        <v>0.17275579999999999</v>
      </c>
      <c r="M7399" s="55">
        <v>0.1661128</v>
      </c>
      <c r="N7399" s="55">
        <v>0.15944420000000001</v>
      </c>
    </row>
    <row r="7400" spans="1:14" hidden="1" x14ac:dyDescent="0.35">
      <c r="A7400" s="52" t="s">
        <v>759</v>
      </c>
      <c r="B7400" s="52" t="s">
        <v>37</v>
      </c>
      <c r="C7400" s="52" t="s">
        <v>46</v>
      </c>
      <c r="D7400" s="52" t="s">
        <v>46</v>
      </c>
      <c r="E7400" s="52" t="s">
        <v>584</v>
      </c>
      <c r="F7400" s="52" t="s">
        <v>581</v>
      </c>
      <c r="G7400" s="55" t="s">
        <v>276</v>
      </c>
      <c r="H7400" s="55">
        <v>0.14296600000000001</v>
      </c>
      <c r="I7400" s="55">
        <v>5.0124099999999998E-2</v>
      </c>
      <c r="J7400" s="55">
        <v>4.9526399999999998E-2</v>
      </c>
      <c r="K7400" s="55">
        <v>4.78313E-2</v>
      </c>
      <c r="L7400" s="55">
        <v>4.5921799999999999E-2</v>
      </c>
      <c r="M7400" s="55">
        <v>4.4156399999999998E-2</v>
      </c>
      <c r="N7400" s="55">
        <v>4.2383299999999999E-2</v>
      </c>
    </row>
    <row r="7401" spans="1:14" hidden="1" x14ac:dyDescent="0.35">
      <c r="A7401" s="52" t="s">
        <v>759</v>
      </c>
      <c r="B7401" s="52" t="s">
        <v>37</v>
      </c>
      <c r="C7401" s="52" t="s">
        <v>46</v>
      </c>
      <c r="D7401" s="52" t="s">
        <v>46</v>
      </c>
      <c r="E7401" s="52" t="s">
        <v>584</v>
      </c>
      <c r="F7401" s="52" t="s">
        <v>581</v>
      </c>
      <c r="G7401" s="55" t="s">
        <v>277</v>
      </c>
      <c r="H7401" s="55"/>
      <c r="I7401" s="55"/>
      <c r="J7401" s="55"/>
      <c r="K7401" s="55"/>
      <c r="L7401" s="55"/>
      <c r="M7401" s="55"/>
      <c r="N7401" s="55"/>
    </row>
    <row r="7402" spans="1:14" hidden="1" x14ac:dyDescent="0.35">
      <c r="A7402" s="52" t="s">
        <v>759</v>
      </c>
      <c r="B7402" s="52" t="s">
        <v>37</v>
      </c>
      <c r="C7402" s="52" t="s">
        <v>46</v>
      </c>
      <c r="D7402" s="52" t="s">
        <v>46</v>
      </c>
      <c r="E7402" s="52" t="s">
        <v>584</v>
      </c>
      <c r="F7402" s="52" t="s">
        <v>581</v>
      </c>
      <c r="G7402" s="55" t="s">
        <v>279</v>
      </c>
      <c r="H7402" s="55">
        <v>0.27556700000000001</v>
      </c>
      <c r="I7402" s="55">
        <v>0.2028172</v>
      </c>
      <c r="J7402" s="55">
        <v>0.1894787</v>
      </c>
      <c r="K7402" s="55">
        <v>0.18662029999999999</v>
      </c>
      <c r="L7402" s="55">
        <v>0.1818195</v>
      </c>
      <c r="M7402" s="55">
        <v>0.1660403</v>
      </c>
      <c r="N7402" s="55">
        <v>0.15620139999999999</v>
      </c>
    </row>
    <row r="7403" spans="1:14" hidden="1" x14ac:dyDescent="0.35">
      <c r="A7403" s="52" t="s">
        <v>759</v>
      </c>
      <c r="B7403" s="52" t="s">
        <v>37</v>
      </c>
      <c r="C7403" s="52" t="s">
        <v>46</v>
      </c>
      <c r="D7403" s="52" t="s">
        <v>46</v>
      </c>
      <c r="E7403" s="52" t="s">
        <v>584</v>
      </c>
      <c r="F7403" s="52" t="s">
        <v>26</v>
      </c>
      <c r="G7403" s="55" t="s">
        <v>275</v>
      </c>
      <c r="H7403" s="55">
        <v>-4.5549049999999998</v>
      </c>
      <c r="I7403" s="55">
        <v>-3.791201</v>
      </c>
      <c r="J7403" s="55">
        <v>-3.5358869999999998</v>
      </c>
      <c r="K7403" s="55">
        <v>-3.283137</v>
      </c>
      <c r="L7403" s="55">
        <v>-3.3484189999999998</v>
      </c>
      <c r="M7403" s="55">
        <v>-3.171821</v>
      </c>
      <c r="N7403" s="55">
        <v>-3.0039850000000001</v>
      </c>
    </row>
    <row r="7404" spans="1:14" hidden="1" x14ac:dyDescent="0.35">
      <c r="A7404" s="52" t="s">
        <v>759</v>
      </c>
      <c r="B7404" s="52" t="s">
        <v>37</v>
      </c>
      <c r="C7404" s="52" t="s">
        <v>46</v>
      </c>
      <c r="D7404" s="52" t="s">
        <v>46</v>
      </c>
      <c r="E7404" s="52" t="s">
        <v>584</v>
      </c>
      <c r="F7404" s="52" t="s">
        <v>26</v>
      </c>
      <c r="G7404" s="55" t="s">
        <v>276</v>
      </c>
      <c r="H7404" s="55">
        <v>-1.2327509999999999</v>
      </c>
      <c r="I7404" s="55">
        <v>-1.198941</v>
      </c>
      <c r="J7404" s="55">
        <v>-1.158647</v>
      </c>
      <c r="K7404" s="55">
        <v>-1.293423</v>
      </c>
      <c r="L7404" s="55">
        <v>-1.0792820000000001</v>
      </c>
      <c r="M7404" s="55">
        <v>-0.9808211</v>
      </c>
      <c r="N7404" s="55">
        <v>-0.93217030000000001</v>
      </c>
    </row>
    <row r="7405" spans="1:14" hidden="1" x14ac:dyDescent="0.35">
      <c r="A7405" s="52" t="s">
        <v>759</v>
      </c>
      <c r="B7405" s="52" t="s">
        <v>37</v>
      </c>
      <c r="C7405" s="52" t="s">
        <v>46</v>
      </c>
      <c r="D7405" s="52" t="s">
        <v>46</v>
      </c>
      <c r="E7405" s="52" t="s">
        <v>584</v>
      </c>
      <c r="F7405" s="52" t="s">
        <v>26</v>
      </c>
      <c r="G7405" s="55" t="s">
        <v>277</v>
      </c>
      <c r="H7405" s="55">
        <v>5.9054159999999998</v>
      </c>
      <c r="I7405" s="55">
        <v>5.0709400000000002</v>
      </c>
      <c r="J7405" s="55">
        <v>4.8067270000000004</v>
      </c>
      <c r="K7405" s="55">
        <v>4.6583560000000004</v>
      </c>
      <c r="L7405" s="55">
        <v>4.4837300000000004</v>
      </c>
      <c r="M7405" s="55">
        <v>4.2062460000000002</v>
      </c>
      <c r="N7405" s="55">
        <v>3.98752</v>
      </c>
    </row>
    <row r="7406" spans="1:14" hidden="1" x14ac:dyDescent="0.35">
      <c r="A7406" s="52" t="s">
        <v>759</v>
      </c>
      <c r="B7406" s="52" t="s">
        <v>37</v>
      </c>
      <c r="C7406" s="52" t="s">
        <v>46</v>
      </c>
      <c r="D7406" s="52" t="s">
        <v>46</v>
      </c>
      <c r="E7406" s="52" t="s">
        <v>584</v>
      </c>
      <c r="F7406" s="52" t="s">
        <v>26</v>
      </c>
      <c r="G7406" s="55" t="s">
        <v>279</v>
      </c>
      <c r="H7406" s="55">
        <v>0.53278800000000004</v>
      </c>
      <c r="I7406" s="55">
        <v>0.46452789999999999</v>
      </c>
      <c r="J7406" s="55">
        <v>0.45893980000000001</v>
      </c>
      <c r="K7406" s="55">
        <v>0.49101280000000003</v>
      </c>
      <c r="L7406" s="55">
        <v>0.51442670000000001</v>
      </c>
      <c r="M7406" s="55">
        <v>0.50165289999999996</v>
      </c>
      <c r="N7406" s="55">
        <v>0.49118849999999997</v>
      </c>
    </row>
    <row r="7407" spans="1:14" hidden="1" x14ac:dyDescent="0.35">
      <c r="A7407" s="52" t="s">
        <v>759</v>
      </c>
      <c r="B7407" s="52" t="s">
        <v>37</v>
      </c>
      <c r="C7407" s="52" t="s">
        <v>318</v>
      </c>
      <c r="D7407" s="52" t="s">
        <v>318</v>
      </c>
      <c r="E7407" s="52" t="s">
        <v>584</v>
      </c>
      <c r="F7407" s="52" t="s">
        <v>581</v>
      </c>
      <c r="G7407" s="55" t="s">
        <v>275</v>
      </c>
      <c r="H7407" s="55">
        <v>86.669300000000007</v>
      </c>
      <c r="I7407" s="55">
        <v>0</v>
      </c>
      <c r="J7407" s="55"/>
      <c r="K7407" s="55"/>
      <c r="L7407" s="55"/>
      <c r="M7407" s="55"/>
      <c r="N7407" s="55"/>
    </row>
    <row r="7408" spans="1:14" hidden="1" x14ac:dyDescent="0.35">
      <c r="A7408" s="52" t="s">
        <v>759</v>
      </c>
      <c r="B7408" s="52" t="s">
        <v>37</v>
      </c>
      <c r="C7408" s="52" t="s">
        <v>318</v>
      </c>
      <c r="D7408" s="52" t="s">
        <v>318</v>
      </c>
      <c r="E7408" s="52" t="s">
        <v>584</v>
      </c>
      <c r="F7408" s="52" t="s">
        <v>581</v>
      </c>
      <c r="G7408" s="55" t="s">
        <v>276</v>
      </c>
      <c r="H7408" s="55">
        <v>-2.4019409999999999</v>
      </c>
      <c r="I7408" s="55">
        <v>0</v>
      </c>
      <c r="J7408" s="55"/>
      <c r="K7408" s="55"/>
      <c r="L7408" s="55"/>
      <c r="M7408" s="55"/>
      <c r="N7408" s="55"/>
    </row>
    <row r="7409" spans="1:14" hidden="1" x14ac:dyDescent="0.35">
      <c r="A7409" s="52" t="s">
        <v>759</v>
      </c>
      <c r="B7409" s="52" t="s">
        <v>37</v>
      </c>
      <c r="C7409" s="52" t="s">
        <v>318</v>
      </c>
      <c r="D7409" s="52" t="s">
        <v>318</v>
      </c>
      <c r="E7409" s="52" t="s">
        <v>584</v>
      </c>
      <c r="F7409" s="52" t="s">
        <v>581</v>
      </c>
      <c r="G7409" s="55" t="s">
        <v>278</v>
      </c>
      <c r="H7409" s="55">
        <v>-84.267359999999996</v>
      </c>
      <c r="I7409" s="55">
        <v>0</v>
      </c>
      <c r="J7409" s="55"/>
      <c r="K7409" s="55"/>
      <c r="L7409" s="55"/>
      <c r="M7409" s="55"/>
      <c r="N7409" s="55"/>
    </row>
    <row r="7410" spans="1:14" hidden="1" x14ac:dyDescent="0.35">
      <c r="A7410" s="52" t="s">
        <v>759</v>
      </c>
      <c r="B7410" s="52" t="s">
        <v>37</v>
      </c>
      <c r="C7410" s="52" t="s">
        <v>318</v>
      </c>
      <c r="D7410" s="52" t="s">
        <v>318</v>
      </c>
      <c r="E7410" s="52" t="s">
        <v>584</v>
      </c>
      <c r="F7410" s="52" t="s">
        <v>26</v>
      </c>
      <c r="G7410" s="55" t="s">
        <v>275</v>
      </c>
      <c r="H7410" s="55">
        <v>57.779539999999997</v>
      </c>
      <c r="I7410" s="55">
        <v>0</v>
      </c>
      <c r="J7410" s="55"/>
      <c r="K7410" s="55"/>
      <c r="L7410" s="55"/>
      <c r="M7410" s="55"/>
      <c r="N7410" s="55"/>
    </row>
    <row r="7411" spans="1:14" hidden="1" x14ac:dyDescent="0.35">
      <c r="A7411" s="52" t="s">
        <v>759</v>
      </c>
      <c r="B7411" s="52" t="s">
        <v>37</v>
      </c>
      <c r="C7411" s="52" t="s">
        <v>318</v>
      </c>
      <c r="D7411" s="52" t="s">
        <v>318</v>
      </c>
      <c r="E7411" s="52" t="s">
        <v>584</v>
      </c>
      <c r="F7411" s="52" t="s">
        <v>26</v>
      </c>
      <c r="G7411" s="55" t="s">
        <v>276</v>
      </c>
      <c r="H7411" s="55">
        <v>-1.6012949999999999</v>
      </c>
      <c r="I7411" s="55">
        <v>0</v>
      </c>
      <c r="J7411" s="55"/>
      <c r="K7411" s="55"/>
      <c r="L7411" s="55"/>
      <c r="M7411" s="55"/>
      <c r="N7411" s="55"/>
    </row>
    <row r="7412" spans="1:14" hidden="1" x14ac:dyDescent="0.35">
      <c r="A7412" s="52" t="s">
        <v>759</v>
      </c>
      <c r="B7412" s="52" t="s">
        <v>37</v>
      </c>
      <c r="C7412" s="52" t="s">
        <v>318</v>
      </c>
      <c r="D7412" s="52" t="s">
        <v>318</v>
      </c>
      <c r="E7412" s="52" t="s">
        <v>584</v>
      </c>
      <c r="F7412" s="52" t="s">
        <v>26</v>
      </c>
      <c r="G7412" s="55" t="s">
        <v>278</v>
      </c>
      <c r="H7412" s="55">
        <v>-56.178240000000002</v>
      </c>
      <c r="I7412" s="55">
        <v>0</v>
      </c>
      <c r="J7412" s="55"/>
      <c r="K7412" s="55"/>
      <c r="L7412" s="55"/>
      <c r="M7412" s="55"/>
      <c r="N7412" s="55"/>
    </row>
    <row r="7413" spans="1:14" hidden="1" x14ac:dyDescent="0.35">
      <c r="A7413" s="52" t="s">
        <v>759</v>
      </c>
      <c r="B7413" s="52" t="s">
        <v>150</v>
      </c>
      <c r="C7413" s="52" t="s">
        <v>148</v>
      </c>
      <c r="D7413" s="52" t="s">
        <v>149</v>
      </c>
      <c r="E7413" s="52" t="s">
        <v>584</v>
      </c>
      <c r="F7413" s="52" t="s">
        <v>581</v>
      </c>
      <c r="G7413" s="55" t="s">
        <v>275</v>
      </c>
      <c r="H7413" s="55">
        <v>-134.7792</v>
      </c>
      <c r="I7413" s="55">
        <v>-18.927969999999998</v>
      </c>
      <c r="J7413" s="55">
        <v>-10.62063</v>
      </c>
      <c r="K7413" s="55">
        <v>-42.06626</v>
      </c>
      <c r="L7413" s="55">
        <v>-184.01310000000001</v>
      </c>
      <c r="M7413" s="55">
        <v>-212.53880000000001</v>
      </c>
      <c r="N7413" s="55">
        <v>-54.910170000000001</v>
      </c>
    </row>
    <row r="7414" spans="1:14" hidden="1" x14ac:dyDescent="0.35">
      <c r="A7414" s="52" t="s">
        <v>759</v>
      </c>
      <c r="B7414" s="52" t="s">
        <v>150</v>
      </c>
      <c r="C7414" s="52" t="s">
        <v>148</v>
      </c>
      <c r="D7414" s="52" t="s">
        <v>149</v>
      </c>
      <c r="E7414" s="52" t="s">
        <v>584</v>
      </c>
      <c r="F7414" s="52" t="s">
        <v>581</v>
      </c>
      <c r="G7414" s="55" t="s">
        <v>276</v>
      </c>
      <c r="H7414" s="55"/>
      <c r="I7414" s="55"/>
      <c r="J7414" s="55">
        <v>-0.1178381</v>
      </c>
      <c r="K7414" s="55">
        <v>-8.5473199999999999E-2</v>
      </c>
      <c r="L7414" s="55">
        <v>-7.0537770000000002</v>
      </c>
      <c r="M7414" s="55">
        <v>-0.1029732</v>
      </c>
      <c r="N7414" s="55">
        <v>4.7178750000000003</v>
      </c>
    </row>
    <row r="7415" spans="1:14" hidden="1" x14ac:dyDescent="0.35">
      <c r="A7415" s="52" t="s">
        <v>759</v>
      </c>
      <c r="B7415" s="52" t="s">
        <v>150</v>
      </c>
      <c r="C7415" s="52" t="s">
        <v>148</v>
      </c>
      <c r="D7415" s="52" t="s">
        <v>149</v>
      </c>
      <c r="E7415" s="52" t="s">
        <v>584</v>
      </c>
      <c r="F7415" s="52" t="s">
        <v>581</v>
      </c>
      <c r="G7415" s="55" t="s">
        <v>277</v>
      </c>
      <c r="H7415" s="55">
        <v>14.308</v>
      </c>
      <c r="I7415" s="55">
        <v>0.125</v>
      </c>
      <c r="J7415" s="55">
        <v>10.5</v>
      </c>
      <c r="K7415" s="55">
        <v>41.978760000000001</v>
      </c>
      <c r="L7415" s="55">
        <v>184.01310000000001</v>
      </c>
      <c r="M7415" s="55">
        <v>212.55629999999999</v>
      </c>
      <c r="N7415" s="55">
        <v>127.497</v>
      </c>
    </row>
    <row r="7416" spans="1:14" hidden="1" x14ac:dyDescent="0.35">
      <c r="A7416" s="52" t="s">
        <v>759</v>
      </c>
      <c r="B7416" s="52" t="s">
        <v>150</v>
      </c>
      <c r="C7416" s="52" t="s">
        <v>148</v>
      </c>
      <c r="D7416" s="52" t="s">
        <v>149</v>
      </c>
      <c r="E7416" s="52" t="s">
        <v>584</v>
      </c>
      <c r="F7416" s="52" t="s">
        <v>581</v>
      </c>
      <c r="G7416" s="55" t="s">
        <v>278</v>
      </c>
      <c r="H7416" s="55">
        <v>120.47110000000001</v>
      </c>
      <c r="I7416" s="55">
        <v>18.802969999999998</v>
      </c>
      <c r="J7416" s="55">
        <v>0.2384705</v>
      </c>
      <c r="K7416" s="55">
        <v>0.17297319999999999</v>
      </c>
      <c r="L7416" s="55">
        <v>7.0537770000000002</v>
      </c>
      <c r="M7416" s="55">
        <v>8.5473199999999999E-2</v>
      </c>
      <c r="N7416" s="55">
        <v>8.5473199999999999E-2</v>
      </c>
    </row>
    <row r="7417" spans="1:14" hidden="1" x14ac:dyDescent="0.35">
      <c r="A7417" s="52" t="s">
        <v>759</v>
      </c>
      <c r="B7417" s="52" t="s">
        <v>150</v>
      </c>
      <c r="C7417" s="52" t="s">
        <v>148</v>
      </c>
      <c r="D7417" s="52" t="s">
        <v>149</v>
      </c>
      <c r="E7417" s="52" t="s">
        <v>584</v>
      </c>
      <c r="F7417" s="52" t="s">
        <v>581</v>
      </c>
      <c r="G7417" s="55" t="s">
        <v>279</v>
      </c>
      <c r="H7417" s="55"/>
      <c r="I7417" s="55"/>
      <c r="J7417" s="55"/>
      <c r="K7417" s="55"/>
      <c r="L7417" s="55"/>
      <c r="M7417" s="55">
        <v>0</v>
      </c>
      <c r="N7417" s="55">
        <v>54.901209999999999</v>
      </c>
    </row>
    <row r="7418" spans="1:14" hidden="1" x14ac:dyDescent="0.35">
      <c r="A7418" s="52" t="s">
        <v>759</v>
      </c>
      <c r="B7418" s="52" t="s">
        <v>150</v>
      </c>
      <c r="C7418" s="52" t="s">
        <v>148</v>
      </c>
      <c r="D7418" s="52" t="s">
        <v>149</v>
      </c>
      <c r="E7418" s="52" t="s">
        <v>584</v>
      </c>
      <c r="F7418" s="52" t="s">
        <v>26</v>
      </c>
      <c r="G7418" s="55" t="s">
        <v>275</v>
      </c>
      <c r="H7418" s="55"/>
      <c r="I7418" s="55"/>
      <c r="J7418" s="55">
        <v>0</v>
      </c>
      <c r="K7418" s="55">
        <v>-0.64274410000000004</v>
      </c>
      <c r="L7418" s="55">
        <v>-2.8174570000000001</v>
      </c>
      <c r="M7418" s="55">
        <v>-2.4221409999999999</v>
      </c>
      <c r="N7418" s="55">
        <v>-0.49572830000000001</v>
      </c>
    </row>
    <row r="7419" spans="1:14" hidden="1" x14ac:dyDescent="0.35">
      <c r="A7419" s="52" t="s">
        <v>759</v>
      </c>
      <c r="B7419" s="52" t="s">
        <v>150</v>
      </c>
      <c r="C7419" s="52" t="s">
        <v>148</v>
      </c>
      <c r="D7419" s="52" t="s">
        <v>149</v>
      </c>
      <c r="E7419" s="52" t="s">
        <v>584</v>
      </c>
      <c r="F7419" s="52" t="s">
        <v>26</v>
      </c>
      <c r="G7419" s="55" t="s">
        <v>276</v>
      </c>
      <c r="H7419" s="55"/>
      <c r="I7419" s="55"/>
      <c r="J7419" s="55"/>
      <c r="K7419" s="55"/>
      <c r="L7419" s="55"/>
      <c r="M7419" s="55">
        <v>0</v>
      </c>
      <c r="N7419" s="55">
        <v>1.0239819999999999</v>
      </c>
    </row>
    <row r="7420" spans="1:14" hidden="1" x14ac:dyDescent="0.35">
      <c r="A7420" s="52" t="s">
        <v>759</v>
      </c>
      <c r="B7420" s="52" t="s">
        <v>150</v>
      </c>
      <c r="C7420" s="52" t="s">
        <v>148</v>
      </c>
      <c r="D7420" s="52" t="s">
        <v>149</v>
      </c>
      <c r="E7420" s="52" t="s">
        <v>584</v>
      </c>
      <c r="F7420" s="52" t="s">
        <v>26</v>
      </c>
      <c r="G7420" s="55" t="s">
        <v>277</v>
      </c>
      <c r="H7420" s="55"/>
      <c r="I7420" s="55"/>
      <c r="J7420" s="55">
        <v>0</v>
      </c>
      <c r="K7420" s="55">
        <v>0.64274410000000004</v>
      </c>
      <c r="L7420" s="55">
        <v>2.8174570000000001</v>
      </c>
      <c r="M7420" s="55">
        <v>2.4221409999999999</v>
      </c>
      <c r="N7420" s="55">
        <v>1.03806</v>
      </c>
    </row>
    <row r="7421" spans="1:14" hidden="1" x14ac:dyDescent="0.35">
      <c r="A7421" s="52" t="s">
        <v>759</v>
      </c>
      <c r="B7421" s="52" t="s">
        <v>150</v>
      </c>
      <c r="C7421" s="52" t="s">
        <v>148</v>
      </c>
      <c r="D7421" s="52" t="s">
        <v>149</v>
      </c>
      <c r="E7421" s="52" t="s">
        <v>584</v>
      </c>
      <c r="F7421" s="52" t="s">
        <v>26</v>
      </c>
      <c r="G7421" s="55" t="s">
        <v>279</v>
      </c>
      <c r="H7421" s="55"/>
      <c r="I7421" s="55"/>
      <c r="J7421" s="55"/>
      <c r="K7421" s="55"/>
      <c r="L7421" s="55"/>
      <c r="M7421" s="55">
        <v>0</v>
      </c>
      <c r="N7421" s="55">
        <v>1.846962</v>
      </c>
    </row>
    <row r="7422" spans="1:14" hidden="1" x14ac:dyDescent="0.35">
      <c r="A7422" s="52" t="s">
        <v>759</v>
      </c>
      <c r="B7422" s="52" t="s">
        <v>150</v>
      </c>
      <c r="C7422" s="52" t="s">
        <v>318</v>
      </c>
      <c r="D7422" s="52" t="s">
        <v>318</v>
      </c>
      <c r="E7422" s="52" t="s">
        <v>584</v>
      </c>
      <c r="F7422" s="52" t="s">
        <v>581</v>
      </c>
      <c r="G7422" s="55" t="s">
        <v>275</v>
      </c>
      <c r="H7422" s="55">
        <v>33.026789999999998</v>
      </c>
      <c r="I7422" s="55">
        <v>0</v>
      </c>
      <c r="J7422" s="55"/>
      <c r="K7422" s="55"/>
      <c r="L7422" s="55"/>
      <c r="M7422" s="55"/>
      <c r="N7422" s="55"/>
    </row>
    <row r="7423" spans="1:14" hidden="1" x14ac:dyDescent="0.35">
      <c r="A7423" s="52" t="s">
        <v>759</v>
      </c>
      <c r="B7423" s="52" t="s">
        <v>150</v>
      </c>
      <c r="C7423" s="52" t="s">
        <v>318</v>
      </c>
      <c r="D7423" s="52" t="s">
        <v>318</v>
      </c>
      <c r="E7423" s="52" t="s">
        <v>584</v>
      </c>
      <c r="F7423" s="52" t="s">
        <v>581</v>
      </c>
      <c r="G7423" s="55" t="s">
        <v>278</v>
      </c>
      <c r="H7423" s="55">
        <v>-33.026789999999998</v>
      </c>
      <c r="I7423" s="55">
        <v>0</v>
      </c>
      <c r="J7423" s="55"/>
      <c r="K7423" s="55"/>
      <c r="L7423" s="55"/>
      <c r="M7423" s="55"/>
      <c r="N7423" s="55"/>
    </row>
    <row r="7424" spans="1:14" hidden="1" x14ac:dyDescent="0.35">
      <c r="A7424" s="52" t="s">
        <v>759</v>
      </c>
      <c r="B7424" s="52" t="s">
        <v>150</v>
      </c>
      <c r="C7424" s="52" t="s">
        <v>318</v>
      </c>
      <c r="D7424" s="52" t="s">
        <v>318</v>
      </c>
      <c r="E7424" s="52" t="s">
        <v>584</v>
      </c>
      <c r="F7424" s="52" t="s">
        <v>26</v>
      </c>
      <c r="G7424" s="55" t="s">
        <v>275</v>
      </c>
      <c r="H7424" s="55">
        <v>22.017859999999999</v>
      </c>
      <c r="I7424" s="55">
        <v>0</v>
      </c>
      <c r="J7424" s="55"/>
      <c r="K7424" s="55"/>
      <c r="L7424" s="55"/>
      <c r="M7424" s="55"/>
      <c r="N7424" s="55"/>
    </row>
    <row r="7425" spans="1:14" hidden="1" x14ac:dyDescent="0.35">
      <c r="A7425" s="52" t="s">
        <v>759</v>
      </c>
      <c r="B7425" s="52" t="s">
        <v>150</v>
      </c>
      <c r="C7425" s="52" t="s">
        <v>318</v>
      </c>
      <c r="D7425" s="52" t="s">
        <v>318</v>
      </c>
      <c r="E7425" s="52" t="s">
        <v>584</v>
      </c>
      <c r="F7425" s="52" t="s">
        <v>26</v>
      </c>
      <c r="G7425" s="55" t="s">
        <v>278</v>
      </c>
      <c r="H7425" s="55">
        <v>-22.017859999999999</v>
      </c>
      <c r="I7425" s="55">
        <v>0</v>
      </c>
      <c r="J7425" s="55"/>
      <c r="K7425" s="55"/>
      <c r="L7425" s="55"/>
      <c r="M7425" s="55"/>
      <c r="N7425" s="55"/>
    </row>
    <row r="7426" spans="1:14" hidden="1" x14ac:dyDescent="0.35">
      <c r="A7426" s="52" t="s">
        <v>741</v>
      </c>
      <c r="B7426" s="52" t="s">
        <v>34</v>
      </c>
      <c r="C7426" s="52" t="s">
        <v>33</v>
      </c>
      <c r="D7426" s="52" t="s">
        <v>33</v>
      </c>
      <c r="E7426" s="52" t="s">
        <v>604</v>
      </c>
      <c r="F7426" s="52" t="s">
        <v>581</v>
      </c>
      <c r="G7426" s="55" t="s">
        <v>275</v>
      </c>
      <c r="H7426" s="55">
        <v>33.704610000000002</v>
      </c>
      <c r="I7426" s="55">
        <v>47.77299</v>
      </c>
      <c r="J7426" s="55">
        <v>36.304380000000002</v>
      </c>
      <c r="K7426" s="55">
        <v>82.430369999999996</v>
      </c>
      <c r="L7426" s="55">
        <v>79.422640000000001</v>
      </c>
      <c r="M7426" s="55">
        <v>72.112070000000003</v>
      </c>
      <c r="N7426" s="55">
        <v>57.444450000000003</v>
      </c>
    </row>
    <row r="7427" spans="1:14" hidden="1" x14ac:dyDescent="0.35">
      <c r="A7427" s="52" t="s">
        <v>741</v>
      </c>
      <c r="B7427" s="52" t="s">
        <v>34</v>
      </c>
      <c r="C7427" s="52" t="s">
        <v>33</v>
      </c>
      <c r="D7427" s="52" t="s">
        <v>33</v>
      </c>
      <c r="E7427" s="52" t="s">
        <v>604</v>
      </c>
      <c r="F7427" s="52" t="s">
        <v>581</v>
      </c>
      <c r="G7427" s="55" t="s">
        <v>276</v>
      </c>
      <c r="H7427" s="55">
        <v>16.928180000000001</v>
      </c>
      <c r="I7427" s="55">
        <v>-28.797550000000001</v>
      </c>
      <c r="J7427" s="55">
        <v>-13.19022</v>
      </c>
      <c r="K7427" s="55">
        <v>0.14423559999999999</v>
      </c>
      <c r="L7427" s="55">
        <v>10.80213</v>
      </c>
      <c r="M7427" s="55">
        <v>10.501329999999999</v>
      </c>
      <c r="N7427" s="55">
        <v>13.71181</v>
      </c>
    </row>
    <row r="7428" spans="1:14" hidden="1" x14ac:dyDescent="0.35">
      <c r="A7428" s="52" t="s">
        <v>741</v>
      </c>
      <c r="B7428" s="52" t="s">
        <v>34</v>
      </c>
      <c r="C7428" s="52" t="s">
        <v>33</v>
      </c>
      <c r="D7428" s="52" t="s">
        <v>33</v>
      </c>
      <c r="E7428" s="52" t="s">
        <v>604</v>
      </c>
      <c r="F7428" s="52" t="s">
        <v>581</v>
      </c>
      <c r="G7428" s="55" t="s">
        <v>277</v>
      </c>
      <c r="H7428" s="55">
        <v>178.68360000000001</v>
      </c>
      <c r="I7428" s="55">
        <v>46.761740000000003</v>
      </c>
      <c r="J7428" s="55">
        <v>38.013289999999998</v>
      </c>
      <c r="K7428" s="55">
        <v>3.8945660000000002</v>
      </c>
      <c r="L7428" s="55">
        <v>3.2192020000000001</v>
      </c>
      <c r="M7428" s="55">
        <v>0.52531620000000001</v>
      </c>
      <c r="N7428" s="55">
        <v>1.133418</v>
      </c>
    </row>
    <row r="7429" spans="1:14" hidden="1" x14ac:dyDescent="0.35">
      <c r="A7429" s="52" t="s">
        <v>741</v>
      </c>
      <c r="B7429" s="52" t="s">
        <v>34</v>
      </c>
      <c r="C7429" s="52" t="s">
        <v>33</v>
      </c>
      <c r="D7429" s="52" t="s">
        <v>33</v>
      </c>
      <c r="E7429" s="52" t="s">
        <v>604</v>
      </c>
      <c r="F7429" s="52" t="s">
        <v>581</v>
      </c>
      <c r="G7429" s="55" t="s">
        <v>278</v>
      </c>
      <c r="H7429" s="55">
        <v>73.373379999999997</v>
      </c>
      <c r="I7429" s="55">
        <v>38.67051</v>
      </c>
      <c r="J7429" s="55">
        <v>63.369700000000002</v>
      </c>
      <c r="K7429" s="55">
        <v>32.788899999999998</v>
      </c>
      <c r="L7429" s="55">
        <v>13.220689999999999</v>
      </c>
      <c r="M7429" s="55">
        <v>1.3524719999999999</v>
      </c>
      <c r="N7429" s="55">
        <v>1.4854989999999999</v>
      </c>
    </row>
    <row r="7430" spans="1:14" hidden="1" x14ac:dyDescent="0.35">
      <c r="A7430" s="52" t="s">
        <v>741</v>
      </c>
      <c r="B7430" s="52" t="s">
        <v>34</v>
      </c>
      <c r="C7430" s="52" t="s">
        <v>33</v>
      </c>
      <c r="D7430" s="52" t="s">
        <v>33</v>
      </c>
      <c r="E7430" s="52" t="s">
        <v>604</v>
      </c>
      <c r="F7430" s="52" t="s">
        <v>581</v>
      </c>
      <c r="G7430" s="55" t="s">
        <v>279</v>
      </c>
      <c r="H7430" s="55">
        <v>98.763469999999998</v>
      </c>
      <c r="I7430" s="55">
        <v>102.32769999999999</v>
      </c>
      <c r="J7430" s="55">
        <v>113.9611</v>
      </c>
      <c r="K7430" s="55">
        <v>106.6712</v>
      </c>
      <c r="L7430" s="55">
        <v>80.027760000000001</v>
      </c>
      <c r="M7430" s="55">
        <v>71.058000000000007</v>
      </c>
      <c r="N7430" s="55">
        <v>62.094700000000003</v>
      </c>
    </row>
    <row r="7431" spans="1:14" hidden="1" x14ac:dyDescent="0.35">
      <c r="A7431" s="52" t="s">
        <v>741</v>
      </c>
      <c r="B7431" s="52" t="s">
        <v>34</v>
      </c>
      <c r="C7431" s="52" t="s">
        <v>33</v>
      </c>
      <c r="D7431" s="52" t="s">
        <v>33</v>
      </c>
      <c r="E7431" s="52" t="s">
        <v>604</v>
      </c>
      <c r="F7431" s="52" t="s">
        <v>26</v>
      </c>
      <c r="G7431" s="55" t="s">
        <v>275</v>
      </c>
      <c r="H7431" s="55">
        <v>-20.684249999999999</v>
      </c>
      <c r="I7431" s="55">
        <v>-26.419979999999999</v>
      </c>
      <c r="J7431" s="55">
        <v>-36.933729999999997</v>
      </c>
      <c r="K7431" s="55">
        <v>-36.923850000000002</v>
      </c>
      <c r="L7431" s="55">
        <v>-26.439910000000001</v>
      </c>
      <c r="M7431" s="55">
        <v>-24.423020000000001</v>
      </c>
      <c r="N7431" s="55">
        <v>-21.93582</v>
      </c>
    </row>
    <row r="7432" spans="1:14" hidden="1" x14ac:dyDescent="0.35">
      <c r="A7432" s="52" t="s">
        <v>741</v>
      </c>
      <c r="B7432" s="52" t="s">
        <v>34</v>
      </c>
      <c r="C7432" s="52" t="s">
        <v>33</v>
      </c>
      <c r="D7432" s="52" t="s">
        <v>33</v>
      </c>
      <c r="E7432" s="52" t="s">
        <v>604</v>
      </c>
      <c r="F7432" s="52" t="s">
        <v>26</v>
      </c>
      <c r="G7432" s="55" t="s">
        <v>276</v>
      </c>
      <c r="H7432" s="55">
        <v>-7.4409349999999996</v>
      </c>
      <c r="I7432" s="55">
        <v>-8.8066600000000008</v>
      </c>
      <c r="J7432" s="55">
        <v>-11.68398</v>
      </c>
      <c r="K7432" s="55">
        <v>-11.07062</v>
      </c>
      <c r="L7432" s="55">
        <v>-7.93391</v>
      </c>
      <c r="M7432" s="55">
        <v>-7.3273789999999996</v>
      </c>
      <c r="N7432" s="55">
        <v>-6.5823869999999998</v>
      </c>
    </row>
    <row r="7433" spans="1:14" hidden="1" x14ac:dyDescent="0.35">
      <c r="A7433" s="52" t="s">
        <v>741</v>
      </c>
      <c r="B7433" s="52" t="s">
        <v>34</v>
      </c>
      <c r="C7433" s="52" t="s">
        <v>33</v>
      </c>
      <c r="D7433" s="52" t="s">
        <v>33</v>
      </c>
      <c r="E7433" s="52" t="s">
        <v>604</v>
      </c>
      <c r="F7433" s="52" t="s">
        <v>26</v>
      </c>
      <c r="G7433" s="55" t="s">
        <v>279</v>
      </c>
      <c r="H7433" s="55">
        <v>93.602930000000001</v>
      </c>
      <c r="I7433" s="55">
        <v>106.5214</v>
      </c>
      <c r="J7433" s="55">
        <v>121.7779</v>
      </c>
      <c r="K7433" s="55">
        <v>115.1071</v>
      </c>
      <c r="L7433" s="55">
        <v>87.863699999999994</v>
      </c>
      <c r="M7433" s="55">
        <v>74.741879999999995</v>
      </c>
      <c r="N7433" s="55">
        <v>64.661320000000003</v>
      </c>
    </row>
    <row r="7434" spans="1:14" hidden="1" x14ac:dyDescent="0.35">
      <c r="A7434" s="52" t="s">
        <v>741</v>
      </c>
      <c r="B7434" s="52" t="s">
        <v>34</v>
      </c>
      <c r="C7434" s="52" t="s">
        <v>33</v>
      </c>
      <c r="D7434" s="52" t="s">
        <v>33</v>
      </c>
      <c r="E7434" s="52" t="s">
        <v>584</v>
      </c>
      <c r="F7434" s="52" t="s">
        <v>581</v>
      </c>
      <c r="G7434" s="55" t="s">
        <v>275</v>
      </c>
      <c r="H7434" s="55">
        <v>22.00048</v>
      </c>
      <c r="I7434" s="55">
        <v>-120.7443</v>
      </c>
      <c r="J7434" s="55">
        <v>-4.3569339999999999</v>
      </c>
      <c r="K7434" s="55">
        <v>1.355288</v>
      </c>
      <c r="L7434" s="55">
        <v>0.80682030000000005</v>
      </c>
      <c r="M7434" s="55">
        <v>-17.14255</v>
      </c>
      <c r="N7434" s="55">
        <v>-1.4742569999999999</v>
      </c>
    </row>
    <row r="7435" spans="1:14" hidden="1" x14ac:dyDescent="0.35">
      <c r="A7435" s="52" t="s">
        <v>741</v>
      </c>
      <c r="B7435" s="52" t="s">
        <v>34</v>
      </c>
      <c r="C7435" s="52" t="s">
        <v>33</v>
      </c>
      <c r="D7435" s="52" t="s">
        <v>33</v>
      </c>
      <c r="E7435" s="52" t="s">
        <v>584</v>
      </c>
      <c r="F7435" s="52" t="s">
        <v>581</v>
      </c>
      <c r="G7435" s="55" t="s">
        <v>276</v>
      </c>
      <c r="H7435" s="55">
        <v>-6.9904469999999996</v>
      </c>
      <c r="I7435" s="55">
        <v>-44.965440000000001</v>
      </c>
      <c r="J7435" s="55">
        <v>-1.9521790000000001</v>
      </c>
      <c r="K7435" s="55">
        <v>-0.54138189999999997</v>
      </c>
      <c r="L7435" s="55">
        <v>-0.19483400000000001</v>
      </c>
      <c r="M7435" s="55">
        <v>-5.5096470000000002</v>
      </c>
      <c r="N7435" s="55">
        <v>-0.82185359999999996</v>
      </c>
    </row>
    <row r="7436" spans="1:14" hidden="1" x14ac:dyDescent="0.35">
      <c r="A7436" s="52" t="s">
        <v>741</v>
      </c>
      <c r="B7436" s="52" t="s">
        <v>34</v>
      </c>
      <c r="C7436" s="52" t="s">
        <v>33</v>
      </c>
      <c r="D7436" s="52" t="s">
        <v>33</v>
      </c>
      <c r="E7436" s="52" t="s">
        <v>584</v>
      </c>
      <c r="F7436" s="52" t="s">
        <v>581</v>
      </c>
      <c r="G7436" s="55" t="s">
        <v>277</v>
      </c>
      <c r="H7436" s="55">
        <v>0.32200000000000001</v>
      </c>
      <c r="I7436" s="55">
        <v>1.3990600000000001E-2</v>
      </c>
      <c r="J7436" s="55">
        <v>5.1281E-3</v>
      </c>
      <c r="K7436" s="55">
        <v>4.2969999999999996E-3</v>
      </c>
      <c r="L7436" s="55">
        <v>3.7092000000000002E-3</v>
      </c>
      <c r="M7436" s="55">
        <v>3.2807999999999999E-3</v>
      </c>
      <c r="N7436" s="55">
        <v>2.9677000000000002E-3</v>
      </c>
    </row>
    <row r="7437" spans="1:14" hidden="1" x14ac:dyDescent="0.35">
      <c r="A7437" s="52" t="s">
        <v>741</v>
      </c>
      <c r="B7437" s="52" t="s">
        <v>34</v>
      </c>
      <c r="C7437" s="52" t="s">
        <v>33</v>
      </c>
      <c r="D7437" s="52" t="s">
        <v>33</v>
      </c>
      <c r="E7437" s="52" t="s">
        <v>584</v>
      </c>
      <c r="F7437" s="52" t="s">
        <v>581</v>
      </c>
      <c r="G7437" s="55" t="s">
        <v>278</v>
      </c>
      <c r="H7437" s="55">
        <v>1.0862259999999999</v>
      </c>
      <c r="I7437" s="55">
        <v>1.447973</v>
      </c>
      <c r="J7437" s="55">
        <v>0.69209399999999999</v>
      </c>
      <c r="K7437" s="55">
        <v>1.05217</v>
      </c>
      <c r="L7437" s="55">
        <v>0.67773510000000003</v>
      </c>
      <c r="M7437" s="55">
        <v>0.51479759999999997</v>
      </c>
      <c r="N7437" s="55">
        <v>0.51479759999999997</v>
      </c>
    </row>
    <row r="7438" spans="1:14" hidden="1" x14ac:dyDescent="0.35">
      <c r="A7438" s="52" t="s">
        <v>741</v>
      </c>
      <c r="B7438" s="52" t="s">
        <v>34</v>
      </c>
      <c r="C7438" s="52" t="s">
        <v>33</v>
      </c>
      <c r="D7438" s="52" t="s">
        <v>33</v>
      </c>
      <c r="E7438" s="52" t="s">
        <v>584</v>
      </c>
      <c r="F7438" s="52" t="s">
        <v>581</v>
      </c>
      <c r="G7438" s="55" t="s">
        <v>279</v>
      </c>
      <c r="H7438" s="55">
        <v>11.06696</v>
      </c>
      <c r="I7438" s="55">
        <v>176.12430000000001</v>
      </c>
      <c r="J7438" s="55">
        <v>15.610150000000001</v>
      </c>
      <c r="K7438" s="55">
        <v>7.0014960000000004</v>
      </c>
      <c r="L7438" s="55">
        <v>6.557868</v>
      </c>
      <c r="M7438" s="55">
        <v>28.56963</v>
      </c>
      <c r="N7438" s="55">
        <v>6.8413060000000003</v>
      </c>
    </row>
    <row r="7439" spans="1:14" hidden="1" x14ac:dyDescent="0.35">
      <c r="A7439" s="52" t="s">
        <v>741</v>
      </c>
      <c r="B7439" s="52" t="s">
        <v>34</v>
      </c>
      <c r="C7439" s="52" t="s">
        <v>33</v>
      </c>
      <c r="D7439" s="52" t="s">
        <v>33</v>
      </c>
      <c r="E7439" s="52" t="s">
        <v>584</v>
      </c>
      <c r="F7439" s="52" t="s">
        <v>26</v>
      </c>
      <c r="G7439" s="55" t="s">
        <v>275</v>
      </c>
      <c r="H7439" s="55">
        <v>-5.9719559999999996</v>
      </c>
      <c r="I7439" s="55">
        <v>-170.0172</v>
      </c>
      <c r="J7439" s="55">
        <v>-30.370139999999999</v>
      </c>
      <c r="K7439" s="55">
        <v>-18.465800000000002</v>
      </c>
      <c r="L7439" s="55">
        <v>-19.96283</v>
      </c>
      <c r="M7439" s="55">
        <v>-127.03830000000001</v>
      </c>
      <c r="N7439" s="55">
        <v>-38.272010000000002</v>
      </c>
    </row>
    <row r="7440" spans="1:14" hidden="1" x14ac:dyDescent="0.35">
      <c r="A7440" s="52" t="s">
        <v>741</v>
      </c>
      <c r="B7440" s="52" t="s">
        <v>34</v>
      </c>
      <c r="C7440" s="52" t="s">
        <v>33</v>
      </c>
      <c r="D7440" s="52" t="s">
        <v>33</v>
      </c>
      <c r="E7440" s="52" t="s">
        <v>584</v>
      </c>
      <c r="F7440" s="52" t="s">
        <v>26</v>
      </c>
      <c r="G7440" s="55" t="s">
        <v>276</v>
      </c>
      <c r="H7440" s="55">
        <v>-30.844719999999999</v>
      </c>
      <c r="I7440" s="55">
        <v>-75.557789999999997</v>
      </c>
      <c r="J7440" s="55">
        <v>-12.25628</v>
      </c>
      <c r="K7440" s="55">
        <v>-6.9272929999999997</v>
      </c>
      <c r="L7440" s="55">
        <v>-6.7696100000000001</v>
      </c>
      <c r="M7440" s="55">
        <v>-38.524149999999999</v>
      </c>
      <c r="N7440" s="55">
        <v>-11.695169999999999</v>
      </c>
    </row>
    <row r="7441" spans="1:14" hidden="1" x14ac:dyDescent="0.35">
      <c r="A7441" s="52" t="s">
        <v>741</v>
      </c>
      <c r="B7441" s="52" t="s">
        <v>34</v>
      </c>
      <c r="C7441" s="52" t="s">
        <v>33</v>
      </c>
      <c r="D7441" s="52" t="s">
        <v>33</v>
      </c>
      <c r="E7441" s="52" t="s">
        <v>584</v>
      </c>
      <c r="F7441" s="52" t="s">
        <v>26</v>
      </c>
      <c r="G7441" s="55" t="s">
        <v>277</v>
      </c>
      <c r="H7441" s="55">
        <v>14.439</v>
      </c>
      <c r="I7441" s="55">
        <v>8.2427810000000008</v>
      </c>
      <c r="J7441" s="55">
        <v>4.7637780000000003</v>
      </c>
      <c r="K7441" s="55">
        <v>2.8477600000000001</v>
      </c>
      <c r="L7441" s="55">
        <v>1.683899</v>
      </c>
      <c r="M7441" s="55">
        <v>0.52004010000000001</v>
      </c>
      <c r="N7441" s="55">
        <v>0.50872399999999995</v>
      </c>
    </row>
    <row r="7442" spans="1:14" hidden="1" x14ac:dyDescent="0.35">
      <c r="A7442" s="52" t="s">
        <v>741</v>
      </c>
      <c r="B7442" s="52" t="s">
        <v>34</v>
      </c>
      <c r="C7442" s="52" t="s">
        <v>33</v>
      </c>
      <c r="D7442" s="52" t="s">
        <v>33</v>
      </c>
      <c r="E7442" s="52" t="s">
        <v>584</v>
      </c>
      <c r="F7442" s="52" t="s">
        <v>26</v>
      </c>
      <c r="G7442" s="55" t="s">
        <v>279</v>
      </c>
      <c r="H7442" s="55">
        <v>177.595</v>
      </c>
      <c r="I7442" s="55">
        <v>277.36079999999998</v>
      </c>
      <c r="J7442" s="55">
        <v>71.454009999999997</v>
      </c>
      <c r="K7442" s="55">
        <v>52.011220000000002</v>
      </c>
      <c r="L7442" s="55">
        <v>50.603859999999997</v>
      </c>
      <c r="M7442" s="55">
        <v>179.03219999999999</v>
      </c>
      <c r="N7442" s="55">
        <v>56.037579999999998</v>
      </c>
    </row>
    <row r="7443" spans="1:14" hidden="1" x14ac:dyDescent="0.35">
      <c r="A7443" s="52" t="s">
        <v>741</v>
      </c>
      <c r="B7443" s="52" t="s">
        <v>34</v>
      </c>
      <c r="C7443" s="52" t="s">
        <v>33</v>
      </c>
      <c r="D7443" s="52" t="s">
        <v>33</v>
      </c>
      <c r="E7443" s="52" t="s">
        <v>636</v>
      </c>
      <c r="F7443" s="52" t="s">
        <v>581</v>
      </c>
      <c r="G7443" s="55" t="s">
        <v>275</v>
      </c>
      <c r="H7443" s="55">
        <v>14.805350000000001</v>
      </c>
      <c r="I7443" s="55">
        <v>9.8530339999999992</v>
      </c>
      <c r="J7443" s="55">
        <v>5.7257049999999996</v>
      </c>
      <c r="K7443" s="55">
        <v>4.3692060000000001</v>
      </c>
      <c r="L7443" s="55">
        <v>1.199317</v>
      </c>
      <c r="M7443" s="55">
        <v>4.6233719999999998</v>
      </c>
      <c r="N7443" s="55">
        <v>-0.34285500000000002</v>
      </c>
    </row>
    <row r="7444" spans="1:14" hidden="1" x14ac:dyDescent="0.35">
      <c r="A7444" s="52" t="s">
        <v>741</v>
      </c>
      <c r="B7444" s="52" t="s">
        <v>34</v>
      </c>
      <c r="C7444" s="52" t="s">
        <v>33</v>
      </c>
      <c r="D7444" s="52" t="s">
        <v>33</v>
      </c>
      <c r="E7444" s="52" t="s">
        <v>636</v>
      </c>
      <c r="F7444" s="52" t="s">
        <v>581</v>
      </c>
      <c r="G7444" s="55" t="s">
        <v>276</v>
      </c>
      <c r="H7444" s="55">
        <v>0.72403589999999995</v>
      </c>
      <c r="I7444" s="55">
        <v>-2.393878</v>
      </c>
      <c r="J7444" s="55">
        <v>-1.5187539999999999</v>
      </c>
      <c r="K7444" s="55">
        <v>0.72772309999999996</v>
      </c>
      <c r="L7444" s="55">
        <v>1.0537369999999999</v>
      </c>
      <c r="M7444" s="55">
        <v>0.9573507</v>
      </c>
      <c r="N7444" s="55">
        <v>0.68357089999999998</v>
      </c>
    </row>
    <row r="7445" spans="1:14" hidden="1" x14ac:dyDescent="0.35">
      <c r="A7445" s="52" t="s">
        <v>741</v>
      </c>
      <c r="B7445" s="52" t="s">
        <v>34</v>
      </c>
      <c r="C7445" s="52" t="s">
        <v>33</v>
      </c>
      <c r="D7445" s="52" t="s">
        <v>33</v>
      </c>
      <c r="E7445" s="52" t="s">
        <v>636</v>
      </c>
      <c r="F7445" s="52" t="s">
        <v>581</v>
      </c>
      <c r="G7445" s="55" t="s">
        <v>277</v>
      </c>
      <c r="H7445" s="55">
        <v>5.2478280000000002</v>
      </c>
      <c r="I7445" s="55">
        <v>7.6604989999999998E-2</v>
      </c>
      <c r="J7445" s="55">
        <v>0.28546549999999998</v>
      </c>
      <c r="K7445" s="55">
        <v>0.31269150000000001</v>
      </c>
      <c r="L7445" s="55">
        <v>0.69390669999999999</v>
      </c>
      <c r="M7445" s="55">
        <v>0.3716853</v>
      </c>
      <c r="N7445" s="55">
        <v>1.1792229999999999</v>
      </c>
    </row>
    <row r="7446" spans="1:14" hidden="1" x14ac:dyDescent="0.35">
      <c r="A7446" s="52" t="s">
        <v>741</v>
      </c>
      <c r="B7446" s="52" t="s">
        <v>34</v>
      </c>
      <c r="C7446" s="52" t="s">
        <v>33</v>
      </c>
      <c r="D7446" s="52" t="s">
        <v>33</v>
      </c>
      <c r="E7446" s="52" t="s">
        <v>636</v>
      </c>
      <c r="F7446" s="52" t="s">
        <v>581</v>
      </c>
      <c r="G7446" s="55" t="s">
        <v>278</v>
      </c>
      <c r="H7446" s="55">
        <v>5.0261719999999999</v>
      </c>
      <c r="I7446" s="55">
        <v>1.3054129999999999</v>
      </c>
      <c r="J7446" s="55">
        <v>3.3360370000000001</v>
      </c>
      <c r="K7446" s="55">
        <v>2.2025960000000002</v>
      </c>
      <c r="L7446" s="55">
        <v>4.9169169999999998</v>
      </c>
      <c r="M7446" s="55">
        <v>1.6530720000000001</v>
      </c>
      <c r="N7446" s="55">
        <v>5.7128459999999999</v>
      </c>
    </row>
    <row r="7447" spans="1:14" hidden="1" x14ac:dyDescent="0.35">
      <c r="A7447" s="52" t="s">
        <v>741</v>
      </c>
      <c r="B7447" s="52" t="s">
        <v>34</v>
      </c>
      <c r="C7447" s="52" t="s">
        <v>33</v>
      </c>
      <c r="D7447" s="52" t="s">
        <v>33</v>
      </c>
      <c r="E7447" s="52" t="s">
        <v>636</v>
      </c>
      <c r="F7447" s="52" t="s">
        <v>581</v>
      </c>
      <c r="G7447" s="55" t="s">
        <v>279</v>
      </c>
      <c r="H7447" s="55">
        <v>3.1530649999999998</v>
      </c>
      <c r="I7447" s="55">
        <v>2.5562269999999998</v>
      </c>
      <c r="J7447" s="55">
        <v>2.1251440000000001</v>
      </c>
      <c r="K7447" s="55">
        <v>2.046179</v>
      </c>
      <c r="L7447" s="55">
        <v>1.9320759999999999</v>
      </c>
      <c r="M7447" s="55">
        <v>1.9201060000000001</v>
      </c>
      <c r="N7447" s="55">
        <v>1.747347</v>
      </c>
    </row>
    <row r="7448" spans="1:14" hidden="1" x14ac:dyDescent="0.35">
      <c r="A7448" s="52" t="s">
        <v>741</v>
      </c>
      <c r="B7448" s="52" t="s">
        <v>34</v>
      </c>
      <c r="C7448" s="52" t="s">
        <v>33</v>
      </c>
      <c r="D7448" s="52" t="s">
        <v>33</v>
      </c>
      <c r="E7448" s="52" t="s">
        <v>636</v>
      </c>
      <c r="F7448" s="52" t="s">
        <v>26</v>
      </c>
      <c r="G7448" s="55" t="s">
        <v>275</v>
      </c>
      <c r="H7448" s="55">
        <v>-6.2614010000000002</v>
      </c>
      <c r="I7448" s="55">
        <v>8.9864149999999992</v>
      </c>
      <c r="J7448" s="55">
        <v>3.6152679999999999</v>
      </c>
      <c r="K7448" s="55">
        <v>1.325488</v>
      </c>
      <c r="L7448" s="55">
        <v>-1.0610440000000001</v>
      </c>
      <c r="M7448" s="55">
        <v>1.572028</v>
      </c>
      <c r="N7448" s="55">
        <v>1.265943</v>
      </c>
    </row>
    <row r="7449" spans="1:14" hidden="1" x14ac:dyDescent="0.35">
      <c r="A7449" s="52" t="s">
        <v>741</v>
      </c>
      <c r="B7449" s="52" t="s">
        <v>34</v>
      </c>
      <c r="C7449" s="52" t="s">
        <v>33</v>
      </c>
      <c r="D7449" s="52" t="s">
        <v>33</v>
      </c>
      <c r="E7449" s="52" t="s">
        <v>636</v>
      </c>
      <c r="F7449" s="52" t="s">
        <v>26</v>
      </c>
      <c r="G7449" s="55" t="s">
        <v>276</v>
      </c>
      <c r="H7449" s="55">
        <v>-5.9474330000000002</v>
      </c>
      <c r="I7449" s="55">
        <v>-5.5997089999999998</v>
      </c>
      <c r="J7449" s="55">
        <v>-3.6714639999999998</v>
      </c>
      <c r="K7449" s="55">
        <v>-0.77316560000000001</v>
      </c>
      <c r="L7449" s="55">
        <v>4.5430999999999999E-2</v>
      </c>
      <c r="M7449" s="55">
        <v>3.658297E-3</v>
      </c>
      <c r="N7449" s="55">
        <v>7.7526899999999996E-2</v>
      </c>
    </row>
    <row r="7450" spans="1:14" hidden="1" x14ac:dyDescent="0.35">
      <c r="A7450" s="52" t="s">
        <v>741</v>
      </c>
      <c r="B7450" s="52" t="s">
        <v>34</v>
      </c>
      <c r="C7450" s="52" t="s">
        <v>33</v>
      </c>
      <c r="D7450" s="52" t="s">
        <v>33</v>
      </c>
      <c r="E7450" s="52" t="s">
        <v>636</v>
      </c>
      <c r="F7450" s="52" t="s">
        <v>26</v>
      </c>
      <c r="G7450" s="55" t="s">
        <v>277</v>
      </c>
      <c r="H7450" s="55">
        <v>16.755559999999999</v>
      </c>
      <c r="I7450" s="55">
        <v>0</v>
      </c>
      <c r="J7450" s="55">
        <v>1.354528</v>
      </c>
      <c r="K7450" s="55">
        <v>0.71877380000000002</v>
      </c>
      <c r="L7450" s="55">
        <v>2.3618109999999999</v>
      </c>
      <c r="M7450" s="55">
        <v>0</v>
      </c>
      <c r="N7450" s="55">
        <v>0</v>
      </c>
    </row>
    <row r="7451" spans="1:14" hidden="1" x14ac:dyDescent="0.35">
      <c r="A7451" s="52" t="s">
        <v>741</v>
      </c>
      <c r="B7451" s="52" t="s">
        <v>34</v>
      </c>
      <c r="C7451" s="52" t="s">
        <v>33</v>
      </c>
      <c r="D7451" s="52" t="s">
        <v>33</v>
      </c>
      <c r="E7451" s="52" t="s">
        <v>636</v>
      </c>
      <c r="F7451" s="52" t="s">
        <v>26</v>
      </c>
      <c r="G7451" s="55" t="s">
        <v>278</v>
      </c>
      <c r="H7451" s="55">
        <v>0.44444400000000001</v>
      </c>
      <c r="I7451" s="55">
        <v>0</v>
      </c>
      <c r="J7451" s="55">
        <v>0.85902889999999998</v>
      </c>
      <c r="K7451" s="55">
        <v>0.53386299999999998</v>
      </c>
      <c r="L7451" s="55">
        <v>0.4111107</v>
      </c>
      <c r="M7451" s="55">
        <v>0</v>
      </c>
      <c r="N7451" s="55"/>
    </row>
    <row r="7452" spans="1:14" hidden="1" x14ac:dyDescent="0.35">
      <c r="A7452" s="52" t="s">
        <v>741</v>
      </c>
      <c r="B7452" s="52" t="s">
        <v>34</v>
      </c>
      <c r="C7452" s="52" t="s">
        <v>33</v>
      </c>
      <c r="D7452" s="52" t="s">
        <v>33</v>
      </c>
      <c r="E7452" s="52" t="s">
        <v>636</v>
      </c>
      <c r="F7452" s="52" t="s">
        <v>26</v>
      </c>
      <c r="G7452" s="55" t="s">
        <v>279</v>
      </c>
      <c r="H7452" s="55">
        <v>7.1889609999999999</v>
      </c>
      <c r="I7452" s="55">
        <v>5.8620590000000004</v>
      </c>
      <c r="J7452" s="55">
        <v>4.9065279999999998</v>
      </c>
      <c r="K7452" s="55">
        <v>4.7724929999999999</v>
      </c>
      <c r="L7452" s="55">
        <v>4.6609439999999998</v>
      </c>
      <c r="M7452" s="55">
        <v>4.4077770000000003</v>
      </c>
      <c r="N7452" s="55">
        <v>3.9914640000000001</v>
      </c>
    </row>
    <row r="7453" spans="1:14" hidden="1" x14ac:dyDescent="0.35">
      <c r="A7453" s="52" t="s">
        <v>741</v>
      </c>
      <c r="B7453" s="52" t="s">
        <v>34</v>
      </c>
      <c r="C7453" s="52" t="s">
        <v>33</v>
      </c>
      <c r="D7453" s="52" t="s">
        <v>33</v>
      </c>
      <c r="E7453" s="52" t="s">
        <v>605</v>
      </c>
      <c r="F7453" s="52" t="s">
        <v>581</v>
      </c>
      <c r="G7453" s="55" t="s">
        <v>275</v>
      </c>
      <c r="H7453" s="55">
        <v>-1.371032</v>
      </c>
      <c r="I7453" s="55">
        <v>-0.23135500000000001</v>
      </c>
      <c r="J7453" s="55">
        <v>-0.3941538</v>
      </c>
      <c r="K7453" s="55">
        <v>-3.5406989999999999E-2</v>
      </c>
      <c r="L7453" s="55">
        <v>0.51768320000000001</v>
      </c>
      <c r="M7453" s="55">
        <v>0.63147690000000001</v>
      </c>
      <c r="N7453" s="55">
        <v>0.51015529999999998</v>
      </c>
    </row>
    <row r="7454" spans="1:14" hidden="1" x14ac:dyDescent="0.35">
      <c r="A7454" s="52" t="s">
        <v>741</v>
      </c>
      <c r="B7454" s="52" t="s">
        <v>34</v>
      </c>
      <c r="C7454" s="52" t="s">
        <v>33</v>
      </c>
      <c r="D7454" s="52" t="s">
        <v>33</v>
      </c>
      <c r="E7454" s="52" t="s">
        <v>605</v>
      </c>
      <c r="F7454" s="52" t="s">
        <v>581</v>
      </c>
      <c r="G7454" s="55" t="s">
        <v>276</v>
      </c>
      <c r="H7454" s="55">
        <v>0.22456799999999999</v>
      </c>
      <c r="I7454" s="55">
        <v>-0.38851289999999999</v>
      </c>
      <c r="J7454" s="55">
        <v>-0.39211649999999998</v>
      </c>
      <c r="K7454" s="55">
        <v>-0.43987850000000001</v>
      </c>
      <c r="L7454" s="55">
        <v>-2.9942179999999999E-2</v>
      </c>
      <c r="M7454" s="55">
        <v>-2.637799E-2</v>
      </c>
      <c r="N7454" s="55">
        <v>4.3337199999999999E-2</v>
      </c>
    </row>
    <row r="7455" spans="1:14" hidden="1" x14ac:dyDescent="0.35">
      <c r="A7455" s="52" t="s">
        <v>741</v>
      </c>
      <c r="B7455" s="52" t="s">
        <v>34</v>
      </c>
      <c r="C7455" s="52" t="s">
        <v>33</v>
      </c>
      <c r="D7455" s="52" t="s">
        <v>33</v>
      </c>
      <c r="E7455" s="52" t="s">
        <v>605</v>
      </c>
      <c r="F7455" s="52" t="s">
        <v>581</v>
      </c>
      <c r="G7455" s="55" t="s">
        <v>277</v>
      </c>
      <c r="H7455" s="55">
        <v>5.2412729999999996</v>
      </c>
      <c r="I7455" s="55">
        <v>4.965E-2</v>
      </c>
      <c r="J7455" s="55"/>
      <c r="K7455" s="55">
        <v>7.7958E-2</v>
      </c>
      <c r="L7455" s="55"/>
      <c r="M7455" s="55">
        <v>1.0816999999999999E-3</v>
      </c>
      <c r="N7455" s="55">
        <v>0</v>
      </c>
    </row>
    <row r="7456" spans="1:14" hidden="1" x14ac:dyDescent="0.35">
      <c r="A7456" s="52" t="s">
        <v>741</v>
      </c>
      <c r="B7456" s="52" t="s">
        <v>34</v>
      </c>
      <c r="C7456" s="52" t="s">
        <v>33</v>
      </c>
      <c r="D7456" s="52" t="s">
        <v>33</v>
      </c>
      <c r="E7456" s="52" t="s">
        <v>605</v>
      </c>
      <c r="F7456" s="52" t="s">
        <v>581</v>
      </c>
      <c r="G7456" s="55" t="s">
        <v>278</v>
      </c>
      <c r="H7456" s="55">
        <v>1.4377249999999999</v>
      </c>
      <c r="I7456" s="55">
        <v>0.93110320000000002</v>
      </c>
      <c r="J7456" s="55">
        <v>1.20699</v>
      </c>
      <c r="K7456" s="55">
        <v>1.0333870000000001</v>
      </c>
      <c r="L7456" s="55">
        <v>0.29074870000000003</v>
      </c>
      <c r="M7456" s="55">
        <v>0</v>
      </c>
      <c r="N7456" s="55"/>
    </row>
    <row r="7457" spans="1:14" hidden="1" x14ac:dyDescent="0.35">
      <c r="A7457" s="52" t="s">
        <v>741</v>
      </c>
      <c r="B7457" s="52" t="s">
        <v>34</v>
      </c>
      <c r="C7457" s="52" t="s">
        <v>33</v>
      </c>
      <c r="D7457" s="52" t="s">
        <v>33</v>
      </c>
      <c r="E7457" s="52" t="s">
        <v>605</v>
      </c>
      <c r="F7457" s="52" t="s">
        <v>581</v>
      </c>
      <c r="G7457" s="55" t="s">
        <v>279</v>
      </c>
      <c r="H7457" s="55">
        <v>4.902291</v>
      </c>
      <c r="I7457" s="55">
        <v>4.6176490000000001</v>
      </c>
      <c r="J7457" s="55">
        <v>4.5330170000000001</v>
      </c>
      <c r="K7457" s="55">
        <v>4.2293289999999999</v>
      </c>
      <c r="L7457" s="55">
        <v>3.6364200000000002</v>
      </c>
      <c r="M7457" s="55">
        <v>3.3663910000000001</v>
      </c>
      <c r="N7457" s="55">
        <v>3.0303710000000001</v>
      </c>
    </row>
    <row r="7458" spans="1:14" hidden="1" x14ac:dyDescent="0.35">
      <c r="A7458" s="52" t="s">
        <v>741</v>
      </c>
      <c r="B7458" s="52" t="s">
        <v>34</v>
      </c>
      <c r="C7458" s="52" t="s">
        <v>33</v>
      </c>
      <c r="D7458" s="52" t="s">
        <v>33</v>
      </c>
      <c r="E7458" s="52" t="s">
        <v>605</v>
      </c>
      <c r="F7458" s="52" t="s">
        <v>26</v>
      </c>
      <c r="G7458" s="55" t="s">
        <v>275</v>
      </c>
      <c r="H7458" s="55">
        <v>-5.2453380000000003</v>
      </c>
      <c r="I7458" s="55">
        <v>-5.8176290000000002</v>
      </c>
      <c r="J7458" s="55">
        <v>-7.0272750000000004</v>
      </c>
      <c r="K7458" s="55">
        <v>-6.9500469999999996</v>
      </c>
      <c r="L7458" s="55">
        <v>-5.9487439999999996</v>
      </c>
      <c r="M7458" s="55">
        <v>-5.8853929999999997</v>
      </c>
      <c r="N7458" s="55">
        <v>-5.5537340000000004</v>
      </c>
    </row>
    <row r="7459" spans="1:14" hidden="1" x14ac:dyDescent="0.35">
      <c r="A7459" s="52" t="s">
        <v>741</v>
      </c>
      <c r="B7459" s="52" t="s">
        <v>34</v>
      </c>
      <c r="C7459" s="52" t="s">
        <v>33</v>
      </c>
      <c r="D7459" s="52" t="s">
        <v>33</v>
      </c>
      <c r="E7459" s="52" t="s">
        <v>605</v>
      </c>
      <c r="F7459" s="52" t="s">
        <v>26</v>
      </c>
      <c r="G7459" s="55" t="s">
        <v>276</v>
      </c>
      <c r="H7459" s="55">
        <v>-3.2694009999999998</v>
      </c>
      <c r="I7459" s="55">
        <v>-2.893195</v>
      </c>
      <c r="J7459" s="55">
        <v>-2.2191399999999999</v>
      </c>
      <c r="K7459" s="55">
        <v>-2.0759880000000002</v>
      </c>
      <c r="L7459" s="55">
        <v>-1.7768969999999999</v>
      </c>
      <c r="M7459" s="55">
        <v>-1.7579739999999999</v>
      </c>
      <c r="N7459" s="55">
        <v>-1.6589069999999999</v>
      </c>
    </row>
    <row r="7460" spans="1:14" hidden="1" x14ac:dyDescent="0.35">
      <c r="A7460" s="52" t="s">
        <v>741</v>
      </c>
      <c r="B7460" s="52" t="s">
        <v>34</v>
      </c>
      <c r="C7460" s="52" t="s">
        <v>33</v>
      </c>
      <c r="D7460" s="52" t="s">
        <v>33</v>
      </c>
      <c r="E7460" s="52" t="s">
        <v>605</v>
      </c>
      <c r="F7460" s="52" t="s">
        <v>26</v>
      </c>
      <c r="G7460" s="55" t="s">
        <v>279</v>
      </c>
      <c r="H7460" s="55">
        <v>28.236550000000001</v>
      </c>
      <c r="I7460" s="55">
        <v>25.496949999999998</v>
      </c>
      <c r="J7460" s="55">
        <v>23.285689999999999</v>
      </c>
      <c r="K7460" s="55">
        <v>21.685970000000001</v>
      </c>
      <c r="L7460" s="55">
        <v>19.059850000000001</v>
      </c>
      <c r="M7460" s="55">
        <v>17.679880000000001</v>
      </c>
      <c r="N7460" s="55">
        <v>16.113109999999999</v>
      </c>
    </row>
    <row r="7461" spans="1:14" hidden="1" x14ac:dyDescent="0.35">
      <c r="A7461" s="52" t="s">
        <v>741</v>
      </c>
      <c r="B7461" s="52" t="s">
        <v>34</v>
      </c>
      <c r="C7461" s="52" t="s">
        <v>33</v>
      </c>
      <c r="D7461" s="52" t="s">
        <v>33</v>
      </c>
      <c r="E7461" s="52" t="s">
        <v>727</v>
      </c>
      <c r="F7461" s="52" t="s">
        <v>581</v>
      </c>
      <c r="G7461" s="55" t="s">
        <v>275</v>
      </c>
      <c r="H7461" s="55">
        <v>0.84760489999999999</v>
      </c>
      <c r="I7461" s="55">
        <v>-0.9859831</v>
      </c>
      <c r="J7461" s="55">
        <v>-0.75575510000000001</v>
      </c>
      <c r="K7461" s="55">
        <v>-0.71234109999999995</v>
      </c>
      <c r="L7461" s="55">
        <v>-0.52469969999999999</v>
      </c>
      <c r="M7461" s="55">
        <v>-0.55982010000000004</v>
      </c>
      <c r="N7461" s="55">
        <v>-0.50862879999999999</v>
      </c>
    </row>
    <row r="7462" spans="1:14" hidden="1" x14ac:dyDescent="0.35">
      <c r="A7462" s="52" t="s">
        <v>741</v>
      </c>
      <c r="B7462" s="52" t="s">
        <v>34</v>
      </c>
      <c r="C7462" s="52" t="s">
        <v>33</v>
      </c>
      <c r="D7462" s="52" t="s">
        <v>33</v>
      </c>
      <c r="E7462" s="52" t="s">
        <v>727</v>
      </c>
      <c r="F7462" s="52" t="s">
        <v>581</v>
      </c>
      <c r="G7462" s="55" t="s">
        <v>276</v>
      </c>
      <c r="H7462" s="55">
        <v>0.30559799999999998</v>
      </c>
      <c r="I7462" s="55">
        <v>-0.3286618</v>
      </c>
      <c r="J7462" s="55">
        <v>-0.23865939999999999</v>
      </c>
      <c r="K7462" s="55">
        <v>-0.21277740000000001</v>
      </c>
      <c r="L7462" s="55">
        <v>-0.15672820000000001</v>
      </c>
      <c r="M7462" s="55">
        <v>-0.16721900000000001</v>
      </c>
      <c r="N7462" s="55">
        <v>-0.1519278</v>
      </c>
    </row>
    <row r="7463" spans="1:14" hidden="1" x14ac:dyDescent="0.35">
      <c r="A7463" s="52" t="s">
        <v>741</v>
      </c>
      <c r="B7463" s="52" t="s">
        <v>34</v>
      </c>
      <c r="C7463" s="52" t="s">
        <v>33</v>
      </c>
      <c r="D7463" s="52" t="s">
        <v>33</v>
      </c>
      <c r="E7463" s="52" t="s">
        <v>727</v>
      </c>
      <c r="F7463" s="52" t="s">
        <v>581</v>
      </c>
      <c r="G7463" s="55" t="s">
        <v>279</v>
      </c>
      <c r="H7463" s="55">
        <v>4.4469890000000003</v>
      </c>
      <c r="I7463" s="55">
        <v>3.8819720000000002</v>
      </c>
      <c r="J7463" s="55">
        <v>3.311947</v>
      </c>
      <c r="K7463" s="55">
        <v>3.0374560000000002</v>
      </c>
      <c r="L7463" s="55">
        <v>2.6369150000000001</v>
      </c>
      <c r="M7463" s="55">
        <v>2.5434169999999998</v>
      </c>
      <c r="N7463" s="55">
        <v>2.3391709999999999</v>
      </c>
    </row>
    <row r="7464" spans="1:14" hidden="1" x14ac:dyDescent="0.35">
      <c r="A7464" s="52" t="s">
        <v>741</v>
      </c>
      <c r="B7464" s="52" t="s">
        <v>34</v>
      </c>
      <c r="C7464" s="52" t="s">
        <v>33</v>
      </c>
      <c r="D7464" s="52" t="s">
        <v>33</v>
      </c>
      <c r="E7464" s="52" t="s">
        <v>727</v>
      </c>
      <c r="F7464" s="52" t="s">
        <v>26</v>
      </c>
      <c r="G7464" s="55" t="s">
        <v>275</v>
      </c>
      <c r="H7464" s="55">
        <v>-4.3564319999999999</v>
      </c>
      <c r="I7464" s="55">
        <v>-4.1583880000000004</v>
      </c>
      <c r="J7464" s="55">
        <v>-3.8857309999999998</v>
      </c>
      <c r="K7464" s="55">
        <v>-3.7232829999999999</v>
      </c>
      <c r="L7464" s="55">
        <v>-3.220996</v>
      </c>
      <c r="M7464" s="55">
        <v>-3.184596</v>
      </c>
      <c r="N7464" s="55">
        <v>-2.991139</v>
      </c>
    </row>
    <row r="7465" spans="1:14" hidden="1" x14ac:dyDescent="0.35">
      <c r="A7465" s="52" t="s">
        <v>741</v>
      </c>
      <c r="B7465" s="52" t="s">
        <v>34</v>
      </c>
      <c r="C7465" s="52" t="s">
        <v>33</v>
      </c>
      <c r="D7465" s="52" t="s">
        <v>33</v>
      </c>
      <c r="E7465" s="52" t="s">
        <v>727</v>
      </c>
      <c r="F7465" s="52" t="s">
        <v>26</v>
      </c>
      <c r="G7465" s="55" t="s">
        <v>276</v>
      </c>
      <c r="H7465" s="55">
        <v>-1.570686</v>
      </c>
      <c r="I7465" s="55">
        <v>-1.3861289999999999</v>
      </c>
      <c r="J7465" s="55">
        <v>-1.2270730000000001</v>
      </c>
      <c r="K7465" s="55">
        <v>-1.11215</v>
      </c>
      <c r="L7465" s="55">
        <v>-0.96211610000000003</v>
      </c>
      <c r="M7465" s="55">
        <v>-0.95124260000000005</v>
      </c>
      <c r="N7465" s="55">
        <v>-0.89345680000000005</v>
      </c>
    </row>
    <row r="7466" spans="1:14" hidden="1" x14ac:dyDescent="0.35">
      <c r="A7466" s="52" t="s">
        <v>741</v>
      </c>
      <c r="B7466" s="52" t="s">
        <v>34</v>
      </c>
      <c r="C7466" s="52" t="s">
        <v>33</v>
      </c>
      <c r="D7466" s="52" t="s">
        <v>33</v>
      </c>
      <c r="E7466" s="52" t="s">
        <v>727</v>
      </c>
      <c r="F7466" s="52" t="s">
        <v>26</v>
      </c>
      <c r="G7466" s="55" t="s">
        <v>277</v>
      </c>
      <c r="H7466" s="55"/>
      <c r="I7466" s="55"/>
      <c r="J7466" s="55"/>
      <c r="K7466" s="55"/>
      <c r="L7466" s="55"/>
      <c r="M7466" s="55">
        <v>0</v>
      </c>
      <c r="N7466" s="55"/>
    </row>
    <row r="7467" spans="1:14" hidden="1" x14ac:dyDescent="0.35">
      <c r="A7467" s="52" t="s">
        <v>741</v>
      </c>
      <c r="B7467" s="52" t="s">
        <v>34</v>
      </c>
      <c r="C7467" s="52" t="s">
        <v>33</v>
      </c>
      <c r="D7467" s="52" t="s">
        <v>33</v>
      </c>
      <c r="E7467" s="52" t="s">
        <v>727</v>
      </c>
      <c r="F7467" s="52" t="s">
        <v>26</v>
      </c>
      <c r="G7467" s="55" t="s">
        <v>279</v>
      </c>
      <c r="H7467" s="55">
        <v>12.649050000000001</v>
      </c>
      <c r="I7467" s="55">
        <v>11.01478</v>
      </c>
      <c r="J7467" s="55">
        <v>9.4523309999999992</v>
      </c>
      <c r="K7467" s="55">
        <v>8.7216609999999992</v>
      </c>
      <c r="L7467" s="55">
        <v>7.6703219999999996</v>
      </c>
      <c r="M7467" s="55">
        <v>7.2722170000000004</v>
      </c>
      <c r="N7467" s="55">
        <v>6.6884329999999999</v>
      </c>
    </row>
    <row r="7468" spans="1:14" hidden="1" x14ac:dyDescent="0.35">
      <c r="A7468" s="52" t="s">
        <v>741</v>
      </c>
      <c r="B7468" s="52" t="s">
        <v>34</v>
      </c>
      <c r="C7468" s="52" t="s">
        <v>33</v>
      </c>
      <c r="D7468" s="52" t="s">
        <v>33</v>
      </c>
      <c r="E7468" s="52" t="s">
        <v>638</v>
      </c>
      <c r="F7468" s="52" t="s">
        <v>581</v>
      </c>
      <c r="G7468" s="55" t="s">
        <v>275</v>
      </c>
      <c r="H7468" s="55">
        <v>3.7941099999999999</v>
      </c>
      <c r="I7468" s="55">
        <v>1.4617659999999999</v>
      </c>
      <c r="J7468" s="55">
        <v>-0.97806000000000004</v>
      </c>
      <c r="K7468" s="55">
        <v>-1.252197</v>
      </c>
      <c r="L7468" s="55">
        <v>-1.159173</v>
      </c>
      <c r="M7468" s="55">
        <v>1.707006</v>
      </c>
      <c r="N7468" s="55">
        <v>1.360425</v>
      </c>
    </row>
    <row r="7469" spans="1:14" hidden="1" x14ac:dyDescent="0.35">
      <c r="A7469" s="52" t="s">
        <v>741</v>
      </c>
      <c r="B7469" s="52" t="s">
        <v>34</v>
      </c>
      <c r="C7469" s="52" t="s">
        <v>33</v>
      </c>
      <c r="D7469" s="52" t="s">
        <v>33</v>
      </c>
      <c r="E7469" s="52" t="s">
        <v>638</v>
      </c>
      <c r="F7469" s="52" t="s">
        <v>581</v>
      </c>
      <c r="G7469" s="55" t="s">
        <v>276</v>
      </c>
      <c r="H7469" s="55">
        <v>-0.40712100000000001</v>
      </c>
      <c r="I7469" s="55">
        <v>-0.34328599999999998</v>
      </c>
      <c r="J7469" s="55">
        <v>-0.44447239999999999</v>
      </c>
      <c r="K7469" s="55">
        <v>4.8437300000000003E-2</v>
      </c>
      <c r="L7469" s="55">
        <v>-5.1232519999999997E-2</v>
      </c>
      <c r="M7469" s="55">
        <v>-0.14124100000000001</v>
      </c>
      <c r="N7469" s="55">
        <v>-3.9439799999999997E-2</v>
      </c>
    </row>
    <row r="7470" spans="1:14" hidden="1" x14ac:dyDescent="0.35">
      <c r="A7470" s="52" t="s">
        <v>741</v>
      </c>
      <c r="B7470" s="52" t="s">
        <v>34</v>
      </c>
      <c r="C7470" s="52" t="s">
        <v>33</v>
      </c>
      <c r="D7470" s="52" t="s">
        <v>33</v>
      </c>
      <c r="E7470" s="52" t="s">
        <v>638</v>
      </c>
      <c r="F7470" s="52" t="s">
        <v>581</v>
      </c>
      <c r="G7470" s="55" t="s">
        <v>277</v>
      </c>
      <c r="H7470" s="55">
        <v>0</v>
      </c>
      <c r="I7470" s="55">
        <v>0</v>
      </c>
      <c r="J7470" s="55">
        <v>1.5016419999999999</v>
      </c>
      <c r="K7470" s="55">
        <v>1.0366880000000001</v>
      </c>
      <c r="L7470" s="55">
        <v>2.773625</v>
      </c>
      <c r="M7470" s="55">
        <v>0</v>
      </c>
      <c r="N7470" s="55">
        <v>0</v>
      </c>
    </row>
    <row r="7471" spans="1:14" hidden="1" x14ac:dyDescent="0.35">
      <c r="A7471" s="52" t="s">
        <v>741</v>
      </c>
      <c r="B7471" s="52" t="s">
        <v>34</v>
      </c>
      <c r="C7471" s="52" t="s">
        <v>33</v>
      </c>
      <c r="D7471" s="52" t="s">
        <v>33</v>
      </c>
      <c r="E7471" s="52" t="s">
        <v>638</v>
      </c>
      <c r="F7471" s="52" t="s">
        <v>581</v>
      </c>
      <c r="G7471" s="55" t="s">
        <v>278</v>
      </c>
      <c r="H7471" s="55">
        <v>0</v>
      </c>
      <c r="I7471" s="55">
        <v>0</v>
      </c>
      <c r="J7471" s="55">
        <v>1.247938</v>
      </c>
      <c r="K7471" s="55">
        <v>1.7656400000000001</v>
      </c>
      <c r="L7471" s="55">
        <v>0.39388329999999999</v>
      </c>
      <c r="M7471" s="55">
        <v>0</v>
      </c>
      <c r="N7471" s="55"/>
    </row>
    <row r="7472" spans="1:14" hidden="1" x14ac:dyDescent="0.35">
      <c r="A7472" s="52" t="s">
        <v>741</v>
      </c>
      <c r="B7472" s="52" t="s">
        <v>34</v>
      </c>
      <c r="C7472" s="52" t="s">
        <v>33</v>
      </c>
      <c r="D7472" s="52" t="s">
        <v>33</v>
      </c>
      <c r="E7472" s="52" t="s">
        <v>638</v>
      </c>
      <c r="F7472" s="52" t="s">
        <v>581</v>
      </c>
      <c r="G7472" s="55" t="s">
        <v>279</v>
      </c>
      <c r="H7472" s="55">
        <v>0.42496299999999998</v>
      </c>
      <c r="I7472" s="55">
        <v>0.32478600000000002</v>
      </c>
      <c r="J7472" s="55">
        <v>0.36288870000000001</v>
      </c>
      <c r="K7472" s="55">
        <v>0.43448609999999999</v>
      </c>
      <c r="L7472" s="55">
        <v>0.47844969999999998</v>
      </c>
      <c r="M7472" s="55">
        <v>0.40714149999999999</v>
      </c>
      <c r="N7472" s="55">
        <v>0.3421806</v>
      </c>
    </row>
    <row r="7473" spans="1:14" hidden="1" x14ac:dyDescent="0.35">
      <c r="A7473" s="52" t="s">
        <v>741</v>
      </c>
      <c r="B7473" s="52" t="s">
        <v>34</v>
      </c>
      <c r="C7473" s="52" t="s">
        <v>33</v>
      </c>
      <c r="D7473" s="52" t="s">
        <v>33</v>
      </c>
      <c r="E7473" s="52" t="s">
        <v>638</v>
      </c>
      <c r="F7473" s="52" t="s">
        <v>26</v>
      </c>
      <c r="G7473" s="55" t="s">
        <v>275</v>
      </c>
      <c r="H7473" s="55">
        <v>9.5133999999999996E-2</v>
      </c>
      <c r="I7473" s="55">
        <v>5.6092400000000001E-2</v>
      </c>
      <c r="J7473" s="55">
        <v>4.6841099999999997E-2</v>
      </c>
      <c r="K7473" s="55">
        <v>4.8019899999999997E-2</v>
      </c>
      <c r="L7473" s="55">
        <v>5.8502199999999997E-2</v>
      </c>
      <c r="M7473" s="55">
        <v>4.0422699999999999E-2</v>
      </c>
      <c r="N7473" s="55">
        <v>2.90125E-2</v>
      </c>
    </row>
    <row r="7474" spans="1:14" hidden="1" x14ac:dyDescent="0.35">
      <c r="A7474" s="52" t="s">
        <v>741</v>
      </c>
      <c r="B7474" s="52" t="s">
        <v>34</v>
      </c>
      <c r="C7474" s="52" t="s">
        <v>33</v>
      </c>
      <c r="D7474" s="52" t="s">
        <v>33</v>
      </c>
      <c r="E7474" s="52" t="s">
        <v>638</v>
      </c>
      <c r="F7474" s="52" t="s">
        <v>26</v>
      </c>
      <c r="G7474" s="55" t="s">
        <v>276</v>
      </c>
      <c r="H7474" s="55">
        <v>3.4299999999999997E-2</v>
      </c>
      <c r="I7474" s="55">
        <v>1.8697800000000001E-2</v>
      </c>
      <c r="J7474" s="55">
        <v>1.4792100000000001E-2</v>
      </c>
      <c r="K7474" s="55">
        <v>1.43439E-2</v>
      </c>
      <c r="L7474" s="55">
        <v>1.7475399999999999E-2</v>
      </c>
      <c r="M7474" s="55">
        <v>1.20746E-2</v>
      </c>
      <c r="N7474" s="55">
        <v>8.6665000000000006E-3</v>
      </c>
    </row>
    <row r="7475" spans="1:14" hidden="1" x14ac:dyDescent="0.35">
      <c r="A7475" s="52" t="s">
        <v>741</v>
      </c>
      <c r="B7475" s="52" t="s">
        <v>34</v>
      </c>
      <c r="C7475" s="52" t="s">
        <v>33</v>
      </c>
      <c r="D7475" s="52" t="s">
        <v>33</v>
      </c>
      <c r="E7475" s="52" t="s">
        <v>638</v>
      </c>
      <c r="F7475" s="52" t="s">
        <v>26</v>
      </c>
      <c r="G7475" s="55" t="s">
        <v>279</v>
      </c>
      <c r="H7475" s="55">
        <v>0.23502000000000001</v>
      </c>
      <c r="I7475" s="55">
        <v>0.16717399999999999</v>
      </c>
      <c r="J7475" s="55">
        <v>0.18931329999999999</v>
      </c>
      <c r="K7475" s="55">
        <v>0.22973109999999999</v>
      </c>
      <c r="L7475" s="55">
        <v>0.26245649999999998</v>
      </c>
      <c r="M7475" s="55">
        <v>0.2132684</v>
      </c>
      <c r="N7475" s="55">
        <v>0.1792561</v>
      </c>
    </row>
    <row r="7476" spans="1:14" hidden="1" x14ac:dyDescent="0.35">
      <c r="A7476" s="52" t="s">
        <v>741</v>
      </c>
      <c r="B7476" s="52" t="s">
        <v>34</v>
      </c>
      <c r="C7476" s="52" t="s">
        <v>33</v>
      </c>
      <c r="D7476" s="52" t="s">
        <v>33</v>
      </c>
      <c r="E7476" s="52" t="s">
        <v>742</v>
      </c>
      <c r="F7476" s="52" t="s">
        <v>26</v>
      </c>
      <c r="G7476" s="55" t="s">
        <v>275</v>
      </c>
      <c r="H7476" s="55">
        <v>-0.8116719</v>
      </c>
      <c r="I7476" s="55">
        <v>-0.79802030000000002</v>
      </c>
      <c r="J7476" s="55">
        <v>-0.84182020000000002</v>
      </c>
      <c r="K7476" s="55">
        <v>-0.8520373</v>
      </c>
      <c r="L7476" s="55">
        <v>-0.79045089999999996</v>
      </c>
      <c r="M7476" s="55">
        <v>-0.72679729999999998</v>
      </c>
      <c r="N7476" s="55">
        <v>-0.69535009999999997</v>
      </c>
    </row>
    <row r="7477" spans="1:14" hidden="1" x14ac:dyDescent="0.35">
      <c r="A7477" s="52" t="s">
        <v>741</v>
      </c>
      <c r="B7477" s="52" t="s">
        <v>34</v>
      </c>
      <c r="C7477" s="52" t="s">
        <v>33</v>
      </c>
      <c r="D7477" s="52" t="s">
        <v>33</v>
      </c>
      <c r="E7477" s="52" t="s">
        <v>742</v>
      </c>
      <c r="F7477" s="52" t="s">
        <v>26</v>
      </c>
      <c r="G7477" s="55" t="s">
        <v>276</v>
      </c>
      <c r="H7477" s="55">
        <v>-0.27055699999999999</v>
      </c>
      <c r="I7477" s="55">
        <v>-0.26600669999999998</v>
      </c>
      <c r="J7477" s="55">
        <v>-0.280607</v>
      </c>
      <c r="K7477" s="55">
        <v>-0.28401209999999999</v>
      </c>
      <c r="L7477" s="55">
        <v>-0.26348389999999999</v>
      </c>
      <c r="M7477" s="55">
        <v>-0.2422658</v>
      </c>
      <c r="N7477" s="55">
        <v>-0.23178380000000001</v>
      </c>
    </row>
    <row r="7478" spans="1:14" hidden="1" x14ac:dyDescent="0.35">
      <c r="A7478" s="52" t="s">
        <v>741</v>
      </c>
      <c r="B7478" s="52" t="s">
        <v>34</v>
      </c>
      <c r="C7478" s="52" t="s">
        <v>33</v>
      </c>
      <c r="D7478" s="52" t="s">
        <v>33</v>
      </c>
      <c r="E7478" s="52" t="s">
        <v>742</v>
      </c>
      <c r="F7478" s="52" t="s">
        <v>26</v>
      </c>
      <c r="G7478" s="55" t="s">
        <v>277</v>
      </c>
      <c r="H7478" s="55"/>
      <c r="I7478" s="55"/>
      <c r="J7478" s="55"/>
      <c r="K7478" s="55"/>
      <c r="L7478" s="55"/>
      <c r="M7478" s="55">
        <v>0</v>
      </c>
      <c r="N7478" s="55"/>
    </row>
    <row r="7479" spans="1:14" hidden="1" x14ac:dyDescent="0.35">
      <c r="A7479" s="52" t="s">
        <v>741</v>
      </c>
      <c r="B7479" s="52" t="s">
        <v>34</v>
      </c>
      <c r="C7479" s="52" t="s">
        <v>33</v>
      </c>
      <c r="D7479" s="52" t="s">
        <v>33</v>
      </c>
      <c r="E7479" s="52" t="s">
        <v>742</v>
      </c>
      <c r="F7479" s="52" t="s">
        <v>26</v>
      </c>
      <c r="G7479" s="55" t="s">
        <v>279</v>
      </c>
      <c r="H7479" s="55">
        <v>4.2067870000000003</v>
      </c>
      <c r="I7479" s="55">
        <v>3.4338869999999999</v>
      </c>
      <c r="J7479" s="55">
        <v>3.0215290000000001</v>
      </c>
      <c r="K7479" s="55">
        <v>2.8440720000000002</v>
      </c>
      <c r="L7479" s="55">
        <v>2.589048</v>
      </c>
      <c r="M7479" s="55">
        <v>2.3507400000000001</v>
      </c>
      <c r="N7479" s="55">
        <v>2.162461</v>
      </c>
    </row>
    <row r="7480" spans="1:14" hidden="1" x14ac:dyDescent="0.35">
      <c r="A7480" s="52" t="s">
        <v>741</v>
      </c>
      <c r="B7480" s="52" t="s">
        <v>34</v>
      </c>
      <c r="C7480" s="52" t="s">
        <v>33</v>
      </c>
      <c r="D7480" s="52" t="s">
        <v>33</v>
      </c>
      <c r="E7480" s="52" t="s">
        <v>622</v>
      </c>
      <c r="F7480" s="52" t="s">
        <v>26</v>
      </c>
      <c r="G7480" s="55" t="s">
        <v>275</v>
      </c>
      <c r="H7480" s="55"/>
      <c r="I7480" s="55"/>
      <c r="J7480" s="55"/>
      <c r="K7480" s="55"/>
      <c r="L7480" s="55"/>
      <c r="M7480" s="55">
        <v>0</v>
      </c>
      <c r="N7480" s="55"/>
    </row>
    <row r="7481" spans="1:14" hidden="1" x14ac:dyDescent="0.35">
      <c r="A7481" s="52" t="s">
        <v>741</v>
      </c>
      <c r="B7481" s="52" t="s">
        <v>34</v>
      </c>
      <c r="C7481" s="52" t="s">
        <v>33</v>
      </c>
      <c r="D7481" s="52" t="s">
        <v>33</v>
      </c>
      <c r="E7481" s="52" t="s">
        <v>622</v>
      </c>
      <c r="F7481" s="52" t="s">
        <v>26</v>
      </c>
      <c r="G7481" s="55" t="s">
        <v>276</v>
      </c>
      <c r="H7481" s="55"/>
      <c r="I7481" s="55"/>
      <c r="J7481" s="55"/>
      <c r="K7481" s="55"/>
      <c r="L7481" s="55"/>
      <c r="M7481" s="55">
        <v>0</v>
      </c>
      <c r="N7481" s="55"/>
    </row>
    <row r="7482" spans="1:14" hidden="1" x14ac:dyDescent="0.35">
      <c r="A7482" s="52" t="s">
        <v>741</v>
      </c>
      <c r="B7482" s="52" t="s">
        <v>34</v>
      </c>
      <c r="C7482" s="52" t="s">
        <v>33</v>
      </c>
      <c r="D7482" s="52" t="s">
        <v>33</v>
      </c>
      <c r="E7482" s="52" t="s">
        <v>622</v>
      </c>
      <c r="F7482" s="52" t="s">
        <v>26</v>
      </c>
      <c r="G7482" s="55" t="s">
        <v>277</v>
      </c>
      <c r="H7482" s="55"/>
      <c r="I7482" s="55"/>
      <c r="J7482" s="55"/>
      <c r="K7482" s="55"/>
      <c r="L7482" s="55"/>
      <c r="M7482" s="55">
        <v>0</v>
      </c>
      <c r="N7482" s="55"/>
    </row>
    <row r="7483" spans="1:14" hidden="1" x14ac:dyDescent="0.35">
      <c r="A7483" s="52" t="s">
        <v>741</v>
      </c>
      <c r="B7483" s="52" t="s">
        <v>34</v>
      </c>
      <c r="C7483" s="52" t="s">
        <v>33</v>
      </c>
      <c r="D7483" s="52" t="s">
        <v>33</v>
      </c>
      <c r="E7483" s="52" t="s">
        <v>622</v>
      </c>
      <c r="F7483" s="52" t="s">
        <v>26</v>
      </c>
      <c r="G7483" s="55" t="s">
        <v>279</v>
      </c>
      <c r="H7483" s="55"/>
      <c r="I7483" s="55"/>
      <c r="J7483" s="55"/>
      <c r="K7483" s="55"/>
      <c r="L7483" s="55"/>
      <c r="M7483" s="55">
        <v>0</v>
      </c>
      <c r="N7483" s="55"/>
    </row>
    <row r="7484" spans="1:14" hidden="1" x14ac:dyDescent="0.35">
      <c r="A7484" s="52" t="s">
        <v>741</v>
      </c>
      <c r="B7484" s="52" t="s">
        <v>34</v>
      </c>
      <c r="C7484" s="52" t="s">
        <v>364</v>
      </c>
      <c r="D7484" s="52" t="s">
        <v>364</v>
      </c>
      <c r="E7484" s="52" t="s">
        <v>584</v>
      </c>
      <c r="F7484" s="52" t="s">
        <v>581</v>
      </c>
      <c r="G7484" s="55" t="s">
        <v>275</v>
      </c>
      <c r="H7484" s="55">
        <v>-0.33635999999999999</v>
      </c>
      <c r="I7484" s="55">
        <v>-0.36927399999999999</v>
      </c>
      <c r="J7484" s="55">
        <v>0</v>
      </c>
      <c r="K7484" s="55">
        <v>0</v>
      </c>
      <c r="L7484" s="55">
        <v>0</v>
      </c>
      <c r="M7484" s="55">
        <v>0</v>
      </c>
      <c r="N7484" s="55">
        <v>0</v>
      </c>
    </row>
    <row r="7485" spans="1:14" hidden="1" x14ac:dyDescent="0.35">
      <c r="A7485" s="52" t="s">
        <v>741</v>
      </c>
      <c r="B7485" s="52" t="s">
        <v>34</v>
      </c>
      <c r="C7485" s="52" t="s">
        <v>364</v>
      </c>
      <c r="D7485" s="52" t="s">
        <v>364</v>
      </c>
      <c r="E7485" s="52" t="s">
        <v>584</v>
      </c>
      <c r="F7485" s="52" t="s">
        <v>581</v>
      </c>
      <c r="G7485" s="55" t="s">
        <v>276</v>
      </c>
      <c r="H7485" s="55">
        <v>-0.124407</v>
      </c>
      <c r="I7485" s="55">
        <v>-0.12678900000000001</v>
      </c>
      <c r="J7485" s="55">
        <v>-0.46076899999999998</v>
      </c>
      <c r="K7485" s="55">
        <v>-0.46076899999999998</v>
      </c>
      <c r="L7485" s="55">
        <v>-0.46076800000000001</v>
      </c>
      <c r="M7485" s="55">
        <v>-0.46076800000000001</v>
      </c>
      <c r="N7485" s="55">
        <v>-0.46076699999999998</v>
      </c>
    </row>
    <row r="7486" spans="1:14" hidden="1" x14ac:dyDescent="0.35">
      <c r="A7486" s="52" t="s">
        <v>741</v>
      </c>
      <c r="B7486" s="52" t="s">
        <v>34</v>
      </c>
      <c r="C7486" s="52" t="s">
        <v>364</v>
      </c>
      <c r="D7486" s="52" t="s">
        <v>364</v>
      </c>
      <c r="E7486" s="52" t="s">
        <v>584</v>
      </c>
      <c r="F7486" s="52" t="s">
        <v>581</v>
      </c>
      <c r="G7486" s="55" t="s">
        <v>278</v>
      </c>
      <c r="H7486" s="55">
        <v>0.46076800000000001</v>
      </c>
      <c r="I7486" s="55">
        <v>0.49606600000000001</v>
      </c>
      <c r="J7486" s="55">
        <v>0.46076800000000001</v>
      </c>
      <c r="K7486" s="55">
        <v>0.46076800000000001</v>
      </c>
      <c r="L7486" s="55">
        <v>0.46076800000000001</v>
      </c>
      <c r="M7486" s="55">
        <v>0.46076800000000001</v>
      </c>
      <c r="N7486" s="55">
        <v>0.46076899999999998</v>
      </c>
    </row>
    <row r="7487" spans="1:14" hidden="1" x14ac:dyDescent="0.35">
      <c r="A7487" s="52" t="s">
        <v>741</v>
      </c>
      <c r="B7487" s="52" t="s">
        <v>34</v>
      </c>
      <c r="C7487" s="52" t="s">
        <v>381</v>
      </c>
      <c r="D7487" s="52" t="s">
        <v>381</v>
      </c>
      <c r="E7487" s="52" t="s">
        <v>584</v>
      </c>
      <c r="F7487" s="52" t="s">
        <v>581</v>
      </c>
      <c r="G7487" s="55" t="s">
        <v>275</v>
      </c>
      <c r="H7487" s="55">
        <v>-0.19106799999999999</v>
      </c>
      <c r="I7487" s="55">
        <v>-0.234957</v>
      </c>
      <c r="J7487" s="55">
        <v>0</v>
      </c>
      <c r="K7487" s="55">
        <v>0</v>
      </c>
      <c r="L7487" s="55">
        <v>0</v>
      </c>
      <c r="M7487" s="55">
        <v>0</v>
      </c>
      <c r="N7487" s="55">
        <v>0</v>
      </c>
    </row>
    <row r="7488" spans="1:14" hidden="1" x14ac:dyDescent="0.35">
      <c r="A7488" s="52" t="s">
        <v>741</v>
      </c>
      <c r="B7488" s="52" t="s">
        <v>34</v>
      </c>
      <c r="C7488" s="52" t="s">
        <v>381</v>
      </c>
      <c r="D7488" s="52" t="s">
        <v>381</v>
      </c>
      <c r="E7488" s="52" t="s">
        <v>584</v>
      </c>
      <c r="F7488" s="52" t="s">
        <v>581</v>
      </c>
      <c r="G7488" s="55" t="s">
        <v>276</v>
      </c>
      <c r="H7488" s="55">
        <v>-7.0668999999999996E-2</v>
      </c>
      <c r="I7488" s="55">
        <v>-7.384599E-2</v>
      </c>
      <c r="J7488" s="55">
        <v>-0.19365199999999999</v>
      </c>
      <c r="K7488" s="55">
        <v>-0.19365299999999999</v>
      </c>
      <c r="L7488" s="55">
        <v>-0.19365099999999999</v>
      </c>
      <c r="M7488" s="55">
        <v>-0.19365099999999999</v>
      </c>
      <c r="N7488" s="55">
        <v>-0.19365199999999999</v>
      </c>
    </row>
    <row r="7489" spans="1:14" hidden="1" x14ac:dyDescent="0.35">
      <c r="A7489" s="52" t="s">
        <v>741</v>
      </c>
      <c r="B7489" s="52" t="s">
        <v>34</v>
      </c>
      <c r="C7489" s="52" t="s">
        <v>381</v>
      </c>
      <c r="D7489" s="52" t="s">
        <v>381</v>
      </c>
      <c r="E7489" s="52" t="s">
        <v>584</v>
      </c>
      <c r="F7489" s="52" t="s">
        <v>581</v>
      </c>
      <c r="G7489" s="55" t="s">
        <v>278</v>
      </c>
      <c r="H7489" s="55">
        <v>0.261737</v>
      </c>
      <c r="I7489" s="55">
        <v>0.30880299999999999</v>
      </c>
      <c r="J7489" s="55">
        <v>0.19365199999999999</v>
      </c>
      <c r="K7489" s="55">
        <v>0.19365199999999999</v>
      </c>
      <c r="L7489" s="55">
        <v>0.19365199999999999</v>
      </c>
      <c r="M7489" s="55">
        <v>0.19365199999999999</v>
      </c>
      <c r="N7489" s="55">
        <v>0.19365199999999999</v>
      </c>
    </row>
    <row r="7490" spans="1:14" hidden="1" x14ac:dyDescent="0.35">
      <c r="A7490" s="52" t="s">
        <v>741</v>
      </c>
      <c r="B7490" s="52" t="s">
        <v>34</v>
      </c>
      <c r="C7490" s="52" t="s">
        <v>394</v>
      </c>
      <c r="D7490" s="52" t="s">
        <v>394</v>
      </c>
      <c r="E7490" s="52" t="s">
        <v>584</v>
      </c>
      <c r="F7490" s="52" t="s">
        <v>581</v>
      </c>
      <c r="G7490" s="55" t="s">
        <v>275</v>
      </c>
      <c r="H7490" s="55">
        <v>-4.2118500000000003E-2</v>
      </c>
      <c r="I7490" s="55">
        <v>-4.2978500000000003E-2</v>
      </c>
      <c r="J7490" s="55">
        <v>-3.0486050000000001E-2</v>
      </c>
      <c r="K7490" s="55">
        <v>-3.0887149999999999E-2</v>
      </c>
      <c r="L7490" s="55">
        <v>-0.4609357</v>
      </c>
      <c r="M7490" s="55">
        <v>-4.6508000000000001E-3</v>
      </c>
      <c r="N7490" s="55">
        <v>-4.6508000000000001E-3</v>
      </c>
    </row>
    <row r="7491" spans="1:14" hidden="1" x14ac:dyDescent="0.35">
      <c r="A7491" s="52" t="s">
        <v>741</v>
      </c>
      <c r="B7491" s="52" t="s">
        <v>34</v>
      </c>
      <c r="C7491" s="52" t="s">
        <v>394</v>
      </c>
      <c r="D7491" s="52" t="s">
        <v>394</v>
      </c>
      <c r="E7491" s="52" t="s">
        <v>584</v>
      </c>
      <c r="F7491" s="52" t="s">
        <v>581</v>
      </c>
      <c r="G7491" s="55" t="s">
        <v>276</v>
      </c>
      <c r="H7491" s="55">
        <v>-1.5185499999999999E-2</v>
      </c>
      <c r="I7491" s="55">
        <v>-1.4326E-2</v>
      </c>
      <c r="J7491" s="55">
        <v>-2.6818450000000001E-2</v>
      </c>
      <c r="K7491" s="55">
        <v>-2.6417349999999999E-2</v>
      </c>
      <c r="L7491" s="55">
        <v>-0.24820439999999999</v>
      </c>
      <c r="M7491" s="55">
        <v>-5.2653690000000003E-2</v>
      </c>
      <c r="N7491" s="55">
        <v>-5.2653690000000003E-2</v>
      </c>
    </row>
    <row r="7492" spans="1:14" hidden="1" x14ac:dyDescent="0.35">
      <c r="A7492" s="52" t="s">
        <v>741</v>
      </c>
      <c r="B7492" s="52" t="s">
        <v>34</v>
      </c>
      <c r="C7492" s="52" t="s">
        <v>394</v>
      </c>
      <c r="D7492" s="52" t="s">
        <v>394</v>
      </c>
      <c r="E7492" s="52" t="s">
        <v>584</v>
      </c>
      <c r="F7492" s="52" t="s">
        <v>581</v>
      </c>
      <c r="G7492" s="55" t="s">
        <v>278</v>
      </c>
      <c r="H7492" s="55">
        <v>5.7304500000000001E-2</v>
      </c>
      <c r="I7492" s="55">
        <v>5.7304500000000001E-2</v>
      </c>
      <c r="J7492" s="55">
        <v>5.7304500000000001E-2</v>
      </c>
      <c r="K7492" s="55">
        <v>5.7304500000000001E-2</v>
      </c>
      <c r="L7492" s="55">
        <v>0.70913990000000005</v>
      </c>
      <c r="M7492" s="55">
        <v>5.7304500000000001E-2</v>
      </c>
      <c r="N7492" s="55">
        <v>5.7304500000000001E-2</v>
      </c>
    </row>
    <row r="7493" spans="1:14" hidden="1" x14ac:dyDescent="0.35">
      <c r="A7493" s="52" t="s">
        <v>741</v>
      </c>
      <c r="B7493" s="52" t="s">
        <v>34</v>
      </c>
      <c r="C7493" s="52" t="s">
        <v>341</v>
      </c>
      <c r="D7493" s="52" t="s">
        <v>341</v>
      </c>
      <c r="E7493" s="52" t="s">
        <v>584</v>
      </c>
      <c r="F7493" s="52" t="s">
        <v>581</v>
      </c>
      <c r="G7493" s="55" t="s">
        <v>275</v>
      </c>
      <c r="H7493" s="55">
        <v>-8.9939430000000008E-3</v>
      </c>
      <c r="I7493" s="55">
        <v>-4.6971890000000002E-2</v>
      </c>
      <c r="J7493" s="55">
        <v>-3.304969E-3</v>
      </c>
      <c r="K7493" s="55">
        <v>-3.3050380000000002E-3</v>
      </c>
      <c r="L7493" s="55">
        <v>-4.7799959999999999E-3</v>
      </c>
      <c r="M7493" s="55">
        <v>-5.9472969999999998E-3</v>
      </c>
      <c r="N7493" s="55">
        <v>-5.9473449999999997E-3</v>
      </c>
    </row>
    <row r="7494" spans="1:14" hidden="1" x14ac:dyDescent="0.35">
      <c r="A7494" s="52" t="s">
        <v>741</v>
      </c>
      <c r="B7494" s="52" t="s">
        <v>34</v>
      </c>
      <c r="C7494" s="52" t="s">
        <v>341</v>
      </c>
      <c r="D7494" s="52" t="s">
        <v>341</v>
      </c>
      <c r="E7494" s="52" t="s">
        <v>584</v>
      </c>
      <c r="F7494" s="52" t="s">
        <v>581</v>
      </c>
      <c r="G7494" s="55" t="s">
        <v>276</v>
      </c>
      <c r="H7494" s="55">
        <v>-3.3264900000000001E-3</v>
      </c>
      <c r="I7494" s="55">
        <v>-6.0755879999999998E-3</v>
      </c>
      <c r="J7494" s="55">
        <v>-9.0155329999999992E-3</v>
      </c>
      <c r="K7494" s="55">
        <v>-9.0154629999999996E-3</v>
      </c>
      <c r="L7494" s="55">
        <v>-1.2812870000000001E-2</v>
      </c>
      <c r="M7494" s="55">
        <v>-6.3731370000000001E-3</v>
      </c>
      <c r="N7494" s="55">
        <v>-6.3730879999999998E-3</v>
      </c>
    </row>
    <row r="7495" spans="1:14" hidden="1" x14ac:dyDescent="0.35">
      <c r="A7495" s="52" t="s">
        <v>741</v>
      </c>
      <c r="B7495" s="52" t="s">
        <v>34</v>
      </c>
      <c r="C7495" s="52" t="s">
        <v>341</v>
      </c>
      <c r="D7495" s="52" t="s">
        <v>341</v>
      </c>
      <c r="E7495" s="52" t="s">
        <v>584</v>
      </c>
      <c r="F7495" s="52" t="s">
        <v>581</v>
      </c>
      <c r="G7495" s="55" t="s">
        <v>278</v>
      </c>
      <c r="H7495" s="55">
        <v>1.23205E-2</v>
      </c>
      <c r="I7495" s="55">
        <v>5.3047410000000003E-2</v>
      </c>
      <c r="J7495" s="55">
        <v>1.23205E-2</v>
      </c>
      <c r="K7495" s="55">
        <v>1.23205E-2</v>
      </c>
      <c r="L7495" s="55">
        <v>1.759293E-2</v>
      </c>
      <c r="M7495" s="55">
        <v>1.23205E-2</v>
      </c>
      <c r="N7495" s="55">
        <v>1.23205E-2</v>
      </c>
    </row>
    <row r="7496" spans="1:14" hidden="1" x14ac:dyDescent="0.35">
      <c r="A7496" s="52" t="s">
        <v>741</v>
      </c>
      <c r="B7496" s="52" t="s">
        <v>34</v>
      </c>
      <c r="C7496" s="52" t="s">
        <v>289</v>
      </c>
      <c r="D7496" s="52" t="s">
        <v>289</v>
      </c>
      <c r="E7496" s="52" t="s">
        <v>584</v>
      </c>
      <c r="F7496" s="52" t="s">
        <v>581</v>
      </c>
      <c r="G7496" s="55" t="s">
        <v>275</v>
      </c>
      <c r="H7496" s="55">
        <v>-1.250748E-2</v>
      </c>
      <c r="I7496" s="55">
        <v>-1.250748E-2</v>
      </c>
      <c r="J7496" s="55">
        <v>0</v>
      </c>
      <c r="K7496" s="55">
        <v>0</v>
      </c>
      <c r="L7496" s="55">
        <v>0</v>
      </c>
      <c r="M7496" s="55">
        <v>0</v>
      </c>
      <c r="N7496" s="55">
        <v>0</v>
      </c>
    </row>
    <row r="7497" spans="1:14" hidden="1" x14ac:dyDescent="0.35">
      <c r="A7497" s="52" t="s">
        <v>741</v>
      </c>
      <c r="B7497" s="52" t="s">
        <v>34</v>
      </c>
      <c r="C7497" s="52" t="s">
        <v>289</v>
      </c>
      <c r="D7497" s="52" t="s">
        <v>289</v>
      </c>
      <c r="E7497" s="52" t="s">
        <v>584</v>
      </c>
      <c r="F7497" s="52" t="s">
        <v>581</v>
      </c>
      <c r="G7497" s="55" t="s">
        <v>276</v>
      </c>
      <c r="H7497" s="55"/>
      <c r="I7497" s="55"/>
      <c r="J7497" s="55">
        <v>-1.250748E-2</v>
      </c>
      <c r="K7497" s="55">
        <v>-1.250748E-2</v>
      </c>
      <c r="L7497" s="55">
        <v>-5.4134130000000003E-2</v>
      </c>
      <c r="M7497" s="55">
        <v>-1.250748E-2</v>
      </c>
      <c r="N7497" s="55">
        <v>-1.250748E-2</v>
      </c>
    </row>
    <row r="7498" spans="1:14" hidden="1" x14ac:dyDescent="0.35">
      <c r="A7498" s="52" t="s">
        <v>741</v>
      </c>
      <c r="B7498" s="52" t="s">
        <v>34</v>
      </c>
      <c r="C7498" s="52" t="s">
        <v>289</v>
      </c>
      <c r="D7498" s="52" t="s">
        <v>289</v>
      </c>
      <c r="E7498" s="52" t="s">
        <v>584</v>
      </c>
      <c r="F7498" s="52" t="s">
        <v>581</v>
      </c>
      <c r="G7498" s="55" t="s">
        <v>278</v>
      </c>
      <c r="H7498" s="55">
        <v>1.250748E-2</v>
      </c>
      <c r="I7498" s="55">
        <v>1.250748E-2</v>
      </c>
      <c r="J7498" s="55">
        <v>1.250748E-2</v>
      </c>
      <c r="K7498" s="55">
        <v>1.250748E-2</v>
      </c>
      <c r="L7498" s="55">
        <v>5.4134130000000003E-2</v>
      </c>
      <c r="M7498" s="55">
        <v>1.250748E-2</v>
      </c>
      <c r="N7498" s="55">
        <v>1.250748E-2</v>
      </c>
    </row>
    <row r="7499" spans="1:14" hidden="1" x14ac:dyDescent="0.35">
      <c r="A7499" s="52" t="s">
        <v>741</v>
      </c>
      <c r="B7499" s="52" t="s">
        <v>34</v>
      </c>
      <c r="C7499" s="52" t="s">
        <v>289</v>
      </c>
      <c r="D7499" s="52" t="s">
        <v>289</v>
      </c>
      <c r="E7499" s="52" t="s">
        <v>584</v>
      </c>
      <c r="F7499" s="52" t="s">
        <v>26</v>
      </c>
      <c r="G7499" s="55" t="s">
        <v>275</v>
      </c>
      <c r="H7499" s="55">
        <v>-1.280768E-2</v>
      </c>
      <c r="I7499" s="55">
        <v>-1.280768E-2</v>
      </c>
      <c r="J7499" s="55">
        <v>0</v>
      </c>
      <c r="K7499" s="55">
        <v>0</v>
      </c>
      <c r="L7499" s="55">
        <v>0</v>
      </c>
      <c r="M7499" s="55">
        <v>0</v>
      </c>
      <c r="N7499" s="55">
        <v>0</v>
      </c>
    </row>
    <row r="7500" spans="1:14" hidden="1" x14ac:dyDescent="0.35">
      <c r="A7500" s="52" t="s">
        <v>741</v>
      </c>
      <c r="B7500" s="52" t="s">
        <v>34</v>
      </c>
      <c r="C7500" s="52" t="s">
        <v>289</v>
      </c>
      <c r="D7500" s="52" t="s">
        <v>289</v>
      </c>
      <c r="E7500" s="52" t="s">
        <v>584</v>
      </c>
      <c r="F7500" s="52" t="s">
        <v>26</v>
      </c>
      <c r="G7500" s="55" t="s">
        <v>277</v>
      </c>
      <c r="H7500" s="55"/>
      <c r="I7500" s="55"/>
      <c r="J7500" s="55"/>
      <c r="K7500" s="55"/>
      <c r="L7500" s="55"/>
      <c r="M7500" s="55"/>
      <c r="N7500" s="55">
        <v>0</v>
      </c>
    </row>
    <row r="7501" spans="1:14" hidden="1" x14ac:dyDescent="0.35">
      <c r="A7501" s="52" t="s">
        <v>741</v>
      </c>
      <c r="B7501" s="52" t="s">
        <v>34</v>
      </c>
      <c r="C7501" s="52" t="s">
        <v>289</v>
      </c>
      <c r="D7501" s="52" t="s">
        <v>289</v>
      </c>
      <c r="E7501" s="52" t="s">
        <v>584</v>
      </c>
      <c r="F7501" s="52" t="s">
        <v>26</v>
      </c>
      <c r="G7501" s="55" t="s">
        <v>278</v>
      </c>
      <c r="H7501" s="55">
        <v>1.280768E-2</v>
      </c>
      <c r="I7501" s="55">
        <v>1.280768E-2</v>
      </c>
      <c r="J7501" s="55">
        <v>0</v>
      </c>
      <c r="K7501" s="55">
        <v>0</v>
      </c>
      <c r="L7501" s="55">
        <v>0</v>
      </c>
      <c r="M7501" s="55">
        <v>0</v>
      </c>
      <c r="N7501" s="55">
        <v>0</v>
      </c>
    </row>
    <row r="7502" spans="1:14" hidden="1" x14ac:dyDescent="0.35">
      <c r="A7502" s="52" t="s">
        <v>762</v>
      </c>
      <c r="B7502" s="52" t="s">
        <v>37</v>
      </c>
      <c r="C7502" s="52" t="s">
        <v>79</v>
      </c>
      <c r="D7502" s="52" t="s">
        <v>79</v>
      </c>
      <c r="E7502" s="52" t="s">
        <v>614</v>
      </c>
      <c r="F7502" s="52" t="s">
        <v>581</v>
      </c>
      <c r="G7502" s="55" t="s">
        <v>275</v>
      </c>
      <c r="H7502" s="55">
        <v>24.65738</v>
      </c>
      <c r="I7502" s="55">
        <v>42.064500000000002</v>
      </c>
      <c r="J7502" s="55">
        <v>63.070790000000002</v>
      </c>
      <c r="K7502" s="55">
        <v>56.200040000000001</v>
      </c>
      <c r="L7502" s="55">
        <v>32.974170000000001</v>
      </c>
      <c r="M7502" s="55">
        <v>53.349539999999998</v>
      </c>
      <c r="N7502" s="55">
        <v>35.150289999999998</v>
      </c>
    </row>
    <row r="7503" spans="1:14" hidden="1" x14ac:dyDescent="0.35">
      <c r="A7503" s="52" t="s">
        <v>762</v>
      </c>
      <c r="B7503" s="52" t="s">
        <v>37</v>
      </c>
      <c r="C7503" s="52" t="s">
        <v>79</v>
      </c>
      <c r="D7503" s="52" t="s">
        <v>79</v>
      </c>
      <c r="E7503" s="52" t="s">
        <v>614</v>
      </c>
      <c r="F7503" s="52" t="s">
        <v>581</v>
      </c>
      <c r="G7503" s="55" t="s">
        <v>276</v>
      </c>
      <c r="H7503" s="55">
        <v>22.455249999999999</v>
      </c>
      <c r="I7503" s="55">
        <v>-0.4858403</v>
      </c>
      <c r="J7503" s="55">
        <v>-10.66948</v>
      </c>
      <c r="K7503" s="55">
        <v>-10.234970000000001</v>
      </c>
      <c r="L7503" s="55">
        <v>-3.5059260000000001</v>
      </c>
      <c r="M7503" s="55">
        <v>5.8146589999999998</v>
      </c>
      <c r="N7503" s="55">
        <v>5.1927070000000004</v>
      </c>
    </row>
    <row r="7504" spans="1:14" hidden="1" x14ac:dyDescent="0.35">
      <c r="A7504" s="52" t="s">
        <v>762</v>
      </c>
      <c r="B7504" s="52" t="s">
        <v>37</v>
      </c>
      <c r="C7504" s="52" t="s">
        <v>79</v>
      </c>
      <c r="D7504" s="52" t="s">
        <v>79</v>
      </c>
      <c r="E7504" s="52" t="s">
        <v>614</v>
      </c>
      <c r="F7504" s="52" t="s">
        <v>581</v>
      </c>
      <c r="G7504" s="55" t="s">
        <v>277</v>
      </c>
      <c r="H7504" s="55">
        <v>153.97149999999999</v>
      </c>
      <c r="I7504" s="55">
        <v>42.069710000000001</v>
      </c>
      <c r="J7504" s="55">
        <v>22.566980000000001</v>
      </c>
      <c r="K7504" s="55">
        <v>16.990960000000001</v>
      </c>
      <c r="L7504" s="55">
        <v>40.705710000000003</v>
      </c>
      <c r="M7504" s="55">
        <v>5.4652719999999997</v>
      </c>
      <c r="N7504" s="55">
        <v>8.2053290000000008</v>
      </c>
    </row>
    <row r="7505" spans="1:14" hidden="1" x14ac:dyDescent="0.35">
      <c r="A7505" s="52" t="s">
        <v>762</v>
      </c>
      <c r="B7505" s="52" t="s">
        <v>37</v>
      </c>
      <c r="C7505" s="52" t="s">
        <v>79</v>
      </c>
      <c r="D7505" s="52" t="s">
        <v>79</v>
      </c>
      <c r="E7505" s="52" t="s">
        <v>614</v>
      </c>
      <c r="F7505" s="52" t="s">
        <v>581</v>
      </c>
      <c r="G7505" s="55" t="s">
        <v>278</v>
      </c>
      <c r="H7505" s="55">
        <v>28.350490000000001</v>
      </c>
      <c r="I7505" s="55">
        <v>13.584949999999999</v>
      </c>
      <c r="J7505" s="55">
        <v>9.6568660000000008</v>
      </c>
      <c r="K7505" s="55">
        <v>9.9787839999999992</v>
      </c>
      <c r="L7505" s="55">
        <v>13.98147</v>
      </c>
      <c r="M7505" s="55">
        <v>0.79292910000000005</v>
      </c>
      <c r="N7505" s="55">
        <v>0.2</v>
      </c>
    </row>
    <row r="7506" spans="1:14" hidden="1" x14ac:dyDescent="0.35">
      <c r="A7506" s="52" t="s">
        <v>762</v>
      </c>
      <c r="B7506" s="52" t="s">
        <v>37</v>
      </c>
      <c r="C7506" s="52" t="s">
        <v>79</v>
      </c>
      <c r="D7506" s="52" t="s">
        <v>79</v>
      </c>
      <c r="E7506" s="52" t="s">
        <v>614</v>
      </c>
      <c r="F7506" s="52" t="s">
        <v>581</v>
      </c>
      <c r="G7506" s="55" t="s">
        <v>279</v>
      </c>
      <c r="H7506" s="55">
        <v>65.66986</v>
      </c>
      <c r="I7506" s="55">
        <v>45.075130000000001</v>
      </c>
      <c r="J7506" s="55">
        <v>36.105789999999999</v>
      </c>
      <c r="K7506" s="55">
        <v>32.904200000000003</v>
      </c>
      <c r="L7506" s="55">
        <v>35.114559999999997</v>
      </c>
      <c r="M7506" s="55">
        <v>34.35416</v>
      </c>
      <c r="N7506" s="55">
        <v>27.838439999999999</v>
      </c>
    </row>
    <row r="7507" spans="1:14" hidden="1" x14ac:dyDescent="0.35">
      <c r="A7507" s="52" t="s">
        <v>762</v>
      </c>
      <c r="B7507" s="52" t="s">
        <v>37</v>
      </c>
      <c r="C7507" s="52" t="s">
        <v>79</v>
      </c>
      <c r="D7507" s="52" t="s">
        <v>79</v>
      </c>
      <c r="E7507" s="52" t="s">
        <v>614</v>
      </c>
      <c r="F7507" s="52" t="s">
        <v>26</v>
      </c>
      <c r="G7507" s="55" t="s">
        <v>275</v>
      </c>
      <c r="H7507" s="55">
        <v>1.984335</v>
      </c>
      <c r="I7507" s="55">
        <v>1.5932379999999999</v>
      </c>
      <c r="J7507" s="55">
        <v>1.88506</v>
      </c>
      <c r="K7507" s="55">
        <v>1.4164639999999999</v>
      </c>
      <c r="L7507" s="55">
        <v>1.7337819999999999</v>
      </c>
      <c r="M7507" s="55">
        <v>0.84623510000000002</v>
      </c>
      <c r="N7507" s="55">
        <v>0.47789680000000001</v>
      </c>
    </row>
    <row r="7508" spans="1:14" hidden="1" x14ac:dyDescent="0.35">
      <c r="A7508" s="52" t="s">
        <v>762</v>
      </c>
      <c r="B7508" s="52" t="s">
        <v>37</v>
      </c>
      <c r="C7508" s="52" t="s">
        <v>79</v>
      </c>
      <c r="D7508" s="52" t="s">
        <v>79</v>
      </c>
      <c r="E7508" s="52" t="s">
        <v>614</v>
      </c>
      <c r="F7508" s="52" t="s">
        <v>26</v>
      </c>
      <c r="G7508" s="55" t="s">
        <v>276</v>
      </c>
      <c r="H7508" s="55">
        <v>0.57523400000000002</v>
      </c>
      <c r="I7508" s="55">
        <v>0.46185910000000002</v>
      </c>
      <c r="J7508" s="55">
        <v>0.54646019999999995</v>
      </c>
      <c r="K7508" s="55">
        <v>0.4106187</v>
      </c>
      <c r="L7508" s="55">
        <v>0.5026081</v>
      </c>
      <c r="M7508" s="55">
        <v>0.24531449999999999</v>
      </c>
      <c r="N7508" s="55">
        <v>0.13853860000000001</v>
      </c>
    </row>
    <row r="7509" spans="1:14" hidden="1" x14ac:dyDescent="0.35">
      <c r="A7509" s="52" t="s">
        <v>762</v>
      </c>
      <c r="B7509" s="52" t="s">
        <v>37</v>
      </c>
      <c r="C7509" s="52" t="s">
        <v>79</v>
      </c>
      <c r="D7509" s="52" t="s">
        <v>79</v>
      </c>
      <c r="E7509" s="52" t="s">
        <v>614</v>
      </c>
      <c r="F7509" s="52" t="s">
        <v>26</v>
      </c>
      <c r="G7509" s="55" t="s">
        <v>279</v>
      </c>
      <c r="H7509" s="55">
        <v>9.0940999999999992</v>
      </c>
      <c r="I7509" s="55">
        <v>7.7483690000000003</v>
      </c>
      <c r="J7509" s="55">
        <v>6.3980249999999996</v>
      </c>
      <c r="K7509" s="55">
        <v>5.8332090000000001</v>
      </c>
      <c r="L7509" s="55">
        <v>6.3440719999999997</v>
      </c>
      <c r="M7509" s="55">
        <v>5.8645719999999999</v>
      </c>
      <c r="N7509" s="55">
        <v>4.5040089999999999</v>
      </c>
    </row>
    <row r="7510" spans="1:14" hidden="1" x14ac:dyDescent="0.35">
      <c r="A7510" s="52" t="s">
        <v>762</v>
      </c>
      <c r="B7510" s="52" t="s">
        <v>37</v>
      </c>
      <c r="C7510" s="52" t="s">
        <v>79</v>
      </c>
      <c r="D7510" s="52" t="s">
        <v>79</v>
      </c>
      <c r="E7510" s="52" t="s">
        <v>601</v>
      </c>
      <c r="F7510" s="52" t="s">
        <v>581</v>
      </c>
      <c r="G7510" s="55" t="s">
        <v>275</v>
      </c>
      <c r="H7510" s="55">
        <v>38.871499999999997</v>
      </c>
      <c r="I7510" s="55">
        <v>42.145780000000002</v>
      </c>
      <c r="J7510" s="55">
        <v>57.04936</v>
      </c>
      <c r="K7510" s="55">
        <v>53.0593</v>
      </c>
      <c r="L7510" s="55">
        <v>38.490340000000003</v>
      </c>
      <c r="M7510" s="55">
        <v>27.3414</v>
      </c>
      <c r="N7510" s="55">
        <v>24.46424</v>
      </c>
    </row>
    <row r="7511" spans="1:14" hidden="1" x14ac:dyDescent="0.35">
      <c r="A7511" s="52" t="s">
        <v>762</v>
      </c>
      <c r="B7511" s="52" t="s">
        <v>37</v>
      </c>
      <c r="C7511" s="52" t="s">
        <v>79</v>
      </c>
      <c r="D7511" s="52" t="s">
        <v>79</v>
      </c>
      <c r="E7511" s="52" t="s">
        <v>601</v>
      </c>
      <c r="F7511" s="52" t="s">
        <v>581</v>
      </c>
      <c r="G7511" s="55" t="s">
        <v>276</v>
      </c>
      <c r="H7511" s="55">
        <v>23.294899999999998</v>
      </c>
      <c r="I7511" s="55">
        <v>3.318851</v>
      </c>
      <c r="J7511" s="55">
        <v>-2.733692</v>
      </c>
      <c r="K7511" s="55">
        <v>-4.4135809999999998</v>
      </c>
      <c r="L7511" s="55">
        <v>-1.3679779999999999</v>
      </c>
      <c r="M7511" s="55">
        <v>5.7978490000000003</v>
      </c>
      <c r="N7511" s="55">
        <v>7.5848250000000004</v>
      </c>
    </row>
    <row r="7512" spans="1:14" hidden="1" x14ac:dyDescent="0.35">
      <c r="A7512" s="52" t="s">
        <v>762</v>
      </c>
      <c r="B7512" s="52" t="s">
        <v>37</v>
      </c>
      <c r="C7512" s="52" t="s">
        <v>79</v>
      </c>
      <c r="D7512" s="52" t="s">
        <v>79</v>
      </c>
      <c r="E7512" s="52" t="s">
        <v>601</v>
      </c>
      <c r="F7512" s="52" t="s">
        <v>581</v>
      </c>
      <c r="G7512" s="55" t="s">
        <v>277</v>
      </c>
      <c r="H7512" s="55">
        <v>112.1965</v>
      </c>
      <c r="I7512" s="55">
        <v>29.509609999999999</v>
      </c>
      <c r="J7512" s="55">
        <v>13.83901</v>
      </c>
      <c r="K7512" s="55">
        <v>7.009811</v>
      </c>
      <c r="L7512" s="55">
        <v>13.635870000000001</v>
      </c>
      <c r="M7512" s="55">
        <v>15.1158</v>
      </c>
      <c r="N7512" s="55">
        <v>18.324909999999999</v>
      </c>
    </row>
    <row r="7513" spans="1:14" hidden="1" x14ac:dyDescent="0.35">
      <c r="A7513" s="52" t="s">
        <v>762</v>
      </c>
      <c r="B7513" s="52" t="s">
        <v>37</v>
      </c>
      <c r="C7513" s="52" t="s">
        <v>79</v>
      </c>
      <c r="D7513" s="52" t="s">
        <v>79</v>
      </c>
      <c r="E7513" s="52" t="s">
        <v>601</v>
      </c>
      <c r="F7513" s="52" t="s">
        <v>581</v>
      </c>
      <c r="G7513" s="55" t="s">
        <v>278</v>
      </c>
      <c r="H7513" s="55">
        <v>15.66597</v>
      </c>
      <c r="I7513" s="55">
        <v>6.5853820000000001</v>
      </c>
      <c r="J7513" s="55">
        <v>3.9035980000000001</v>
      </c>
      <c r="K7513" s="55">
        <v>3.770051</v>
      </c>
      <c r="L7513" s="55">
        <v>5.5774249999999999</v>
      </c>
      <c r="M7513" s="55">
        <v>4.2902659999999999</v>
      </c>
      <c r="N7513" s="55">
        <v>4.1809250000000002</v>
      </c>
    </row>
    <row r="7514" spans="1:14" hidden="1" x14ac:dyDescent="0.35">
      <c r="A7514" s="52" t="s">
        <v>762</v>
      </c>
      <c r="B7514" s="52" t="s">
        <v>37</v>
      </c>
      <c r="C7514" s="52" t="s">
        <v>79</v>
      </c>
      <c r="D7514" s="52" t="s">
        <v>79</v>
      </c>
      <c r="E7514" s="52" t="s">
        <v>601</v>
      </c>
      <c r="F7514" s="52" t="s">
        <v>581</v>
      </c>
      <c r="G7514" s="55" t="s">
        <v>279</v>
      </c>
      <c r="H7514" s="55">
        <v>43.184780000000003</v>
      </c>
      <c r="I7514" s="55">
        <v>30.54589</v>
      </c>
      <c r="J7514" s="55">
        <v>25.67174</v>
      </c>
      <c r="K7514" s="55">
        <v>22.026</v>
      </c>
      <c r="L7514" s="55">
        <v>19.74878</v>
      </c>
      <c r="M7514" s="55">
        <v>21.437000000000001</v>
      </c>
      <c r="N7514" s="55">
        <v>22.069579999999998</v>
      </c>
    </row>
    <row r="7515" spans="1:14" hidden="1" x14ac:dyDescent="0.35">
      <c r="A7515" s="52" t="s">
        <v>762</v>
      </c>
      <c r="B7515" s="52" t="s">
        <v>37</v>
      </c>
      <c r="C7515" s="52" t="s">
        <v>79</v>
      </c>
      <c r="D7515" s="52" t="s">
        <v>79</v>
      </c>
      <c r="E7515" s="52" t="s">
        <v>601</v>
      </c>
      <c r="F7515" s="52" t="s">
        <v>26</v>
      </c>
      <c r="G7515" s="55" t="s">
        <v>275</v>
      </c>
      <c r="H7515" s="55">
        <v>5.6718669999999998</v>
      </c>
      <c r="I7515" s="55">
        <v>4.4316490000000002</v>
      </c>
      <c r="J7515" s="55">
        <v>4.4859419999999997</v>
      </c>
      <c r="K7515" s="55">
        <v>3.5261960000000001</v>
      </c>
      <c r="L7515" s="55">
        <v>3.3636870000000001</v>
      </c>
      <c r="M7515" s="55">
        <v>2.8215599999999998</v>
      </c>
      <c r="N7515" s="55">
        <v>2.9101080000000001</v>
      </c>
    </row>
    <row r="7516" spans="1:14" hidden="1" x14ac:dyDescent="0.35">
      <c r="A7516" s="52" t="s">
        <v>762</v>
      </c>
      <c r="B7516" s="52" t="s">
        <v>37</v>
      </c>
      <c r="C7516" s="52" t="s">
        <v>79</v>
      </c>
      <c r="D7516" s="52" t="s">
        <v>79</v>
      </c>
      <c r="E7516" s="52" t="s">
        <v>601</v>
      </c>
      <c r="F7516" s="52" t="s">
        <v>26</v>
      </c>
      <c r="G7516" s="55" t="s">
        <v>276</v>
      </c>
      <c r="H7516" s="55">
        <v>1.5077160000000001</v>
      </c>
      <c r="I7516" s="55">
        <v>1.178032</v>
      </c>
      <c r="J7516" s="55">
        <v>1.1924650000000001</v>
      </c>
      <c r="K7516" s="55">
        <v>0.93734300000000004</v>
      </c>
      <c r="L7516" s="55">
        <v>0.89414190000000004</v>
      </c>
      <c r="M7516" s="55">
        <v>0.7500346</v>
      </c>
      <c r="N7516" s="55">
        <v>0.77357359999999997</v>
      </c>
    </row>
    <row r="7517" spans="1:14" hidden="1" x14ac:dyDescent="0.35">
      <c r="A7517" s="52" t="s">
        <v>762</v>
      </c>
      <c r="B7517" s="52" t="s">
        <v>37</v>
      </c>
      <c r="C7517" s="52" t="s">
        <v>79</v>
      </c>
      <c r="D7517" s="52" t="s">
        <v>79</v>
      </c>
      <c r="E7517" s="52" t="s">
        <v>601</v>
      </c>
      <c r="F7517" s="52" t="s">
        <v>26</v>
      </c>
      <c r="G7517" s="55" t="s">
        <v>279</v>
      </c>
      <c r="H7517" s="55">
        <v>9.642887</v>
      </c>
      <c r="I7517" s="55">
        <v>8.2452959999999997</v>
      </c>
      <c r="J7517" s="55">
        <v>6.965859</v>
      </c>
      <c r="K7517" s="55">
        <v>6.0843870000000004</v>
      </c>
      <c r="L7517" s="55">
        <v>5.5583539999999996</v>
      </c>
      <c r="M7517" s="55">
        <v>5.9615479999999996</v>
      </c>
      <c r="N7517" s="55">
        <v>6.1262970000000001</v>
      </c>
    </row>
    <row r="7518" spans="1:14" hidden="1" x14ac:dyDescent="0.35">
      <c r="A7518" s="52" t="s">
        <v>762</v>
      </c>
      <c r="B7518" s="52" t="s">
        <v>37</v>
      </c>
      <c r="C7518" s="52" t="s">
        <v>79</v>
      </c>
      <c r="D7518" s="52" t="s">
        <v>79</v>
      </c>
      <c r="E7518" s="52" t="s">
        <v>584</v>
      </c>
      <c r="F7518" s="52" t="s">
        <v>581</v>
      </c>
      <c r="G7518" s="55" t="s">
        <v>275</v>
      </c>
      <c r="H7518" s="55">
        <v>-5.5503479999999996</v>
      </c>
      <c r="I7518" s="55">
        <v>1.73089</v>
      </c>
      <c r="J7518" s="55">
        <v>13.009270000000001</v>
      </c>
      <c r="K7518" s="55">
        <v>16.556570000000001</v>
      </c>
      <c r="L7518" s="55">
        <v>12.984830000000001</v>
      </c>
      <c r="M7518" s="55">
        <v>5.598255</v>
      </c>
      <c r="N7518" s="55">
        <v>-14.81954</v>
      </c>
    </row>
    <row r="7519" spans="1:14" hidden="1" x14ac:dyDescent="0.35">
      <c r="A7519" s="52" t="s">
        <v>762</v>
      </c>
      <c r="B7519" s="52" t="s">
        <v>37</v>
      </c>
      <c r="C7519" s="52" t="s">
        <v>79</v>
      </c>
      <c r="D7519" s="52" t="s">
        <v>79</v>
      </c>
      <c r="E7519" s="52" t="s">
        <v>584</v>
      </c>
      <c r="F7519" s="52" t="s">
        <v>581</v>
      </c>
      <c r="G7519" s="55" t="s">
        <v>276</v>
      </c>
      <c r="H7519" s="55">
        <v>8.9589250000000007</v>
      </c>
      <c r="I7519" s="55">
        <v>0.76225189999999998</v>
      </c>
      <c r="J7519" s="55">
        <v>-0.20843999999999999</v>
      </c>
      <c r="K7519" s="55">
        <v>-2.5359669999999999</v>
      </c>
      <c r="L7519" s="55">
        <v>-2.1691289999999999</v>
      </c>
      <c r="M7519" s="55">
        <v>0.85975460000000004</v>
      </c>
      <c r="N7519" s="55">
        <v>1.5710139999999999</v>
      </c>
    </row>
    <row r="7520" spans="1:14" hidden="1" x14ac:dyDescent="0.35">
      <c r="A7520" s="52" t="s">
        <v>762</v>
      </c>
      <c r="B7520" s="52" t="s">
        <v>37</v>
      </c>
      <c r="C7520" s="52" t="s">
        <v>79</v>
      </c>
      <c r="D7520" s="52" t="s">
        <v>79</v>
      </c>
      <c r="E7520" s="52" t="s">
        <v>584</v>
      </c>
      <c r="F7520" s="52" t="s">
        <v>581</v>
      </c>
      <c r="G7520" s="55" t="s">
        <v>277</v>
      </c>
      <c r="H7520" s="55">
        <v>60.678899999999999</v>
      </c>
      <c r="I7520" s="55">
        <v>24.207239999999999</v>
      </c>
      <c r="J7520" s="55">
        <v>14.208130000000001</v>
      </c>
      <c r="K7520" s="55">
        <v>10.98038</v>
      </c>
      <c r="L7520" s="55">
        <v>13.602980000000001</v>
      </c>
      <c r="M7520" s="55">
        <v>16.74081</v>
      </c>
      <c r="N7520" s="55">
        <v>40.678469999999997</v>
      </c>
    </row>
    <row r="7521" spans="1:14" hidden="1" x14ac:dyDescent="0.35">
      <c r="A7521" s="52" t="s">
        <v>762</v>
      </c>
      <c r="B7521" s="52" t="s">
        <v>37</v>
      </c>
      <c r="C7521" s="52" t="s">
        <v>79</v>
      </c>
      <c r="D7521" s="52" t="s">
        <v>79</v>
      </c>
      <c r="E7521" s="52" t="s">
        <v>584</v>
      </c>
      <c r="F7521" s="52" t="s">
        <v>581</v>
      </c>
      <c r="G7521" s="55" t="s">
        <v>278</v>
      </c>
      <c r="H7521" s="55">
        <v>2.757066</v>
      </c>
      <c r="I7521" s="55">
        <v>1.3965350000000001</v>
      </c>
      <c r="J7521" s="55">
        <v>0.80438390000000004</v>
      </c>
      <c r="K7521" s="55">
        <v>0.61717299999999997</v>
      </c>
      <c r="L7521" s="55">
        <v>0.44392730000000002</v>
      </c>
      <c r="M7521" s="55">
        <v>0</v>
      </c>
      <c r="N7521" s="55"/>
    </row>
    <row r="7522" spans="1:14" hidden="1" x14ac:dyDescent="0.35">
      <c r="A7522" s="52" t="s">
        <v>762</v>
      </c>
      <c r="B7522" s="52" t="s">
        <v>37</v>
      </c>
      <c r="C7522" s="52" t="s">
        <v>79</v>
      </c>
      <c r="D7522" s="52" t="s">
        <v>79</v>
      </c>
      <c r="E7522" s="52" t="s">
        <v>584</v>
      </c>
      <c r="F7522" s="52" t="s">
        <v>581</v>
      </c>
      <c r="G7522" s="55" t="s">
        <v>279</v>
      </c>
      <c r="H7522" s="55">
        <v>20.050719999999998</v>
      </c>
      <c r="I7522" s="55">
        <v>15.181010000000001</v>
      </c>
      <c r="J7522" s="55">
        <v>14.071149999999999</v>
      </c>
      <c r="K7522" s="55">
        <v>13.415800000000001</v>
      </c>
      <c r="L7522" s="55">
        <v>12.16085</v>
      </c>
      <c r="M7522" s="55">
        <v>13.55101</v>
      </c>
      <c r="N7522" s="55">
        <v>15.561400000000001</v>
      </c>
    </row>
    <row r="7523" spans="1:14" hidden="1" x14ac:dyDescent="0.35">
      <c r="A7523" s="52" t="s">
        <v>762</v>
      </c>
      <c r="B7523" s="52" t="s">
        <v>37</v>
      </c>
      <c r="C7523" s="52" t="s">
        <v>79</v>
      </c>
      <c r="D7523" s="52" t="s">
        <v>79</v>
      </c>
      <c r="E7523" s="52" t="s">
        <v>584</v>
      </c>
      <c r="F7523" s="52" t="s">
        <v>26</v>
      </c>
      <c r="G7523" s="55" t="s">
        <v>275</v>
      </c>
      <c r="H7523" s="55">
        <v>7.6838110000000004</v>
      </c>
      <c r="I7523" s="55">
        <v>6.3887729999999996</v>
      </c>
      <c r="J7523" s="55">
        <v>8.6442409999999992</v>
      </c>
      <c r="K7523" s="55">
        <v>7.656155</v>
      </c>
      <c r="L7523" s="55">
        <v>7.8923699999999997</v>
      </c>
      <c r="M7523" s="55">
        <v>6.153689</v>
      </c>
      <c r="N7523" s="55">
        <v>7.4632050000000003</v>
      </c>
    </row>
    <row r="7524" spans="1:14" hidden="1" x14ac:dyDescent="0.35">
      <c r="A7524" s="52" t="s">
        <v>762</v>
      </c>
      <c r="B7524" s="52" t="s">
        <v>37</v>
      </c>
      <c r="C7524" s="52" t="s">
        <v>79</v>
      </c>
      <c r="D7524" s="52" t="s">
        <v>79</v>
      </c>
      <c r="E7524" s="52" t="s">
        <v>584</v>
      </c>
      <c r="F7524" s="52" t="s">
        <v>26</v>
      </c>
      <c r="G7524" s="55" t="s">
        <v>276</v>
      </c>
      <c r="H7524" s="55">
        <v>2.0286059999999999</v>
      </c>
      <c r="I7524" s="55">
        <v>1.4818770000000001</v>
      </c>
      <c r="J7524" s="55">
        <v>2.0429580000000001</v>
      </c>
      <c r="K7524" s="55">
        <v>1.7073609999999999</v>
      </c>
      <c r="L7524" s="55">
        <v>1.7600499999999999</v>
      </c>
      <c r="M7524" s="55">
        <v>1.379491</v>
      </c>
      <c r="N7524" s="55">
        <v>1.786545</v>
      </c>
    </row>
    <row r="7525" spans="1:14" hidden="1" x14ac:dyDescent="0.35">
      <c r="A7525" s="52" t="s">
        <v>762</v>
      </c>
      <c r="B7525" s="52" t="s">
        <v>37</v>
      </c>
      <c r="C7525" s="52" t="s">
        <v>79</v>
      </c>
      <c r="D7525" s="52" t="s">
        <v>79</v>
      </c>
      <c r="E7525" s="52" t="s">
        <v>584</v>
      </c>
      <c r="F7525" s="52" t="s">
        <v>26</v>
      </c>
      <c r="G7525" s="55" t="s">
        <v>277</v>
      </c>
      <c r="H7525" s="55">
        <v>4.2993699999999997</v>
      </c>
      <c r="I7525" s="55">
        <v>3.4468770000000002</v>
      </c>
      <c r="J7525" s="55">
        <v>2.8129170000000001</v>
      </c>
      <c r="K7525" s="55">
        <v>2.3354240000000002</v>
      </c>
      <c r="L7525" s="55">
        <v>1.970588</v>
      </c>
      <c r="M7525" s="55">
        <v>1.687422</v>
      </c>
      <c r="N7525" s="55">
        <v>1.4639390000000001</v>
      </c>
    </row>
    <row r="7526" spans="1:14" hidden="1" x14ac:dyDescent="0.35">
      <c r="A7526" s="52" t="s">
        <v>762</v>
      </c>
      <c r="B7526" s="52" t="s">
        <v>37</v>
      </c>
      <c r="C7526" s="52" t="s">
        <v>79</v>
      </c>
      <c r="D7526" s="52" t="s">
        <v>79</v>
      </c>
      <c r="E7526" s="52" t="s">
        <v>584</v>
      </c>
      <c r="F7526" s="52" t="s">
        <v>26</v>
      </c>
      <c r="G7526" s="55" t="s">
        <v>279</v>
      </c>
      <c r="H7526" s="55">
        <v>26.788609999999998</v>
      </c>
      <c r="I7526" s="55">
        <v>24.252939999999999</v>
      </c>
      <c r="J7526" s="55">
        <v>22.96528</v>
      </c>
      <c r="K7526" s="55">
        <v>22.43872</v>
      </c>
      <c r="L7526" s="55">
        <v>20.914539999999999</v>
      </c>
      <c r="M7526" s="55">
        <v>23.083159999999999</v>
      </c>
      <c r="N7526" s="55">
        <v>26.41488</v>
      </c>
    </row>
    <row r="7527" spans="1:14" hidden="1" x14ac:dyDescent="0.35">
      <c r="A7527" s="52" t="s">
        <v>762</v>
      </c>
      <c r="B7527" s="52" t="s">
        <v>37</v>
      </c>
      <c r="C7527" s="52" t="s">
        <v>79</v>
      </c>
      <c r="D7527" s="52" t="s">
        <v>79</v>
      </c>
      <c r="E7527" s="52" t="s">
        <v>640</v>
      </c>
      <c r="F7527" s="52" t="s">
        <v>581</v>
      </c>
      <c r="G7527" s="55" t="s">
        <v>275</v>
      </c>
      <c r="H7527" s="55">
        <v>2.4337559999999998</v>
      </c>
      <c r="I7527" s="55">
        <v>4.7892669999999997</v>
      </c>
      <c r="J7527" s="55">
        <v>4.7533709999999996</v>
      </c>
      <c r="K7527" s="55">
        <v>6.6374899999999997</v>
      </c>
      <c r="L7527" s="55">
        <v>4.6386180000000001</v>
      </c>
      <c r="M7527" s="55">
        <v>3.763938</v>
      </c>
      <c r="N7527" s="55">
        <v>3.5018590000000001</v>
      </c>
    </row>
    <row r="7528" spans="1:14" hidden="1" x14ac:dyDescent="0.35">
      <c r="A7528" s="52" t="s">
        <v>762</v>
      </c>
      <c r="B7528" s="52" t="s">
        <v>37</v>
      </c>
      <c r="C7528" s="52" t="s">
        <v>79</v>
      </c>
      <c r="D7528" s="52" t="s">
        <v>79</v>
      </c>
      <c r="E7528" s="52" t="s">
        <v>640</v>
      </c>
      <c r="F7528" s="52" t="s">
        <v>581</v>
      </c>
      <c r="G7528" s="55" t="s">
        <v>276</v>
      </c>
      <c r="H7528" s="55">
        <v>2.5318170000000002</v>
      </c>
      <c r="I7528" s="55">
        <v>3.5371800000000002E-2</v>
      </c>
      <c r="J7528" s="55">
        <v>-0.48094209999999998</v>
      </c>
      <c r="K7528" s="55">
        <v>-1.3287199999999999</v>
      </c>
      <c r="L7528" s="55">
        <v>-0.40411439999999998</v>
      </c>
      <c r="M7528" s="55">
        <v>0.69395819999999997</v>
      </c>
      <c r="N7528" s="55">
        <v>0.71680860000000002</v>
      </c>
    </row>
    <row r="7529" spans="1:14" hidden="1" x14ac:dyDescent="0.35">
      <c r="A7529" s="52" t="s">
        <v>762</v>
      </c>
      <c r="B7529" s="52" t="s">
        <v>37</v>
      </c>
      <c r="C7529" s="52" t="s">
        <v>79</v>
      </c>
      <c r="D7529" s="52" t="s">
        <v>79</v>
      </c>
      <c r="E7529" s="52" t="s">
        <v>640</v>
      </c>
      <c r="F7529" s="52" t="s">
        <v>581</v>
      </c>
      <c r="G7529" s="55" t="s">
        <v>277</v>
      </c>
      <c r="H7529" s="55">
        <v>12.95092</v>
      </c>
      <c r="I7529" s="55">
        <v>2.5430229999999998</v>
      </c>
      <c r="J7529" s="55">
        <v>1.6501239999999999</v>
      </c>
      <c r="K7529" s="55">
        <v>0.6239306</v>
      </c>
      <c r="L7529" s="55">
        <v>1.42577</v>
      </c>
      <c r="M7529" s="55">
        <v>0.93354300000000001</v>
      </c>
      <c r="N7529" s="55">
        <v>1.0802929999999999</v>
      </c>
    </row>
    <row r="7530" spans="1:14" hidden="1" x14ac:dyDescent="0.35">
      <c r="A7530" s="52" t="s">
        <v>762</v>
      </c>
      <c r="B7530" s="52" t="s">
        <v>37</v>
      </c>
      <c r="C7530" s="52" t="s">
        <v>79</v>
      </c>
      <c r="D7530" s="52" t="s">
        <v>79</v>
      </c>
      <c r="E7530" s="52" t="s">
        <v>640</v>
      </c>
      <c r="F7530" s="52" t="s">
        <v>581</v>
      </c>
      <c r="G7530" s="55" t="s">
        <v>278</v>
      </c>
      <c r="H7530" s="55">
        <v>4.0014409999999998</v>
      </c>
      <c r="I7530" s="55">
        <v>1.210348</v>
      </c>
      <c r="J7530" s="55">
        <v>1.581207</v>
      </c>
      <c r="K7530" s="55">
        <v>1.264923</v>
      </c>
      <c r="L7530" s="55">
        <v>1.0882419999999999</v>
      </c>
      <c r="M7530" s="55">
        <v>0.494226</v>
      </c>
      <c r="N7530" s="55">
        <v>0.21725700000000001</v>
      </c>
    </row>
    <row r="7531" spans="1:14" hidden="1" x14ac:dyDescent="0.35">
      <c r="A7531" s="52" t="s">
        <v>762</v>
      </c>
      <c r="B7531" s="52" t="s">
        <v>37</v>
      </c>
      <c r="C7531" s="52" t="s">
        <v>79</v>
      </c>
      <c r="D7531" s="52" t="s">
        <v>79</v>
      </c>
      <c r="E7531" s="52" t="s">
        <v>640</v>
      </c>
      <c r="F7531" s="52" t="s">
        <v>581</v>
      </c>
      <c r="G7531" s="55" t="s">
        <v>279</v>
      </c>
      <c r="H7531" s="55">
        <v>7.9058330000000003</v>
      </c>
      <c r="I7531" s="55">
        <v>5.7974160000000001</v>
      </c>
      <c r="J7531" s="55">
        <v>4.7513439999999996</v>
      </c>
      <c r="K7531" s="55">
        <v>4.7299199999999999</v>
      </c>
      <c r="L7531" s="55">
        <v>4.0644549999999997</v>
      </c>
      <c r="M7531" s="55">
        <v>4.3192620000000002</v>
      </c>
      <c r="N7531" s="55">
        <v>3.9877060000000002</v>
      </c>
    </row>
    <row r="7532" spans="1:14" hidden="1" x14ac:dyDescent="0.35">
      <c r="A7532" s="52" t="s">
        <v>762</v>
      </c>
      <c r="B7532" s="52" t="s">
        <v>37</v>
      </c>
      <c r="C7532" s="52" t="s">
        <v>79</v>
      </c>
      <c r="D7532" s="52" t="s">
        <v>79</v>
      </c>
      <c r="E7532" s="52" t="s">
        <v>640</v>
      </c>
      <c r="F7532" s="52" t="s">
        <v>26</v>
      </c>
      <c r="G7532" s="55" t="s">
        <v>275</v>
      </c>
      <c r="H7532" s="55">
        <v>7.1539999999999998E-3</v>
      </c>
      <c r="I7532" s="55">
        <v>6.5960019999999995E-4</v>
      </c>
      <c r="J7532" s="55">
        <v>1.0706E-2</v>
      </c>
      <c r="K7532" s="55">
        <v>5.9502000000000001E-3</v>
      </c>
      <c r="L7532" s="55">
        <v>9.3795010000000002E-3</v>
      </c>
      <c r="M7532" s="55">
        <v>-3.5812000000000001E-3</v>
      </c>
      <c r="N7532" s="55">
        <v>-3.0576000000000002E-3</v>
      </c>
    </row>
    <row r="7533" spans="1:14" hidden="1" x14ac:dyDescent="0.35">
      <c r="A7533" s="52" t="s">
        <v>762</v>
      </c>
      <c r="B7533" s="52" t="s">
        <v>37</v>
      </c>
      <c r="C7533" s="52" t="s">
        <v>79</v>
      </c>
      <c r="D7533" s="52" t="s">
        <v>79</v>
      </c>
      <c r="E7533" s="52" t="s">
        <v>640</v>
      </c>
      <c r="F7533" s="52" t="s">
        <v>26</v>
      </c>
      <c r="G7533" s="55" t="s">
        <v>276</v>
      </c>
      <c r="H7533" s="55">
        <v>2.0739999999999999E-3</v>
      </c>
      <c r="I7533" s="55">
        <v>1.916E-4</v>
      </c>
      <c r="J7533" s="55">
        <v>3.1034000000000001E-3</v>
      </c>
      <c r="K7533" s="55">
        <v>1.7259E-3</v>
      </c>
      <c r="L7533" s="55">
        <v>2.7188999999999998E-3</v>
      </c>
      <c r="M7533" s="55">
        <v>-1.0384000000000001E-3</v>
      </c>
      <c r="N7533" s="55">
        <v>-8.8670000000000003E-4</v>
      </c>
    </row>
    <row r="7534" spans="1:14" hidden="1" x14ac:dyDescent="0.35">
      <c r="A7534" s="52" t="s">
        <v>762</v>
      </c>
      <c r="B7534" s="52" t="s">
        <v>37</v>
      </c>
      <c r="C7534" s="52" t="s">
        <v>79</v>
      </c>
      <c r="D7534" s="52" t="s">
        <v>79</v>
      </c>
      <c r="E7534" s="52" t="s">
        <v>640</v>
      </c>
      <c r="F7534" s="52" t="s">
        <v>26</v>
      </c>
      <c r="G7534" s="55" t="s">
        <v>279</v>
      </c>
      <c r="H7534" s="55">
        <v>0.225776</v>
      </c>
      <c r="I7534" s="55">
        <v>0.19313759999999999</v>
      </c>
      <c r="J7534" s="55">
        <v>0.15951460000000001</v>
      </c>
      <c r="K7534" s="55">
        <v>0.16035099999999999</v>
      </c>
      <c r="L7534" s="55">
        <v>0.13985410000000001</v>
      </c>
      <c r="M7534" s="55">
        <v>0.14634510000000001</v>
      </c>
      <c r="N7534" s="55">
        <v>0.13485369999999999</v>
      </c>
    </row>
    <row r="7535" spans="1:14" hidden="1" x14ac:dyDescent="0.35">
      <c r="A7535" s="52" t="s">
        <v>762</v>
      </c>
      <c r="B7535" s="52" t="s">
        <v>37</v>
      </c>
      <c r="C7535" s="52" t="s">
        <v>46</v>
      </c>
      <c r="D7535" s="52" t="s">
        <v>46</v>
      </c>
      <c r="E7535" s="52" t="s">
        <v>584</v>
      </c>
      <c r="F7535" s="52" t="s">
        <v>581</v>
      </c>
      <c r="G7535" s="55" t="s">
        <v>275</v>
      </c>
      <c r="H7535" s="55">
        <v>4.7753290000000002</v>
      </c>
      <c r="I7535" s="55">
        <v>1.4005719999999999</v>
      </c>
      <c r="J7535" s="55">
        <v>1.3347119999999999</v>
      </c>
      <c r="K7535" s="55">
        <v>1.1877599999999999</v>
      </c>
      <c r="L7535" s="55">
        <v>1.1507229999999999</v>
      </c>
      <c r="M7535" s="55">
        <v>0.89963380000000004</v>
      </c>
      <c r="N7535" s="55">
        <v>0.83124920000000002</v>
      </c>
    </row>
    <row r="7536" spans="1:14" hidden="1" x14ac:dyDescent="0.35">
      <c r="A7536" s="52" t="s">
        <v>762</v>
      </c>
      <c r="B7536" s="52" t="s">
        <v>37</v>
      </c>
      <c r="C7536" s="52" t="s">
        <v>46</v>
      </c>
      <c r="D7536" s="52" t="s">
        <v>46</v>
      </c>
      <c r="E7536" s="52" t="s">
        <v>584</v>
      </c>
      <c r="F7536" s="52" t="s">
        <v>581</v>
      </c>
      <c r="G7536" s="55" t="s">
        <v>276</v>
      </c>
      <c r="H7536" s="55">
        <v>1.26939</v>
      </c>
      <c r="I7536" s="55">
        <v>0.3723033</v>
      </c>
      <c r="J7536" s="55">
        <v>0.35479690000000003</v>
      </c>
      <c r="K7536" s="55">
        <v>0.31573370000000001</v>
      </c>
      <c r="L7536" s="55">
        <v>0.3058882</v>
      </c>
      <c r="M7536" s="55">
        <v>0.23914369999999999</v>
      </c>
      <c r="N7536" s="55">
        <v>0.22096579999999999</v>
      </c>
    </row>
    <row r="7537" spans="1:14" hidden="1" x14ac:dyDescent="0.35">
      <c r="A7537" s="52" t="s">
        <v>762</v>
      </c>
      <c r="B7537" s="52" t="s">
        <v>37</v>
      </c>
      <c r="C7537" s="52" t="s">
        <v>46</v>
      </c>
      <c r="D7537" s="52" t="s">
        <v>46</v>
      </c>
      <c r="E7537" s="52" t="s">
        <v>584</v>
      </c>
      <c r="F7537" s="52" t="s">
        <v>581</v>
      </c>
      <c r="G7537" s="55" t="s">
        <v>279</v>
      </c>
      <c r="H7537" s="55">
        <v>3.4214060000000002</v>
      </c>
      <c r="I7537" s="55">
        <v>2.3955489999999999</v>
      </c>
      <c r="J7537" s="55">
        <v>2.0673349999999999</v>
      </c>
      <c r="K7537" s="55">
        <v>1.9406410000000001</v>
      </c>
      <c r="L7537" s="55">
        <v>1.707749</v>
      </c>
      <c r="M7537" s="55">
        <v>1.780939</v>
      </c>
      <c r="N7537" s="55">
        <v>1.6307050000000001</v>
      </c>
    </row>
    <row r="7538" spans="1:14" hidden="1" x14ac:dyDescent="0.35">
      <c r="A7538" s="52" t="s">
        <v>762</v>
      </c>
      <c r="B7538" s="52" t="s">
        <v>37</v>
      </c>
      <c r="C7538" s="52" t="s">
        <v>46</v>
      </c>
      <c r="D7538" s="52" t="s">
        <v>46</v>
      </c>
      <c r="E7538" s="52" t="s">
        <v>584</v>
      </c>
      <c r="F7538" s="52" t="s">
        <v>26</v>
      </c>
      <c r="G7538" s="55" t="s">
        <v>275</v>
      </c>
      <c r="H7538" s="55">
        <v>-0.71608400000000005</v>
      </c>
      <c r="I7538" s="55">
        <v>-0.67194759999999998</v>
      </c>
      <c r="J7538" s="55">
        <v>-0.2954426</v>
      </c>
      <c r="K7538" s="55">
        <v>-0.39677089999999998</v>
      </c>
      <c r="L7538" s="55">
        <v>-0.28121350000000001</v>
      </c>
      <c r="M7538" s="55">
        <v>-0.59610059999999998</v>
      </c>
      <c r="N7538" s="55">
        <v>-0.54931629999999998</v>
      </c>
    </row>
    <row r="7539" spans="1:14" hidden="1" x14ac:dyDescent="0.35">
      <c r="A7539" s="52" t="s">
        <v>762</v>
      </c>
      <c r="B7539" s="52" t="s">
        <v>37</v>
      </c>
      <c r="C7539" s="52" t="s">
        <v>46</v>
      </c>
      <c r="D7539" s="52" t="s">
        <v>46</v>
      </c>
      <c r="E7539" s="52" t="s">
        <v>584</v>
      </c>
      <c r="F7539" s="52" t="s">
        <v>26</v>
      </c>
      <c r="G7539" s="55" t="s">
        <v>276</v>
      </c>
      <c r="H7539" s="55">
        <v>-0.30139100000000002</v>
      </c>
      <c r="I7539" s="55">
        <v>-0.28718480000000002</v>
      </c>
      <c r="J7539" s="55">
        <v>-0.18065049999999999</v>
      </c>
      <c r="K7539" s="55">
        <v>-0.162772</v>
      </c>
      <c r="L7539" s="55">
        <v>-0.11363860000000001</v>
      </c>
      <c r="M7539" s="55">
        <v>-0.18498539999999999</v>
      </c>
      <c r="N7539" s="55">
        <v>-0.16439110000000001</v>
      </c>
    </row>
    <row r="7540" spans="1:14" hidden="1" x14ac:dyDescent="0.35">
      <c r="A7540" s="52" t="s">
        <v>762</v>
      </c>
      <c r="B7540" s="52" t="s">
        <v>37</v>
      </c>
      <c r="C7540" s="52" t="s">
        <v>46</v>
      </c>
      <c r="D7540" s="52" t="s">
        <v>46</v>
      </c>
      <c r="E7540" s="52" t="s">
        <v>584</v>
      </c>
      <c r="F7540" s="52" t="s">
        <v>26</v>
      </c>
      <c r="G7540" s="55" t="s">
        <v>277</v>
      </c>
      <c r="H7540" s="55">
        <v>0.49007400000000001</v>
      </c>
      <c r="I7540" s="55">
        <v>0.37712400000000001</v>
      </c>
      <c r="J7540" s="55">
        <v>0.301678</v>
      </c>
      <c r="K7540" s="55">
        <v>0.25013099999999999</v>
      </c>
      <c r="L7540" s="55">
        <v>0.21462899999999999</v>
      </c>
      <c r="M7540" s="55">
        <v>0.18990000000000001</v>
      </c>
      <c r="N7540" s="55">
        <v>0.17241400000000001</v>
      </c>
    </row>
    <row r="7541" spans="1:14" hidden="1" x14ac:dyDescent="0.35">
      <c r="A7541" s="52" t="s">
        <v>762</v>
      </c>
      <c r="B7541" s="52" t="s">
        <v>37</v>
      </c>
      <c r="C7541" s="52" t="s">
        <v>46</v>
      </c>
      <c r="D7541" s="52" t="s">
        <v>46</v>
      </c>
      <c r="E7541" s="52" t="s">
        <v>584</v>
      </c>
      <c r="F7541" s="52" t="s">
        <v>26</v>
      </c>
      <c r="G7541" s="55" t="s">
        <v>279</v>
      </c>
      <c r="H7541" s="55">
        <v>6.2549679999999999</v>
      </c>
      <c r="I7541" s="55">
        <v>5.0179260000000001</v>
      </c>
      <c r="J7541" s="55">
        <v>4.4447089999999996</v>
      </c>
      <c r="K7541" s="55">
        <v>4.2655940000000001</v>
      </c>
      <c r="L7541" s="55">
        <v>3.848859</v>
      </c>
      <c r="M7541" s="55">
        <v>4.0006159999999999</v>
      </c>
      <c r="N7541" s="55">
        <v>3.6929419999999999</v>
      </c>
    </row>
    <row r="7542" spans="1:14" hidden="1" x14ac:dyDescent="0.35">
      <c r="A7542" s="52" t="s">
        <v>762</v>
      </c>
      <c r="B7542" s="52" t="s">
        <v>37</v>
      </c>
      <c r="C7542" s="52" t="s">
        <v>318</v>
      </c>
      <c r="D7542" s="52" t="s">
        <v>318</v>
      </c>
      <c r="E7542" s="52" t="s">
        <v>584</v>
      </c>
      <c r="F7542" s="52" t="s">
        <v>581</v>
      </c>
      <c r="G7542" s="55" t="s">
        <v>275</v>
      </c>
      <c r="H7542" s="55">
        <v>0</v>
      </c>
      <c r="I7542" s="55"/>
      <c r="J7542" s="55"/>
      <c r="K7542" s="55"/>
      <c r="L7542" s="55"/>
      <c r="M7542" s="55"/>
      <c r="N7542" s="55"/>
    </row>
    <row r="7543" spans="1:14" hidden="1" x14ac:dyDescent="0.35">
      <c r="A7543" s="52" t="s">
        <v>762</v>
      </c>
      <c r="B7543" s="52" t="s">
        <v>37</v>
      </c>
      <c r="C7543" s="52" t="s">
        <v>318</v>
      </c>
      <c r="D7543" s="52" t="s">
        <v>318</v>
      </c>
      <c r="E7543" s="52" t="s">
        <v>584</v>
      </c>
      <c r="F7543" s="52" t="s">
        <v>581</v>
      </c>
      <c r="G7543" s="55" t="s">
        <v>278</v>
      </c>
      <c r="H7543" s="55">
        <v>0</v>
      </c>
      <c r="I7543" s="55"/>
      <c r="J7543" s="55"/>
      <c r="K7543" s="55"/>
      <c r="L7543" s="55"/>
      <c r="M7543" s="55"/>
      <c r="N7543" s="55"/>
    </row>
    <row r="7544" spans="1:14" hidden="1" x14ac:dyDescent="0.35">
      <c r="A7544" s="52" t="s">
        <v>762</v>
      </c>
      <c r="B7544" s="52" t="s">
        <v>37</v>
      </c>
      <c r="C7544" s="52" t="s">
        <v>318</v>
      </c>
      <c r="D7544" s="52" t="s">
        <v>318</v>
      </c>
      <c r="E7544" s="52" t="s">
        <v>584</v>
      </c>
      <c r="F7544" s="52" t="s">
        <v>26</v>
      </c>
      <c r="G7544" s="55" t="s">
        <v>275</v>
      </c>
      <c r="H7544" s="55">
        <v>0</v>
      </c>
      <c r="I7544" s="55"/>
      <c r="J7544" s="55"/>
      <c r="K7544" s="55"/>
      <c r="L7544" s="55"/>
      <c r="M7544" s="55"/>
      <c r="N7544" s="55"/>
    </row>
    <row r="7545" spans="1:14" hidden="1" x14ac:dyDescent="0.35">
      <c r="A7545" s="52" t="s">
        <v>762</v>
      </c>
      <c r="B7545" s="52" t="s">
        <v>37</v>
      </c>
      <c r="C7545" s="52" t="s">
        <v>318</v>
      </c>
      <c r="D7545" s="52" t="s">
        <v>318</v>
      </c>
      <c r="E7545" s="52" t="s">
        <v>584</v>
      </c>
      <c r="F7545" s="52" t="s">
        <v>26</v>
      </c>
      <c r="G7545" s="55" t="s">
        <v>278</v>
      </c>
      <c r="H7545" s="55">
        <v>0</v>
      </c>
      <c r="I7545" s="55"/>
      <c r="J7545" s="55"/>
      <c r="K7545" s="55"/>
      <c r="L7545" s="55"/>
      <c r="M7545" s="55"/>
      <c r="N7545" s="55"/>
    </row>
    <row r="7546" spans="1:14" hidden="1" x14ac:dyDescent="0.35">
      <c r="A7546" s="52" t="s">
        <v>749</v>
      </c>
      <c r="B7546" s="52" t="s">
        <v>37</v>
      </c>
      <c r="C7546" s="52" t="s">
        <v>79</v>
      </c>
      <c r="D7546" s="52" t="s">
        <v>79</v>
      </c>
      <c r="E7546" s="52" t="s">
        <v>600</v>
      </c>
      <c r="F7546" s="52" t="s">
        <v>581</v>
      </c>
      <c r="G7546" s="55" t="s">
        <v>275</v>
      </c>
      <c r="H7546" s="55">
        <v>314.93729999999999</v>
      </c>
      <c r="I7546" s="55">
        <v>63.858269999999997</v>
      </c>
      <c r="J7546" s="55">
        <v>146.28809999999999</v>
      </c>
      <c r="K7546" s="55">
        <v>128.4879</v>
      </c>
      <c r="L7546" s="55">
        <v>75.578900000000004</v>
      </c>
      <c r="M7546" s="55">
        <v>63.015479999999997</v>
      </c>
      <c r="N7546" s="55">
        <v>52.691490000000002</v>
      </c>
    </row>
    <row r="7547" spans="1:14" hidden="1" x14ac:dyDescent="0.35">
      <c r="A7547" s="52" t="s">
        <v>749</v>
      </c>
      <c r="B7547" s="52" t="s">
        <v>37</v>
      </c>
      <c r="C7547" s="52" t="s">
        <v>79</v>
      </c>
      <c r="D7547" s="52" t="s">
        <v>79</v>
      </c>
      <c r="E7547" s="52" t="s">
        <v>600</v>
      </c>
      <c r="F7547" s="52" t="s">
        <v>581</v>
      </c>
      <c r="G7547" s="55" t="s">
        <v>276</v>
      </c>
      <c r="H7547" s="55">
        <v>-7.5932719999999998</v>
      </c>
      <c r="I7547" s="55">
        <v>-26.3992</v>
      </c>
      <c r="J7547" s="55">
        <v>-35.471089999999997</v>
      </c>
      <c r="K7547" s="55">
        <v>-36.309429999999999</v>
      </c>
      <c r="L7547" s="55">
        <v>5.7731919999999999</v>
      </c>
      <c r="M7547" s="55">
        <v>7.0904590000000001</v>
      </c>
      <c r="N7547" s="55">
        <v>13.619820000000001</v>
      </c>
    </row>
    <row r="7548" spans="1:14" hidden="1" x14ac:dyDescent="0.35">
      <c r="A7548" s="52" t="s">
        <v>749</v>
      </c>
      <c r="B7548" s="52" t="s">
        <v>37</v>
      </c>
      <c r="C7548" s="52" t="s">
        <v>79</v>
      </c>
      <c r="D7548" s="52" t="s">
        <v>79</v>
      </c>
      <c r="E7548" s="52" t="s">
        <v>600</v>
      </c>
      <c r="F7548" s="52" t="s">
        <v>581</v>
      </c>
      <c r="G7548" s="55" t="s">
        <v>277</v>
      </c>
      <c r="H7548" s="55">
        <v>122.67959999999999</v>
      </c>
      <c r="I7548" s="55">
        <v>106.58750000000001</v>
      </c>
      <c r="J7548" s="55">
        <v>21.355789999999999</v>
      </c>
      <c r="K7548" s="55">
        <v>13.34435</v>
      </c>
      <c r="L7548" s="55">
        <v>13.68779</v>
      </c>
      <c r="M7548" s="55">
        <v>14.116680000000001</v>
      </c>
      <c r="N7548" s="55">
        <v>10.51967</v>
      </c>
    </row>
    <row r="7549" spans="1:14" hidden="1" x14ac:dyDescent="0.35">
      <c r="A7549" s="52" t="s">
        <v>749</v>
      </c>
      <c r="B7549" s="52" t="s">
        <v>37</v>
      </c>
      <c r="C7549" s="52" t="s">
        <v>79</v>
      </c>
      <c r="D7549" s="52" t="s">
        <v>79</v>
      </c>
      <c r="E7549" s="52" t="s">
        <v>600</v>
      </c>
      <c r="F7549" s="52" t="s">
        <v>581</v>
      </c>
      <c r="G7549" s="55" t="s">
        <v>278</v>
      </c>
      <c r="H7549" s="55">
        <v>1.3540000000000001</v>
      </c>
      <c r="I7549" s="55">
        <v>0.25991999999999998</v>
      </c>
      <c r="J7549" s="55">
        <v>0</v>
      </c>
      <c r="K7549" s="55"/>
      <c r="L7549" s="55"/>
      <c r="M7549" s="55"/>
      <c r="N7549" s="55"/>
    </row>
    <row r="7550" spans="1:14" hidden="1" x14ac:dyDescent="0.35">
      <c r="A7550" s="52" t="s">
        <v>749</v>
      </c>
      <c r="B7550" s="52" t="s">
        <v>37</v>
      </c>
      <c r="C7550" s="52" t="s">
        <v>79</v>
      </c>
      <c r="D7550" s="52" t="s">
        <v>79</v>
      </c>
      <c r="E7550" s="52" t="s">
        <v>600</v>
      </c>
      <c r="F7550" s="52" t="s">
        <v>581</v>
      </c>
      <c r="G7550" s="55" t="s">
        <v>279</v>
      </c>
      <c r="H7550" s="55">
        <v>151.7987</v>
      </c>
      <c r="I7550" s="55">
        <v>98.870869999999996</v>
      </c>
      <c r="J7550" s="55">
        <v>87.629130000000004</v>
      </c>
      <c r="K7550" s="55">
        <v>73.785250000000005</v>
      </c>
      <c r="L7550" s="55">
        <v>64.474789999999999</v>
      </c>
      <c r="M7550" s="55">
        <v>64.848159999999993</v>
      </c>
      <c r="N7550" s="55">
        <v>57.948540000000001</v>
      </c>
    </row>
    <row r="7551" spans="1:14" hidden="1" x14ac:dyDescent="0.35">
      <c r="A7551" s="52" t="s">
        <v>749</v>
      </c>
      <c r="B7551" s="52" t="s">
        <v>37</v>
      </c>
      <c r="C7551" s="52" t="s">
        <v>79</v>
      </c>
      <c r="D7551" s="52" t="s">
        <v>79</v>
      </c>
      <c r="E7551" s="52" t="s">
        <v>600</v>
      </c>
      <c r="F7551" s="52" t="s">
        <v>26</v>
      </c>
      <c r="G7551" s="55" t="s">
        <v>275</v>
      </c>
      <c r="H7551" s="55">
        <v>26.782509999999998</v>
      </c>
      <c r="I7551" s="55">
        <v>19.901730000000001</v>
      </c>
      <c r="J7551" s="55">
        <v>22.20833</v>
      </c>
      <c r="K7551" s="55">
        <v>15.86802</v>
      </c>
      <c r="L7551" s="55">
        <v>13.4923</v>
      </c>
      <c r="M7551" s="55">
        <v>10.559990000000001</v>
      </c>
      <c r="N7551" s="55">
        <v>9.473236</v>
      </c>
    </row>
    <row r="7552" spans="1:14" hidden="1" x14ac:dyDescent="0.35">
      <c r="A7552" s="52" t="s">
        <v>749</v>
      </c>
      <c r="B7552" s="52" t="s">
        <v>37</v>
      </c>
      <c r="C7552" s="52" t="s">
        <v>79</v>
      </c>
      <c r="D7552" s="52" t="s">
        <v>79</v>
      </c>
      <c r="E7552" s="52" t="s">
        <v>600</v>
      </c>
      <c r="F7552" s="52" t="s">
        <v>26</v>
      </c>
      <c r="G7552" s="55" t="s">
        <v>276</v>
      </c>
      <c r="H7552" s="55">
        <v>7.7639779999999998</v>
      </c>
      <c r="I7552" s="55">
        <v>5.7693070000000004</v>
      </c>
      <c r="J7552" s="55">
        <v>6.4379720000000002</v>
      </c>
      <c r="K7552" s="55">
        <v>4.599977</v>
      </c>
      <c r="L7552" s="55">
        <v>3.9112800000000001</v>
      </c>
      <c r="M7552" s="55">
        <v>3.061232</v>
      </c>
      <c r="N7552" s="55">
        <v>2.7461950000000002</v>
      </c>
    </row>
    <row r="7553" spans="1:14" hidden="1" x14ac:dyDescent="0.35">
      <c r="A7553" s="52" t="s">
        <v>749</v>
      </c>
      <c r="B7553" s="52" t="s">
        <v>37</v>
      </c>
      <c r="C7553" s="52" t="s">
        <v>79</v>
      </c>
      <c r="D7553" s="52" t="s">
        <v>79</v>
      </c>
      <c r="E7553" s="52" t="s">
        <v>600</v>
      </c>
      <c r="F7553" s="52" t="s">
        <v>26</v>
      </c>
      <c r="G7553" s="55" t="s">
        <v>279</v>
      </c>
      <c r="H7553" s="55">
        <v>81.132090000000005</v>
      </c>
      <c r="I7553" s="55">
        <v>68.495379999999997</v>
      </c>
      <c r="J7553" s="55">
        <v>62.173400000000001</v>
      </c>
      <c r="K7553" s="55">
        <v>52.525060000000003</v>
      </c>
      <c r="L7553" s="55">
        <v>46.477809999999998</v>
      </c>
      <c r="M7553" s="55">
        <v>45.403440000000003</v>
      </c>
      <c r="N7553" s="55">
        <v>40.342460000000003</v>
      </c>
    </row>
    <row r="7554" spans="1:14" hidden="1" x14ac:dyDescent="0.35">
      <c r="A7554" s="52" t="s">
        <v>749</v>
      </c>
      <c r="B7554" s="52" t="s">
        <v>37</v>
      </c>
      <c r="C7554" s="52" t="s">
        <v>79</v>
      </c>
      <c r="D7554" s="52" t="s">
        <v>79</v>
      </c>
      <c r="E7554" s="52" t="s">
        <v>615</v>
      </c>
      <c r="F7554" s="52" t="s">
        <v>581</v>
      </c>
      <c r="G7554" s="55" t="s">
        <v>275</v>
      </c>
      <c r="H7554" s="55">
        <v>36.77422</v>
      </c>
      <c r="I7554" s="55">
        <v>14.163169999999999</v>
      </c>
      <c r="J7554" s="55">
        <v>14.52126</v>
      </c>
      <c r="K7554" s="55">
        <v>4.7627480000000002</v>
      </c>
      <c r="L7554" s="55">
        <v>1.8063089999999999</v>
      </c>
      <c r="M7554" s="55">
        <v>2.4606509999999999</v>
      </c>
      <c r="N7554" s="55">
        <v>2.124285</v>
      </c>
    </row>
    <row r="7555" spans="1:14" hidden="1" x14ac:dyDescent="0.35">
      <c r="A7555" s="52" t="s">
        <v>749</v>
      </c>
      <c r="B7555" s="52" t="s">
        <v>37</v>
      </c>
      <c r="C7555" s="52" t="s">
        <v>79</v>
      </c>
      <c r="D7555" s="52" t="s">
        <v>79</v>
      </c>
      <c r="E7555" s="52" t="s">
        <v>615</v>
      </c>
      <c r="F7555" s="52" t="s">
        <v>581</v>
      </c>
      <c r="G7555" s="55" t="s">
        <v>276</v>
      </c>
      <c r="H7555" s="55">
        <v>-0.30920999999999998</v>
      </c>
      <c r="I7555" s="55">
        <v>-7.5121349999999998</v>
      </c>
      <c r="J7555" s="55">
        <v>-10.01857</v>
      </c>
      <c r="K7555" s="55">
        <v>-0.4170991</v>
      </c>
      <c r="L7555" s="55">
        <v>0.79460560000000002</v>
      </c>
      <c r="M7555" s="55">
        <v>0.54589030000000005</v>
      </c>
      <c r="N7555" s="55">
        <v>0.39287810000000001</v>
      </c>
    </row>
    <row r="7556" spans="1:14" hidden="1" x14ac:dyDescent="0.35">
      <c r="A7556" s="52" t="s">
        <v>749</v>
      </c>
      <c r="B7556" s="52" t="s">
        <v>37</v>
      </c>
      <c r="C7556" s="52" t="s">
        <v>79</v>
      </c>
      <c r="D7556" s="52" t="s">
        <v>79</v>
      </c>
      <c r="E7556" s="52" t="s">
        <v>615</v>
      </c>
      <c r="F7556" s="52" t="s">
        <v>581</v>
      </c>
      <c r="G7556" s="55" t="s">
        <v>277</v>
      </c>
      <c r="H7556" s="55">
        <v>0</v>
      </c>
      <c r="I7556" s="55">
        <v>0.41001599999999999</v>
      </c>
      <c r="J7556" s="55">
        <v>1.346813</v>
      </c>
      <c r="K7556" s="55">
        <v>0.26172499999999999</v>
      </c>
      <c r="L7556" s="55">
        <v>1.4887570000000001</v>
      </c>
      <c r="M7556" s="55">
        <v>0</v>
      </c>
      <c r="N7556" s="55">
        <v>0</v>
      </c>
    </row>
    <row r="7557" spans="1:14" hidden="1" x14ac:dyDescent="0.35">
      <c r="A7557" s="52" t="s">
        <v>749</v>
      </c>
      <c r="B7557" s="52" t="s">
        <v>37</v>
      </c>
      <c r="C7557" s="52" t="s">
        <v>79</v>
      </c>
      <c r="D7557" s="52" t="s">
        <v>79</v>
      </c>
      <c r="E7557" s="52" t="s">
        <v>615</v>
      </c>
      <c r="F7557" s="52" t="s">
        <v>581</v>
      </c>
      <c r="G7557" s="55" t="s">
        <v>278</v>
      </c>
      <c r="H7557" s="55">
        <v>0</v>
      </c>
      <c r="I7557" s="55"/>
      <c r="J7557" s="55"/>
      <c r="K7557" s="55"/>
      <c r="L7557" s="55"/>
      <c r="M7557" s="55"/>
      <c r="N7557" s="55"/>
    </row>
    <row r="7558" spans="1:14" hidden="1" x14ac:dyDescent="0.35">
      <c r="A7558" s="52" t="s">
        <v>749</v>
      </c>
      <c r="B7558" s="52" t="s">
        <v>37</v>
      </c>
      <c r="C7558" s="52" t="s">
        <v>79</v>
      </c>
      <c r="D7558" s="52" t="s">
        <v>79</v>
      </c>
      <c r="E7558" s="52" t="s">
        <v>615</v>
      </c>
      <c r="F7558" s="52" t="s">
        <v>581</v>
      </c>
      <c r="G7558" s="55" t="s">
        <v>279</v>
      </c>
      <c r="H7558" s="55">
        <v>13.16076</v>
      </c>
      <c r="I7558" s="55">
        <v>5.0251929999999998</v>
      </c>
      <c r="J7558" s="55">
        <v>4.0162060000000004</v>
      </c>
      <c r="K7558" s="55">
        <v>3.3713310000000001</v>
      </c>
      <c r="L7558" s="55">
        <v>2.8213859999999999</v>
      </c>
      <c r="M7558" s="55">
        <v>2.4427029999999998</v>
      </c>
      <c r="N7558" s="55">
        <v>1.9159930000000001</v>
      </c>
    </row>
    <row r="7559" spans="1:14" hidden="1" x14ac:dyDescent="0.35">
      <c r="A7559" s="52" t="s">
        <v>749</v>
      </c>
      <c r="B7559" s="52" t="s">
        <v>37</v>
      </c>
      <c r="C7559" s="52" t="s">
        <v>79</v>
      </c>
      <c r="D7559" s="52" t="s">
        <v>79</v>
      </c>
      <c r="E7559" s="52" t="s">
        <v>615</v>
      </c>
      <c r="F7559" s="52" t="s">
        <v>26</v>
      </c>
      <c r="G7559" s="55" t="s">
        <v>275</v>
      </c>
      <c r="H7559" s="55">
        <v>3.3396000000000002E-2</v>
      </c>
      <c r="I7559" s="55">
        <v>2.6687E-3</v>
      </c>
      <c r="J7559" s="55">
        <v>1.2004300000000001E-2</v>
      </c>
      <c r="K7559" s="55">
        <v>3.2433000000000002E-3</v>
      </c>
      <c r="L7559" s="55">
        <v>4.2660010000000002E-3</v>
      </c>
      <c r="M7559" s="55">
        <v>-3.8197000000000001E-3</v>
      </c>
      <c r="N7559" s="55">
        <v>-6.891E-4</v>
      </c>
    </row>
    <row r="7560" spans="1:14" hidden="1" x14ac:dyDescent="0.35">
      <c r="A7560" s="52" t="s">
        <v>749</v>
      </c>
      <c r="B7560" s="52" t="s">
        <v>37</v>
      </c>
      <c r="C7560" s="52" t="s">
        <v>79</v>
      </c>
      <c r="D7560" s="52" t="s">
        <v>79</v>
      </c>
      <c r="E7560" s="52" t="s">
        <v>615</v>
      </c>
      <c r="F7560" s="52" t="s">
        <v>26</v>
      </c>
      <c r="G7560" s="55" t="s">
        <v>276</v>
      </c>
      <c r="H7560" s="55">
        <v>9.6809989999999992E-3</v>
      </c>
      <c r="I7560" s="55">
        <v>7.7380009999999998E-4</v>
      </c>
      <c r="J7560" s="55">
        <v>3.4800999999999999E-3</v>
      </c>
      <c r="K7560" s="55">
        <v>9.4050009999999996E-4</v>
      </c>
      <c r="L7560" s="55">
        <v>1.237E-3</v>
      </c>
      <c r="M7560" s="55">
        <v>-1.1072E-3</v>
      </c>
      <c r="N7560" s="55">
        <v>-1.994E-4</v>
      </c>
    </row>
    <row r="7561" spans="1:14" hidden="1" x14ac:dyDescent="0.35">
      <c r="A7561" s="52" t="s">
        <v>749</v>
      </c>
      <c r="B7561" s="52" t="s">
        <v>37</v>
      </c>
      <c r="C7561" s="52" t="s">
        <v>79</v>
      </c>
      <c r="D7561" s="52" t="s">
        <v>79</v>
      </c>
      <c r="E7561" s="52" t="s">
        <v>615</v>
      </c>
      <c r="F7561" s="52" t="s">
        <v>26</v>
      </c>
      <c r="G7561" s="55" t="s">
        <v>279</v>
      </c>
      <c r="H7561" s="55">
        <v>0.54573499999999997</v>
      </c>
      <c r="I7561" s="55">
        <v>0.24213979999999999</v>
      </c>
      <c r="J7561" s="55">
        <v>0.19529270000000001</v>
      </c>
      <c r="K7561" s="55">
        <v>0.1660297</v>
      </c>
      <c r="L7561" s="55">
        <v>0.1413864</v>
      </c>
      <c r="M7561" s="55">
        <v>0.12066739999999999</v>
      </c>
      <c r="N7561" s="55">
        <v>9.4948599999999994E-2</v>
      </c>
    </row>
    <row r="7562" spans="1:14" hidden="1" x14ac:dyDescent="0.35">
      <c r="A7562" s="52" t="s">
        <v>749</v>
      </c>
      <c r="B7562" s="52" t="s">
        <v>37</v>
      </c>
      <c r="C7562" s="52" t="s">
        <v>79</v>
      </c>
      <c r="D7562" s="52" t="s">
        <v>79</v>
      </c>
      <c r="E7562" s="52" t="s">
        <v>614</v>
      </c>
      <c r="F7562" s="52" t="s">
        <v>581</v>
      </c>
      <c r="G7562" s="55" t="s">
        <v>275</v>
      </c>
      <c r="H7562" s="55">
        <v>9.3061290000000003</v>
      </c>
      <c r="I7562" s="55">
        <v>5.9272549999999997</v>
      </c>
      <c r="J7562" s="55">
        <v>2.7960560000000001</v>
      </c>
      <c r="K7562" s="55">
        <v>2.8521160000000001</v>
      </c>
      <c r="L7562" s="55">
        <v>2.6124619999999998</v>
      </c>
      <c r="M7562" s="55">
        <v>3.5858240000000001</v>
      </c>
      <c r="N7562" s="55">
        <v>3.258667</v>
      </c>
    </row>
    <row r="7563" spans="1:14" hidden="1" x14ac:dyDescent="0.35">
      <c r="A7563" s="52" t="s">
        <v>749</v>
      </c>
      <c r="B7563" s="52" t="s">
        <v>37</v>
      </c>
      <c r="C7563" s="52" t="s">
        <v>79</v>
      </c>
      <c r="D7563" s="52" t="s">
        <v>79</v>
      </c>
      <c r="E7563" s="52" t="s">
        <v>614</v>
      </c>
      <c r="F7563" s="52" t="s">
        <v>581</v>
      </c>
      <c r="G7563" s="55" t="s">
        <v>276</v>
      </c>
      <c r="H7563" s="55">
        <v>-0.57650599999999996</v>
      </c>
      <c r="I7563" s="55">
        <v>-0.58646100000000001</v>
      </c>
      <c r="J7563" s="55">
        <v>-0.16521959999999999</v>
      </c>
      <c r="K7563" s="55">
        <v>4.3848709999999999E-2</v>
      </c>
      <c r="L7563" s="55">
        <v>0.41446250000000001</v>
      </c>
      <c r="M7563" s="55">
        <v>0.71581490000000003</v>
      </c>
      <c r="N7563" s="55">
        <v>0.36592140000000001</v>
      </c>
    </row>
    <row r="7564" spans="1:14" hidden="1" x14ac:dyDescent="0.35">
      <c r="A7564" s="52" t="s">
        <v>749</v>
      </c>
      <c r="B7564" s="52" t="s">
        <v>37</v>
      </c>
      <c r="C7564" s="52" t="s">
        <v>79</v>
      </c>
      <c r="D7564" s="52" t="s">
        <v>79</v>
      </c>
      <c r="E7564" s="52" t="s">
        <v>614</v>
      </c>
      <c r="F7564" s="52" t="s">
        <v>581</v>
      </c>
      <c r="G7564" s="55" t="s">
        <v>277</v>
      </c>
      <c r="H7564" s="55">
        <v>6.1888350000000001</v>
      </c>
      <c r="I7564" s="55">
        <v>0</v>
      </c>
      <c r="J7564" s="55">
        <v>3.3665280000000002</v>
      </c>
      <c r="K7564" s="55">
        <v>2.595011</v>
      </c>
      <c r="L7564" s="55">
        <v>2.747906</v>
      </c>
      <c r="M7564" s="55">
        <v>0</v>
      </c>
      <c r="N7564" s="55">
        <v>0</v>
      </c>
    </row>
    <row r="7565" spans="1:14" hidden="1" x14ac:dyDescent="0.35">
      <c r="A7565" s="52" t="s">
        <v>749</v>
      </c>
      <c r="B7565" s="52" t="s">
        <v>37</v>
      </c>
      <c r="C7565" s="52" t="s">
        <v>79</v>
      </c>
      <c r="D7565" s="52" t="s">
        <v>79</v>
      </c>
      <c r="E7565" s="52" t="s">
        <v>614</v>
      </c>
      <c r="F7565" s="52" t="s">
        <v>581</v>
      </c>
      <c r="G7565" s="55" t="s">
        <v>279</v>
      </c>
      <c r="H7565" s="55">
        <v>5.1481050000000002</v>
      </c>
      <c r="I7565" s="55">
        <v>3.643777</v>
      </c>
      <c r="J7565" s="55">
        <v>3.8390680000000001</v>
      </c>
      <c r="K7565" s="55">
        <v>3.6947920000000001</v>
      </c>
      <c r="L7565" s="55">
        <v>3.5690240000000002</v>
      </c>
      <c r="M7565" s="55">
        <v>3.2213630000000002</v>
      </c>
      <c r="N7565" s="55">
        <v>2.68981</v>
      </c>
    </row>
    <row r="7566" spans="1:14" hidden="1" x14ac:dyDescent="0.35">
      <c r="A7566" s="52" t="s">
        <v>749</v>
      </c>
      <c r="B7566" s="52" t="s">
        <v>37</v>
      </c>
      <c r="C7566" s="52" t="s">
        <v>79</v>
      </c>
      <c r="D7566" s="52" t="s">
        <v>79</v>
      </c>
      <c r="E7566" s="52" t="s">
        <v>614</v>
      </c>
      <c r="F7566" s="52" t="s">
        <v>26</v>
      </c>
      <c r="G7566" s="55" t="s">
        <v>275</v>
      </c>
      <c r="H7566" s="55">
        <v>5.5861000000000001E-2</v>
      </c>
      <c r="I7566" s="55">
        <v>2.3415700000000001E-2</v>
      </c>
      <c r="J7566" s="55">
        <v>7.4137400000000006E-2</v>
      </c>
      <c r="K7566" s="55">
        <v>4.4992499999999998E-2</v>
      </c>
      <c r="L7566" s="55">
        <v>6.035211E-2</v>
      </c>
      <c r="M7566" s="55">
        <v>1.7649960000000001E-4</v>
      </c>
      <c r="N7566" s="55">
        <v>7.6389959999999995E-4</v>
      </c>
    </row>
    <row r="7567" spans="1:14" hidden="1" x14ac:dyDescent="0.35">
      <c r="A7567" s="52" t="s">
        <v>749</v>
      </c>
      <c r="B7567" s="52" t="s">
        <v>37</v>
      </c>
      <c r="C7567" s="52" t="s">
        <v>79</v>
      </c>
      <c r="D7567" s="52" t="s">
        <v>79</v>
      </c>
      <c r="E7567" s="52" t="s">
        <v>614</v>
      </c>
      <c r="F7567" s="52" t="s">
        <v>26</v>
      </c>
      <c r="G7567" s="55" t="s">
        <v>276</v>
      </c>
      <c r="H7567" s="55">
        <v>1.6192999999999999E-2</v>
      </c>
      <c r="I7567" s="55">
        <v>6.7886999999999999E-3</v>
      </c>
      <c r="J7567" s="55">
        <v>2.1491900000000001E-2</v>
      </c>
      <c r="K7567" s="55">
        <v>1.30434E-2</v>
      </c>
      <c r="L7567" s="55">
        <v>1.7494800000000001E-2</v>
      </c>
      <c r="M7567" s="55">
        <v>5.1100270000000001E-5</v>
      </c>
      <c r="N7567" s="55">
        <v>2.2120009999999999E-4</v>
      </c>
    </row>
    <row r="7568" spans="1:14" hidden="1" x14ac:dyDescent="0.35">
      <c r="A7568" s="52" t="s">
        <v>749</v>
      </c>
      <c r="B7568" s="52" t="s">
        <v>37</v>
      </c>
      <c r="C7568" s="52" t="s">
        <v>79</v>
      </c>
      <c r="D7568" s="52" t="s">
        <v>79</v>
      </c>
      <c r="E7568" s="52" t="s">
        <v>614</v>
      </c>
      <c r="F7568" s="52" t="s">
        <v>26</v>
      </c>
      <c r="G7568" s="55" t="s">
        <v>279</v>
      </c>
      <c r="H7568" s="55">
        <v>0.86754600000000004</v>
      </c>
      <c r="I7568" s="55">
        <v>0.72929080000000002</v>
      </c>
      <c r="J7568" s="55">
        <v>0.77659959999999995</v>
      </c>
      <c r="K7568" s="55">
        <v>0.75661900000000004</v>
      </c>
      <c r="L7568" s="55">
        <v>0.74435249999999997</v>
      </c>
      <c r="M7568" s="55">
        <v>0.66277969999999997</v>
      </c>
      <c r="N7568" s="55">
        <v>0.55479230000000002</v>
      </c>
    </row>
    <row r="7569" spans="1:14" hidden="1" x14ac:dyDescent="0.35">
      <c r="A7569" s="52" t="s">
        <v>749</v>
      </c>
      <c r="B7569" s="52" t="s">
        <v>37</v>
      </c>
      <c r="C7569" s="52" t="s">
        <v>79</v>
      </c>
      <c r="D7569" s="52" t="s">
        <v>79</v>
      </c>
      <c r="E7569" s="52" t="s">
        <v>750</v>
      </c>
      <c r="F7569" s="52" t="s">
        <v>581</v>
      </c>
      <c r="G7569" s="55" t="s">
        <v>275</v>
      </c>
      <c r="H7569" s="55">
        <v>1.973983</v>
      </c>
      <c r="I7569" s="55">
        <v>0.19894020000000001</v>
      </c>
      <c r="J7569" s="55">
        <v>0.18093049999999999</v>
      </c>
      <c r="K7569" s="55">
        <v>0.15990209999999999</v>
      </c>
      <c r="L7569" s="55">
        <v>0.14804110000000001</v>
      </c>
      <c r="M7569" s="55">
        <v>0.1238016</v>
      </c>
      <c r="N7569" s="55">
        <v>0.11200400000000001</v>
      </c>
    </row>
    <row r="7570" spans="1:14" hidden="1" x14ac:dyDescent="0.35">
      <c r="A7570" s="52" t="s">
        <v>749</v>
      </c>
      <c r="B7570" s="52" t="s">
        <v>37</v>
      </c>
      <c r="C7570" s="52" t="s">
        <v>79</v>
      </c>
      <c r="D7570" s="52" t="s">
        <v>79</v>
      </c>
      <c r="E7570" s="52" t="s">
        <v>750</v>
      </c>
      <c r="F7570" s="52" t="s">
        <v>581</v>
      </c>
      <c r="G7570" s="55" t="s">
        <v>276</v>
      </c>
      <c r="H7570" s="55">
        <v>-1.2088449999999999</v>
      </c>
      <c r="I7570" s="55">
        <v>5.7670600000000002E-2</v>
      </c>
      <c r="J7570" s="55">
        <v>5.2449999999999997E-2</v>
      </c>
      <c r="K7570" s="55">
        <v>4.63545E-2</v>
      </c>
      <c r="L7570" s="55">
        <v>4.2915700000000001E-2</v>
      </c>
      <c r="M7570" s="55">
        <v>3.5888700000000003E-2</v>
      </c>
      <c r="N7570" s="55">
        <v>3.2469199999999997E-2</v>
      </c>
    </row>
    <row r="7571" spans="1:14" hidden="1" x14ac:dyDescent="0.35">
      <c r="A7571" s="52" t="s">
        <v>749</v>
      </c>
      <c r="B7571" s="52" t="s">
        <v>37</v>
      </c>
      <c r="C7571" s="52" t="s">
        <v>79</v>
      </c>
      <c r="D7571" s="52" t="s">
        <v>79</v>
      </c>
      <c r="E7571" s="52" t="s">
        <v>750</v>
      </c>
      <c r="F7571" s="52" t="s">
        <v>581</v>
      </c>
      <c r="G7571" s="55" t="s">
        <v>277</v>
      </c>
      <c r="H7571" s="55"/>
      <c r="I7571" s="55"/>
      <c r="J7571" s="55"/>
      <c r="K7571" s="55"/>
      <c r="L7571" s="55">
        <v>0</v>
      </c>
      <c r="M7571" s="55">
        <v>0</v>
      </c>
      <c r="N7571" s="55">
        <v>0</v>
      </c>
    </row>
    <row r="7572" spans="1:14" hidden="1" x14ac:dyDescent="0.35">
      <c r="A7572" s="52" t="s">
        <v>749</v>
      </c>
      <c r="B7572" s="52" t="s">
        <v>37</v>
      </c>
      <c r="C7572" s="52" t="s">
        <v>79</v>
      </c>
      <c r="D7572" s="52" t="s">
        <v>79</v>
      </c>
      <c r="E7572" s="52" t="s">
        <v>750</v>
      </c>
      <c r="F7572" s="52" t="s">
        <v>581</v>
      </c>
      <c r="G7572" s="55" t="s">
        <v>279</v>
      </c>
      <c r="H7572" s="55">
        <v>0.30657499999999999</v>
      </c>
      <c r="I7572" s="55">
        <v>0.20433609999999999</v>
      </c>
      <c r="J7572" s="55">
        <v>0.1751607</v>
      </c>
      <c r="K7572" s="55">
        <v>0.162716</v>
      </c>
      <c r="L7572" s="55">
        <v>0.14235790000000001</v>
      </c>
      <c r="M7572" s="55">
        <v>0.14218529999999999</v>
      </c>
      <c r="N7572" s="55">
        <v>0.12740660000000001</v>
      </c>
    </row>
    <row r="7573" spans="1:14" hidden="1" x14ac:dyDescent="0.35">
      <c r="A7573" s="52" t="s">
        <v>749</v>
      </c>
      <c r="B7573" s="52" t="s">
        <v>37</v>
      </c>
      <c r="C7573" s="52" t="s">
        <v>79</v>
      </c>
      <c r="D7573" s="52" t="s">
        <v>79</v>
      </c>
      <c r="E7573" s="52" t="s">
        <v>750</v>
      </c>
      <c r="F7573" s="52" t="s">
        <v>26</v>
      </c>
      <c r="G7573" s="55" t="s">
        <v>275</v>
      </c>
      <c r="H7573" s="55">
        <v>-5.1269999999999996E-3</v>
      </c>
      <c r="I7573" s="55">
        <v>-5.3994999999999998E-3</v>
      </c>
      <c r="J7573" s="55">
        <v>-3.9363000000000002E-3</v>
      </c>
      <c r="K7573" s="55">
        <v>-4.4922E-3</v>
      </c>
      <c r="L7573" s="55">
        <v>-4.1409000000000003E-3</v>
      </c>
      <c r="M7573" s="55">
        <v>-3.1936E-3</v>
      </c>
      <c r="N7573" s="55">
        <v>-2.4421999999999998E-3</v>
      </c>
    </row>
    <row r="7574" spans="1:14" hidden="1" x14ac:dyDescent="0.35">
      <c r="A7574" s="52" t="s">
        <v>749</v>
      </c>
      <c r="B7574" s="52" t="s">
        <v>37</v>
      </c>
      <c r="C7574" s="52" t="s">
        <v>79</v>
      </c>
      <c r="D7574" s="52" t="s">
        <v>79</v>
      </c>
      <c r="E7574" s="52" t="s">
        <v>750</v>
      </c>
      <c r="F7574" s="52" t="s">
        <v>26</v>
      </c>
      <c r="G7574" s="55" t="s">
        <v>276</v>
      </c>
      <c r="H7574" s="55">
        <v>-1.4859999999999999E-3</v>
      </c>
      <c r="I7574" s="55">
        <v>-1.5648999999999999E-3</v>
      </c>
      <c r="J7574" s="55">
        <v>-1.1416E-3</v>
      </c>
      <c r="K7574" s="55">
        <v>-1.3025999999999999E-3</v>
      </c>
      <c r="L7574" s="55">
        <v>-1.2003000000000001E-3</v>
      </c>
      <c r="M7574" s="55">
        <v>-9.2530010000000003E-4</v>
      </c>
      <c r="N7574" s="55">
        <v>-7.0799999999999997E-4</v>
      </c>
    </row>
    <row r="7575" spans="1:14" hidden="1" x14ac:dyDescent="0.35">
      <c r="A7575" s="52" t="s">
        <v>749</v>
      </c>
      <c r="B7575" s="52" t="s">
        <v>37</v>
      </c>
      <c r="C7575" s="52" t="s">
        <v>79</v>
      </c>
      <c r="D7575" s="52" t="s">
        <v>79</v>
      </c>
      <c r="E7575" s="52" t="s">
        <v>750</v>
      </c>
      <c r="F7575" s="52" t="s">
        <v>26</v>
      </c>
      <c r="G7575" s="55" t="s">
        <v>279</v>
      </c>
      <c r="H7575" s="55">
        <v>3.6972999999999999E-2</v>
      </c>
      <c r="I7575" s="55">
        <v>2.9332899999999999E-2</v>
      </c>
      <c r="J7575" s="55">
        <v>2.5910800000000001E-2</v>
      </c>
      <c r="K7575" s="55">
        <v>2.4582799999999998E-2</v>
      </c>
      <c r="L7575" s="55">
        <v>2.2299900000000001E-2</v>
      </c>
      <c r="M7575" s="55">
        <v>1.9456500000000002E-2</v>
      </c>
      <c r="N7575" s="55">
        <v>1.6938700000000001E-2</v>
      </c>
    </row>
    <row r="7576" spans="1:14" hidden="1" x14ac:dyDescent="0.35">
      <c r="A7576" s="52" t="s">
        <v>749</v>
      </c>
      <c r="B7576" s="52" t="s">
        <v>37</v>
      </c>
      <c r="C7576" s="52" t="s">
        <v>46</v>
      </c>
      <c r="D7576" s="52" t="s">
        <v>46</v>
      </c>
      <c r="E7576" s="52" t="s">
        <v>750</v>
      </c>
      <c r="F7576" s="52" t="s">
        <v>581</v>
      </c>
      <c r="G7576" s="55" t="s">
        <v>275</v>
      </c>
      <c r="H7576" s="55">
        <v>2.306508</v>
      </c>
      <c r="I7576" s="55">
        <v>0.29006599999999999</v>
      </c>
      <c r="J7576" s="55">
        <v>-2.4986290000000002</v>
      </c>
      <c r="K7576" s="55">
        <v>-3.301803</v>
      </c>
      <c r="L7576" s="55">
        <v>-3.772348</v>
      </c>
      <c r="M7576" s="55">
        <v>0.98681289999999999</v>
      </c>
      <c r="N7576" s="55">
        <v>0.99638879999999996</v>
      </c>
    </row>
    <row r="7577" spans="1:14" hidden="1" x14ac:dyDescent="0.35">
      <c r="A7577" s="52" t="s">
        <v>749</v>
      </c>
      <c r="B7577" s="52" t="s">
        <v>37</v>
      </c>
      <c r="C7577" s="52" t="s">
        <v>46</v>
      </c>
      <c r="D7577" s="52" t="s">
        <v>46</v>
      </c>
      <c r="E7577" s="52" t="s">
        <v>750</v>
      </c>
      <c r="F7577" s="52" t="s">
        <v>581</v>
      </c>
      <c r="G7577" s="55" t="s">
        <v>276</v>
      </c>
      <c r="H7577" s="55">
        <v>-1.1124499999999999</v>
      </c>
      <c r="I7577" s="55">
        <v>8.4086999999999995E-2</v>
      </c>
      <c r="J7577" s="55">
        <v>1.198705E-3</v>
      </c>
      <c r="K7577" s="55">
        <v>-0.12770860000000001</v>
      </c>
      <c r="L7577" s="55">
        <v>-0.19758619999999999</v>
      </c>
      <c r="M7577" s="55">
        <v>-0.2041241</v>
      </c>
      <c r="N7577" s="55">
        <v>-0.40048539999999999</v>
      </c>
    </row>
    <row r="7578" spans="1:14" hidden="1" x14ac:dyDescent="0.35">
      <c r="A7578" s="52" t="s">
        <v>749</v>
      </c>
      <c r="B7578" s="52" t="s">
        <v>37</v>
      </c>
      <c r="C7578" s="52" t="s">
        <v>46</v>
      </c>
      <c r="D7578" s="52" t="s">
        <v>46</v>
      </c>
      <c r="E7578" s="52" t="s">
        <v>750</v>
      </c>
      <c r="F7578" s="52" t="s">
        <v>581</v>
      </c>
      <c r="G7578" s="55" t="s">
        <v>277</v>
      </c>
      <c r="H7578" s="55"/>
      <c r="I7578" s="55">
        <v>0</v>
      </c>
      <c r="J7578" s="55">
        <v>2.1458059999999999</v>
      </c>
      <c r="K7578" s="55">
        <v>2.4274119999999999</v>
      </c>
      <c r="L7578" s="55">
        <v>4.348147</v>
      </c>
      <c r="M7578" s="55">
        <v>0</v>
      </c>
      <c r="N7578" s="55">
        <v>0</v>
      </c>
    </row>
    <row r="7579" spans="1:14" hidden="1" x14ac:dyDescent="0.35">
      <c r="A7579" s="52" t="s">
        <v>749</v>
      </c>
      <c r="B7579" s="52" t="s">
        <v>37</v>
      </c>
      <c r="C7579" s="52" t="s">
        <v>46</v>
      </c>
      <c r="D7579" s="52" t="s">
        <v>46</v>
      </c>
      <c r="E7579" s="52" t="s">
        <v>750</v>
      </c>
      <c r="F7579" s="52" t="s">
        <v>581</v>
      </c>
      <c r="G7579" s="55" t="s">
        <v>278</v>
      </c>
      <c r="H7579" s="55"/>
      <c r="I7579" s="55">
        <v>0</v>
      </c>
      <c r="J7579" s="55">
        <v>0.98265100000000005</v>
      </c>
      <c r="K7579" s="55">
        <v>1.7748550000000001</v>
      </c>
      <c r="L7579" s="55">
        <v>0.85630209999999995</v>
      </c>
      <c r="M7579" s="55">
        <v>0</v>
      </c>
      <c r="N7579" s="55"/>
    </row>
    <row r="7580" spans="1:14" hidden="1" x14ac:dyDescent="0.35">
      <c r="A7580" s="52" t="s">
        <v>749</v>
      </c>
      <c r="B7580" s="52" t="s">
        <v>37</v>
      </c>
      <c r="C7580" s="52" t="s">
        <v>46</v>
      </c>
      <c r="D7580" s="52" t="s">
        <v>46</v>
      </c>
      <c r="E7580" s="52" t="s">
        <v>750</v>
      </c>
      <c r="F7580" s="52" t="s">
        <v>581</v>
      </c>
      <c r="G7580" s="55" t="s">
        <v>279</v>
      </c>
      <c r="H7580" s="55">
        <v>0.49810300000000002</v>
      </c>
      <c r="I7580" s="55">
        <v>0.3321713</v>
      </c>
      <c r="J7580" s="55">
        <v>0.5096697</v>
      </c>
      <c r="K7580" s="55">
        <v>0.66641439999999996</v>
      </c>
      <c r="L7580" s="55">
        <v>0.96238840000000003</v>
      </c>
      <c r="M7580" s="55">
        <v>0.77015279999999997</v>
      </c>
      <c r="N7580" s="55">
        <v>0.57890339999999996</v>
      </c>
    </row>
    <row r="7581" spans="1:14" hidden="1" x14ac:dyDescent="0.35">
      <c r="A7581" s="52" t="s">
        <v>749</v>
      </c>
      <c r="B7581" s="52" t="s">
        <v>37</v>
      </c>
      <c r="C7581" s="52" t="s">
        <v>46</v>
      </c>
      <c r="D7581" s="52" t="s">
        <v>46</v>
      </c>
      <c r="E7581" s="52" t="s">
        <v>750</v>
      </c>
      <c r="F7581" s="52" t="s">
        <v>26</v>
      </c>
      <c r="G7581" s="55" t="s">
        <v>275</v>
      </c>
      <c r="H7581" s="55">
        <v>-2.2265E-2</v>
      </c>
      <c r="I7581" s="55">
        <v>-2.2739100000000002E-2</v>
      </c>
      <c r="J7581" s="55">
        <v>-2.0742199999999999E-2</v>
      </c>
      <c r="K7581" s="55">
        <v>-2.3990000000000001E-2</v>
      </c>
      <c r="L7581" s="55">
        <v>-2.06403E-2</v>
      </c>
      <c r="M7581" s="55">
        <v>-2.0771899999999999E-2</v>
      </c>
      <c r="N7581" s="55">
        <v>-1.16845E-2</v>
      </c>
    </row>
    <row r="7582" spans="1:14" hidden="1" x14ac:dyDescent="0.35">
      <c r="A7582" s="52" t="s">
        <v>749</v>
      </c>
      <c r="B7582" s="52" t="s">
        <v>37</v>
      </c>
      <c r="C7582" s="52" t="s">
        <v>46</v>
      </c>
      <c r="D7582" s="52" t="s">
        <v>46</v>
      </c>
      <c r="E7582" s="52" t="s">
        <v>750</v>
      </c>
      <c r="F7582" s="52" t="s">
        <v>26</v>
      </c>
      <c r="G7582" s="55" t="s">
        <v>276</v>
      </c>
      <c r="H7582" s="55">
        <v>-6.4539999999999997E-3</v>
      </c>
      <c r="I7582" s="55">
        <v>-6.5916999999999998E-3</v>
      </c>
      <c r="J7582" s="55">
        <v>-6.0131999999999998E-3</v>
      </c>
      <c r="K7582" s="55">
        <v>-6.9544999999999997E-3</v>
      </c>
      <c r="L7582" s="55">
        <v>-5.9832000000000002E-3</v>
      </c>
      <c r="M7582" s="55">
        <v>-6.0217999999999999E-3</v>
      </c>
      <c r="N7582" s="55">
        <v>-3.3873000000000002E-3</v>
      </c>
    </row>
    <row r="7583" spans="1:14" hidden="1" x14ac:dyDescent="0.35">
      <c r="A7583" s="52" t="s">
        <v>749</v>
      </c>
      <c r="B7583" s="52" t="s">
        <v>37</v>
      </c>
      <c r="C7583" s="52" t="s">
        <v>46</v>
      </c>
      <c r="D7583" s="52" t="s">
        <v>46</v>
      </c>
      <c r="E7583" s="52" t="s">
        <v>750</v>
      </c>
      <c r="F7583" s="52" t="s">
        <v>26</v>
      </c>
      <c r="G7583" s="55" t="s">
        <v>279</v>
      </c>
      <c r="H7583" s="55">
        <v>7.8703999999999996E-2</v>
      </c>
      <c r="I7583" s="55">
        <v>6.6220699999999993E-2</v>
      </c>
      <c r="J7583" s="55">
        <v>8.8933100000000001E-2</v>
      </c>
      <c r="K7583" s="55">
        <v>0.1097118</v>
      </c>
      <c r="L7583" s="55">
        <v>0.14567569999999999</v>
      </c>
      <c r="M7583" s="55">
        <v>0.1110816</v>
      </c>
      <c r="N7583" s="55">
        <v>7.8455189999999994E-2</v>
      </c>
    </row>
    <row r="7584" spans="1:14" hidden="1" x14ac:dyDescent="0.35">
      <c r="A7584" s="52" t="s">
        <v>749</v>
      </c>
      <c r="B7584" s="52" t="s">
        <v>37</v>
      </c>
      <c r="C7584" s="52" t="s">
        <v>318</v>
      </c>
      <c r="D7584" s="52" t="s">
        <v>318</v>
      </c>
      <c r="E7584" s="52" t="s">
        <v>584</v>
      </c>
      <c r="F7584" s="52" t="s">
        <v>581</v>
      </c>
      <c r="G7584" s="55" t="s">
        <v>275</v>
      </c>
      <c r="H7584" s="55">
        <v>0</v>
      </c>
      <c r="I7584" s="55"/>
      <c r="J7584" s="55"/>
      <c r="K7584" s="55"/>
      <c r="L7584" s="55"/>
      <c r="M7584" s="55"/>
      <c r="N7584" s="55"/>
    </row>
    <row r="7585" spans="1:14" hidden="1" x14ac:dyDescent="0.35">
      <c r="A7585" s="52" t="s">
        <v>749</v>
      </c>
      <c r="B7585" s="52" t="s">
        <v>37</v>
      </c>
      <c r="C7585" s="52" t="s">
        <v>318</v>
      </c>
      <c r="D7585" s="52" t="s">
        <v>318</v>
      </c>
      <c r="E7585" s="52" t="s">
        <v>584</v>
      </c>
      <c r="F7585" s="52" t="s">
        <v>581</v>
      </c>
      <c r="G7585" s="55" t="s">
        <v>276</v>
      </c>
      <c r="H7585" s="55">
        <v>0</v>
      </c>
      <c r="I7585" s="55"/>
      <c r="J7585" s="55"/>
      <c r="K7585" s="55"/>
      <c r="L7585" s="55"/>
      <c r="M7585" s="55"/>
      <c r="N7585" s="55"/>
    </row>
    <row r="7586" spans="1:14" hidden="1" x14ac:dyDescent="0.35">
      <c r="A7586" s="52" t="s">
        <v>749</v>
      </c>
      <c r="B7586" s="52" t="s">
        <v>37</v>
      </c>
      <c r="C7586" s="52" t="s">
        <v>318</v>
      </c>
      <c r="D7586" s="52" t="s">
        <v>318</v>
      </c>
      <c r="E7586" s="52" t="s">
        <v>584</v>
      </c>
      <c r="F7586" s="52" t="s">
        <v>581</v>
      </c>
      <c r="G7586" s="55" t="s">
        <v>278</v>
      </c>
      <c r="H7586" s="55">
        <v>0</v>
      </c>
      <c r="I7586" s="55"/>
      <c r="J7586" s="55"/>
      <c r="K7586" s="55"/>
      <c r="L7586" s="55"/>
      <c r="M7586" s="55"/>
      <c r="N7586" s="55"/>
    </row>
    <row r="7587" spans="1:14" hidden="1" x14ac:dyDescent="0.35">
      <c r="A7587" s="52" t="s">
        <v>749</v>
      </c>
      <c r="B7587" s="52" t="s">
        <v>37</v>
      </c>
      <c r="C7587" s="52" t="s">
        <v>318</v>
      </c>
      <c r="D7587" s="52" t="s">
        <v>318</v>
      </c>
      <c r="E7587" s="52" t="s">
        <v>584</v>
      </c>
      <c r="F7587" s="52" t="s">
        <v>26</v>
      </c>
      <c r="G7587" s="55" t="s">
        <v>275</v>
      </c>
      <c r="H7587" s="55">
        <v>0</v>
      </c>
      <c r="I7587" s="55"/>
      <c r="J7587" s="55"/>
      <c r="K7587" s="55"/>
      <c r="L7587" s="55"/>
      <c r="M7587" s="55"/>
      <c r="N7587" s="55"/>
    </row>
    <row r="7588" spans="1:14" hidden="1" x14ac:dyDescent="0.35">
      <c r="A7588" s="52" t="s">
        <v>749</v>
      </c>
      <c r="B7588" s="52" t="s">
        <v>37</v>
      </c>
      <c r="C7588" s="52" t="s">
        <v>318</v>
      </c>
      <c r="D7588" s="52" t="s">
        <v>318</v>
      </c>
      <c r="E7588" s="52" t="s">
        <v>584</v>
      </c>
      <c r="F7588" s="52" t="s">
        <v>26</v>
      </c>
      <c r="G7588" s="55" t="s">
        <v>276</v>
      </c>
      <c r="H7588" s="55">
        <v>0</v>
      </c>
      <c r="I7588" s="55"/>
      <c r="J7588" s="55"/>
      <c r="K7588" s="55"/>
      <c r="L7588" s="55"/>
      <c r="M7588" s="55"/>
      <c r="N7588" s="55"/>
    </row>
    <row r="7589" spans="1:14" hidden="1" x14ac:dyDescent="0.35">
      <c r="A7589" s="52" t="s">
        <v>749</v>
      </c>
      <c r="B7589" s="52" t="s">
        <v>37</v>
      </c>
      <c r="C7589" s="52" t="s">
        <v>318</v>
      </c>
      <c r="D7589" s="52" t="s">
        <v>318</v>
      </c>
      <c r="E7589" s="52" t="s">
        <v>584</v>
      </c>
      <c r="F7589" s="52" t="s">
        <v>26</v>
      </c>
      <c r="G7589" s="55" t="s">
        <v>278</v>
      </c>
      <c r="H7589" s="55">
        <v>0</v>
      </c>
      <c r="I7589" s="55"/>
      <c r="J7589" s="55"/>
      <c r="K7589" s="55"/>
      <c r="L7589" s="55"/>
      <c r="M7589" s="55"/>
      <c r="N7589" s="55"/>
    </row>
    <row r="7590" spans="1:14" hidden="1" x14ac:dyDescent="0.35">
      <c r="A7590" s="52" t="s">
        <v>732</v>
      </c>
      <c r="B7590" s="52" t="s">
        <v>37</v>
      </c>
      <c r="C7590" s="52" t="s">
        <v>35</v>
      </c>
      <c r="D7590" s="52" t="s">
        <v>189</v>
      </c>
      <c r="E7590" s="52" t="s">
        <v>590</v>
      </c>
      <c r="F7590" s="52" t="s">
        <v>581</v>
      </c>
      <c r="G7590" s="55" t="s">
        <v>275</v>
      </c>
      <c r="H7590" s="55">
        <v>27.219149999999999</v>
      </c>
      <c r="I7590" s="55">
        <v>45.238480000000003</v>
      </c>
      <c r="J7590" s="55">
        <v>103.7683</v>
      </c>
      <c r="K7590" s="55">
        <v>93.251220000000004</v>
      </c>
      <c r="L7590" s="55">
        <v>89.632140000000007</v>
      </c>
      <c r="M7590" s="55">
        <v>76.410520000000005</v>
      </c>
      <c r="N7590" s="55">
        <v>61.503909999999998</v>
      </c>
    </row>
    <row r="7591" spans="1:14" hidden="1" x14ac:dyDescent="0.35">
      <c r="A7591" s="52" t="s">
        <v>732</v>
      </c>
      <c r="B7591" s="52" t="s">
        <v>37</v>
      </c>
      <c r="C7591" s="52" t="s">
        <v>35</v>
      </c>
      <c r="D7591" s="52" t="s">
        <v>189</v>
      </c>
      <c r="E7591" s="52" t="s">
        <v>590</v>
      </c>
      <c r="F7591" s="52" t="s">
        <v>581</v>
      </c>
      <c r="G7591" s="55" t="s">
        <v>276</v>
      </c>
      <c r="H7591" s="55">
        <v>27.0029</v>
      </c>
      <c r="I7591" s="55">
        <v>-8.6675129999999996</v>
      </c>
      <c r="J7591" s="55">
        <v>-31.005289999999999</v>
      </c>
      <c r="K7591" s="55">
        <v>-26.01267</v>
      </c>
      <c r="L7591" s="55">
        <v>-9.4482839999999992</v>
      </c>
      <c r="M7591" s="55">
        <v>6.9404029999999999</v>
      </c>
      <c r="N7591" s="55">
        <v>10.15987</v>
      </c>
    </row>
    <row r="7592" spans="1:14" hidden="1" x14ac:dyDescent="0.35">
      <c r="A7592" s="52" t="s">
        <v>732</v>
      </c>
      <c r="B7592" s="52" t="s">
        <v>37</v>
      </c>
      <c r="C7592" s="52" t="s">
        <v>35</v>
      </c>
      <c r="D7592" s="52" t="s">
        <v>189</v>
      </c>
      <c r="E7592" s="52" t="s">
        <v>590</v>
      </c>
      <c r="F7592" s="52" t="s">
        <v>581</v>
      </c>
      <c r="G7592" s="55" t="s">
        <v>277</v>
      </c>
      <c r="H7592" s="55">
        <v>281.56020000000001</v>
      </c>
      <c r="I7592" s="55">
        <v>85.496669999999995</v>
      </c>
      <c r="J7592" s="55">
        <v>31.925930000000001</v>
      </c>
      <c r="K7592" s="55">
        <v>16.163250000000001</v>
      </c>
      <c r="L7592" s="55">
        <v>11.68871</v>
      </c>
      <c r="M7592" s="55">
        <v>0</v>
      </c>
      <c r="N7592" s="55">
        <v>0</v>
      </c>
    </row>
    <row r="7593" spans="1:14" hidden="1" x14ac:dyDescent="0.35">
      <c r="A7593" s="52" t="s">
        <v>732</v>
      </c>
      <c r="B7593" s="52" t="s">
        <v>37</v>
      </c>
      <c r="C7593" s="52" t="s">
        <v>35</v>
      </c>
      <c r="D7593" s="52" t="s">
        <v>189</v>
      </c>
      <c r="E7593" s="52" t="s">
        <v>590</v>
      </c>
      <c r="F7593" s="52" t="s">
        <v>581</v>
      </c>
      <c r="G7593" s="55" t="s">
        <v>278</v>
      </c>
      <c r="H7593" s="55">
        <v>12.33943</v>
      </c>
      <c r="I7593" s="55">
        <v>8.8197469999999996</v>
      </c>
      <c r="J7593" s="55">
        <v>15.031280000000001</v>
      </c>
      <c r="K7593" s="55">
        <v>22.98423</v>
      </c>
      <c r="L7593" s="55">
        <v>13.421989999999999</v>
      </c>
      <c r="M7593" s="55">
        <v>0</v>
      </c>
      <c r="N7593" s="55">
        <v>0</v>
      </c>
    </row>
    <row r="7594" spans="1:14" hidden="1" x14ac:dyDescent="0.35">
      <c r="A7594" s="52" t="s">
        <v>732</v>
      </c>
      <c r="B7594" s="52" t="s">
        <v>37</v>
      </c>
      <c r="C7594" s="52" t="s">
        <v>35</v>
      </c>
      <c r="D7594" s="52" t="s">
        <v>189</v>
      </c>
      <c r="E7594" s="52" t="s">
        <v>590</v>
      </c>
      <c r="F7594" s="52" t="s">
        <v>581</v>
      </c>
      <c r="G7594" s="55" t="s">
        <v>279</v>
      </c>
      <c r="H7594" s="55">
        <v>104.1601</v>
      </c>
      <c r="I7594" s="55">
        <v>69.841719999999995</v>
      </c>
      <c r="J7594" s="55">
        <v>60.280110000000001</v>
      </c>
      <c r="K7594" s="55">
        <v>55.061329999999998</v>
      </c>
      <c r="L7594" s="55">
        <v>50.411320000000003</v>
      </c>
      <c r="M7594" s="55">
        <v>48.022060000000003</v>
      </c>
      <c r="N7594" s="55">
        <v>41.126809999999999</v>
      </c>
    </row>
    <row r="7595" spans="1:14" hidden="1" x14ac:dyDescent="0.35">
      <c r="A7595" s="52" t="s">
        <v>732</v>
      </c>
      <c r="B7595" s="52" t="s">
        <v>37</v>
      </c>
      <c r="C7595" s="52" t="s">
        <v>35</v>
      </c>
      <c r="D7595" s="52" t="s">
        <v>189</v>
      </c>
      <c r="E7595" s="52" t="s">
        <v>590</v>
      </c>
      <c r="F7595" s="52" t="s">
        <v>26</v>
      </c>
      <c r="G7595" s="55" t="s">
        <v>275</v>
      </c>
      <c r="H7595" s="55">
        <v>-15.6275</v>
      </c>
      <c r="I7595" s="55">
        <v>-14.55843</v>
      </c>
      <c r="J7595" s="55">
        <v>-11.46372</v>
      </c>
      <c r="K7595" s="55">
        <v>-11.09774</v>
      </c>
      <c r="L7595" s="55">
        <v>-9.8239520000000002</v>
      </c>
      <c r="M7595" s="55">
        <v>-10.69844</v>
      </c>
      <c r="N7595" s="55">
        <v>-9.1605129999999999</v>
      </c>
    </row>
    <row r="7596" spans="1:14" hidden="1" x14ac:dyDescent="0.35">
      <c r="A7596" s="52" t="s">
        <v>732</v>
      </c>
      <c r="B7596" s="52" t="s">
        <v>37</v>
      </c>
      <c r="C7596" s="52" t="s">
        <v>35</v>
      </c>
      <c r="D7596" s="52" t="s">
        <v>189</v>
      </c>
      <c r="E7596" s="52" t="s">
        <v>590</v>
      </c>
      <c r="F7596" s="52" t="s">
        <v>26</v>
      </c>
      <c r="G7596" s="55" t="s">
        <v>276</v>
      </c>
      <c r="H7596" s="55">
        <v>-4.5302509999999998</v>
      </c>
      <c r="I7596" s="55">
        <v>-4.2203410000000003</v>
      </c>
      <c r="J7596" s="55">
        <v>-3.3232170000000001</v>
      </c>
      <c r="K7596" s="55">
        <v>-3.217114</v>
      </c>
      <c r="L7596" s="55">
        <v>-2.8478629999999998</v>
      </c>
      <c r="M7596" s="55">
        <v>-3.1013660000000001</v>
      </c>
      <c r="N7596" s="55">
        <v>-2.6555430000000002</v>
      </c>
    </row>
    <row r="7597" spans="1:14" hidden="1" x14ac:dyDescent="0.35">
      <c r="A7597" s="52" t="s">
        <v>732</v>
      </c>
      <c r="B7597" s="52" t="s">
        <v>37</v>
      </c>
      <c r="C7597" s="52" t="s">
        <v>35</v>
      </c>
      <c r="D7597" s="52" t="s">
        <v>189</v>
      </c>
      <c r="E7597" s="52" t="s">
        <v>590</v>
      </c>
      <c r="F7597" s="52" t="s">
        <v>26</v>
      </c>
      <c r="G7597" s="55" t="s">
        <v>279</v>
      </c>
      <c r="H7597" s="55">
        <v>41.670439999999999</v>
      </c>
      <c r="I7597" s="55">
        <v>37.319569999999999</v>
      </c>
      <c r="J7597" s="55">
        <v>32.181379999999997</v>
      </c>
      <c r="K7597" s="55">
        <v>29.79252</v>
      </c>
      <c r="L7597" s="55">
        <v>27.516439999999999</v>
      </c>
      <c r="M7597" s="55">
        <v>26.29016</v>
      </c>
      <c r="N7597" s="55">
        <v>22.495940000000001</v>
      </c>
    </row>
    <row r="7598" spans="1:14" hidden="1" x14ac:dyDescent="0.35">
      <c r="A7598" s="52" t="s">
        <v>732</v>
      </c>
      <c r="B7598" s="52" t="s">
        <v>37</v>
      </c>
      <c r="C7598" s="52" t="s">
        <v>35</v>
      </c>
      <c r="D7598" s="52" t="s">
        <v>189</v>
      </c>
      <c r="E7598" s="52" t="s">
        <v>589</v>
      </c>
      <c r="F7598" s="52" t="s">
        <v>581</v>
      </c>
      <c r="G7598" s="55" t="s">
        <v>275</v>
      </c>
      <c r="H7598" s="55">
        <v>2.8987419999999999</v>
      </c>
      <c r="I7598" s="55">
        <v>48.207259999999998</v>
      </c>
      <c r="J7598" s="55">
        <v>48.560040000000001</v>
      </c>
      <c r="K7598" s="55">
        <v>43.181759999999997</v>
      </c>
      <c r="L7598" s="55">
        <v>51.109789999999997</v>
      </c>
      <c r="M7598" s="55">
        <v>45.366230000000002</v>
      </c>
      <c r="N7598" s="55">
        <v>36.947600000000001</v>
      </c>
    </row>
    <row r="7599" spans="1:14" hidden="1" x14ac:dyDescent="0.35">
      <c r="A7599" s="52" t="s">
        <v>732</v>
      </c>
      <c r="B7599" s="52" t="s">
        <v>37</v>
      </c>
      <c r="C7599" s="52" t="s">
        <v>35</v>
      </c>
      <c r="D7599" s="52" t="s">
        <v>189</v>
      </c>
      <c r="E7599" s="52" t="s">
        <v>589</v>
      </c>
      <c r="F7599" s="52" t="s">
        <v>581</v>
      </c>
      <c r="G7599" s="55" t="s">
        <v>276</v>
      </c>
      <c r="H7599" s="55">
        <v>-26.394310000000001</v>
      </c>
      <c r="I7599" s="55">
        <v>-32.45655</v>
      </c>
      <c r="J7599" s="55">
        <v>-18.817440000000001</v>
      </c>
      <c r="K7599" s="55">
        <v>-15.12154</v>
      </c>
      <c r="L7599" s="55">
        <v>-6.3004579999999999</v>
      </c>
      <c r="M7599" s="55">
        <v>3.8802840000000001</v>
      </c>
      <c r="N7599" s="55">
        <v>4.7771869999999996</v>
      </c>
    </row>
    <row r="7600" spans="1:14" hidden="1" x14ac:dyDescent="0.35">
      <c r="A7600" s="52" t="s">
        <v>732</v>
      </c>
      <c r="B7600" s="52" t="s">
        <v>37</v>
      </c>
      <c r="C7600" s="52" t="s">
        <v>35</v>
      </c>
      <c r="D7600" s="52" t="s">
        <v>189</v>
      </c>
      <c r="E7600" s="52" t="s">
        <v>589</v>
      </c>
      <c r="F7600" s="52" t="s">
        <v>581</v>
      </c>
      <c r="G7600" s="55" t="s">
        <v>277</v>
      </c>
      <c r="H7600" s="55">
        <v>168.9408</v>
      </c>
      <c r="I7600" s="55">
        <v>45.714599999999997</v>
      </c>
      <c r="J7600" s="55">
        <v>21.966149999999999</v>
      </c>
      <c r="K7600" s="55">
        <v>11.77839</v>
      </c>
      <c r="L7600" s="55">
        <v>7.1647720000000001</v>
      </c>
      <c r="M7600" s="55">
        <v>0</v>
      </c>
      <c r="N7600" s="55">
        <v>0</v>
      </c>
    </row>
    <row r="7601" spans="1:14" hidden="1" x14ac:dyDescent="0.35">
      <c r="A7601" s="52" t="s">
        <v>732</v>
      </c>
      <c r="B7601" s="52" t="s">
        <v>37</v>
      </c>
      <c r="C7601" s="52" t="s">
        <v>35</v>
      </c>
      <c r="D7601" s="52" t="s">
        <v>189</v>
      </c>
      <c r="E7601" s="52" t="s">
        <v>589</v>
      </c>
      <c r="F7601" s="52" t="s">
        <v>581</v>
      </c>
      <c r="G7601" s="55" t="s">
        <v>278</v>
      </c>
      <c r="H7601" s="55">
        <v>7.6145630000000004</v>
      </c>
      <c r="I7601" s="55">
        <v>6.1457519999999999</v>
      </c>
      <c r="J7601" s="55">
        <v>14.280189999999999</v>
      </c>
      <c r="K7601" s="55">
        <v>20.362590000000001</v>
      </c>
      <c r="L7601" s="55">
        <v>11.04257</v>
      </c>
      <c r="M7601" s="55">
        <v>0</v>
      </c>
      <c r="N7601" s="55">
        <v>0</v>
      </c>
    </row>
    <row r="7602" spans="1:14" hidden="1" x14ac:dyDescent="0.35">
      <c r="A7602" s="52" t="s">
        <v>732</v>
      </c>
      <c r="B7602" s="52" t="s">
        <v>37</v>
      </c>
      <c r="C7602" s="52" t="s">
        <v>35</v>
      </c>
      <c r="D7602" s="52" t="s">
        <v>189</v>
      </c>
      <c r="E7602" s="52" t="s">
        <v>589</v>
      </c>
      <c r="F7602" s="52" t="s">
        <v>581</v>
      </c>
      <c r="G7602" s="55" t="s">
        <v>279</v>
      </c>
      <c r="H7602" s="55">
        <v>45.96734</v>
      </c>
      <c r="I7602" s="55">
        <v>36.162199999999999</v>
      </c>
      <c r="J7602" s="55">
        <v>33.19885</v>
      </c>
      <c r="K7602" s="55">
        <v>31.083310000000001</v>
      </c>
      <c r="L7602" s="55">
        <v>29.806010000000001</v>
      </c>
      <c r="M7602" s="55">
        <v>28.300260000000002</v>
      </c>
      <c r="N7602" s="55">
        <v>23.887090000000001</v>
      </c>
    </row>
    <row r="7603" spans="1:14" hidden="1" x14ac:dyDescent="0.35">
      <c r="A7603" s="52" t="s">
        <v>732</v>
      </c>
      <c r="B7603" s="52" t="s">
        <v>37</v>
      </c>
      <c r="C7603" s="52" t="s">
        <v>35</v>
      </c>
      <c r="D7603" s="52" t="s">
        <v>189</v>
      </c>
      <c r="E7603" s="52" t="s">
        <v>589</v>
      </c>
      <c r="F7603" s="52" t="s">
        <v>26</v>
      </c>
      <c r="G7603" s="55" t="s">
        <v>275</v>
      </c>
      <c r="H7603" s="55">
        <v>-6.6073339999999998</v>
      </c>
      <c r="I7603" s="55">
        <v>-7.2251269999999996</v>
      </c>
      <c r="J7603" s="55">
        <v>-6.0429180000000002</v>
      </c>
      <c r="K7603" s="55">
        <v>-5.9924020000000002</v>
      </c>
      <c r="L7603" s="55">
        <v>-5.5101899999999997</v>
      </c>
      <c r="M7603" s="55">
        <v>-6.0308590000000004</v>
      </c>
      <c r="N7603" s="55">
        <v>-5.0896119999999998</v>
      </c>
    </row>
    <row r="7604" spans="1:14" hidden="1" x14ac:dyDescent="0.35">
      <c r="A7604" s="52" t="s">
        <v>732</v>
      </c>
      <c r="B7604" s="52" t="s">
        <v>37</v>
      </c>
      <c r="C7604" s="52" t="s">
        <v>35</v>
      </c>
      <c r="D7604" s="52" t="s">
        <v>189</v>
      </c>
      <c r="E7604" s="52" t="s">
        <v>589</v>
      </c>
      <c r="F7604" s="52" t="s">
        <v>26</v>
      </c>
      <c r="G7604" s="55" t="s">
        <v>276</v>
      </c>
      <c r="H7604" s="55">
        <v>-1.9154070000000001</v>
      </c>
      <c r="I7604" s="55">
        <v>-2.0944950000000002</v>
      </c>
      <c r="J7604" s="55">
        <v>-1.7517799999999999</v>
      </c>
      <c r="K7604" s="55">
        <v>-1.7371380000000001</v>
      </c>
      <c r="L7604" s="55">
        <v>-1.5973459999999999</v>
      </c>
      <c r="M7604" s="55">
        <v>-1.7482839999999999</v>
      </c>
      <c r="N7604" s="55">
        <v>-1.47543</v>
      </c>
    </row>
    <row r="7605" spans="1:14" hidden="1" x14ac:dyDescent="0.35">
      <c r="A7605" s="52" t="s">
        <v>732</v>
      </c>
      <c r="B7605" s="52" t="s">
        <v>37</v>
      </c>
      <c r="C7605" s="52" t="s">
        <v>35</v>
      </c>
      <c r="D7605" s="52" t="s">
        <v>189</v>
      </c>
      <c r="E7605" s="52" t="s">
        <v>589</v>
      </c>
      <c r="F7605" s="52" t="s">
        <v>26</v>
      </c>
      <c r="G7605" s="55" t="s">
        <v>279</v>
      </c>
      <c r="H7605" s="55">
        <v>17.618359999999999</v>
      </c>
      <c r="I7605" s="55">
        <v>18.52345</v>
      </c>
      <c r="J7605" s="55">
        <v>16.981459999999998</v>
      </c>
      <c r="K7605" s="55">
        <v>16.107330000000001</v>
      </c>
      <c r="L7605" s="55">
        <v>15.576700000000001</v>
      </c>
      <c r="M7605" s="55">
        <v>14.837590000000001</v>
      </c>
      <c r="N7605" s="55">
        <v>12.51343</v>
      </c>
    </row>
    <row r="7606" spans="1:14" hidden="1" x14ac:dyDescent="0.35">
      <c r="A7606" s="52" t="s">
        <v>732</v>
      </c>
      <c r="B7606" s="52" t="s">
        <v>37</v>
      </c>
      <c r="C7606" s="52" t="s">
        <v>35</v>
      </c>
      <c r="D7606" s="52" t="s">
        <v>267</v>
      </c>
      <c r="E7606" s="52" t="s">
        <v>587</v>
      </c>
      <c r="F7606" s="52" t="s">
        <v>581</v>
      </c>
      <c r="G7606" s="55" t="s">
        <v>275</v>
      </c>
      <c r="H7606" s="55">
        <v>24.69303</v>
      </c>
      <c r="I7606" s="55">
        <v>6.1664810000000001</v>
      </c>
      <c r="J7606" s="55">
        <v>5.4464560000000004</v>
      </c>
      <c r="K7606" s="55">
        <v>5.2700009999999997</v>
      </c>
      <c r="L7606" s="55">
        <v>4.1776479999999996</v>
      </c>
      <c r="M7606" s="55">
        <v>3.3647170000000002</v>
      </c>
      <c r="N7606" s="55">
        <v>3.0501589999999998</v>
      </c>
    </row>
    <row r="7607" spans="1:14" hidden="1" x14ac:dyDescent="0.35">
      <c r="A7607" s="52" t="s">
        <v>732</v>
      </c>
      <c r="B7607" s="52" t="s">
        <v>37</v>
      </c>
      <c r="C7607" s="52" t="s">
        <v>35</v>
      </c>
      <c r="D7607" s="52" t="s">
        <v>267</v>
      </c>
      <c r="E7607" s="52" t="s">
        <v>587</v>
      </c>
      <c r="F7607" s="52" t="s">
        <v>581</v>
      </c>
      <c r="G7607" s="55" t="s">
        <v>276</v>
      </c>
      <c r="H7607" s="55">
        <v>1.163629</v>
      </c>
      <c r="I7607" s="55">
        <v>0.69654919999999998</v>
      </c>
      <c r="J7607" s="55">
        <v>1.0998140000000001</v>
      </c>
      <c r="K7607" s="55">
        <v>0.49230679999999999</v>
      </c>
      <c r="L7607" s="55">
        <v>1.2110570000000001</v>
      </c>
      <c r="M7607" s="55">
        <v>0.97539779999999998</v>
      </c>
      <c r="N7607" s="55">
        <v>0.88420929999999998</v>
      </c>
    </row>
    <row r="7608" spans="1:14" hidden="1" x14ac:dyDescent="0.35">
      <c r="A7608" s="52" t="s">
        <v>732</v>
      </c>
      <c r="B7608" s="52" t="s">
        <v>37</v>
      </c>
      <c r="C7608" s="52" t="s">
        <v>35</v>
      </c>
      <c r="D7608" s="52" t="s">
        <v>267</v>
      </c>
      <c r="E7608" s="52" t="s">
        <v>587</v>
      </c>
      <c r="F7608" s="52" t="s">
        <v>581</v>
      </c>
      <c r="G7608" s="55" t="s">
        <v>277</v>
      </c>
      <c r="H7608" s="55">
        <v>0</v>
      </c>
      <c r="I7608" s="55"/>
      <c r="J7608" s="55"/>
      <c r="K7608" s="55"/>
      <c r="L7608" s="55"/>
      <c r="M7608" s="55">
        <v>0</v>
      </c>
      <c r="N7608" s="55">
        <v>0</v>
      </c>
    </row>
    <row r="7609" spans="1:14" hidden="1" x14ac:dyDescent="0.35">
      <c r="A7609" s="52" t="s">
        <v>732</v>
      </c>
      <c r="B7609" s="52" t="s">
        <v>37</v>
      </c>
      <c r="C7609" s="52" t="s">
        <v>35</v>
      </c>
      <c r="D7609" s="52" t="s">
        <v>267</v>
      </c>
      <c r="E7609" s="52" t="s">
        <v>587</v>
      </c>
      <c r="F7609" s="52" t="s">
        <v>581</v>
      </c>
      <c r="G7609" s="55" t="s">
        <v>279</v>
      </c>
      <c r="H7609" s="55">
        <v>11.377520000000001</v>
      </c>
      <c r="I7609" s="55">
        <v>6.7825699999999998</v>
      </c>
      <c r="J7609" s="55">
        <v>6.0055589999999999</v>
      </c>
      <c r="K7609" s="55">
        <v>5.5216909999999997</v>
      </c>
      <c r="L7609" s="55">
        <v>4.7651110000000001</v>
      </c>
      <c r="M7609" s="55">
        <v>4.8647850000000004</v>
      </c>
      <c r="N7609" s="55">
        <v>4.3761910000000004</v>
      </c>
    </row>
    <row r="7610" spans="1:14" hidden="1" x14ac:dyDescent="0.35">
      <c r="A7610" s="52" t="s">
        <v>732</v>
      </c>
      <c r="B7610" s="52" t="s">
        <v>37</v>
      </c>
      <c r="C7610" s="52" t="s">
        <v>35</v>
      </c>
      <c r="D7610" s="52" t="s">
        <v>267</v>
      </c>
      <c r="E7610" s="52" t="s">
        <v>587</v>
      </c>
      <c r="F7610" s="52" t="s">
        <v>26</v>
      </c>
      <c r="G7610" s="55" t="s">
        <v>275</v>
      </c>
      <c r="H7610" s="55">
        <v>-2.4186450000000002</v>
      </c>
      <c r="I7610" s="55">
        <v>-1.8508389999999999</v>
      </c>
      <c r="J7610" s="55">
        <v>-1.5331399999999999</v>
      </c>
      <c r="K7610" s="55">
        <v>-1.472985</v>
      </c>
      <c r="L7610" s="55">
        <v>-1.2555799999999999</v>
      </c>
      <c r="M7610" s="55">
        <v>-1.399446</v>
      </c>
      <c r="N7610" s="55">
        <v>-1.2582869999999999</v>
      </c>
    </row>
    <row r="7611" spans="1:14" hidden="1" x14ac:dyDescent="0.35">
      <c r="A7611" s="52" t="s">
        <v>732</v>
      </c>
      <c r="B7611" s="52" t="s">
        <v>37</v>
      </c>
      <c r="C7611" s="52" t="s">
        <v>35</v>
      </c>
      <c r="D7611" s="52" t="s">
        <v>267</v>
      </c>
      <c r="E7611" s="52" t="s">
        <v>587</v>
      </c>
      <c r="F7611" s="52" t="s">
        <v>26</v>
      </c>
      <c r="G7611" s="55" t="s">
        <v>276</v>
      </c>
      <c r="H7611" s="55">
        <v>-0.70114100000000001</v>
      </c>
      <c r="I7611" s="55">
        <v>-0.5365394</v>
      </c>
      <c r="J7611" s="55">
        <v>-0.44444139999999999</v>
      </c>
      <c r="K7611" s="55">
        <v>-0.42700329999999997</v>
      </c>
      <c r="L7611" s="55">
        <v>-0.36398000000000003</v>
      </c>
      <c r="M7611" s="55">
        <v>-0.40568589999999999</v>
      </c>
      <c r="N7611" s="55">
        <v>-0.36476419999999998</v>
      </c>
    </row>
    <row r="7612" spans="1:14" hidden="1" x14ac:dyDescent="0.35">
      <c r="A7612" s="52" t="s">
        <v>732</v>
      </c>
      <c r="B7612" s="52" t="s">
        <v>37</v>
      </c>
      <c r="C7612" s="52" t="s">
        <v>35</v>
      </c>
      <c r="D7612" s="52" t="s">
        <v>267</v>
      </c>
      <c r="E7612" s="52" t="s">
        <v>587</v>
      </c>
      <c r="F7612" s="52" t="s">
        <v>26</v>
      </c>
      <c r="G7612" s="55" t="s">
        <v>279</v>
      </c>
      <c r="H7612" s="55">
        <v>5.6071609999999996</v>
      </c>
      <c r="I7612" s="55">
        <v>4.1644540000000001</v>
      </c>
      <c r="J7612" s="55">
        <v>3.695465</v>
      </c>
      <c r="K7612" s="55">
        <v>3.4369740000000002</v>
      </c>
      <c r="L7612" s="55">
        <v>2.9970699999999999</v>
      </c>
      <c r="M7612" s="55">
        <v>3.0482450000000001</v>
      </c>
      <c r="N7612" s="55">
        <v>2.7398549999999999</v>
      </c>
    </row>
    <row r="7613" spans="1:14" hidden="1" x14ac:dyDescent="0.35">
      <c r="A7613" s="52" t="s">
        <v>728</v>
      </c>
      <c r="B7613" s="52" t="s">
        <v>37</v>
      </c>
      <c r="C7613" s="52" t="s">
        <v>63</v>
      </c>
      <c r="D7613" s="52" t="s">
        <v>63</v>
      </c>
      <c r="E7613" s="52" t="s">
        <v>584</v>
      </c>
      <c r="F7613" s="52" t="s">
        <v>581</v>
      </c>
      <c r="G7613" s="55" t="s">
        <v>275</v>
      </c>
      <c r="H7613" s="55">
        <v>19.24766</v>
      </c>
      <c r="I7613" s="55">
        <v>6.0318769999999997</v>
      </c>
      <c r="J7613" s="55">
        <v>5.4678389999999997</v>
      </c>
      <c r="K7613" s="55">
        <v>4.5485540000000002</v>
      </c>
      <c r="L7613" s="55">
        <v>3.9214519999999999</v>
      </c>
      <c r="M7613" s="55">
        <v>3.5080610000000001</v>
      </c>
      <c r="N7613" s="55">
        <v>3.2010079999999999</v>
      </c>
    </row>
    <row r="7614" spans="1:14" hidden="1" x14ac:dyDescent="0.35">
      <c r="A7614" s="52" t="s">
        <v>728</v>
      </c>
      <c r="B7614" s="52" t="s">
        <v>37</v>
      </c>
      <c r="C7614" s="52" t="s">
        <v>63</v>
      </c>
      <c r="D7614" s="52" t="s">
        <v>63</v>
      </c>
      <c r="E7614" s="52" t="s">
        <v>584</v>
      </c>
      <c r="F7614" s="52" t="s">
        <v>581</v>
      </c>
      <c r="G7614" s="55" t="s">
        <v>276</v>
      </c>
      <c r="H7614" s="55">
        <v>6.1609850000000002</v>
      </c>
      <c r="I7614" s="55">
        <v>1.7809159999999999</v>
      </c>
      <c r="J7614" s="55">
        <v>1.5906690000000001</v>
      </c>
      <c r="K7614" s="55">
        <v>1.423843</v>
      </c>
      <c r="L7614" s="55">
        <v>1.2133959999999999</v>
      </c>
      <c r="M7614" s="55">
        <v>1.080174</v>
      </c>
      <c r="N7614" s="55">
        <v>0.98285270000000002</v>
      </c>
    </row>
    <row r="7615" spans="1:14" hidden="1" x14ac:dyDescent="0.35">
      <c r="A7615" s="52" t="s">
        <v>728</v>
      </c>
      <c r="B7615" s="52" t="s">
        <v>37</v>
      </c>
      <c r="C7615" s="52" t="s">
        <v>63</v>
      </c>
      <c r="D7615" s="52" t="s">
        <v>63</v>
      </c>
      <c r="E7615" s="52" t="s">
        <v>584</v>
      </c>
      <c r="F7615" s="52" t="s">
        <v>581</v>
      </c>
      <c r="G7615" s="55" t="s">
        <v>279</v>
      </c>
      <c r="H7615" s="55">
        <v>11.09206</v>
      </c>
      <c r="I7615" s="55">
        <v>8.4057820000000003</v>
      </c>
      <c r="J7615" s="55">
        <v>7.78714</v>
      </c>
      <c r="K7615" s="55">
        <v>7.9666160000000001</v>
      </c>
      <c r="L7615" s="55">
        <v>7.9342319999999997</v>
      </c>
      <c r="M7615" s="55">
        <v>7.5289039999999998</v>
      </c>
      <c r="N7615" s="55">
        <v>7.0887989999999999</v>
      </c>
    </row>
    <row r="7616" spans="1:14" hidden="1" x14ac:dyDescent="0.35">
      <c r="A7616" s="52" t="s">
        <v>728</v>
      </c>
      <c r="B7616" s="52" t="s">
        <v>37</v>
      </c>
      <c r="C7616" s="52" t="s">
        <v>63</v>
      </c>
      <c r="D7616" s="52" t="s">
        <v>63</v>
      </c>
      <c r="E7616" s="52" t="s">
        <v>584</v>
      </c>
      <c r="F7616" s="52" t="s">
        <v>26</v>
      </c>
      <c r="G7616" s="55" t="s">
        <v>275</v>
      </c>
      <c r="H7616" s="55">
        <v>-33.244419999999998</v>
      </c>
      <c r="I7616" s="55">
        <v>-29.831959999999999</v>
      </c>
      <c r="J7616" s="55">
        <v>-21.400780000000001</v>
      </c>
      <c r="K7616" s="55">
        <v>-35.106110000000001</v>
      </c>
      <c r="L7616" s="55">
        <v>-41.146740000000001</v>
      </c>
      <c r="M7616" s="55">
        <v>-42.019620000000003</v>
      </c>
      <c r="N7616" s="55">
        <v>-42.67859</v>
      </c>
    </row>
    <row r="7617" spans="1:14" hidden="1" x14ac:dyDescent="0.35">
      <c r="A7617" s="52" t="s">
        <v>728</v>
      </c>
      <c r="B7617" s="52" t="s">
        <v>37</v>
      </c>
      <c r="C7617" s="52" t="s">
        <v>63</v>
      </c>
      <c r="D7617" s="52" t="s">
        <v>63</v>
      </c>
      <c r="E7617" s="52" t="s">
        <v>584</v>
      </c>
      <c r="F7617" s="52" t="s">
        <v>26</v>
      </c>
      <c r="G7617" s="55" t="s">
        <v>276</v>
      </c>
      <c r="H7617" s="55">
        <v>4.381386</v>
      </c>
      <c r="I7617" s="55">
        <v>1.511779</v>
      </c>
      <c r="J7617" s="55">
        <v>2.4896859999999998</v>
      </c>
      <c r="K7617" s="55">
        <v>1.4806170000000001</v>
      </c>
      <c r="L7617" s="55">
        <v>7.6573130000000003E-2</v>
      </c>
      <c r="M7617" s="55">
        <v>-1.428971</v>
      </c>
      <c r="N7617" s="55">
        <v>-2.7029290000000001</v>
      </c>
    </row>
    <row r="7618" spans="1:14" hidden="1" x14ac:dyDescent="0.35">
      <c r="A7618" s="52" t="s">
        <v>728</v>
      </c>
      <c r="B7618" s="52" t="s">
        <v>37</v>
      </c>
      <c r="C7618" s="52" t="s">
        <v>63</v>
      </c>
      <c r="D7618" s="52" t="s">
        <v>63</v>
      </c>
      <c r="E7618" s="52" t="s">
        <v>584</v>
      </c>
      <c r="F7618" s="52" t="s">
        <v>26</v>
      </c>
      <c r="G7618" s="55" t="s">
        <v>277</v>
      </c>
      <c r="H7618" s="55">
        <v>96.663920000000005</v>
      </c>
      <c r="I7618" s="55">
        <v>80.00376</v>
      </c>
      <c r="J7618" s="55">
        <v>76.797790000000006</v>
      </c>
      <c r="K7618" s="55">
        <v>84.414490000000001</v>
      </c>
      <c r="L7618" s="55">
        <v>86.263760000000005</v>
      </c>
      <c r="M7618" s="55">
        <v>85.516360000000006</v>
      </c>
      <c r="N7618" s="55">
        <v>85.564509999999999</v>
      </c>
    </row>
    <row r="7619" spans="1:14" hidden="1" x14ac:dyDescent="0.35">
      <c r="A7619" s="52" t="s">
        <v>728</v>
      </c>
      <c r="B7619" s="52" t="s">
        <v>37</v>
      </c>
      <c r="C7619" s="52" t="s">
        <v>63</v>
      </c>
      <c r="D7619" s="52" t="s">
        <v>63</v>
      </c>
      <c r="E7619" s="52" t="s">
        <v>584</v>
      </c>
      <c r="F7619" s="52" t="s">
        <v>26</v>
      </c>
      <c r="G7619" s="55" t="s">
        <v>279</v>
      </c>
      <c r="H7619" s="55">
        <v>102.9225</v>
      </c>
      <c r="I7619" s="55">
        <v>86.779250000000005</v>
      </c>
      <c r="J7619" s="55">
        <v>82.538290000000003</v>
      </c>
      <c r="K7619" s="55">
        <v>86.062449999999998</v>
      </c>
      <c r="L7619" s="55">
        <v>87.688379999999995</v>
      </c>
      <c r="M7619" s="55">
        <v>85.370350000000002</v>
      </c>
      <c r="N7619" s="55">
        <v>82.284099999999995</v>
      </c>
    </row>
    <row r="7620" spans="1:14" hidden="1" x14ac:dyDescent="0.35">
      <c r="A7620" s="52" t="s">
        <v>728</v>
      </c>
      <c r="B7620" s="52" t="s">
        <v>37</v>
      </c>
      <c r="C7620" s="52" t="s">
        <v>63</v>
      </c>
      <c r="D7620" s="52" t="s">
        <v>63</v>
      </c>
      <c r="E7620" s="52" t="s">
        <v>608</v>
      </c>
      <c r="F7620" s="52" t="s">
        <v>581</v>
      </c>
      <c r="G7620" s="55" t="s">
        <v>275</v>
      </c>
      <c r="H7620" s="55">
        <v>7.0005449999999998</v>
      </c>
      <c r="I7620" s="55">
        <v>1.9252769999999999</v>
      </c>
      <c r="J7620" s="55">
        <v>1.8946019999999999</v>
      </c>
      <c r="K7620" s="55">
        <v>1.7084919999999999</v>
      </c>
      <c r="L7620" s="55">
        <v>1.5301039999999999</v>
      </c>
      <c r="M7620" s="55">
        <v>1.294624</v>
      </c>
      <c r="N7620" s="55">
        <v>1.3374809999999999</v>
      </c>
    </row>
    <row r="7621" spans="1:14" hidden="1" x14ac:dyDescent="0.35">
      <c r="A7621" s="52" t="s">
        <v>728</v>
      </c>
      <c r="B7621" s="52" t="s">
        <v>37</v>
      </c>
      <c r="C7621" s="52" t="s">
        <v>63</v>
      </c>
      <c r="D7621" s="52" t="s">
        <v>63</v>
      </c>
      <c r="E7621" s="52" t="s">
        <v>608</v>
      </c>
      <c r="F7621" s="52" t="s">
        <v>581</v>
      </c>
      <c r="G7621" s="55" t="s">
        <v>276</v>
      </c>
      <c r="H7621" s="55">
        <v>0.66003809999999996</v>
      </c>
      <c r="I7621" s="55">
        <v>0.46641589999999999</v>
      </c>
      <c r="J7621" s="55">
        <v>0.71681530000000004</v>
      </c>
      <c r="K7621" s="55">
        <v>0.64557019999999998</v>
      </c>
      <c r="L7621" s="55">
        <v>0.57980120000000002</v>
      </c>
      <c r="M7621" s="55">
        <v>0.49008770000000001</v>
      </c>
      <c r="N7621" s="55">
        <v>0.50641749999999996</v>
      </c>
    </row>
    <row r="7622" spans="1:14" hidden="1" x14ac:dyDescent="0.35">
      <c r="A7622" s="52" t="s">
        <v>728</v>
      </c>
      <c r="B7622" s="52" t="s">
        <v>37</v>
      </c>
      <c r="C7622" s="52" t="s">
        <v>63</v>
      </c>
      <c r="D7622" s="52" t="s">
        <v>63</v>
      </c>
      <c r="E7622" s="52" t="s">
        <v>608</v>
      </c>
      <c r="F7622" s="52" t="s">
        <v>581</v>
      </c>
      <c r="G7622" s="55" t="s">
        <v>279</v>
      </c>
      <c r="H7622" s="55">
        <v>3.5650330000000001</v>
      </c>
      <c r="I7622" s="55">
        <v>2.724307</v>
      </c>
      <c r="J7622" s="55">
        <v>2.7953190000000001</v>
      </c>
      <c r="K7622" s="55">
        <v>2.7290619999999999</v>
      </c>
      <c r="L7622" s="55">
        <v>2.4180760000000001</v>
      </c>
      <c r="M7622" s="55">
        <v>2.4883030000000002</v>
      </c>
      <c r="N7622" s="55">
        <v>2.5278520000000002</v>
      </c>
    </row>
    <row r="7623" spans="1:14" hidden="1" x14ac:dyDescent="0.35">
      <c r="A7623" s="52" t="s">
        <v>728</v>
      </c>
      <c r="B7623" s="52" t="s">
        <v>37</v>
      </c>
      <c r="C7623" s="52" t="s">
        <v>63</v>
      </c>
      <c r="D7623" s="52" t="s">
        <v>63</v>
      </c>
      <c r="E7623" s="52" t="s">
        <v>608</v>
      </c>
      <c r="F7623" s="52" t="s">
        <v>26</v>
      </c>
      <c r="G7623" s="55" t="s">
        <v>275</v>
      </c>
      <c r="H7623" s="55">
        <v>46.847369999999998</v>
      </c>
      <c r="I7623" s="55">
        <v>31.121169999999999</v>
      </c>
      <c r="J7623" s="55">
        <v>28.3246</v>
      </c>
      <c r="K7623" s="55">
        <v>26.874120000000001</v>
      </c>
      <c r="L7623" s="55">
        <v>23.146640000000001</v>
      </c>
      <c r="M7623" s="55">
        <v>13.1714</v>
      </c>
      <c r="N7623" s="55">
        <v>1.726097</v>
      </c>
    </row>
    <row r="7624" spans="1:14" hidden="1" x14ac:dyDescent="0.35">
      <c r="A7624" s="52" t="s">
        <v>728</v>
      </c>
      <c r="B7624" s="52" t="s">
        <v>37</v>
      </c>
      <c r="C7624" s="52" t="s">
        <v>63</v>
      </c>
      <c r="D7624" s="52" t="s">
        <v>63</v>
      </c>
      <c r="E7624" s="52" t="s">
        <v>608</v>
      </c>
      <c r="F7624" s="52" t="s">
        <v>26</v>
      </c>
      <c r="G7624" s="55" t="s">
        <v>276</v>
      </c>
      <c r="H7624" s="55">
        <v>-1.4531989999999999</v>
      </c>
      <c r="I7624" s="55">
        <v>1.564351</v>
      </c>
      <c r="J7624" s="55">
        <v>9.5343440000000008</v>
      </c>
      <c r="K7624" s="55">
        <v>9.8976299999999995</v>
      </c>
      <c r="L7624" s="55">
        <v>8.542643</v>
      </c>
      <c r="M7624" s="55">
        <v>7.1600429999999999</v>
      </c>
      <c r="N7624" s="55">
        <v>6.5114190000000001</v>
      </c>
    </row>
    <row r="7625" spans="1:14" hidden="1" x14ac:dyDescent="0.35">
      <c r="A7625" s="52" t="s">
        <v>728</v>
      </c>
      <c r="B7625" s="52" t="s">
        <v>37</v>
      </c>
      <c r="C7625" s="52" t="s">
        <v>63</v>
      </c>
      <c r="D7625" s="52" t="s">
        <v>63</v>
      </c>
      <c r="E7625" s="52" t="s">
        <v>608</v>
      </c>
      <c r="F7625" s="52" t="s">
        <v>26</v>
      </c>
      <c r="G7625" s="55" t="s">
        <v>277</v>
      </c>
      <c r="H7625" s="55">
        <v>0</v>
      </c>
      <c r="I7625" s="55">
        <v>1.9689449999999999</v>
      </c>
      <c r="J7625" s="55">
        <v>3.8014809999999999</v>
      </c>
      <c r="K7625" s="55"/>
      <c r="L7625" s="55">
        <v>0.1035369</v>
      </c>
      <c r="M7625" s="55">
        <v>7.5217429999999998</v>
      </c>
      <c r="N7625" s="55">
        <v>20.11637</v>
      </c>
    </row>
    <row r="7626" spans="1:14" hidden="1" x14ac:dyDescent="0.35">
      <c r="A7626" s="52" t="s">
        <v>728</v>
      </c>
      <c r="B7626" s="52" t="s">
        <v>37</v>
      </c>
      <c r="C7626" s="52" t="s">
        <v>63</v>
      </c>
      <c r="D7626" s="52" t="s">
        <v>63</v>
      </c>
      <c r="E7626" s="52" t="s">
        <v>608</v>
      </c>
      <c r="F7626" s="52" t="s">
        <v>26</v>
      </c>
      <c r="G7626" s="55" t="s">
        <v>279</v>
      </c>
      <c r="H7626" s="55">
        <v>48.985860000000002</v>
      </c>
      <c r="I7626" s="55">
        <v>41.094760000000001</v>
      </c>
      <c r="J7626" s="55">
        <v>42.214129999999997</v>
      </c>
      <c r="K7626" s="55">
        <v>41.604840000000003</v>
      </c>
      <c r="L7626" s="55">
        <v>37.905169999999998</v>
      </c>
      <c r="M7626" s="55">
        <v>37.580869999999997</v>
      </c>
      <c r="N7626" s="55">
        <v>38.168810000000001</v>
      </c>
    </row>
    <row r="7627" spans="1:14" hidden="1" x14ac:dyDescent="0.35">
      <c r="A7627" s="52" t="s">
        <v>728</v>
      </c>
      <c r="B7627" s="52" t="s">
        <v>37</v>
      </c>
      <c r="C7627" s="52" t="s">
        <v>63</v>
      </c>
      <c r="D7627" s="52" t="s">
        <v>63</v>
      </c>
      <c r="E7627" s="52" t="s">
        <v>609</v>
      </c>
      <c r="F7627" s="52" t="s">
        <v>26</v>
      </c>
      <c r="G7627" s="55" t="s">
        <v>275</v>
      </c>
      <c r="H7627" s="55">
        <v>9.9117920000000002</v>
      </c>
      <c r="I7627" s="55">
        <v>11.82572</v>
      </c>
      <c r="J7627" s="55">
        <v>19.664719999999999</v>
      </c>
      <c r="K7627" s="55">
        <v>18.55303</v>
      </c>
      <c r="L7627" s="55">
        <v>14.76981</v>
      </c>
      <c r="M7627" s="55">
        <v>8.1834340000000001</v>
      </c>
      <c r="N7627" s="55">
        <v>3.9223469999999998</v>
      </c>
    </row>
    <row r="7628" spans="1:14" hidden="1" x14ac:dyDescent="0.35">
      <c r="A7628" s="52" t="s">
        <v>728</v>
      </c>
      <c r="B7628" s="52" t="s">
        <v>37</v>
      </c>
      <c r="C7628" s="52" t="s">
        <v>63</v>
      </c>
      <c r="D7628" s="52" t="s">
        <v>63</v>
      </c>
      <c r="E7628" s="52" t="s">
        <v>609</v>
      </c>
      <c r="F7628" s="52" t="s">
        <v>26</v>
      </c>
      <c r="G7628" s="55" t="s">
        <v>276</v>
      </c>
      <c r="H7628" s="55">
        <v>2.5686490000000002</v>
      </c>
      <c r="I7628" s="55"/>
      <c r="J7628" s="55">
        <v>1.0370600000000001</v>
      </c>
      <c r="K7628" s="55"/>
      <c r="L7628" s="55">
        <v>5.3366999999999998E-2</v>
      </c>
      <c r="M7628" s="55"/>
      <c r="N7628" s="55">
        <v>1.6576029999999999</v>
      </c>
    </row>
    <row r="7629" spans="1:14" hidden="1" x14ac:dyDescent="0.35">
      <c r="A7629" s="52" t="s">
        <v>728</v>
      </c>
      <c r="B7629" s="52" t="s">
        <v>37</v>
      </c>
      <c r="C7629" s="52" t="s">
        <v>63</v>
      </c>
      <c r="D7629" s="52" t="s">
        <v>63</v>
      </c>
      <c r="E7629" s="52" t="s">
        <v>609</v>
      </c>
      <c r="F7629" s="52" t="s">
        <v>26</v>
      </c>
      <c r="G7629" s="55" t="s">
        <v>277</v>
      </c>
      <c r="H7629" s="55">
        <v>16.840959999999999</v>
      </c>
      <c r="I7629" s="55">
        <v>8.5380610000000008</v>
      </c>
      <c r="J7629" s="55">
        <v>4.2517189999999996</v>
      </c>
      <c r="K7629" s="55">
        <v>1.3045949999999999</v>
      </c>
      <c r="L7629" s="55">
        <v>0</v>
      </c>
      <c r="M7629" s="55">
        <v>3.2715740000000002</v>
      </c>
      <c r="N7629" s="55">
        <v>7.1328250000000004</v>
      </c>
    </row>
    <row r="7630" spans="1:14" hidden="1" x14ac:dyDescent="0.35">
      <c r="A7630" s="52" t="s">
        <v>728</v>
      </c>
      <c r="B7630" s="52" t="s">
        <v>37</v>
      </c>
      <c r="C7630" s="52" t="s">
        <v>63</v>
      </c>
      <c r="D7630" s="52" t="s">
        <v>63</v>
      </c>
      <c r="E7630" s="52" t="s">
        <v>609</v>
      </c>
      <c r="F7630" s="52" t="s">
        <v>26</v>
      </c>
      <c r="G7630" s="55" t="s">
        <v>278</v>
      </c>
      <c r="H7630" s="55">
        <v>2.8327100000000001</v>
      </c>
      <c r="I7630" s="55">
        <v>0</v>
      </c>
      <c r="J7630" s="55"/>
      <c r="K7630" s="55"/>
      <c r="L7630" s="55">
        <v>0</v>
      </c>
      <c r="M7630" s="55">
        <v>1.050961</v>
      </c>
      <c r="N7630" s="55">
        <v>1.914571</v>
      </c>
    </row>
    <row r="7631" spans="1:14" hidden="1" x14ac:dyDescent="0.35">
      <c r="A7631" s="52" t="s">
        <v>728</v>
      </c>
      <c r="B7631" s="52" t="s">
        <v>37</v>
      </c>
      <c r="C7631" s="52" t="s">
        <v>63</v>
      </c>
      <c r="D7631" s="52" t="s">
        <v>63</v>
      </c>
      <c r="E7631" s="52" t="s">
        <v>609</v>
      </c>
      <c r="F7631" s="52" t="s">
        <v>26</v>
      </c>
      <c r="G7631" s="55" t="s">
        <v>279</v>
      </c>
      <c r="H7631" s="55">
        <v>27.5946</v>
      </c>
      <c r="I7631" s="55">
        <v>19.612639999999999</v>
      </c>
      <c r="J7631" s="55">
        <v>20.952940000000002</v>
      </c>
      <c r="K7631" s="55">
        <v>19.332409999999999</v>
      </c>
      <c r="L7631" s="55">
        <v>15.70481</v>
      </c>
      <c r="M7631" s="55">
        <v>14.61731</v>
      </c>
      <c r="N7631" s="55">
        <v>16.658570000000001</v>
      </c>
    </row>
    <row r="7632" spans="1:14" hidden="1" x14ac:dyDescent="0.35">
      <c r="A7632" s="52" t="s">
        <v>728</v>
      </c>
      <c r="B7632" s="52" t="s">
        <v>37</v>
      </c>
      <c r="C7632" s="52" t="s">
        <v>63</v>
      </c>
      <c r="D7632" s="52" t="s">
        <v>63</v>
      </c>
      <c r="E7632" s="52" t="s">
        <v>668</v>
      </c>
      <c r="F7632" s="52" t="s">
        <v>581</v>
      </c>
      <c r="G7632" s="55" t="s">
        <v>275</v>
      </c>
      <c r="H7632" s="55">
        <v>10.67947</v>
      </c>
      <c r="I7632" s="55">
        <v>3.9898349999999998</v>
      </c>
      <c r="J7632" s="55">
        <v>3.6390440000000002</v>
      </c>
      <c r="K7632" s="55">
        <v>3.319712</v>
      </c>
      <c r="L7632" s="55">
        <v>3.0891320000000002</v>
      </c>
      <c r="M7632" s="55">
        <v>2.7733620000000001</v>
      </c>
      <c r="N7632" s="55">
        <v>2.5681660000000002</v>
      </c>
    </row>
    <row r="7633" spans="1:14" hidden="1" x14ac:dyDescent="0.35">
      <c r="A7633" s="52" t="s">
        <v>728</v>
      </c>
      <c r="B7633" s="52" t="s">
        <v>37</v>
      </c>
      <c r="C7633" s="52" t="s">
        <v>63</v>
      </c>
      <c r="D7633" s="52" t="s">
        <v>63</v>
      </c>
      <c r="E7633" s="52" t="s">
        <v>668</v>
      </c>
      <c r="F7633" s="52" t="s">
        <v>581</v>
      </c>
      <c r="G7633" s="55" t="s">
        <v>276</v>
      </c>
      <c r="H7633" s="55">
        <v>3.2677299999999998</v>
      </c>
      <c r="I7633" s="55">
        <v>1.22082</v>
      </c>
      <c r="J7633" s="55">
        <v>1.1134839999999999</v>
      </c>
      <c r="K7633" s="55">
        <v>1.015774</v>
      </c>
      <c r="L7633" s="55">
        <v>0.94522130000000004</v>
      </c>
      <c r="M7633" s="55">
        <v>0.84860000000000002</v>
      </c>
      <c r="N7633" s="55">
        <v>0.78581389999999995</v>
      </c>
    </row>
    <row r="7634" spans="1:14" hidden="1" x14ac:dyDescent="0.35">
      <c r="A7634" s="52" t="s">
        <v>728</v>
      </c>
      <c r="B7634" s="52" t="s">
        <v>37</v>
      </c>
      <c r="C7634" s="52" t="s">
        <v>63</v>
      </c>
      <c r="D7634" s="52" t="s">
        <v>63</v>
      </c>
      <c r="E7634" s="52" t="s">
        <v>668</v>
      </c>
      <c r="F7634" s="52" t="s">
        <v>581</v>
      </c>
      <c r="G7634" s="55" t="s">
        <v>279</v>
      </c>
      <c r="H7634" s="55">
        <v>3.3347790000000002</v>
      </c>
      <c r="I7634" s="55">
        <v>2.3003779999999998</v>
      </c>
      <c r="J7634" s="55">
        <v>2.0391379999999999</v>
      </c>
      <c r="K7634" s="55">
        <v>1.9630449999999999</v>
      </c>
      <c r="L7634" s="55">
        <v>1.8058399999999999</v>
      </c>
      <c r="M7634" s="55">
        <v>1.8067260000000001</v>
      </c>
      <c r="N7634" s="55">
        <v>1.6635390000000001</v>
      </c>
    </row>
    <row r="7635" spans="1:14" hidden="1" x14ac:dyDescent="0.35">
      <c r="A7635" s="52" t="s">
        <v>728</v>
      </c>
      <c r="B7635" s="52" t="s">
        <v>37</v>
      </c>
      <c r="C7635" s="52" t="s">
        <v>63</v>
      </c>
      <c r="D7635" s="52" t="s">
        <v>63</v>
      </c>
      <c r="E7635" s="52" t="s">
        <v>668</v>
      </c>
      <c r="F7635" s="52" t="s">
        <v>26</v>
      </c>
      <c r="G7635" s="55" t="s">
        <v>275</v>
      </c>
      <c r="H7635" s="55">
        <v>17.49436</v>
      </c>
      <c r="I7635" s="55">
        <v>9.8890910000000005</v>
      </c>
      <c r="J7635" s="55">
        <v>10.145440000000001</v>
      </c>
      <c r="K7635" s="55">
        <v>8.7773079999999997</v>
      </c>
      <c r="L7635" s="55">
        <v>7.8688919999999998</v>
      </c>
      <c r="M7635" s="55">
        <v>6.8644360000000004</v>
      </c>
      <c r="N7635" s="55">
        <v>6.3048799999999998</v>
      </c>
    </row>
    <row r="7636" spans="1:14" hidden="1" x14ac:dyDescent="0.35">
      <c r="A7636" s="52" t="s">
        <v>728</v>
      </c>
      <c r="B7636" s="52" t="s">
        <v>37</v>
      </c>
      <c r="C7636" s="52" t="s">
        <v>63</v>
      </c>
      <c r="D7636" s="52" t="s">
        <v>63</v>
      </c>
      <c r="E7636" s="52" t="s">
        <v>668</v>
      </c>
      <c r="F7636" s="52" t="s">
        <v>26</v>
      </c>
      <c r="G7636" s="55" t="s">
        <v>276</v>
      </c>
      <c r="H7636" s="55">
        <v>7.5854000000000005E-2</v>
      </c>
      <c r="I7636" s="55">
        <v>3.0258889999999998</v>
      </c>
      <c r="J7636" s="55">
        <v>3.1043289999999999</v>
      </c>
      <c r="K7636" s="55">
        <v>2.6857039999999999</v>
      </c>
      <c r="L7636" s="55">
        <v>2.4077440000000001</v>
      </c>
      <c r="M7636" s="55">
        <v>2.1003980000000002</v>
      </c>
      <c r="N7636" s="55">
        <v>1.9291830000000001</v>
      </c>
    </row>
    <row r="7637" spans="1:14" hidden="1" x14ac:dyDescent="0.35">
      <c r="A7637" s="52" t="s">
        <v>728</v>
      </c>
      <c r="B7637" s="52" t="s">
        <v>37</v>
      </c>
      <c r="C7637" s="52" t="s">
        <v>63</v>
      </c>
      <c r="D7637" s="52" t="s">
        <v>63</v>
      </c>
      <c r="E7637" s="52" t="s">
        <v>668</v>
      </c>
      <c r="F7637" s="52" t="s">
        <v>26</v>
      </c>
      <c r="G7637" s="55" t="s">
        <v>279</v>
      </c>
      <c r="H7637" s="55">
        <v>18.93835</v>
      </c>
      <c r="I7637" s="55">
        <v>15.138680000000001</v>
      </c>
      <c r="J7637" s="55">
        <v>13.62656</v>
      </c>
      <c r="K7637" s="55">
        <v>13.3332</v>
      </c>
      <c r="L7637" s="55">
        <v>12.61464</v>
      </c>
      <c r="M7637" s="55">
        <v>12.20936</v>
      </c>
      <c r="N7637" s="55">
        <v>11.23319</v>
      </c>
    </row>
    <row r="7638" spans="1:14" hidden="1" x14ac:dyDescent="0.35">
      <c r="A7638" s="52" t="s">
        <v>728</v>
      </c>
      <c r="B7638" s="52" t="s">
        <v>37</v>
      </c>
      <c r="C7638" s="52" t="s">
        <v>63</v>
      </c>
      <c r="D7638" s="52" t="s">
        <v>63</v>
      </c>
      <c r="E7638" s="52" t="s">
        <v>667</v>
      </c>
      <c r="F7638" s="52" t="s">
        <v>26</v>
      </c>
      <c r="G7638" s="55" t="s">
        <v>275</v>
      </c>
      <c r="H7638" s="55">
        <v>-3.8862030000000001</v>
      </c>
      <c r="I7638" s="55">
        <v>-5.8156189999999999</v>
      </c>
      <c r="J7638" s="55">
        <v>-3.2692260000000002</v>
      </c>
      <c r="K7638" s="55">
        <v>-1.2731980000000001</v>
      </c>
      <c r="L7638" s="55">
        <v>-2.4962410000000001E-2</v>
      </c>
      <c r="M7638" s="55">
        <v>0.5121154</v>
      </c>
      <c r="N7638" s="55">
        <v>0.22193640000000001</v>
      </c>
    </row>
    <row r="7639" spans="1:14" hidden="1" x14ac:dyDescent="0.35">
      <c r="A7639" s="52" t="s">
        <v>728</v>
      </c>
      <c r="B7639" s="52" t="s">
        <v>37</v>
      </c>
      <c r="C7639" s="52" t="s">
        <v>63</v>
      </c>
      <c r="D7639" s="52" t="s">
        <v>63</v>
      </c>
      <c r="E7639" s="52" t="s">
        <v>667</v>
      </c>
      <c r="F7639" s="52" t="s">
        <v>26</v>
      </c>
      <c r="G7639" s="55" t="s">
        <v>276</v>
      </c>
      <c r="H7639" s="55">
        <v>-0.30808200000000002</v>
      </c>
      <c r="I7639" s="55">
        <v>-0.59298439999999997</v>
      </c>
      <c r="J7639" s="55">
        <v>-0.64262470000000005</v>
      </c>
      <c r="K7639" s="55">
        <v>-0.72527850000000005</v>
      </c>
      <c r="L7639" s="55">
        <v>-0.71565310000000004</v>
      </c>
      <c r="M7639" s="55">
        <v>-0.8686893</v>
      </c>
      <c r="N7639" s="55">
        <v>-0.52424870000000001</v>
      </c>
    </row>
    <row r="7640" spans="1:14" hidden="1" x14ac:dyDescent="0.35">
      <c r="A7640" s="52" t="s">
        <v>728</v>
      </c>
      <c r="B7640" s="52" t="s">
        <v>37</v>
      </c>
      <c r="C7640" s="52" t="s">
        <v>63</v>
      </c>
      <c r="D7640" s="52" t="s">
        <v>63</v>
      </c>
      <c r="E7640" s="52" t="s">
        <v>667</v>
      </c>
      <c r="F7640" s="52" t="s">
        <v>26</v>
      </c>
      <c r="G7640" s="55" t="s">
        <v>277</v>
      </c>
      <c r="H7640" s="55">
        <v>3.1561360000000001</v>
      </c>
      <c r="I7640" s="55">
        <v>5.6287419999999999</v>
      </c>
      <c r="J7640" s="55">
        <v>3.5841460000000001</v>
      </c>
      <c r="K7640" s="55">
        <v>1.5182150000000001</v>
      </c>
      <c r="L7640" s="55">
        <v>0.87805069999999996</v>
      </c>
      <c r="M7640" s="55">
        <v>0</v>
      </c>
      <c r="N7640" s="55">
        <v>0</v>
      </c>
    </row>
    <row r="7641" spans="1:14" hidden="1" x14ac:dyDescent="0.35">
      <c r="A7641" s="52" t="s">
        <v>728</v>
      </c>
      <c r="B7641" s="52" t="s">
        <v>37</v>
      </c>
      <c r="C7641" s="52" t="s">
        <v>63</v>
      </c>
      <c r="D7641" s="52" t="s">
        <v>63</v>
      </c>
      <c r="E7641" s="52" t="s">
        <v>667</v>
      </c>
      <c r="F7641" s="52" t="s">
        <v>26</v>
      </c>
      <c r="G7641" s="55" t="s">
        <v>278</v>
      </c>
      <c r="H7641" s="55">
        <v>0.96065809999999996</v>
      </c>
      <c r="I7641" s="55">
        <v>0.57864800000000005</v>
      </c>
      <c r="J7641" s="55">
        <v>0.34773399999999999</v>
      </c>
      <c r="K7641" s="55">
        <v>0.37994299999999998</v>
      </c>
      <c r="L7641" s="55">
        <v>0.14064670000000001</v>
      </c>
      <c r="M7641" s="55">
        <v>0</v>
      </c>
      <c r="N7641" s="55"/>
    </row>
    <row r="7642" spans="1:14" hidden="1" x14ac:dyDescent="0.35">
      <c r="A7642" s="52" t="s">
        <v>728</v>
      </c>
      <c r="B7642" s="52" t="s">
        <v>37</v>
      </c>
      <c r="C7642" s="52" t="s">
        <v>63</v>
      </c>
      <c r="D7642" s="52" t="s">
        <v>63</v>
      </c>
      <c r="E7642" s="52" t="s">
        <v>667</v>
      </c>
      <c r="F7642" s="52" t="s">
        <v>26</v>
      </c>
      <c r="G7642" s="55" t="s">
        <v>279</v>
      </c>
      <c r="H7642" s="55">
        <v>1.425718</v>
      </c>
      <c r="I7642" s="55">
        <v>2.310387</v>
      </c>
      <c r="J7642" s="55">
        <v>3.9173629999999999</v>
      </c>
      <c r="K7642" s="55">
        <v>4.1664960000000004</v>
      </c>
      <c r="L7642" s="55">
        <v>3.190369</v>
      </c>
      <c r="M7642" s="55">
        <v>3.1867779999999999</v>
      </c>
      <c r="N7642" s="55">
        <v>2.6766860000000001</v>
      </c>
    </row>
    <row r="7643" spans="1:14" hidden="1" x14ac:dyDescent="0.35">
      <c r="A7643" s="52" t="s">
        <v>765</v>
      </c>
      <c r="B7643" s="52" t="s">
        <v>37</v>
      </c>
      <c r="C7643" s="52" t="s">
        <v>51</v>
      </c>
      <c r="D7643" s="52" t="s">
        <v>51</v>
      </c>
      <c r="E7643" s="52" t="s">
        <v>602</v>
      </c>
      <c r="F7643" s="52" t="s">
        <v>581</v>
      </c>
      <c r="G7643" s="55" t="s">
        <v>275</v>
      </c>
      <c r="H7643" s="55">
        <v>92.692589999999996</v>
      </c>
      <c r="I7643" s="55">
        <v>65.166129999999995</v>
      </c>
      <c r="J7643" s="55">
        <v>101.94759999999999</v>
      </c>
      <c r="K7643" s="55">
        <v>108.68170000000001</v>
      </c>
      <c r="L7643" s="55">
        <v>91.424220000000005</v>
      </c>
      <c r="M7643" s="55">
        <v>62.980289999999997</v>
      </c>
      <c r="N7643" s="55">
        <v>55.167560000000002</v>
      </c>
    </row>
    <row r="7644" spans="1:14" hidden="1" x14ac:dyDescent="0.35">
      <c r="A7644" s="52" t="s">
        <v>765</v>
      </c>
      <c r="B7644" s="52" t="s">
        <v>37</v>
      </c>
      <c r="C7644" s="52" t="s">
        <v>51</v>
      </c>
      <c r="D7644" s="52" t="s">
        <v>51</v>
      </c>
      <c r="E7644" s="52" t="s">
        <v>602</v>
      </c>
      <c r="F7644" s="52" t="s">
        <v>581</v>
      </c>
      <c r="G7644" s="55" t="s">
        <v>276</v>
      </c>
      <c r="H7644" s="55">
        <v>34.268709999999999</v>
      </c>
      <c r="I7644" s="55">
        <v>-11.42159</v>
      </c>
      <c r="J7644" s="55">
        <v>-16.05639</v>
      </c>
      <c r="K7644" s="55">
        <v>-21.638339999999999</v>
      </c>
      <c r="L7644" s="55">
        <v>-9.613626</v>
      </c>
      <c r="M7644" s="55">
        <v>7.0656850000000002</v>
      </c>
      <c r="N7644" s="55">
        <v>10.316039999999999</v>
      </c>
    </row>
    <row r="7645" spans="1:14" hidden="1" x14ac:dyDescent="0.35">
      <c r="A7645" s="52" t="s">
        <v>765</v>
      </c>
      <c r="B7645" s="52" t="s">
        <v>37</v>
      </c>
      <c r="C7645" s="52" t="s">
        <v>51</v>
      </c>
      <c r="D7645" s="52" t="s">
        <v>51</v>
      </c>
      <c r="E7645" s="52" t="s">
        <v>602</v>
      </c>
      <c r="F7645" s="52" t="s">
        <v>581</v>
      </c>
      <c r="G7645" s="55" t="s">
        <v>277</v>
      </c>
      <c r="H7645" s="55">
        <v>282.68939999999998</v>
      </c>
      <c r="I7645" s="55">
        <v>74.032259999999994</v>
      </c>
      <c r="J7645" s="55">
        <v>33.916559999999997</v>
      </c>
      <c r="K7645" s="55">
        <v>14.363849999999999</v>
      </c>
      <c r="L7645" s="55">
        <v>16.063410000000001</v>
      </c>
      <c r="M7645" s="55">
        <v>9.6110779999999991</v>
      </c>
      <c r="N7645" s="55">
        <v>8.1172559999999994</v>
      </c>
    </row>
    <row r="7646" spans="1:14" hidden="1" x14ac:dyDescent="0.35">
      <c r="A7646" s="52" t="s">
        <v>765</v>
      </c>
      <c r="B7646" s="52" t="s">
        <v>37</v>
      </c>
      <c r="C7646" s="52" t="s">
        <v>51</v>
      </c>
      <c r="D7646" s="52" t="s">
        <v>51</v>
      </c>
      <c r="E7646" s="52" t="s">
        <v>602</v>
      </c>
      <c r="F7646" s="52" t="s">
        <v>581</v>
      </c>
      <c r="G7646" s="55" t="s">
        <v>278</v>
      </c>
      <c r="H7646" s="55">
        <v>24.703130000000002</v>
      </c>
      <c r="I7646" s="55">
        <v>11.08719</v>
      </c>
      <c r="J7646" s="55">
        <v>7.1434559999999996</v>
      </c>
      <c r="K7646" s="55">
        <v>7.1759300000000001</v>
      </c>
      <c r="L7646" s="55">
        <v>3.6071689999999998</v>
      </c>
      <c r="M7646" s="55">
        <v>1.1064449999999999</v>
      </c>
      <c r="N7646" s="55">
        <v>0.50385360000000001</v>
      </c>
    </row>
    <row r="7647" spans="1:14" hidden="1" x14ac:dyDescent="0.35">
      <c r="A7647" s="52" t="s">
        <v>765</v>
      </c>
      <c r="B7647" s="52" t="s">
        <v>37</v>
      </c>
      <c r="C7647" s="52" t="s">
        <v>51</v>
      </c>
      <c r="D7647" s="52" t="s">
        <v>51</v>
      </c>
      <c r="E7647" s="52" t="s">
        <v>602</v>
      </c>
      <c r="F7647" s="52" t="s">
        <v>581</v>
      </c>
      <c r="G7647" s="55" t="s">
        <v>279</v>
      </c>
      <c r="H7647" s="55">
        <v>179.86199999999999</v>
      </c>
      <c r="I7647" s="55">
        <v>139.16370000000001</v>
      </c>
      <c r="J7647" s="55">
        <v>117.9271</v>
      </c>
      <c r="K7647" s="55">
        <v>105.0453</v>
      </c>
      <c r="L7647" s="55">
        <v>87.11994</v>
      </c>
      <c r="M7647" s="55">
        <v>89.614879999999999</v>
      </c>
      <c r="N7647" s="55">
        <v>80.508849999999995</v>
      </c>
    </row>
    <row r="7648" spans="1:14" hidden="1" x14ac:dyDescent="0.35">
      <c r="A7648" s="52" t="s">
        <v>765</v>
      </c>
      <c r="B7648" s="52" t="s">
        <v>37</v>
      </c>
      <c r="C7648" s="52" t="s">
        <v>51</v>
      </c>
      <c r="D7648" s="52" t="s">
        <v>51</v>
      </c>
      <c r="E7648" s="52" t="s">
        <v>602</v>
      </c>
      <c r="F7648" s="52" t="s">
        <v>26</v>
      </c>
      <c r="G7648" s="55" t="s">
        <v>275</v>
      </c>
      <c r="H7648" s="55">
        <v>4.4300129999999998</v>
      </c>
      <c r="I7648" s="55">
        <v>2.9865080000000002</v>
      </c>
      <c r="J7648" s="55">
        <v>4.1765720000000002</v>
      </c>
      <c r="K7648" s="55">
        <v>3.064835</v>
      </c>
      <c r="L7648" s="55">
        <v>3.1606489999999998</v>
      </c>
      <c r="M7648" s="55">
        <v>1.395092</v>
      </c>
      <c r="N7648" s="55">
        <v>1.2534529999999999</v>
      </c>
    </row>
    <row r="7649" spans="1:14" hidden="1" x14ac:dyDescent="0.35">
      <c r="A7649" s="52" t="s">
        <v>765</v>
      </c>
      <c r="B7649" s="52" t="s">
        <v>37</v>
      </c>
      <c r="C7649" s="52" t="s">
        <v>51</v>
      </c>
      <c r="D7649" s="52" t="s">
        <v>51</v>
      </c>
      <c r="E7649" s="52" t="s">
        <v>602</v>
      </c>
      <c r="F7649" s="52" t="s">
        <v>26</v>
      </c>
      <c r="G7649" s="55" t="s">
        <v>276</v>
      </c>
      <c r="H7649" s="55">
        <v>1.1776139999999999</v>
      </c>
      <c r="I7649" s="55">
        <v>0.79388270000000005</v>
      </c>
      <c r="J7649" s="55">
        <v>1.1102339999999999</v>
      </c>
      <c r="K7649" s="55">
        <v>0.81470980000000004</v>
      </c>
      <c r="L7649" s="55">
        <v>0.84017489999999995</v>
      </c>
      <c r="M7649" s="55">
        <v>0.37084800000000001</v>
      </c>
      <c r="N7649" s="55">
        <v>0.3331945</v>
      </c>
    </row>
    <row r="7650" spans="1:14" hidden="1" x14ac:dyDescent="0.35">
      <c r="A7650" s="52" t="s">
        <v>765</v>
      </c>
      <c r="B7650" s="52" t="s">
        <v>37</v>
      </c>
      <c r="C7650" s="52" t="s">
        <v>51</v>
      </c>
      <c r="D7650" s="52" t="s">
        <v>51</v>
      </c>
      <c r="E7650" s="52" t="s">
        <v>602</v>
      </c>
      <c r="F7650" s="52" t="s">
        <v>26</v>
      </c>
      <c r="G7650" s="55" t="s">
        <v>279</v>
      </c>
      <c r="H7650" s="55">
        <v>26.793030000000002</v>
      </c>
      <c r="I7650" s="55">
        <v>23.282360000000001</v>
      </c>
      <c r="J7650" s="55">
        <v>19.943280000000001</v>
      </c>
      <c r="K7650" s="55">
        <v>17.95215</v>
      </c>
      <c r="L7650" s="55">
        <v>15.20725</v>
      </c>
      <c r="M7650" s="55">
        <v>15.32249</v>
      </c>
      <c r="N7650" s="55">
        <v>13.714119999999999</v>
      </c>
    </row>
    <row r="7651" spans="1:14" hidden="1" x14ac:dyDescent="0.35">
      <c r="A7651" s="52" t="s">
        <v>765</v>
      </c>
      <c r="B7651" s="52" t="s">
        <v>37</v>
      </c>
      <c r="C7651" s="52" t="s">
        <v>318</v>
      </c>
      <c r="D7651" s="52" t="s">
        <v>318</v>
      </c>
      <c r="E7651" s="52" t="s">
        <v>584</v>
      </c>
      <c r="F7651" s="52" t="s">
        <v>581</v>
      </c>
      <c r="G7651" s="55" t="s">
        <v>275</v>
      </c>
      <c r="H7651" s="55">
        <v>14.8172</v>
      </c>
      <c r="I7651" s="55">
        <v>0</v>
      </c>
      <c r="J7651" s="55"/>
      <c r="K7651" s="55"/>
      <c r="L7651" s="55"/>
      <c r="M7651" s="55"/>
      <c r="N7651" s="55"/>
    </row>
    <row r="7652" spans="1:14" hidden="1" x14ac:dyDescent="0.35">
      <c r="A7652" s="52" t="s">
        <v>765</v>
      </c>
      <c r="B7652" s="52" t="s">
        <v>37</v>
      </c>
      <c r="C7652" s="52" t="s">
        <v>318</v>
      </c>
      <c r="D7652" s="52" t="s">
        <v>318</v>
      </c>
      <c r="E7652" s="52" t="s">
        <v>584</v>
      </c>
      <c r="F7652" s="52" t="s">
        <v>581</v>
      </c>
      <c r="G7652" s="55" t="s">
        <v>278</v>
      </c>
      <c r="H7652" s="55">
        <v>-14.8172</v>
      </c>
      <c r="I7652" s="55">
        <v>0</v>
      </c>
      <c r="J7652" s="55"/>
      <c r="K7652" s="55"/>
      <c r="L7652" s="55"/>
      <c r="M7652" s="55"/>
      <c r="N7652" s="55"/>
    </row>
    <row r="7653" spans="1:14" hidden="1" x14ac:dyDescent="0.35">
      <c r="A7653" s="52" t="s">
        <v>765</v>
      </c>
      <c r="B7653" s="52" t="s">
        <v>37</v>
      </c>
      <c r="C7653" s="52" t="s">
        <v>318</v>
      </c>
      <c r="D7653" s="52" t="s">
        <v>318</v>
      </c>
      <c r="E7653" s="52" t="s">
        <v>584</v>
      </c>
      <c r="F7653" s="52" t="s">
        <v>26</v>
      </c>
      <c r="G7653" s="55" t="s">
        <v>275</v>
      </c>
      <c r="H7653" s="55">
        <v>9.8781330000000001</v>
      </c>
      <c r="I7653" s="55">
        <v>0</v>
      </c>
      <c r="J7653" s="55"/>
      <c r="K7653" s="55"/>
      <c r="L7653" s="55"/>
      <c r="M7653" s="55"/>
      <c r="N7653" s="55"/>
    </row>
    <row r="7654" spans="1:14" hidden="1" x14ac:dyDescent="0.35">
      <c r="A7654" s="52" t="s">
        <v>765</v>
      </c>
      <c r="B7654" s="52" t="s">
        <v>37</v>
      </c>
      <c r="C7654" s="52" t="s">
        <v>318</v>
      </c>
      <c r="D7654" s="52" t="s">
        <v>318</v>
      </c>
      <c r="E7654" s="52" t="s">
        <v>584</v>
      </c>
      <c r="F7654" s="52" t="s">
        <v>26</v>
      </c>
      <c r="G7654" s="55" t="s">
        <v>278</v>
      </c>
      <c r="H7654" s="55">
        <v>-9.8781330000000001</v>
      </c>
      <c r="I7654" s="55">
        <v>0</v>
      </c>
      <c r="J7654" s="55"/>
      <c r="K7654" s="55"/>
      <c r="L7654" s="55"/>
      <c r="M7654" s="55"/>
      <c r="N7654" s="55"/>
    </row>
    <row r="7655" spans="1:14" hidden="1" x14ac:dyDescent="0.35">
      <c r="A7655" s="52" t="s">
        <v>726</v>
      </c>
      <c r="B7655" s="52" t="s">
        <v>34</v>
      </c>
      <c r="C7655" s="52" t="s">
        <v>33</v>
      </c>
      <c r="D7655" s="52" t="s">
        <v>33</v>
      </c>
      <c r="E7655" s="52" t="s">
        <v>675</v>
      </c>
      <c r="F7655" s="52" t="s">
        <v>581</v>
      </c>
      <c r="G7655" s="55" t="s">
        <v>275</v>
      </c>
      <c r="H7655" s="55">
        <v>33.115729999999999</v>
      </c>
      <c r="I7655" s="55">
        <v>10.333030000000001</v>
      </c>
      <c r="J7655" s="55">
        <v>10.25882</v>
      </c>
      <c r="K7655" s="55">
        <v>10.336869999999999</v>
      </c>
      <c r="L7655" s="55">
        <v>10.520239999999999</v>
      </c>
      <c r="M7655" s="55">
        <v>10.8927</v>
      </c>
      <c r="N7655" s="55">
        <v>11.06241</v>
      </c>
    </row>
    <row r="7656" spans="1:14" hidden="1" x14ac:dyDescent="0.35">
      <c r="A7656" s="52" t="s">
        <v>726</v>
      </c>
      <c r="B7656" s="52" t="s">
        <v>34</v>
      </c>
      <c r="C7656" s="52" t="s">
        <v>33</v>
      </c>
      <c r="D7656" s="52" t="s">
        <v>33</v>
      </c>
      <c r="E7656" s="52" t="s">
        <v>675</v>
      </c>
      <c r="F7656" s="52" t="s">
        <v>581</v>
      </c>
      <c r="G7656" s="55" t="s">
        <v>276</v>
      </c>
      <c r="H7656" s="55">
        <v>11.939679999999999</v>
      </c>
      <c r="I7656" s="55">
        <v>3.4443459999999999</v>
      </c>
      <c r="J7656" s="55">
        <v>3.239627</v>
      </c>
      <c r="K7656" s="55">
        <v>3.0876359999999998</v>
      </c>
      <c r="L7656" s="55">
        <v>3.1424089999999998</v>
      </c>
      <c r="M7656" s="55">
        <v>3.2536589999999999</v>
      </c>
      <c r="N7656" s="55">
        <v>3.3043550000000002</v>
      </c>
    </row>
    <row r="7657" spans="1:14" hidden="1" x14ac:dyDescent="0.35">
      <c r="A7657" s="52" t="s">
        <v>726</v>
      </c>
      <c r="B7657" s="52" t="s">
        <v>34</v>
      </c>
      <c r="C7657" s="52" t="s">
        <v>33</v>
      </c>
      <c r="D7657" s="52" t="s">
        <v>33</v>
      </c>
      <c r="E7657" s="52" t="s">
        <v>675</v>
      </c>
      <c r="F7657" s="52" t="s">
        <v>581</v>
      </c>
      <c r="G7657" s="55" t="s">
        <v>279</v>
      </c>
      <c r="H7657" s="55">
        <v>4.5646639999999996</v>
      </c>
      <c r="I7657" s="55">
        <v>3.1552380000000002</v>
      </c>
      <c r="J7657" s="55">
        <v>3.0211049999999999</v>
      </c>
      <c r="K7657" s="55">
        <v>3.073321</v>
      </c>
      <c r="L7657" s="55">
        <v>3.0628389999999999</v>
      </c>
      <c r="M7657" s="55">
        <v>3.0428139999999999</v>
      </c>
      <c r="N7657" s="55">
        <v>3.065566</v>
      </c>
    </row>
    <row r="7658" spans="1:14" hidden="1" x14ac:dyDescent="0.35">
      <c r="A7658" s="52" t="s">
        <v>726</v>
      </c>
      <c r="B7658" s="52" t="s">
        <v>34</v>
      </c>
      <c r="C7658" s="52" t="s">
        <v>33</v>
      </c>
      <c r="D7658" s="52" t="s">
        <v>33</v>
      </c>
      <c r="E7658" s="52" t="s">
        <v>675</v>
      </c>
      <c r="F7658" s="52" t="s">
        <v>26</v>
      </c>
      <c r="G7658" s="55" t="s">
        <v>275</v>
      </c>
      <c r="H7658" s="55">
        <v>102.8935</v>
      </c>
      <c r="I7658" s="55">
        <v>97.814070000000001</v>
      </c>
      <c r="J7658" s="55">
        <v>68.479349999999997</v>
      </c>
      <c r="K7658" s="55">
        <v>51.443399999999997</v>
      </c>
      <c r="L7658" s="55">
        <v>40.344459999999998</v>
      </c>
      <c r="M7658" s="55">
        <v>46.69117</v>
      </c>
      <c r="N7658" s="55">
        <v>42.378590000000003</v>
      </c>
    </row>
    <row r="7659" spans="1:14" hidden="1" x14ac:dyDescent="0.35">
      <c r="A7659" s="52" t="s">
        <v>726</v>
      </c>
      <c r="B7659" s="52" t="s">
        <v>34</v>
      </c>
      <c r="C7659" s="52" t="s">
        <v>33</v>
      </c>
      <c r="D7659" s="52" t="s">
        <v>33</v>
      </c>
      <c r="E7659" s="52" t="s">
        <v>675</v>
      </c>
      <c r="F7659" s="52" t="s">
        <v>26</v>
      </c>
      <c r="G7659" s="55" t="s">
        <v>276</v>
      </c>
      <c r="H7659" s="55">
        <v>-20.38477</v>
      </c>
      <c r="I7659" s="55">
        <v>0.28848509999999999</v>
      </c>
      <c r="J7659" s="55">
        <v>18.96416</v>
      </c>
      <c r="K7659" s="55">
        <v>18.803429999999999</v>
      </c>
      <c r="L7659" s="55">
        <v>17.75928</v>
      </c>
      <c r="M7659" s="55">
        <v>15.94956</v>
      </c>
      <c r="N7659" s="55">
        <v>13.882389999999999</v>
      </c>
    </row>
    <row r="7660" spans="1:14" hidden="1" x14ac:dyDescent="0.35">
      <c r="A7660" s="52" t="s">
        <v>726</v>
      </c>
      <c r="B7660" s="52" t="s">
        <v>34</v>
      </c>
      <c r="C7660" s="52" t="s">
        <v>33</v>
      </c>
      <c r="D7660" s="52" t="s">
        <v>33</v>
      </c>
      <c r="E7660" s="52" t="s">
        <v>675</v>
      </c>
      <c r="F7660" s="52" t="s">
        <v>26</v>
      </c>
      <c r="G7660" s="55" t="s">
        <v>277</v>
      </c>
      <c r="H7660" s="55">
        <v>21.09198</v>
      </c>
      <c r="I7660" s="55">
        <v>9.6322919999999996</v>
      </c>
      <c r="J7660" s="55">
        <v>13.8925</v>
      </c>
      <c r="K7660" s="55">
        <v>21.78547</v>
      </c>
      <c r="L7660" s="55">
        <v>33.438720000000004</v>
      </c>
      <c r="M7660" s="55">
        <v>34.309359999999998</v>
      </c>
      <c r="N7660" s="55">
        <v>40.458849999999998</v>
      </c>
    </row>
    <row r="7661" spans="1:14" hidden="1" x14ac:dyDescent="0.35">
      <c r="A7661" s="52" t="s">
        <v>726</v>
      </c>
      <c r="B7661" s="52" t="s">
        <v>34</v>
      </c>
      <c r="C7661" s="52" t="s">
        <v>33</v>
      </c>
      <c r="D7661" s="52" t="s">
        <v>33</v>
      </c>
      <c r="E7661" s="52" t="s">
        <v>675</v>
      </c>
      <c r="F7661" s="52" t="s">
        <v>26</v>
      </c>
      <c r="G7661" s="55" t="s">
        <v>278</v>
      </c>
      <c r="H7661" s="55">
        <v>2.8620199999999998</v>
      </c>
      <c r="I7661" s="55">
        <v>2.7381000000000002</v>
      </c>
      <c r="J7661" s="55">
        <v>4.2034200000000004</v>
      </c>
      <c r="K7661" s="55">
        <v>11.6976</v>
      </c>
      <c r="L7661" s="55">
        <v>13.358409999999999</v>
      </c>
      <c r="M7661" s="55">
        <v>7.4229560000000001</v>
      </c>
      <c r="N7661" s="55">
        <v>5.6749929999999997</v>
      </c>
    </row>
    <row r="7662" spans="1:14" hidden="1" x14ac:dyDescent="0.35">
      <c r="A7662" s="52" t="s">
        <v>726</v>
      </c>
      <c r="B7662" s="52" t="s">
        <v>34</v>
      </c>
      <c r="C7662" s="52" t="s">
        <v>33</v>
      </c>
      <c r="D7662" s="52" t="s">
        <v>33</v>
      </c>
      <c r="E7662" s="52" t="s">
        <v>675</v>
      </c>
      <c r="F7662" s="52" t="s">
        <v>26</v>
      </c>
      <c r="G7662" s="55" t="s">
        <v>279</v>
      </c>
      <c r="H7662" s="55">
        <v>36.945079999999997</v>
      </c>
      <c r="I7662" s="55">
        <v>37.606900000000003</v>
      </c>
      <c r="J7662" s="55">
        <v>35.700899999999997</v>
      </c>
      <c r="K7662" s="55">
        <v>36.10501</v>
      </c>
      <c r="L7662" s="55">
        <v>35.30021</v>
      </c>
      <c r="M7662" s="55">
        <v>35.519820000000003</v>
      </c>
      <c r="N7662" s="55">
        <v>35.156669999999998</v>
      </c>
    </row>
    <row r="7663" spans="1:14" hidden="1" x14ac:dyDescent="0.35">
      <c r="A7663" s="52" t="s">
        <v>726</v>
      </c>
      <c r="B7663" s="52" t="s">
        <v>34</v>
      </c>
      <c r="C7663" s="52" t="s">
        <v>33</v>
      </c>
      <c r="D7663" s="52" t="s">
        <v>33</v>
      </c>
      <c r="E7663" s="52" t="s">
        <v>677</v>
      </c>
      <c r="F7663" s="52" t="s">
        <v>581</v>
      </c>
      <c r="G7663" s="55" t="s">
        <v>275</v>
      </c>
      <c r="H7663" s="55">
        <v>29.328610000000001</v>
      </c>
      <c r="I7663" s="55">
        <v>19.046769999999999</v>
      </c>
      <c r="J7663" s="55">
        <v>18.7775</v>
      </c>
      <c r="K7663" s="55">
        <v>16.72739</v>
      </c>
      <c r="L7663" s="55">
        <v>16.435829999999999</v>
      </c>
      <c r="M7663" s="55">
        <v>16.902149999999999</v>
      </c>
      <c r="N7663" s="55">
        <v>16.955559999999998</v>
      </c>
    </row>
    <row r="7664" spans="1:14" hidden="1" x14ac:dyDescent="0.35">
      <c r="A7664" s="52" t="s">
        <v>726</v>
      </c>
      <c r="B7664" s="52" t="s">
        <v>34</v>
      </c>
      <c r="C7664" s="52" t="s">
        <v>33</v>
      </c>
      <c r="D7664" s="52" t="s">
        <v>33</v>
      </c>
      <c r="E7664" s="52" t="s">
        <v>677</v>
      </c>
      <c r="F7664" s="52" t="s">
        <v>581</v>
      </c>
      <c r="G7664" s="55" t="s">
        <v>276</v>
      </c>
      <c r="H7664" s="55">
        <v>10.078329999999999</v>
      </c>
      <c r="I7664" s="55">
        <v>5.8904209999999999</v>
      </c>
      <c r="J7664" s="55">
        <v>5.4953659999999998</v>
      </c>
      <c r="K7664" s="55">
        <v>4.9964930000000001</v>
      </c>
      <c r="L7664" s="55">
        <v>4.9094009999999999</v>
      </c>
      <c r="M7664" s="55">
        <v>5.0486940000000002</v>
      </c>
      <c r="N7664" s="55">
        <v>5.0646490000000002</v>
      </c>
    </row>
    <row r="7665" spans="1:14" hidden="1" x14ac:dyDescent="0.35">
      <c r="A7665" s="52" t="s">
        <v>726</v>
      </c>
      <c r="B7665" s="52" t="s">
        <v>34</v>
      </c>
      <c r="C7665" s="52" t="s">
        <v>33</v>
      </c>
      <c r="D7665" s="52" t="s">
        <v>33</v>
      </c>
      <c r="E7665" s="52" t="s">
        <v>677</v>
      </c>
      <c r="F7665" s="52" t="s">
        <v>581</v>
      </c>
      <c r="G7665" s="55" t="s">
        <v>277</v>
      </c>
      <c r="H7665" s="55">
        <v>0</v>
      </c>
      <c r="I7665" s="55"/>
      <c r="J7665" s="55"/>
      <c r="K7665" s="55"/>
      <c r="L7665" s="55"/>
      <c r="M7665" s="55">
        <v>0</v>
      </c>
      <c r="N7665" s="55">
        <v>0</v>
      </c>
    </row>
    <row r="7666" spans="1:14" hidden="1" x14ac:dyDescent="0.35">
      <c r="A7666" s="52" t="s">
        <v>726</v>
      </c>
      <c r="B7666" s="52" t="s">
        <v>34</v>
      </c>
      <c r="C7666" s="52" t="s">
        <v>33</v>
      </c>
      <c r="D7666" s="52" t="s">
        <v>33</v>
      </c>
      <c r="E7666" s="52" t="s">
        <v>677</v>
      </c>
      <c r="F7666" s="52" t="s">
        <v>581</v>
      </c>
      <c r="G7666" s="55" t="s">
        <v>279</v>
      </c>
      <c r="H7666" s="55">
        <v>4.117591</v>
      </c>
      <c r="I7666" s="55">
        <v>5.193066</v>
      </c>
      <c r="J7666" s="55">
        <v>4.9033680000000004</v>
      </c>
      <c r="K7666" s="55">
        <v>4.4746100000000002</v>
      </c>
      <c r="L7666" s="55">
        <v>4.2613390000000004</v>
      </c>
      <c r="M7666" s="55">
        <v>4.2534910000000004</v>
      </c>
      <c r="N7666" s="55">
        <v>4.2349399999999999</v>
      </c>
    </row>
    <row r="7667" spans="1:14" hidden="1" x14ac:dyDescent="0.35">
      <c r="A7667" s="52" t="s">
        <v>726</v>
      </c>
      <c r="B7667" s="52" t="s">
        <v>34</v>
      </c>
      <c r="C7667" s="52" t="s">
        <v>33</v>
      </c>
      <c r="D7667" s="52" t="s">
        <v>33</v>
      </c>
      <c r="E7667" s="52" t="s">
        <v>677</v>
      </c>
      <c r="F7667" s="52" t="s">
        <v>26</v>
      </c>
      <c r="G7667" s="55" t="s">
        <v>275</v>
      </c>
      <c r="H7667" s="55">
        <v>-91.301320000000004</v>
      </c>
      <c r="I7667" s="55">
        <v>-22.132719999999999</v>
      </c>
      <c r="J7667" s="55">
        <v>16.789950000000001</v>
      </c>
      <c r="K7667" s="55">
        <v>15.251720000000001</v>
      </c>
      <c r="L7667" s="55">
        <v>0.56620579999999998</v>
      </c>
      <c r="M7667" s="55">
        <v>2.240748</v>
      </c>
      <c r="N7667" s="55">
        <v>0.93365589999999998</v>
      </c>
    </row>
    <row r="7668" spans="1:14" hidden="1" x14ac:dyDescent="0.35">
      <c r="A7668" s="52" t="s">
        <v>726</v>
      </c>
      <c r="B7668" s="52" t="s">
        <v>34</v>
      </c>
      <c r="C7668" s="52" t="s">
        <v>33</v>
      </c>
      <c r="D7668" s="52" t="s">
        <v>33</v>
      </c>
      <c r="E7668" s="52" t="s">
        <v>677</v>
      </c>
      <c r="F7668" s="52" t="s">
        <v>26</v>
      </c>
      <c r="G7668" s="55" t="s">
        <v>276</v>
      </c>
      <c r="H7668" s="55">
        <v>-9.1330919999999995</v>
      </c>
      <c r="I7668" s="55">
        <v>-10.91109</v>
      </c>
      <c r="J7668" s="55">
        <v>-12.321949999999999</v>
      </c>
      <c r="K7668" s="55">
        <v>-7.4162549999999996</v>
      </c>
      <c r="L7668" s="55">
        <v>-1.942307</v>
      </c>
      <c r="M7668" s="55">
        <v>0.50011240000000001</v>
      </c>
      <c r="N7668" s="55">
        <v>0.51714729999999998</v>
      </c>
    </row>
    <row r="7669" spans="1:14" hidden="1" x14ac:dyDescent="0.35">
      <c r="A7669" s="52" t="s">
        <v>726</v>
      </c>
      <c r="B7669" s="52" t="s">
        <v>34</v>
      </c>
      <c r="C7669" s="52" t="s">
        <v>33</v>
      </c>
      <c r="D7669" s="52" t="s">
        <v>33</v>
      </c>
      <c r="E7669" s="52" t="s">
        <v>677</v>
      </c>
      <c r="F7669" s="52" t="s">
        <v>26</v>
      </c>
      <c r="G7669" s="55" t="s">
        <v>277</v>
      </c>
      <c r="H7669" s="55">
        <v>105.7039</v>
      </c>
      <c r="I7669" s="55">
        <v>52.198560000000001</v>
      </c>
      <c r="J7669" s="55">
        <v>15.231579999999999</v>
      </c>
      <c r="K7669" s="55">
        <v>11.018140000000001</v>
      </c>
      <c r="L7669" s="55">
        <v>18.7728</v>
      </c>
      <c r="M7669" s="55">
        <v>19.5596</v>
      </c>
      <c r="N7669" s="55">
        <v>24.007390000000001</v>
      </c>
    </row>
    <row r="7670" spans="1:14" hidden="1" x14ac:dyDescent="0.35">
      <c r="A7670" s="52" t="s">
        <v>726</v>
      </c>
      <c r="B7670" s="52" t="s">
        <v>34</v>
      </c>
      <c r="C7670" s="52" t="s">
        <v>33</v>
      </c>
      <c r="D7670" s="52" t="s">
        <v>33</v>
      </c>
      <c r="E7670" s="52" t="s">
        <v>677</v>
      </c>
      <c r="F7670" s="52" t="s">
        <v>26</v>
      </c>
      <c r="G7670" s="55" t="s">
        <v>278</v>
      </c>
      <c r="H7670" s="55">
        <v>21.323090000000001</v>
      </c>
      <c r="I7670" s="55">
        <v>15.076829999999999</v>
      </c>
      <c r="J7670" s="55">
        <v>12.643380000000001</v>
      </c>
      <c r="K7670" s="55">
        <v>9.6008999999999993</v>
      </c>
      <c r="L7670" s="55">
        <v>10.392049999999999</v>
      </c>
      <c r="M7670" s="55">
        <v>5.5714069999999998</v>
      </c>
      <c r="N7670" s="55">
        <v>2.0277910000000001</v>
      </c>
    </row>
    <row r="7671" spans="1:14" hidden="1" x14ac:dyDescent="0.35">
      <c r="A7671" s="52" t="s">
        <v>726</v>
      </c>
      <c r="B7671" s="52" t="s">
        <v>34</v>
      </c>
      <c r="C7671" s="52" t="s">
        <v>33</v>
      </c>
      <c r="D7671" s="52" t="s">
        <v>33</v>
      </c>
      <c r="E7671" s="52" t="s">
        <v>677</v>
      </c>
      <c r="F7671" s="52" t="s">
        <v>26</v>
      </c>
      <c r="G7671" s="55" t="s">
        <v>279</v>
      </c>
      <c r="H7671" s="55">
        <v>9.4290970000000005</v>
      </c>
      <c r="I7671" s="55">
        <v>11.712199999999999</v>
      </c>
      <c r="J7671" s="55">
        <v>10.958259999999999</v>
      </c>
      <c r="K7671" s="55">
        <v>9.9063219999999994</v>
      </c>
      <c r="L7671" s="55">
        <v>9.2162210000000009</v>
      </c>
      <c r="M7671" s="55">
        <v>9.4733750000000008</v>
      </c>
      <c r="N7671" s="55">
        <v>9.4302139999999994</v>
      </c>
    </row>
    <row r="7672" spans="1:14" hidden="1" x14ac:dyDescent="0.35">
      <c r="A7672" s="52" t="s">
        <v>726</v>
      </c>
      <c r="B7672" s="52" t="s">
        <v>34</v>
      </c>
      <c r="C7672" s="52" t="s">
        <v>33</v>
      </c>
      <c r="D7672" s="52" t="s">
        <v>33</v>
      </c>
      <c r="E7672" s="52" t="s">
        <v>584</v>
      </c>
      <c r="F7672" s="52" t="s">
        <v>581</v>
      </c>
      <c r="G7672" s="55" t="s">
        <v>275</v>
      </c>
      <c r="H7672" s="55">
        <v>10.74376</v>
      </c>
      <c r="I7672" s="55">
        <v>3.9282110000000001</v>
      </c>
      <c r="J7672" s="55">
        <v>3.8398240000000001</v>
      </c>
      <c r="K7672" s="55">
        <v>3.7332999999999998</v>
      </c>
      <c r="L7672" s="55">
        <v>3.5607769999999999</v>
      </c>
      <c r="M7672" s="55">
        <v>3.672145</v>
      </c>
      <c r="N7672" s="55">
        <v>3.58473</v>
      </c>
    </row>
    <row r="7673" spans="1:14" hidden="1" x14ac:dyDescent="0.35">
      <c r="A7673" s="52" t="s">
        <v>726</v>
      </c>
      <c r="B7673" s="52" t="s">
        <v>34</v>
      </c>
      <c r="C7673" s="52" t="s">
        <v>33</v>
      </c>
      <c r="D7673" s="52" t="s">
        <v>33</v>
      </c>
      <c r="E7673" s="52" t="s">
        <v>584</v>
      </c>
      <c r="F7673" s="52" t="s">
        <v>581</v>
      </c>
      <c r="G7673" s="55" t="s">
        <v>276</v>
      </c>
      <c r="H7673" s="55">
        <v>3.8735979999999999</v>
      </c>
      <c r="I7673" s="55">
        <v>1.3111969999999999</v>
      </c>
      <c r="J7673" s="55">
        <v>1.2137439999999999</v>
      </c>
      <c r="K7673" s="55">
        <v>1.1158349999999999</v>
      </c>
      <c r="L7673" s="55">
        <v>1.0638099999999999</v>
      </c>
      <c r="M7673" s="55">
        <v>1.097234</v>
      </c>
      <c r="N7673" s="55">
        <v>1.0710519999999999</v>
      </c>
    </row>
    <row r="7674" spans="1:14" hidden="1" x14ac:dyDescent="0.35">
      <c r="A7674" s="52" t="s">
        <v>726</v>
      </c>
      <c r="B7674" s="52" t="s">
        <v>34</v>
      </c>
      <c r="C7674" s="52" t="s">
        <v>33</v>
      </c>
      <c r="D7674" s="52" t="s">
        <v>33</v>
      </c>
      <c r="E7674" s="52" t="s">
        <v>584</v>
      </c>
      <c r="F7674" s="52" t="s">
        <v>581</v>
      </c>
      <c r="G7674" s="55" t="s">
        <v>277</v>
      </c>
      <c r="H7674" s="55">
        <v>0</v>
      </c>
      <c r="I7674" s="55">
        <v>7.1729999999999997E-3</v>
      </c>
      <c r="J7674" s="55">
        <v>7.3229999999999996E-3</v>
      </c>
      <c r="K7674" s="55">
        <v>7.9274010000000006E-3</v>
      </c>
      <c r="L7674" s="55">
        <v>8.3736990000000001E-3</v>
      </c>
      <c r="M7674" s="55">
        <v>9.4730999999999999E-3</v>
      </c>
      <c r="N7674" s="55">
        <v>9.8832E-3</v>
      </c>
    </row>
    <row r="7675" spans="1:14" hidden="1" x14ac:dyDescent="0.35">
      <c r="A7675" s="52" t="s">
        <v>726</v>
      </c>
      <c r="B7675" s="52" t="s">
        <v>34</v>
      </c>
      <c r="C7675" s="52" t="s">
        <v>33</v>
      </c>
      <c r="D7675" s="52" t="s">
        <v>33</v>
      </c>
      <c r="E7675" s="52" t="s">
        <v>584</v>
      </c>
      <c r="F7675" s="52" t="s">
        <v>581</v>
      </c>
      <c r="G7675" s="55" t="s">
        <v>279</v>
      </c>
      <c r="H7675" s="55">
        <v>2.932051</v>
      </c>
      <c r="I7675" s="55">
        <v>2.7137549999999999</v>
      </c>
      <c r="J7675" s="55">
        <v>2.5465819999999999</v>
      </c>
      <c r="K7675" s="55">
        <v>2.617299</v>
      </c>
      <c r="L7675" s="55">
        <v>2.6992929999999999</v>
      </c>
      <c r="M7675" s="55">
        <v>2.2975110000000001</v>
      </c>
      <c r="N7675" s="55">
        <v>2.2144409999999999</v>
      </c>
    </row>
    <row r="7676" spans="1:14" hidden="1" x14ac:dyDescent="0.35">
      <c r="A7676" s="52" t="s">
        <v>726</v>
      </c>
      <c r="B7676" s="52" t="s">
        <v>34</v>
      </c>
      <c r="C7676" s="52" t="s">
        <v>33</v>
      </c>
      <c r="D7676" s="52" t="s">
        <v>33</v>
      </c>
      <c r="E7676" s="52" t="s">
        <v>584</v>
      </c>
      <c r="F7676" s="52" t="s">
        <v>26</v>
      </c>
      <c r="G7676" s="55" t="s">
        <v>275</v>
      </c>
      <c r="H7676" s="55">
        <v>3.7137910000000001</v>
      </c>
      <c r="I7676" s="55">
        <v>3.8053870000000001</v>
      </c>
      <c r="J7676" s="55">
        <v>3.455943</v>
      </c>
      <c r="K7676" s="55">
        <v>2.7812239999999999</v>
      </c>
      <c r="L7676" s="55">
        <v>2.0475569999999998</v>
      </c>
      <c r="M7676" s="55">
        <v>2.7986080000000002</v>
      </c>
      <c r="N7676" s="55">
        <v>2.5954449999999998</v>
      </c>
    </row>
    <row r="7677" spans="1:14" hidden="1" x14ac:dyDescent="0.35">
      <c r="A7677" s="52" t="s">
        <v>726</v>
      </c>
      <c r="B7677" s="52" t="s">
        <v>34</v>
      </c>
      <c r="C7677" s="52" t="s">
        <v>33</v>
      </c>
      <c r="D7677" s="52" t="s">
        <v>33</v>
      </c>
      <c r="E7677" s="52" t="s">
        <v>584</v>
      </c>
      <c r="F7677" s="52" t="s">
        <v>26</v>
      </c>
      <c r="G7677" s="55" t="s">
        <v>276</v>
      </c>
      <c r="H7677" s="55">
        <v>1.3796980000000001</v>
      </c>
      <c r="I7677" s="55">
        <v>1.3179639999999999</v>
      </c>
      <c r="J7677" s="55">
        <v>1.114395</v>
      </c>
      <c r="K7677" s="55">
        <v>0.8422248</v>
      </c>
      <c r="L7677" s="55">
        <v>0.62684709999999999</v>
      </c>
      <c r="M7677" s="55">
        <v>0.86133559999999998</v>
      </c>
      <c r="N7677" s="55">
        <v>0.79207099999999997</v>
      </c>
    </row>
    <row r="7678" spans="1:14" hidden="1" x14ac:dyDescent="0.35">
      <c r="A7678" s="52" t="s">
        <v>726</v>
      </c>
      <c r="B7678" s="52" t="s">
        <v>34</v>
      </c>
      <c r="C7678" s="52" t="s">
        <v>33</v>
      </c>
      <c r="D7678" s="52" t="s">
        <v>33</v>
      </c>
      <c r="E7678" s="52" t="s">
        <v>584</v>
      </c>
      <c r="F7678" s="52" t="s">
        <v>26</v>
      </c>
      <c r="G7678" s="55" t="s">
        <v>277</v>
      </c>
      <c r="H7678" s="55">
        <v>0.24399899999999999</v>
      </c>
      <c r="I7678" s="55">
        <v>0.27933599999999997</v>
      </c>
      <c r="J7678" s="55">
        <v>0.27174300000000001</v>
      </c>
      <c r="K7678" s="55">
        <v>0.31622240000000001</v>
      </c>
      <c r="L7678" s="55">
        <v>0.3571262</v>
      </c>
      <c r="M7678" s="55">
        <v>0.42835600000000001</v>
      </c>
      <c r="N7678" s="55">
        <v>0.44226589999999999</v>
      </c>
    </row>
    <row r="7679" spans="1:14" hidden="1" x14ac:dyDescent="0.35">
      <c r="A7679" s="52" t="s">
        <v>726</v>
      </c>
      <c r="B7679" s="52" t="s">
        <v>34</v>
      </c>
      <c r="C7679" s="52" t="s">
        <v>33</v>
      </c>
      <c r="D7679" s="52" t="s">
        <v>33</v>
      </c>
      <c r="E7679" s="52" t="s">
        <v>584</v>
      </c>
      <c r="F7679" s="52" t="s">
        <v>26</v>
      </c>
      <c r="G7679" s="55" t="s">
        <v>279</v>
      </c>
      <c r="H7679" s="55">
        <v>15.16367</v>
      </c>
      <c r="I7679" s="55">
        <v>13.75117</v>
      </c>
      <c r="J7679" s="55">
        <v>12.54996</v>
      </c>
      <c r="K7679" s="55">
        <v>12.43009</v>
      </c>
      <c r="L7679" s="55">
        <v>12.29561</v>
      </c>
      <c r="M7679" s="55">
        <v>10.04941</v>
      </c>
      <c r="N7679" s="55">
        <v>9.2755779999999994</v>
      </c>
    </row>
    <row r="7680" spans="1:14" hidden="1" x14ac:dyDescent="0.35">
      <c r="A7680" s="52" t="s">
        <v>726</v>
      </c>
      <c r="B7680" s="52" t="s">
        <v>34</v>
      </c>
      <c r="C7680" s="52" t="s">
        <v>33</v>
      </c>
      <c r="D7680" s="52" t="s">
        <v>33</v>
      </c>
      <c r="E7680" s="52" t="s">
        <v>727</v>
      </c>
      <c r="F7680" s="52" t="s">
        <v>581</v>
      </c>
      <c r="G7680" s="55" t="s">
        <v>275</v>
      </c>
      <c r="H7680" s="55">
        <v>2.623513</v>
      </c>
      <c r="I7680" s="55">
        <v>0.66411310000000001</v>
      </c>
      <c r="J7680" s="55">
        <v>0.69889400000000002</v>
      </c>
      <c r="K7680" s="55">
        <v>0.64621079999999997</v>
      </c>
      <c r="L7680" s="55">
        <v>0.56066930000000004</v>
      </c>
      <c r="M7680" s="55">
        <v>0.51114740000000003</v>
      </c>
      <c r="N7680" s="55">
        <v>0.46639249999999999</v>
      </c>
    </row>
    <row r="7681" spans="1:14" hidden="1" x14ac:dyDescent="0.35">
      <c r="A7681" s="52" t="s">
        <v>726</v>
      </c>
      <c r="B7681" s="52" t="s">
        <v>34</v>
      </c>
      <c r="C7681" s="52" t="s">
        <v>33</v>
      </c>
      <c r="D7681" s="52" t="s">
        <v>33</v>
      </c>
      <c r="E7681" s="52" t="s">
        <v>727</v>
      </c>
      <c r="F7681" s="52" t="s">
        <v>581</v>
      </c>
      <c r="G7681" s="55" t="s">
        <v>276</v>
      </c>
      <c r="H7681" s="55">
        <v>0.94589199999999996</v>
      </c>
      <c r="I7681" s="55">
        <v>0.22137100000000001</v>
      </c>
      <c r="J7681" s="55">
        <v>0.22070290000000001</v>
      </c>
      <c r="K7681" s="55">
        <v>0.1930248</v>
      </c>
      <c r="L7681" s="55">
        <v>0.16747219999999999</v>
      </c>
      <c r="M7681" s="55">
        <v>0.15268039999999999</v>
      </c>
      <c r="N7681" s="55">
        <v>0.1393124</v>
      </c>
    </row>
    <row r="7682" spans="1:14" hidden="1" x14ac:dyDescent="0.35">
      <c r="A7682" s="52" t="s">
        <v>726</v>
      </c>
      <c r="B7682" s="52" t="s">
        <v>34</v>
      </c>
      <c r="C7682" s="52" t="s">
        <v>33</v>
      </c>
      <c r="D7682" s="52" t="s">
        <v>33</v>
      </c>
      <c r="E7682" s="52" t="s">
        <v>727</v>
      </c>
      <c r="F7682" s="52" t="s">
        <v>581</v>
      </c>
      <c r="G7682" s="55" t="s">
        <v>279</v>
      </c>
      <c r="H7682" s="55">
        <v>0.390677</v>
      </c>
      <c r="I7682" s="55">
        <v>0.22935700000000001</v>
      </c>
      <c r="J7682" s="55">
        <v>0.232796</v>
      </c>
      <c r="K7682" s="55">
        <v>0.2178253</v>
      </c>
      <c r="L7682" s="55">
        <v>0.18668199999999999</v>
      </c>
      <c r="M7682" s="55">
        <v>0.1628819</v>
      </c>
      <c r="N7682" s="55">
        <v>0.14775360000000001</v>
      </c>
    </row>
    <row r="7683" spans="1:14" hidden="1" x14ac:dyDescent="0.35">
      <c r="A7683" s="52" t="s">
        <v>726</v>
      </c>
      <c r="B7683" s="52" t="s">
        <v>34</v>
      </c>
      <c r="C7683" s="52" t="s">
        <v>33</v>
      </c>
      <c r="D7683" s="52" t="s">
        <v>33</v>
      </c>
      <c r="E7683" s="52" t="s">
        <v>727</v>
      </c>
      <c r="F7683" s="52" t="s">
        <v>26</v>
      </c>
      <c r="G7683" s="55" t="s">
        <v>275</v>
      </c>
      <c r="H7683" s="55">
        <v>3.7830900000000001</v>
      </c>
      <c r="I7683" s="55">
        <v>4.3836880000000003</v>
      </c>
      <c r="J7683" s="55">
        <v>3.7649499999999998</v>
      </c>
      <c r="K7683" s="55">
        <v>4.4492120000000002</v>
      </c>
      <c r="L7683" s="55">
        <v>3.77345</v>
      </c>
      <c r="M7683" s="55">
        <v>3.32897</v>
      </c>
      <c r="N7683" s="55">
        <v>2.9123199999999998</v>
      </c>
    </row>
    <row r="7684" spans="1:14" hidden="1" x14ac:dyDescent="0.35">
      <c r="A7684" s="52" t="s">
        <v>726</v>
      </c>
      <c r="B7684" s="52" t="s">
        <v>34</v>
      </c>
      <c r="C7684" s="52" t="s">
        <v>33</v>
      </c>
      <c r="D7684" s="52" t="s">
        <v>33</v>
      </c>
      <c r="E7684" s="52" t="s">
        <v>727</v>
      </c>
      <c r="F7684" s="52" t="s">
        <v>26</v>
      </c>
      <c r="G7684" s="55" t="s">
        <v>276</v>
      </c>
      <c r="H7684" s="55">
        <v>0.204397</v>
      </c>
      <c r="I7684" s="55">
        <v>0.85696720000000004</v>
      </c>
      <c r="J7684" s="55">
        <v>0.94664649999999995</v>
      </c>
      <c r="K7684" s="55">
        <v>1.050808</v>
      </c>
      <c r="L7684" s="55">
        <v>0.96134310000000001</v>
      </c>
      <c r="M7684" s="55">
        <v>0.8891519</v>
      </c>
      <c r="N7684" s="55">
        <v>0.86991399999999997</v>
      </c>
    </row>
    <row r="7685" spans="1:14" hidden="1" x14ac:dyDescent="0.35">
      <c r="A7685" s="52" t="s">
        <v>726</v>
      </c>
      <c r="B7685" s="52" t="s">
        <v>34</v>
      </c>
      <c r="C7685" s="52" t="s">
        <v>33</v>
      </c>
      <c r="D7685" s="52" t="s">
        <v>33</v>
      </c>
      <c r="E7685" s="52" t="s">
        <v>727</v>
      </c>
      <c r="F7685" s="52" t="s">
        <v>26</v>
      </c>
      <c r="G7685" s="55" t="s">
        <v>277</v>
      </c>
      <c r="H7685" s="55">
        <v>1.254335</v>
      </c>
      <c r="I7685" s="55">
        <v>0.80006569999999999</v>
      </c>
      <c r="J7685" s="55">
        <v>1.3996390000000001</v>
      </c>
      <c r="K7685" s="55">
        <v>0</v>
      </c>
      <c r="L7685" s="55"/>
      <c r="M7685" s="55">
        <v>0</v>
      </c>
      <c r="N7685" s="55">
        <v>0</v>
      </c>
    </row>
    <row r="7686" spans="1:14" hidden="1" x14ac:dyDescent="0.35">
      <c r="A7686" s="52" t="s">
        <v>726</v>
      </c>
      <c r="B7686" s="52" t="s">
        <v>34</v>
      </c>
      <c r="C7686" s="52" t="s">
        <v>33</v>
      </c>
      <c r="D7686" s="52" t="s">
        <v>33</v>
      </c>
      <c r="E7686" s="52" t="s">
        <v>727</v>
      </c>
      <c r="F7686" s="52" t="s">
        <v>26</v>
      </c>
      <c r="G7686" s="55" t="s">
        <v>278</v>
      </c>
      <c r="H7686" s="55">
        <v>0.25066500000000003</v>
      </c>
      <c r="I7686" s="55">
        <v>1.1121000000000001E-2</v>
      </c>
      <c r="J7686" s="55">
        <v>9.3380000000000008E-3</v>
      </c>
      <c r="K7686" s="55">
        <v>0</v>
      </c>
      <c r="L7686" s="55"/>
      <c r="M7686" s="55">
        <v>0</v>
      </c>
      <c r="N7686" s="55">
        <v>0</v>
      </c>
    </row>
    <row r="7687" spans="1:14" hidden="1" x14ac:dyDescent="0.35">
      <c r="A7687" s="52" t="s">
        <v>726</v>
      </c>
      <c r="B7687" s="52" t="s">
        <v>34</v>
      </c>
      <c r="C7687" s="52" t="s">
        <v>33</v>
      </c>
      <c r="D7687" s="52" t="s">
        <v>33</v>
      </c>
      <c r="E7687" s="52" t="s">
        <v>727</v>
      </c>
      <c r="F7687" s="52" t="s">
        <v>26</v>
      </c>
      <c r="G7687" s="55" t="s">
        <v>279</v>
      </c>
      <c r="H7687" s="55">
        <v>2.208771</v>
      </c>
      <c r="I7687" s="55">
        <v>2.3918819999999998</v>
      </c>
      <c r="J7687" s="55">
        <v>2.4042210000000002</v>
      </c>
      <c r="K7687" s="55">
        <v>2.227776</v>
      </c>
      <c r="L7687" s="55">
        <v>1.8720239999999999</v>
      </c>
      <c r="M7687" s="55">
        <v>1.677168</v>
      </c>
      <c r="N7687" s="55">
        <v>1.5213220000000001</v>
      </c>
    </row>
    <row r="7688" spans="1:14" hidden="1" x14ac:dyDescent="0.35">
      <c r="A7688" s="52" t="s">
        <v>726</v>
      </c>
      <c r="B7688" s="52" t="s">
        <v>34</v>
      </c>
      <c r="C7688" s="52" t="s">
        <v>33</v>
      </c>
      <c r="D7688" s="52" t="s">
        <v>33</v>
      </c>
      <c r="E7688" s="52" t="s">
        <v>605</v>
      </c>
      <c r="F7688" s="52" t="s">
        <v>581</v>
      </c>
      <c r="G7688" s="55" t="s">
        <v>275</v>
      </c>
      <c r="H7688" s="55"/>
      <c r="I7688" s="55">
        <v>0</v>
      </c>
      <c r="J7688" s="55">
        <v>3.6723100000000002E-2</v>
      </c>
      <c r="K7688" s="55">
        <v>0.1074555</v>
      </c>
      <c r="L7688" s="55">
        <v>0.15629499999999999</v>
      </c>
      <c r="M7688" s="55">
        <v>0.13594010000000001</v>
      </c>
      <c r="N7688" s="55">
        <v>0.1164173</v>
      </c>
    </row>
    <row r="7689" spans="1:14" hidden="1" x14ac:dyDescent="0.35">
      <c r="A7689" s="52" t="s">
        <v>726</v>
      </c>
      <c r="B7689" s="52" t="s">
        <v>34</v>
      </c>
      <c r="C7689" s="52" t="s">
        <v>33</v>
      </c>
      <c r="D7689" s="52" t="s">
        <v>33</v>
      </c>
      <c r="E7689" s="52" t="s">
        <v>605</v>
      </c>
      <c r="F7689" s="52" t="s">
        <v>581</v>
      </c>
      <c r="G7689" s="55" t="s">
        <v>276</v>
      </c>
      <c r="H7689" s="55"/>
      <c r="I7689" s="55">
        <v>0</v>
      </c>
      <c r="J7689" s="55">
        <v>1.1597400000000001E-2</v>
      </c>
      <c r="K7689" s="55">
        <v>3.2096800000000002E-2</v>
      </c>
      <c r="L7689" s="55">
        <v>4.6685299999999999E-2</v>
      </c>
      <c r="M7689" s="55">
        <v>4.0604300000000003E-2</v>
      </c>
      <c r="N7689" s="55">
        <v>3.4774100000000002E-2</v>
      </c>
    </row>
    <row r="7690" spans="1:14" hidden="1" x14ac:dyDescent="0.35">
      <c r="A7690" s="52" t="s">
        <v>726</v>
      </c>
      <c r="B7690" s="52" t="s">
        <v>34</v>
      </c>
      <c r="C7690" s="52" t="s">
        <v>33</v>
      </c>
      <c r="D7690" s="52" t="s">
        <v>33</v>
      </c>
      <c r="E7690" s="52" t="s">
        <v>605</v>
      </c>
      <c r="F7690" s="52" t="s">
        <v>581</v>
      </c>
      <c r="G7690" s="55" t="s">
        <v>279</v>
      </c>
      <c r="H7690" s="55"/>
      <c r="I7690" s="55">
        <v>0</v>
      </c>
      <c r="J7690" s="55">
        <v>9.5249989999999993E-3</v>
      </c>
      <c r="K7690" s="55">
        <v>2.6704100000000001E-2</v>
      </c>
      <c r="L7690" s="55">
        <v>3.5469899999999999E-2</v>
      </c>
      <c r="M7690" s="55">
        <v>3.16764E-2</v>
      </c>
      <c r="N7690" s="55">
        <v>2.6997500000000001E-2</v>
      </c>
    </row>
    <row r="7691" spans="1:14" hidden="1" x14ac:dyDescent="0.35">
      <c r="A7691" s="52" t="s">
        <v>726</v>
      </c>
      <c r="B7691" s="52" t="s">
        <v>34</v>
      </c>
      <c r="C7691" s="52" t="s">
        <v>33</v>
      </c>
      <c r="D7691" s="52" t="s">
        <v>33</v>
      </c>
      <c r="E7691" s="52" t="s">
        <v>605</v>
      </c>
      <c r="F7691" s="52" t="s">
        <v>26</v>
      </c>
      <c r="G7691" s="55" t="s">
        <v>275</v>
      </c>
      <c r="H7691" s="55"/>
      <c r="I7691" s="55">
        <v>0</v>
      </c>
      <c r="J7691" s="55">
        <v>-1.8734189999999999</v>
      </c>
      <c r="K7691" s="55">
        <v>-2.871918</v>
      </c>
      <c r="L7691" s="55">
        <v>-1.1622300000000001</v>
      </c>
      <c r="M7691" s="55">
        <v>0.59292690000000003</v>
      </c>
      <c r="N7691" s="55">
        <v>0.44519439999999999</v>
      </c>
    </row>
    <row r="7692" spans="1:14" hidden="1" x14ac:dyDescent="0.35">
      <c r="A7692" s="52" t="s">
        <v>726</v>
      </c>
      <c r="B7692" s="52" t="s">
        <v>34</v>
      </c>
      <c r="C7692" s="52" t="s">
        <v>33</v>
      </c>
      <c r="D7692" s="52" t="s">
        <v>33</v>
      </c>
      <c r="E7692" s="52" t="s">
        <v>605</v>
      </c>
      <c r="F7692" s="52" t="s">
        <v>26</v>
      </c>
      <c r="G7692" s="55" t="s">
        <v>276</v>
      </c>
      <c r="H7692" s="55"/>
      <c r="I7692" s="55">
        <v>0</v>
      </c>
      <c r="J7692" s="55">
        <v>-0.1064614</v>
      </c>
      <c r="K7692" s="55">
        <v>-0.26644509999999999</v>
      </c>
      <c r="L7692" s="55">
        <v>-0.35088000000000003</v>
      </c>
      <c r="M7692" s="55">
        <v>-0.35643219999999998</v>
      </c>
      <c r="N7692" s="55">
        <v>-0.2475956</v>
      </c>
    </row>
    <row r="7693" spans="1:14" hidden="1" x14ac:dyDescent="0.35">
      <c r="A7693" s="52" t="s">
        <v>726</v>
      </c>
      <c r="B7693" s="52" t="s">
        <v>34</v>
      </c>
      <c r="C7693" s="52" t="s">
        <v>33</v>
      </c>
      <c r="D7693" s="52" t="s">
        <v>33</v>
      </c>
      <c r="E7693" s="52" t="s">
        <v>605</v>
      </c>
      <c r="F7693" s="52" t="s">
        <v>26</v>
      </c>
      <c r="G7693" s="55" t="s">
        <v>277</v>
      </c>
      <c r="H7693" s="55"/>
      <c r="I7693" s="55">
        <v>0</v>
      </c>
      <c r="J7693" s="55">
        <v>0.43841740000000001</v>
      </c>
      <c r="K7693" s="55">
        <v>0.55493139999999996</v>
      </c>
      <c r="L7693" s="55">
        <v>0.52789770000000003</v>
      </c>
      <c r="M7693" s="55">
        <v>0</v>
      </c>
      <c r="N7693" s="55">
        <v>0</v>
      </c>
    </row>
    <row r="7694" spans="1:14" hidden="1" x14ac:dyDescent="0.35">
      <c r="A7694" s="52" t="s">
        <v>726</v>
      </c>
      <c r="B7694" s="52" t="s">
        <v>34</v>
      </c>
      <c r="C7694" s="52" t="s">
        <v>33</v>
      </c>
      <c r="D7694" s="52" t="s">
        <v>33</v>
      </c>
      <c r="E7694" s="52" t="s">
        <v>605</v>
      </c>
      <c r="F7694" s="52" t="s">
        <v>26</v>
      </c>
      <c r="G7694" s="55" t="s">
        <v>278</v>
      </c>
      <c r="H7694" s="55"/>
      <c r="I7694" s="55">
        <v>0</v>
      </c>
      <c r="J7694" s="55">
        <v>1.609969</v>
      </c>
      <c r="K7694" s="55">
        <v>2.7677360000000002</v>
      </c>
      <c r="L7694" s="55">
        <v>1.2458480000000001</v>
      </c>
      <c r="M7694" s="55">
        <v>0</v>
      </c>
      <c r="N7694" s="55"/>
    </row>
    <row r="7695" spans="1:14" hidden="1" x14ac:dyDescent="0.35">
      <c r="A7695" s="52" t="s">
        <v>726</v>
      </c>
      <c r="B7695" s="52" t="s">
        <v>34</v>
      </c>
      <c r="C7695" s="52" t="s">
        <v>33</v>
      </c>
      <c r="D7695" s="52" t="s">
        <v>33</v>
      </c>
      <c r="E7695" s="52" t="s">
        <v>605</v>
      </c>
      <c r="F7695" s="52" t="s">
        <v>26</v>
      </c>
      <c r="G7695" s="55" t="s">
        <v>279</v>
      </c>
      <c r="H7695" s="55"/>
      <c r="I7695" s="55">
        <v>0</v>
      </c>
      <c r="J7695" s="55">
        <v>9.8829109999999998E-2</v>
      </c>
      <c r="K7695" s="55">
        <v>0.28161760000000002</v>
      </c>
      <c r="L7695" s="55">
        <v>0.39494859999999998</v>
      </c>
      <c r="M7695" s="55">
        <v>0.33018950000000002</v>
      </c>
      <c r="N7695" s="55">
        <v>0.28143010000000002</v>
      </c>
    </row>
    <row r="7696" spans="1:14" hidden="1" x14ac:dyDescent="0.35">
      <c r="A7696" s="52" t="s">
        <v>756</v>
      </c>
      <c r="B7696" s="52" t="s">
        <v>34</v>
      </c>
      <c r="C7696" s="52" t="s">
        <v>33</v>
      </c>
      <c r="D7696" s="52" t="s">
        <v>33</v>
      </c>
      <c r="E7696" s="52" t="s">
        <v>605</v>
      </c>
      <c r="F7696" s="52" t="s">
        <v>581</v>
      </c>
      <c r="G7696" s="55" t="s">
        <v>275</v>
      </c>
      <c r="H7696" s="55">
        <v>4.5875640000000004</v>
      </c>
      <c r="I7696" s="55">
        <v>15.155900000000001</v>
      </c>
      <c r="J7696" s="55">
        <v>59.90549</v>
      </c>
      <c r="K7696" s="55">
        <v>64.658649999999994</v>
      </c>
      <c r="L7696" s="55">
        <v>48.198860000000003</v>
      </c>
      <c r="M7696" s="55">
        <v>44.156970000000001</v>
      </c>
      <c r="N7696" s="55">
        <v>36.355840000000001</v>
      </c>
    </row>
    <row r="7697" spans="1:14" hidden="1" x14ac:dyDescent="0.35">
      <c r="A7697" s="52" t="s">
        <v>756</v>
      </c>
      <c r="B7697" s="52" t="s">
        <v>34</v>
      </c>
      <c r="C7697" s="52" t="s">
        <v>33</v>
      </c>
      <c r="D7697" s="52" t="s">
        <v>33</v>
      </c>
      <c r="E7697" s="52" t="s">
        <v>605</v>
      </c>
      <c r="F7697" s="52" t="s">
        <v>581</v>
      </c>
      <c r="G7697" s="55" t="s">
        <v>276</v>
      </c>
      <c r="H7697" s="55">
        <v>-2.5381360000000002</v>
      </c>
      <c r="I7697" s="55">
        <v>-31.146249999999998</v>
      </c>
      <c r="J7697" s="55">
        <v>-16.59722</v>
      </c>
      <c r="K7697" s="55">
        <v>-4.0973959999999998</v>
      </c>
      <c r="L7697" s="55">
        <v>7.1248360000000002</v>
      </c>
      <c r="M7697" s="55">
        <v>10.513249999999999</v>
      </c>
      <c r="N7697" s="55">
        <v>11.61633</v>
      </c>
    </row>
    <row r="7698" spans="1:14" hidden="1" x14ac:dyDescent="0.35">
      <c r="A7698" s="52" t="s">
        <v>756</v>
      </c>
      <c r="B7698" s="52" t="s">
        <v>34</v>
      </c>
      <c r="C7698" s="52" t="s">
        <v>33</v>
      </c>
      <c r="D7698" s="52" t="s">
        <v>33</v>
      </c>
      <c r="E7698" s="52" t="s">
        <v>605</v>
      </c>
      <c r="F7698" s="52" t="s">
        <v>581</v>
      </c>
      <c r="G7698" s="55" t="s">
        <v>277</v>
      </c>
      <c r="H7698" s="55">
        <v>146.75239999999999</v>
      </c>
      <c r="I7698" s="55">
        <v>53.412700000000001</v>
      </c>
      <c r="J7698" s="55">
        <v>9.0653020000000009</v>
      </c>
      <c r="K7698" s="55">
        <v>2.9205199999999998</v>
      </c>
      <c r="L7698" s="55">
        <v>3.876198</v>
      </c>
      <c r="M7698" s="55">
        <v>2.558548</v>
      </c>
      <c r="N7698" s="55">
        <v>8.7333809999999996</v>
      </c>
    </row>
    <row r="7699" spans="1:14" hidden="1" x14ac:dyDescent="0.35">
      <c r="A7699" s="52" t="s">
        <v>756</v>
      </c>
      <c r="B7699" s="52" t="s">
        <v>34</v>
      </c>
      <c r="C7699" s="52" t="s">
        <v>33</v>
      </c>
      <c r="D7699" s="52" t="s">
        <v>33</v>
      </c>
      <c r="E7699" s="52" t="s">
        <v>605</v>
      </c>
      <c r="F7699" s="52" t="s">
        <v>581</v>
      </c>
      <c r="G7699" s="55" t="s">
        <v>278</v>
      </c>
      <c r="H7699" s="55">
        <v>79.555790000000002</v>
      </c>
      <c r="I7699" s="55">
        <v>49.953969999999998</v>
      </c>
      <c r="J7699" s="55">
        <v>40.106920000000002</v>
      </c>
      <c r="K7699" s="55">
        <v>18.86046</v>
      </c>
      <c r="L7699" s="55">
        <v>21.768910000000002</v>
      </c>
      <c r="M7699" s="55">
        <v>17.693639999999998</v>
      </c>
      <c r="N7699" s="55">
        <v>17.2042</v>
      </c>
    </row>
    <row r="7700" spans="1:14" hidden="1" x14ac:dyDescent="0.35">
      <c r="A7700" s="52" t="s">
        <v>756</v>
      </c>
      <c r="B7700" s="52" t="s">
        <v>34</v>
      </c>
      <c r="C7700" s="52" t="s">
        <v>33</v>
      </c>
      <c r="D7700" s="52" t="s">
        <v>33</v>
      </c>
      <c r="E7700" s="52" t="s">
        <v>605</v>
      </c>
      <c r="F7700" s="52" t="s">
        <v>581</v>
      </c>
      <c r="G7700" s="55" t="s">
        <v>279</v>
      </c>
      <c r="H7700" s="55">
        <v>63.901389999999999</v>
      </c>
      <c r="I7700" s="55">
        <v>67.938789999999997</v>
      </c>
      <c r="J7700" s="55">
        <v>65.960260000000005</v>
      </c>
      <c r="K7700" s="55">
        <v>57.987580000000001</v>
      </c>
      <c r="L7700" s="55">
        <v>47.731949999999998</v>
      </c>
      <c r="M7700" s="55">
        <v>48.305149999999998</v>
      </c>
      <c r="N7700" s="55">
        <v>46.230589999999999</v>
      </c>
    </row>
    <row r="7701" spans="1:14" hidden="1" x14ac:dyDescent="0.35">
      <c r="A7701" s="52" t="s">
        <v>756</v>
      </c>
      <c r="B7701" s="52" t="s">
        <v>34</v>
      </c>
      <c r="C7701" s="52" t="s">
        <v>33</v>
      </c>
      <c r="D7701" s="52" t="s">
        <v>33</v>
      </c>
      <c r="E7701" s="52" t="s">
        <v>605</v>
      </c>
      <c r="F7701" s="52" t="s">
        <v>26</v>
      </c>
      <c r="G7701" s="55" t="s">
        <v>275</v>
      </c>
      <c r="H7701" s="55">
        <v>-7.7074780000000001</v>
      </c>
      <c r="I7701" s="55">
        <v>-10.825519999999999</v>
      </c>
      <c r="J7701" s="55">
        <v>-14.59606</v>
      </c>
      <c r="K7701" s="55">
        <v>-14.622820000000001</v>
      </c>
      <c r="L7701" s="55">
        <v>-9.1185050000000007</v>
      </c>
      <c r="M7701" s="55">
        <v>-11.257490000000001</v>
      </c>
      <c r="N7701" s="55">
        <v>-11.023770000000001</v>
      </c>
    </row>
    <row r="7702" spans="1:14" hidden="1" x14ac:dyDescent="0.35">
      <c r="A7702" s="52" t="s">
        <v>756</v>
      </c>
      <c r="B7702" s="52" t="s">
        <v>34</v>
      </c>
      <c r="C7702" s="52" t="s">
        <v>33</v>
      </c>
      <c r="D7702" s="52" t="s">
        <v>33</v>
      </c>
      <c r="E7702" s="52" t="s">
        <v>605</v>
      </c>
      <c r="F7702" s="52" t="s">
        <v>26</v>
      </c>
      <c r="G7702" s="55" t="s">
        <v>276</v>
      </c>
      <c r="H7702" s="55">
        <v>-2.778886</v>
      </c>
      <c r="I7702" s="55">
        <v>-3.6085069999999999</v>
      </c>
      <c r="J7702" s="55">
        <v>-4.6092820000000003</v>
      </c>
      <c r="K7702" s="55">
        <v>-4.3678569999999999</v>
      </c>
      <c r="L7702" s="55">
        <v>-2.7237079999999998</v>
      </c>
      <c r="M7702" s="55">
        <v>-3.3626260000000001</v>
      </c>
      <c r="N7702" s="55">
        <v>-3.292815</v>
      </c>
    </row>
    <row r="7703" spans="1:14" hidden="1" x14ac:dyDescent="0.35">
      <c r="A7703" s="52" t="s">
        <v>756</v>
      </c>
      <c r="B7703" s="52" t="s">
        <v>34</v>
      </c>
      <c r="C7703" s="52" t="s">
        <v>33</v>
      </c>
      <c r="D7703" s="52" t="s">
        <v>33</v>
      </c>
      <c r="E7703" s="52" t="s">
        <v>605</v>
      </c>
      <c r="F7703" s="52" t="s">
        <v>26</v>
      </c>
      <c r="G7703" s="55" t="s">
        <v>279</v>
      </c>
      <c r="H7703" s="55">
        <v>112.95650000000001</v>
      </c>
      <c r="I7703" s="55">
        <v>121.0518</v>
      </c>
      <c r="J7703" s="55">
        <v>117.5134</v>
      </c>
      <c r="K7703" s="55">
        <v>103.76300000000001</v>
      </c>
      <c r="L7703" s="55">
        <v>87.480760000000004</v>
      </c>
      <c r="M7703" s="55">
        <v>84.689490000000006</v>
      </c>
      <c r="N7703" s="55">
        <v>80.448930000000004</v>
      </c>
    </row>
    <row r="7704" spans="1:14" hidden="1" x14ac:dyDescent="0.35">
      <c r="A7704" s="52" t="s">
        <v>756</v>
      </c>
      <c r="B7704" s="52" t="s">
        <v>34</v>
      </c>
      <c r="C7704" s="52" t="s">
        <v>33</v>
      </c>
      <c r="D7704" s="52" t="s">
        <v>33</v>
      </c>
      <c r="E7704" s="52" t="s">
        <v>584</v>
      </c>
      <c r="F7704" s="52" t="s">
        <v>581</v>
      </c>
      <c r="G7704" s="55" t="s">
        <v>275</v>
      </c>
      <c r="H7704" s="55">
        <v>4.900773</v>
      </c>
      <c r="I7704" s="55">
        <v>1.1804650000000001</v>
      </c>
      <c r="J7704" s="55">
        <v>1.050184</v>
      </c>
      <c r="K7704" s="55">
        <v>-8.3066469999999999</v>
      </c>
      <c r="L7704" s="55">
        <v>-3.040006</v>
      </c>
      <c r="M7704" s="55">
        <v>-2.053277</v>
      </c>
      <c r="N7704" s="55">
        <v>-1.542224</v>
      </c>
    </row>
    <row r="7705" spans="1:14" hidden="1" x14ac:dyDescent="0.35">
      <c r="A7705" s="52" t="s">
        <v>756</v>
      </c>
      <c r="B7705" s="52" t="s">
        <v>34</v>
      </c>
      <c r="C7705" s="52" t="s">
        <v>33</v>
      </c>
      <c r="D7705" s="52" t="s">
        <v>33</v>
      </c>
      <c r="E7705" s="52" t="s">
        <v>584</v>
      </c>
      <c r="F7705" s="52" t="s">
        <v>581</v>
      </c>
      <c r="G7705" s="55" t="s">
        <v>276</v>
      </c>
      <c r="H7705" s="55">
        <v>1.7669459999999999</v>
      </c>
      <c r="I7705" s="55">
        <v>-8.2468990000000002E-3</v>
      </c>
      <c r="J7705" s="55">
        <v>0.2800938</v>
      </c>
      <c r="K7705" s="55">
        <v>-2.316478</v>
      </c>
      <c r="L7705" s="55">
        <v>-0.17445169999999999</v>
      </c>
      <c r="M7705" s="55">
        <v>-0.27989629999999999</v>
      </c>
      <c r="N7705" s="55">
        <v>-0.461779</v>
      </c>
    </row>
    <row r="7706" spans="1:14" hidden="1" x14ac:dyDescent="0.35">
      <c r="A7706" s="52" t="s">
        <v>756</v>
      </c>
      <c r="B7706" s="52" t="s">
        <v>34</v>
      </c>
      <c r="C7706" s="52" t="s">
        <v>33</v>
      </c>
      <c r="D7706" s="52" t="s">
        <v>33</v>
      </c>
      <c r="E7706" s="52" t="s">
        <v>584</v>
      </c>
      <c r="F7706" s="52" t="s">
        <v>581</v>
      </c>
      <c r="G7706" s="55" t="s">
        <v>277</v>
      </c>
      <c r="H7706" s="55">
        <v>0</v>
      </c>
      <c r="I7706" s="55">
        <v>0</v>
      </c>
      <c r="J7706" s="55">
        <v>0</v>
      </c>
      <c r="K7706" s="55"/>
      <c r="L7706" s="55">
        <v>3.6197509999999999</v>
      </c>
      <c r="M7706" s="55">
        <v>3.0400140000000002</v>
      </c>
      <c r="N7706" s="55">
        <v>2.5600700000000001</v>
      </c>
    </row>
    <row r="7707" spans="1:14" hidden="1" x14ac:dyDescent="0.35">
      <c r="A7707" s="52" t="s">
        <v>756</v>
      </c>
      <c r="B7707" s="52" t="s">
        <v>34</v>
      </c>
      <c r="C7707" s="52" t="s">
        <v>33</v>
      </c>
      <c r="D7707" s="52" t="s">
        <v>33</v>
      </c>
      <c r="E7707" s="52" t="s">
        <v>584</v>
      </c>
      <c r="F7707" s="52" t="s">
        <v>581</v>
      </c>
      <c r="G7707" s="55" t="s">
        <v>278</v>
      </c>
      <c r="H7707" s="55">
        <v>0</v>
      </c>
      <c r="I7707" s="55"/>
      <c r="J7707" s="55"/>
      <c r="K7707" s="55"/>
      <c r="L7707" s="55"/>
      <c r="M7707" s="55"/>
      <c r="N7707" s="55"/>
    </row>
    <row r="7708" spans="1:14" hidden="1" x14ac:dyDescent="0.35">
      <c r="A7708" s="52" t="s">
        <v>756</v>
      </c>
      <c r="B7708" s="52" t="s">
        <v>34</v>
      </c>
      <c r="C7708" s="52" t="s">
        <v>33</v>
      </c>
      <c r="D7708" s="52" t="s">
        <v>33</v>
      </c>
      <c r="E7708" s="52" t="s">
        <v>584</v>
      </c>
      <c r="F7708" s="52" t="s">
        <v>581</v>
      </c>
      <c r="G7708" s="55" t="s">
        <v>279</v>
      </c>
      <c r="H7708" s="55">
        <v>4.8018599999999996</v>
      </c>
      <c r="I7708" s="55">
        <v>4.7887110000000002</v>
      </c>
      <c r="J7708" s="55">
        <v>4.7929130000000004</v>
      </c>
      <c r="K7708" s="55">
        <v>15.19304</v>
      </c>
      <c r="L7708" s="55">
        <v>4.5036050000000003</v>
      </c>
      <c r="M7708" s="55">
        <v>3.4035169999999999</v>
      </c>
      <c r="N7708" s="55">
        <v>2.907438</v>
      </c>
    </row>
    <row r="7709" spans="1:14" hidden="1" x14ac:dyDescent="0.35">
      <c r="A7709" s="52" t="s">
        <v>756</v>
      </c>
      <c r="B7709" s="52" t="s">
        <v>34</v>
      </c>
      <c r="C7709" s="52" t="s">
        <v>33</v>
      </c>
      <c r="D7709" s="52" t="s">
        <v>33</v>
      </c>
      <c r="E7709" s="52" t="s">
        <v>584</v>
      </c>
      <c r="F7709" s="52" t="s">
        <v>26</v>
      </c>
      <c r="G7709" s="55" t="s">
        <v>275</v>
      </c>
      <c r="H7709" s="55">
        <v>-6.2478879999999997</v>
      </c>
      <c r="I7709" s="55">
        <v>-6.8082950000000002</v>
      </c>
      <c r="J7709" s="55">
        <v>-4.5670679999999999</v>
      </c>
      <c r="K7709" s="55">
        <v>-20.494350000000001</v>
      </c>
      <c r="L7709" s="55">
        <v>-2.437954</v>
      </c>
      <c r="M7709" s="55">
        <v>-1.8740939999999999</v>
      </c>
      <c r="N7709" s="55">
        <v>-1.7562530000000001</v>
      </c>
    </row>
    <row r="7710" spans="1:14" hidden="1" x14ac:dyDescent="0.35">
      <c r="A7710" s="52" t="s">
        <v>756</v>
      </c>
      <c r="B7710" s="52" t="s">
        <v>34</v>
      </c>
      <c r="C7710" s="52" t="s">
        <v>33</v>
      </c>
      <c r="D7710" s="52" t="s">
        <v>33</v>
      </c>
      <c r="E7710" s="52" t="s">
        <v>584</v>
      </c>
      <c r="F7710" s="52" t="s">
        <v>26</v>
      </c>
      <c r="G7710" s="55" t="s">
        <v>276</v>
      </c>
      <c r="H7710" s="55">
        <v>-4.1321500000000002</v>
      </c>
      <c r="I7710" s="55">
        <v>-2.8397540000000001</v>
      </c>
      <c r="J7710" s="55">
        <v>-2.321291</v>
      </c>
      <c r="K7710" s="55">
        <v>-6.8441400000000003</v>
      </c>
      <c r="L7710" s="55">
        <v>-1.5412380000000001</v>
      </c>
      <c r="M7710" s="55">
        <v>-0.94702710000000001</v>
      </c>
      <c r="N7710" s="55">
        <v>-0.70335389999999998</v>
      </c>
    </row>
    <row r="7711" spans="1:14" hidden="1" x14ac:dyDescent="0.35">
      <c r="A7711" s="52" t="s">
        <v>756</v>
      </c>
      <c r="B7711" s="52" t="s">
        <v>34</v>
      </c>
      <c r="C7711" s="52" t="s">
        <v>33</v>
      </c>
      <c r="D7711" s="52" t="s">
        <v>33</v>
      </c>
      <c r="E7711" s="52" t="s">
        <v>584</v>
      </c>
      <c r="F7711" s="52" t="s">
        <v>26</v>
      </c>
      <c r="G7711" s="55" t="s">
        <v>277</v>
      </c>
      <c r="H7711" s="55">
        <v>6.077941</v>
      </c>
      <c r="I7711" s="55">
        <v>5.5205339999999996</v>
      </c>
      <c r="J7711" s="55">
        <v>2.791741</v>
      </c>
      <c r="K7711" s="55"/>
      <c r="L7711" s="55"/>
      <c r="M7711" s="55"/>
      <c r="N7711" s="55">
        <v>0</v>
      </c>
    </row>
    <row r="7712" spans="1:14" hidden="1" x14ac:dyDescent="0.35">
      <c r="A7712" s="52" t="s">
        <v>756</v>
      </c>
      <c r="B7712" s="52" t="s">
        <v>34</v>
      </c>
      <c r="C7712" s="52" t="s">
        <v>33</v>
      </c>
      <c r="D7712" s="52" t="s">
        <v>33</v>
      </c>
      <c r="E7712" s="52" t="s">
        <v>584</v>
      </c>
      <c r="F7712" s="52" t="s">
        <v>26</v>
      </c>
      <c r="G7712" s="55" t="s">
        <v>278</v>
      </c>
      <c r="H7712" s="55">
        <v>0</v>
      </c>
      <c r="I7712" s="55"/>
      <c r="J7712" s="55"/>
      <c r="K7712" s="55"/>
      <c r="L7712" s="55"/>
      <c r="M7712" s="55"/>
      <c r="N7712" s="55"/>
    </row>
    <row r="7713" spans="1:14" hidden="1" x14ac:dyDescent="0.35">
      <c r="A7713" s="52" t="s">
        <v>756</v>
      </c>
      <c r="B7713" s="52" t="s">
        <v>34</v>
      </c>
      <c r="C7713" s="52" t="s">
        <v>33</v>
      </c>
      <c r="D7713" s="52" t="s">
        <v>33</v>
      </c>
      <c r="E7713" s="52" t="s">
        <v>584</v>
      </c>
      <c r="F7713" s="52" t="s">
        <v>26</v>
      </c>
      <c r="G7713" s="55" t="s">
        <v>279</v>
      </c>
      <c r="H7713" s="55">
        <v>7.935829</v>
      </c>
      <c r="I7713" s="55">
        <v>7.8267040000000003</v>
      </c>
      <c r="J7713" s="55">
        <v>7.744402</v>
      </c>
      <c r="K7713" s="55">
        <v>28.12799</v>
      </c>
      <c r="L7713" s="55">
        <v>6.7453849999999997</v>
      </c>
      <c r="M7713" s="55">
        <v>5.2235550000000002</v>
      </c>
      <c r="N7713" s="55">
        <v>4.5450460000000001</v>
      </c>
    </row>
    <row r="7714" spans="1:14" hidden="1" x14ac:dyDescent="0.35">
      <c r="A7714" s="52" t="s">
        <v>736</v>
      </c>
      <c r="B7714" s="52" t="s">
        <v>34</v>
      </c>
      <c r="C7714" s="52" t="s">
        <v>33</v>
      </c>
      <c r="D7714" s="52" t="s">
        <v>33</v>
      </c>
      <c r="E7714" s="52" t="s">
        <v>605</v>
      </c>
      <c r="F7714" s="52" t="s">
        <v>581</v>
      </c>
      <c r="G7714" s="55" t="s">
        <v>275</v>
      </c>
      <c r="H7714" s="55">
        <v>21.842279999999999</v>
      </c>
      <c r="I7714" s="55">
        <v>7.1063280000000004</v>
      </c>
      <c r="J7714" s="55">
        <v>7.0477379999999998</v>
      </c>
      <c r="K7714" s="55">
        <v>6.2196400000000001</v>
      </c>
      <c r="L7714" s="55">
        <v>5.8765890000000001</v>
      </c>
      <c r="M7714" s="55">
        <v>5.3307650000000004</v>
      </c>
      <c r="N7714" s="55">
        <v>4.6704650000000001</v>
      </c>
    </row>
    <row r="7715" spans="1:14" hidden="1" x14ac:dyDescent="0.35">
      <c r="A7715" s="52" t="s">
        <v>736</v>
      </c>
      <c r="B7715" s="52" t="s">
        <v>34</v>
      </c>
      <c r="C7715" s="52" t="s">
        <v>33</v>
      </c>
      <c r="D7715" s="52" t="s">
        <v>33</v>
      </c>
      <c r="E7715" s="52" t="s">
        <v>605</v>
      </c>
      <c r="F7715" s="52" t="s">
        <v>581</v>
      </c>
      <c r="G7715" s="55" t="s">
        <v>276</v>
      </c>
      <c r="H7715" s="55">
        <v>7.875108</v>
      </c>
      <c r="I7715" s="55">
        <v>2.368776</v>
      </c>
      <c r="J7715" s="55">
        <v>2.2256</v>
      </c>
      <c r="K7715" s="55">
        <v>1.8578140000000001</v>
      </c>
      <c r="L7715" s="55">
        <v>1.755347</v>
      </c>
      <c r="M7715" s="55">
        <v>1.5923069999999999</v>
      </c>
      <c r="N7715" s="55">
        <v>1.3950739999999999</v>
      </c>
    </row>
    <row r="7716" spans="1:14" hidden="1" x14ac:dyDescent="0.35">
      <c r="A7716" s="52" t="s">
        <v>736</v>
      </c>
      <c r="B7716" s="52" t="s">
        <v>34</v>
      </c>
      <c r="C7716" s="52" t="s">
        <v>33</v>
      </c>
      <c r="D7716" s="52" t="s">
        <v>33</v>
      </c>
      <c r="E7716" s="52" t="s">
        <v>605</v>
      </c>
      <c r="F7716" s="52" t="s">
        <v>581</v>
      </c>
      <c r="G7716" s="55" t="s">
        <v>279</v>
      </c>
      <c r="H7716" s="55">
        <v>9.5978300000000001</v>
      </c>
      <c r="I7716" s="55">
        <v>8.685022</v>
      </c>
      <c r="J7716" s="55">
        <v>7.9084659999999998</v>
      </c>
      <c r="K7716" s="55">
        <v>7.2558030000000002</v>
      </c>
      <c r="L7716" s="55">
        <v>6.7133510000000003</v>
      </c>
      <c r="M7716" s="55">
        <v>5.6642299999999999</v>
      </c>
      <c r="N7716" s="55">
        <v>4.9114880000000003</v>
      </c>
    </row>
    <row r="7717" spans="1:14" hidden="1" x14ac:dyDescent="0.35">
      <c r="A7717" s="52" t="s">
        <v>736</v>
      </c>
      <c r="B7717" s="52" t="s">
        <v>34</v>
      </c>
      <c r="C7717" s="52" t="s">
        <v>33</v>
      </c>
      <c r="D7717" s="52" t="s">
        <v>33</v>
      </c>
      <c r="E7717" s="52" t="s">
        <v>605</v>
      </c>
      <c r="F7717" s="52" t="s">
        <v>26</v>
      </c>
      <c r="G7717" s="55" t="s">
        <v>275</v>
      </c>
      <c r="H7717" s="55">
        <v>-51.698860000000003</v>
      </c>
      <c r="I7717" s="55">
        <v>-20.57863</v>
      </c>
      <c r="J7717" s="55">
        <v>34.013269999999999</v>
      </c>
      <c r="K7717" s="55">
        <v>22.951219999999999</v>
      </c>
      <c r="L7717" s="55">
        <v>17.476900000000001</v>
      </c>
      <c r="M7717" s="55">
        <v>20.675909999999998</v>
      </c>
      <c r="N7717" s="55">
        <v>17.025130000000001</v>
      </c>
    </row>
    <row r="7718" spans="1:14" hidden="1" x14ac:dyDescent="0.35">
      <c r="A7718" s="52" t="s">
        <v>736</v>
      </c>
      <c r="B7718" s="52" t="s">
        <v>34</v>
      </c>
      <c r="C7718" s="52" t="s">
        <v>33</v>
      </c>
      <c r="D7718" s="52" t="s">
        <v>33</v>
      </c>
      <c r="E7718" s="52" t="s">
        <v>605</v>
      </c>
      <c r="F7718" s="52" t="s">
        <v>26</v>
      </c>
      <c r="G7718" s="55" t="s">
        <v>276</v>
      </c>
      <c r="H7718" s="55">
        <v>-25.61506</v>
      </c>
      <c r="I7718" s="55">
        <v>-23.241530000000001</v>
      </c>
      <c r="J7718" s="55">
        <v>-12.0428</v>
      </c>
      <c r="K7718" s="55">
        <v>-6.6504700000000003</v>
      </c>
      <c r="L7718" s="55">
        <v>-1.224734</v>
      </c>
      <c r="M7718" s="55">
        <v>3.5902379999999998</v>
      </c>
      <c r="N7718" s="55">
        <v>3.5591460000000001</v>
      </c>
    </row>
    <row r="7719" spans="1:14" hidden="1" x14ac:dyDescent="0.35">
      <c r="A7719" s="52" t="s">
        <v>736</v>
      </c>
      <c r="B7719" s="52" t="s">
        <v>34</v>
      </c>
      <c r="C7719" s="52" t="s">
        <v>33</v>
      </c>
      <c r="D7719" s="52" t="s">
        <v>33</v>
      </c>
      <c r="E7719" s="52" t="s">
        <v>605</v>
      </c>
      <c r="F7719" s="52" t="s">
        <v>26</v>
      </c>
      <c r="G7719" s="55" t="s">
        <v>277</v>
      </c>
      <c r="H7719" s="55">
        <v>100.8342</v>
      </c>
      <c r="I7719" s="55">
        <v>72.111230000000006</v>
      </c>
      <c r="J7719" s="55">
        <v>5.8662089999999996</v>
      </c>
      <c r="K7719" s="55">
        <v>4.2734699999999997</v>
      </c>
      <c r="L7719" s="55">
        <v>2.9014190000000002</v>
      </c>
      <c r="M7719" s="55">
        <v>0</v>
      </c>
      <c r="N7719" s="55">
        <v>0</v>
      </c>
    </row>
    <row r="7720" spans="1:14" hidden="1" x14ac:dyDescent="0.35">
      <c r="A7720" s="52" t="s">
        <v>736</v>
      </c>
      <c r="B7720" s="52" t="s">
        <v>34</v>
      </c>
      <c r="C7720" s="52" t="s">
        <v>33</v>
      </c>
      <c r="D7720" s="52" t="s">
        <v>33</v>
      </c>
      <c r="E7720" s="52" t="s">
        <v>605</v>
      </c>
      <c r="F7720" s="52" t="s">
        <v>26</v>
      </c>
      <c r="G7720" s="55" t="s">
        <v>278</v>
      </c>
      <c r="H7720" s="55">
        <v>16.045770000000001</v>
      </c>
      <c r="I7720" s="55">
        <v>13.53173</v>
      </c>
      <c r="J7720" s="55">
        <v>8.3205919999999995</v>
      </c>
      <c r="K7720" s="55">
        <v>7.6753460000000002</v>
      </c>
      <c r="L7720" s="55">
        <v>5.5886500000000003</v>
      </c>
      <c r="M7720" s="55">
        <v>0</v>
      </c>
      <c r="N7720" s="55">
        <v>0</v>
      </c>
    </row>
    <row r="7721" spans="1:14" hidden="1" x14ac:dyDescent="0.35">
      <c r="A7721" s="52" t="s">
        <v>736</v>
      </c>
      <c r="B7721" s="52" t="s">
        <v>34</v>
      </c>
      <c r="C7721" s="52" t="s">
        <v>33</v>
      </c>
      <c r="D7721" s="52" t="s">
        <v>33</v>
      </c>
      <c r="E7721" s="52" t="s">
        <v>605</v>
      </c>
      <c r="F7721" s="52" t="s">
        <v>26</v>
      </c>
      <c r="G7721" s="55" t="s">
        <v>279</v>
      </c>
      <c r="H7721" s="55">
        <v>98.643420000000006</v>
      </c>
      <c r="I7721" s="55">
        <v>99.281329999999997</v>
      </c>
      <c r="J7721" s="55">
        <v>93.536159999999995</v>
      </c>
      <c r="K7721" s="55">
        <v>86.618849999999995</v>
      </c>
      <c r="L7721" s="55">
        <v>81.768330000000006</v>
      </c>
      <c r="M7721" s="55">
        <v>68.463059999999999</v>
      </c>
      <c r="N7721" s="55">
        <v>59.655819999999999</v>
      </c>
    </row>
    <row r="7722" spans="1:14" hidden="1" x14ac:dyDescent="0.35">
      <c r="A7722" s="52" t="s">
        <v>736</v>
      </c>
      <c r="B7722" s="52" t="s">
        <v>34</v>
      </c>
      <c r="C7722" s="52" t="s">
        <v>33</v>
      </c>
      <c r="D7722" s="52" t="s">
        <v>33</v>
      </c>
      <c r="E7722" s="52" t="s">
        <v>604</v>
      </c>
      <c r="F7722" s="52" t="s">
        <v>581</v>
      </c>
      <c r="G7722" s="55" t="s">
        <v>275</v>
      </c>
      <c r="H7722" s="55">
        <v>25.312390000000001</v>
      </c>
      <c r="I7722" s="55">
        <v>19.947929999999999</v>
      </c>
      <c r="J7722" s="55">
        <v>29.98133</v>
      </c>
      <c r="K7722" s="55">
        <v>24.613479999999999</v>
      </c>
      <c r="L7722" s="55">
        <v>18.313639999999999</v>
      </c>
      <c r="M7722" s="55">
        <v>15.35345</v>
      </c>
      <c r="N7722" s="55">
        <v>12.8072</v>
      </c>
    </row>
    <row r="7723" spans="1:14" hidden="1" x14ac:dyDescent="0.35">
      <c r="A7723" s="52" t="s">
        <v>736</v>
      </c>
      <c r="B7723" s="52" t="s">
        <v>34</v>
      </c>
      <c r="C7723" s="52" t="s">
        <v>33</v>
      </c>
      <c r="D7723" s="52" t="s">
        <v>33</v>
      </c>
      <c r="E7723" s="52" t="s">
        <v>604</v>
      </c>
      <c r="F7723" s="52" t="s">
        <v>581</v>
      </c>
      <c r="G7723" s="55" t="s">
        <v>276</v>
      </c>
      <c r="H7723" s="55">
        <v>10.05274</v>
      </c>
      <c r="I7723" s="55">
        <v>-8.870457</v>
      </c>
      <c r="J7723" s="55">
        <v>-4.1470099999999999</v>
      </c>
      <c r="K7723" s="55">
        <v>0.28129969999999999</v>
      </c>
      <c r="L7723" s="55">
        <v>3.6911900000000002</v>
      </c>
      <c r="M7723" s="55">
        <v>4.6177359999999998</v>
      </c>
      <c r="N7723" s="55">
        <v>4.5649439999999997</v>
      </c>
    </row>
    <row r="7724" spans="1:14" hidden="1" x14ac:dyDescent="0.35">
      <c r="A7724" s="52" t="s">
        <v>736</v>
      </c>
      <c r="B7724" s="52" t="s">
        <v>34</v>
      </c>
      <c r="C7724" s="52" t="s">
        <v>33</v>
      </c>
      <c r="D7724" s="52" t="s">
        <v>33</v>
      </c>
      <c r="E7724" s="52" t="s">
        <v>604</v>
      </c>
      <c r="F7724" s="52" t="s">
        <v>581</v>
      </c>
      <c r="G7724" s="55" t="s">
        <v>277</v>
      </c>
      <c r="H7724" s="55">
        <v>63.962569999999999</v>
      </c>
      <c r="I7724" s="55">
        <v>25.833549999999999</v>
      </c>
      <c r="J7724" s="55">
        <v>5.9712110000000003</v>
      </c>
      <c r="K7724" s="55">
        <v>2.995215</v>
      </c>
      <c r="L7724" s="55">
        <v>4.1788610000000004</v>
      </c>
      <c r="M7724" s="55">
        <v>4.5685859999999998</v>
      </c>
      <c r="N7724" s="55">
        <v>8.3958589999999997</v>
      </c>
    </row>
    <row r="7725" spans="1:14" hidden="1" x14ac:dyDescent="0.35">
      <c r="A7725" s="52" t="s">
        <v>736</v>
      </c>
      <c r="B7725" s="52" t="s">
        <v>34</v>
      </c>
      <c r="C7725" s="52" t="s">
        <v>33</v>
      </c>
      <c r="D7725" s="52" t="s">
        <v>33</v>
      </c>
      <c r="E7725" s="52" t="s">
        <v>604</v>
      </c>
      <c r="F7725" s="52" t="s">
        <v>581</v>
      </c>
      <c r="G7725" s="55" t="s">
        <v>278</v>
      </c>
      <c r="H7725" s="55">
        <v>12.347429999999999</v>
      </c>
      <c r="I7725" s="55">
        <v>4.5744090000000002</v>
      </c>
      <c r="J7725" s="55">
        <v>6.2833930000000002</v>
      </c>
      <c r="K7725" s="55">
        <v>5.0999879999999997</v>
      </c>
      <c r="L7725" s="55">
        <v>4.7988249999999999</v>
      </c>
      <c r="M7725" s="55">
        <v>5.348471</v>
      </c>
      <c r="N7725" s="55">
        <v>3.9013779999999998</v>
      </c>
    </row>
    <row r="7726" spans="1:14" hidden="1" x14ac:dyDescent="0.35">
      <c r="A7726" s="52" t="s">
        <v>736</v>
      </c>
      <c r="B7726" s="52" t="s">
        <v>34</v>
      </c>
      <c r="C7726" s="52" t="s">
        <v>33</v>
      </c>
      <c r="D7726" s="52" t="s">
        <v>33</v>
      </c>
      <c r="E7726" s="52" t="s">
        <v>604</v>
      </c>
      <c r="F7726" s="52" t="s">
        <v>581</v>
      </c>
      <c r="G7726" s="55" t="s">
        <v>279</v>
      </c>
      <c r="H7726" s="55">
        <v>34.293379999999999</v>
      </c>
      <c r="I7726" s="55">
        <v>35.554920000000003</v>
      </c>
      <c r="J7726" s="55">
        <v>31.029330000000002</v>
      </c>
      <c r="K7726" s="55">
        <v>27.7103</v>
      </c>
      <c r="L7726" s="55">
        <v>24.515429999999999</v>
      </c>
      <c r="M7726" s="55">
        <v>22.777840000000001</v>
      </c>
      <c r="N7726" s="55">
        <v>22.297630000000002</v>
      </c>
    </row>
    <row r="7727" spans="1:14" hidden="1" x14ac:dyDescent="0.35">
      <c r="A7727" s="52" t="s">
        <v>736</v>
      </c>
      <c r="B7727" s="52" t="s">
        <v>34</v>
      </c>
      <c r="C7727" s="52" t="s">
        <v>33</v>
      </c>
      <c r="D7727" s="52" t="s">
        <v>33</v>
      </c>
      <c r="E7727" s="52" t="s">
        <v>604</v>
      </c>
      <c r="F7727" s="52" t="s">
        <v>26</v>
      </c>
      <c r="G7727" s="55" t="s">
        <v>275</v>
      </c>
      <c r="H7727" s="55">
        <v>4.902749</v>
      </c>
      <c r="I7727" s="55">
        <v>6.1444960000000002</v>
      </c>
      <c r="J7727" s="55">
        <v>5.6579199999999998</v>
      </c>
      <c r="K7727" s="55">
        <v>4.4388629999999996</v>
      </c>
      <c r="L7727" s="55">
        <v>4.6380359999999996</v>
      </c>
      <c r="M7727" s="55">
        <v>4.5368190000000004</v>
      </c>
      <c r="N7727" s="55">
        <v>4.431959</v>
      </c>
    </row>
    <row r="7728" spans="1:14" hidden="1" x14ac:dyDescent="0.35">
      <c r="A7728" s="52" t="s">
        <v>736</v>
      </c>
      <c r="B7728" s="52" t="s">
        <v>34</v>
      </c>
      <c r="C7728" s="52" t="s">
        <v>33</v>
      </c>
      <c r="D7728" s="52" t="s">
        <v>33</v>
      </c>
      <c r="E7728" s="52" t="s">
        <v>604</v>
      </c>
      <c r="F7728" s="52" t="s">
        <v>26</v>
      </c>
      <c r="G7728" s="55" t="s">
        <v>276</v>
      </c>
      <c r="H7728" s="55">
        <v>1.7676609999999999</v>
      </c>
      <c r="I7728" s="55">
        <v>2.048165</v>
      </c>
      <c r="J7728" s="55">
        <v>1.7867090000000001</v>
      </c>
      <c r="K7728" s="55">
        <v>1.3258920000000001</v>
      </c>
      <c r="L7728" s="55">
        <v>1.3853880000000001</v>
      </c>
      <c r="M7728" s="55">
        <v>1.3551550000000001</v>
      </c>
      <c r="N7728" s="55">
        <v>1.3238319999999999</v>
      </c>
    </row>
    <row r="7729" spans="1:14" hidden="1" x14ac:dyDescent="0.35">
      <c r="A7729" s="52" t="s">
        <v>736</v>
      </c>
      <c r="B7729" s="52" t="s">
        <v>34</v>
      </c>
      <c r="C7729" s="52" t="s">
        <v>33</v>
      </c>
      <c r="D7729" s="52" t="s">
        <v>33</v>
      </c>
      <c r="E7729" s="52" t="s">
        <v>604</v>
      </c>
      <c r="F7729" s="52" t="s">
        <v>26</v>
      </c>
      <c r="G7729" s="55" t="s">
        <v>279</v>
      </c>
      <c r="H7729" s="55">
        <v>40.943730000000002</v>
      </c>
      <c r="I7729" s="55">
        <v>41.72025</v>
      </c>
      <c r="J7729" s="55">
        <v>36.355759999999997</v>
      </c>
      <c r="K7729" s="55">
        <v>32.419379999999997</v>
      </c>
      <c r="L7729" s="55">
        <v>28.574490000000001</v>
      </c>
      <c r="M7729" s="55">
        <v>26.67596</v>
      </c>
      <c r="N7729" s="55">
        <v>26.113399999999999</v>
      </c>
    </row>
    <row r="7730" spans="1:14" hidden="1" x14ac:dyDescent="0.35">
      <c r="A7730" s="52" t="s">
        <v>736</v>
      </c>
      <c r="B7730" s="52" t="s">
        <v>34</v>
      </c>
      <c r="C7730" s="52" t="s">
        <v>33</v>
      </c>
      <c r="D7730" s="52" t="s">
        <v>33</v>
      </c>
      <c r="E7730" s="52" t="s">
        <v>584</v>
      </c>
      <c r="F7730" s="52" t="s">
        <v>581</v>
      </c>
      <c r="G7730" s="55" t="s">
        <v>275</v>
      </c>
      <c r="H7730" s="55">
        <v>0.55039800000000005</v>
      </c>
      <c r="I7730" s="55">
        <v>0.4153944</v>
      </c>
      <c r="J7730" s="55">
        <v>0.1239802</v>
      </c>
      <c r="K7730" s="55">
        <v>0.12054330000000001</v>
      </c>
      <c r="L7730" s="55">
        <v>0.110517</v>
      </c>
      <c r="M7730" s="55">
        <v>0.1161515</v>
      </c>
      <c r="N7730" s="55">
        <v>0.1144855</v>
      </c>
    </row>
    <row r="7731" spans="1:14" hidden="1" x14ac:dyDescent="0.35">
      <c r="A7731" s="52" t="s">
        <v>736</v>
      </c>
      <c r="B7731" s="52" t="s">
        <v>34</v>
      </c>
      <c r="C7731" s="52" t="s">
        <v>33</v>
      </c>
      <c r="D7731" s="52" t="s">
        <v>33</v>
      </c>
      <c r="E7731" s="52" t="s">
        <v>584</v>
      </c>
      <c r="F7731" s="52" t="s">
        <v>581</v>
      </c>
      <c r="G7731" s="55" t="s">
        <v>276</v>
      </c>
      <c r="H7731" s="55">
        <v>-8.999103E-2</v>
      </c>
      <c r="I7731" s="55">
        <v>-0.2465347</v>
      </c>
      <c r="J7731" s="55">
        <v>3.9151999999999999E-2</v>
      </c>
      <c r="K7731" s="55">
        <v>3.6005299999999997E-2</v>
      </c>
      <c r="L7731" s="55">
        <v>3.3011699999999998E-2</v>
      </c>
      <c r="M7731" s="55">
        <v>3.4694999999999997E-2</v>
      </c>
      <c r="N7731" s="55">
        <v>3.4196499999999998E-2</v>
      </c>
    </row>
    <row r="7732" spans="1:14" hidden="1" x14ac:dyDescent="0.35">
      <c r="A7732" s="52" t="s">
        <v>736</v>
      </c>
      <c r="B7732" s="52" t="s">
        <v>34</v>
      </c>
      <c r="C7732" s="52" t="s">
        <v>33</v>
      </c>
      <c r="D7732" s="52" t="s">
        <v>33</v>
      </c>
      <c r="E7732" s="52" t="s">
        <v>584</v>
      </c>
      <c r="F7732" s="52" t="s">
        <v>581</v>
      </c>
      <c r="G7732" s="55" t="s">
        <v>279</v>
      </c>
      <c r="H7732" s="55">
        <v>9.5106010000000005E-2</v>
      </c>
      <c r="I7732" s="55">
        <v>8.9763999999999997E-2</v>
      </c>
      <c r="J7732" s="55">
        <v>8.5518999999999998E-2</v>
      </c>
      <c r="K7732" s="55">
        <v>8.9377289999999998E-2</v>
      </c>
      <c r="L7732" s="55">
        <v>9.2110800000000007E-2</v>
      </c>
      <c r="M7732" s="55">
        <v>7.9771499999999995E-2</v>
      </c>
      <c r="N7732" s="55">
        <v>7.7967999999999996E-2</v>
      </c>
    </row>
    <row r="7733" spans="1:14" hidden="1" x14ac:dyDescent="0.35">
      <c r="A7733" s="52" t="s">
        <v>736</v>
      </c>
      <c r="B7733" s="52" t="s">
        <v>34</v>
      </c>
      <c r="C7733" s="52" t="s">
        <v>33</v>
      </c>
      <c r="D7733" s="52" t="s">
        <v>33</v>
      </c>
      <c r="E7733" s="52" t="s">
        <v>584</v>
      </c>
      <c r="F7733" s="52" t="s">
        <v>26</v>
      </c>
      <c r="G7733" s="55" t="s">
        <v>275</v>
      </c>
      <c r="H7733" s="55">
        <v>1.786449</v>
      </c>
      <c r="I7733" s="55">
        <v>-1.8342750000000001</v>
      </c>
      <c r="J7733" s="55">
        <v>-2.1070799999999998</v>
      </c>
      <c r="K7733" s="55">
        <v>-2.4690159999999999</v>
      </c>
      <c r="L7733" s="55">
        <v>-2.7655370000000001</v>
      </c>
      <c r="M7733" s="55">
        <v>-3.1172800000000001</v>
      </c>
      <c r="N7733" s="55">
        <v>-3.1326670000000001</v>
      </c>
    </row>
    <row r="7734" spans="1:14" hidden="1" x14ac:dyDescent="0.35">
      <c r="A7734" s="52" t="s">
        <v>736</v>
      </c>
      <c r="B7734" s="52" t="s">
        <v>34</v>
      </c>
      <c r="C7734" s="52" t="s">
        <v>33</v>
      </c>
      <c r="D7734" s="52" t="s">
        <v>33</v>
      </c>
      <c r="E7734" s="52" t="s">
        <v>584</v>
      </c>
      <c r="F7734" s="52" t="s">
        <v>26</v>
      </c>
      <c r="G7734" s="55" t="s">
        <v>276</v>
      </c>
      <c r="H7734" s="55">
        <v>-1.6633880000000001</v>
      </c>
      <c r="I7734" s="55">
        <v>-0.60539359999999998</v>
      </c>
      <c r="J7734" s="55">
        <v>-0.27461350000000001</v>
      </c>
      <c r="K7734" s="55">
        <v>-0.46474399999999999</v>
      </c>
      <c r="L7734" s="55">
        <v>-0.69283850000000002</v>
      </c>
      <c r="M7734" s="55">
        <v>-0.69606210000000002</v>
      </c>
      <c r="N7734" s="55">
        <v>-0.78545960000000004</v>
      </c>
    </row>
    <row r="7735" spans="1:14" hidden="1" x14ac:dyDescent="0.35">
      <c r="A7735" s="52" t="s">
        <v>736</v>
      </c>
      <c r="B7735" s="52" t="s">
        <v>34</v>
      </c>
      <c r="C7735" s="52" t="s">
        <v>33</v>
      </c>
      <c r="D7735" s="52" t="s">
        <v>33</v>
      </c>
      <c r="E7735" s="52" t="s">
        <v>584</v>
      </c>
      <c r="F7735" s="52" t="s">
        <v>26</v>
      </c>
      <c r="G7735" s="55" t="s">
        <v>277</v>
      </c>
      <c r="H7735" s="55">
        <v>0</v>
      </c>
      <c r="I7735" s="55">
        <v>2.6174569999999999</v>
      </c>
      <c r="J7735" s="55">
        <v>2.5224530000000001</v>
      </c>
      <c r="K7735" s="55">
        <v>2.9308179999999999</v>
      </c>
      <c r="L7735" s="55">
        <v>3.284951</v>
      </c>
      <c r="M7735" s="55">
        <v>3.9620510000000002</v>
      </c>
      <c r="N7735" s="55">
        <v>4.0633869999999996</v>
      </c>
    </row>
    <row r="7736" spans="1:14" hidden="1" x14ac:dyDescent="0.35">
      <c r="A7736" s="52" t="s">
        <v>736</v>
      </c>
      <c r="B7736" s="52" t="s">
        <v>34</v>
      </c>
      <c r="C7736" s="52" t="s">
        <v>33</v>
      </c>
      <c r="D7736" s="52" t="s">
        <v>33</v>
      </c>
      <c r="E7736" s="52" t="s">
        <v>584</v>
      </c>
      <c r="F7736" s="52" t="s">
        <v>26</v>
      </c>
      <c r="G7736" s="55" t="s">
        <v>279</v>
      </c>
      <c r="H7736" s="55">
        <v>2.4967280000000001</v>
      </c>
      <c r="I7736" s="55">
        <v>2.499425</v>
      </c>
      <c r="J7736" s="55">
        <v>2.5089130000000002</v>
      </c>
      <c r="K7736" s="55">
        <v>2.714089</v>
      </c>
      <c r="L7736" s="55">
        <v>2.9449860000000001</v>
      </c>
      <c r="M7736" s="55">
        <v>2.6803360000000001</v>
      </c>
      <c r="N7736" s="55">
        <v>2.7418559999999998</v>
      </c>
    </row>
    <row r="7737" spans="1:14" hidden="1" x14ac:dyDescent="0.35">
      <c r="A7737" s="52" t="s">
        <v>764</v>
      </c>
      <c r="B7737" s="52" t="s">
        <v>37</v>
      </c>
      <c r="C7737" s="52" t="s">
        <v>79</v>
      </c>
      <c r="D7737" s="52" t="s">
        <v>79</v>
      </c>
      <c r="E7737" s="52" t="s">
        <v>617</v>
      </c>
      <c r="F7737" s="52" t="s">
        <v>581</v>
      </c>
      <c r="G7737" s="55" t="s">
        <v>275</v>
      </c>
      <c r="H7737" s="55">
        <v>2.627694</v>
      </c>
      <c r="I7737" s="55">
        <v>0.55111679999999996</v>
      </c>
      <c r="J7737" s="55">
        <v>0.55855739999999998</v>
      </c>
      <c r="K7737" s="55">
        <v>0.44739950000000001</v>
      </c>
      <c r="L7737" s="55">
        <v>0.61074260000000002</v>
      </c>
      <c r="M7737" s="55">
        <v>0.6245811</v>
      </c>
      <c r="N7737" s="55">
        <v>0.73624959999999995</v>
      </c>
    </row>
    <row r="7738" spans="1:14" hidden="1" x14ac:dyDescent="0.35">
      <c r="A7738" s="52" t="s">
        <v>764</v>
      </c>
      <c r="B7738" s="52" t="s">
        <v>37</v>
      </c>
      <c r="C7738" s="52" t="s">
        <v>79</v>
      </c>
      <c r="D7738" s="52" t="s">
        <v>79</v>
      </c>
      <c r="E7738" s="52" t="s">
        <v>617</v>
      </c>
      <c r="F7738" s="52" t="s">
        <v>581</v>
      </c>
      <c r="G7738" s="55" t="s">
        <v>276</v>
      </c>
      <c r="H7738" s="55">
        <v>0.76174189999999997</v>
      </c>
      <c r="I7738" s="55">
        <v>0.15976270000000001</v>
      </c>
      <c r="J7738" s="55">
        <v>0.1619206</v>
      </c>
      <c r="K7738" s="55">
        <v>0.12969700000000001</v>
      </c>
      <c r="L7738" s="55">
        <v>0.17704810000000001</v>
      </c>
      <c r="M7738" s="55">
        <v>0.18105969999999999</v>
      </c>
      <c r="N7738" s="55">
        <v>0.21343129999999999</v>
      </c>
    </row>
    <row r="7739" spans="1:14" hidden="1" x14ac:dyDescent="0.35">
      <c r="A7739" s="52" t="s">
        <v>764</v>
      </c>
      <c r="B7739" s="52" t="s">
        <v>37</v>
      </c>
      <c r="C7739" s="52" t="s">
        <v>79</v>
      </c>
      <c r="D7739" s="52" t="s">
        <v>79</v>
      </c>
      <c r="E7739" s="52" t="s">
        <v>617</v>
      </c>
      <c r="F7739" s="52" t="s">
        <v>581</v>
      </c>
      <c r="G7739" s="55" t="s">
        <v>279</v>
      </c>
      <c r="H7739" s="55">
        <v>2.5528810000000002</v>
      </c>
      <c r="I7739" s="55">
        <v>1.5456460000000001</v>
      </c>
      <c r="J7739" s="55">
        <v>1.442726</v>
      </c>
      <c r="K7739" s="55">
        <v>1.2564569999999999</v>
      </c>
      <c r="L7739" s="55">
        <v>1.495476</v>
      </c>
      <c r="M7739" s="55">
        <v>1.86107</v>
      </c>
      <c r="N7739" s="55">
        <v>1.9234599999999999</v>
      </c>
    </row>
    <row r="7740" spans="1:14" hidden="1" x14ac:dyDescent="0.35">
      <c r="A7740" s="52" t="s">
        <v>764</v>
      </c>
      <c r="B7740" s="52" t="s">
        <v>37</v>
      </c>
      <c r="C7740" s="52" t="s">
        <v>79</v>
      </c>
      <c r="D7740" s="52" t="s">
        <v>79</v>
      </c>
      <c r="E7740" s="52" t="s">
        <v>617</v>
      </c>
      <c r="F7740" s="52" t="s">
        <v>26</v>
      </c>
      <c r="G7740" s="55" t="s">
        <v>275</v>
      </c>
      <c r="H7740" s="55">
        <v>-7.7644390000000003</v>
      </c>
      <c r="I7740" s="55">
        <v>50.31138</v>
      </c>
      <c r="J7740" s="55">
        <v>51.099739999999997</v>
      </c>
      <c r="K7740" s="55">
        <v>42.693539999999999</v>
      </c>
      <c r="L7740" s="55">
        <v>19.371040000000001</v>
      </c>
      <c r="M7740" s="55">
        <v>13.616149999999999</v>
      </c>
      <c r="N7740" s="55">
        <v>4.6382349999999999</v>
      </c>
    </row>
    <row r="7741" spans="1:14" hidden="1" x14ac:dyDescent="0.35">
      <c r="A7741" s="52" t="s">
        <v>764</v>
      </c>
      <c r="B7741" s="52" t="s">
        <v>37</v>
      </c>
      <c r="C7741" s="52" t="s">
        <v>79</v>
      </c>
      <c r="D7741" s="52" t="s">
        <v>79</v>
      </c>
      <c r="E7741" s="52" t="s">
        <v>617</v>
      </c>
      <c r="F7741" s="52" t="s">
        <v>26</v>
      </c>
      <c r="G7741" s="55" t="s">
        <v>276</v>
      </c>
      <c r="H7741" s="55">
        <v>-1.1951290000000001</v>
      </c>
      <c r="I7741" s="55">
        <v>-2.9741689999999998</v>
      </c>
      <c r="J7741" s="55">
        <v>-1.103264</v>
      </c>
      <c r="K7741" s="55">
        <v>-7.645759</v>
      </c>
      <c r="L7741" s="55">
        <v>3.6333679999999999</v>
      </c>
      <c r="M7741" s="55">
        <v>11.083360000000001</v>
      </c>
      <c r="N7741" s="55">
        <v>10.8934</v>
      </c>
    </row>
    <row r="7742" spans="1:14" hidden="1" x14ac:dyDescent="0.35">
      <c r="A7742" s="52" t="s">
        <v>764</v>
      </c>
      <c r="B7742" s="52" t="s">
        <v>37</v>
      </c>
      <c r="C7742" s="52" t="s">
        <v>79</v>
      </c>
      <c r="D7742" s="52" t="s">
        <v>79</v>
      </c>
      <c r="E7742" s="52" t="s">
        <v>617</v>
      </c>
      <c r="F7742" s="52" t="s">
        <v>26</v>
      </c>
      <c r="G7742" s="55" t="s">
        <v>277</v>
      </c>
      <c r="H7742" s="55">
        <v>85.291970000000006</v>
      </c>
      <c r="I7742" s="55">
        <v>10.751670000000001</v>
      </c>
      <c r="J7742" s="55">
        <v>14.290839999999999</v>
      </c>
      <c r="K7742" s="55">
        <v>27.68824</v>
      </c>
      <c r="L7742" s="55">
        <v>46.959490000000002</v>
      </c>
      <c r="M7742" s="55">
        <v>53.431629999999998</v>
      </c>
      <c r="N7742" s="55">
        <v>72.089659999999995</v>
      </c>
    </row>
    <row r="7743" spans="1:14" hidden="1" x14ac:dyDescent="0.35">
      <c r="A7743" s="52" t="s">
        <v>764</v>
      </c>
      <c r="B7743" s="52" t="s">
        <v>37</v>
      </c>
      <c r="C7743" s="52" t="s">
        <v>79</v>
      </c>
      <c r="D7743" s="52" t="s">
        <v>79</v>
      </c>
      <c r="E7743" s="52" t="s">
        <v>617</v>
      </c>
      <c r="F7743" s="52" t="s">
        <v>26</v>
      </c>
      <c r="G7743" s="55" t="s">
        <v>278</v>
      </c>
      <c r="H7743" s="55">
        <v>6.7080330000000004</v>
      </c>
      <c r="I7743" s="55">
        <v>0.66400590000000004</v>
      </c>
      <c r="J7743" s="55">
        <v>2.2530429999999999</v>
      </c>
      <c r="K7743" s="55">
        <v>3.1368619999999998</v>
      </c>
      <c r="L7743" s="55">
        <v>1.870987</v>
      </c>
      <c r="M7743" s="55">
        <v>0</v>
      </c>
      <c r="N7743" s="55"/>
    </row>
    <row r="7744" spans="1:14" hidden="1" x14ac:dyDescent="0.35">
      <c r="A7744" s="52" t="s">
        <v>764</v>
      </c>
      <c r="B7744" s="52" t="s">
        <v>37</v>
      </c>
      <c r="C7744" s="52" t="s">
        <v>79</v>
      </c>
      <c r="D7744" s="52" t="s">
        <v>79</v>
      </c>
      <c r="E7744" s="52" t="s">
        <v>617</v>
      </c>
      <c r="F7744" s="52" t="s">
        <v>26</v>
      </c>
      <c r="G7744" s="55" t="s">
        <v>279</v>
      </c>
      <c r="H7744" s="55">
        <v>64.347970000000004</v>
      </c>
      <c r="I7744" s="55">
        <v>47.899560000000001</v>
      </c>
      <c r="J7744" s="55">
        <v>48.958489999999998</v>
      </c>
      <c r="K7744" s="55">
        <v>51.352879999999999</v>
      </c>
      <c r="L7744" s="55">
        <v>57.286670000000001</v>
      </c>
      <c r="M7744" s="55">
        <v>72.369709999999998</v>
      </c>
      <c r="N7744" s="55">
        <v>82.759270000000001</v>
      </c>
    </row>
    <row r="7745" spans="1:14" hidden="1" x14ac:dyDescent="0.35">
      <c r="A7745" s="52" t="s">
        <v>764</v>
      </c>
      <c r="B7745" s="52" t="s">
        <v>37</v>
      </c>
      <c r="C7745" s="52" t="s">
        <v>79</v>
      </c>
      <c r="D7745" s="52" t="s">
        <v>79</v>
      </c>
      <c r="E7745" s="52" t="s">
        <v>614</v>
      </c>
      <c r="F7745" s="52" t="s">
        <v>581</v>
      </c>
      <c r="G7745" s="55" t="s">
        <v>275</v>
      </c>
      <c r="H7745" s="55">
        <v>-21.341950000000001</v>
      </c>
      <c r="I7745" s="55">
        <v>-9.5684480000000001</v>
      </c>
      <c r="J7745" s="55">
        <v>19.43871</v>
      </c>
      <c r="K7745" s="55">
        <v>24.67127</v>
      </c>
      <c r="L7745" s="55">
        <v>18.776289999999999</v>
      </c>
      <c r="M7745" s="55">
        <v>12.57222</v>
      </c>
      <c r="N7745" s="55">
        <v>7.2452449999999997</v>
      </c>
    </row>
    <row r="7746" spans="1:14" hidden="1" x14ac:dyDescent="0.35">
      <c r="A7746" s="52" t="s">
        <v>764</v>
      </c>
      <c r="B7746" s="52" t="s">
        <v>37</v>
      </c>
      <c r="C7746" s="52" t="s">
        <v>79</v>
      </c>
      <c r="D7746" s="52" t="s">
        <v>79</v>
      </c>
      <c r="E7746" s="52" t="s">
        <v>614</v>
      </c>
      <c r="F7746" s="52" t="s">
        <v>581</v>
      </c>
      <c r="G7746" s="55" t="s">
        <v>276</v>
      </c>
      <c r="H7746" s="55">
        <v>3.7260249999999999</v>
      </c>
      <c r="I7746" s="55">
        <v>0.79354630000000004</v>
      </c>
      <c r="J7746" s="55">
        <v>3.9399259999999998</v>
      </c>
      <c r="K7746" s="55">
        <v>0.49741489999999999</v>
      </c>
      <c r="L7746" s="55">
        <v>-1.0937809999999999</v>
      </c>
      <c r="M7746" s="55">
        <v>0.74957130000000005</v>
      </c>
      <c r="N7746" s="55">
        <v>3.1455669999999998</v>
      </c>
    </row>
    <row r="7747" spans="1:14" hidden="1" x14ac:dyDescent="0.35">
      <c r="A7747" s="52" t="s">
        <v>764</v>
      </c>
      <c r="B7747" s="52" t="s">
        <v>37</v>
      </c>
      <c r="C7747" s="52" t="s">
        <v>79</v>
      </c>
      <c r="D7747" s="52" t="s">
        <v>79</v>
      </c>
      <c r="E7747" s="52" t="s">
        <v>614</v>
      </c>
      <c r="F7747" s="52" t="s">
        <v>581</v>
      </c>
      <c r="G7747" s="55" t="s">
        <v>277</v>
      </c>
      <c r="H7747" s="55">
        <v>45.34104</v>
      </c>
      <c r="I7747" s="55">
        <v>26.153510000000001</v>
      </c>
      <c r="J7747" s="55">
        <v>10.886279999999999</v>
      </c>
      <c r="K7747" s="55">
        <v>3.9188010000000002</v>
      </c>
      <c r="L7747" s="55">
        <v>5.1458890000000004</v>
      </c>
      <c r="M7747" s="55">
        <v>5.3648239999999996</v>
      </c>
      <c r="N7747" s="55">
        <v>11.88289</v>
      </c>
    </row>
    <row r="7748" spans="1:14" hidden="1" x14ac:dyDescent="0.35">
      <c r="A7748" s="52" t="s">
        <v>764</v>
      </c>
      <c r="B7748" s="52" t="s">
        <v>37</v>
      </c>
      <c r="C7748" s="52" t="s">
        <v>79</v>
      </c>
      <c r="D7748" s="52" t="s">
        <v>79</v>
      </c>
      <c r="E7748" s="52" t="s">
        <v>614</v>
      </c>
      <c r="F7748" s="52" t="s">
        <v>581</v>
      </c>
      <c r="G7748" s="55" t="s">
        <v>278</v>
      </c>
      <c r="H7748" s="55">
        <v>9.6589550000000006</v>
      </c>
      <c r="I7748" s="55">
        <v>10.8528</v>
      </c>
      <c r="J7748" s="55">
        <v>5.6854849999999999</v>
      </c>
      <c r="K7748" s="55">
        <v>4.1423170000000002</v>
      </c>
      <c r="L7748" s="55">
        <v>3.8278910000000002</v>
      </c>
      <c r="M7748" s="55">
        <v>6.3049949999999999</v>
      </c>
      <c r="N7748" s="55">
        <v>5.91052</v>
      </c>
    </row>
    <row r="7749" spans="1:14" hidden="1" x14ac:dyDescent="0.35">
      <c r="A7749" s="52" t="s">
        <v>764</v>
      </c>
      <c r="B7749" s="52" t="s">
        <v>37</v>
      </c>
      <c r="C7749" s="52" t="s">
        <v>79</v>
      </c>
      <c r="D7749" s="52" t="s">
        <v>79</v>
      </c>
      <c r="E7749" s="52" t="s">
        <v>614</v>
      </c>
      <c r="F7749" s="52" t="s">
        <v>581</v>
      </c>
      <c r="G7749" s="55" t="s">
        <v>279</v>
      </c>
      <c r="H7749" s="55">
        <v>12.49971</v>
      </c>
      <c r="I7749" s="55">
        <v>16.646049999999999</v>
      </c>
      <c r="J7749" s="55">
        <v>22.00798</v>
      </c>
      <c r="K7749" s="55">
        <v>18.98377</v>
      </c>
      <c r="L7749" s="55">
        <v>14.005369999999999</v>
      </c>
      <c r="M7749" s="55">
        <v>16.05958</v>
      </c>
      <c r="N7749" s="55">
        <v>18.092880000000001</v>
      </c>
    </row>
    <row r="7750" spans="1:14" hidden="1" x14ac:dyDescent="0.35">
      <c r="A7750" s="52" t="s">
        <v>764</v>
      </c>
      <c r="B7750" s="52" t="s">
        <v>37</v>
      </c>
      <c r="C7750" s="52" t="s">
        <v>79</v>
      </c>
      <c r="D7750" s="52" t="s">
        <v>79</v>
      </c>
      <c r="E7750" s="52" t="s">
        <v>614</v>
      </c>
      <c r="F7750" s="52" t="s">
        <v>26</v>
      </c>
      <c r="G7750" s="55" t="s">
        <v>275</v>
      </c>
      <c r="H7750" s="55">
        <v>9.2896989999999999E-2</v>
      </c>
      <c r="I7750" s="55">
        <v>8.7314699999999995E-2</v>
      </c>
      <c r="J7750" s="55">
        <v>0.2049116</v>
      </c>
      <c r="K7750" s="55">
        <v>0.1368442</v>
      </c>
      <c r="L7750" s="55">
        <v>0.12879060000000001</v>
      </c>
      <c r="M7750" s="55">
        <v>4.9622600000000003E-2</v>
      </c>
      <c r="N7750" s="55">
        <v>5.5371099999999999E-2</v>
      </c>
    </row>
    <row r="7751" spans="1:14" hidden="1" x14ac:dyDescent="0.35">
      <c r="A7751" s="52" t="s">
        <v>764</v>
      </c>
      <c r="B7751" s="52" t="s">
        <v>37</v>
      </c>
      <c r="C7751" s="52" t="s">
        <v>79</v>
      </c>
      <c r="D7751" s="52" t="s">
        <v>79</v>
      </c>
      <c r="E7751" s="52" t="s">
        <v>614</v>
      </c>
      <c r="F7751" s="52" t="s">
        <v>26</v>
      </c>
      <c r="G7751" s="55" t="s">
        <v>276</v>
      </c>
      <c r="H7751" s="55">
        <v>2.6929999999999999E-2</v>
      </c>
      <c r="I7751" s="55">
        <v>2.5311500000000001E-2</v>
      </c>
      <c r="J7751" s="55">
        <v>5.9403400000000002E-2</v>
      </c>
      <c r="K7751" s="55">
        <v>3.9669900000000001E-2</v>
      </c>
      <c r="L7751" s="55">
        <v>3.7335E-2</v>
      </c>
      <c r="M7751" s="55">
        <v>1.43847E-2</v>
      </c>
      <c r="N7751" s="55">
        <v>1.60509E-2</v>
      </c>
    </row>
    <row r="7752" spans="1:14" hidden="1" x14ac:dyDescent="0.35">
      <c r="A7752" s="52" t="s">
        <v>764</v>
      </c>
      <c r="B7752" s="52" t="s">
        <v>37</v>
      </c>
      <c r="C7752" s="52" t="s">
        <v>79</v>
      </c>
      <c r="D7752" s="52" t="s">
        <v>79</v>
      </c>
      <c r="E7752" s="52" t="s">
        <v>614</v>
      </c>
      <c r="F7752" s="52" t="s">
        <v>26</v>
      </c>
      <c r="G7752" s="55" t="s">
        <v>279</v>
      </c>
      <c r="H7752" s="55">
        <v>0.80079</v>
      </c>
      <c r="I7752" s="55">
        <v>1.021595</v>
      </c>
      <c r="J7752" s="55">
        <v>1.33287</v>
      </c>
      <c r="K7752" s="55">
        <v>1.163143</v>
      </c>
      <c r="L7752" s="55">
        <v>0.87711380000000005</v>
      </c>
      <c r="M7752" s="55">
        <v>0.98497760000000001</v>
      </c>
      <c r="N7752" s="55">
        <v>1.1094550000000001</v>
      </c>
    </row>
    <row r="7753" spans="1:14" hidden="1" x14ac:dyDescent="0.35">
      <c r="A7753" s="52" t="s">
        <v>764</v>
      </c>
      <c r="B7753" s="52" t="s">
        <v>37</v>
      </c>
      <c r="C7753" s="52" t="s">
        <v>79</v>
      </c>
      <c r="D7753" s="52" t="s">
        <v>79</v>
      </c>
      <c r="E7753" s="52" t="s">
        <v>600</v>
      </c>
      <c r="F7753" s="52" t="s">
        <v>581</v>
      </c>
      <c r="G7753" s="55" t="s">
        <v>275</v>
      </c>
      <c r="H7753" s="55">
        <v>-37.961329999999997</v>
      </c>
      <c r="I7753" s="55">
        <v>11.846489999999999</v>
      </c>
      <c r="J7753" s="55">
        <v>5.9809749999999999</v>
      </c>
      <c r="K7753" s="55">
        <v>0.85546429999999996</v>
      </c>
      <c r="L7753" s="55">
        <v>7.4798689999999999</v>
      </c>
      <c r="M7753" s="55">
        <v>11.51187</v>
      </c>
      <c r="N7753" s="55">
        <v>10.14681</v>
      </c>
    </row>
    <row r="7754" spans="1:14" hidden="1" x14ac:dyDescent="0.35">
      <c r="A7754" s="52" t="s">
        <v>764</v>
      </c>
      <c r="B7754" s="52" t="s">
        <v>37</v>
      </c>
      <c r="C7754" s="52" t="s">
        <v>79</v>
      </c>
      <c r="D7754" s="52" t="s">
        <v>79</v>
      </c>
      <c r="E7754" s="52" t="s">
        <v>600</v>
      </c>
      <c r="F7754" s="52" t="s">
        <v>581</v>
      </c>
      <c r="G7754" s="55" t="s">
        <v>276</v>
      </c>
      <c r="H7754" s="55">
        <v>2.1062270000000001</v>
      </c>
      <c r="I7754" s="55">
        <v>-2.6350250000000002</v>
      </c>
      <c r="J7754" s="55">
        <v>-6.3726419999999999</v>
      </c>
      <c r="K7754" s="55">
        <v>-4.4665990000000004</v>
      </c>
      <c r="L7754" s="55">
        <v>-5.5945530000000003</v>
      </c>
      <c r="M7754" s="55">
        <v>0.47736459999999997</v>
      </c>
      <c r="N7754" s="55">
        <v>-0.1196807</v>
      </c>
    </row>
    <row r="7755" spans="1:14" hidden="1" x14ac:dyDescent="0.35">
      <c r="A7755" s="52" t="s">
        <v>764</v>
      </c>
      <c r="B7755" s="52" t="s">
        <v>37</v>
      </c>
      <c r="C7755" s="52" t="s">
        <v>79</v>
      </c>
      <c r="D7755" s="52" t="s">
        <v>79</v>
      </c>
      <c r="E7755" s="52" t="s">
        <v>600</v>
      </c>
      <c r="F7755" s="52" t="s">
        <v>581</v>
      </c>
      <c r="G7755" s="55" t="s">
        <v>277</v>
      </c>
      <c r="H7755" s="55">
        <v>75.135999999999996</v>
      </c>
      <c r="I7755" s="55">
        <v>8.1092379999999995</v>
      </c>
      <c r="J7755" s="55">
        <v>16.263580000000001</v>
      </c>
      <c r="K7755" s="55">
        <v>19.343060000000001</v>
      </c>
      <c r="L7755" s="55">
        <v>14.62923</v>
      </c>
      <c r="M7755" s="55">
        <v>0</v>
      </c>
      <c r="N7755" s="55">
        <v>0</v>
      </c>
    </row>
    <row r="7756" spans="1:14" hidden="1" x14ac:dyDescent="0.35">
      <c r="A7756" s="52" t="s">
        <v>764</v>
      </c>
      <c r="B7756" s="52" t="s">
        <v>37</v>
      </c>
      <c r="C7756" s="52" t="s">
        <v>79</v>
      </c>
      <c r="D7756" s="52" t="s">
        <v>79</v>
      </c>
      <c r="E7756" s="52" t="s">
        <v>600</v>
      </c>
      <c r="F7756" s="52" t="s">
        <v>581</v>
      </c>
      <c r="G7756" s="55" t="s">
        <v>278</v>
      </c>
      <c r="H7756" s="55">
        <v>4.0840019999999999</v>
      </c>
      <c r="I7756" s="55">
        <v>0.12312099999999999</v>
      </c>
      <c r="J7756" s="55">
        <v>0.10944</v>
      </c>
      <c r="K7756" s="55">
        <v>0</v>
      </c>
      <c r="L7756" s="55"/>
      <c r="M7756" s="55"/>
      <c r="N7756" s="55"/>
    </row>
    <row r="7757" spans="1:14" hidden="1" x14ac:dyDescent="0.35">
      <c r="A7757" s="52" t="s">
        <v>764</v>
      </c>
      <c r="B7757" s="52" t="s">
        <v>37</v>
      </c>
      <c r="C7757" s="52" t="s">
        <v>79</v>
      </c>
      <c r="D7757" s="52" t="s">
        <v>79</v>
      </c>
      <c r="E7757" s="52" t="s">
        <v>600</v>
      </c>
      <c r="F7757" s="52" t="s">
        <v>581</v>
      </c>
      <c r="G7757" s="55" t="s">
        <v>279</v>
      </c>
      <c r="H7757" s="55">
        <v>12.82939</v>
      </c>
      <c r="I7757" s="55">
        <v>8.0568550000000005</v>
      </c>
      <c r="J7757" s="55">
        <v>7.2269119999999996</v>
      </c>
      <c r="K7757" s="55">
        <v>7.6275740000000001</v>
      </c>
      <c r="L7757" s="55">
        <v>7.6950919999999998</v>
      </c>
      <c r="M7757" s="55">
        <v>6.402901</v>
      </c>
      <c r="N7757" s="55">
        <v>5.6075119999999998</v>
      </c>
    </row>
    <row r="7758" spans="1:14" hidden="1" x14ac:dyDescent="0.35">
      <c r="A7758" s="52" t="s">
        <v>764</v>
      </c>
      <c r="B7758" s="52" t="s">
        <v>37</v>
      </c>
      <c r="C7758" s="52" t="s">
        <v>79</v>
      </c>
      <c r="D7758" s="52" t="s">
        <v>79</v>
      </c>
      <c r="E7758" s="52" t="s">
        <v>600</v>
      </c>
      <c r="F7758" s="52" t="s">
        <v>26</v>
      </c>
      <c r="G7758" s="55" t="s">
        <v>275</v>
      </c>
      <c r="H7758" s="55">
        <v>8.3296729999999997</v>
      </c>
      <c r="I7758" s="55">
        <v>6.0695860000000001</v>
      </c>
      <c r="J7758" s="55">
        <v>6.4918680000000002</v>
      </c>
      <c r="K7758" s="55">
        <v>5.935765</v>
      </c>
      <c r="L7758" s="55">
        <v>6.0210359999999996</v>
      </c>
      <c r="M7758" s="55">
        <v>4.2736159999999996</v>
      </c>
      <c r="N7758" s="55">
        <v>3.4028109999999998</v>
      </c>
    </row>
    <row r="7759" spans="1:14" hidden="1" x14ac:dyDescent="0.35">
      <c r="A7759" s="52" t="s">
        <v>764</v>
      </c>
      <c r="B7759" s="52" t="s">
        <v>37</v>
      </c>
      <c r="C7759" s="52" t="s">
        <v>79</v>
      </c>
      <c r="D7759" s="52" t="s">
        <v>79</v>
      </c>
      <c r="E7759" s="52" t="s">
        <v>600</v>
      </c>
      <c r="F7759" s="52" t="s">
        <v>26</v>
      </c>
      <c r="G7759" s="55" t="s">
        <v>276</v>
      </c>
      <c r="H7759" s="55">
        <v>2.4146869999999998</v>
      </c>
      <c r="I7759" s="55">
        <v>1.7595130000000001</v>
      </c>
      <c r="J7759" s="55">
        <v>1.881926</v>
      </c>
      <c r="K7759" s="55">
        <v>1.7207190000000001</v>
      </c>
      <c r="L7759" s="55">
        <v>1.7454369999999999</v>
      </c>
      <c r="M7759" s="55">
        <v>1.238877</v>
      </c>
      <c r="N7759" s="55">
        <v>0.98643899999999995</v>
      </c>
    </row>
    <row r="7760" spans="1:14" hidden="1" x14ac:dyDescent="0.35">
      <c r="A7760" s="52" t="s">
        <v>764</v>
      </c>
      <c r="B7760" s="52" t="s">
        <v>37</v>
      </c>
      <c r="C7760" s="52" t="s">
        <v>79</v>
      </c>
      <c r="D7760" s="52" t="s">
        <v>79</v>
      </c>
      <c r="E7760" s="52" t="s">
        <v>600</v>
      </c>
      <c r="F7760" s="52" t="s">
        <v>26</v>
      </c>
      <c r="G7760" s="55" t="s">
        <v>279</v>
      </c>
      <c r="H7760" s="55">
        <v>11.29754</v>
      </c>
      <c r="I7760" s="55">
        <v>8.8518000000000008</v>
      </c>
      <c r="J7760" s="55">
        <v>8.5404660000000003</v>
      </c>
      <c r="K7760" s="55">
        <v>8.8558439999999994</v>
      </c>
      <c r="L7760" s="55">
        <v>9.0738219999999998</v>
      </c>
      <c r="M7760" s="55">
        <v>7.3753979999999997</v>
      </c>
      <c r="N7760" s="55">
        <v>6.219233</v>
      </c>
    </row>
    <row r="7761" spans="1:14" hidden="1" x14ac:dyDescent="0.35">
      <c r="A7761" s="52" t="s">
        <v>764</v>
      </c>
      <c r="B7761" s="52" t="s">
        <v>37</v>
      </c>
      <c r="C7761" s="52" t="s">
        <v>79</v>
      </c>
      <c r="D7761" s="52" t="s">
        <v>79</v>
      </c>
      <c r="E7761" s="52" t="s">
        <v>615</v>
      </c>
      <c r="F7761" s="52" t="s">
        <v>581</v>
      </c>
      <c r="G7761" s="55" t="s">
        <v>275</v>
      </c>
      <c r="H7761" s="55">
        <v>-7.9892839999999996</v>
      </c>
      <c r="I7761" s="55">
        <v>-2.1284800000000001</v>
      </c>
      <c r="J7761" s="55">
        <v>-0.71926639999999997</v>
      </c>
      <c r="K7761" s="55">
        <v>-1.91944</v>
      </c>
      <c r="L7761" s="55">
        <v>-1.310627</v>
      </c>
      <c r="M7761" s="55">
        <v>-1.2489889999999999</v>
      </c>
      <c r="N7761" s="55">
        <v>-0.80625179999999996</v>
      </c>
    </row>
    <row r="7762" spans="1:14" hidden="1" x14ac:dyDescent="0.35">
      <c r="A7762" s="52" t="s">
        <v>764</v>
      </c>
      <c r="B7762" s="52" t="s">
        <v>37</v>
      </c>
      <c r="C7762" s="52" t="s">
        <v>79</v>
      </c>
      <c r="D7762" s="52" t="s">
        <v>79</v>
      </c>
      <c r="E7762" s="52" t="s">
        <v>615</v>
      </c>
      <c r="F7762" s="52" t="s">
        <v>581</v>
      </c>
      <c r="G7762" s="55" t="s">
        <v>276</v>
      </c>
      <c r="H7762" s="55">
        <v>3.107E-3</v>
      </c>
      <c r="I7762" s="55">
        <v>-0.1358761</v>
      </c>
      <c r="J7762" s="55">
        <v>-9.660009E-2</v>
      </c>
      <c r="K7762" s="55">
        <v>-7.4291490000000002E-2</v>
      </c>
      <c r="L7762" s="55">
        <v>-0.59936330000000004</v>
      </c>
      <c r="M7762" s="55">
        <v>-4.6458869999999999E-2</v>
      </c>
      <c r="N7762" s="55">
        <v>0.1591564</v>
      </c>
    </row>
    <row r="7763" spans="1:14" hidden="1" x14ac:dyDescent="0.35">
      <c r="A7763" s="52" t="s">
        <v>764</v>
      </c>
      <c r="B7763" s="52" t="s">
        <v>37</v>
      </c>
      <c r="C7763" s="52" t="s">
        <v>79</v>
      </c>
      <c r="D7763" s="52" t="s">
        <v>79</v>
      </c>
      <c r="E7763" s="52" t="s">
        <v>615</v>
      </c>
      <c r="F7763" s="52" t="s">
        <v>581</v>
      </c>
      <c r="G7763" s="55" t="s">
        <v>277</v>
      </c>
      <c r="H7763" s="55">
        <v>2.9619330000000001</v>
      </c>
      <c r="I7763" s="55">
        <v>2.9803000000000002</v>
      </c>
      <c r="J7763" s="55">
        <v>1.223185</v>
      </c>
      <c r="K7763" s="55">
        <v>1.495771</v>
      </c>
      <c r="L7763" s="55">
        <v>1.571434</v>
      </c>
      <c r="M7763" s="55">
        <v>2.4444460000000001</v>
      </c>
      <c r="N7763" s="55">
        <v>3.7242630000000001</v>
      </c>
    </row>
    <row r="7764" spans="1:14" hidden="1" x14ac:dyDescent="0.35">
      <c r="A7764" s="52" t="s">
        <v>764</v>
      </c>
      <c r="B7764" s="52" t="s">
        <v>37</v>
      </c>
      <c r="C7764" s="52" t="s">
        <v>79</v>
      </c>
      <c r="D7764" s="52" t="s">
        <v>79</v>
      </c>
      <c r="E7764" s="52" t="s">
        <v>615</v>
      </c>
      <c r="F7764" s="52" t="s">
        <v>581</v>
      </c>
      <c r="G7764" s="55" t="s">
        <v>278</v>
      </c>
      <c r="H7764" s="55">
        <v>7.038068</v>
      </c>
      <c r="I7764" s="55">
        <v>1.0944</v>
      </c>
      <c r="J7764" s="55">
        <v>1.674304</v>
      </c>
      <c r="K7764" s="55">
        <v>3.0946389999999999</v>
      </c>
      <c r="L7764" s="55">
        <v>4.5056440000000002</v>
      </c>
      <c r="M7764" s="55">
        <v>3.3234629999999998</v>
      </c>
      <c r="N7764" s="55">
        <v>2.1668259999999999</v>
      </c>
    </row>
    <row r="7765" spans="1:14" hidden="1" x14ac:dyDescent="0.35">
      <c r="A7765" s="52" t="s">
        <v>764</v>
      </c>
      <c r="B7765" s="52" t="s">
        <v>37</v>
      </c>
      <c r="C7765" s="52" t="s">
        <v>79</v>
      </c>
      <c r="D7765" s="52" t="s">
        <v>79</v>
      </c>
      <c r="E7765" s="52" t="s">
        <v>615</v>
      </c>
      <c r="F7765" s="52" t="s">
        <v>581</v>
      </c>
      <c r="G7765" s="55" t="s">
        <v>279</v>
      </c>
      <c r="H7765" s="55">
        <v>1.0726260000000001</v>
      </c>
      <c r="I7765" s="55">
        <v>1.586249</v>
      </c>
      <c r="J7765" s="55">
        <v>1.6803950000000001</v>
      </c>
      <c r="K7765" s="55">
        <v>2.1860569999999999</v>
      </c>
      <c r="L7765" s="55">
        <v>2.9330500000000002</v>
      </c>
      <c r="M7765" s="55">
        <v>3.871785</v>
      </c>
      <c r="N7765" s="55">
        <v>4.3057299999999996</v>
      </c>
    </row>
    <row r="7766" spans="1:14" hidden="1" x14ac:dyDescent="0.35">
      <c r="A7766" s="52" t="s">
        <v>764</v>
      </c>
      <c r="B7766" s="52" t="s">
        <v>37</v>
      </c>
      <c r="C7766" s="52" t="s">
        <v>79</v>
      </c>
      <c r="D7766" s="52" t="s">
        <v>79</v>
      </c>
      <c r="E7766" s="52" t="s">
        <v>615</v>
      </c>
      <c r="F7766" s="52" t="s">
        <v>26</v>
      </c>
      <c r="G7766" s="55" t="s">
        <v>275</v>
      </c>
      <c r="H7766" s="55">
        <v>8.2244990000000004E-2</v>
      </c>
      <c r="I7766" s="55">
        <v>4.7058599999999999E-2</v>
      </c>
      <c r="J7766" s="55">
        <v>8.5849110000000006E-2</v>
      </c>
      <c r="K7766" s="55">
        <v>8.8427290000000006E-2</v>
      </c>
      <c r="L7766" s="55">
        <v>0.17416989999999999</v>
      </c>
      <c r="M7766" s="55">
        <v>9.5868800000000004E-2</v>
      </c>
      <c r="N7766" s="55">
        <v>0.1174465</v>
      </c>
    </row>
    <row r="7767" spans="1:14" hidden="1" x14ac:dyDescent="0.35">
      <c r="A7767" s="52" t="s">
        <v>764</v>
      </c>
      <c r="B7767" s="52" t="s">
        <v>37</v>
      </c>
      <c r="C7767" s="52" t="s">
        <v>79</v>
      </c>
      <c r="D7767" s="52" t="s">
        <v>79</v>
      </c>
      <c r="E7767" s="52" t="s">
        <v>615</v>
      </c>
      <c r="F7767" s="52" t="s">
        <v>26</v>
      </c>
      <c r="G7767" s="55" t="s">
        <v>276</v>
      </c>
      <c r="H7767" s="55">
        <v>2.3841000000000001E-2</v>
      </c>
      <c r="I7767" s="55">
        <v>1.3642E-2</v>
      </c>
      <c r="J7767" s="55">
        <v>2.48875E-2</v>
      </c>
      <c r="K7767" s="55">
        <v>2.5634500000000001E-2</v>
      </c>
      <c r="L7767" s="55">
        <v>5.0489800000000001E-2</v>
      </c>
      <c r="M7767" s="55">
        <v>2.77915E-2</v>
      </c>
      <c r="N7767" s="55">
        <v>3.4046300000000002E-2</v>
      </c>
    </row>
    <row r="7768" spans="1:14" hidden="1" x14ac:dyDescent="0.35">
      <c r="A7768" s="52" t="s">
        <v>764</v>
      </c>
      <c r="B7768" s="52" t="s">
        <v>37</v>
      </c>
      <c r="C7768" s="52" t="s">
        <v>79</v>
      </c>
      <c r="D7768" s="52" t="s">
        <v>79</v>
      </c>
      <c r="E7768" s="52" t="s">
        <v>615</v>
      </c>
      <c r="F7768" s="52" t="s">
        <v>26</v>
      </c>
      <c r="G7768" s="55" t="s">
        <v>279</v>
      </c>
      <c r="H7768" s="55">
        <v>0.63715489999999997</v>
      </c>
      <c r="I7768" s="55">
        <v>0.47948249999999998</v>
      </c>
      <c r="J7768" s="55">
        <v>0.51356250000000003</v>
      </c>
      <c r="K7768" s="55">
        <v>0.67465869999999994</v>
      </c>
      <c r="L7768" s="55">
        <v>0.93089140000000004</v>
      </c>
      <c r="M7768" s="55">
        <v>1.177303</v>
      </c>
      <c r="N7768" s="55">
        <v>1.3019069999999999</v>
      </c>
    </row>
    <row r="7769" spans="1:14" hidden="1" x14ac:dyDescent="0.35">
      <c r="A7769" s="52" t="s">
        <v>769</v>
      </c>
      <c r="B7769" s="52" t="s">
        <v>37</v>
      </c>
      <c r="C7769" s="52" t="s">
        <v>109</v>
      </c>
      <c r="D7769" s="52" t="s">
        <v>109</v>
      </c>
      <c r="E7769" s="52" t="s">
        <v>584</v>
      </c>
      <c r="F7769" s="52" t="s">
        <v>581</v>
      </c>
      <c r="G7769" s="55" t="s">
        <v>275</v>
      </c>
      <c r="H7769" s="55">
        <v>84.079520000000002</v>
      </c>
      <c r="I7769" s="55">
        <v>-10.192449999999999</v>
      </c>
      <c r="J7769" s="55">
        <v>-10.45251</v>
      </c>
      <c r="K7769" s="55">
        <v>-46.523899999999998</v>
      </c>
      <c r="L7769" s="55">
        <v>-35.0974</v>
      </c>
      <c r="M7769" s="55">
        <v>-9.7597860000000001</v>
      </c>
      <c r="N7769" s="55">
        <v>-7.4048540000000003</v>
      </c>
    </row>
    <row r="7770" spans="1:14" hidden="1" x14ac:dyDescent="0.35">
      <c r="A7770" s="52" t="s">
        <v>769</v>
      </c>
      <c r="B7770" s="52" t="s">
        <v>37</v>
      </c>
      <c r="C7770" s="52" t="s">
        <v>109</v>
      </c>
      <c r="D7770" s="52" t="s">
        <v>109</v>
      </c>
      <c r="E7770" s="52" t="s">
        <v>584</v>
      </c>
      <c r="F7770" s="52" t="s">
        <v>581</v>
      </c>
      <c r="G7770" s="55" t="s">
        <v>276</v>
      </c>
      <c r="H7770" s="55">
        <v>21.590579999999999</v>
      </c>
      <c r="I7770" s="55">
        <v>-9.8437380000000001</v>
      </c>
      <c r="J7770" s="55">
        <v>-74.243520000000004</v>
      </c>
      <c r="K7770" s="55">
        <v>-57.88944</v>
      </c>
      <c r="L7770" s="55">
        <v>-91.420509999999993</v>
      </c>
      <c r="M7770" s="55">
        <v>-172.69159999999999</v>
      </c>
      <c r="N7770" s="55">
        <v>-12.87002</v>
      </c>
    </row>
    <row r="7771" spans="1:14" hidden="1" x14ac:dyDescent="0.35">
      <c r="A7771" s="52" t="s">
        <v>769</v>
      </c>
      <c r="B7771" s="52" t="s">
        <v>37</v>
      </c>
      <c r="C7771" s="52" t="s">
        <v>109</v>
      </c>
      <c r="D7771" s="52" t="s">
        <v>109</v>
      </c>
      <c r="E7771" s="52" t="s">
        <v>584</v>
      </c>
      <c r="F7771" s="52" t="s">
        <v>581</v>
      </c>
      <c r="G7771" s="55" t="s">
        <v>277</v>
      </c>
      <c r="H7771" s="55">
        <v>30.214659999999999</v>
      </c>
      <c r="I7771" s="55">
        <v>13.220929999999999</v>
      </c>
      <c r="J7771" s="55">
        <v>11.944290000000001</v>
      </c>
      <c r="K7771" s="55">
        <v>5.0682039999999997</v>
      </c>
      <c r="L7771" s="55">
        <v>5.1395090000000003</v>
      </c>
      <c r="M7771" s="55">
        <v>5.1517609999999996</v>
      </c>
      <c r="N7771" s="55">
        <v>5.3391320000000002</v>
      </c>
    </row>
    <row r="7772" spans="1:14" hidden="1" x14ac:dyDescent="0.35">
      <c r="A7772" s="52" t="s">
        <v>769</v>
      </c>
      <c r="B7772" s="52" t="s">
        <v>37</v>
      </c>
      <c r="C7772" s="52" t="s">
        <v>109</v>
      </c>
      <c r="D7772" s="52" t="s">
        <v>109</v>
      </c>
      <c r="E7772" s="52" t="s">
        <v>584</v>
      </c>
      <c r="F7772" s="52" t="s">
        <v>581</v>
      </c>
      <c r="G7772" s="55" t="s">
        <v>278</v>
      </c>
      <c r="H7772" s="55">
        <v>2.1308220000000002</v>
      </c>
      <c r="I7772" s="55">
        <v>5.1687810000000001</v>
      </c>
      <c r="J7772" s="55">
        <v>58.723219999999998</v>
      </c>
      <c r="K7772" s="55">
        <v>40.932690000000001</v>
      </c>
      <c r="L7772" s="55">
        <v>77.36524</v>
      </c>
      <c r="M7772" s="55">
        <v>166.9742</v>
      </c>
      <c r="N7772" s="55">
        <v>7.8591749999999996</v>
      </c>
    </row>
    <row r="7773" spans="1:14" hidden="1" x14ac:dyDescent="0.35">
      <c r="A7773" s="52" t="s">
        <v>769</v>
      </c>
      <c r="B7773" s="52" t="s">
        <v>37</v>
      </c>
      <c r="C7773" s="52" t="s">
        <v>109</v>
      </c>
      <c r="D7773" s="52" t="s">
        <v>109</v>
      </c>
      <c r="E7773" s="52" t="s">
        <v>584</v>
      </c>
      <c r="F7773" s="52" t="s">
        <v>581</v>
      </c>
      <c r="G7773" s="55" t="s">
        <v>279</v>
      </c>
      <c r="H7773" s="55">
        <v>140.6096</v>
      </c>
      <c r="I7773" s="55">
        <v>111.2465</v>
      </c>
      <c r="J7773" s="55">
        <v>97.214609999999993</v>
      </c>
      <c r="K7773" s="55">
        <v>122.8644</v>
      </c>
      <c r="L7773" s="55">
        <v>95.407330000000002</v>
      </c>
      <c r="M7773" s="55">
        <v>28.954899999999999</v>
      </c>
      <c r="N7773" s="55">
        <v>19.14837</v>
      </c>
    </row>
    <row r="7774" spans="1:14" hidden="1" x14ac:dyDescent="0.35">
      <c r="A7774" s="52" t="s">
        <v>769</v>
      </c>
      <c r="B7774" s="52" t="s">
        <v>37</v>
      </c>
      <c r="C7774" s="52" t="s">
        <v>109</v>
      </c>
      <c r="D7774" s="52" t="s">
        <v>109</v>
      </c>
      <c r="E7774" s="52" t="s">
        <v>584</v>
      </c>
      <c r="F7774" s="52" t="s">
        <v>26</v>
      </c>
      <c r="G7774" s="55" t="s">
        <v>275</v>
      </c>
      <c r="H7774" s="55">
        <v>-68.064059999999998</v>
      </c>
      <c r="I7774" s="55">
        <v>-29.445810000000002</v>
      </c>
      <c r="J7774" s="55">
        <v>-21.39273</v>
      </c>
      <c r="K7774" s="55">
        <v>-25.576730000000001</v>
      </c>
      <c r="L7774" s="55">
        <v>-20.33888</v>
      </c>
      <c r="M7774" s="55">
        <v>-13.917770000000001</v>
      </c>
      <c r="N7774" s="55">
        <v>-7.7291420000000004</v>
      </c>
    </row>
    <row r="7775" spans="1:14" hidden="1" x14ac:dyDescent="0.35">
      <c r="A7775" s="52" t="s">
        <v>769</v>
      </c>
      <c r="B7775" s="52" t="s">
        <v>37</v>
      </c>
      <c r="C7775" s="52" t="s">
        <v>109</v>
      </c>
      <c r="D7775" s="52" t="s">
        <v>109</v>
      </c>
      <c r="E7775" s="52" t="s">
        <v>584</v>
      </c>
      <c r="F7775" s="52" t="s">
        <v>26</v>
      </c>
      <c r="G7775" s="55" t="s">
        <v>276</v>
      </c>
      <c r="H7775" s="55">
        <v>-18.940239999999999</v>
      </c>
      <c r="I7775" s="55">
        <v>-11.54579</v>
      </c>
      <c r="J7775" s="55">
        <v>-8.1062419999999999</v>
      </c>
      <c r="K7775" s="55">
        <v>-9.8786799999999992</v>
      </c>
      <c r="L7775" s="55">
        <v>-8.2448990000000002</v>
      </c>
      <c r="M7775" s="55">
        <v>-4.993995</v>
      </c>
      <c r="N7775" s="55">
        <v>-2.7747950000000001</v>
      </c>
    </row>
    <row r="7776" spans="1:14" hidden="1" x14ac:dyDescent="0.35">
      <c r="A7776" s="52" t="s">
        <v>769</v>
      </c>
      <c r="B7776" s="52" t="s">
        <v>37</v>
      </c>
      <c r="C7776" s="52" t="s">
        <v>109</v>
      </c>
      <c r="D7776" s="52" t="s">
        <v>109</v>
      </c>
      <c r="E7776" s="52" t="s">
        <v>584</v>
      </c>
      <c r="F7776" s="52" t="s">
        <v>26</v>
      </c>
      <c r="G7776" s="55" t="s">
        <v>277</v>
      </c>
      <c r="H7776" s="55">
        <v>25.59918</v>
      </c>
      <c r="I7776" s="55">
        <v>11.73047</v>
      </c>
      <c r="J7776" s="55">
        <v>7.6273609999999996</v>
      </c>
      <c r="K7776" s="55">
        <v>5.2768189999999997</v>
      </c>
      <c r="L7776" s="55">
        <v>3.3533330000000001</v>
      </c>
      <c r="M7776" s="55">
        <v>2.4061400000000002</v>
      </c>
      <c r="N7776" s="55">
        <v>2.2032289999999999</v>
      </c>
    </row>
    <row r="7777" spans="1:14" hidden="1" x14ac:dyDescent="0.35">
      <c r="A7777" s="52" t="s">
        <v>769</v>
      </c>
      <c r="B7777" s="52" t="s">
        <v>37</v>
      </c>
      <c r="C7777" s="52" t="s">
        <v>109</v>
      </c>
      <c r="D7777" s="52" t="s">
        <v>109</v>
      </c>
      <c r="E7777" s="52" t="s">
        <v>584</v>
      </c>
      <c r="F7777" s="52" t="s">
        <v>26</v>
      </c>
      <c r="G7777" s="55" t="s">
        <v>279</v>
      </c>
      <c r="H7777" s="55">
        <v>143.65700000000001</v>
      </c>
      <c r="I7777" s="55">
        <v>88.037490000000005</v>
      </c>
      <c r="J7777" s="55">
        <v>75.673180000000002</v>
      </c>
      <c r="K7777" s="55">
        <v>80.351209999999995</v>
      </c>
      <c r="L7777" s="55">
        <v>68.470820000000003</v>
      </c>
      <c r="M7777" s="55">
        <v>39.063459999999999</v>
      </c>
      <c r="N7777" s="55">
        <v>23.332909999999998</v>
      </c>
    </row>
    <row r="7778" spans="1:14" hidden="1" x14ac:dyDescent="0.35">
      <c r="A7778" s="52" t="s">
        <v>769</v>
      </c>
      <c r="B7778" s="52" t="s">
        <v>37</v>
      </c>
      <c r="C7778" s="52" t="s">
        <v>61</v>
      </c>
      <c r="D7778" s="52" t="s">
        <v>62</v>
      </c>
      <c r="E7778" s="52" t="s">
        <v>584</v>
      </c>
      <c r="F7778" s="52" t="s">
        <v>581</v>
      </c>
      <c r="G7778" s="55" t="s">
        <v>275</v>
      </c>
      <c r="H7778" s="55">
        <v>-141.6404</v>
      </c>
      <c r="I7778" s="55">
        <v>6.4806559999999998</v>
      </c>
      <c r="J7778" s="55">
        <v>15.045540000000001</v>
      </c>
      <c r="K7778" s="55">
        <v>-4.7739320000000003</v>
      </c>
      <c r="L7778" s="55">
        <v>-4.1409500000000001</v>
      </c>
      <c r="M7778" s="55">
        <v>-15.01798</v>
      </c>
      <c r="N7778" s="55">
        <v>-63.755459999999999</v>
      </c>
    </row>
    <row r="7779" spans="1:14" hidden="1" x14ac:dyDescent="0.35">
      <c r="A7779" s="52" t="s">
        <v>769</v>
      </c>
      <c r="B7779" s="52" t="s">
        <v>37</v>
      </c>
      <c r="C7779" s="52" t="s">
        <v>61</v>
      </c>
      <c r="D7779" s="52" t="s">
        <v>62</v>
      </c>
      <c r="E7779" s="52" t="s">
        <v>584</v>
      </c>
      <c r="F7779" s="52" t="s">
        <v>581</v>
      </c>
      <c r="G7779" s="55" t="s">
        <v>276</v>
      </c>
      <c r="H7779" s="55">
        <v>-26.48047</v>
      </c>
      <c r="I7779" s="55">
        <v>-11.91747</v>
      </c>
      <c r="J7779" s="55">
        <v>-42.759509999999999</v>
      </c>
      <c r="K7779" s="55">
        <v>-34.003</v>
      </c>
      <c r="L7779" s="55">
        <v>-27.273689999999998</v>
      </c>
      <c r="M7779" s="55">
        <v>-35.630540000000003</v>
      </c>
      <c r="N7779" s="55">
        <v>-18.173010000000001</v>
      </c>
    </row>
    <row r="7780" spans="1:14" hidden="1" x14ac:dyDescent="0.35">
      <c r="A7780" s="52" t="s">
        <v>769</v>
      </c>
      <c r="B7780" s="52" t="s">
        <v>37</v>
      </c>
      <c r="C7780" s="52" t="s">
        <v>61</v>
      </c>
      <c r="D7780" s="52" t="s">
        <v>62</v>
      </c>
      <c r="E7780" s="52" t="s">
        <v>584</v>
      </c>
      <c r="F7780" s="52" t="s">
        <v>581</v>
      </c>
      <c r="G7780" s="55" t="s">
        <v>277</v>
      </c>
      <c r="H7780" s="55">
        <v>58.926349999999999</v>
      </c>
      <c r="I7780" s="55">
        <v>17.13627</v>
      </c>
      <c r="J7780" s="55">
        <v>6.1685299999999996</v>
      </c>
      <c r="K7780" s="55">
        <v>5.4615150000000003</v>
      </c>
      <c r="L7780" s="55">
        <v>4.2424350000000004</v>
      </c>
      <c r="M7780" s="55">
        <v>2.7338429999999998</v>
      </c>
      <c r="N7780" s="55">
        <v>2.2064910000000002</v>
      </c>
    </row>
    <row r="7781" spans="1:14" hidden="1" x14ac:dyDescent="0.35">
      <c r="A7781" s="52" t="s">
        <v>769</v>
      </c>
      <c r="B7781" s="52" t="s">
        <v>37</v>
      </c>
      <c r="C7781" s="52" t="s">
        <v>61</v>
      </c>
      <c r="D7781" s="52" t="s">
        <v>62</v>
      </c>
      <c r="E7781" s="52" t="s">
        <v>584</v>
      </c>
      <c r="F7781" s="52" t="s">
        <v>581</v>
      </c>
      <c r="G7781" s="55" t="s">
        <v>278</v>
      </c>
      <c r="H7781" s="55">
        <v>171.4794</v>
      </c>
      <c r="I7781" s="55">
        <v>0.60712659999999996</v>
      </c>
      <c r="J7781" s="55">
        <v>34.253140000000002</v>
      </c>
      <c r="K7781" s="55">
        <v>24.89584</v>
      </c>
      <c r="L7781" s="55">
        <v>0.53544420000000004</v>
      </c>
      <c r="M7781" s="55">
        <v>29.354710000000001</v>
      </c>
      <c r="N7781" s="55">
        <v>0.53544420000000004</v>
      </c>
    </row>
    <row r="7782" spans="1:14" hidden="1" x14ac:dyDescent="0.35">
      <c r="A7782" s="52" t="s">
        <v>769</v>
      </c>
      <c r="B7782" s="52" t="s">
        <v>37</v>
      </c>
      <c r="C7782" s="52" t="s">
        <v>61</v>
      </c>
      <c r="D7782" s="52" t="s">
        <v>62</v>
      </c>
      <c r="E7782" s="52" t="s">
        <v>584</v>
      </c>
      <c r="F7782" s="52" t="s">
        <v>581</v>
      </c>
      <c r="G7782" s="55" t="s">
        <v>279</v>
      </c>
      <c r="H7782" s="55">
        <v>101.247</v>
      </c>
      <c r="I7782" s="55">
        <v>79.383160000000004</v>
      </c>
      <c r="J7782" s="55">
        <v>72.263840000000002</v>
      </c>
      <c r="K7782" s="55">
        <v>82.556700000000006</v>
      </c>
      <c r="L7782" s="55">
        <v>80.537189999999995</v>
      </c>
      <c r="M7782" s="55">
        <v>52.767539999999997</v>
      </c>
      <c r="N7782" s="55">
        <v>97.118020000000001</v>
      </c>
    </row>
    <row r="7783" spans="1:14" hidden="1" x14ac:dyDescent="0.35">
      <c r="A7783" s="52" t="s">
        <v>769</v>
      </c>
      <c r="B7783" s="52" t="s">
        <v>37</v>
      </c>
      <c r="C7783" s="52" t="s">
        <v>61</v>
      </c>
      <c r="D7783" s="52" t="s">
        <v>62</v>
      </c>
      <c r="E7783" s="52" t="s">
        <v>584</v>
      </c>
      <c r="F7783" s="52" t="s">
        <v>26</v>
      </c>
      <c r="G7783" s="55" t="s">
        <v>275</v>
      </c>
      <c r="H7783" s="55">
        <v>-23.163049999999998</v>
      </c>
      <c r="I7783" s="55">
        <v>-12.78905</v>
      </c>
      <c r="J7783" s="55">
        <v>-2.6999059999999999</v>
      </c>
      <c r="K7783" s="55">
        <v>-5.6174520000000001</v>
      </c>
      <c r="L7783" s="55">
        <v>-26.376159999999999</v>
      </c>
      <c r="M7783" s="55">
        <v>-6.2298770000000001</v>
      </c>
      <c r="N7783" s="55">
        <v>-18.94586</v>
      </c>
    </row>
    <row r="7784" spans="1:14" hidden="1" x14ac:dyDescent="0.35">
      <c r="A7784" s="52" t="s">
        <v>769</v>
      </c>
      <c r="B7784" s="52" t="s">
        <v>37</v>
      </c>
      <c r="C7784" s="52" t="s">
        <v>61</v>
      </c>
      <c r="D7784" s="52" t="s">
        <v>62</v>
      </c>
      <c r="E7784" s="52" t="s">
        <v>584</v>
      </c>
      <c r="F7784" s="52" t="s">
        <v>26</v>
      </c>
      <c r="G7784" s="55" t="s">
        <v>276</v>
      </c>
      <c r="H7784" s="55">
        <v>-2.897192</v>
      </c>
      <c r="I7784" s="55">
        <v>-4.079796</v>
      </c>
      <c r="J7784" s="55">
        <v>-1.482869</v>
      </c>
      <c r="K7784" s="55">
        <v>-2.1361080000000001</v>
      </c>
      <c r="L7784" s="55">
        <v>-9.2145410000000005</v>
      </c>
      <c r="M7784" s="55">
        <v>-1.791925</v>
      </c>
      <c r="N7784" s="55">
        <v>-5.0362410000000004</v>
      </c>
    </row>
    <row r="7785" spans="1:14" hidden="1" x14ac:dyDescent="0.35">
      <c r="A7785" s="52" t="s">
        <v>769</v>
      </c>
      <c r="B7785" s="52" t="s">
        <v>37</v>
      </c>
      <c r="C7785" s="52" t="s">
        <v>61</v>
      </c>
      <c r="D7785" s="52" t="s">
        <v>62</v>
      </c>
      <c r="E7785" s="52" t="s">
        <v>584</v>
      </c>
      <c r="F7785" s="52" t="s">
        <v>26</v>
      </c>
      <c r="G7785" s="55" t="s">
        <v>277</v>
      </c>
      <c r="H7785" s="55">
        <v>19.907139999999998</v>
      </c>
      <c r="I7785" s="55">
        <v>1.232567</v>
      </c>
      <c r="J7785" s="55">
        <v>6.1630499999999998E-2</v>
      </c>
      <c r="K7785" s="55">
        <v>0</v>
      </c>
      <c r="L7785" s="55"/>
      <c r="M7785" s="55"/>
      <c r="N7785" s="55"/>
    </row>
    <row r="7786" spans="1:14" hidden="1" x14ac:dyDescent="0.35">
      <c r="A7786" s="52" t="s">
        <v>769</v>
      </c>
      <c r="B7786" s="52" t="s">
        <v>37</v>
      </c>
      <c r="C7786" s="52" t="s">
        <v>61</v>
      </c>
      <c r="D7786" s="52" t="s">
        <v>62</v>
      </c>
      <c r="E7786" s="52" t="s">
        <v>584</v>
      </c>
      <c r="F7786" s="52" t="s">
        <v>26</v>
      </c>
      <c r="G7786" s="55" t="s">
        <v>278</v>
      </c>
      <c r="H7786" s="55"/>
      <c r="I7786" s="55"/>
      <c r="J7786" s="55">
        <v>0</v>
      </c>
      <c r="K7786" s="55">
        <v>0</v>
      </c>
      <c r="L7786" s="55">
        <v>0</v>
      </c>
      <c r="M7786" s="55">
        <v>0</v>
      </c>
      <c r="N7786" s="55">
        <v>0</v>
      </c>
    </row>
    <row r="7787" spans="1:14" hidden="1" x14ac:dyDescent="0.35">
      <c r="A7787" s="52" t="s">
        <v>769</v>
      </c>
      <c r="B7787" s="52" t="s">
        <v>37</v>
      </c>
      <c r="C7787" s="52" t="s">
        <v>61</v>
      </c>
      <c r="D7787" s="52" t="s">
        <v>62</v>
      </c>
      <c r="E7787" s="52" t="s">
        <v>584</v>
      </c>
      <c r="F7787" s="52" t="s">
        <v>26</v>
      </c>
      <c r="G7787" s="55" t="s">
        <v>279</v>
      </c>
      <c r="H7787" s="55">
        <v>16.183450000000001</v>
      </c>
      <c r="I7787" s="55">
        <v>24.519600000000001</v>
      </c>
      <c r="J7787" s="55">
        <v>12.67366</v>
      </c>
      <c r="K7787" s="55">
        <v>15.512029999999999</v>
      </c>
      <c r="L7787" s="55">
        <v>40.880899999999997</v>
      </c>
      <c r="M7787" s="55">
        <v>11.781219999999999</v>
      </c>
      <c r="N7787" s="55">
        <v>25.34836</v>
      </c>
    </row>
    <row r="7788" spans="1:14" hidden="1" x14ac:dyDescent="0.35">
      <c r="A7788" s="52" t="s">
        <v>769</v>
      </c>
      <c r="B7788" s="52" t="s">
        <v>37</v>
      </c>
      <c r="C7788" s="52" t="s">
        <v>79</v>
      </c>
      <c r="D7788" s="52" t="s">
        <v>79</v>
      </c>
      <c r="E7788" s="52" t="s">
        <v>584</v>
      </c>
      <c r="F7788" s="52" t="s">
        <v>581</v>
      </c>
      <c r="G7788" s="55" t="s">
        <v>275</v>
      </c>
      <c r="H7788" s="55">
        <v>-4.1889999999999997E-2</v>
      </c>
      <c r="I7788" s="55">
        <v>0</v>
      </c>
      <c r="J7788" s="55"/>
      <c r="K7788" s="55">
        <v>0</v>
      </c>
      <c r="L7788" s="55">
        <v>-1.023328</v>
      </c>
      <c r="M7788" s="55">
        <v>0</v>
      </c>
      <c r="N7788" s="55"/>
    </row>
    <row r="7789" spans="1:14" hidden="1" x14ac:dyDescent="0.35">
      <c r="A7789" s="52" t="s">
        <v>769</v>
      </c>
      <c r="B7789" s="52" t="s">
        <v>37</v>
      </c>
      <c r="C7789" s="52" t="s">
        <v>79</v>
      </c>
      <c r="D7789" s="52" t="s">
        <v>79</v>
      </c>
      <c r="E7789" s="52" t="s">
        <v>584</v>
      </c>
      <c r="F7789" s="52" t="s">
        <v>581</v>
      </c>
      <c r="G7789" s="55" t="s">
        <v>276</v>
      </c>
      <c r="H7789" s="55">
        <v>-1.1136E-2</v>
      </c>
      <c r="I7789" s="55">
        <v>0</v>
      </c>
      <c r="J7789" s="55"/>
      <c r="K7789" s="55">
        <v>0</v>
      </c>
      <c r="L7789" s="55">
        <v>-0.27202399999999999</v>
      </c>
      <c r="M7789" s="55">
        <v>0</v>
      </c>
      <c r="N7789" s="55"/>
    </row>
    <row r="7790" spans="1:14" hidden="1" x14ac:dyDescent="0.35">
      <c r="A7790" s="52" t="s">
        <v>769</v>
      </c>
      <c r="B7790" s="52" t="s">
        <v>37</v>
      </c>
      <c r="C7790" s="52" t="s">
        <v>79</v>
      </c>
      <c r="D7790" s="52" t="s">
        <v>79</v>
      </c>
      <c r="E7790" s="52" t="s">
        <v>584</v>
      </c>
      <c r="F7790" s="52" t="s">
        <v>581</v>
      </c>
      <c r="G7790" s="55" t="s">
        <v>279</v>
      </c>
      <c r="H7790" s="55">
        <v>0.188412</v>
      </c>
      <c r="I7790" s="55">
        <v>0</v>
      </c>
      <c r="J7790" s="55"/>
      <c r="K7790" s="55">
        <v>0</v>
      </c>
      <c r="L7790" s="55">
        <v>1.295353</v>
      </c>
      <c r="M7790" s="55">
        <v>0</v>
      </c>
      <c r="N7790" s="55"/>
    </row>
    <row r="7791" spans="1:14" hidden="1" x14ac:dyDescent="0.35">
      <c r="A7791" s="52" t="s">
        <v>769</v>
      </c>
      <c r="B7791" s="52" t="s">
        <v>37</v>
      </c>
      <c r="C7791" s="52" t="s">
        <v>79</v>
      </c>
      <c r="D7791" s="52" t="s">
        <v>79</v>
      </c>
      <c r="E7791" s="52" t="s">
        <v>584</v>
      </c>
      <c r="F7791" s="52" t="s">
        <v>26</v>
      </c>
      <c r="G7791" s="55" t="s">
        <v>275</v>
      </c>
      <c r="H7791" s="55">
        <v>-0.36889300000000003</v>
      </c>
      <c r="I7791" s="55">
        <v>-1.7097709999999999E-2</v>
      </c>
      <c r="J7791" s="55">
        <v>8.2185599999999998E-2</v>
      </c>
      <c r="K7791" s="55">
        <v>-0.117149</v>
      </c>
      <c r="L7791" s="55">
        <v>-1.9575689999999999</v>
      </c>
      <c r="M7791" s="55">
        <v>0</v>
      </c>
      <c r="N7791" s="55"/>
    </row>
    <row r="7792" spans="1:14" hidden="1" x14ac:dyDescent="0.35">
      <c r="A7792" s="52" t="s">
        <v>769</v>
      </c>
      <c r="B7792" s="52" t="s">
        <v>37</v>
      </c>
      <c r="C7792" s="52" t="s">
        <v>79</v>
      </c>
      <c r="D7792" s="52" t="s">
        <v>79</v>
      </c>
      <c r="E7792" s="52" t="s">
        <v>584</v>
      </c>
      <c r="F7792" s="52" t="s">
        <v>26</v>
      </c>
      <c r="G7792" s="55" t="s">
        <v>276</v>
      </c>
      <c r="H7792" s="55">
        <v>-0.220863</v>
      </c>
      <c r="I7792" s="55">
        <v>-0.1568696</v>
      </c>
      <c r="J7792" s="55">
        <v>-0.25738339999999998</v>
      </c>
      <c r="K7792" s="55">
        <v>-9.0019089999999996E-2</v>
      </c>
      <c r="L7792" s="55">
        <v>-0.54878130000000003</v>
      </c>
      <c r="M7792" s="55">
        <v>0</v>
      </c>
      <c r="N7792" s="55"/>
    </row>
    <row r="7793" spans="1:14" hidden="1" x14ac:dyDescent="0.35">
      <c r="A7793" s="52" t="s">
        <v>769</v>
      </c>
      <c r="B7793" s="52" t="s">
        <v>37</v>
      </c>
      <c r="C7793" s="52" t="s">
        <v>79</v>
      </c>
      <c r="D7793" s="52" t="s">
        <v>79</v>
      </c>
      <c r="E7793" s="52" t="s">
        <v>584</v>
      </c>
      <c r="F7793" s="52" t="s">
        <v>26</v>
      </c>
      <c r="G7793" s="55" t="s">
        <v>277</v>
      </c>
      <c r="H7793" s="55">
        <v>0.26096599999999998</v>
      </c>
      <c r="I7793" s="55">
        <v>0</v>
      </c>
      <c r="J7793" s="55"/>
      <c r="K7793" s="55"/>
      <c r="L7793" s="55"/>
      <c r="M7793" s="55"/>
      <c r="N7793" s="55"/>
    </row>
    <row r="7794" spans="1:14" hidden="1" x14ac:dyDescent="0.35">
      <c r="A7794" s="52" t="s">
        <v>769</v>
      </c>
      <c r="B7794" s="52" t="s">
        <v>37</v>
      </c>
      <c r="C7794" s="52" t="s">
        <v>79</v>
      </c>
      <c r="D7794" s="52" t="s">
        <v>79</v>
      </c>
      <c r="E7794" s="52" t="s">
        <v>584</v>
      </c>
      <c r="F7794" s="52" t="s">
        <v>26</v>
      </c>
      <c r="G7794" s="55" t="s">
        <v>279</v>
      </c>
      <c r="H7794" s="55">
        <v>0.65028490000000005</v>
      </c>
      <c r="I7794" s="55">
        <v>0.37229699999999999</v>
      </c>
      <c r="J7794" s="55">
        <v>0.38292209999999999</v>
      </c>
      <c r="K7794" s="55">
        <v>0.41589999999999999</v>
      </c>
      <c r="L7794" s="55">
        <v>2.7162229999999998</v>
      </c>
      <c r="M7794" s="55">
        <v>0</v>
      </c>
      <c r="N7794" s="55"/>
    </row>
    <row r="7795" spans="1:14" hidden="1" x14ac:dyDescent="0.35">
      <c r="A7795" s="52" t="s">
        <v>769</v>
      </c>
      <c r="B7795" s="52" t="s">
        <v>37</v>
      </c>
      <c r="C7795" s="52" t="s">
        <v>318</v>
      </c>
      <c r="D7795" s="52" t="s">
        <v>318</v>
      </c>
      <c r="E7795" s="52" t="s">
        <v>584</v>
      </c>
      <c r="F7795" s="52" t="s">
        <v>581</v>
      </c>
      <c r="G7795" s="55" t="s">
        <v>275</v>
      </c>
      <c r="H7795" s="55">
        <v>102.32859999999999</v>
      </c>
      <c r="I7795" s="55">
        <v>0</v>
      </c>
      <c r="J7795" s="55"/>
      <c r="K7795" s="55"/>
      <c r="L7795" s="55"/>
      <c r="M7795" s="55"/>
      <c r="N7795" s="55"/>
    </row>
    <row r="7796" spans="1:14" hidden="1" x14ac:dyDescent="0.35">
      <c r="A7796" s="52" t="s">
        <v>769</v>
      </c>
      <c r="B7796" s="52" t="s">
        <v>37</v>
      </c>
      <c r="C7796" s="52" t="s">
        <v>318</v>
      </c>
      <c r="D7796" s="52" t="s">
        <v>318</v>
      </c>
      <c r="E7796" s="52" t="s">
        <v>584</v>
      </c>
      <c r="F7796" s="52" t="s">
        <v>581</v>
      </c>
      <c r="G7796" s="55" t="s">
        <v>276</v>
      </c>
      <c r="H7796" s="55">
        <v>-4.284872</v>
      </c>
      <c r="I7796" s="55">
        <v>0</v>
      </c>
      <c r="J7796" s="55"/>
      <c r="K7796" s="55"/>
      <c r="L7796" s="55"/>
      <c r="M7796" s="55"/>
      <c r="N7796" s="55"/>
    </row>
    <row r="7797" spans="1:14" hidden="1" x14ac:dyDescent="0.35">
      <c r="A7797" s="52" t="s">
        <v>769</v>
      </c>
      <c r="B7797" s="52" t="s">
        <v>37</v>
      </c>
      <c r="C7797" s="52" t="s">
        <v>318</v>
      </c>
      <c r="D7797" s="52" t="s">
        <v>318</v>
      </c>
      <c r="E7797" s="52" t="s">
        <v>584</v>
      </c>
      <c r="F7797" s="52" t="s">
        <v>581</v>
      </c>
      <c r="G7797" s="55" t="s">
        <v>278</v>
      </c>
      <c r="H7797" s="55">
        <v>-98.043689999999998</v>
      </c>
      <c r="I7797" s="55">
        <v>0</v>
      </c>
      <c r="J7797" s="55"/>
      <c r="K7797" s="55"/>
      <c r="L7797" s="55"/>
      <c r="M7797" s="55"/>
      <c r="N7797" s="55"/>
    </row>
    <row r="7798" spans="1:14" hidden="1" x14ac:dyDescent="0.35">
      <c r="A7798" s="52" t="s">
        <v>769</v>
      </c>
      <c r="B7798" s="52" t="s">
        <v>37</v>
      </c>
      <c r="C7798" s="52" t="s">
        <v>318</v>
      </c>
      <c r="D7798" s="52" t="s">
        <v>318</v>
      </c>
      <c r="E7798" s="52" t="s">
        <v>584</v>
      </c>
      <c r="F7798" s="52" t="s">
        <v>26</v>
      </c>
      <c r="G7798" s="55" t="s">
        <v>275</v>
      </c>
      <c r="H7798" s="55">
        <v>68.219040000000007</v>
      </c>
      <c r="I7798" s="55">
        <v>0</v>
      </c>
      <c r="J7798" s="55"/>
      <c r="K7798" s="55"/>
      <c r="L7798" s="55"/>
      <c r="M7798" s="55"/>
      <c r="N7798" s="55"/>
    </row>
    <row r="7799" spans="1:14" hidden="1" x14ac:dyDescent="0.35">
      <c r="A7799" s="52" t="s">
        <v>769</v>
      </c>
      <c r="B7799" s="52" t="s">
        <v>37</v>
      </c>
      <c r="C7799" s="52" t="s">
        <v>318</v>
      </c>
      <c r="D7799" s="52" t="s">
        <v>318</v>
      </c>
      <c r="E7799" s="52" t="s">
        <v>584</v>
      </c>
      <c r="F7799" s="52" t="s">
        <v>26</v>
      </c>
      <c r="G7799" s="55" t="s">
        <v>276</v>
      </c>
      <c r="H7799" s="55">
        <v>-2.856582</v>
      </c>
      <c r="I7799" s="55">
        <v>0</v>
      </c>
      <c r="J7799" s="55"/>
      <c r="K7799" s="55"/>
      <c r="L7799" s="55"/>
      <c r="M7799" s="55"/>
      <c r="N7799" s="55"/>
    </row>
    <row r="7800" spans="1:14" hidden="1" x14ac:dyDescent="0.35">
      <c r="A7800" s="52" t="s">
        <v>769</v>
      </c>
      <c r="B7800" s="52" t="s">
        <v>37</v>
      </c>
      <c r="C7800" s="52" t="s">
        <v>318</v>
      </c>
      <c r="D7800" s="52" t="s">
        <v>318</v>
      </c>
      <c r="E7800" s="52" t="s">
        <v>584</v>
      </c>
      <c r="F7800" s="52" t="s">
        <v>26</v>
      </c>
      <c r="G7800" s="55" t="s">
        <v>278</v>
      </c>
      <c r="H7800" s="55">
        <v>-65.362459999999999</v>
      </c>
      <c r="I7800" s="55">
        <v>0</v>
      </c>
      <c r="J7800" s="55"/>
      <c r="K7800" s="55"/>
      <c r="L7800" s="55"/>
      <c r="M7800" s="55"/>
      <c r="N7800" s="55"/>
    </row>
    <row r="7801" spans="1:14" hidden="1" x14ac:dyDescent="0.35">
      <c r="A7801" s="52" t="s">
        <v>766</v>
      </c>
      <c r="B7801" s="52" t="s">
        <v>37</v>
      </c>
      <c r="C7801" s="52" t="s">
        <v>218</v>
      </c>
      <c r="D7801" s="52" t="s">
        <v>218</v>
      </c>
      <c r="E7801" s="52" t="s">
        <v>593</v>
      </c>
      <c r="F7801" s="52" t="s">
        <v>581</v>
      </c>
      <c r="G7801" s="55" t="s">
        <v>275</v>
      </c>
      <c r="H7801" s="55">
        <v>99.299390000000002</v>
      </c>
      <c r="I7801" s="55">
        <v>23.34028</v>
      </c>
      <c r="J7801" s="55">
        <v>47.987810000000003</v>
      </c>
      <c r="K7801" s="55">
        <v>76.484440000000006</v>
      </c>
      <c r="L7801" s="55">
        <v>45.622680000000003</v>
      </c>
      <c r="M7801" s="55">
        <v>35.6081</v>
      </c>
      <c r="N7801" s="55">
        <v>26.029699999999998</v>
      </c>
    </row>
    <row r="7802" spans="1:14" hidden="1" x14ac:dyDescent="0.35">
      <c r="A7802" s="52" t="s">
        <v>766</v>
      </c>
      <c r="B7802" s="52" t="s">
        <v>37</v>
      </c>
      <c r="C7802" s="52" t="s">
        <v>218</v>
      </c>
      <c r="D7802" s="52" t="s">
        <v>218</v>
      </c>
      <c r="E7802" s="52" t="s">
        <v>593</v>
      </c>
      <c r="F7802" s="52" t="s">
        <v>581</v>
      </c>
      <c r="G7802" s="55" t="s">
        <v>276</v>
      </c>
      <c r="H7802" s="55">
        <v>2.2235779999999998</v>
      </c>
      <c r="I7802" s="55">
        <v>-13.5692</v>
      </c>
      <c r="J7802" s="55">
        <v>-18.9619</v>
      </c>
      <c r="K7802" s="55">
        <v>-23.11561</v>
      </c>
      <c r="L7802" s="55">
        <v>-3.2938960000000002</v>
      </c>
      <c r="M7802" s="55">
        <v>1.2009890000000001</v>
      </c>
      <c r="N7802" s="55">
        <v>2.3638759999999999</v>
      </c>
    </row>
    <row r="7803" spans="1:14" hidden="1" x14ac:dyDescent="0.35">
      <c r="A7803" s="52" t="s">
        <v>766</v>
      </c>
      <c r="B7803" s="52" t="s">
        <v>37</v>
      </c>
      <c r="C7803" s="52" t="s">
        <v>218</v>
      </c>
      <c r="D7803" s="52" t="s">
        <v>218</v>
      </c>
      <c r="E7803" s="52" t="s">
        <v>593</v>
      </c>
      <c r="F7803" s="52" t="s">
        <v>581</v>
      </c>
      <c r="G7803" s="55" t="s">
        <v>277</v>
      </c>
      <c r="H7803" s="55">
        <v>128.47550000000001</v>
      </c>
      <c r="I7803" s="55">
        <v>53.13503</v>
      </c>
      <c r="J7803" s="55">
        <v>31.34224</v>
      </c>
      <c r="K7803" s="55">
        <v>11.10449</v>
      </c>
      <c r="L7803" s="55">
        <v>7.6693069999999999</v>
      </c>
      <c r="M7803" s="55">
        <v>0</v>
      </c>
      <c r="N7803" s="55">
        <v>0</v>
      </c>
    </row>
    <row r="7804" spans="1:14" hidden="1" x14ac:dyDescent="0.35">
      <c r="A7804" s="52" t="s">
        <v>766</v>
      </c>
      <c r="B7804" s="52" t="s">
        <v>37</v>
      </c>
      <c r="C7804" s="52" t="s">
        <v>218</v>
      </c>
      <c r="D7804" s="52" t="s">
        <v>218</v>
      </c>
      <c r="E7804" s="52" t="s">
        <v>593</v>
      </c>
      <c r="F7804" s="52" t="s">
        <v>581</v>
      </c>
      <c r="G7804" s="55" t="s">
        <v>278</v>
      </c>
      <c r="H7804" s="55">
        <v>3.5407000000000001E-2</v>
      </c>
      <c r="I7804" s="55">
        <v>6.04617</v>
      </c>
      <c r="J7804" s="55">
        <v>4.2334389999999997</v>
      </c>
      <c r="K7804" s="55">
        <v>2.3889649999999998</v>
      </c>
      <c r="L7804" s="55">
        <v>1.5767389999999999</v>
      </c>
      <c r="M7804" s="55">
        <v>0</v>
      </c>
      <c r="N7804" s="55">
        <v>0</v>
      </c>
    </row>
    <row r="7805" spans="1:14" hidden="1" x14ac:dyDescent="0.35">
      <c r="A7805" s="52" t="s">
        <v>766</v>
      </c>
      <c r="B7805" s="52" t="s">
        <v>37</v>
      </c>
      <c r="C7805" s="52" t="s">
        <v>218</v>
      </c>
      <c r="D7805" s="52" t="s">
        <v>218</v>
      </c>
      <c r="E7805" s="52" t="s">
        <v>593</v>
      </c>
      <c r="F7805" s="52" t="s">
        <v>581</v>
      </c>
      <c r="G7805" s="55" t="s">
        <v>279</v>
      </c>
      <c r="H7805" s="55">
        <v>67.418469999999999</v>
      </c>
      <c r="I7805" s="55">
        <v>39.289149999999999</v>
      </c>
      <c r="J7805" s="55">
        <v>35.703449999999997</v>
      </c>
      <c r="K7805" s="55">
        <v>38.342799999999997</v>
      </c>
      <c r="L7805" s="55">
        <v>27.388480000000001</v>
      </c>
      <c r="M7805" s="55">
        <v>24.466560000000001</v>
      </c>
      <c r="N7805" s="55">
        <v>18.753350000000001</v>
      </c>
    </row>
    <row r="7806" spans="1:14" hidden="1" x14ac:dyDescent="0.35">
      <c r="A7806" s="52" t="s">
        <v>766</v>
      </c>
      <c r="B7806" s="52" t="s">
        <v>37</v>
      </c>
      <c r="C7806" s="52" t="s">
        <v>218</v>
      </c>
      <c r="D7806" s="52" t="s">
        <v>218</v>
      </c>
      <c r="E7806" s="52" t="s">
        <v>593</v>
      </c>
      <c r="F7806" s="52" t="s">
        <v>26</v>
      </c>
      <c r="G7806" s="55" t="s">
        <v>275</v>
      </c>
      <c r="H7806" s="55">
        <v>3.8801779999999999</v>
      </c>
      <c r="I7806" s="55">
        <v>2.5734870000000001</v>
      </c>
      <c r="J7806" s="55">
        <v>3.1144539999999998</v>
      </c>
      <c r="K7806" s="55">
        <v>2.8742939999999999</v>
      </c>
      <c r="L7806" s="55">
        <v>2.4404270000000001</v>
      </c>
      <c r="M7806" s="55">
        <v>0.89450430000000003</v>
      </c>
      <c r="N7806" s="55">
        <v>0.67765430000000004</v>
      </c>
    </row>
    <row r="7807" spans="1:14" hidden="1" x14ac:dyDescent="0.35">
      <c r="A7807" s="52" t="s">
        <v>766</v>
      </c>
      <c r="B7807" s="52" t="s">
        <v>37</v>
      </c>
      <c r="C7807" s="52" t="s">
        <v>218</v>
      </c>
      <c r="D7807" s="52" t="s">
        <v>218</v>
      </c>
      <c r="E7807" s="52" t="s">
        <v>593</v>
      </c>
      <c r="F7807" s="52" t="s">
        <v>26</v>
      </c>
      <c r="G7807" s="55" t="s">
        <v>276</v>
      </c>
      <c r="H7807" s="55">
        <v>1.0314430000000001</v>
      </c>
      <c r="I7807" s="55">
        <v>0.68409129999999996</v>
      </c>
      <c r="J7807" s="55">
        <v>0.82789650000000004</v>
      </c>
      <c r="K7807" s="55">
        <v>0.76405060000000002</v>
      </c>
      <c r="L7807" s="55">
        <v>0.64872059999999998</v>
      </c>
      <c r="M7807" s="55">
        <v>0.23777999999999999</v>
      </c>
      <c r="N7807" s="55">
        <v>0.18013660000000001</v>
      </c>
    </row>
    <row r="7808" spans="1:14" hidden="1" x14ac:dyDescent="0.35">
      <c r="A7808" s="52" t="s">
        <v>766</v>
      </c>
      <c r="B7808" s="52" t="s">
        <v>37</v>
      </c>
      <c r="C7808" s="52" t="s">
        <v>218</v>
      </c>
      <c r="D7808" s="52" t="s">
        <v>218</v>
      </c>
      <c r="E7808" s="52" t="s">
        <v>593</v>
      </c>
      <c r="F7808" s="52" t="s">
        <v>26</v>
      </c>
      <c r="G7808" s="55" t="s">
        <v>279</v>
      </c>
      <c r="H7808" s="55">
        <v>16.485869999999998</v>
      </c>
      <c r="I7808" s="55">
        <v>14.10403</v>
      </c>
      <c r="J7808" s="55">
        <v>12.56067</v>
      </c>
      <c r="K7808" s="55">
        <v>13.57615</v>
      </c>
      <c r="L7808" s="55">
        <v>9.6691719999999997</v>
      </c>
      <c r="M7808" s="55">
        <v>8.6451919999999998</v>
      </c>
      <c r="N7808" s="55">
        <v>6.6165989999999999</v>
      </c>
    </row>
    <row r="7809" spans="1:14" hidden="1" x14ac:dyDescent="0.35">
      <c r="A7809" s="52" t="s">
        <v>766</v>
      </c>
      <c r="B7809" s="52" t="s">
        <v>37</v>
      </c>
      <c r="C7809" s="52" t="s">
        <v>218</v>
      </c>
      <c r="D7809" s="52" t="s">
        <v>218</v>
      </c>
      <c r="E7809" s="52" t="s">
        <v>594</v>
      </c>
      <c r="F7809" s="52" t="s">
        <v>581</v>
      </c>
      <c r="G7809" s="55" t="s">
        <v>275</v>
      </c>
      <c r="H7809" s="55">
        <v>-130.36009999999999</v>
      </c>
      <c r="I7809" s="55">
        <v>18.669270000000001</v>
      </c>
      <c r="J7809" s="55">
        <v>2.8564560000000001</v>
      </c>
      <c r="K7809" s="55">
        <v>14.490360000000001</v>
      </c>
      <c r="L7809" s="55">
        <v>40.566470000000002</v>
      </c>
      <c r="M7809" s="55">
        <v>20.371479999999998</v>
      </c>
      <c r="N7809" s="55">
        <v>16.481310000000001</v>
      </c>
    </row>
    <row r="7810" spans="1:14" hidden="1" x14ac:dyDescent="0.35">
      <c r="A7810" s="52" t="s">
        <v>766</v>
      </c>
      <c r="B7810" s="52" t="s">
        <v>37</v>
      </c>
      <c r="C7810" s="52" t="s">
        <v>218</v>
      </c>
      <c r="D7810" s="52" t="s">
        <v>218</v>
      </c>
      <c r="E7810" s="52" t="s">
        <v>594</v>
      </c>
      <c r="F7810" s="52" t="s">
        <v>581</v>
      </c>
      <c r="G7810" s="55" t="s">
        <v>276</v>
      </c>
      <c r="H7810" s="55">
        <v>2.124161</v>
      </c>
      <c r="I7810" s="55">
        <v>-9.3191299999999995</v>
      </c>
      <c r="J7810" s="55">
        <v>-11.38871</v>
      </c>
      <c r="K7810" s="55">
        <v>-13.87997</v>
      </c>
      <c r="L7810" s="55">
        <v>-13.719620000000001</v>
      </c>
      <c r="M7810" s="55">
        <v>1.704895</v>
      </c>
      <c r="N7810" s="55">
        <v>-5.3710939999999999E-3</v>
      </c>
    </row>
    <row r="7811" spans="1:14" hidden="1" x14ac:dyDescent="0.35">
      <c r="A7811" s="52" t="s">
        <v>766</v>
      </c>
      <c r="B7811" s="52" t="s">
        <v>37</v>
      </c>
      <c r="C7811" s="52" t="s">
        <v>218</v>
      </c>
      <c r="D7811" s="52" t="s">
        <v>218</v>
      </c>
      <c r="E7811" s="52" t="s">
        <v>594</v>
      </c>
      <c r="F7811" s="52" t="s">
        <v>581</v>
      </c>
      <c r="G7811" s="55" t="s">
        <v>277</v>
      </c>
      <c r="H7811" s="55">
        <v>216.03569999999999</v>
      </c>
      <c r="I7811" s="55">
        <v>13.367620000000001</v>
      </c>
      <c r="J7811" s="55">
        <v>28.649570000000001</v>
      </c>
      <c r="K7811" s="55">
        <v>29.61627</v>
      </c>
      <c r="L7811" s="55">
        <v>8.964931</v>
      </c>
      <c r="M7811" s="55">
        <v>2.0505089999999999</v>
      </c>
      <c r="N7811" s="55">
        <v>3.0580340000000001</v>
      </c>
    </row>
    <row r="7812" spans="1:14" hidden="1" x14ac:dyDescent="0.35">
      <c r="A7812" s="52" t="s">
        <v>766</v>
      </c>
      <c r="B7812" s="52" t="s">
        <v>37</v>
      </c>
      <c r="C7812" s="52" t="s">
        <v>218</v>
      </c>
      <c r="D7812" s="52" t="s">
        <v>218</v>
      </c>
      <c r="E7812" s="52" t="s">
        <v>594</v>
      </c>
      <c r="F7812" s="52" t="s">
        <v>581</v>
      </c>
      <c r="G7812" s="55" t="s">
        <v>278</v>
      </c>
      <c r="H7812" s="55">
        <v>7.7593999999999996E-2</v>
      </c>
      <c r="I7812" s="55">
        <v>2.0452900000000001</v>
      </c>
      <c r="J7812" s="55">
        <v>5.5050470000000002</v>
      </c>
      <c r="K7812" s="55">
        <v>3.6920440000000001</v>
      </c>
      <c r="L7812" s="55">
        <v>0.56134280000000003</v>
      </c>
      <c r="M7812" s="55">
        <v>0</v>
      </c>
      <c r="N7812" s="55"/>
    </row>
    <row r="7813" spans="1:14" hidden="1" x14ac:dyDescent="0.35">
      <c r="A7813" s="52" t="s">
        <v>766</v>
      </c>
      <c r="B7813" s="52" t="s">
        <v>37</v>
      </c>
      <c r="C7813" s="52" t="s">
        <v>218</v>
      </c>
      <c r="D7813" s="52" t="s">
        <v>218</v>
      </c>
      <c r="E7813" s="52" t="s">
        <v>594</v>
      </c>
      <c r="F7813" s="52" t="s">
        <v>581</v>
      </c>
      <c r="G7813" s="55" t="s">
        <v>279</v>
      </c>
      <c r="H7813" s="55">
        <v>33.364780000000003</v>
      </c>
      <c r="I7813" s="55">
        <v>20.09713</v>
      </c>
      <c r="J7813" s="55">
        <v>19.747730000000001</v>
      </c>
      <c r="K7813" s="55">
        <v>27.242349999999998</v>
      </c>
      <c r="L7813" s="55">
        <v>26.687249999999999</v>
      </c>
      <c r="M7813" s="55">
        <v>22.156510000000001</v>
      </c>
      <c r="N7813" s="55">
        <v>17.932259999999999</v>
      </c>
    </row>
    <row r="7814" spans="1:14" hidden="1" x14ac:dyDescent="0.35">
      <c r="A7814" s="52" t="s">
        <v>766</v>
      </c>
      <c r="B7814" s="52" t="s">
        <v>37</v>
      </c>
      <c r="C7814" s="52" t="s">
        <v>218</v>
      </c>
      <c r="D7814" s="52" t="s">
        <v>218</v>
      </c>
      <c r="E7814" s="52" t="s">
        <v>594</v>
      </c>
      <c r="F7814" s="52" t="s">
        <v>26</v>
      </c>
      <c r="G7814" s="55" t="s">
        <v>275</v>
      </c>
      <c r="H7814" s="55">
        <v>-0.89644100000000004</v>
      </c>
      <c r="I7814" s="55">
        <v>-0.48620469999999999</v>
      </c>
      <c r="J7814" s="55">
        <v>-0.40616940000000001</v>
      </c>
      <c r="K7814" s="55">
        <v>-0.63197020000000004</v>
      </c>
      <c r="L7814" s="55">
        <v>-0.60821899999999995</v>
      </c>
      <c r="M7814" s="55">
        <v>-0.60157539999999998</v>
      </c>
      <c r="N7814" s="55">
        <v>-0.48827710000000002</v>
      </c>
    </row>
    <row r="7815" spans="1:14" hidden="1" x14ac:dyDescent="0.35">
      <c r="A7815" s="52" t="s">
        <v>766</v>
      </c>
      <c r="B7815" s="52" t="s">
        <v>37</v>
      </c>
      <c r="C7815" s="52" t="s">
        <v>218</v>
      </c>
      <c r="D7815" s="52" t="s">
        <v>218</v>
      </c>
      <c r="E7815" s="52" t="s">
        <v>594</v>
      </c>
      <c r="F7815" s="52" t="s">
        <v>26</v>
      </c>
      <c r="G7815" s="55" t="s">
        <v>276</v>
      </c>
      <c r="H7815" s="55">
        <v>-0.23829500000000001</v>
      </c>
      <c r="I7815" s="55">
        <v>-0.12924530000000001</v>
      </c>
      <c r="J7815" s="55">
        <v>-0.10797</v>
      </c>
      <c r="K7815" s="55">
        <v>-0.16799249999999999</v>
      </c>
      <c r="L7815" s="55">
        <v>-0.1616776</v>
      </c>
      <c r="M7815" s="55">
        <v>-0.1599111</v>
      </c>
      <c r="N7815" s="55">
        <v>-0.12979489999999999</v>
      </c>
    </row>
    <row r="7816" spans="1:14" hidden="1" x14ac:dyDescent="0.35">
      <c r="A7816" s="52" t="s">
        <v>766</v>
      </c>
      <c r="B7816" s="52" t="s">
        <v>37</v>
      </c>
      <c r="C7816" s="52" t="s">
        <v>218</v>
      </c>
      <c r="D7816" s="52" t="s">
        <v>218</v>
      </c>
      <c r="E7816" s="52" t="s">
        <v>594</v>
      </c>
      <c r="F7816" s="52" t="s">
        <v>26</v>
      </c>
      <c r="G7816" s="55" t="s">
        <v>279</v>
      </c>
      <c r="H7816" s="55">
        <v>3.5420530000000001</v>
      </c>
      <c r="I7816" s="55">
        <v>1.773031</v>
      </c>
      <c r="J7816" s="55">
        <v>1.755061</v>
      </c>
      <c r="K7816" s="55">
        <v>2.4577439999999999</v>
      </c>
      <c r="L7816" s="55">
        <v>2.4655879999999999</v>
      </c>
      <c r="M7816" s="55">
        <v>2.0004970000000002</v>
      </c>
      <c r="N7816" s="55">
        <v>1.6190709999999999</v>
      </c>
    </row>
    <row r="7817" spans="1:14" hidden="1" x14ac:dyDescent="0.35">
      <c r="A7817" s="52" t="s">
        <v>766</v>
      </c>
      <c r="B7817" s="52" t="s">
        <v>37</v>
      </c>
      <c r="C7817" s="52" t="s">
        <v>218</v>
      </c>
      <c r="D7817" s="52" t="s">
        <v>218</v>
      </c>
      <c r="E7817" s="52" t="s">
        <v>584</v>
      </c>
      <c r="F7817" s="52" t="s">
        <v>581</v>
      </c>
      <c r="G7817" s="55" t="s">
        <v>275</v>
      </c>
      <c r="H7817" s="55">
        <v>1.102727</v>
      </c>
      <c r="I7817" s="55">
        <v>-2.1052979999999999</v>
      </c>
      <c r="J7817" s="55">
        <v>-1.9008929999999999</v>
      </c>
      <c r="K7817" s="55">
        <v>-2.6329359999999999</v>
      </c>
      <c r="L7817" s="55">
        <v>-2.4912070000000002</v>
      </c>
      <c r="M7817" s="55">
        <v>-2.5698820000000002</v>
      </c>
      <c r="N7817" s="55">
        <v>-2.5202610000000001</v>
      </c>
    </row>
    <row r="7818" spans="1:14" hidden="1" x14ac:dyDescent="0.35">
      <c r="A7818" s="52" t="s">
        <v>766</v>
      </c>
      <c r="B7818" s="52" t="s">
        <v>37</v>
      </c>
      <c r="C7818" s="52" t="s">
        <v>218</v>
      </c>
      <c r="D7818" s="52" t="s">
        <v>218</v>
      </c>
      <c r="E7818" s="52" t="s">
        <v>584</v>
      </c>
      <c r="F7818" s="52" t="s">
        <v>581</v>
      </c>
      <c r="G7818" s="55" t="s">
        <v>276</v>
      </c>
      <c r="H7818" s="55">
        <v>0.35618499999999997</v>
      </c>
      <c r="I7818" s="55">
        <v>-0.62859739999999997</v>
      </c>
      <c r="J7818" s="55">
        <v>-0.54489650000000001</v>
      </c>
      <c r="K7818" s="55">
        <v>-0.37498179999999998</v>
      </c>
      <c r="L7818" s="55">
        <v>-0.72258009999999995</v>
      </c>
      <c r="M7818" s="55">
        <v>-0.61472340000000003</v>
      </c>
      <c r="N7818" s="55">
        <v>-0.60445389999999999</v>
      </c>
    </row>
    <row r="7819" spans="1:14" hidden="1" x14ac:dyDescent="0.35">
      <c r="A7819" s="52" t="s">
        <v>766</v>
      </c>
      <c r="B7819" s="52" t="s">
        <v>37</v>
      </c>
      <c r="C7819" s="52" t="s">
        <v>218</v>
      </c>
      <c r="D7819" s="52" t="s">
        <v>218</v>
      </c>
      <c r="E7819" s="52" t="s">
        <v>584</v>
      </c>
      <c r="F7819" s="52" t="s">
        <v>581</v>
      </c>
      <c r="G7819" s="55" t="s">
        <v>277</v>
      </c>
      <c r="H7819" s="55">
        <v>7.0338430000000001</v>
      </c>
      <c r="I7819" s="55">
        <v>5.7805419999999996</v>
      </c>
      <c r="J7819" s="55">
        <v>5.5412999999999997</v>
      </c>
      <c r="K7819" s="55">
        <v>6.0019549999999997</v>
      </c>
      <c r="L7819" s="55">
        <v>6.1443989999999999</v>
      </c>
      <c r="M7819" s="55">
        <v>6.1798089999999997</v>
      </c>
      <c r="N7819" s="55">
        <v>6.1324149999999999</v>
      </c>
    </row>
    <row r="7820" spans="1:14" hidden="1" x14ac:dyDescent="0.35">
      <c r="A7820" s="52" t="s">
        <v>766</v>
      </c>
      <c r="B7820" s="52" t="s">
        <v>37</v>
      </c>
      <c r="C7820" s="52" t="s">
        <v>218</v>
      </c>
      <c r="D7820" s="52" t="s">
        <v>218</v>
      </c>
      <c r="E7820" s="52" t="s">
        <v>584</v>
      </c>
      <c r="F7820" s="52" t="s">
        <v>581</v>
      </c>
      <c r="G7820" s="55" t="s">
        <v>279</v>
      </c>
      <c r="H7820" s="55">
        <v>3.5758990000000002</v>
      </c>
      <c r="I7820" s="55">
        <v>2.6830349999999998</v>
      </c>
      <c r="J7820" s="55">
        <v>2.5622029999999998</v>
      </c>
      <c r="K7820" s="55">
        <v>2.724164</v>
      </c>
      <c r="L7820" s="55">
        <v>2.8556620000000001</v>
      </c>
      <c r="M7820" s="55">
        <v>2.8674050000000002</v>
      </c>
      <c r="N7820" s="55">
        <v>2.812033</v>
      </c>
    </row>
    <row r="7821" spans="1:14" hidden="1" x14ac:dyDescent="0.35">
      <c r="A7821" s="52" t="s">
        <v>766</v>
      </c>
      <c r="B7821" s="52" t="s">
        <v>37</v>
      </c>
      <c r="C7821" s="52" t="s">
        <v>218</v>
      </c>
      <c r="D7821" s="52" t="s">
        <v>218</v>
      </c>
      <c r="E7821" s="52" t="s">
        <v>584</v>
      </c>
      <c r="F7821" s="52" t="s">
        <v>26</v>
      </c>
      <c r="G7821" s="55" t="s">
        <v>275</v>
      </c>
      <c r="H7821" s="55">
        <v>-3.5132999999999998E-2</v>
      </c>
      <c r="I7821" s="55">
        <v>-5.9192090000000003E-2</v>
      </c>
      <c r="J7821" s="55">
        <v>4.4916400000000002E-2</v>
      </c>
      <c r="K7821" s="55">
        <v>-6.4571809999999993E-2</v>
      </c>
      <c r="L7821" s="55">
        <v>-0.15060319999999999</v>
      </c>
      <c r="M7821" s="55">
        <v>-0.14284060000000001</v>
      </c>
      <c r="N7821" s="55">
        <v>-0.13509299999999999</v>
      </c>
    </row>
    <row r="7822" spans="1:14" hidden="1" x14ac:dyDescent="0.35">
      <c r="A7822" s="52" t="s">
        <v>766</v>
      </c>
      <c r="B7822" s="52" t="s">
        <v>37</v>
      </c>
      <c r="C7822" s="52" t="s">
        <v>218</v>
      </c>
      <c r="D7822" s="52" t="s">
        <v>218</v>
      </c>
      <c r="E7822" s="52" t="s">
        <v>584</v>
      </c>
      <c r="F7822" s="52" t="s">
        <v>26</v>
      </c>
      <c r="G7822" s="55" t="s">
        <v>276</v>
      </c>
      <c r="H7822" s="55">
        <v>-9.3399989999999999E-3</v>
      </c>
      <c r="I7822" s="55">
        <v>-1.57343E-2</v>
      </c>
      <c r="J7822" s="55">
        <v>1.1939099999999999E-2</v>
      </c>
      <c r="K7822" s="55">
        <v>-1.71655E-2</v>
      </c>
      <c r="L7822" s="55">
        <v>-4.0033699999999998E-2</v>
      </c>
      <c r="M7822" s="55">
        <v>-3.7970400000000001E-2</v>
      </c>
      <c r="N7822" s="55">
        <v>-3.59113E-2</v>
      </c>
    </row>
    <row r="7823" spans="1:14" hidden="1" x14ac:dyDescent="0.35">
      <c r="A7823" s="52" t="s">
        <v>766</v>
      </c>
      <c r="B7823" s="52" t="s">
        <v>37</v>
      </c>
      <c r="C7823" s="52" t="s">
        <v>218</v>
      </c>
      <c r="D7823" s="52" t="s">
        <v>218</v>
      </c>
      <c r="E7823" s="52" t="s">
        <v>584</v>
      </c>
      <c r="F7823" s="52" t="s">
        <v>26</v>
      </c>
      <c r="G7823" s="55" t="s">
        <v>279</v>
      </c>
      <c r="H7823" s="55">
        <v>2.0947309999999999</v>
      </c>
      <c r="I7823" s="55">
        <v>1.7859069999999999</v>
      </c>
      <c r="J7823" s="55">
        <v>1.7356879999999999</v>
      </c>
      <c r="K7823" s="55">
        <v>1.888657</v>
      </c>
      <c r="L7823" s="55">
        <v>1.950707</v>
      </c>
      <c r="M7823" s="55">
        <v>1.849005</v>
      </c>
      <c r="N7823" s="55">
        <v>1.752208</v>
      </c>
    </row>
    <row r="7824" spans="1:14" hidden="1" x14ac:dyDescent="0.35">
      <c r="A7824" s="52" t="s">
        <v>766</v>
      </c>
      <c r="B7824" s="52" t="s">
        <v>37</v>
      </c>
      <c r="C7824" s="52" t="s">
        <v>218</v>
      </c>
      <c r="D7824" s="52" t="s">
        <v>218</v>
      </c>
      <c r="E7824" s="52" t="s">
        <v>730</v>
      </c>
      <c r="F7824" s="52" t="s">
        <v>581</v>
      </c>
      <c r="G7824" s="55" t="s">
        <v>275</v>
      </c>
      <c r="H7824" s="55"/>
      <c r="I7824" s="55"/>
      <c r="J7824" s="55"/>
      <c r="K7824" s="55">
        <v>0</v>
      </c>
      <c r="L7824" s="55">
        <v>-9.8024589999999995E-2</v>
      </c>
      <c r="M7824" s="55">
        <v>5.3818E-3</v>
      </c>
      <c r="N7824" s="55">
        <v>3.3364000000000002E-3</v>
      </c>
    </row>
    <row r="7825" spans="1:14" hidden="1" x14ac:dyDescent="0.35">
      <c r="A7825" s="52" t="s">
        <v>766</v>
      </c>
      <c r="B7825" s="52" t="s">
        <v>37</v>
      </c>
      <c r="C7825" s="52" t="s">
        <v>218</v>
      </c>
      <c r="D7825" s="52" t="s">
        <v>218</v>
      </c>
      <c r="E7825" s="52" t="s">
        <v>730</v>
      </c>
      <c r="F7825" s="52" t="s">
        <v>581</v>
      </c>
      <c r="G7825" s="55" t="s">
        <v>276</v>
      </c>
      <c r="H7825" s="55"/>
      <c r="I7825" s="55"/>
      <c r="J7825" s="55"/>
      <c r="K7825" s="55">
        <v>0</v>
      </c>
      <c r="L7825" s="55">
        <v>-1.71036E-2</v>
      </c>
      <c r="M7825" s="55">
        <v>-3.6039999999999998E-4</v>
      </c>
      <c r="N7825" s="55">
        <v>-5.463E-4</v>
      </c>
    </row>
    <row r="7826" spans="1:14" hidden="1" x14ac:dyDescent="0.35">
      <c r="A7826" s="52" t="s">
        <v>766</v>
      </c>
      <c r="B7826" s="52" t="s">
        <v>37</v>
      </c>
      <c r="C7826" s="52" t="s">
        <v>218</v>
      </c>
      <c r="D7826" s="52" t="s">
        <v>218</v>
      </c>
      <c r="E7826" s="52" t="s">
        <v>730</v>
      </c>
      <c r="F7826" s="52" t="s">
        <v>581</v>
      </c>
      <c r="G7826" s="55" t="s">
        <v>277</v>
      </c>
      <c r="H7826" s="55"/>
      <c r="I7826" s="55"/>
      <c r="J7826" s="55"/>
      <c r="K7826" s="55">
        <v>0</v>
      </c>
      <c r="L7826" s="55">
        <v>8.8886999999999994E-3</v>
      </c>
      <c r="M7826" s="55">
        <v>0</v>
      </c>
      <c r="N7826" s="55">
        <v>0</v>
      </c>
    </row>
    <row r="7827" spans="1:14" hidden="1" x14ac:dyDescent="0.35">
      <c r="A7827" s="52" t="s">
        <v>766</v>
      </c>
      <c r="B7827" s="52" t="s">
        <v>37</v>
      </c>
      <c r="C7827" s="52" t="s">
        <v>218</v>
      </c>
      <c r="D7827" s="52" t="s">
        <v>218</v>
      </c>
      <c r="E7827" s="52" t="s">
        <v>730</v>
      </c>
      <c r="F7827" s="52" t="s">
        <v>581</v>
      </c>
      <c r="G7827" s="55" t="s">
        <v>278</v>
      </c>
      <c r="H7827" s="55"/>
      <c r="I7827" s="55"/>
      <c r="J7827" s="55"/>
      <c r="K7827" s="55">
        <v>0</v>
      </c>
      <c r="L7827" s="55">
        <v>3.3214E-2</v>
      </c>
      <c r="M7827" s="55">
        <v>0</v>
      </c>
      <c r="N7827" s="55"/>
    </row>
    <row r="7828" spans="1:14" hidden="1" x14ac:dyDescent="0.35">
      <c r="A7828" s="52" t="s">
        <v>766</v>
      </c>
      <c r="B7828" s="52" t="s">
        <v>37</v>
      </c>
      <c r="C7828" s="52" t="s">
        <v>218</v>
      </c>
      <c r="D7828" s="52" t="s">
        <v>218</v>
      </c>
      <c r="E7828" s="52" t="s">
        <v>730</v>
      </c>
      <c r="F7828" s="52" t="s">
        <v>581</v>
      </c>
      <c r="G7828" s="55" t="s">
        <v>279</v>
      </c>
      <c r="H7828" s="55"/>
      <c r="I7828" s="55"/>
      <c r="J7828" s="55"/>
      <c r="K7828" s="55">
        <v>0</v>
      </c>
      <c r="L7828" s="55">
        <v>8.5602200000000003E-2</v>
      </c>
      <c r="M7828" s="55">
        <v>3.6337000000000001E-3</v>
      </c>
      <c r="N7828" s="55">
        <v>1.591E-3</v>
      </c>
    </row>
    <row r="7829" spans="1:14" hidden="1" x14ac:dyDescent="0.35">
      <c r="A7829" s="52" t="s">
        <v>766</v>
      </c>
      <c r="B7829" s="52" t="s">
        <v>37</v>
      </c>
      <c r="C7829" s="52" t="s">
        <v>218</v>
      </c>
      <c r="D7829" s="52" t="s">
        <v>218</v>
      </c>
      <c r="E7829" s="52" t="s">
        <v>730</v>
      </c>
      <c r="F7829" s="52" t="s">
        <v>26</v>
      </c>
      <c r="G7829" s="55" t="s">
        <v>275</v>
      </c>
      <c r="H7829" s="55"/>
      <c r="I7829" s="55"/>
      <c r="J7829" s="55"/>
      <c r="K7829" s="55">
        <v>0</v>
      </c>
      <c r="L7829" s="55">
        <v>-5.4200999999999997E-3</v>
      </c>
      <c r="M7829" s="55">
        <v>1.5029999999999999E-4</v>
      </c>
      <c r="N7829" s="55">
        <v>1.093E-4</v>
      </c>
    </row>
    <row r="7830" spans="1:14" hidden="1" x14ac:dyDescent="0.35">
      <c r="A7830" s="52" t="s">
        <v>766</v>
      </c>
      <c r="B7830" s="52" t="s">
        <v>37</v>
      </c>
      <c r="C7830" s="52" t="s">
        <v>218</v>
      </c>
      <c r="D7830" s="52" t="s">
        <v>218</v>
      </c>
      <c r="E7830" s="52" t="s">
        <v>730</v>
      </c>
      <c r="F7830" s="52" t="s">
        <v>26</v>
      </c>
      <c r="G7830" s="55" t="s">
        <v>276</v>
      </c>
      <c r="H7830" s="55"/>
      <c r="I7830" s="55"/>
      <c r="J7830" s="55"/>
      <c r="K7830" s="55">
        <v>0</v>
      </c>
      <c r="L7830" s="55">
        <v>-1.4408999999999999E-3</v>
      </c>
      <c r="M7830" s="55">
        <v>3.9900000000000001E-5</v>
      </c>
      <c r="N7830" s="55">
        <v>2.8799999999999999E-5</v>
      </c>
    </row>
    <row r="7831" spans="1:14" hidden="1" x14ac:dyDescent="0.35">
      <c r="A7831" s="52" t="s">
        <v>766</v>
      </c>
      <c r="B7831" s="52" t="s">
        <v>37</v>
      </c>
      <c r="C7831" s="52" t="s">
        <v>218</v>
      </c>
      <c r="D7831" s="52" t="s">
        <v>218</v>
      </c>
      <c r="E7831" s="52" t="s">
        <v>730</v>
      </c>
      <c r="F7831" s="52" t="s">
        <v>26</v>
      </c>
      <c r="G7831" s="55" t="s">
        <v>279</v>
      </c>
      <c r="H7831" s="55"/>
      <c r="I7831" s="55"/>
      <c r="J7831" s="55"/>
      <c r="K7831" s="55">
        <v>0</v>
      </c>
      <c r="L7831" s="55">
        <v>8.2364010000000008E-3</v>
      </c>
      <c r="M7831" s="55">
        <v>7.5179999999999995E-4</v>
      </c>
      <c r="N7831" s="55">
        <v>3.3770000000000002E-4</v>
      </c>
    </row>
    <row r="7832" spans="1:14" hidden="1" x14ac:dyDescent="0.35">
      <c r="A7832" s="52" t="s">
        <v>766</v>
      </c>
      <c r="B7832" s="52" t="s">
        <v>37</v>
      </c>
      <c r="C7832" s="52" t="s">
        <v>266</v>
      </c>
      <c r="D7832" s="52" t="s">
        <v>266</v>
      </c>
      <c r="E7832" s="52" t="s">
        <v>767</v>
      </c>
      <c r="F7832" s="52" t="s">
        <v>581</v>
      </c>
      <c r="G7832" s="55" t="s">
        <v>275</v>
      </c>
      <c r="H7832" s="55">
        <v>0.9450539</v>
      </c>
      <c r="I7832" s="55">
        <v>0.28303129999999999</v>
      </c>
      <c r="J7832" s="55">
        <v>1.2385520000000001</v>
      </c>
      <c r="K7832" s="55">
        <v>-2.7330699999999999E-2</v>
      </c>
      <c r="L7832" s="55">
        <v>-2.2636900000000001E-2</v>
      </c>
      <c r="M7832" s="55">
        <v>-2.78716E-2</v>
      </c>
      <c r="N7832" s="55">
        <v>-2.5552999999999999E-2</v>
      </c>
    </row>
    <row r="7833" spans="1:14" hidden="1" x14ac:dyDescent="0.35">
      <c r="A7833" s="52" t="s">
        <v>766</v>
      </c>
      <c r="B7833" s="52" t="s">
        <v>37</v>
      </c>
      <c r="C7833" s="52" t="s">
        <v>266</v>
      </c>
      <c r="D7833" s="52" t="s">
        <v>266</v>
      </c>
      <c r="E7833" s="52" t="s">
        <v>767</v>
      </c>
      <c r="F7833" s="52" t="s">
        <v>581</v>
      </c>
      <c r="G7833" s="55" t="s">
        <v>276</v>
      </c>
      <c r="H7833" s="55">
        <v>-0.96726800000000002</v>
      </c>
      <c r="I7833" s="55">
        <v>-0.32698820000000001</v>
      </c>
      <c r="J7833" s="55">
        <v>-1.275387</v>
      </c>
      <c r="K7833" s="55">
        <v>-8.3633000000000006E-3</v>
      </c>
      <c r="L7833" s="55">
        <v>-6.9262999999999998E-3</v>
      </c>
      <c r="M7833" s="55">
        <v>-8.5281999999999997E-3</v>
      </c>
      <c r="N7833" s="55">
        <v>-7.8189000000000002E-3</v>
      </c>
    </row>
    <row r="7834" spans="1:14" hidden="1" x14ac:dyDescent="0.35">
      <c r="A7834" s="52" t="s">
        <v>766</v>
      </c>
      <c r="B7834" s="52" t="s">
        <v>37</v>
      </c>
      <c r="C7834" s="52" t="s">
        <v>266</v>
      </c>
      <c r="D7834" s="52" t="s">
        <v>266</v>
      </c>
      <c r="E7834" s="52" t="s">
        <v>767</v>
      </c>
      <c r="F7834" s="52" t="s">
        <v>581</v>
      </c>
      <c r="G7834" s="55" t="s">
        <v>279</v>
      </c>
      <c r="H7834" s="55">
        <v>0.11555600000000001</v>
      </c>
      <c r="I7834" s="55">
        <v>7.9754099999999994E-2</v>
      </c>
      <c r="J7834" s="55">
        <v>6.9188299999999994E-2</v>
      </c>
      <c r="K7834" s="55">
        <v>6.5699099999999996E-2</v>
      </c>
      <c r="L7834" s="55">
        <v>5.7385800000000001E-2</v>
      </c>
      <c r="M7834" s="55">
        <v>6.2260700000000002E-2</v>
      </c>
      <c r="N7834" s="55">
        <v>5.7273499999999998E-2</v>
      </c>
    </row>
    <row r="7835" spans="1:14" hidden="1" x14ac:dyDescent="0.35">
      <c r="A7835" s="52" t="s">
        <v>766</v>
      </c>
      <c r="B7835" s="52" t="s">
        <v>37</v>
      </c>
      <c r="C7835" s="52" t="s">
        <v>266</v>
      </c>
      <c r="D7835" s="52" t="s">
        <v>266</v>
      </c>
      <c r="E7835" s="52" t="s">
        <v>767</v>
      </c>
      <c r="F7835" s="52" t="s">
        <v>26</v>
      </c>
      <c r="G7835" s="55" t="s">
        <v>275</v>
      </c>
      <c r="H7835" s="55">
        <v>-1.7465000000000001E-2</v>
      </c>
      <c r="I7835" s="55">
        <v>-1.53382E-2</v>
      </c>
      <c r="J7835" s="55">
        <v>-1.01163E-2</v>
      </c>
      <c r="K7835" s="55">
        <v>-1.06958E-2</v>
      </c>
      <c r="L7835" s="55">
        <v>-7.9745990000000006E-3</v>
      </c>
      <c r="M7835" s="55">
        <v>-1.31241E-2</v>
      </c>
      <c r="N7835" s="55">
        <v>-1.20836E-2</v>
      </c>
    </row>
    <row r="7836" spans="1:14" hidden="1" x14ac:dyDescent="0.35">
      <c r="A7836" s="52" t="s">
        <v>766</v>
      </c>
      <c r="B7836" s="52" t="s">
        <v>37</v>
      </c>
      <c r="C7836" s="52" t="s">
        <v>266</v>
      </c>
      <c r="D7836" s="52" t="s">
        <v>266</v>
      </c>
      <c r="E7836" s="52" t="s">
        <v>767</v>
      </c>
      <c r="F7836" s="52" t="s">
        <v>26</v>
      </c>
      <c r="G7836" s="55" t="s">
        <v>276</v>
      </c>
      <c r="H7836" s="55">
        <v>-5.3439999999999998E-3</v>
      </c>
      <c r="I7836" s="55">
        <v>-4.6937000000000003E-3</v>
      </c>
      <c r="J7836" s="55">
        <v>-3.0956E-3</v>
      </c>
      <c r="K7836" s="55">
        <v>-3.2726000000000001E-3</v>
      </c>
      <c r="L7836" s="55">
        <v>-2.4396000000000001E-3</v>
      </c>
      <c r="M7836" s="55">
        <v>-4.0152E-3</v>
      </c>
      <c r="N7836" s="55">
        <v>-3.6974E-3</v>
      </c>
    </row>
    <row r="7837" spans="1:14" hidden="1" x14ac:dyDescent="0.35">
      <c r="A7837" s="52" t="s">
        <v>766</v>
      </c>
      <c r="B7837" s="52" t="s">
        <v>37</v>
      </c>
      <c r="C7837" s="52" t="s">
        <v>266</v>
      </c>
      <c r="D7837" s="52" t="s">
        <v>266</v>
      </c>
      <c r="E7837" s="52" t="s">
        <v>767</v>
      </c>
      <c r="F7837" s="52" t="s">
        <v>26</v>
      </c>
      <c r="G7837" s="55" t="s">
        <v>279</v>
      </c>
      <c r="H7837" s="55">
        <v>8.8383000000000003E-2</v>
      </c>
      <c r="I7837" s="55">
        <v>7.0054900000000003E-2</v>
      </c>
      <c r="J7837" s="55">
        <v>6.1113800000000003E-2</v>
      </c>
      <c r="K7837" s="55">
        <v>5.8162100000000001E-2</v>
      </c>
      <c r="L7837" s="55">
        <v>5.12132E-2</v>
      </c>
      <c r="M7837" s="55">
        <v>5.4876500000000002E-2</v>
      </c>
      <c r="N7837" s="55">
        <v>5.0475689999999997E-2</v>
      </c>
    </row>
    <row r="7838" spans="1:14" hidden="1" x14ac:dyDescent="0.35">
      <c r="A7838" s="52" t="s">
        <v>766</v>
      </c>
      <c r="B7838" s="52" t="s">
        <v>37</v>
      </c>
      <c r="C7838" s="52" t="s">
        <v>266</v>
      </c>
      <c r="D7838" s="52" t="s">
        <v>266</v>
      </c>
      <c r="E7838" s="52" t="s">
        <v>768</v>
      </c>
      <c r="F7838" s="52" t="s">
        <v>581</v>
      </c>
      <c r="G7838" s="55" t="s">
        <v>275</v>
      </c>
      <c r="H7838" s="55"/>
      <c r="I7838" s="55"/>
      <c r="J7838" s="55"/>
      <c r="K7838" s="55"/>
      <c r="L7838" s="55"/>
      <c r="M7838" s="55"/>
      <c r="N7838" s="55">
        <v>0</v>
      </c>
    </row>
    <row r="7839" spans="1:14" hidden="1" x14ac:dyDescent="0.35">
      <c r="A7839" s="52" t="s">
        <v>766</v>
      </c>
      <c r="B7839" s="52" t="s">
        <v>37</v>
      </c>
      <c r="C7839" s="52" t="s">
        <v>266</v>
      </c>
      <c r="D7839" s="52" t="s">
        <v>266</v>
      </c>
      <c r="E7839" s="52" t="s">
        <v>768</v>
      </c>
      <c r="F7839" s="52" t="s">
        <v>581</v>
      </c>
      <c r="G7839" s="55" t="s">
        <v>276</v>
      </c>
      <c r="H7839" s="55"/>
      <c r="I7839" s="55"/>
      <c r="J7839" s="55"/>
      <c r="K7839" s="55"/>
      <c r="L7839" s="55"/>
      <c r="M7839" s="55"/>
      <c r="N7839" s="55">
        <v>0</v>
      </c>
    </row>
    <row r="7840" spans="1:14" hidden="1" x14ac:dyDescent="0.35">
      <c r="A7840" s="52" t="s">
        <v>766</v>
      </c>
      <c r="B7840" s="52" t="s">
        <v>37</v>
      </c>
      <c r="C7840" s="52" t="s">
        <v>266</v>
      </c>
      <c r="D7840" s="52" t="s">
        <v>266</v>
      </c>
      <c r="E7840" s="52" t="s">
        <v>768</v>
      </c>
      <c r="F7840" s="52" t="s">
        <v>581</v>
      </c>
      <c r="G7840" s="55" t="s">
        <v>279</v>
      </c>
      <c r="H7840" s="55"/>
      <c r="I7840" s="55"/>
      <c r="J7840" s="55"/>
      <c r="K7840" s="55"/>
      <c r="L7840" s="55"/>
      <c r="M7840" s="55">
        <v>0</v>
      </c>
      <c r="N7840" s="55">
        <v>0</v>
      </c>
    </row>
    <row r="7841" spans="1:14" hidden="1" x14ac:dyDescent="0.35">
      <c r="A7841" s="52" t="s">
        <v>766</v>
      </c>
      <c r="B7841" s="52" t="s">
        <v>37</v>
      </c>
      <c r="C7841" s="52" t="s">
        <v>266</v>
      </c>
      <c r="D7841" s="52" t="s">
        <v>266</v>
      </c>
      <c r="E7841" s="52" t="s">
        <v>768</v>
      </c>
      <c r="F7841" s="52" t="s">
        <v>26</v>
      </c>
      <c r="G7841" s="55" t="s">
        <v>275</v>
      </c>
      <c r="H7841" s="55"/>
      <c r="I7841" s="55"/>
      <c r="J7841" s="55"/>
      <c r="K7841" s="55"/>
      <c r="L7841" s="55"/>
      <c r="M7841" s="55"/>
      <c r="N7841" s="55">
        <v>0</v>
      </c>
    </row>
    <row r="7842" spans="1:14" hidden="1" x14ac:dyDescent="0.35">
      <c r="A7842" s="52" t="s">
        <v>766</v>
      </c>
      <c r="B7842" s="52" t="s">
        <v>37</v>
      </c>
      <c r="C7842" s="52" t="s">
        <v>266</v>
      </c>
      <c r="D7842" s="52" t="s">
        <v>266</v>
      </c>
      <c r="E7842" s="52" t="s">
        <v>768</v>
      </c>
      <c r="F7842" s="52" t="s">
        <v>26</v>
      </c>
      <c r="G7842" s="55" t="s">
        <v>276</v>
      </c>
      <c r="H7842" s="55"/>
      <c r="I7842" s="55"/>
      <c r="J7842" s="55"/>
      <c r="K7842" s="55"/>
      <c r="L7842" s="55"/>
      <c r="M7842" s="55"/>
      <c r="N7842" s="55">
        <v>0</v>
      </c>
    </row>
    <row r="7843" spans="1:14" hidden="1" x14ac:dyDescent="0.35">
      <c r="A7843" s="52" t="s">
        <v>766</v>
      </c>
      <c r="B7843" s="52" t="s">
        <v>37</v>
      </c>
      <c r="C7843" s="52" t="s">
        <v>266</v>
      </c>
      <c r="D7843" s="52" t="s">
        <v>266</v>
      </c>
      <c r="E7843" s="52" t="s">
        <v>768</v>
      </c>
      <c r="F7843" s="52" t="s">
        <v>26</v>
      </c>
      <c r="G7843" s="55" t="s">
        <v>277</v>
      </c>
      <c r="H7843" s="55"/>
      <c r="I7843" s="55"/>
      <c r="J7843" s="55"/>
      <c r="K7843" s="55"/>
      <c r="L7843" s="55"/>
      <c r="M7843" s="55">
        <v>0</v>
      </c>
      <c r="N7843" s="55">
        <v>0</v>
      </c>
    </row>
    <row r="7844" spans="1:14" hidden="1" x14ac:dyDescent="0.35">
      <c r="A7844" s="52" t="s">
        <v>766</v>
      </c>
      <c r="B7844" s="52" t="s">
        <v>37</v>
      </c>
      <c r="C7844" s="52" t="s">
        <v>266</v>
      </c>
      <c r="D7844" s="52" t="s">
        <v>266</v>
      </c>
      <c r="E7844" s="52" t="s">
        <v>768</v>
      </c>
      <c r="F7844" s="52" t="s">
        <v>26</v>
      </c>
      <c r="G7844" s="55" t="s">
        <v>279</v>
      </c>
      <c r="H7844" s="55"/>
      <c r="I7844" s="55"/>
      <c r="J7844" s="55"/>
      <c r="K7844" s="55"/>
      <c r="L7844" s="55"/>
      <c r="M7844" s="55">
        <v>0</v>
      </c>
      <c r="N7844" s="55">
        <v>0</v>
      </c>
    </row>
    <row r="7845" spans="1:14" hidden="1" x14ac:dyDescent="0.35">
      <c r="A7845" s="52" t="s">
        <v>766</v>
      </c>
      <c r="B7845" s="52" t="s">
        <v>37</v>
      </c>
      <c r="C7845" s="52" t="s">
        <v>318</v>
      </c>
      <c r="D7845" s="52" t="s">
        <v>318</v>
      </c>
      <c r="E7845" s="52" t="s">
        <v>584</v>
      </c>
      <c r="F7845" s="52" t="s">
        <v>581</v>
      </c>
      <c r="G7845" s="55" t="s">
        <v>275</v>
      </c>
      <c r="H7845" s="55">
        <v>1.1E-4</v>
      </c>
      <c r="I7845" s="55">
        <v>0</v>
      </c>
      <c r="J7845" s="55"/>
      <c r="K7845" s="55"/>
      <c r="L7845" s="55"/>
      <c r="M7845" s="55"/>
      <c r="N7845" s="55"/>
    </row>
    <row r="7846" spans="1:14" hidden="1" x14ac:dyDescent="0.35">
      <c r="A7846" s="52" t="s">
        <v>766</v>
      </c>
      <c r="B7846" s="52" t="s">
        <v>37</v>
      </c>
      <c r="C7846" s="52" t="s">
        <v>318</v>
      </c>
      <c r="D7846" s="52" t="s">
        <v>318</v>
      </c>
      <c r="E7846" s="52" t="s">
        <v>584</v>
      </c>
      <c r="F7846" s="52" t="s">
        <v>581</v>
      </c>
      <c r="G7846" s="55" t="s">
        <v>276</v>
      </c>
      <c r="H7846" s="55">
        <v>-1.1E-4</v>
      </c>
      <c r="I7846" s="55">
        <v>0</v>
      </c>
      <c r="J7846" s="55"/>
      <c r="K7846" s="55"/>
      <c r="L7846" s="55"/>
      <c r="M7846" s="55"/>
      <c r="N7846" s="55"/>
    </row>
    <row r="7847" spans="1:14" hidden="1" x14ac:dyDescent="0.35">
      <c r="A7847" s="52" t="s">
        <v>766</v>
      </c>
      <c r="B7847" s="52" t="s">
        <v>37</v>
      </c>
      <c r="C7847" s="52" t="s">
        <v>318</v>
      </c>
      <c r="D7847" s="52" t="s">
        <v>318</v>
      </c>
      <c r="E7847" s="52" t="s">
        <v>584</v>
      </c>
      <c r="F7847" s="52" t="s">
        <v>581</v>
      </c>
      <c r="G7847" s="55" t="s">
        <v>278</v>
      </c>
      <c r="H7847" s="55">
        <v>0</v>
      </c>
      <c r="I7847" s="55"/>
      <c r="J7847" s="55"/>
      <c r="K7847" s="55"/>
      <c r="L7847" s="55"/>
      <c r="M7847" s="55"/>
      <c r="N7847" s="55"/>
    </row>
    <row r="7848" spans="1:14" hidden="1" x14ac:dyDescent="0.35">
      <c r="A7848" s="52" t="s">
        <v>766</v>
      </c>
      <c r="B7848" s="52" t="s">
        <v>37</v>
      </c>
      <c r="C7848" s="52" t="s">
        <v>318</v>
      </c>
      <c r="D7848" s="52" t="s">
        <v>318</v>
      </c>
      <c r="E7848" s="52" t="s">
        <v>584</v>
      </c>
      <c r="F7848" s="52" t="s">
        <v>26</v>
      </c>
      <c r="G7848" s="55" t="s">
        <v>275</v>
      </c>
      <c r="H7848" s="55">
        <v>7.3999999999999996E-5</v>
      </c>
      <c r="I7848" s="55">
        <v>0</v>
      </c>
      <c r="J7848" s="55"/>
      <c r="K7848" s="55"/>
      <c r="L7848" s="55"/>
      <c r="M7848" s="55"/>
      <c r="N7848" s="55"/>
    </row>
    <row r="7849" spans="1:14" hidden="1" x14ac:dyDescent="0.35">
      <c r="A7849" s="52" t="s">
        <v>766</v>
      </c>
      <c r="B7849" s="52" t="s">
        <v>37</v>
      </c>
      <c r="C7849" s="52" t="s">
        <v>318</v>
      </c>
      <c r="D7849" s="52" t="s">
        <v>318</v>
      </c>
      <c r="E7849" s="52" t="s">
        <v>584</v>
      </c>
      <c r="F7849" s="52" t="s">
        <v>26</v>
      </c>
      <c r="G7849" s="55" t="s">
        <v>276</v>
      </c>
      <c r="H7849" s="55">
        <v>-7.3999999999999996E-5</v>
      </c>
      <c r="I7849" s="55">
        <v>0</v>
      </c>
      <c r="J7849" s="55"/>
      <c r="K7849" s="55"/>
      <c r="L7849" s="55"/>
      <c r="M7849" s="55"/>
      <c r="N7849" s="55"/>
    </row>
    <row r="7850" spans="1:14" hidden="1" x14ac:dyDescent="0.35">
      <c r="A7850" s="52" t="s">
        <v>766</v>
      </c>
      <c r="B7850" s="52" t="s">
        <v>37</v>
      </c>
      <c r="C7850" s="52" t="s">
        <v>318</v>
      </c>
      <c r="D7850" s="52" t="s">
        <v>318</v>
      </c>
      <c r="E7850" s="52" t="s">
        <v>584</v>
      </c>
      <c r="F7850" s="52" t="s">
        <v>26</v>
      </c>
      <c r="G7850" s="55" t="s">
        <v>278</v>
      </c>
      <c r="H7850" s="55">
        <v>0</v>
      </c>
      <c r="I7850" s="55"/>
      <c r="J7850" s="55"/>
      <c r="K7850" s="55"/>
      <c r="L7850" s="55"/>
      <c r="M7850" s="55"/>
      <c r="N7850" s="55"/>
    </row>
    <row r="7851" spans="1:14" hidden="1" x14ac:dyDescent="0.35">
      <c r="A7851" s="52" t="s">
        <v>752</v>
      </c>
      <c r="B7851" s="52" t="s">
        <v>34</v>
      </c>
      <c r="C7851" s="52" t="s">
        <v>33</v>
      </c>
      <c r="D7851" s="52" t="s">
        <v>33</v>
      </c>
      <c r="E7851" s="52" t="s">
        <v>753</v>
      </c>
      <c r="F7851" s="52" t="s">
        <v>581</v>
      </c>
      <c r="G7851" s="55" t="s">
        <v>275</v>
      </c>
      <c r="H7851" s="55">
        <v>25.643319999999999</v>
      </c>
      <c r="I7851" s="55">
        <v>10.159140000000001</v>
      </c>
      <c r="J7851" s="55">
        <v>11.499169999999999</v>
      </c>
      <c r="K7851" s="55">
        <v>10.699170000000001</v>
      </c>
      <c r="L7851" s="55">
        <v>8.7885770000000001</v>
      </c>
      <c r="M7851" s="55">
        <v>9.3185420000000008</v>
      </c>
      <c r="N7851" s="55">
        <v>9.5363600000000002</v>
      </c>
    </row>
    <row r="7852" spans="1:14" hidden="1" x14ac:dyDescent="0.35">
      <c r="A7852" s="52" t="s">
        <v>752</v>
      </c>
      <c r="B7852" s="52" t="s">
        <v>34</v>
      </c>
      <c r="C7852" s="52" t="s">
        <v>33</v>
      </c>
      <c r="D7852" s="52" t="s">
        <v>33</v>
      </c>
      <c r="E7852" s="52" t="s">
        <v>753</v>
      </c>
      <c r="F7852" s="52" t="s">
        <v>581</v>
      </c>
      <c r="G7852" s="55" t="s">
        <v>276</v>
      </c>
      <c r="H7852" s="55">
        <v>8.8039850000000008</v>
      </c>
      <c r="I7852" s="55">
        <v>-0.91391330000000004</v>
      </c>
      <c r="J7852" s="55">
        <v>1.0398400000000001</v>
      </c>
      <c r="K7852" s="55">
        <v>1.2203820000000001</v>
      </c>
      <c r="L7852" s="55">
        <v>2.4204059999999998</v>
      </c>
      <c r="M7852" s="55">
        <v>2.4521299999999999</v>
      </c>
      <c r="N7852" s="55">
        <v>2.4235099999999998</v>
      </c>
    </row>
    <row r="7853" spans="1:14" hidden="1" x14ac:dyDescent="0.35">
      <c r="A7853" s="52" t="s">
        <v>752</v>
      </c>
      <c r="B7853" s="52" t="s">
        <v>34</v>
      </c>
      <c r="C7853" s="52" t="s">
        <v>33</v>
      </c>
      <c r="D7853" s="52" t="s">
        <v>33</v>
      </c>
      <c r="E7853" s="52" t="s">
        <v>753</v>
      </c>
      <c r="F7853" s="52" t="s">
        <v>581</v>
      </c>
      <c r="G7853" s="55" t="s">
        <v>277</v>
      </c>
      <c r="H7853" s="55">
        <v>22.627040000000001</v>
      </c>
      <c r="I7853" s="55">
        <v>6.6754439999999997</v>
      </c>
      <c r="J7853" s="55">
        <v>3.5168189999999999</v>
      </c>
      <c r="K7853" s="55">
        <v>2.6504120000000002</v>
      </c>
      <c r="L7853" s="55">
        <v>3.073369</v>
      </c>
      <c r="M7853" s="55">
        <v>2.7237369999999999</v>
      </c>
      <c r="N7853" s="55">
        <v>2.8136749999999999</v>
      </c>
    </row>
    <row r="7854" spans="1:14" hidden="1" x14ac:dyDescent="0.35">
      <c r="A7854" s="52" t="s">
        <v>752</v>
      </c>
      <c r="B7854" s="52" t="s">
        <v>34</v>
      </c>
      <c r="C7854" s="52" t="s">
        <v>33</v>
      </c>
      <c r="D7854" s="52" t="s">
        <v>33</v>
      </c>
      <c r="E7854" s="52" t="s">
        <v>753</v>
      </c>
      <c r="F7854" s="52" t="s">
        <v>581</v>
      </c>
      <c r="G7854" s="55" t="s">
        <v>278</v>
      </c>
      <c r="H7854" s="55">
        <v>5.2079529999999998</v>
      </c>
      <c r="I7854" s="55">
        <v>4.2296779999999998</v>
      </c>
      <c r="J7854" s="55">
        <v>3.523711</v>
      </c>
      <c r="K7854" s="55">
        <v>3.791744</v>
      </c>
      <c r="L7854" s="55">
        <v>4.1419259999999998</v>
      </c>
      <c r="M7854" s="55">
        <v>2.6966039999999998</v>
      </c>
      <c r="N7854" s="55">
        <v>1.6484380000000001</v>
      </c>
    </row>
    <row r="7855" spans="1:14" hidden="1" x14ac:dyDescent="0.35">
      <c r="A7855" s="52" t="s">
        <v>752</v>
      </c>
      <c r="B7855" s="52" t="s">
        <v>34</v>
      </c>
      <c r="C7855" s="52" t="s">
        <v>33</v>
      </c>
      <c r="D7855" s="52" t="s">
        <v>33</v>
      </c>
      <c r="E7855" s="52" t="s">
        <v>753</v>
      </c>
      <c r="F7855" s="52" t="s">
        <v>581</v>
      </c>
      <c r="G7855" s="55" t="s">
        <v>279</v>
      </c>
      <c r="H7855" s="55">
        <v>16.328489999999999</v>
      </c>
      <c r="I7855" s="55">
        <v>15.40344</v>
      </c>
      <c r="J7855" s="55">
        <v>13.76464</v>
      </c>
      <c r="K7855" s="55">
        <v>12.716900000000001</v>
      </c>
      <c r="L7855" s="55">
        <v>11.21515</v>
      </c>
      <c r="M7855" s="55">
        <v>10.905060000000001</v>
      </c>
      <c r="N7855" s="55">
        <v>10.10322</v>
      </c>
    </row>
    <row r="7856" spans="1:14" hidden="1" x14ac:dyDescent="0.35">
      <c r="A7856" s="52" t="s">
        <v>752</v>
      </c>
      <c r="B7856" s="52" t="s">
        <v>34</v>
      </c>
      <c r="C7856" s="52" t="s">
        <v>33</v>
      </c>
      <c r="D7856" s="52" t="s">
        <v>33</v>
      </c>
      <c r="E7856" s="52" t="s">
        <v>753</v>
      </c>
      <c r="F7856" s="52" t="s">
        <v>26</v>
      </c>
      <c r="G7856" s="55" t="s">
        <v>275</v>
      </c>
      <c r="H7856" s="55">
        <v>-15.143599999999999</v>
      </c>
      <c r="I7856" s="55">
        <v>9.0525359999999999</v>
      </c>
      <c r="J7856" s="55">
        <v>9.1057089999999992</v>
      </c>
      <c r="K7856" s="55">
        <v>7.954466</v>
      </c>
      <c r="L7856" s="55">
        <v>6.0204430000000002</v>
      </c>
      <c r="M7856" s="55">
        <v>5.9821650000000002</v>
      </c>
      <c r="N7856" s="55">
        <v>5.2189449999999997</v>
      </c>
    </row>
    <row r="7857" spans="1:14" hidden="1" x14ac:dyDescent="0.35">
      <c r="A7857" s="52" t="s">
        <v>752</v>
      </c>
      <c r="B7857" s="52" t="s">
        <v>34</v>
      </c>
      <c r="C7857" s="52" t="s">
        <v>33</v>
      </c>
      <c r="D7857" s="52" t="s">
        <v>33</v>
      </c>
      <c r="E7857" s="52" t="s">
        <v>753</v>
      </c>
      <c r="F7857" s="52" t="s">
        <v>26</v>
      </c>
      <c r="G7857" s="55" t="s">
        <v>276</v>
      </c>
      <c r="H7857" s="55">
        <v>-0.1148057</v>
      </c>
      <c r="I7857" s="55">
        <v>-0.8759711</v>
      </c>
      <c r="J7857" s="55">
        <v>-1.3043629999999999</v>
      </c>
      <c r="K7857" s="55">
        <v>-0.52200860000000004</v>
      </c>
      <c r="L7857" s="55">
        <v>1.356481</v>
      </c>
      <c r="M7857" s="55">
        <v>1.4213210000000001</v>
      </c>
      <c r="N7857" s="55">
        <v>1.3664700000000001</v>
      </c>
    </row>
    <row r="7858" spans="1:14" hidden="1" x14ac:dyDescent="0.35">
      <c r="A7858" s="52" t="s">
        <v>752</v>
      </c>
      <c r="B7858" s="52" t="s">
        <v>34</v>
      </c>
      <c r="C7858" s="52" t="s">
        <v>33</v>
      </c>
      <c r="D7858" s="52" t="s">
        <v>33</v>
      </c>
      <c r="E7858" s="52" t="s">
        <v>753</v>
      </c>
      <c r="F7858" s="52" t="s">
        <v>26</v>
      </c>
      <c r="G7858" s="55" t="s">
        <v>277</v>
      </c>
      <c r="H7858" s="55">
        <v>24.60886</v>
      </c>
      <c r="I7858" s="55">
        <v>3.771185</v>
      </c>
      <c r="J7858" s="55">
        <v>0.79663850000000003</v>
      </c>
      <c r="K7858" s="55">
        <v>0.33652159999999998</v>
      </c>
      <c r="L7858" s="55">
        <v>0.44628879999999999</v>
      </c>
      <c r="M7858" s="55">
        <v>0</v>
      </c>
      <c r="N7858" s="55">
        <v>0</v>
      </c>
    </row>
    <row r="7859" spans="1:14" hidden="1" x14ac:dyDescent="0.35">
      <c r="A7859" s="52" t="s">
        <v>752</v>
      </c>
      <c r="B7859" s="52" t="s">
        <v>34</v>
      </c>
      <c r="C7859" s="52" t="s">
        <v>33</v>
      </c>
      <c r="D7859" s="52" t="s">
        <v>33</v>
      </c>
      <c r="E7859" s="52" t="s">
        <v>753</v>
      </c>
      <c r="F7859" s="52" t="s">
        <v>26</v>
      </c>
      <c r="G7859" s="55" t="s">
        <v>278</v>
      </c>
      <c r="H7859" s="55">
        <v>8.9041409999999992</v>
      </c>
      <c r="I7859" s="55">
        <v>2.785317</v>
      </c>
      <c r="J7859" s="55">
        <v>1.5217080000000001</v>
      </c>
      <c r="K7859" s="55">
        <v>0.85667819999999995</v>
      </c>
      <c r="L7859" s="55">
        <v>0.93748430000000005</v>
      </c>
      <c r="M7859" s="55">
        <v>0</v>
      </c>
      <c r="N7859" s="55">
        <v>0</v>
      </c>
    </row>
    <row r="7860" spans="1:14" hidden="1" x14ac:dyDescent="0.35">
      <c r="A7860" s="52" t="s">
        <v>752</v>
      </c>
      <c r="B7860" s="52" t="s">
        <v>34</v>
      </c>
      <c r="C7860" s="52" t="s">
        <v>33</v>
      </c>
      <c r="D7860" s="52" t="s">
        <v>33</v>
      </c>
      <c r="E7860" s="52" t="s">
        <v>753</v>
      </c>
      <c r="F7860" s="52" t="s">
        <v>26</v>
      </c>
      <c r="G7860" s="55" t="s">
        <v>279</v>
      </c>
      <c r="H7860" s="55">
        <v>26.793420000000001</v>
      </c>
      <c r="I7860" s="55">
        <v>27.873190000000001</v>
      </c>
      <c r="J7860" s="55">
        <v>24.662890000000001</v>
      </c>
      <c r="K7860" s="55">
        <v>22.306059999999999</v>
      </c>
      <c r="L7860" s="55">
        <v>19.524439999999998</v>
      </c>
      <c r="M7860" s="55">
        <v>18.128820000000001</v>
      </c>
      <c r="N7860" s="55">
        <v>16.457599999999999</v>
      </c>
    </row>
    <row r="7861" spans="1:14" hidden="1" x14ac:dyDescent="0.35">
      <c r="A7861" s="52" t="s">
        <v>752</v>
      </c>
      <c r="B7861" s="52" t="s">
        <v>34</v>
      </c>
      <c r="C7861" s="52" t="s">
        <v>33</v>
      </c>
      <c r="D7861" s="52" t="s">
        <v>33</v>
      </c>
      <c r="E7861" s="52" t="s">
        <v>584</v>
      </c>
      <c r="F7861" s="52" t="s">
        <v>581</v>
      </c>
      <c r="G7861" s="55" t="s">
        <v>275</v>
      </c>
      <c r="H7861" s="55">
        <v>21.087029999999999</v>
      </c>
      <c r="I7861" s="55">
        <v>3.2152660000000002</v>
      </c>
      <c r="J7861" s="55">
        <v>2.9206470000000002</v>
      </c>
      <c r="K7861" s="55">
        <v>2.2003379999999999</v>
      </c>
      <c r="L7861" s="55">
        <v>-4.9919549999999999</v>
      </c>
      <c r="M7861" s="55">
        <v>-34.298020000000001</v>
      </c>
      <c r="N7861" s="55">
        <v>-12.61514</v>
      </c>
    </row>
    <row r="7862" spans="1:14" hidden="1" x14ac:dyDescent="0.35">
      <c r="A7862" s="52" t="s">
        <v>752</v>
      </c>
      <c r="B7862" s="52" t="s">
        <v>34</v>
      </c>
      <c r="C7862" s="52" t="s">
        <v>33</v>
      </c>
      <c r="D7862" s="52" t="s">
        <v>33</v>
      </c>
      <c r="E7862" s="52" t="s">
        <v>584</v>
      </c>
      <c r="F7862" s="52" t="s">
        <v>581</v>
      </c>
      <c r="G7862" s="55" t="s">
        <v>276</v>
      </c>
      <c r="H7862" s="55">
        <v>6.4005219999999996</v>
      </c>
      <c r="I7862" s="55">
        <v>0.39235130000000001</v>
      </c>
      <c r="J7862" s="55">
        <v>0.80852100000000005</v>
      </c>
      <c r="K7862" s="55">
        <v>0.65673429999999999</v>
      </c>
      <c r="L7862" s="55">
        <v>-1.4930589999999999</v>
      </c>
      <c r="M7862" s="55">
        <v>-10.231949999999999</v>
      </c>
      <c r="N7862" s="55">
        <v>-3.8651599999999999</v>
      </c>
    </row>
    <row r="7863" spans="1:14" hidden="1" x14ac:dyDescent="0.35">
      <c r="A7863" s="52" t="s">
        <v>752</v>
      </c>
      <c r="B7863" s="52" t="s">
        <v>34</v>
      </c>
      <c r="C7863" s="52" t="s">
        <v>33</v>
      </c>
      <c r="D7863" s="52" t="s">
        <v>33</v>
      </c>
      <c r="E7863" s="52" t="s">
        <v>584</v>
      </c>
      <c r="F7863" s="52" t="s">
        <v>581</v>
      </c>
      <c r="G7863" s="55" t="s">
        <v>277</v>
      </c>
      <c r="H7863" s="55">
        <v>2.8001999999999999E-2</v>
      </c>
      <c r="I7863" s="55">
        <v>0.18538019999999999</v>
      </c>
      <c r="J7863" s="55">
        <v>1.983E-2</v>
      </c>
      <c r="K7863" s="55">
        <v>1.7314599999999999E-2</v>
      </c>
      <c r="L7863" s="55">
        <v>1.5438E-2</v>
      </c>
      <c r="M7863" s="55">
        <v>1.4010999999999999E-2</v>
      </c>
      <c r="N7863" s="55">
        <v>0.61525110000000005</v>
      </c>
    </row>
    <row r="7864" spans="1:14" hidden="1" x14ac:dyDescent="0.35">
      <c r="A7864" s="52" t="s">
        <v>752</v>
      </c>
      <c r="B7864" s="52" t="s">
        <v>34</v>
      </c>
      <c r="C7864" s="52" t="s">
        <v>33</v>
      </c>
      <c r="D7864" s="52" t="s">
        <v>33</v>
      </c>
      <c r="E7864" s="52" t="s">
        <v>584</v>
      </c>
      <c r="F7864" s="52" t="s">
        <v>581</v>
      </c>
      <c r="G7864" s="55" t="s">
        <v>279</v>
      </c>
      <c r="H7864" s="55">
        <v>19.143879999999999</v>
      </c>
      <c r="I7864" s="55">
        <v>15.515180000000001</v>
      </c>
      <c r="J7864" s="55">
        <v>12.894439999999999</v>
      </c>
      <c r="K7864" s="55">
        <v>11.982839999999999</v>
      </c>
      <c r="L7864" s="55">
        <v>18.958950000000002</v>
      </c>
      <c r="M7864" s="55">
        <v>53.234650000000002</v>
      </c>
      <c r="N7864" s="55">
        <v>20.226150000000001</v>
      </c>
    </row>
    <row r="7865" spans="1:14" hidden="1" x14ac:dyDescent="0.35">
      <c r="A7865" s="52" t="s">
        <v>752</v>
      </c>
      <c r="B7865" s="52" t="s">
        <v>34</v>
      </c>
      <c r="C7865" s="52" t="s">
        <v>33</v>
      </c>
      <c r="D7865" s="52" t="s">
        <v>33</v>
      </c>
      <c r="E7865" s="52" t="s">
        <v>584</v>
      </c>
      <c r="F7865" s="52" t="s">
        <v>26</v>
      </c>
      <c r="G7865" s="55" t="s">
        <v>275</v>
      </c>
      <c r="H7865" s="55">
        <v>-8.6877770000000005</v>
      </c>
      <c r="I7865" s="55">
        <v>-10.28131</v>
      </c>
      <c r="J7865" s="55">
        <v>-12.70135</v>
      </c>
      <c r="K7865" s="55">
        <v>-15.830069999999999</v>
      </c>
      <c r="L7865" s="55">
        <v>-47.374209999999998</v>
      </c>
      <c r="M7865" s="55">
        <v>-200.6405</v>
      </c>
      <c r="N7865" s="55">
        <v>-9.3606049999999996</v>
      </c>
    </row>
    <row r="7866" spans="1:14" hidden="1" x14ac:dyDescent="0.35">
      <c r="A7866" s="52" t="s">
        <v>752</v>
      </c>
      <c r="B7866" s="52" t="s">
        <v>34</v>
      </c>
      <c r="C7866" s="52" t="s">
        <v>33</v>
      </c>
      <c r="D7866" s="52" t="s">
        <v>33</v>
      </c>
      <c r="E7866" s="52" t="s">
        <v>584</v>
      </c>
      <c r="F7866" s="52" t="s">
        <v>26</v>
      </c>
      <c r="G7866" s="55" t="s">
        <v>276</v>
      </c>
      <c r="H7866" s="55">
        <v>-18.064250000000001</v>
      </c>
      <c r="I7866" s="55">
        <v>-12.43585</v>
      </c>
      <c r="J7866" s="55">
        <v>-7.1682370000000004</v>
      </c>
      <c r="K7866" s="55">
        <v>-5.8088579999999999</v>
      </c>
      <c r="L7866" s="55">
        <v>-15.13669</v>
      </c>
      <c r="M7866" s="55">
        <v>-60.481409999999997</v>
      </c>
      <c r="N7866" s="55">
        <v>-3.3434740000000001</v>
      </c>
    </row>
    <row r="7867" spans="1:14" hidden="1" x14ac:dyDescent="0.35">
      <c r="A7867" s="52" t="s">
        <v>752</v>
      </c>
      <c r="B7867" s="52" t="s">
        <v>34</v>
      </c>
      <c r="C7867" s="52" t="s">
        <v>33</v>
      </c>
      <c r="D7867" s="52" t="s">
        <v>33</v>
      </c>
      <c r="E7867" s="52" t="s">
        <v>584</v>
      </c>
      <c r="F7867" s="52" t="s">
        <v>26</v>
      </c>
      <c r="G7867" s="55" t="s">
        <v>277</v>
      </c>
      <c r="H7867" s="55">
        <v>10.632</v>
      </c>
      <c r="I7867" s="55">
        <v>8.545026</v>
      </c>
      <c r="J7867" s="55">
        <v>5.6134940000000002</v>
      </c>
      <c r="K7867" s="55">
        <v>3.8505660000000002</v>
      </c>
      <c r="L7867" s="55">
        <v>1.972399</v>
      </c>
      <c r="M7867" s="55">
        <v>1.603207</v>
      </c>
      <c r="N7867" s="55">
        <v>0.72450250000000005</v>
      </c>
    </row>
    <row r="7868" spans="1:14" hidden="1" x14ac:dyDescent="0.35">
      <c r="A7868" s="52" t="s">
        <v>752</v>
      </c>
      <c r="B7868" s="52" t="s">
        <v>34</v>
      </c>
      <c r="C7868" s="52" t="s">
        <v>33</v>
      </c>
      <c r="D7868" s="52" t="s">
        <v>33</v>
      </c>
      <c r="E7868" s="52" t="s">
        <v>584</v>
      </c>
      <c r="F7868" s="52" t="s">
        <v>26</v>
      </c>
      <c r="G7868" s="55" t="s">
        <v>279</v>
      </c>
      <c r="H7868" s="55">
        <v>81.714399999999998</v>
      </c>
      <c r="I7868" s="55">
        <v>69.851550000000003</v>
      </c>
      <c r="J7868" s="55">
        <v>60.425170000000001</v>
      </c>
      <c r="K7868" s="55">
        <v>57.504939999999998</v>
      </c>
      <c r="L7868" s="55">
        <v>90.901989999999998</v>
      </c>
      <c r="M7868" s="55">
        <v>276.95499999999998</v>
      </c>
      <c r="N7868" s="55">
        <v>17.616070000000001</v>
      </c>
    </row>
    <row r="7869" spans="1:14" hidden="1" x14ac:dyDescent="0.35">
      <c r="A7869" s="52" t="s">
        <v>752</v>
      </c>
      <c r="B7869" s="52" t="s">
        <v>34</v>
      </c>
      <c r="C7869" s="52" t="s">
        <v>33</v>
      </c>
      <c r="D7869" s="52" t="s">
        <v>33</v>
      </c>
      <c r="E7869" s="52" t="s">
        <v>675</v>
      </c>
      <c r="F7869" s="52" t="s">
        <v>581</v>
      </c>
      <c r="G7869" s="55" t="s">
        <v>275</v>
      </c>
      <c r="H7869" s="55">
        <v>13.77693</v>
      </c>
      <c r="I7869" s="55">
        <v>4.9916219999999996</v>
      </c>
      <c r="J7869" s="55">
        <v>4.7432280000000002</v>
      </c>
      <c r="K7869" s="55">
        <v>4.2291650000000001</v>
      </c>
      <c r="L7869" s="55">
        <v>4.1401649999999997</v>
      </c>
      <c r="M7869" s="55">
        <v>3.690658</v>
      </c>
      <c r="N7869" s="55">
        <v>3.443635</v>
      </c>
    </row>
    <row r="7870" spans="1:14" hidden="1" x14ac:dyDescent="0.35">
      <c r="A7870" s="52" t="s">
        <v>752</v>
      </c>
      <c r="B7870" s="52" t="s">
        <v>34</v>
      </c>
      <c r="C7870" s="52" t="s">
        <v>33</v>
      </c>
      <c r="D7870" s="52" t="s">
        <v>33</v>
      </c>
      <c r="E7870" s="52" t="s">
        <v>675</v>
      </c>
      <c r="F7870" s="52" t="s">
        <v>581</v>
      </c>
      <c r="G7870" s="55" t="s">
        <v>276</v>
      </c>
      <c r="H7870" s="55">
        <v>4.9671919999999998</v>
      </c>
      <c r="I7870" s="55">
        <v>1.6638759999999999</v>
      </c>
      <c r="J7870" s="55">
        <v>1.4978579999999999</v>
      </c>
      <c r="K7870" s="55">
        <v>1.2632570000000001</v>
      </c>
      <c r="L7870" s="55">
        <v>1.2366729999999999</v>
      </c>
      <c r="M7870" s="55">
        <v>1.1024039999999999</v>
      </c>
      <c r="N7870" s="55">
        <v>1.028619</v>
      </c>
    </row>
    <row r="7871" spans="1:14" hidden="1" x14ac:dyDescent="0.35">
      <c r="A7871" s="52" t="s">
        <v>752</v>
      </c>
      <c r="B7871" s="52" t="s">
        <v>34</v>
      </c>
      <c r="C7871" s="52" t="s">
        <v>33</v>
      </c>
      <c r="D7871" s="52" t="s">
        <v>33</v>
      </c>
      <c r="E7871" s="52" t="s">
        <v>675</v>
      </c>
      <c r="F7871" s="52" t="s">
        <v>581</v>
      </c>
      <c r="G7871" s="55" t="s">
        <v>279</v>
      </c>
      <c r="H7871" s="55">
        <v>3.9329149999999999</v>
      </c>
      <c r="I7871" s="55">
        <v>3.494891</v>
      </c>
      <c r="J7871" s="55">
        <v>3.1151580000000001</v>
      </c>
      <c r="K7871" s="55">
        <v>2.7515230000000002</v>
      </c>
      <c r="L7871" s="55">
        <v>2.4027479999999999</v>
      </c>
      <c r="M7871" s="55">
        <v>2.2049180000000002</v>
      </c>
      <c r="N7871" s="55">
        <v>1.985854</v>
      </c>
    </row>
    <row r="7872" spans="1:14" hidden="1" x14ac:dyDescent="0.35">
      <c r="A7872" s="52" t="s">
        <v>752</v>
      </c>
      <c r="B7872" s="52" t="s">
        <v>34</v>
      </c>
      <c r="C7872" s="52" t="s">
        <v>33</v>
      </c>
      <c r="D7872" s="52" t="s">
        <v>33</v>
      </c>
      <c r="E7872" s="52" t="s">
        <v>675</v>
      </c>
      <c r="F7872" s="52" t="s">
        <v>26</v>
      </c>
      <c r="G7872" s="55" t="s">
        <v>275</v>
      </c>
      <c r="H7872" s="55">
        <v>22.554870000000001</v>
      </c>
      <c r="I7872" s="55">
        <v>19.619859999999999</v>
      </c>
      <c r="J7872" s="55">
        <v>14.64208</v>
      </c>
      <c r="K7872" s="55">
        <v>9.3913740000000008</v>
      </c>
      <c r="L7872" s="55">
        <v>7.2220529999999998</v>
      </c>
      <c r="M7872" s="55">
        <v>8.3082779999999996</v>
      </c>
      <c r="N7872" s="55">
        <v>6.605035</v>
      </c>
    </row>
    <row r="7873" spans="1:14" hidden="1" x14ac:dyDescent="0.35">
      <c r="A7873" s="52" t="s">
        <v>752</v>
      </c>
      <c r="B7873" s="52" t="s">
        <v>34</v>
      </c>
      <c r="C7873" s="52" t="s">
        <v>33</v>
      </c>
      <c r="D7873" s="52" t="s">
        <v>33</v>
      </c>
      <c r="E7873" s="52" t="s">
        <v>675</v>
      </c>
      <c r="F7873" s="52" t="s">
        <v>26</v>
      </c>
      <c r="G7873" s="55" t="s">
        <v>276</v>
      </c>
      <c r="H7873" s="55">
        <v>-7.4898160000000003</v>
      </c>
      <c r="I7873" s="55">
        <v>-6.4416169999999999</v>
      </c>
      <c r="J7873" s="55">
        <v>-0.93483289999999997</v>
      </c>
      <c r="K7873" s="55">
        <v>0.98898039999999998</v>
      </c>
      <c r="L7873" s="55">
        <v>1.554581</v>
      </c>
      <c r="M7873" s="55">
        <v>1.8303780000000001</v>
      </c>
      <c r="N7873" s="55">
        <v>1.705017</v>
      </c>
    </row>
    <row r="7874" spans="1:14" hidden="1" x14ac:dyDescent="0.35">
      <c r="A7874" s="52" t="s">
        <v>752</v>
      </c>
      <c r="B7874" s="52" t="s">
        <v>34</v>
      </c>
      <c r="C7874" s="52" t="s">
        <v>33</v>
      </c>
      <c r="D7874" s="52" t="s">
        <v>33</v>
      </c>
      <c r="E7874" s="52" t="s">
        <v>675</v>
      </c>
      <c r="F7874" s="52" t="s">
        <v>26</v>
      </c>
      <c r="G7874" s="55" t="s">
        <v>277</v>
      </c>
      <c r="H7874" s="55">
        <v>15.31227</v>
      </c>
      <c r="I7874" s="55">
        <v>8.9441980000000001</v>
      </c>
      <c r="J7874" s="55">
        <v>2.5986739999999999</v>
      </c>
      <c r="K7874" s="55">
        <v>2.7043370000000002</v>
      </c>
      <c r="L7874" s="55">
        <v>2.795712</v>
      </c>
      <c r="M7874" s="55">
        <v>1.5790249999999999</v>
      </c>
      <c r="N7874" s="55">
        <v>1.523663</v>
      </c>
    </row>
    <row r="7875" spans="1:14" hidden="1" x14ac:dyDescent="0.35">
      <c r="A7875" s="52" t="s">
        <v>752</v>
      </c>
      <c r="B7875" s="52" t="s">
        <v>34</v>
      </c>
      <c r="C7875" s="52" t="s">
        <v>33</v>
      </c>
      <c r="D7875" s="52" t="s">
        <v>33</v>
      </c>
      <c r="E7875" s="52" t="s">
        <v>675</v>
      </c>
      <c r="F7875" s="52" t="s">
        <v>26</v>
      </c>
      <c r="G7875" s="55" t="s">
        <v>278</v>
      </c>
      <c r="H7875" s="55">
        <v>6.8437359999999998</v>
      </c>
      <c r="I7875" s="55">
        <v>7.9488640000000004</v>
      </c>
      <c r="J7875" s="55">
        <v>5.440518</v>
      </c>
      <c r="K7875" s="55">
        <v>4.8844940000000001</v>
      </c>
      <c r="L7875" s="55">
        <v>5.3545340000000001</v>
      </c>
      <c r="M7875" s="55">
        <v>3.4397340000000001</v>
      </c>
      <c r="N7875" s="55">
        <v>4.1997049999999998</v>
      </c>
    </row>
    <row r="7876" spans="1:14" hidden="1" x14ac:dyDescent="0.35">
      <c r="A7876" s="52" t="s">
        <v>752</v>
      </c>
      <c r="B7876" s="52" t="s">
        <v>34</v>
      </c>
      <c r="C7876" s="52" t="s">
        <v>33</v>
      </c>
      <c r="D7876" s="52" t="s">
        <v>33</v>
      </c>
      <c r="E7876" s="52" t="s">
        <v>675</v>
      </c>
      <c r="F7876" s="52" t="s">
        <v>26</v>
      </c>
      <c r="G7876" s="55" t="s">
        <v>279</v>
      </c>
      <c r="H7876" s="55">
        <v>27.782869999999999</v>
      </c>
      <c r="I7876" s="55">
        <v>24.95786</v>
      </c>
      <c r="J7876" s="55">
        <v>21.807950000000002</v>
      </c>
      <c r="K7876" s="55">
        <v>19.303270000000001</v>
      </c>
      <c r="L7876" s="55">
        <v>17.181360000000002</v>
      </c>
      <c r="M7876" s="55">
        <v>15.62964</v>
      </c>
      <c r="N7876" s="55">
        <v>14.419639999999999</v>
      </c>
    </row>
    <row r="7877" spans="1:14" hidden="1" x14ac:dyDescent="0.35">
      <c r="A7877" s="52" t="s">
        <v>752</v>
      </c>
      <c r="B7877" s="52" t="s">
        <v>34</v>
      </c>
      <c r="C7877" s="52" t="s">
        <v>33</v>
      </c>
      <c r="D7877" s="52" t="s">
        <v>33</v>
      </c>
      <c r="E7877" s="52" t="s">
        <v>739</v>
      </c>
      <c r="F7877" s="52" t="s">
        <v>581</v>
      </c>
      <c r="G7877" s="55" t="s">
        <v>275</v>
      </c>
      <c r="H7877" s="55">
        <v>4.8042020000000001</v>
      </c>
      <c r="I7877" s="55">
        <v>2.2803659999999999</v>
      </c>
      <c r="J7877" s="55">
        <v>2.4406400000000001</v>
      </c>
      <c r="K7877" s="55">
        <v>2.0165099999999998</v>
      </c>
      <c r="L7877" s="55">
        <v>1.697765</v>
      </c>
      <c r="M7877" s="55">
        <v>1.3610180000000001</v>
      </c>
      <c r="N7877" s="55">
        <v>-2.5432519999999998</v>
      </c>
    </row>
    <row r="7878" spans="1:14" hidden="1" x14ac:dyDescent="0.35">
      <c r="A7878" s="52" t="s">
        <v>752</v>
      </c>
      <c r="B7878" s="52" t="s">
        <v>34</v>
      </c>
      <c r="C7878" s="52" t="s">
        <v>33</v>
      </c>
      <c r="D7878" s="52" t="s">
        <v>33</v>
      </c>
      <c r="E7878" s="52" t="s">
        <v>739</v>
      </c>
      <c r="F7878" s="52" t="s">
        <v>581</v>
      </c>
      <c r="G7878" s="55" t="s">
        <v>276</v>
      </c>
      <c r="H7878" s="55">
        <v>2.2962929999999999</v>
      </c>
      <c r="I7878" s="55">
        <v>0.4152362</v>
      </c>
      <c r="J7878" s="55">
        <v>0.43704310000000002</v>
      </c>
      <c r="K7878" s="55">
        <v>0.40785739999999998</v>
      </c>
      <c r="L7878" s="55">
        <v>0.55205499999999996</v>
      </c>
      <c r="M7878" s="55">
        <v>0.49512139999999999</v>
      </c>
      <c r="N7878" s="55">
        <v>0.37992039999999999</v>
      </c>
    </row>
    <row r="7879" spans="1:14" hidden="1" x14ac:dyDescent="0.35">
      <c r="A7879" s="52" t="s">
        <v>752</v>
      </c>
      <c r="B7879" s="52" t="s">
        <v>34</v>
      </c>
      <c r="C7879" s="52" t="s">
        <v>33</v>
      </c>
      <c r="D7879" s="52" t="s">
        <v>33</v>
      </c>
      <c r="E7879" s="52" t="s">
        <v>739</v>
      </c>
      <c r="F7879" s="52" t="s">
        <v>581</v>
      </c>
      <c r="G7879" s="55" t="s">
        <v>277</v>
      </c>
      <c r="H7879" s="55">
        <v>3.2977630000000002</v>
      </c>
      <c r="I7879" s="55">
        <v>0.33855350000000001</v>
      </c>
      <c r="J7879" s="55">
        <v>0.70623060000000004</v>
      </c>
      <c r="K7879" s="55">
        <v>0.83047179999999998</v>
      </c>
      <c r="L7879" s="55">
        <v>0.96452879999999996</v>
      </c>
      <c r="M7879" s="55">
        <v>0.46457130000000002</v>
      </c>
      <c r="N7879" s="55">
        <v>2.1464650000000001</v>
      </c>
    </row>
    <row r="7880" spans="1:14" hidden="1" x14ac:dyDescent="0.35">
      <c r="A7880" s="52" t="s">
        <v>752</v>
      </c>
      <c r="B7880" s="52" t="s">
        <v>34</v>
      </c>
      <c r="C7880" s="52" t="s">
        <v>33</v>
      </c>
      <c r="D7880" s="52" t="s">
        <v>33</v>
      </c>
      <c r="E7880" s="52" t="s">
        <v>739</v>
      </c>
      <c r="F7880" s="52" t="s">
        <v>581</v>
      </c>
      <c r="G7880" s="55" t="s">
        <v>278</v>
      </c>
      <c r="H7880" s="55">
        <v>0.63923700000000006</v>
      </c>
      <c r="I7880" s="55">
        <v>0.96926460000000003</v>
      </c>
      <c r="J7880" s="55">
        <v>0.26051360000000001</v>
      </c>
      <c r="K7880" s="55">
        <v>0.37194909999999998</v>
      </c>
      <c r="L7880" s="55">
        <v>0.39502340000000002</v>
      </c>
      <c r="M7880" s="55">
        <v>1.1070930000000001</v>
      </c>
      <c r="N7880" s="55">
        <v>4.3182970000000003</v>
      </c>
    </row>
    <row r="7881" spans="1:14" hidden="1" x14ac:dyDescent="0.35">
      <c r="A7881" s="52" t="s">
        <v>752</v>
      </c>
      <c r="B7881" s="52" t="s">
        <v>34</v>
      </c>
      <c r="C7881" s="52" t="s">
        <v>33</v>
      </c>
      <c r="D7881" s="52" t="s">
        <v>33</v>
      </c>
      <c r="E7881" s="52" t="s">
        <v>739</v>
      </c>
      <c r="F7881" s="52" t="s">
        <v>581</v>
      </c>
      <c r="G7881" s="55" t="s">
        <v>279</v>
      </c>
      <c r="H7881" s="55">
        <v>2.3093460000000001</v>
      </c>
      <c r="I7881" s="55">
        <v>2.0912600000000001</v>
      </c>
      <c r="J7881" s="55">
        <v>1.8650979999999999</v>
      </c>
      <c r="K7881" s="55">
        <v>1.7399819999999999</v>
      </c>
      <c r="L7881" s="55">
        <v>1.555852</v>
      </c>
      <c r="M7881" s="55">
        <v>1.491749</v>
      </c>
      <c r="N7881" s="55">
        <v>1.6307689999999999</v>
      </c>
    </row>
    <row r="7882" spans="1:14" hidden="1" x14ac:dyDescent="0.35">
      <c r="A7882" s="52" t="s">
        <v>752</v>
      </c>
      <c r="B7882" s="52" t="s">
        <v>34</v>
      </c>
      <c r="C7882" s="52" t="s">
        <v>33</v>
      </c>
      <c r="D7882" s="52" t="s">
        <v>33</v>
      </c>
      <c r="E7882" s="52" t="s">
        <v>739</v>
      </c>
      <c r="F7882" s="52" t="s">
        <v>26</v>
      </c>
      <c r="G7882" s="55" t="s">
        <v>275</v>
      </c>
      <c r="H7882" s="55">
        <v>0.85340300000000002</v>
      </c>
      <c r="I7882" s="55">
        <v>0.65354159999999994</v>
      </c>
      <c r="J7882" s="55">
        <v>0.43102109999999999</v>
      </c>
      <c r="K7882" s="55">
        <v>0.37269380000000002</v>
      </c>
      <c r="L7882" s="55">
        <v>0.38942110000000002</v>
      </c>
      <c r="M7882" s="55">
        <v>0.32484960000000002</v>
      </c>
      <c r="N7882" s="55">
        <v>0.38399040000000001</v>
      </c>
    </row>
    <row r="7883" spans="1:14" hidden="1" x14ac:dyDescent="0.35">
      <c r="A7883" s="52" t="s">
        <v>752</v>
      </c>
      <c r="B7883" s="52" t="s">
        <v>34</v>
      </c>
      <c r="C7883" s="52" t="s">
        <v>33</v>
      </c>
      <c r="D7883" s="52" t="s">
        <v>33</v>
      </c>
      <c r="E7883" s="52" t="s">
        <v>739</v>
      </c>
      <c r="F7883" s="52" t="s">
        <v>26</v>
      </c>
      <c r="G7883" s="55" t="s">
        <v>276</v>
      </c>
      <c r="H7883" s="55">
        <v>0.30769099999999999</v>
      </c>
      <c r="I7883" s="55">
        <v>0.21784700000000001</v>
      </c>
      <c r="J7883" s="55">
        <v>0.13611119999999999</v>
      </c>
      <c r="K7883" s="55">
        <v>0.1113247</v>
      </c>
      <c r="L7883" s="55">
        <v>0.11631809999999999</v>
      </c>
      <c r="M7883" s="55">
        <v>9.7033590000000003E-2</v>
      </c>
      <c r="N7883" s="55">
        <v>0.1146973</v>
      </c>
    </row>
    <row r="7884" spans="1:14" hidden="1" x14ac:dyDescent="0.35">
      <c r="A7884" s="52" t="s">
        <v>752</v>
      </c>
      <c r="B7884" s="52" t="s">
        <v>34</v>
      </c>
      <c r="C7884" s="52" t="s">
        <v>33</v>
      </c>
      <c r="D7884" s="52" t="s">
        <v>33</v>
      </c>
      <c r="E7884" s="52" t="s">
        <v>739</v>
      </c>
      <c r="F7884" s="52" t="s">
        <v>26</v>
      </c>
      <c r="G7884" s="55" t="s">
        <v>279</v>
      </c>
      <c r="H7884" s="55">
        <v>2.369777</v>
      </c>
      <c r="I7884" s="55">
        <v>2.1044499999999999</v>
      </c>
      <c r="J7884" s="55">
        <v>1.880973</v>
      </c>
      <c r="K7884" s="55">
        <v>1.7641640000000001</v>
      </c>
      <c r="L7884" s="55">
        <v>1.5945229999999999</v>
      </c>
      <c r="M7884" s="55">
        <v>1.478834</v>
      </c>
      <c r="N7884" s="55">
        <v>1.5495760000000001</v>
      </c>
    </row>
    <row r="7885" spans="1:14" hidden="1" x14ac:dyDescent="0.35">
      <c r="A7885" s="52" t="s">
        <v>752</v>
      </c>
      <c r="B7885" s="52" t="s">
        <v>34</v>
      </c>
      <c r="C7885" s="52" t="s">
        <v>33</v>
      </c>
      <c r="D7885" s="52" t="s">
        <v>33</v>
      </c>
      <c r="E7885" s="52" t="s">
        <v>727</v>
      </c>
      <c r="F7885" s="52" t="s">
        <v>581</v>
      </c>
      <c r="G7885" s="55" t="s">
        <v>275</v>
      </c>
      <c r="H7885" s="55">
        <v>0.86484799999999995</v>
      </c>
      <c r="I7885" s="55">
        <v>-7.0674699999999993E-2</v>
      </c>
      <c r="J7885" s="55">
        <v>-3.495298E-3</v>
      </c>
      <c r="K7885" s="55">
        <v>-2.5500950000000001E-3</v>
      </c>
      <c r="L7885" s="55">
        <v>6.8890499999999993E-2</v>
      </c>
      <c r="M7885" s="55">
        <v>2.24222E-2</v>
      </c>
      <c r="N7885" s="55">
        <v>2.08682E-2</v>
      </c>
    </row>
    <row r="7886" spans="1:14" hidden="1" x14ac:dyDescent="0.35">
      <c r="A7886" s="52" t="s">
        <v>752</v>
      </c>
      <c r="B7886" s="52" t="s">
        <v>34</v>
      </c>
      <c r="C7886" s="52" t="s">
        <v>33</v>
      </c>
      <c r="D7886" s="52" t="s">
        <v>33</v>
      </c>
      <c r="E7886" s="52" t="s">
        <v>727</v>
      </c>
      <c r="F7886" s="52" t="s">
        <v>581</v>
      </c>
      <c r="G7886" s="55" t="s">
        <v>276</v>
      </c>
      <c r="H7886" s="55">
        <v>0.31181599999999998</v>
      </c>
      <c r="I7886" s="55">
        <v>-2.3557700000000001E-2</v>
      </c>
      <c r="J7886" s="55">
        <v>-1.103599E-3</v>
      </c>
      <c r="K7886" s="55">
        <v>-7.618964E-4</v>
      </c>
      <c r="L7886" s="55">
        <v>2.05778E-2</v>
      </c>
      <c r="M7886" s="55">
        <v>6.6965030000000004E-3</v>
      </c>
      <c r="N7886" s="55">
        <v>6.2338020000000001E-3</v>
      </c>
    </row>
    <row r="7887" spans="1:14" hidden="1" x14ac:dyDescent="0.35">
      <c r="A7887" s="52" t="s">
        <v>752</v>
      </c>
      <c r="B7887" s="52" t="s">
        <v>34</v>
      </c>
      <c r="C7887" s="52" t="s">
        <v>33</v>
      </c>
      <c r="D7887" s="52" t="s">
        <v>33</v>
      </c>
      <c r="E7887" s="52" t="s">
        <v>727</v>
      </c>
      <c r="F7887" s="52" t="s">
        <v>581</v>
      </c>
      <c r="G7887" s="55" t="s">
        <v>279</v>
      </c>
      <c r="H7887" s="55">
        <v>1.2895939999999999</v>
      </c>
      <c r="I7887" s="55">
        <v>1.5785009999999999</v>
      </c>
      <c r="J7887" s="55">
        <v>1.3809499999999999</v>
      </c>
      <c r="K7887" s="55">
        <v>1.246901</v>
      </c>
      <c r="L7887" s="55">
        <v>0.98182700000000001</v>
      </c>
      <c r="M7887" s="55">
        <v>0.92405099999999996</v>
      </c>
      <c r="N7887" s="55">
        <v>0.8134652</v>
      </c>
    </row>
    <row r="7888" spans="1:14" hidden="1" x14ac:dyDescent="0.35">
      <c r="A7888" s="52" t="s">
        <v>752</v>
      </c>
      <c r="B7888" s="52" t="s">
        <v>34</v>
      </c>
      <c r="C7888" s="52" t="s">
        <v>33</v>
      </c>
      <c r="D7888" s="52" t="s">
        <v>33</v>
      </c>
      <c r="E7888" s="52" t="s">
        <v>727</v>
      </c>
      <c r="F7888" s="52" t="s">
        <v>26</v>
      </c>
      <c r="G7888" s="55" t="s">
        <v>275</v>
      </c>
      <c r="H7888" s="55">
        <v>-1.3742000000000001E-2</v>
      </c>
      <c r="I7888" s="55">
        <v>-6.6406700000000001</v>
      </c>
      <c r="J7888" s="55">
        <v>-2.086144</v>
      </c>
      <c r="K7888" s="55">
        <v>-1.805518</v>
      </c>
      <c r="L7888" s="55">
        <v>-2.0439910000000001</v>
      </c>
      <c r="M7888" s="55">
        <v>-1.536597</v>
      </c>
      <c r="N7888" s="55">
        <v>-1.417173</v>
      </c>
    </row>
    <row r="7889" spans="1:14" hidden="1" x14ac:dyDescent="0.35">
      <c r="A7889" s="52" t="s">
        <v>752</v>
      </c>
      <c r="B7889" s="52" t="s">
        <v>34</v>
      </c>
      <c r="C7889" s="52" t="s">
        <v>33</v>
      </c>
      <c r="D7889" s="52" t="s">
        <v>33</v>
      </c>
      <c r="E7889" s="52" t="s">
        <v>727</v>
      </c>
      <c r="F7889" s="52" t="s">
        <v>26</v>
      </c>
      <c r="G7889" s="55" t="s">
        <v>276</v>
      </c>
      <c r="H7889" s="55">
        <v>-1.846422</v>
      </c>
      <c r="I7889" s="55">
        <v>-1.8134060000000001</v>
      </c>
      <c r="J7889" s="55">
        <v>-1.313212</v>
      </c>
      <c r="K7889" s="55">
        <v>-0.99154419999999999</v>
      </c>
      <c r="L7889" s="55">
        <v>-0.85493680000000005</v>
      </c>
      <c r="M7889" s="55">
        <v>-0.56053109999999995</v>
      </c>
      <c r="N7889" s="55">
        <v>-0.49259170000000002</v>
      </c>
    </row>
    <row r="7890" spans="1:14" hidden="1" x14ac:dyDescent="0.35">
      <c r="A7890" s="52" t="s">
        <v>752</v>
      </c>
      <c r="B7890" s="52" t="s">
        <v>34</v>
      </c>
      <c r="C7890" s="52" t="s">
        <v>33</v>
      </c>
      <c r="D7890" s="52" t="s">
        <v>33</v>
      </c>
      <c r="E7890" s="52" t="s">
        <v>727</v>
      </c>
      <c r="F7890" s="52" t="s">
        <v>26</v>
      </c>
      <c r="G7890" s="55" t="s">
        <v>277</v>
      </c>
      <c r="H7890" s="55">
        <v>0</v>
      </c>
      <c r="I7890" s="55">
        <v>4.4242540000000004</v>
      </c>
      <c r="J7890" s="55">
        <v>0.13211010000000001</v>
      </c>
      <c r="K7890" s="55">
        <v>0</v>
      </c>
      <c r="L7890" s="55"/>
      <c r="M7890" s="55">
        <v>0</v>
      </c>
      <c r="N7890" s="55">
        <v>0</v>
      </c>
    </row>
    <row r="7891" spans="1:14" hidden="1" x14ac:dyDescent="0.35">
      <c r="A7891" s="52" t="s">
        <v>752</v>
      </c>
      <c r="B7891" s="52" t="s">
        <v>34</v>
      </c>
      <c r="C7891" s="52" t="s">
        <v>33</v>
      </c>
      <c r="D7891" s="52" t="s">
        <v>33</v>
      </c>
      <c r="E7891" s="52" t="s">
        <v>727</v>
      </c>
      <c r="F7891" s="52" t="s">
        <v>26</v>
      </c>
      <c r="G7891" s="55" t="s">
        <v>278</v>
      </c>
      <c r="H7891" s="55">
        <v>0</v>
      </c>
      <c r="I7891" s="55">
        <v>1.199641</v>
      </c>
      <c r="J7891" s="55">
        <v>0.3</v>
      </c>
      <c r="K7891" s="55">
        <v>0</v>
      </c>
      <c r="L7891" s="55"/>
      <c r="M7891" s="55"/>
      <c r="N7891" s="55"/>
    </row>
    <row r="7892" spans="1:14" hidden="1" x14ac:dyDescent="0.35">
      <c r="A7892" s="52" t="s">
        <v>752</v>
      </c>
      <c r="B7892" s="52" t="s">
        <v>34</v>
      </c>
      <c r="C7892" s="52" t="s">
        <v>33</v>
      </c>
      <c r="D7892" s="52" t="s">
        <v>33</v>
      </c>
      <c r="E7892" s="52" t="s">
        <v>727</v>
      </c>
      <c r="F7892" s="52" t="s">
        <v>26</v>
      </c>
      <c r="G7892" s="55" t="s">
        <v>279</v>
      </c>
      <c r="H7892" s="55">
        <v>8.4839439999999993</v>
      </c>
      <c r="I7892" s="55">
        <v>10.37556</v>
      </c>
      <c r="J7892" s="55">
        <v>9.1140650000000001</v>
      </c>
      <c r="K7892" s="55">
        <v>8.2642310000000005</v>
      </c>
      <c r="L7892" s="55">
        <v>6.5785159999999996</v>
      </c>
      <c r="M7892" s="55">
        <v>6.1061290000000001</v>
      </c>
      <c r="N7892" s="55">
        <v>5.3754730000000004</v>
      </c>
    </row>
    <row r="7893" spans="1:14" hidden="1" x14ac:dyDescent="0.35">
      <c r="A7893" s="52" t="s">
        <v>752</v>
      </c>
      <c r="B7893" s="52" t="s">
        <v>34</v>
      </c>
      <c r="C7893" s="52" t="s">
        <v>33</v>
      </c>
      <c r="D7893" s="52" t="s">
        <v>33</v>
      </c>
      <c r="E7893" s="52" t="s">
        <v>754</v>
      </c>
      <c r="F7893" s="52" t="s">
        <v>581</v>
      </c>
      <c r="G7893" s="55" t="s">
        <v>275</v>
      </c>
      <c r="H7893" s="55">
        <v>3.1852849999999999</v>
      </c>
      <c r="I7893" s="55">
        <v>-2.0468150000000001</v>
      </c>
      <c r="J7893" s="55">
        <v>2.1623880000000002E-2</v>
      </c>
      <c r="K7893" s="55">
        <v>-0.22120129999999999</v>
      </c>
      <c r="L7893" s="55">
        <v>0.16332959999999999</v>
      </c>
      <c r="M7893" s="55">
        <v>1.4341200000000001</v>
      </c>
      <c r="N7893" s="55">
        <v>1.1879550000000001</v>
      </c>
    </row>
    <row r="7894" spans="1:14" hidden="1" x14ac:dyDescent="0.35">
      <c r="A7894" s="52" t="s">
        <v>752</v>
      </c>
      <c r="B7894" s="52" t="s">
        <v>34</v>
      </c>
      <c r="C7894" s="52" t="s">
        <v>33</v>
      </c>
      <c r="D7894" s="52" t="s">
        <v>33</v>
      </c>
      <c r="E7894" s="52" t="s">
        <v>754</v>
      </c>
      <c r="F7894" s="52" t="s">
        <v>581</v>
      </c>
      <c r="G7894" s="55" t="s">
        <v>276</v>
      </c>
      <c r="H7894" s="55">
        <v>0.44366299999999997</v>
      </c>
      <c r="I7894" s="55">
        <v>-0.31617240000000002</v>
      </c>
      <c r="J7894" s="55">
        <v>-0.21117669999999999</v>
      </c>
      <c r="K7894" s="55">
        <v>-6.0384489999999999E-2</v>
      </c>
      <c r="L7894" s="55">
        <v>-0.1271697</v>
      </c>
      <c r="M7894" s="55">
        <v>2.5581489999999998E-2</v>
      </c>
      <c r="N7894" s="55">
        <v>8.7501110000000007E-2</v>
      </c>
    </row>
    <row r="7895" spans="1:14" hidden="1" x14ac:dyDescent="0.35">
      <c r="A7895" s="52" t="s">
        <v>752</v>
      </c>
      <c r="B7895" s="52" t="s">
        <v>34</v>
      </c>
      <c r="C7895" s="52" t="s">
        <v>33</v>
      </c>
      <c r="D7895" s="52" t="s">
        <v>33</v>
      </c>
      <c r="E7895" s="52" t="s">
        <v>754</v>
      </c>
      <c r="F7895" s="52" t="s">
        <v>581</v>
      </c>
      <c r="G7895" s="55" t="s">
        <v>277</v>
      </c>
      <c r="H7895" s="55">
        <v>0</v>
      </c>
      <c r="I7895" s="55">
        <v>1.7232810000000001</v>
      </c>
      <c r="J7895" s="55">
        <v>0.56721129999999997</v>
      </c>
      <c r="K7895" s="55">
        <v>0.52134250000000004</v>
      </c>
      <c r="L7895" s="55">
        <v>0.4946296</v>
      </c>
      <c r="M7895" s="55">
        <v>0</v>
      </c>
      <c r="N7895" s="55">
        <v>0</v>
      </c>
    </row>
    <row r="7896" spans="1:14" hidden="1" x14ac:dyDescent="0.35">
      <c r="A7896" s="52" t="s">
        <v>752</v>
      </c>
      <c r="B7896" s="52" t="s">
        <v>34</v>
      </c>
      <c r="C7896" s="52" t="s">
        <v>33</v>
      </c>
      <c r="D7896" s="52" t="s">
        <v>33</v>
      </c>
      <c r="E7896" s="52" t="s">
        <v>754</v>
      </c>
      <c r="F7896" s="52" t="s">
        <v>581</v>
      </c>
      <c r="G7896" s="55" t="s">
        <v>278</v>
      </c>
      <c r="H7896" s="55">
        <v>0</v>
      </c>
      <c r="I7896" s="55">
        <v>2.0321229999999999</v>
      </c>
      <c r="J7896" s="55">
        <v>1.246631</v>
      </c>
      <c r="K7896" s="55">
        <v>1.36046</v>
      </c>
      <c r="L7896" s="55">
        <v>1.2036340000000001</v>
      </c>
      <c r="M7896" s="55">
        <v>0</v>
      </c>
      <c r="N7896" s="55">
        <v>0</v>
      </c>
    </row>
    <row r="7897" spans="1:14" hidden="1" x14ac:dyDescent="0.35">
      <c r="A7897" s="52" t="s">
        <v>752</v>
      </c>
      <c r="B7897" s="52" t="s">
        <v>34</v>
      </c>
      <c r="C7897" s="52" t="s">
        <v>33</v>
      </c>
      <c r="D7897" s="52" t="s">
        <v>33</v>
      </c>
      <c r="E7897" s="52" t="s">
        <v>754</v>
      </c>
      <c r="F7897" s="52" t="s">
        <v>581</v>
      </c>
      <c r="G7897" s="55" t="s">
        <v>279</v>
      </c>
      <c r="H7897" s="55">
        <v>0.96923400000000004</v>
      </c>
      <c r="I7897" s="55">
        <v>1.04931</v>
      </c>
      <c r="J7897" s="55">
        <v>1.166175</v>
      </c>
      <c r="K7897" s="55">
        <v>1.1546799999999999</v>
      </c>
      <c r="L7897" s="55">
        <v>1.0731679999999999</v>
      </c>
      <c r="M7897" s="55">
        <v>1.001538</v>
      </c>
      <c r="N7897" s="55">
        <v>0.86651109999999998</v>
      </c>
    </row>
    <row r="7898" spans="1:14" hidden="1" x14ac:dyDescent="0.35">
      <c r="A7898" s="52" t="s">
        <v>752</v>
      </c>
      <c r="B7898" s="52" t="s">
        <v>34</v>
      </c>
      <c r="C7898" s="52" t="s">
        <v>33</v>
      </c>
      <c r="D7898" s="52" t="s">
        <v>33</v>
      </c>
      <c r="E7898" s="52" t="s">
        <v>754</v>
      </c>
      <c r="F7898" s="52" t="s">
        <v>26</v>
      </c>
      <c r="G7898" s="55" t="s">
        <v>275</v>
      </c>
      <c r="H7898" s="55">
        <v>0.48768899999999998</v>
      </c>
      <c r="I7898" s="55">
        <v>0.54497289999999998</v>
      </c>
      <c r="J7898" s="55">
        <v>0.49707089999999998</v>
      </c>
      <c r="K7898" s="55">
        <v>0.46816439999999998</v>
      </c>
      <c r="L7898" s="55">
        <v>0.52892320000000004</v>
      </c>
      <c r="M7898" s="55">
        <v>0.40118989999999999</v>
      </c>
      <c r="N7898" s="55">
        <v>0.32418180000000002</v>
      </c>
    </row>
    <row r="7899" spans="1:14" hidden="1" x14ac:dyDescent="0.35">
      <c r="A7899" s="52" t="s">
        <v>752</v>
      </c>
      <c r="B7899" s="52" t="s">
        <v>34</v>
      </c>
      <c r="C7899" s="52" t="s">
        <v>33</v>
      </c>
      <c r="D7899" s="52" t="s">
        <v>33</v>
      </c>
      <c r="E7899" s="52" t="s">
        <v>754</v>
      </c>
      <c r="F7899" s="52" t="s">
        <v>26</v>
      </c>
      <c r="G7899" s="55" t="s">
        <v>276</v>
      </c>
      <c r="H7899" s="55">
        <v>0.17583199999999999</v>
      </c>
      <c r="I7899" s="55">
        <v>0.18165819999999999</v>
      </c>
      <c r="J7899" s="55">
        <v>0.15696940000000001</v>
      </c>
      <c r="K7899" s="55">
        <v>0.1398404</v>
      </c>
      <c r="L7899" s="55">
        <v>0.15798989999999999</v>
      </c>
      <c r="M7899" s="55">
        <v>0.1198367</v>
      </c>
      <c r="N7899" s="55">
        <v>9.6833600000000006E-2</v>
      </c>
    </row>
    <row r="7900" spans="1:14" hidden="1" x14ac:dyDescent="0.35">
      <c r="A7900" s="52" t="s">
        <v>752</v>
      </c>
      <c r="B7900" s="52" t="s">
        <v>34</v>
      </c>
      <c r="C7900" s="52" t="s">
        <v>33</v>
      </c>
      <c r="D7900" s="52" t="s">
        <v>33</v>
      </c>
      <c r="E7900" s="52" t="s">
        <v>754</v>
      </c>
      <c r="F7900" s="52" t="s">
        <v>26</v>
      </c>
      <c r="G7900" s="55" t="s">
        <v>279</v>
      </c>
      <c r="H7900" s="55">
        <v>1.038778</v>
      </c>
      <c r="I7900" s="55">
        <v>1.2991090000000001</v>
      </c>
      <c r="J7900" s="55">
        <v>1.4659040000000001</v>
      </c>
      <c r="K7900" s="55">
        <v>1.4668369999999999</v>
      </c>
      <c r="L7900" s="55">
        <v>1.399454</v>
      </c>
      <c r="M7900" s="55">
        <v>1.2658199999999999</v>
      </c>
      <c r="N7900" s="55">
        <v>1.094387</v>
      </c>
    </row>
    <row r="7901" spans="1:14" hidden="1" x14ac:dyDescent="0.35">
      <c r="A7901" s="52" t="s">
        <v>752</v>
      </c>
      <c r="B7901" s="52" t="s">
        <v>34</v>
      </c>
      <c r="C7901" s="52" t="s">
        <v>33</v>
      </c>
      <c r="D7901" s="52" t="s">
        <v>33</v>
      </c>
      <c r="E7901" s="52" t="s">
        <v>746</v>
      </c>
      <c r="F7901" s="52" t="s">
        <v>581</v>
      </c>
      <c r="G7901" s="55" t="s">
        <v>275</v>
      </c>
      <c r="H7901" s="55">
        <v>0.13416900000000001</v>
      </c>
      <c r="I7901" s="55">
        <v>2.6406099999999998E-2</v>
      </c>
      <c r="J7901" s="55">
        <v>2.72903E-2</v>
      </c>
      <c r="K7901" s="55">
        <v>2.55617E-2</v>
      </c>
      <c r="L7901" s="55">
        <v>2.7308599999999999E-2</v>
      </c>
      <c r="M7901" s="55">
        <v>2.2623999999999998E-2</v>
      </c>
      <c r="N7901" s="55">
        <v>2.0698600000000001E-2</v>
      </c>
    </row>
    <row r="7902" spans="1:14" hidden="1" x14ac:dyDescent="0.35">
      <c r="A7902" s="52" t="s">
        <v>752</v>
      </c>
      <c r="B7902" s="52" t="s">
        <v>34</v>
      </c>
      <c r="C7902" s="52" t="s">
        <v>33</v>
      </c>
      <c r="D7902" s="52" t="s">
        <v>33</v>
      </c>
      <c r="E7902" s="52" t="s">
        <v>746</v>
      </c>
      <c r="F7902" s="52" t="s">
        <v>581</v>
      </c>
      <c r="G7902" s="55" t="s">
        <v>276</v>
      </c>
      <c r="H7902" s="55">
        <v>4.8372989999999998E-2</v>
      </c>
      <c r="I7902" s="55">
        <v>8.8015999999999997E-3</v>
      </c>
      <c r="J7902" s="55">
        <v>8.6186990000000005E-3</v>
      </c>
      <c r="K7902" s="55">
        <v>7.6352E-3</v>
      </c>
      <c r="L7902" s="55">
        <v>8.1568000000000005E-3</v>
      </c>
      <c r="M7902" s="55">
        <v>6.7580000000000001E-3</v>
      </c>
      <c r="N7902" s="55">
        <v>6.1821000000000003E-3</v>
      </c>
    </row>
    <row r="7903" spans="1:14" hidden="1" x14ac:dyDescent="0.35">
      <c r="A7903" s="52" t="s">
        <v>752</v>
      </c>
      <c r="B7903" s="52" t="s">
        <v>34</v>
      </c>
      <c r="C7903" s="52" t="s">
        <v>33</v>
      </c>
      <c r="D7903" s="52" t="s">
        <v>33</v>
      </c>
      <c r="E7903" s="52" t="s">
        <v>746</v>
      </c>
      <c r="F7903" s="52" t="s">
        <v>581</v>
      </c>
      <c r="G7903" s="55" t="s">
        <v>277</v>
      </c>
      <c r="H7903" s="55"/>
      <c r="I7903" s="55"/>
      <c r="J7903" s="55"/>
      <c r="K7903" s="55"/>
      <c r="L7903" s="55"/>
      <c r="M7903" s="55">
        <v>0</v>
      </c>
      <c r="N7903" s="55">
        <v>0</v>
      </c>
    </row>
    <row r="7904" spans="1:14" hidden="1" x14ac:dyDescent="0.35">
      <c r="A7904" s="52" t="s">
        <v>752</v>
      </c>
      <c r="B7904" s="52" t="s">
        <v>34</v>
      </c>
      <c r="C7904" s="52" t="s">
        <v>33</v>
      </c>
      <c r="D7904" s="52" t="s">
        <v>33</v>
      </c>
      <c r="E7904" s="52" t="s">
        <v>746</v>
      </c>
      <c r="F7904" s="52" t="s">
        <v>581</v>
      </c>
      <c r="G7904" s="55" t="s">
        <v>279</v>
      </c>
      <c r="H7904" s="55">
        <v>0.116119</v>
      </c>
      <c r="I7904" s="55">
        <v>0.123934</v>
      </c>
      <c r="J7904" s="55">
        <v>0.10483099999999999</v>
      </c>
      <c r="K7904" s="55">
        <v>9.4415299999999994E-2</v>
      </c>
      <c r="L7904" s="55">
        <v>8.0239489999999997E-2</v>
      </c>
      <c r="M7904" s="55">
        <v>7.5767490000000007E-2</v>
      </c>
      <c r="N7904" s="55">
        <v>6.8140300000000001E-2</v>
      </c>
    </row>
    <row r="7905" spans="1:14" hidden="1" x14ac:dyDescent="0.35">
      <c r="A7905" s="52" t="s">
        <v>752</v>
      </c>
      <c r="B7905" s="52" t="s">
        <v>34</v>
      </c>
      <c r="C7905" s="52" t="s">
        <v>33</v>
      </c>
      <c r="D7905" s="52" t="s">
        <v>33</v>
      </c>
      <c r="E7905" s="52" t="s">
        <v>746</v>
      </c>
      <c r="F7905" s="52" t="s">
        <v>26</v>
      </c>
      <c r="G7905" s="55" t="s">
        <v>275</v>
      </c>
      <c r="H7905" s="55">
        <v>-3.7377000000000001E-2</v>
      </c>
      <c r="I7905" s="55">
        <v>-3.2422300000000001E-2</v>
      </c>
      <c r="J7905" s="55">
        <v>-3.0238500000000001E-2</v>
      </c>
      <c r="K7905" s="55">
        <v>-2.85007E-2</v>
      </c>
      <c r="L7905" s="55">
        <v>-2.4053399999999999E-2</v>
      </c>
      <c r="M7905" s="55">
        <v>-2.3435500000000001E-2</v>
      </c>
      <c r="N7905" s="55">
        <v>-2.1569399999999999E-2</v>
      </c>
    </row>
    <row r="7906" spans="1:14" hidden="1" x14ac:dyDescent="0.35">
      <c r="A7906" s="52" t="s">
        <v>752</v>
      </c>
      <c r="B7906" s="52" t="s">
        <v>34</v>
      </c>
      <c r="C7906" s="52" t="s">
        <v>33</v>
      </c>
      <c r="D7906" s="52" t="s">
        <v>33</v>
      </c>
      <c r="E7906" s="52" t="s">
        <v>746</v>
      </c>
      <c r="F7906" s="52" t="s">
        <v>26</v>
      </c>
      <c r="G7906" s="55" t="s">
        <v>276</v>
      </c>
      <c r="H7906" s="55">
        <v>-1.3476E-2</v>
      </c>
      <c r="I7906" s="55">
        <v>-1.0807799999999999E-2</v>
      </c>
      <c r="J7906" s="55">
        <v>-9.5490999999999996E-3</v>
      </c>
      <c r="K7906" s="55">
        <v>-8.5129999999999997E-3</v>
      </c>
      <c r="L7906" s="55">
        <v>-7.1854989999999997E-3</v>
      </c>
      <c r="M7906" s="55">
        <v>-7.0004999999999998E-3</v>
      </c>
      <c r="N7906" s="55">
        <v>-6.4432990000000004E-3</v>
      </c>
    </row>
    <row r="7907" spans="1:14" hidden="1" x14ac:dyDescent="0.35">
      <c r="A7907" s="52" t="s">
        <v>752</v>
      </c>
      <c r="B7907" s="52" t="s">
        <v>34</v>
      </c>
      <c r="C7907" s="52" t="s">
        <v>33</v>
      </c>
      <c r="D7907" s="52" t="s">
        <v>33</v>
      </c>
      <c r="E7907" s="52" t="s">
        <v>746</v>
      </c>
      <c r="F7907" s="52" t="s">
        <v>26</v>
      </c>
      <c r="G7907" s="55" t="s">
        <v>279</v>
      </c>
      <c r="H7907" s="55">
        <v>0.113804</v>
      </c>
      <c r="I7907" s="55">
        <v>9.0629989999999994E-2</v>
      </c>
      <c r="J7907" s="55">
        <v>7.7086000000000002E-2</v>
      </c>
      <c r="K7907" s="55">
        <v>6.9826700000000005E-2</v>
      </c>
      <c r="L7907" s="55">
        <v>6.007589E-2</v>
      </c>
      <c r="M7907" s="55">
        <v>5.5813700000000001E-2</v>
      </c>
      <c r="N7907" s="55">
        <v>5.0194500000000003E-2</v>
      </c>
    </row>
    <row r="7908" spans="1:14" hidden="1" x14ac:dyDescent="0.35">
      <c r="A7908" s="52" t="s">
        <v>761</v>
      </c>
      <c r="B7908" s="52" t="s">
        <v>34</v>
      </c>
      <c r="C7908" s="52" t="s">
        <v>33</v>
      </c>
      <c r="D7908" s="52" t="s">
        <v>33</v>
      </c>
      <c r="E7908" s="52" t="s">
        <v>605</v>
      </c>
      <c r="F7908" s="52" t="s">
        <v>581</v>
      </c>
      <c r="G7908" s="55" t="s">
        <v>275</v>
      </c>
      <c r="H7908" s="55">
        <v>35.45872</v>
      </c>
      <c r="I7908" s="55">
        <v>13.08502</v>
      </c>
      <c r="J7908" s="55">
        <v>12.083270000000001</v>
      </c>
      <c r="K7908" s="55">
        <v>11.22861</v>
      </c>
      <c r="L7908" s="55">
        <v>10.569509999999999</v>
      </c>
      <c r="M7908" s="55">
        <v>9.5053090000000005</v>
      </c>
      <c r="N7908" s="55">
        <v>8.600975</v>
      </c>
    </row>
    <row r="7909" spans="1:14" hidden="1" x14ac:dyDescent="0.35">
      <c r="A7909" s="52" t="s">
        <v>761</v>
      </c>
      <c r="B7909" s="52" t="s">
        <v>34</v>
      </c>
      <c r="C7909" s="52" t="s">
        <v>33</v>
      </c>
      <c r="D7909" s="52" t="s">
        <v>33</v>
      </c>
      <c r="E7909" s="52" t="s">
        <v>605</v>
      </c>
      <c r="F7909" s="52" t="s">
        <v>581</v>
      </c>
      <c r="G7909" s="55" t="s">
        <v>276</v>
      </c>
      <c r="H7909" s="55">
        <v>11.819570000000001</v>
      </c>
      <c r="I7909" s="55">
        <v>4.3616729999999997</v>
      </c>
      <c r="J7909" s="55">
        <v>4.0277529999999997</v>
      </c>
      <c r="K7909" s="55">
        <v>3.7428689999999998</v>
      </c>
      <c r="L7909" s="55">
        <v>3.5231699999999999</v>
      </c>
      <c r="M7909" s="55">
        <v>3.1684369999999999</v>
      </c>
      <c r="N7909" s="55">
        <v>2.866994</v>
      </c>
    </row>
    <row r="7910" spans="1:14" hidden="1" x14ac:dyDescent="0.35">
      <c r="A7910" s="52" t="s">
        <v>761</v>
      </c>
      <c r="B7910" s="52" t="s">
        <v>34</v>
      </c>
      <c r="C7910" s="52" t="s">
        <v>33</v>
      </c>
      <c r="D7910" s="52" t="s">
        <v>33</v>
      </c>
      <c r="E7910" s="52" t="s">
        <v>605</v>
      </c>
      <c r="F7910" s="52" t="s">
        <v>581</v>
      </c>
      <c r="G7910" s="55" t="s">
        <v>279</v>
      </c>
      <c r="H7910" s="55">
        <v>7.8330510000000002</v>
      </c>
      <c r="I7910" s="55">
        <v>7.3225910000000001</v>
      </c>
      <c r="J7910" s="55">
        <v>6.5233480000000004</v>
      </c>
      <c r="K7910" s="55">
        <v>6.1760539999999997</v>
      </c>
      <c r="L7910" s="55">
        <v>5.5523400000000001</v>
      </c>
      <c r="M7910" s="55">
        <v>4.9097840000000001</v>
      </c>
      <c r="N7910" s="55">
        <v>4.4212680000000004</v>
      </c>
    </row>
    <row r="7911" spans="1:14" hidden="1" x14ac:dyDescent="0.35">
      <c r="A7911" s="52" t="s">
        <v>761</v>
      </c>
      <c r="B7911" s="52" t="s">
        <v>34</v>
      </c>
      <c r="C7911" s="52" t="s">
        <v>33</v>
      </c>
      <c r="D7911" s="52" t="s">
        <v>33</v>
      </c>
      <c r="E7911" s="52" t="s">
        <v>605</v>
      </c>
      <c r="F7911" s="52" t="s">
        <v>26</v>
      </c>
      <c r="G7911" s="55" t="s">
        <v>275</v>
      </c>
      <c r="H7911" s="55">
        <v>29.82273</v>
      </c>
      <c r="I7911" s="55">
        <v>47.407670000000003</v>
      </c>
      <c r="J7911" s="55">
        <v>17.565169999999998</v>
      </c>
      <c r="K7911" s="55">
        <v>9.2791270000000008</v>
      </c>
      <c r="L7911" s="55">
        <v>8.1363900000000005</v>
      </c>
      <c r="M7911" s="55">
        <v>12.288069999999999</v>
      </c>
      <c r="N7911" s="55">
        <v>9.4596970000000002</v>
      </c>
    </row>
    <row r="7912" spans="1:14" hidden="1" x14ac:dyDescent="0.35">
      <c r="A7912" s="52" t="s">
        <v>761</v>
      </c>
      <c r="B7912" s="52" t="s">
        <v>34</v>
      </c>
      <c r="C7912" s="52" t="s">
        <v>33</v>
      </c>
      <c r="D7912" s="52" t="s">
        <v>33</v>
      </c>
      <c r="E7912" s="52" t="s">
        <v>605</v>
      </c>
      <c r="F7912" s="52" t="s">
        <v>26</v>
      </c>
      <c r="G7912" s="55" t="s">
        <v>276</v>
      </c>
      <c r="H7912" s="55">
        <v>-17.276350000000001</v>
      </c>
      <c r="I7912" s="55">
        <v>-14.488300000000001</v>
      </c>
      <c r="J7912" s="55">
        <v>-7.383508</v>
      </c>
      <c r="K7912" s="55">
        <v>-2.068956</v>
      </c>
      <c r="L7912" s="55">
        <v>0.80913599999999997</v>
      </c>
      <c r="M7912" s="55">
        <v>1.7934749999999999</v>
      </c>
      <c r="N7912" s="55">
        <v>1.8954759999999999</v>
      </c>
    </row>
    <row r="7913" spans="1:14" hidden="1" x14ac:dyDescent="0.35">
      <c r="A7913" s="52" t="s">
        <v>761</v>
      </c>
      <c r="B7913" s="52" t="s">
        <v>34</v>
      </c>
      <c r="C7913" s="52" t="s">
        <v>33</v>
      </c>
      <c r="D7913" s="52" t="s">
        <v>33</v>
      </c>
      <c r="E7913" s="52" t="s">
        <v>605</v>
      </c>
      <c r="F7913" s="52" t="s">
        <v>26</v>
      </c>
      <c r="G7913" s="55" t="s">
        <v>277</v>
      </c>
      <c r="H7913" s="55">
        <v>46.91525</v>
      </c>
      <c r="I7913" s="55">
        <v>8.9633059999999993</v>
      </c>
      <c r="J7913" s="55">
        <v>4.093871</v>
      </c>
      <c r="K7913" s="55">
        <v>2.3527390000000001</v>
      </c>
      <c r="L7913" s="55">
        <v>1.215282</v>
      </c>
      <c r="M7913" s="55">
        <v>0</v>
      </c>
      <c r="N7913" s="55">
        <v>0</v>
      </c>
    </row>
    <row r="7914" spans="1:14" hidden="1" x14ac:dyDescent="0.35">
      <c r="A7914" s="52" t="s">
        <v>761</v>
      </c>
      <c r="B7914" s="52" t="s">
        <v>34</v>
      </c>
      <c r="C7914" s="52" t="s">
        <v>33</v>
      </c>
      <c r="D7914" s="52" t="s">
        <v>33</v>
      </c>
      <c r="E7914" s="52" t="s">
        <v>605</v>
      </c>
      <c r="F7914" s="52" t="s">
        <v>26</v>
      </c>
      <c r="G7914" s="55" t="s">
        <v>278</v>
      </c>
      <c r="H7914" s="55">
        <v>14.274749999999999</v>
      </c>
      <c r="I7914" s="55">
        <v>8.122147</v>
      </c>
      <c r="J7914" s="55">
        <v>8.4436859999999996</v>
      </c>
      <c r="K7914" s="55">
        <v>7.2702809999999998</v>
      </c>
      <c r="L7914" s="55">
        <v>4.2547499999999996</v>
      </c>
      <c r="M7914" s="55">
        <v>0</v>
      </c>
      <c r="N7914" s="55">
        <v>0</v>
      </c>
    </row>
    <row r="7915" spans="1:14" hidden="1" x14ac:dyDescent="0.35">
      <c r="A7915" s="52" t="s">
        <v>761</v>
      </c>
      <c r="B7915" s="52" t="s">
        <v>34</v>
      </c>
      <c r="C7915" s="52" t="s">
        <v>33</v>
      </c>
      <c r="D7915" s="52" t="s">
        <v>33</v>
      </c>
      <c r="E7915" s="52" t="s">
        <v>605</v>
      </c>
      <c r="F7915" s="52" t="s">
        <v>26</v>
      </c>
      <c r="G7915" s="55" t="s">
        <v>279</v>
      </c>
      <c r="H7915" s="55">
        <v>109.52979999999999</v>
      </c>
      <c r="I7915" s="55">
        <v>106.8657</v>
      </c>
      <c r="J7915" s="55">
        <v>95.443950000000001</v>
      </c>
      <c r="K7915" s="55">
        <v>90.866529999999997</v>
      </c>
      <c r="L7915" s="55">
        <v>83.466920000000002</v>
      </c>
      <c r="M7915" s="55">
        <v>71.819980000000001</v>
      </c>
      <c r="N7915" s="55">
        <v>64.707840000000004</v>
      </c>
    </row>
    <row r="7916" spans="1:14" hidden="1" x14ac:dyDescent="0.35">
      <c r="A7916" s="52" t="s">
        <v>760</v>
      </c>
      <c r="B7916" s="52" t="s">
        <v>34</v>
      </c>
      <c r="C7916" s="52" t="s">
        <v>33</v>
      </c>
      <c r="D7916" s="52" t="s">
        <v>33</v>
      </c>
      <c r="E7916" s="52" t="s">
        <v>605</v>
      </c>
      <c r="F7916" s="52" t="s">
        <v>581</v>
      </c>
      <c r="G7916" s="55" t="s">
        <v>275</v>
      </c>
      <c r="H7916" s="55">
        <v>8.3999830000000006</v>
      </c>
      <c r="I7916" s="55">
        <v>0.89892519999999998</v>
      </c>
      <c r="J7916" s="55">
        <v>0.9813385</v>
      </c>
      <c r="K7916" s="55">
        <v>0.81909670000000001</v>
      </c>
      <c r="L7916" s="55">
        <v>0.75608039999999999</v>
      </c>
      <c r="M7916" s="55">
        <v>0.82663359999999997</v>
      </c>
      <c r="N7916" s="55">
        <v>0.78829919999999998</v>
      </c>
    </row>
    <row r="7917" spans="1:14" hidden="1" x14ac:dyDescent="0.35">
      <c r="A7917" s="52" t="s">
        <v>760</v>
      </c>
      <c r="B7917" s="52" t="s">
        <v>34</v>
      </c>
      <c r="C7917" s="52" t="s">
        <v>33</v>
      </c>
      <c r="D7917" s="52" t="s">
        <v>33</v>
      </c>
      <c r="E7917" s="52" t="s">
        <v>605</v>
      </c>
      <c r="F7917" s="52" t="s">
        <v>581</v>
      </c>
      <c r="G7917" s="55" t="s">
        <v>276</v>
      </c>
      <c r="H7917" s="55">
        <v>3.028565</v>
      </c>
      <c r="I7917" s="55">
        <v>0.29964220000000003</v>
      </c>
      <c r="J7917" s="55">
        <v>0.30989519999999998</v>
      </c>
      <c r="K7917" s="55">
        <v>0.2446662</v>
      </c>
      <c r="L7917" s="55">
        <v>0.22584270000000001</v>
      </c>
      <c r="M7917" s="55">
        <v>0.24691640000000001</v>
      </c>
      <c r="N7917" s="55">
        <v>0.2354649</v>
      </c>
    </row>
    <row r="7918" spans="1:14" hidden="1" x14ac:dyDescent="0.35">
      <c r="A7918" s="52" t="s">
        <v>760</v>
      </c>
      <c r="B7918" s="52" t="s">
        <v>34</v>
      </c>
      <c r="C7918" s="52" t="s">
        <v>33</v>
      </c>
      <c r="D7918" s="52" t="s">
        <v>33</v>
      </c>
      <c r="E7918" s="52" t="s">
        <v>605</v>
      </c>
      <c r="F7918" s="52" t="s">
        <v>581</v>
      </c>
      <c r="G7918" s="55" t="s">
        <v>279</v>
      </c>
      <c r="H7918" s="55">
        <v>5.3161839999999998</v>
      </c>
      <c r="I7918" s="55">
        <v>2.2116630000000002</v>
      </c>
      <c r="J7918" s="55">
        <v>2.3516870000000001</v>
      </c>
      <c r="K7918" s="55">
        <v>2.1315170000000001</v>
      </c>
      <c r="L7918" s="55">
        <v>2.0468289999999998</v>
      </c>
      <c r="M7918" s="55">
        <v>1.7422599999999999</v>
      </c>
      <c r="N7918" s="55">
        <v>1.606198</v>
      </c>
    </row>
    <row r="7919" spans="1:14" hidden="1" x14ac:dyDescent="0.35">
      <c r="A7919" s="52" t="s">
        <v>760</v>
      </c>
      <c r="B7919" s="52" t="s">
        <v>34</v>
      </c>
      <c r="C7919" s="52" t="s">
        <v>33</v>
      </c>
      <c r="D7919" s="52" t="s">
        <v>33</v>
      </c>
      <c r="E7919" s="52" t="s">
        <v>605</v>
      </c>
      <c r="F7919" s="52" t="s">
        <v>26</v>
      </c>
      <c r="G7919" s="55" t="s">
        <v>275</v>
      </c>
      <c r="H7919" s="55">
        <v>29.82591</v>
      </c>
      <c r="I7919" s="55">
        <v>43.431269999999998</v>
      </c>
      <c r="J7919" s="55">
        <v>37.744329999999998</v>
      </c>
      <c r="K7919" s="55">
        <v>27.597629999999999</v>
      </c>
      <c r="L7919" s="55">
        <v>22.612259999999999</v>
      </c>
      <c r="M7919" s="55">
        <v>21.825869999999998</v>
      </c>
      <c r="N7919" s="55">
        <v>16.818049999999999</v>
      </c>
    </row>
    <row r="7920" spans="1:14" hidden="1" x14ac:dyDescent="0.35">
      <c r="A7920" s="52" t="s">
        <v>760</v>
      </c>
      <c r="B7920" s="52" t="s">
        <v>34</v>
      </c>
      <c r="C7920" s="52" t="s">
        <v>33</v>
      </c>
      <c r="D7920" s="52" t="s">
        <v>33</v>
      </c>
      <c r="E7920" s="52" t="s">
        <v>605</v>
      </c>
      <c r="F7920" s="52" t="s">
        <v>26</v>
      </c>
      <c r="G7920" s="55" t="s">
        <v>276</v>
      </c>
      <c r="H7920" s="55">
        <v>-3.282422</v>
      </c>
      <c r="I7920" s="55">
        <v>-2.9502350000000002</v>
      </c>
      <c r="J7920" s="55">
        <v>-0.96543769999999995</v>
      </c>
      <c r="K7920" s="55">
        <v>4.0166320000000004</v>
      </c>
      <c r="L7920" s="55">
        <v>5.747668</v>
      </c>
      <c r="M7920" s="55">
        <v>6.2187770000000002</v>
      </c>
      <c r="N7920" s="55">
        <v>5.5545809999999998</v>
      </c>
    </row>
    <row r="7921" spans="1:14" hidden="1" x14ac:dyDescent="0.35">
      <c r="A7921" s="52" t="s">
        <v>760</v>
      </c>
      <c r="B7921" s="52" t="s">
        <v>34</v>
      </c>
      <c r="C7921" s="52" t="s">
        <v>33</v>
      </c>
      <c r="D7921" s="52" t="s">
        <v>33</v>
      </c>
      <c r="E7921" s="52" t="s">
        <v>605</v>
      </c>
      <c r="F7921" s="52" t="s">
        <v>26</v>
      </c>
      <c r="G7921" s="55" t="s">
        <v>277</v>
      </c>
      <c r="H7921" s="55">
        <v>51.675339999999998</v>
      </c>
      <c r="I7921" s="55">
        <v>8.9920340000000003</v>
      </c>
      <c r="J7921" s="55">
        <v>2.4482400000000002</v>
      </c>
      <c r="K7921" s="55">
        <v>1.9056070000000001</v>
      </c>
      <c r="L7921" s="55">
        <v>1.898774</v>
      </c>
      <c r="M7921" s="55">
        <v>1.655125</v>
      </c>
      <c r="N7921" s="55">
        <v>2.8723920000000001</v>
      </c>
    </row>
    <row r="7922" spans="1:14" hidden="1" x14ac:dyDescent="0.35">
      <c r="A7922" s="52" t="s">
        <v>760</v>
      </c>
      <c r="B7922" s="52" t="s">
        <v>34</v>
      </c>
      <c r="C7922" s="52" t="s">
        <v>33</v>
      </c>
      <c r="D7922" s="52" t="s">
        <v>33</v>
      </c>
      <c r="E7922" s="52" t="s">
        <v>605</v>
      </c>
      <c r="F7922" s="52" t="s">
        <v>26</v>
      </c>
      <c r="G7922" s="55" t="s">
        <v>278</v>
      </c>
      <c r="H7922" s="55">
        <v>0.57142999999999999</v>
      </c>
      <c r="I7922" s="55">
        <v>9.6810109999999998</v>
      </c>
      <c r="J7922" s="55">
        <v>5.7765269999999997</v>
      </c>
      <c r="K7922" s="55">
        <v>5.6083920000000003</v>
      </c>
      <c r="L7922" s="55">
        <v>5.0784140000000004</v>
      </c>
      <c r="M7922" s="55">
        <v>4.5748829999999998</v>
      </c>
      <c r="N7922" s="55">
        <v>6.4049649999999998</v>
      </c>
    </row>
    <row r="7923" spans="1:14" hidden="1" x14ac:dyDescent="0.35">
      <c r="A7923" s="52" t="s">
        <v>760</v>
      </c>
      <c r="B7923" s="52" t="s">
        <v>34</v>
      </c>
      <c r="C7923" s="52" t="s">
        <v>33</v>
      </c>
      <c r="D7923" s="52" t="s">
        <v>33</v>
      </c>
      <c r="E7923" s="52" t="s">
        <v>605</v>
      </c>
      <c r="F7923" s="52" t="s">
        <v>26</v>
      </c>
      <c r="G7923" s="55" t="s">
        <v>279</v>
      </c>
      <c r="H7923" s="55">
        <v>62.360860000000002</v>
      </c>
      <c r="I7923" s="55">
        <v>53.531190000000002</v>
      </c>
      <c r="J7923" s="55">
        <v>51.824039999999997</v>
      </c>
      <c r="K7923" s="55">
        <v>49.806530000000002</v>
      </c>
      <c r="L7923" s="55">
        <v>46.923909999999999</v>
      </c>
      <c r="M7923" s="55">
        <v>42.454970000000003</v>
      </c>
      <c r="N7923" s="55">
        <v>40.464970000000001</v>
      </c>
    </row>
    <row r="7924" spans="1:14" hidden="1" x14ac:dyDescent="0.35">
      <c r="A7924" s="52" t="s">
        <v>760</v>
      </c>
      <c r="B7924" s="52" t="s">
        <v>34</v>
      </c>
      <c r="C7924" s="52" t="s">
        <v>33</v>
      </c>
      <c r="D7924" s="52" t="s">
        <v>33</v>
      </c>
      <c r="E7924" s="52" t="s">
        <v>604</v>
      </c>
      <c r="F7924" s="52" t="s">
        <v>581</v>
      </c>
      <c r="G7924" s="55" t="s">
        <v>275</v>
      </c>
      <c r="H7924" s="55">
        <v>-73.345470000000006</v>
      </c>
      <c r="I7924" s="55">
        <v>-37.851019999999998</v>
      </c>
      <c r="J7924" s="55">
        <v>16.41656</v>
      </c>
      <c r="K7924" s="55">
        <v>15.58644</v>
      </c>
      <c r="L7924" s="55">
        <v>9.2408610000000007</v>
      </c>
      <c r="M7924" s="55">
        <v>5.4671339999999997</v>
      </c>
      <c r="N7924" s="55">
        <v>-2.5769820000000001</v>
      </c>
    </row>
    <row r="7925" spans="1:14" hidden="1" x14ac:dyDescent="0.35">
      <c r="A7925" s="52" t="s">
        <v>760</v>
      </c>
      <c r="B7925" s="52" t="s">
        <v>34</v>
      </c>
      <c r="C7925" s="52" t="s">
        <v>33</v>
      </c>
      <c r="D7925" s="52" t="s">
        <v>33</v>
      </c>
      <c r="E7925" s="52" t="s">
        <v>604</v>
      </c>
      <c r="F7925" s="52" t="s">
        <v>581</v>
      </c>
      <c r="G7925" s="55" t="s">
        <v>276</v>
      </c>
      <c r="H7925" s="55">
        <v>-8.097092</v>
      </c>
      <c r="I7925" s="55">
        <v>-8.5200999999999993</v>
      </c>
      <c r="J7925" s="55">
        <v>-7.3134490000000003</v>
      </c>
      <c r="K7925" s="55">
        <v>-5.6884740000000003</v>
      </c>
      <c r="L7925" s="55">
        <v>-1.4668650000000001</v>
      </c>
      <c r="M7925" s="55">
        <v>1.746742</v>
      </c>
      <c r="N7925" s="55">
        <v>1.5266439999999999</v>
      </c>
    </row>
    <row r="7926" spans="1:14" hidden="1" x14ac:dyDescent="0.35">
      <c r="A7926" s="52" t="s">
        <v>760</v>
      </c>
      <c r="B7926" s="52" t="s">
        <v>34</v>
      </c>
      <c r="C7926" s="52" t="s">
        <v>33</v>
      </c>
      <c r="D7926" s="52" t="s">
        <v>33</v>
      </c>
      <c r="E7926" s="52" t="s">
        <v>604</v>
      </c>
      <c r="F7926" s="52" t="s">
        <v>581</v>
      </c>
      <c r="G7926" s="55" t="s">
        <v>277</v>
      </c>
      <c r="H7926" s="55">
        <v>63.702939999999998</v>
      </c>
      <c r="I7926" s="55">
        <v>47.814079999999997</v>
      </c>
      <c r="J7926" s="55">
        <v>2.580244</v>
      </c>
      <c r="K7926" s="55">
        <v>1.6090979999999999</v>
      </c>
      <c r="L7926" s="55">
        <v>1.761944</v>
      </c>
      <c r="M7926" s="55">
        <v>2.0056449999999999</v>
      </c>
      <c r="N7926" s="55">
        <v>5.9743069999999996</v>
      </c>
    </row>
    <row r="7927" spans="1:14" hidden="1" x14ac:dyDescent="0.35">
      <c r="A7927" s="52" t="s">
        <v>760</v>
      </c>
      <c r="B7927" s="52" t="s">
        <v>34</v>
      </c>
      <c r="C7927" s="52" t="s">
        <v>33</v>
      </c>
      <c r="D7927" s="52" t="s">
        <v>33</v>
      </c>
      <c r="E7927" s="52" t="s">
        <v>604</v>
      </c>
      <c r="F7927" s="52" t="s">
        <v>581</v>
      </c>
      <c r="G7927" s="55" t="s">
        <v>278</v>
      </c>
      <c r="H7927" s="55">
        <v>21.774809999999999</v>
      </c>
      <c r="I7927" s="55">
        <v>14.69389</v>
      </c>
      <c r="J7927" s="55">
        <v>6.6603539999999999</v>
      </c>
      <c r="K7927" s="55">
        <v>4.6257219999999997</v>
      </c>
      <c r="L7927" s="55">
        <v>5.3636359999999996</v>
      </c>
      <c r="M7927" s="55">
        <v>6.0355639999999999</v>
      </c>
      <c r="N7927" s="55">
        <v>11.410119999999999</v>
      </c>
    </row>
    <row r="7928" spans="1:14" hidden="1" x14ac:dyDescent="0.35">
      <c r="A7928" s="52" t="s">
        <v>760</v>
      </c>
      <c r="B7928" s="52" t="s">
        <v>34</v>
      </c>
      <c r="C7928" s="52" t="s">
        <v>33</v>
      </c>
      <c r="D7928" s="52" t="s">
        <v>33</v>
      </c>
      <c r="E7928" s="52" t="s">
        <v>604</v>
      </c>
      <c r="F7928" s="52" t="s">
        <v>581</v>
      </c>
      <c r="G7928" s="55" t="s">
        <v>279</v>
      </c>
      <c r="H7928" s="55">
        <v>1.687001</v>
      </c>
      <c r="I7928" s="55">
        <v>10.14958</v>
      </c>
      <c r="J7928" s="55">
        <v>11.26041</v>
      </c>
      <c r="K7928" s="55">
        <v>10.536989999999999</v>
      </c>
      <c r="L7928" s="55">
        <v>9.9372389999999999</v>
      </c>
      <c r="M7928" s="55">
        <v>8.9448120000000007</v>
      </c>
      <c r="N7928" s="55">
        <v>9.4951679999999996</v>
      </c>
    </row>
    <row r="7929" spans="1:14" hidden="1" x14ac:dyDescent="0.35">
      <c r="A7929" s="52" t="s">
        <v>760</v>
      </c>
      <c r="B7929" s="52" t="s">
        <v>34</v>
      </c>
      <c r="C7929" s="52" t="s">
        <v>33</v>
      </c>
      <c r="D7929" s="52" t="s">
        <v>33</v>
      </c>
      <c r="E7929" s="52" t="s">
        <v>604</v>
      </c>
      <c r="F7929" s="52" t="s">
        <v>26</v>
      </c>
      <c r="G7929" s="55" t="s">
        <v>275</v>
      </c>
      <c r="H7929" s="55">
        <v>6.8023030000000002</v>
      </c>
      <c r="I7929" s="55">
        <v>9.4968579999999996</v>
      </c>
      <c r="J7929" s="55">
        <v>7.733555</v>
      </c>
      <c r="K7929" s="55">
        <v>6.547218</v>
      </c>
      <c r="L7929" s="55">
        <v>5.8872439999999999</v>
      </c>
      <c r="M7929" s="55">
        <v>5.777495</v>
      </c>
      <c r="N7929" s="55">
        <v>5.9157650000000004</v>
      </c>
    </row>
    <row r="7930" spans="1:14" hidden="1" x14ac:dyDescent="0.35">
      <c r="A7930" s="52" t="s">
        <v>760</v>
      </c>
      <c r="B7930" s="52" t="s">
        <v>34</v>
      </c>
      <c r="C7930" s="52" t="s">
        <v>33</v>
      </c>
      <c r="D7930" s="52" t="s">
        <v>33</v>
      </c>
      <c r="E7930" s="52" t="s">
        <v>604</v>
      </c>
      <c r="F7930" s="52" t="s">
        <v>26</v>
      </c>
      <c r="G7930" s="55" t="s">
        <v>276</v>
      </c>
      <c r="H7930" s="55">
        <v>2.452531</v>
      </c>
      <c r="I7930" s="55">
        <v>3.1656200000000001</v>
      </c>
      <c r="J7930" s="55">
        <v>2.442177</v>
      </c>
      <c r="K7930" s="55">
        <v>1.9556610000000001</v>
      </c>
      <c r="L7930" s="55">
        <v>1.758527</v>
      </c>
      <c r="M7930" s="55">
        <v>1.725746</v>
      </c>
      <c r="N7930" s="55">
        <v>1.7670459999999999</v>
      </c>
    </row>
    <row r="7931" spans="1:14" hidden="1" x14ac:dyDescent="0.35">
      <c r="A7931" s="52" t="s">
        <v>760</v>
      </c>
      <c r="B7931" s="52" t="s">
        <v>34</v>
      </c>
      <c r="C7931" s="52" t="s">
        <v>33</v>
      </c>
      <c r="D7931" s="52" t="s">
        <v>33</v>
      </c>
      <c r="E7931" s="52" t="s">
        <v>604</v>
      </c>
      <c r="F7931" s="52" t="s">
        <v>26</v>
      </c>
      <c r="G7931" s="55" t="s">
        <v>279</v>
      </c>
      <c r="H7931" s="55">
        <v>6.312964</v>
      </c>
      <c r="I7931" s="55">
        <v>10.51756</v>
      </c>
      <c r="J7931" s="55">
        <v>11.54874</v>
      </c>
      <c r="K7931" s="55">
        <v>10.700229999999999</v>
      </c>
      <c r="L7931" s="55">
        <v>9.8558009999999996</v>
      </c>
      <c r="M7931" s="55">
        <v>9.1460310000000007</v>
      </c>
      <c r="N7931" s="55">
        <v>9.7082840000000008</v>
      </c>
    </row>
    <row r="7932" spans="1:14" hidden="1" x14ac:dyDescent="0.35">
      <c r="A7932" s="52" t="s">
        <v>772</v>
      </c>
      <c r="B7932" s="52" t="s">
        <v>37</v>
      </c>
      <c r="C7932" s="52" t="s">
        <v>46</v>
      </c>
      <c r="D7932" s="52" t="s">
        <v>46</v>
      </c>
      <c r="E7932" s="52" t="s">
        <v>584</v>
      </c>
      <c r="F7932" s="52" t="s">
        <v>581</v>
      </c>
      <c r="G7932" s="55" t="s">
        <v>275</v>
      </c>
      <c r="H7932" s="55">
        <v>2.0924930000000002</v>
      </c>
      <c r="I7932" s="55">
        <v>0.49880580000000002</v>
      </c>
      <c r="J7932" s="55">
        <v>0.49135380000000001</v>
      </c>
      <c r="K7932" s="55">
        <v>0.42471629999999999</v>
      </c>
      <c r="L7932" s="55">
        <v>0.4275738</v>
      </c>
      <c r="M7932" s="55">
        <v>0.2897556</v>
      </c>
      <c r="N7932" s="55">
        <v>0.27107579999999998</v>
      </c>
    </row>
    <row r="7933" spans="1:14" hidden="1" x14ac:dyDescent="0.35">
      <c r="A7933" s="52" t="s">
        <v>772</v>
      </c>
      <c r="B7933" s="52" t="s">
        <v>37</v>
      </c>
      <c r="C7933" s="52" t="s">
        <v>46</v>
      </c>
      <c r="D7933" s="52" t="s">
        <v>46</v>
      </c>
      <c r="E7933" s="52" t="s">
        <v>584</v>
      </c>
      <c r="F7933" s="52" t="s">
        <v>581</v>
      </c>
      <c r="G7933" s="55" t="s">
        <v>276</v>
      </c>
      <c r="H7933" s="55">
        <v>0.589167</v>
      </c>
      <c r="I7933" s="55">
        <v>0.14460439999999999</v>
      </c>
      <c r="J7933" s="55">
        <v>0.1419945</v>
      </c>
      <c r="K7933" s="55">
        <v>0.12310749999999999</v>
      </c>
      <c r="L7933" s="55">
        <v>0.1234439</v>
      </c>
      <c r="M7933" s="55">
        <v>8.4947599999999998E-2</v>
      </c>
      <c r="N7933" s="55">
        <v>7.9377799999999998E-2</v>
      </c>
    </row>
    <row r="7934" spans="1:14" hidden="1" x14ac:dyDescent="0.35">
      <c r="A7934" s="52" t="s">
        <v>772</v>
      </c>
      <c r="B7934" s="52" t="s">
        <v>37</v>
      </c>
      <c r="C7934" s="52" t="s">
        <v>46</v>
      </c>
      <c r="D7934" s="52" t="s">
        <v>46</v>
      </c>
      <c r="E7934" s="52" t="s">
        <v>584</v>
      </c>
      <c r="F7934" s="52" t="s">
        <v>581</v>
      </c>
      <c r="G7934" s="55" t="s">
        <v>279</v>
      </c>
      <c r="H7934" s="55">
        <v>1.801156</v>
      </c>
      <c r="I7934" s="55">
        <v>1.4925660000000001</v>
      </c>
      <c r="J7934" s="55">
        <v>1.3236019999999999</v>
      </c>
      <c r="K7934" s="55">
        <v>1.2788919999999999</v>
      </c>
      <c r="L7934" s="55">
        <v>1.142485</v>
      </c>
      <c r="M7934" s="55">
        <v>1.1835739999999999</v>
      </c>
      <c r="N7934" s="55">
        <v>1.072255</v>
      </c>
    </row>
    <row r="7935" spans="1:14" hidden="1" x14ac:dyDescent="0.35">
      <c r="A7935" s="52" t="s">
        <v>772</v>
      </c>
      <c r="B7935" s="52" t="s">
        <v>37</v>
      </c>
      <c r="C7935" s="52" t="s">
        <v>46</v>
      </c>
      <c r="D7935" s="52" t="s">
        <v>46</v>
      </c>
      <c r="E7935" s="52" t="s">
        <v>584</v>
      </c>
      <c r="F7935" s="52" t="s">
        <v>26</v>
      </c>
      <c r="G7935" s="55" t="s">
        <v>275</v>
      </c>
      <c r="H7935" s="55">
        <v>-1.5218449999999999</v>
      </c>
      <c r="I7935" s="55">
        <v>-0.85414970000000001</v>
      </c>
      <c r="J7935" s="55">
        <v>-5.2823870000000002E-2</v>
      </c>
      <c r="K7935" s="55">
        <v>-3.0691959999999998</v>
      </c>
      <c r="L7935" s="55">
        <v>-1.8246599999999999</v>
      </c>
      <c r="M7935" s="55">
        <v>-3.636676</v>
      </c>
      <c r="N7935" s="55">
        <v>-3.119408</v>
      </c>
    </row>
    <row r="7936" spans="1:14" hidden="1" x14ac:dyDescent="0.35">
      <c r="A7936" s="52" t="s">
        <v>772</v>
      </c>
      <c r="B7936" s="52" t="s">
        <v>37</v>
      </c>
      <c r="C7936" s="52" t="s">
        <v>46</v>
      </c>
      <c r="D7936" s="52" t="s">
        <v>46</v>
      </c>
      <c r="E7936" s="52" t="s">
        <v>584</v>
      </c>
      <c r="F7936" s="52" t="s">
        <v>26</v>
      </c>
      <c r="G7936" s="55" t="s">
        <v>276</v>
      </c>
      <c r="H7936" s="55">
        <v>-5.5470430000000004</v>
      </c>
      <c r="I7936" s="55">
        <v>-3.0677669999999999</v>
      </c>
      <c r="J7936" s="55">
        <v>-3.1639569999999999</v>
      </c>
      <c r="K7936" s="55">
        <v>-1.185622</v>
      </c>
      <c r="L7936" s="55">
        <v>-0.91032950000000001</v>
      </c>
      <c r="M7936" s="55">
        <v>-1.2508710000000001</v>
      </c>
      <c r="N7936" s="55">
        <v>-1.3220050000000001</v>
      </c>
    </row>
    <row r="7937" spans="1:14" hidden="1" x14ac:dyDescent="0.35">
      <c r="A7937" s="52" t="s">
        <v>772</v>
      </c>
      <c r="B7937" s="52" t="s">
        <v>37</v>
      </c>
      <c r="C7937" s="52" t="s">
        <v>46</v>
      </c>
      <c r="D7937" s="52" t="s">
        <v>46</v>
      </c>
      <c r="E7937" s="52" t="s">
        <v>584</v>
      </c>
      <c r="F7937" s="52" t="s">
        <v>26</v>
      </c>
      <c r="G7937" s="55" t="s">
        <v>277</v>
      </c>
      <c r="H7937" s="55">
        <v>4.205241</v>
      </c>
      <c r="I7937" s="55">
        <v>0</v>
      </c>
      <c r="J7937" s="55">
        <v>2.6277170000000001</v>
      </c>
      <c r="K7937" s="55">
        <v>1.8687</v>
      </c>
      <c r="L7937" s="55">
        <v>1.3261540000000001</v>
      </c>
      <c r="M7937" s="55">
        <v>0</v>
      </c>
      <c r="N7937" s="55">
        <v>0</v>
      </c>
    </row>
    <row r="7938" spans="1:14" hidden="1" x14ac:dyDescent="0.35">
      <c r="A7938" s="52" t="s">
        <v>772</v>
      </c>
      <c r="B7938" s="52" t="s">
        <v>37</v>
      </c>
      <c r="C7938" s="52" t="s">
        <v>46</v>
      </c>
      <c r="D7938" s="52" t="s">
        <v>46</v>
      </c>
      <c r="E7938" s="52" t="s">
        <v>584</v>
      </c>
      <c r="F7938" s="52" t="s">
        <v>26</v>
      </c>
      <c r="G7938" s="55" t="s">
        <v>278</v>
      </c>
      <c r="H7938" s="55">
        <v>0.48664299999999999</v>
      </c>
      <c r="I7938" s="55">
        <v>0</v>
      </c>
      <c r="J7938" s="55">
        <v>0.33392630000000001</v>
      </c>
      <c r="K7938" s="55">
        <v>0.404499</v>
      </c>
      <c r="L7938" s="55">
        <v>0.18924759999999999</v>
      </c>
      <c r="M7938" s="55">
        <v>0</v>
      </c>
      <c r="N7938" s="55"/>
    </row>
    <row r="7939" spans="1:14" hidden="1" x14ac:dyDescent="0.35">
      <c r="A7939" s="52" t="s">
        <v>772</v>
      </c>
      <c r="B7939" s="52" t="s">
        <v>37</v>
      </c>
      <c r="C7939" s="52" t="s">
        <v>46</v>
      </c>
      <c r="D7939" s="52" t="s">
        <v>46</v>
      </c>
      <c r="E7939" s="52" t="s">
        <v>584</v>
      </c>
      <c r="F7939" s="52" t="s">
        <v>26</v>
      </c>
      <c r="G7939" s="55" t="s">
        <v>279</v>
      </c>
      <c r="H7939" s="55">
        <v>61.370989999999999</v>
      </c>
      <c r="I7939" s="55">
        <v>47.941049999999997</v>
      </c>
      <c r="J7939" s="55">
        <v>43.605350000000001</v>
      </c>
      <c r="K7939" s="55">
        <v>43.380960000000002</v>
      </c>
      <c r="L7939" s="55">
        <v>39.80301</v>
      </c>
      <c r="M7939" s="55">
        <v>39.751019999999997</v>
      </c>
      <c r="N7939" s="55">
        <v>35.495669999999997</v>
      </c>
    </row>
    <row r="7940" spans="1:14" hidden="1" x14ac:dyDescent="0.35">
      <c r="A7940" s="52" t="s">
        <v>772</v>
      </c>
      <c r="B7940" s="52" t="s">
        <v>37</v>
      </c>
      <c r="C7940" s="52" t="s">
        <v>105</v>
      </c>
      <c r="D7940" s="52" t="s">
        <v>105</v>
      </c>
      <c r="E7940" s="52" t="s">
        <v>633</v>
      </c>
      <c r="F7940" s="52" t="s">
        <v>581</v>
      </c>
      <c r="G7940" s="55" t="s">
        <v>275</v>
      </c>
      <c r="H7940" s="55">
        <v>-36.368810000000003</v>
      </c>
      <c r="I7940" s="55">
        <v>1.9563219999999999</v>
      </c>
      <c r="J7940" s="55">
        <v>3.9319039999999998</v>
      </c>
      <c r="K7940" s="55">
        <v>3.9031150000000001</v>
      </c>
      <c r="L7940" s="55">
        <v>5.4182230000000002</v>
      </c>
      <c r="M7940" s="55">
        <v>-0.52237840000000002</v>
      </c>
      <c r="N7940" s="55">
        <v>-0.80456190000000005</v>
      </c>
    </row>
    <row r="7941" spans="1:14" hidden="1" x14ac:dyDescent="0.35">
      <c r="A7941" s="52" t="s">
        <v>772</v>
      </c>
      <c r="B7941" s="52" t="s">
        <v>37</v>
      </c>
      <c r="C7941" s="52" t="s">
        <v>105</v>
      </c>
      <c r="D7941" s="52" t="s">
        <v>105</v>
      </c>
      <c r="E7941" s="52" t="s">
        <v>633</v>
      </c>
      <c r="F7941" s="52" t="s">
        <v>581</v>
      </c>
      <c r="G7941" s="55" t="s">
        <v>276</v>
      </c>
      <c r="H7941" s="55">
        <v>2.0553900000000001</v>
      </c>
      <c r="I7941" s="55">
        <v>-1.7991159999999999</v>
      </c>
      <c r="J7941" s="55">
        <v>-1.983093</v>
      </c>
      <c r="K7941" s="55">
        <v>-3.857936</v>
      </c>
      <c r="L7941" s="55">
        <v>-5.3532460000000004</v>
      </c>
      <c r="M7941" s="55">
        <v>-9.3890349999999997E-2</v>
      </c>
      <c r="N7941" s="55">
        <v>0.39270769999999999</v>
      </c>
    </row>
    <row r="7942" spans="1:14" hidden="1" x14ac:dyDescent="0.35">
      <c r="A7942" s="52" t="s">
        <v>772</v>
      </c>
      <c r="B7942" s="52" t="s">
        <v>37</v>
      </c>
      <c r="C7942" s="52" t="s">
        <v>105</v>
      </c>
      <c r="D7942" s="52" t="s">
        <v>105</v>
      </c>
      <c r="E7942" s="52" t="s">
        <v>633</v>
      </c>
      <c r="F7942" s="52" t="s">
        <v>581</v>
      </c>
      <c r="G7942" s="55" t="s">
        <v>277</v>
      </c>
      <c r="H7942" s="55">
        <v>48.592640000000003</v>
      </c>
      <c r="I7942" s="55">
        <v>6.1276570000000001</v>
      </c>
      <c r="J7942" s="55">
        <v>2.572289</v>
      </c>
      <c r="K7942" s="55">
        <v>2.639084</v>
      </c>
      <c r="L7942" s="55">
        <v>3.7874400000000001</v>
      </c>
      <c r="M7942" s="55">
        <v>5.0018130000000003</v>
      </c>
      <c r="N7942" s="55">
        <v>5.8457499999999998</v>
      </c>
    </row>
    <row r="7943" spans="1:14" hidden="1" x14ac:dyDescent="0.35">
      <c r="A7943" s="52" t="s">
        <v>772</v>
      </c>
      <c r="B7943" s="52" t="s">
        <v>37</v>
      </c>
      <c r="C7943" s="52" t="s">
        <v>105</v>
      </c>
      <c r="D7943" s="52" t="s">
        <v>105</v>
      </c>
      <c r="E7943" s="52" t="s">
        <v>633</v>
      </c>
      <c r="F7943" s="52" t="s">
        <v>581</v>
      </c>
      <c r="G7943" s="55" t="s">
        <v>278</v>
      </c>
      <c r="H7943" s="55">
        <v>11.11788</v>
      </c>
      <c r="I7943" s="55">
        <v>2.3507760000000002</v>
      </c>
      <c r="J7943" s="55">
        <v>2.774718</v>
      </c>
      <c r="K7943" s="55">
        <v>4.3533720000000002</v>
      </c>
      <c r="L7943" s="55">
        <v>4.0456519999999996</v>
      </c>
      <c r="M7943" s="55">
        <v>3.0233539999999999</v>
      </c>
      <c r="N7943" s="55">
        <v>3.0671919999999999</v>
      </c>
    </row>
    <row r="7944" spans="1:14" hidden="1" x14ac:dyDescent="0.35">
      <c r="A7944" s="52" t="s">
        <v>772</v>
      </c>
      <c r="B7944" s="52" t="s">
        <v>37</v>
      </c>
      <c r="C7944" s="52" t="s">
        <v>105</v>
      </c>
      <c r="D7944" s="52" t="s">
        <v>105</v>
      </c>
      <c r="E7944" s="52" t="s">
        <v>633</v>
      </c>
      <c r="F7944" s="52" t="s">
        <v>581</v>
      </c>
      <c r="G7944" s="55" t="s">
        <v>279</v>
      </c>
      <c r="H7944" s="55">
        <v>11.384639999999999</v>
      </c>
      <c r="I7944" s="55">
        <v>9.0336320000000008</v>
      </c>
      <c r="J7944" s="55">
        <v>7.0789759999999999</v>
      </c>
      <c r="K7944" s="55">
        <v>7.1414980000000003</v>
      </c>
      <c r="L7944" s="55">
        <v>7.0398500000000004</v>
      </c>
      <c r="M7944" s="55">
        <v>8.1078670000000006</v>
      </c>
      <c r="N7944" s="55">
        <v>8.6251610000000003</v>
      </c>
    </row>
    <row r="7945" spans="1:14" hidden="1" x14ac:dyDescent="0.35">
      <c r="A7945" s="52" t="s">
        <v>772</v>
      </c>
      <c r="B7945" s="52" t="s">
        <v>37</v>
      </c>
      <c r="C7945" s="52" t="s">
        <v>105</v>
      </c>
      <c r="D7945" s="52" t="s">
        <v>105</v>
      </c>
      <c r="E7945" s="52" t="s">
        <v>633</v>
      </c>
      <c r="F7945" s="52" t="s">
        <v>26</v>
      </c>
      <c r="G7945" s="55" t="s">
        <v>275</v>
      </c>
      <c r="H7945" s="55">
        <v>3.2654809999999999</v>
      </c>
      <c r="I7945" s="55">
        <v>2.37323</v>
      </c>
      <c r="J7945" s="55">
        <v>2.651497</v>
      </c>
      <c r="K7945" s="55">
        <v>2.2513999999999998</v>
      </c>
      <c r="L7945" s="55">
        <v>2.5880320000000001</v>
      </c>
      <c r="M7945" s="55">
        <v>1.7481679999999999</v>
      </c>
      <c r="N7945" s="55">
        <v>1.968356</v>
      </c>
    </row>
    <row r="7946" spans="1:14" hidden="1" x14ac:dyDescent="0.35">
      <c r="A7946" s="52" t="s">
        <v>772</v>
      </c>
      <c r="B7946" s="52" t="s">
        <v>37</v>
      </c>
      <c r="C7946" s="52" t="s">
        <v>105</v>
      </c>
      <c r="D7946" s="52" t="s">
        <v>105</v>
      </c>
      <c r="E7946" s="52" t="s">
        <v>633</v>
      </c>
      <c r="F7946" s="52" t="s">
        <v>26</v>
      </c>
      <c r="G7946" s="55" t="s">
        <v>276</v>
      </c>
      <c r="H7946" s="55">
        <v>1.1318809999999999</v>
      </c>
      <c r="I7946" s="55">
        <v>0.82261010000000001</v>
      </c>
      <c r="J7946" s="55">
        <v>0.91906120000000002</v>
      </c>
      <c r="K7946" s="55">
        <v>0.78038059999999998</v>
      </c>
      <c r="L7946" s="55">
        <v>0.89706419999999998</v>
      </c>
      <c r="M7946" s="55">
        <v>0.60594979999999998</v>
      </c>
      <c r="N7946" s="55">
        <v>0.68227150000000003</v>
      </c>
    </row>
    <row r="7947" spans="1:14" hidden="1" x14ac:dyDescent="0.35">
      <c r="A7947" s="52" t="s">
        <v>772</v>
      </c>
      <c r="B7947" s="52" t="s">
        <v>37</v>
      </c>
      <c r="C7947" s="52" t="s">
        <v>105</v>
      </c>
      <c r="D7947" s="52" t="s">
        <v>105</v>
      </c>
      <c r="E7947" s="52" t="s">
        <v>633</v>
      </c>
      <c r="F7947" s="52" t="s">
        <v>26</v>
      </c>
      <c r="G7947" s="55" t="s">
        <v>279</v>
      </c>
      <c r="H7947" s="55">
        <v>15.294560000000001</v>
      </c>
      <c r="I7947" s="55">
        <v>13.37255</v>
      </c>
      <c r="J7947" s="55">
        <v>10.520210000000001</v>
      </c>
      <c r="K7947" s="55">
        <v>10.730230000000001</v>
      </c>
      <c r="L7947" s="55">
        <v>10.868729999999999</v>
      </c>
      <c r="M7947" s="55">
        <v>12.058389999999999</v>
      </c>
      <c r="N7947" s="55">
        <v>12.76831</v>
      </c>
    </row>
    <row r="7948" spans="1:14" hidden="1" x14ac:dyDescent="0.35">
      <c r="A7948" s="52" t="s">
        <v>772</v>
      </c>
      <c r="B7948" s="52" t="s">
        <v>37</v>
      </c>
      <c r="C7948" s="52" t="s">
        <v>99</v>
      </c>
      <c r="D7948" s="52" t="s">
        <v>101</v>
      </c>
      <c r="E7948" s="52" t="s">
        <v>584</v>
      </c>
      <c r="F7948" s="52" t="s">
        <v>581</v>
      </c>
      <c r="G7948" s="55" t="s">
        <v>275</v>
      </c>
      <c r="H7948" s="55">
        <v>0.69793490000000002</v>
      </c>
      <c r="I7948" s="55">
        <v>-0.24632470000000001</v>
      </c>
      <c r="J7948" s="55">
        <v>-0.1912124</v>
      </c>
      <c r="K7948" s="55">
        <v>-0.2053075</v>
      </c>
      <c r="L7948" s="55">
        <v>-0.13919049999999999</v>
      </c>
      <c r="M7948" s="55">
        <v>-0.25211600000000001</v>
      </c>
      <c r="N7948" s="55">
        <v>-0.2280365</v>
      </c>
    </row>
    <row r="7949" spans="1:14" hidden="1" x14ac:dyDescent="0.35">
      <c r="A7949" s="52" t="s">
        <v>772</v>
      </c>
      <c r="B7949" s="52" t="s">
        <v>37</v>
      </c>
      <c r="C7949" s="52" t="s">
        <v>99</v>
      </c>
      <c r="D7949" s="52" t="s">
        <v>101</v>
      </c>
      <c r="E7949" s="52" t="s">
        <v>584</v>
      </c>
      <c r="F7949" s="52" t="s">
        <v>581</v>
      </c>
      <c r="G7949" s="55" t="s">
        <v>276</v>
      </c>
      <c r="H7949" s="55">
        <v>0.185526</v>
      </c>
      <c r="I7949" s="55">
        <v>-6.5478900000000007E-2</v>
      </c>
      <c r="J7949" s="55">
        <v>-5.0828900000000003E-2</v>
      </c>
      <c r="K7949" s="55">
        <v>-5.4574989999999997E-2</v>
      </c>
      <c r="L7949" s="55">
        <v>-3.6999789999999998E-2</v>
      </c>
      <c r="M7949" s="55">
        <v>-6.7017199999999999E-2</v>
      </c>
      <c r="N7949" s="55">
        <v>-6.0616999999999997E-2</v>
      </c>
    </row>
    <row r="7950" spans="1:14" hidden="1" x14ac:dyDescent="0.35">
      <c r="A7950" s="52" t="s">
        <v>772</v>
      </c>
      <c r="B7950" s="52" t="s">
        <v>37</v>
      </c>
      <c r="C7950" s="52" t="s">
        <v>99</v>
      </c>
      <c r="D7950" s="52" t="s">
        <v>101</v>
      </c>
      <c r="E7950" s="52" t="s">
        <v>584</v>
      </c>
      <c r="F7950" s="52" t="s">
        <v>581</v>
      </c>
      <c r="G7950" s="55" t="s">
        <v>279</v>
      </c>
      <c r="H7950" s="55">
        <v>2.1480969999999999</v>
      </c>
      <c r="I7950" s="55">
        <v>1.539094</v>
      </c>
      <c r="J7950" s="55">
        <v>1.4041600000000001</v>
      </c>
      <c r="K7950" s="55">
        <v>1.3276749999999999</v>
      </c>
      <c r="L7950" s="55">
        <v>1.150873</v>
      </c>
      <c r="M7950" s="55">
        <v>1.212656</v>
      </c>
      <c r="N7950" s="55">
        <v>1.1089290000000001</v>
      </c>
    </row>
    <row r="7951" spans="1:14" hidden="1" x14ac:dyDescent="0.35">
      <c r="A7951" s="52" t="s">
        <v>772</v>
      </c>
      <c r="B7951" s="52" t="s">
        <v>37</v>
      </c>
      <c r="C7951" s="52" t="s">
        <v>99</v>
      </c>
      <c r="D7951" s="52" t="s">
        <v>101</v>
      </c>
      <c r="E7951" s="52" t="s">
        <v>584</v>
      </c>
      <c r="F7951" s="52" t="s">
        <v>26</v>
      </c>
      <c r="G7951" s="55" t="s">
        <v>275</v>
      </c>
      <c r="H7951" s="55">
        <v>-1.7192860000000001</v>
      </c>
      <c r="I7951" s="55">
        <v>-7.8136260000000002</v>
      </c>
      <c r="J7951" s="55">
        <v>-4.8740870000000003</v>
      </c>
      <c r="K7951" s="55">
        <v>-1.785007</v>
      </c>
      <c r="L7951" s="55">
        <v>-1.625947</v>
      </c>
      <c r="M7951" s="55">
        <v>-1.1940679999999999</v>
      </c>
      <c r="N7951" s="55">
        <v>-1.3215190000000001</v>
      </c>
    </row>
    <row r="7952" spans="1:14" hidden="1" x14ac:dyDescent="0.35">
      <c r="A7952" s="52" t="s">
        <v>772</v>
      </c>
      <c r="B7952" s="52" t="s">
        <v>37</v>
      </c>
      <c r="C7952" s="52" t="s">
        <v>99</v>
      </c>
      <c r="D7952" s="52" t="s">
        <v>101</v>
      </c>
      <c r="E7952" s="52" t="s">
        <v>584</v>
      </c>
      <c r="F7952" s="52" t="s">
        <v>26</v>
      </c>
      <c r="G7952" s="55" t="s">
        <v>276</v>
      </c>
      <c r="H7952" s="55">
        <v>-1.271577</v>
      </c>
      <c r="I7952" s="55">
        <v>-0.89499099999999998</v>
      </c>
      <c r="J7952" s="55">
        <v>-0.75288429999999995</v>
      </c>
      <c r="K7952" s="55">
        <v>-0.73171529999999996</v>
      </c>
      <c r="L7952" s="55">
        <v>-0.6304343</v>
      </c>
      <c r="M7952" s="55">
        <v>-1.1533910000000001</v>
      </c>
      <c r="N7952" s="55">
        <v>-0.82921199999999995</v>
      </c>
    </row>
    <row r="7953" spans="1:14" hidden="1" x14ac:dyDescent="0.35">
      <c r="A7953" s="52" t="s">
        <v>772</v>
      </c>
      <c r="B7953" s="52" t="s">
        <v>37</v>
      </c>
      <c r="C7953" s="52" t="s">
        <v>99</v>
      </c>
      <c r="D7953" s="52" t="s">
        <v>101</v>
      </c>
      <c r="E7953" s="52" t="s">
        <v>584</v>
      </c>
      <c r="F7953" s="52" t="s">
        <v>26</v>
      </c>
      <c r="G7953" s="55" t="s">
        <v>277</v>
      </c>
      <c r="H7953" s="55">
        <v>0.11999899999999999</v>
      </c>
      <c r="I7953" s="55">
        <v>6.2140149999999998</v>
      </c>
      <c r="J7953" s="55">
        <v>4.0228359999999999</v>
      </c>
      <c r="K7953" s="55">
        <v>0.60462210000000005</v>
      </c>
      <c r="L7953" s="55"/>
      <c r="M7953" s="55">
        <v>0</v>
      </c>
      <c r="N7953" s="55"/>
    </row>
    <row r="7954" spans="1:14" hidden="1" x14ac:dyDescent="0.35">
      <c r="A7954" s="52" t="s">
        <v>772</v>
      </c>
      <c r="B7954" s="52" t="s">
        <v>37</v>
      </c>
      <c r="C7954" s="52" t="s">
        <v>99</v>
      </c>
      <c r="D7954" s="52" t="s">
        <v>101</v>
      </c>
      <c r="E7954" s="52" t="s">
        <v>584</v>
      </c>
      <c r="F7954" s="52" t="s">
        <v>26</v>
      </c>
      <c r="G7954" s="55" t="s">
        <v>279</v>
      </c>
      <c r="H7954" s="55">
        <v>15.31298</v>
      </c>
      <c r="I7954" s="55">
        <v>11.38395</v>
      </c>
      <c r="J7954" s="55">
        <v>10.504949999999999</v>
      </c>
      <c r="K7954" s="55">
        <v>10.038130000000001</v>
      </c>
      <c r="L7954" s="55">
        <v>8.9465070000000004</v>
      </c>
      <c r="M7954" s="55">
        <v>9.0858690000000006</v>
      </c>
      <c r="N7954" s="55">
        <v>8.3075329999999994</v>
      </c>
    </row>
    <row r="7955" spans="1:14" hidden="1" x14ac:dyDescent="0.35">
      <c r="A7955" s="52" t="s">
        <v>770</v>
      </c>
      <c r="B7955" s="52" t="s">
        <v>34</v>
      </c>
      <c r="C7955" s="52" t="s">
        <v>33</v>
      </c>
      <c r="D7955" s="52" t="s">
        <v>33</v>
      </c>
      <c r="E7955" s="52" t="s">
        <v>675</v>
      </c>
      <c r="F7955" s="52" t="s">
        <v>581</v>
      </c>
      <c r="G7955" s="55" t="s">
        <v>275</v>
      </c>
      <c r="H7955" s="55">
        <v>16.31596</v>
      </c>
      <c r="I7955" s="55">
        <v>0.1087323</v>
      </c>
      <c r="J7955" s="55">
        <v>0.82524989999999998</v>
      </c>
      <c r="K7955" s="55">
        <v>0.85345979999999999</v>
      </c>
      <c r="L7955" s="55">
        <v>1.733001</v>
      </c>
      <c r="M7955" s="55">
        <v>1.1413549999999999</v>
      </c>
      <c r="N7955" s="55">
        <v>1.0232859999999999</v>
      </c>
    </row>
    <row r="7956" spans="1:14" hidden="1" x14ac:dyDescent="0.35">
      <c r="A7956" s="52" t="s">
        <v>770</v>
      </c>
      <c r="B7956" s="52" t="s">
        <v>34</v>
      </c>
      <c r="C7956" s="52" t="s">
        <v>33</v>
      </c>
      <c r="D7956" s="52" t="s">
        <v>33</v>
      </c>
      <c r="E7956" s="52" t="s">
        <v>675</v>
      </c>
      <c r="F7956" s="52" t="s">
        <v>581</v>
      </c>
      <c r="G7956" s="55" t="s">
        <v>276</v>
      </c>
      <c r="H7956" s="55">
        <v>5.8826219999999996</v>
      </c>
      <c r="I7956" s="55">
        <v>3.6243629999999999E-2</v>
      </c>
      <c r="J7956" s="55">
        <v>0.26060689999999997</v>
      </c>
      <c r="K7956" s="55">
        <v>0.2549303</v>
      </c>
      <c r="L7956" s="55">
        <v>0.51765059999999996</v>
      </c>
      <c r="M7956" s="55">
        <v>0.3409238</v>
      </c>
      <c r="N7956" s="55">
        <v>0.30565550000000002</v>
      </c>
    </row>
    <row r="7957" spans="1:14" hidden="1" x14ac:dyDescent="0.35">
      <c r="A7957" s="52" t="s">
        <v>770</v>
      </c>
      <c r="B7957" s="52" t="s">
        <v>34</v>
      </c>
      <c r="C7957" s="52" t="s">
        <v>33</v>
      </c>
      <c r="D7957" s="52" t="s">
        <v>33</v>
      </c>
      <c r="E7957" s="52" t="s">
        <v>675</v>
      </c>
      <c r="F7957" s="52" t="s">
        <v>581</v>
      </c>
      <c r="G7957" s="55" t="s">
        <v>279</v>
      </c>
      <c r="H7957" s="55">
        <v>21.52375</v>
      </c>
      <c r="I7957" s="55">
        <v>19.548829999999999</v>
      </c>
      <c r="J7957" s="55">
        <v>16.78471</v>
      </c>
      <c r="K7957" s="55">
        <v>13.855449999999999</v>
      </c>
      <c r="L7957" s="55">
        <v>11.149839999999999</v>
      </c>
      <c r="M7957" s="55">
        <v>10.498049999999999</v>
      </c>
      <c r="N7957" s="55">
        <v>9.1504960000000004</v>
      </c>
    </row>
    <row r="7958" spans="1:14" hidden="1" x14ac:dyDescent="0.35">
      <c r="A7958" s="52" t="s">
        <v>770</v>
      </c>
      <c r="B7958" s="52" t="s">
        <v>34</v>
      </c>
      <c r="C7958" s="52" t="s">
        <v>33</v>
      </c>
      <c r="D7958" s="52" t="s">
        <v>33</v>
      </c>
      <c r="E7958" s="52" t="s">
        <v>675</v>
      </c>
      <c r="F7958" s="52" t="s">
        <v>26</v>
      </c>
      <c r="G7958" s="55" t="s">
        <v>275</v>
      </c>
      <c r="H7958" s="55">
        <v>-9.609477</v>
      </c>
      <c r="I7958" s="55">
        <v>2.8453089999999999</v>
      </c>
      <c r="J7958" s="55">
        <v>5.3076140000000001</v>
      </c>
      <c r="K7958" s="55">
        <v>3.3381699999999999</v>
      </c>
      <c r="L7958" s="55">
        <v>2.5222250000000002</v>
      </c>
      <c r="M7958" s="55">
        <v>2.8402759999999998</v>
      </c>
      <c r="N7958" s="55">
        <v>2.3154840000000001</v>
      </c>
    </row>
    <row r="7959" spans="1:14" hidden="1" x14ac:dyDescent="0.35">
      <c r="A7959" s="52" t="s">
        <v>770</v>
      </c>
      <c r="B7959" s="52" t="s">
        <v>34</v>
      </c>
      <c r="C7959" s="52" t="s">
        <v>33</v>
      </c>
      <c r="D7959" s="52" t="s">
        <v>33</v>
      </c>
      <c r="E7959" s="52" t="s">
        <v>675</v>
      </c>
      <c r="F7959" s="52" t="s">
        <v>26</v>
      </c>
      <c r="G7959" s="55" t="s">
        <v>276</v>
      </c>
      <c r="H7959" s="55">
        <v>-10.69472</v>
      </c>
      <c r="I7959" s="55">
        <v>-7.316236</v>
      </c>
      <c r="J7959" s="55">
        <v>-2.373996</v>
      </c>
      <c r="K7959" s="55">
        <v>-1.257782</v>
      </c>
      <c r="L7959" s="55">
        <v>0.35146500000000003</v>
      </c>
      <c r="M7959" s="55">
        <v>0.50051639999999997</v>
      </c>
      <c r="N7959" s="55">
        <v>0.44786310000000001</v>
      </c>
    </row>
    <row r="7960" spans="1:14" hidden="1" x14ac:dyDescent="0.35">
      <c r="A7960" s="52" t="s">
        <v>770</v>
      </c>
      <c r="B7960" s="52" t="s">
        <v>34</v>
      </c>
      <c r="C7960" s="52" t="s">
        <v>33</v>
      </c>
      <c r="D7960" s="52" t="s">
        <v>33</v>
      </c>
      <c r="E7960" s="52" t="s">
        <v>675</v>
      </c>
      <c r="F7960" s="52" t="s">
        <v>26</v>
      </c>
      <c r="G7960" s="55" t="s">
        <v>277</v>
      </c>
      <c r="H7960" s="55">
        <v>17.4466</v>
      </c>
      <c r="I7960" s="55">
        <v>5.0439679999999996</v>
      </c>
      <c r="J7960" s="55">
        <v>0.63158999999999998</v>
      </c>
      <c r="K7960" s="55">
        <v>0.60744770000000003</v>
      </c>
      <c r="L7960" s="55">
        <v>0.9348052</v>
      </c>
      <c r="M7960" s="55">
        <v>0.28667740000000003</v>
      </c>
      <c r="N7960" s="55">
        <v>0.26921400000000001</v>
      </c>
    </row>
    <row r="7961" spans="1:14" hidden="1" x14ac:dyDescent="0.35">
      <c r="A7961" s="52" t="s">
        <v>770</v>
      </c>
      <c r="B7961" s="52" t="s">
        <v>34</v>
      </c>
      <c r="C7961" s="52" t="s">
        <v>33</v>
      </c>
      <c r="D7961" s="52" t="s">
        <v>33</v>
      </c>
      <c r="E7961" s="52" t="s">
        <v>675</v>
      </c>
      <c r="F7961" s="52" t="s">
        <v>26</v>
      </c>
      <c r="G7961" s="55" t="s">
        <v>278</v>
      </c>
      <c r="H7961" s="55">
        <v>7.02182</v>
      </c>
      <c r="I7961" s="55">
        <v>4.294759</v>
      </c>
      <c r="J7961" s="55">
        <v>1.6449370000000001</v>
      </c>
      <c r="K7961" s="55">
        <v>1.3551070000000001</v>
      </c>
      <c r="L7961" s="55">
        <v>1.7970120000000001</v>
      </c>
      <c r="M7961" s="55">
        <v>0.48410609999999998</v>
      </c>
      <c r="N7961" s="55">
        <v>0.4643449</v>
      </c>
    </row>
    <row r="7962" spans="1:14" hidden="1" x14ac:dyDescent="0.35">
      <c r="A7962" s="52" t="s">
        <v>770</v>
      </c>
      <c r="B7962" s="52" t="s">
        <v>34</v>
      </c>
      <c r="C7962" s="52" t="s">
        <v>33</v>
      </c>
      <c r="D7962" s="52" t="s">
        <v>33</v>
      </c>
      <c r="E7962" s="52" t="s">
        <v>675</v>
      </c>
      <c r="F7962" s="52" t="s">
        <v>26</v>
      </c>
      <c r="G7962" s="55" t="s">
        <v>279</v>
      </c>
      <c r="H7962" s="55">
        <v>55.525939999999999</v>
      </c>
      <c r="I7962" s="55">
        <v>50.477209999999999</v>
      </c>
      <c r="J7962" s="55">
        <v>43.763190000000002</v>
      </c>
      <c r="K7962" s="55">
        <v>36.341819999999998</v>
      </c>
      <c r="L7962" s="55">
        <v>30.02983</v>
      </c>
      <c r="M7962" s="55">
        <v>27.314419999999998</v>
      </c>
      <c r="N7962" s="55">
        <v>23.8231</v>
      </c>
    </row>
    <row r="7963" spans="1:14" hidden="1" x14ac:dyDescent="0.35">
      <c r="A7963" s="52" t="s">
        <v>770</v>
      </c>
      <c r="B7963" s="52" t="s">
        <v>34</v>
      </c>
      <c r="C7963" s="52" t="s">
        <v>33</v>
      </c>
      <c r="D7963" s="52" t="s">
        <v>33</v>
      </c>
      <c r="E7963" s="52" t="s">
        <v>771</v>
      </c>
      <c r="F7963" s="52" t="s">
        <v>581</v>
      </c>
      <c r="G7963" s="55" t="s">
        <v>275</v>
      </c>
      <c r="H7963" s="55">
        <v>5.9769759999999996</v>
      </c>
      <c r="I7963" s="55">
        <v>2.0232100000000002</v>
      </c>
      <c r="J7963" s="55">
        <v>2.0189520000000001</v>
      </c>
      <c r="K7963" s="55">
        <v>1.9031979999999999</v>
      </c>
      <c r="L7963" s="55">
        <v>1.840093</v>
      </c>
      <c r="M7963" s="55">
        <v>1.562851</v>
      </c>
      <c r="N7963" s="55">
        <v>1.387024</v>
      </c>
    </row>
    <row r="7964" spans="1:14" hidden="1" x14ac:dyDescent="0.35">
      <c r="A7964" s="52" t="s">
        <v>770</v>
      </c>
      <c r="B7964" s="52" t="s">
        <v>34</v>
      </c>
      <c r="C7964" s="52" t="s">
        <v>33</v>
      </c>
      <c r="D7964" s="52" t="s">
        <v>33</v>
      </c>
      <c r="E7964" s="52" t="s">
        <v>771</v>
      </c>
      <c r="F7964" s="52" t="s">
        <v>581</v>
      </c>
      <c r="G7964" s="55" t="s">
        <v>276</v>
      </c>
      <c r="H7964" s="55">
        <v>2.1549649999999998</v>
      </c>
      <c r="I7964" s="55">
        <v>0.67440339999999999</v>
      </c>
      <c r="J7964" s="55">
        <v>0.63756420000000003</v>
      </c>
      <c r="K7964" s="55">
        <v>0.56848900000000002</v>
      </c>
      <c r="L7964" s="55">
        <v>0.54963839999999997</v>
      </c>
      <c r="M7964" s="55">
        <v>0.4668255</v>
      </c>
      <c r="N7964" s="55">
        <v>0.4143057</v>
      </c>
    </row>
    <row r="7965" spans="1:14" hidden="1" x14ac:dyDescent="0.35">
      <c r="A7965" s="52" t="s">
        <v>770</v>
      </c>
      <c r="B7965" s="52" t="s">
        <v>34</v>
      </c>
      <c r="C7965" s="52" t="s">
        <v>33</v>
      </c>
      <c r="D7965" s="52" t="s">
        <v>33</v>
      </c>
      <c r="E7965" s="52" t="s">
        <v>771</v>
      </c>
      <c r="F7965" s="52" t="s">
        <v>581</v>
      </c>
      <c r="G7965" s="55" t="s">
        <v>279</v>
      </c>
      <c r="H7965" s="55">
        <v>2.2702659999999999</v>
      </c>
      <c r="I7965" s="55">
        <v>2.1508509999999998</v>
      </c>
      <c r="J7965" s="55">
        <v>1.965147</v>
      </c>
      <c r="K7965" s="55">
        <v>1.8102100000000001</v>
      </c>
      <c r="L7965" s="55">
        <v>1.586592</v>
      </c>
      <c r="M7965" s="55">
        <v>1.418992</v>
      </c>
      <c r="N7965" s="55">
        <v>1.249447</v>
      </c>
    </row>
    <row r="7966" spans="1:14" hidden="1" x14ac:dyDescent="0.35">
      <c r="A7966" s="52" t="s">
        <v>770</v>
      </c>
      <c r="B7966" s="52" t="s">
        <v>34</v>
      </c>
      <c r="C7966" s="52" t="s">
        <v>33</v>
      </c>
      <c r="D7966" s="52" t="s">
        <v>33</v>
      </c>
      <c r="E7966" s="52" t="s">
        <v>771</v>
      </c>
      <c r="F7966" s="52" t="s">
        <v>26</v>
      </c>
      <c r="G7966" s="55" t="s">
        <v>275</v>
      </c>
      <c r="H7966" s="55">
        <v>-2.849548</v>
      </c>
      <c r="I7966" s="55">
        <v>0.91571179999999996</v>
      </c>
      <c r="J7966" s="55">
        <v>-4.0365999999999999E-2</v>
      </c>
      <c r="K7966" s="55">
        <v>0.34127370000000001</v>
      </c>
      <c r="L7966" s="55">
        <v>-0.49066969999999999</v>
      </c>
      <c r="M7966" s="55">
        <v>1.4753970000000001</v>
      </c>
      <c r="N7966" s="55">
        <v>1.1911149999999999</v>
      </c>
    </row>
    <row r="7967" spans="1:14" hidden="1" x14ac:dyDescent="0.35">
      <c r="A7967" s="52" t="s">
        <v>770</v>
      </c>
      <c r="B7967" s="52" t="s">
        <v>34</v>
      </c>
      <c r="C7967" s="52" t="s">
        <v>33</v>
      </c>
      <c r="D7967" s="52" t="s">
        <v>33</v>
      </c>
      <c r="E7967" s="52" t="s">
        <v>771</v>
      </c>
      <c r="F7967" s="52" t="s">
        <v>26</v>
      </c>
      <c r="G7967" s="55" t="s">
        <v>276</v>
      </c>
      <c r="H7967" s="55">
        <v>-1.0150760000000001</v>
      </c>
      <c r="I7967" s="55">
        <v>-0.81919779999999998</v>
      </c>
      <c r="J7967" s="55">
        <v>-0.47504020000000002</v>
      </c>
      <c r="K7967" s="55">
        <v>-0.26488250000000002</v>
      </c>
      <c r="L7967" s="55">
        <v>-5.5851089999999999E-2</v>
      </c>
      <c r="M7967" s="55">
        <v>-2.709539E-2</v>
      </c>
      <c r="N7967" s="55">
        <v>6.6887799999999997E-2</v>
      </c>
    </row>
    <row r="7968" spans="1:14" hidden="1" x14ac:dyDescent="0.35">
      <c r="A7968" s="52" t="s">
        <v>770</v>
      </c>
      <c r="B7968" s="52" t="s">
        <v>34</v>
      </c>
      <c r="C7968" s="52" t="s">
        <v>33</v>
      </c>
      <c r="D7968" s="52" t="s">
        <v>33</v>
      </c>
      <c r="E7968" s="52" t="s">
        <v>771</v>
      </c>
      <c r="F7968" s="52" t="s">
        <v>26</v>
      </c>
      <c r="G7968" s="55" t="s">
        <v>277</v>
      </c>
      <c r="H7968" s="55">
        <v>5.4292350000000003</v>
      </c>
      <c r="I7968" s="55">
        <v>1.762381</v>
      </c>
      <c r="J7968" s="55">
        <v>2.3956770000000001</v>
      </c>
      <c r="K7968" s="55">
        <v>1.5583560000000001</v>
      </c>
      <c r="L7968" s="55">
        <v>2.3103910000000001</v>
      </c>
      <c r="M7968" s="55">
        <v>0</v>
      </c>
      <c r="N7968" s="55">
        <v>0</v>
      </c>
    </row>
    <row r="7969" spans="1:14" hidden="1" x14ac:dyDescent="0.35">
      <c r="A7969" s="52" t="s">
        <v>770</v>
      </c>
      <c r="B7969" s="52" t="s">
        <v>34</v>
      </c>
      <c r="C7969" s="52" t="s">
        <v>33</v>
      </c>
      <c r="D7969" s="52" t="s">
        <v>33</v>
      </c>
      <c r="E7969" s="52" t="s">
        <v>771</v>
      </c>
      <c r="F7969" s="52" t="s">
        <v>26</v>
      </c>
      <c r="G7969" s="55" t="s">
        <v>278</v>
      </c>
      <c r="H7969" s="55">
        <v>0</v>
      </c>
      <c r="I7969" s="55"/>
      <c r="J7969" s="55"/>
      <c r="K7969" s="55"/>
      <c r="L7969" s="55"/>
      <c r="M7969" s="55"/>
      <c r="N7969" s="55"/>
    </row>
    <row r="7970" spans="1:14" hidden="1" x14ac:dyDescent="0.35">
      <c r="A7970" s="52" t="s">
        <v>770</v>
      </c>
      <c r="B7970" s="52" t="s">
        <v>34</v>
      </c>
      <c r="C7970" s="52" t="s">
        <v>33</v>
      </c>
      <c r="D7970" s="52" t="s">
        <v>33</v>
      </c>
      <c r="E7970" s="52" t="s">
        <v>771</v>
      </c>
      <c r="F7970" s="52" t="s">
        <v>26</v>
      </c>
      <c r="G7970" s="55" t="s">
        <v>279</v>
      </c>
      <c r="H7970" s="55">
        <v>10.73376</v>
      </c>
      <c r="I7970" s="55">
        <v>10.20858</v>
      </c>
      <c r="J7970" s="55">
        <v>9.414377</v>
      </c>
      <c r="K7970" s="55">
        <v>8.7552240000000001</v>
      </c>
      <c r="L7970" s="55">
        <v>7.8326830000000003</v>
      </c>
      <c r="M7970" s="55">
        <v>6.8172889999999997</v>
      </c>
      <c r="N7970" s="55">
        <v>6.0028860000000002</v>
      </c>
    </row>
    <row r="7971" spans="1:14" hidden="1" x14ac:dyDescent="0.35">
      <c r="A7971" s="52" t="s">
        <v>770</v>
      </c>
      <c r="B7971" s="52" t="s">
        <v>34</v>
      </c>
      <c r="C7971" s="52" t="s">
        <v>33</v>
      </c>
      <c r="D7971" s="52" t="s">
        <v>33</v>
      </c>
      <c r="E7971" s="52" t="s">
        <v>584</v>
      </c>
      <c r="F7971" s="52" t="s">
        <v>581</v>
      </c>
      <c r="G7971" s="55" t="s">
        <v>275</v>
      </c>
      <c r="H7971" s="55">
        <v>0.92692699999999995</v>
      </c>
      <c r="I7971" s="55">
        <v>-2.6012749999999998</v>
      </c>
      <c r="J7971" s="55">
        <v>-2.096263</v>
      </c>
      <c r="K7971" s="55">
        <v>-7.3270660000000003</v>
      </c>
      <c r="L7971" s="55">
        <v>-8.0530360000000005</v>
      </c>
      <c r="M7971" s="55">
        <v>-3.444369</v>
      </c>
      <c r="N7971" s="55">
        <v>-0.88996149999999996</v>
      </c>
    </row>
    <row r="7972" spans="1:14" hidden="1" x14ac:dyDescent="0.35">
      <c r="A7972" s="52" t="s">
        <v>770</v>
      </c>
      <c r="B7972" s="52" t="s">
        <v>34</v>
      </c>
      <c r="C7972" s="52" t="s">
        <v>33</v>
      </c>
      <c r="D7972" s="52" t="s">
        <v>33</v>
      </c>
      <c r="E7972" s="52" t="s">
        <v>584</v>
      </c>
      <c r="F7972" s="52" t="s">
        <v>581</v>
      </c>
      <c r="G7972" s="55" t="s">
        <v>276</v>
      </c>
      <c r="H7972" s="55">
        <v>-0.89711510000000005</v>
      </c>
      <c r="I7972" s="55">
        <v>-0.96770160000000005</v>
      </c>
      <c r="J7972" s="55">
        <v>-0.76842339999999998</v>
      </c>
      <c r="K7972" s="55">
        <v>-2.249708</v>
      </c>
      <c r="L7972" s="55">
        <v>-2.4834309999999999</v>
      </c>
      <c r="M7972" s="55">
        <v>-1.0591930000000001</v>
      </c>
      <c r="N7972" s="55">
        <v>-0.27005200000000001</v>
      </c>
    </row>
    <row r="7973" spans="1:14" hidden="1" x14ac:dyDescent="0.35">
      <c r="A7973" s="52" t="s">
        <v>770</v>
      </c>
      <c r="B7973" s="52" t="s">
        <v>34</v>
      </c>
      <c r="C7973" s="52" t="s">
        <v>33</v>
      </c>
      <c r="D7973" s="52" t="s">
        <v>33</v>
      </c>
      <c r="E7973" s="52" t="s">
        <v>584</v>
      </c>
      <c r="F7973" s="52" t="s">
        <v>581</v>
      </c>
      <c r="G7973" s="55" t="s">
        <v>277</v>
      </c>
      <c r="H7973" s="55">
        <v>0</v>
      </c>
      <c r="I7973" s="55">
        <v>0.63775599999999999</v>
      </c>
      <c r="J7973" s="55">
        <v>0.35001100000000002</v>
      </c>
      <c r="K7973" s="55">
        <v>5.6495999999999998E-2</v>
      </c>
      <c r="L7973" s="55"/>
      <c r="M7973" s="55">
        <v>0</v>
      </c>
      <c r="N7973" s="55">
        <v>0</v>
      </c>
    </row>
    <row r="7974" spans="1:14" hidden="1" x14ac:dyDescent="0.35">
      <c r="A7974" s="52" t="s">
        <v>770</v>
      </c>
      <c r="B7974" s="52" t="s">
        <v>34</v>
      </c>
      <c r="C7974" s="52" t="s">
        <v>33</v>
      </c>
      <c r="D7974" s="52" t="s">
        <v>33</v>
      </c>
      <c r="E7974" s="52" t="s">
        <v>584</v>
      </c>
      <c r="F7974" s="52" t="s">
        <v>581</v>
      </c>
      <c r="G7974" s="55" t="s">
        <v>279</v>
      </c>
      <c r="H7974" s="55">
        <v>6.8978219999999997</v>
      </c>
      <c r="I7974" s="55">
        <v>5.9337280000000003</v>
      </c>
      <c r="J7974" s="55">
        <v>5.1864249999999998</v>
      </c>
      <c r="K7974" s="55">
        <v>11.94984</v>
      </c>
      <c r="L7974" s="55">
        <v>12.09675</v>
      </c>
      <c r="M7974" s="55">
        <v>5.9207979999999996</v>
      </c>
      <c r="N7974" s="55">
        <v>2.5446879999999998</v>
      </c>
    </row>
    <row r="7975" spans="1:14" hidden="1" x14ac:dyDescent="0.35">
      <c r="A7975" s="52" t="s">
        <v>770</v>
      </c>
      <c r="B7975" s="52" t="s">
        <v>34</v>
      </c>
      <c r="C7975" s="52" t="s">
        <v>33</v>
      </c>
      <c r="D7975" s="52" t="s">
        <v>33</v>
      </c>
      <c r="E7975" s="52" t="s">
        <v>584</v>
      </c>
      <c r="F7975" s="52" t="s">
        <v>26</v>
      </c>
      <c r="G7975" s="55" t="s">
        <v>275</v>
      </c>
      <c r="H7975" s="55">
        <v>-8.7065590000000004</v>
      </c>
      <c r="I7975" s="55">
        <v>-11.029199999999999</v>
      </c>
      <c r="J7975" s="55">
        <v>-10.75489</v>
      </c>
      <c r="K7975" s="55">
        <v>-25.015039999999999</v>
      </c>
      <c r="L7975" s="55">
        <v>-21.25093</v>
      </c>
      <c r="M7975" s="55">
        <v>-16.17512</v>
      </c>
      <c r="N7975" s="55">
        <v>-7.7302989999999996</v>
      </c>
    </row>
    <row r="7976" spans="1:14" hidden="1" x14ac:dyDescent="0.35">
      <c r="A7976" s="52" t="s">
        <v>770</v>
      </c>
      <c r="B7976" s="52" t="s">
        <v>34</v>
      </c>
      <c r="C7976" s="52" t="s">
        <v>33</v>
      </c>
      <c r="D7976" s="52" t="s">
        <v>33</v>
      </c>
      <c r="E7976" s="52" t="s">
        <v>584</v>
      </c>
      <c r="F7976" s="52" t="s">
        <v>26</v>
      </c>
      <c r="G7976" s="55" t="s">
        <v>276</v>
      </c>
      <c r="H7976" s="55">
        <v>-5.2364009999999999</v>
      </c>
      <c r="I7976" s="55">
        <v>-4.3756880000000002</v>
      </c>
      <c r="J7976" s="55">
        <v>-3.6705549999999998</v>
      </c>
      <c r="K7976" s="55">
        <v>-7.2867129999999998</v>
      </c>
      <c r="L7976" s="55">
        <v>-6.2586570000000004</v>
      </c>
      <c r="M7976" s="55">
        <v>-4.605321</v>
      </c>
      <c r="N7976" s="55">
        <v>-2.1388539999999998</v>
      </c>
    </row>
    <row r="7977" spans="1:14" hidden="1" x14ac:dyDescent="0.35">
      <c r="A7977" s="52" t="s">
        <v>770</v>
      </c>
      <c r="B7977" s="52" t="s">
        <v>34</v>
      </c>
      <c r="C7977" s="52" t="s">
        <v>33</v>
      </c>
      <c r="D7977" s="52" t="s">
        <v>33</v>
      </c>
      <c r="E7977" s="52" t="s">
        <v>584</v>
      </c>
      <c r="F7977" s="52" t="s">
        <v>26</v>
      </c>
      <c r="G7977" s="55" t="s">
        <v>277</v>
      </c>
      <c r="H7977" s="55">
        <v>0</v>
      </c>
      <c r="I7977" s="55">
        <v>2.7055630000000002</v>
      </c>
      <c r="J7977" s="55">
        <v>2.3998750000000002</v>
      </c>
      <c r="K7977" s="55">
        <v>2.5289969999999999</v>
      </c>
      <c r="L7977" s="55">
        <v>2.9421930000000001</v>
      </c>
      <c r="M7977" s="55">
        <v>3.6334270000000002</v>
      </c>
      <c r="N7977" s="55">
        <v>3.7945850000000001</v>
      </c>
    </row>
    <row r="7978" spans="1:14" hidden="1" x14ac:dyDescent="0.35">
      <c r="A7978" s="52" t="s">
        <v>770</v>
      </c>
      <c r="B7978" s="52" t="s">
        <v>34</v>
      </c>
      <c r="C7978" s="52" t="s">
        <v>33</v>
      </c>
      <c r="D7978" s="52" t="s">
        <v>33</v>
      </c>
      <c r="E7978" s="52" t="s">
        <v>584</v>
      </c>
      <c r="F7978" s="52" t="s">
        <v>26</v>
      </c>
      <c r="G7978" s="55" t="s">
        <v>279</v>
      </c>
      <c r="H7978" s="55">
        <v>22.06617</v>
      </c>
      <c r="I7978" s="55">
        <v>20.666129999999999</v>
      </c>
      <c r="J7978" s="55">
        <v>19.743449999999999</v>
      </c>
      <c r="K7978" s="55">
        <v>36.996760000000002</v>
      </c>
      <c r="L7978" s="55">
        <v>30.87003</v>
      </c>
      <c r="M7978" s="55">
        <v>21.931730000000002</v>
      </c>
      <c r="N7978" s="55">
        <v>10.714919999999999</v>
      </c>
    </row>
    <row r="7979" spans="1:14" hidden="1" x14ac:dyDescent="0.35">
      <c r="A7979" s="52" t="s">
        <v>770</v>
      </c>
      <c r="B7979" s="52" t="s">
        <v>34</v>
      </c>
      <c r="C7979" s="52" t="s">
        <v>33</v>
      </c>
      <c r="D7979" s="52" t="s">
        <v>33</v>
      </c>
      <c r="E7979" s="52" t="s">
        <v>739</v>
      </c>
      <c r="F7979" s="52" t="s">
        <v>581</v>
      </c>
      <c r="G7979" s="55" t="s">
        <v>275</v>
      </c>
      <c r="H7979" s="55">
        <v>0.64732800000000001</v>
      </c>
      <c r="I7979" s="55">
        <v>0.2219043</v>
      </c>
      <c r="J7979" s="55">
        <v>0.2017979</v>
      </c>
      <c r="K7979" s="55">
        <v>0.18407899999999999</v>
      </c>
      <c r="L7979" s="55">
        <v>0.1690545</v>
      </c>
      <c r="M7979" s="55">
        <v>0.15503210000000001</v>
      </c>
      <c r="N7979" s="55">
        <v>0.14045240000000001</v>
      </c>
    </row>
    <row r="7980" spans="1:14" hidden="1" x14ac:dyDescent="0.35">
      <c r="A7980" s="52" t="s">
        <v>770</v>
      </c>
      <c r="B7980" s="52" t="s">
        <v>34</v>
      </c>
      <c r="C7980" s="52" t="s">
        <v>33</v>
      </c>
      <c r="D7980" s="52" t="s">
        <v>33</v>
      </c>
      <c r="E7980" s="52" t="s">
        <v>739</v>
      </c>
      <c r="F7980" s="52" t="s">
        <v>581</v>
      </c>
      <c r="G7980" s="55" t="s">
        <v>276</v>
      </c>
      <c r="H7980" s="55">
        <v>0.23339099999999999</v>
      </c>
      <c r="I7980" s="55">
        <v>7.3967199999999997E-2</v>
      </c>
      <c r="J7980" s="55">
        <v>6.3725699999999996E-2</v>
      </c>
      <c r="K7980" s="55">
        <v>5.4984199999999997E-2</v>
      </c>
      <c r="L7980" s="55">
        <v>5.0496300000000001E-2</v>
      </c>
      <c r="M7980" s="55">
        <v>4.6309200000000002E-2</v>
      </c>
      <c r="N7980" s="55">
        <v>4.1952900000000001E-2</v>
      </c>
    </row>
    <row r="7981" spans="1:14" hidden="1" x14ac:dyDescent="0.35">
      <c r="A7981" s="52" t="s">
        <v>770</v>
      </c>
      <c r="B7981" s="52" t="s">
        <v>34</v>
      </c>
      <c r="C7981" s="52" t="s">
        <v>33</v>
      </c>
      <c r="D7981" s="52" t="s">
        <v>33</v>
      </c>
      <c r="E7981" s="52" t="s">
        <v>739</v>
      </c>
      <c r="F7981" s="52" t="s">
        <v>581</v>
      </c>
      <c r="G7981" s="55" t="s">
        <v>279</v>
      </c>
      <c r="H7981" s="55">
        <v>0.19176699999999999</v>
      </c>
      <c r="I7981" s="55">
        <v>0.16908699999999999</v>
      </c>
      <c r="J7981" s="55">
        <v>0.14580000000000001</v>
      </c>
      <c r="K7981" s="55">
        <v>0.1339178</v>
      </c>
      <c r="L7981" s="55">
        <v>0.1186049</v>
      </c>
      <c r="M7981" s="55">
        <v>0.1059894</v>
      </c>
      <c r="N7981" s="55">
        <v>9.5322710000000005E-2</v>
      </c>
    </row>
    <row r="7982" spans="1:14" hidden="1" x14ac:dyDescent="0.35">
      <c r="A7982" s="52" t="s">
        <v>770</v>
      </c>
      <c r="B7982" s="52" t="s">
        <v>34</v>
      </c>
      <c r="C7982" s="52" t="s">
        <v>33</v>
      </c>
      <c r="D7982" s="52" t="s">
        <v>33</v>
      </c>
      <c r="E7982" s="52" t="s">
        <v>739</v>
      </c>
      <c r="F7982" s="52" t="s">
        <v>26</v>
      </c>
      <c r="G7982" s="55" t="s">
        <v>275</v>
      </c>
      <c r="H7982" s="55">
        <v>-5.2507999999999999E-2</v>
      </c>
      <c r="I7982" s="55">
        <v>-3.7489700000000001E-2</v>
      </c>
      <c r="J7982" s="55">
        <v>-3.7088990000000002E-2</v>
      </c>
      <c r="K7982" s="55">
        <v>-4.8852699999999999E-2</v>
      </c>
      <c r="L7982" s="55">
        <v>-5.0074E-2</v>
      </c>
      <c r="M7982" s="55">
        <v>-2.6452699999999999E-2</v>
      </c>
      <c r="N7982" s="55">
        <v>-2.4453099999999998E-2</v>
      </c>
    </row>
    <row r="7983" spans="1:14" hidden="1" x14ac:dyDescent="0.35">
      <c r="A7983" s="52" t="s">
        <v>770</v>
      </c>
      <c r="B7983" s="52" t="s">
        <v>34</v>
      </c>
      <c r="C7983" s="52" t="s">
        <v>33</v>
      </c>
      <c r="D7983" s="52" t="s">
        <v>33</v>
      </c>
      <c r="E7983" s="52" t="s">
        <v>739</v>
      </c>
      <c r="F7983" s="52" t="s">
        <v>26</v>
      </c>
      <c r="G7983" s="55" t="s">
        <v>276</v>
      </c>
      <c r="H7983" s="55">
        <v>-1.8931E-2</v>
      </c>
      <c r="I7983" s="55">
        <v>-1.2496E-2</v>
      </c>
      <c r="J7983" s="55">
        <v>-1.1712E-2</v>
      </c>
      <c r="K7983" s="55">
        <v>-1.4592000000000001E-2</v>
      </c>
      <c r="L7983" s="55">
        <v>-1.4957099999999999E-2</v>
      </c>
      <c r="M7983" s="55">
        <v>-7.9019999999999993E-3</v>
      </c>
      <c r="N7983" s="55">
        <v>-7.3036990000000003E-3</v>
      </c>
    </row>
    <row r="7984" spans="1:14" hidden="1" x14ac:dyDescent="0.35">
      <c r="A7984" s="52" t="s">
        <v>770</v>
      </c>
      <c r="B7984" s="52" t="s">
        <v>34</v>
      </c>
      <c r="C7984" s="52" t="s">
        <v>33</v>
      </c>
      <c r="D7984" s="52" t="s">
        <v>33</v>
      </c>
      <c r="E7984" s="52" t="s">
        <v>739</v>
      </c>
      <c r="F7984" s="52" t="s">
        <v>26</v>
      </c>
      <c r="G7984" s="55" t="s">
        <v>279</v>
      </c>
      <c r="H7984" s="55">
        <v>0.77037500000000003</v>
      </c>
      <c r="I7984" s="55">
        <v>0.684222</v>
      </c>
      <c r="J7984" s="55">
        <v>0.59996799999999995</v>
      </c>
      <c r="K7984" s="55">
        <v>0.5602395</v>
      </c>
      <c r="L7984" s="55">
        <v>0.51257600000000003</v>
      </c>
      <c r="M7984" s="55">
        <v>0.43834459999999997</v>
      </c>
      <c r="N7984" s="55">
        <v>0.39425250000000001</v>
      </c>
    </row>
    <row r="7985" spans="1:14" hidden="1" x14ac:dyDescent="0.35">
      <c r="A7985" s="52" t="s">
        <v>770</v>
      </c>
      <c r="B7985" s="52" t="s">
        <v>34</v>
      </c>
      <c r="C7985" s="52" t="s">
        <v>33</v>
      </c>
      <c r="D7985" s="52" t="s">
        <v>33</v>
      </c>
      <c r="E7985" s="52" t="s">
        <v>638</v>
      </c>
      <c r="F7985" s="52" t="s">
        <v>581</v>
      </c>
      <c r="G7985" s="55" t="s">
        <v>275</v>
      </c>
      <c r="H7985" s="55">
        <v>0.190249</v>
      </c>
      <c r="I7985" s="55">
        <v>3.4375200000000002E-2</v>
      </c>
      <c r="J7985" s="55">
        <v>3.5652999999999997E-2</v>
      </c>
      <c r="K7985" s="55">
        <v>3.4115800000000002E-2</v>
      </c>
      <c r="L7985" s="55">
        <v>3.6473400000000003E-2</v>
      </c>
      <c r="M7985" s="55">
        <v>3.1236699999999999E-2</v>
      </c>
      <c r="N7985" s="55">
        <v>2.91802E-2</v>
      </c>
    </row>
    <row r="7986" spans="1:14" hidden="1" x14ac:dyDescent="0.35">
      <c r="A7986" s="52" t="s">
        <v>770</v>
      </c>
      <c r="B7986" s="52" t="s">
        <v>34</v>
      </c>
      <c r="C7986" s="52" t="s">
        <v>33</v>
      </c>
      <c r="D7986" s="52" t="s">
        <v>33</v>
      </c>
      <c r="E7986" s="52" t="s">
        <v>638</v>
      </c>
      <c r="F7986" s="52" t="s">
        <v>581</v>
      </c>
      <c r="G7986" s="55" t="s">
        <v>276</v>
      </c>
      <c r="H7986" s="55">
        <v>6.8592E-2</v>
      </c>
      <c r="I7986" s="55">
        <v>1.1458400000000001E-2</v>
      </c>
      <c r="J7986" s="55">
        <v>1.12595E-2</v>
      </c>
      <c r="K7986" s="55">
        <v>1.01908E-2</v>
      </c>
      <c r="L7986" s="55">
        <v>1.0895E-2</v>
      </c>
      <c r="M7986" s="55">
        <v>9.3300989999999997E-3</v>
      </c>
      <c r="N7986" s="55">
        <v>8.7159990000000003E-3</v>
      </c>
    </row>
    <row r="7987" spans="1:14" hidden="1" x14ac:dyDescent="0.35">
      <c r="A7987" s="52" t="s">
        <v>770</v>
      </c>
      <c r="B7987" s="52" t="s">
        <v>34</v>
      </c>
      <c r="C7987" s="52" t="s">
        <v>33</v>
      </c>
      <c r="D7987" s="52" t="s">
        <v>33</v>
      </c>
      <c r="E7987" s="52" t="s">
        <v>638</v>
      </c>
      <c r="F7987" s="52" t="s">
        <v>581</v>
      </c>
      <c r="G7987" s="55" t="s">
        <v>277</v>
      </c>
      <c r="H7987" s="55"/>
      <c r="I7987" s="55"/>
      <c r="J7987" s="55"/>
      <c r="K7987" s="55"/>
      <c r="L7987" s="55">
        <v>0</v>
      </c>
      <c r="M7987" s="55">
        <v>0</v>
      </c>
      <c r="N7987" s="55">
        <v>0</v>
      </c>
    </row>
    <row r="7988" spans="1:14" hidden="1" x14ac:dyDescent="0.35">
      <c r="A7988" s="52" t="s">
        <v>770</v>
      </c>
      <c r="B7988" s="52" t="s">
        <v>34</v>
      </c>
      <c r="C7988" s="52" t="s">
        <v>33</v>
      </c>
      <c r="D7988" s="52" t="s">
        <v>33</v>
      </c>
      <c r="E7988" s="52" t="s">
        <v>638</v>
      </c>
      <c r="F7988" s="52" t="s">
        <v>581</v>
      </c>
      <c r="G7988" s="55" t="s">
        <v>279</v>
      </c>
      <c r="H7988" s="55">
        <v>0.14940700000000001</v>
      </c>
      <c r="I7988" s="55">
        <v>0.13434299999999999</v>
      </c>
      <c r="J7988" s="55">
        <v>0.11615300000000001</v>
      </c>
      <c r="K7988" s="55">
        <v>0.1069234</v>
      </c>
      <c r="L7988" s="55">
        <v>9.2857700000000001E-2</v>
      </c>
      <c r="M7988" s="55">
        <v>8.9775400000000005E-2</v>
      </c>
      <c r="N7988" s="55">
        <v>8.2576899999999995E-2</v>
      </c>
    </row>
    <row r="7989" spans="1:14" hidden="1" x14ac:dyDescent="0.35">
      <c r="A7989" s="52" t="s">
        <v>770</v>
      </c>
      <c r="B7989" s="52" t="s">
        <v>34</v>
      </c>
      <c r="C7989" s="52" t="s">
        <v>33</v>
      </c>
      <c r="D7989" s="52" t="s">
        <v>33</v>
      </c>
      <c r="E7989" s="52" t="s">
        <v>638</v>
      </c>
      <c r="F7989" s="52" t="s">
        <v>26</v>
      </c>
      <c r="G7989" s="55" t="s">
        <v>275</v>
      </c>
      <c r="H7989" s="55">
        <v>-8.3256999999999998E-2</v>
      </c>
      <c r="I7989" s="55">
        <v>-7.2895799999999997E-2</v>
      </c>
      <c r="J7989" s="55">
        <v>-6.1559200000000001E-2</v>
      </c>
      <c r="K7989" s="55">
        <v>-5.8164199999999999E-2</v>
      </c>
      <c r="L7989" s="55">
        <v>-4.6376899999999999E-2</v>
      </c>
      <c r="M7989" s="55">
        <v>-4.7092799999999997E-2</v>
      </c>
      <c r="N7989" s="55">
        <v>-4.3511800000000003E-2</v>
      </c>
    </row>
    <row r="7990" spans="1:14" hidden="1" x14ac:dyDescent="0.35">
      <c r="A7990" s="52" t="s">
        <v>770</v>
      </c>
      <c r="B7990" s="52" t="s">
        <v>34</v>
      </c>
      <c r="C7990" s="52" t="s">
        <v>33</v>
      </c>
      <c r="D7990" s="52" t="s">
        <v>33</v>
      </c>
      <c r="E7990" s="52" t="s">
        <v>638</v>
      </c>
      <c r="F7990" s="52" t="s">
        <v>26</v>
      </c>
      <c r="G7990" s="55" t="s">
        <v>276</v>
      </c>
      <c r="H7990" s="55">
        <v>-3.0018E-2</v>
      </c>
      <c r="I7990" s="55">
        <v>-2.4298699999999999E-2</v>
      </c>
      <c r="J7990" s="55">
        <v>-1.94404E-2</v>
      </c>
      <c r="K7990" s="55">
        <v>-1.7374000000000001E-2</v>
      </c>
      <c r="L7990" s="55">
        <v>-1.38529E-2</v>
      </c>
      <c r="M7990" s="55">
        <v>-1.40667E-2</v>
      </c>
      <c r="N7990" s="55">
        <v>-1.29975E-2</v>
      </c>
    </row>
    <row r="7991" spans="1:14" hidden="1" x14ac:dyDescent="0.35">
      <c r="A7991" s="52" t="s">
        <v>770</v>
      </c>
      <c r="B7991" s="52" t="s">
        <v>34</v>
      </c>
      <c r="C7991" s="52" t="s">
        <v>33</v>
      </c>
      <c r="D7991" s="52" t="s">
        <v>33</v>
      </c>
      <c r="E7991" s="52" t="s">
        <v>638</v>
      </c>
      <c r="F7991" s="52" t="s">
        <v>26</v>
      </c>
      <c r="G7991" s="55" t="s">
        <v>279</v>
      </c>
      <c r="H7991" s="55">
        <v>0.301618</v>
      </c>
      <c r="I7991" s="55">
        <v>0.27180799999999999</v>
      </c>
      <c r="J7991" s="55">
        <v>0.23624000000000001</v>
      </c>
      <c r="K7991" s="55">
        <v>0.2186467</v>
      </c>
      <c r="L7991" s="55">
        <v>0.192082</v>
      </c>
      <c r="M7991" s="55">
        <v>0.18289059999999999</v>
      </c>
      <c r="N7991" s="55">
        <v>0.1682236</v>
      </c>
    </row>
    <row r="7992" spans="1:14" hidden="1" x14ac:dyDescent="0.35">
      <c r="A7992" s="52" t="s">
        <v>770</v>
      </c>
      <c r="B7992" s="52" t="s">
        <v>34</v>
      </c>
      <c r="C7992" s="52" t="s">
        <v>318</v>
      </c>
      <c r="D7992" s="52" t="s">
        <v>318</v>
      </c>
      <c r="E7992" s="52" t="s">
        <v>584</v>
      </c>
      <c r="F7992" s="52" t="s">
        <v>581</v>
      </c>
      <c r="G7992" s="55" t="s">
        <v>275</v>
      </c>
      <c r="H7992" s="55">
        <v>0</v>
      </c>
      <c r="I7992" s="55"/>
      <c r="J7992" s="55"/>
      <c r="K7992" s="55"/>
      <c r="L7992" s="55"/>
      <c r="M7992" s="55"/>
      <c r="N7992" s="55"/>
    </row>
    <row r="7993" spans="1:14" hidden="1" x14ac:dyDescent="0.35">
      <c r="A7993" s="52" t="s">
        <v>770</v>
      </c>
      <c r="B7993" s="52" t="s">
        <v>34</v>
      </c>
      <c r="C7993" s="52" t="s">
        <v>318</v>
      </c>
      <c r="D7993" s="52" t="s">
        <v>318</v>
      </c>
      <c r="E7993" s="52" t="s">
        <v>584</v>
      </c>
      <c r="F7993" s="52" t="s">
        <v>581</v>
      </c>
      <c r="G7993" s="55" t="s">
        <v>278</v>
      </c>
      <c r="H7993" s="55">
        <v>0</v>
      </c>
      <c r="I7993" s="55"/>
      <c r="J7993" s="55"/>
      <c r="K7993" s="55"/>
      <c r="L7993" s="55"/>
      <c r="M7993" s="55"/>
      <c r="N7993" s="55"/>
    </row>
    <row r="7994" spans="1:14" hidden="1" x14ac:dyDescent="0.35">
      <c r="A7994" s="52" t="s">
        <v>770</v>
      </c>
      <c r="B7994" s="52" t="s">
        <v>34</v>
      </c>
      <c r="C7994" s="52" t="s">
        <v>318</v>
      </c>
      <c r="D7994" s="52" t="s">
        <v>318</v>
      </c>
      <c r="E7994" s="52" t="s">
        <v>584</v>
      </c>
      <c r="F7994" s="52" t="s">
        <v>26</v>
      </c>
      <c r="G7994" s="55" t="s">
        <v>275</v>
      </c>
      <c r="H7994" s="55">
        <v>0</v>
      </c>
      <c r="I7994" s="55"/>
      <c r="J7994" s="55"/>
      <c r="K7994" s="55"/>
      <c r="L7994" s="55"/>
      <c r="M7994" s="55"/>
      <c r="N7994" s="55"/>
    </row>
    <row r="7995" spans="1:14" hidden="1" x14ac:dyDescent="0.35">
      <c r="A7995" s="52" t="s">
        <v>770</v>
      </c>
      <c r="B7995" s="52" t="s">
        <v>34</v>
      </c>
      <c r="C7995" s="52" t="s">
        <v>318</v>
      </c>
      <c r="D7995" s="52" t="s">
        <v>318</v>
      </c>
      <c r="E7995" s="52" t="s">
        <v>584</v>
      </c>
      <c r="F7995" s="52" t="s">
        <v>26</v>
      </c>
      <c r="G7995" s="55" t="s">
        <v>278</v>
      </c>
      <c r="H7995" s="55">
        <v>0</v>
      </c>
      <c r="I7995" s="55"/>
      <c r="J7995" s="55"/>
      <c r="K7995" s="55"/>
      <c r="L7995" s="55"/>
      <c r="M7995" s="55"/>
      <c r="N7995" s="55"/>
    </row>
    <row r="7996" spans="1:14" hidden="1" x14ac:dyDescent="0.35">
      <c r="A7996" s="52" t="s">
        <v>869</v>
      </c>
      <c r="B7996" s="52" t="s">
        <v>37</v>
      </c>
      <c r="C7996" s="52" t="s">
        <v>318</v>
      </c>
      <c r="D7996" s="52" t="s">
        <v>318</v>
      </c>
      <c r="E7996" s="52" t="s">
        <v>584</v>
      </c>
      <c r="F7996" s="52" t="s">
        <v>581</v>
      </c>
      <c r="G7996" s="55" t="s">
        <v>275</v>
      </c>
      <c r="H7996" s="55">
        <v>0</v>
      </c>
      <c r="I7996" s="55"/>
      <c r="J7996" s="55"/>
      <c r="K7996" s="55"/>
      <c r="L7996" s="55"/>
      <c r="M7996" s="55"/>
      <c r="N7996" s="55"/>
    </row>
    <row r="7997" spans="1:14" hidden="1" x14ac:dyDescent="0.35">
      <c r="A7997" s="52" t="s">
        <v>869</v>
      </c>
      <c r="B7997" s="52" t="s">
        <v>37</v>
      </c>
      <c r="C7997" s="52" t="s">
        <v>318</v>
      </c>
      <c r="D7997" s="52" t="s">
        <v>318</v>
      </c>
      <c r="E7997" s="52" t="s">
        <v>584</v>
      </c>
      <c r="F7997" s="52" t="s">
        <v>581</v>
      </c>
      <c r="G7997" s="55" t="s">
        <v>276</v>
      </c>
      <c r="H7997" s="55">
        <v>0</v>
      </c>
      <c r="I7997" s="55"/>
      <c r="J7997" s="55"/>
      <c r="K7997" s="55"/>
      <c r="L7997" s="55"/>
      <c r="M7997" s="55"/>
      <c r="N7997" s="55"/>
    </row>
    <row r="7998" spans="1:14" hidden="1" x14ac:dyDescent="0.35">
      <c r="A7998" s="52" t="s">
        <v>869</v>
      </c>
      <c r="B7998" s="52" t="s">
        <v>37</v>
      </c>
      <c r="C7998" s="52" t="s">
        <v>318</v>
      </c>
      <c r="D7998" s="52" t="s">
        <v>318</v>
      </c>
      <c r="E7998" s="52" t="s">
        <v>584</v>
      </c>
      <c r="F7998" s="52" t="s">
        <v>581</v>
      </c>
      <c r="G7998" s="55" t="s">
        <v>278</v>
      </c>
      <c r="H7998" s="55">
        <v>0</v>
      </c>
      <c r="I7998" s="55"/>
      <c r="J7998" s="55"/>
      <c r="K7998" s="55"/>
      <c r="L7998" s="55"/>
      <c r="M7998" s="55"/>
      <c r="N7998" s="55"/>
    </row>
    <row r="7999" spans="1:14" hidden="1" x14ac:dyDescent="0.35">
      <c r="A7999" s="52" t="s">
        <v>869</v>
      </c>
      <c r="B7999" s="52" t="s">
        <v>37</v>
      </c>
      <c r="C7999" s="52" t="s">
        <v>318</v>
      </c>
      <c r="D7999" s="52" t="s">
        <v>318</v>
      </c>
      <c r="E7999" s="52" t="s">
        <v>584</v>
      </c>
      <c r="F7999" s="52" t="s">
        <v>26</v>
      </c>
      <c r="G7999" s="55" t="s">
        <v>275</v>
      </c>
      <c r="H7999" s="55">
        <v>0</v>
      </c>
      <c r="I7999" s="55"/>
      <c r="J7999" s="55"/>
      <c r="K7999" s="55"/>
      <c r="L7999" s="55"/>
      <c r="M7999" s="55"/>
      <c r="N7999" s="55"/>
    </row>
    <row r="8000" spans="1:14" hidden="1" x14ac:dyDescent="0.35">
      <c r="A8000" s="52" t="s">
        <v>869</v>
      </c>
      <c r="B8000" s="52" t="s">
        <v>37</v>
      </c>
      <c r="C8000" s="52" t="s">
        <v>318</v>
      </c>
      <c r="D8000" s="52" t="s">
        <v>318</v>
      </c>
      <c r="E8000" s="52" t="s">
        <v>584</v>
      </c>
      <c r="F8000" s="52" t="s">
        <v>26</v>
      </c>
      <c r="G8000" s="55" t="s">
        <v>276</v>
      </c>
      <c r="H8000" s="55">
        <v>0</v>
      </c>
      <c r="I8000" s="55"/>
      <c r="J8000" s="55"/>
      <c r="K8000" s="55"/>
      <c r="L8000" s="55"/>
      <c r="M8000" s="55"/>
      <c r="N8000" s="55"/>
    </row>
    <row r="8001" spans="1:15" hidden="1" x14ac:dyDescent="0.35">
      <c r="A8001" s="52" t="s">
        <v>869</v>
      </c>
      <c r="B8001" s="52" t="s">
        <v>37</v>
      </c>
      <c r="C8001" s="52" t="s">
        <v>318</v>
      </c>
      <c r="D8001" s="52" t="s">
        <v>318</v>
      </c>
      <c r="E8001" s="52" t="s">
        <v>584</v>
      </c>
      <c r="F8001" s="52" t="s">
        <v>26</v>
      </c>
      <c r="G8001" s="55" t="s">
        <v>278</v>
      </c>
      <c r="H8001" s="55">
        <v>0</v>
      </c>
      <c r="I8001" s="55"/>
      <c r="J8001" s="55"/>
      <c r="K8001" s="55"/>
      <c r="L8001" s="55"/>
      <c r="M8001" s="55"/>
      <c r="N8001" s="55"/>
    </row>
    <row r="8003" spans="1:15" ht="150" customHeight="1" x14ac:dyDescent="0.35">
      <c r="A8003" s="484" t="s">
        <v>876</v>
      </c>
      <c r="B8003" s="485"/>
      <c r="C8003" s="485"/>
      <c r="D8003" s="485"/>
      <c r="E8003" s="485"/>
      <c r="F8003" s="485"/>
      <c r="G8003" s="485"/>
      <c r="H8003" s="485"/>
      <c r="I8003" s="485"/>
      <c r="J8003" s="485"/>
      <c r="K8003" s="485"/>
      <c r="L8003" s="485"/>
      <c r="M8003" s="485"/>
      <c r="N8003" s="485"/>
    </row>
    <row r="8005" spans="1:15" ht="15" thickBot="1" x14ac:dyDescent="0.4"/>
    <row r="8006" spans="1:15" ht="15.5" thickTop="1" thickBot="1" x14ac:dyDescent="0.4">
      <c r="A8006" s="162" t="s">
        <v>773</v>
      </c>
      <c r="C8006" s="486" t="s">
        <v>774</v>
      </c>
      <c r="D8006" s="487"/>
      <c r="E8006" s="487"/>
      <c r="F8006" s="487"/>
      <c r="G8006" s="487"/>
      <c r="H8006" s="487"/>
      <c r="I8006" s="488"/>
      <c r="K8006" s="486" t="s">
        <v>775</v>
      </c>
      <c r="L8006" s="488"/>
      <c r="N8006" s="486" t="s">
        <v>776</v>
      </c>
      <c r="O8006" s="488"/>
    </row>
    <row r="8007" spans="1:15" ht="15" thickBot="1" x14ac:dyDescent="0.4">
      <c r="A8007" s="164" t="s">
        <v>877</v>
      </c>
      <c r="C8007" s="165" t="s">
        <v>576</v>
      </c>
      <c r="D8007" s="166" t="s">
        <v>29</v>
      </c>
      <c r="E8007" s="166" t="s">
        <v>27</v>
      </c>
      <c r="F8007" s="166" t="s">
        <v>28</v>
      </c>
      <c r="G8007" s="166" t="s">
        <v>577</v>
      </c>
      <c r="H8007" s="166" t="s">
        <v>578</v>
      </c>
      <c r="I8007" s="167" t="s">
        <v>274</v>
      </c>
      <c r="K8007" s="165" t="s">
        <v>22</v>
      </c>
      <c r="L8007" s="167" t="s">
        <v>778</v>
      </c>
      <c r="N8007" s="165" t="s">
        <v>23</v>
      </c>
      <c r="O8007" s="167" t="s">
        <v>779</v>
      </c>
    </row>
    <row r="8008" spans="1:15" ht="15.5" thickTop="1" thickBot="1" x14ac:dyDescent="0.4">
      <c r="C8008" s="169" t="s">
        <v>780</v>
      </c>
      <c r="D8008" s="170" t="s">
        <v>781</v>
      </c>
      <c r="E8008" s="170" t="s">
        <v>782</v>
      </c>
      <c r="F8008" s="170" t="s">
        <v>783</v>
      </c>
      <c r="G8008" s="170" t="s">
        <v>784</v>
      </c>
      <c r="H8008" s="170" t="s">
        <v>785</v>
      </c>
      <c r="I8008" s="172" t="s">
        <v>870</v>
      </c>
      <c r="K8008" s="169" t="s">
        <v>787</v>
      </c>
      <c r="L8008" s="172" t="s">
        <v>788</v>
      </c>
      <c r="N8008" s="183" t="s">
        <v>786</v>
      </c>
      <c r="O8008" s="172" t="s">
        <v>789</v>
      </c>
    </row>
    <row r="8009" spans="1:15" ht="15.5" thickTop="1" thickBot="1" x14ac:dyDescent="0.4">
      <c r="A8009" s="174" t="s">
        <v>790</v>
      </c>
      <c r="C8009" s="175" t="s">
        <v>206</v>
      </c>
      <c r="D8009" s="176"/>
      <c r="E8009" s="176"/>
      <c r="F8009" s="176"/>
      <c r="G8009" s="176"/>
      <c r="H8009" s="176"/>
      <c r="I8009" s="178"/>
      <c r="K8009" s="175" t="s">
        <v>792</v>
      </c>
      <c r="L8009" s="178"/>
      <c r="N8009" s="191" t="s">
        <v>791</v>
      </c>
      <c r="O8009" s="192" t="s">
        <v>576</v>
      </c>
    </row>
    <row r="8010" spans="1:15" ht="15" thickTop="1" x14ac:dyDescent="0.35">
      <c r="C8010" s="175" t="s">
        <v>623</v>
      </c>
      <c r="D8010" s="176"/>
      <c r="E8010" s="176"/>
      <c r="F8010" s="176"/>
      <c r="G8010" s="176"/>
      <c r="H8010" s="176"/>
      <c r="I8010" s="178"/>
      <c r="K8010" s="175" t="s">
        <v>794</v>
      </c>
      <c r="L8010" s="178"/>
      <c r="N8010" s="191" t="s">
        <v>793</v>
      </c>
      <c r="O8010" s="171" t="s">
        <v>795</v>
      </c>
    </row>
    <row r="8011" spans="1:15" x14ac:dyDescent="0.35">
      <c r="C8011" s="175" t="s">
        <v>222</v>
      </c>
      <c r="D8011" s="176"/>
      <c r="E8011" s="176"/>
      <c r="F8011" s="176"/>
      <c r="G8011" s="176"/>
      <c r="H8011" s="176"/>
      <c r="I8011" s="178"/>
      <c r="K8011" s="175" t="s">
        <v>797</v>
      </c>
      <c r="L8011" s="178"/>
      <c r="N8011" s="191" t="s">
        <v>796</v>
      </c>
      <c r="O8011" s="178"/>
    </row>
    <row r="8012" spans="1:15" x14ac:dyDescent="0.35">
      <c r="C8012" s="175" t="s">
        <v>226</v>
      </c>
      <c r="D8012" s="176"/>
      <c r="E8012" s="176"/>
      <c r="F8012" s="176"/>
      <c r="G8012" s="176"/>
      <c r="H8012" s="176"/>
      <c r="I8012" s="178"/>
      <c r="K8012" s="175" t="s">
        <v>799</v>
      </c>
      <c r="L8012" s="178"/>
      <c r="N8012" s="191" t="s">
        <v>798</v>
      </c>
      <c r="O8012" s="178"/>
    </row>
    <row r="8013" spans="1:15" ht="15" thickBot="1" x14ac:dyDescent="0.4">
      <c r="C8013" s="175" t="s">
        <v>682</v>
      </c>
      <c r="D8013" s="176"/>
      <c r="E8013" s="176"/>
      <c r="F8013" s="176"/>
      <c r="G8013" s="176"/>
      <c r="H8013" s="176"/>
      <c r="I8013" s="178"/>
      <c r="K8013" s="175" t="s">
        <v>801</v>
      </c>
      <c r="L8013" s="178"/>
      <c r="N8013" s="193" t="s">
        <v>800</v>
      </c>
      <c r="O8013" s="182"/>
    </row>
    <row r="8014" spans="1:15" ht="15" thickTop="1" x14ac:dyDescent="0.35">
      <c r="C8014" s="175" t="s">
        <v>607</v>
      </c>
      <c r="D8014" s="176"/>
      <c r="E8014" s="176"/>
      <c r="F8014" s="176"/>
      <c r="G8014" s="176"/>
      <c r="H8014" s="176"/>
      <c r="I8014" s="178"/>
      <c r="K8014" s="175" t="s">
        <v>802</v>
      </c>
      <c r="L8014" s="178"/>
    </row>
    <row r="8015" spans="1:15" x14ac:dyDescent="0.35">
      <c r="C8015" s="175" t="s">
        <v>231</v>
      </c>
      <c r="D8015" s="176"/>
      <c r="E8015" s="176"/>
      <c r="F8015" s="176"/>
      <c r="G8015" s="176"/>
      <c r="H8015" s="176"/>
      <c r="I8015" s="178"/>
      <c r="K8015" s="175" t="s">
        <v>803</v>
      </c>
      <c r="L8015" s="178"/>
    </row>
    <row r="8016" spans="1:15" ht="15" thickBot="1" x14ac:dyDescent="0.4">
      <c r="C8016" s="175" t="s">
        <v>232</v>
      </c>
      <c r="D8016" s="176"/>
      <c r="E8016" s="176"/>
      <c r="F8016" s="176"/>
      <c r="G8016" s="176"/>
      <c r="H8016" s="176"/>
      <c r="I8016" s="178"/>
      <c r="K8016" s="181" t="s">
        <v>804</v>
      </c>
      <c r="L8016" s="182"/>
    </row>
    <row r="8017" spans="3:9" ht="15" thickTop="1" x14ac:dyDescent="0.35">
      <c r="C8017" s="175" t="s">
        <v>240</v>
      </c>
      <c r="D8017" s="176"/>
      <c r="E8017" s="176"/>
      <c r="F8017" s="176"/>
      <c r="G8017" s="176"/>
      <c r="H8017" s="176"/>
      <c r="I8017" s="178"/>
    </row>
    <row r="8018" spans="3:9" x14ac:dyDescent="0.35">
      <c r="C8018" s="175" t="s">
        <v>242</v>
      </c>
      <c r="D8018" s="176"/>
      <c r="E8018" s="176"/>
      <c r="F8018" s="176"/>
      <c r="G8018" s="176"/>
      <c r="H8018" s="176"/>
      <c r="I8018" s="178"/>
    </row>
    <row r="8019" spans="3:9" x14ac:dyDescent="0.35">
      <c r="C8019" s="175" t="s">
        <v>669</v>
      </c>
      <c r="D8019" s="176"/>
      <c r="E8019" s="176"/>
      <c r="F8019" s="176"/>
      <c r="G8019" s="176"/>
      <c r="H8019" s="176"/>
      <c r="I8019" s="178"/>
    </row>
    <row r="8020" spans="3:9" x14ac:dyDescent="0.35">
      <c r="C8020" s="175" t="s">
        <v>243</v>
      </c>
      <c r="D8020" s="176"/>
      <c r="E8020" s="176"/>
      <c r="F8020" s="176"/>
      <c r="G8020" s="176"/>
      <c r="H8020" s="176"/>
      <c r="I8020" s="178"/>
    </row>
    <row r="8021" spans="3:9" x14ac:dyDescent="0.35">
      <c r="C8021" s="175" t="s">
        <v>250</v>
      </c>
      <c r="D8021" s="176"/>
      <c r="E8021" s="176"/>
      <c r="F8021" s="176"/>
      <c r="G8021" s="176"/>
      <c r="H8021" s="176"/>
      <c r="I8021" s="178"/>
    </row>
    <row r="8022" spans="3:9" x14ac:dyDescent="0.35">
      <c r="C8022" s="175" t="s">
        <v>722</v>
      </c>
      <c r="D8022" s="176"/>
      <c r="E8022" s="176"/>
      <c r="F8022" s="176"/>
      <c r="G8022" s="176"/>
      <c r="H8022" s="176"/>
      <c r="I8022" s="178"/>
    </row>
    <row r="8023" spans="3:9" x14ac:dyDescent="0.35">
      <c r="C8023" s="175" t="s">
        <v>648</v>
      </c>
      <c r="D8023" s="176"/>
      <c r="E8023" s="176"/>
      <c r="F8023" s="176"/>
      <c r="G8023" s="176"/>
      <c r="H8023" s="176"/>
      <c r="I8023" s="178"/>
    </row>
    <row r="8024" spans="3:9" x14ac:dyDescent="0.35">
      <c r="C8024" s="175" t="s">
        <v>690</v>
      </c>
      <c r="D8024" s="176"/>
      <c r="E8024" s="176"/>
      <c r="F8024" s="176"/>
      <c r="G8024" s="176"/>
      <c r="H8024" s="176"/>
      <c r="I8024" s="178"/>
    </row>
    <row r="8025" spans="3:9" x14ac:dyDescent="0.35">
      <c r="C8025" s="175" t="s">
        <v>711</v>
      </c>
      <c r="D8025" s="176"/>
      <c r="E8025" s="176"/>
      <c r="F8025" s="176"/>
      <c r="G8025" s="176"/>
      <c r="H8025" s="176"/>
      <c r="I8025" s="178"/>
    </row>
    <row r="8026" spans="3:9" x14ac:dyDescent="0.35">
      <c r="C8026" s="175" t="s">
        <v>680</v>
      </c>
      <c r="D8026" s="176"/>
      <c r="E8026" s="176"/>
      <c r="F8026" s="176"/>
      <c r="G8026" s="176"/>
      <c r="H8026" s="176"/>
      <c r="I8026" s="178"/>
    </row>
    <row r="8027" spans="3:9" x14ac:dyDescent="0.35">
      <c r="C8027" s="175" t="s">
        <v>645</v>
      </c>
      <c r="D8027" s="176"/>
      <c r="E8027" s="176"/>
      <c r="F8027" s="176"/>
      <c r="G8027" s="176"/>
      <c r="H8027" s="176"/>
      <c r="I8027" s="178"/>
    </row>
    <row r="8028" spans="3:9" x14ac:dyDescent="0.35">
      <c r="C8028" s="175" t="s">
        <v>694</v>
      </c>
      <c r="D8028" s="176"/>
      <c r="E8028" s="176"/>
      <c r="F8028" s="176"/>
      <c r="G8028" s="176"/>
      <c r="H8028" s="176"/>
      <c r="I8028" s="178"/>
    </row>
    <row r="8029" spans="3:9" x14ac:dyDescent="0.35">
      <c r="C8029" s="175" t="s">
        <v>805</v>
      </c>
      <c r="D8029" s="176"/>
      <c r="E8029" s="176"/>
      <c r="F8029" s="176"/>
      <c r="G8029" s="176"/>
      <c r="H8029" s="176"/>
      <c r="I8029" s="178"/>
    </row>
    <row r="8030" spans="3:9" x14ac:dyDescent="0.35">
      <c r="C8030" s="183" t="s">
        <v>806</v>
      </c>
      <c r="D8030" s="176"/>
      <c r="E8030" s="176"/>
      <c r="F8030" s="176"/>
      <c r="G8030" s="176"/>
      <c r="H8030" s="176"/>
      <c r="I8030" s="178"/>
    </row>
    <row r="8031" spans="3:9" x14ac:dyDescent="0.35">
      <c r="C8031" s="184"/>
      <c r="D8031" s="176"/>
      <c r="E8031" s="176"/>
      <c r="F8031" s="176"/>
      <c r="G8031" s="176"/>
      <c r="H8031" s="176"/>
      <c r="I8031" s="178"/>
    </row>
    <row r="8032" spans="3:9" x14ac:dyDescent="0.35">
      <c r="C8032" s="184"/>
      <c r="D8032" s="176"/>
      <c r="E8032" s="176"/>
      <c r="F8032" s="176"/>
      <c r="G8032" s="176"/>
      <c r="H8032" s="176"/>
      <c r="I8032" s="178"/>
    </row>
    <row r="8033" spans="3:9" x14ac:dyDescent="0.35">
      <c r="C8033" s="184"/>
      <c r="D8033" s="176"/>
      <c r="E8033" s="176"/>
      <c r="F8033" s="176"/>
      <c r="G8033" s="176"/>
      <c r="H8033" s="176"/>
      <c r="I8033" s="178"/>
    </row>
    <row r="8034" spans="3:9" x14ac:dyDescent="0.35">
      <c r="C8034" s="184"/>
      <c r="D8034" s="176"/>
      <c r="E8034" s="176"/>
      <c r="F8034" s="176"/>
      <c r="G8034" s="176"/>
      <c r="H8034" s="176"/>
      <c r="I8034" s="178"/>
    </row>
    <row r="8035" spans="3:9" x14ac:dyDescent="0.35">
      <c r="C8035" s="184"/>
      <c r="D8035" s="176"/>
      <c r="E8035" s="176"/>
      <c r="F8035" s="176"/>
      <c r="G8035" s="176"/>
      <c r="H8035" s="176"/>
      <c r="I8035" s="178"/>
    </row>
    <row r="8036" spans="3:9" x14ac:dyDescent="0.35">
      <c r="C8036" s="184"/>
      <c r="D8036" s="176"/>
      <c r="E8036" s="176"/>
      <c r="F8036" s="176"/>
      <c r="G8036" s="176"/>
      <c r="H8036" s="176"/>
      <c r="I8036" s="178"/>
    </row>
    <row r="8037" spans="3:9" x14ac:dyDescent="0.35">
      <c r="C8037" s="184"/>
      <c r="D8037" s="176"/>
      <c r="E8037" s="176"/>
      <c r="F8037" s="176"/>
      <c r="G8037" s="176"/>
      <c r="H8037" s="176"/>
      <c r="I8037" s="178"/>
    </row>
    <row r="8038" spans="3:9" x14ac:dyDescent="0.35">
      <c r="C8038" s="184"/>
      <c r="D8038" s="176"/>
      <c r="E8038" s="176"/>
      <c r="F8038" s="176"/>
      <c r="G8038" s="176"/>
      <c r="H8038" s="176"/>
      <c r="I8038" s="178"/>
    </row>
    <row r="8039" spans="3:9" x14ac:dyDescent="0.35">
      <c r="C8039" s="184"/>
      <c r="D8039" s="176"/>
      <c r="E8039" s="176"/>
      <c r="F8039" s="176"/>
      <c r="G8039" s="176"/>
      <c r="H8039" s="176"/>
      <c r="I8039" s="178"/>
    </row>
    <row r="8040" spans="3:9" x14ac:dyDescent="0.35">
      <c r="C8040" s="184"/>
      <c r="D8040" s="176"/>
      <c r="E8040" s="176"/>
      <c r="F8040" s="176"/>
      <c r="G8040" s="176"/>
      <c r="H8040" s="176"/>
      <c r="I8040" s="178"/>
    </row>
    <row r="8041" spans="3:9" x14ac:dyDescent="0.35">
      <c r="C8041" s="184"/>
      <c r="D8041" s="176"/>
      <c r="E8041" s="176"/>
      <c r="F8041" s="176"/>
      <c r="G8041" s="176"/>
      <c r="H8041" s="176"/>
      <c r="I8041" s="178"/>
    </row>
    <row r="8042" spans="3:9" x14ac:dyDescent="0.35">
      <c r="C8042" s="184"/>
      <c r="D8042" s="176"/>
      <c r="E8042" s="176"/>
      <c r="F8042" s="176"/>
      <c r="G8042" s="176"/>
      <c r="H8042" s="176"/>
      <c r="I8042" s="178"/>
    </row>
    <row r="8043" spans="3:9" x14ac:dyDescent="0.35">
      <c r="C8043" s="184"/>
      <c r="D8043" s="176"/>
      <c r="E8043" s="176"/>
      <c r="F8043" s="176"/>
      <c r="G8043" s="176"/>
      <c r="H8043" s="176"/>
      <c r="I8043" s="178"/>
    </row>
    <row r="8044" spans="3:9" x14ac:dyDescent="0.35">
      <c r="C8044" s="184"/>
      <c r="D8044" s="176"/>
      <c r="E8044" s="176"/>
      <c r="F8044" s="176"/>
      <c r="G8044" s="176"/>
      <c r="H8044" s="176"/>
      <c r="I8044" s="178"/>
    </row>
    <row r="8045" spans="3:9" x14ac:dyDescent="0.35">
      <c r="C8045" s="184"/>
      <c r="D8045" s="176"/>
      <c r="E8045" s="176"/>
      <c r="F8045" s="176"/>
      <c r="G8045" s="176"/>
      <c r="H8045" s="176"/>
      <c r="I8045" s="178"/>
    </row>
    <row r="8046" spans="3:9" x14ac:dyDescent="0.35">
      <c r="C8046" s="184"/>
      <c r="D8046" s="176"/>
      <c r="E8046" s="176"/>
      <c r="F8046" s="176"/>
      <c r="G8046" s="176"/>
      <c r="H8046" s="176"/>
      <c r="I8046" s="178"/>
    </row>
    <row r="8047" spans="3:9" x14ac:dyDescent="0.35">
      <c r="C8047" s="184"/>
      <c r="D8047" s="176"/>
      <c r="E8047" s="176"/>
      <c r="F8047" s="176"/>
      <c r="G8047" s="176"/>
      <c r="H8047" s="176"/>
      <c r="I8047" s="178"/>
    </row>
    <row r="8048" spans="3:9" x14ac:dyDescent="0.35">
      <c r="C8048" s="184"/>
      <c r="D8048" s="176"/>
      <c r="E8048" s="176"/>
      <c r="F8048" s="176"/>
      <c r="G8048" s="176"/>
      <c r="H8048" s="176"/>
      <c r="I8048" s="178"/>
    </row>
    <row r="8049" spans="3:9" x14ac:dyDescent="0.35">
      <c r="C8049" s="184"/>
      <c r="D8049" s="176"/>
      <c r="E8049" s="176"/>
      <c r="F8049" s="176"/>
      <c r="G8049" s="176"/>
      <c r="H8049" s="176"/>
      <c r="I8049" s="178"/>
    </row>
    <row r="8050" spans="3:9" x14ac:dyDescent="0.35">
      <c r="C8050" s="184"/>
      <c r="D8050" s="176"/>
      <c r="E8050" s="176"/>
      <c r="F8050" s="176"/>
      <c r="G8050" s="176"/>
      <c r="H8050" s="176"/>
      <c r="I8050" s="178"/>
    </row>
    <row r="8051" spans="3:9" x14ac:dyDescent="0.35">
      <c r="C8051" s="184"/>
      <c r="D8051" s="176"/>
      <c r="E8051" s="176"/>
      <c r="F8051" s="176"/>
      <c r="G8051" s="176"/>
      <c r="H8051" s="176"/>
      <c r="I8051" s="178"/>
    </row>
    <row r="8052" spans="3:9" x14ac:dyDescent="0.35">
      <c r="C8052" s="184"/>
      <c r="D8052" s="176"/>
      <c r="E8052" s="176"/>
      <c r="F8052" s="176"/>
      <c r="G8052" s="176"/>
      <c r="H8052" s="176"/>
      <c r="I8052" s="178"/>
    </row>
    <row r="8053" spans="3:9" x14ac:dyDescent="0.35">
      <c r="C8053" s="184"/>
      <c r="D8053" s="176"/>
      <c r="E8053" s="176"/>
      <c r="F8053" s="176"/>
      <c r="G8053" s="176"/>
      <c r="H8053" s="176"/>
      <c r="I8053" s="178"/>
    </row>
    <row r="8054" spans="3:9" x14ac:dyDescent="0.35">
      <c r="C8054" s="184"/>
      <c r="D8054" s="176"/>
      <c r="E8054" s="176"/>
      <c r="F8054" s="176"/>
      <c r="G8054" s="176"/>
      <c r="H8054" s="176"/>
      <c r="I8054" s="178"/>
    </row>
    <row r="8055" spans="3:9" x14ac:dyDescent="0.35">
      <c r="C8055" s="184"/>
      <c r="D8055" s="176"/>
      <c r="E8055" s="176"/>
      <c r="F8055" s="176"/>
      <c r="G8055" s="176"/>
      <c r="H8055" s="176"/>
      <c r="I8055" s="178"/>
    </row>
    <row r="8056" spans="3:9" x14ac:dyDescent="0.35">
      <c r="C8056" s="184"/>
      <c r="D8056" s="176"/>
      <c r="E8056" s="176"/>
      <c r="F8056" s="176"/>
      <c r="G8056" s="176"/>
      <c r="H8056" s="176"/>
      <c r="I8056" s="178"/>
    </row>
    <row r="8057" spans="3:9" x14ac:dyDescent="0.35">
      <c r="C8057" s="184"/>
      <c r="D8057" s="176"/>
      <c r="E8057" s="176"/>
      <c r="F8057" s="176"/>
      <c r="G8057" s="176"/>
      <c r="H8057" s="176"/>
      <c r="I8057" s="178"/>
    </row>
    <row r="8058" spans="3:9" x14ac:dyDescent="0.35">
      <c r="C8058" s="184"/>
      <c r="D8058" s="176"/>
      <c r="E8058" s="176"/>
      <c r="F8058" s="176"/>
      <c r="G8058" s="176"/>
      <c r="H8058" s="176"/>
      <c r="I8058" s="178"/>
    </row>
    <row r="8059" spans="3:9" x14ac:dyDescent="0.35">
      <c r="C8059" s="184"/>
      <c r="D8059" s="176"/>
      <c r="E8059" s="176"/>
      <c r="F8059" s="176"/>
      <c r="G8059" s="176"/>
      <c r="H8059" s="176"/>
      <c r="I8059" s="178"/>
    </row>
    <row r="8060" spans="3:9" x14ac:dyDescent="0.35">
      <c r="C8060" s="184"/>
      <c r="D8060" s="176"/>
      <c r="E8060" s="176"/>
      <c r="F8060" s="176"/>
      <c r="G8060" s="176"/>
      <c r="H8060" s="176"/>
      <c r="I8060" s="178"/>
    </row>
    <row r="8061" spans="3:9" x14ac:dyDescent="0.35">
      <c r="C8061" s="184"/>
      <c r="D8061" s="176"/>
      <c r="E8061" s="176"/>
      <c r="F8061" s="176"/>
      <c r="G8061" s="176"/>
      <c r="H8061" s="176"/>
      <c r="I8061" s="178"/>
    </row>
    <row r="8062" spans="3:9" x14ac:dyDescent="0.35">
      <c r="C8062" s="184"/>
      <c r="D8062" s="176"/>
      <c r="E8062" s="176"/>
      <c r="F8062" s="176"/>
      <c r="G8062" s="176"/>
      <c r="H8062" s="176"/>
      <c r="I8062" s="178"/>
    </row>
    <row r="8063" spans="3:9" x14ac:dyDescent="0.35">
      <c r="C8063" s="184"/>
      <c r="D8063" s="176"/>
      <c r="E8063" s="176"/>
      <c r="F8063" s="176"/>
      <c r="G8063" s="176"/>
      <c r="H8063" s="176"/>
      <c r="I8063" s="178"/>
    </row>
    <row r="8064" spans="3:9" x14ac:dyDescent="0.35">
      <c r="C8064" s="184"/>
      <c r="D8064" s="176"/>
      <c r="E8064" s="176"/>
      <c r="F8064" s="176"/>
      <c r="G8064" s="176"/>
      <c r="H8064" s="176"/>
      <c r="I8064" s="178"/>
    </row>
    <row r="8065" spans="3:9" x14ac:dyDescent="0.35">
      <c r="C8065" s="184"/>
      <c r="D8065" s="176"/>
      <c r="E8065" s="176"/>
      <c r="F8065" s="176"/>
      <c r="G8065" s="176"/>
      <c r="H8065" s="176"/>
      <c r="I8065" s="178"/>
    </row>
    <row r="8066" spans="3:9" x14ac:dyDescent="0.35">
      <c r="C8066" s="184"/>
      <c r="D8066" s="176"/>
      <c r="E8066" s="176"/>
      <c r="F8066" s="176"/>
      <c r="G8066" s="176"/>
      <c r="H8066" s="176"/>
      <c r="I8066" s="178"/>
    </row>
    <row r="8067" spans="3:9" x14ac:dyDescent="0.35">
      <c r="C8067" s="184"/>
      <c r="D8067" s="176"/>
      <c r="E8067" s="176"/>
      <c r="F8067" s="176"/>
      <c r="G8067" s="176"/>
      <c r="H8067" s="176"/>
      <c r="I8067" s="178"/>
    </row>
    <row r="8068" spans="3:9" x14ac:dyDescent="0.35">
      <c r="C8068" s="184"/>
      <c r="D8068" s="176"/>
      <c r="E8068" s="176"/>
      <c r="F8068" s="176"/>
      <c r="G8068" s="176"/>
      <c r="H8068" s="176"/>
      <c r="I8068" s="178"/>
    </row>
    <row r="8069" spans="3:9" x14ac:dyDescent="0.35">
      <c r="C8069" s="184"/>
      <c r="D8069" s="176"/>
      <c r="E8069" s="176"/>
      <c r="F8069" s="176"/>
      <c r="G8069" s="176"/>
      <c r="H8069" s="176"/>
      <c r="I8069" s="178"/>
    </row>
    <row r="8070" spans="3:9" x14ac:dyDescent="0.35">
      <c r="C8070" s="184"/>
      <c r="D8070" s="176"/>
      <c r="E8070" s="176"/>
      <c r="F8070" s="176"/>
      <c r="G8070" s="176"/>
      <c r="H8070" s="176"/>
      <c r="I8070" s="178"/>
    </row>
    <row r="8071" spans="3:9" x14ac:dyDescent="0.35">
      <c r="C8071" s="184"/>
      <c r="D8071" s="176"/>
      <c r="E8071" s="176"/>
      <c r="F8071" s="176"/>
      <c r="G8071" s="176"/>
      <c r="H8071" s="176"/>
      <c r="I8071" s="178"/>
    </row>
    <row r="8072" spans="3:9" x14ac:dyDescent="0.35">
      <c r="C8072" s="184"/>
      <c r="D8072" s="176"/>
      <c r="E8072" s="176"/>
      <c r="F8072" s="176"/>
      <c r="G8072" s="176"/>
      <c r="H8072" s="176"/>
      <c r="I8072" s="178"/>
    </row>
    <row r="8073" spans="3:9" x14ac:dyDescent="0.35">
      <c r="C8073" s="184"/>
      <c r="D8073" s="176"/>
      <c r="E8073" s="176"/>
      <c r="F8073" s="176"/>
      <c r="G8073" s="176"/>
      <c r="H8073" s="176"/>
      <c r="I8073" s="178"/>
    </row>
    <row r="8074" spans="3:9" x14ac:dyDescent="0.35">
      <c r="C8074" s="184"/>
      <c r="D8074" s="176"/>
      <c r="E8074" s="176"/>
      <c r="F8074" s="176"/>
      <c r="G8074" s="176"/>
      <c r="H8074" s="176"/>
      <c r="I8074" s="178"/>
    </row>
    <row r="8075" spans="3:9" x14ac:dyDescent="0.35">
      <c r="C8075" s="184"/>
      <c r="D8075" s="176"/>
      <c r="E8075" s="176"/>
      <c r="F8075" s="176"/>
      <c r="G8075" s="176"/>
      <c r="H8075" s="176"/>
      <c r="I8075" s="178"/>
    </row>
    <row r="8076" spans="3:9" x14ac:dyDescent="0.35">
      <c r="C8076" s="184"/>
      <c r="D8076" s="176"/>
      <c r="E8076" s="176"/>
      <c r="F8076" s="176"/>
      <c r="G8076" s="176"/>
      <c r="H8076" s="176"/>
      <c r="I8076" s="178"/>
    </row>
    <row r="8077" spans="3:9" x14ac:dyDescent="0.35">
      <c r="C8077" s="184"/>
      <c r="D8077" s="176"/>
      <c r="E8077" s="176"/>
      <c r="F8077" s="176"/>
      <c r="G8077" s="176"/>
      <c r="H8077" s="176"/>
      <c r="I8077" s="178"/>
    </row>
    <row r="8078" spans="3:9" x14ac:dyDescent="0.35">
      <c r="C8078" s="184"/>
      <c r="D8078" s="176"/>
      <c r="E8078" s="176"/>
      <c r="F8078" s="176"/>
      <c r="G8078" s="176"/>
      <c r="H8078" s="176"/>
      <c r="I8078" s="178"/>
    </row>
    <row r="8079" spans="3:9" x14ac:dyDescent="0.35">
      <c r="C8079" s="184"/>
      <c r="D8079" s="176"/>
      <c r="E8079" s="176"/>
      <c r="F8079" s="176"/>
      <c r="G8079" s="176"/>
      <c r="H8079" s="176"/>
      <c r="I8079" s="178"/>
    </row>
    <row r="8080" spans="3:9" x14ac:dyDescent="0.35">
      <c r="C8080" s="184"/>
      <c r="D8080" s="176"/>
      <c r="E8080" s="176"/>
      <c r="F8080" s="176"/>
      <c r="G8080" s="176"/>
      <c r="H8080" s="176"/>
      <c r="I8080" s="178"/>
    </row>
    <row r="8081" spans="3:9" x14ac:dyDescent="0.35">
      <c r="C8081" s="184"/>
      <c r="D8081" s="176"/>
      <c r="E8081" s="176"/>
      <c r="F8081" s="176"/>
      <c r="G8081" s="176"/>
      <c r="H8081" s="176"/>
      <c r="I8081" s="178"/>
    </row>
    <row r="8082" spans="3:9" x14ac:dyDescent="0.35">
      <c r="C8082" s="184"/>
      <c r="D8082" s="176"/>
      <c r="E8082" s="176"/>
      <c r="F8082" s="176"/>
      <c r="G8082" s="176"/>
      <c r="H8082" s="176"/>
      <c r="I8082" s="178"/>
    </row>
    <row r="8083" spans="3:9" x14ac:dyDescent="0.35">
      <c r="C8083" s="184"/>
      <c r="D8083" s="176"/>
      <c r="E8083" s="176"/>
      <c r="F8083" s="176"/>
      <c r="G8083" s="176"/>
      <c r="H8083" s="176"/>
      <c r="I8083" s="178"/>
    </row>
    <row r="8084" spans="3:9" x14ac:dyDescent="0.35">
      <c r="C8084" s="184"/>
      <c r="D8084" s="176"/>
      <c r="E8084" s="176"/>
      <c r="F8084" s="176"/>
      <c r="G8084" s="176"/>
      <c r="H8084" s="176"/>
      <c r="I8084" s="178"/>
    </row>
    <row r="8085" spans="3:9" x14ac:dyDescent="0.35">
      <c r="C8085" s="184"/>
      <c r="D8085" s="176"/>
      <c r="E8085" s="176"/>
      <c r="F8085" s="176"/>
      <c r="G8085" s="176"/>
      <c r="H8085" s="176"/>
      <c r="I8085" s="178"/>
    </row>
    <row r="8086" spans="3:9" x14ac:dyDescent="0.35">
      <c r="C8086" s="184"/>
      <c r="D8086" s="176"/>
      <c r="E8086" s="176"/>
      <c r="F8086" s="176"/>
      <c r="G8086" s="176"/>
      <c r="H8086" s="176"/>
      <c r="I8086" s="178"/>
    </row>
    <row r="8087" spans="3:9" x14ac:dyDescent="0.35">
      <c r="C8087" s="184"/>
      <c r="D8087" s="176"/>
      <c r="E8087" s="176"/>
      <c r="F8087" s="176"/>
      <c r="G8087" s="176"/>
      <c r="H8087" s="176"/>
      <c r="I8087" s="178"/>
    </row>
    <row r="8088" spans="3:9" x14ac:dyDescent="0.35">
      <c r="C8088" s="184"/>
      <c r="D8088" s="176"/>
      <c r="E8088" s="176"/>
      <c r="F8088" s="176"/>
      <c r="G8088" s="176"/>
      <c r="H8088" s="176"/>
      <c r="I8088" s="178"/>
    </row>
    <row r="8089" spans="3:9" x14ac:dyDescent="0.35">
      <c r="C8089" s="184"/>
      <c r="D8089" s="176"/>
      <c r="E8089" s="176"/>
      <c r="F8089" s="176"/>
      <c r="G8089" s="176"/>
      <c r="H8089" s="176"/>
      <c r="I8089" s="178"/>
    </row>
    <row r="8090" spans="3:9" x14ac:dyDescent="0.35">
      <c r="C8090" s="184"/>
      <c r="D8090" s="176"/>
      <c r="E8090" s="176"/>
      <c r="F8090" s="176"/>
      <c r="G8090" s="176"/>
      <c r="H8090" s="176"/>
      <c r="I8090" s="178"/>
    </row>
    <row r="8091" spans="3:9" ht="15" thickBot="1" x14ac:dyDescent="0.4">
      <c r="C8091" s="185"/>
      <c r="D8091" s="186"/>
      <c r="E8091" s="186"/>
      <c r="F8091" s="186"/>
      <c r="G8091" s="186"/>
      <c r="H8091" s="186"/>
      <c r="I8091" s="182"/>
    </row>
    <row r="8092" spans="3:9" ht="15" thickTop="1" x14ac:dyDescent="0.35"/>
  </sheetData>
  <autoFilter ref="A7:N8001" xr:uid="{53D3E84C-F14A-4E2A-8864-DB5D7544C364}">
    <filterColumn colId="0">
      <filters>
        <filter val="Concho Resources"/>
      </filters>
    </filterColumn>
    <filterColumn colId="6">
      <filters>
        <filter val="Capex"/>
      </filters>
    </filterColumn>
  </autoFilter>
  <mergeCells count="4">
    <mergeCell ref="A8003:N8003"/>
    <mergeCell ref="C8006:I8006"/>
    <mergeCell ref="K8006:L8006"/>
    <mergeCell ref="N8006:O800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ReadMe</vt:lpstr>
      <vt:lpstr>summary_page</vt:lpstr>
      <vt:lpstr>apache_screenshot</vt:lpstr>
      <vt:lpstr>Aggregate view&gt;&gt;</vt:lpstr>
      <vt:lpstr>Devon_A1</vt:lpstr>
      <vt:lpstr>Devon</vt:lpstr>
      <vt:lpstr>Concho_A1</vt:lpstr>
      <vt:lpstr>Concho</vt:lpstr>
      <vt:lpstr>Continental_A1</vt:lpstr>
      <vt:lpstr>Continental</vt:lpstr>
      <vt:lpstr>Devon_old</vt:lpstr>
      <vt:lpstr>Apache_A1</vt:lpstr>
      <vt:lpstr>EOG_A1</vt:lpstr>
      <vt:lpstr>Cimarex_A1</vt:lpstr>
      <vt:lpstr>Apache</vt:lpstr>
      <vt:lpstr>EOG</vt:lpstr>
      <vt:lpstr>Cimarex_old</vt:lpstr>
      <vt:lpstr>Cimarex</vt:lpstr>
      <vt:lpstr>Basin view&gt;&gt;</vt:lpstr>
      <vt:lpstr>Operator view&gt;&gt;</vt:lpstr>
      <vt:lpstr>Assumptions</vt:lpstr>
      <vt:lpstr>Scenarios&gt;&gt;</vt:lpstr>
      <vt:lpstr>Quarterly Forecasts</vt:lpstr>
      <vt:lpstr>Inputs&gt;&gt;</vt:lpstr>
      <vt:lpstr>Input</vt:lpstr>
      <vt:lpstr>$22</vt:lpstr>
      <vt:lpstr>$33</vt:lpstr>
      <vt:lpstr>$22Econ</vt:lpstr>
      <vt:lpstr>$33Econ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Mills</dc:creator>
  <cp:lastModifiedBy>Yushan Zhang</cp:lastModifiedBy>
  <dcterms:created xsi:type="dcterms:W3CDTF">2020-04-16T13:21:12Z</dcterms:created>
  <dcterms:modified xsi:type="dcterms:W3CDTF">2020-05-20T01:57:26Z</dcterms:modified>
</cp:coreProperties>
</file>